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Ma journée" sheetId="1" state="visible" r:id="rId1"/>
    <sheet name="Saisie" sheetId="2" state="visible" r:id="rId2"/>
    <sheet name="Tableau de bord" sheetId="3" state="visible" r:id="rId3"/>
    <sheet name="Prospects" sheetId="4" state="visible" r:id="rId4"/>
    <sheet name="Fiche prospect" sheetId="5" state="visible" r:id="rId5"/>
    <sheet name="Clients" sheetId="6" state="visible" r:id="rId6"/>
    <sheet name="Paramètres" sheetId="7" state="visible" r:id="rId7"/>
    <sheet name="SOP" sheetId="8" state="visible" r:id="rId8"/>
  </sheets>
  <definedNames>
    <definedName name="_xlnm._FilterDatabase" localSheetId="1" hidden="1">'Saisie'!$A$4:$BB$2004</definedName>
    <definedName name="_xlnm._FilterDatabase" localSheetId="3" hidden="1">'Prospects'!$A$4:$BX$504</definedName>
    <definedName name="_xlnm._FilterDatabase" localSheetId="5" hidden="1">'Clients'!$A$4:$AD$154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 €;-#,##0 €;&quot;-&quot;"/>
    <numFmt numFmtId="165" formatCode="dd/mm/yyyy"/>
    <numFmt numFmtId="166" formatCode="hh:mm"/>
    <numFmt numFmtId="167" formatCode="0.0"/>
    <numFmt numFmtId="168" formatCode="0%;-0%;&quot;-&quot;"/>
    <numFmt numFmtId="169" formatCode="#,##0;-#,##0;&quot;-&quot;"/>
    <numFmt numFmtId="170" formatCode="+0;-0;0"/>
    <numFmt numFmtId="171" formatCode="+0%;-0%;0%"/>
    <numFmt numFmtId="172" formatCode="+#,##0 €;-#,##0 €;0 €"/>
    <numFmt numFmtId="173" formatCode="mmm yyyy"/>
    <numFmt numFmtId="174" formatCode="dddd dd mmmm yyyy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404040"/>
      <sz val="9"/>
    </font>
    <font>
      <name val="Arial"/>
      <b val="1"/>
      <color rgb="001F3864"/>
      <sz val="9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b val="1"/>
      <color rgb="00FFFFFF"/>
      <sz val="9"/>
      <u val="single"/>
    </font>
    <font>
      <name val="Arial"/>
      <color rgb="00000000"/>
      <sz val="10"/>
    </font>
    <font>
      <name val="Arial"/>
      <i val="1"/>
      <color rgb="00404040"/>
      <sz val="10"/>
    </font>
    <font>
      <name val="Arial"/>
      <b val="1"/>
      <color rgb="000000FF"/>
      <sz val="11"/>
    </font>
    <font>
      <name val="Arial"/>
      <b val="1"/>
      <sz val="10"/>
    </font>
    <font>
      <name val="Arial"/>
      <color rgb="00808080"/>
      <sz val="8"/>
    </font>
    <font>
      <name val="Arial"/>
      <i val="1"/>
      <color rgb="00595959"/>
      <sz val="10"/>
    </font>
    <font>
      <name val="Arial"/>
      <b val="1"/>
      <color rgb="001F3864"/>
      <sz val="20"/>
    </font>
    <font>
      <name val="Arial"/>
      <color rgb="00595959"/>
      <sz val="9"/>
    </font>
    <font>
      <name val="Arial"/>
      <i val="1"/>
      <color rgb="00808080"/>
      <sz val="8"/>
    </font>
    <font>
      <name val="Arial"/>
      <b val="1"/>
      <color rgb="00FFFFFF"/>
      <sz val="12"/>
    </font>
    <font>
      <name val="Consolas"/>
      <color rgb="00C9A227"/>
      <sz val="10"/>
    </font>
    <font>
      <name val="Arial"/>
      <b val="1"/>
      <color rgb="001F3864"/>
      <sz val="10"/>
    </font>
    <font>
      <name val="Arial"/>
      <b val="1"/>
      <color rgb="001F3864"/>
      <sz val="14"/>
    </font>
    <font>
      <name val="Arial"/>
      <b val="1"/>
      <color rgb="00C65911"/>
      <sz val="10"/>
    </font>
    <font>
      <name val="Arial"/>
      <color rgb="000563C1"/>
      <sz val="10"/>
      <u val="single"/>
    </font>
    <font>
      <name val="Arial"/>
      <i val="1"/>
      <color rgb="00C00000"/>
      <sz val="9"/>
    </font>
    <font>
      <name val="Arial"/>
      <i val="1"/>
      <sz val="10"/>
    </font>
    <font>
      <name val="Arial"/>
      <b val="1"/>
      <sz val="12"/>
    </font>
    <font>
      <name val="Arial"/>
      <b val="1"/>
      <color rgb="000000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E9C8"/>
      </patternFill>
    </fill>
    <fill>
      <patternFill patternType="solid">
        <fgColor rgb="002E4A7D"/>
      </patternFill>
    </fill>
    <fill>
      <patternFill patternType="solid">
        <fgColor rgb="00FFF9DB"/>
      </patternFill>
    </fill>
    <fill>
      <patternFill patternType="solid">
        <fgColor rgb="00C9A227"/>
      </patternFill>
    </fill>
    <fill>
      <patternFill patternType="solid">
        <fgColor rgb="007F6000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9EEF6"/>
      </patternFill>
    </fill>
    <fill>
      <patternFill patternType="solid">
        <fgColor rgb="00C00000"/>
      </patternFill>
    </fill>
    <fill>
      <patternFill patternType="solid">
        <fgColor rgb="009C0006"/>
      </patternFill>
    </fill>
    <fill>
      <patternFill patternType="solid">
        <fgColor rgb="00C65911"/>
      </patternFill>
    </fill>
    <fill>
      <patternFill patternType="solid">
        <fgColor rgb="00548235"/>
      </patternFill>
    </fill>
  </fills>
  <borders count="7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  <border>
      <left/>
      <right/>
      <top style="thin">
        <color rgb="00C9CED6"/>
      </top>
      <bottom style="thin">
        <color rgb="00C9CED6"/>
      </bottom>
      <diagonal/>
    </border>
    <border>
      <bottom style="thin">
        <color rgb="00C9CED6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0" borderId="0" pivotButton="0" quotePrefix="0" xfId="0"/>
    <xf numFmtId="174" fontId="22" fillId="0" borderId="0" pivotButton="0" quotePrefix="0" xfId="0"/>
    <xf numFmtId="0" fontId="23" fillId="0" borderId="0" pivotButton="0" quotePrefix="0" xfId="0"/>
    <xf numFmtId="0" fontId="19" fillId="2" borderId="0" applyAlignment="1" pivotButton="0" quotePrefix="0" xfId="0">
      <alignment vertical="center" indent="1"/>
    </xf>
    <xf numFmtId="0" fontId="7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3" fillId="0" borderId="1" pivotButton="0" quotePrefix="0" xfId="0"/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9" fillId="11" borderId="0" applyAlignment="1" pivotButton="0" quotePrefix="0" xfId="0">
      <alignment vertical="center" indent="1"/>
    </xf>
    <xf numFmtId="0" fontId="0" fillId="11" borderId="0" pivotButton="0" quotePrefix="0" xfId="0"/>
    <xf numFmtId="0" fontId="7" fillId="12" borderId="1" applyAlignment="1" pivotButton="0" quotePrefix="0" xfId="0">
      <alignment horizontal="center" vertical="center" wrapText="1"/>
    </xf>
    <xf numFmtId="0" fontId="13" fillId="10" borderId="1" pivotButton="0" quotePrefix="0" xfId="0"/>
    <xf numFmtId="0" fontId="5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horizontal="center" vertical="center"/>
    </xf>
    <xf numFmtId="1" fontId="5" fillId="1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19" fillId="13" borderId="0" applyAlignment="1" pivotButton="0" quotePrefix="0" xfId="0">
      <alignment vertical="center" indent="1"/>
    </xf>
    <xf numFmtId="0" fontId="0" fillId="13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9" fillId="14" borderId="0" applyAlignment="1" pivotButton="0" quotePrefix="0" xfId="0">
      <alignment vertical="center" indent="1"/>
    </xf>
    <xf numFmtId="0" fontId="0" fillId="14" borderId="0" pivotButton="0" quotePrefix="0" xfId="0"/>
    <xf numFmtId="0" fontId="7" fillId="14" borderId="1" applyAlignment="1" pivotButton="0" quotePrefix="0" xfId="0">
      <alignment horizontal="center" vertical="center" wrapText="1"/>
    </xf>
    <xf numFmtId="9" fontId="5" fillId="10" borderId="1" applyAlignment="1" pivotButton="0" quotePrefix="0" xfId="0">
      <alignment horizontal="center" vertical="center"/>
    </xf>
    <xf numFmtId="0" fontId="21" fillId="0" borderId="0" pivotButton="0" quotePrefix="0" xfId="0"/>
    <xf numFmtId="0" fontId="26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7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7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10" fillId="0" borderId="1" pivotButton="0" quotePrefix="0" xfId="0"/>
    <xf numFmtId="166" fontId="10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1" fontId="10" fillId="0" borderId="1" pivotButton="0" quotePrefix="0" xfId="0"/>
    <xf numFmtId="49" fontId="10" fillId="0" borderId="1" pivotButton="0" quotePrefix="0" xfId="0"/>
    <xf numFmtId="167" fontId="10" fillId="0" borderId="1" pivotButton="0" quotePrefix="0" xfId="0"/>
    <xf numFmtId="0" fontId="11" fillId="8" borderId="1" pivotButton="0" quotePrefix="0" xfId="0"/>
    <xf numFmtId="1" fontId="11" fillId="8" borderId="1" pivotButton="0" quotePrefix="0" xfId="0"/>
    <xf numFmtId="164" fontId="11" fillId="8" borderId="1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right"/>
    </xf>
    <xf numFmtId="0" fontId="12" fillId="9" borderId="1" applyAlignment="1" applyProtection="1" pivotButton="0" quotePrefix="0" xfId="0">
      <alignment horizontal="center"/>
      <protection locked="0" hidden="0"/>
    </xf>
    <xf numFmtId="0" fontId="15" fillId="0" borderId="0" pivotButton="0" quotePrefix="0" xfId="0"/>
    <xf numFmtId="165" fontId="14" fillId="0" borderId="0" pivotButton="0" quotePrefix="0" xfId="0"/>
    <xf numFmtId="169" fontId="16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3" fillId="10" borderId="0" applyAlignment="1" pivotButton="0" quotePrefix="0" xfId="0">
      <alignment horizontal="right"/>
    </xf>
    <xf numFmtId="170" fontId="17" fillId="10" borderId="0" pivotButton="0" quotePrefix="0" xfId="0"/>
    <xf numFmtId="168" fontId="16" fillId="10" borderId="0" applyAlignment="1" pivotButton="0" quotePrefix="0" xfId="0">
      <alignment horizontal="center" vertical="center"/>
    </xf>
    <xf numFmtId="164" fontId="16" fillId="10" borderId="0" applyAlignment="1" pivotButton="0" quotePrefix="0" xfId="0">
      <alignment horizontal="center" vertical="center"/>
    </xf>
    <xf numFmtId="171" fontId="17" fillId="10" borderId="0" pivotButton="0" quotePrefix="0" xfId="0"/>
    <xf numFmtId="172" fontId="17" fillId="10" borderId="0" pivotButton="0" quotePrefix="0" xfId="0"/>
    <xf numFmtId="0" fontId="18" fillId="0" borderId="0" pivotButton="0" quotePrefix="0" xfId="0"/>
    <xf numFmtId="0" fontId="5" fillId="0" borderId="1" pivotButton="0" quotePrefix="0" xfId="0"/>
    <xf numFmtId="169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13" fillId="0" borderId="1" pivotButton="0" quotePrefix="0" xfId="0"/>
    <xf numFmtId="17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8" fontId="13" fillId="0" borderId="1" pivotButton="0" quotePrefix="0" xfId="0"/>
    <xf numFmtId="16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10" borderId="1" applyAlignment="1" pivotButton="0" quotePrefix="0" xfId="0">
      <alignment horizontal="center" vertical="center"/>
    </xf>
    <xf numFmtId="168" fontId="5" fillId="1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7" fontId="5" fillId="10" borderId="1" applyAlignment="1" pivotButton="0" quotePrefix="0" xfId="0">
      <alignment horizontal="center" vertical="center"/>
    </xf>
    <xf numFmtId="173" fontId="5" fillId="10" borderId="1" pivotButton="0" quotePrefix="0" xfId="0"/>
    <xf numFmtId="173" fontId="5" fillId="0" borderId="1" pivotButton="0" quotePrefix="0" xfId="0"/>
    <xf numFmtId="0" fontId="13" fillId="3" borderId="1" pivotButton="0" quotePrefix="0" xfId="0"/>
    <xf numFmtId="169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73" fontId="5" fillId="0" borderId="1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/>
    </xf>
    <xf numFmtId="0" fontId="5" fillId="10" borderId="1" pivotButton="0" quotePrefix="0" xfId="0"/>
    <xf numFmtId="167" fontId="13" fillId="1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1" fontId="13" fillId="10" borderId="1" applyAlignment="1" pivotButton="0" quotePrefix="0" xfId="0">
      <alignment horizontal="center"/>
    </xf>
    <xf numFmtId="168" fontId="13" fillId="10" borderId="1" applyAlignment="1" pivotButton="0" quotePrefix="0" xfId="0">
      <alignment horizontal="center"/>
    </xf>
    <xf numFmtId="169" fontId="13" fillId="0" borderId="1" applyAlignment="1" pivotButton="0" quotePrefix="0" xfId="0">
      <alignment horizontal="center"/>
    </xf>
    <xf numFmtId="165" fontId="11" fillId="8" borderId="1" pivotButton="0" quotePrefix="0" xfId="0"/>
    <xf numFmtId="166" fontId="11" fillId="8" borderId="1" pivotButton="0" quotePrefix="0" xfId="0"/>
    <xf numFmtId="167" fontId="11" fillId="8" borderId="1" pivotButton="0" quotePrefix="0" xfId="0"/>
    <xf numFmtId="2" fontId="11" fillId="8" borderId="1" pivotButton="0" quotePrefix="0" xfId="0"/>
    <xf numFmtId="0" fontId="27" fillId="0" borderId="0" applyAlignment="1" pivotButton="0" quotePrefix="0" xfId="0">
      <alignment horizontal="right"/>
    </xf>
    <xf numFmtId="0" fontId="28" fillId="9" borderId="1" applyProtection="1" pivotButton="0" quotePrefix="0" xfId="0">
      <protection locked="0" hidden="0"/>
    </xf>
    <xf numFmtId="0" fontId="21" fillId="0" borderId="6" pivotButton="0" quotePrefix="0" xfId="0"/>
    <xf numFmtId="0" fontId="5" fillId="0" borderId="6" applyAlignment="1" pivotButton="0" quotePrefix="0" xfId="0">
      <alignment horizontal="left"/>
    </xf>
    <xf numFmtId="0" fontId="0" fillId="0" borderId="6" pivotButton="0" quotePrefix="0" xfId="0"/>
    <xf numFmtId="165" fontId="5" fillId="0" borderId="6" applyAlignment="1" pivotButton="0" quotePrefix="0" xfId="0">
      <alignment horizontal="left"/>
    </xf>
    <xf numFmtId="164" fontId="5" fillId="0" borderId="6" applyAlignment="1" pivotButton="0" quotePrefix="0" xfId="0">
      <alignment horizontal="left"/>
    </xf>
    <xf numFmtId="165" fontId="5" fillId="10" borderId="1" pivotButton="0" quotePrefix="0" xfId="0"/>
    <xf numFmtId="166" fontId="5" fillId="10" borderId="1" pivotButton="0" quotePrefix="0" xfId="0"/>
    <xf numFmtId="164" fontId="5" fillId="1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5" fillId="0" borderId="1" pivotButton="0" quotePrefix="0" xfId="0"/>
    <xf numFmtId="168" fontId="11" fillId="8" borderId="1" pivotButton="0" quotePrefix="0" xfId="0"/>
    <xf numFmtId="0" fontId="4" fillId="4" borderId="0" pivotButton="0" quotePrefix="0" xfId="0"/>
    <xf numFmtId="0" fontId="6" fillId="5" borderId="1" applyAlignment="1" pivotButton="0" quotePrefix="0" xfId="0">
      <alignment horizontal="center"/>
    </xf>
    <xf numFmtId="0" fontId="8" fillId="0" borderId="1" pivotButton="0" quotePrefix="0" xfId="0"/>
    <xf numFmtId="9" fontId="8" fillId="0" borderId="1" pivotButton="0" quotePrefix="0" xfId="0"/>
    <xf numFmtId="164" fontId="8" fillId="0" borderId="1" pivotButton="0" quotePrefix="0" xfId="0"/>
    <xf numFmtId="164" fontId="6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5">
    <dxf>
      <font>
        <name val="Arial"/>
        <b val="1"/>
        <color rgb="00C00000"/>
      </font>
      <fill>
        <patternFill patternType="solid">
          <fgColor rgb="00F8D7DA"/>
        </patternFill>
      </fill>
    </dxf>
    <dxf>
      <font>
        <name val="Arial"/>
        <color rgb="00548235"/>
      </font>
    </dxf>
    <dxf>
      <fill>
        <patternFill patternType="solid">
          <fgColor rgb="00FBF6E6"/>
        </patternFill>
      </fill>
    </dxf>
    <dxf>
      <font>
        <name val="Arial"/>
        <b val="1"/>
        <color rgb="00548235"/>
      </font>
    </dxf>
    <dxf>
      <font>
        <name val="Arial"/>
        <b val="1"/>
        <color rgb="00C00000"/>
      </font>
    </dxf>
    <dxf>
      <fill>
        <patternFill patternType="solid">
          <fgColor rgb="00F4E9C8"/>
        </patternFill>
      </fill>
    </dxf>
    <dxf>
      <font>
        <name val="Arial"/>
        <b val="1"/>
        <color rgb="00548235"/>
      </font>
      <fill>
        <patternFill patternType="solid">
          <fgColor rgb="00E2EFDA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  <dxf>
      <font>
        <name val="Arial"/>
        <b val="1"/>
        <color rgb="00C659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Entonnoir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'Tableau de bord'!D32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'Tableau de bord'!$B$33:$B$39</f>
            </numRef>
          </cat>
          <val>
            <numRef>
              <f>'Tableau de bord'!$D$33:$D$39</f>
            </numRef>
          </val>
        </ser>
        <dLbls>
          <showVal val="1"/>
        </dLbls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RDV et clients par canal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bord'!G43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'Tableau de bord'!$B$44:$B$48</f>
            </numRef>
          </cat>
          <val>
            <numRef>
              <f>'Tableau de bord'!$G$44:$G$48</f>
            </numRef>
          </val>
        </ser>
        <ser>
          <idx val="1"/>
          <order val="1"/>
          <tx>
            <strRef>
              <f>'Tableau de bord'!H43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'Tableau de bord'!$B$44:$B$48</f>
            </numRef>
          </cat>
          <val>
            <numRef>
              <f>'Tableau de bord'!$H$44:$H$48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 signé par canal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bord'!I43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'Tableau de bord'!$B$44:$B$48</f>
            </numRef>
          </cat>
          <val>
            <numRef>
              <f>'Tableau de bord'!$I$44:$I$48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 signé et encaissé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bord'!H65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'Tableau de bord'!$B$66:$B$77</f>
            </numRef>
          </cat>
          <val>
            <numRef>
              <f>'Tableau de bord'!$H$66:$H$77</f>
            </numRef>
          </val>
        </ser>
        <ser>
          <idx val="1"/>
          <order val="1"/>
          <tx>
            <strRef>
              <f>'Tableau de bord'!I65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'Tableau de bord'!$B$66:$B$77</f>
            </numRef>
          </cat>
          <val>
            <numRef>
              <f>'Tableau de bord'!$I$66:$I$77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31</row>
      <rowOff>0</rowOff>
    </from>
    <ext cx="504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50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50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80</row>
      <rowOff>0</rowOff>
    </from>
    <ext cx="86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L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5" customWidth="1" min="4" max="4"/>
    <col width="11" customWidth="1" min="5" max="5"/>
    <col width="10" customWidth="1" min="6" max="6"/>
    <col width="12" customWidth="1" min="7" max="7"/>
    <col width="24" customWidth="1" min="8" max="8"/>
    <col width="11" customWidth="1" min="9" max="9"/>
    <col width="8" customWidth="1" min="10" max="10"/>
    <col width="9" customWidth="1" min="11" max="11"/>
    <col width="3" customWidth="1" min="12" max="12"/>
  </cols>
  <sheetData>
    <row r="1" ht="34" customHeight="1">
      <c r="A1" s="1" t="inlineStr">
        <is>
          <t>☀ MA JOURNÉE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0" customHeight="1">
      <c r="A2" s="3" t="inlineStr">
        <is>
          <t>L'onglet à ouvrir chaque matin : tes relances, les prospects les plus chauds à appeler, les alertes et tes objectifs du jour. Tout est automatique.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>
        <f>HYPERLINK("#'Saisie'!A1","↩ Saisie")</f>
        <v/>
      </c>
      <c r="E3" s="5">
        <f>HYPERLINK("#'Tableau de bord'!A1","📊 Tableau de bord")</f>
        <v/>
      </c>
    </row>
    <row r="4">
      <c r="B4" s="6">
        <f>TODAY()</f>
        <v/>
      </c>
      <c r="E4" s="7">
        <f>IF(WEEKDAY(TODAY(),2)=1,"📅 Lundi : fais ta revue hebdo de 15 min (voir SOP)","")</f>
        <v/>
      </c>
    </row>
    <row r="6" ht="22" customHeight="1">
      <c r="B6" s="8" t="inlineStr">
        <is>
          <t>🎯 OBJECTIFS DU JOUR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B7" s="9" t="inlineStr">
        <is>
          <t>Objectif</t>
        </is>
      </c>
      <c r="C7" s="9" t="inlineStr">
        <is>
          <t>Fait</t>
        </is>
      </c>
      <c r="D7" s="9" t="inlineStr">
        <is>
          <t>Cible</t>
        </is>
      </c>
      <c r="E7" s="9" t="inlineStr">
        <is>
          <t>%</t>
        </is>
      </c>
      <c r="F7" s="9" t="inlineStr">
        <is>
          <t>Progression</t>
        </is>
      </c>
      <c r="G7" s="10" t="n"/>
      <c r="H7" s="11" t="n"/>
      <c r="I7" s="9" t="inlineStr">
        <is>
          <t>Reste</t>
        </is>
      </c>
    </row>
    <row r="8">
      <c r="B8" s="12" t="inlineStr">
        <is>
          <t>Nouveaux prospects</t>
        </is>
      </c>
      <c r="C8" s="13">
        <f>COUNTIFS('Prospects'!$B$5:$B$504,TODAY())</f>
        <v/>
      </c>
      <c r="D8" s="13">
        <f>'Paramètres'!$B$6</f>
        <v/>
      </c>
      <c r="E8" s="14">
        <f>IFERROR(C8/D8,0)</f>
        <v/>
      </c>
      <c r="F8" s="15">
        <f>REPT("█",ROUND(MIN(1,E8)*20,0))&amp;REPT("░",20-ROUND(MIN(1,E8)*20,0))</f>
        <v/>
      </c>
      <c r="G8" s="13" t="n"/>
      <c r="H8" s="13" t="n"/>
      <c r="I8" s="13">
        <f>MAX(0,D8-C8)</f>
        <v/>
      </c>
    </row>
    <row r="9">
      <c r="B9" s="12" t="inlineStr">
        <is>
          <t>Appels</t>
        </is>
      </c>
      <c r="C9" s="13">
        <f>COUNTIFS('Saisie'!$A$5:$A$2004,TODAY(),'Saisie'!$D$5:$D$2004,"Appel",'Saisie'!$AU$5:$AU$2004,1)</f>
        <v/>
      </c>
      <c r="D9" s="13">
        <f>'Paramètres'!$B$7</f>
        <v/>
      </c>
      <c r="E9" s="14">
        <f>IFERROR(C9/D9,0)</f>
        <v/>
      </c>
      <c r="F9" s="15">
        <f>REPT("█",ROUND(MIN(1,E9)*20,0))&amp;REPT("░",20-ROUND(MIN(1,E9)*20,0))</f>
        <v/>
      </c>
      <c r="G9" s="13" t="n"/>
      <c r="H9" s="13" t="n"/>
      <c r="I9" s="13">
        <f>MAX(0,D9-C9)</f>
        <v/>
      </c>
    </row>
    <row r="10">
      <c r="B10" s="12" t="inlineStr">
        <is>
          <t>DM</t>
        </is>
      </c>
      <c r="C10" s="13">
        <f>COUNTIFS('Saisie'!$A$5:$A$2004,TODAY(),'Saisie'!$D$5:$D$2004,"DM",'Saisie'!$AU$5:$AU$2004,1)</f>
        <v/>
      </c>
      <c r="D10" s="13">
        <f>'Paramètres'!$B$8</f>
        <v/>
      </c>
      <c r="E10" s="14">
        <f>IFERROR(C10/D10,0)</f>
        <v/>
      </c>
      <c r="F10" s="15">
        <f>REPT("█",ROUND(MIN(1,E10)*20,0))&amp;REPT("░",20-ROUND(MIN(1,E10)*20,0))</f>
        <v/>
      </c>
      <c r="G10" s="13" t="n"/>
      <c r="H10" s="13" t="n"/>
      <c r="I10" s="13">
        <f>MAX(0,D10-C10)</f>
        <v/>
      </c>
    </row>
    <row r="12" ht="22" customHeight="1">
      <c r="B12" s="16" t="inlineStr">
        <is>
          <t>🔴 À RELANCER AUJOURD'HUI ET EN RETARD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B13" s="18" t="inlineStr">
        <is>
          <t>Entreprise</t>
        </is>
      </c>
      <c r="C13" s="18" t="inlineStr">
        <is>
          <t>Contact</t>
        </is>
      </c>
      <c r="D13" s="18" t="inlineStr">
        <is>
          <t>Téléphone</t>
        </is>
      </c>
      <c r="E13" s="18" t="inlineStr">
        <is>
          <t>WhatsApp</t>
        </is>
      </c>
      <c r="F13" s="18" t="inlineStr">
        <is>
          <t>Canal</t>
        </is>
      </c>
      <c r="G13" s="18" t="inlineStr">
        <is>
          <t>Étape</t>
        </is>
      </c>
      <c r="H13" s="18" t="inlineStr">
        <is>
          <t>Prochaine action</t>
        </is>
      </c>
      <c r="I13" s="18" t="inlineStr">
        <is>
          <t>Relance</t>
        </is>
      </c>
      <c r="J13" s="18" t="inlineStr">
        <is>
          <t>Heure</t>
        </is>
      </c>
      <c r="K13" s="18" t="inlineStr">
        <is>
          <t>Retard (j)</t>
        </is>
      </c>
    </row>
    <row r="14">
      <c r="B14" s="19">
        <f>IFERROR(INDEX('Prospects'!$C$5:$C$504,MATCH(1,'Prospects'!$BU$5:$BU$504,0))&amp;"","")</f>
        <v/>
      </c>
      <c r="C14" s="20">
        <f>IFERROR(INDEX('Prospects'!$J$5:$J$504,MATCH(1,'Prospects'!$BU$5:$BU$504,0))&amp;"","")</f>
        <v/>
      </c>
      <c r="D14" s="20">
        <f>IFERROR(INDEX('Prospects'!$K$5:$K$504,MATCH(1,'Prospects'!$BU$5:$BU$504,0))&amp;"","")</f>
        <v/>
      </c>
      <c r="E14" s="21">
        <f>IF(D14="","",HYPERLINK("https://wa.me/"&amp;IF(LEFT(SUBSTITUTE(D14," ",""),1)="0",'Paramètres'!$B$35&amp;MID(SUBSTITUTE(D14," ",""),2,20),SUBSTITUTE(D14," ","")),"Ouvrir"))</f>
        <v/>
      </c>
      <c r="F14" s="20">
        <f>IFERROR(INDEX('Prospects'!$N$5:$N$504,MATCH(1,'Prospects'!$BU$5:$BU$504,0))&amp;"","")</f>
        <v/>
      </c>
      <c r="G14" s="20">
        <f>IFERROR(INDEX('Prospects'!$D$5:$D$504,MATCH(1,'Prospects'!$BU$5:$BU$504,0))&amp;"","")</f>
        <v/>
      </c>
      <c r="H14" s="20">
        <f>IFERROR(INDEX('Prospects'!$I$5:$I$504,MATCH(1,'Prospects'!$BU$5:$BU$504,0))&amp;"","")</f>
        <v/>
      </c>
      <c r="I14" s="22">
        <f>IFERROR(IF(INDEX('Prospects'!$G$5:$G$504,MATCH(1,'Prospects'!$BU$5:$BU$504,0))="","",INDEX('Prospects'!$G$5:$G$504,MATCH(1,'Prospects'!$BU$5:$BU$504,0))),"")</f>
        <v/>
      </c>
      <c r="J14" s="23">
        <f>IFERROR(IF(INDEX('Prospects'!$H$5:$H$504,MATCH(1,'Prospects'!$BU$5:$BU$504,0))="","",INDEX('Prospects'!$H$5:$H$504,MATCH(1,'Prospects'!$BU$5:$BU$504,0))),"")</f>
        <v/>
      </c>
      <c r="K14" s="24">
        <f>IF(I14="","",TODAY()-I14)</f>
        <v/>
      </c>
    </row>
    <row r="15">
      <c r="B15" s="12">
        <f>IFERROR(INDEX('Prospects'!$C$5:$C$504,MATCH(2,'Prospects'!$BU$5:$BU$504,0))&amp;"","")</f>
        <v/>
      </c>
      <c r="C15" s="13">
        <f>IFERROR(INDEX('Prospects'!$J$5:$J$504,MATCH(2,'Prospects'!$BU$5:$BU$504,0))&amp;"","")</f>
        <v/>
      </c>
      <c r="D15" s="13">
        <f>IFERROR(INDEX('Prospects'!$K$5:$K$504,MATCH(2,'Prospects'!$BU$5:$BU$504,0))&amp;"","")</f>
        <v/>
      </c>
      <c r="E15" s="25">
        <f>IF(D15="","",HYPERLINK("https://wa.me/"&amp;IF(LEFT(SUBSTITUTE(D15," ",""),1)="0",'Paramètres'!$B$35&amp;MID(SUBSTITUTE(D15," ",""),2,20),SUBSTITUTE(D15," ","")),"Ouvrir"))</f>
        <v/>
      </c>
      <c r="F15" s="13">
        <f>IFERROR(INDEX('Prospects'!$N$5:$N$504,MATCH(2,'Prospects'!$BU$5:$BU$504,0))&amp;"","")</f>
        <v/>
      </c>
      <c r="G15" s="13">
        <f>IFERROR(INDEX('Prospects'!$D$5:$D$504,MATCH(2,'Prospects'!$BU$5:$BU$504,0))&amp;"","")</f>
        <v/>
      </c>
      <c r="H15" s="13">
        <f>IFERROR(INDEX('Prospects'!$I$5:$I$504,MATCH(2,'Prospects'!$BU$5:$BU$504,0))&amp;"","")</f>
        <v/>
      </c>
      <c r="I15" s="26">
        <f>IFERROR(IF(INDEX('Prospects'!$G$5:$G$504,MATCH(2,'Prospects'!$BU$5:$BU$504,0))="","",INDEX('Prospects'!$G$5:$G$504,MATCH(2,'Prospects'!$BU$5:$BU$504,0))),"")</f>
        <v/>
      </c>
      <c r="J15" s="27">
        <f>IFERROR(IF(INDEX('Prospects'!$H$5:$H$504,MATCH(2,'Prospects'!$BU$5:$BU$504,0))="","",INDEX('Prospects'!$H$5:$H$504,MATCH(2,'Prospects'!$BU$5:$BU$504,0))),"")</f>
        <v/>
      </c>
      <c r="K15" s="28">
        <f>IF(I15="","",TODAY()-I15)</f>
        <v/>
      </c>
    </row>
    <row r="16">
      <c r="B16" s="19">
        <f>IFERROR(INDEX('Prospects'!$C$5:$C$504,MATCH(3,'Prospects'!$BU$5:$BU$504,0))&amp;"","")</f>
        <v/>
      </c>
      <c r="C16" s="20">
        <f>IFERROR(INDEX('Prospects'!$J$5:$J$504,MATCH(3,'Prospects'!$BU$5:$BU$504,0))&amp;"","")</f>
        <v/>
      </c>
      <c r="D16" s="20">
        <f>IFERROR(INDEX('Prospects'!$K$5:$K$504,MATCH(3,'Prospects'!$BU$5:$BU$504,0))&amp;"","")</f>
        <v/>
      </c>
      <c r="E16" s="21">
        <f>IF(D16="","",HYPERLINK("https://wa.me/"&amp;IF(LEFT(SUBSTITUTE(D16," ",""),1)="0",'Paramètres'!$B$35&amp;MID(SUBSTITUTE(D16," ",""),2,20),SUBSTITUTE(D16," ","")),"Ouvrir"))</f>
        <v/>
      </c>
      <c r="F16" s="20">
        <f>IFERROR(INDEX('Prospects'!$N$5:$N$504,MATCH(3,'Prospects'!$BU$5:$BU$504,0))&amp;"","")</f>
        <v/>
      </c>
      <c r="G16" s="20">
        <f>IFERROR(INDEX('Prospects'!$D$5:$D$504,MATCH(3,'Prospects'!$BU$5:$BU$504,0))&amp;"","")</f>
        <v/>
      </c>
      <c r="H16" s="20">
        <f>IFERROR(INDEX('Prospects'!$I$5:$I$504,MATCH(3,'Prospects'!$BU$5:$BU$504,0))&amp;"","")</f>
        <v/>
      </c>
      <c r="I16" s="22">
        <f>IFERROR(IF(INDEX('Prospects'!$G$5:$G$504,MATCH(3,'Prospects'!$BU$5:$BU$504,0))="","",INDEX('Prospects'!$G$5:$G$504,MATCH(3,'Prospects'!$BU$5:$BU$504,0))),"")</f>
        <v/>
      </c>
      <c r="J16" s="23">
        <f>IFERROR(IF(INDEX('Prospects'!$H$5:$H$504,MATCH(3,'Prospects'!$BU$5:$BU$504,0))="","",INDEX('Prospects'!$H$5:$H$504,MATCH(3,'Prospects'!$BU$5:$BU$504,0))),"")</f>
        <v/>
      </c>
      <c r="K16" s="24">
        <f>IF(I16="","",TODAY()-I16)</f>
        <v/>
      </c>
    </row>
    <row r="17">
      <c r="B17" s="12">
        <f>IFERROR(INDEX('Prospects'!$C$5:$C$504,MATCH(4,'Prospects'!$BU$5:$BU$504,0))&amp;"","")</f>
        <v/>
      </c>
      <c r="C17" s="13">
        <f>IFERROR(INDEX('Prospects'!$J$5:$J$504,MATCH(4,'Prospects'!$BU$5:$BU$504,0))&amp;"","")</f>
        <v/>
      </c>
      <c r="D17" s="13">
        <f>IFERROR(INDEX('Prospects'!$K$5:$K$504,MATCH(4,'Prospects'!$BU$5:$BU$504,0))&amp;"","")</f>
        <v/>
      </c>
      <c r="E17" s="25">
        <f>IF(D17="","",HYPERLINK("https://wa.me/"&amp;IF(LEFT(SUBSTITUTE(D17," ",""),1)="0",'Paramètres'!$B$35&amp;MID(SUBSTITUTE(D17," ",""),2,20),SUBSTITUTE(D17," ","")),"Ouvrir"))</f>
        <v/>
      </c>
      <c r="F17" s="13">
        <f>IFERROR(INDEX('Prospects'!$N$5:$N$504,MATCH(4,'Prospects'!$BU$5:$BU$504,0))&amp;"","")</f>
        <v/>
      </c>
      <c r="G17" s="13">
        <f>IFERROR(INDEX('Prospects'!$D$5:$D$504,MATCH(4,'Prospects'!$BU$5:$BU$504,0))&amp;"","")</f>
        <v/>
      </c>
      <c r="H17" s="13">
        <f>IFERROR(INDEX('Prospects'!$I$5:$I$504,MATCH(4,'Prospects'!$BU$5:$BU$504,0))&amp;"","")</f>
        <v/>
      </c>
      <c r="I17" s="26">
        <f>IFERROR(IF(INDEX('Prospects'!$G$5:$G$504,MATCH(4,'Prospects'!$BU$5:$BU$504,0))="","",INDEX('Prospects'!$G$5:$G$504,MATCH(4,'Prospects'!$BU$5:$BU$504,0))),"")</f>
        <v/>
      </c>
      <c r="J17" s="27">
        <f>IFERROR(IF(INDEX('Prospects'!$H$5:$H$504,MATCH(4,'Prospects'!$BU$5:$BU$504,0))="","",INDEX('Prospects'!$H$5:$H$504,MATCH(4,'Prospects'!$BU$5:$BU$504,0))),"")</f>
        <v/>
      </c>
      <c r="K17" s="28">
        <f>IF(I17="","",TODAY()-I17)</f>
        <v/>
      </c>
    </row>
    <row r="18">
      <c r="B18" s="19">
        <f>IFERROR(INDEX('Prospects'!$C$5:$C$504,MATCH(5,'Prospects'!$BU$5:$BU$504,0))&amp;"","")</f>
        <v/>
      </c>
      <c r="C18" s="20">
        <f>IFERROR(INDEX('Prospects'!$J$5:$J$504,MATCH(5,'Prospects'!$BU$5:$BU$504,0))&amp;"","")</f>
        <v/>
      </c>
      <c r="D18" s="20">
        <f>IFERROR(INDEX('Prospects'!$K$5:$K$504,MATCH(5,'Prospects'!$BU$5:$BU$504,0))&amp;"","")</f>
        <v/>
      </c>
      <c r="E18" s="21">
        <f>IF(D18="","",HYPERLINK("https://wa.me/"&amp;IF(LEFT(SUBSTITUTE(D18," ",""),1)="0",'Paramètres'!$B$35&amp;MID(SUBSTITUTE(D18," ",""),2,20),SUBSTITUTE(D18," ","")),"Ouvrir"))</f>
        <v/>
      </c>
      <c r="F18" s="20">
        <f>IFERROR(INDEX('Prospects'!$N$5:$N$504,MATCH(5,'Prospects'!$BU$5:$BU$504,0))&amp;"","")</f>
        <v/>
      </c>
      <c r="G18" s="20">
        <f>IFERROR(INDEX('Prospects'!$D$5:$D$504,MATCH(5,'Prospects'!$BU$5:$BU$504,0))&amp;"","")</f>
        <v/>
      </c>
      <c r="H18" s="20">
        <f>IFERROR(INDEX('Prospects'!$I$5:$I$504,MATCH(5,'Prospects'!$BU$5:$BU$504,0))&amp;"","")</f>
        <v/>
      </c>
      <c r="I18" s="22">
        <f>IFERROR(IF(INDEX('Prospects'!$G$5:$G$504,MATCH(5,'Prospects'!$BU$5:$BU$504,0))="","",INDEX('Prospects'!$G$5:$G$504,MATCH(5,'Prospects'!$BU$5:$BU$504,0))),"")</f>
        <v/>
      </c>
      <c r="J18" s="23">
        <f>IFERROR(IF(INDEX('Prospects'!$H$5:$H$504,MATCH(5,'Prospects'!$BU$5:$BU$504,0))="","",INDEX('Prospects'!$H$5:$H$504,MATCH(5,'Prospects'!$BU$5:$BU$504,0))),"")</f>
        <v/>
      </c>
      <c r="K18" s="24">
        <f>IF(I18="","",TODAY()-I18)</f>
        <v/>
      </c>
    </row>
    <row r="19">
      <c r="B19" s="12">
        <f>IFERROR(INDEX('Prospects'!$C$5:$C$504,MATCH(6,'Prospects'!$BU$5:$BU$504,0))&amp;"","")</f>
        <v/>
      </c>
      <c r="C19" s="13">
        <f>IFERROR(INDEX('Prospects'!$J$5:$J$504,MATCH(6,'Prospects'!$BU$5:$BU$504,0))&amp;"","")</f>
        <v/>
      </c>
      <c r="D19" s="13">
        <f>IFERROR(INDEX('Prospects'!$K$5:$K$504,MATCH(6,'Prospects'!$BU$5:$BU$504,0))&amp;"","")</f>
        <v/>
      </c>
      <c r="E19" s="25">
        <f>IF(D19="","",HYPERLINK("https://wa.me/"&amp;IF(LEFT(SUBSTITUTE(D19," ",""),1)="0",'Paramètres'!$B$35&amp;MID(SUBSTITUTE(D19," ",""),2,20),SUBSTITUTE(D19," ","")),"Ouvrir"))</f>
        <v/>
      </c>
      <c r="F19" s="13">
        <f>IFERROR(INDEX('Prospects'!$N$5:$N$504,MATCH(6,'Prospects'!$BU$5:$BU$504,0))&amp;"","")</f>
        <v/>
      </c>
      <c r="G19" s="13">
        <f>IFERROR(INDEX('Prospects'!$D$5:$D$504,MATCH(6,'Prospects'!$BU$5:$BU$504,0))&amp;"","")</f>
        <v/>
      </c>
      <c r="H19" s="13">
        <f>IFERROR(INDEX('Prospects'!$I$5:$I$504,MATCH(6,'Prospects'!$BU$5:$BU$504,0))&amp;"","")</f>
        <v/>
      </c>
      <c r="I19" s="26">
        <f>IFERROR(IF(INDEX('Prospects'!$G$5:$G$504,MATCH(6,'Prospects'!$BU$5:$BU$504,0))="","",INDEX('Prospects'!$G$5:$G$504,MATCH(6,'Prospects'!$BU$5:$BU$504,0))),"")</f>
        <v/>
      </c>
      <c r="J19" s="27">
        <f>IFERROR(IF(INDEX('Prospects'!$H$5:$H$504,MATCH(6,'Prospects'!$BU$5:$BU$504,0))="","",INDEX('Prospects'!$H$5:$H$504,MATCH(6,'Prospects'!$BU$5:$BU$504,0))),"")</f>
        <v/>
      </c>
      <c r="K19" s="28">
        <f>IF(I19="","",TODAY()-I19)</f>
        <v/>
      </c>
    </row>
    <row r="20">
      <c r="B20" s="19">
        <f>IFERROR(INDEX('Prospects'!$C$5:$C$504,MATCH(7,'Prospects'!$BU$5:$BU$504,0))&amp;"","")</f>
        <v/>
      </c>
      <c r="C20" s="20">
        <f>IFERROR(INDEX('Prospects'!$J$5:$J$504,MATCH(7,'Prospects'!$BU$5:$BU$504,0))&amp;"","")</f>
        <v/>
      </c>
      <c r="D20" s="20">
        <f>IFERROR(INDEX('Prospects'!$K$5:$K$504,MATCH(7,'Prospects'!$BU$5:$BU$504,0))&amp;"","")</f>
        <v/>
      </c>
      <c r="E20" s="21">
        <f>IF(D20="","",HYPERLINK("https://wa.me/"&amp;IF(LEFT(SUBSTITUTE(D20," ",""),1)="0",'Paramètres'!$B$35&amp;MID(SUBSTITUTE(D20," ",""),2,20),SUBSTITUTE(D20," ","")),"Ouvrir"))</f>
        <v/>
      </c>
      <c r="F20" s="20">
        <f>IFERROR(INDEX('Prospects'!$N$5:$N$504,MATCH(7,'Prospects'!$BU$5:$BU$504,0))&amp;"","")</f>
        <v/>
      </c>
      <c r="G20" s="20">
        <f>IFERROR(INDEX('Prospects'!$D$5:$D$504,MATCH(7,'Prospects'!$BU$5:$BU$504,0))&amp;"","")</f>
        <v/>
      </c>
      <c r="H20" s="20">
        <f>IFERROR(INDEX('Prospects'!$I$5:$I$504,MATCH(7,'Prospects'!$BU$5:$BU$504,0))&amp;"","")</f>
        <v/>
      </c>
      <c r="I20" s="22">
        <f>IFERROR(IF(INDEX('Prospects'!$G$5:$G$504,MATCH(7,'Prospects'!$BU$5:$BU$504,0))="","",INDEX('Prospects'!$G$5:$G$504,MATCH(7,'Prospects'!$BU$5:$BU$504,0))),"")</f>
        <v/>
      </c>
      <c r="J20" s="23">
        <f>IFERROR(IF(INDEX('Prospects'!$H$5:$H$504,MATCH(7,'Prospects'!$BU$5:$BU$504,0))="","",INDEX('Prospects'!$H$5:$H$504,MATCH(7,'Prospects'!$BU$5:$BU$504,0))),"")</f>
        <v/>
      </c>
      <c r="K20" s="24">
        <f>IF(I20="","",TODAY()-I20)</f>
        <v/>
      </c>
    </row>
    <row r="21">
      <c r="B21" s="12">
        <f>IFERROR(INDEX('Prospects'!$C$5:$C$504,MATCH(8,'Prospects'!$BU$5:$BU$504,0))&amp;"","")</f>
        <v/>
      </c>
      <c r="C21" s="13">
        <f>IFERROR(INDEX('Prospects'!$J$5:$J$504,MATCH(8,'Prospects'!$BU$5:$BU$504,0))&amp;"","")</f>
        <v/>
      </c>
      <c r="D21" s="13">
        <f>IFERROR(INDEX('Prospects'!$K$5:$K$504,MATCH(8,'Prospects'!$BU$5:$BU$504,0))&amp;"","")</f>
        <v/>
      </c>
      <c r="E21" s="25">
        <f>IF(D21="","",HYPERLINK("https://wa.me/"&amp;IF(LEFT(SUBSTITUTE(D21," ",""),1)="0",'Paramètres'!$B$35&amp;MID(SUBSTITUTE(D21," ",""),2,20),SUBSTITUTE(D21," ","")),"Ouvrir"))</f>
        <v/>
      </c>
      <c r="F21" s="13">
        <f>IFERROR(INDEX('Prospects'!$N$5:$N$504,MATCH(8,'Prospects'!$BU$5:$BU$504,0))&amp;"","")</f>
        <v/>
      </c>
      <c r="G21" s="13">
        <f>IFERROR(INDEX('Prospects'!$D$5:$D$504,MATCH(8,'Prospects'!$BU$5:$BU$504,0))&amp;"","")</f>
        <v/>
      </c>
      <c r="H21" s="13">
        <f>IFERROR(INDEX('Prospects'!$I$5:$I$504,MATCH(8,'Prospects'!$BU$5:$BU$504,0))&amp;"","")</f>
        <v/>
      </c>
      <c r="I21" s="26">
        <f>IFERROR(IF(INDEX('Prospects'!$G$5:$G$504,MATCH(8,'Prospects'!$BU$5:$BU$504,0))="","",INDEX('Prospects'!$G$5:$G$504,MATCH(8,'Prospects'!$BU$5:$BU$504,0))),"")</f>
        <v/>
      </c>
      <c r="J21" s="27">
        <f>IFERROR(IF(INDEX('Prospects'!$H$5:$H$504,MATCH(8,'Prospects'!$BU$5:$BU$504,0))="","",INDEX('Prospects'!$H$5:$H$504,MATCH(8,'Prospects'!$BU$5:$BU$504,0))),"")</f>
        <v/>
      </c>
      <c r="K21" s="28">
        <f>IF(I21="","",TODAY()-I21)</f>
        <v/>
      </c>
    </row>
    <row r="22">
      <c r="B22" s="19">
        <f>IFERROR(INDEX('Prospects'!$C$5:$C$504,MATCH(9,'Prospects'!$BU$5:$BU$504,0))&amp;"","")</f>
        <v/>
      </c>
      <c r="C22" s="20">
        <f>IFERROR(INDEX('Prospects'!$J$5:$J$504,MATCH(9,'Prospects'!$BU$5:$BU$504,0))&amp;"","")</f>
        <v/>
      </c>
      <c r="D22" s="20">
        <f>IFERROR(INDEX('Prospects'!$K$5:$K$504,MATCH(9,'Prospects'!$BU$5:$BU$504,0))&amp;"","")</f>
        <v/>
      </c>
      <c r="E22" s="21">
        <f>IF(D22="","",HYPERLINK("https://wa.me/"&amp;IF(LEFT(SUBSTITUTE(D22," ",""),1)="0",'Paramètres'!$B$35&amp;MID(SUBSTITUTE(D22," ",""),2,20),SUBSTITUTE(D22," ","")),"Ouvrir"))</f>
        <v/>
      </c>
      <c r="F22" s="20">
        <f>IFERROR(INDEX('Prospects'!$N$5:$N$504,MATCH(9,'Prospects'!$BU$5:$BU$504,0))&amp;"","")</f>
        <v/>
      </c>
      <c r="G22" s="20">
        <f>IFERROR(INDEX('Prospects'!$D$5:$D$504,MATCH(9,'Prospects'!$BU$5:$BU$504,0))&amp;"","")</f>
        <v/>
      </c>
      <c r="H22" s="20">
        <f>IFERROR(INDEX('Prospects'!$I$5:$I$504,MATCH(9,'Prospects'!$BU$5:$BU$504,0))&amp;"","")</f>
        <v/>
      </c>
      <c r="I22" s="22">
        <f>IFERROR(IF(INDEX('Prospects'!$G$5:$G$504,MATCH(9,'Prospects'!$BU$5:$BU$504,0))="","",INDEX('Prospects'!$G$5:$G$504,MATCH(9,'Prospects'!$BU$5:$BU$504,0))),"")</f>
        <v/>
      </c>
      <c r="J22" s="23">
        <f>IFERROR(IF(INDEX('Prospects'!$H$5:$H$504,MATCH(9,'Prospects'!$BU$5:$BU$504,0))="","",INDEX('Prospects'!$H$5:$H$504,MATCH(9,'Prospects'!$BU$5:$BU$504,0))),"")</f>
        <v/>
      </c>
      <c r="K22" s="24">
        <f>IF(I22="","",TODAY()-I22)</f>
        <v/>
      </c>
    </row>
    <row r="23">
      <c r="B23" s="12">
        <f>IFERROR(INDEX('Prospects'!$C$5:$C$504,MATCH(10,'Prospects'!$BU$5:$BU$504,0))&amp;"","")</f>
        <v/>
      </c>
      <c r="C23" s="13">
        <f>IFERROR(INDEX('Prospects'!$J$5:$J$504,MATCH(10,'Prospects'!$BU$5:$BU$504,0))&amp;"","")</f>
        <v/>
      </c>
      <c r="D23" s="13">
        <f>IFERROR(INDEX('Prospects'!$K$5:$K$504,MATCH(10,'Prospects'!$BU$5:$BU$504,0))&amp;"","")</f>
        <v/>
      </c>
      <c r="E23" s="25">
        <f>IF(D23="","",HYPERLINK("https://wa.me/"&amp;IF(LEFT(SUBSTITUTE(D23," ",""),1)="0",'Paramètres'!$B$35&amp;MID(SUBSTITUTE(D23," ",""),2,20),SUBSTITUTE(D23," ","")),"Ouvrir"))</f>
        <v/>
      </c>
      <c r="F23" s="13">
        <f>IFERROR(INDEX('Prospects'!$N$5:$N$504,MATCH(10,'Prospects'!$BU$5:$BU$504,0))&amp;"","")</f>
        <v/>
      </c>
      <c r="G23" s="13">
        <f>IFERROR(INDEX('Prospects'!$D$5:$D$504,MATCH(10,'Prospects'!$BU$5:$BU$504,0))&amp;"","")</f>
        <v/>
      </c>
      <c r="H23" s="13">
        <f>IFERROR(INDEX('Prospects'!$I$5:$I$504,MATCH(10,'Prospects'!$BU$5:$BU$504,0))&amp;"","")</f>
        <v/>
      </c>
      <c r="I23" s="26">
        <f>IFERROR(IF(INDEX('Prospects'!$G$5:$G$504,MATCH(10,'Prospects'!$BU$5:$BU$504,0))="","",INDEX('Prospects'!$G$5:$G$504,MATCH(10,'Prospects'!$BU$5:$BU$504,0))),"")</f>
        <v/>
      </c>
      <c r="J23" s="27">
        <f>IFERROR(IF(INDEX('Prospects'!$H$5:$H$504,MATCH(10,'Prospects'!$BU$5:$BU$504,0))="","",INDEX('Prospects'!$H$5:$H$504,MATCH(10,'Prospects'!$BU$5:$BU$504,0))),"")</f>
        <v/>
      </c>
      <c r="K23" s="28">
        <f>IF(I23="","",TODAY()-I23)</f>
        <v/>
      </c>
    </row>
    <row r="24">
      <c r="B24" s="19">
        <f>IFERROR(INDEX('Prospects'!$C$5:$C$504,MATCH(11,'Prospects'!$BU$5:$BU$504,0))&amp;"","")</f>
        <v/>
      </c>
      <c r="C24" s="20">
        <f>IFERROR(INDEX('Prospects'!$J$5:$J$504,MATCH(11,'Prospects'!$BU$5:$BU$504,0))&amp;"","")</f>
        <v/>
      </c>
      <c r="D24" s="20">
        <f>IFERROR(INDEX('Prospects'!$K$5:$K$504,MATCH(11,'Prospects'!$BU$5:$BU$504,0))&amp;"","")</f>
        <v/>
      </c>
      <c r="E24" s="21">
        <f>IF(D24="","",HYPERLINK("https://wa.me/"&amp;IF(LEFT(SUBSTITUTE(D24," ",""),1)="0",'Paramètres'!$B$35&amp;MID(SUBSTITUTE(D24," ",""),2,20),SUBSTITUTE(D24," ","")),"Ouvrir"))</f>
        <v/>
      </c>
      <c r="F24" s="20">
        <f>IFERROR(INDEX('Prospects'!$N$5:$N$504,MATCH(11,'Prospects'!$BU$5:$BU$504,0))&amp;"","")</f>
        <v/>
      </c>
      <c r="G24" s="20">
        <f>IFERROR(INDEX('Prospects'!$D$5:$D$504,MATCH(11,'Prospects'!$BU$5:$BU$504,0))&amp;"","")</f>
        <v/>
      </c>
      <c r="H24" s="20">
        <f>IFERROR(INDEX('Prospects'!$I$5:$I$504,MATCH(11,'Prospects'!$BU$5:$BU$504,0))&amp;"","")</f>
        <v/>
      </c>
      <c r="I24" s="22">
        <f>IFERROR(IF(INDEX('Prospects'!$G$5:$G$504,MATCH(11,'Prospects'!$BU$5:$BU$504,0))="","",INDEX('Prospects'!$G$5:$G$504,MATCH(11,'Prospects'!$BU$5:$BU$504,0))),"")</f>
        <v/>
      </c>
      <c r="J24" s="23">
        <f>IFERROR(IF(INDEX('Prospects'!$H$5:$H$504,MATCH(11,'Prospects'!$BU$5:$BU$504,0))="","",INDEX('Prospects'!$H$5:$H$504,MATCH(11,'Prospects'!$BU$5:$BU$504,0))),"")</f>
        <v/>
      </c>
      <c r="K24" s="24">
        <f>IF(I24="","",TODAY()-I24)</f>
        <v/>
      </c>
    </row>
    <row r="25">
      <c r="B25" s="12">
        <f>IFERROR(INDEX('Prospects'!$C$5:$C$504,MATCH(12,'Prospects'!$BU$5:$BU$504,0))&amp;"","")</f>
        <v/>
      </c>
      <c r="C25" s="13">
        <f>IFERROR(INDEX('Prospects'!$J$5:$J$504,MATCH(12,'Prospects'!$BU$5:$BU$504,0))&amp;"","")</f>
        <v/>
      </c>
      <c r="D25" s="13">
        <f>IFERROR(INDEX('Prospects'!$K$5:$K$504,MATCH(12,'Prospects'!$BU$5:$BU$504,0))&amp;"","")</f>
        <v/>
      </c>
      <c r="E25" s="25">
        <f>IF(D25="","",HYPERLINK("https://wa.me/"&amp;IF(LEFT(SUBSTITUTE(D25," ",""),1)="0",'Paramètres'!$B$35&amp;MID(SUBSTITUTE(D25," ",""),2,20),SUBSTITUTE(D25," ","")),"Ouvrir"))</f>
        <v/>
      </c>
      <c r="F25" s="13">
        <f>IFERROR(INDEX('Prospects'!$N$5:$N$504,MATCH(12,'Prospects'!$BU$5:$BU$504,0))&amp;"","")</f>
        <v/>
      </c>
      <c r="G25" s="13">
        <f>IFERROR(INDEX('Prospects'!$D$5:$D$504,MATCH(12,'Prospects'!$BU$5:$BU$504,0))&amp;"","")</f>
        <v/>
      </c>
      <c r="H25" s="13">
        <f>IFERROR(INDEX('Prospects'!$I$5:$I$504,MATCH(12,'Prospects'!$BU$5:$BU$504,0))&amp;"","")</f>
        <v/>
      </c>
      <c r="I25" s="26">
        <f>IFERROR(IF(INDEX('Prospects'!$G$5:$G$504,MATCH(12,'Prospects'!$BU$5:$BU$504,0))="","",INDEX('Prospects'!$G$5:$G$504,MATCH(12,'Prospects'!$BU$5:$BU$504,0))),"")</f>
        <v/>
      </c>
      <c r="J25" s="27">
        <f>IFERROR(IF(INDEX('Prospects'!$H$5:$H$504,MATCH(12,'Prospects'!$BU$5:$BU$504,0))="","",INDEX('Prospects'!$H$5:$H$504,MATCH(12,'Prospects'!$BU$5:$BU$504,0))),"")</f>
        <v/>
      </c>
      <c r="K25" s="28">
        <f>IF(I25="","",TODAY()-I25)</f>
        <v/>
      </c>
    </row>
    <row r="26">
      <c r="B26" s="19">
        <f>IFERROR(INDEX('Prospects'!$C$5:$C$504,MATCH(13,'Prospects'!$BU$5:$BU$504,0))&amp;"","")</f>
        <v/>
      </c>
      <c r="C26" s="20">
        <f>IFERROR(INDEX('Prospects'!$J$5:$J$504,MATCH(13,'Prospects'!$BU$5:$BU$504,0))&amp;"","")</f>
        <v/>
      </c>
      <c r="D26" s="20">
        <f>IFERROR(INDEX('Prospects'!$K$5:$K$504,MATCH(13,'Prospects'!$BU$5:$BU$504,0))&amp;"","")</f>
        <v/>
      </c>
      <c r="E26" s="21">
        <f>IF(D26="","",HYPERLINK("https://wa.me/"&amp;IF(LEFT(SUBSTITUTE(D26," ",""),1)="0",'Paramètres'!$B$35&amp;MID(SUBSTITUTE(D26," ",""),2,20),SUBSTITUTE(D26," ","")),"Ouvrir"))</f>
        <v/>
      </c>
      <c r="F26" s="20">
        <f>IFERROR(INDEX('Prospects'!$N$5:$N$504,MATCH(13,'Prospects'!$BU$5:$BU$504,0))&amp;"","")</f>
        <v/>
      </c>
      <c r="G26" s="20">
        <f>IFERROR(INDEX('Prospects'!$D$5:$D$504,MATCH(13,'Prospects'!$BU$5:$BU$504,0))&amp;"","")</f>
        <v/>
      </c>
      <c r="H26" s="20">
        <f>IFERROR(INDEX('Prospects'!$I$5:$I$504,MATCH(13,'Prospects'!$BU$5:$BU$504,0))&amp;"","")</f>
        <v/>
      </c>
      <c r="I26" s="22">
        <f>IFERROR(IF(INDEX('Prospects'!$G$5:$G$504,MATCH(13,'Prospects'!$BU$5:$BU$504,0))="","",INDEX('Prospects'!$G$5:$G$504,MATCH(13,'Prospects'!$BU$5:$BU$504,0))),"")</f>
        <v/>
      </c>
      <c r="J26" s="23">
        <f>IFERROR(IF(INDEX('Prospects'!$H$5:$H$504,MATCH(13,'Prospects'!$BU$5:$BU$504,0))="","",INDEX('Prospects'!$H$5:$H$504,MATCH(13,'Prospects'!$BU$5:$BU$504,0))),"")</f>
        <v/>
      </c>
      <c r="K26" s="24">
        <f>IF(I26="","",TODAY()-I26)</f>
        <v/>
      </c>
    </row>
    <row r="27">
      <c r="B27" s="12">
        <f>IFERROR(INDEX('Prospects'!$C$5:$C$504,MATCH(14,'Prospects'!$BU$5:$BU$504,0))&amp;"","")</f>
        <v/>
      </c>
      <c r="C27" s="13">
        <f>IFERROR(INDEX('Prospects'!$J$5:$J$504,MATCH(14,'Prospects'!$BU$5:$BU$504,0))&amp;"","")</f>
        <v/>
      </c>
      <c r="D27" s="13">
        <f>IFERROR(INDEX('Prospects'!$K$5:$K$504,MATCH(14,'Prospects'!$BU$5:$BU$504,0))&amp;"","")</f>
        <v/>
      </c>
      <c r="E27" s="25">
        <f>IF(D27="","",HYPERLINK("https://wa.me/"&amp;IF(LEFT(SUBSTITUTE(D27," ",""),1)="0",'Paramètres'!$B$35&amp;MID(SUBSTITUTE(D27," ",""),2,20),SUBSTITUTE(D27," ","")),"Ouvrir"))</f>
        <v/>
      </c>
      <c r="F27" s="13">
        <f>IFERROR(INDEX('Prospects'!$N$5:$N$504,MATCH(14,'Prospects'!$BU$5:$BU$504,0))&amp;"","")</f>
        <v/>
      </c>
      <c r="G27" s="13">
        <f>IFERROR(INDEX('Prospects'!$D$5:$D$504,MATCH(14,'Prospects'!$BU$5:$BU$504,0))&amp;"","")</f>
        <v/>
      </c>
      <c r="H27" s="13">
        <f>IFERROR(INDEX('Prospects'!$I$5:$I$504,MATCH(14,'Prospects'!$BU$5:$BU$504,0))&amp;"","")</f>
        <v/>
      </c>
      <c r="I27" s="26">
        <f>IFERROR(IF(INDEX('Prospects'!$G$5:$G$504,MATCH(14,'Prospects'!$BU$5:$BU$504,0))="","",INDEX('Prospects'!$G$5:$G$504,MATCH(14,'Prospects'!$BU$5:$BU$504,0))),"")</f>
        <v/>
      </c>
      <c r="J27" s="27">
        <f>IFERROR(IF(INDEX('Prospects'!$H$5:$H$504,MATCH(14,'Prospects'!$BU$5:$BU$504,0))="","",INDEX('Prospects'!$H$5:$H$504,MATCH(14,'Prospects'!$BU$5:$BU$504,0))),"")</f>
        <v/>
      </c>
      <c r="K27" s="28">
        <f>IF(I27="","",TODAY()-I27)</f>
        <v/>
      </c>
    </row>
    <row r="28">
      <c r="B28" s="19">
        <f>IFERROR(INDEX('Prospects'!$C$5:$C$504,MATCH(15,'Prospects'!$BU$5:$BU$504,0))&amp;"","")</f>
        <v/>
      </c>
      <c r="C28" s="20">
        <f>IFERROR(INDEX('Prospects'!$J$5:$J$504,MATCH(15,'Prospects'!$BU$5:$BU$504,0))&amp;"","")</f>
        <v/>
      </c>
      <c r="D28" s="20">
        <f>IFERROR(INDEX('Prospects'!$K$5:$K$504,MATCH(15,'Prospects'!$BU$5:$BU$504,0))&amp;"","")</f>
        <v/>
      </c>
      <c r="E28" s="21">
        <f>IF(D28="","",HYPERLINK("https://wa.me/"&amp;IF(LEFT(SUBSTITUTE(D28," ",""),1)="0",'Paramètres'!$B$35&amp;MID(SUBSTITUTE(D28," ",""),2,20),SUBSTITUTE(D28," ","")),"Ouvrir"))</f>
        <v/>
      </c>
      <c r="F28" s="20">
        <f>IFERROR(INDEX('Prospects'!$N$5:$N$504,MATCH(15,'Prospects'!$BU$5:$BU$504,0))&amp;"","")</f>
        <v/>
      </c>
      <c r="G28" s="20">
        <f>IFERROR(INDEX('Prospects'!$D$5:$D$504,MATCH(15,'Prospects'!$BU$5:$BU$504,0))&amp;"","")</f>
        <v/>
      </c>
      <c r="H28" s="20">
        <f>IFERROR(INDEX('Prospects'!$I$5:$I$504,MATCH(15,'Prospects'!$BU$5:$BU$504,0))&amp;"","")</f>
        <v/>
      </c>
      <c r="I28" s="22">
        <f>IFERROR(IF(INDEX('Prospects'!$G$5:$G$504,MATCH(15,'Prospects'!$BU$5:$BU$504,0))="","",INDEX('Prospects'!$G$5:$G$504,MATCH(15,'Prospects'!$BU$5:$BU$504,0))),"")</f>
        <v/>
      </c>
      <c r="J28" s="23">
        <f>IFERROR(IF(INDEX('Prospects'!$H$5:$H$504,MATCH(15,'Prospects'!$BU$5:$BU$504,0))="","",INDEX('Prospects'!$H$5:$H$504,MATCH(15,'Prospects'!$BU$5:$BU$504,0))),"")</f>
        <v/>
      </c>
      <c r="K28" s="24">
        <f>IF(I28="","",TODAY()-I28)</f>
        <v/>
      </c>
    </row>
    <row r="29">
      <c r="B29" s="29">
        <f>IF(MAX('Prospects'!$BU$5:$BU$504)&gt;15,"+ "&amp;(MAX('Prospects'!$BU$5:$BU$504)-15)&amp;" autres relances : filtre la colonne Prochaine relance dans Prospects.","")</f>
        <v/>
      </c>
    </row>
    <row r="31" ht="22" customHeight="1">
      <c r="B31" s="30" t="inlineStr">
        <is>
          <t>🔥 LES 10 PROSPECTS LES PLUS CHAUDS À APPELER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</row>
    <row r="32">
      <c r="B32" s="32" t="inlineStr">
        <is>
          <t>Entreprise</t>
        </is>
      </c>
      <c r="C32" s="32" t="inlineStr">
        <is>
          <t>Contact</t>
        </is>
      </c>
      <c r="D32" s="32" t="inlineStr">
        <is>
          <t>Téléphone</t>
        </is>
      </c>
      <c r="E32" s="32" t="inlineStr">
        <is>
          <t>Instagram</t>
        </is>
      </c>
      <c r="F32" s="32" t="inlineStr">
        <is>
          <t>Score</t>
        </is>
      </c>
      <c r="G32" s="32" t="inlineStr">
        <is>
          <t>Étape</t>
        </is>
      </c>
      <c r="H32" s="32" t="inlineStr">
        <is>
          <t>Besoin / dernière action</t>
        </is>
      </c>
      <c r="I32" s="32" t="inlineStr">
        <is>
          <t>Tentatives</t>
        </is>
      </c>
      <c r="J32" s="32" t="inlineStr">
        <is>
          <t>Pub active</t>
        </is>
      </c>
      <c r="K32" s="32" t="inlineStr">
        <is>
          <t>Secteur</t>
        </is>
      </c>
    </row>
    <row r="33">
      <c r="B33" s="19">
        <f>IFERROR(INDEX('Prospects'!$C$5:$C$504,MATCH(LARGE('Prospects'!$BT$5:$BT$504,1),'Prospects'!$BT$5:$BT$504,0)),"")</f>
        <v/>
      </c>
      <c r="C33" s="20">
        <f>IFERROR(INDEX('Prospects'!$J$5:$J$504,MATCH(LARGE('Prospects'!$BT$5:$BT$504,1),'Prospects'!$BT$5:$BT$504,0)),"")</f>
        <v/>
      </c>
      <c r="D33" s="20">
        <f>IFERROR(INDEX('Prospects'!$K$5:$K$504,MATCH(LARGE('Prospects'!$BT$5:$BT$504,1),'Prospects'!$BT$5:$BT$504,0)),"")</f>
        <v/>
      </c>
      <c r="E33" s="20">
        <f>IFERROR(INDEX('Prospects'!$BC$5:$BC$504,MATCH(LARGE('Prospects'!$BT$5:$BT$504,1),'Prospects'!$BT$5:$BT$504,0)),"")</f>
        <v/>
      </c>
      <c r="F33" s="20">
        <f>IFERROR(INDEX('Prospects'!$E$5:$E$504,MATCH(LARGE('Prospects'!$BT$5:$BT$504,1),'Prospects'!$BT$5:$BT$504,0)),"")</f>
        <v/>
      </c>
      <c r="G33" s="20">
        <f>IFERROR(INDEX('Prospects'!$D$5:$D$504,MATCH(LARGE('Prospects'!$BT$5:$BT$504,1),'Prospects'!$BT$5:$BT$504,0)),"")</f>
        <v/>
      </c>
      <c r="H33" s="20">
        <f>IFERROR(INDEX('Prospects'!$I$5:$I$504,MATCH(LARGE('Prospects'!$BT$5:$BT$504,1),'Prospects'!$BT$5:$BT$504,0)),"")</f>
        <v/>
      </c>
      <c r="I33" s="20">
        <f>IFERROR(INDEX('Prospects'!$O$5:$O$504,MATCH(LARGE('Prospects'!$BT$5:$BT$504,1),'Prospects'!$BT$5:$BT$504,0)),"")</f>
        <v/>
      </c>
      <c r="J33" s="20">
        <f>IFERROR(INDEX('Prospects'!$Z$5:$Z$504,MATCH(LARGE('Prospects'!$BT$5:$BT$504,1),'Prospects'!$BT$5:$BT$504,0)),"")</f>
        <v/>
      </c>
      <c r="K33" s="20">
        <f>IFERROR(INDEX('Prospects'!$S$5:$S$504,MATCH(LARGE('Prospects'!$BT$5:$BT$504,1),'Prospects'!$BT$5:$BT$504,0)),"")</f>
        <v/>
      </c>
    </row>
    <row r="34">
      <c r="B34" s="12">
        <f>IFERROR(INDEX('Prospects'!$C$5:$C$504,MATCH(LARGE('Prospects'!$BT$5:$BT$504,2),'Prospects'!$BT$5:$BT$504,0)),"")</f>
        <v/>
      </c>
      <c r="C34" s="13">
        <f>IFERROR(INDEX('Prospects'!$J$5:$J$504,MATCH(LARGE('Prospects'!$BT$5:$BT$504,2),'Prospects'!$BT$5:$BT$504,0)),"")</f>
        <v/>
      </c>
      <c r="D34" s="13">
        <f>IFERROR(INDEX('Prospects'!$K$5:$K$504,MATCH(LARGE('Prospects'!$BT$5:$BT$504,2),'Prospects'!$BT$5:$BT$504,0)),"")</f>
        <v/>
      </c>
      <c r="E34" s="13">
        <f>IFERROR(INDEX('Prospects'!$BC$5:$BC$504,MATCH(LARGE('Prospects'!$BT$5:$BT$504,2),'Prospects'!$BT$5:$BT$504,0)),"")</f>
        <v/>
      </c>
      <c r="F34" s="13">
        <f>IFERROR(INDEX('Prospects'!$E$5:$E$504,MATCH(LARGE('Prospects'!$BT$5:$BT$504,2),'Prospects'!$BT$5:$BT$504,0)),"")</f>
        <v/>
      </c>
      <c r="G34" s="13">
        <f>IFERROR(INDEX('Prospects'!$D$5:$D$504,MATCH(LARGE('Prospects'!$BT$5:$BT$504,2),'Prospects'!$BT$5:$BT$504,0)),"")</f>
        <v/>
      </c>
      <c r="H34" s="13">
        <f>IFERROR(INDEX('Prospects'!$I$5:$I$504,MATCH(LARGE('Prospects'!$BT$5:$BT$504,2),'Prospects'!$BT$5:$BT$504,0)),"")</f>
        <v/>
      </c>
      <c r="I34" s="13">
        <f>IFERROR(INDEX('Prospects'!$O$5:$O$504,MATCH(LARGE('Prospects'!$BT$5:$BT$504,2),'Prospects'!$BT$5:$BT$504,0)),"")</f>
        <v/>
      </c>
      <c r="J34" s="13">
        <f>IFERROR(INDEX('Prospects'!$Z$5:$Z$504,MATCH(LARGE('Prospects'!$BT$5:$BT$504,2),'Prospects'!$BT$5:$BT$504,0)),"")</f>
        <v/>
      </c>
      <c r="K34" s="13">
        <f>IFERROR(INDEX('Prospects'!$S$5:$S$504,MATCH(LARGE('Prospects'!$BT$5:$BT$504,2),'Prospects'!$BT$5:$BT$504,0)),"")</f>
        <v/>
      </c>
    </row>
    <row r="35">
      <c r="B35" s="19">
        <f>IFERROR(INDEX('Prospects'!$C$5:$C$504,MATCH(LARGE('Prospects'!$BT$5:$BT$504,3),'Prospects'!$BT$5:$BT$504,0)),"")</f>
        <v/>
      </c>
      <c r="C35" s="20">
        <f>IFERROR(INDEX('Prospects'!$J$5:$J$504,MATCH(LARGE('Prospects'!$BT$5:$BT$504,3),'Prospects'!$BT$5:$BT$504,0)),"")</f>
        <v/>
      </c>
      <c r="D35" s="20">
        <f>IFERROR(INDEX('Prospects'!$K$5:$K$504,MATCH(LARGE('Prospects'!$BT$5:$BT$504,3),'Prospects'!$BT$5:$BT$504,0)),"")</f>
        <v/>
      </c>
      <c r="E35" s="20">
        <f>IFERROR(INDEX('Prospects'!$BC$5:$BC$504,MATCH(LARGE('Prospects'!$BT$5:$BT$504,3),'Prospects'!$BT$5:$BT$504,0)),"")</f>
        <v/>
      </c>
      <c r="F35" s="20">
        <f>IFERROR(INDEX('Prospects'!$E$5:$E$504,MATCH(LARGE('Prospects'!$BT$5:$BT$504,3),'Prospects'!$BT$5:$BT$504,0)),"")</f>
        <v/>
      </c>
      <c r="G35" s="20">
        <f>IFERROR(INDEX('Prospects'!$D$5:$D$504,MATCH(LARGE('Prospects'!$BT$5:$BT$504,3),'Prospects'!$BT$5:$BT$504,0)),"")</f>
        <v/>
      </c>
      <c r="H35" s="20">
        <f>IFERROR(INDEX('Prospects'!$I$5:$I$504,MATCH(LARGE('Prospects'!$BT$5:$BT$504,3),'Prospects'!$BT$5:$BT$504,0)),"")</f>
        <v/>
      </c>
      <c r="I35" s="20">
        <f>IFERROR(INDEX('Prospects'!$O$5:$O$504,MATCH(LARGE('Prospects'!$BT$5:$BT$504,3),'Prospects'!$BT$5:$BT$504,0)),"")</f>
        <v/>
      </c>
      <c r="J35" s="20">
        <f>IFERROR(INDEX('Prospects'!$Z$5:$Z$504,MATCH(LARGE('Prospects'!$BT$5:$BT$504,3),'Prospects'!$BT$5:$BT$504,0)),"")</f>
        <v/>
      </c>
      <c r="K35" s="20">
        <f>IFERROR(INDEX('Prospects'!$S$5:$S$504,MATCH(LARGE('Prospects'!$BT$5:$BT$504,3),'Prospects'!$BT$5:$BT$504,0)),"")</f>
        <v/>
      </c>
    </row>
    <row r="36">
      <c r="B36" s="12">
        <f>IFERROR(INDEX('Prospects'!$C$5:$C$504,MATCH(LARGE('Prospects'!$BT$5:$BT$504,4),'Prospects'!$BT$5:$BT$504,0)),"")</f>
        <v/>
      </c>
      <c r="C36" s="13">
        <f>IFERROR(INDEX('Prospects'!$J$5:$J$504,MATCH(LARGE('Prospects'!$BT$5:$BT$504,4),'Prospects'!$BT$5:$BT$504,0)),"")</f>
        <v/>
      </c>
      <c r="D36" s="13">
        <f>IFERROR(INDEX('Prospects'!$K$5:$K$504,MATCH(LARGE('Prospects'!$BT$5:$BT$504,4),'Prospects'!$BT$5:$BT$504,0)),"")</f>
        <v/>
      </c>
      <c r="E36" s="13">
        <f>IFERROR(INDEX('Prospects'!$BC$5:$BC$504,MATCH(LARGE('Prospects'!$BT$5:$BT$504,4),'Prospects'!$BT$5:$BT$504,0)),"")</f>
        <v/>
      </c>
      <c r="F36" s="13">
        <f>IFERROR(INDEX('Prospects'!$E$5:$E$504,MATCH(LARGE('Prospects'!$BT$5:$BT$504,4),'Prospects'!$BT$5:$BT$504,0)),"")</f>
        <v/>
      </c>
      <c r="G36" s="13">
        <f>IFERROR(INDEX('Prospects'!$D$5:$D$504,MATCH(LARGE('Prospects'!$BT$5:$BT$504,4),'Prospects'!$BT$5:$BT$504,0)),"")</f>
        <v/>
      </c>
      <c r="H36" s="13">
        <f>IFERROR(INDEX('Prospects'!$I$5:$I$504,MATCH(LARGE('Prospects'!$BT$5:$BT$504,4),'Prospects'!$BT$5:$BT$504,0)),"")</f>
        <v/>
      </c>
      <c r="I36" s="13">
        <f>IFERROR(INDEX('Prospects'!$O$5:$O$504,MATCH(LARGE('Prospects'!$BT$5:$BT$504,4),'Prospects'!$BT$5:$BT$504,0)),"")</f>
        <v/>
      </c>
      <c r="J36" s="13">
        <f>IFERROR(INDEX('Prospects'!$Z$5:$Z$504,MATCH(LARGE('Prospects'!$BT$5:$BT$504,4),'Prospects'!$BT$5:$BT$504,0)),"")</f>
        <v/>
      </c>
      <c r="K36" s="13">
        <f>IFERROR(INDEX('Prospects'!$S$5:$S$504,MATCH(LARGE('Prospects'!$BT$5:$BT$504,4),'Prospects'!$BT$5:$BT$504,0)),"")</f>
        <v/>
      </c>
    </row>
    <row r="37">
      <c r="B37" s="19">
        <f>IFERROR(INDEX('Prospects'!$C$5:$C$504,MATCH(LARGE('Prospects'!$BT$5:$BT$504,5),'Prospects'!$BT$5:$BT$504,0)),"")</f>
        <v/>
      </c>
      <c r="C37" s="20">
        <f>IFERROR(INDEX('Prospects'!$J$5:$J$504,MATCH(LARGE('Prospects'!$BT$5:$BT$504,5),'Prospects'!$BT$5:$BT$504,0)),"")</f>
        <v/>
      </c>
      <c r="D37" s="20">
        <f>IFERROR(INDEX('Prospects'!$K$5:$K$504,MATCH(LARGE('Prospects'!$BT$5:$BT$504,5),'Prospects'!$BT$5:$BT$504,0)),"")</f>
        <v/>
      </c>
      <c r="E37" s="20">
        <f>IFERROR(INDEX('Prospects'!$BC$5:$BC$504,MATCH(LARGE('Prospects'!$BT$5:$BT$504,5),'Prospects'!$BT$5:$BT$504,0)),"")</f>
        <v/>
      </c>
      <c r="F37" s="20">
        <f>IFERROR(INDEX('Prospects'!$E$5:$E$504,MATCH(LARGE('Prospects'!$BT$5:$BT$504,5),'Prospects'!$BT$5:$BT$504,0)),"")</f>
        <v/>
      </c>
      <c r="G37" s="20">
        <f>IFERROR(INDEX('Prospects'!$D$5:$D$504,MATCH(LARGE('Prospects'!$BT$5:$BT$504,5),'Prospects'!$BT$5:$BT$504,0)),"")</f>
        <v/>
      </c>
      <c r="H37" s="20">
        <f>IFERROR(INDEX('Prospects'!$I$5:$I$504,MATCH(LARGE('Prospects'!$BT$5:$BT$504,5),'Prospects'!$BT$5:$BT$504,0)),"")</f>
        <v/>
      </c>
      <c r="I37" s="20">
        <f>IFERROR(INDEX('Prospects'!$O$5:$O$504,MATCH(LARGE('Prospects'!$BT$5:$BT$504,5),'Prospects'!$BT$5:$BT$504,0)),"")</f>
        <v/>
      </c>
      <c r="J37" s="20">
        <f>IFERROR(INDEX('Prospects'!$Z$5:$Z$504,MATCH(LARGE('Prospects'!$BT$5:$BT$504,5),'Prospects'!$BT$5:$BT$504,0)),"")</f>
        <v/>
      </c>
      <c r="K37" s="20">
        <f>IFERROR(INDEX('Prospects'!$S$5:$S$504,MATCH(LARGE('Prospects'!$BT$5:$BT$504,5),'Prospects'!$BT$5:$BT$504,0)),"")</f>
        <v/>
      </c>
    </row>
    <row r="38">
      <c r="B38" s="12">
        <f>IFERROR(INDEX('Prospects'!$C$5:$C$504,MATCH(LARGE('Prospects'!$BT$5:$BT$504,6),'Prospects'!$BT$5:$BT$504,0)),"")</f>
        <v/>
      </c>
      <c r="C38" s="13">
        <f>IFERROR(INDEX('Prospects'!$J$5:$J$504,MATCH(LARGE('Prospects'!$BT$5:$BT$504,6),'Prospects'!$BT$5:$BT$504,0)),"")</f>
        <v/>
      </c>
      <c r="D38" s="13">
        <f>IFERROR(INDEX('Prospects'!$K$5:$K$504,MATCH(LARGE('Prospects'!$BT$5:$BT$504,6),'Prospects'!$BT$5:$BT$504,0)),"")</f>
        <v/>
      </c>
      <c r="E38" s="13">
        <f>IFERROR(INDEX('Prospects'!$BC$5:$BC$504,MATCH(LARGE('Prospects'!$BT$5:$BT$504,6),'Prospects'!$BT$5:$BT$504,0)),"")</f>
        <v/>
      </c>
      <c r="F38" s="13">
        <f>IFERROR(INDEX('Prospects'!$E$5:$E$504,MATCH(LARGE('Prospects'!$BT$5:$BT$504,6),'Prospects'!$BT$5:$BT$504,0)),"")</f>
        <v/>
      </c>
      <c r="G38" s="13">
        <f>IFERROR(INDEX('Prospects'!$D$5:$D$504,MATCH(LARGE('Prospects'!$BT$5:$BT$504,6),'Prospects'!$BT$5:$BT$504,0)),"")</f>
        <v/>
      </c>
      <c r="H38" s="13">
        <f>IFERROR(INDEX('Prospects'!$I$5:$I$504,MATCH(LARGE('Prospects'!$BT$5:$BT$504,6),'Prospects'!$BT$5:$BT$504,0)),"")</f>
        <v/>
      </c>
      <c r="I38" s="13">
        <f>IFERROR(INDEX('Prospects'!$O$5:$O$504,MATCH(LARGE('Prospects'!$BT$5:$BT$504,6),'Prospects'!$BT$5:$BT$504,0)),"")</f>
        <v/>
      </c>
      <c r="J38" s="13">
        <f>IFERROR(INDEX('Prospects'!$Z$5:$Z$504,MATCH(LARGE('Prospects'!$BT$5:$BT$504,6),'Prospects'!$BT$5:$BT$504,0)),"")</f>
        <v/>
      </c>
      <c r="K38" s="13">
        <f>IFERROR(INDEX('Prospects'!$S$5:$S$504,MATCH(LARGE('Prospects'!$BT$5:$BT$504,6),'Prospects'!$BT$5:$BT$504,0)),"")</f>
        <v/>
      </c>
    </row>
    <row r="39">
      <c r="B39" s="19">
        <f>IFERROR(INDEX('Prospects'!$C$5:$C$504,MATCH(LARGE('Prospects'!$BT$5:$BT$504,7),'Prospects'!$BT$5:$BT$504,0)),"")</f>
        <v/>
      </c>
      <c r="C39" s="20">
        <f>IFERROR(INDEX('Prospects'!$J$5:$J$504,MATCH(LARGE('Prospects'!$BT$5:$BT$504,7),'Prospects'!$BT$5:$BT$504,0)),"")</f>
        <v/>
      </c>
      <c r="D39" s="20">
        <f>IFERROR(INDEX('Prospects'!$K$5:$K$504,MATCH(LARGE('Prospects'!$BT$5:$BT$504,7),'Prospects'!$BT$5:$BT$504,0)),"")</f>
        <v/>
      </c>
      <c r="E39" s="20">
        <f>IFERROR(INDEX('Prospects'!$BC$5:$BC$504,MATCH(LARGE('Prospects'!$BT$5:$BT$504,7),'Prospects'!$BT$5:$BT$504,0)),"")</f>
        <v/>
      </c>
      <c r="F39" s="20">
        <f>IFERROR(INDEX('Prospects'!$E$5:$E$504,MATCH(LARGE('Prospects'!$BT$5:$BT$504,7),'Prospects'!$BT$5:$BT$504,0)),"")</f>
        <v/>
      </c>
      <c r="G39" s="20">
        <f>IFERROR(INDEX('Prospects'!$D$5:$D$504,MATCH(LARGE('Prospects'!$BT$5:$BT$504,7),'Prospects'!$BT$5:$BT$504,0)),"")</f>
        <v/>
      </c>
      <c r="H39" s="20">
        <f>IFERROR(INDEX('Prospects'!$I$5:$I$504,MATCH(LARGE('Prospects'!$BT$5:$BT$504,7),'Prospects'!$BT$5:$BT$504,0)),"")</f>
        <v/>
      </c>
      <c r="I39" s="20">
        <f>IFERROR(INDEX('Prospects'!$O$5:$O$504,MATCH(LARGE('Prospects'!$BT$5:$BT$504,7),'Prospects'!$BT$5:$BT$504,0)),"")</f>
        <v/>
      </c>
      <c r="J39" s="20">
        <f>IFERROR(INDEX('Prospects'!$Z$5:$Z$504,MATCH(LARGE('Prospects'!$BT$5:$BT$504,7),'Prospects'!$BT$5:$BT$504,0)),"")</f>
        <v/>
      </c>
      <c r="K39" s="20">
        <f>IFERROR(INDEX('Prospects'!$S$5:$S$504,MATCH(LARGE('Prospects'!$BT$5:$BT$504,7),'Prospects'!$BT$5:$BT$504,0)),"")</f>
        <v/>
      </c>
    </row>
    <row r="40">
      <c r="B40" s="12">
        <f>IFERROR(INDEX('Prospects'!$C$5:$C$504,MATCH(LARGE('Prospects'!$BT$5:$BT$504,8),'Prospects'!$BT$5:$BT$504,0)),"")</f>
        <v/>
      </c>
      <c r="C40" s="13">
        <f>IFERROR(INDEX('Prospects'!$J$5:$J$504,MATCH(LARGE('Prospects'!$BT$5:$BT$504,8),'Prospects'!$BT$5:$BT$504,0)),"")</f>
        <v/>
      </c>
      <c r="D40" s="13">
        <f>IFERROR(INDEX('Prospects'!$K$5:$K$504,MATCH(LARGE('Prospects'!$BT$5:$BT$504,8),'Prospects'!$BT$5:$BT$504,0)),"")</f>
        <v/>
      </c>
      <c r="E40" s="13">
        <f>IFERROR(INDEX('Prospects'!$BC$5:$BC$504,MATCH(LARGE('Prospects'!$BT$5:$BT$504,8),'Prospects'!$BT$5:$BT$504,0)),"")</f>
        <v/>
      </c>
      <c r="F40" s="13">
        <f>IFERROR(INDEX('Prospects'!$E$5:$E$504,MATCH(LARGE('Prospects'!$BT$5:$BT$504,8),'Prospects'!$BT$5:$BT$504,0)),"")</f>
        <v/>
      </c>
      <c r="G40" s="13">
        <f>IFERROR(INDEX('Prospects'!$D$5:$D$504,MATCH(LARGE('Prospects'!$BT$5:$BT$504,8),'Prospects'!$BT$5:$BT$504,0)),"")</f>
        <v/>
      </c>
      <c r="H40" s="13">
        <f>IFERROR(INDEX('Prospects'!$I$5:$I$504,MATCH(LARGE('Prospects'!$BT$5:$BT$504,8),'Prospects'!$BT$5:$BT$504,0)),"")</f>
        <v/>
      </c>
      <c r="I40" s="13">
        <f>IFERROR(INDEX('Prospects'!$O$5:$O$504,MATCH(LARGE('Prospects'!$BT$5:$BT$504,8),'Prospects'!$BT$5:$BT$504,0)),"")</f>
        <v/>
      </c>
      <c r="J40" s="13">
        <f>IFERROR(INDEX('Prospects'!$Z$5:$Z$504,MATCH(LARGE('Prospects'!$BT$5:$BT$504,8),'Prospects'!$BT$5:$BT$504,0)),"")</f>
        <v/>
      </c>
      <c r="K40" s="13">
        <f>IFERROR(INDEX('Prospects'!$S$5:$S$504,MATCH(LARGE('Prospects'!$BT$5:$BT$504,8),'Prospects'!$BT$5:$BT$504,0)),"")</f>
        <v/>
      </c>
    </row>
    <row r="41">
      <c r="B41" s="19">
        <f>IFERROR(INDEX('Prospects'!$C$5:$C$504,MATCH(LARGE('Prospects'!$BT$5:$BT$504,9),'Prospects'!$BT$5:$BT$504,0)),"")</f>
        <v/>
      </c>
      <c r="C41" s="20">
        <f>IFERROR(INDEX('Prospects'!$J$5:$J$504,MATCH(LARGE('Prospects'!$BT$5:$BT$504,9),'Prospects'!$BT$5:$BT$504,0)),"")</f>
        <v/>
      </c>
      <c r="D41" s="20">
        <f>IFERROR(INDEX('Prospects'!$K$5:$K$504,MATCH(LARGE('Prospects'!$BT$5:$BT$504,9),'Prospects'!$BT$5:$BT$504,0)),"")</f>
        <v/>
      </c>
      <c r="E41" s="20">
        <f>IFERROR(INDEX('Prospects'!$BC$5:$BC$504,MATCH(LARGE('Prospects'!$BT$5:$BT$504,9),'Prospects'!$BT$5:$BT$504,0)),"")</f>
        <v/>
      </c>
      <c r="F41" s="20">
        <f>IFERROR(INDEX('Prospects'!$E$5:$E$504,MATCH(LARGE('Prospects'!$BT$5:$BT$504,9),'Prospects'!$BT$5:$BT$504,0)),"")</f>
        <v/>
      </c>
      <c r="G41" s="20">
        <f>IFERROR(INDEX('Prospects'!$D$5:$D$504,MATCH(LARGE('Prospects'!$BT$5:$BT$504,9),'Prospects'!$BT$5:$BT$504,0)),"")</f>
        <v/>
      </c>
      <c r="H41" s="20">
        <f>IFERROR(INDEX('Prospects'!$I$5:$I$504,MATCH(LARGE('Prospects'!$BT$5:$BT$504,9),'Prospects'!$BT$5:$BT$504,0)),"")</f>
        <v/>
      </c>
      <c r="I41" s="20">
        <f>IFERROR(INDEX('Prospects'!$O$5:$O$504,MATCH(LARGE('Prospects'!$BT$5:$BT$504,9),'Prospects'!$BT$5:$BT$504,0)),"")</f>
        <v/>
      </c>
      <c r="J41" s="20">
        <f>IFERROR(INDEX('Prospects'!$Z$5:$Z$504,MATCH(LARGE('Prospects'!$BT$5:$BT$504,9),'Prospects'!$BT$5:$BT$504,0)),"")</f>
        <v/>
      </c>
      <c r="K41" s="20">
        <f>IFERROR(INDEX('Prospects'!$S$5:$S$504,MATCH(LARGE('Prospects'!$BT$5:$BT$504,9),'Prospects'!$BT$5:$BT$504,0)),"")</f>
        <v/>
      </c>
    </row>
    <row r="42">
      <c r="B42" s="12">
        <f>IFERROR(INDEX('Prospects'!$C$5:$C$504,MATCH(LARGE('Prospects'!$BT$5:$BT$504,10),'Prospects'!$BT$5:$BT$504,0)),"")</f>
        <v/>
      </c>
      <c r="C42" s="13">
        <f>IFERROR(INDEX('Prospects'!$J$5:$J$504,MATCH(LARGE('Prospects'!$BT$5:$BT$504,10),'Prospects'!$BT$5:$BT$504,0)),"")</f>
        <v/>
      </c>
      <c r="D42" s="13">
        <f>IFERROR(INDEX('Prospects'!$K$5:$K$504,MATCH(LARGE('Prospects'!$BT$5:$BT$504,10),'Prospects'!$BT$5:$BT$504,0)),"")</f>
        <v/>
      </c>
      <c r="E42" s="13">
        <f>IFERROR(INDEX('Prospects'!$BC$5:$BC$504,MATCH(LARGE('Prospects'!$BT$5:$BT$504,10),'Prospects'!$BT$5:$BT$504,0)),"")</f>
        <v/>
      </c>
      <c r="F42" s="13">
        <f>IFERROR(INDEX('Prospects'!$E$5:$E$504,MATCH(LARGE('Prospects'!$BT$5:$BT$504,10),'Prospects'!$BT$5:$BT$504,0)),"")</f>
        <v/>
      </c>
      <c r="G42" s="13">
        <f>IFERROR(INDEX('Prospects'!$D$5:$D$504,MATCH(LARGE('Prospects'!$BT$5:$BT$504,10),'Prospects'!$BT$5:$BT$504,0)),"")</f>
        <v/>
      </c>
      <c r="H42" s="13">
        <f>IFERROR(INDEX('Prospects'!$I$5:$I$504,MATCH(LARGE('Prospects'!$BT$5:$BT$504,10),'Prospects'!$BT$5:$BT$504,0)),"")</f>
        <v/>
      </c>
      <c r="I42" s="13">
        <f>IFERROR(INDEX('Prospects'!$O$5:$O$504,MATCH(LARGE('Prospects'!$BT$5:$BT$504,10),'Prospects'!$BT$5:$BT$504,0)),"")</f>
        <v/>
      </c>
      <c r="J42" s="13">
        <f>IFERROR(INDEX('Prospects'!$Z$5:$Z$504,MATCH(LARGE('Prospects'!$BT$5:$BT$504,10),'Prospects'!$BT$5:$BT$504,0)),"")</f>
        <v/>
      </c>
      <c r="K42" s="13">
        <f>IFERROR(INDEX('Prospects'!$S$5:$S$504,MATCH(LARGE('Prospects'!$BT$5:$BT$504,10),'Prospects'!$BT$5:$BT$504,0)),"")</f>
        <v/>
      </c>
    </row>
    <row r="44" ht="22" customHeight="1">
      <c r="B44" s="30" t="inlineStr">
        <is>
          <t>🟠 ALERTES PROSPECTS</t>
        </is>
      </c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</row>
    <row r="45">
      <c r="B45" s="32" t="inlineStr">
        <is>
          <t>Entreprise</t>
        </is>
      </c>
      <c r="C45" s="32" t="inlineStr">
        <is>
          <t>Alerte</t>
        </is>
      </c>
      <c r="D45" s="11" t="n"/>
      <c r="E45" s="32" t="inlineStr">
        <is>
          <t>Étape</t>
        </is>
      </c>
      <c r="F45" s="32" t="inlineStr">
        <is>
          <t>Jours sans action</t>
        </is>
      </c>
      <c r="G45" s="32" t="inlineStr">
        <is>
          <t>Contact</t>
        </is>
      </c>
      <c r="H45" s="32" t="inlineStr">
        <is>
          <t>Téléphone</t>
        </is>
      </c>
      <c r="I45" s="32" t="inlineStr">
        <is>
          <t>Offre</t>
        </is>
      </c>
      <c r="J45" s="32" t="inlineStr">
        <is>
          <t>Montant proposé</t>
        </is>
      </c>
      <c r="K45" s="32" t="inlineStr"/>
    </row>
    <row r="46">
      <c r="B46" s="19">
        <f>IFERROR(INDEX('Prospects'!$C$5:$C$504,MATCH(1,'Prospects'!$BV$5:$BV$504,0))&amp;"","")</f>
        <v/>
      </c>
      <c r="C46" s="33">
        <f>IFERROR(INDEX('Prospects'!$F$5:$F$504,MATCH(1,'Prospects'!$BV$5:$BV$504,0))&amp;"","")</f>
        <v/>
      </c>
      <c r="D46" s="20" t="n"/>
      <c r="E46" s="20">
        <f>IFERROR(INDEX('Prospects'!$D$5:$D$504,MATCH(1,'Prospects'!$BV$5:$BV$504,0))&amp;"","")</f>
        <v/>
      </c>
      <c r="F46" s="20">
        <f>IFERROR(INDEX('Prospects'!$R$5:$R$504,MATCH(1,'Prospects'!$BV$5:$BV$504,0)),"")</f>
        <v/>
      </c>
      <c r="G46" s="20">
        <f>IFERROR(INDEX('Prospects'!$J$5:$J$504,MATCH(1,'Prospects'!$BV$5:$BV$504,0))&amp;"","")</f>
        <v/>
      </c>
      <c r="H46" s="20">
        <f>IFERROR(INDEX('Prospects'!$K$5:$K$504,MATCH(1,'Prospects'!$BV$5:$BV$504,0))&amp;"","")</f>
        <v/>
      </c>
      <c r="I46" s="20">
        <f>IFERROR(INDEX('Prospects'!$AN$5:$AN$504,MATCH(1,'Prospects'!$BV$5:$BV$504,0))&amp;"","")</f>
        <v/>
      </c>
      <c r="J46" s="34">
        <f>IFERROR(INDEX('Prospects'!$AP$5:$AP$504,MATCH(1,'Prospects'!$BV$5:$BV$504,0)),"")</f>
        <v/>
      </c>
    </row>
    <row r="47">
      <c r="B47" s="12">
        <f>IFERROR(INDEX('Prospects'!$C$5:$C$504,MATCH(2,'Prospects'!$BV$5:$BV$504,0))&amp;"","")</f>
        <v/>
      </c>
      <c r="C47" s="35">
        <f>IFERROR(INDEX('Prospects'!$F$5:$F$504,MATCH(2,'Prospects'!$BV$5:$BV$504,0))&amp;"","")</f>
        <v/>
      </c>
      <c r="D47" s="13" t="n"/>
      <c r="E47" s="13">
        <f>IFERROR(INDEX('Prospects'!$D$5:$D$504,MATCH(2,'Prospects'!$BV$5:$BV$504,0))&amp;"","")</f>
        <v/>
      </c>
      <c r="F47" s="13">
        <f>IFERROR(INDEX('Prospects'!$R$5:$R$504,MATCH(2,'Prospects'!$BV$5:$BV$504,0)),"")</f>
        <v/>
      </c>
      <c r="G47" s="13">
        <f>IFERROR(INDEX('Prospects'!$J$5:$J$504,MATCH(2,'Prospects'!$BV$5:$BV$504,0))&amp;"","")</f>
        <v/>
      </c>
      <c r="H47" s="13">
        <f>IFERROR(INDEX('Prospects'!$K$5:$K$504,MATCH(2,'Prospects'!$BV$5:$BV$504,0))&amp;"","")</f>
        <v/>
      </c>
      <c r="I47" s="13">
        <f>IFERROR(INDEX('Prospects'!$AN$5:$AN$504,MATCH(2,'Prospects'!$BV$5:$BV$504,0))&amp;"","")</f>
        <v/>
      </c>
      <c r="J47" s="36">
        <f>IFERROR(INDEX('Prospects'!$AP$5:$AP$504,MATCH(2,'Prospects'!$BV$5:$BV$504,0)),"")</f>
        <v/>
      </c>
    </row>
    <row r="48">
      <c r="B48" s="19">
        <f>IFERROR(INDEX('Prospects'!$C$5:$C$504,MATCH(3,'Prospects'!$BV$5:$BV$504,0))&amp;"","")</f>
        <v/>
      </c>
      <c r="C48" s="33">
        <f>IFERROR(INDEX('Prospects'!$F$5:$F$504,MATCH(3,'Prospects'!$BV$5:$BV$504,0))&amp;"","")</f>
        <v/>
      </c>
      <c r="D48" s="20" t="n"/>
      <c r="E48" s="20">
        <f>IFERROR(INDEX('Prospects'!$D$5:$D$504,MATCH(3,'Prospects'!$BV$5:$BV$504,0))&amp;"","")</f>
        <v/>
      </c>
      <c r="F48" s="20">
        <f>IFERROR(INDEX('Prospects'!$R$5:$R$504,MATCH(3,'Prospects'!$BV$5:$BV$504,0)),"")</f>
        <v/>
      </c>
      <c r="G48" s="20">
        <f>IFERROR(INDEX('Prospects'!$J$5:$J$504,MATCH(3,'Prospects'!$BV$5:$BV$504,0))&amp;"","")</f>
        <v/>
      </c>
      <c r="H48" s="20">
        <f>IFERROR(INDEX('Prospects'!$K$5:$K$504,MATCH(3,'Prospects'!$BV$5:$BV$504,0))&amp;"","")</f>
        <v/>
      </c>
      <c r="I48" s="20">
        <f>IFERROR(INDEX('Prospects'!$AN$5:$AN$504,MATCH(3,'Prospects'!$BV$5:$BV$504,0))&amp;"","")</f>
        <v/>
      </c>
      <c r="J48" s="34">
        <f>IFERROR(INDEX('Prospects'!$AP$5:$AP$504,MATCH(3,'Prospects'!$BV$5:$BV$504,0)),"")</f>
        <v/>
      </c>
    </row>
    <row r="49">
      <c r="B49" s="12">
        <f>IFERROR(INDEX('Prospects'!$C$5:$C$504,MATCH(4,'Prospects'!$BV$5:$BV$504,0))&amp;"","")</f>
        <v/>
      </c>
      <c r="C49" s="35">
        <f>IFERROR(INDEX('Prospects'!$F$5:$F$504,MATCH(4,'Prospects'!$BV$5:$BV$504,0))&amp;"","")</f>
        <v/>
      </c>
      <c r="D49" s="13" t="n"/>
      <c r="E49" s="13">
        <f>IFERROR(INDEX('Prospects'!$D$5:$D$504,MATCH(4,'Prospects'!$BV$5:$BV$504,0))&amp;"","")</f>
        <v/>
      </c>
      <c r="F49" s="13">
        <f>IFERROR(INDEX('Prospects'!$R$5:$R$504,MATCH(4,'Prospects'!$BV$5:$BV$504,0)),"")</f>
        <v/>
      </c>
      <c r="G49" s="13">
        <f>IFERROR(INDEX('Prospects'!$J$5:$J$504,MATCH(4,'Prospects'!$BV$5:$BV$504,0))&amp;"","")</f>
        <v/>
      </c>
      <c r="H49" s="13">
        <f>IFERROR(INDEX('Prospects'!$K$5:$K$504,MATCH(4,'Prospects'!$BV$5:$BV$504,0))&amp;"","")</f>
        <v/>
      </c>
      <c r="I49" s="13">
        <f>IFERROR(INDEX('Prospects'!$AN$5:$AN$504,MATCH(4,'Prospects'!$BV$5:$BV$504,0))&amp;"","")</f>
        <v/>
      </c>
      <c r="J49" s="36">
        <f>IFERROR(INDEX('Prospects'!$AP$5:$AP$504,MATCH(4,'Prospects'!$BV$5:$BV$504,0)),"")</f>
        <v/>
      </c>
    </row>
    <row r="50">
      <c r="B50" s="19">
        <f>IFERROR(INDEX('Prospects'!$C$5:$C$504,MATCH(5,'Prospects'!$BV$5:$BV$504,0))&amp;"","")</f>
        <v/>
      </c>
      <c r="C50" s="33">
        <f>IFERROR(INDEX('Prospects'!$F$5:$F$504,MATCH(5,'Prospects'!$BV$5:$BV$504,0))&amp;"","")</f>
        <v/>
      </c>
      <c r="D50" s="20" t="n"/>
      <c r="E50" s="20">
        <f>IFERROR(INDEX('Prospects'!$D$5:$D$504,MATCH(5,'Prospects'!$BV$5:$BV$504,0))&amp;"","")</f>
        <v/>
      </c>
      <c r="F50" s="20">
        <f>IFERROR(INDEX('Prospects'!$R$5:$R$504,MATCH(5,'Prospects'!$BV$5:$BV$504,0)),"")</f>
        <v/>
      </c>
      <c r="G50" s="20">
        <f>IFERROR(INDEX('Prospects'!$J$5:$J$504,MATCH(5,'Prospects'!$BV$5:$BV$504,0))&amp;"","")</f>
        <v/>
      </c>
      <c r="H50" s="20">
        <f>IFERROR(INDEX('Prospects'!$K$5:$K$504,MATCH(5,'Prospects'!$BV$5:$BV$504,0))&amp;"","")</f>
        <v/>
      </c>
      <c r="I50" s="20">
        <f>IFERROR(INDEX('Prospects'!$AN$5:$AN$504,MATCH(5,'Prospects'!$BV$5:$BV$504,0))&amp;"","")</f>
        <v/>
      </c>
      <c r="J50" s="34">
        <f>IFERROR(INDEX('Prospects'!$AP$5:$AP$504,MATCH(5,'Prospects'!$BV$5:$BV$504,0)),"")</f>
        <v/>
      </c>
    </row>
    <row r="51">
      <c r="B51" s="12">
        <f>IFERROR(INDEX('Prospects'!$C$5:$C$504,MATCH(6,'Prospects'!$BV$5:$BV$504,0))&amp;"","")</f>
        <v/>
      </c>
      <c r="C51" s="35">
        <f>IFERROR(INDEX('Prospects'!$F$5:$F$504,MATCH(6,'Prospects'!$BV$5:$BV$504,0))&amp;"","")</f>
        <v/>
      </c>
      <c r="D51" s="13" t="n"/>
      <c r="E51" s="13">
        <f>IFERROR(INDEX('Prospects'!$D$5:$D$504,MATCH(6,'Prospects'!$BV$5:$BV$504,0))&amp;"","")</f>
        <v/>
      </c>
      <c r="F51" s="13">
        <f>IFERROR(INDEX('Prospects'!$R$5:$R$504,MATCH(6,'Prospects'!$BV$5:$BV$504,0)),"")</f>
        <v/>
      </c>
      <c r="G51" s="13">
        <f>IFERROR(INDEX('Prospects'!$J$5:$J$504,MATCH(6,'Prospects'!$BV$5:$BV$504,0))&amp;"","")</f>
        <v/>
      </c>
      <c r="H51" s="13">
        <f>IFERROR(INDEX('Prospects'!$K$5:$K$504,MATCH(6,'Prospects'!$BV$5:$BV$504,0))&amp;"","")</f>
        <v/>
      </c>
      <c r="I51" s="13">
        <f>IFERROR(INDEX('Prospects'!$AN$5:$AN$504,MATCH(6,'Prospects'!$BV$5:$BV$504,0))&amp;"","")</f>
        <v/>
      </c>
      <c r="J51" s="36">
        <f>IFERROR(INDEX('Prospects'!$AP$5:$AP$504,MATCH(6,'Prospects'!$BV$5:$BV$504,0)),"")</f>
        <v/>
      </c>
    </row>
    <row r="52">
      <c r="B52" s="19">
        <f>IFERROR(INDEX('Prospects'!$C$5:$C$504,MATCH(7,'Prospects'!$BV$5:$BV$504,0))&amp;"","")</f>
        <v/>
      </c>
      <c r="C52" s="33">
        <f>IFERROR(INDEX('Prospects'!$F$5:$F$504,MATCH(7,'Prospects'!$BV$5:$BV$504,0))&amp;"","")</f>
        <v/>
      </c>
      <c r="D52" s="20" t="n"/>
      <c r="E52" s="20">
        <f>IFERROR(INDEX('Prospects'!$D$5:$D$504,MATCH(7,'Prospects'!$BV$5:$BV$504,0))&amp;"","")</f>
        <v/>
      </c>
      <c r="F52" s="20">
        <f>IFERROR(INDEX('Prospects'!$R$5:$R$504,MATCH(7,'Prospects'!$BV$5:$BV$504,0)),"")</f>
        <v/>
      </c>
      <c r="G52" s="20">
        <f>IFERROR(INDEX('Prospects'!$J$5:$J$504,MATCH(7,'Prospects'!$BV$5:$BV$504,0))&amp;"","")</f>
        <v/>
      </c>
      <c r="H52" s="20">
        <f>IFERROR(INDEX('Prospects'!$K$5:$K$504,MATCH(7,'Prospects'!$BV$5:$BV$504,0))&amp;"","")</f>
        <v/>
      </c>
      <c r="I52" s="20">
        <f>IFERROR(INDEX('Prospects'!$AN$5:$AN$504,MATCH(7,'Prospects'!$BV$5:$BV$504,0))&amp;"","")</f>
        <v/>
      </c>
      <c r="J52" s="34">
        <f>IFERROR(INDEX('Prospects'!$AP$5:$AP$504,MATCH(7,'Prospects'!$BV$5:$BV$504,0)),"")</f>
        <v/>
      </c>
    </row>
    <row r="53">
      <c r="B53" s="12">
        <f>IFERROR(INDEX('Prospects'!$C$5:$C$504,MATCH(8,'Prospects'!$BV$5:$BV$504,0))&amp;"","")</f>
        <v/>
      </c>
      <c r="C53" s="35">
        <f>IFERROR(INDEX('Prospects'!$F$5:$F$504,MATCH(8,'Prospects'!$BV$5:$BV$504,0))&amp;"","")</f>
        <v/>
      </c>
      <c r="D53" s="13" t="n"/>
      <c r="E53" s="13">
        <f>IFERROR(INDEX('Prospects'!$D$5:$D$504,MATCH(8,'Prospects'!$BV$5:$BV$504,0))&amp;"","")</f>
        <v/>
      </c>
      <c r="F53" s="13">
        <f>IFERROR(INDEX('Prospects'!$R$5:$R$504,MATCH(8,'Prospects'!$BV$5:$BV$504,0)),"")</f>
        <v/>
      </c>
      <c r="G53" s="13">
        <f>IFERROR(INDEX('Prospects'!$J$5:$J$504,MATCH(8,'Prospects'!$BV$5:$BV$504,0))&amp;"","")</f>
        <v/>
      </c>
      <c r="H53" s="13">
        <f>IFERROR(INDEX('Prospects'!$K$5:$K$504,MATCH(8,'Prospects'!$BV$5:$BV$504,0))&amp;"","")</f>
        <v/>
      </c>
      <c r="I53" s="13">
        <f>IFERROR(INDEX('Prospects'!$AN$5:$AN$504,MATCH(8,'Prospects'!$BV$5:$BV$504,0))&amp;"","")</f>
        <v/>
      </c>
      <c r="J53" s="36">
        <f>IFERROR(INDEX('Prospects'!$AP$5:$AP$504,MATCH(8,'Prospects'!$BV$5:$BV$504,0)),"")</f>
        <v/>
      </c>
    </row>
    <row r="54">
      <c r="B54" s="19">
        <f>IFERROR(INDEX('Prospects'!$C$5:$C$504,MATCH(9,'Prospects'!$BV$5:$BV$504,0))&amp;"","")</f>
        <v/>
      </c>
      <c r="C54" s="33">
        <f>IFERROR(INDEX('Prospects'!$F$5:$F$504,MATCH(9,'Prospects'!$BV$5:$BV$504,0))&amp;"","")</f>
        <v/>
      </c>
      <c r="D54" s="20" t="n"/>
      <c r="E54" s="20">
        <f>IFERROR(INDEX('Prospects'!$D$5:$D$504,MATCH(9,'Prospects'!$BV$5:$BV$504,0))&amp;"","")</f>
        <v/>
      </c>
      <c r="F54" s="20">
        <f>IFERROR(INDEX('Prospects'!$R$5:$R$504,MATCH(9,'Prospects'!$BV$5:$BV$504,0)),"")</f>
        <v/>
      </c>
      <c r="G54" s="20">
        <f>IFERROR(INDEX('Prospects'!$J$5:$J$504,MATCH(9,'Prospects'!$BV$5:$BV$504,0))&amp;"","")</f>
        <v/>
      </c>
      <c r="H54" s="20">
        <f>IFERROR(INDEX('Prospects'!$K$5:$K$504,MATCH(9,'Prospects'!$BV$5:$BV$504,0))&amp;"","")</f>
        <v/>
      </c>
      <c r="I54" s="20">
        <f>IFERROR(INDEX('Prospects'!$AN$5:$AN$504,MATCH(9,'Prospects'!$BV$5:$BV$504,0))&amp;"","")</f>
        <v/>
      </c>
      <c r="J54" s="34">
        <f>IFERROR(INDEX('Prospects'!$AP$5:$AP$504,MATCH(9,'Prospects'!$BV$5:$BV$504,0)),"")</f>
        <v/>
      </c>
    </row>
    <row r="55">
      <c r="B55" s="12">
        <f>IFERROR(INDEX('Prospects'!$C$5:$C$504,MATCH(10,'Prospects'!$BV$5:$BV$504,0))&amp;"","")</f>
        <v/>
      </c>
      <c r="C55" s="35">
        <f>IFERROR(INDEX('Prospects'!$F$5:$F$504,MATCH(10,'Prospects'!$BV$5:$BV$504,0))&amp;"","")</f>
        <v/>
      </c>
      <c r="D55" s="13" t="n"/>
      <c r="E55" s="13">
        <f>IFERROR(INDEX('Prospects'!$D$5:$D$504,MATCH(10,'Prospects'!$BV$5:$BV$504,0))&amp;"","")</f>
        <v/>
      </c>
      <c r="F55" s="13">
        <f>IFERROR(INDEX('Prospects'!$R$5:$R$504,MATCH(10,'Prospects'!$BV$5:$BV$504,0)),"")</f>
        <v/>
      </c>
      <c r="G55" s="13">
        <f>IFERROR(INDEX('Prospects'!$J$5:$J$504,MATCH(10,'Prospects'!$BV$5:$BV$504,0))&amp;"","")</f>
        <v/>
      </c>
      <c r="H55" s="13">
        <f>IFERROR(INDEX('Prospects'!$K$5:$K$504,MATCH(10,'Prospects'!$BV$5:$BV$504,0))&amp;"","")</f>
        <v/>
      </c>
      <c r="I55" s="13">
        <f>IFERROR(INDEX('Prospects'!$AN$5:$AN$504,MATCH(10,'Prospects'!$BV$5:$BV$504,0))&amp;"","")</f>
        <v/>
      </c>
      <c r="J55" s="36">
        <f>IFERROR(INDEX('Prospects'!$AP$5:$AP$504,MATCH(10,'Prospects'!$BV$5:$BV$504,0)),"")</f>
        <v/>
      </c>
    </row>
    <row r="57" ht="22" customHeight="1">
      <c r="B57" s="37" t="inlineStr">
        <is>
          <t>🤝 CLIENTS À SURVEILLER</t>
        </is>
      </c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</row>
    <row r="58">
      <c r="B58" s="39" t="inlineStr">
        <is>
          <t>Client</t>
        </is>
      </c>
      <c r="C58" s="39" t="inlineStr">
        <is>
          <t>Alerte</t>
        </is>
      </c>
      <c r="D58" s="11" t="n"/>
      <c r="E58" s="39" t="inlineStr">
        <is>
          <t>Contact</t>
        </is>
      </c>
      <c r="F58" s="39" t="inlineStr">
        <is>
          <t>Téléphone</t>
        </is>
      </c>
      <c r="G58" s="39" t="inlineStr">
        <is>
          <t>Reste à encaisser</t>
        </is>
      </c>
      <c r="H58" s="39" t="inlineStr">
        <is>
          <t>Offre</t>
        </is>
      </c>
      <c r="I58" s="39" t="inlineStr">
        <is>
          <t>Renouvellement</t>
        </is>
      </c>
      <c r="J58" s="39" t="inlineStr">
        <is>
          <t>Onboarding</t>
        </is>
      </c>
      <c r="K58" s="39" t="inlineStr"/>
    </row>
    <row r="59">
      <c r="B59" s="19">
        <f>IFERROR(INDEX('Clients'!$B$5:$B$154,MATCH(1,'Clients'!$AD$5:$AD$154,0))&amp;"","")</f>
        <v/>
      </c>
      <c r="C59" s="20">
        <f>IFERROR(INDEX('Clients'!$D$5:$D$154,MATCH(1,'Clients'!$AD$5:$AD$154,0))&amp;"","")</f>
        <v/>
      </c>
      <c r="D59" s="20" t="n"/>
      <c r="E59" s="20">
        <f>IFERROR(INDEX('Clients'!$E$5:$E$154,MATCH(1,'Clients'!$AD$5:$AD$154,0))&amp;"","")</f>
        <v/>
      </c>
      <c r="F59" s="20">
        <f>IFERROR(INDEX('Clients'!$F$5:$F$154,MATCH(1,'Clients'!$AD$5:$AD$154,0))&amp;"","")</f>
        <v/>
      </c>
      <c r="G59" s="34">
        <f>IFERROR(INDEX('Clients'!$Q$5:$Q$154,MATCH(1,'Clients'!$AD$5:$AD$154,0)),"")</f>
        <v/>
      </c>
      <c r="H59" s="20">
        <f>IFERROR(INDEX('Clients'!$K$5:$K$154,MATCH(1,'Clients'!$AD$5:$AD$154,0))&amp;"","")</f>
        <v/>
      </c>
      <c r="I59" s="22">
        <f>IFERROR(INDEX('Clients'!$U$5:$U$154,MATCH(1,'Clients'!$AD$5:$AD$154,0)),"")</f>
        <v/>
      </c>
      <c r="J59" s="40">
        <f>IFERROR(INDEX('Clients'!$Z$5:$Z$154,MATCH(1,'Clients'!$AD$5:$AD$154,0)),"")</f>
        <v/>
      </c>
    </row>
    <row r="60">
      <c r="B60" s="12">
        <f>IFERROR(INDEX('Clients'!$B$5:$B$154,MATCH(2,'Clients'!$AD$5:$AD$154,0))&amp;"","")</f>
        <v/>
      </c>
      <c r="C60" s="13">
        <f>IFERROR(INDEX('Clients'!$D$5:$D$154,MATCH(2,'Clients'!$AD$5:$AD$154,0))&amp;"","")</f>
        <v/>
      </c>
      <c r="D60" s="13" t="n"/>
      <c r="E60" s="13">
        <f>IFERROR(INDEX('Clients'!$E$5:$E$154,MATCH(2,'Clients'!$AD$5:$AD$154,0))&amp;"","")</f>
        <v/>
      </c>
      <c r="F60" s="13">
        <f>IFERROR(INDEX('Clients'!$F$5:$F$154,MATCH(2,'Clients'!$AD$5:$AD$154,0))&amp;"","")</f>
        <v/>
      </c>
      <c r="G60" s="36">
        <f>IFERROR(INDEX('Clients'!$Q$5:$Q$154,MATCH(2,'Clients'!$AD$5:$AD$154,0)),"")</f>
        <v/>
      </c>
      <c r="H60" s="13">
        <f>IFERROR(INDEX('Clients'!$K$5:$K$154,MATCH(2,'Clients'!$AD$5:$AD$154,0))&amp;"","")</f>
        <v/>
      </c>
      <c r="I60" s="26">
        <f>IFERROR(INDEX('Clients'!$U$5:$U$154,MATCH(2,'Clients'!$AD$5:$AD$154,0)),"")</f>
        <v/>
      </c>
      <c r="J60" s="14">
        <f>IFERROR(INDEX('Clients'!$Z$5:$Z$154,MATCH(2,'Clients'!$AD$5:$AD$154,0)),"")</f>
        <v/>
      </c>
    </row>
    <row r="61">
      <c r="B61" s="19">
        <f>IFERROR(INDEX('Clients'!$B$5:$B$154,MATCH(3,'Clients'!$AD$5:$AD$154,0))&amp;"","")</f>
        <v/>
      </c>
      <c r="C61" s="20">
        <f>IFERROR(INDEX('Clients'!$D$5:$D$154,MATCH(3,'Clients'!$AD$5:$AD$154,0))&amp;"","")</f>
        <v/>
      </c>
      <c r="D61" s="20" t="n"/>
      <c r="E61" s="20">
        <f>IFERROR(INDEX('Clients'!$E$5:$E$154,MATCH(3,'Clients'!$AD$5:$AD$154,0))&amp;"","")</f>
        <v/>
      </c>
      <c r="F61" s="20">
        <f>IFERROR(INDEX('Clients'!$F$5:$F$154,MATCH(3,'Clients'!$AD$5:$AD$154,0))&amp;"","")</f>
        <v/>
      </c>
      <c r="G61" s="34">
        <f>IFERROR(INDEX('Clients'!$Q$5:$Q$154,MATCH(3,'Clients'!$AD$5:$AD$154,0)),"")</f>
        <v/>
      </c>
      <c r="H61" s="20">
        <f>IFERROR(INDEX('Clients'!$K$5:$K$154,MATCH(3,'Clients'!$AD$5:$AD$154,0))&amp;"","")</f>
        <v/>
      </c>
      <c r="I61" s="22">
        <f>IFERROR(INDEX('Clients'!$U$5:$U$154,MATCH(3,'Clients'!$AD$5:$AD$154,0)),"")</f>
        <v/>
      </c>
      <c r="J61" s="40">
        <f>IFERROR(INDEX('Clients'!$Z$5:$Z$154,MATCH(3,'Clients'!$AD$5:$AD$154,0)),"")</f>
        <v/>
      </c>
    </row>
    <row r="62">
      <c r="B62" s="12">
        <f>IFERROR(INDEX('Clients'!$B$5:$B$154,MATCH(4,'Clients'!$AD$5:$AD$154,0))&amp;"","")</f>
        <v/>
      </c>
      <c r="C62" s="13">
        <f>IFERROR(INDEX('Clients'!$D$5:$D$154,MATCH(4,'Clients'!$AD$5:$AD$154,0))&amp;"","")</f>
        <v/>
      </c>
      <c r="D62" s="13" t="n"/>
      <c r="E62" s="13">
        <f>IFERROR(INDEX('Clients'!$E$5:$E$154,MATCH(4,'Clients'!$AD$5:$AD$154,0))&amp;"","")</f>
        <v/>
      </c>
      <c r="F62" s="13">
        <f>IFERROR(INDEX('Clients'!$F$5:$F$154,MATCH(4,'Clients'!$AD$5:$AD$154,0))&amp;"","")</f>
        <v/>
      </c>
      <c r="G62" s="36">
        <f>IFERROR(INDEX('Clients'!$Q$5:$Q$154,MATCH(4,'Clients'!$AD$5:$AD$154,0)),"")</f>
        <v/>
      </c>
      <c r="H62" s="13">
        <f>IFERROR(INDEX('Clients'!$K$5:$K$154,MATCH(4,'Clients'!$AD$5:$AD$154,0))&amp;"","")</f>
        <v/>
      </c>
      <c r="I62" s="26">
        <f>IFERROR(INDEX('Clients'!$U$5:$U$154,MATCH(4,'Clients'!$AD$5:$AD$154,0)),"")</f>
        <v/>
      </c>
      <c r="J62" s="14">
        <f>IFERROR(INDEX('Clients'!$Z$5:$Z$154,MATCH(4,'Clients'!$AD$5:$AD$154,0)),"")</f>
        <v/>
      </c>
    </row>
    <row r="63">
      <c r="B63" s="19">
        <f>IFERROR(INDEX('Clients'!$B$5:$B$154,MATCH(5,'Clients'!$AD$5:$AD$154,0))&amp;"","")</f>
        <v/>
      </c>
      <c r="C63" s="20">
        <f>IFERROR(INDEX('Clients'!$D$5:$D$154,MATCH(5,'Clients'!$AD$5:$AD$154,0))&amp;"","")</f>
        <v/>
      </c>
      <c r="D63" s="20" t="n"/>
      <c r="E63" s="20">
        <f>IFERROR(INDEX('Clients'!$E$5:$E$154,MATCH(5,'Clients'!$AD$5:$AD$154,0))&amp;"","")</f>
        <v/>
      </c>
      <c r="F63" s="20">
        <f>IFERROR(INDEX('Clients'!$F$5:$F$154,MATCH(5,'Clients'!$AD$5:$AD$154,0))&amp;"","")</f>
        <v/>
      </c>
      <c r="G63" s="34">
        <f>IFERROR(INDEX('Clients'!$Q$5:$Q$154,MATCH(5,'Clients'!$AD$5:$AD$154,0)),"")</f>
        <v/>
      </c>
      <c r="H63" s="20">
        <f>IFERROR(INDEX('Clients'!$K$5:$K$154,MATCH(5,'Clients'!$AD$5:$AD$154,0))&amp;"","")</f>
        <v/>
      </c>
      <c r="I63" s="22">
        <f>IFERROR(INDEX('Clients'!$U$5:$U$154,MATCH(5,'Clients'!$AD$5:$AD$154,0)),"")</f>
        <v/>
      </c>
      <c r="J63" s="40">
        <f>IFERROR(INDEX('Clients'!$Z$5:$Z$154,MATCH(5,'Clients'!$AD$5:$AD$154,0)),"")</f>
        <v/>
      </c>
    </row>
    <row r="64">
      <c r="B64" s="12">
        <f>IFERROR(INDEX('Clients'!$B$5:$B$154,MATCH(6,'Clients'!$AD$5:$AD$154,0))&amp;"","")</f>
        <v/>
      </c>
      <c r="C64" s="13">
        <f>IFERROR(INDEX('Clients'!$D$5:$D$154,MATCH(6,'Clients'!$AD$5:$AD$154,0))&amp;"","")</f>
        <v/>
      </c>
      <c r="D64" s="13" t="n"/>
      <c r="E64" s="13">
        <f>IFERROR(INDEX('Clients'!$E$5:$E$154,MATCH(6,'Clients'!$AD$5:$AD$154,0))&amp;"","")</f>
        <v/>
      </c>
      <c r="F64" s="13">
        <f>IFERROR(INDEX('Clients'!$F$5:$F$154,MATCH(6,'Clients'!$AD$5:$AD$154,0))&amp;"","")</f>
        <v/>
      </c>
      <c r="G64" s="36">
        <f>IFERROR(INDEX('Clients'!$Q$5:$Q$154,MATCH(6,'Clients'!$AD$5:$AD$154,0)),"")</f>
        <v/>
      </c>
      <c r="H64" s="13">
        <f>IFERROR(INDEX('Clients'!$K$5:$K$154,MATCH(6,'Clients'!$AD$5:$AD$154,0))&amp;"","")</f>
        <v/>
      </c>
      <c r="I64" s="26">
        <f>IFERROR(INDEX('Clients'!$U$5:$U$154,MATCH(6,'Clients'!$AD$5:$AD$154,0)),"")</f>
        <v/>
      </c>
      <c r="J64" s="14">
        <f>IFERROR(INDEX('Clients'!$Z$5:$Z$154,MATCH(6,'Clients'!$AD$5:$AD$154,0)),"")</f>
        <v/>
      </c>
    </row>
    <row r="65">
      <c r="B65" s="19">
        <f>IFERROR(INDEX('Clients'!$B$5:$B$154,MATCH(7,'Clients'!$AD$5:$AD$154,0))&amp;"","")</f>
        <v/>
      </c>
      <c r="C65" s="20">
        <f>IFERROR(INDEX('Clients'!$D$5:$D$154,MATCH(7,'Clients'!$AD$5:$AD$154,0))&amp;"","")</f>
        <v/>
      </c>
      <c r="D65" s="20" t="n"/>
      <c r="E65" s="20">
        <f>IFERROR(INDEX('Clients'!$E$5:$E$154,MATCH(7,'Clients'!$AD$5:$AD$154,0))&amp;"","")</f>
        <v/>
      </c>
      <c r="F65" s="20">
        <f>IFERROR(INDEX('Clients'!$F$5:$F$154,MATCH(7,'Clients'!$AD$5:$AD$154,0))&amp;"","")</f>
        <v/>
      </c>
      <c r="G65" s="34">
        <f>IFERROR(INDEX('Clients'!$Q$5:$Q$154,MATCH(7,'Clients'!$AD$5:$AD$154,0)),"")</f>
        <v/>
      </c>
      <c r="H65" s="20">
        <f>IFERROR(INDEX('Clients'!$K$5:$K$154,MATCH(7,'Clients'!$AD$5:$AD$154,0))&amp;"","")</f>
        <v/>
      </c>
      <c r="I65" s="22">
        <f>IFERROR(INDEX('Clients'!$U$5:$U$154,MATCH(7,'Clients'!$AD$5:$AD$154,0)),"")</f>
        <v/>
      </c>
      <c r="J65" s="40">
        <f>IFERROR(INDEX('Clients'!$Z$5:$Z$154,MATCH(7,'Clients'!$AD$5:$AD$154,0)),"")</f>
        <v/>
      </c>
    </row>
    <row r="67" ht="22" customHeight="1">
      <c r="B67" s="8" t="inlineStr">
        <is>
          <t>📞 SCRIPT D'APPEL (version complète dans SOP)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30" customHeight="1">
      <c r="B68" s="41" t="inlineStr">
        <is>
          <t>Accroche</t>
        </is>
      </c>
      <c r="C68" s="42" t="inlineStr">
        <is>
          <t>« Bonjour [prénom], [ton prénom] d'Agence Elite. J'ai vu votre publicité Instagram pour [offre], je vous appelle parce que j'ai remarqué un point qui vous fait sûrement perdre des clients. Vous avez 2 minutes ? »</t>
        </is>
      </c>
    </row>
    <row r="69" ht="16" customHeight="1">
      <c r="B69" s="41" t="inlineStr">
        <is>
          <t>Question 1</t>
        </is>
      </c>
      <c r="C69" s="42" t="inlineStr">
        <is>
          <t>« Aujourd'hui, la plupart de vos clients vous trouvent comment ? »</t>
        </is>
      </c>
    </row>
    <row r="70" ht="16" customHeight="1">
      <c r="B70" s="41" t="inlineStr">
        <is>
          <t>Question 2</t>
        </is>
      </c>
      <c r="C70" s="42" t="inlineStr">
        <is>
          <t>« Quand quelqu'un voit votre pub, il atterrit où ? Il peut réserver directement ? »</t>
        </is>
      </c>
    </row>
    <row r="71" ht="16" customHeight="1">
      <c r="B71" s="41" t="inlineStr">
        <is>
          <t>Question 3</t>
        </is>
      </c>
      <c r="C71" s="42" t="inlineStr">
        <is>
          <t>« Si on pouvait vous amener X clients de plus par mois, ce serait utile maintenant ? »</t>
        </is>
      </c>
    </row>
    <row r="72" ht="30" customHeight="1">
      <c r="B72" s="41" t="inlineStr">
        <is>
          <t>Proposition</t>
        </is>
      </c>
      <c r="C72" s="42" t="inlineStr">
        <is>
          <t>« Je vous prépare un audit gratuit en vidéo de 5 minutes, avec une démo de ce que ça pourrait donner. On se cale 15 minutes [jour] pour le regarder ensemble ? »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mergeCells count="36">
    <mergeCell ref="C62:D62"/>
    <mergeCell ref="C58:D58"/>
    <mergeCell ref="F8:H8"/>
    <mergeCell ref="C45:D45"/>
    <mergeCell ref="B6:K6"/>
    <mergeCell ref="C64:D64"/>
    <mergeCell ref="A2:L2"/>
    <mergeCell ref="C47:D47"/>
    <mergeCell ref="C54:D54"/>
    <mergeCell ref="C71:K71"/>
    <mergeCell ref="C63:D63"/>
    <mergeCell ref="C65:D65"/>
    <mergeCell ref="C55:D55"/>
    <mergeCell ref="C50:D50"/>
    <mergeCell ref="C70:K70"/>
    <mergeCell ref="F9:H9"/>
    <mergeCell ref="C59:D59"/>
    <mergeCell ref="B31:K31"/>
    <mergeCell ref="C72:K72"/>
    <mergeCell ref="C46:D46"/>
    <mergeCell ref="C60:D60"/>
    <mergeCell ref="C51:D51"/>
    <mergeCell ref="B12:K12"/>
    <mergeCell ref="C61:D61"/>
    <mergeCell ref="C52:D52"/>
    <mergeCell ref="C69:K69"/>
    <mergeCell ref="C48:D48"/>
    <mergeCell ref="B67:K67"/>
    <mergeCell ref="C68:K68"/>
    <mergeCell ref="F10:H10"/>
    <mergeCell ref="B57:K57"/>
    <mergeCell ref="A1:L1"/>
    <mergeCell ref="B44:K44"/>
    <mergeCell ref="F7:H7"/>
    <mergeCell ref="C53:D53"/>
    <mergeCell ref="C49:D49"/>
  </mergeCells>
  <conditionalFormatting sqref="K14:K28">
    <cfRule type="cellIs" priority="1" operator="greaterThan" dxfId="0">
      <formula>0</formula>
    </cfRule>
  </conditionalFormatting>
  <conditionalFormatting sqref="F33:F42">
    <cfRule type="dataBar" priority="2">
      <dataBar>
        <cfvo type="num" val="0"/>
        <cfvo type="num" val="100"/>
        <color rgb="00C9A22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B20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8" customWidth="1" min="3" max="3"/>
    <col width="10" customWidth="1" min="4" max="4"/>
    <col width="20" customWidth="1" min="5" max="5"/>
    <col width="21" customWidth="1" min="6" max="6"/>
    <col width="10" customWidth="1" min="7" max="7"/>
    <col width="8" customWidth="1" min="8" max="8"/>
    <col width="24" customWidth="1" min="9" max="9"/>
    <col width="12" customWidth="1" min="10" max="10"/>
    <col width="8" customWidth="1" min="11" max="11"/>
    <col width="20" customWidth="1" min="12" max="12"/>
    <col width="22" customWidth="1" min="13" max="13"/>
    <col width="10" customWidth="1" min="14" max="14"/>
    <col width="11" customWidth="1" min="15" max="15"/>
    <col width="9" customWidth="1" min="16" max="16"/>
    <col width="30" customWidth="1" min="17" max="17"/>
    <col width="18" customWidth="1" min="18" max="18"/>
    <col width="13" customWidth="1" min="19" max="19"/>
    <col width="12" customWidth="1" min="20" max="20"/>
    <col width="16" customWidth="1" min="21" max="21"/>
    <col width="12" customWidth="1" min="22" max="22"/>
    <col width="15" customWidth="1" min="23" max="23"/>
    <col width="15" customWidth="1" min="24" max="24"/>
    <col width="17" customWidth="1" min="25" max="25"/>
    <col width="20" customWidth="1" min="26" max="26"/>
    <col width="17" customWidth="1" min="27" max="27"/>
    <col width="17" customWidth="1" min="28" max="28"/>
    <col width="9" customWidth="1" min="29" max="29"/>
    <col width="11" customWidth="1" min="30" max="30"/>
    <col width="12" customWidth="1" min="31" max="31"/>
    <col width="10" customWidth="1" min="32" max="32"/>
    <col width="8" customWidth="1" min="33" max="33"/>
    <col width="8" customWidth="1" min="34" max="34"/>
    <col width="10" customWidth="1" min="35" max="35"/>
    <col width="16" customWidth="1" min="36" max="36"/>
    <col width="14" customWidth="1" min="37" max="37"/>
    <col width="18" customWidth="1" min="38" max="38"/>
    <col width="11" customWidth="1" min="39" max="39"/>
    <col width="9" customWidth="1" min="40" max="40"/>
    <col width="9" customWidth="1" min="41" max="41"/>
    <col width="9" customWidth="1" min="42" max="42"/>
    <col width="10" customWidth="1" min="43" max="43"/>
    <col width="30" customWidth="1" min="44" max="44"/>
    <col width="6" customWidth="1" min="45" max="45"/>
    <col width="6" customWidth="1" min="46" max="46"/>
    <col width="6" customWidth="1" min="47" max="47"/>
    <col width="6" customWidth="1" min="48" max="48"/>
    <col width="10" customWidth="1" min="49" max="49"/>
    <col width="6" customWidth="1" min="50" max="50"/>
    <col width="6" customWidth="1" min="51" max="51"/>
    <col width="6" customWidth="1" min="52" max="52"/>
    <col width="10" customWidth="1" min="53" max="53"/>
    <col width="6" customWidth="1" min="54" max="54"/>
  </cols>
  <sheetData>
    <row r="1" ht="34" customHeight="1">
      <c r="A1" s="43">
        <f>HYPERLINK("#'Ma journée'!A1","☀ Ma journée")</f>
        <v/>
      </c>
      <c r="B1" s="1" t="inlineStr">
        <is>
          <t>✎ SAISIE — le seul onglet à remplir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</row>
    <row r="2" ht="40" customHeight="1">
      <c r="A2" s="3" t="inlineStr">
        <is>
          <t>Une ligne par action : appel, DM, relance, audit, RDV, proposition, signature, paiement… Nouveau prospect : tape son nom et remplis sa fiche (colonnes du milieu) sur cette première ligne. Ensuite, choisis-le dans la liste. Tout le reste du fichier se met à jour tout seul. Ajoute les lignes à la suite, dans l'ordre chronologique. Les lignes « EXEMPLE » sont à supprimer.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</row>
    <row r="3" ht="16" customHeight="1">
      <c r="A3" s="44" t="inlineStr">
        <is>
          <t>ACTION (à chaque ligne)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5" t="inlineStr">
        <is>
          <t>FICHE PROSPECT (1re ligne du prospect, puis seulement si ça change)</t>
        </is>
      </c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7" t="inlineStr">
        <is>
          <t>QUALIFICATION</t>
        </is>
      </c>
      <c r="AO3" s="48" t="n"/>
      <c r="AP3" s="48" t="n"/>
      <c r="AQ3" s="48" t="n"/>
      <c r="AR3" s="49" t="inlineStr">
        <is>
          <t>AUTOMATIQUE (ne pas modifier)</t>
        </is>
      </c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</row>
    <row r="4" ht="40" customHeight="1">
      <c r="A4" s="51" t="inlineStr">
        <is>
          <t>Date</t>
        </is>
      </c>
      <c r="B4" s="51" t="inlineStr">
        <is>
          <t>Heure</t>
        </is>
      </c>
      <c r="C4" s="51" t="inlineStr">
        <is>
          <t>Prospect (entreprise)</t>
        </is>
      </c>
      <c r="D4" s="51" t="inlineStr">
        <is>
          <t>Canal</t>
        </is>
      </c>
      <c r="E4" s="51" t="inlineStr">
        <is>
          <t>Action</t>
        </is>
      </c>
      <c r="F4" s="51" t="inlineStr">
        <is>
          <t>Résultat</t>
        </is>
      </c>
      <c r="G4" s="51" t="inlineStr">
        <is>
          <t>Montant (€)</t>
        </is>
      </c>
      <c r="H4" s="51" t="inlineStr">
        <is>
          <t>Durée (min)</t>
        </is>
      </c>
      <c r="I4" s="51" t="inlineStr">
        <is>
          <t>Prochaine action</t>
        </is>
      </c>
      <c r="J4" s="51" t="inlineStr">
        <is>
          <t>Date de relance (vide = auto)</t>
        </is>
      </c>
      <c r="K4" s="51" t="inlineStr">
        <is>
          <t>Heure de rappel</t>
        </is>
      </c>
      <c r="L4" s="51" t="inlineStr">
        <is>
          <t>Objection / motif de perte</t>
        </is>
      </c>
      <c r="M4" s="51" t="inlineStr">
        <is>
          <t>Modèle / accroche</t>
        </is>
      </c>
      <c r="N4" s="51" t="inlineStr">
        <is>
          <t>Note (audit /100, satisfaction /10)</t>
        </is>
      </c>
      <c r="O4" s="51" t="inlineStr">
        <is>
          <t>N° facture</t>
        </is>
      </c>
      <c r="P4" s="51" t="inlineStr">
        <is>
          <t>Remise (€)</t>
        </is>
      </c>
      <c r="Q4" s="51" t="inlineStr">
        <is>
          <t>Notes</t>
        </is>
      </c>
      <c r="R4" s="51" t="inlineStr">
        <is>
          <t>Secteur</t>
        </is>
      </c>
      <c r="S4" s="51" t="inlineStr">
        <is>
          <t>Ville</t>
        </is>
      </c>
      <c r="T4" s="51" t="inlineStr">
        <is>
          <t>Zone</t>
        </is>
      </c>
      <c r="U4" s="51" t="inlineStr">
        <is>
          <t>Nom du contact</t>
        </is>
      </c>
      <c r="V4" s="51" t="inlineStr">
        <is>
          <t>Fonction</t>
        </is>
      </c>
      <c r="W4" s="51" t="inlineStr">
        <is>
          <t>Téléphone</t>
        </is>
      </c>
      <c r="X4" s="51" t="inlineStr">
        <is>
          <t>WhatsApp (si différent)</t>
        </is>
      </c>
      <c r="Y4" s="51" t="inlineStr">
        <is>
          <t>Instagram</t>
        </is>
      </c>
      <c r="Z4" s="51" t="inlineStr">
        <is>
          <t>Site internet</t>
        </is>
      </c>
      <c r="AA4" s="51" t="inlineStr">
        <is>
          <t>Source</t>
        </is>
      </c>
      <c r="AB4" s="51" t="inlineStr">
        <is>
          <t>Recommandé par</t>
        </is>
      </c>
      <c r="AC4" s="51" t="inlineStr">
        <is>
          <t>Pub Insta active ?</t>
        </is>
      </c>
      <c r="AD4" s="51" t="inlineStr">
        <is>
          <t>Date de la pub</t>
        </is>
      </c>
      <c r="AE4" s="51" t="inlineStr">
        <is>
          <t>Budget pub</t>
        </is>
      </c>
      <c r="AF4" s="51" t="inlineStr">
        <is>
          <t>Présence Google</t>
        </is>
      </c>
      <c r="AG4" s="51" t="inlineStr">
        <is>
          <t>Note Google</t>
        </is>
      </c>
      <c r="AH4" s="51" t="inlineStr">
        <is>
          <t>Nb avis Google</t>
        </is>
      </c>
      <c r="AI4" s="51" t="inlineStr">
        <is>
          <t>Taille</t>
        </is>
      </c>
      <c r="AJ4" s="51" t="inlineStr">
        <is>
          <t>Concurrent en place</t>
        </is>
      </c>
      <c r="AK4" s="51" t="inlineStr">
        <is>
          <t>Personne au standard</t>
        </is>
      </c>
      <c r="AL4" s="51" t="inlineStr">
        <is>
          <t>Offre</t>
        </is>
      </c>
      <c r="AM4" s="51" t="inlineStr">
        <is>
          <t>Abonnement mensuel (€)</t>
        </is>
      </c>
      <c r="AN4" s="51" t="inlineStr">
        <is>
          <t>Budget OK ?</t>
        </is>
      </c>
      <c r="AO4" s="51" t="inlineStr">
        <is>
          <t>Décideur joint ?</t>
        </is>
      </c>
      <c r="AP4" s="51" t="inlineStr">
        <is>
          <t>Besoin confirmé ?</t>
        </is>
      </c>
      <c r="AQ4" s="51" t="inlineStr">
        <is>
          <t>Délai</t>
        </is>
      </c>
      <c r="AR4" s="52" t="inlineStr">
        <is>
          <t>Contrôle</t>
        </is>
      </c>
      <c r="AS4" s="52" t="inlineStr">
        <is>
          <t>N° ligne</t>
        </is>
      </c>
      <c r="AT4" s="52" t="inlineStr">
        <is>
          <t>Étape atteinte</t>
        </is>
      </c>
      <c r="AU4" s="52" t="inlineStr">
        <is>
          <t>Prospection ?</t>
        </is>
      </c>
      <c r="AV4" s="52" t="inlineStr">
        <is>
          <t>Réponse ?</t>
        </is>
      </c>
      <c r="AW4" s="52" t="inlineStr">
        <is>
          <t>Montant retenu</t>
        </is>
      </c>
      <c r="AX4" s="52" t="inlineStr">
        <is>
          <t>N° prospect</t>
        </is>
      </c>
      <c r="AY4" s="52" t="inlineStr">
        <is>
          <t>Heure (h)</t>
        </is>
      </c>
      <c r="AZ4" s="52" t="inlineStr">
        <is>
          <t>Jour (1 = lundi)</t>
        </is>
      </c>
      <c r="BA4" s="52" t="inlineStr">
        <is>
          <t>Canal du prospect</t>
        </is>
      </c>
      <c r="BB4" s="52" t="inlineStr">
        <is>
          <t>Rang fiche</t>
        </is>
      </c>
    </row>
    <row r="5">
      <c r="A5" s="53" t="n">
        <v>46266</v>
      </c>
      <c r="B5" s="54" t="n"/>
      <c r="C5" s="55" t="n"/>
      <c r="D5" s="55" t="n"/>
      <c r="E5" s="55" t="inlineStr">
        <is>
          <t>Dépense</t>
        </is>
      </c>
      <c r="F5" s="55" t="n"/>
      <c r="G5" s="56" t="n">
        <v>49</v>
      </c>
      <c r="H5" s="57" t="n"/>
      <c r="I5" s="55" t="n"/>
      <c r="J5" s="53" t="n"/>
      <c r="K5" s="54" t="n"/>
      <c r="L5" s="55" t="n"/>
      <c r="M5" s="55" t="n"/>
      <c r="N5" s="57" t="n"/>
      <c r="O5" s="55" t="n"/>
      <c r="P5" s="56" t="n"/>
      <c r="Q5" s="55" t="inlineStr">
        <is>
          <t>Abonnement Loom (EXEMPLE)</t>
        </is>
      </c>
      <c r="R5" s="55" t="n"/>
      <c r="S5" s="55" t="n"/>
      <c r="T5" s="55" t="n"/>
      <c r="U5" s="55" t="n"/>
      <c r="V5" s="55" t="n"/>
      <c r="W5" s="58" t="n"/>
      <c r="X5" s="58" t="n"/>
      <c r="Y5" s="55" t="n"/>
      <c r="Z5" s="55" t="n"/>
      <c r="AA5" s="55" t="n"/>
      <c r="AB5" s="55" t="n"/>
      <c r="AC5" s="55" t="n"/>
      <c r="AD5" s="53" t="n"/>
      <c r="AE5" s="55" t="n"/>
      <c r="AF5" s="55" t="n"/>
      <c r="AG5" s="59" t="n"/>
      <c r="AH5" s="57" t="n"/>
      <c r="AI5" s="55" t="n"/>
      <c r="AJ5" s="55" t="n"/>
      <c r="AK5" s="55" t="n"/>
      <c r="AL5" s="55" t="n"/>
      <c r="AM5" s="56" t="n"/>
      <c r="AN5" s="55" t="n"/>
      <c r="AO5" s="55" t="n"/>
      <c r="AP5" s="55" t="n"/>
      <c r="AQ5" s="55" t="n"/>
      <c r="AR5" s="60">
        <f>IF(AND(C5="",E5=""),"",IF(A5="","⚠ Date manquante",IF(AND(C5="",E5&lt;&gt;"Dépense"),"⚠ Prospect manquant",IF(E5="","⚠ Action manquante",IF(AND(AU5=1,D5=""),"⚠ Canal manquant",IF(AND(W5&lt;&gt;"",COUNTIFS('Saisie'!$W$5:$W$2004,W5,'Saisie'!$C$5:$C$2004,"&lt;&gt;"&amp;C5)&gt;0),"⚠ Numéro déjà utilisé par un autre prospect",IF(AND(J5&lt;&gt;"",J5&lt;A5),"⚠ Relance avant la date de l'action",IF(A5&gt;TODAY(),"⚠ Date dans le futur","✓"))))))))</f>
        <v/>
      </c>
      <c r="AS5" s="61">
        <f>IF(AND(A5="",C5="",E5=""),"",ROW())</f>
        <v/>
      </c>
      <c r="AT5" s="61">
        <f>IF(E5&amp;F5="","",MAX(IFERROR(INDEX('Paramètres'!$J$6:$J$33,MATCH(E5,'Paramètres'!$I$6:$I$33,0)),0),IFERROR(INDEX('Paramètres'!$N$6:$N$17,MATCH(F5,'Paramètres'!$M$6:$M$17,0)),0)))</f>
        <v/>
      </c>
      <c r="AU5" s="61">
        <f>IF(E5="","",IFERROR(IF(INDEX('Paramètres'!$K$6:$K$33,MATCH(E5,'Paramètres'!$I$6:$I$33,0))="Oui",1,0),0))</f>
        <v/>
      </c>
      <c r="AV5" s="61">
        <f>IF(F5="","",IFERROR(IF(INDEX('Paramètres'!$O$6:$O$17,MATCH(F5,'Paramètres'!$M$6:$M$17,0))="Oui",1,0),0))</f>
        <v/>
      </c>
      <c r="AW5" s="62">
        <f>IF(E5="","",IF(G5&lt;&gt;"",G5,IF(OR(E5="Proposition envoyée",E5="Signature"),MAX(0,N(IFERROR(INDEX('Paramètres'!$R$6:$R$15,MATCH(IF(AL5&lt;&gt;"",AL5,IFERROR(INDEX('Prospects'!$AN$5:$AN$504,MATCH(C5,'Prospects'!$C$5:$C$504,0)),"")),'Paramètres'!$Q$6:$Q$15,0)),0))-N(P5)),0)))</f>
        <v/>
      </c>
      <c r="AX5" s="61">
        <f>IF(C5="","",IF(COUNTIF($C$5:C5,C5)=1,MAX($AX$4:AX4)+1,""))</f>
        <v/>
      </c>
      <c r="AY5" s="61">
        <f>IF(B5="","",HOUR(B5))</f>
        <v/>
      </c>
      <c r="AZ5" s="61">
        <f>IF(A5="","",MOD(A5-2,7)+1)</f>
        <v/>
      </c>
      <c r="BA5" s="60">
        <f>IF(C5="","",IFERROR(INDEX('Prospects'!$N$5:$N$504,MATCH(C5,'Prospects'!$C$5:$C$504,0)),""))</f>
        <v/>
      </c>
      <c r="BB5" s="61">
        <f>IF(AND(C5&lt;&gt;"",C5='Fiche prospect'!$C$4),COUNTIF($C$5:C5,C5),"")</f>
        <v/>
      </c>
    </row>
    <row r="6">
      <c r="A6" s="53" t="n">
        <v>46275</v>
      </c>
      <c r="B6" s="54" t="n">
        <v>0.4583333333333333</v>
      </c>
      <c r="C6" s="55" t="inlineStr">
        <is>
          <t>Studio Fit (EXEMPLE)</t>
        </is>
      </c>
      <c r="D6" s="55" t="inlineStr">
        <is>
          <t>Facebook</t>
        </is>
      </c>
      <c r="E6" s="55" t="inlineStr">
        <is>
          <t>Premier contact</t>
        </is>
      </c>
      <c r="F6" s="55" t="inlineStr">
        <is>
          <t>Pas intéressé</t>
        </is>
      </c>
      <c r="G6" s="56" t="n"/>
      <c r="H6" s="57" t="n"/>
      <c r="I6" s="55" t="n"/>
      <c r="J6" s="53" t="n"/>
      <c r="K6" s="54" t="n"/>
      <c r="L6" s="55" t="inlineStr">
        <is>
          <t>J'ai déjà quelqu'un</t>
        </is>
      </c>
      <c r="M6" s="55" t="inlineStr">
        <is>
          <t>DM 2 - Audit gratuit</t>
        </is>
      </c>
      <c r="N6" s="57" t="n"/>
      <c r="O6" s="55" t="n"/>
      <c r="P6" s="56" t="n"/>
      <c r="Q6" s="55" t="n"/>
      <c r="R6" s="55" t="inlineStr">
        <is>
          <t>Sport / Fitness</t>
        </is>
      </c>
      <c r="S6" s="55" t="inlineStr">
        <is>
          <t>Lyon</t>
        </is>
      </c>
      <c r="T6" s="55" t="inlineStr">
        <is>
          <t>Périphérie</t>
        </is>
      </c>
      <c r="U6" s="55" t="inlineStr">
        <is>
          <t>Léa Dubois</t>
        </is>
      </c>
      <c r="V6" s="55" t="n"/>
      <c r="W6" s="58" t="inlineStr">
        <is>
          <t>06 11 22 33 44</t>
        </is>
      </c>
      <c r="X6" s="58" t="n"/>
      <c r="Y6" s="55" t="inlineStr">
        <is>
          <t>@studiofit</t>
        </is>
      </c>
      <c r="Z6" s="55" t="inlineStr">
        <is>
          <t>studiofit.fr</t>
        </is>
      </c>
      <c r="AA6" s="55" t="inlineStr">
        <is>
          <t>Facebook</t>
        </is>
      </c>
      <c r="AB6" s="55" t="n"/>
      <c r="AC6" s="55" t="inlineStr">
        <is>
          <t>Non</t>
        </is>
      </c>
      <c r="AD6" s="53" t="n"/>
      <c r="AE6" s="55" t="n"/>
      <c r="AF6" s="55" t="inlineStr">
        <is>
          <t>Bonne</t>
        </is>
      </c>
      <c r="AG6" s="59" t="n"/>
      <c r="AH6" s="57" t="n"/>
      <c r="AI6" s="55" t="inlineStr">
        <is>
          <t>Moyenne</t>
        </is>
      </c>
      <c r="AJ6" s="55" t="n"/>
      <c r="AK6" s="55" t="n"/>
      <c r="AL6" s="55" t="n"/>
      <c r="AM6" s="56" t="n"/>
      <c r="AN6" s="55" t="n"/>
      <c r="AO6" s="55" t="n"/>
      <c r="AP6" s="55" t="n"/>
      <c r="AQ6" s="55" t="n"/>
      <c r="AR6" s="60">
        <f>IF(AND(C6="",E6=""),"",IF(A6="","⚠ Date manquante",IF(AND(C6="",E6&lt;&gt;"Dépense"),"⚠ Prospect manquant",IF(E6="","⚠ Action manquante",IF(AND(AU6=1,D6=""),"⚠ Canal manquant",IF(AND(W6&lt;&gt;"",COUNTIFS('Saisie'!$W$5:$W$2004,W6,'Saisie'!$C$5:$C$2004,"&lt;&gt;"&amp;C6)&gt;0),"⚠ Numéro déjà utilisé par un autre prospect",IF(AND(J6&lt;&gt;"",J6&lt;A6),"⚠ Relance avant la date de l'action",IF(A6&gt;TODAY(),"⚠ Date dans le futur","✓"))))))))</f>
        <v/>
      </c>
      <c r="AS6" s="61">
        <f>IF(AND(A6="",C6="",E6=""),"",ROW())</f>
        <v/>
      </c>
      <c r="AT6" s="61">
        <f>IF(E6&amp;F6="","",MAX(IFERROR(INDEX('Paramètres'!$J$6:$J$33,MATCH(E6,'Paramètres'!$I$6:$I$33,0)),0),IFERROR(INDEX('Paramètres'!$N$6:$N$17,MATCH(F6,'Paramètres'!$M$6:$M$17,0)),0)))</f>
        <v/>
      </c>
      <c r="AU6" s="61">
        <f>IF(E6="","",IFERROR(IF(INDEX('Paramètres'!$K$6:$K$33,MATCH(E6,'Paramètres'!$I$6:$I$33,0))="Oui",1,0),0))</f>
        <v/>
      </c>
      <c r="AV6" s="61">
        <f>IF(F6="","",IFERROR(IF(INDEX('Paramètres'!$O$6:$O$17,MATCH(F6,'Paramètres'!$M$6:$M$17,0))="Oui",1,0),0))</f>
        <v/>
      </c>
      <c r="AW6" s="62">
        <f>IF(E6="","",IF(G6&lt;&gt;"",G6,IF(OR(E6="Proposition envoyée",E6="Signature"),MAX(0,N(IFERROR(INDEX('Paramètres'!$R$6:$R$15,MATCH(IF(AL6&lt;&gt;"",AL6,IFERROR(INDEX('Prospects'!$AN$5:$AN$504,MATCH(C6,'Prospects'!$C$5:$C$504,0)),"")),'Paramètres'!$Q$6:$Q$15,0)),0))-N(P6)),0)))</f>
        <v/>
      </c>
      <c r="AX6" s="61">
        <f>IF(C6="","",IF(COUNTIF($C$5:C6,C6)=1,MAX($AX$4:AX5)+1,""))</f>
        <v/>
      </c>
      <c r="AY6" s="61">
        <f>IF(B6="","",HOUR(B6))</f>
        <v/>
      </c>
      <c r="AZ6" s="61">
        <f>IF(A6="","",MOD(A6-2,7)+1)</f>
        <v/>
      </c>
      <c r="BA6" s="60">
        <f>IF(C6="","",IFERROR(INDEX('Prospects'!$N$5:$N$504,MATCH(C6,'Prospects'!$C$5:$C$504,0)),""))</f>
        <v/>
      </c>
      <c r="BB6" s="61">
        <f>IF(AND(C6&lt;&gt;"",C6='Fiche prospect'!$C$4),COUNTIF($C$5:C6,C6),"")</f>
        <v/>
      </c>
    </row>
    <row r="7">
      <c r="A7" s="53" t="n">
        <v>46277</v>
      </c>
      <c r="B7" s="54" t="n"/>
      <c r="C7" s="55" t="inlineStr">
        <is>
          <t>Studio Fit (EXEMPLE)</t>
        </is>
      </c>
      <c r="D7" s="55" t="n"/>
      <c r="E7" s="55" t="inlineStr">
        <is>
          <t>Perdu</t>
        </is>
      </c>
      <c r="F7" s="55" t="n"/>
      <c r="G7" s="56" t="n"/>
      <c r="H7" s="57" t="n"/>
      <c r="I7" s="55" t="n"/>
      <c r="J7" s="53" t="n"/>
      <c r="K7" s="54" t="n"/>
      <c r="L7" s="55" t="inlineStr">
        <is>
          <t>J'ai déjà quelqu'un</t>
        </is>
      </c>
      <c r="M7" s="55" t="n"/>
      <c r="N7" s="57" t="n"/>
      <c r="O7" s="55" t="n"/>
      <c r="P7" s="56" t="n"/>
      <c r="Q7" s="55" t="n"/>
      <c r="R7" s="55" t="n"/>
      <c r="S7" s="55" t="n"/>
      <c r="T7" s="55" t="n"/>
      <c r="U7" s="55" t="n"/>
      <c r="V7" s="55" t="n"/>
      <c r="W7" s="58" t="n"/>
      <c r="X7" s="58" t="n"/>
      <c r="Y7" s="55" t="n"/>
      <c r="Z7" s="55" t="n"/>
      <c r="AA7" s="55" t="n"/>
      <c r="AB7" s="55" t="n"/>
      <c r="AC7" s="55" t="n"/>
      <c r="AD7" s="53" t="n"/>
      <c r="AE7" s="55" t="n"/>
      <c r="AF7" s="55" t="n"/>
      <c r="AG7" s="59" t="n"/>
      <c r="AH7" s="57" t="n"/>
      <c r="AI7" s="55" t="n"/>
      <c r="AJ7" s="55" t="n"/>
      <c r="AK7" s="55" t="n"/>
      <c r="AL7" s="55" t="n"/>
      <c r="AM7" s="56" t="n"/>
      <c r="AN7" s="55" t="n"/>
      <c r="AO7" s="55" t="n"/>
      <c r="AP7" s="55" t="n"/>
      <c r="AQ7" s="55" t="n"/>
      <c r="AR7" s="60">
        <f>IF(AND(C7="",E7=""),"",IF(A7="","⚠ Date manquante",IF(AND(C7="",E7&lt;&gt;"Dépense"),"⚠ Prospect manquant",IF(E7="","⚠ Action manquante",IF(AND(AU7=1,D7=""),"⚠ Canal manquant",IF(AND(W7&lt;&gt;"",COUNTIFS('Saisie'!$W$5:$W$2004,W7,'Saisie'!$C$5:$C$2004,"&lt;&gt;"&amp;C7)&gt;0),"⚠ Numéro déjà utilisé par un autre prospect",IF(AND(J7&lt;&gt;"",J7&lt;A7),"⚠ Relance avant la date de l'action",IF(A7&gt;TODAY(),"⚠ Date dans le futur","✓"))))))))</f>
        <v/>
      </c>
      <c r="AS7" s="61">
        <f>IF(AND(A7="",C7="",E7=""),"",ROW())</f>
        <v/>
      </c>
      <c r="AT7" s="61">
        <f>IF(E7&amp;F7="","",MAX(IFERROR(INDEX('Paramètres'!$J$6:$J$33,MATCH(E7,'Paramètres'!$I$6:$I$33,0)),0),IFERROR(INDEX('Paramètres'!$N$6:$N$17,MATCH(F7,'Paramètres'!$M$6:$M$17,0)),0)))</f>
        <v/>
      </c>
      <c r="AU7" s="61">
        <f>IF(E7="","",IFERROR(IF(INDEX('Paramètres'!$K$6:$K$33,MATCH(E7,'Paramètres'!$I$6:$I$33,0))="Oui",1,0),0))</f>
        <v/>
      </c>
      <c r="AV7" s="61">
        <f>IF(F7="","",IFERROR(IF(INDEX('Paramètres'!$O$6:$O$17,MATCH(F7,'Paramètres'!$M$6:$M$17,0))="Oui",1,0),0))</f>
        <v/>
      </c>
      <c r="AW7" s="62">
        <f>IF(E7="","",IF(G7&lt;&gt;"",G7,IF(OR(E7="Proposition envoyée",E7="Signature"),MAX(0,N(IFERROR(INDEX('Paramètres'!$R$6:$R$15,MATCH(IF(AL7&lt;&gt;"",AL7,IFERROR(INDEX('Prospects'!$AN$5:$AN$504,MATCH(C7,'Prospects'!$C$5:$C$504,0)),"")),'Paramètres'!$Q$6:$Q$15,0)),0))-N(P7)),0)))</f>
        <v/>
      </c>
      <c r="AX7" s="61">
        <f>IF(C7="","",IF(COUNTIF($C$5:C7,C7)=1,MAX($AX$4:AX6)+1,""))</f>
        <v/>
      </c>
      <c r="AY7" s="61">
        <f>IF(B7="","",HOUR(B7))</f>
        <v/>
      </c>
      <c r="AZ7" s="61">
        <f>IF(A7="","",MOD(A7-2,7)+1)</f>
        <v/>
      </c>
      <c r="BA7" s="60">
        <f>IF(C7="","",IFERROR(INDEX('Prospects'!$N$5:$N$504,MATCH(C7,'Prospects'!$C$5:$C$504,0)),""))</f>
        <v/>
      </c>
      <c r="BB7" s="61">
        <f>IF(AND(C7&lt;&gt;"",C7='Fiche prospect'!$C$4),COUNTIF($C$5:C7,C7),"")</f>
        <v/>
      </c>
    </row>
    <row r="8">
      <c r="A8" s="53" t="n">
        <v>46280</v>
      </c>
      <c r="B8" s="54" t="n">
        <v>0.7361111111111112</v>
      </c>
      <c r="C8" s="55" t="inlineStr">
        <is>
          <t>Pizzeria Da Marco (EXEMPLE)</t>
        </is>
      </c>
      <c r="D8" s="55" t="inlineStr">
        <is>
          <t>Appel</t>
        </is>
      </c>
      <c r="E8" s="55" t="inlineStr">
        <is>
          <t>Premier contact</t>
        </is>
      </c>
      <c r="F8" s="55" t="inlineStr">
        <is>
          <t>Messagerie - vocal laissé</t>
        </is>
      </c>
      <c r="G8" s="56" t="n"/>
      <c r="H8" s="57" t="n">
        <v>1</v>
      </c>
      <c r="I8" s="55" t="n"/>
      <c r="J8" s="53" t="n"/>
      <c r="K8" s="54" t="n"/>
      <c r="L8" s="55" t="n"/>
      <c r="M8" s="55" t="inlineStr">
        <is>
          <t>Accroche A - Pub Insta</t>
        </is>
      </c>
      <c r="N8" s="57" t="n"/>
      <c r="O8" s="55" t="n"/>
      <c r="P8" s="56" t="n"/>
      <c r="Q8" s="55" t="n"/>
      <c r="R8" s="55" t="inlineStr">
        <is>
          <t>Restaurant</t>
        </is>
      </c>
      <c r="S8" s="55" t="inlineStr">
        <is>
          <t>Lyon</t>
        </is>
      </c>
      <c r="T8" s="55" t="inlineStr">
        <is>
          <t>Centre-ville</t>
        </is>
      </c>
      <c r="U8" s="55" t="inlineStr">
        <is>
          <t>Marco Rossi</t>
        </is>
      </c>
      <c r="V8" s="55" t="inlineStr">
        <is>
          <t>Gérant</t>
        </is>
      </c>
      <c r="W8" s="58" t="inlineStr">
        <is>
          <t>06 55 44 33 22</t>
        </is>
      </c>
      <c r="X8" s="58" t="n"/>
      <c r="Y8" s="55" t="inlineStr">
        <is>
          <t>@damarco</t>
        </is>
      </c>
      <c r="Z8" s="55" t="inlineStr">
        <is>
          <t>damarco.fr</t>
        </is>
      </c>
      <c r="AA8" s="55" t="inlineStr">
        <is>
          <t>Publicité Instagram</t>
        </is>
      </c>
      <c r="AB8" s="55" t="n"/>
      <c r="AC8" s="55" t="inlineStr">
        <is>
          <t>Oui</t>
        </is>
      </c>
      <c r="AD8" s="53" t="n">
        <v>46275</v>
      </c>
      <c r="AE8" s="55" t="inlineStr">
        <is>
          <t>Occasionnelle</t>
        </is>
      </c>
      <c r="AF8" s="55" t="inlineStr">
        <is>
          <t>Bonne</t>
        </is>
      </c>
      <c r="AG8" s="59" t="n">
        <v>4.6</v>
      </c>
      <c r="AH8" s="57" t="n">
        <v>210</v>
      </c>
      <c r="AI8" s="55" t="inlineStr">
        <is>
          <t>Petite</t>
        </is>
      </c>
      <c r="AJ8" s="55" t="n"/>
      <c r="AK8" s="55" t="n"/>
      <c r="AL8" s="55" t="n"/>
      <c r="AM8" s="56" t="n"/>
      <c r="AN8" s="55" t="n"/>
      <c r="AO8" s="55" t="n"/>
      <c r="AP8" s="55" t="n"/>
      <c r="AQ8" s="55" t="n"/>
      <c r="AR8" s="60">
        <f>IF(AND(C8="",E8=""),"",IF(A8="","⚠ Date manquante",IF(AND(C8="",E8&lt;&gt;"Dépense"),"⚠ Prospect manquant",IF(E8="","⚠ Action manquante",IF(AND(AU8=1,D8=""),"⚠ Canal manquant",IF(AND(W8&lt;&gt;"",COUNTIFS('Saisie'!$W$5:$W$2004,W8,'Saisie'!$C$5:$C$2004,"&lt;&gt;"&amp;C8)&gt;0),"⚠ Numéro déjà utilisé par un autre prospect",IF(AND(J8&lt;&gt;"",J8&lt;A8),"⚠ Relance avant la date de l'action",IF(A8&gt;TODAY(),"⚠ Date dans le futur","✓"))))))))</f>
        <v/>
      </c>
      <c r="AS8" s="61">
        <f>IF(AND(A8="",C8="",E8=""),"",ROW())</f>
        <v/>
      </c>
      <c r="AT8" s="61">
        <f>IF(E8&amp;F8="","",MAX(IFERROR(INDEX('Paramètres'!$J$6:$J$33,MATCH(E8,'Paramètres'!$I$6:$I$33,0)),0),IFERROR(INDEX('Paramètres'!$N$6:$N$17,MATCH(F8,'Paramètres'!$M$6:$M$17,0)),0)))</f>
        <v/>
      </c>
      <c r="AU8" s="61">
        <f>IF(E8="","",IFERROR(IF(INDEX('Paramètres'!$K$6:$K$33,MATCH(E8,'Paramètres'!$I$6:$I$33,0))="Oui",1,0),0))</f>
        <v/>
      </c>
      <c r="AV8" s="61">
        <f>IF(F8="","",IFERROR(IF(INDEX('Paramètres'!$O$6:$O$17,MATCH(F8,'Paramètres'!$M$6:$M$17,0))="Oui",1,0),0))</f>
        <v/>
      </c>
      <c r="AW8" s="62">
        <f>IF(E8="","",IF(G8&lt;&gt;"",G8,IF(OR(E8="Proposition envoyée",E8="Signature"),MAX(0,N(IFERROR(INDEX('Paramètres'!$R$6:$R$15,MATCH(IF(AL8&lt;&gt;"",AL8,IFERROR(INDEX('Prospects'!$AN$5:$AN$504,MATCH(C8,'Prospects'!$C$5:$C$504,0)),"")),'Paramètres'!$Q$6:$Q$15,0)),0))-N(P8)),0)))</f>
        <v/>
      </c>
      <c r="AX8" s="61">
        <f>IF(C8="","",IF(COUNTIF($C$5:C8,C8)=1,MAX($AX$4:AX7)+1,""))</f>
        <v/>
      </c>
      <c r="AY8" s="61">
        <f>IF(B8="","",HOUR(B8))</f>
        <v/>
      </c>
      <c r="AZ8" s="61">
        <f>IF(A8="","",MOD(A8-2,7)+1)</f>
        <v/>
      </c>
      <c r="BA8" s="60">
        <f>IF(C8="","",IFERROR(INDEX('Prospects'!$N$5:$N$504,MATCH(C8,'Prospects'!$C$5:$C$504,0)),""))</f>
        <v/>
      </c>
      <c r="BB8" s="61">
        <f>IF(AND(C8&lt;&gt;"",C8='Fiche prospect'!$C$4),COUNTIF($C$5:C8,C8),"")</f>
        <v/>
      </c>
    </row>
    <row r="9">
      <c r="A9" s="53" t="n">
        <v>46281</v>
      </c>
      <c r="B9" s="54" t="n">
        <v>0.7569444444444444</v>
      </c>
      <c r="C9" s="55" t="inlineStr">
        <is>
          <t>Pizzeria Da Marco (EXEMPLE)</t>
        </is>
      </c>
      <c r="D9" s="55" t="inlineStr">
        <is>
          <t>Appel</t>
        </is>
      </c>
      <c r="E9" s="55" t="inlineStr">
        <is>
          <t>Relance</t>
        </is>
      </c>
      <c r="F9" s="55" t="inlineStr">
        <is>
          <t>Intéressé</t>
        </is>
      </c>
      <c r="G9" s="56" t="n"/>
      <c r="H9" s="57" t="n">
        <v>5</v>
      </c>
      <c r="I9" s="55" t="inlineStr">
        <is>
          <t>Rappeler pour fixer le RDV</t>
        </is>
      </c>
      <c r="J9" s="53" t="n">
        <v>46285</v>
      </c>
      <c r="K9" s="54" t="n">
        <v>0.4583333333333333</v>
      </c>
      <c r="L9" s="55" t="n"/>
      <c r="M9" s="55" t="n"/>
      <c r="N9" s="57" t="n"/>
      <c r="O9" s="55" t="n"/>
      <c r="P9" s="56" t="n"/>
      <c r="Q9" s="55" t="n"/>
      <c r="R9" s="55" t="n"/>
      <c r="S9" s="55" t="n"/>
      <c r="T9" s="55" t="n"/>
      <c r="U9" s="55" t="n"/>
      <c r="V9" s="55" t="n"/>
      <c r="W9" s="58" t="n"/>
      <c r="X9" s="58" t="n"/>
      <c r="Y9" s="55" t="n"/>
      <c r="Z9" s="55" t="n"/>
      <c r="AA9" s="55" t="n"/>
      <c r="AB9" s="55" t="n"/>
      <c r="AC9" s="55" t="n"/>
      <c r="AD9" s="53" t="n"/>
      <c r="AE9" s="55" t="n"/>
      <c r="AF9" s="55" t="n"/>
      <c r="AG9" s="59" t="n"/>
      <c r="AH9" s="57" t="n"/>
      <c r="AI9" s="55" t="n"/>
      <c r="AJ9" s="55" t="n"/>
      <c r="AK9" s="55" t="n"/>
      <c r="AL9" s="55" t="n"/>
      <c r="AM9" s="56" t="n"/>
      <c r="AN9" s="55" t="inlineStr">
        <is>
          <t>À voir</t>
        </is>
      </c>
      <c r="AO9" s="55" t="inlineStr">
        <is>
          <t>Oui</t>
        </is>
      </c>
      <c r="AP9" s="55" t="inlineStr">
        <is>
          <t>Oui</t>
        </is>
      </c>
      <c r="AQ9" s="55" t="n"/>
      <c r="AR9" s="60">
        <f>IF(AND(C9="",E9=""),"",IF(A9="","⚠ Date manquante",IF(AND(C9="",E9&lt;&gt;"Dépense"),"⚠ Prospect manquant",IF(E9="","⚠ Action manquante",IF(AND(AU9=1,D9=""),"⚠ Canal manquant",IF(AND(W9&lt;&gt;"",COUNTIFS('Saisie'!$W$5:$W$2004,W9,'Saisie'!$C$5:$C$2004,"&lt;&gt;"&amp;C9)&gt;0),"⚠ Numéro déjà utilisé par un autre prospect",IF(AND(J9&lt;&gt;"",J9&lt;A9),"⚠ Relance avant la date de l'action",IF(A9&gt;TODAY(),"⚠ Date dans le futur","✓"))))))))</f>
        <v/>
      </c>
      <c r="AS9" s="61">
        <f>IF(AND(A9="",C9="",E9=""),"",ROW())</f>
        <v/>
      </c>
      <c r="AT9" s="61">
        <f>IF(E9&amp;F9="","",MAX(IFERROR(INDEX('Paramètres'!$J$6:$J$33,MATCH(E9,'Paramètres'!$I$6:$I$33,0)),0),IFERROR(INDEX('Paramètres'!$N$6:$N$17,MATCH(F9,'Paramètres'!$M$6:$M$17,0)),0)))</f>
        <v/>
      </c>
      <c r="AU9" s="61">
        <f>IF(E9="","",IFERROR(IF(INDEX('Paramètres'!$K$6:$K$33,MATCH(E9,'Paramètres'!$I$6:$I$33,0))="Oui",1,0),0))</f>
        <v/>
      </c>
      <c r="AV9" s="61">
        <f>IF(F9="","",IFERROR(IF(INDEX('Paramètres'!$O$6:$O$17,MATCH(F9,'Paramètres'!$M$6:$M$17,0))="Oui",1,0),0))</f>
        <v/>
      </c>
      <c r="AW9" s="62">
        <f>IF(E9="","",IF(G9&lt;&gt;"",G9,IF(OR(E9="Proposition envoyée",E9="Signature"),MAX(0,N(IFERROR(INDEX('Paramètres'!$R$6:$R$15,MATCH(IF(AL9&lt;&gt;"",AL9,IFERROR(INDEX('Prospects'!$AN$5:$AN$504,MATCH(C9,'Prospects'!$C$5:$C$504,0)),"")),'Paramètres'!$Q$6:$Q$15,0)),0))-N(P9)),0)))</f>
        <v/>
      </c>
      <c r="AX9" s="61">
        <f>IF(C9="","",IF(COUNTIF($C$5:C9,C9)=1,MAX($AX$4:AX8)+1,""))</f>
        <v/>
      </c>
      <c r="AY9" s="61">
        <f>IF(B9="","",HOUR(B9))</f>
        <v/>
      </c>
      <c r="AZ9" s="61">
        <f>IF(A9="","",MOD(A9-2,7)+1)</f>
        <v/>
      </c>
      <c r="BA9" s="60">
        <f>IF(C9="","",IFERROR(INDEX('Prospects'!$N$5:$N$504,MATCH(C9,'Prospects'!$C$5:$C$504,0)),""))</f>
        <v/>
      </c>
      <c r="BB9" s="61">
        <f>IF(AND(C9&lt;&gt;"",C9='Fiche prospect'!$C$4),COUNTIF($C$5:C9,C9),"")</f>
        <v/>
      </c>
    </row>
    <row r="10">
      <c r="A10" s="53" t="n">
        <v>46286</v>
      </c>
      <c r="B10" s="54" t="n">
        <v>0.4270833333333333</v>
      </c>
      <c r="C10" s="55" t="inlineStr">
        <is>
          <t>Institut Belle Peau (EXEMPLE)</t>
        </is>
      </c>
      <c r="D10" s="55" t="inlineStr">
        <is>
          <t>Appel</t>
        </is>
      </c>
      <c r="E10" s="55" t="inlineStr">
        <is>
          <t>Premier contact</t>
        </is>
      </c>
      <c r="F10" s="55" t="inlineStr">
        <is>
          <t>Intéressé</t>
        </is>
      </c>
      <c r="G10" s="56" t="n"/>
      <c r="H10" s="57" t="n">
        <v>8</v>
      </c>
      <c r="I10" s="55" t="inlineStr">
        <is>
          <t>Envoyer audit + Loom</t>
        </is>
      </c>
      <c r="J10" s="53" t="n"/>
      <c r="K10" s="54" t="n"/>
      <c r="L10" s="55" t="n"/>
      <c r="M10" s="55" t="inlineStr">
        <is>
          <t>Accroche A - Pub Insta</t>
        </is>
      </c>
      <c r="N10" s="57" t="n"/>
      <c r="O10" s="55" t="n"/>
      <c r="P10" s="56" t="n"/>
      <c r="Q10" s="55" t="n"/>
      <c r="R10" s="55" t="inlineStr">
        <is>
          <t>Esthétique / Beauté</t>
        </is>
      </c>
      <c r="S10" s="55" t="inlineStr">
        <is>
          <t>Lyon</t>
        </is>
      </c>
      <c r="T10" s="55" t="inlineStr">
        <is>
          <t>Centre-ville</t>
        </is>
      </c>
      <c r="U10" s="55" t="inlineStr">
        <is>
          <t>Sarah Martin</t>
        </is>
      </c>
      <c r="V10" s="55" t="inlineStr">
        <is>
          <t>Gérante</t>
        </is>
      </c>
      <c r="W10" s="58" t="inlineStr">
        <is>
          <t>06 12 34 56 78</t>
        </is>
      </c>
      <c r="X10" s="58" t="n"/>
      <c r="Y10" s="55" t="inlineStr">
        <is>
          <t>@bellepeau.lyon</t>
        </is>
      </c>
      <c r="Z10" s="55" t="inlineStr">
        <is>
          <t>bellepeau-lyon.fr</t>
        </is>
      </c>
      <c r="AA10" s="55" t="inlineStr">
        <is>
          <t>Publicité Instagram</t>
        </is>
      </c>
      <c r="AB10" s="55" t="n"/>
      <c r="AC10" s="55" t="inlineStr">
        <is>
          <t>Oui</t>
        </is>
      </c>
      <c r="AD10" s="53" t="n">
        <v>46283</v>
      </c>
      <c r="AE10" s="55" t="inlineStr">
        <is>
          <t>Régulière</t>
        </is>
      </c>
      <c r="AF10" s="55" t="inlineStr">
        <is>
          <t>Faible</t>
        </is>
      </c>
      <c r="AG10" s="59" t="n">
        <v>4.1</v>
      </c>
      <c r="AH10" s="57" t="n">
        <v>23</v>
      </c>
      <c r="AI10" s="55" t="inlineStr">
        <is>
          <t>Petite</t>
        </is>
      </c>
      <c r="AJ10" s="55" t="n"/>
      <c r="AK10" s="55" t="n"/>
      <c r="AL10" s="55" t="n"/>
      <c r="AM10" s="56" t="n"/>
      <c r="AN10" s="55" t="inlineStr">
        <is>
          <t>Oui</t>
        </is>
      </c>
      <c r="AO10" s="55" t="inlineStr">
        <is>
          <t>Oui</t>
        </is>
      </c>
      <c r="AP10" s="55" t="inlineStr">
        <is>
          <t>Oui</t>
        </is>
      </c>
      <c r="AQ10" s="55" t="inlineStr">
        <is>
          <t>&lt; 1 mois</t>
        </is>
      </c>
      <c r="AR10" s="60">
        <f>IF(AND(C10="",E10=""),"",IF(A10="","⚠ Date manquante",IF(AND(C10="",E10&lt;&gt;"Dépense"),"⚠ Prospect manquant",IF(E10="","⚠ Action manquante",IF(AND(AU10=1,D10=""),"⚠ Canal manquant",IF(AND(W10&lt;&gt;"",COUNTIFS('Saisie'!$W$5:$W$2004,W10,'Saisie'!$C$5:$C$2004,"&lt;&gt;"&amp;C10)&gt;0),"⚠ Numéro déjà utilisé par un autre prospect",IF(AND(J10&lt;&gt;"",J10&lt;A10),"⚠ Relance avant la date de l'action",IF(A10&gt;TODAY(),"⚠ Date dans le futur","✓"))))))))</f>
        <v/>
      </c>
      <c r="AS10" s="61">
        <f>IF(AND(A10="",C10="",E10=""),"",ROW())</f>
        <v/>
      </c>
      <c r="AT10" s="61">
        <f>IF(E10&amp;F10="","",MAX(IFERROR(INDEX('Paramètres'!$J$6:$J$33,MATCH(E10,'Paramètres'!$I$6:$I$33,0)),0),IFERROR(INDEX('Paramètres'!$N$6:$N$17,MATCH(F10,'Paramètres'!$M$6:$M$17,0)),0)))</f>
        <v/>
      </c>
      <c r="AU10" s="61">
        <f>IF(E10="","",IFERROR(IF(INDEX('Paramètres'!$K$6:$K$33,MATCH(E10,'Paramètres'!$I$6:$I$33,0))="Oui",1,0),0))</f>
        <v/>
      </c>
      <c r="AV10" s="61">
        <f>IF(F10="","",IFERROR(IF(INDEX('Paramètres'!$O$6:$O$17,MATCH(F10,'Paramètres'!$M$6:$M$17,0))="Oui",1,0),0))</f>
        <v/>
      </c>
      <c r="AW10" s="62">
        <f>IF(E10="","",IF(G10&lt;&gt;"",G10,IF(OR(E10="Proposition envoyée",E10="Signature"),MAX(0,N(IFERROR(INDEX('Paramètres'!$R$6:$R$15,MATCH(IF(AL10&lt;&gt;"",AL10,IFERROR(INDEX('Prospects'!$AN$5:$AN$504,MATCH(C10,'Prospects'!$C$5:$C$504,0)),"")),'Paramètres'!$Q$6:$Q$15,0)),0))-N(P10)),0)))</f>
        <v/>
      </c>
      <c r="AX10" s="61">
        <f>IF(C10="","",IF(COUNTIF($C$5:C10,C10)=1,MAX($AX$4:AX9)+1,""))</f>
        <v/>
      </c>
      <c r="AY10" s="61">
        <f>IF(B10="","",HOUR(B10))</f>
        <v/>
      </c>
      <c r="AZ10" s="61">
        <f>IF(A10="","",MOD(A10-2,7)+1)</f>
        <v/>
      </c>
      <c r="BA10" s="60">
        <f>IF(C10="","",IFERROR(INDEX('Prospects'!$N$5:$N$504,MATCH(C10,'Prospects'!$C$5:$C$504,0)),""))</f>
        <v/>
      </c>
      <c r="BB10" s="61">
        <f>IF(AND(C10&lt;&gt;"",C10='Fiche prospect'!$C$4),COUNTIF($C$5:C10,C10),"")</f>
        <v/>
      </c>
    </row>
    <row r="11">
      <c r="A11" s="53" t="n">
        <v>46287</v>
      </c>
      <c r="B11" s="54" t="n"/>
      <c r="C11" s="55" t="inlineStr">
        <is>
          <t>Institut Belle Peau (EXEMPLE)</t>
        </is>
      </c>
      <c r="D11" s="55" t="n"/>
      <c r="E11" s="55" t="inlineStr">
        <is>
          <t>Audit réalisé</t>
        </is>
      </c>
      <c r="F11" s="55" t="n"/>
      <c r="G11" s="56" t="n"/>
      <c r="H11" s="57" t="n">
        <v>45</v>
      </c>
      <c r="I11" s="55" t="n"/>
      <c r="J11" s="53" t="n"/>
      <c r="K11" s="54" t="n"/>
      <c r="L11" s="55" t="n"/>
      <c r="M11" s="55" t="n"/>
      <c r="N11" s="57" t="n">
        <v>38</v>
      </c>
      <c r="O11" s="55" t="n"/>
      <c r="P11" s="56" t="n"/>
      <c r="Q11" s="55" t="n"/>
      <c r="R11" s="55" t="n"/>
      <c r="S11" s="55" t="n"/>
      <c r="T11" s="55" t="n"/>
      <c r="U11" s="55" t="n"/>
      <c r="V11" s="55" t="n"/>
      <c r="W11" s="58" t="n"/>
      <c r="X11" s="58" t="n"/>
      <c r="Y11" s="55" t="n"/>
      <c r="Z11" s="55" t="n"/>
      <c r="AA11" s="55" t="n"/>
      <c r="AB11" s="55" t="n"/>
      <c r="AC11" s="55" t="n"/>
      <c r="AD11" s="53" t="n"/>
      <c r="AE11" s="55" t="n"/>
      <c r="AF11" s="55" t="n"/>
      <c r="AG11" s="59" t="n"/>
      <c r="AH11" s="57" t="n"/>
      <c r="AI11" s="55" t="n"/>
      <c r="AJ11" s="55" t="n"/>
      <c r="AK11" s="55" t="n"/>
      <c r="AL11" s="55" t="n"/>
      <c r="AM11" s="56" t="n"/>
      <c r="AN11" s="55" t="n"/>
      <c r="AO11" s="55" t="n"/>
      <c r="AP11" s="55" t="n"/>
      <c r="AQ11" s="55" t="n"/>
      <c r="AR11" s="60">
        <f>IF(AND(C11="",E11=""),"",IF(A11="","⚠ Date manquante",IF(AND(C11="",E11&lt;&gt;"Dépense"),"⚠ Prospect manquant",IF(E11="","⚠ Action manquante",IF(AND(AU11=1,D11=""),"⚠ Canal manquant",IF(AND(W11&lt;&gt;"",COUNTIFS('Saisie'!$W$5:$W$2004,W11,'Saisie'!$C$5:$C$2004,"&lt;&gt;"&amp;C11)&gt;0),"⚠ Numéro déjà utilisé par un autre prospect",IF(AND(J11&lt;&gt;"",J11&lt;A11),"⚠ Relance avant la date de l'action",IF(A11&gt;TODAY(),"⚠ Date dans le futur","✓"))))))))</f>
        <v/>
      </c>
      <c r="AS11" s="61">
        <f>IF(AND(A11="",C11="",E11=""),"",ROW())</f>
        <v/>
      </c>
      <c r="AT11" s="61">
        <f>IF(E11&amp;F11="","",MAX(IFERROR(INDEX('Paramètres'!$J$6:$J$33,MATCH(E11,'Paramètres'!$I$6:$I$33,0)),0),IFERROR(INDEX('Paramètres'!$N$6:$N$17,MATCH(F11,'Paramètres'!$M$6:$M$17,0)),0)))</f>
        <v/>
      </c>
      <c r="AU11" s="61">
        <f>IF(E11="","",IFERROR(IF(INDEX('Paramètres'!$K$6:$K$33,MATCH(E11,'Paramètres'!$I$6:$I$33,0))="Oui",1,0),0))</f>
        <v/>
      </c>
      <c r="AV11" s="61">
        <f>IF(F11="","",IFERROR(IF(INDEX('Paramètres'!$O$6:$O$17,MATCH(F11,'Paramètres'!$M$6:$M$17,0))="Oui",1,0),0))</f>
        <v/>
      </c>
      <c r="AW11" s="62">
        <f>IF(E11="","",IF(G11&lt;&gt;"",G11,IF(OR(E11="Proposition envoyée",E11="Signature"),MAX(0,N(IFERROR(INDEX('Paramètres'!$R$6:$R$15,MATCH(IF(AL11&lt;&gt;"",AL11,IFERROR(INDEX('Prospects'!$AN$5:$AN$504,MATCH(C11,'Prospects'!$C$5:$C$504,0)),"")),'Paramètres'!$Q$6:$Q$15,0)),0))-N(P11)),0)))</f>
        <v/>
      </c>
      <c r="AX11" s="61">
        <f>IF(C11="","",IF(COUNTIF($C$5:C11,C11)=1,MAX($AX$4:AX10)+1,""))</f>
        <v/>
      </c>
      <c r="AY11" s="61">
        <f>IF(B11="","",HOUR(B11))</f>
        <v/>
      </c>
      <c r="AZ11" s="61">
        <f>IF(A11="","",MOD(A11-2,7)+1)</f>
        <v/>
      </c>
      <c r="BA11" s="60">
        <f>IF(C11="","",IFERROR(INDEX('Prospects'!$N$5:$N$504,MATCH(C11,'Prospects'!$C$5:$C$504,0)),""))</f>
        <v/>
      </c>
      <c r="BB11" s="61">
        <f>IF(AND(C11&lt;&gt;"",C11='Fiche prospect'!$C$4),COUNTIF($C$5:C11,C11),"")</f>
        <v/>
      </c>
    </row>
    <row r="12">
      <c r="A12" s="53" t="n">
        <v>46287</v>
      </c>
      <c r="B12" s="54" t="n">
        <v>0.4583333333333333</v>
      </c>
      <c r="C12" s="55" t="inlineStr">
        <is>
          <t>Garage Auto Rapide (EXEMPLE)</t>
        </is>
      </c>
      <c r="D12" s="55" t="inlineStr">
        <is>
          <t>DM</t>
        </is>
      </c>
      <c r="E12" s="55" t="inlineStr">
        <is>
          <t>Premier contact</t>
        </is>
      </c>
      <c r="F12" s="55" t="inlineStr">
        <is>
          <t>Pas de réponse</t>
        </is>
      </c>
      <c r="G12" s="56" t="n"/>
      <c r="H12" s="57" t="n"/>
      <c r="I12" s="55" t="n"/>
      <c r="J12" s="53" t="n"/>
      <c r="K12" s="54" t="n"/>
      <c r="L12" s="55" t="n"/>
      <c r="M12" s="55" t="inlineStr">
        <is>
          <t>DM 1 - Compliment + question</t>
        </is>
      </c>
      <c r="N12" s="57" t="n"/>
      <c r="O12" s="55" t="n"/>
      <c r="P12" s="56" t="n"/>
      <c r="Q12" s="55" t="n"/>
      <c r="R12" s="55" t="inlineStr">
        <is>
          <t>Automobile</t>
        </is>
      </c>
      <c r="S12" s="55" t="inlineStr">
        <is>
          <t>Villeurbanne</t>
        </is>
      </c>
      <c r="T12" s="55" t="inlineStr">
        <is>
          <t>Périphérie</t>
        </is>
      </c>
      <c r="U12" s="55" t="inlineStr">
        <is>
          <t>Karim Benali</t>
        </is>
      </c>
      <c r="V12" s="55" t="inlineStr">
        <is>
          <t>Dirigeant</t>
        </is>
      </c>
      <c r="W12" s="58" t="inlineStr">
        <is>
          <t>07 98 76 54 32</t>
        </is>
      </c>
      <c r="X12" s="58" t="n"/>
      <c r="Y12" s="55" t="inlineStr">
        <is>
          <t>@autorapide69</t>
        </is>
      </c>
      <c r="Z12" s="55" t="n"/>
      <c r="AA12" s="55" t="inlineStr">
        <is>
          <t>Profil Instagram</t>
        </is>
      </c>
      <c r="AB12" s="55" t="n"/>
      <c r="AC12" s="55" t="inlineStr">
        <is>
          <t>Non</t>
        </is>
      </c>
      <c r="AD12" s="53" t="n"/>
      <c r="AE12" s="55" t="n"/>
      <c r="AF12" s="55" t="inlineStr">
        <is>
          <t>Absente</t>
        </is>
      </c>
      <c r="AG12" s="59" t="n"/>
      <c r="AH12" s="57" t="n"/>
      <c r="AI12" s="55" t="inlineStr">
        <is>
          <t>Moyenne</t>
        </is>
      </c>
      <c r="AJ12" s="55" t="n"/>
      <c r="AK12" s="55" t="n"/>
      <c r="AL12" s="55" t="n"/>
      <c r="AM12" s="56" t="n"/>
      <c r="AN12" s="55" t="n"/>
      <c r="AO12" s="55" t="n"/>
      <c r="AP12" s="55" t="n"/>
      <c r="AQ12" s="55" t="n"/>
      <c r="AR12" s="60">
        <f>IF(AND(C12="",E12=""),"",IF(A12="","⚠ Date manquante",IF(AND(C12="",E12&lt;&gt;"Dépense"),"⚠ Prospect manquant",IF(E12="","⚠ Action manquante",IF(AND(AU12=1,D12=""),"⚠ Canal manquant",IF(AND(W12&lt;&gt;"",COUNTIFS('Saisie'!$W$5:$W$2004,W12,'Saisie'!$C$5:$C$2004,"&lt;&gt;"&amp;C12)&gt;0),"⚠ Numéro déjà utilisé par un autre prospect",IF(AND(J12&lt;&gt;"",J12&lt;A12),"⚠ Relance avant la date de l'action",IF(A12&gt;TODAY(),"⚠ Date dans le futur","✓"))))))))</f>
        <v/>
      </c>
      <c r="AS12" s="61">
        <f>IF(AND(A12="",C12="",E12=""),"",ROW())</f>
        <v/>
      </c>
      <c r="AT12" s="61">
        <f>IF(E12&amp;F12="","",MAX(IFERROR(INDEX('Paramètres'!$J$6:$J$33,MATCH(E12,'Paramètres'!$I$6:$I$33,0)),0),IFERROR(INDEX('Paramètres'!$N$6:$N$17,MATCH(F12,'Paramètres'!$M$6:$M$17,0)),0)))</f>
        <v/>
      </c>
      <c r="AU12" s="61">
        <f>IF(E12="","",IFERROR(IF(INDEX('Paramètres'!$K$6:$K$33,MATCH(E12,'Paramètres'!$I$6:$I$33,0))="Oui",1,0),0))</f>
        <v/>
      </c>
      <c r="AV12" s="61">
        <f>IF(F12="","",IFERROR(IF(INDEX('Paramètres'!$O$6:$O$17,MATCH(F12,'Paramètres'!$M$6:$M$17,0))="Oui",1,0),0))</f>
        <v/>
      </c>
      <c r="AW12" s="62">
        <f>IF(E12="","",IF(G12&lt;&gt;"",G12,IF(OR(E12="Proposition envoyée",E12="Signature"),MAX(0,N(IFERROR(INDEX('Paramètres'!$R$6:$R$15,MATCH(IF(AL12&lt;&gt;"",AL12,IFERROR(INDEX('Prospects'!$AN$5:$AN$504,MATCH(C12,'Prospects'!$C$5:$C$504,0)),"")),'Paramètres'!$Q$6:$Q$15,0)),0))-N(P12)),0)))</f>
        <v/>
      </c>
      <c r="AX12" s="61">
        <f>IF(C12="","",IF(COUNTIF($C$5:C12,C12)=1,MAX($AX$4:AX11)+1,""))</f>
        <v/>
      </c>
      <c r="AY12" s="61">
        <f>IF(B12="","",HOUR(B12))</f>
        <v/>
      </c>
      <c r="AZ12" s="61">
        <f>IF(A12="","",MOD(A12-2,7)+1)</f>
        <v/>
      </c>
      <c r="BA12" s="60">
        <f>IF(C12="","",IFERROR(INDEX('Prospects'!$N$5:$N$504,MATCH(C12,'Prospects'!$C$5:$C$504,0)),""))</f>
        <v/>
      </c>
      <c r="BB12" s="61">
        <f>IF(AND(C12&lt;&gt;"",C12='Fiche prospect'!$C$4),COUNTIF($C$5:C12,C12),"")</f>
        <v/>
      </c>
    </row>
    <row r="13">
      <c r="A13" s="53" t="n">
        <v>46287</v>
      </c>
      <c r="B13" s="54" t="n"/>
      <c r="C13" s="55" t="inlineStr">
        <is>
          <t>Institut Belle Peau (EXEMPLE)</t>
        </is>
      </c>
      <c r="D13" s="55" t="inlineStr">
        <is>
          <t>WhatsApp</t>
        </is>
      </c>
      <c r="E13" s="55" t="inlineStr">
        <is>
          <t>Loom envoyé</t>
        </is>
      </c>
      <c r="F13" s="55" t="inlineStr">
        <is>
          <t>Loom vu</t>
        </is>
      </c>
      <c r="G13" s="56" t="n"/>
      <c r="H13" s="57" t="n"/>
      <c r="I13" s="55" t="n"/>
      <c r="J13" s="53" t="n"/>
      <c r="K13" s="54" t="n"/>
      <c r="L13" s="55" t="n"/>
      <c r="M13" s="55" t="n"/>
      <c r="N13" s="57" t="n"/>
      <c r="O13" s="55" t="n"/>
      <c r="P13" s="56" t="n"/>
      <c r="Q13" s="55" t="n"/>
      <c r="R13" s="55" t="n"/>
      <c r="S13" s="55" t="n"/>
      <c r="T13" s="55" t="n"/>
      <c r="U13" s="55" t="n"/>
      <c r="V13" s="55" t="n"/>
      <c r="W13" s="58" t="n"/>
      <c r="X13" s="58" t="n"/>
      <c r="Y13" s="55" t="n"/>
      <c r="Z13" s="55" t="n"/>
      <c r="AA13" s="55" t="n"/>
      <c r="AB13" s="55" t="n"/>
      <c r="AC13" s="55" t="n"/>
      <c r="AD13" s="53" t="n"/>
      <c r="AE13" s="55" t="n"/>
      <c r="AF13" s="55" t="n"/>
      <c r="AG13" s="59" t="n"/>
      <c r="AH13" s="57" t="n"/>
      <c r="AI13" s="55" t="n"/>
      <c r="AJ13" s="55" t="n"/>
      <c r="AK13" s="55" t="n"/>
      <c r="AL13" s="55" t="n"/>
      <c r="AM13" s="56" t="n"/>
      <c r="AN13" s="55" t="n"/>
      <c r="AO13" s="55" t="n"/>
      <c r="AP13" s="55" t="n"/>
      <c r="AQ13" s="55" t="n"/>
      <c r="AR13" s="60">
        <f>IF(AND(C13="",E13=""),"",IF(A13="","⚠ Date manquante",IF(AND(C13="",E13&lt;&gt;"Dépense"),"⚠ Prospect manquant",IF(E13="","⚠ Action manquante",IF(AND(AU13=1,D13=""),"⚠ Canal manquant",IF(AND(W13&lt;&gt;"",COUNTIFS('Saisie'!$W$5:$W$2004,W13,'Saisie'!$C$5:$C$2004,"&lt;&gt;"&amp;C13)&gt;0),"⚠ Numéro déjà utilisé par un autre prospect",IF(AND(J13&lt;&gt;"",J13&lt;A13),"⚠ Relance avant la date de l'action",IF(A13&gt;TODAY(),"⚠ Date dans le futur","✓"))))))))</f>
        <v/>
      </c>
      <c r="AS13" s="61">
        <f>IF(AND(A13="",C13="",E13=""),"",ROW())</f>
        <v/>
      </c>
      <c r="AT13" s="61">
        <f>IF(E13&amp;F13="","",MAX(IFERROR(INDEX('Paramètres'!$J$6:$J$33,MATCH(E13,'Paramètres'!$I$6:$I$33,0)),0),IFERROR(INDEX('Paramètres'!$N$6:$N$17,MATCH(F13,'Paramètres'!$M$6:$M$17,0)),0)))</f>
        <v/>
      </c>
      <c r="AU13" s="61">
        <f>IF(E13="","",IFERROR(IF(INDEX('Paramètres'!$K$6:$K$33,MATCH(E13,'Paramètres'!$I$6:$I$33,0))="Oui",1,0),0))</f>
        <v/>
      </c>
      <c r="AV13" s="61">
        <f>IF(F13="","",IFERROR(IF(INDEX('Paramètres'!$O$6:$O$17,MATCH(F13,'Paramètres'!$M$6:$M$17,0))="Oui",1,0),0))</f>
        <v/>
      </c>
      <c r="AW13" s="62">
        <f>IF(E13="","",IF(G13&lt;&gt;"",G13,IF(OR(E13="Proposition envoyée",E13="Signature"),MAX(0,N(IFERROR(INDEX('Paramètres'!$R$6:$R$15,MATCH(IF(AL13&lt;&gt;"",AL13,IFERROR(INDEX('Prospects'!$AN$5:$AN$504,MATCH(C13,'Prospects'!$C$5:$C$504,0)),"")),'Paramètres'!$Q$6:$Q$15,0)),0))-N(P13)),0)))</f>
        <v/>
      </c>
      <c r="AX13" s="61">
        <f>IF(C13="","",IF(COUNTIF($C$5:C13,C13)=1,MAX($AX$4:AX12)+1,""))</f>
        <v/>
      </c>
      <c r="AY13" s="61">
        <f>IF(B13="","",HOUR(B13))</f>
        <v/>
      </c>
      <c r="AZ13" s="61">
        <f>IF(A13="","",MOD(A13-2,7)+1)</f>
        <v/>
      </c>
      <c r="BA13" s="60">
        <f>IF(C13="","",IFERROR(INDEX('Prospects'!$N$5:$N$504,MATCH(C13,'Prospects'!$C$5:$C$504,0)),""))</f>
        <v/>
      </c>
      <c r="BB13" s="61">
        <f>IF(AND(C13&lt;&gt;"",C13='Fiche prospect'!$C$4),COUNTIF($C$5:C13,C13),"")</f>
        <v/>
      </c>
    </row>
    <row r="14">
      <c r="A14" s="53" t="n">
        <v>46288</v>
      </c>
      <c r="B14" s="54" t="n">
        <v>0.6041666666666666</v>
      </c>
      <c r="C14" s="55" t="inlineStr">
        <is>
          <t>Institut Belle Peau (EXEMPLE)</t>
        </is>
      </c>
      <c r="D14" s="55" t="inlineStr">
        <is>
          <t>Appel</t>
        </is>
      </c>
      <c r="E14" s="55" t="inlineStr">
        <is>
          <t>Échange / suivi</t>
        </is>
      </c>
      <c r="F14" s="55" t="inlineStr">
        <is>
          <t>RDV pris</t>
        </is>
      </c>
      <c r="G14" s="56" t="n"/>
      <c r="H14" s="57" t="n">
        <v>6</v>
      </c>
      <c r="I14" s="55" t="n"/>
      <c r="J14" s="53" t="n"/>
      <c r="K14" s="54" t="n"/>
      <c r="L14" s="55" t="n"/>
      <c r="M14" s="55" t="n"/>
      <c r="N14" s="57" t="n"/>
      <c r="O14" s="55" t="n"/>
      <c r="P14" s="56" t="n"/>
      <c r="Q14" s="55" t="n"/>
      <c r="R14" s="55" t="n"/>
      <c r="S14" s="55" t="n"/>
      <c r="T14" s="55" t="n"/>
      <c r="U14" s="55" t="n"/>
      <c r="V14" s="55" t="n"/>
      <c r="W14" s="58" t="n"/>
      <c r="X14" s="58" t="n"/>
      <c r="Y14" s="55" t="n"/>
      <c r="Z14" s="55" t="n"/>
      <c r="AA14" s="55" t="n"/>
      <c r="AB14" s="55" t="n"/>
      <c r="AC14" s="55" t="n"/>
      <c r="AD14" s="53" t="n"/>
      <c r="AE14" s="55" t="n"/>
      <c r="AF14" s="55" t="n"/>
      <c r="AG14" s="59" t="n"/>
      <c r="AH14" s="57" t="n"/>
      <c r="AI14" s="55" t="n"/>
      <c r="AJ14" s="55" t="n"/>
      <c r="AK14" s="55" t="n"/>
      <c r="AL14" s="55" t="n"/>
      <c r="AM14" s="56" t="n"/>
      <c r="AN14" s="55" t="n"/>
      <c r="AO14" s="55" t="n"/>
      <c r="AP14" s="55" t="n"/>
      <c r="AQ14" s="55" t="n"/>
      <c r="AR14" s="60">
        <f>IF(AND(C14="",E14=""),"",IF(A14="","⚠ Date manquante",IF(AND(C14="",E14&lt;&gt;"Dépense"),"⚠ Prospect manquant",IF(E14="","⚠ Action manquante",IF(AND(AU14=1,D14=""),"⚠ Canal manquant",IF(AND(W14&lt;&gt;"",COUNTIFS('Saisie'!$W$5:$W$2004,W14,'Saisie'!$C$5:$C$2004,"&lt;&gt;"&amp;C14)&gt;0),"⚠ Numéro déjà utilisé par un autre prospect",IF(AND(J14&lt;&gt;"",J14&lt;A14),"⚠ Relance avant la date de l'action",IF(A14&gt;TODAY(),"⚠ Date dans le futur","✓"))))))))</f>
        <v/>
      </c>
      <c r="AS14" s="61">
        <f>IF(AND(A14="",C14="",E14=""),"",ROW())</f>
        <v/>
      </c>
      <c r="AT14" s="61">
        <f>IF(E14&amp;F14="","",MAX(IFERROR(INDEX('Paramètres'!$J$6:$J$33,MATCH(E14,'Paramètres'!$I$6:$I$33,0)),0),IFERROR(INDEX('Paramètres'!$N$6:$N$17,MATCH(F14,'Paramètres'!$M$6:$M$17,0)),0)))</f>
        <v/>
      </c>
      <c r="AU14" s="61">
        <f>IF(E14="","",IFERROR(IF(INDEX('Paramètres'!$K$6:$K$33,MATCH(E14,'Paramètres'!$I$6:$I$33,0))="Oui",1,0),0))</f>
        <v/>
      </c>
      <c r="AV14" s="61">
        <f>IF(F14="","",IFERROR(IF(INDEX('Paramètres'!$O$6:$O$17,MATCH(F14,'Paramètres'!$M$6:$M$17,0))="Oui",1,0),0))</f>
        <v/>
      </c>
      <c r="AW14" s="62">
        <f>IF(E14="","",IF(G14&lt;&gt;"",G14,IF(OR(E14="Proposition envoyée",E14="Signature"),MAX(0,N(IFERROR(INDEX('Paramètres'!$R$6:$R$15,MATCH(IF(AL14&lt;&gt;"",AL14,IFERROR(INDEX('Prospects'!$AN$5:$AN$504,MATCH(C14,'Prospects'!$C$5:$C$504,0)),"")),'Paramètres'!$Q$6:$Q$15,0)),0))-N(P14)),0)))</f>
        <v/>
      </c>
      <c r="AX14" s="61">
        <f>IF(C14="","",IF(COUNTIF($C$5:C14,C14)=1,MAX($AX$4:AX13)+1,""))</f>
        <v/>
      </c>
      <c r="AY14" s="61">
        <f>IF(B14="","",HOUR(B14))</f>
        <v/>
      </c>
      <c r="AZ14" s="61">
        <f>IF(A14="","",MOD(A14-2,7)+1)</f>
        <v/>
      </c>
      <c r="BA14" s="60">
        <f>IF(C14="","",IFERROR(INDEX('Prospects'!$N$5:$N$504,MATCH(C14,'Prospects'!$C$5:$C$504,0)),""))</f>
        <v/>
      </c>
      <c r="BB14" s="61">
        <f>IF(AND(C14&lt;&gt;"",C14='Fiche prospect'!$C$4),COUNTIF($C$5:C14,C14),"")</f>
        <v/>
      </c>
    </row>
    <row r="15">
      <c r="A15" s="53" t="n">
        <v>46289</v>
      </c>
      <c r="B15" s="54" t="n">
        <v>0.3958333333333333</v>
      </c>
      <c r="C15" s="55" t="inlineStr">
        <is>
          <t>Garage Auto Rapide (EXEMPLE)</t>
        </is>
      </c>
      <c r="D15" s="55" t="inlineStr">
        <is>
          <t>DM</t>
        </is>
      </c>
      <c r="E15" s="55" t="inlineStr">
        <is>
          <t>Relance</t>
        </is>
      </c>
      <c r="F15" s="55" t="inlineStr">
        <is>
          <t>Pas de réponse</t>
        </is>
      </c>
      <c r="G15" s="56" t="n"/>
      <c r="H15" s="57" t="n"/>
      <c r="I15" s="55" t="n"/>
      <c r="J15" s="53" t="n"/>
      <c r="K15" s="54" t="n"/>
      <c r="L15" s="55" t="n"/>
      <c r="M15" s="55" t="inlineStr">
        <is>
          <t>DM 2 - Audit gratuit</t>
        </is>
      </c>
      <c r="N15" s="57" t="n"/>
      <c r="O15" s="55" t="n"/>
      <c r="P15" s="56" t="n"/>
      <c r="Q15" s="55" t="n"/>
      <c r="R15" s="55" t="n"/>
      <c r="S15" s="55" t="n"/>
      <c r="T15" s="55" t="n"/>
      <c r="U15" s="55" t="n"/>
      <c r="V15" s="55" t="n"/>
      <c r="W15" s="58" t="n"/>
      <c r="X15" s="58" t="n"/>
      <c r="Y15" s="55" t="n"/>
      <c r="Z15" s="55" t="n"/>
      <c r="AA15" s="55" t="n"/>
      <c r="AB15" s="55" t="n"/>
      <c r="AC15" s="55" t="n"/>
      <c r="AD15" s="53" t="n"/>
      <c r="AE15" s="55" t="n"/>
      <c r="AF15" s="55" t="n"/>
      <c r="AG15" s="59" t="n"/>
      <c r="AH15" s="57" t="n"/>
      <c r="AI15" s="55" t="n"/>
      <c r="AJ15" s="55" t="n"/>
      <c r="AK15" s="55" t="n"/>
      <c r="AL15" s="55" t="n"/>
      <c r="AM15" s="56" t="n"/>
      <c r="AN15" s="55" t="n"/>
      <c r="AO15" s="55" t="n"/>
      <c r="AP15" s="55" t="n"/>
      <c r="AQ15" s="55" t="n"/>
      <c r="AR15" s="60">
        <f>IF(AND(C15="",E15=""),"",IF(A15="","⚠ Date manquante",IF(AND(C15="",E15&lt;&gt;"Dépense"),"⚠ Prospect manquant",IF(E15="","⚠ Action manquante",IF(AND(AU15=1,D15=""),"⚠ Canal manquant",IF(AND(W15&lt;&gt;"",COUNTIFS('Saisie'!$W$5:$W$2004,W15,'Saisie'!$C$5:$C$2004,"&lt;&gt;"&amp;C15)&gt;0),"⚠ Numéro déjà utilisé par un autre prospect",IF(AND(J15&lt;&gt;"",J15&lt;A15),"⚠ Relance avant la date de l'action",IF(A15&gt;TODAY(),"⚠ Date dans le futur","✓"))))))))</f>
        <v/>
      </c>
      <c r="AS15" s="61">
        <f>IF(AND(A15="",C15="",E15=""),"",ROW())</f>
        <v/>
      </c>
      <c r="AT15" s="61">
        <f>IF(E15&amp;F15="","",MAX(IFERROR(INDEX('Paramètres'!$J$6:$J$33,MATCH(E15,'Paramètres'!$I$6:$I$33,0)),0),IFERROR(INDEX('Paramètres'!$N$6:$N$17,MATCH(F15,'Paramètres'!$M$6:$M$17,0)),0)))</f>
        <v/>
      </c>
      <c r="AU15" s="61">
        <f>IF(E15="","",IFERROR(IF(INDEX('Paramètres'!$K$6:$K$33,MATCH(E15,'Paramètres'!$I$6:$I$33,0))="Oui",1,0),0))</f>
        <v/>
      </c>
      <c r="AV15" s="61">
        <f>IF(F15="","",IFERROR(IF(INDEX('Paramètres'!$O$6:$O$17,MATCH(F15,'Paramètres'!$M$6:$M$17,0))="Oui",1,0),0))</f>
        <v/>
      </c>
      <c r="AW15" s="62">
        <f>IF(E15="","",IF(G15&lt;&gt;"",G15,IF(OR(E15="Proposition envoyée",E15="Signature"),MAX(0,N(IFERROR(INDEX('Paramètres'!$R$6:$R$15,MATCH(IF(AL15&lt;&gt;"",AL15,IFERROR(INDEX('Prospects'!$AN$5:$AN$504,MATCH(C15,'Prospects'!$C$5:$C$504,0)),"")),'Paramètres'!$Q$6:$Q$15,0)),0))-N(P15)),0)))</f>
        <v/>
      </c>
      <c r="AX15" s="61">
        <f>IF(C15="","",IF(COUNTIF($C$5:C15,C15)=1,MAX($AX$4:AX14)+1,""))</f>
        <v/>
      </c>
      <c r="AY15" s="61">
        <f>IF(B15="","",HOUR(B15))</f>
        <v/>
      </c>
      <c r="AZ15" s="61">
        <f>IF(A15="","",MOD(A15-2,7)+1)</f>
        <v/>
      </c>
      <c r="BA15" s="60">
        <f>IF(C15="","",IFERROR(INDEX('Prospects'!$N$5:$N$504,MATCH(C15,'Prospects'!$C$5:$C$504,0)),""))</f>
        <v/>
      </c>
      <c r="BB15" s="61">
        <f>IF(AND(C15&lt;&gt;"",C15='Fiche prospect'!$C$4),COUNTIF($C$5:C15,C15),"")</f>
        <v/>
      </c>
    </row>
    <row r="16">
      <c r="A16" s="53" t="n">
        <v>46289</v>
      </c>
      <c r="B16" s="54" t="n"/>
      <c r="C16" s="55" t="inlineStr">
        <is>
          <t>Institut Belle Peau (EXEMPLE)</t>
        </is>
      </c>
      <c r="D16" s="55" t="n"/>
      <c r="E16" s="55" t="inlineStr">
        <is>
          <t>RDV</t>
        </is>
      </c>
      <c r="F16" s="55" t="inlineStr">
        <is>
          <t>Intéressé</t>
        </is>
      </c>
      <c r="G16" s="56" t="n"/>
      <c r="H16" s="57" t="n">
        <v>40</v>
      </c>
      <c r="I16" s="55" t="inlineStr">
        <is>
          <t>Envoyer la proposition</t>
        </is>
      </c>
      <c r="J16" s="53" t="n"/>
      <c r="K16" s="54" t="n"/>
      <c r="L16" s="55" t="n"/>
      <c r="M16" s="55" t="n"/>
      <c r="N16" s="57" t="n"/>
      <c r="O16" s="55" t="n"/>
      <c r="P16" s="56" t="n"/>
      <c r="Q16" s="55" t="n"/>
      <c r="R16" s="55" t="n"/>
      <c r="S16" s="55" t="n"/>
      <c r="T16" s="55" t="n"/>
      <c r="U16" s="55" t="n"/>
      <c r="V16" s="55" t="n"/>
      <c r="W16" s="58" t="n"/>
      <c r="X16" s="58" t="n"/>
      <c r="Y16" s="55" t="n"/>
      <c r="Z16" s="55" t="n"/>
      <c r="AA16" s="55" t="n"/>
      <c r="AB16" s="55" t="n"/>
      <c r="AC16" s="55" t="n"/>
      <c r="AD16" s="53" t="n"/>
      <c r="AE16" s="55" t="n"/>
      <c r="AF16" s="55" t="n"/>
      <c r="AG16" s="59" t="n"/>
      <c r="AH16" s="57" t="n"/>
      <c r="AI16" s="55" t="n"/>
      <c r="AJ16" s="55" t="n"/>
      <c r="AK16" s="55" t="n"/>
      <c r="AL16" s="55" t="n"/>
      <c r="AM16" s="56" t="n"/>
      <c r="AN16" s="55" t="n"/>
      <c r="AO16" s="55" t="n"/>
      <c r="AP16" s="55" t="n"/>
      <c r="AQ16" s="55" t="n"/>
      <c r="AR16" s="60">
        <f>IF(AND(C16="",E16=""),"",IF(A16="","⚠ Date manquante",IF(AND(C16="",E16&lt;&gt;"Dépense"),"⚠ Prospect manquant",IF(E16="","⚠ Action manquante",IF(AND(AU16=1,D16=""),"⚠ Canal manquant",IF(AND(W16&lt;&gt;"",COUNTIFS('Saisie'!$W$5:$W$2004,W16,'Saisie'!$C$5:$C$2004,"&lt;&gt;"&amp;C16)&gt;0),"⚠ Numéro déjà utilisé par un autre prospect",IF(AND(J16&lt;&gt;"",J16&lt;A16),"⚠ Relance avant la date de l'action",IF(A16&gt;TODAY(),"⚠ Date dans le futur","✓"))))))))</f>
        <v/>
      </c>
      <c r="AS16" s="61">
        <f>IF(AND(A16="",C16="",E16=""),"",ROW())</f>
        <v/>
      </c>
      <c r="AT16" s="61">
        <f>IF(E16&amp;F16="","",MAX(IFERROR(INDEX('Paramètres'!$J$6:$J$33,MATCH(E16,'Paramètres'!$I$6:$I$33,0)),0),IFERROR(INDEX('Paramètres'!$N$6:$N$17,MATCH(F16,'Paramètres'!$M$6:$M$17,0)),0)))</f>
        <v/>
      </c>
      <c r="AU16" s="61">
        <f>IF(E16="","",IFERROR(IF(INDEX('Paramètres'!$K$6:$K$33,MATCH(E16,'Paramètres'!$I$6:$I$33,0))="Oui",1,0),0))</f>
        <v/>
      </c>
      <c r="AV16" s="61">
        <f>IF(F16="","",IFERROR(IF(INDEX('Paramètres'!$O$6:$O$17,MATCH(F16,'Paramètres'!$M$6:$M$17,0))="Oui",1,0),0))</f>
        <v/>
      </c>
      <c r="AW16" s="62">
        <f>IF(E16="","",IF(G16&lt;&gt;"",G16,IF(OR(E16="Proposition envoyée",E16="Signature"),MAX(0,N(IFERROR(INDEX('Paramètres'!$R$6:$R$15,MATCH(IF(AL16&lt;&gt;"",AL16,IFERROR(INDEX('Prospects'!$AN$5:$AN$504,MATCH(C16,'Prospects'!$C$5:$C$504,0)),"")),'Paramètres'!$Q$6:$Q$15,0)),0))-N(P16)),0)))</f>
        <v/>
      </c>
      <c r="AX16" s="61">
        <f>IF(C16="","",IF(COUNTIF($C$5:C16,C16)=1,MAX($AX$4:AX15)+1,""))</f>
        <v/>
      </c>
      <c r="AY16" s="61">
        <f>IF(B16="","",HOUR(B16))</f>
        <v/>
      </c>
      <c r="AZ16" s="61">
        <f>IF(A16="","",MOD(A16-2,7)+1)</f>
        <v/>
      </c>
      <c r="BA16" s="60">
        <f>IF(C16="","",IFERROR(INDEX('Prospects'!$N$5:$N$504,MATCH(C16,'Prospects'!$C$5:$C$504,0)),""))</f>
        <v/>
      </c>
      <c r="BB16" s="61">
        <f>IF(AND(C16&lt;&gt;"",C16='Fiche prospect'!$C$4),COUNTIF($C$5:C16,C16),"")</f>
        <v/>
      </c>
    </row>
    <row r="17">
      <c r="A17" s="53" t="n">
        <v>46289</v>
      </c>
      <c r="B17" s="54" t="n"/>
      <c r="C17" s="55" t="inlineStr">
        <is>
          <t>Institut Belle Peau (EXEMPLE)</t>
        </is>
      </c>
      <c r="D17" s="55" t="n"/>
      <c r="E17" s="55" t="inlineStr">
        <is>
          <t>Proposition envoyée</t>
        </is>
      </c>
      <c r="F17" s="55" t="n"/>
      <c r="G17" s="56" t="n"/>
      <c r="H17" s="57" t="n"/>
      <c r="I17" s="55" t="n"/>
      <c r="J17" s="53" t="n"/>
      <c r="K17" s="54" t="n"/>
      <c r="L17" s="55" t="n"/>
      <c r="M17" s="55" t="n"/>
      <c r="N17" s="57" t="n"/>
      <c r="O17" s="55" t="n"/>
      <c r="P17" s="56" t="n"/>
      <c r="Q17" s="55" t="n"/>
      <c r="R17" s="55" t="n"/>
      <c r="S17" s="55" t="n"/>
      <c r="T17" s="55" t="n"/>
      <c r="U17" s="55" t="n"/>
      <c r="V17" s="55" t="n"/>
      <c r="W17" s="58" t="n"/>
      <c r="X17" s="58" t="n"/>
      <c r="Y17" s="55" t="n"/>
      <c r="Z17" s="55" t="n"/>
      <c r="AA17" s="55" t="n"/>
      <c r="AB17" s="55" t="n"/>
      <c r="AC17" s="55" t="n"/>
      <c r="AD17" s="53" t="n"/>
      <c r="AE17" s="55" t="n"/>
      <c r="AF17" s="55" t="n"/>
      <c r="AG17" s="59" t="n"/>
      <c r="AH17" s="57" t="n"/>
      <c r="AI17" s="55" t="n"/>
      <c r="AJ17" s="55" t="n"/>
      <c r="AK17" s="55" t="n"/>
      <c r="AL17" s="55" t="inlineStr">
        <is>
          <t>Site + réservation</t>
        </is>
      </c>
      <c r="AM17" s="56" t="n">
        <v>90</v>
      </c>
      <c r="AN17" s="55" t="n"/>
      <c r="AO17" s="55" t="n"/>
      <c r="AP17" s="55" t="n"/>
      <c r="AQ17" s="55" t="n"/>
      <c r="AR17" s="60">
        <f>IF(AND(C17="",E17=""),"",IF(A17="","⚠ Date manquante",IF(AND(C17="",E17&lt;&gt;"Dépense"),"⚠ Prospect manquant",IF(E17="","⚠ Action manquante",IF(AND(AU17=1,D17=""),"⚠ Canal manquant",IF(AND(W17&lt;&gt;"",COUNTIFS('Saisie'!$W$5:$W$2004,W17,'Saisie'!$C$5:$C$2004,"&lt;&gt;"&amp;C17)&gt;0),"⚠ Numéro déjà utilisé par un autre prospect",IF(AND(J17&lt;&gt;"",J17&lt;A17),"⚠ Relance avant la date de l'action",IF(A17&gt;TODAY(),"⚠ Date dans le futur","✓"))))))))</f>
        <v/>
      </c>
      <c r="AS17" s="61">
        <f>IF(AND(A17="",C17="",E17=""),"",ROW())</f>
        <v/>
      </c>
      <c r="AT17" s="61">
        <f>IF(E17&amp;F17="","",MAX(IFERROR(INDEX('Paramètres'!$J$6:$J$33,MATCH(E17,'Paramètres'!$I$6:$I$33,0)),0),IFERROR(INDEX('Paramètres'!$N$6:$N$17,MATCH(F17,'Paramètres'!$M$6:$M$17,0)),0)))</f>
        <v/>
      </c>
      <c r="AU17" s="61">
        <f>IF(E17="","",IFERROR(IF(INDEX('Paramètres'!$K$6:$K$33,MATCH(E17,'Paramètres'!$I$6:$I$33,0))="Oui",1,0),0))</f>
        <v/>
      </c>
      <c r="AV17" s="61">
        <f>IF(F17="","",IFERROR(IF(INDEX('Paramètres'!$O$6:$O$17,MATCH(F17,'Paramètres'!$M$6:$M$17,0))="Oui",1,0),0))</f>
        <v/>
      </c>
      <c r="AW17" s="62">
        <f>IF(E17="","",IF(G17&lt;&gt;"",G17,IF(OR(E17="Proposition envoyée",E17="Signature"),MAX(0,N(IFERROR(INDEX('Paramètres'!$R$6:$R$15,MATCH(IF(AL17&lt;&gt;"",AL17,IFERROR(INDEX('Prospects'!$AN$5:$AN$504,MATCH(C17,'Prospects'!$C$5:$C$504,0)),"")),'Paramètres'!$Q$6:$Q$15,0)),0))-N(P17)),0)))</f>
        <v/>
      </c>
      <c r="AX17" s="61">
        <f>IF(C17="","",IF(COUNTIF($C$5:C17,C17)=1,MAX($AX$4:AX16)+1,""))</f>
        <v/>
      </c>
      <c r="AY17" s="61">
        <f>IF(B17="","",HOUR(B17))</f>
        <v/>
      </c>
      <c r="AZ17" s="61">
        <f>IF(A17="","",MOD(A17-2,7)+1)</f>
        <v/>
      </c>
      <c r="BA17" s="60">
        <f>IF(C17="","",IFERROR(INDEX('Prospects'!$N$5:$N$504,MATCH(C17,'Prospects'!$C$5:$C$504,0)),""))</f>
        <v/>
      </c>
      <c r="BB17" s="61">
        <f>IF(AND(C17&lt;&gt;"",C17='Fiche prospect'!$C$4),COUNTIF($C$5:C17,C17),"")</f>
        <v/>
      </c>
    </row>
    <row r="18">
      <c r="A18" s="53" t="n">
        <v>46290</v>
      </c>
      <c r="B18" s="54" t="n"/>
      <c r="C18" s="55" t="inlineStr">
        <is>
          <t>Institut Belle Peau (EXEMPLE)</t>
        </is>
      </c>
      <c r="D18" s="55" t="n"/>
      <c r="E18" s="55" t="inlineStr">
        <is>
          <t>Signature</t>
        </is>
      </c>
      <c r="F18" s="55" t="n"/>
      <c r="G18" s="56" t="n"/>
      <c r="H18" s="57" t="n"/>
      <c r="I18" s="55" t="n"/>
      <c r="J18" s="53" t="n"/>
      <c r="K18" s="54" t="n"/>
      <c r="L18" s="55" t="n"/>
      <c r="M18" s="55" t="n"/>
      <c r="N18" s="57" t="n"/>
      <c r="O18" s="55" t="n"/>
      <c r="P18" s="56" t="n"/>
      <c r="Q18" s="55" t="n"/>
      <c r="R18" s="55" t="n"/>
      <c r="S18" s="55" t="n"/>
      <c r="T18" s="55" t="n"/>
      <c r="U18" s="55" t="n"/>
      <c r="V18" s="55" t="n"/>
      <c r="W18" s="58" t="n"/>
      <c r="X18" s="58" t="n"/>
      <c r="Y18" s="55" t="n"/>
      <c r="Z18" s="55" t="n"/>
      <c r="AA18" s="55" t="n"/>
      <c r="AB18" s="55" t="n"/>
      <c r="AC18" s="55" t="n"/>
      <c r="AD18" s="53" t="n"/>
      <c r="AE18" s="55" t="n"/>
      <c r="AF18" s="55" t="n"/>
      <c r="AG18" s="59" t="n"/>
      <c r="AH18" s="57" t="n"/>
      <c r="AI18" s="55" t="n"/>
      <c r="AJ18" s="55" t="n"/>
      <c r="AK18" s="55" t="n"/>
      <c r="AL18" s="55" t="n"/>
      <c r="AM18" s="56" t="n"/>
      <c r="AN18" s="55" t="n"/>
      <c r="AO18" s="55" t="n"/>
      <c r="AP18" s="55" t="n"/>
      <c r="AQ18" s="55" t="n"/>
      <c r="AR18" s="60">
        <f>IF(AND(C18="",E18=""),"",IF(A18="","⚠ Date manquante",IF(AND(C18="",E18&lt;&gt;"Dépense"),"⚠ Prospect manquant",IF(E18="","⚠ Action manquante",IF(AND(AU18=1,D18=""),"⚠ Canal manquant",IF(AND(W18&lt;&gt;"",COUNTIFS('Saisie'!$W$5:$W$2004,W18,'Saisie'!$C$5:$C$2004,"&lt;&gt;"&amp;C18)&gt;0),"⚠ Numéro déjà utilisé par un autre prospect",IF(AND(J18&lt;&gt;"",J18&lt;A18),"⚠ Relance avant la date de l'action",IF(A18&gt;TODAY(),"⚠ Date dans le futur","✓"))))))))</f>
        <v/>
      </c>
      <c r="AS18" s="61">
        <f>IF(AND(A18="",C18="",E18=""),"",ROW())</f>
        <v/>
      </c>
      <c r="AT18" s="61">
        <f>IF(E18&amp;F18="","",MAX(IFERROR(INDEX('Paramètres'!$J$6:$J$33,MATCH(E18,'Paramètres'!$I$6:$I$33,0)),0),IFERROR(INDEX('Paramètres'!$N$6:$N$17,MATCH(F18,'Paramètres'!$M$6:$M$17,0)),0)))</f>
        <v/>
      </c>
      <c r="AU18" s="61">
        <f>IF(E18="","",IFERROR(IF(INDEX('Paramètres'!$K$6:$K$33,MATCH(E18,'Paramètres'!$I$6:$I$33,0))="Oui",1,0),0))</f>
        <v/>
      </c>
      <c r="AV18" s="61">
        <f>IF(F18="","",IFERROR(IF(INDEX('Paramètres'!$O$6:$O$17,MATCH(F18,'Paramètres'!$M$6:$M$17,0))="Oui",1,0),0))</f>
        <v/>
      </c>
      <c r="AW18" s="62">
        <f>IF(E18="","",IF(G18&lt;&gt;"",G18,IF(OR(E18="Proposition envoyée",E18="Signature"),MAX(0,N(IFERROR(INDEX('Paramètres'!$R$6:$R$15,MATCH(IF(AL18&lt;&gt;"",AL18,IFERROR(INDEX('Prospects'!$AN$5:$AN$504,MATCH(C18,'Prospects'!$C$5:$C$504,0)),"")),'Paramètres'!$Q$6:$Q$15,0)),0))-N(P18)),0)))</f>
        <v/>
      </c>
      <c r="AX18" s="61">
        <f>IF(C18="","",IF(COUNTIF($C$5:C18,C18)=1,MAX($AX$4:AX17)+1,""))</f>
        <v/>
      </c>
      <c r="AY18" s="61">
        <f>IF(B18="","",HOUR(B18))</f>
        <v/>
      </c>
      <c r="AZ18" s="61">
        <f>IF(A18="","",MOD(A18-2,7)+1)</f>
        <v/>
      </c>
      <c r="BA18" s="60">
        <f>IF(C18="","",IFERROR(INDEX('Prospects'!$N$5:$N$504,MATCH(C18,'Prospects'!$C$5:$C$504,0)),""))</f>
        <v/>
      </c>
      <c r="BB18" s="61">
        <f>IF(AND(C18&lt;&gt;"",C18='Fiche prospect'!$C$4),COUNTIF($C$5:C18,C18),"")</f>
        <v/>
      </c>
    </row>
    <row r="19">
      <c r="A19" s="53" t="n">
        <v>46290</v>
      </c>
      <c r="B19" s="54" t="n"/>
      <c r="C19" s="55" t="inlineStr">
        <is>
          <t>Institut Belle Peau (EXEMPLE)</t>
        </is>
      </c>
      <c r="D19" s="55" t="n"/>
      <c r="E19" s="55" t="inlineStr">
        <is>
          <t>Paiement reçu</t>
        </is>
      </c>
      <c r="F19" s="55" t="n"/>
      <c r="G19" s="56" t="n">
        <v>900</v>
      </c>
      <c r="H19" s="57" t="n"/>
      <c r="I19" s="55" t="n"/>
      <c r="J19" s="53" t="n"/>
      <c r="K19" s="54" t="n"/>
      <c r="L19" s="55" t="n"/>
      <c r="M19" s="55" t="n"/>
      <c r="N19" s="57" t="n"/>
      <c r="O19" s="55" t="inlineStr">
        <is>
          <t>F-2026-001</t>
        </is>
      </c>
      <c r="P19" s="56" t="n"/>
      <c r="Q19" s="55" t="inlineStr">
        <is>
          <t>Acompte 50 %</t>
        </is>
      </c>
      <c r="R19" s="55" t="n"/>
      <c r="S19" s="55" t="n"/>
      <c r="T19" s="55" t="n"/>
      <c r="U19" s="55" t="n"/>
      <c r="V19" s="55" t="n"/>
      <c r="W19" s="58" t="n"/>
      <c r="X19" s="58" t="n"/>
      <c r="Y19" s="55" t="n"/>
      <c r="Z19" s="55" t="n"/>
      <c r="AA19" s="55" t="n"/>
      <c r="AB19" s="55" t="n"/>
      <c r="AC19" s="55" t="n"/>
      <c r="AD19" s="53" t="n"/>
      <c r="AE19" s="55" t="n"/>
      <c r="AF19" s="55" t="n"/>
      <c r="AG19" s="59" t="n"/>
      <c r="AH19" s="57" t="n"/>
      <c r="AI19" s="55" t="n"/>
      <c r="AJ19" s="55" t="n"/>
      <c r="AK19" s="55" t="n"/>
      <c r="AL19" s="55" t="n"/>
      <c r="AM19" s="56" t="n"/>
      <c r="AN19" s="55" t="n"/>
      <c r="AO19" s="55" t="n"/>
      <c r="AP19" s="55" t="n"/>
      <c r="AQ19" s="55" t="n"/>
      <c r="AR19" s="60">
        <f>IF(AND(C19="",E19=""),"",IF(A19="","⚠ Date manquante",IF(AND(C19="",E19&lt;&gt;"Dépense"),"⚠ Prospect manquant",IF(E19="","⚠ Action manquante",IF(AND(AU19=1,D19=""),"⚠ Canal manquant",IF(AND(W19&lt;&gt;"",COUNTIFS('Saisie'!$W$5:$W$2004,W19,'Saisie'!$C$5:$C$2004,"&lt;&gt;"&amp;C19)&gt;0),"⚠ Numéro déjà utilisé par un autre prospect",IF(AND(J19&lt;&gt;"",J19&lt;A19),"⚠ Relance avant la date de l'action",IF(A19&gt;TODAY(),"⚠ Date dans le futur","✓"))))))))</f>
        <v/>
      </c>
      <c r="AS19" s="61">
        <f>IF(AND(A19="",C19="",E19=""),"",ROW())</f>
        <v/>
      </c>
      <c r="AT19" s="61">
        <f>IF(E19&amp;F19="","",MAX(IFERROR(INDEX('Paramètres'!$J$6:$J$33,MATCH(E19,'Paramètres'!$I$6:$I$33,0)),0),IFERROR(INDEX('Paramètres'!$N$6:$N$17,MATCH(F19,'Paramètres'!$M$6:$M$17,0)),0)))</f>
        <v/>
      </c>
      <c r="AU19" s="61">
        <f>IF(E19="","",IFERROR(IF(INDEX('Paramètres'!$K$6:$K$33,MATCH(E19,'Paramètres'!$I$6:$I$33,0))="Oui",1,0),0))</f>
        <v/>
      </c>
      <c r="AV19" s="61">
        <f>IF(F19="","",IFERROR(IF(INDEX('Paramètres'!$O$6:$O$17,MATCH(F19,'Paramètres'!$M$6:$M$17,0))="Oui",1,0),0))</f>
        <v/>
      </c>
      <c r="AW19" s="62">
        <f>IF(E19="","",IF(G19&lt;&gt;"",G19,IF(OR(E19="Proposition envoyée",E19="Signature"),MAX(0,N(IFERROR(INDEX('Paramètres'!$R$6:$R$15,MATCH(IF(AL19&lt;&gt;"",AL19,IFERROR(INDEX('Prospects'!$AN$5:$AN$504,MATCH(C19,'Prospects'!$C$5:$C$504,0)),"")),'Paramètres'!$Q$6:$Q$15,0)),0))-N(P19)),0)))</f>
        <v/>
      </c>
      <c r="AX19" s="61">
        <f>IF(C19="","",IF(COUNTIF($C$5:C19,C19)=1,MAX($AX$4:AX18)+1,""))</f>
        <v/>
      </c>
      <c r="AY19" s="61">
        <f>IF(B19="","",HOUR(B19))</f>
        <v/>
      </c>
      <c r="AZ19" s="61">
        <f>IF(A19="","",MOD(A19-2,7)+1)</f>
        <v/>
      </c>
      <c r="BA19" s="60">
        <f>IF(C19="","",IFERROR(INDEX('Prospects'!$N$5:$N$504,MATCH(C19,'Prospects'!$C$5:$C$504,0)),""))</f>
        <v/>
      </c>
      <c r="BB19" s="61">
        <f>IF(AND(C19&lt;&gt;"",C19='Fiche prospect'!$C$4),COUNTIF($C$5:C19,C19),"")</f>
        <v/>
      </c>
    </row>
    <row r="20">
      <c r="A20" s="53" t="n">
        <v>46290</v>
      </c>
      <c r="B20" s="54" t="n"/>
      <c r="C20" s="55" t="inlineStr">
        <is>
          <t>Salon Coiff'Style (EXEMPLE)</t>
        </is>
      </c>
      <c r="D20" s="55" t="inlineStr">
        <is>
          <t>Appel</t>
        </is>
      </c>
      <c r="E20" s="55" t="inlineStr">
        <is>
          <t>Ajout prospect</t>
        </is>
      </c>
      <c r="F20" s="55" t="n"/>
      <c r="G20" s="56" t="n"/>
      <c r="H20" s="57" t="n"/>
      <c r="I20" s="55" t="n"/>
      <c r="J20" s="53" t="n"/>
      <c r="K20" s="54" t="n"/>
      <c r="L20" s="55" t="n"/>
      <c r="M20" s="55" t="n"/>
      <c r="N20" s="57" t="n"/>
      <c r="O20" s="55" t="n"/>
      <c r="P20" s="56" t="n"/>
      <c r="Q20" s="55" t="n"/>
      <c r="R20" s="55" t="inlineStr">
        <is>
          <t>Coiffure</t>
        </is>
      </c>
      <c r="S20" s="55" t="inlineStr">
        <is>
          <t>Lyon</t>
        </is>
      </c>
      <c r="T20" s="55" t="inlineStr">
        <is>
          <t>Centre-ville</t>
        </is>
      </c>
      <c r="U20" s="55" t="inlineStr">
        <is>
          <t>Julie Petit</t>
        </is>
      </c>
      <c r="V20" s="55" t="n"/>
      <c r="W20" s="58" t="inlineStr">
        <is>
          <t>06 77 88 99 00</t>
        </is>
      </c>
      <c r="X20" s="58" t="n"/>
      <c r="Y20" s="55" t="inlineStr">
        <is>
          <t>@coiffstyle</t>
        </is>
      </c>
      <c r="Z20" s="55" t="n"/>
      <c r="AA20" s="55" t="inlineStr">
        <is>
          <t>Recommandation</t>
        </is>
      </c>
      <c r="AB20" s="55" t="inlineStr">
        <is>
          <t>Institut Belle Peau (EXEMPLE)</t>
        </is>
      </c>
      <c r="AC20" s="55" t="inlineStr">
        <is>
          <t>Oui</t>
        </is>
      </c>
      <c r="AD20" s="53" t="n">
        <v>46289</v>
      </c>
      <c r="AE20" s="55" t="inlineStr">
        <is>
          <t>Régulière</t>
        </is>
      </c>
      <c r="AF20" s="55" t="inlineStr">
        <is>
          <t>Absente</t>
        </is>
      </c>
      <c r="AG20" s="59" t="n"/>
      <c r="AH20" s="57" t="n"/>
      <c r="AI20" s="55" t="inlineStr">
        <is>
          <t>Petite</t>
        </is>
      </c>
      <c r="AJ20" s="55" t="n"/>
      <c r="AK20" s="55" t="n"/>
      <c r="AL20" s="55" t="n"/>
      <c r="AM20" s="56" t="n"/>
      <c r="AN20" s="55" t="n"/>
      <c r="AO20" s="55" t="n"/>
      <c r="AP20" s="55" t="n"/>
      <c r="AQ20" s="55" t="n"/>
      <c r="AR20" s="60">
        <f>IF(AND(C20="",E20=""),"",IF(A20="","⚠ Date manquante",IF(AND(C20="",E20&lt;&gt;"Dépense"),"⚠ Prospect manquant",IF(E20="","⚠ Action manquante",IF(AND(AU20=1,D20=""),"⚠ Canal manquant",IF(AND(W20&lt;&gt;"",COUNTIFS('Saisie'!$W$5:$W$2004,W20,'Saisie'!$C$5:$C$2004,"&lt;&gt;"&amp;C20)&gt;0),"⚠ Numéro déjà utilisé par un autre prospect",IF(AND(J20&lt;&gt;"",J20&lt;A20),"⚠ Relance avant la date de l'action",IF(A20&gt;TODAY(),"⚠ Date dans le futur","✓"))))))))</f>
        <v/>
      </c>
      <c r="AS20" s="61">
        <f>IF(AND(A20="",C20="",E20=""),"",ROW())</f>
        <v/>
      </c>
      <c r="AT20" s="61">
        <f>IF(E20&amp;F20="","",MAX(IFERROR(INDEX('Paramètres'!$J$6:$J$33,MATCH(E20,'Paramètres'!$I$6:$I$33,0)),0),IFERROR(INDEX('Paramètres'!$N$6:$N$17,MATCH(F20,'Paramètres'!$M$6:$M$17,0)),0)))</f>
        <v/>
      </c>
      <c r="AU20" s="61">
        <f>IF(E20="","",IFERROR(IF(INDEX('Paramètres'!$K$6:$K$33,MATCH(E20,'Paramètres'!$I$6:$I$33,0))="Oui",1,0),0))</f>
        <v/>
      </c>
      <c r="AV20" s="61">
        <f>IF(F20="","",IFERROR(IF(INDEX('Paramètres'!$O$6:$O$17,MATCH(F20,'Paramètres'!$M$6:$M$17,0))="Oui",1,0),0))</f>
        <v/>
      </c>
      <c r="AW20" s="62">
        <f>IF(E20="","",IF(G20&lt;&gt;"",G20,IF(OR(E20="Proposition envoyée",E20="Signature"),MAX(0,N(IFERROR(INDEX('Paramètres'!$R$6:$R$15,MATCH(IF(AL20&lt;&gt;"",AL20,IFERROR(INDEX('Prospects'!$AN$5:$AN$504,MATCH(C20,'Prospects'!$C$5:$C$504,0)),"")),'Paramètres'!$Q$6:$Q$15,0)),0))-N(P20)),0)))</f>
        <v/>
      </c>
      <c r="AX20" s="61">
        <f>IF(C20="","",IF(COUNTIF($C$5:C20,C20)=1,MAX($AX$4:AX19)+1,""))</f>
        <v/>
      </c>
      <c r="AY20" s="61">
        <f>IF(B20="","",HOUR(B20))</f>
        <v/>
      </c>
      <c r="AZ20" s="61">
        <f>IF(A20="","",MOD(A20-2,7)+1)</f>
        <v/>
      </c>
      <c r="BA20" s="60">
        <f>IF(C20="","",IFERROR(INDEX('Prospects'!$N$5:$N$504,MATCH(C20,'Prospects'!$C$5:$C$504,0)),""))</f>
        <v/>
      </c>
      <c r="BB20" s="61">
        <f>IF(AND(C20&lt;&gt;"",C20='Fiche prospect'!$C$4),COUNTIF($C$5:C20,C20),"")</f>
        <v/>
      </c>
    </row>
    <row r="21">
      <c r="A21" s="53" t="n">
        <v>46291</v>
      </c>
      <c r="B21" s="54" t="n"/>
      <c r="C21" s="55" t="inlineStr">
        <is>
          <t>Institut Belle Peau (EXEMPLE)</t>
        </is>
      </c>
      <c r="D21" s="55" t="n"/>
      <c r="E21" s="55" t="inlineStr">
        <is>
          <t>Onboarding - Contrat</t>
        </is>
      </c>
      <c r="F21" s="55" t="n"/>
      <c r="G21" s="56" t="n"/>
      <c r="H21" s="57" t="n"/>
      <c r="I21" s="55" t="n"/>
      <c r="J21" s="53" t="n"/>
      <c r="K21" s="54" t="n"/>
      <c r="L21" s="55" t="n"/>
      <c r="M21" s="55" t="n"/>
      <c r="N21" s="57" t="n"/>
      <c r="O21" s="55" t="n"/>
      <c r="P21" s="56" t="n"/>
      <c r="Q21" s="55" t="n"/>
      <c r="R21" s="55" t="n"/>
      <c r="S21" s="55" t="n"/>
      <c r="T21" s="55" t="n"/>
      <c r="U21" s="55" t="n"/>
      <c r="V21" s="55" t="n"/>
      <c r="W21" s="58" t="n"/>
      <c r="X21" s="58" t="n"/>
      <c r="Y21" s="55" t="n"/>
      <c r="Z21" s="55" t="n"/>
      <c r="AA21" s="55" t="n"/>
      <c r="AB21" s="55" t="n"/>
      <c r="AC21" s="55" t="n"/>
      <c r="AD21" s="53" t="n"/>
      <c r="AE21" s="55" t="n"/>
      <c r="AF21" s="55" t="n"/>
      <c r="AG21" s="59" t="n"/>
      <c r="AH21" s="57" t="n"/>
      <c r="AI21" s="55" t="n"/>
      <c r="AJ21" s="55" t="n"/>
      <c r="AK21" s="55" t="n"/>
      <c r="AL21" s="55" t="n"/>
      <c r="AM21" s="56" t="n"/>
      <c r="AN21" s="55" t="n"/>
      <c r="AO21" s="55" t="n"/>
      <c r="AP21" s="55" t="n"/>
      <c r="AQ21" s="55" t="n"/>
      <c r="AR21" s="60">
        <f>IF(AND(C21="",E21=""),"",IF(A21="","⚠ Date manquante",IF(AND(C21="",E21&lt;&gt;"Dépense"),"⚠ Prospect manquant",IF(E21="","⚠ Action manquante",IF(AND(AU21=1,D21=""),"⚠ Canal manquant",IF(AND(W21&lt;&gt;"",COUNTIFS('Saisie'!$W$5:$W$2004,W21,'Saisie'!$C$5:$C$2004,"&lt;&gt;"&amp;C21)&gt;0),"⚠ Numéro déjà utilisé par un autre prospect",IF(AND(J21&lt;&gt;"",J21&lt;A21),"⚠ Relance avant la date de l'action",IF(A21&gt;TODAY(),"⚠ Date dans le futur","✓"))))))))</f>
        <v/>
      </c>
      <c r="AS21" s="61">
        <f>IF(AND(A21="",C21="",E21=""),"",ROW())</f>
        <v/>
      </c>
      <c r="AT21" s="61">
        <f>IF(E21&amp;F21="","",MAX(IFERROR(INDEX('Paramètres'!$J$6:$J$33,MATCH(E21,'Paramètres'!$I$6:$I$33,0)),0),IFERROR(INDEX('Paramètres'!$N$6:$N$17,MATCH(F21,'Paramètres'!$M$6:$M$17,0)),0)))</f>
        <v/>
      </c>
      <c r="AU21" s="61">
        <f>IF(E21="","",IFERROR(IF(INDEX('Paramètres'!$K$6:$K$33,MATCH(E21,'Paramètres'!$I$6:$I$33,0))="Oui",1,0),0))</f>
        <v/>
      </c>
      <c r="AV21" s="61">
        <f>IF(F21="","",IFERROR(IF(INDEX('Paramètres'!$O$6:$O$17,MATCH(F21,'Paramètres'!$M$6:$M$17,0))="Oui",1,0),0))</f>
        <v/>
      </c>
      <c r="AW21" s="62">
        <f>IF(E21="","",IF(G21&lt;&gt;"",G21,IF(OR(E21="Proposition envoyée",E21="Signature"),MAX(0,N(IFERROR(INDEX('Paramètres'!$R$6:$R$15,MATCH(IF(AL21&lt;&gt;"",AL21,IFERROR(INDEX('Prospects'!$AN$5:$AN$504,MATCH(C21,'Prospects'!$C$5:$C$504,0)),"")),'Paramètres'!$Q$6:$Q$15,0)),0))-N(P21)),0)))</f>
        <v/>
      </c>
      <c r="AX21" s="61">
        <f>IF(C21="","",IF(COUNTIF($C$5:C21,C21)=1,MAX($AX$4:AX20)+1,""))</f>
        <v/>
      </c>
      <c r="AY21" s="61">
        <f>IF(B21="","",HOUR(B21))</f>
        <v/>
      </c>
      <c r="AZ21" s="61">
        <f>IF(A21="","",MOD(A21-2,7)+1)</f>
        <v/>
      </c>
      <c r="BA21" s="60">
        <f>IF(C21="","",IFERROR(INDEX('Prospects'!$N$5:$N$504,MATCH(C21,'Prospects'!$C$5:$C$504,0)),""))</f>
        <v/>
      </c>
      <c r="BB21" s="61">
        <f>IF(AND(C21&lt;&gt;"",C21='Fiche prospect'!$C$4),COUNTIF($C$5:C21,C21),"")</f>
        <v/>
      </c>
    </row>
    <row r="22">
      <c r="A22" s="53" t="n"/>
      <c r="B22" s="54" t="n"/>
      <c r="C22" s="55" t="n"/>
      <c r="D22" s="55" t="n"/>
      <c r="E22" s="55" t="n"/>
      <c r="F22" s="55" t="n"/>
      <c r="G22" s="56" t="n"/>
      <c r="H22" s="57" t="n"/>
      <c r="I22" s="55" t="n"/>
      <c r="J22" s="53" t="n"/>
      <c r="K22" s="54" t="n"/>
      <c r="L22" s="55" t="n"/>
      <c r="M22" s="55" t="n"/>
      <c r="N22" s="57" t="n"/>
      <c r="O22" s="55" t="n"/>
      <c r="P22" s="56" t="n"/>
      <c r="Q22" s="55" t="n"/>
      <c r="R22" s="55" t="n"/>
      <c r="S22" s="55" t="n"/>
      <c r="T22" s="55" t="n"/>
      <c r="U22" s="55" t="n"/>
      <c r="V22" s="55" t="n"/>
      <c r="W22" s="58" t="n"/>
      <c r="X22" s="58" t="n"/>
      <c r="Y22" s="55" t="n"/>
      <c r="Z22" s="55" t="n"/>
      <c r="AA22" s="55" t="n"/>
      <c r="AB22" s="55" t="n"/>
      <c r="AC22" s="55" t="n"/>
      <c r="AD22" s="53" t="n"/>
      <c r="AE22" s="55" t="n"/>
      <c r="AF22" s="55" t="n"/>
      <c r="AG22" s="59" t="n"/>
      <c r="AH22" s="57" t="n"/>
      <c r="AI22" s="55" t="n"/>
      <c r="AJ22" s="55" t="n"/>
      <c r="AK22" s="55" t="n"/>
      <c r="AL22" s="55" t="n"/>
      <c r="AM22" s="56" t="n"/>
      <c r="AN22" s="55" t="n"/>
      <c r="AO22" s="55" t="n"/>
      <c r="AP22" s="55" t="n"/>
      <c r="AQ22" s="55" t="n"/>
      <c r="AR22" s="60">
        <f>IF(AND(C22="",E22=""),"",IF(A22="","⚠ Date manquante",IF(AND(C22="",E22&lt;&gt;"Dépense"),"⚠ Prospect manquant",IF(E22="","⚠ Action manquante",IF(AND(AU22=1,D22=""),"⚠ Canal manquant",IF(AND(W22&lt;&gt;"",COUNTIFS('Saisie'!$W$5:$W$2004,W22,'Saisie'!$C$5:$C$2004,"&lt;&gt;"&amp;C22)&gt;0),"⚠ Numéro déjà utilisé par un autre prospect",IF(AND(J22&lt;&gt;"",J22&lt;A22),"⚠ Relance avant la date de l'action",IF(A22&gt;TODAY(),"⚠ Date dans le futur","✓"))))))))</f>
        <v/>
      </c>
      <c r="AS22" s="61">
        <f>IF(AND(A22="",C22="",E22=""),"",ROW())</f>
        <v/>
      </c>
      <c r="AT22" s="61">
        <f>IF(E22&amp;F22="","",MAX(IFERROR(INDEX('Paramètres'!$J$6:$J$33,MATCH(E22,'Paramètres'!$I$6:$I$33,0)),0),IFERROR(INDEX('Paramètres'!$N$6:$N$17,MATCH(F22,'Paramètres'!$M$6:$M$17,0)),0)))</f>
        <v/>
      </c>
      <c r="AU22" s="61">
        <f>IF(E22="","",IFERROR(IF(INDEX('Paramètres'!$K$6:$K$33,MATCH(E22,'Paramètres'!$I$6:$I$33,0))="Oui",1,0),0))</f>
        <v/>
      </c>
      <c r="AV22" s="61">
        <f>IF(F22="","",IFERROR(IF(INDEX('Paramètres'!$O$6:$O$17,MATCH(F22,'Paramètres'!$M$6:$M$17,0))="Oui",1,0),0))</f>
        <v/>
      </c>
      <c r="AW22" s="62">
        <f>IF(E22="","",IF(G22&lt;&gt;"",G22,IF(OR(E22="Proposition envoyée",E22="Signature"),MAX(0,N(IFERROR(INDEX('Paramètres'!$R$6:$R$15,MATCH(IF(AL22&lt;&gt;"",AL22,IFERROR(INDEX('Prospects'!$AN$5:$AN$504,MATCH(C22,'Prospects'!$C$5:$C$504,0)),"")),'Paramètres'!$Q$6:$Q$15,0)),0))-N(P22)),0)))</f>
        <v/>
      </c>
      <c r="AX22" s="61">
        <f>IF(C22="","",IF(COUNTIF($C$5:C22,C22)=1,MAX($AX$4:AX21)+1,""))</f>
        <v/>
      </c>
      <c r="AY22" s="61">
        <f>IF(B22="","",HOUR(B22))</f>
        <v/>
      </c>
      <c r="AZ22" s="61">
        <f>IF(A22="","",MOD(A22-2,7)+1)</f>
        <v/>
      </c>
      <c r="BA22" s="60">
        <f>IF(C22="","",IFERROR(INDEX('Prospects'!$N$5:$N$504,MATCH(C22,'Prospects'!$C$5:$C$504,0)),""))</f>
        <v/>
      </c>
      <c r="BB22" s="61">
        <f>IF(AND(C22&lt;&gt;"",C22='Fiche prospect'!$C$4),COUNTIF($C$5:C22,C22),"")</f>
        <v/>
      </c>
    </row>
    <row r="23">
      <c r="A23" s="53" t="n"/>
      <c r="B23" s="54" t="n"/>
      <c r="C23" s="55" t="n"/>
      <c r="D23" s="55" t="n"/>
      <c r="E23" s="55" t="n"/>
      <c r="F23" s="55" t="n"/>
      <c r="G23" s="56" t="n"/>
      <c r="H23" s="57" t="n"/>
      <c r="I23" s="55" t="n"/>
      <c r="J23" s="53" t="n"/>
      <c r="K23" s="54" t="n"/>
      <c r="L23" s="55" t="n"/>
      <c r="M23" s="55" t="n"/>
      <c r="N23" s="57" t="n"/>
      <c r="O23" s="55" t="n"/>
      <c r="P23" s="56" t="n"/>
      <c r="Q23" s="55" t="n"/>
      <c r="R23" s="55" t="n"/>
      <c r="S23" s="55" t="n"/>
      <c r="T23" s="55" t="n"/>
      <c r="U23" s="55" t="n"/>
      <c r="V23" s="55" t="n"/>
      <c r="W23" s="58" t="n"/>
      <c r="X23" s="58" t="n"/>
      <c r="Y23" s="55" t="n"/>
      <c r="Z23" s="55" t="n"/>
      <c r="AA23" s="55" t="n"/>
      <c r="AB23" s="55" t="n"/>
      <c r="AC23" s="55" t="n"/>
      <c r="AD23" s="53" t="n"/>
      <c r="AE23" s="55" t="n"/>
      <c r="AF23" s="55" t="n"/>
      <c r="AG23" s="59" t="n"/>
      <c r="AH23" s="57" t="n"/>
      <c r="AI23" s="55" t="n"/>
      <c r="AJ23" s="55" t="n"/>
      <c r="AK23" s="55" t="n"/>
      <c r="AL23" s="55" t="n"/>
      <c r="AM23" s="56" t="n"/>
      <c r="AN23" s="55" t="n"/>
      <c r="AO23" s="55" t="n"/>
      <c r="AP23" s="55" t="n"/>
      <c r="AQ23" s="55" t="n"/>
      <c r="AR23" s="60">
        <f>IF(AND(C23="",E23=""),"",IF(A23="","⚠ Date manquante",IF(AND(C23="",E23&lt;&gt;"Dépense"),"⚠ Prospect manquant",IF(E23="","⚠ Action manquante",IF(AND(AU23=1,D23=""),"⚠ Canal manquant",IF(AND(W23&lt;&gt;"",COUNTIFS('Saisie'!$W$5:$W$2004,W23,'Saisie'!$C$5:$C$2004,"&lt;&gt;"&amp;C23)&gt;0),"⚠ Numéro déjà utilisé par un autre prospect",IF(AND(J23&lt;&gt;"",J23&lt;A23),"⚠ Relance avant la date de l'action",IF(A23&gt;TODAY(),"⚠ Date dans le futur","✓"))))))))</f>
        <v/>
      </c>
      <c r="AS23" s="61">
        <f>IF(AND(A23="",C23="",E23=""),"",ROW())</f>
        <v/>
      </c>
      <c r="AT23" s="61">
        <f>IF(E23&amp;F23="","",MAX(IFERROR(INDEX('Paramètres'!$J$6:$J$33,MATCH(E23,'Paramètres'!$I$6:$I$33,0)),0),IFERROR(INDEX('Paramètres'!$N$6:$N$17,MATCH(F23,'Paramètres'!$M$6:$M$17,0)),0)))</f>
        <v/>
      </c>
      <c r="AU23" s="61">
        <f>IF(E23="","",IFERROR(IF(INDEX('Paramètres'!$K$6:$K$33,MATCH(E23,'Paramètres'!$I$6:$I$33,0))="Oui",1,0),0))</f>
        <v/>
      </c>
      <c r="AV23" s="61">
        <f>IF(F23="","",IFERROR(IF(INDEX('Paramètres'!$O$6:$O$17,MATCH(F23,'Paramètres'!$M$6:$M$17,0))="Oui",1,0),0))</f>
        <v/>
      </c>
      <c r="AW23" s="62">
        <f>IF(E23="","",IF(G23&lt;&gt;"",G23,IF(OR(E23="Proposition envoyée",E23="Signature"),MAX(0,N(IFERROR(INDEX('Paramètres'!$R$6:$R$15,MATCH(IF(AL23&lt;&gt;"",AL23,IFERROR(INDEX('Prospects'!$AN$5:$AN$504,MATCH(C23,'Prospects'!$C$5:$C$504,0)),"")),'Paramètres'!$Q$6:$Q$15,0)),0))-N(P23)),0)))</f>
        <v/>
      </c>
      <c r="AX23" s="61">
        <f>IF(C23="","",IF(COUNTIF($C$5:C23,C23)=1,MAX($AX$4:AX22)+1,""))</f>
        <v/>
      </c>
      <c r="AY23" s="61">
        <f>IF(B23="","",HOUR(B23))</f>
        <v/>
      </c>
      <c r="AZ23" s="61">
        <f>IF(A23="","",MOD(A23-2,7)+1)</f>
        <v/>
      </c>
      <c r="BA23" s="60">
        <f>IF(C23="","",IFERROR(INDEX('Prospects'!$N$5:$N$504,MATCH(C23,'Prospects'!$C$5:$C$504,0)),""))</f>
        <v/>
      </c>
      <c r="BB23" s="61">
        <f>IF(AND(C23&lt;&gt;"",C23='Fiche prospect'!$C$4),COUNTIF($C$5:C23,C23),"")</f>
        <v/>
      </c>
    </row>
    <row r="24">
      <c r="A24" s="53" t="n"/>
      <c r="B24" s="54" t="n"/>
      <c r="C24" s="55" t="n"/>
      <c r="D24" s="55" t="n"/>
      <c r="E24" s="55" t="n"/>
      <c r="F24" s="55" t="n"/>
      <c r="G24" s="56" t="n"/>
      <c r="H24" s="57" t="n"/>
      <c r="I24" s="55" t="n"/>
      <c r="J24" s="53" t="n"/>
      <c r="K24" s="54" t="n"/>
      <c r="L24" s="55" t="n"/>
      <c r="M24" s="55" t="n"/>
      <c r="N24" s="57" t="n"/>
      <c r="O24" s="55" t="n"/>
      <c r="P24" s="56" t="n"/>
      <c r="Q24" s="55" t="n"/>
      <c r="R24" s="55" t="n"/>
      <c r="S24" s="55" t="n"/>
      <c r="T24" s="55" t="n"/>
      <c r="U24" s="55" t="n"/>
      <c r="V24" s="55" t="n"/>
      <c r="W24" s="58" t="n"/>
      <c r="X24" s="58" t="n"/>
      <c r="Y24" s="55" t="n"/>
      <c r="Z24" s="55" t="n"/>
      <c r="AA24" s="55" t="n"/>
      <c r="AB24" s="55" t="n"/>
      <c r="AC24" s="55" t="n"/>
      <c r="AD24" s="53" t="n"/>
      <c r="AE24" s="55" t="n"/>
      <c r="AF24" s="55" t="n"/>
      <c r="AG24" s="59" t="n"/>
      <c r="AH24" s="57" t="n"/>
      <c r="AI24" s="55" t="n"/>
      <c r="AJ24" s="55" t="n"/>
      <c r="AK24" s="55" t="n"/>
      <c r="AL24" s="55" t="n"/>
      <c r="AM24" s="56" t="n"/>
      <c r="AN24" s="55" t="n"/>
      <c r="AO24" s="55" t="n"/>
      <c r="AP24" s="55" t="n"/>
      <c r="AQ24" s="55" t="n"/>
      <c r="AR24" s="60">
        <f>IF(AND(C24="",E24=""),"",IF(A24="","⚠ Date manquante",IF(AND(C24="",E24&lt;&gt;"Dépense"),"⚠ Prospect manquant",IF(E24="","⚠ Action manquante",IF(AND(AU24=1,D24=""),"⚠ Canal manquant",IF(AND(W24&lt;&gt;"",COUNTIFS('Saisie'!$W$5:$W$2004,W24,'Saisie'!$C$5:$C$2004,"&lt;&gt;"&amp;C24)&gt;0),"⚠ Numéro déjà utilisé par un autre prospect",IF(AND(J24&lt;&gt;"",J24&lt;A24),"⚠ Relance avant la date de l'action",IF(A24&gt;TODAY(),"⚠ Date dans le futur","✓"))))))))</f>
        <v/>
      </c>
      <c r="AS24" s="61">
        <f>IF(AND(A24="",C24="",E24=""),"",ROW())</f>
        <v/>
      </c>
      <c r="AT24" s="61">
        <f>IF(E24&amp;F24="","",MAX(IFERROR(INDEX('Paramètres'!$J$6:$J$33,MATCH(E24,'Paramètres'!$I$6:$I$33,0)),0),IFERROR(INDEX('Paramètres'!$N$6:$N$17,MATCH(F24,'Paramètres'!$M$6:$M$17,0)),0)))</f>
        <v/>
      </c>
      <c r="AU24" s="61">
        <f>IF(E24="","",IFERROR(IF(INDEX('Paramètres'!$K$6:$K$33,MATCH(E24,'Paramètres'!$I$6:$I$33,0))="Oui",1,0),0))</f>
        <v/>
      </c>
      <c r="AV24" s="61">
        <f>IF(F24="","",IFERROR(IF(INDEX('Paramètres'!$O$6:$O$17,MATCH(F24,'Paramètres'!$M$6:$M$17,0))="Oui",1,0),0))</f>
        <v/>
      </c>
      <c r="AW24" s="62">
        <f>IF(E24="","",IF(G24&lt;&gt;"",G24,IF(OR(E24="Proposition envoyée",E24="Signature"),MAX(0,N(IFERROR(INDEX('Paramètres'!$R$6:$R$15,MATCH(IF(AL24&lt;&gt;"",AL24,IFERROR(INDEX('Prospects'!$AN$5:$AN$504,MATCH(C24,'Prospects'!$C$5:$C$504,0)),"")),'Paramètres'!$Q$6:$Q$15,0)),0))-N(P24)),0)))</f>
        <v/>
      </c>
      <c r="AX24" s="61">
        <f>IF(C24="","",IF(COUNTIF($C$5:C24,C24)=1,MAX($AX$4:AX23)+1,""))</f>
        <v/>
      </c>
      <c r="AY24" s="61">
        <f>IF(B24="","",HOUR(B24))</f>
        <v/>
      </c>
      <c r="AZ24" s="61">
        <f>IF(A24="","",MOD(A24-2,7)+1)</f>
        <v/>
      </c>
      <c r="BA24" s="60">
        <f>IF(C24="","",IFERROR(INDEX('Prospects'!$N$5:$N$504,MATCH(C24,'Prospects'!$C$5:$C$504,0)),""))</f>
        <v/>
      </c>
      <c r="BB24" s="61">
        <f>IF(AND(C24&lt;&gt;"",C24='Fiche prospect'!$C$4),COUNTIF($C$5:C24,C24),"")</f>
        <v/>
      </c>
    </row>
    <row r="25">
      <c r="A25" s="53" t="n"/>
      <c r="B25" s="54" t="n"/>
      <c r="C25" s="55" t="n"/>
      <c r="D25" s="55" t="n"/>
      <c r="E25" s="55" t="n"/>
      <c r="F25" s="55" t="n"/>
      <c r="G25" s="56" t="n"/>
      <c r="H25" s="57" t="n"/>
      <c r="I25" s="55" t="n"/>
      <c r="J25" s="53" t="n"/>
      <c r="K25" s="54" t="n"/>
      <c r="L25" s="55" t="n"/>
      <c r="M25" s="55" t="n"/>
      <c r="N25" s="57" t="n"/>
      <c r="O25" s="55" t="n"/>
      <c r="P25" s="56" t="n"/>
      <c r="Q25" s="55" t="n"/>
      <c r="R25" s="55" t="n"/>
      <c r="S25" s="55" t="n"/>
      <c r="T25" s="55" t="n"/>
      <c r="U25" s="55" t="n"/>
      <c r="V25" s="55" t="n"/>
      <c r="W25" s="58" t="n"/>
      <c r="X25" s="58" t="n"/>
      <c r="Y25" s="55" t="n"/>
      <c r="Z25" s="55" t="n"/>
      <c r="AA25" s="55" t="n"/>
      <c r="AB25" s="55" t="n"/>
      <c r="AC25" s="55" t="n"/>
      <c r="AD25" s="53" t="n"/>
      <c r="AE25" s="55" t="n"/>
      <c r="AF25" s="55" t="n"/>
      <c r="AG25" s="59" t="n"/>
      <c r="AH25" s="57" t="n"/>
      <c r="AI25" s="55" t="n"/>
      <c r="AJ25" s="55" t="n"/>
      <c r="AK25" s="55" t="n"/>
      <c r="AL25" s="55" t="n"/>
      <c r="AM25" s="56" t="n"/>
      <c r="AN25" s="55" t="n"/>
      <c r="AO25" s="55" t="n"/>
      <c r="AP25" s="55" t="n"/>
      <c r="AQ25" s="55" t="n"/>
      <c r="AR25" s="60">
        <f>IF(AND(C25="",E25=""),"",IF(A25="","⚠ Date manquante",IF(AND(C25="",E25&lt;&gt;"Dépense"),"⚠ Prospect manquant",IF(E25="","⚠ Action manquante",IF(AND(AU25=1,D25=""),"⚠ Canal manquant",IF(AND(W25&lt;&gt;"",COUNTIFS('Saisie'!$W$5:$W$2004,W25,'Saisie'!$C$5:$C$2004,"&lt;&gt;"&amp;C25)&gt;0),"⚠ Numéro déjà utilisé par un autre prospect",IF(AND(J25&lt;&gt;"",J25&lt;A25),"⚠ Relance avant la date de l'action",IF(A25&gt;TODAY(),"⚠ Date dans le futur","✓"))))))))</f>
        <v/>
      </c>
      <c r="AS25" s="61">
        <f>IF(AND(A25="",C25="",E25=""),"",ROW())</f>
        <v/>
      </c>
      <c r="AT25" s="61">
        <f>IF(E25&amp;F25="","",MAX(IFERROR(INDEX('Paramètres'!$J$6:$J$33,MATCH(E25,'Paramètres'!$I$6:$I$33,0)),0),IFERROR(INDEX('Paramètres'!$N$6:$N$17,MATCH(F25,'Paramètres'!$M$6:$M$17,0)),0)))</f>
        <v/>
      </c>
      <c r="AU25" s="61">
        <f>IF(E25="","",IFERROR(IF(INDEX('Paramètres'!$K$6:$K$33,MATCH(E25,'Paramètres'!$I$6:$I$33,0))="Oui",1,0),0))</f>
        <v/>
      </c>
      <c r="AV25" s="61">
        <f>IF(F25="","",IFERROR(IF(INDEX('Paramètres'!$O$6:$O$17,MATCH(F25,'Paramètres'!$M$6:$M$17,0))="Oui",1,0),0))</f>
        <v/>
      </c>
      <c r="AW25" s="62">
        <f>IF(E25="","",IF(G25&lt;&gt;"",G25,IF(OR(E25="Proposition envoyée",E25="Signature"),MAX(0,N(IFERROR(INDEX('Paramètres'!$R$6:$R$15,MATCH(IF(AL25&lt;&gt;"",AL25,IFERROR(INDEX('Prospects'!$AN$5:$AN$504,MATCH(C25,'Prospects'!$C$5:$C$504,0)),"")),'Paramètres'!$Q$6:$Q$15,0)),0))-N(P25)),0)))</f>
        <v/>
      </c>
      <c r="AX25" s="61">
        <f>IF(C25="","",IF(COUNTIF($C$5:C25,C25)=1,MAX($AX$4:AX24)+1,""))</f>
        <v/>
      </c>
      <c r="AY25" s="61">
        <f>IF(B25="","",HOUR(B25))</f>
        <v/>
      </c>
      <c r="AZ25" s="61">
        <f>IF(A25="","",MOD(A25-2,7)+1)</f>
        <v/>
      </c>
      <c r="BA25" s="60">
        <f>IF(C25="","",IFERROR(INDEX('Prospects'!$N$5:$N$504,MATCH(C25,'Prospects'!$C$5:$C$504,0)),""))</f>
        <v/>
      </c>
      <c r="BB25" s="61">
        <f>IF(AND(C25&lt;&gt;"",C25='Fiche prospect'!$C$4),COUNTIF($C$5:C25,C25),"")</f>
        <v/>
      </c>
    </row>
    <row r="26">
      <c r="A26" s="53" t="n"/>
      <c r="B26" s="54" t="n"/>
      <c r="C26" s="55" t="n"/>
      <c r="D26" s="55" t="n"/>
      <c r="E26" s="55" t="n"/>
      <c r="F26" s="55" t="n"/>
      <c r="G26" s="56" t="n"/>
      <c r="H26" s="57" t="n"/>
      <c r="I26" s="55" t="n"/>
      <c r="J26" s="53" t="n"/>
      <c r="K26" s="54" t="n"/>
      <c r="L26" s="55" t="n"/>
      <c r="M26" s="55" t="n"/>
      <c r="N26" s="57" t="n"/>
      <c r="O26" s="55" t="n"/>
      <c r="P26" s="56" t="n"/>
      <c r="Q26" s="55" t="n"/>
      <c r="R26" s="55" t="n"/>
      <c r="S26" s="55" t="n"/>
      <c r="T26" s="55" t="n"/>
      <c r="U26" s="55" t="n"/>
      <c r="V26" s="55" t="n"/>
      <c r="W26" s="58" t="n"/>
      <c r="X26" s="58" t="n"/>
      <c r="Y26" s="55" t="n"/>
      <c r="Z26" s="55" t="n"/>
      <c r="AA26" s="55" t="n"/>
      <c r="AB26" s="55" t="n"/>
      <c r="AC26" s="55" t="n"/>
      <c r="AD26" s="53" t="n"/>
      <c r="AE26" s="55" t="n"/>
      <c r="AF26" s="55" t="n"/>
      <c r="AG26" s="59" t="n"/>
      <c r="AH26" s="57" t="n"/>
      <c r="AI26" s="55" t="n"/>
      <c r="AJ26" s="55" t="n"/>
      <c r="AK26" s="55" t="n"/>
      <c r="AL26" s="55" t="n"/>
      <c r="AM26" s="56" t="n"/>
      <c r="AN26" s="55" t="n"/>
      <c r="AO26" s="55" t="n"/>
      <c r="AP26" s="55" t="n"/>
      <c r="AQ26" s="55" t="n"/>
      <c r="AR26" s="60">
        <f>IF(AND(C26="",E26=""),"",IF(A26="","⚠ Date manquante",IF(AND(C26="",E26&lt;&gt;"Dépense"),"⚠ Prospect manquant",IF(E26="","⚠ Action manquante",IF(AND(AU26=1,D26=""),"⚠ Canal manquant",IF(AND(W26&lt;&gt;"",COUNTIFS('Saisie'!$W$5:$W$2004,W26,'Saisie'!$C$5:$C$2004,"&lt;&gt;"&amp;C26)&gt;0),"⚠ Numéro déjà utilisé par un autre prospect",IF(AND(J26&lt;&gt;"",J26&lt;A26),"⚠ Relance avant la date de l'action",IF(A26&gt;TODAY(),"⚠ Date dans le futur","✓"))))))))</f>
        <v/>
      </c>
      <c r="AS26" s="61">
        <f>IF(AND(A26="",C26="",E26=""),"",ROW())</f>
        <v/>
      </c>
      <c r="AT26" s="61">
        <f>IF(E26&amp;F26="","",MAX(IFERROR(INDEX('Paramètres'!$J$6:$J$33,MATCH(E26,'Paramètres'!$I$6:$I$33,0)),0),IFERROR(INDEX('Paramètres'!$N$6:$N$17,MATCH(F26,'Paramètres'!$M$6:$M$17,0)),0)))</f>
        <v/>
      </c>
      <c r="AU26" s="61">
        <f>IF(E26="","",IFERROR(IF(INDEX('Paramètres'!$K$6:$K$33,MATCH(E26,'Paramètres'!$I$6:$I$33,0))="Oui",1,0),0))</f>
        <v/>
      </c>
      <c r="AV26" s="61">
        <f>IF(F26="","",IFERROR(IF(INDEX('Paramètres'!$O$6:$O$17,MATCH(F26,'Paramètres'!$M$6:$M$17,0))="Oui",1,0),0))</f>
        <v/>
      </c>
      <c r="AW26" s="62">
        <f>IF(E26="","",IF(G26&lt;&gt;"",G26,IF(OR(E26="Proposition envoyée",E26="Signature"),MAX(0,N(IFERROR(INDEX('Paramètres'!$R$6:$R$15,MATCH(IF(AL26&lt;&gt;"",AL26,IFERROR(INDEX('Prospects'!$AN$5:$AN$504,MATCH(C26,'Prospects'!$C$5:$C$504,0)),"")),'Paramètres'!$Q$6:$Q$15,0)),0))-N(P26)),0)))</f>
        <v/>
      </c>
      <c r="AX26" s="61">
        <f>IF(C26="","",IF(COUNTIF($C$5:C26,C26)=1,MAX($AX$4:AX25)+1,""))</f>
        <v/>
      </c>
      <c r="AY26" s="61">
        <f>IF(B26="","",HOUR(B26))</f>
        <v/>
      </c>
      <c r="AZ26" s="61">
        <f>IF(A26="","",MOD(A26-2,7)+1)</f>
        <v/>
      </c>
      <c r="BA26" s="60">
        <f>IF(C26="","",IFERROR(INDEX('Prospects'!$N$5:$N$504,MATCH(C26,'Prospects'!$C$5:$C$504,0)),""))</f>
        <v/>
      </c>
      <c r="BB26" s="61">
        <f>IF(AND(C26&lt;&gt;"",C26='Fiche prospect'!$C$4),COUNTIF($C$5:C26,C26),"")</f>
        <v/>
      </c>
    </row>
    <row r="27">
      <c r="A27" s="53" t="n"/>
      <c r="B27" s="54" t="n"/>
      <c r="C27" s="55" t="n"/>
      <c r="D27" s="55" t="n"/>
      <c r="E27" s="55" t="n"/>
      <c r="F27" s="55" t="n"/>
      <c r="G27" s="56" t="n"/>
      <c r="H27" s="57" t="n"/>
      <c r="I27" s="55" t="n"/>
      <c r="J27" s="53" t="n"/>
      <c r="K27" s="54" t="n"/>
      <c r="L27" s="55" t="n"/>
      <c r="M27" s="55" t="n"/>
      <c r="N27" s="57" t="n"/>
      <c r="O27" s="55" t="n"/>
      <c r="P27" s="56" t="n"/>
      <c r="Q27" s="55" t="n"/>
      <c r="R27" s="55" t="n"/>
      <c r="S27" s="55" t="n"/>
      <c r="T27" s="55" t="n"/>
      <c r="U27" s="55" t="n"/>
      <c r="V27" s="55" t="n"/>
      <c r="W27" s="58" t="n"/>
      <c r="X27" s="58" t="n"/>
      <c r="Y27" s="55" t="n"/>
      <c r="Z27" s="55" t="n"/>
      <c r="AA27" s="55" t="n"/>
      <c r="AB27" s="55" t="n"/>
      <c r="AC27" s="55" t="n"/>
      <c r="AD27" s="53" t="n"/>
      <c r="AE27" s="55" t="n"/>
      <c r="AF27" s="55" t="n"/>
      <c r="AG27" s="59" t="n"/>
      <c r="AH27" s="57" t="n"/>
      <c r="AI27" s="55" t="n"/>
      <c r="AJ27" s="55" t="n"/>
      <c r="AK27" s="55" t="n"/>
      <c r="AL27" s="55" t="n"/>
      <c r="AM27" s="56" t="n"/>
      <c r="AN27" s="55" t="n"/>
      <c r="AO27" s="55" t="n"/>
      <c r="AP27" s="55" t="n"/>
      <c r="AQ27" s="55" t="n"/>
      <c r="AR27" s="60">
        <f>IF(AND(C27="",E27=""),"",IF(A27="","⚠ Date manquante",IF(AND(C27="",E27&lt;&gt;"Dépense"),"⚠ Prospect manquant",IF(E27="","⚠ Action manquante",IF(AND(AU27=1,D27=""),"⚠ Canal manquant",IF(AND(W27&lt;&gt;"",COUNTIFS('Saisie'!$W$5:$W$2004,W27,'Saisie'!$C$5:$C$2004,"&lt;&gt;"&amp;C27)&gt;0),"⚠ Numéro déjà utilisé par un autre prospect",IF(AND(J27&lt;&gt;"",J27&lt;A27),"⚠ Relance avant la date de l'action",IF(A27&gt;TODAY(),"⚠ Date dans le futur","✓"))))))))</f>
        <v/>
      </c>
      <c r="AS27" s="61">
        <f>IF(AND(A27="",C27="",E27=""),"",ROW())</f>
        <v/>
      </c>
      <c r="AT27" s="61">
        <f>IF(E27&amp;F27="","",MAX(IFERROR(INDEX('Paramètres'!$J$6:$J$33,MATCH(E27,'Paramètres'!$I$6:$I$33,0)),0),IFERROR(INDEX('Paramètres'!$N$6:$N$17,MATCH(F27,'Paramètres'!$M$6:$M$17,0)),0)))</f>
        <v/>
      </c>
      <c r="AU27" s="61">
        <f>IF(E27="","",IFERROR(IF(INDEX('Paramètres'!$K$6:$K$33,MATCH(E27,'Paramètres'!$I$6:$I$33,0))="Oui",1,0),0))</f>
        <v/>
      </c>
      <c r="AV27" s="61">
        <f>IF(F27="","",IFERROR(IF(INDEX('Paramètres'!$O$6:$O$17,MATCH(F27,'Paramètres'!$M$6:$M$17,0))="Oui",1,0),0))</f>
        <v/>
      </c>
      <c r="AW27" s="62">
        <f>IF(E27="","",IF(G27&lt;&gt;"",G27,IF(OR(E27="Proposition envoyée",E27="Signature"),MAX(0,N(IFERROR(INDEX('Paramètres'!$R$6:$R$15,MATCH(IF(AL27&lt;&gt;"",AL27,IFERROR(INDEX('Prospects'!$AN$5:$AN$504,MATCH(C27,'Prospects'!$C$5:$C$504,0)),"")),'Paramètres'!$Q$6:$Q$15,0)),0))-N(P27)),0)))</f>
        <v/>
      </c>
      <c r="AX27" s="61">
        <f>IF(C27="","",IF(COUNTIF($C$5:C27,C27)=1,MAX($AX$4:AX26)+1,""))</f>
        <v/>
      </c>
      <c r="AY27" s="61">
        <f>IF(B27="","",HOUR(B27))</f>
        <v/>
      </c>
      <c r="AZ27" s="61">
        <f>IF(A27="","",MOD(A27-2,7)+1)</f>
        <v/>
      </c>
      <c r="BA27" s="60">
        <f>IF(C27="","",IFERROR(INDEX('Prospects'!$N$5:$N$504,MATCH(C27,'Prospects'!$C$5:$C$504,0)),""))</f>
        <v/>
      </c>
      <c r="BB27" s="61">
        <f>IF(AND(C27&lt;&gt;"",C27='Fiche prospect'!$C$4),COUNTIF($C$5:C27,C27),"")</f>
        <v/>
      </c>
    </row>
    <row r="28">
      <c r="A28" s="53" t="n"/>
      <c r="B28" s="54" t="n"/>
      <c r="C28" s="55" t="n"/>
      <c r="D28" s="55" t="n"/>
      <c r="E28" s="55" t="n"/>
      <c r="F28" s="55" t="n"/>
      <c r="G28" s="56" t="n"/>
      <c r="H28" s="57" t="n"/>
      <c r="I28" s="55" t="n"/>
      <c r="J28" s="53" t="n"/>
      <c r="K28" s="54" t="n"/>
      <c r="L28" s="55" t="n"/>
      <c r="M28" s="55" t="n"/>
      <c r="N28" s="57" t="n"/>
      <c r="O28" s="55" t="n"/>
      <c r="P28" s="56" t="n"/>
      <c r="Q28" s="55" t="n"/>
      <c r="R28" s="55" t="n"/>
      <c r="S28" s="55" t="n"/>
      <c r="T28" s="55" t="n"/>
      <c r="U28" s="55" t="n"/>
      <c r="V28" s="55" t="n"/>
      <c r="W28" s="58" t="n"/>
      <c r="X28" s="58" t="n"/>
      <c r="Y28" s="55" t="n"/>
      <c r="Z28" s="55" t="n"/>
      <c r="AA28" s="55" t="n"/>
      <c r="AB28" s="55" t="n"/>
      <c r="AC28" s="55" t="n"/>
      <c r="AD28" s="53" t="n"/>
      <c r="AE28" s="55" t="n"/>
      <c r="AF28" s="55" t="n"/>
      <c r="AG28" s="59" t="n"/>
      <c r="AH28" s="57" t="n"/>
      <c r="AI28" s="55" t="n"/>
      <c r="AJ28" s="55" t="n"/>
      <c r="AK28" s="55" t="n"/>
      <c r="AL28" s="55" t="n"/>
      <c r="AM28" s="56" t="n"/>
      <c r="AN28" s="55" t="n"/>
      <c r="AO28" s="55" t="n"/>
      <c r="AP28" s="55" t="n"/>
      <c r="AQ28" s="55" t="n"/>
      <c r="AR28" s="60">
        <f>IF(AND(C28="",E28=""),"",IF(A28="","⚠ Date manquante",IF(AND(C28="",E28&lt;&gt;"Dépense"),"⚠ Prospect manquant",IF(E28="","⚠ Action manquante",IF(AND(AU28=1,D28=""),"⚠ Canal manquant",IF(AND(W28&lt;&gt;"",COUNTIFS('Saisie'!$W$5:$W$2004,W28,'Saisie'!$C$5:$C$2004,"&lt;&gt;"&amp;C28)&gt;0),"⚠ Numéro déjà utilisé par un autre prospect",IF(AND(J28&lt;&gt;"",J28&lt;A28),"⚠ Relance avant la date de l'action",IF(A28&gt;TODAY(),"⚠ Date dans le futur","✓"))))))))</f>
        <v/>
      </c>
      <c r="AS28" s="61">
        <f>IF(AND(A28="",C28="",E28=""),"",ROW())</f>
        <v/>
      </c>
      <c r="AT28" s="61">
        <f>IF(E28&amp;F28="","",MAX(IFERROR(INDEX('Paramètres'!$J$6:$J$33,MATCH(E28,'Paramètres'!$I$6:$I$33,0)),0),IFERROR(INDEX('Paramètres'!$N$6:$N$17,MATCH(F28,'Paramètres'!$M$6:$M$17,0)),0)))</f>
        <v/>
      </c>
      <c r="AU28" s="61">
        <f>IF(E28="","",IFERROR(IF(INDEX('Paramètres'!$K$6:$K$33,MATCH(E28,'Paramètres'!$I$6:$I$33,0))="Oui",1,0),0))</f>
        <v/>
      </c>
      <c r="AV28" s="61">
        <f>IF(F28="","",IFERROR(IF(INDEX('Paramètres'!$O$6:$O$17,MATCH(F28,'Paramètres'!$M$6:$M$17,0))="Oui",1,0),0))</f>
        <v/>
      </c>
      <c r="AW28" s="62">
        <f>IF(E28="","",IF(G28&lt;&gt;"",G28,IF(OR(E28="Proposition envoyée",E28="Signature"),MAX(0,N(IFERROR(INDEX('Paramètres'!$R$6:$R$15,MATCH(IF(AL28&lt;&gt;"",AL28,IFERROR(INDEX('Prospects'!$AN$5:$AN$504,MATCH(C28,'Prospects'!$C$5:$C$504,0)),"")),'Paramètres'!$Q$6:$Q$15,0)),0))-N(P28)),0)))</f>
        <v/>
      </c>
      <c r="AX28" s="61">
        <f>IF(C28="","",IF(COUNTIF($C$5:C28,C28)=1,MAX($AX$4:AX27)+1,""))</f>
        <v/>
      </c>
      <c r="AY28" s="61">
        <f>IF(B28="","",HOUR(B28))</f>
        <v/>
      </c>
      <c r="AZ28" s="61">
        <f>IF(A28="","",MOD(A28-2,7)+1)</f>
        <v/>
      </c>
      <c r="BA28" s="60">
        <f>IF(C28="","",IFERROR(INDEX('Prospects'!$N$5:$N$504,MATCH(C28,'Prospects'!$C$5:$C$504,0)),""))</f>
        <v/>
      </c>
      <c r="BB28" s="61">
        <f>IF(AND(C28&lt;&gt;"",C28='Fiche prospect'!$C$4),COUNTIF($C$5:C28,C28),"")</f>
        <v/>
      </c>
    </row>
    <row r="29">
      <c r="A29" s="53" t="n"/>
      <c r="B29" s="54" t="n"/>
      <c r="C29" s="55" t="n"/>
      <c r="D29" s="55" t="n"/>
      <c r="E29" s="55" t="n"/>
      <c r="F29" s="55" t="n"/>
      <c r="G29" s="56" t="n"/>
      <c r="H29" s="57" t="n"/>
      <c r="I29" s="55" t="n"/>
      <c r="J29" s="53" t="n"/>
      <c r="K29" s="54" t="n"/>
      <c r="L29" s="55" t="n"/>
      <c r="M29" s="55" t="n"/>
      <c r="N29" s="57" t="n"/>
      <c r="O29" s="55" t="n"/>
      <c r="P29" s="56" t="n"/>
      <c r="Q29" s="55" t="n"/>
      <c r="R29" s="55" t="n"/>
      <c r="S29" s="55" t="n"/>
      <c r="T29" s="55" t="n"/>
      <c r="U29" s="55" t="n"/>
      <c r="V29" s="55" t="n"/>
      <c r="W29" s="58" t="n"/>
      <c r="X29" s="58" t="n"/>
      <c r="Y29" s="55" t="n"/>
      <c r="Z29" s="55" t="n"/>
      <c r="AA29" s="55" t="n"/>
      <c r="AB29" s="55" t="n"/>
      <c r="AC29" s="55" t="n"/>
      <c r="AD29" s="53" t="n"/>
      <c r="AE29" s="55" t="n"/>
      <c r="AF29" s="55" t="n"/>
      <c r="AG29" s="59" t="n"/>
      <c r="AH29" s="57" t="n"/>
      <c r="AI29" s="55" t="n"/>
      <c r="AJ29" s="55" t="n"/>
      <c r="AK29" s="55" t="n"/>
      <c r="AL29" s="55" t="n"/>
      <c r="AM29" s="56" t="n"/>
      <c r="AN29" s="55" t="n"/>
      <c r="AO29" s="55" t="n"/>
      <c r="AP29" s="55" t="n"/>
      <c r="AQ29" s="55" t="n"/>
      <c r="AR29" s="60">
        <f>IF(AND(C29="",E29=""),"",IF(A29="","⚠ Date manquante",IF(AND(C29="",E29&lt;&gt;"Dépense"),"⚠ Prospect manquant",IF(E29="","⚠ Action manquante",IF(AND(AU29=1,D29=""),"⚠ Canal manquant",IF(AND(W29&lt;&gt;"",COUNTIFS('Saisie'!$W$5:$W$2004,W29,'Saisie'!$C$5:$C$2004,"&lt;&gt;"&amp;C29)&gt;0),"⚠ Numéro déjà utilisé par un autre prospect",IF(AND(J29&lt;&gt;"",J29&lt;A29),"⚠ Relance avant la date de l'action",IF(A29&gt;TODAY(),"⚠ Date dans le futur","✓"))))))))</f>
        <v/>
      </c>
      <c r="AS29" s="61">
        <f>IF(AND(A29="",C29="",E29=""),"",ROW())</f>
        <v/>
      </c>
      <c r="AT29" s="61">
        <f>IF(E29&amp;F29="","",MAX(IFERROR(INDEX('Paramètres'!$J$6:$J$33,MATCH(E29,'Paramètres'!$I$6:$I$33,0)),0),IFERROR(INDEX('Paramètres'!$N$6:$N$17,MATCH(F29,'Paramètres'!$M$6:$M$17,0)),0)))</f>
        <v/>
      </c>
      <c r="AU29" s="61">
        <f>IF(E29="","",IFERROR(IF(INDEX('Paramètres'!$K$6:$K$33,MATCH(E29,'Paramètres'!$I$6:$I$33,0))="Oui",1,0),0))</f>
        <v/>
      </c>
      <c r="AV29" s="61">
        <f>IF(F29="","",IFERROR(IF(INDEX('Paramètres'!$O$6:$O$17,MATCH(F29,'Paramètres'!$M$6:$M$17,0))="Oui",1,0),0))</f>
        <v/>
      </c>
      <c r="AW29" s="62">
        <f>IF(E29="","",IF(G29&lt;&gt;"",G29,IF(OR(E29="Proposition envoyée",E29="Signature"),MAX(0,N(IFERROR(INDEX('Paramètres'!$R$6:$R$15,MATCH(IF(AL29&lt;&gt;"",AL29,IFERROR(INDEX('Prospects'!$AN$5:$AN$504,MATCH(C29,'Prospects'!$C$5:$C$504,0)),"")),'Paramètres'!$Q$6:$Q$15,0)),0))-N(P29)),0)))</f>
        <v/>
      </c>
      <c r="AX29" s="61">
        <f>IF(C29="","",IF(COUNTIF($C$5:C29,C29)=1,MAX($AX$4:AX28)+1,""))</f>
        <v/>
      </c>
      <c r="AY29" s="61">
        <f>IF(B29="","",HOUR(B29))</f>
        <v/>
      </c>
      <c r="AZ29" s="61">
        <f>IF(A29="","",MOD(A29-2,7)+1)</f>
        <v/>
      </c>
      <c r="BA29" s="60">
        <f>IF(C29="","",IFERROR(INDEX('Prospects'!$N$5:$N$504,MATCH(C29,'Prospects'!$C$5:$C$504,0)),""))</f>
        <v/>
      </c>
      <c r="BB29" s="61">
        <f>IF(AND(C29&lt;&gt;"",C29='Fiche prospect'!$C$4),COUNTIF($C$5:C29,C29),"")</f>
        <v/>
      </c>
    </row>
    <row r="30">
      <c r="A30" s="53" t="n"/>
      <c r="B30" s="54" t="n"/>
      <c r="C30" s="55" t="n"/>
      <c r="D30" s="55" t="n"/>
      <c r="E30" s="55" t="n"/>
      <c r="F30" s="55" t="n"/>
      <c r="G30" s="56" t="n"/>
      <c r="H30" s="57" t="n"/>
      <c r="I30" s="55" t="n"/>
      <c r="J30" s="53" t="n"/>
      <c r="K30" s="54" t="n"/>
      <c r="L30" s="55" t="n"/>
      <c r="M30" s="55" t="n"/>
      <c r="N30" s="57" t="n"/>
      <c r="O30" s="55" t="n"/>
      <c r="P30" s="56" t="n"/>
      <c r="Q30" s="55" t="n"/>
      <c r="R30" s="55" t="n"/>
      <c r="S30" s="55" t="n"/>
      <c r="T30" s="55" t="n"/>
      <c r="U30" s="55" t="n"/>
      <c r="V30" s="55" t="n"/>
      <c r="W30" s="58" t="n"/>
      <c r="X30" s="58" t="n"/>
      <c r="Y30" s="55" t="n"/>
      <c r="Z30" s="55" t="n"/>
      <c r="AA30" s="55" t="n"/>
      <c r="AB30" s="55" t="n"/>
      <c r="AC30" s="55" t="n"/>
      <c r="AD30" s="53" t="n"/>
      <c r="AE30" s="55" t="n"/>
      <c r="AF30" s="55" t="n"/>
      <c r="AG30" s="59" t="n"/>
      <c r="AH30" s="57" t="n"/>
      <c r="AI30" s="55" t="n"/>
      <c r="AJ30" s="55" t="n"/>
      <c r="AK30" s="55" t="n"/>
      <c r="AL30" s="55" t="n"/>
      <c r="AM30" s="56" t="n"/>
      <c r="AN30" s="55" t="n"/>
      <c r="AO30" s="55" t="n"/>
      <c r="AP30" s="55" t="n"/>
      <c r="AQ30" s="55" t="n"/>
      <c r="AR30" s="60">
        <f>IF(AND(C30="",E30=""),"",IF(A30="","⚠ Date manquante",IF(AND(C30="",E30&lt;&gt;"Dépense"),"⚠ Prospect manquant",IF(E30="","⚠ Action manquante",IF(AND(AU30=1,D30=""),"⚠ Canal manquant",IF(AND(W30&lt;&gt;"",COUNTIFS('Saisie'!$W$5:$W$2004,W30,'Saisie'!$C$5:$C$2004,"&lt;&gt;"&amp;C30)&gt;0),"⚠ Numéro déjà utilisé par un autre prospect",IF(AND(J30&lt;&gt;"",J30&lt;A30),"⚠ Relance avant la date de l'action",IF(A30&gt;TODAY(),"⚠ Date dans le futur","✓"))))))))</f>
        <v/>
      </c>
      <c r="AS30" s="61">
        <f>IF(AND(A30="",C30="",E30=""),"",ROW())</f>
        <v/>
      </c>
      <c r="AT30" s="61">
        <f>IF(E30&amp;F30="","",MAX(IFERROR(INDEX('Paramètres'!$J$6:$J$33,MATCH(E30,'Paramètres'!$I$6:$I$33,0)),0),IFERROR(INDEX('Paramètres'!$N$6:$N$17,MATCH(F30,'Paramètres'!$M$6:$M$17,0)),0)))</f>
        <v/>
      </c>
      <c r="AU30" s="61">
        <f>IF(E30="","",IFERROR(IF(INDEX('Paramètres'!$K$6:$K$33,MATCH(E30,'Paramètres'!$I$6:$I$33,0))="Oui",1,0),0))</f>
        <v/>
      </c>
      <c r="AV30" s="61">
        <f>IF(F30="","",IFERROR(IF(INDEX('Paramètres'!$O$6:$O$17,MATCH(F30,'Paramètres'!$M$6:$M$17,0))="Oui",1,0),0))</f>
        <v/>
      </c>
      <c r="AW30" s="62">
        <f>IF(E30="","",IF(G30&lt;&gt;"",G30,IF(OR(E30="Proposition envoyée",E30="Signature"),MAX(0,N(IFERROR(INDEX('Paramètres'!$R$6:$R$15,MATCH(IF(AL30&lt;&gt;"",AL30,IFERROR(INDEX('Prospects'!$AN$5:$AN$504,MATCH(C30,'Prospects'!$C$5:$C$504,0)),"")),'Paramètres'!$Q$6:$Q$15,0)),0))-N(P30)),0)))</f>
        <v/>
      </c>
      <c r="AX30" s="61">
        <f>IF(C30="","",IF(COUNTIF($C$5:C30,C30)=1,MAX($AX$4:AX29)+1,""))</f>
        <v/>
      </c>
      <c r="AY30" s="61">
        <f>IF(B30="","",HOUR(B30))</f>
        <v/>
      </c>
      <c r="AZ30" s="61">
        <f>IF(A30="","",MOD(A30-2,7)+1)</f>
        <v/>
      </c>
      <c r="BA30" s="60">
        <f>IF(C30="","",IFERROR(INDEX('Prospects'!$N$5:$N$504,MATCH(C30,'Prospects'!$C$5:$C$504,0)),""))</f>
        <v/>
      </c>
      <c r="BB30" s="61">
        <f>IF(AND(C30&lt;&gt;"",C30='Fiche prospect'!$C$4),COUNTIF($C$5:C30,C30),"")</f>
        <v/>
      </c>
    </row>
    <row r="31">
      <c r="A31" s="53" t="n"/>
      <c r="B31" s="54" t="n"/>
      <c r="C31" s="55" t="n"/>
      <c r="D31" s="55" t="n"/>
      <c r="E31" s="55" t="n"/>
      <c r="F31" s="55" t="n"/>
      <c r="G31" s="56" t="n"/>
      <c r="H31" s="57" t="n"/>
      <c r="I31" s="55" t="n"/>
      <c r="J31" s="53" t="n"/>
      <c r="K31" s="54" t="n"/>
      <c r="L31" s="55" t="n"/>
      <c r="M31" s="55" t="n"/>
      <c r="N31" s="57" t="n"/>
      <c r="O31" s="55" t="n"/>
      <c r="P31" s="56" t="n"/>
      <c r="Q31" s="55" t="n"/>
      <c r="R31" s="55" t="n"/>
      <c r="S31" s="55" t="n"/>
      <c r="T31" s="55" t="n"/>
      <c r="U31" s="55" t="n"/>
      <c r="V31" s="55" t="n"/>
      <c r="W31" s="58" t="n"/>
      <c r="X31" s="58" t="n"/>
      <c r="Y31" s="55" t="n"/>
      <c r="Z31" s="55" t="n"/>
      <c r="AA31" s="55" t="n"/>
      <c r="AB31" s="55" t="n"/>
      <c r="AC31" s="55" t="n"/>
      <c r="AD31" s="53" t="n"/>
      <c r="AE31" s="55" t="n"/>
      <c r="AF31" s="55" t="n"/>
      <c r="AG31" s="59" t="n"/>
      <c r="AH31" s="57" t="n"/>
      <c r="AI31" s="55" t="n"/>
      <c r="AJ31" s="55" t="n"/>
      <c r="AK31" s="55" t="n"/>
      <c r="AL31" s="55" t="n"/>
      <c r="AM31" s="56" t="n"/>
      <c r="AN31" s="55" t="n"/>
      <c r="AO31" s="55" t="n"/>
      <c r="AP31" s="55" t="n"/>
      <c r="AQ31" s="55" t="n"/>
      <c r="AR31" s="60">
        <f>IF(AND(C31="",E31=""),"",IF(A31="","⚠ Date manquante",IF(AND(C31="",E31&lt;&gt;"Dépense"),"⚠ Prospect manquant",IF(E31="","⚠ Action manquante",IF(AND(AU31=1,D31=""),"⚠ Canal manquant",IF(AND(W31&lt;&gt;"",COUNTIFS('Saisie'!$W$5:$W$2004,W31,'Saisie'!$C$5:$C$2004,"&lt;&gt;"&amp;C31)&gt;0),"⚠ Numéro déjà utilisé par un autre prospect",IF(AND(J31&lt;&gt;"",J31&lt;A31),"⚠ Relance avant la date de l'action",IF(A31&gt;TODAY(),"⚠ Date dans le futur","✓"))))))))</f>
        <v/>
      </c>
      <c r="AS31" s="61">
        <f>IF(AND(A31="",C31="",E31=""),"",ROW())</f>
        <v/>
      </c>
      <c r="AT31" s="61">
        <f>IF(E31&amp;F31="","",MAX(IFERROR(INDEX('Paramètres'!$J$6:$J$33,MATCH(E31,'Paramètres'!$I$6:$I$33,0)),0),IFERROR(INDEX('Paramètres'!$N$6:$N$17,MATCH(F31,'Paramètres'!$M$6:$M$17,0)),0)))</f>
        <v/>
      </c>
      <c r="AU31" s="61">
        <f>IF(E31="","",IFERROR(IF(INDEX('Paramètres'!$K$6:$K$33,MATCH(E31,'Paramètres'!$I$6:$I$33,0))="Oui",1,0),0))</f>
        <v/>
      </c>
      <c r="AV31" s="61">
        <f>IF(F31="","",IFERROR(IF(INDEX('Paramètres'!$O$6:$O$17,MATCH(F31,'Paramètres'!$M$6:$M$17,0))="Oui",1,0),0))</f>
        <v/>
      </c>
      <c r="AW31" s="62">
        <f>IF(E31="","",IF(G31&lt;&gt;"",G31,IF(OR(E31="Proposition envoyée",E31="Signature"),MAX(0,N(IFERROR(INDEX('Paramètres'!$R$6:$R$15,MATCH(IF(AL31&lt;&gt;"",AL31,IFERROR(INDEX('Prospects'!$AN$5:$AN$504,MATCH(C31,'Prospects'!$C$5:$C$504,0)),"")),'Paramètres'!$Q$6:$Q$15,0)),0))-N(P31)),0)))</f>
        <v/>
      </c>
      <c r="AX31" s="61">
        <f>IF(C31="","",IF(COUNTIF($C$5:C31,C31)=1,MAX($AX$4:AX30)+1,""))</f>
        <v/>
      </c>
      <c r="AY31" s="61">
        <f>IF(B31="","",HOUR(B31))</f>
        <v/>
      </c>
      <c r="AZ31" s="61">
        <f>IF(A31="","",MOD(A31-2,7)+1)</f>
        <v/>
      </c>
      <c r="BA31" s="60">
        <f>IF(C31="","",IFERROR(INDEX('Prospects'!$N$5:$N$504,MATCH(C31,'Prospects'!$C$5:$C$504,0)),""))</f>
        <v/>
      </c>
      <c r="BB31" s="61">
        <f>IF(AND(C31&lt;&gt;"",C31='Fiche prospect'!$C$4),COUNTIF($C$5:C31,C31),"")</f>
        <v/>
      </c>
    </row>
    <row r="32">
      <c r="A32" s="53" t="n"/>
      <c r="B32" s="54" t="n"/>
      <c r="C32" s="55" t="n"/>
      <c r="D32" s="55" t="n"/>
      <c r="E32" s="55" t="n"/>
      <c r="F32" s="55" t="n"/>
      <c r="G32" s="56" t="n"/>
      <c r="H32" s="57" t="n"/>
      <c r="I32" s="55" t="n"/>
      <c r="J32" s="53" t="n"/>
      <c r="K32" s="54" t="n"/>
      <c r="L32" s="55" t="n"/>
      <c r="M32" s="55" t="n"/>
      <c r="N32" s="57" t="n"/>
      <c r="O32" s="55" t="n"/>
      <c r="P32" s="56" t="n"/>
      <c r="Q32" s="55" t="n"/>
      <c r="R32" s="55" t="n"/>
      <c r="S32" s="55" t="n"/>
      <c r="T32" s="55" t="n"/>
      <c r="U32" s="55" t="n"/>
      <c r="V32" s="55" t="n"/>
      <c r="W32" s="58" t="n"/>
      <c r="X32" s="58" t="n"/>
      <c r="Y32" s="55" t="n"/>
      <c r="Z32" s="55" t="n"/>
      <c r="AA32" s="55" t="n"/>
      <c r="AB32" s="55" t="n"/>
      <c r="AC32" s="55" t="n"/>
      <c r="AD32" s="53" t="n"/>
      <c r="AE32" s="55" t="n"/>
      <c r="AF32" s="55" t="n"/>
      <c r="AG32" s="59" t="n"/>
      <c r="AH32" s="57" t="n"/>
      <c r="AI32" s="55" t="n"/>
      <c r="AJ32" s="55" t="n"/>
      <c r="AK32" s="55" t="n"/>
      <c r="AL32" s="55" t="n"/>
      <c r="AM32" s="56" t="n"/>
      <c r="AN32" s="55" t="n"/>
      <c r="AO32" s="55" t="n"/>
      <c r="AP32" s="55" t="n"/>
      <c r="AQ32" s="55" t="n"/>
      <c r="AR32" s="60">
        <f>IF(AND(C32="",E32=""),"",IF(A32="","⚠ Date manquante",IF(AND(C32="",E32&lt;&gt;"Dépense"),"⚠ Prospect manquant",IF(E32="","⚠ Action manquante",IF(AND(AU32=1,D32=""),"⚠ Canal manquant",IF(AND(W32&lt;&gt;"",COUNTIFS('Saisie'!$W$5:$W$2004,W32,'Saisie'!$C$5:$C$2004,"&lt;&gt;"&amp;C32)&gt;0),"⚠ Numéro déjà utilisé par un autre prospect",IF(AND(J32&lt;&gt;"",J32&lt;A32),"⚠ Relance avant la date de l'action",IF(A32&gt;TODAY(),"⚠ Date dans le futur","✓"))))))))</f>
        <v/>
      </c>
      <c r="AS32" s="61">
        <f>IF(AND(A32="",C32="",E32=""),"",ROW())</f>
        <v/>
      </c>
      <c r="AT32" s="61">
        <f>IF(E32&amp;F32="","",MAX(IFERROR(INDEX('Paramètres'!$J$6:$J$33,MATCH(E32,'Paramètres'!$I$6:$I$33,0)),0),IFERROR(INDEX('Paramètres'!$N$6:$N$17,MATCH(F32,'Paramètres'!$M$6:$M$17,0)),0)))</f>
        <v/>
      </c>
      <c r="AU32" s="61">
        <f>IF(E32="","",IFERROR(IF(INDEX('Paramètres'!$K$6:$K$33,MATCH(E32,'Paramètres'!$I$6:$I$33,0))="Oui",1,0),0))</f>
        <v/>
      </c>
      <c r="AV32" s="61">
        <f>IF(F32="","",IFERROR(IF(INDEX('Paramètres'!$O$6:$O$17,MATCH(F32,'Paramètres'!$M$6:$M$17,0))="Oui",1,0),0))</f>
        <v/>
      </c>
      <c r="AW32" s="62">
        <f>IF(E32="","",IF(G32&lt;&gt;"",G32,IF(OR(E32="Proposition envoyée",E32="Signature"),MAX(0,N(IFERROR(INDEX('Paramètres'!$R$6:$R$15,MATCH(IF(AL32&lt;&gt;"",AL32,IFERROR(INDEX('Prospects'!$AN$5:$AN$504,MATCH(C32,'Prospects'!$C$5:$C$504,0)),"")),'Paramètres'!$Q$6:$Q$15,0)),0))-N(P32)),0)))</f>
        <v/>
      </c>
      <c r="AX32" s="61">
        <f>IF(C32="","",IF(COUNTIF($C$5:C32,C32)=1,MAX($AX$4:AX31)+1,""))</f>
        <v/>
      </c>
      <c r="AY32" s="61">
        <f>IF(B32="","",HOUR(B32))</f>
        <v/>
      </c>
      <c r="AZ32" s="61">
        <f>IF(A32="","",MOD(A32-2,7)+1)</f>
        <v/>
      </c>
      <c r="BA32" s="60">
        <f>IF(C32="","",IFERROR(INDEX('Prospects'!$N$5:$N$504,MATCH(C32,'Prospects'!$C$5:$C$504,0)),""))</f>
        <v/>
      </c>
      <c r="BB32" s="61">
        <f>IF(AND(C32&lt;&gt;"",C32='Fiche prospect'!$C$4),COUNTIF($C$5:C32,C32),"")</f>
        <v/>
      </c>
    </row>
    <row r="33">
      <c r="A33" s="53" t="n"/>
      <c r="B33" s="54" t="n"/>
      <c r="C33" s="55" t="n"/>
      <c r="D33" s="55" t="n"/>
      <c r="E33" s="55" t="n"/>
      <c r="F33" s="55" t="n"/>
      <c r="G33" s="56" t="n"/>
      <c r="H33" s="57" t="n"/>
      <c r="I33" s="55" t="n"/>
      <c r="J33" s="53" t="n"/>
      <c r="K33" s="54" t="n"/>
      <c r="L33" s="55" t="n"/>
      <c r="M33" s="55" t="n"/>
      <c r="N33" s="57" t="n"/>
      <c r="O33" s="55" t="n"/>
      <c r="P33" s="56" t="n"/>
      <c r="Q33" s="55" t="n"/>
      <c r="R33" s="55" t="n"/>
      <c r="S33" s="55" t="n"/>
      <c r="T33" s="55" t="n"/>
      <c r="U33" s="55" t="n"/>
      <c r="V33" s="55" t="n"/>
      <c r="W33" s="58" t="n"/>
      <c r="X33" s="58" t="n"/>
      <c r="Y33" s="55" t="n"/>
      <c r="Z33" s="55" t="n"/>
      <c r="AA33" s="55" t="n"/>
      <c r="AB33" s="55" t="n"/>
      <c r="AC33" s="55" t="n"/>
      <c r="AD33" s="53" t="n"/>
      <c r="AE33" s="55" t="n"/>
      <c r="AF33" s="55" t="n"/>
      <c r="AG33" s="59" t="n"/>
      <c r="AH33" s="57" t="n"/>
      <c r="AI33" s="55" t="n"/>
      <c r="AJ33" s="55" t="n"/>
      <c r="AK33" s="55" t="n"/>
      <c r="AL33" s="55" t="n"/>
      <c r="AM33" s="56" t="n"/>
      <c r="AN33" s="55" t="n"/>
      <c r="AO33" s="55" t="n"/>
      <c r="AP33" s="55" t="n"/>
      <c r="AQ33" s="55" t="n"/>
      <c r="AR33" s="60">
        <f>IF(AND(C33="",E33=""),"",IF(A33="","⚠ Date manquante",IF(AND(C33="",E33&lt;&gt;"Dépense"),"⚠ Prospect manquant",IF(E33="","⚠ Action manquante",IF(AND(AU33=1,D33=""),"⚠ Canal manquant",IF(AND(W33&lt;&gt;"",COUNTIFS('Saisie'!$W$5:$W$2004,W33,'Saisie'!$C$5:$C$2004,"&lt;&gt;"&amp;C33)&gt;0),"⚠ Numéro déjà utilisé par un autre prospect",IF(AND(J33&lt;&gt;"",J33&lt;A33),"⚠ Relance avant la date de l'action",IF(A33&gt;TODAY(),"⚠ Date dans le futur","✓"))))))))</f>
        <v/>
      </c>
      <c r="AS33" s="61">
        <f>IF(AND(A33="",C33="",E33=""),"",ROW())</f>
        <v/>
      </c>
      <c r="AT33" s="61">
        <f>IF(E33&amp;F33="","",MAX(IFERROR(INDEX('Paramètres'!$J$6:$J$33,MATCH(E33,'Paramètres'!$I$6:$I$33,0)),0),IFERROR(INDEX('Paramètres'!$N$6:$N$17,MATCH(F33,'Paramètres'!$M$6:$M$17,0)),0)))</f>
        <v/>
      </c>
      <c r="AU33" s="61">
        <f>IF(E33="","",IFERROR(IF(INDEX('Paramètres'!$K$6:$K$33,MATCH(E33,'Paramètres'!$I$6:$I$33,0))="Oui",1,0),0))</f>
        <v/>
      </c>
      <c r="AV33" s="61">
        <f>IF(F33="","",IFERROR(IF(INDEX('Paramètres'!$O$6:$O$17,MATCH(F33,'Paramètres'!$M$6:$M$17,0))="Oui",1,0),0))</f>
        <v/>
      </c>
      <c r="AW33" s="62">
        <f>IF(E33="","",IF(G33&lt;&gt;"",G33,IF(OR(E33="Proposition envoyée",E33="Signature"),MAX(0,N(IFERROR(INDEX('Paramètres'!$R$6:$R$15,MATCH(IF(AL33&lt;&gt;"",AL33,IFERROR(INDEX('Prospects'!$AN$5:$AN$504,MATCH(C33,'Prospects'!$C$5:$C$504,0)),"")),'Paramètres'!$Q$6:$Q$15,0)),0))-N(P33)),0)))</f>
        <v/>
      </c>
      <c r="AX33" s="61">
        <f>IF(C33="","",IF(COUNTIF($C$5:C33,C33)=1,MAX($AX$4:AX32)+1,""))</f>
        <v/>
      </c>
      <c r="AY33" s="61">
        <f>IF(B33="","",HOUR(B33))</f>
        <v/>
      </c>
      <c r="AZ33" s="61">
        <f>IF(A33="","",MOD(A33-2,7)+1)</f>
        <v/>
      </c>
      <c r="BA33" s="60">
        <f>IF(C33="","",IFERROR(INDEX('Prospects'!$N$5:$N$504,MATCH(C33,'Prospects'!$C$5:$C$504,0)),""))</f>
        <v/>
      </c>
      <c r="BB33" s="61">
        <f>IF(AND(C33&lt;&gt;"",C33='Fiche prospect'!$C$4),COUNTIF($C$5:C33,C33),"")</f>
        <v/>
      </c>
    </row>
    <row r="34">
      <c r="A34" s="53" t="n"/>
      <c r="B34" s="54" t="n"/>
      <c r="C34" s="55" t="n"/>
      <c r="D34" s="55" t="n"/>
      <c r="E34" s="55" t="n"/>
      <c r="F34" s="55" t="n"/>
      <c r="G34" s="56" t="n"/>
      <c r="H34" s="57" t="n"/>
      <c r="I34" s="55" t="n"/>
      <c r="J34" s="53" t="n"/>
      <c r="K34" s="54" t="n"/>
      <c r="L34" s="55" t="n"/>
      <c r="M34" s="55" t="n"/>
      <c r="N34" s="57" t="n"/>
      <c r="O34" s="55" t="n"/>
      <c r="P34" s="56" t="n"/>
      <c r="Q34" s="55" t="n"/>
      <c r="R34" s="55" t="n"/>
      <c r="S34" s="55" t="n"/>
      <c r="T34" s="55" t="n"/>
      <c r="U34" s="55" t="n"/>
      <c r="V34" s="55" t="n"/>
      <c r="W34" s="58" t="n"/>
      <c r="X34" s="58" t="n"/>
      <c r="Y34" s="55" t="n"/>
      <c r="Z34" s="55" t="n"/>
      <c r="AA34" s="55" t="n"/>
      <c r="AB34" s="55" t="n"/>
      <c r="AC34" s="55" t="n"/>
      <c r="AD34" s="53" t="n"/>
      <c r="AE34" s="55" t="n"/>
      <c r="AF34" s="55" t="n"/>
      <c r="AG34" s="59" t="n"/>
      <c r="AH34" s="57" t="n"/>
      <c r="AI34" s="55" t="n"/>
      <c r="AJ34" s="55" t="n"/>
      <c r="AK34" s="55" t="n"/>
      <c r="AL34" s="55" t="n"/>
      <c r="AM34" s="56" t="n"/>
      <c r="AN34" s="55" t="n"/>
      <c r="AO34" s="55" t="n"/>
      <c r="AP34" s="55" t="n"/>
      <c r="AQ34" s="55" t="n"/>
      <c r="AR34" s="60">
        <f>IF(AND(C34="",E34=""),"",IF(A34="","⚠ Date manquante",IF(AND(C34="",E34&lt;&gt;"Dépense"),"⚠ Prospect manquant",IF(E34="","⚠ Action manquante",IF(AND(AU34=1,D34=""),"⚠ Canal manquant",IF(AND(W34&lt;&gt;"",COUNTIFS('Saisie'!$W$5:$W$2004,W34,'Saisie'!$C$5:$C$2004,"&lt;&gt;"&amp;C34)&gt;0),"⚠ Numéro déjà utilisé par un autre prospect",IF(AND(J34&lt;&gt;"",J34&lt;A34),"⚠ Relance avant la date de l'action",IF(A34&gt;TODAY(),"⚠ Date dans le futur","✓"))))))))</f>
        <v/>
      </c>
      <c r="AS34" s="61">
        <f>IF(AND(A34="",C34="",E34=""),"",ROW())</f>
        <v/>
      </c>
      <c r="AT34" s="61">
        <f>IF(E34&amp;F34="","",MAX(IFERROR(INDEX('Paramètres'!$J$6:$J$33,MATCH(E34,'Paramètres'!$I$6:$I$33,0)),0),IFERROR(INDEX('Paramètres'!$N$6:$N$17,MATCH(F34,'Paramètres'!$M$6:$M$17,0)),0)))</f>
        <v/>
      </c>
      <c r="AU34" s="61">
        <f>IF(E34="","",IFERROR(IF(INDEX('Paramètres'!$K$6:$K$33,MATCH(E34,'Paramètres'!$I$6:$I$33,0))="Oui",1,0),0))</f>
        <v/>
      </c>
      <c r="AV34" s="61">
        <f>IF(F34="","",IFERROR(IF(INDEX('Paramètres'!$O$6:$O$17,MATCH(F34,'Paramètres'!$M$6:$M$17,0))="Oui",1,0),0))</f>
        <v/>
      </c>
      <c r="AW34" s="62">
        <f>IF(E34="","",IF(G34&lt;&gt;"",G34,IF(OR(E34="Proposition envoyée",E34="Signature"),MAX(0,N(IFERROR(INDEX('Paramètres'!$R$6:$R$15,MATCH(IF(AL34&lt;&gt;"",AL34,IFERROR(INDEX('Prospects'!$AN$5:$AN$504,MATCH(C34,'Prospects'!$C$5:$C$504,0)),"")),'Paramètres'!$Q$6:$Q$15,0)),0))-N(P34)),0)))</f>
        <v/>
      </c>
      <c r="AX34" s="61">
        <f>IF(C34="","",IF(COUNTIF($C$5:C34,C34)=1,MAX($AX$4:AX33)+1,""))</f>
        <v/>
      </c>
      <c r="AY34" s="61">
        <f>IF(B34="","",HOUR(B34))</f>
        <v/>
      </c>
      <c r="AZ34" s="61">
        <f>IF(A34="","",MOD(A34-2,7)+1)</f>
        <v/>
      </c>
      <c r="BA34" s="60">
        <f>IF(C34="","",IFERROR(INDEX('Prospects'!$N$5:$N$504,MATCH(C34,'Prospects'!$C$5:$C$504,0)),""))</f>
        <v/>
      </c>
      <c r="BB34" s="61">
        <f>IF(AND(C34&lt;&gt;"",C34='Fiche prospect'!$C$4),COUNTIF($C$5:C34,C34),"")</f>
        <v/>
      </c>
    </row>
    <row r="35">
      <c r="A35" s="53" t="n"/>
      <c r="B35" s="54" t="n"/>
      <c r="C35" s="55" t="n"/>
      <c r="D35" s="55" t="n"/>
      <c r="E35" s="55" t="n"/>
      <c r="F35" s="55" t="n"/>
      <c r="G35" s="56" t="n"/>
      <c r="H35" s="57" t="n"/>
      <c r="I35" s="55" t="n"/>
      <c r="J35" s="53" t="n"/>
      <c r="K35" s="54" t="n"/>
      <c r="L35" s="55" t="n"/>
      <c r="M35" s="55" t="n"/>
      <c r="N35" s="57" t="n"/>
      <c r="O35" s="55" t="n"/>
      <c r="P35" s="56" t="n"/>
      <c r="Q35" s="55" t="n"/>
      <c r="R35" s="55" t="n"/>
      <c r="S35" s="55" t="n"/>
      <c r="T35" s="55" t="n"/>
      <c r="U35" s="55" t="n"/>
      <c r="V35" s="55" t="n"/>
      <c r="W35" s="58" t="n"/>
      <c r="X35" s="58" t="n"/>
      <c r="Y35" s="55" t="n"/>
      <c r="Z35" s="55" t="n"/>
      <c r="AA35" s="55" t="n"/>
      <c r="AB35" s="55" t="n"/>
      <c r="AC35" s="55" t="n"/>
      <c r="AD35" s="53" t="n"/>
      <c r="AE35" s="55" t="n"/>
      <c r="AF35" s="55" t="n"/>
      <c r="AG35" s="59" t="n"/>
      <c r="AH35" s="57" t="n"/>
      <c r="AI35" s="55" t="n"/>
      <c r="AJ35" s="55" t="n"/>
      <c r="AK35" s="55" t="n"/>
      <c r="AL35" s="55" t="n"/>
      <c r="AM35" s="56" t="n"/>
      <c r="AN35" s="55" t="n"/>
      <c r="AO35" s="55" t="n"/>
      <c r="AP35" s="55" t="n"/>
      <c r="AQ35" s="55" t="n"/>
      <c r="AR35" s="60">
        <f>IF(AND(C35="",E35=""),"",IF(A35="","⚠ Date manquante",IF(AND(C35="",E35&lt;&gt;"Dépense"),"⚠ Prospect manquant",IF(E35="","⚠ Action manquante",IF(AND(AU35=1,D35=""),"⚠ Canal manquant",IF(AND(W35&lt;&gt;"",COUNTIFS('Saisie'!$W$5:$W$2004,W35,'Saisie'!$C$5:$C$2004,"&lt;&gt;"&amp;C35)&gt;0),"⚠ Numéro déjà utilisé par un autre prospect",IF(AND(J35&lt;&gt;"",J35&lt;A35),"⚠ Relance avant la date de l'action",IF(A35&gt;TODAY(),"⚠ Date dans le futur","✓"))))))))</f>
        <v/>
      </c>
      <c r="AS35" s="61">
        <f>IF(AND(A35="",C35="",E35=""),"",ROW())</f>
        <v/>
      </c>
      <c r="AT35" s="61">
        <f>IF(E35&amp;F35="","",MAX(IFERROR(INDEX('Paramètres'!$J$6:$J$33,MATCH(E35,'Paramètres'!$I$6:$I$33,0)),0),IFERROR(INDEX('Paramètres'!$N$6:$N$17,MATCH(F35,'Paramètres'!$M$6:$M$17,0)),0)))</f>
        <v/>
      </c>
      <c r="AU35" s="61">
        <f>IF(E35="","",IFERROR(IF(INDEX('Paramètres'!$K$6:$K$33,MATCH(E35,'Paramètres'!$I$6:$I$33,0))="Oui",1,0),0))</f>
        <v/>
      </c>
      <c r="AV35" s="61">
        <f>IF(F35="","",IFERROR(IF(INDEX('Paramètres'!$O$6:$O$17,MATCH(F35,'Paramètres'!$M$6:$M$17,0))="Oui",1,0),0))</f>
        <v/>
      </c>
      <c r="AW35" s="62">
        <f>IF(E35="","",IF(G35&lt;&gt;"",G35,IF(OR(E35="Proposition envoyée",E35="Signature"),MAX(0,N(IFERROR(INDEX('Paramètres'!$R$6:$R$15,MATCH(IF(AL35&lt;&gt;"",AL35,IFERROR(INDEX('Prospects'!$AN$5:$AN$504,MATCH(C35,'Prospects'!$C$5:$C$504,0)),"")),'Paramètres'!$Q$6:$Q$15,0)),0))-N(P35)),0)))</f>
        <v/>
      </c>
      <c r="AX35" s="61">
        <f>IF(C35="","",IF(COUNTIF($C$5:C35,C35)=1,MAX($AX$4:AX34)+1,""))</f>
        <v/>
      </c>
      <c r="AY35" s="61">
        <f>IF(B35="","",HOUR(B35))</f>
        <v/>
      </c>
      <c r="AZ35" s="61">
        <f>IF(A35="","",MOD(A35-2,7)+1)</f>
        <v/>
      </c>
      <c r="BA35" s="60">
        <f>IF(C35="","",IFERROR(INDEX('Prospects'!$N$5:$N$504,MATCH(C35,'Prospects'!$C$5:$C$504,0)),""))</f>
        <v/>
      </c>
      <c r="BB35" s="61">
        <f>IF(AND(C35&lt;&gt;"",C35='Fiche prospect'!$C$4),COUNTIF($C$5:C35,C35),"")</f>
        <v/>
      </c>
    </row>
    <row r="36">
      <c r="A36" s="53" t="n"/>
      <c r="B36" s="54" t="n"/>
      <c r="C36" s="55" t="n"/>
      <c r="D36" s="55" t="n"/>
      <c r="E36" s="55" t="n"/>
      <c r="F36" s="55" t="n"/>
      <c r="G36" s="56" t="n"/>
      <c r="H36" s="57" t="n"/>
      <c r="I36" s="55" t="n"/>
      <c r="J36" s="53" t="n"/>
      <c r="K36" s="54" t="n"/>
      <c r="L36" s="55" t="n"/>
      <c r="M36" s="55" t="n"/>
      <c r="N36" s="57" t="n"/>
      <c r="O36" s="55" t="n"/>
      <c r="P36" s="56" t="n"/>
      <c r="Q36" s="55" t="n"/>
      <c r="R36" s="55" t="n"/>
      <c r="S36" s="55" t="n"/>
      <c r="T36" s="55" t="n"/>
      <c r="U36" s="55" t="n"/>
      <c r="V36" s="55" t="n"/>
      <c r="W36" s="58" t="n"/>
      <c r="X36" s="58" t="n"/>
      <c r="Y36" s="55" t="n"/>
      <c r="Z36" s="55" t="n"/>
      <c r="AA36" s="55" t="n"/>
      <c r="AB36" s="55" t="n"/>
      <c r="AC36" s="55" t="n"/>
      <c r="AD36" s="53" t="n"/>
      <c r="AE36" s="55" t="n"/>
      <c r="AF36" s="55" t="n"/>
      <c r="AG36" s="59" t="n"/>
      <c r="AH36" s="57" t="n"/>
      <c r="AI36" s="55" t="n"/>
      <c r="AJ36" s="55" t="n"/>
      <c r="AK36" s="55" t="n"/>
      <c r="AL36" s="55" t="n"/>
      <c r="AM36" s="56" t="n"/>
      <c r="AN36" s="55" t="n"/>
      <c r="AO36" s="55" t="n"/>
      <c r="AP36" s="55" t="n"/>
      <c r="AQ36" s="55" t="n"/>
      <c r="AR36" s="60">
        <f>IF(AND(C36="",E36=""),"",IF(A36="","⚠ Date manquante",IF(AND(C36="",E36&lt;&gt;"Dépense"),"⚠ Prospect manquant",IF(E36="","⚠ Action manquante",IF(AND(AU36=1,D36=""),"⚠ Canal manquant",IF(AND(W36&lt;&gt;"",COUNTIFS('Saisie'!$W$5:$W$2004,W36,'Saisie'!$C$5:$C$2004,"&lt;&gt;"&amp;C36)&gt;0),"⚠ Numéro déjà utilisé par un autre prospect",IF(AND(J36&lt;&gt;"",J36&lt;A36),"⚠ Relance avant la date de l'action",IF(A36&gt;TODAY(),"⚠ Date dans le futur","✓"))))))))</f>
        <v/>
      </c>
      <c r="AS36" s="61">
        <f>IF(AND(A36="",C36="",E36=""),"",ROW())</f>
        <v/>
      </c>
      <c r="AT36" s="61">
        <f>IF(E36&amp;F36="","",MAX(IFERROR(INDEX('Paramètres'!$J$6:$J$33,MATCH(E36,'Paramètres'!$I$6:$I$33,0)),0),IFERROR(INDEX('Paramètres'!$N$6:$N$17,MATCH(F36,'Paramètres'!$M$6:$M$17,0)),0)))</f>
        <v/>
      </c>
      <c r="AU36" s="61">
        <f>IF(E36="","",IFERROR(IF(INDEX('Paramètres'!$K$6:$K$33,MATCH(E36,'Paramètres'!$I$6:$I$33,0))="Oui",1,0),0))</f>
        <v/>
      </c>
      <c r="AV36" s="61">
        <f>IF(F36="","",IFERROR(IF(INDEX('Paramètres'!$O$6:$O$17,MATCH(F36,'Paramètres'!$M$6:$M$17,0))="Oui",1,0),0))</f>
        <v/>
      </c>
      <c r="AW36" s="62">
        <f>IF(E36="","",IF(G36&lt;&gt;"",G36,IF(OR(E36="Proposition envoyée",E36="Signature"),MAX(0,N(IFERROR(INDEX('Paramètres'!$R$6:$R$15,MATCH(IF(AL36&lt;&gt;"",AL36,IFERROR(INDEX('Prospects'!$AN$5:$AN$504,MATCH(C36,'Prospects'!$C$5:$C$504,0)),"")),'Paramètres'!$Q$6:$Q$15,0)),0))-N(P36)),0)))</f>
        <v/>
      </c>
      <c r="AX36" s="61">
        <f>IF(C36="","",IF(COUNTIF($C$5:C36,C36)=1,MAX($AX$4:AX35)+1,""))</f>
        <v/>
      </c>
      <c r="AY36" s="61">
        <f>IF(B36="","",HOUR(B36))</f>
        <v/>
      </c>
      <c r="AZ36" s="61">
        <f>IF(A36="","",MOD(A36-2,7)+1)</f>
        <v/>
      </c>
      <c r="BA36" s="60">
        <f>IF(C36="","",IFERROR(INDEX('Prospects'!$N$5:$N$504,MATCH(C36,'Prospects'!$C$5:$C$504,0)),""))</f>
        <v/>
      </c>
      <c r="BB36" s="61">
        <f>IF(AND(C36&lt;&gt;"",C36='Fiche prospect'!$C$4),COUNTIF($C$5:C36,C36),"")</f>
        <v/>
      </c>
    </row>
    <row r="37">
      <c r="A37" s="53" t="n"/>
      <c r="B37" s="54" t="n"/>
      <c r="C37" s="55" t="n"/>
      <c r="D37" s="55" t="n"/>
      <c r="E37" s="55" t="n"/>
      <c r="F37" s="55" t="n"/>
      <c r="G37" s="56" t="n"/>
      <c r="H37" s="57" t="n"/>
      <c r="I37" s="55" t="n"/>
      <c r="J37" s="53" t="n"/>
      <c r="K37" s="54" t="n"/>
      <c r="L37" s="55" t="n"/>
      <c r="M37" s="55" t="n"/>
      <c r="N37" s="57" t="n"/>
      <c r="O37" s="55" t="n"/>
      <c r="P37" s="56" t="n"/>
      <c r="Q37" s="55" t="n"/>
      <c r="R37" s="55" t="n"/>
      <c r="S37" s="55" t="n"/>
      <c r="T37" s="55" t="n"/>
      <c r="U37" s="55" t="n"/>
      <c r="V37" s="55" t="n"/>
      <c r="W37" s="58" t="n"/>
      <c r="X37" s="58" t="n"/>
      <c r="Y37" s="55" t="n"/>
      <c r="Z37" s="55" t="n"/>
      <c r="AA37" s="55" t="n"/>
      <c r="AB37" s="55" t="n"/>
      <c r="AC37" s="55" t="n"/>
      <c r="AD37" s="53" t="n"/>
      <c r="AE37" s="55" t="n"/>
      <c r="AF37" s="55" t="n"/>
      <c r="AG37" s="59" t="n"/>
      <c r="AH37" s="57" t="n"/>
      <c r="AI37" s="55" t="n"/>
      <c r="AJ37" s="55" t="n"/>
      <c r="AK37" s="55" t="n"/>
      <c r="AL37" s="55" t="n"/>
      <c r="AM37" s="56" t="n"/>
      <c r="AN37" s="55" t="n"/>
      <c r="AO37" s="55" t="n"/>
      <c r="AP37" s="55" t="n"/>
      <c r="AQ37" s="55" t="n"/>
      <c r="AR37" s="60">
        <f>IF(AND(C37="",E37=""),"",IF(A37="","⚠ Date manquante",IF(AND(C37="",E37&lt;&gt;"Dépense"),"⚠ Prospect manquant",IF(E37="","⚠ Action manquante",IF(AND(AU37=1,D37=""),"⚠ Canal manquant",IF(AND(W37&lt;&gt;"",COUNTIFS('Saisie'!$W$5:$W$2004,W37,'Saisie'!$C$5:$C$2004,"&lt;&gt;"&amp;C37)&gt;0),"⚠ Numéro déjà utilisé par un autre prospect",IF(AND(J37&lt;&gt;"",J37&lt;A37),"⚠ Relance avant la date de l'action",IF(A37&gt;TODAY(),"⚠ Date dans le futur","✓"))))))))</f>
        <v/>
      </c>
      <c r="AS37" s="61">
        <f>IF(AND(A37="",C37="",E37=""),"",ROW())</f>
        <v/>
      </c>
      <c r="AT37" s="61">
        <f>IF(E37&amp;F37="","",MAX(IFERROR(INDEX('Paramètres'!$J$6:$J$33,MATCH(E37,'Paramètres'!$I$6:$I$33,0)),0),IFERROR(INDEX('Paramètres'!$N$6:$N$17,MATCH(F37,'Paramètres'!$M$6:$M$17,0)),0)))</f>
        <v/>
      </c>
      <c r="AU37" s="61">
        <f>IF(E37="","",IFERROR(IF(INDEX('Paramètres'!$K$6:$K$33,MATCH(E37,'Paramètres'!$I$6:$I$33,0))="Oui",1,0),0))</f>
        <v/>
      </c>
      <c r="AV37" s="61">
        <f>IF(F37="","",IFERROR(IF(INDEX('Paramètres'!$O$6:$O$17,MATCH(F37,'Paramètres'!$M$6:$M$17,0))="Oui",1,0),0))</f>
        <v/>
      </c>
      <c r="AW37" s="62">
        <f>IF(E37="","",IF(G37&lt;&gt;"",G37,IF(OR(E37="Proposition envoyée",E37="Signature"),MAX(0,N(IFERROR(INDEX('Paramètres'!$R$6:$R$15,MATCH(IF(AL37&lt;&gt;"",AL37,IFERROR(INDEX('Prospects'!$AN$5:$AN$504,MATCH(C37,'Prospects'!$C$5:$C$504,0)),"")),'Paramètres'!$Q$6:$Q$15,0)),0))-N(P37)),0)))</f>
        <v/>
      </c>
      <c r="AX37" s="61">
        <f>IF(C37="","",IF(COUNTIF($C$5:C37,C37)=1,MAX($AX$4:AX36)+1,""))</f>
        <v/>
      </c>
      <c r="AY37" s="61">
        <f>IF(B37="","",HOUR(B37))</f>
        <v/>
      </c>
      <c r="AZ37" s="61">
        <f>IF(A37="","",MOD(A37-2,7)+1)</f>
        <v/>
      </c>
      <c r="BA37" s="60">
        <f>IF(C37="","",IFERROR(INDEX('Prospects'!$N$5:$N$504,MATCH(C37,'Prospects'!$C$5:$C$504,0)),""))</f>
        <v/>
      </c>
      <c r="BB37" s="61">
        <f>IF(AND(C37&lt;&gt;"",C37='Fiche prospect'!$C$4),COUNTIF($C$5:C37,C37),"")</f>
        <v/>
      </c>
    </row>
    <row r="38">
      <c r="A38" s="53" t="n"/>
      <c r="B38" s="54" t="n"/>
      <c r="C38" s="55" t="n"/>
      <c r="D38" s="55" t="n"/>
      <c r="E38" s="55" t="n"/>
      <c r="F38" s="55" t="n"/>
      <c r="G38" s="56" t="n"/>
      <c r="H38" s="57" t="n"/>
      <c r="I38" s="55" t="n"/>
      <c r="J38" s="53" t="n"/>
      <c r="K38" s="54" t="n"/>
      <c r="L38" s="55" t="n"/>
      <c r="M38" s="55" t="n"/>
      <c r="N38" s="57" t="n"/>
      <c r="O38" s="55" t="n"/>
      <c r="P38" s="56" t="n"/>
      <c r="Q38" s="55" t="n"/>
      <c r="R38" s="55" t="n"/>
      <c r="S38" s="55" t="n"/>
      <c r="T38" s="55" t="n"/>
      <c r="U38" s="55" t="n"/>
      <c r="V38" s="55" t="n"/>
      <c r="W38" s="58" t="n"/>
      <c r="X38" s="58" t="n"/>
      <c r="Y38" s="55" t="n"/>
      <c r="Z38" s="55" t="n"/>
      <c r="AA38" s="55" t="n"/>
      <c r="AB38" s="55" t="n"/>
      <c r="AC38" s="55" t="n"/>
      <c r="AD38" s="53" t="n"/>
      <c r="AE38" s="55" t="n"/>
      <c r="AF38" s="55" t="n"/>
      <c r="AG38" s="59" t="n"/>
      <c r="AH38" s="57" t="n"/>
      <c r="AI38" s="55" t="n"/>
      <c r="AJ38" s="55" t="n"/>
      <c r="AK38" s="55" t="n"/>
      <c r="AL38" s="55" t="n"/>
      <c r="AM38" s="56" t="n"/>
      <c r="AN38" s="55" t="n"/>
      <c r="AO38" s="55" t="n"/>
      <c r="AP38" s="55" t="n"/>
      <c r="AQ38" s="55" t="n"/>
      <c r="AR38" s="60">
        <f>IF(AND(C38="",E38=""),"",IF(A38="","⚠ Date manquante",IF(AND(C38="",E38&lt;&gt;"Dépense"),"⚠ Prospect manquant",IF(E38="","⚠ Action manquante",IF(AND(AU38=1,D38=""),"⚠ Canal manquant",IF(AND(W38&lt;&gt;"",COUNTIFS('Saisie'!$W$5:$W$2004,W38,'Saisie'!$C$5:$C$2004,"&lt;&gt;"&amp;C38)&gt;0),"⚠ Numéro déjà utilisé par un autre prospect",IF(AND(J38&lt;&gt;"",J38&lt;A38),"⚠ Relance avant la date de l'action",IF(A38&gt;TODAY(),"⚠ Date dans le futur","✓"))))))))</f>
        <v/>
      </c>
      <c r="AS38" s="61">
        <f>IF(AND(A38="",C38="",E38=""),"",ROW())</f>
        <v/>
      </c>
      <c r="AT38" s="61">
        <f>IF(E38&amp;F38="","",MAX(IFERROR(INDEX('Paramètres'!$J$6:$J$33,MATCH(E38,'Paramètres'!$I$6:$I$33,0)),0),IFERROR(INDEX('Paramètres'!$N$6:$N$17,MATCH(F38,'Paramètres'!$M$6:$M$17,0)),0)))</f>
        <v/>
      </c>
      <c r="AU38" s="61">
        <f>IF(E38="","",IFERROR(IF(INDEX('Paramètres'!$K$6:$K$33,MATCH(E38,'Paramètres'!$I$6:$I$33,0))="Oui",1,0),0))</f>
        <v/>
      </c>
      <c r="AV38" s="61">
        <f>IF(F38="","",IFERROR(IF(INDEX('Paramètres'!$O$6:$O$17,MATCH(F38,'Paramètres'!$M$6:$M$17,0))="Oui",1,0),0))</f>
        <v/>
      </c>
      <c r="AW38" s="62">
        <f>IF(E38="","",IF(G38&lt;&gt;"",G38,IF(OR(E38="Proposition envoyée",E38="Signature"),MAX(0,N(IFERROR(INDEX('Paramètres'!$R$6:$R$15,MATCH(IF(AL38&lt;&gt;"",AL38,IFERROR(INDEX('Prospects'!$AN$5:$AN$504,MATCH(C38,'Prospects'!$C$5:$C$504,0)),"")),'Paramètres'!$Q$6:$Q$15,0)),0))-N(P38)),0)))</f>
        <v/>
      </c>
      <c r="AX38" s="61">
        <f>IF(C38="","",IF(COUNTIF($C$5:C38,C38)=1,MAX($AX$4:AX37)+1,""))</f>
        <v/>
      </c>
      <c r="AY38" s="61">
        <f>IF(B38="","",HOUR(B38))</f>
        <v/>
      </c>
      <c r="AZ38" s="61">
        <f>IF(A38="","",MOD(A38-2,7)+1)</f>
        <v/>
      </c>
      <c r="BA38" s="60">
        <f>IF(C38="","",IFERROR(INDEX('Prospects'!$N$5:$N$504,MATCH(C38,'Prospects'!$C$5:$C$504,0)),""))</f>
        <v/>
      </c>
      <c r="BB38" s="61">
        <f>IF(AND(C38&lt;&gt;"",C38='Fiche prospect'!$C$4),COUNTIF($C$5:C38,C38),"")</f>
        <v/>
      </c>
    </row>
    <row r="39">
      <c r="A39" s="53" t="n"/>
      <c r="B39" s="54" t="n"/>
      <c r="C39" s="55" t="n"/>
      <c r="D39" s="55" t="n"/>
      <c r="E39" s="55" t="n"/>
      <c r="F39" s="55" t="n"/>
      <c r="G39" s="56" t="n"/>
      <c r="H39" s="57" t="n"/>
      <c r="I39" s="55" t="n"/>
      <c r="J39" s="53" t="n"/>
      <c r="K39" s="54" t="n"/>
      <c r="L39" s="55" t="n"/>
      <c r="M39" s="55" t="n"/>
      <c r="N39" s="57" t="n"/>
      <c r="O39" s="55" t="n"/>
      <c r="P39" s="56" t="n"/>
      <c r="Q39" s="55" t="n"/>
      <c r="R39" s="55" t="n"/>
      <c r="S39" s="55" t="n"/>
      <c r="T39" s="55" t="n"/>
      <c r="U39" s="55" t="n"/>
      <c r="V39" s="55" t="n"/>
      <c r="W39" s="58" t="n"/>
      <c r="X39" s="58" t="n"/>
      <c r="Y39" s="55" t="n"/>
      <c r="Z39" s="55" t="n"/>
      <c r="AA39" s="55" t="n"/>
      <c r="AB39" s="55" t="n"/>
      <c r="AC39" s="55" t="n"/>
      <c r="AD39" s="53" t="n"/>
      <c r="AE39" s="55" t="n"/>
      <c r="AF39" s="55" t="n"/>
      <c r="AG39" s="59" t="n"/>
      <c r="AH39" s="57" t="n"/>
      <c r="AI39" s="55" t="n"/>
      <c r="AJ39" s="55" t="n"/>
      <c r="AK39" s="55" t="n"/>
      <c r="AL39" s="55" t="n"/>
      <c r="AM39" s="56" t="n"/>
      <c r="AN39" s="55" t="n"/>
      <c r="AO39" s="55" t="n"/>
      <c r="AP39" s="55" t="n"/>
      <c r="AQ39" s="55" t="n"/>
      <c r="AR39" s="60">
        <f>IF(AND(C39="",E39=""),"",IF(A39="","⚠ Date manquante",IF(AND(C39="",E39&lt;&gt;"Dépense"),"⚠ Prospect manquant",IF(E39="","⚠ Action manquante",IF(AND(AU39=1,D39=""),"⚠ Canal manquant",IF(AND(W39&lt;&gt;"",COUNTIFS('Saisie'!$W$5:$W$2004,W39,'Saisie'!$C$5:$C$2004,"&lt;&gt;"&amp;C39)&gt;0),"⚠ Numéro déjà utilisé par un autre prospect",IF(AND(J39&lt;&gt;"",J39&lt;A39),"⚠ Relance avant la date de l'action",IF(A39&gt;TODAY(),"⚠ Date dans le futur","✓"))))))))</f>
        <v/>
      </c>
      <c r="AS39" s="61">
        <f>IF(AND(A39="",C39="",E39=""),"",ROW())</f>
        <v/>
      </c>
      <c r="AT39" s="61">
        <f>IF(E39&amp;F39="","",MAX(IFERROR(INDEX('Paramètres'!$J$6:$J$33,MATCH(E39,'Paramètres'!$I$6:$I$33,0)),0),IFERROR(INDEX('Paramètres'!$N$6:$N$17,MATCH(F39,'Paramètres'!$M$6:$M$17,0)),0)))</f>
        <v/>
      </c>
      <c r="AU39" s="61">
        <f>IF(E39="","",IFERROR(IF(INDEX('Paramètres'!$K$6:$K$33,MATCH(E39,'Paramètres'!$I$6:$I$33,0))="Oui",1,0),0))</f>
        <v/>
      </c>
      <c r="AV39" s="61">
        <f>IF(F39="","",IFERROR(IF(INDEX('Paramètres'!$O$6:$O$17,MATCH(F39,'Paramètres'!$M$6:$M$17,0))="Oui",1,0),0))</f>
        <v/>
      </c>
      <c r="AW39" s="62">
        <f>IF(E39="","",IF(G39&lt;&gt;"",G39,IF(OR(E39="Proposition envoyée",E39="Signature"),MAX(0,N(IFERROR(INDEX('Paramètres'!$R$6:$R$15,MATCH(IF(AL39&lt;&gt;"",AL39,IFERROR(INDEX('Prospects'!$AN$5:$AN$504,MATCH(C39,'Prospects'!$C$5:$C$504,0)),"")),'Paramètres'!$Q$6:$Q$15,0)),0))-N(P39)),0)))</f>
        <v/>
      </c>
      <c r="AX39" s="61">
        <f>IF(C39="","",IF(COUNTIF($C$5:C39,C39)=1,MAX($AX$4:AX38)+1,""))</f>
        <v/>
      </c>
      <c r="AY39" s="61">
        <f>IF(B39="","",HOUR(B39))</f>
        <v/>
      </c>
      <c r="AZ39" s="61">
        <f>IF(A39="","",MOD(A39-2,7)+1)</f>
        <v/>
      </c>
      <c r="BA39" s="60">
        <f>IF(C39="","",IFERROR(INDEX('Prospects'!$N$5:$N$504,MATCH(C39,'Prospects'!$C$5:$C$504,0)),""))</f>
        <v/>
      </c>
      <c r="BB39" s="61">
        <f>IF(AND(C39&lt;&gt;"",C39='Fiche prospect'!$C$4),COUNTIF($C$5:C39,C39),"")</f>
        <v/>
      </c>
    </row>
    <row r="40">
      <c r="A40" s="53" t="n"/>
      <c r="B40" s="54" t="n"/>
      <c r="C40" s="55" t="n"/>
      <c r="D40" s="55" t="n"/>
      <c r="E40" s="55" t="n"/>
      <c r="F40" s="55" t="n"/>
      <c r="G40" s="56" t="n"/>
      <c r="H40" s="57" t="n"/>
      <c r="I40" s="55" t="n"/>
      <c r="J40" s="53" t="n"/>
      <c r="K40" s="54" t="n"/>
      <c r="L40" s="55" t="n"/>
      <c r="M40" s="55" t="n"/>
      <c r="N40" s="57" t="n"/>
      <c r="O40" s="55" t="n"/>
      <c r="P40" s="56" t="n"/>
      <c r="Q40" s="55" t="n"/>
      <c r="R40" s="55" t="n"/>
      <c r="S40" s="55" t="n"/>
      <c r="T40" s="55" t="n"/>
      <c r="U40" s="55" t="n"/>
      <c r="V40" s="55" t="n"/>
      <c r="W40" s="58" t="n"/>
      <c r="X40" s="58" t="n"/>
      <c r="Y40" s="55" t="n"/>
      <c r="Z40" s="55" t="n"/>
      <c r="AA40" s="55" t="n"/>
      <c r="AB40" s="55" t="n"/>
      <c r="AC40" s="55" t="n"/>
      <c r="AD40" s="53" t="n"/>
      <c r="AE40" s="55" t="n"/>
      <c r="AF40" s="55" t="n"/>
      <c r="AG40" s="59" t="n"/>
      <c r="AH40" s="57" t="n"/>
      <c r="AI40" s="55" t="n"/>
      <c r="AJ40" s="55" t="n"/>
      <c r="AK40" s="55" t="n"/>
      <c r="AL40" s="55" t="n"/>
      <c r="AM40" s="56" t="n"/>
      <c r="AN40" s="55" t="n"/>
      <c r="AO40" s="55" t="n"/>
      <c r="AP40" s="55" t="n"/>
      <c r="AQ40" s="55" t="n"/>
      <c r="AR40" s="60">
        <f>IF(AND(C40="",E40=""),"",IF(A40="","⚠ Date manquante",IF(AND(C40="",E40&lt;&gt;"Dépense"),"⚠ Prospect manquant",IF(E40="","⚠ Action manquante",IF(AND(AU40=1,D40=""),"⚠ Canal manquant",IF(AND(W40&lt;&gt;"",COUNTIFS('Saisie'!$W$5:$W$2004,W40,'Saisie'!$C$5:$C$2004,"&lt;&gt;"&amp;C40)&gt;0),"⚠ Numéro déjà utilisé par un autre prospect",IF(AND(J40&lt;&gt;"",J40&lt;A40),"⚠ Relance avant la date de l'action",IF(A40&gt;TODAY(),"⚠ Date dans le futur","✓"))))))))</f>
        <v/>
      </c>
      <c r="AS40" s="61">
        <f>IF(AND(A40="",C40="",E40=""),"",ROW())</f>
        <v/>
      </c>
      <c r="AT40" s="61">
        <f>IF(E40&amp;F40="","",MAX(IFERROR(INDEX('Paramètres'!$J$6:$J$33,MATCH(E40,'Paramètres'!$I$6:$I$33,0)),0),IFERROR(INDEX('Paramètres'!$N$6:$N$17,MATCH(F40,'Paramètres'!$M$6:$M$17,0)),0)))</f>
        <v/>
      </c>
      <c r="AU40" s="61">
        <f>IF(E40="","",IFERROR(IF(INDEX('Paramètres'!$K$6:$K$33,MATCH(E40,'Paramètres'!$I$6:$I$33,0))="Oui",1,0),0))</f>
        <v/>
      </c>
      <c r="AV40" s="61">
        <f>IF(F40="","",IFERROR(IF(INDEX('Paramètres'!$O$6:$O$17,MATCH(F40,'Paramètres'!$M$6:$M$17,0))="Oui",1,0),0))</f>
        <v/>
      </c>
      <c r="AW40" s="62">
        <f>IF(E40="","",IF(G40&lt;&gt;"",G40,IF(OR(E40="Proposition envoyée",E40="Signature"),MAX(0,N(IFERROR(INDEX('Paramètres'!$R$6:$R$15,MATCH(IF(AL40&lt;&gt;"",AL40,IFERROR(INDEX('Prospects'!$AN$5:$AN$504,MATCH(C40,'Prospects'!$C$5:$C$504,0)),"")),'Paramètres'!$Q$6:$Q$15,0)),0))-N(P40)),0)))</f>
        <v/>
      </c>
      <c r="AX40" s="61">
        <f>IF(C40="","",IF(COUNTIF($C$5:C40,C40)=1,MAX($AX$4:AX39)+1,""))</f>
        <v/>
      </c>
      <c r="AY40" s="61">
        <f>IF(B40="","",HOUR(B40))</f>
        <v/>
      </c>
      <c r="AZ40" s="61">
        <f>IF(A40="","",MOD(A40-2,7)+1)</f>
        <v/>
      </c>
      <c r="BA40" s="60">
        <f>IF(C40="","",IFERROR(INDEX('Prospects'!$N$5:$N$504,MATCH(C40,'Prospects'!$C$5:$C$504,0)),""))</f>
        <v/>
      </c>
      <c r="BB40" s="61">
        <f>IF(AND(C40&lt;&gt;"",C40='Fiche prospect'!$C$4),COUNTIF($C$5:C40,C40),"")</f>
        <v/>
      </c>
    </row>
    <row r="41">
      <c r="A41" s="53" t="n"/>
      <c r="B41" s="54" t="n"/>
      <c r="C41" s="55" t="n"/>
      <c r="D41" s="55" t="n"/>
      <c r="E41" s="55" t="n"/>
      <c r="F41" s="55" t="n"/>
      <c r="G41" s="56" t="n"/>
      <c r="H41" s="57" t="n"/>
      <c r="I41" s="55" t="n"/>
      <c r="J41" s="53" t="n"/>
      <c r="K41" s="54" t="n"/>
      <c r="L41" s="55" t="n"/>
      <c r="M41" s="55" t="n"/>
      <c r="N41" s="57" t="n"/>
      <c r="O41" s="55" t="n"/>
      <c r="P41" s="56" t="n"/>
      <c r="Q41" s="55" t="n"/>
      <c r="R41" s="55" t="n"/>
      <c r="S41" s="55" t="n"/>
      <c r="T41" s="55" t="n"/>
      <c r="U41" s="55" t="n"/>
      <c r="V41" s="55" t="n"/>
      <c r="W41" s="58" t="n"/>
      <c r="X41" s="58" t="n"/>
      <c r="Y41" s="55" t="n"/>
      <c r="Z41" s="55" t="n"/>
      <c r="AA41" s="55" t="n"/>
      <c r="AB41" s="55" t="n"/>
      <c r="AC41" s="55" t="n"/>
      <c r="AD41" s="53" t="n"/>
      <c r="AE41" s="55" t="n"/>
      <c r="AF41" s="55" t="n"/>
      <c r="AG41" s="59" t="n"/>
      <c r="AH41" s="57" t="n"/>
      <c r="AI41" s="55" t="n"/>
      <c r="AJ41" s="55" t="n"/>
      <c r="AK41" s="55" t="n"/>
      <c r="AL41" s="55" t="n"/>
      <c r="AM41" s="56" t="n"/>
      <c r="AN41" s="55" t="n"/>
      <c r="AO41" s="55" t="n"/>
      <c r="AP41" s="55" t="n"/>
      <c r="AQ41" s="55" t="n"/>
      <c r="AR41" s="60">
        <f>IF(AND(C41="",E41=""),"",IF(A41="","⚠ Date manquante",IF(AND(C41="",E41&lt;&gt;"Dépense"),"⚠ Prospect manquant",IF(E41="","⚠ Action manquante",IF(AND(AU41=1,D41=""),"⚠ Canal manquant",IF(AND(W41&lt;&gt;"",COUNTIFS('Saisie'!$W$5:$W$2004,W41,'Saisie'!$C$5:$C$2004,"&lt;&gt;"&amp;C41)&gt;0),"⚠ Numéro déjà utilisé par un autre prospect",IF(AND(J41&lt;&gt;"",J41&lt;A41),"⚠ Relance avant la date de l'action",IF(A41&gt;TODAY(),"⚠ Date dans le futur","✓"))))))))</f>
        <v/>
      </c>
      <c r="AS41" s="61">
        <f>IF(AND(A41="",C41="",E41=""),"",ROW())</f>
        <v/>
      </c>
      <c r="AT41" s="61">
        <f>IF(E41&amp;F41="","",MAX(IFERROR(INDEX('Paramètres'!$J$6:$J$33,MATCH(E41,'Paramètres'!$I$6:$I$33,0)),0),IFERROR(INDEX('Paramètres'!$N$6:$N$17,MATCH(F41,'Paramètres'!$M$6:$M$17,0)),0)))</f>
        <v/>
      </c>
      <c r="AU41" s="61">
        <f>IF(E41="","",IFERROR(IF(INDEX('Paramètres'!$K$6:$K$33,MATCH(E41,'Paramètres'!$I$6:$I$33,0))="Oui",1,0),0))</f>
        <v/>
      </c>
      <c r="AV41" s="61">
        <f>IF(F41="","",IFERROR(IF(INDEX('Paramètres'!$O$6:$O$17,MATCH(F41,'Paramètres'!$M$6:$M$17,0))="Oui",1,0),0))</f>
        <v/>
      </c>
      <c r="AW41" s="62">
        <f>IF(E41="","",IF(G41&lt;&gt;"",G41,IF(OR(E41="Proposition envoyée",E41="Signature"),MAX(0,N(IFERROR(INDEX('Paramètres'!$R$6:$R$15,MATCH(IF(AL41&lt;&gt;"",AL41,IFERROR(INDEX('Prospects'!$AN$5:$AN$504,MATCH(C41,'Prospects'!$C$5:$C$504,0)),"")),'Paramètres'!$Q$6:$Q$15,0)),0))-N(P41)),0)))</f>
        <v/>
      </c>
      <c r="AX41" s="61">
        <f>IF(C41="","",IF(COUNTIF($C$5:C41,C41)=1,MAX($AX$4:AX40)+1,""))</f>
        <v/>
      </c>
      <c r="AY41" s="61">
        <f>IF(B41="","",HOUR(B41))</f>
        <v/>
      </c>
      <c r="AZ41" s="61">
        <f>IF(A41="","",MOD(A41-2,7)+1)</f>
        <v/>
      </c>
      <c r="BA41" s="60">
        <f>IF(C41="","",IFERROR(INDEX('Prospects'!$N$5:$N$504,MATCH(C41,'Prospects'!$C$5:$C$504,0)),""))</f>
        <v/>
      </c>
      <c r="BB41" s="61">
        <f>IF(AND(C41&lt;&gt;"",C41='Fiche prospect'!$C$4),COUNTIF($C$5:C41,C41),"")</f>
        <v/>
      </c>
    </row>
    <row r="42">
      <c r="A42" s="53" t="n"/>
      <c r="B42" s="54" t="n"/>
      <c r="C42" s="55" t="n"/>
      <c r="D42" s="55" t="n"/>
      <c r="E42" s="55" t="n"/>
      <c r="F42" s="55" t="n"/>
      <c r="G42" s="56" t="n"/>
      <c r="H42" s="57" t="n"/>
      <c r="I42" s="55" t="n"/>
      <c r="J42" s="53" t="n"/>
      <c r="K42" s="54" t="n"/>
      <c r="L42" s="55" t="n"/>
      <c r="M42" s="55" t="n"/>
      <c r="N42" s="57" t="n"/>
      <c r="O42" s="55" t="n"/>
      <c r="P42" s="56" t="n"/>
      <c r="Q42" s="55" t="n"/>
      <c r="R42" s="55" t="n"/>
      <c r="S42" s="55" t="n"/>
      <c r="T42" s="55" t="n"/>
      <c r="U42" s="55" t="n"/>
      <c r="V42" s="55" t="n"/>
      <c r="W42" s="58" t="n"/>
      <c r="X42" s="58" t="n"/>
      <c r="Y42" s="55" t="n"/>
      <c r="Z42" s="55" t="n"/>
      <c r="AA42" s="55" t="n"/>
      <c r="AB42" s="55" t="n"/>
      <c r="AC42" s="55" t="n"/>
      <c r="AD42" s="53" t="n"/>
      <c r="AE42" s="55" t="n"/>
      <c r="AF42" s="55" t="n"/>
      <c r="AG42" s="59" t="n"/>
      <c r="AH42" s="57" t="n"/>
      <c r="AI42" s="55" t="n"/>
      <c r="AJ42" s="55" t="n"/>
      <c r="AK42" s="55" t="n"/>
      <c r="AL42" s="55" t="n"/>
      <c r="AM42" s="56" t="n"/>
      <c r="AN42" s="55" t="n"/>
      <c r="AO42" s="55" t="n"/>
      <c r="AP42" s="55" t="n"/>
      <c r="AQ42" s="55" t="n"/>
      <c r="AR42" s="60">
        <f>IF(AND(C42="",E42=""),"",IF(A42="","⚠ Date manquante",IF(AND(C42="",E42&lt;&gt;"Dépense"),"⚠ Prospect manquant",IF(E42="","⚠ Action manquante",IF(AND(AU42=1,D42=""),"⚠ Canal manquant",IF(AND(W42&lt;&gt;"",COUNTIFS('Saisie'!$W$5:$W$2004,W42,'Saisie'!$C$5:$C$2004,"&lt;&gt;"&amp;C42)&gt;0),"⚠ Numéro déjà utilisé par un autre prospect",IF(AND(J42&lt;&gt;"",J42&lt;A42),"⚠ Relance avant la date de l'action",IF(A42&gt;TODAY(),"⚠ Date dans le futur","✓"))))))))</f>
        <v/>
      </c>
      <c r="AS42" s="61">
        <f>IF(AND(A42="",C42="",E42=""),"",ROW())</f>
        <v/>
      </c>
      <c r="AT42" s="61">
        <f>IF(E42&amp;F42="","",MAX(IFERROR(INDEX('Paramètres'!$J$6:$J$33,MATCH(E42,'Paramètres'!$I$6:$I$33,0)),0),IFERROR(INDEX('Paramètres'!$N$6:$N$17,MATCH(F42,'Paramètres'!$M$6:$M$17,0)),0)))</f>
        <v/>
      </c>
      <c r="AU42" s="61">
        <f>IF(E42="","",IFERROR(IF(INDEX('Paramètres'!$K$6:$K$33,MATCH(E42,'Paramètres'!$I$6:$I$33,0))="Oui",1,0),0))</f>
        <v/>
      </c>
      <c r="AV42" s="61">
        <f>IF(F42="","",IFERROR(IF(INDEX('Paramètres'!$O$6:$O$17,MATCH(F42,'Paramètres'!$M$6:$M$17,0))="Oui",1,0),0))</f>
        <v/>
      </c>
      <c r="AW42" s="62">
        <f>IF(E42="","",IF(G42&lt;&gt;"",G42,IF(OR(E42="Proposition envoyée",E42="Signature"),MAX(0,N(IFERROR(INDEX('Paramètres'!$R$6:$R$15,MATCH(IF(AL42&lt;&gt;"",AL42,IFERROR(INDEX('Prospects'!$AN$5:$AN$504,MATCH(C42,'Prospects'!$C$5:$C$504,0)),"")),'Paramètres'!$Q$6:$Q$15,0)),0))-N(P42)),0)))</f>
        <v/>
      </c>
      <c r="AX42" s="61">
        <f>IF(C42="","",IF(COUNTIF($C$5:C42,C42)=1,MAX($AX$4:AX41)+1,""))</f>
        <v/>
      </c>
      <c r="AY42" s="61">
        <f>IF(B42="","",HOUR(B42))</f>
        <v/>
      </c>
      <c r="AZ42" s="61">
        <f>IF(A42="","",MOD(A42-2,7)+1)</f>
        <v/>
      </c>
      <c r="BA42" s="60">
        <f>IF(C42="","",IFERROR(INDEX('Prospects'!$N$5:$N$504,MATCH(C42,'Prospects'!$C$5:$C$504,0)),""))</f>
        <v/>
      </c>
      <c r="BB42" s="61">
        <f>IF(AND(C42&lt;&gt;"",C42='Fiche prospect'!$C$4),COUNTIF($C$5:C42,C42),"")</f>
        <v/>
      </c>
    </row>
    <row r="43">
      <c r="A43" s="53" t="n"/>
      <c r="B43" s="54" t="n"/>
      <c r="C43" s="55" t="n"/>
      <c r="D43" s="55" t="n"/>
      <c r="E43" s="55" t="n"/>
      <c r="F43" s="55" t="n"/>
      <c r="G43" s="56" t="n"/>
      <c r="H43" s="57" t="n"/>
      <c r="I43" s="55" t="n"/>
      <c r="J43" s="53" t="n"/>
      <c r="K43" s="54" t="n"/>
      <c r="L43" s="55" t="n"/>
      <c r="M43" s="55" t="n"/>
      <c r="N43" s="57" t="n"/>
      <c r="O43" s="55" t="n"/>
      <c r="P43" s="56" t="n"/>
      <c r="Q43" s="55" t="n"/>
      <c r="R43" s="55" t="n"/>
      <c r="S43" s="55" t="n"/>
      <c r="T43" s="55" t="n"/>
      <c r="U43" s="55" t="n"/>
      <c r="V43" s="55" t="n"/>
      <c r="W43" s="58" t="n"/>
      <c r="X43" s="58" t="n"/>
      <c r="Y43" s="55" t="n"/>
      <c r="Z43" s="55" t="n"/>
      <c r="AA43" s="55" t="n"/>
      <c r="AB43" s="55" t="n"/>
      <c r="AC43" s="55" t="n"/>
      <c r="AD43" s="53" t="n"/>
      <c r="AE43" s="55" t="n"/>
      <c r="AF43" s="55" t="n"/>
      <c r="AG43" s="59" t="n"/>
      <c r="AH43" s="57" t="n"/>
      <c r="AI43" s="55" t="n"/>
      <c r="AJ43" s="55" t="n"/>
      <c r="AK43" s="55" t="n"/>
      <c r="AL43" s="55" t="n"/>
      <c r="AM43" s="56" t="n"/>
      <c r="AN43" s="55" t="n"/>
      <c r="AO43" s="55" t="n"/>
      <c r="AP43" s="55" t="n"/>
      <c r="AQ43" s="55" t="n"/>
      <c r="AR43" s="60">
        <f>IF(AND(C43="",E43=""),"",IF(A43="","⚠ Date manquante",IF(AND(C43="",E43&lt;&gt;"Dépense"),"⚠ Prospect manquant",IF(E43="","⚠ Action manquante",IF(AND(AU43=1,D43=""),"⚠ Canal manquant",IF(AND(W43&lt;&gt;"",COUNTIFS('Saisie'!$W$5:$W$2004,W43,'Saisie'!$C$5:$C$2004,"&lt;&gt;"&amp;C43)&gt;0),"⚠ Numéro déjà utilisé par un autre prospect",IF(AND(J43&lt;&gt;"",J43&lt;A43),"⚠ Relance avant la date de l'action",IF(A43&gt;TODAY(),"⚠ Date dans le futur","✓"))))))))</f>
        <v/>
      </c>
      <c r="AS43" s="61">
        <f>IF(AND(A43="",C43="",E43=""),"",ROW())</f>
        <v/>
      </c>
      <c r="AT43" s="61">
        <f>IF(E43&amp;F43="","",MAX(IFERROR(INDEX('Paramètres'!$J$6:$J$33,MATCH(E43,'Paramètres'!$I$6:$I$33,0)),0),IFERROR(INDEX('Paramètres'!$N$6:$N$17,MATCH(F43,'Paramètres'!$M$6:$M$17,0)),0)))</f>
        <v/>
      </c>
      <c r="AU43" s="61">
        <f>IF(E43="","",IFERROR(IF(INDEX('Paramètres'!$K$6:$K$33,MATCH(E43,'Paramètres'!$I$6:$I$33,0))="Oui",1,0),0))</f>
        <v/>
      </c>
      <c r="AV43" s="61">
        <f>IF(F43="","",IFERROR(IF(INDEX('Paramètres'!$O$6:$O$17,MATCH(F43,'Paramètres'!$M$6:$M$17,0))="Oui",1,0),0))</f>
        <v/>
      </c>
      <c r="AW43" s="62">
        <f>IF(E43="","",IF(G43&lt;&gt;"",G43,IF(OR(E43="Proposition envoyée",E43="Signature"),MAX(0,N(IFERROR(INDEX('Paramètres'!$R$6:$R$15,MATCH(IF(AL43&lt;&gt;"",AL43,IFERROR(INDEX('Prospects'!$AN$5:$AN$504,MATCH(C43,'Prospects'!$C$5:$C$504,0)),"")),'Paramètres'!$Q$6:$Q$15,0)),0))-N(P43)),0)))</f>
        <v/>
      </c>
      <c r="AX43" s="61">
        <f>IF(C43="","",IF(COUNTIF($C$5:C43,C43)=1,MAX($AX$4:AX42)+1,""))</f>
        <v/>
      </c>
      <c r="AY43" s="61">
        <f>IF(B43="","",HOUR(B43))</f>
        <v/>
      </c>
      <c r="AZ43" s="61">
        <f>IF(A43="","",MOD(A43-2,7)+1)</f>
        <v/>
      </c>
      <c r="BA43" s="60">
        <f>IF(C43="","",IFERROR(INDEX('Prospects'!$N$5:$N$504,MATCH(C43,'Prospects'!$C$5:$C$504,0)),""))</f>
        <v/>
      </c>
      <c r="BB43" s="61">
        <f>IF(AND(C43&lt;&gt;"",C43='Fiche prospect'!$C$4),COUNTIF($C$5:C43,C43),"")</f>
        <v/>
      </c>
    </row>
    <row r="44">
      <c r="A44" s="53" t="n"/>
      <c r="B44" s="54" t="n"/>
      <c r="C44" s="55" t="n"/>
      <c r="D44" s="55" t="n"/>
      <c r="E44" s="55" t="n"/>
      <c r="F44" s="55" t="n"/>
      <c r="G44" s="56" t="n"/>
      <c r="H44" s="57" t="n"/>
      <c r="I44" s="55" t="n"/>
      <c r="J44" s="53" t="n"/>
      <c r="K44" s="54" t="n"/>
      <c r="L44" s="55" t="n"/>
      <c r="M44" s="55" t="n"/>
      <c r="N44" s="57" t="n"/>
      <c r="O44" s="55" t="n"/>
      <c r="P44" s="56" t="n"/>
      <c r="Q44" s="55" t="n"/>
      <c r="R44" s="55" t="n"/>
      <c r="S44" s="55" t="n"/>
      <c r="T44" s="55" t="n"/>
      <c r="U44" s="55" t="n"/>
      <c r="V44" s="55" t="n"/>
      <c r="W44" s="58" t="n"/>
      <c r="X44" s="58" t="n"/>
      <c r="Y44" s="55" t="n"/>
      <c r="Z44" s="55" t="n"/>
      <c r="AA44" s="55" t="n"/>
      <c r="AB44" s="55" t="n"/>
      <c r="AC44" s="55" t="n"/>
      <c r="AD44" s="53" t="n"/>
      <c r="AE44" s="55" t="n"/>
      <c r="AF44" s="55" t="n"/>
      <c r="AG44" s="59" t="n"/>
      <c r="AH44" s="57" t="n"/>
      <c r="AI44" s="55" t="n"/>
      <c r="AJ44" s="55" t="n"/>
      <c r="AK44" s="55" t="n"/>
      <c r="AL44" s="55" t="n"/>
      <c r="AM44" s="56" t="n"/>
      <c r="AN44" s="55" t="n"/>
      <c r="AO44" s="55" t="n"/>
      <c r="AP44" s="55" t="n"/>
      <c r="AQ44" s="55" t="n"/>
      <c r="AR44" s="60">
        <f>IF(AND(C44="",E44=""),"",IF(A44="","⚠ Date manquante",IF(AND(C44="",E44&lt;&gt;"Dépense"),"⚠ Prospect manquant",IF(E44="","⚠ Action manquante",IF(AND(AU44=1,D44=""),"⚠ Canal manquant",IF(AND(W44&lt;&gt;"",COUNTIFS('Saisie'!$W$5:$W$2004,W44,'Saisie'!$C$5:$C$2004,"&lt;&gt;"&amp;C44)&gt;0),"⚠ Numéro déjà utilisé par un autre prospect",IF(AND(J44&lt;&gt;"",J44&lt;A44),"⚠ Relance avant la date de l'action",IF(A44&gt;TODAY(),"⚠ Date dans le futur","✓"))))))))</f>
        <v/>
      </c>
      <c r="AS44" s="61">
        <f>IF(AND(A44="",C44="",E44=""),"",ROW())</f>
        <v/>
      </c>
      <c r="AT44" s="61">
        <f>IF(E44&amp;F44="","",MAX(IFERROR(INDEX('Paramètres'!$J$6:$J$33,MATCH(E44,'Paramètres'!$I$6:$I$33,0)),0),IFERROR(INDEX('Paramètres'!$N$6:$N$17,MATCH(F44,'Paramètres'!$M$6:$M$17,0)),0)))</f>
        <v/>
      </c>
      <c r="AU44" s="61">
        <f>IF(E44="","",IFERROR(IF(INDEX('Paramètres'!$K$6:$K$33,MATCH(E44,'Paramètres'!$I$6:$I$33,0))="Oui",1,0),0))</f>
        <v/>
      </c>
      <c r="AV44" s="61">
        <f>IF(F44="","",IFERROR(IF(INDEX('Paramètres'!$O$6:$O$17,MATCH(F44,'Paramètres'!$M$6:$M$17,0))="Oui",1,0),0))</f>
        <v/>
      </c>
      <c r="AW44" s="62">
        <f>IF(E44="","",IF(G44&lt;&gt;"",G44,IF(OR(E44="Proposition envoyée",E44="Signature"),MAX(0,N(IFERROR(INDEX('Paramètres'!$R$6:$R$15,MATCH(IF(AL44&lt;&gt;"",AL44,IFERROR(INDEX('Prospects'!$AN$5:$AN$504,MATCH(C44,'Prospects'!$C$5:$C$504,0)),"")),'Paramètres'!$Q$6:$Q$15,0)),0))-N(P44)),0)))</f>
        <v/>
      </c>
      <c r="AX44" s="61">
        <f>IF(C44="","",IF(COUNTIF($C$5:C44,C44)=1,MAX($AX$4:AX43)+1,""))</f>
        <v/>
      </c>
      <c r="AY44" s="61">
        <f>IF(B44="","",HOUR(B44))</f>
        <v/>
      </c>
      <c r="AZ44" s="61">
        <f>IF(A44="","",MOD(A44-2,7)+1)</f>
        <v/>
      </c>
      <c r="BA44" s="60">
        <f>IF(C44="","",IFERROR(INDEX('Prospects'!$N$5:$N$504,MATCH(C44,'Prospects'!$C$5:$C$504,0)),""))</f>
        <v/>
      </c>
      <c r="BB44" s="61">
        <f>IF(AND(C44&lt;&gt;"",C44='Fiche prospect'!$C$4),COUNTIF($C$5:C44,C44),"")</f>
        <v/>
      </c>
    </row>
    <row r="45">
      <c r="A45" s="53" t="n"/>
      <c r="B45" s="54" t="n"/>
      <c r="C45" s="55" t="n"/>
      <c r="D45" s="55" t="n"/>
      <c r="E45" s="55" t="n"/>
      <c r="F45" s="55" t="n"/>
      <c r="G45" s="56" t="n"/>
      <c r="H45" s="57" t="n"/>
      <c r="I45" s="55" t="n"/>
      <c r="J45" s="53" t="n"/>
      <c r="K45" s="54" t="n"/>
      <c r="L45" s="55" t="n"/>
      <c r="M45" s="55" t="n"/>
      <c r="N45" s="57" t="n"/>
      <c r="O45" s="55" t="n"/>
      <c r="P45" s="56" t="n"/>
      <c r="Q45" s="55" t="n"/>
      <c r="R45" s="55" t="n"/>
      <c r="S45" s="55" t="n"/>
      <c r="T45" s="55" t="n"/>
      <c r="U45" s="55" t="n"/>
      <c r="V45" s="55" t="n"/>
      <c r="W45" s="58" t="n"/>
      <c r="X45" s="58" t="n"/>
      <c r="Y45" s="55" t="n"/>
      <c r="Z45" s="55" t="n"/>
      <c r="AA45" s="55" t="n"/>
      <c r="AB45" s="55" t="n"/>
      <c r="AC45" s="55" t="n"/>
      <c r="AD45" s="53" t="n"/>
      <c r="AE45" s="55" t="n"/>
      <c r="AF45" s="55" t="n"/>
      <c r="AG45" s="59" t="n"/>
      <c r="AH45" s="57" t="n"/>
      <c r="AI45" s="55" t="n"/>
      <c r="AJ45" s="55" t="n"/>
      <c r="AK45" s="55" t="n"/>
      <c r="AL45" s="55" t="n"/>
      <c r="AM45" s="56" t="n"/>
      <c r="AN45" s="55" t="n"/>
      <c r="AO45" s="55" t="n"/>
      <c r="AP45" s="55" t="n"/>
      <c r="AQ45" s="55" t="n"/>
      <c r="AR45" s="60">
        <f>IF(AND(C45="",E45=""),"",IF(A45="","⚠ Date manquante",IF(AND(C45="",E45&lt;&gt;"Dépense"),"⚠ Prospect manquant",IF(E45="","⚠ Action manquante",IF(AND(AU45=1,D45=""),"⚠ Canal manquant",IF(AND(W45&lt;&gt;"",COUNTIFS('Saisie'!$W$5:$W$2004,W45,'Saisie'!$C$5:$C$2004,"&lt;&gt;"&amp;C45)&gt;0),"⚠ Numéro déjà utilisé par un autre prospect",IF(AND(J45&lt;&gt;"",J45&lt;A45),"⚠ Relance avant la date de l'action",IF(A45&gt;TODAY(),"⚠ Date dans le futur","✓"))))))))</f>
        <v/>
      </c>
      <c r="AS45" s="61">
        <f>IF(AND(A45="",C45="",E45=""),"",ROW())</f>
        <v/>
      </c>
      <c r="AT45" s="61">
        <f>IF(E45&amp;F45="","",MAX(IFERROR(INDEX('Paramètres'!$J$6:$J$33,MATCH(E45,'Paramètres'!$I$6:$I$33,0)),0),IFERROR(INDEX('Paramètres'!$N$6:$N$17,MATCH(F45,'Paramètres'!$M$6:$M$17,0)),0)))</f>
        <v/>
      </c>
      <c r="AU45" s="61">
        <f>IF(E45="","",IFERROR(IF(INDEX('Paramètres'!$K$6:$K$33,MATCH(E45,'Paramètres'!$I$6:$I$33,0))="Oui",1,0),0))</f>
        <v/>
      </c>
      <c r="AV45" s="61">
        <f>IF(F45="","",IFERROR(IF(INDEX('Paramètres'!$O$6:$O$17,MATCH(F45,'Paramètres'!$M$6:$M$17,0))="Oui",1,0),0))</f>
        <v/>
      </c>
      <c r="AW45" s="62">
        <f>IF(E45="","",IF(G45&lt;&gt;"",G45,IF(OR(E45="Proposition envoyée",E45="Signature"),MAX(0,N(IFERROR(INDEX('Paramètres'!$R$6:$R$15,MATCH(IF(AL45&lt;&gt;"",AL45,IFERROR(INDEX('Prospects'!$AN$5:$AN$504,MATCH(C45,'Prospects'!$C$5:$C$504,0)),"")),'Paramètres'!$Q$6:$Q$15,0)),0))-N(P45)),0)))</f>
        <v/>
      </c>
      <c r="AX45" s="61">
        <f>IF(C45="","",IF(COUNTIF($C$5:C45,C45)=1,MAX($AX$4:AX44)+1,""))</f>
        <v/>
      </c>
      <c r="AY45" s="61">
        <f>IF(B45="","",HOUR(B45))</f>
        <v/>
      </c>
      <c r="AZ45" s="61">
        <f>IF(A45="","",MOD(A45-2,7)+1)</f>
        <v/>
      </c>
      <c r="BA45" s="60">
        <f>IF(C45="","",IFERROR(INDEX('Prospects'!$N$5:$N$504,MATCH(C45,'Prospects'!$C$5:$C$504,0)),""))</f>
        <v/>
      </c>
      <c r="BB45" s="61">
        <f>IF(AND(C45&lt;&gt;"",C45='Fiche prospect'!$C$4),COUNTIF($C$5:C45,C45),"")</f>
        <v/>
      </c>
    </row>
    <row r="46">
      <c r="A46" s="53" t="n"/>
      <c r="B46" s="54" t="n"/>
      <c r="C46" s="55" t="n"/>
      <c r="D46" s="55" t="n"/>
      <c r="E46" s="55" t="n"/>
      <c r="F46" s="55" t="n"/>
      <c r="G46" s="56" t="n"/>
      <c r="H46" s="57" t="n"/>
      <c r="I46" s="55" t="n"/>
      <c r="J46" s="53" t="n"/>
      <c r="K46" s="54" t="n"/>
      <c r="L46" s="55" t="n"/>
      <c r="M46" s="55" t="n"/>
      <c r="N46" s="57" t="n"/>
      <c r="O46" s="55" t="n"/>
      <c r="P46" s="56" t="n"/>
      <c r="Q46" s="55" t="n"/>
      <c r="R46" s="55" t="n"/>
      <c r="S46" s="55" t="n"/>
      <c r="T46" s="55" t="n"/>
      <c r="U46" s="55" t="n"/>
      <c r="V46" s="55" t="n"/>
      <c r="W46" s="58" t="n"/>
      <c r="X46" s="58" t="n"/>
      <c r="Y46" s="55" t="n"/>
      <c r="Z46" s="55" t="n"/>
      <c r="AA46" s="55" t="n"/>
      <c r="AB46" s="55" t="n"/>
      <c r="AC46" s="55" t="n"/>
      <c r="AD46" s="53" t="n"/>
      <c r="AE46" s="55" t="n"/>
      <c r="AF46" s="55" t="n"/>
      <c r="AG46" s="59" t="n"/>
      <c r="AH46" s="57" t="n"/>
      <c r="AI46" s="55" t="n"/>
      <c r="AJ46" s="55" t="n"/>
      <c r="AK46" s="55" t="n"/>
      <c r="AL46" s="55" t="n"/>
      <c r="AM46" s="56" t="n"/>
      <c r="AN46" s="55" t="n"/>
      <c r="AO46" s="55" t="n"/>
      <c r="AP46" s="55" t="n"/>
      <c r="AQ46" s="55" t="n"/>
      <c r="AR46" s="60">
        <f>IF(AND(C46="",E46=""),"",IF(A46="","⚠ Date manquante",IF(AND(C46="",E46&lt;&gt;"Dépense"),"⚠ Prospect manquant",IF(E46="","⚠ Action manquante",IF(AND(AU46=1,D46=""),"⚠ Canal manquant",IF(AND(W46&lt;&gt;"",COUNTIFS('Saisie'!$W$5:$W$2004,W46,'Saisie'!$C$5:$C$2004,"&lt;&gt;"&amp;C46)&gt;0),"⚠ Numéro déjà utilisé par un autre prospect",IF(AND(J46&lt;&gt;"",J46&lt;A46),"⚠ Relance avant la date de l'action",IF(A46&gt;TODAY(),"⚠ Date dans le futur","✓"))))))))</f>
        <v/>
      </c>
      <c r="AS46" s="61">
        <f>IF(AND(A46="",C46="",E46=""),"",ROW())</f>
        <v/>
      </c>
      <c r="AT46" s="61">
        <f>IF(E46&amp;F46="","",MAX(IFERROR(INDEX('Paramètres'!$J$6:$J$33,MATCH(E46,'Paramètres'!$I$6:$I$33,0)),0),IFERROR(INDEX('Paramètres'!$N$6:$N$17,MATCH(F46,'Paramètres'!$M$6:$M$17,0)),0)))</f>
        <v/>
      </c>
      <c r="AU46" s="61">
        <f>IF(E46="","",IFERROR(IF(INDEX('Paramètres'!$K$6:$K$33,MATCH(E46,'Paramètres'!$I$6:$I$33,0))="Oui",1,0),0))</f>
        <v/>
      </c>
      <c r="AV46" s="61">
        <f>IF(F46="","",IFERROR(IF(INDEX('Paramètres'!$O$6:$O$17,MATCH(F46,'Paramètres'!$M$6:$M$17,0))="Oui",1,0),0))</f>
        <v/>
      </c>
      <c r="AW46" s="62">
        <f>IF(E46="","",IF(G46&lt;&gt;"",G46,IF(OR(E46="Proposition envoyée",E46="Signature"),MAX(0,N(IFERROR(INDEX('Paramètres'!$R$6:$R$15,MATCH(IF(AL46&lt;&gt;"",AL46,IFERROR(INDEX('Prospects'!$AN$5:$AN$504,MATCH(C46,'Prospects'!$C$5:$C$504,0)),"")),'Paramètres'!$Q$6:$Q$15,0)),0))-N(P46)),0)))</f>
        <v/>
      </c>
      <c r="AX46" s="61">
        <f>IF(C46="","",IF(COUNTIF($C$5:C46,C46)=1,MAX($AX$4:AX45)+1,""))</f>
        <v/>
      </c>
      <c r="AY46" s="61">
        <f>IF(B46="","",HOUR(B46))</f>
        <v/>
      </c>
      <c r="AZ46" s="61">
        <f>IF(A46="","",MOD(A46-2,7)+1)</f>
        <v/>
      </c>
      <c r="BA46" s="60">
        <f>IF(C46="","",IFERROR(INDEX('Prospects'!$N$5:$N$504,MATCH(C46,'Prospects'!$C$5:$C$504,0)),""))</f>
        <v/>
      </c>
      <c r="BB46" s="61">
        <f>IF(AND(C46&lt;&gt;"",C46='Fiche prospect'!$C$4),COUNTIF($C$5:C46,C46),"")</f>
        <v/>
      </c>
    </row>
    <row r="47">
      <c r="A47" s="53" t="n"/>
      <c r="B47" s="54" t="n"/>
      <c r="C47" s="55" t="n"/>
      <c r="D47" s="55" t="n"/>
      <c r="E47" s="55" t="n"/>
      <c r="F47" s="55" t="n"/>
      <c r="G47" s="56" t="n"/>
      <c r="H47" s="57" t="n"/>
      <c r="I47" s="55" t="n"/>
      <c r="J47" s="53" t="n"/>
      <c r="K47" s="54" t="n"/>
      <c r="L47" s="55" t="n"/>
      <c r="M47" s="55" t="n"/>
      <c r="N47" s="57" t="n"/>
      <c r="O47" s="55" t="n"/>
      <c r="P47" s="56" t="n"/>
      <c r="Q47" s="55" t="n"/>
      <c r="R47" s="55" t="n"/>
      <c r="S47" s="55" t="n"/>
      <c r="T47" s="55" t="n"/>
      <c r="U47" s="55" t="n"/>
      <c r="V47" s="55" t="n"/>
      <c r="W47" s="58" t="n"/>
      <c r="X47" s="58" t="n"/>
      <c r="Y47" s="55" t="n"/>
      <c r="Z47" s="55" t="n"/>
      <c r="AA47" s="55" t="n"/>
      <c r="AB47" s="55" t="n"/>
      <c r="AC47" s="55" t="n"/>
      <c r="AD47" s="53" t="n"/>
      <c r="AE47" s="55" t="n"/>
      <c r="AF47" s="55" t="n"/>
      <c r="AG47" s="59" t="n"/>
      <c r="AH47" s="57" t="n"/>
      <c r="AI47" s="55" t="n"/>
      <c r="AJ47" s="55" t="n"/>
      <c r="AK47" s="55" t="n"/>
      <c r="AL47" s="55" t="n"/>
      <c r="AM47" s="56" t="n"/>
      <c r="AN47" s="55" t="n"/>
      <c r="AO47" s="55" t="n"/>
      <c r="AP47" s="55" t="n"/>
      <c r="AQ47" s="55" t="n"/>
      <c r="AR47" s="60">
        <f>IF(AND(C47="",E47=""),"",IF(A47="","⚠ Date manquante",IF(AND(C47="",E47&lt;&gt;"Dépense"),"⚠ Prospect manquant",IF(E47="","⚠ Action manquante",IF(AND(AU47=1,D47=""),"⚠ Canal manquant",IF(AND(W47&lt;&gt;"",COUNTIFS('Saisie'!$W$5:$W$2004,W47,'Saisie'!$C$5:$C$2004,"&lt;&gt;"&amp;C47)&gt;0),"⚠ Numéro déjà utilisé par un autre prospect",IF(AND(J47&lt;&gt;"",J47&lt;A47),"⚠ Relance avant la date de l'action",IF(A47&gt;TODAY(),"⚠ Date dans le futur","✓"))))))))</f>
        <v/>
      </c>
      <c r="AS47" s="61">
        <f>IF(AND(A47="",C47="",E47=""),"",ROW())</f>
        <v/>
      </c>
      <c r="AT47" s="61">
        <f>IF(E47&amp;F47="","",MAX(IFERROR(INDEX('Paramètres'!$J$6:$J$33,MATCH(E47,'Paramètres'!$I$6:$I$33,0)),0),IFERROR(INDEX('Paramètres'!$N$6:$N$17,MATCH(F47,'Paramètres'!$M$6:$M$17,0)),0)))</f>
        <v/>
      </c>
      <c r="AU47" s="61">
        <f>IF(E47="","",IFERROR(IF(INDEX('Paramètres'!$K$6:$K$33,MATCH(E47,'Paramètres'!$I$6:$I$33,0))="Oui",1,0),0))</f>
        <v/>
      </c>
      <c r="AV47" s="61">
        <f>IF(F47="","",IFERROR(IF(INDEX('Paramètres'!$O$6:$O$17,MATCH(F47,'Paramètres'!$M$6:$M$17,0))="Oui",1,0),0))</f>
        <v/>
      </c>
      <c r="AW47" s="62">
        <f>IF(E47="","",IF(G47&lt;&gt;"",G47,IF(OR(E47="Proposition envoyée",E47="Signature"),MAX(0,N(IFERROR(INDEX('Paramètres'!$R$6:$R$15,MATCH(IF(AL47&lt;&gt;"",AL47,IFERROR(INDEX('Prospects'!$AN$5:$AN$504,MATCH(C47,'Prospects'!$C$5:$C$504,0)),"")),'Paramètres'!$Q$6:$Q$15,0)),0))-N(P47)),0)))</f>
        <v/>
      </c>
      <c r="AX47" s="61">
        <f>IF(C47="","",IF(COUNTIF($C$5:C47,C47)=1,MAX($AX$4:AX46)+1,""))</f>
        <v/>
      </c>
      <c r="AY47" s="61">
        <f>IF(B47="","",HOUR(B47))</f>
        <v/>
      </c>
      <c r="AZ47" s="61">
        <f>IF(A47="","",MOD(A47-2,7)+1)</f>
        <v/>
      </c>
      <c r="BA47" s="60">
        <f>IF(C47="","",IFERROR(INDEX('Prospects'!$N$5:$N$504,MATCH(C47,'Prospects'!$C$5:$C$504,0)),""))</f>
        <v/>
      </c>
      <c r="BB47" s="61">
        <f>IF(AND(C47&lt;&gt;"",C47='Fiche prospect'!$C$4),COUNTIF($C$5:C47,C47),"")</f>
        <v/>
      </c>
    </row>
    <row r="48">
      <c r="A48" s="53" t="n"/>
      <c r="B48" s="54" t="n"/>
      <c r="C48" s="55" t="n"/>
      <c r="D48" s="55" t="n"/>
      <c r="E48" s="55" t="n"/>
      <c r="F48" s="55" t="n"/>
      <c r="G48" s="56" t="n"/>
      <c r="H48" s="57" t="n"/>
      <c r="I48" s="55" t="n"/>
      <c r="J48" s="53" t="n"/>
      <c r="K48" s="54" t="n"/>
      <c r="L48" s="55" t="n"/>
      <c r="M48" s="55" t="n"/>
      <c r="N48" s="57" t="n"/>
      <c r="O48" s="55" t="n"/>
      <c r="P48" s="56" t="n"/>
      <c r="Q48" s="55" t="n"/>
      <c r="R48" s="55" t="n"/>
      <c r="S48" s="55" t="n"/>
      <c r="T48" s="55" t="n"/>
      <c r="U48" s="55" t="n"/>
      <c r="V48" s="55" t="n"/>
      <c r="W48" s="58" t="n"/>
      <c r="X48" s="58" t="n"/>
      <c r="Y48" s="55" t="n"/>
      <c r="Z48" s="55" t="n"/>
      <c r="AA48" s="55" t="n"/>
      <c r="AB48" s="55" t="n"/>
      <c r="AC48" s="55" t="n"/>
      <c r="AD48" s="53" t="n"/>
      <c r="AE48" s="55" t="n"/>
      <c r="AF48" s="55" t="n"/>
      <c r="AG48" s="59" t="n"/>
      <c r="AH48" s="57" t="n"/>
      <c r="AI48" s="55" t="n"/>
      <c r="AJ48" s="55" t="n"/>
      <c r="AK48" s="55" t="n"/>
      <c r="AL48" s="55" t="n"/>
      <c r="AM48" s="56" t="n"/>
      <c r="AN48" s="55" t="n"/>
      <c r="AO48" s="55" t="n"/>
      <c r="AP48" s="55" t="n"/>
      <c r="AQ48" s="55" t="n"/>
      <c r="AR48" s="60">
        <f>IF(AND(C48="",E48=""),"",IF(A48="","⚠ Date manquante",IF(AND(C48="",E48&lt;&gt;"Dépense"),"⚠ Prospect manquant",IF(E48="","⚠ Action manquante",IF(AND(AU48=1,D48=""),"⚠ Canal manquant",IF(AND(W48&lt;&gt;"",COUNTIFS('Saisie'!$W$5:$W$2004,W48,'Saisie'!$C$5:$C$2004,"&lt;&gt;"&amp;C48)&gt;0),"⚠ Numéro déjà utilisé par un autre prospect",IF(AND(J48&lt;&gt;"",J48&lt;A48),"⚠ Relance avant la date de l'action",IF(A48&gt;TODAY(),"⚠ Date dans le futur","✓"))))))))</f>
        <v/>
      </c>
      <c r="AS48" s="61">
        <f>IF(AND(A48="",C48="",E48=""),"",ROW())</f>
        <v/>
      </c>
      <c r="AT48" s="61">
        <f>IF(E48&amp;F48="","",MAX(IFERROR(INDEX('Paramètres'!$J$6:$J$33,MATCH(E48,'Paramètres'!$I$6:$I$33,0)),0),IFERROR(INDEX('Paramètres'!$N$6:$N$17,MATCH(F48,'Paramètres'!$M$6:$M$17,0)),0)))</f>
        <v/>
      </c>
      <c r="AU48" s="61">
        <f>IF(E48="","",IFERROR(IF(INDEX('Paramètres'!$K$6:$K$33,MATCH(E48,'Paramètres'!$I$6:$I$33,0))="Oui",1,0),0))</f>
        <v/>
      </c>
      <c r="AV48" s="61">
        <f>IF(F48="","",IFERROR(IF(INDEX('Paramètres'!$O$6:$O$17,MATCH(F48,'Paramètres'!$M$6:$M$17,0))="Oui",1,0),0))</f>
        <v/>
      </c>
      <c r="AW48" s="62">
        <f>IF(E48="","",IF(G48&lt;&gt;"",G48,IF(OR(E48="Proposition envoyée",E48="Signature"),MAX(0,N(IFERROR(INDEX('Paramètres'!$R$6:$R$15,MATCH(IF(AL48&lt;&gt;"",AL48,IFERROR(INDEX('Prospects'!$AN$5:$AN$504,MATCH(C48,'Prospects'!$C$5:$C$504,0)),"")),'Paramètres'!$Q$6:$Q$15,0)),0))-N(P48)),0)))</f>
        <v/>
      </c>
      <c r="AX48" s="61">
        <f>IF(C48="","",IF(COUNTIF($C$5:C48,C48)=1,MAX($AX$4:AX47)+1,""))</f>
        <v/>
      </c>
      <c r="AY48" s="61">
        <f>IF(B48="","",HOUR(B48))</f>
        <v/>
      </c>
      <c r="AZ48" s="61">
        <f>IF(A48="","",MOD(A48-2,7)+1)</f>
        <v/>
      </c>
      <c r="BA48" s="60">
        <f>IF(C48="","",IFERROR(INDEX('Prospects'!$N$5:$N$504,MATCH(C48,'Prospects'!$C$5:$C$504,0)),""))</f>
        <v/>
      </c>
      <c r="BB48" s="61">
        <f>IF(AND(C48&lt;&gt;"",C48='Fiche prospect'!$C$4),COUNTIF($C$5:C48,C48),"")</f>
        <v/>
      </c>
    </row>
    <row r="49">
      <c r="A49" s="53" t="n"/>
      <c r="B49" s="54" t="n"/>
      <c r="C49" s="55" t="n"/>
      <c r="D49" s="55" t="n"/>
      <c r="E49" s="55" t="n"/>
      <c r="F49" s="55" t="n"/>
      <c r="G49" s="56" t="n"/>
      <c r="H49" s="57" t="n"/>
      <c r="I49" s="55" t="n"/>
      <c r="J49" s="53" t="n"/>
      <c r="K49" s="54" t="n"/>
      <c r="L49" s="55" t="n"/>
      <c r="M49" s="55" t="n"/>
      <c r="N49" s="57" t="n"/>
      <c r="O49" s="55" t="n"/>
      <c r="P49" s="56" t="n"/>
      <c r="Q49" s="55" t="n"/>
      <c r="R49" s="55" t="n"/>
      <c r="S49" s="55" t="n"/>
      <c r="T49" s="55" t="n"/>
      <c r="U49" s="55" t="n"/>
      <c r="V49" s="55" t="n"/>
      <c r="W49" s="58" t="n"/>
      <c r="X49" s="58" t="n"/>
      <c r="Y49" s="55" t="n"/>
      <c r="Z49" s="55" t="n"/>
      <c r="AA49" s="55" t="n"/>
      <c r="AB49" s="55" t="n"/>
      <c r="AC49" s="55" t="n"/>
      <c r="AD49" s="53" t="n"/>
      <c r="AE49" s="55" t="n"/>
      <c r="AF49" s="55" t="n"/>
      <c r="AG49" s="59" t="n"/>
      <c r="AH49" s="57" t="n"/>
      <c r="AI49" s="55" t="n"/>
      <c r="AJ49" s="55" t="n"/>
      <c r="AK49" s="55" t="n"/>
      <c r="AL49" s="55" t="n"/>
      <c r="AM49" s="56" t="n"/>
      <c r="AN49" s="55" t="n"/>
      <c r="AO49" s="55" t="n"/>
      <c r="AP49" s="55" t="n"/>
      <c r="AQ49" s="55" t="n"/>
      <c r="AR49" s="60">
        <f>IF(AND(C49="",E49=""),"",IF(A49="","⚠ Date manquante",IF(AND(C49="",E49&lt;&gt;"Dépense"),"⚠ Prospect manquant",IF(E49="","⚠ Action manquante",IF(AND(AU49=1,D49=""),"⚠ Canal manquant",IF(AND(W49&lt;&gt;"",COUNTIFS('Saisie'!$W$5:$W$2004,W49,'Saisie'!$C$5:$C$2004,"&lt;&gt;"&amp;C49)&gt;0),"⚠ Numéro déjà utilisé par un autre prospect",IF(AND(J49&lt;&gt;"",J49&lt;A49),"⚠ Relance avant la date de l'action",IF(A49&gt;TODAY(),"⚠ Date dans le futur","✓"))))))))</f>
        <v/>
      </c>
      <c r="AS49" s="61">
        <f>IF(AND(A49="",C49="",E49=""),"",ROW())</f>
        <v/>
      </c>
      <c r="AT49" s="61">
        <f>IF(E49&amp;F49="","",MAX(IFERROR(INDEX('Paramètres'!$J$6:$J$33,MATCH(E49,'Paramètres'!$I$6:$I$33,0)),0),IFERROR(INDEX('Paramètres'!$N$6:$N$17,MATCH(F49,'Paramètres'!$M$6:$M$17,0)),0)))</f>
        <v/>
      </c>
      <c r="AU49" s="61">
        <f>IF(E49="","",IFERROR(IF(INDEX('Paramètres'!$K$6:$K$33,MATCH(E49,'Paramètres'!$I$6:$I$33,0))="Oui",1,0),0))</f>
        <v/>
      </c>
      <c r="AV49" s="61">
        <f>IF(F49="","",IFERROR(IF(INDEX('Paramètres'!$O$6:$O$17,MATCH(F49,'Paramètres'!$M$6:$M$17,0))="Oui",1,0),0))</f>
        <v/>
      </c>
      <c r="AW49" s="62">
        <f>IF(E49="","",IF(G49&lt;&gt;"",G49,IF(OR(E49="Proposition envoyée",E49="Signature"),MAX(0,N(IFERROR(INDEX('Paramètres'!$R$6:$R$15,MATCH(IF(AL49&lt;&gt;"",AL49,IFERROR(INDEX('Prospects'!$AN$5:$AN$504,MATCH(C49,'Prospects'!$C$5:$C$504,0)),"")),'Paramètres'!$Q$6:$Q$15,0)),0))-N(P49)),0)))</f>
        <v/>
      </c>
      <c r="AX49" s="61">
        <f>IF(C49="","",IF(COUNTIF($C$5:C49,C49)=1,MAX($AX$4:AX48)+1,""))</f>
        <v/>
      </c>
      <c r="AY49" s="61">
        <f>IF(B49="","",HOUR(B49))</f>
        <v/>
      </c>
      <c r="AZ49" s="61">
        <f>IF(A49="","",MOD(A49-2,7)+1)</f>
        <v/>
      </c>
      <c r="BA49" s="60">
        <f>IF(C49="","",IFERROR(INDEX('Prospects'!$N$5:$N$504,MATCH(C49,'Prospects'!$C$5:$C$504,0)),""))</f>
        <v/>
      </c>
      <c r="BB49" s="61">
        <f>IF(AND(C49&lt;&gt;"",C49='Fiche prospect'!$C$4),COUNTIF($C$5:C49,C49),"")</f>
        <v/>
      </c>
    </row>
    <row r="50">
      <c r="A50" s="53" t="n"/>
      <c r="B50" s="54" t="n"/>
      <c r="C50" s="55" t="n"/>
      <c r="D50" s="55" t="n"/>
      <c r="E50" s="55" t="n"/>
      <c r="F50" s="55" t="n"/>
      <c r="G50" s="56" t="n"/>
      <c r="H50" s="57" t="n"/>
      <c r="I50" s="55" t="n"/>
      <c r="J50" s="53" t="n"/>
      <c r="K50" s="54" t="n"/>
      <c r="L50" s="55" t="n"/>
      <c r="M50" s="55" t="n"/>
      <c r="N50" s="57" t="n"/>
      <c r="O50" s="55" t="n"/>
      <c r="P50" s="56" t="n"/>
      <c r="Q50" s="55" t="n"/>
      <c r="R50" s="55" t="n"/>
      <c r="S50" s="55" t="n"/>
      <c r="T50" s="55" t="n"/>
      <c r="U50" s="55" t="n"/>
      <c r="V50" s="55" t="n"/>
      <c r="W50" s="58" t="n"/>
      <c r="X50" s="58" t="n"/>
      <c r="Y50" s="55" t="n"/>
      <c r="Z50" s="55" t="n"/>
      <c r="AA50" s="55" t="n"/>
      <c r="AB50" s="55" t="n"/>
      <c r="AC50" s="55" t="n"/>
      <c r="AD50" s="53" t="n"/>
      <c r="AE50" s="55" t="n"/>
      <c r="AF50" s="55" t="n"/>
      <c r="AG50" s="59" t="n"/>
      <c r="AH50" s="57" t="n"/>
      <c r="AI50" s="55" t="n"/>
      <c r="AJ50" s="55" t="n"/>
      <c r="AK50" s="55" t="n"/>
      <c r="AL50" s="55" t="n"/>
      <c r="AM50" s="56" t="n"/>
      <c r="AN50" s="55" t="n"/>
      <c r="AO50" s="55" t="n"/>
      <c r="AP50" s="55" t="n"/>
      <c r="AQ50" s="55" t="n"/>
      <c r="AR50" s="60">
        <f>IF(AND(C50="",E50=""),"",IF(A50="","⚠ Date manquante",IF(AND(C50="",E50&lt;&gt;"Dépense"),"⚠ Prospect manquant",IF(E50="","⚠ Action manquante",IF(AND(AU50=1,D50=""),"⚠ Canal manquant",IF(AND(W50&lt;&gt;"",COUNTIFS('Saisie'!$W$5:$W$2004,W50,'Saisie'!$C$5:$C$2004,"&lt;&gt;"&amp;C50)&gt;0),"⚠ Numéro déjà utilisé par un autre prospect",IF(AND(J50&lt;&gt;"",J50&lt;A50),"⚠ Relance avant la date de l'action",IF(A50&gt;TODAY(),"⚠ Date dans le futur","✓"))))))))</f>
        <v/>
      </c>
      <c r="AS50" s="61">
        <f>IF(AND(A50="",C50="",E50=""),"",ROW())</f>
        <v/>
      </c>
      <c r="AT50" s="61">
        <f>IF(E50&amp;F50="","",MAX(IFERROR(INDEX('Paramètres'!$J$6:$J$33,MATCH(E50,'Paramètres'!$I$6:$I$33,0)),0),IFERROR(INDEX('Paramètres'!$N$6:$N$17,MATCH(F50,'Paramètres'!$M$6:$M$17,0)),0)))</f>
        <v/>
      </c>
      <c r="AU50" s="61">
        <f>IF(E50="","",IFERROR(IF(INDEX('Paramètres'!$K$6:$K$33,MATCH(E50,'Paramètres'!$I$6:$I$33,0))="Oui",1,0),0))</f>
        <v/>
      </c>
      <c r="AV50" s="61">
        <f>IF(F50="","",IFERROR(IF(INDEX('Paramètres'!$O$6:$O$17,MATCH(F50,'Paramètres'!$M$6:$M$17,0))="Oui",1,0),0))</f>
        <v/>
      </c>
      <c r="AW50" s="62">
        <f>IF(E50="","",IF(G50&lt;&gt;"",G50,IF(OR(E50="Proposition envoyée",E50="Signature"),MAX(0,N(IFERROR(INDEX('Paramètres'!$R$6:$R$15,MATCH(IF(AL50&lt;&gt;"",AL50,IFERROR(INDEX('Prospects'!$AN$5:$AN$504,MATCH(C50,'Prospects'!$C$5:$C$504,0)),"")),'Paramètres'!$Q$6:$Q$15,0)),0))-N(P50)),0)))</f>
        <v/>
      </c>
      <c r="AX50" s="61">
        <f>IF(C50="","",IF(COUNTIF($C$5:C50,C50)=1,MAX($AX$4:AX49)+1,""))</f>
        <v/>
      </c>
      <c r="AY50" s="61">
        <f>IF(B50="","",HOUR(B50))</f>
        <v/>
      </c>
      <c r="AZ50" s="61">
        <f>IF(A50="","",MOD(A50-2,7)+1)</f>
        <v/>
      </c>
      <c r="BA50" s="60">
        <f>IF(C50="","",IFERROR(INDEX('Prospects'!$N$5:$N$504,MATCH(C50,'Prospects'!$C$5:$C$504,0)),""))</f>
        <v/>
      </c>
      <c r="BB50" s="61">
        <f>IF(AND(C50&lt;&gt;"",C50='Fiche prospect'!$C$4),COUNTIF($C$5:C50,C50),"")</f>
        <v/>
      </c>
    </row>
    <row r="51">
      <c r="A51" s="53" t="n"/>
      <c r="B51" s="54" t="n"/>
      <c r="C51" s="55" t="n"/>
      <c r="D51" s="55" t="n"/>
      <c r="E51" s="55" t="n"/>
      <c r="F51" s="55" t="n"/>
      <c r="G51" s="56" t="n"/>
      <c r="H51" s="57" t="n"/>
      <c r="I51" s="55" t="n"/>
      <c r="J51" s="53" t="n"/>
      <c r="K51" s="54" t="n"/>
      <c r="L51" s="55" t="n"/>
      <c r="M51" s="55" t="n"/>
      <c r="N51" s="57" t="n"/>
      <c r="O51" s="55" t="n"/>
      <c r="P51" s="56" t="n"/>
      <c r="Q51" s="55" t="n"/>
      <c r="R51" s="55" t="n"/>
      <c r="S51" s="55" t="n"/>
      <c r="T51" s="55" t="n"/>
      <c r="U51" s="55" t="n"/>
      <c r="V51" s="55" t="n"/>
      <c r="W51" s="58" t="n"/>
      <c r="X51" s="58" t="n"/>
      <c r="Y51" s="55" t="n"/>
      <c r="Z51" s="55" t="n"/>
      <c r="AA51" s="55" t="n"/>
      <c r="AB51" s="55" t="n"/>
      <c r="AC51" s="55" t="n"/>
      <c r="AD51" s="53" t="n"/>
      <c r="AE51" s="55" t="n"/>
      <c r="AF51" s="55" t="n"/>
      <c r="AG51" s="59" t="n"/>
      <c r="AH51" s="57" t="n"/>
      <c r="AI51" s="55" t="n"/>
      <c r="AJ51" s="55" t="n"/>
      <c r="AK51" s="55" t="n"/>
      <c r="AL51" s="55" t="n"/>
      <c r="AM51" s="56" t="n"/>
      <c r="AN51" s="55" t="n"/>
      <c r="AO51" s="55" t="n"/>
      <c r="AP51" s="55" t="n"/>
      <c r="AQ51" s="55" t="n"/>
      <c r="AR51" s="60">
        <f>IF(AND(C51="",E51=""),"",IF(A51="","⚠ Date manquante",IF(AND(C51="",E51&lt;&gt;"Dépense"),"⚠ Prospect manquant",IF(E51="","⚠ Action manquante",IF(AND(AU51=1,D51=""),"⚠ Canal manquant",IF(AND(W51&lt;&gt;"",COUNTIFS('Saisie'!$W$5:$W$2004,W51,'Saisie'!$C$5:$C$2004,"&lt;&gt;"&amp;C51)&gt;0),"⚠ Numéro déjà utilisé par un autre prospect",IF(AND(J51&lt;&gt;"",J51&lt;A51),"⚠ Relance avant la date de l'action",IF(A51&gt;TODAY(),"⚠ Date dans le futur","✓"))))))))</f>
        <v/>
      </c>
      <c r="AS51" s="61">
        <f>IF(AND(A51="",C51="",E51=""),"",ROW())</f>
        <v/>
      </c>
      <c r="AT51" s="61">
        <f>IF(E51&amp;F51="","",MAX(IFERROR(INDEX('Paramètres'!$J$6:$J$33,MATCH(E51,'Paramètres'!$I$6:$I$33,0)),0),IFERROR(INDEX('Paramètres'!$N$6:$N$17,MATCH(F51,'Paramètres'!$M$6:$M$17,0)),0)))</f>
        <v/>
      </c>
      <c r="AU51" s="61">
        <f>IF(E51="","",IFERROR(IF(INDEX('Paramètres'!$K$6:$K$33,MATCH(E51,'Paramètres'!$I$6:$I$33,0))="Oui",1,0),0))</f>
        <v/>
      </c>
      <c r="AV51" s="61">
        <f>IF(F51="","",IFERROR(IF(INDEX('Paramètres'!$O$6:$O$17,MATCH(F51,'Paramètres'!$M$6:$M$17,0))="Oui",1,0),0))</f>
        <v/>
      </c>
      <c r="AW51" s="62">
        <f>IF(E51="","",IF(G51&lt;&gt;"",G51,IF(OR(E51="Proposition envoyée",E51="Signature"),MAX(0,N(IFERROR(INDEX('Paramètres'!$R$6:$R$15,MATCH(IF(AL51&lt;&gt;"",AL51,IFERROR(INDEX('Prospects'!$AN$5:$AN$504,MATCH(C51,'Prospects'!$C$5:$C$504,0)),"")),'Paramètres'!$Q$6:$Q$15,0)),0))-N(P51)),0)))</f>
        <v/>
      </c>
      <c r="AX51" s="61">
        <f>IF(C51="","",IF(COUNTIF($C$5:C51,C51)=1,MAX($AX$4:AX50)+1,""))</f>
        <v/>
      </c>
      <c r="AY51" s="61">
        <f>IF(B51="","",HOUR(B51))</f>
        <v/>
      </c>
      <c r="AZ51" s="61">
        <f>IF(A51="","",MOD(A51-2,7)+1)</f>
        <v/>
      </c>
      <c r="BA51" s="60">
        <f>IF(C51="","",IFERROR(INDEX('Prospects'!$N$5:$N$504,MATCH(C51,'Prospects'!$C$5:$C$504,0)),""))</f>
        <v/>
      </c>
      <c r="BB51" s="61">
        <f>IF(AND(C51&lt;&gt;"",C51='Fiche prospect'!$C$4),COUNTIF($C$5:C51,C51),"")</f>
        <v/>
      </c>
    </row>
    <row r="52">
      <c r="A52" s="53" t="n"/>
      <c r="B52" s="54" t="n"/>
      <c r="C52" s="55" t="n"/>
      <c r="D52" s="55" t="n"/>
      <c r="E52" s="55" t="n"/>
      <c r="F52" s="55" t="n"/>
      <c r="G52" s="56" t="n"/>
      <c r="H52" s="57" t="n"/>
      <c r="I52" s="55" t="n"/>
      <c r="J52" s="53" t="n"/>
      <c r="K52" s="54" t="n"/>
      <c r="L52" s="55" t="n"/>
      <c r="M52" s="55" t="n"/>
      <c r="N52" s="57" t="n"/>
      <c r="O52" s="55" t="n"/>
      <c r="P52" s="56" t="n"/>
      <c r="Q52" s="55" t="n"/>
      <c r="R52" s="55" t="n"/>
      <c r="S52" s="55" t="n"/>
      <c r="T52" s="55" t="n"/>
      <c r="U52" s="55" t="n"/>
      <c r="V52" s="55" t="n"/>
      <c r="W52" s="58" t="n"/>
      <c r="X52" s="58" t="n"/>
      <c r="Y52" s="55" t="n"/>
      <c r="Z52" s="55" t="n"/>
      <c r="AA52" s="55" t="n"/>
      <c r="AB52" s="55" t="n"/>
      <c r="AC52" s="55" t="n"/>
      <c r="AD52" s="53" t="n"/>
      <c r="AE52" s="55" t="n"/>
      <c r="AF52" s="55" t="n"/>
      <c r="AG52" s="59" t="n"/>
      <c r="AH52" s="57" t="n"/>
      <c r="AI52" s="55" t="n"/>
      <c r="AJ52" s="55" t="n"/>
      <c r="AK52" s="55" t="n"/>
      <c r="AL52" s="55" t="n"/>
      <c r="AM52" s="56" t="n"/>
      <c r="AN52" s="55" t="n"/>
      <c r="AO52" s="55" t="n"/>
      <c r="AP52" s="55" t="n"/>
      <c r="AQ52" s="55" t="n"/>
      <c r="AR52" s="60">
        <f>IF(AND(C52="",E52=""),"",IF(A52="","⚠ Date manquante",IF(AND(C52="",E52&lt;&gt;"Dépense"),"⚠ Prospect manquant",IF(E52="","⚠ Action manquante",IF(AND(AU52=1,D52=""),"⚠ Canal manquant",IF(AND(W52&lt;&gt;"",COUNTIFS('Saisie'!$W$5:$W$2004,W52,'Saisie'!$C$5:$C$2004,"&lt;&gt;"&amp;C52)&gt;0),"⚠ Numéro déjà utilisé par un autre prospect",IF(AND(J52&lt;&gt;"",J52&lt;A52),"⚠ Relance avant la date de l'action",IF(A52&gt;TODAY(),"⚠ Date dans le futur","✓"))))))))</f>
        <v/>
      </c>
      <c r="AS52" s="61">
        <f>IF(AND(A52="",C52="",E52=""),"",ROW())</f>
        <v/>
      </c>
      <c r="AT52" s="61">
        <f>IF(E52&amp;F52="","",MAX(IFERROR(INDEX('Paramètres'!$J$6:$J$33,MATCH(E52,'Paramètres'!$I$6:$I$33,0)),0),IFERROR(INDEX('Paramètres'!$N$6:$N$17,MATCH(F52,'Paramètres'!$M$6:$M$17,0)),0)))</f>
        <v/>
      </c>
      <c r="AU52" s="61">
        <f>IF(E52="","",IFERROR(IF(INDEX('Paramètres'!$K$6:$K$33,MATCH(E52,'Paramètres'!$I$6:$I$33,0))="Oui",1,0),0))</f>
        <v/>
      </c>
      <c r="AV52" s="61">
        <f>IF(F52="","",IFERROR(IF(INDEX('Paramètres'!$O$6:$O$17,MATCH(F52,'Paramètres'!$M$6:$M$17,0))="Oui",1,0),0))</f>
        <v/>
      </c>
      <c r="AW52" s="62">
        <f>IF(E52="","",IF(G52&lt;&gt;"",G52,IF(OR(E52="Proposition envoyée",E52="Signature"),MAX(0,N(IFERROR(INDEX('Paramètres'!$R$6:$R$15,MATCH(IF(AL52&lt;&gt;"",AL52,IFERROR(INDEX('Prospects'!$AN$5:$AN$504,MATCH(C52,'Prospects'!$C$5:$C$504,0)),"")),'Paramètres'!$Q$6:$Q$15,0)),0))-N(P52)),0)))</f>
        <v/>
      </c>
      <c r="AX52" s="61">
        <f>IF(C52="","",IF(COUNTIF($C$5:C52,C52)=1,MAX($AX$4:AX51)+1,""))</f>
        <v/>
      </c>
      <c r="AY52" s="61">
        <f>IF(B52="","",HOUR(B52))</f>
        <v/>
      </c>
      <c r="AZ52" s="61">
        <f>IF(A52="","",MOD(A52-2,7)+1)</f>
        <v/>
      </c>
      <c r="BA52" s="60">
        <f>IF(C52="","",IFERROR(INDEX('Prospects'!$N$5:$N$504,MATCH(C52,'Prospects'!$C$5:$C$504,0)),""))</f>
        <v/>
      </c>
      <c r="BB52" s="61">
        <f>IF(AND(C52&lt;&gt;"",C52='Fiche prospect'!$C$4),COUNTIF($C$5:C52,C52),"")</f>
        <v/>
      </c>
    </row>
    <row r="53">
      <c r="A53" s="53" t="n"/>
      <c r="B53" s="54" t="n"/>
      <c r="C53" s="55" t="n"/>
      <c r="D53" s="55" t="n"/>
      <c r="E53" s="55" t="n"/>
      <c r="F53" s="55" t="n"/>
      <c r="G53" s="56" t="n"/>
      <c r="H53" s="57" t="n"/>
      <c r="I53" s="55" t="n"/>
      <c r="J53" s="53" t="n"/>
      <c r="K53" s="54" t="n"/>
      <c r="L53" s="55" t="n"/>
      <c r="M53" s="55" t="n"/>
      <c r="N53" s="57" t="n"/>
      <c r="O53" s="55" t="n"/>
      <c r="P53" s="56" t="n"/>
      <c r="Q53" s="55" t="n"/>
      <c r="R53" s="55" t="n"/>
      <c r="S53" s="55" t="n"/>
      <c r="T53" s="55" t="n"/>
      <c r="U53" s="55" t="n"/>
      <c r="V53" s="55" t="n"/>
      <c r="W53" s="58" t="n"/>
      <c r="X53" s="58" t="n"/>
      <c r="Y53" s="55" t="n"/>
      <c r="Z53" s="55" t="n"/>
      <c r="AA53" s="55" t="n"/>
      <c r="AB53" s="55" t="n"/>
      <c r="AC53" s="55" t="n"/>
      <c r="AD53" s="53" t="n"/>
      <c r="AE53" s="55" t="n"/>
      <c r="AF53" s="55" t="n"/>
      <c r="AG53" s="59" t="n"/>
      <c r="AH53" s="57" t="n"/>
      <c r="AI53" s="55" t="n"/>
      <c r="AJ53" s="55" t="n"/>
      <c r="AK53" s="55" t="n"/>
      <c r="AL53" s="55" t="n"/>
      <c r="AM53" s="56" t="n"/>
      <c r="AN53" s="55" t="n"/>
      <c r="AO53" s="55" t="n"/>
      <c r="AP53" s="55" t="n"/>
      <c r="AQ53" s="55" t="n"/>
      <c r="AR53" s="60">
        <f>IF(AND(C53="",E53=""),"",IF(A53="","⚠ Date manquante",IF(AND(C53="",E53&lt;&gt;"Dépense"),"⚠ Prospect manquant",IF(E53="","⚠ Action manquante",IF(AND(AU53=1,D53=""),"⚠ Canal manquant",IF(AND(W53&lt;&gt;"",COUNTIFS('Saisie'!$W$5:$W$2004,W53,'Saisie'!$C$5:$C$2004,"&lt;&gt;"&amp;C53)&gt;0),"⚠ Numéro déjà utilisé par un autre prospect",IF(AND(J53&lt;&gt;"",J53&lt;A53),"⚠ Relance avant la date de l'action",IF(A53&gt;TODAY(),"⚠ Date dans le futur","✓"))))))))</f>
        <v/>
      </c>
      <c r="AS53" s="61">
        <f>IF(AND(A53="",C53="",E53=""),"",ROW())</f>
        <v/>
      </c>
      <c r="AT53" s="61">
        <f>IF(E53&amp;F53="","",MAX(IFERROR(INDEX('Paramètres'!$J$6:$J$33,MATCH(E53,'Paramètres'!$I$6:$I$33,0)),0),IFERROR(INDEX('Paramètres'!$N$6:$N$17,MATCH(F53,'Paramètres'!$M$6:$M$17,0)),0)))</f>
        <v/>
      </c>
      <c r="AU53" s="61">
        <f>IF(E53="","",IFERROR(IF(INDEX('Paramètres'!$K$6:$K$33,MATCH(E53,'Paramètres'!$I$6:$I$33,0))="Oui",1,0),0))</f>
        <v/>
      </c>
      <c r="AV53" s="61">
        <f>IF(F53="","",IFERROR(IF(INDEX('Paramètres'!$O$6:$O$17,MATCH(F53,'Paramètres'!$M$6:$M$17,0))="Oui",1,0),0))</f>
        <v/>
      </c>
      <c r="AW53" s="62">
        <f>IF(E53="","",IF(G53&lt;&gt;"",G53,IF(OR(E53="Proposition envoyée",E53="Signature"),MAX(0,N(IFERROR(INDEX('Paramètres'!$R$6:$R$15,MATCH(IF(AL53&lt;&gt;"",AL53,IFERROR(INDEX('Prospects'!$AN$5:$AN$504,MATCH(C53,'Prospects'!$C$5:$C$504,0)),"")),'Paramètres'!$Q$6:$Q$15,0)),0))-N(P53)),0)))</f>
        <v/>
      </c>
      <c r="AX53" s="61">
        <f>IF(C53="","",IF(COUNTIF($C$5:C53,C53)=1,MAX($AX$4:AX52)+1,""))</f>
        <v/>
      </c>
      <c r="AY53" s="61">
        <f>IF(B53="","",HOUR(B53))</f>
        <v/>
      </c>
      <c r="AZ53" s="61">
        <f>IF(A53="","",MOD(A53-2,7)+1)</f>
        <v/>
      </c>
      <c r="BA53" s="60">
        <f>IF(C53="","",IFERROR(INDEX('Prospects'!$N$5:$N$504,MATCH(C53,'Prospects'!$C$5:$C$504,0)),""))</f>
        <v/>
      </c>
      <c r="BB53" s="61">
        <f>IF(AND(C53&lt;&gt;"",C53='Fiche prospect'!$C$4),COUNTIF($C$5:C53,C53),"")</f>
        <v/>
      </c>
    </row>
    <row r="54">
      <c r="A54" s="53" t="n"/>
      <c r="B54" s="54" t="n"/>
      <c r="C54" s="55" t="n"/>
      <c r="D54" s="55" t="n"/>
      <c r="E54" s="55" t="n"/>
      <c r="F54" s="55" t="n"/>
      <c r="G54" s="56" t="n"/>
      <c r="H54" s="57" t="n"/>
      <c r="I54" s="55" t="n"/>
      <c r="J54" s="53" t="n"/>
      <c r="K54" s="54" t="n"/>
      <c r="L54" s="55" t="n"/>
      <c r="M54" s="55" t="n"/>
      <c r="N54" s="57" t="n"/>
      <c r="O54" s="55" t="n"/>
      <c r="P54" s="56" t="n"/>
      <c r="Q54" s="55" t="n"/>
      <c r="R54" s="55" t="n"/>
      <c r="S54" s="55" t="n"/>
      <c r="T54" s="55" t="n"/>
      <c r="U54" s="55" t="n"/>
      <c r="V54" s="55" t="n"/>
      <c r="W54" s="58" t="n"/>
      <c r="X54" s="58" t="n"/>
      <c r="Y54" s="55" t="n"/>
      <c r="Z54" s="55" t="n"/>
      <c r="AA54" s="55" t="n"/>
      <c r="AB54" s="55" t="n"/>
      <c r="AC54" s="55" t="n"/>
      <c r="AD54" s="53" t="n"/>
      <c r="AE54" s="55" t="n"/>
      <c r="AF54" s="55" t="n"/>
      <c r="AG54" s="59" t="n"/>
      <c r="AH54" s="57" t="n"/>
      <c r="AI54" s="55" t="n"/>
      <c r="AJ54" s="55" t="n"/>
      <c r="AK54" s="55" t="n"/>
      <c r="AL54" s="55" t="n"/>
      <c r="AM54" s="56" t="n"/>
      <c r="AN54" s="55" t="n"/>
      <c r="AO54" s="55" t="n"/>
      <c r="AP54" s="55" t="n"/>
      <c r="AQ54" s="55" t="n"/>
      <c r="AR54" s="60">
        <f>IF(AND(C54="",E54=""),"",IF(A54="","⚠ Date manquante",IF(AND(C54="",E54&lt;&gt;"Dépense"),"⚠ Prospect manquant",IF(E54="","⚠ Action manquante",IF(AND(AU54=1,D54=""),"⚠ Canal manquant",IF(AND(W54&lt;&gt;"",COUNTIFS('Saisie'!$W$5:$W$2004,W54,'Saisie'!$C$5:$C$2004,"&lt;&gt;"&amp;C54)&gt;0),"⚠ Numéro déjà utilisé par un autre prospect",IF(AND(J54&lt;&gt;"",J54&lt;A54),"⚠ Relance avant la date de l'action",IF(A54&gt;TODAY(),"⚠ Date dans le futur","✓"))))))))</f>
        <v/>
      </c>
      <c r="AS54" s="61">
        <f>IF(AND(A54="",C54="",E54=""),"",ROW())</f>
        <v/>
      </c>
      <c r="AT54" s="61">
        <f>IF(E54&amp;F54="","",MAX(IFERROR(INDEX('Paramètres'!$J$6:$J$33,MATCH(E54,'Paramètres'!$I$6:$I$33,0)),0),IFERROR(INDEX('Paramètres'!$N$6:$N$17,MATCH(F54,'Paramètres'!$M$6:$M$17,0)),0)))</f>
        <v/>
      </c>
      <c r="AU54" s="61">
        <f>IF(E54="","",IFERROR(IF(INDEX('Paramètres'!$K$6:$K$33,MATCH(E54,'Paramètres'!$I$6:$I$33,0))="Oui",1,0),0))</f>
        <v/>
      </c>
      <c r="AV54" s="61">
        <f>IF(F54="","",IFERROR(IF(INDEX('Paramètres'!$O$6:$O$17,MATCH(F54,'Paramètres'!$M$6:$M$17,0))="Oui",1,0),0))</f>
        <v/>
      </c>
      <c r="AW54" s="62">
        <f>IF(E54="","",IF(G54&lt;&gt;"",G54,IF(OR(E54="Proposition envoyée",E54="Signature"),MAX(0,N(IFERROR(INDEX('Paramètres'!$R$6:$R$15,MATCH(IF(AL54&lt;&gt;"",AL54,IFERROR(INDEX('Prospects'!$AN$5:$AN$504,MATCH(C54,'Prospects'!$C$5:$C$504,0)),"")),'Paramètres'!$Q$6:$Q$15,0)),0))-N(P54)),0)))</f>
        <v/>
      </c>
      <c r="AX54" s="61">
        <f>IF(C54="","",IF(COUNTIF($C$5:C54,C54)=1,MAX($AX$4:AX53)+1,""))</f>
        <v/>
      </c>
      <c r="AY54" s="61">
        <f>IF(B54="","",HOUR(B54))</f>
        <v/>
      </c>
      <c r="AZ54" s="61">
        <f>IF(A54="","",MOD(A54-2,7)+1)</f>
        <v/>
      </c>
      <c r="BA54" s="60">
        <f>IF(C54="","",IFERROR(INDEX('Prospects'!$N$5:$N$504,MATCH(C54,'Prospects'!$C$5:$C$504,0)),""))</f>
        <v/>
      </c>
      <c r="BB54" s="61">
        <f>IF(AND(C54&lt;&gt;"",C54='Fiche prospect'!$C$4),COUNTIF($C$5:C54,C54),"")</f>
        <v/>
      </c>
    </row>
    <row r="55">
      <c r="A55" s="53" t="n"/>
      <c r="B55" s="54" t="n"/>
      <c r="C55" s="55" t="n"/>
      <c r="D55" s="55" t="n"/>
      <c r="E55" s="55" t="n"/>
      <c r="F55" s="55" t="n"/>
      <c r="G55" s="56" t="n"/>
      <c r="H55" s="57" t="n"/>
      <c r="I55" s="55" t="n"/>
      <c r="J55" s="53" t="n"/>
      <c r="K55" s="54" t="n"/>
      <c r="L55" s="55" t="n"/>
      <c r="M55" s="55" t="n"/>
      <c r="N55" s="57" t="n"/>
      <c r="O55" s="55" t="n"/>
      <c r="P55" s="56" t="n"/>
      <c r="Q55" s="55" t="n"/>
      <c r="R55" s="55" t="n"/>
      <c r="S55" s="55" t="n"/>
      <c r="T55" s="55" t="n"/>
      <c r="U55" s="55" t="n"/>
      <c r="V55" s="55" t="n"/>
      <c r="W55" s="58" t="n"/>
      <c r="X55" s="58" t="n"/>
      <c r="Y55" s="55" t="n"/>
      <c r="Z55" s="55" t="n"/>
      <c r="AA55" s="55" t="n"/>
      <c r="AB55" s="55" t="n"/>
      <c r="AC55" s="55" t="n"/>
      <c r="AD55" s="53" t="n"/>
      <c r="AE55" s="55" t="n"/>
      <c r="AF55" s="55" t="n"/>
      <c r="AG55" s="59" t="n"/>
      <c r="AH55" s="57" t="n"/>
      <c r="AI55" s="55" t="n"/>
      <c r="AJ55" s="55" t="n"/>
      <c r="AK55" s="55" t="n"/>
      <c r="AL55" s="55" t="n"/>
      <c r="AM55" s="56" t="n"/>
      <c r="AN55" s="55" t="n"/>
      <c r="AO55" s="55" t="n"/>
      <c r="AP55" s="55" t="n"/>
      <c r="AQ55" s="55" t="n"/>
      <c r="AR55" s="60">
        <f>IF(AND(C55="",E55=""),"",IF(A55="","⚠ Date manquante",IF(AND(C55="",E55&lt;&gt;"Dépense"),"⚠ Prospect manquant",IF(E55="","⚠ Action manquante",IF(AND(AU55=1,D55=""),"⚠ Canal manquant",IF(AND(W55&lt;&gt;"",COUNTIFS('Saisie'!$W$5:$W$2004,W55,'Saisie'!$C$5:$C$2004,"&lt;&gt;"&amp;C55)&gt;0),"⚠ Numéro déjà utilisé par un autre prospect",IF(AND(J55&lt;&gt;"",J55&lt;A55),"⚠ Relance avant la date de l'action",IF(A55&gt;TODAY(),"⚠ Date dans le futur","✓"))))))))</f>
        <v/>
      </c>
      <c r="AS55" s="61">
        <f>IF(AND(A55="",C55="",E55=""),"",ROW())</f>
        <v/>
      </c>
      <c r="AT55" s="61">
        <f>IF(E55&amp;F55="","",MAX(IFERROR(INDEX('Paramètres'!$J$6:$J$33,MATCH(E55,'Paramètres'!$I$6:$I$33,0)),0),IFERROR(INDEX('Paramètres'!$N$6:$N$17,MATCH(F55,'Paramètres'!$M$6:$M$17,0)),0)))</f>
        <v/>
      </c>
      <c r="AU55" s="61">
        <f>IF(E55="","",IFERROR(IF(INDEX('Paramètres'!$K$6:$K$33,MATCH(E55,'Paramètres'!$I$6:$I$33,0))="Oui",1,0),0))</f>
        <v/>
      </c>
      <c r="AV55" s="61">
        <f>IF(F55="","",IFERROR(IF(INDEX('Paramètres'!$O$6:$O$17,MATCH(F55,'Paramètres'!$M$6:$M$17,0))="Oui",1,0),0))</f>
        <v/>
      </c>
      <c r="AW55" s="62">
        <f>IF(E55="","",IF(G55&lt;&gt;"",G55,IF(OR(E55="Proposition envoyée",E55="Signature"),MAX(0,N(IFERROR(INDEX('Paramètres'!$R$6:$R$15,MATCH(IF(AL55&lt;&gt;"",AL55,IFERROR(INDEX('Prospects'!$AN$5:$AN$504,MATCH(C55,'Prospects'!$C$5:$C$504,0)),"")),'Paramètres'!$Q$6:$Q$15,0)),0))-N(P55)),0)))</f>
        <v/>
      </c>
      <c r="AX55" s="61">
        <f>IF(C55="","",IF(COUNTIF($C$5:C55,C55)=1,MAX($AX$4:AX54)+1,""))</f>
        <v/>
      </c>
      <c r="AY55" s="61">
        <f>IF(B55="","",HOUR(B55))</f>
        <v/>
      </c>
      <c r="AZ55" s="61">
        <f>IF(A55="","",MOD(A55-2,7)+1)</f>
        <v/>
      </c>
      <c r="BA55" s="60">
        <f>IF(C55="","",IFERROR(INDEX('Prospects'!$N$5:$N$504,MATCH(C55,'Prospects'!$C$5:$C$504,0)),""))</f>
        <v/>
      </c>
      <c r="BB55" s="61">
        <f>IF(AND(C55&lt;&gt;"",C55='Fiche prospect'!$C$4),COUNTIF($C$5:C55,C55),"")</f>
        <v/>
      </c>
    </row>
    <row r="56">
      <c r="A56" s="53" t="n"/>
      <c r="B56" s="54" t="n"/>
      <c r="C56" s="55" t="n"/>
      <c r="D56" s="55" t="n"/>
      <c r="E56" s="55" t="n"/>
      <c r="F56" s="55" t="n"/>
      <c r="G56" s="56" t="n"/>
      <c r="H56" s="57" t="n"/>
      <c r="I56" s="55" t="n"/>
      <c r="J56" s="53" t="n"/>
      <c r="K56" s="54" t="n"/>
      <c r="L56" s="55" t="n"/>
      <c r="M56" s="55" t="n"/>
      <c r="N56" s="57" t="n"/>
      <c r="O56" s="55" t="n"/>
      <c r="P56" s="56" t="n"/>
      <c r="Q56" s="55" t="n"/>
      <c r="R56" s="55" t="n"/>
      <c r="S56" s="55" t="n"/>
      <c r="T56" s="55" t="n"/>
      <c r="U56" s="55" t="n"/>
      <c r="V56" s="55" t="n"/>
      <c r="W56" s="58" t="n"/>
      <c r="X56" s="58" t="n"/>
      <c r="Y56" s="55" t="n"/>
      <c r="Z56" s="55" t="n"/>
      <c r="AA56" s="55" t="n"/>
      <c r="AB56" s="55" t="n"/>
      <c r="AC56" s="55" t="n"/>
      <c r="AD56" s="53" t="n"/>
      <c r="AE56" s="55" t="n"/>
      <c r="AF56" s="55" t="n"/>
      <c r="AG56" s="59" t="n"/>
      <c r="AH56" s="57" t="n"/>
      <c r="AI56" s="55" t="n"/>
      <c r="AJ56" s="55" t="n"/>
      <c r="AK56" s="55" t="n"/>
      <c r="AL56" s="55" t="n"/>
      <c r="AM56" s="56" t="n"/>
      <c r="AN56" s="55" t="n"/>
      <c r="AO56" s="55" t="n"/>
      <c r="AP56" s="55" t="n"/>
      <c r="AQ56" s="55" t="n"/>
      <c r="AR56" s="60">
        <f>IF(AND(C56="",E56=""),"",IF(A56="","⚠ Date manquante",IF(AND(C56="",E56&lt;&gt;"Dépense"),"⚠ Prospect manquant",IF(E56="","⚠ Action manquante",IF(AND(AU56=1,D56=""),"⚠ Canal manquant",IF(AND(W56&lt;&gt;"",COUNTIFS('Saisie'!$W$5:$W$2004,W56,'Saisie'!$C$5:$C$2004,"&lt;&gt;"&amp;C56)&gt;0),"⚠ Numéro déjà utilisé par un autre prospect",IF(AND(J56&lt;&gt;"",J56&lt;A56),"⚠ Relance avant la date de l'action",IF(A56&gt;TODAY(),"⚠ Date dans le futur","✓"))))))))</f>
        <v/>
      </c>
      <c r="AS56" s="61">
        <f>IF(AND(A56="",C56="",E56=""),"",ROW())</f>
        <v/>
      </c>
      <c r="AT56" s="61">
        <f>IF(E56&amp;F56="","",MAX(IFERROR(INDEX('Paramètres'!$J$6:$J$33,MATCH(E56,'Paramètres'!$I$6:$I$33,0)),0),IFERROR(INDEX('Paramètres'!$N$6:$N$17,MATCH(F56,'Paramètres'!$M$6:$M$17,0)),0)))</f>
        <v/>
      </c>
      <c r="AU56" s="61">
        <f>IF(E56="","",IFERROR(IF(INDEX('Paramètres'!$K$6:$K$33,MATCH(E56,'Paramètres'!$I$6:$I$33,0))="Oui",1,0),0))</f>
        <v/>
      </c>
      <c r="AV56" s="61">
        <f>IF(F56="","",IFERROR(IF(INDEX('Paramètres'!$O$6:$O$17,MATCH(F56,'Paramètres'!$M$6:$M$17,0))="Oui",1,0),0))</f>
        <v/>
      </c>
      <c r="AW56" s="62">
        <f>IF(E56="","",IF(G56&lt;&gt;"",G56,IF(OR(E56="Proposition envoyée",E56="Signature"),MAX(0,N(IFERROR(INDEX('Paramètres'!$R$6:$R$15,MATCH(IF(AL56&lt;&gt;"",AL56,IFERROR(INDEX('Prospects'!$AN$5:$AN$504,MATCH(C56,'Prospects'!$C$5:$C$504,0)),"")),'Paramètres'!$Q$6:$Q$15,0)),0))-N(P56)),0)))</f>
        <v/>
      </c>
      <c r="AX56" s="61">
        <f>IF(C56="","",IF(COUNTIF($C$5:C56,C56)=1,MAX($AX$4:AX55)+1,""))</f>
        <v/>
      </c>
      <c r="AY56" s="61">
        <f>IF(B56="","",HOUR(B56))</f>
        <v/>
      </c>
      <c r="AZ56" s="61">
        <f>IF(A56="","",MOD(A56-2,7)+1)</f>
        <v/>
      </c>
      <c r="BA56" s="60">
        <f>IF(C56="","",IFERROR(INDEX('Prospects'!$N$5:$N$504,MATCH(C56,'Prospects'!$C$5:$C$504,0)),""))</f>
        <v/>
      </c>
      <c r="BB56" s="61">
        <f>IF(AND(C56&lt;&gt;"",C56='Fiche prospect'!$C$4),COUNTIF($C$5:C56,C56),"")</f>
        <v/>
      </c>
    </row>
    <row r="57">
      <c r="A57" s="53" t="n"/>
      <c r="B57" s="54" t="n"/>
      <c r="C57" s="55" t="n"/>
      <c r="D57" s="55" t="n"/>
      <c r="E57" s="55" t="n"/>
      <c r="F57" s="55" t="n"/>
      <c r="G57" s="56" t="n"/>
      <c r="H57" s="57" t="n"/>
      <c r="I57" s="55" t="n"/>
      <c r="J57" s="53" t="n"/>
      <c r="K57" s="54" t="n"/>
      <c r="L57" s="55" t="n"/>
      <c r="M57" s="55" t="n"/>
      <c r="N57" s="57" t="n"/>
      <c r="O57" s="55" t="n"/>
      <c r="P57" s="56" t="n"/>
      <c r="Q57" s="55" t="n"/>
      <c r="R57" s="55" t="n"/>
      <c r="S57" s="55" t="n"/>
      <c r="T57" s="55" t="n"/>
      <c r="U57" s="55" t="n"/>
      <c r="V57" s="55" t="n"/>
      <c r="W57" s="58" t="n"/>
      <c r="X57" s="58" t="n"/>
      <c r="Y57" s="55" t="n"/>
      <c r="Z57" s="55" t="n"/>
      <c r="AA57" s="55" t="n"/>
      <c r="AB57" s="55" t="n"/>
      <c r="AC57" s="55" t="n"/>
      <c r="AD57" s="53" t="n"/>
      <c r="AE57" s="55" t="n"/>
      <c r="AF57" s="55" t="n"/>
      <c r="AG57" s="59" t="n"/>
      <c r="AH57" s="57" t="n"/>
      <c r="AI57" s="55" t="n"/>
      <c r="AJ57" s="55" t="n"/>
      <c r="AK57" s="55" t="n"/>
      <c r="AL57" s="55" t="n"/>
      <c r="AM57" s="56" t="n"/>
      <c r="AN57" s="55" t="n"/>
      <c r="AO57" s="55" t="n"/>
      <c r="AP57" s="55" t="n"/>
      <c r="AQ57" s="55" t="n"/>
      <c r="AR57" s="60">
        <f>IF(AND(C57="",E57=""),"",IF(A57="","⚠ Date manquante",IF(AND(C57="",E57&lt;&gt;"Dépense"),"⚠ Prospect manquant",IF(E57="","⚠ Action manquante",IF(AND(AU57=1,D57=""),"⚠ Canal manquant",IF(AND(W57&lt;&gt;"",COUNTIFS('Saisie'!$W$5:$W$2004,W57,'Saisie'!$C$5:$C$2004,"&lt;&gt;"&amp;C57)&gt;0),"⚠ Numéro déjà utilisé par un autre prospect",IF(AND(J57&lt;&gt;"",J57&lt;A57),"⚠ Relance avant la date de l'action",IF(A57&gt;TODAY(),"⚠ Date dans le futur","✓"))))))))</f>
        <v/>
      </c>
      <c r="AS57" s="61">
        <f>IF(AND(A57="",C57="",E57=""),"",ROW())</f>
        <v/>
      </c>
      <c r="AT57" s="61">
        <f>IF(E57&amp;F57="","",MAX(IFERROR(INDEX('Paramètres'!$J$6:$J$33,MATCH(E57,'Paramètres'!$I$6:$I$33,0)),0),IFERROR(INDEX('Paramètres'!$N$6:$N$17,MATCH(F57,'Paramètres'!$M$6:$M$17,0)),0)))</f>
        <v/>
      </c>
      <c r="AU57" s="61">
        <f>IF(E57="","",IFERROR(IF(INDEX('Paramètres'!$K$6:$K$33,MATCH(E57,'Paramètres'!$I$6:$I$33,0))="Oui",1,0),0))</f>
        <v/>
      </c>
      <c r="AV57" s="61">
        <f>IF(F57="","",IFERROR(IF(INDEX('Paramètres'!$O$6:$O$17,MATCH(F57,'Paramètres'!$M$6:$M$17,0))="Oui",1,0),0))</f>
        <v/>
      </c>
      <c r="AW57" s="62">
        <f>IF(E57="","",IF(G57&lt;&gt;"",G57,IF(OR(E57="Proposition envoyée",E57="Signature"),MAX(0,N(IFERROR(INDEX('Paramètres'!$R$6:$R$15,MATCH(IF(AL57&lt;&gt;"",AL57,IFERROR(INDEX('Prospects'!$AN$5:$AN$504,MATCH(C57,'Prospects'!$C$5:$C$504,0)),"")),'Paramètres'!$Q$6:$Q$15,0)),0))-N(P57)),0)))</f>
        <v/>
      </c>
      <c r="AX57" s="61">
        <f>IF(C57="","",IF(COUNTIF($C$5:C57,C57)=1,MAX($AX$4:AX56)+1,""))</f>
        <v/>
      </c>
      <c r="AY57" s="61">
        <f>IF(B57="","",HOUR(B57))</f>
        <v/>
      </c>
      <c r="AZ57" s="61">
        <f>IF(A57="","",MOD(A57-2,7)+1)</f>
        <v/>
      </c>
      <c r="BA57" s="60">
        <f>IF(C57="","",IFERROR(INDEX('Prospects'!$N$5:$N$504,MATCH(C57,'Prospects'!$C$5:$C$504,0)),""))</f>
        <v/>
      </c>
      <c r="BB57" s="61">
        <f>IF(AND(C57&lt;&gt;"",C57='Fiche prospect'!$C$4),COUNTIF($C$5:C57,C57),"")</f>
        <v/>
      </c>
    </row>
    <row r="58">
      <c r="A58" s="53" t="n"/>
      <c r="B58" s="54" t="n"/>
      <c r="C58" s="55" t="n"/>
      <c r="D58" s="55" t="n"/>
      <c r="E58" s="55" t="n"/>
      <c r="F58" s="55" t="n"/>
      <c r="G58" s="56" t="n"/>
      <c r="H58" s="57" t="n"/>
      <c r="I58" s="55" t="n"/>
      <c r="J58" s="53" t="n"/>
      <c r="K58" s="54" t="n"/>
      <c r="L58" s="55" t="n"/>
      <c r="M58" s="55" t="n"/>
      <c r="N58" s="57" t="n"/>
      <c r="O58" s="55" t="n"/>
      <c r="P58" s="56" t="n"/>
      <c r="Q58" s="55" t="n"/>
      <c r="R58" s="55" t="n"/>
      <c r="S58" s="55" t="n"/>
      <c r="T58" s="55" t="n"/>
      <c r="U58" s="55" t="n"/>
      <c r="V58" s="55" t="n"/>
      <c r="W58" s="58" t="n"/>
      <c r="X58" s="58" t="n"/>
      <c r="Y58" s="55" t="n"/>
      <c r="Z58" s="55" t="n"/>
      <c r="AA58" s="55" t="n"/>
      <c r="AB58" s="55" t="n"/>
      <c r="AC58" s="55" t="n"/>
      <c r="AD58" s="53" t="n"/>
      <c r="AE58" s="55" t="n"/>
      <c r="AF58" s="55" t="n"/>
      <c r="AG58" s="59" t="n"/>
      <c r="AH58" s="57" t="n"/>
      <c r="AI58" s="55" t="n"/>
      <c r="AJ58" s="55" t="n"/>
      <c r="AK58" s="55" t="n"/>
      <c r="AL58" s="55" t="n"/>
      <c r="AM58" s="56" t="n"/>
      <c r="AN58" s="55" t="n"/>
      <c r="AO58" s="55" t="n"/>
      <c r="AP58" s="55" t="n"/>
      <c r="AQ58" s="55" t="n"/>
      <c r="AR58" s="60">
        <f>IF(AND(C58="",E58=""),"",IF(A58="","⚠ Date manquante",IF(AND(C58="",E58&lt;&gt;"Dépense"),"⚠ Prospect manquant",IF(E58="","⚠ Action manquante",IF(AND(AU58=1,D58=""),"⚠ Canal manquant",IF(AND(W58&lt;&gt;"",COUNTIFS('Saisie'!$W$5:$W$2004,W58,'Saisie'!$C$5:$C$2004,"&lt;&gt;"&amp;C58)&gt;0),"⚠ Numéro déjà utilisé par un autre prospect",IF(AND(J58&lt;&gt;"",J58&lt;A58),"⚠ Relance avant la date de l'action",IF(A58&gt;TODAY(),"⚠ Date dans le futur","✓"))))))))</f>
        <v/>
      </c>
      <c r="AS58" s="61">
        <f>IF(AND(A58="",C58="",E58=""),"",ROW())</f>
        <v/>
      </c>
      <c r="AT58" s="61">
        <f>IF(E58&amp;F58="","",MAX(IFERROR(INDEX('Paramètres'!$J$6:$J$33,MATCH(E58,'Paramètres'!$I$6:$I$33,0)),0),IFERROR(INDEX('Paramètres'!$N$6:$N$17,MATCH(F58,'Paramètres'!$M$6:$M$17,0)),0)))</f>
        <v/>
      </c>
      <c r="AU58" s="61">
        <f>IF(E58="","",IFERROR(IF(INDEX('Paramètres'!$K$6:$K$33,MATCH(E58,'Paramètres'!$I$6:$I$33,0))="Oui",1,0),0))</f>
        <v/>
      </c>
      <c r="AV58" s="61">
        <f>IF(F58="","",IFERROR(IF(INDEX('Paramètres'!$O$6:$O$17,MATCH(F58,'Paramètres'!$M$6:$M$17,0))="Oui",1,0),0))</f>
        <v/>
      </c>
      <c r="AW58" s="62">
        <f>IF(E58="","",IF(G58&lt;&gt;"",G58,IF(OR(E58="Proposition envoyée",E58="Signature"),MAX(0,N(IFERROR(INDEX('Paramètres'!$R$6:$R$15,MATCH(IF(AL58&lt;&gt;"",AL58,IFERROR(INDEX('Prospects'!$AN$5:$AN$504,MATCH(C58,'Prospects'!$C$5:$C$504,0)),"")),'Paramètres'!$Q$6:$Q$15,0)),0))-N(P58)),0)))</f>
        <v/>
      </c>
      <c r="AX58" s="61">
        <f>IF(C58="","",IF(COUNTIF($C$5:C58,C58)=1,MAX($AX$4:AX57)+1,""))</f>
        <v/>
      </c>
      <c r="AY58" s="61">
        <f>IF(B58="","",HOUR(B58))</f>
        <v/>
      </c>
      <c r="AZ58" s="61">
        <f>IF(A58="","",MOD(A58-2,7)+1)</f>
        <v/>
      </c>
      <c r="BA58" s="60">
        <f>IF(C58="","",IFERROR(INDEX('Prospects'!$N$5:$N$504,MATCH(C58,'Prospects'!$C$5:$C$504,0)),""))</f>
        <v/>
      </c>
      <c r="BB58" s="61">
        <f>IF(AND(C58&lt;&gt;"",C58='Fiche prospect'!$C$4),COUNTIF($C$5:C58,C58),"")</f>
        <v/>
      </c>
    </row>
    <row r="59">
      <c r="A59" s="53" t="n"/>
      <c r="B59" s="54" t="n"/>
      <c r="C59" s="55" t="n"/>
      <c r="D59" s="55" t="n"/>
      <c r="E59" s="55" t="n"/>
      <c r="F59" s="55" t="n"/>
      <c r="G59" s="56" t="n"/>
      <c r="H59" s="57" t="n"/>
      <c r="I59" s="55" t="n"/>
      <c r="J59" s="53" t="n"/>
      <c r="K59" s="54" t="n"/>
      <c r="L59" s="55" t="n"/>
      <c r="M59" s="55" t="n"/>
      <c r="N59" s="57" t="n"/>
      <c r="O59" s="55" t="n"/>
      <c r="P59" s="56" t="n"/>
      <c r="Q59" s="55" t="n"/>
      <c r="R59" s="55" t="n"/>
      <c r="S59" s="55" t="n"/>
      <c r="T59" s="55" t="n"/>
      <c r="U59" s="55" t="n"/>
      <c r="V59" s="55" t="n"/>
      <c r="W59" s="58" t="n"/>
      <c r="X59" s="58" t="n"/>
      <c r="Y59" s="55" t="n"/>
      <c r="Z59" s="55" t="n"/>
      <c r="AA59" s="55" t="n"/>
      <c r="AB59" s="55" t="n"/>
      <c r="AC59" s="55" t="n"/>
      <c r="AD59" s="53" t="n"/>
      <c r="AE59" s="55" t="n"/>
      <c r="AF59" s="55" t="n"/>
      <c r="AG59" s="59" t="n"/>
      <c r="AH59" s="57" t="n"/>
      <c r="AI59" s="55" t="n"/>
      <c r="AJ59" s="55" t="n"/>
      <c r="AK59" s="55" t="n"/>
      <c r="AL59" s="55" t="n"/>
      <c r="AM59" s="56" t="n"/>
      <c r="AN59" s="55" t="n"/>
      <c r="AO59" s="55" t="n"/>
      <c r="AP59" s="55" t="n"/>
      <c r="AQ59" s="55" t="n"/>
      <c r="AR59" s="60">
        <f>IF(AND(C59="",E59=""),"",IF(A59="","⚠ Date manquante",IF(AND(C59="",E59&lt;&gt;"Dépense"),"⚠ Prospect manquant",IF(E59="","⚠ Action manquante",IF(AND(AU59=1,D59=""),"⚠ Canal manquant",IF(AND(W59&lt;&gt;"",COUNTIFS('Saisie'!$W$5:$W$2004,W59,'Saisie'!$C$5:$C$2004,"&lt;&gt;"&amp;C59)&gt;0),"⚠ Numéro déjà utilisé par un autre prospect",IF(AND(J59&lt;&gt;"",J59&lt;A59),"⚠ Relance avant la date de l'action",IF(A59&gt;TODAY(),"⚠ Date dans le futur","✓"))))))))</f>
        <v/>
      </c>
      <c r="AS59" s="61">
        <f>IF(AND(A59="",C59="",E59=""),"",ROW())</f>
        <v/>
      </c>
      <c r="AT59" s="61">
        <f>IF(E59&amp;F59="","",MAX(IFERROR(INDEX('Paramètres'!$J$6:$J$33,MATCH(E59,'Paramètres'!$I$6:$I$33,0)),0),IFERROR(INDEX('Paramètres'!$N$6:$N$17,MATCH(F59,'Paramètres'!$M$6:$M$17,0)),0)))</f>
        <v/>
      </c>
      <c r="AU59" s="61">
        <f>IF(E59="","",IFERROR(IF(INDEX('Paramètres'!$K$6:$K$33,MATCH(E59,'Paramètres'!$I$6:$I$33,0))="Oui",1,0),0))</f>
        <v/>
      </c>
      <c r="AV59" s="61">
        <f>IF(F59="","",IFERROR(IF(INDEX('Paramètres'!$O$6:$O$17,MATCH(F59,'Paramètres'!$M$6:$M$17,0))="Oui",1,0),0))</f>
        <v/>
      </c>
      <c r="AW59" s="62">
        <f>IF(E59="","",IF(G59&lt;&gt;"",G59,IF(OR(E59="Proposition envoyée",E59="Signature"),MAX(0,N(IFERROR(INDEX('Paramètres'!$R$6:$R$15,MATCH(IF(AL59&lt;&gt;"",AL59,IFERROR(INDEX('Prospects'!$AN$5:$AN$504,MATCH(C59,'Prospects'!$C$5:$C$504,0)),"")),'Paramètres'!$Q$6:$Q$15,0)),0))-N(P59)),0)))</f>
        <v/>
      </c>
      <c r="AX59" s="61">
        <f>IF(C59="","",IF(COUNTIF($C$5:C59,C59)=1,MAX($AX$4:AX58)+1,""))</f>
        <v/>
      </c>
      <c r="AY59" s="61">
        <f>IF(B59="","",HOUR(B59))</f>
        <v/>
      </c>
      <c r="AZ59" s="61">
        <f>IF(A59="","",MOD(A59-2,7)+1)</f>
        <v/>
      </c>
      <c r="BA59" s="60">
        <f>IF(C59="","",IFERROR(INDEX('Prospects'!$N$5:$N$504,MATCH(C59,'Prospects'!$C$5:$C$504,0)),""))</f>
        <v/>
      </c>
      <c r="BB59" s="61">
        <f>IF(AND(C59&lt;&gt;"",C59='Fiche prospect'!$C$4),COUNTIF($C$5:C59,C59),"")</f>
        <v/>
      </c>
    </row>
    <row r="60">
      <c r="A60" s="53" t="n"/>
      <c r="B60" s="54" t="n"/>
      <c r="C60" s="55" t="n"/>
      <c r="D60" s="55" t="n"/>
      <c r="E60" s="55" t="n"/>
      <c r="F60" s="55" t="n"/>
      <c r="G60" s="56" t="n"/>
      <c r="H60" s="57" t="n"/>
      <c r="I60" s="55" t="n"/>
      <c r="J60" s="53" t="n"/>
      <c r="K60" s="54" t="n"/>
      <c r="L60" s="55" t="n"/>
      <c r="M60" s="55" t="n"/>
      <c r="N60" s="57" t="n"/>
      <c r="O60" s="55" t="n"/>
      <c r="P60" s="56" t="n"/>
      <c r="Q60" s="55" t="n"/>
      <c r="R60" s="55" t="n"/>
      <c r="S60" s="55" t="n"/>
      <c r="T60" s="55" t="n"/>
      <c r="U60" s="55" t="n"/>
      <c r="V60" s="55" t="n"/>
      <c r="W60" s="58" t="n"/>
      <c r="X60" s="58" t="n"/>
      <c r="Y60" s="55" t="n"/>
      <c r="Z60" s="55" t="n"/>
      <c r="AA60" s="55" t="n"/>
      <c r="AB60" s="55" t="n"/>
      <c r="AC60" s="55" t="n"/>
      <c r="AD60" s="53" t="n"/>
      <c r="AE60" s="55" t="n"/>
      <c r="AF60" s="55" t="n"/>
      <c r="AG60" s="59" t="n"/>
      <c r="AH60" s="57" t="n"/>
      <c r="AI60" s="55" t="n"/>
      <c r="AJ60" s="55" t="n"/>
      <c r="AK60" s="55" t="n"/>
      <c r="AL60" s="55" t="n"/>
      <c r="AM60" s="56" t="n"/>
      <c r="AN60" s="55" t="n"/>
      <c r="AO60" s="55" t="n"/>
      <c r="AP60" s="55" t="n"/>
      <c r="AQ60" s="55" t="n"/>
      <c r="AR60" s="60">
        <f>IF(AND(C60="",E60=""),"",IF(A60="","⚠ Date manquante",IF(AND(C60="",E60&lt;&gt;"Dépense"),"⚠ Prospect manquant",IF(E60="","⚠ Action manquante",IF(AND(AU60=1,D60=""),"⚠ Canal manquant",IF(AND(W60&lt;&gt;"",COUNTIFS('Saisie'!$W$5:$W$2004,W60,'Saisie'!$C$5:$C$2004,"&lt;&gt;"&amp;C60)&gt;0),"⚠ Numéro déjà utilisé par un autre prospect",IF(AND(J60&lt;&gt;"",J60&lt;A60),"⚠ Relance avant la date de l'action",IF(A60&gt;TODAY(),"⚠ Date dans le futur","✓"))))))))</f>
        <v/>
      </c>
      <c r="AS60" s="61">
        <f>IF(AND(A60="",C60="",E60=""),"",ROW())</f>
        <v/>
      </c>
      <c r="AT60" s="61">
        <f>IF(E60&amp;F60="","",MAX(IFERROR(INDEX('Paramètres'!$J$6:$J$33,MATCH(E60,'Paramètres'!$I$6:$I$33,0)),0),IFERROR(INDEX('Paramètres'!$N$6:$N$17,MATCH(F60,'Paramètres'!$M$6:$M$17,0)),0)))</f>
        <v/>
      </c>
      <c r="AU60" s="61">
        <f>IF(E60="","",IFERROR(IF(INDEX('Paramètres'!$K$6:$K$33,MATCH(E60,'Paramètres'!$I$6:$I$33,0))="Oui",1,0),0))</f>
        <v/>
      </c>
      <c r="AV60" s="61">
        <f>IF(F60="","",IFERROR(IF(INDEX('Paramètres'!$O$6:$O$17,MATCH(F60,'Paramètres'!$M$6:$M$17,0))="Oui",1,0),0))</f>
        <v/>
      </c>
      <c r="AW60" s="62">
        <f>IF(E60="","",IF(G60&lt;&gt;"",G60,IF(OR(E60="Proposition envoyée",E60="Signature"),MAX(0,N(IFERROR(INDEX('Paramètres'!$R$6:$R$15,MATCH(IF(AL60&lt;&gt;"",AL60,IFERROR(INDEX('Prospects'!$AN$5:$AN$504,MATCH(C60,'Prospects'!$C$5:$C$504,0)),"")),'Paramètres'!$Q$6:$Q$15,0)),0))-N(P60)),0)))</f>
        <v/>
      </c>
      <c r="AX60" s="61">
        <f>IF(C60="","",IF(COUNTIF($C$5:C60,C60)=1,MAX($AX$4:AX59)+1,""))</f>
        <v/>
      </c>
      <c r="AY60" s="61">
        <f>IF(B60="","",HOUR(B60))</f>
        <v/>
      </c>
      <c r="AZ60" s="61">
        <f>IF(A60="","",MOD(A60-2,7)+1)</f>
        <v/>
      </c>
      <c r="BA60" s="60">
        <f>IF(C60="","",IFERROR(INDEX('Prospects'!$N$5:$N$504,MATCH(C60,'Prospects'!$C$5:$C$504,0)),""))</f>
        <v/>
      </c>
      <c r="BB60" s="61">
        <f>IF(AND(C60&lt;&gt;"",C60='Fiche prospect'!$C$4),COUNTIF($C$5:C60,C60),"")</f>
        <v/>
      </c>
    </row>
    <row r="61">
      <c r="A61" s="53" t="n"/>
      <c r="B61" s="54" t="n"/>
      <c r="C61" s="55" t="n"/>
      <c r="D61" s="55" t="n"/>
      <c r="E61" s="55" t="n"/>
      <c r="F61" s="55" t="n"/>
      <c r="G61" s="56" t="n"/>
      <c r="H61" s="57" t="n"/>
      <c r="I61" s="55" t="n"/>
      <c r="J61" s="53" t="n"/>
      <c r="K61" s="54" t="n"/>
      <c r="L61" s="55" t="n"/>
      <c r="M61" s="55" t="n"/>
      <c r="N61" s="57" t="n"/>
      <c r="O61" s="55" t="n"/>
      <c r="P61" s="56" t="n"/>
      <c r="Q61" s="55" t="n"/>
      <c r="R61" s="55" t="n"/>
      <c r="S61" s="55" t="n"/>
      <c r="T61" s="55" t="n"/>
      <c r="U61" s="55" t="n"/>
      <c r="V61" s="55" t="n"/>
      <c r="W61" s="58" t="n"/>
      <c r="X61" s="58" t="n"/>
      <c r="Y61" s="55" t="n"/>
      <c r="Z61" s="55" t="n"/>
      <c r="AA61" s="55" t="n"/>
      <c r="AB61" s="55" t="n"/>
      <c r="AC61" s="55" t="n"/>
      <c r="AD61" s="53" t="n"/>
      <c r="AE61" s="55" t="n"/>
      <c r="AF61" s="55" t="n"/>
      <c r="AG61" s="59" t="n"/>
      <c r="AH61" s="57" t="n"/>
      <c r="AI61" s="55" t="n"/>
      <c r="AJ61" s="55" t="n"/>
      <c r="AK61" s="55" t="n"/>
      <c r="AL61" s="55" t="n"/>
      <c r="AM61" s="56" t="n"/>
      <c r="AN61" s="55" t="n"/>
      <c r="AO61" s="55" t="n"/>
      <c r="AP61" s="55" t="n"/>
      <c r="AQ61" s="55" t="n"/>
      <c r="AR61" s="60">
        <f>IF(AND(C61="",E61=""),"",IF(A61="","⚠ Date manquante",IF(AND(C61="",E61&lt;&gt;"Dépense"),"⚠ Prospect manquant",IF(E61="","⚠ Action manquante",IF(AND(AU61=1,D61=""),"⚠ Canal manquant",IF(AND(W61&lt;&gt;"",COUNTIFS('Saisie'!$W$5:$W$2004,W61,'Saisie'!$C$5:$C$2004,"&lt;&gt;"&amp;C61)&gt;0),"⚠ Numéro déjà utilisé par un autre prospect",IF(AND(J61&lt;&gt;"",J61&lt;A61),"⚠ Relance avant la date de l'action",IF(A61&gt;TODAY(),"⚠ Date dans le futur","✓"))))))))</f>
        <v/>
      </c>
      <c r="AS61" s="61">
        <f>IF(AND(A61="",C61="",E61=""),"",ROW())</f>
        <v/>
      </c>
      <c r="AT61" s="61">
        <f>IF(E61&amp;F61="","",MAX(IFERROR(INDEX('Paramètres'!$J$6:$J$33,MATCH(E61,'Paramètres'!$I$6:$I$33,0)),0),IFERROR(INDEX('Paramètres'!$N$6:$N$17,MATCH(F61,'Paramètres'!$M$6:$M$17,0)),0)))</f>
        <v/>
      </c>
      <c r="AU61" s="61">
        <f>IF(E61="","",IFERROR(IF(INDEX('Paramètres'!$K$6:$K$33,MATCH(E61,'Paramètres'!$I$6:$I$33,0))="Oui",1,0),0))</f>
        <v/>
      </c>
      <c r="AV61" s="61">
        <f>IF(F61="","",IFERROR(IF(INDEX('Paramètres'!$O$6:$O$17,MATCH(F61,'Paramètres'!$M$6:$M$17,0))="Oui",1,0),0))</f>
        <v/>
      </c>
      <c r="AW61" s="62">
        <f>IF(E61="","",IF(G61&lt;&gt;"",G61,IF(OR(E61="Proposition envoyée",E61="Signature"),MAX(0,N(IFERROR(INDEX('Paramètres'!$R$6:$R$15,MATCH(IF(AL61&lt;&gt;"",AL61,IFERROR(INDEX('Prospects'!$AN$5:$AN$504,MATCH(C61,'Prospects'!$C$5:$C$504,0)),"")),'Paramètres'!$Q$6:$Q$15,0)),0))-N(P61)),0)))</f>
        <v/>
      </c>
      <c r="AX61" s="61">
        <f>IF(C61="","",IF(COUNTIF($C$5:C61,C61)=1,MAX($AX$4:AX60)+1,""))</f>
        <v/>
      </c>
      <c r="AY61" s="61">
        <f>IF(B61="","",HOUR(B61))</f>
        <v/>
      </c>
      <c r="AZ61" s="61">
        <f>IF(A61="","",MOD(A61-2,7)+1)</f>
        <v/>
      </c>
      <c r="BA61" s="60">
        <f>IF(C61="","",IFERROR(INDEX('Prospects'!$N$5:$N$504,MATCH(C61,'Prospects'!$C$5:$C$504,0)),""))</f>
        <v/>
      </c>
      <c r="BB61" s="61">
        <f>IF(AND(C61&lt;&gt;"",C61='Fiche prospect'!$C$4),COUNTIF($C$5:C61,C61),"")</f>
        <v/>
      </c>
    </row>
    <row r="62">
      <c r="A62" s="53" t="n"/>
      <c r="B62" s="54" t="n"/>
      <c r="C62" s="55" t="n"/>
      <c r="D62" s="55" t="n"/>
      <c r="E62" s="55" t="n"/>
      <c r="F62" s="55" t="n"/>
      <c r="G62" s="56" t="n"/>
      <c r="H62" s="57" t="n"/>
      <c r="I62" s="55" t="n"/>
      <c r="J62" s="53" t="n"/>
      <c r="K62" s="54" t="n"/>
      <c r="L62" s="55" t="n"/>
      <c r="M62" s="55" t="n"/>
      <c r="N62" s="57" t="n"/>
      <c r="O62" s="55" t="n"/>
      <c r="P62" s="56" t="n"/>
      <c r="Q62" s="55" t="n"/>
      <c r="R62" s="55" t="n"/>
      <c r="S62" s="55" t="n"/>
      <c r="T62" s="55" t="n"/>
      <c r="U62" s="55" t="n"/>
      <c r="V62" s="55" t="n"/>
      <c r="W62" s="58" t="n"/>
      <c r="X62" s="58" t="n"/>
      <c r="Y62" s="55" t="n"/>
      <c r="Z62" s="55" t="n"/>
      <c r="AA62" s="55" t="n"/>
      <c r="AB62" s="55" t="n"/>
      <c r="AC62" s="55" t="n"/>
      <c r="AD62" s="53" t="n"/>
      <c r="AE62" s="55" t="n"/>
      <c r="AF62" s="55" t="n"/>
      <c r="AG62" s="59" t="n"/>
      <c r="AH62" s="57" t="n"/>
      <c r="AI62" s="55" t="n"/>
      <c r="AJ62" s="55" t="n"/>
      <c r="AK62" s="55" t="n"/>
      <c r="AL62" s="55" t="n"/>
      <c r="AM62" s="56" t="n"/>
      <c r="AN62" s="55" t="n"/>
      <c r="AO62" s="55" t="n"/>
      <c r="AP62" s="55" t="n"/>
      <c r="AQ62" s="55" t="n"/>
      <c r="AR62" s="60">
        <f>IF(AND(C62="",E62=""),"",IF(A62="","⚠ Date manquante",IF(AND(C62="",E62&lt;&gt;"Dépense"),"⚠ Prospect manquant",IF(E62="","⚠ Action manquante",IF(AND(AU62=1,D62=""),"⚠ Canal manquant",IF(AND(W62&lt;&gt;"",COUNTIFS('Saisie'!$W$5:$W$2004,W62,'Saisie'!$C$5:$C$2004,"&lt;&gt;"&amp;C62)&gt;0),"⚠ Numéro déjà utilisé par un autre prospect",IF(AND(J62&lt;&gt;"",J62&lt;A62),"⚠ Relance avant la date de l'action",IF(A62&gt;TODAY(),"⚠ Date dans le futur","✓"))))))))</f>
        <v/>
      </c>
      <c r="AS62" s="61">
        <f>IF(AND(A62="",C62="",E62=""),"",ROW())</f>
        <v/>
      </c>
      <c r="AT62" s="61">
        <f>IF(E62&amp;F62="","",MAX(IFERROR(INDEX('Paramètres'!$J$6:$J$33,MATCH(E62,'Paramètres'!$I$6:$I$33,0)),0),IFERROR(INDEX('Paramètres'!$N$6:$N$17,MATCH(F62,'Paramètres'!$M$6:$M$17,0)),0)))</f>
        <v/>
      </c>
      <c r="AU62" s="61">
        <f>IF(E62="","",IFERROR(IF(INDEX('Paramètres'!$K$6:$K$33,MATCH(E62,'Paramètres'!$I$6:$I$33,0))="Oui",1,0),0))</f>
        <v/>
      </c>
      <c r="AV62" s="61">
        <f>IF(F62="","",IFERROR(IF(INDEX('Paramètres'!$O$6:$O$17,MATCH(F62,'Paramètres'!$M$6:$M$17,0))="Oui",1,0),0))</f>
        <v/>
      </c>
      <c r="AW62" s="62">
        <f>IF(E62="","",IF(G62&lt;&gt;"",G62,IF(OR(E62="Proposition envoyée",E62="Signature"),MAX(0,N(IFERROR(INDEX('Paramètres'!$R$6:$R$15,MATCH(IF(AL62&lt;&gt;"",AL62,IFERROR(INDEX('Prospects'!$AN$5:$AN$504,MATCH(C62,'Prospects'!$C$5:$C$504,0)),"")),'Paramètres'!$Q$6:$Q$15,0)),0))-N(P62)),0)))</f>
        <v/>
      </c>
      <c r="AX62" s="61">
        <f>IF(C62="","",IF(COUNTIF($C$5:C62,C62)=1,MAX($AX$4:AX61)+1,""))</f>
        <v/>
      </c>
      <c r="AY62" s="61">
        <f>IF(B62="","",HOUR(B62))</f>
        <v/>
      </c>
      <c r="AZ62" s="61">
        <f>IF(A62="","",MOD(A62-2,7)+1)</f>
        <v/>
      </c>
      <c r="BA62" s="60">
        <f>IF(C62="","",IFERROR(INDEX('Prospects'!$N$5:$N$504,MATCH(C62,'Prospects'!$C$5:$C$504,0)),""))</f>
        <v/>
      </c>
      <c r="BB62" s="61">
        <f>IF(AND(C62&lt;&gt;"",C62='Fiche prospect'!$C$4),COUNTIF($C$5:C62,C62),"")</f>
        <v/>
      </c>
    </row>
    <row r="63">
      <c r="A63" s="53" t="n"/>
      <c r="B63" s="54" t="n"/>
      <c r="C63" s="55" t="n"/>
      <c r="D63" s="55" t="n"/>
      <c r="E63" s="55" t="n"/>
      <c r="F63" s="55" t="n"/>
      <c r="G63" s="56" t="n"/>
      <c r="H63" s="57" t="n"/>
      <c r="I63" s="55" t="n"/>
      <c r="J63" s="53" t="n"/>
      <c r="K63" s="54" t="n"/>
      <c r="L63" s="55" t="n"/>
      <c r="M63" s="55" t="n"/>
      <c r="N63" s="57" t="n"/>
      <c r="O63" s="55" t="n"/>
      <c r="P63" s="56" t="n"/>
      <c r="Q63" s="55" t="n"/>
      <c r="R63" s="55" t="n"/>
      <c r="S63" s="55" t="n"/>
      <c r="T63" s="55" t="n"/>
      <c r="U63" s="55" t="n"/>
      <c r="V63" s="55" t="n"/>
      <c r="W63" s="58" t="n"/>
      <c r="X63" s="58" t="n"/>
      <c r="Y63" s="55" t="n"/>
      <c r="Z63" s="55" t="n"/>
      <c r="AA63" s="55" t="n"/>
      <c r="AB63" s="55" t="n"/>
      <c r="AC63" s="55" t="n"/>
      <c r="AD63" s="53" t="n"/>
      <c r="AE63" s="55" t="n"/>
      <c r="AF63" s="55" t="n"/>
      <c r="AG63" s="59" t="n"/>
      <c r="AH63" s="57" t="n"/>
      <c r="AI63" s="55" t="n"/>
      <c r="AJ63" s="55" t="n"/>
      <c r="AK63" s="55" t="n"/>
      <c r="AL63" s="55" t="n"/>
      <c r="AM63" s="56" t="n"/>
      <c r="AN63" s="55" t="n"/>
      <c r="AO63" s="55" t="n"/>
      <c r="AP63" s="55" t="n"/>
      <c r="AQ63" s="55" t="n"/>
      <c r="AR63" s="60">
        <f>IF(AND(C63="",E63=""),"",IF(A63="","⚠ Date manquante",IF(AND(C63="",E63&lt;&gt;"Dépense"),"⚠ Prospect manquant",IF(E63="","⚠ Action manquante",IF(AND(AU63=1,D63=""),"⚠ Canal manquant",IF(AND(W63&lt;&gt;"",COUNTIFS('Saisie'!$W$5:$W$2004,W63,'Saisie'!$C$5:$C$2004,"&lt;&gt;"&amp;C63)&gt;0),"⚠ Numéro déjà utilisé par un autre prospect",IF(AND(J63&lt;&gt;"",J63&lt;A63),"⚠ Relance avant la date de l'action",IF(A63&gt;TODAY(),"⚠ Date dans le futur","✓"))))))))</f>
        <v/>
      </c>
      <c r="AS63" s="61">
        <f>IF(AND(A63="",C63="",E63=""),"",ROW())</f>
        <v/>
      </c>
      <c r="AT63" s="61">
        <f>IF(E63&amp;F63="","",MAX(IFERROR(INDEX('Paramètres'!$J$6:$J$33,MATCH(E63,'Paramètres'!$I$6:$I$33,0)),0),IFERROR(INDEX('Paramètres'!$N$6:$N$17,MATCH(F63,'Paramètres'!$M$6:$M$17,0)),0)))</f>
        <v/>
      </c>
      <c r="AU63" s="61">
        <f>IF(E63="","",IFERROR(IF(INDEX('Paramètres'!$K$6:$K$33,MATCH(E63,'Paramètres'!$I$6:$I$33,0))="Oui",1,0),0))</f>
        <v/>
      </c>
      <c r="AV63" s="61">
        <f>IF(F63="","",IFERROR(IF(INDEX('Paramètres'!$O$6:$O$17,MATCH(F63,'Paramètres'!$M$6:$M$17,0))="Oui",1,0),0))</f>
        <v/>
      </c>
      <c r="AW63" s="62">
        <f>IF(E63="","",IF(G63&lt;&gt;"",G63,IF(OR(E63="Proposition envoyée",E63="Signature"),MAX(0,N(IFERROR(INDEX('Paramètres'!$R$6:$R$15,MATCH(IF(AL63&lt;&gt;"",AL63,IFERROR(INDEX('Prospects'!$AN$5:$AN$504,MATCH(C63,'Prospects'!$C$5:$C$504,0)),"")),'Paramètres'!$Q$6:$Q$15,0)),0))-N(P63)),0)))</f>
        <v/>
      </c>
      <c r="AX63" s="61">
        <f>IF(C63="","",IF(COUNTIF($C$5:C63,C63)=1,MAX($AX$4:AX62)+1,""))</f>
        <v/>
      </c>
      <c r="AY63" s="61">
        <f>IF(B63="","",HOUR(B63))</f>
        <v/>
      </c>
      <c r="AZ63" s="61">
        <f>IF(A63="","",MOD(A63-2,7)+1)</f>
        <v/>
      </c>
      <c r="BA63" s="60">
        <f>IF(C63="","",IFERROR(INDEX('Prospects'!$N$5:$N$504,MATCH(C63,'Prospects'!$C$5:$C$504,0)),""))</f>
        <v/>
      </c>
      <c r="BB63" s="61">
        <f>IF(AND(C63&lt;&gt;"",C63='Fiche prospect'!$C$4),COUNTIF($C$5:C63,C63),"")</f>
        <v/>
      </c>
    </row>
    <row r="64">
      <c r="A64" s="53" t="n"/>
      <c r="B64" s="54" t="n"/>
      <c r="C64" s="55" t="n"/>
      <c r="D64" s="55" t="n"/>
      <c r="E64" s="55" t="n"/>
      <c r="F64" s="55" t="n"/>
      <c r="G64" s="56" t="n"/>
      <c r="H64" s="57" t="n"/>
      <c r="I64" s="55" t="n"/>
      <c r="J64" s="53" t="n"/>
      <c r="K64" s="54" t="n"/>
      <c r="L64" s="55" t="n"/>
      <c r="M64" s="55" t="n"/>
      <c r="N64" s="57" t="n"/>
      <c r="O64" s="55" t="n"/>
      <c r="P64" s="56" t="n"/>
      <c r="Q64" s="55" t="n"/>
      <c r="R64" s="55" t="n"/>
      <c r="S64" s="55" t="n"/>
      <c r="T64" s="55" t="n"/>
      <c r="U64" s="55" t="n"/>
      <c r="V64" s="55" t="n"/>
      <c r="W64" s="58" t="n"/>
      <c r="X64" s="58" t="n"/>
      <c r="Y64" s="55" t="n"/>
      <c r="Z64" s="55" t="n"/>
      <c r="AA64" s="55" t="n"/>
      <c r="AB64" s="55" t="n"/>
      <c r="AC64" s="55" t="n"/>
      <c r="AD64" s="53" t="n"/>
      <c r="AE64" s="55" t="n"/>
      <c r="AF64" s="55" t="n"/>
      <c r="AG64" s="59" t="n"/>
      <c r="AH64" s="57" t="n"/>
      <c r="AI64" s="55" t="n"/>
      <c r="AJ64" s="55" t="n"/>
      <c r="AK64" s="55" t="n"/>
      <c r="AL64" s="55" t="n"/>
      <c r="AM64" s="56" t="n"/>
      <c r="AN64" s="55" t="n"/>
      <c r="AO64" s="55" t="n"/>
      <c r="AP64" s="55" t="n"/>
      <c r="AQ64" s="55" t="n"/>
      <c r="AR64" s="60">
        <f>IF(AND(C64="",E64=""),"",IF(A64="","⚠ Date manquante",IF(AND(C64="",E64&lt;&gt;"Dépense"),"⚠ Prospect manquant",IF(E64="","⚠ Action manquante",IF(AND(AU64=1,D64=""),"⚠ Canal manquant",IF(AND(W64&lt;&gt;"",COUNTIFS('Saisie'!$W$5:$W$2004,W64,'Saisie'!$C$5:$C$2004,"&lt;&gt;"&amp;C64)&gt;0),"⚠ Numéro déjà utilisé par un autre prospect",IF(AND(J64&lt;&gt;"",J64&lt;A64),"⚠ Relance avant la date de l'action",IF(A64&gt;TODAY(),"⚠ Date dans le futur","✓"))))))))</f>
        <v/>
      </c>
      <c r="AS64" s="61">
        <f>IF(AND(A64="",C64="",E64=""),"",ROW())</f>
        <v/>
      </c>
      <c r="AT64" s="61">
        <f>IF(E64&amp;F64="","",MAX(IFERROR(INDEX('Paramètres'!$J$6:$J$33,MATCH(E64,'Paramètres'!$I$6:$I$33,0)),0),IFERROR(INDEX('Paramètres'!$N$6:$N$17,MATCH(F64,'Paramètres'!$M$6:$M$17,0)),0)))</f>
        <v/>
      </c>
      <c r="AU64" s="61">
        <f>IF(E64="","",IFERROR(IF(INDEX('Paramètres'!$K$6:$K$33,MATCH(E64,'Paramètres'!$I$6:$I$33,0))="Oui",1,0),0))</f>
        <v/>
      </c>
      <c r="AV64" s="61">
        <f>IF(F64="","",IFERROR(IF(INDEX('Paramètres'!$O$6:$O$17,MATCH(F64,'Paramètres'!$M$6:$M$17,0))="Oui",1,0),0))</f>
        <v/>
      </c>
      <c r="AW64" s="62">
        <f>IF(E64="","",IF(G64&lt;&gt;"",G64,IF(OR(E64="Proposition envoyée",E64="Signature"),MAX(0,N(IFERROR(INDEX('Paramètres'!$R$6:$R$15,MATCH(IF(AL64&lt;&gt;"",AL64,IFERROR(INDEX('Prospects'!$AN$5:$AN$504,MATCH(C64,'Prospects'!$C$5:$C$504,0)),"")),'Paramètres'!$Q$6:$Q$15,0)),0))-N(P64)),0)))</f>
        <v/>
      </c>
      <c r="AX64" s="61">
        <f>IF(C64="","",IF(COUNTIF($C$5:C64,C64)=1,MAX($AX$4:AX63)+1,""))</f>
        <v/>
      </c>
      <c r="AY64" s="61">
        <f>IF(B64="","",HOUR(B64))</f>
        <v/>
      </c>
      <c r="AZ64" s="61">
        <f>IF(A64="","",MOD(A64-2,7)+1)</f>
        <v/>
      </c>
      <c r="BA64" s="60">
        <f>IF(C64="","",IFERROR(INDEX('Prospects'!$N$5:$N$504,MATCH(C64,'Prospects'!$C$5:$C$504,0)),""))</f>
        <v/>
      </c>
      <c r="BB64" s="61">
        <f>IF(AND(C64&lt;&gt;"",C64='Fiche prospect'!$C$4),COUNTIF($C$5:C64,C64),"")</f>
        <v/>
      </c>
    </row>
    <row r="65">
      <c r="A65" s="53" t="n"/>
      <c r="B65" s="54" t="n"/>
      <c r="C65" s="55" t="n"/>
      <c r="D65" s="55" t="n"/>
      <c r="E65" s="55" t="n"/>
      <c r="F65" s="55" t="n"/>
      <c r="G65" s="56" t="n"/>
      <c r="H65" s="57" t="n"/>
      <c r="I65" s="55" t="n"/>
      <c r="J65" s="53" t="n"/>
      <c r="K65" s="54" t="n"/>
      <c r="L65" s="55" t="n"/>
      <c r="M65" s="55" t="n"/>
      <c r="N65" s="57" t="n"/>
      <c r="O65" s="55" t="n"/>
      <c r="P65" s="56" t="n"/>
      <c r="Q65" s="55" t="n"/>
      <c r="R65" s="55" t="n"/>
      <c r="S65" s="55" t="n"/>
      <c r="T65" s="55" t="n"/>
      <c r="U65" s="55" t="n"/>
      <c r="V65" s="55" t="n"/>
      <c r="W65" s="58" t="n"/>
      <c r="X65" s="58" t="n"/>
      <c r="Y65" s="55" t="n"/>
      <c r="Z65" s="55" t="n"/>
      <c r="AA65" s="55" t="n"/>
      <c r="AB65" s="55" t="n"/>
      <c r="AC65" s="55" t="n"/>
      <c r="AD65" s="53" t="n"/>
      <c r="AE65" s="55" t="n"/>
      <c r="AF65" s="55" t="n"/>
      <c r="AG65" s="59" t="n"/>
      <c r="AH65" s="57" t="n"/>
      <c r="AI65" s="55" t="n"/>
      <c r="AJ65" s="55" t="n"/>
      <c r="AK65" s="55" t="n"/>
      <c r="AL65" s="55" t="n"/>
      <c r="AM65" s="56" t="n"/>
      <c r="AN65" s="55" t="n"/>
      <c r="AO65" s="55" t="n"/>
      <c r="AP65" s="55" t="n"/>
      <c r="AQ65" s="55" t="n"/>
      <c r="AR65" s="60">
        <f>IF(AND(C65="",E65=""),"",IF(A65="","⚠ Date manquante",IF(AND(C65="",E65&lt;&gt;"Dépense"),"⚠ Prospect manquant",IF(E65="","⚠ Action manquante",IF(AND(AU65=1,D65=""),"⚠ Canal manquant",IF(AND(W65&lt;&gt;"",COUNTIFS('Saisie'!$W$5:$W$2004,W65,'Saisie'!$C$5:$C$2004,"&lt;&gt;"&amp;C65)&gt;0),"⚠ Numéro déjà utilisé par un autre prospect",IF(AND(J65&lt;&gt;"",J65&lt;A65),"⚠ Relance avant la date de l'action",IF(A65&gt;TODAY(),"⚠ Date dans le futur","✓"))))))))</f>
        <v/>
      </c>
      <c r="AS65" s="61">
        <f>IF(AND(A65="",C65="",E65=""),"",ROW())</f>
        <v/>
      </c>
      <c r="AT65" s="61">
        <f>IF(E65&amp;F65="","",MAX(IFERROR(INDEX('Paramètres'!$J$6:$J$33,MATCH(E65,'Paramètres'!$I$6:$I$33,0)),0),IFERROR(INDEX('Paramètres'!$N$6:$N$17,MATCH(F65,'Paramètres'!$M$6:$M$17,0)),0)))</f>
        <v/>
      </c>
      <c r="AU65" s="61">
        <f>IF(E65="","",IFERROR(IF(INDEX('Paramètres'!$K$6:$K$33,MATCH(E65,'Paramètres'!$I$6:$I$33,0))="Oui",1,0),0))</f>
        <v/>
      </c>
      <c r="AV65" s="61">
        <f>IF(F65="","",IFERROR(IF(INDEX('Paramètres'!$O$6:$O$17,MATCH(F65,'Paramètres'!$M$6:$M$17,0))="Oui",1,0),0))</f>
        <v/>
      </c>
      <c r="AW65" s="62">
        <f>IF(E65="","",IF(G65&lt;&gt;"",G65,IF(OR(E65="Proposition envoyée",E65="Signature"),MAX(0,N(IFERROR(INDEX('Paramètres'!$R$6:$R$15,MATCH(IF(AL65&lt;&gt;"",AL65,IFERROR(INDEX('Prospects'!$AN$5:$AN$504,MATCH(C65,'Prospects'!$C$5:$C$504,0)),"")),'Paramètres'!$Q$6:$Q$15,0)),0))-N(P65)),0)))</f>
        <v/>
      </c>
      <c r="AX65" s="61">
        <f>IF(C65="","",IF(COUNTIF($C$5:C65,C65)=1,MAX($AX$4:AX64)+1,""))</f>
        <v/>
      </c>
      <c r="AY65" s="61">
        <f>IF(B65="","",HOUR(B65))</f>
        <v/>
      </c>
      <c r="AZ65" s="61">
        <f>IF(A65="","",MOD(A65-2,7)+1)</f>
        <v/>
      </c>
      <c r="BA65" s="60">
        <f>IF(C65="","",IFERROR(INDEX('Prospects'!$N$5:$N$504,MATCH(C65,'Prospects'!$C$5:$C$504,0)),""))</f>
        <v/>
      </c>
      <c r="BB65" s="61">
        <f>IF(AND(C65&lt;&gt;"",C65='Fiche prospect'!$C$4),COUNTIF($C$5:C65,C65),"")</f>
        <v/>
      </c>
    </row>
    <row r="66">
      <c r="A66" s="53" t="n"/>
      <c r="B66" s="54" t="n"/>
      <c r="C66" s="55" t="n"/>
      <c r="D66" s="55" t="n"/>
      <c r="E66" s="55" t="n"/>
      <c r="F66" s="55" t="n"/>
      <c r="G66" s="56" t="n"/>
      <c r="H66" s="57" t="n"/>
      <c r="I66" s="55" t="n"/>
      <c r="J66" s="53" t="n"/>
      <c r="K66" s="54" t="n"/>
      <c r="L66" s="55" t="n"/>
      <c r="M66" s="55" t="n"/>
      <c r="N66" s="57" t="n"/>
      <c r="O66" s="55" t="n"/>
      <c r="P66" s="56" t="n"/>
      <c r="Q66" s="55" t="n"/>
      <c r="R66" s="55" t="n"/>
      <c r="S66" s="55" t="n"/>
      <c r="T66" s="55" t="n"/>
      <c r="U66" s="55" t="n"/>
      <c r="V66" s="55" t="n"/>
      <c r="W66" s="58" t="n"/>
      <c r="X66" s="58" t="n"/>
      <c r="Y66" s="55" t="n"/>
      <c r="Z66" s="55" t="n"/>
      <c r="AA66" s="55" t="n"/>
      <c r="AB66" s="55" t="n"/>
      <c r="AC66" s="55" t="n"/>
      <c r="AD66" s="53" t="n"/>
      <c r="AE66" s="55" t="n"/>
      <c r="AF66" s="55" t="n"/>
      <c r="AG66" s="59" t="n"/>
      <c r="AH66" s="57" t="n"/>
      <c r="AI66" s="55" t="n"/>
      <c r="AJ66" s="55" t="n"/>
      <c r="AK66" s="55" t="n"/>
      <c r="AL66" s="55" t="n"/>
      <c r="AM66" s="56" t="n"/>
      <c r="AN66" s="55" t="n"/>
      <c r="AO66" s="55" t="n"/>
      <c r="AP66" s="55" t="n"/>
      <c r="AQ66" s="55" t="n"/>
      <c r="AR66" s="60">
        <f>IF(AND(C66="",E66=""),"",IF(A66="","⚠ Date manquante",IF(AND(C66="",E66&lt;&gt;"Dépense"),"⚠ Prospect manquant",IF(E66="","⚠ Action manquante",IF(AND(AU66=1,D66=""),"⚠ Canal manquant",IF(AND(W66&lt;&gt;"",COUNTIFS('Saisie'!$W$5:$W$2004,W66,'Saisie'!$C$5:$C$2004,"&lt;&gt;"&amp;C66)&gt;0),"⚠ Numéro déjà utilisé par un autre prospect",IF(AND(J66&lt;&gt;"",J66&lt;A66),"⚠ Relance avant la date de l'action",IF(A66&gt;TODAY(),"⚠ Date dans le futur","✓"))))))))</f>
        <v/>
      </c>
      <c r="AS66" s="61">
        <f>IF(AND(A66="",C66="",E66=""),"",ROW())</f>
        <v/>
      </c>
      <c r="AT66" s="61">
        <f>IF(E66&amp;F66="","",MAX(IFERROR(INDEX('Paramètres'!$J$6:$J$33,MATCH(E66,'Paramètres'!$I$6:$I$33,0)),0),IFERROR(INDEX('Paramètres'!$N$6:$N$17,MATCH(F66,'Paramètres'!$M$6:$M$17,0)),0)))</f>
        <v/>
      </c>
      <c r="AU66" s="61">
        <f>IF(E66="","",IFERROR(IF(INDEX('Paramètres'!$K$6:$K$33,MATCH(E66,'Paramètres'!$I$6:$I$33,0))="Oui",1,0),0))</f>
        <v/>
      </c>
      <c r="AV66" s="61">
        <f>IF(F66="","",IFERROR(IF(INDEX('Paramètres'!$O$6:$O$17,MATCH(F66,'Paramètres'!$M$6:$M$17,0))="Oui",1,0),0))</f>
        <v/>
      </c>
      <c r="AW66" s="62">
        <f>IF(E66="","",IF(G66&lt;&gt;"",G66,IF(OR(E66="Proposition envoyée",E66="Signature"),MAX(0,N(IFERROR(INDEX('Paramètres'!$R$6:$R$15,MATCH(IF(AL66&lt;&gt;"",AL66,IFERROR(INDEX('Prospects'!$AN$5:$AN$504,MATCH(C66,'Prospects'!$C$5:$C$504,0)),"")),'Paramètres'!$Q$6:$Q$15,0)),0))-N(P66)),0)))</f>
        <v/>
      </c>
      <c r="AX66" s="61">
        <f>IF(C66="","",IF(COUNTIF($C$5:C66,C66)=1,MAX($AX$4:AX65)+1,""))</f>
        <v/>
      </c>
      <c r="AY66" s="61">
        <f>IF(B66="","",HOUR(B66))</f>
        <v/>
      </c>
      <c r="AZ66" s="61">
        <f>IF(A66="","",MOD(A66-2,7)+1)</f>
        <v/>
      </c>
      <c r="BA66" s="60">
        <f>IF(C66="","",IFERROR(INDEX('Prospects'!$N$5:$N$504,MATCH(C66,'Prospects'!$C$5:$C$504,0)),""))</f>
        <v/>
      </c>
      <c r="BB66" s="61">
        <f>IF(AND(C66&lt;&gt;"",C66='Fiche prospect'!$C$4),COUNTIF($C$5:C66,C66),"")</f>
        <v/>
      </c>
    </row>
    <row r="67">
      <c r="A67" s="53" t="n"/>
      <c r="B67" s="54" t="n"/>
      <c r="C67" s="55" t="n"/>
      <c r="D67" s="55" t="n"/>
      <c r="E67" s="55" t="n"/>
      <c r="F67" s="55" t="n"/>
      <c r="G67" s="56" t="n"/>
      <c r="H67" s="57" t="n"/>
      <c r="I67" s="55" t="n"/>
      <c r="J67" s="53" t="n"/>
      <c r="K67" s="54" t="n"/>
      <c r="L67" s="55" t="n"/>
      <c r="M67" s="55" t="n"/>
      <c r="N67" s="57" t="n"/>
      <c r="O67" s="55" t="n"/>
      <c r="P67" s="56" t="n"/>
      <c r="Q67" s="55" t="n"/>
      <c r="R67" s="55" t="n"/>
      <c r="S67" s="55" t="n"/>
      <c r="T67" s="55" t="n"/>
      <c r="U67" s="55" t="n"/>
      <c r="V67" s="55" t="n"/>
      <c r="W67" s="58" t="n"/>
      <c r="X67" s="58" t="n"/>
      <c r="Y67" s="55" t="n"/>
      <c r="Z67" s="55" t="n"/>
      <c r="AA67" s="55" t="n"/>
      <c r="AB67" s="55" t="n"/>
      <c r="AC67" s="55" t="n"/>
      <c r="AD67" s="53" t="n"/>
      <c r="AE67" s="55" t="n"/>
      <c r="AF67" s="55" t="n"/>
      <c r="AG67" s="59" t="n"/>
      <c r="AH67" s="57" t="n"/>
      <c r="AI67" s="55" t="n"/>
      <c r="AJ67" s="55" t="n"/>
      <c r="AK67" s="55" t="n"/>
      <c r="AL67" s="55" t="n"/>
      <c r="AM67" s="56" t="n"/>
      <c r="AN67" s="55" t="n"/>
      <c r="AO67" s="55" t="n"/>
      <c r="AP67" s="55" t="n"/>
      <c r="AQ67" s="55" t="n"/>
      <c r="AR67" s="60">
        <f>IF(AND(C67="",E67=""),"",IF(A67="","⚠ Date manquante",IF(AND(C67="",E67&lt;&gt;"Dépense"),"⚠ Prospect manquant",IF(E67="","⚠ Action manquante",IF(AND(AU67=1,D67=""),"⚠ Canal manquant",IF(AND(W67&lt;&gt;"",COUNTIFS('Saisie'!$W$5:$W$2004,W67,'Saisie'!$C$5:$C$2004,"&lt;&gt;"&amp;C67)&gt;0),"⚠ Numéro déjà utilisé par un autre prospect",IF(AND(J67&lt;&gt;"",J67&lt;A67),"⚠ Relance avant la date de l'action",IF(A67&gt;TODAY(),"⚠ Date dans le futur","✓"))))))))</f>
        <v/>
      </c>
      <c r="AS67" s="61">
        <f>IF(AND(A67="",C67="",E67=""),"",ROW())</f>
        <v/>
      </c>
      <c r="AT67" s="61">
        <f>IF(E67&amp;F67="","",MAX(IFERROR(INDEX('Paramètres'!$J$6:$J$33,MATCH(E67,'Paramètres'!$I$6:$I$33,0)),0),IFERROR(INDEX('Paramètres'!$N$6:$N$17,MATCH(F67,'Paramètres'!$M$6:$M$17,0)),0)))</f>
        <v/>
      </c>
      <c r="AU67" s="61">
        <f>IF(E67="","",IFERROR(IF(INDEX('Paramètres'!$K$6:$K$33,MATCH(E67,'Paramètres'!$I$6:$I$33,0))="Oui",1,0),0))</f>
        <v/>
      </c>
      <c r="AV67" s="61">
        <f>IF(F67="","",IFERROR(IF(INDEX('Paramètres'!$O$6:$O$17,MATCH(F67,'Paramètres'!$M$6:$M$17,0))="Oui",1,0),0))</f>
        <v/>
      </c>
      <c r="AW67" s="62">
        <f>IF(E67="","",IF(G67&lt;&gt;"",G67,IF(OR(E67="Proposition envoyée",E67="Signature"),MAX(0,N(IFERROR(INDEX('Paramètres'!$R$6:$R$15,MATCH(IF(AL67&lt;&gt;"",AL67,IFERROR(INDEX('Prospects'!$AN$5:$AN$504,MATCH(C67,'Prospects'!$C$5:$C$504,0)),"")),'Paramètres'!$Q$6:$Q$15,0)),0))-N(P67)),0)))</f>
        <v/>
      </c>
      <c r="AX67" s="61">
        <f>IF(C67="","",IF(COUNTIF($C$5:C67,C67)=1,MAX($AX$4:AX66)+1,""))</f>
        <v/>
      </c>
      <c r="AY67" s="61">
        <f>IF(B67="","",HOUR(B67))</f>
        <v/>
      </c>
      <c r="AZ67" s="61">
        <f>IF(A67="","",MOD(A67-2,7)+1)</f>
        <v/>
      </c>
      <c r="BA67" s="60">
        <f>IF(C67="","",IFERROR(INDEX('Prospects'!$N$5:$N$504,MATCH(C67,'Prospects'!$C$5:$C$504,0)),""))</f>
        <v/>
      </c>
      <c r="BB67" s="61">
        <f>IF(AND(C67&lt;&gt;"",C67='Fiche prospect'!$C$4),COUNTIF($C$5:C67,C67),"")</f>
        <v/>
      </c>
    </row>
    <row r="68">
      <c r="A68" s="53" t="n"/>
      <c r="B68" s="54" t="n"/>
      <c r="C68" s="55" t="n"/>
      <c r="D68" s="55" t="n"/>
      <c r="E68" s="55" t="n"/>
      <c r="F68" s="55" t="n"/>
      <c r="G68" s="56" t="n"/>
      <c r="H68" s="57" t="n"/>
      <c r="I68" s="55" t="n"/>
      <c r="J68" s="53" t="n"/>
      <c r="K68" s="54" t="n"/>
      <c r="L68" s="55" t="n"/>
      <c r="M68" s="55" t="n"/>
      <c r="N68" s="57" t="n"/>
      <c r="O68" s="55" t="n"/>
      <c r="P68" s="56" t="n"/>
      <c r="Q68" s="55" t="n"/>
      <c r="R68" s="55" t="n"/>
      <c r="S68" s="55" t="n"/>
      <c r="T68" s="55" t="n"/>
      <c r="U68" s="55" t="n"/>
      <c r="V68" s="55" t="n"/>
      <c r="W68" s="58" t="n"/>
      <c r="X68" s="58" t="n"/>
      <c r="Y68" s="55" t="n"/>
      <c r="Z68" s="55" t="n"/>
      <c r="AA68" s="55" t="n"/>
      <c r="AB68" s="55" t="n"/>
      <c r="AC68" s="55" t="n"/>
      <c r="AD68" s="53" t="n"/>
      <c r="AE68" s="55" t="n"/>
      <c r="AF68" s="55" t="n"/>
      <c r="AG68" s="59" t="n"/>
      <c r="AH68" s="57" t="n"/>
      <c r="AI68" s="55" t="n"/>
      <c r="AJ68" s="55" t="n"/>
      <c r="AK68" s="55" t="n"/>
      <c r="AL68" s="55" t="n"/>
      <c r="AM68" s="56" t="n"/>
      <c r="AN68" s="55" t="n"/>
      <c r="AO68" s="55" t="n"/>
      <c r="AP68" s="55" t="n"/>
      <c r="AQ68" s="55" t="n"/>
      <c r="AR68" s="60">
        <f>IF(AND(C68="",E68=""),"",IF(A68="","⚠ Date manquante",IF(AND(C68="",E68&lt;&gt;"Dépense"),"⚠ Prospect manquant",IF(E68="","⚠ Action manquante",IF(AND(AU68=1,D68=""),"⚠ Canal manquant",IF(AND(W68&lt;&gt;"",COUNTIFS('Saisie'!$W$5:$W$2004,W68,'Saisie'!$C$5:$C$2004,"&lt;&gt;"&amp;C68)&gt;0),"⚠ Numéro déjà utilisé par un autre prospect",IF(AND(J68&lt;&gt;"",J68&lt;A68),"⚠ Relance avant la date de l'action",IF(A68&gt;TODAY(),"⚠ Date dans le futur","✓"))))))))</f>
        <v/>
      </c>
      <c r="AS68" s="61">
        <f>IF(AND(A68="",C68="",E68=""),"",ROW())</f>
        <v/>
      </c>
      <c r="AT68" s="61">
        <f>IF(E68&amp;F68="","",MAX(IFERROR(INDEX('Paramètres'!$J$6:$J$33,MATCH(E68,'Paramètres'!$I$6:$I$33,0)),0),IFERROR(INDEX('Paramètres'!$N$6:$N$17,MATCH(F68,'Paramètres'!$M$6:$M$17,0)),0)))</f>
        <v/>
      </c>
      <c r="AU68" s="61">
        <f>IF(E68="","",IFERROR(IF(INDEX('Paramètres'!$K$6:$K$33,MATCH(E68,'Paramètres'!$I$6:$I$33,0))="Oui",1,0),0))</f>
        <v/>
      </c>
      <c r="AV68" s="61">
        <f>IF(F68="","",IFERROR(IF(INDEX('Paramètres'!$O$6:$O$17,MATCH(F68,'Paramètres'!$M$6:$M$17,0))="Oui",1,0),0))</f>
        <v/>
      </c>
      <c r="AW68" s="62">
        <f>IF(E68="","",IF(G68&lt;&gt;"",G68,IF(OR(E68="Proposition envoyée",E68="Signature"),MAX(0,N(IFERROR(INDEX('Paramètres'!$R$6:$R$15,MATCH(IF(AL68&lt;&gt;"",AL68,IFERROR(INDEX('Prospects'!$AN$5:$AN$504,MATCH(C68,'Prospects'!$C$5:$C$504,0)),"")),'Paramètres'!$Q$6:$Q$15,0)),0))-N(P68)),0)))</f>
        <v/>
      </c>
      <c r="AX68" s="61">
        <f>IF(C68="","",IF(COUNTIF($C$5:C68,C68)=1,MAX($AX$4:AX67)+1,""))</f>
        <v/>
      </c>
      <c r="AY68" s="61">
        <f>IF(B68="","",HOUR(B68))</f>
        <v/>
      </c>
      <c r="AZ68" s="61">
        <f>IF(A68="","",MOD(A68-2,7)+1)</f>
        <v/>
      </c>
      <c r="BA68" s="60">
        <f>IF(C68="","",IFERROR(INDEX('Prospects'!$N$5:$N$504,MATCH(C68,'Prospects'!$C$5:$C$504,0)),""))</f>
        <v/>
      </c>
      <c r="BB68" s="61">
        <f>IF(AND(C68&lt;&gt;"",C68='Fiche prospect'!$C$4),COUNTIF($C$5:C68,C68),"")</f>
        <v/>
      </c>
    </row>
    <row r="69">
      <c r="A69" s="53" t="n"/>
      <c r="B69" s="54" t="n"/>
      <c r="C69" s="55" t="n"/>
      <c r="D69" s="55" t="n"/>
      <c r="E69" s="55" t="n"/>
      <c r="F69" s="55" t="n"/>
      <c r="G69" s="56" t="n"/>
      <c r="H69" s="57" t="n"/>
      <c r="I69" s="55" t="n"/>
      <c r="J69" s="53" t="n"/>
      <c r="K69" s="54" t="n"/>
      <c r="L69" s="55" t="n"/>
      <c r="M69" s="55" t="n"/>
      <c r="N69" s="57" t="n"/>
      <c r="O69" s="55" t="n"/>
      <c r="P69" s="56" t="n"/>
      <c r="Q69" s="55" t="n"/>
      <c r="R69" s="55" t="n"/>
      <c r="S69" s="55" t="n"/>
      <c r="T69" s="55" t="n"/>
      <c r="U69" s="55" t="n"/>
      <c r="V69" s="55" t="n"/>
      <c r="W69" s="58" t="n"/>
      <c r="X69" s="58" t="n"/>
      <c r="Y69" s="55" t="n"/>
      <c r="Z69" s="55" t="n"/>
      <c r="AA69" s="55" t="n"/>
      <c r="AB69" s="55" t="n"/>
      <c r="AC69" s="55" t="n"/>
      <c r="AD69" s="53" t="n"/>
      <c r="AE69" s="55" t="n"/>
      <c r="AF69" s="55" t="n"/>
      <c r="AG69" s="59" t="n"/>
      <c r="AH69" s="57" t="n"/>
      <c r="AI69" s="55" t="n"/>
      <c r="AJ69" s="55" t="n"/>
      <c r="AK69" s="55" t="n"/>
      <c r="AL69" s="55" t="n"/>
      <c r="AM69" s="56" t="n"/>
      <c r="AN69" s="55" t="n"/>
      <c r="AO69" s="55" t="n"/>
      <c r="AP69" s="55" t="n"/>
      <c r="AQ69" s="55" t="n"/>
      <c r="AR69" s="60">
        <f>IF(AND(C69="",E69=""),"",IF(A69="","⚠ Date manquante",IF(AND(C69="",E69&lt;&gt;"Dépense"),"⚠ Prospect manquant",IF(E69="","⚠ Action manquante",IF(AND(AU69=1,D69=""),"⚠ Canal manquant",IF(AND(W69&lt;&gt;"",COUNTIFS('Saisie'!$W$5:$W$2004,W69,'Saisie'!$C$5:$C$2004,"&lt;&gt;"&amp;C69)&gt;0),"⚠ Numéro déjà utilisé par un autre prospect",IF(AND(J69&lt;&gt;"",J69&lt;A69),"⚠ Relance avant la date de l'action",IF(A69&gt;TODAY(),"⚠ Date dans le futur","✓"))))))))</f>
        <v/>
      </c>
      <c r="AS69" s="61">
        <f>IF(AND(A69="",C69="",E69=""),"",ROW())</f>
        <v/>
      </c>
      <c r="AT69" s="61">
        <f>IF(E69&amp;F69="","",MAX(IFERROR(INDEX('Paramètres'!$J$6:$J$33,MATCH(E69,'Paramètres'!$I$6:$I$33,0)),0),IFERROR(INDEX('Paramètres'!$N$6:$N$17,MATCH(F69,'Paramètres'!$M$6:$M$17,0)),0)))</f>
        <v/>
      </c>
      <c r="AU69" s="61">
        <f>IF(E69="","",IFERROR(IF(INDEX('Paramètres'!$K$6:$K$33,MATCH(E69,'Paramètres'!$I$6:$I$33,0))="Oui",1,0),0))</f>
        <v/>
      </c>
      <c r="AV69" s="61">
        <f>IF(F69="","",IFERROR(IF(INDEX('Paramètres'!$O$6:$O$17,MATCH(F69,'Paramètres'!$M$6:$M$17,0))="Oui",1,0),0))</f>
        <v/>
      </c>
      <c r="AW69" s="62">
        <f>IF(E69="","",IF(G69&lt;&gt;"",G69,IF(OR(E69="Proposition envoyée",E69="Signature"),MAX(0,N(IFERROR(INDEX('Paramètres'!$R$6:$R$15,MATCH(IF(AL69&lt;&gt;"",AL69,IFERROR(INDEX('Prospects'!$AN$5:$AN$504,MATCH(C69,'Prospects'!$C$5:$C$504,0)),"")),'Paramètres'!$Q$6:$Q$15,0)),0))-N(P69)),0)))</f>
        <v/>
      </c>
      <c r="AX69" s="61">
        <f>IF(C69="","",IF(COUNTIF($C$5:C69,C69)=1,MAX($AX$4:AX68)+1,""))</f>
        <v/>
      </c>
      <c r="AY69" s="61">
        <f>IF(B69="","",HOUR(B69))</f>
        <v/>
      </c>
      <c r="AZ69" s="61">
        <f>IF(A69="","",MOD(A69-2,7)+1)</f>
        <v/>
      </c>
      <c r="BA69" s="60">
        <f>IF(C69="","",IFERROR(INDEX('Prospects'!$N$5:$N$504,MATCH(C69,'Prospects'!$C$5:$C$504,0)),""))</f>
        <v/>
      </c>
      <c r="BB69" s="61">
        <f>IF(AND(C69&lt;&gt;"",C69='Fiche prospect'!$C$4),COUNTIF($C$5:C69,C69),"")</f>
        <v/>
      </c>
    </row>
    <row r="70">
      <c r="A70" s="53" t="n"/>
      <c r="B70" s="54" t="n"/>
      <c r="C70" s="55" t="n"/>
      <c r="D70" s="55" t="n"/>
      <c r="E70" s="55" t="n"/>
      <c r="F70" s="55" t="n"/>
      <c r="G70" s="56" t="n"/>
      <c r="H70" s="57" t="n"/>
      <c r="I70" s="55" t="n"/>
      <c r="J70" s="53" t="n"/>
      <c r="K70" s="54" t="n"/>
      <c r="L70" s="55" t="n"/>
      <c r="M70" s="55" t="n"/>
      <c r="N70" s="57" t="n"/>
      <c r="O70" s="55" t="n"/>
      <c r="P70" s="56" t="n"/>
      <c r="Q70" s="55" t="n"/>
      <c r="R70" s="55" t="n"/>
      <c r="S70" s="55" t="n"/>
      <c r="T70" s="55" t="n"/>
      <c r="U70" s="55" t="n"/>
      <c r="V70" s="55" t="n"/>
      <c r="W70" s="58" t="n"/>
      <c r="X70" s="58" t="n"/>
      <c r="Y70" s="55" t="n"/>
      <c r="Z70" s="55" t="n"/>
      <c r="AA70" s="55" t="n"/>
      <c r="AB70" s="55" t="n"/>
      <c r="AC70" s="55" t="n"/>
      <c r="AD70" s="53" t="n"/>
      <c r="AE70" s="55" t="n"/>
      <c r="AF70" s="55" t="n"/>
      <c r="AG70" s="59" t="n"/>
      <c r="AH70" s="57" t="n"/>
      <c r="AI70" s="55" t="n"/>
      <c r="AJ70" s="55" t="n"/>
      <c r="AK70" s="55" t="n"/>
      <c r="AL70" s="55" t="n"/>
      <c r="AM70" s="56" t="n"/>
      <c r="AN70" s="55" t="n"/>
      <c r="AO70" s="55" t="n"/>
      <c r="AP70" s="55" t="n"/>
      <c r="AQ70" s="55" t="n"/>
      <c r="AR70" s="60">
        <f>IF(AND(C70="",E70=""),"",IF(A70="","⚠ Date manquante",IF(AND(C70="",E70&lt;&gt;"Dépense"),"⚠ Prospect manquant",IF(E70="","⚠ Action manquante",IF(AND(AU70=1,D70=""),"⚠ Canal manquant",IF(AND(W70&lt;&gt;"",COUNTIFS('Saisie'!$W$5:$W$2004,W70,'Saisie'!$C$5:$C$2004,"&lt;&gt;"&amp;C70)&gt;0),"⚠ Numéro déjà utilisé par un autre prospect",IF(AND(J70&lt;&gt;"",J70&lt;A70),"⚠ Relance avant la date de l'action",IF(A70&gt;TODAY(),"⚠ Date dans le futur","✓"))))))))</f>
        <v/>
      </c>
      <c r="AS70" s="61">
        <f>IF(AND(A70="",C70="",E70=""),"",ROW())</f>
        <v/>
      </c>
      <c r="AT70" s="61">
        <f>IF(E70&amp;F70="","",MAX(IFERROR(INDEX('Paramètres'!$J$6:$J$33,MATCH(E70,'Paramètres'!$I$6:$I$33,0)),0),IFERROR(INDEX('Paramètres'!$N$6:$N$17,MATCH(F70,'Paramètres'!$M$6:$M$17,0)),0)))</f>
        <v/>
      </c>
      <c r="AU70" s="61">
        <f>IF(E70="","",IFERROR(IF(INDEX('Paramètres'!$K$6:$K$33,MATCH(E70,'Paramètres'!$I$6:$I$33,0))="Oui",1,0),0))</f>
        <v/>
      </c>
      <c r="AV70" s="61">
        <f>IF(F70="","",IFERROR(IF(INDEX('Paramètres'!$O$6:$O$17,MATCH(F70,'Paramètres'!$M$6:$M$17,0))="Oui",1,0),0))</f>
        <v/>
      </c>
      <c r="AW70" s="62">
        <f>IF(E70="","",IF(G70&lt;&gt;"",G70,IF(OR(E70="Proposition envoyée",E70="Signature"),MAX(0,N(IFERROR(INDEX('Paramètres'!$R$6:$R$15,MATCH(IF(AL70&lt;&gt;"",AL70,IFERROR(INDEX('Prospects'!$AN$5:$AN$504,MATCH(C70,'Prospects'!$C$5:$C$504,0)),"")),'Paramètres'!$Q$6:$Q$15,0)),0))-N(P70)),0)))</f>
        <v/>
      </c>
      <c r="AX70" s="61">
        <f>IF(C70="","",IF(COUNTIF($C$5:C70,C70)=1,MAX($AX$4:AX69)+1,""))</f>
        <v/>
      </c>
      <c r="AY70" s="61">
        <f>IF(B70="","",HOUR(B70))</f>
        <v/>
      </c>
      <c r="AZ70" s="61">
        <f>IF(A70="","",MOD(A70-2,7)+1)</f>
        <v/>
      </c>
      <c r="BA70" s="60">
        <f>IF(C70="","",IFERROR(INDEX('Prospects'!$N$5:$N$504,MATCH(C70,'Prospects'!$C$5:$C$504,0)),""))</f>
        <v/>
      </c>
      <c r="BB70" s="61">
        <f>IF(AND(C70&lt;&gt;"",C70='Fiche prospect'!$C$4),COUNTIF($C$5:C70,C70),"")</f>
        <v/>
      </c>
    </row>
    <row r="71">
      <c r="A71" s="53" t="n"/>
      <c r="B71" s="54" t="n"/>
      <c r="C71" s="55" t="n"/>
      <c r="D71" s="55" t="n"/>
      <c r="E71" s="55" t="n"/>
      <c r="F71" s="55" t="n"/>
      <c r="G71" s="56" t="n"/>
      <c r="H71" s="57" t="n"/>
      <c r="I71" s="55" t="n"/>
      <c r="J71" s="53" t="n"/>
      <c r="K71" s="54" t="n"/>
      <c r="L71" s="55" t="n"/>
      <c r="M71" s="55" t="n"/>
      <c r="N71" s="57" t="n"/>
      <c r="O71" s="55" t="n"/>
      <c r="P71" s="56" t="n"/>
      <c r="Q71" s="55" t="n"/>
      <c r="R71" s="55" t="n"/>
      <c r="S71" s="55" t="n"/>
      <c r="T71" s="55" t="n"/>
      <c r="U71" s="55" t="n"/>
      <c r="V71" s="55" t="n"/>
      <c r="W71" s="58" t="n"/>
      <c r="X71" s="58" t="n"/>
      <c r="Y71" s="55" t="n"/>
      <c r="Z71" s="55" t="n"/>
      <c r="AA71" s="55" t="n"/>
      <c r="AB71" s="55" t="n"/>
      <c r="AC71" s="55" t="n"/>
      <c r="AD71" s="53" t="n"/>
      <c r="AE71" s="55" t="n"/>
      <c r="AF71" s="55" t="n"/>
      <c r="AG71" s="59" t="n"/>
      <c r="AH71" s="57" t="n"/>
      <c r="AI71" s="55" t="n"/>
      <c r="AJ71" s="55" t="n"/>
      <c r="AK71" s="55" t="n"/>
      <c r="AL71" s="55" t="n"/>
      <c r="AM71" s="56" t="n"/>
      <c r="AN71" s="55" t="n"/>
      <c r="AO71" s="55" t="n"/>
      <c r="AP71" s="55" t="n"/>
      <c r="AQ71" s="55" t="n"/>
      <c r="AR71" s="60">
        <f>IF(AND(C71="",E71=""),"",IF(A71="","⚠ Date manquante",IF(AND(C71="",E71&lt;&gt;"Dépense"),"⚠ Prospect manquant",IF(E71="","⚠ Action manquante",IF(AND(AU71=1,D71=""),"⚠ Canal manquant",IF(AND(W71&lt;&gt;"",COUNTIFS('Saisie'!$W$5:$W$2004,W71,'Saisie'!$C$5:$C$2004,"&lt;&gt;"&amp;C71)&gt;0),"⚠ Numéro déjà utilisé par un autre prospect",IF(AND(J71&lt;&gt;"",J71&lt;A71),"⚠ Relance avant la date de l'action",IF(A71&gt;TODAY(),"⚠ Date dans le futur","✓"))))))))</f>
        <v/>
      </c>
      <c r="AS71" s="61">
        <f>IF(AND(A71="",C71="",E71=""),"",ROW())</f>
        <v/>
      </c>
      <c r="AT71" s="61">
        <f>IF(E71&amp;F71="","",MAX(IFERROR(INDEX('Paramètres'!$J$6:$J$33,MATCH(E71,'Paramètres'!$I$6:$I$33,0)),0),IFERROR(INDEX('Paramètres'!$N$6:$N$17,MATCH(F71,'Paramètres'!$M$6:$M$17,0)),0)))</f>
        <v/>
      </c>
      <c r="AU71" s="61">
        <f>IF(E71="","",IFERROR(IF(INDEX('Paramètres'!$K$6:$K$33,MATCH(E71,'Paramètres'!$I$6:$I$33,0))="Oui",1,0),0))</f>
        <v/>
      </c>
      <c r="AV71" s="61">
        <f>IF(F71="","",IFERROR(IF(INDEX('Paramètres'!$O$6:$O$17,MATCH(F71,'Paramètres'!$M$6:$M$17,0))="Oui",1,0),0))</f>
        <v/>
      </c>
      <c r="AW71" s="62">
        <f>IF(E71="","",IF(G71&lt;&gt;"",G71,IF(OR(E71="Proposition envoyée",E71="Signature"),MAX(0,N(IFERROR(INDEX('Paramètres'!$R$6:$R$15,MATCH(IF(AL71&lt;&gt;"",AL71,IFERROR(INDEX('Prospects'!$AN$5:$AN$504,MATCH(C71,'Prospects'!$C$5:$C$504,0)),"")),'Paramètres'!$Q$6:$Q$15,0)),0))-N(P71)),0)))</f>
        <v/>
      </c>
      <c r="AX71" s="61">
        <f>IF(C71="","",IF(COUNTIF($C$5:C71,C71)=1,MAX($AX$4:AX70)+1,""))</f>
        <v/>
      </c>
      <c r="AY71" s="61">
        <f>IF(B71="","",HOUR(B71))</f>
        <v/>
      </c>
      <c r="AZ71" s="61">
        <f>IF(A71="","",MOD(A71-2,7)+1)</f>
        <v/>
      </c>
      <c r="BA71" s="60">
        <f>IF(C71="","",IFERROR(INDEX('Prospects'!$N$5:$N$504,MATCH(C71,'Prospects'!$C$5:$C$504,0)),""))</f>
        <v/>
      </c>
      <c r="BB71" s="61">
        <f>IF(AND(C71&lt;&gt;"",C71='Fiche prospect'!$C$4),COUNTIF($C$5:C71,C71),"")</f>
        <v/>
      </c>
    </row>
    <row r="72">
      <c r="A72" s="53" t="n"/>
      <c r="B72" s="54" t="n"/>
      <c r="C72" s="55" t="n"/>
      <c r="D72" s="55" t="n"/>
      <c r="E72" s="55" t="n"/>
      <c r="F72" s="55" t="n"/>
      <c r="G72" s="56" t="n"/>
      <c r="H72" s="57" t="n"/>
      <c r="I72" s="55" t="n"/>
      <c r="J72" s="53" t="n"/>
      <c r="K72" s="54" t="n"/>
      <c r="L72" s="55" t="n"/>
      <c r="M72" s="55" t="n"/>
      <c r="N72" s="57" t="n"/>
      <c r="O72" s="55" t="n"/>
      <c r="P72" s="56" t="n"/>
      <c r="Q72" s="55" t="n"/>
      <c r="R72" s="55" t="n"/>
      <c r="S72" s="55" t="n"/>
      <c r="T72" s="55" t="n"/>
      <c r="U72" s="55" t="n"/>
      <c r="V72" s="55" t="n"/>
      <c r="W72" s="58" t="n"/>
      <c r="X72" s="58" t="n"/>
      <c r="Y72" s="55" t="n"/>
      <c r="Z72" s="55" t="n"/>
      <c r="AA72" s="55" t="n"/>
      <c r="AB72" s="55" t="n"/>
      <c r="AC72" s="55" t="n"/>
      <c r="AD72" s="53" t="n"/>
      <c r="AE72" s="55" t="n"/>
      <c r="AF72" s="55" t="n"/>
      <c r="AG72" s="59" t="n"/>
      <c r="AH72" s="57" t="n"/>
      <c r="AI72" s="55" t="n"/>
      <c r="AJ72" s="55" t="n"/>
      <c r="AK72" s="55" t="n"/>
      <c r="AL72" s="55" t="n"/>
      <c r="AM72" s="56" t="n"/>
      <c r="AN72" s="55" t="n"/>
      <c r="AO72" s="55" t="n"/>
      <c r="AP72" s="55" t="n"/>
      <c r="AQ72" s="55" t="n"/>
      <c r="AR72" s="60">
        <f>IF(AND(C72="",E72=""),"",IF(A72="","⚠ Date manquante",IF(AND(C72="",E72&lt;&gt;"Dépense"),"⚠ Prospect manquant",IF(E72="","⚠ Action manquante",IF(AND(AU72=1,D72=""),"⚠ Canal manquant",IF(AND(W72&lt;&gt;"",COUNTIFS('Saisie'!$W$5:$W$2004,W72,'Saisie'!$C$5:$C$2004,"&lt;&gt;"&amp;C72)&gt;0),"⚠ Numéro déjà utilisé par un autre prospect",IF(AND(J72&lt;&gt;"",J72&lt;A72),"⚠ Relance avant la date de l'action",IF(A72&gt;TODAY(),"⚠ Date dans le futur","✓"))))))))</f>
        <v/>
      </c>
      <c r="AS72" s="61">
        <f>IF(AND(A72="",C72="",E72=""),"",ROW())</f>
        <v/>
      </c>
      <c r="AT72" s="61">
        <f>IF(E72&amp;F72="","",MAX(IFERROR(INDEX('Paramètres'!$J$6:$J$33,MATCH(E72,'Paramètres'!$I$6:$I$33,0)),0),IFERROR(INDEX('Paramètres'!$N$6:$N$17,MATCH(F72,'Paramètres'!$M$6:$M$17,0)),0)))</f>
        <v/>
      </c>
      <c r="AU72" s="61">
        <f>IF(E72="","",IFERROR(IF(INDEX('Paramètres'!$K$6:$K$33,MATCH(E72,'Paramètres'!$I$6:$I$33,0))="Oui",1,0),0))</f>
        <v/>
      </c>
      <c r="AV72" s="61">
        <f>IF(F72="","",IFERROR(IF(INDEX('Paramètres'!$O$6:$O$17,MATCH(F72,'Paramètres'!$M$6:$M$17,0))="Oui",1,0),0))</f>
        <v/>
      </c>
      <c r="AW72" s="62">
        <f>IF(E72="","",IF(G72&lt;&gt;"",G72,IF(OR(E72="Proposition envoyée",E72="Signature"),MAX(0,N(IFERROR(INDEX('Paramètres'!$R$6:$R$15,MATCH(IF(AL72&lt;&gt;"",AL72,IFERROR(INDEX('Prospects'!$AN$5:$AN$504,MATCH(C72,'Prospects'!$C$5:$C$504,0)),"")),'Paramètres'!$Q$6:$Q$15,0)),0))-N(P72)),0)))</f>
        <v/>
      </c>
      <c r="AX72" s="61">
        <f>IF(C72="","",IF(COUNTIF($C$5:C72,C72)=1,MAX($AX$4:AX71)+1,""))</f>
        <v/>
      </c>
      <c r="AY72" s="61">
        <f>IF(B72="","",HOUR(B72))</f>
        <v/>
      </c>
      <c r="AZ72" s="61">
        <f>IF(A72="","",MOD(A72-2,7)+1)</f>
        <v/>
      </c>
      <c r="BA72" s="60">
        <f>IF(C72="","",IFERROR(INDEX('Prospects'!$N$5:$N$504,MATCH(C72,'Prospects'!$C$5:$C$504,0)),""))</f>
        <v/>
      </c>
      <c r="BB72" s="61">
        <f>IF(AND(C72&lt;&gt;"",C72='Fiche prospect'!$C$4),COUNTIF($C$5:C72,C72),"")</f>
        <v/>
      </c>
    </row>
    <row r="73">
      <c r="A73" s="53" t="n"/>
      <c r="B73" s="54" t="n"/>
      <c r="C73" s="55" t="n"/>
      <c r="D73" s="55" t="n"/>
      <c r="E73" s="55" t="n"/>
      <c r="F73" s="55" t="n"/>
      <c r="G73" s="56" t="n"/>
      <c r="H73" s="57" t="n"/>
      <c r="I73" s="55" t="n"/>
      <c r="J73" s="53" t="n"/>
      <c r="K73" s="54" t="n"/>
      <c r="L73" s="55" t="n"/>
      <c r="M73" s="55" t="n"/>
      <c r="N73" s="57" t="n"/>
      <c r="O73" s="55" t="n"/>
      <c r="P73" s="56" t="n"/>
      <c r="Q73" s="55" t="n"/>
      <c r="R73" s="55" t="n"/>
      <c r="S73" s="55" t="n"/>
      <c r="T73" s="55" t="n"/>
      <c r="U73" s="55" t="n"/>
      <c r="V73" s="55" t="n"/>
      <c r="W73" s="58" t="n"/>
      <c r="X73" s="58" t="n"/>
      <c r="Y73" s="55" t="n"/>
      <c r="Z73" s="55" t="n"/>
      <c r="AA73" s="55" t="n"/>
      <c r="AB73" s="55" t="n"/>
      <c r="AC73" s="55" t="n"/>
      <c r="AD73" s="53" t="n"/>
      <c r="AE73" s="55" t="n"/>
      <c r="AF73" s="55" t="n"/>
      <c r="AG73" s="59" t="n"/>
      <c r="AH73" s="57" t="n"/>
      <c r="AI73" s="55" t="n"/>
      <c r="AJ73" s="55" t="n"/>
      <c r="AK73" s="55" t="n"/>
      <c r="AL73" s="55" t="n"/>
      <c r="AM73" s="56" t="n"/>
      <c r="AN73" s="55" t="n"/>
      <c r="AO73" s="55" t="n"/>
      <c r="AP73" s="55" t="n"/>
      <c r="AQ73" s="55" t="n"/>
      <c r="AR73" s="60">
        <f>IF(AND(C73="",E73=""),"",IF(A73="","⚠ Date manquante",IF(AND(C73="",E73&lt;&gt;"Dépense"),"⚠ Prospect manquant",IF(E73="","⚠ Action manquante",IF(AND(AU73=1,D73=""),"⚠ Canal manquant",IF(AND(W73&lt;&gt;"",COUNTIFS('Saisie'!$W$5:$W$2004,W73,'Saisie'!$C$5:$C$2004,"&lt;&gt;"&amp;C73)&gt;0),"⚠ Numéro déjà utilisé par un autre prospect",IF(AND(J73&lt;&gt;"",J73&lt;A73),"⚠ Relance avant la date de l'action",IF(A73&gt;TODAY(),"⚠ Date dans le futur","✓"))))))))</f>
        <v/>
      </c>
      <c r="AS73" s="61">
        <f>IF(AND(A73="",C73="",E73=""),"",ROW())</f>
        <v/>
      </c>
      <c r="AT73" s="61">
        <f>IF(E73&amp;F73="","",MAX(IFERROR(INDEX('Paramètres'!$J$6:$J$33,MATCH(E73,'Paramètres'!$I$6:$I$33,0)),0),IFERROR(INDEX('Paramètres'!$N$6:$N$17,MATCH(F73,'Paramètres'!$M$6:$M$17,0)),0)))</f>
        <v/>
      </c>
      <c r="AU73" s="61">
        <f>IF(E73="","",IFERROR(IF(INDEX('Paramètres'!$K$6:$K$33,MATCH(E73,'Paramètres'!$I$6:$I$33,0))="Oui",1,0),0))</f>
        <v/>
      </c>
      <c r="AV73" s="61">
        <f>IF(F73="","",IFERROR(IF(INDEX('Paramètres'!$O$6:$O$17,MATCH(F73,'Paramètres'!$M$6:$M$17,0))="Oui",1,0),0))</f>
        <v/>
      </c>
      <c r="AW73" s="62">
        <f>IF(E73="","",IF(G73&lt;&gt;"",G73,IF(OR(E73="Proposition envoyée",E73="Signature"),MAX(0,N(IFERROR(INDEX('Paramètres'!$R$6:$R$15,MATCH(IF(AL73&lt;&gt;"",AL73,IFERROR(INDEX('Prospects'!$AN$5:$AN$504,MATCH(C73,'Prospects'!$C$5:$C$504,0)),"")),'Paramètres'!$Q$6:$Q$15,0)),0))-N(P73)),0)))</f>
        <v/>
      </c>
      <c r="AX73" s="61">
        <f>IF(C73="","",IF(COUNTIF($C$5:C73,C73)=1,MAX($AX$4:AX72)+1,""))</f>
        <v/>
      </c>
      <c r="AY73" s="61">
        <f>IF(B73="","",HOUR(B73))</f>
        <v/>
      </c>
      <c r="AZ73" s="61">
        <f>IF(A73="","",MOD(A73-2,7)+1)</f>
        <v/>
      </c>
      <c r="BA73" s="60">
        <f>IF(C73="","",IFERROR(INDEX('Prospects'!$N$5:$N$504,MATCH(C73,'Prospects'!$C$5:$C$504,0)),""))</f>
        <v/>
      </c>
      <c r="BB73" s="61">
        <f>IF(AND(C73&lt;&gt;"",C73='Fiche prospect'!$C$4),COUNTIF($C$5:C73,C73),"")</f>
        <v/>
      </c>
    </row>
    <row r="74">
      <c r="A74" s="53" t="n"/>
      <c r="B74" s="54" t="n"/>
      <c r="C74" s="55" t="n"/>
      <c r="D74" s="55" t="n"/>
      <c r="E74" s="55" t="n"/>
      <c r="F74" s="55" t="n"/>
      <c r="G74" s="56" t="n"/>
      <c r="H74" s="57" t="n"/>
      <c r="I74" s="55" t="n"/>
      <c r="J74" s="53" t="n"/>
      <c r="K74" s="54" t="n"/>
      <c r="L74" s="55" t="n"/>
      <c r="M74" s="55" t="n"/>
      <c r="N74" s="57" t="n"/>
      <c r="O74" s="55" t="n"/>
      <c r="P74" s="56" t="n"/>
      <c r="Q74" s="55" t="n"/>
      <c r="R74" s="55" t="n"/>
      <c r="S74" s="55" t="n"/>
      <c r="T74" s="55" t="n"/>
      <c r="U74" s="55" t="n"/>
      <c r="V74" s="55" t="n"/>
      <c r="W74" s="58" t="n"/>
      <c r="X74" s="58" t="n"/>
      <c r="Y74" s="55" t="n"/>
      <c r="Z74" s="55" t="n"/>
      <c r="AA74" s="55" t="n"/>
      <c r="AB74" s="55" t="n"/>
      <c r="AC74" s="55" t="n"/>
      <c r="AD74" s="53" t="n"/>
      <c r="AE74" s="55" t="n"/>
      <c r="AF74" s="55" t="n"/>
      <c r="AG74" s="59" t="n"/>
      <c r="AH74" s="57" t="n"/>
      <c r="AI74" s="55" t="n"/>
      <c r="AJ74" s="55" t="n"/>
      <c r="AK74" s="55" t="n"/>
      <c r="AL74" s="55" t="n"/>
      <c r="AM74" s="56" t="n"/>
      <c r="AN74" s="55" t="n"/>
      <c r="AO74" s="55" t="n"/>
      <c r="AP74" s="55" t="n"/>
      <c r="AQ74" s="55" t="n"/>
      <c r="AR74" s="60">
        <f>IF(AND(C74="",E74=""),"",IF(A74="","⚠ Date manquante",IF(AND(C74="",E74&lt;&gt;"Dépense"),"⚠ Prospect manquant",IF(E74="","⚠ Action manquante",IF(AND(AU74=1,D74=""),"⚠ Canal manquant",IF(AND(W74&lt;&gt;"",COUNTIFS('Saisie'!$W$5:$W$2004,W74,'Saisie'!$C$5:$C$2004,"&lt;&gt;"&amp;C74)&gt;0),"⚠ Numéro déjà utilisé par un autre prospect",IF(AND(J74&lt;&gt;"",J74&lt;A74),"⚠ Relance avant la date de l'action",IF(A74&gt;TODAY(),"⚠ Date dans le futur","✓"))))))))</f>
        <v/>
      </c>
      <c r="AS74" s="61">
        <f>IF(AND(A74="",C74="",E74=""),"",ROW())</f>
        <v/>
      </c>
      <c r="AT74" s="61">
        <f>IF(E74&amp;F74="","",MAX(IFERROR(INDEX('Paramètres'!$J$6:$J$33,MATCH(E74,'Paramètres'!$I$6:$I$33,0)),0),IFERROR(INDEX('Paramètres'!$N$6:$N$17,MATCH(F74,'Paramètres'!$M$6:$M$17,0)),0)))</f>
        <v/>
      </c>
      <c r="AU74" s="61">
        <f>IF(E74="","",IFERROR(IF(INDEX('Paramètres'!$K$6:$K$33,MATCH(E74,'Paramètres'!$I$6:$I$33,0))="Oui",1,0),0))</f>
        <v/>
      </c>
      <c r="AV74" s="61">
        <f>IF(F74="","",IFERROR(IF(INDEX('Paramètres'!$O$6:$O$17,MATCH(F74,'Paramètres'!$M$6:$M$17,0))="Oui",1,0),0))</f>
        <v/>
      </c>
      <c r="AW74" s="62">
        <f>IF(E74="","",IF(G74&lt;&gt;"",G74,IF(OR(E74="Proposition envoyée",E74="Signature"),MAX(0,N(IFERROR(INDEX('Paramètres'!$R$6:$R$15,MATCH(IF(AL74&lt;&gt;"",AL74,IFERROR(INDEX('Prospects'!$AN$5:$AN$504,MATCH(C74,'Prospects'!$C$5:$C$504,0)),"")),'Paramètres'!$Q$6:$Q$15,0)),0))-N(P74)),0)))</f>
        <v/>
      </c>
      <c r="AX74" s="61">
        <f>IF(C74="","",IF(COUNTIF($C$5:C74,C74)=1,MAX($AX$4:AX73)+1,""))</f>
        <v/>
      </c>
      <c r="AY74" s="61">
        <f>IF(B74="","",HOUR(B74))</f>
        <v/>
      </c>
      <c r="AZ74" s="61">
        <f>IF(A74="","",MOD(A74-2,7)+1)</f>
        <v/>
      </c>
      <c r="BA74" s="60">
        <f>IF(C74="","",IFERROR(INDEX('Prospects'!$N$5:$N$504,MATCH(C74,'Prospects'!$C$5:$C$504,0)),""))</f>
        <v/>
      </c>
      <c r="BB74" s="61">
        <f>IF(AND(C74&lt;&gt;"",C74='Fiche prospect'!$C$4),COUNTIF($C$5:C74,C74),"")</f>
        <v/>
      </c>
    </row>
    <row r="75">
      <c r="A75" s="53" t="n"/>
      <c r="B75" s="54" t="n"/>
      <c r="C75" s="55" t="n"/>
      <c r="D75" s="55" t="n"/>
      <c r="E75" s="55" t="n"/>
      <c r="F75" s="55" t="n"/>
      <c r="G75" s="56" t="n"/>
      <c r="H75" s="57" t="n"/>
      <c r="I75" s="55" t="n"/>
      <c r="J75" s="53" t="n"/>
      <c r="K75" s="54" t="n"/>
      <c r="L75" s="55" t="n"/>
      <c r="M75" s="55" t="n"/>
      <c r="N75" s="57" t="n"/>
      <c r="O75" s="55" t="n"/>
      <c r="P75" s="56" t="n"/>
      <c r="Q75" s="55" t="n"/>
      <c r="R75" s="55" t="n"/>
      <c r="S75" s="55" t="n"/>
      <c r="T75" s="55" t="n"/>
      <c r="U75" s="55" t="n"/>
      <c r="V75" s="55" t="n"/>
      <c r="W75" s="58" t="n"/>
      <c r="X75" s="58" t="n"/>
      <c r="Y75" s="55" t="n"/>
      <c r="Z75" s="55" t="n"/>
      <c r="AA75" s="55" t="n"/>
      <c r="AB75" s="55" t="n"/>
      <c r="AC75" s="55" t="n"/>
      <c r="AD75" s="53" t="n"/>
      <c r="AE75" s="55" t="n"/>
      <c r="AF75" s="55" t="n"/>
      <c r="AG75" s="59" t="n"/>
      <c r="AH75" s="57" t="n"/>
      <c r="AI75" s="55" t="n"/>
      <c r="AJ75" s="55" t="n"/>
      <c r="AK75" s="55" t="n"/>
      <c r="AL75" s="55" t="n"/>
      <c r="AM75" s="56" t="n"/>
      <c r="AN75" s="55" t="n"/>
      <c r="AO75" s="55" t="n"/>
      <c r="AP75" s="55" t="n"/>
      <c r="AQ75" s="55" t="n"/>
      <c r="AR75" s="60">
        <f>IF(AND(C75="",E75=""),"",IF(A75="","⚠ Date manquante",IF(AND(C75="",E75&lt;&gt;"Dépense"),"⚠ Prospect manquant",IF(E75="","⚠ Action manquante",IF(AND(AU75=1,D75=""),"⚠ Canal manquant",IF(AND(W75&lt;&gt;"",COUNTIFS('Saisie'!$W$5:$W$2004,W75,'Saisie'!$C$5:$C$2004,"&lt;&gt;"&amp;C75)&gt;0),"⚠ Numéro déjà utilisé par un autre prospect",IF(AND(J75&lt;&gt;"",J75&lt;A75),"⚠ Relance avant la date de l'action",IF(A75&gt;TODAY(),"⚠ Date dans le futur","✓"))))))))</f>
        <v/>
      </c>
      <c r="AS75" s="61">
        <f>IF(AND(A75="",C75="",E75=""),"",ROW())</f>
        <v/>
      </c>
      <c r="AT75" s="61">
        <f>IF(E75&amp;F75="","",MAX(IFERROR(INDEX('Paramètres'!$J$6:$J$33,MATCH(E75,'Paramètres'!$I$6:$I$33,0)),0),IFERROR(INDEX('Paramètres'!$N$6:$N$17,MATCH(F75,'Paramètres'!$M$6:$M$17,0)),0)))</f>
        <v/>
      </c>
      <c r="AU75" s="61">
        <f>IF(E75="","",IFERROR(IF(INDEX('Paramètres'!$K$6:$K$33,MATCH(E75,'Paramètres'!$I$6:$I$33,0))="Oui",1,0),0))</f>
        <v/>
      </c>
      <c r="AV75" s="61">
        <f>IF(F75="","",IFERROR(IF(INDEX('Paramètres'!$O$6:$O$17,MATCH(F75,'Paramètres'!$M$6:$M$17,0))="Oui",1,0),0))</f>
        <v/>
      </c>
      <c r="AW75" s="62">
        <f>IF(E75="","",IF(G75&lt;&gt;"",G75,IF(OR(E75="Proposition envoyée",E75="Signature"),MAX(0,N(IFERROR(INDEX('Paramètres'!$R$6:$R$15,MATCH(IF(AL75&lt;&gt;"",AL75,IFERROR(INDEX('Prospects'!$AN$5:$AN$504,MATCH(C75,'Prospects'!$C$5:$C$504,0)),"")),'Paramètres'!$Q$6:$Q$15,0)),0))-N(P75)),0)))</f>
        <v/>
      </c>
      <c r="AX75" s="61">
        <f>IF(C75="","",IF(COUNTIF($C$5:C75,C75)=1,MAX($AX$4:AX74)+1,""))</f>
        <v/>
      </c>
      <c r="AY75" s="61">
        <f>IF(B75="","",HOUR(B75))</f>
        <v/>
      </c>
      <c r="AZ75" s="61">
        <f>IF(A75="","",MOD(A75-2,7)+1)</f>
        <v/>
      </c>
      <c r="BA75" s="60">
        <f>IF(C75="","",IFERROR(INDEX('Prospects'!$N$5:$N$504,MATCH(C75,'Prospects'!$C$5:$C$504,0)),""))</f>
        <v/>
      </c>
      <c r="BB75" s="61">
        <f>IF(AND(C75&lt;&gt;"",C75='Fiche prospect'!$C$4),COUNTIF($C$5:C75,C75),"")</f>
        <v/>
      </c>
    </row>
    <row r="76">
      <c r="A76" s="53" t="n"/>
      <c r="B76" s="54" t="n"/>
      <c r="C76" s="55" t="n"/>
      <c r="D76" s="55" t="n"/>
      <c r="E76" s="55" t="n"/>
      <c r="F76" s="55" t="n"/>
      <c r="G76" s="56" t="n"/>
      <c r="H76" s="57" t="n"/>
      <c r="I76" s="55" t="n"/>
      <c r="J76" s="53" t="n"/>
      <c r="K76" s="54" t="n"/>
      <c r="L76" s="55" t="n"/>
      <c r="M76" s="55" t="n"/>
      <c r="N76" s="57" t="n"/>
      <c r="O76" s="55" t="n"/>
      <c r="P76" s="56" t="n"/>
      <c r="Q76" s="55" t="n"/>
      <c r="R76" s="55" t="n"/>
      <c r="S76" s="55" t="n"/>
      <c r="T76" s="55" t="n"/>
      <c r="U76" s="55" t="n"/>
      <c r="V76" s="55" t="n"/>
      <c r="W76" s="58" t="n"/>
      <c r="X76" s="58" t="n"/>
      <c r="Y76" s="55" t="n"/>
      <c r="Z76" s="55" t="n"/>
      <c r="AA76" s="55" t="n"/>
      <c r="AB76" s="55" t="n"/>
      <c r="AC76" s="55" t="n"/>
      <c r="AD76" s="53" t="n"/>
      <c r="AE76" s="55" t="n"/>
      <c r="AF76" s="55" t="n"/>
      <c r="AG76" s="59" t="n"/>
      <c r="AH76" s="57" t="n"/>
      <c r="AI76" s="55" t="n"/>
      <c r="AJ76" s="55" t="n"/>
      <c r="AK76" s="55" t="n"/>
      <c r="AL76" s="55" t="n"/>
      <c r="AM76" s="56" t="n"/>
      <c r="AN76" s="55" t="n"/>
      <c r="AO76" s="55" t="n"/>
      <c r="AP76" s="55" t="n"/>
      <c r="AQ76" s="55" t="n"/>
      <c r="AR76" s="60">
        <f>IF(AND(C76="",E76=""),"",IF(A76="","⚠ Date manquante",IF(AND(C76="",E76&lt;&gt;"Dépense"),"⚠ Prospect manquant",IF(E76="","⚠ Action manquante",IF(AND(AU76=1,D76=""),"⚠ Canal manquant",IF(AND(W76&lt;&gt;"",COUNTIFS('Saisie'!$W$5:$W$2004,W76,'Saisie'!$C$5:$C$2004,"&lt;&gt;"&amp;C76)&gt;0),"⚠ Numéro déjà utilisé par un autre prospect",IF(AND(J76&lt;&gt;"",J76&lt;A76),"⚠ Relance avant la date de l'action",IF(A76&gt;TODAY(),"⚠ Date dans le futur","✓"))))))))</f>
        <v/>
      </c>
      <c r="AS76" s="61">
        <f>IF(AND(A76="",C76="",E76=""),"",ROW())</f>
        <v/>
      </c>
      <c r="AT76" s="61">
        <f>IF(E76&amp;F76="","",MAX(IFERROR(INDEX('Paramètres'!$J$6:$J$33,MATCH(E76,'Paramètres'!$I$6:$I$33,0)),0),IFERROR(INDEX('Paramètres'!$N$6:$N$17,MATCH(F76,'Paramètres'!$M$6:$M$17,0)),0)))</f>
        <v/>
      </c>
      <c r="AU76" s="61">
        <f>IF(E76="","",IFERROR(IF(INDEX('Paramètres'!$K$6:$K$33,MATCH(E76,'Paramètres'!$I$6:$I$33,0))="Oui",1,0),0))</f>
        <v/>
      </c>
      <c r="AV76" s="61">
        <f>IF(F76="","",IFERROR(IF(INDEX('Paramètres'!$O$6:$O$17,MATCH(F76,'Paramètres'!$M$6:$M$17,0))="Oui",1,0),0))</f>
        <v/>
      </c>
      <c r="AW76" s="62">
        <f>IF(E76="","",IF(G76&lt;&gt;"",G76,IF(OR(E76="Proposition envoyée",E76="Signature"),MAX(0,N(IFERROR(INDEX('Paramètres'!$R$6:$R$15,MATCH(IF(AL76&lt;&gt;"",AL76,IFERROR(INDEX('Prospects'!$AN$5:$AN$504,MATCH(C76,'Prospects'!$C$5:$C$504,0)),"")),'Paramètres'!$Q$6:$Q$15,0)),0))-N(P76)),0)))</f>
        <v/>
      </c>
      <c r="AX76" s="61">
        <f>IF(C76="","",IF(COUNTIF($C$5:C76,C76)=1,MAX($AX$4:AX75)+1,""))</f>
        <v/>
      </c>
      <c r="AY76" s="61">
        <f>IF(B76="","",HOUR(B76))</f>
        <v/>
      </c>
      <c r="AZ76" s="61">
        <f>IF(A76="","",MOD(A76-2,7)+1)</f>
        <v/>
      </c>
      <c r="BA76" s="60">
        <f>IF(C76="","",IFERROR(INDEX('Prospects'!$N$5:$N$504,MATCH(C76,'Prospects'!$C$5:$C$504,0)),""))</f>
        <v/>
      </c>
      <c r="BB76" s="61">
        <f>IF(AND(C76&lt;&gt;"",C76='Fiche prospect'!$C$4),COUNTIF($C$5:C76,C76),"")</f>
        <v/>
      </c>
    </row>
    <row r="77">
      <c r="A77" s="53" t="n"/>
      <c r="B77" s="54" t="n"/>
      <c r="C77" s="55" t="n"/>
      <c r="D77" s="55" t="n"/>
      <c r="E77" s="55" t="n"/>
      <c r="F77" s="55" t="n"/>
      <c r="G77" s="56" t="n"/>
      <c r="H77" s="57" t="n"/>
      <c r="I77" s="55" t="n"/>
      <c r="J77" s="53" t="n"/>
      <c r="K77" s="54" t="n"/>
      <c r="L77" s="55" t="n"/>
      <c r="M77" s="55" t="n"/>
      <c r="N77" s="57" t="n"/>
      <c r="O77" s="55" t="n"/>
      <c r="P77" s="56" t="n"/>
      <c r="Q77" s="55" t="n"/>
      <c r="R77" s="55" t="n"/>
      <c r="S77" s="55" t="n"/>
      <c r="T77" s="55" t="n"/>
      <c r="U77" s="55" t="n"/>
      <c r="V77" s="55" t="n"/>
      <c r="W77" s="58" t="n"/>
      <c r="X77" s="58" t="n"/>
      <c r="Y77" s="55" t="n"/>
      <c r="Z77" s="55" t="n"/>
      <c r="AA77" s="55" t="n"/>
      <c r="AB77" s="55" t="n"/>
      <c r="AC77" s="55" t="n"/>
      <c r="AD77" s="53" t="n"/>
      <c r="AE77" s="55" t="n"/>
      <c r="AF77" s="55" t="n"/>
      <c r="AG77" s="59" t="n"/>
      <c r="AH77" s="57" t="n"/>
      <c r="AI77" s="55" t="n"/>
      <c r="AJ77" s="55" t="n"/>
      <c r="AK77" s="55" t="n"/>
      <c r="AL77" s="55" t="n"/>
      <c r="AM77" s="56" t="n"/>
      <c r="AN77" s="55" t="n"/>
      <c r="AO77" s="55" t="n"/>
      <c r="AP77" s="55" t="n"/>
      <c r="AQ77" s="55" t="n"/>
      <c r="AR77" s="60">
        <f>IF(AND(C77="",E77=""),"",IF(A77="","⚠ Date manquante",IF(AND(C77="",E77&lt;&gt;"Dépense"),"⚠ Prospect manquant",IF(E77="","⚠ Action manquante",IF(AND(AU77=1,D77=""),"⚠ Canal manquant",IF(AND(W77&lt;&gt;"",COUNTIFS('Saisie'!$W$5:$W$2004,W77,'Saisie'!$C$5:$C$2004,"&lt;&gt;"&amp;C77)&gt;0),"⚠ Numéro déjà utilisé par un autre prospect",IF(AND(J77&lt;&gt;"",J77&lt;A77),"⚠ Relance avant la date de l'action",IF(A77&gt;TODAY(),"⚠ Date dans le futur","✓"))))))))</f>
        <v/>
      </c>
      <c r="AS77" s="61">
        <f>IF(AND(A77="",C77="",E77=""),"",ROW())</f>
        <v/>
      </c>
      <c r="AT77" s="61">
        <f>IF(E77&amp;F77="","",MAX(IFERROR(INDEX('Paramètres'!$J$6:$J$33,MATCH(E77,'Paramètres'!$I$6:$I$33,0)),0),IFERROR(INDEX('Paramètres'!$N$6:$N$17,MATCH(F77,'Paramètres'!$M$6:$M$17,0)),0)))</f>
        <v/>
      </c>
      <c r="AU77" s="61">
        <f>IF(E77="","",IFERROR(IF(INDEX('Paramètres'!$K$6:$K$33,MATCH(E77,'Paramètres'!$I$6:$I$33,0))="Oui",1,0),0))</f>
        <v/>
      </c>
      <c r="AV77" s="61">
        <f>IF(F77="","",IFERROR(IF(INDEX('Paramètres'!$O$6:$O$17,MATCH(F77,'Paramètres'!$M$6:$M$17,0))="Oui",1,0),0))</f>
        <v/>
      </c>
      <c r="AW77" s="62">
        <f>IF(E77="","",IF(G77&lt;&gt;"",G77,IF(OR(E77="Proposition envoyée",E77="Signature"),MAX(0,N(IFERROR(INDEX('Paramètres'!$R$6:$R$15,MATCH(IF(AL77&lt;&gt;"",AL77,IFERROR(INDEX('Prospects'!$AN$5:$AN$504,MATCH(C77,'Prospects'!$C$5:$C$504,0)),"")),'Paramètres'!$Q$6:$Q$15,0)),0))-N(P77)),0)))</f>
        <v/>
      </c>
      <c r="AX77" s="61">
        <f>IF(C77="","",IF(COUNTIF($C$5:C77,C77)=1,MAX($AX$4:AX76)+1,""))</f>
        <v/>
      </c>
      <c r="AY77" s="61">
        <f>IF(B77="","",HOUR(B77))</f>
        <v/>
      </c>
      <c r="AZ77" s="61">
        <f>IF(A77="","",MOD(A77-2,7)+1)</f>
        <v/>
      </c>
      <c r="BA77" s="60">
        <f>IF(C77="","",IFERROR(INDEX('Prospects'!$N$5:$N$504,MATCH(C77,'Prospects'!$C$5:$C$504,0)),""))</f>
        <v/>
      </c>
      <c r="BB77" s="61">
        <f>IF(AND(C77&lt;&gt;"",C77='Fiche prospect'!$C$4),COUNTIF($C$5:C77,C77),"")</f>
        <v/>
      </c>
    </row>
    <row r="78">
      <c r="A78" s="53" t="n"/>
      <c r="B78" s="54" t="n"/>
      <c r="C78" s="55" t="n"/>
      <c r="D78" s="55" t="n"/>
      <c r="E78" s="55" t="n"/>
      <c r="F78" s="55" t="n"/>
      <c r="G78" s="56" t="n"/>
      <c r="H78" s="57" t="n"/>
      <c r="I78" s="55" t="n"/>
      <c r="J78" s="53" t="n"/>
      <c r="K78" s="54" t="n"/>
      <c r="L78" s="55" t="n"/>
      <c r="M78" s="55" t="n"/>
      <c r="N78" s="57" t="n"/>
      <c r="O78" s="55" t="n"/>
      <c r="P78" s="56" t="n"/>
      <c r="Q78" s="55" t="n"/>
      <c r="R78" s="55" t="n"/>
      <c r="S78" s="55" t="n"/>
      <c r="T78" s="55" t="n"/>
      <c r="U78" s="55" t="n"/>
      <c r="V78" s="55" t="n"/>
      <c r="W78" s="58" t="n"/>
      <c r="X78" s="58" t="n"/>
      <c r="Y78" s="55" t="n"/>
      <c r="Z78" s="55" t="n"/>
      <c r="AA78" s="55" t="n"/>
      <c r="AB78" s="55" t="n"/>
      <c r="AC78" s="55" t="n"/>
      <c r="AD78" s="53" t="n"/>
      <c r="AE78" s="55" t="n"/>
      <c r="AF78" s="55" t="n"/>
      <c r="AG78" s="59" t="n"/>
      <c r="AH78" s="57" t="n"/>
      <c r="AI78" s="55" t="n"/>
      <c r="AJ78" s="55" t="n"/>
      <c r="AK78" s="55" t="n"/>
      <c r="AL78" s="55" t="n"/>
      <c r="AM78" s="56" t="n"/>
      <c r="AN78" s="55" t="n"/>
      <c r="AO78" s="55" t="n"/>
      <c r="AP78" s="55" t="n"/>
      <c r="AQ78" s="55" t="n"/>
      <c r="AR78" s="60">
        <f>IF(AND(C78="",E78=""),"",IF(A78="","⚠ Date manquante",IF(AND(C78="",E78&lt;&gt;"Dépense"),"⚠ Prospect manquant",IF(E78="","⚠ Action manquante",IF(AND(AU78=1,D78=""),"⚠ Canal manquant",IF(AND(W78&lt;&gt;"",COUNTIFS('Saisie'!$W$5:$W$2004,W78,'Saisie'!$C$5:$C$2004,"&lt;&gt;"&amp;C78)&gt;0),"⚠ Numéro déjà utilisé par un autre prospect",IF(AND(J78&lt;&gt;"",J78&lt;A78),"⚠ Relance avant la date de l'action",IF(A78&gt;TODAY(),"⚠ Date dans le futur","✓"))))))))</f>
        <v/>
      </c>
      <c r="AS78" s="61">
        <f>IF(AND(A78="",C78="",E78=""),"",ROW())</f>
        <v/>
      </c>
      <c r="AT78" s="61">
        <f>IF(E78&amp;F78="","",MAX(IFERROR(INDEX('Paramètres'!$J$6:$J$33,MATCH(E78,'Paramètres'!$I$6:$I$33,0)),0),IFERROR(INDEX('Paramètres'!$N$6:$N$17,MATCH(F78,'Paramètres'!$M$6:$M$17,0)),0)))</f>
        <v/>
      </c>
      <c r="AU78" s="61">
        <f>IF(E78="","",IFERROR(IF(INDEX('Paramètres'!$K$6:$K$33,MATCH(E78,'Paramètres'!$I$6:$I$33,0))="Oui",1,0),0))</f>
        <v/>
      </c>
      <c r="AV78" s="61">
        <f>IF(F78="","",IFERROR(IF(INDEX('Paramètres'!$O$6:$O$17,MATCH(F78,'Paramètres'!$M$6:$M$17,0))="Oui",1,0),0))</f>
        <v/>
      </c>
      <c r="AW78" s="62">
        <f>IF(E78="","",IF(G78&lt;&gt;"",G78,IF(OR(E78="Proposition envoyée",E78="Signature"),MAX(0,N(IFERROR(INDEX('Paramètres'!$R$6:$R$15,MATCH(IF(AL78&lt;&gt;"",AL78,IFERROR(INDEX('Prospects'!$AN$5:$AN$504,MATCH(C78,'Prospects'!$C$5:$C$504,0)),"")),'Paramètres'!$Q$6:$Q$15,0)),0))-N(P78)),0)))</f>
        <v/>
      </c>
      <c r="AX78" s="61">
        <f>IF(C78="","",IF(COUNTIF($C$5:C78,C78)=1,MAX($AX$4:AX77)+1,""))</f>
        <v/>
      </c>
      <c r="AY78" s="61">
        <f>IF(B78="","",HOUR(B78))</f>
        <v/>
      </c>
      <c r="AZ78" s="61">
        <f>IF(A78="","",MOD(A78-2,7)+1)</f>
        <v/>
      </c>
      <c r="BA78" s="60">
        <f>IF(C78="","",IFERROR(INDEX('Prospects'!$N$5:$N$504,MATCH(C78,'Prospects'!$C$5:$C$504,0)),""))</f>
        <v/>
      </c>
      <c r="BB78" s="61">
        <f>IF(AND(C78&lt;&gt;"",C78='Fiche prospect'!$C$4),COUNTIF($C$5:C78,C78),"")</f>
        <v/>
      </c>
    </row>
    <row r="79">
      <c r="A79" s="53" t="n"/>
      <c r="B79" s="54" t="n"/>
      <c r="C79" s="55" t="n"/>
      <c r="D79" s="55" t="n"/>
      <c r="E79" s="55" t="n"/>
      <c r="F79" s="55" t="n"/>
      <c r="G79" s="56" t="n"/>
      <c r="H79" s="57" t="n"/>
      <c r="I79" s="55" t="n"/>
      <c r="J79" s="53" t="n"/>
      <c r="K79" s="54" t="n"/>
      <c r="L79" s="55" t="n"/>
      <c r="M79" s="55" t="n"/>
      <c r="N79" s="57" t="n"/>
      <c r="O79" s="55" t="n"/>
      <c r="P79" s="56" t="n"/>
      <c r="Q79" s="55" t="n"/>
      <c r="R79" s="55" t="n"/>
      <c r="S79" s="55" t="n"/>
      <c r="T79" s="55" t="n"/>
      <c r="U79" s="55" t="n"/>
      <c r="V79" s="55" t="n"/>
      <c r="W79" s="58" t="n"/>
      <c r="X79" s="58" t="n"/>
      <c r="Y79" s="55" t="n"/>
      <c r="Z79" s="55" t="n"/>
      <c r="AA79" s="55" t="n"/>
      <c r="AB79" s="55" t="n"/>
      <c r="AC79" s="55" t="n"/>
      <c r="AD79" s="53" t="n"/>
      <c r="AE79" s="55" t="n"/>
      <c r="AF79" s="55" t="n"/>
      <c r="AG79" s="59" t="n"/>
      <c r="AH79" s="57" t="n"/>
      <c r="AI79" s="55" t="n"/>
      <c r="AJ79" s="55" t="n"/>
      <c r="AK79" s="55" t="n"/>
      <c r="AL79" s="55" t="n"/>
      <c r="AM79" s="56" t="n"/>
      <c r="AN79" s="55" t="n"/>
      <c r="AO79" s="55" t="n"/>
      <c r="AP79" s="55" t="n"/>
      <c r="AQ79" s="55" t="n"/>
      <c r="AR79" s="60">
        <f>IF(AND(C79="",E79=""),"",IF(A79="","⚠ Date manquante",IF(AND(C79="",E79&lt;&gt;"Dépense"),"⚠ Prospect manquant",IF(E79="","⚠ Action manquante",IF(AND(AU79=1,D79=""),"⚠ Canal manquant",IF(AND(W79&lt;&gt;"",COUNTIFS('Saisie'!$W$5:$W$2004,W79,'Saisie'!$C$5:$C$2004,"&lt;&gt;"&amp;C79)&gt;0),"⚠ Numéro déjà utilisé par un autre prospect",IF(AND(J79&lt;&gt;"",J79&lt;A79),"⚠ Relance avant la date de l'action",IF(A79&gt;TODAY(),"⚠ Date dans le futur","✓"))))))))</f>
        <v/>
      </c>
      <c r="AS79" s="61">
        <f>IF(AND(A79="",C79="",E79=""),"",ROW())</f>
        <v/>
      </c>
      <c r="AT79" s="61">
        <f>IF(E79&amp;F79="","",MAX(IFERROR(INDEX('Paramètres'!$J$6:$J$33,MATCH(E79,'Paramètres'!$I$6:$I$33,0)),0),IFERROR(INDEX('Paramètres'!$N$6:$N$17,MATCH(F79,'Paramètres'!$M$6:$M$17,0)),0)))</f>
        <v/>
      </c>
      <c r="AU79" s="61">
        <f>IF(E79="","",IFERROR(IF(INDEX('Paramètres'!$K$6:$K$33,MATCH(E79,'Paramètres'!$I$6:$I$33,0))="Oui",1,0),0))</f>
        <v/>
      </c>
      <c r="AV79" s="61">
        <f>IF(F79="","",IFERROR(IF(INDEX('Paramètres'!$O$6:$O$17,MATCH(F79,'Paramètres'!$M$6:$M$17,0))="Oui",1,0),0))</f>
        <v/>
      </c>
      <c r="AW79" s="62">
        <f>IF(E79="","",IF(G79&lt;&gt;"",G79,IF(OR(E79="Proposition envoyée",E79="Signature"),MAX(0,N(IFERROR(INDEX('Paramètres'!$R$6:$R$15,MATCH(IF(AL79&lt;&gt;"",AL79,IFERROR(INDEX('Prospects'!$AN$5:$AN$504,MATCH(C79,'Prospects'!$C$5:$C$504,0)),"")),'Paramètres'!$Q$6:$Q$15,0)),0))-N(P79)),0)))</f>
        <v/>
      </c>
      <c r="AX79" s="61">
        <f>IF(C79="","",IF(COUNTIF($C$5:C79,C79)=1,MAX($AX$4:AX78)+1,""))</f>
        <v/>
      </c>
      <c r="AY79" s="61">
        <f>IF(B79="","",HOUR(B79))</f>
        <v/>
      </c>
      <c r="AZ79" s="61">
        <f>IF(A79="","",MOD(A79-2,7)+1)</f>
        <v/>
      </c>
      <c r="BA79" s="60">
        <f>IF(C79="","",IFERROR(INDEX('Prospects'!$N$5:$N$504,MATCH(C79,'Prospects'!$C$5:$C$504,0)),""))</f>
        <v/>
      </c>
      <c r="BB79" s="61">
        <f>IF(AND(C79&lt;&gt;"",C79='Fiche prospect'!$C$4),COUNTIF($C$5:C79,C79),"")</f>
        <v/>
      </c>
    </row>
    <row r="80">
      <c r="A80" s="53" t="n"/>
      <c r="B80" s="54" t="n"/>
      <c r="C80" s="55" t="n"/>
      <c r="D80" s="55" t="n"/>
      <c r="E80" s="55" t="n"/>
      <c r="F80" s="55" t="n"/>
      <c r="G80" s="56" t="n"/>
      <c r="H80" s="57" t="n"/>
      <c r="I80" s="55" t="n"/>
      <c r="J80" s="53" t="n"/>
      <c r="K80" s="54" t="n"/>
      <c r="L80" s="55" t="n"/>
      <c r="M80" s="55" t="n"/>
      <c r="N80" s="57" t="n"/>
      <c r="O80" s="55" t="n"/>
      <c r="P80" s="56" t="n"/>
      <c r="Q80" s="55" t="n"/>
      <c r="R80" s="55" t="n"/>
      <c r="S80" s="55" t="n"/>
      <c r="T80" s="55" t="n"/>
      <c r="U80" s="55" t="n"/>
      <c r="V80" s="55" t="n"/>
      <c r="W80" s="58" t="n"/>
      <c r="X80" s="58" t="n"/>
      <c r="Y80" s="55" t="n"/>
      <c r="Z80" s="55" t="n"/>
      <c r="AA80" s="55" t="n"/>
      <c r="AB80" s="55" t="n"/>
      <c r="AC80" s="55" t="n"/>
      <c r="AD80" s="53" t="n"/>
      <c r="AE80" s="55" t="n"/>
      <c r="AF80" s="55" t="n"/>
      <c r="AG80" s="59" t="n"/>
      <c r="AH80" s="57" t="n"/>
      <c r="AI80" s="55" t="n"/>
      <c r="AJ80" s="55" t="n"/>
      <c r="AK80" s="55" t="n"/>
      <c r="AL80" s="55" t="n"/>
      <c r="AM80" s="56" t="n"/>
      <c r="AN80" s="55" t="n"/>
      <c r="AO80" s="55" t="n"/>
      <c r="AP80" s="55" t="n"/>
      <c r="AQ80" s="55" t="n"/>
      <c r="AR80" s="60">
        <f>IF(AND(C80="",E80=""),"",IF(A80="","⚠ Date manquante",IF(AND(C80="",E80&lt;&gt;"Dépense"),"⚠ Prospect manquant",IF(E80="","⚠ Action manquante",IF(AND(AU80=1,D80=""),"⚠ Canal manquant",IF(AND(W80&lt;&gt;"",COUNTIFS('Saisie'!$W$5:$W$2004,W80,'Saisie'!$C$5:$C$2004,"&lt;&gt;"&amp;C80)&gt;0),"⚠ Numéro déjà utilisé par un autre prospect",IF(AND(J80&lt;&gt;"",J80&lt;A80),"⚠ Relance avant la date de l'action",IF(A80&gt;TODAY(),"⚠ Date dans le futur","✓"))))))))</f>
        <v/>
      </c>
      <c r="AS80" s="61">
        <f>IF(AND(A80="",C80="",E80=""),"",ROW())</f>
        <v/>
      </c>
      <c r="AT80" s="61">
        <f>IF(E80&amp;F80="","",MAX(IFERROR(INDEX('Paramètres'!$J$6:$J$33,MATCH(E80,'Paramètres'!$I$6:$I$33,0)),0),IFERROR(INDEX('Paramètres'!$N$6:$N$17,MATCH(F80,'Paramètres'!$M$6:$M$17,0)),0)))</f>
        <v/>
      </c>
      <c r="AU80" s="61">
        <f>IF(E80="","",IFERROR(IF(INDEX('Paramètres'!$K$6:$K$33,MATCH(E80,'Paramètres'!$I$6:$I$33,0))="Oui",1,0),0))</f>
        <v/>
      </c>
      <c r="AV80" s="61">
        <f>IF(F80="","",IFERROR(IF(INDEX('Paramètres'!$O$6:$O$17,MATCH(F80,'Paramètres'!$M$6:$M$17,0))="Oui",1,0),0))</f>
        <v/>
      </c>
      <c r="AW80" s="62">
        <f>IF(E80="","",IF(G80&lt;&gt;"",G80,IF(OR(E80="Proposition envoyée",E80="Signature"),MAX(0,N(IFERROR(INDEX('Paramètres'!$R$6:$R$15,MATCH(IF(AL80&lt;&gt;"",AL80,IFERROR(INDEX('Prospects'!$AN$5:$AN$504,MATCH(C80,'Prospects'!$C$5:$C$504,0)),"")),'Paramètres'!$Q$6:$Q$15,0)),0))-N(P80)),0)))</f>
        <v/>
      </c>
      <c r="AX80" s="61">
        <f>IF(C80="","",IF(COUNTIF($C$5:C80,C80)=1,MAX($AX$4:AX79)+1,""))</f>
        <v/>
      </c>
      <c r="AY80" s="61">
        <f>IF(B80="","",HOUR(B80))</f>
        <v/>
      </c>
      <c r="AZ80" s="61">
        <f>IF(A80="","",MOD(A80-2,7)+1)</f>
        <v/>
      </c>
      <c r="BA80" s="60">
        <f>IF(C80="","",IFERROR(INDEX('Prospects'!$N$5:$N$504,MATCH(C80,'Prospects'!$C$5:$C$504,0)),""))</f>
        <v/>
      </c>
      <c r="BB80" s="61">
        <f>IF(AND(C80&lt;&gt;"",C80='Fiche prospect'!$C$4),COUNTIF($C$5:C80,C80),"")</f>
        <v/>
      </c>
    </row>
    <row r="81">
      <c r="A81" s="53" t="n"/>
      <c r="B81" s="54" t="n"/>
      <c r="C81" s="55" t="n"/>
      <c r="D81" s="55" t="n"/>
      <c r="E81" s="55" t="n"/>
      <c r="F81" s="55" t="n"/>
      <c r="G81" s="56" t="n"/>
      <c r="H81" s="57" t="n"/>
      <c r="I81" s="55" t="n"/>
      <c r="J81" s="53" t="n"/>
      <c r="K81" s="54" t="n"/>
      <c r="L81" s="55" t="n"/>
      <c r="M81" s="55" t="n"/>
      <c r="N81" s="57" t="n"/>
      <c r="O81" s="55" t="n"/>
      <c r="P81" s="56" t="n"/>
      <c r="Q81" s="55" t="n"/>
      <c r="R81" s="55" t="n"/>
      <c r="S81" s="55" t="n"/>
      <c r="T81" s="55" t="n"/>
      <c r="U81" s="55" t="n"/>
      <c r="V81" s="55" t="n"/>
      <c r="W81" s="58" t="n"/>
      <c r="X81" s="58" t="n"/>
      <c r="Y81" s="55" t="n"/>
      <c r="Z81" s="55" t="n"/>
      <c r="AA81" s="55" t="n"/>
      <c r="AB81" s="55" t="n"/>
      <c r="AC81" s="55" t="n"/>
      <c r="AD81" s="53" t="n"/>
      <c r="AE81" s="55" t="n"/>
      <c r="AF81" s="55" t="n"/>
      <c r="AG81" s="59" t="n"/>
      <c r="AH81" s="57" t="n"/>
      <c r="AI81" s="55" t="n"/>
      <c r="AJ81" s="55" t="n"/>
      <c r="AK81" s="55" t="n"/>
      <c r="AL81" s="55" t="n"/>
      <c r="AM81" s="56" t="n"/>
      <c r="AN81" s="55" t="n"/>
      <c r="AO81" s="55" t="n"/>
      <c r="AP81" s="55" t="n"/>
      <c r="AQ81" s="55" t="n"/>
      <c r="AR81" s="60">
        <f>IF(AND(C81="",E81=""),"",IF(A81="","⚠ Date manquante",IF(AND(C81="",E81&lt;&gt;"Dépense"),"⚠ Prospect manquant",IF(E81="","⚠ Action manquante",IF(AND(AU81=1,D81=""),"⚠ Canal manquant",IF(AND(W81&lt;&gt;"",COUNTIFS('Saisie'!$W$5:$W$2004,W81,'Saisie'!$C$5:$C$2004,"&lt;&gt;"&amp;C81)&gt;0),"⚠ Numéro déjà utilisé par un autre prospect",IF(AND(J81&lt;&gt;"",J81&lt;A81),"⚠ Relance avant la date de l'action",IF(A81&gt;TODAY(),"⚠ Date dans le futur","✓"))))))))</f>
        <v/>
      </c>
      <c r="AS81" s="61">
        <f>IF(AND(A81="",C81="",E81=""),"",ROW())</f>
        <v/>
      </c>
      <c r="AT81" s="61">
        <f>IF(E81&amp;F81="","",MAX(IFERROR(INDEX('Paramètres'!$J$6:$J$33,MATCH(E81,'Paramètres'!$I$6:$I$33,0)),0),IFERROR(INDEX('Paramètres'!$N$6:$N$17,MATCH(F81,'Paramètres'!$M$6:$M$17,0)),0)))</f>
        <v/>
      </c>
      <c r="AU81" s="61">
        <f>IF(E81="","",IFERROR(IF(INDEX('Paramètres'!$K$6:$K$33,MATCH(E81,'Paramètres'!$I$6:$I$33,0))="Oui",1,0),0))</f>
        <v/>
      </c>
      <c r="AV81" s="61">
        <f>IF(F81="","",IFERROR(IF(INDEX('Paramètres'!$O$6:$O$17,MATCH(F81,'Paramètres'!$M$6:$M$17,0))="Oui",1,0),0))</f>
        <v/>
      </c>
      <c r="AW81" s="62">
        <f>IF(E81="","",IF(G81&lt;&gt;"",G81,IF(OR(E81="Proposition envoyée",E81="Signature"),MAX(0,N(IFERROR(INDEX('Paramètres'!$R$6:$R$15,MATCH(IF(AL81&lt;&gt;"",AL81,IFERROR(INDEX('Prospects'!$AN$5:$AN$504,MATCH(C81,'Prospects'!$C$5:$C$504,0)),"")),'Paramètres'!$Q$6:$Q$15,0)),0))-N(P81)),0)))</f>
        <v/>
      </c>
      <c r="AX81" s="61">
        <f>IF(C81="","",IF(COUNTIF($C$5:C81,C81)=1,MAX($AX$4:AX80)+1,""))</f>
        <v/>
      </c>
      <c r="AY81" s="61">
        <f>IF(B81="","",HOUR(B81))</f>
        <v/>
      </c>
      <c r="AZ81" s="61">
        <f>IF(A81="","",MOD(A81-2,7)+1)</f>
        <v/>
      </c>
      <c r="BA81" s="60">
        <f>IF(C81="","",IFERROR(INDEX('Prospects'!$N$5:$N$504,MATCH(C81,'Prospects'!$C$5:$C$504,0)),""))</f>
        <v/>
      </c>
      <c r="BB81" s="61">
        <f>IF(AND(C81&lt;&gt;"",C81='Fiche prospect'!$C$4),COUNTIF($C$5:C81,C81),"")</f>
        <v/>
      </c>
    </row>
    <row r="82">
      <c r="A82" s="53" t="n"/>
      <c r="B82" s="54" t="n"/>
      <c r="C82" s="55" t="n"/>
      <c r="D82" s="55" t="n"/>
      <c r="E82" s="55" t="n"/>
      <c r="F82" s="55" t="n"/>
      <c r="G82" s="56" t="n"/>
      <c r="H82" s="57" t="n"/>
      <c r="I82" s="55" t="n"/>
      <c r="J82" s="53" t="n"/>
      <c r="K82" s="54" t="n"/>
      <c r="L82" s="55" t="n"/>
      <c r="M82" s="55" t="n"/>
      <c r="N82" s="57" t="n"/>
      <c r="O82" s="55" t="n"/>
      <c r="P82" s="56" t="n"/>
      <c r="Q82" s="55" t="n"/>
      <c r="R82" s="55" t="n"/>
      <c r="S82" s="55" t="n"/>
      <c r="T82" s="55" t="n"/>
      <c r="U82" s="55" t="n"/>
      <c r="V82" s="55" t="n"/>
      <c r="W82" s="58" t="n"/>
      <c r="X82" s="58" t="n"/>
      <c r="Y82" s="55" t="n"/>
      <c r="Z82" s="55" t="n"/>
      <c r="AA82" s="55" t="n"/>
      <c r="AB82" s="55" t="n"/>
      <c r="AC82" s="55" t="n"/>
      <c r="AD82" s="53" t="n"/>
      <c r="AE82" s="55" t="n"/>
      <c r="AF82" s="55" t="n"/>
      <c r="AG82" s="59" t="n"/>
      <c r="AH82" s="57" t="n"/>
      <c r="AI82" s="55" t="n"/>
      <c r="AJ82" s="55" t="n"/>
      <c r="AK82" s="55" t="n"/>
      <c r="AL82" s="55" t="n"/>
      <c r="AM82" s="56" t="n"/>
      <c r="AN82" s="55" t="n"/>
      <c r="AO82" s="55" t="n"/>
      <c r="AP82" s="55" t="n"/>
      <c r="AQ82" s="55" t="n"/>
      <c r="AR82" s="60">
        <f>IF(AND(C82="",E82=""),"",IF(A82="","⚠ Date manquante",IF(AND(C82="",E82&lt;&gt;"Dépense"),"⚠ Prospect manquant",IF(E82="","⚠ Action manquante",IF(AND(AU82=1,D82=""),"⚠ Canal manquant",IF(AND(W82&lt;&gt;"",COUNTIFS('Saisie'!$W$5:$W$2004,W82,'Saisie'!$C$5:$C$2004,"&lt;&gt;"&amp;C82)&gt;0),"⚠ Numéro déjà utilisé par un autre prospect",IF(AND(J82&lt;&gt;"",J82&lt;A82),"⚠ Relance avant la date de l'action",IF(A82&gt;TODAY(),"⚠ Date dans le futur","✓"))))))))</f>
        <v/>
      </c>
      <c r="AS82" s="61">
        <f>IF(AND(A82="",C82="",E82=""),"",ROW())</f>
        <v/>
      </c>
      <c r="AT82" s="61">
        <f>IF(E82&amp;F82="","",MAX(IFERROR(INDEX('Paramètres'!$J$6:$J$33,MATCH(E82,'Paramètres'!$I$6:$I$33,0)),0),IFERROR(INDEX('Paramètres'!$N$6:$N$17,MATCH(F82,'Paramètres'!$M$6:$M$17,0)),0)))</f>
        <v/>
      </c>
      <c r="AU82" s="61">
        <f>IF(E82="","",IFERROR(IF(INDEX('Paramètres'!$K$6:$K$33,MATCH(E82,'Paramètres'!$I$6:$I$33,0))="Oui",1,0),0))</f>
        <v/>
      </c>
      <c r="AV82" s="61">
        <f>IF(F82="","",IFERROR(IF(INDEX('Paramètres'!$O$6:$O$17,MATCH(F82,'Paramètres'!$M$6:$M$17,0))="Oui",1,0),0))</f>
        <v/>
      </c>
      <c r="AW82" s="62">
        <f>IF(E82="","",IF(G82&lt;&gt;"",G82,IF(OR(E82="Proposition envoyée",E82="Signature"),MAX(0,N(IFERROR(INDEX('Paramètres'!$R$6:$R$15,MATCH(IF(AL82&lt;&gt;"",AL82,IFERROR(INDEX('Prospects'!$AN$5:$AN$504,MATCH(C82,'Prospects'!$C$5:$C$504,0)),"")),'Paramètres'!$Q$6:$Q$15,0)),0))-N(P82)),0)))</f>
        <v/>
      </c>
      <c r="AX82" s="61">
        <f>IF(C82="","",IF(COUNTIF($C$5:C82,C82)=1,MAX($AX$4:AX81)+1,""))</f>
        <v/>
      </c>
      <c r="AY82" s="61">
        <f>IF(B82="","",HOUR(B82))</f>
        <v/>
      </c>
      <c r="AZ82" s="61">
        <f>IF(A82="","",MOD(A82-2,7)+1)</f>
        <v/>
      </c>
      <c r="BA82" s="60">
        <f>IF(C82="","",IFERROR(INDEX('Prospects'!$N$5:$N$504,MATCH(C82,'Prospects'!$C$5:$C$504,0)),""))</f>
        <v/>
      </c>
      <c r="BB82" s="61">
        <f>IF(AND(C82&lt;&gt;"",C82='Fiche prospect'!$C$4),COUNTIF($C$5:C82,C82),"")</f>
        <v/>
      </c>
    </row>
    <row r="83">
      <c r="A83" s="53" t="n"/>
      <c r="B83" s="54" t="n"/>
      <c r="C83" s="55" t="n"/>
      <c r="D83" s="55" t="n"/>
      <c r="E83" s="55" t="n"/>
      <c r="F83" s="55" t="n"/>
      <c r="G83" s="56" t="n"/>
      <c r="H83" s="57" t="n"/>
      <c r="I83" s="55" t="n"/>
      <c r="J83" s="53" t="n"/>
      <c r="K83" s="54" t="n"/>
      <c r="L83" s="55" t="n"/>
      <c r="M83" s="55" t="n"/>
      <c r="N83" s="57" t="n"/>
      <c r="O83" s="55" t="n"/>
      <c r="P83" s="56" t="n"/>
      <c r="Q83" s="55" t="n"/>
      <c r="R83" s="55" t="n"/>
      <c r="S83" s="55" t="n"/>
      <c r="T83" s="55" t="n"/>
      <c r="U83" s="55" t="n"/>
      <c r="V83" s="55" t="n"/>
      <c r="W83" s="58" t="n"/>
      <c r="X83" s="58" t="n"/>
      <c r="Y83" s="55" t="n"/>
      <c r="Z83" s="55" t="n"/>
      <c r="AA83" s="55" t="n"/>
      <c r="AB83" s="55" t="n"/>
      <c r="AC83" s="55" t="n"/>
      <c r="AD83" s="53" t="n"/>
      <c r="AE83" s="55" t="n"/>
      <c r="AF83" s="55" t="n"/>
      <c r="AG83" s="59" t="n"/>
      <c r="AH83" s="57" t="n"/>
      <c r="AI83" s="55" t="n"/>
      <c r="AJ83" s="55" t="n"/>
      <c r="AK83" s="55" t="n"/>
      <c r="AL83" s="55" t="n"/>
      <c r="AM83" s="56" t="n"/>
      <c r="AN83" s="55" t="n"/>
      <c r="AO83" s="55" t="n"/>
      <c r="AP83" s="55" t="n"/>
      <c r="AQ83" s="55" t="n"/>
      <c r="AR83" s="60">
        <f>IF(AND(C83="",E83=""),"",IF(A83="","⚠ Date manquante",IF(AND(C83="",E83&lt;&gt;"Dépense"),"⚠ Prospect manquant",IF(E83="","⚠ Action manquante",IF(AND(AU83=1,D83=""),"⚠ Canal manquant",IF(AND(W83&lt;&gt;"",COUNTIFS('Saisie'!$W$5:$W$2004,W83,'Saisie'!$C$5:$C$2004,"&lt;&gt;"&amp;C83)&gt;0),"⚠ Numéro déjà utilisé par un autre prospect",IF(AND(J83&lt;&gt;"",J83&lt;A83),"⚠ Relance avant la date de l'action",IF(A83&gt;TODAY(),"⚠ Date dans le futur","✓"))))))))</f>
        <v/>
      </c>
      <c r="AS83" s="61">
        <f>IF(AND(A83="",C83="",E83=""),"",ROW())</f>
        <v/>
      </c>
      <c r="AT83" s="61">
        <f>IF(E83&amp;F83="","",MAX(IFERROR(INDEX('Paramètres'!$J$6:$J$33,MATCH(E83,'Paramètres'!$I$6:$I$33,0)),0),IFERROR(INDEX('Paramètres'!$N$6:$N$17,MATCH(F83,'Paramètres'!$M$6:$M$17,0)),0)))</f>
        <v/>
      </c>
      <c r="AU83" s="61">
        <f>IF(E83="","",IFERROR(IF(INDEX('Paramètres'!$K$6:$K$33,MATCH(E83,'Paramètres'!$I$6:$I$33,0))="Oui",1,0),0))</f>
        <v/>
      </c>
      <c r="AV83" s="61">
        <f>IF(F83="","",IFERROR(IF(INDEX('Paramètres'!$O$6:$O$17,MATCH(F83,'Paramètres'!$M$6:$M$17,0))="Oui",1,0),0))</f>
        <v/>
      </c>
      <c r="AW83" s="62">
        <f>IF(E83="","",IF(G83&lt;&gt;"",G83,IF(OR(E83="Proposition envoyée",E83="Signature"),MAX(0,N(IFERROR(INDEX('Paramètres'!$R$6:$R$15,MATCH(IF(AL83&lt;&gt;"",AL83,IFERROR(INDEX('Prospects'!$AN$5:$AN$504,MATCH(C83,'Prospects'!$C$5:$C$504,0)),"")),'Paramètres'!$Q$6:$Q$15,0)),0))-N(P83)),0)))</f>
        <v/>
      </c>
      <c r="AX83" s="61">
        <f>IF(C83="","",IF(COUNTIF($C$5:C83,C83)=1,MAX($AX$4:AX82)+1,""))</f>
        <v/>
      </c>
      <c r="AY83" s="61">
        <f>IF(B83="","",HOUR(B83))</f>
        <v/>
      </c>
      <c r="AZ83" s="61">
        <f>IF(A83="","",MOD(A83-2,7)+1)</f>
        <v/>
      </c>
      <c r="BA83" s="60">
        <f>IF(C83="","",IFERROR(INDEX('Prospects'!$N$5:$N$504,MATCH(C83,'Prospects'!$C$5:$C$504,0)),""))</f>
        <v/>
      </c>
      <c r="BB83" s="61">
        <f>IF(AND(C83&lt;&gt;"",C83='Fiche prospect'!$C$4),COUNTIF($C$5:C83,C83),"")</f>
        <v/>
      </c>
    </row>
    <row r="84">
      <c r="A84" s="53" t="n"/>
      <c r="B84" s="54" t="n"/>
      <c r="C84" s="55" t="n"/>
      <c r="D84" s="55" t="n"/>
      <c r="E84" s="55" t="n"/>
      <c r="F84" s="55" t="n"/>
      <c r="G84" s="56" t="n"/>
      <c r="H84" s="57" t="n"/>
      <c r="I84" s="55" t="n"/>
      <c r="J84" s="53" t="n"/>
      <c r="K84" s="54" t="n"/>
      <c r="L84" s="55" t="n"/>
      <c r="M84" s="55" t="n"/>
      <c r="N84" s="57" t="n"/>
      <c r="O84" s="55" t="n"/>
      <c r="P84" s="56" t="n"/>
      <c r="Q84" s="55" t="n"/>
      <c r="R84" s="55" t="n"/>
      <c r="S84" s="55" t="n"/>
      <c r="T84" s="55" t="n"/>
      <c r="U84" s="55" t="n"/>
      <c r="V84" s="55" t="n"/>
      <c r="W84" s="58" t="n"/>
      <c r="X84" s="58" t="n"/>
      <c r="Y84" s="55" t="n"/>
      <c r="Z84" s="55" t="n"/>
      <c r="AA84" s="55" t="n"/>
      <c r="AB84" s="55" t="n"/>
      <c r="AC84" s="55" t="n"/>
      <c r="AD84" s="53" t="n"/>
      <c r="AE84" s="55" t="n"/>
      <c r="AF84" s="55" t="n"/>
      <c r="AG84" s="59" t="n"/>
      <c r="AH84" s="57" t="n"/>
      <c r="AI84" s="55" t="n"/>
      <c r="AJ84" s="55" t="n"/>
      <c r="AK84" s="55" t="n"/>
      <c r="AL84" s="55" t="n"/>
      <c r="AM84" s="56" t="n"/>
      <c r="AN84" s="55" t="n"/>
      <c r="AO84" s="55" t="n"/>
      <c r="AP84" s="55" t="n"/>
      <c r="AQ84" s="55" t="n"/>
      <c r="AR84" s="60">
        <f>IF(AND(C84="",E84=""),"",IF(A84="","⚠ Date manquante",IF(AND(C84="",E84&lt;&gt;"Dépense"),"⚠ Prospect manquant",IF(E84="","⚠ Action manquante",IF(AND(AU84=1,D84=""),"⚠ Canal manquant",IF(AND(W84&lt;&gt;"",COUNTIFS('Saisie'!$W$5:$W$2004,W84,'Saisie'!$C$5:$C$2004,"&lt;&gt;"&amp;C84)&gt;0),"⚠ Numéro déjà utilisé par un autre prospect",IF(AND(J84&lt;&gt;"",J84&lt;A84),"⚠ Relance avant la date de l'action",IF(A84&gt;TODAY(),"⚠ Date dans le futur","✓"))))))))</f>
        <v/>
      </c>
      <c r="AS84" s="61">
        <f>IF(AND(A84="",C84="",E84=""),"",ROW())</f>
        <v/>
      </c>
      <c r="AT84" s="61">
        <f>IF(E84&amp;F84="","",MAX(IFERROR(INDEX('Paramètres'!$J$6:$J$33,MATCH(E84,'Paramètres'!$I$6:$I$33,0)),0),IFERROR(INDEX('Paramètres'!$N$6:$N$17,MATCH(F84,'Paramètres'!$M$6:$M$17,0)),0)))</f>
        <v/>
      </c>
      <c r="AU84" s="61">
        <f>IF(E84="","",IFERROR(IF(INDEX('Paramètres'!$K$6:$K$33,MATCH(E84,'Paramètres'!$I$6:$I$33,0))="Oui",1,0),0))</f>
        <v/>
      </c>
      <c r="AV84" s="61">
        <f>IF(F84="","",IFERROR(IF(INDEX('Paramètres'!$O$6:$O$17,MATCH(F84,'Paramètres'!$M$6:$M$17,0))="Oui",1,0),0))</f>
        <v/>
      </c>
      <c r="AW84" s="62">
        <f>IF(E84="","",IF(G84&lt;&gt;"",G84,IF(OR(E84="Proposition envoyée",E84="Signature"),MAX(0,N(IFERROR(INDEX('Paramètres'!$R$6:$R$15,MATCH(IF(AL84&lt;&gt;"",AL84,IFERROR(INDEX('Prospects'!$AN$5:$AN$504,MATCH(C84,'Prospects'!$C$5:$C$504,0)),"")),'Paramètres'!$Q$6:$Q$15,0)),0))-N(P84)),0)))</f>
        <v/>
      </c>
      <c r="AX84" s="61">
        <f>IF(C84="","",IF(COUNTIF($C$5:C84,C84)=1,MAX($AX$4:AX83)+1,""))</f>
        <v/>
      </c>
      <c r="AY84" s="61">
        <f>IF(B84="","",HOUR(B84))</f>
        <v/>
      </c>
      <c r="AZ84" s="61">
        <f>IF(A84="","",MOD(A84-2,7)+1)</f>
        <v/>
      </c>
      <c r="BA84" s="60">
        <f>IF(C84="","",IFERROR(INDEX('Prospects'!$N$5:$N$504,MATCH(C84,'Prospects'!$C$5:$C$504,0)),""))</f>
        <v/>
      </c>
      <c r="BB84" s="61">
        <f>IF(AND(C84&lt;&gt;"",C84='Fiche prospect'!$C$4),COUNTIF($C$5:C84,C84),"")</f>
        <v/>
      </c>
    </row>
    <row r="85">
      <c r="A85" s="53" t="n"/>
      <c r="B85" s="54" t="n"/>
      <c r="C85" s="55" t="n"/>
      <c r="D85" s="55" t="n"/>
      <c r="E85" s="55" t="n"/>
      <c r="F85" s="55" t="n"/>
      <c r="G85" s="56" t="n"/>
      <c r="H85" s="57" t="n"/>
      <c r="I85" s="55" t="n"/>
      <c r="J85" s="53" t="n"/>
      <c r="K85" s="54" t="n"/>
      <c r="L85" s="55" t="n"/>
      <c r="M85" s="55" t="n"/>
      <c r="N85" s="57" t="n"/>
      <c r="O85" s="55" t="n"/>
      <c r="P85" s="56" t="n"/>
      <c r="Q85" s="55" t="n"/>
      <c r="R85" s="55" t="n"/>
      <c r="S85" s="55" t="n"/>
      <c r="T85" s="55" t="n"/>
      <c r="U85" s="55" t="n"/>
      <c r="V85" s="55" t="n"/>
      <c r="W85" s="58" t="n"/>
      <c r="X85" s="58" t="n"/>
      <c r="Y85" s="55" t="n"/>
      <c r="Z85" s="55" t="n"/>
      <c r="AA85" s="55" t="n"/>
      <c r="AB85" s="55" t="n"/>
      <c r="AC85" s="55" t="n"/>
      <c r="AD85" s="53" t="n"/>
      <c r="AE85" s="55" t="n"/>
      <c r="AF85" s="55" t="n"/>
      <c r="AG85" s="59" t="n"/>
      <c r="AH85" s="57" t="n"/>
      <c r="AI85" s="55" t="n"/>
      <c r="AJ85" s="55" t="n"/>
      <c r="AK85" s="55" t="n"/>
      <c r="AL85" s="55" t="n"/>
      <c r="AM85" s="56" t="n"/>
      <c r="AN85" s="55" t="n"/>
      <c r="AO85" s="55" t="n"/>
      <c r="AP85" s="55" t="n"/>
      <c r="AQ85" s="55" t="n"/>
      <c r="AR85" s="60">
        <f>IF(AND(C85="",E85=""),"",IF(A85="","⚠ Date manquante",IF(AND(C85="",E85&lt;&gt;"Dépense"),"⚠ Prospect manquant",IF(E85="","⚠ Action manquante",IF(AND(AU85=1,D85=""),"⚠ Canal manquant",IF(AND(W85&lt;&gt;"",COUNTIFS('Saisie'!$W$5:$W$2004,W85,'Saisie'!$C$5:$C$2004,"&lt;&gt;"&amp;C85)&gt;0),"⚠ Numéro déjà utilisé par un autre prospect",IF(AND(J85&lt;&gt;"",J85&lt;A85),"⚠ Relance avant la date de l'action",IF(A85&gt;TODAY(),"⚠ Date dans le futur","✓"))))))))</f>
        <v/>
      </c>
      <c r="AS85" s="61">
        <f>IF(AND(A85="",C85="",E85=""),"",ROW())</f>
        <v/>
      </c>
      <c r="AT85" s="61">
        <f>IF(E85&amp;F85="","",MAX(IFERROR(INDEX('Paramètres'!$J$6:$J$33,MATCH(E85,'Paramètres'!$I$6:$I$33,0)),0),IFERROR(INDEX('Paramètres'!$N$6:$N$17,MATCH(F85,'Paramètres'!$M$6:$M$17,0)),0)))</f>
        <v/>
      </c>
      <c r="AU85" s="61">
        <f>IF(E85="","",IFERROR(IF(INDEX('Paramètres'!$K$6:$K$33,MATCH(E85,'Paramètres'!$I$6:$I$33,0))="Oui",1,0),0))</f>
        <v/>
      </c>
      <c r="AV85" s="61">
        <f>IF(F85="","",IFERROR(IF(INDEX('Paramètres'!$O$6:$O$17,MATCH(F85,'Paramètres'!$M$6:$M$17,0))="Oui",1,0),0))</f>
        <v/>
      </c>
      <c r="AW85" s="62">
        <f>IF(E85="","",IF(G85&lt;&gt;"",G85,IF(OR(E85="Proposition envoyée",E85="Signature"),MAX(0,N(IFERROR(INDEX('Paramètres'!$R$6:$R$15,MATCH(IF(AL85&lt;&gt;"",AL85,IFERROR(INDEX('Prospects'!$AN$5:$AN$504,MATCH(C85,'Prospects'!$C$5:$C$504,0)),"")),'Paramètres'!$Q$6:$Q$15,0)),0))-N(P85)),0)))</f>
        <v/>
      </c>
      <c r="AX85" s="61">
        <f>IF(C85="","",IF(COUNTIF($C$5:C85,C85)=1,MAX($AX$4:AX84)+1,""))</f>
        <v/>
      </c>
      <c r="AY85" s="61">
        <f>IF(B85="","",HOUR(B85))</f>
        <v/>
      </c>
      <c r="AZ85" s="61">
        <f>IF(A85="","",MOD(A85-2,7)+1)</f>
        <v/>
      </c>
      <c r="BA85" s="60">
        <f>IF(C85="","",IFERROR(INDEX('Prospects'!$N$5:$N$504,MATCH(C85,'Prospects'!$C$5:$C$504,0)),""))</f>
        <v/>
      </c>
      <c r="BB85" s="61">
        <f>IF(AND(C85&lt;&gt;"",C85='Fiche prospect'!$C$4),COUNTIF($C$5:C85,C85),"")</f>
        <v/>
      </c>
    </row>
    <row r="86">
      <c r="A86" s="53" t="n"/>
      <c r="B86" s="54" t="n"/>
      <c r="C86" s="55" t="n"/>
      <c r="D86" s="55" t="n"/>
      <c r="E86" s="55" t="n"/>
      <c r="F86" s="55" t="n"/>
      <c r="G86" s="56" t="n"/>
      <c r="H86" s="57" t="n"/>
      <c r="I86" s="55" t="n"/>
      <c r="J86" s="53" t="n"/>
      <c r="K86" s="54" t="n"/>
      <c r="L86" s="55" t="n"/>
      <c r="M86" s="55" t="n"/>
      <c r="N86" s="57" t="n"/>
      <c r="O86" s="55" t="n"/>
      <c r="P86" s="56" t="n"/>
      <c r="Q86" s="55" t="n"/>
      <c r="R86" s="55" t="n"/>
      <c r="S86" s="55" t="n"/>
      <c r="T86" s="55" t="n"/>
      <c r="U86" s="55" t="n"/>
      <c r="V86" s="55" t="n"/>
      <c r="W86" s="58" t="n"/>
      <c r="X86" s="58" t="n"/>
      <c r="Y86" s="55" t="n"/>
      <c r="Z86" s="55" t="n"/>
      <c r="AA86" s="55" t="n"/>
      <c r="AB86" s="55" t="n"/>
      <c r="AC86" s="55" t="n"/>
      <c r="AD86" s="53" t="n"/>
      <c r="AE86" s="55" t="n"/>
      <c r="AF86" s="55" t="n"/>
      <c r="AG86" s="59" t="n"/>
      <c r="AH86" s="57" t="n"/>
      <c r="AI86" s="55" t="n"/>
      <c r="AJ86" s="55" t="n"/>
      <c r="AK86" s="55" t="n"/>
      <c r="AL86" s="55" t="n"/>
      <c r="AM86" s="56" t="n"/>
      <c r="AN86" s="55" t="n"/>
      <c r="AO86" s="55" t="n"/>
      <c r="AP86" s="55" t="n"/>
      <c r="AQ86" s="55" t="n"/>
      <c r="AR86" s="60">
        <f>IF(AND(C86="",E86=""),"",IF(A86="","⚠ Date manquante",IF(AND(C86="",E86&lt;&gt;"Dépense"),"⚠ Prospect manquant",IF(E86="","⚠ Action manquante",IF(AND(AU86=1,D86=""),"⚠ Canal manquant",IF(AND(W86&lt;&gt;"",COUNTIFS('Saisie'!$W$5:$W$2004,W86,'Saisie'!$C$5:$C$2004,"&lt;&gt;"&amp;C86)&gt;0),"⚠ Numéro déjà utilisé par un autre prospect",IF(AND(J86&lt;&gt;"",J86&lt;A86),"⚠ Relance avant la date de l'action",IF(A86&gt;TODAY(),"⚠ Date dans le futur","✓"))))))))</f>
        <v/>
      </c>
      <c r="AS86" s="61">
        <f>IF(AND(A86="",C86="",E86=""),"",ROW())</f>
        <v/>
      </c>
      <c r="AT86" s="61">
        <f>IF(E86&amp;F86="","",MAX(IFERROR(INDEX('Paramètres'!$J$6:$J$33,MATCH(E86,'Paramètres'!$I$6:$I$33,0)),0),IFERROR(INDEX('Paramètres'!$N$6:$N$17,MATCH(F86,'Paramètres'!$M$6:$M$17,0)),0)))</f>
        <v/>
      </c>
      <c r="AU86" s="61">
        <f>IF(E86="","",IFERROR(IF(INDEX('Paramètres'!$K$6:$K$33,MATCH(E86,'Paramètres'!$I$6:$I$33,0))="Oui",1,0),0))</f>
        <v/>
      </c>
      <c r="AV86" s="61">
        <f>IF(F86="","",IFERROR(IF(INDEX('Paramètres'!$O$6:$O$17,MATCH(F86,'Paramètres'!$M$6:$M$17,0))="Oui",1,0),0))</f>
        <v/>
      </c>
      <c r="AW86" s="62">
        <f>IF(E86="","",IF(G86&lt;&gt;"",G86,IF(OR(E86="Proposition envoyée",E86="Signature"),MAX(0,N(IFERROR(INDEX('Paramètres'!$R$6:$R$15,MATCH(IF(AL86&lt;&gt;"",AL86,IFERROR(INDEX('Prospects'!$AN$5:$AN$504,MATCH(C86,'Prospects'!$C$5:$C$504,0)),"")),'Paramètres'!$Q$6:$Q$15,0)),0))-N(P86)),0)))</f>
        <v/>
      </c>
      <c r="AX86" s="61">
        <f>IF(C86="","",IF(COUNTIF($C$5:C86,C86)=1,MAX($AX$4:AX85)+1,""))</f>
        <v/>
      </c>
      <c r="AY86" s="61">
        <f>IF(B86="","",HOUR(B86))</f>
        <v/>
      </c>
      <c r="AZ86" s="61">
        <f>IF(A86="","",MOD(A86-2,7)+1)</f>
        <v/>
      </c>
      <c r="BA86" s="60">
        <f>IF(C86="","",IFERROR(INDEX('Prospects'!$N$5:$N$504,MATCH(C86,'Prospects'!$C$5:$C$504,0)),""))</f>
        <v/>
      </c>
      <c r="BB86" s="61">
        <f>IF(AND(C86&lt;&gt;"",C86='Fiche prospect'!$C$4),COUNTIF($C$5:C86,C86),"")</f>
        <v/>
      </c>
    </row>
    <row r="87">
      <c r="A87" s="53" t="n"/>
      <c r="B87" s="54" t="n"/>
      <c r="C87" s="55" t="n"/>
      <c r="D87" s="55" t="n"/>
      <c r="E87" s="55" t="n"/>
      <c r="F87" s="55" t="n"/>
      <c r="G87" s="56" t="n"/>
      <c r="H87" s="57" t="n"/>
      <c r="I87" s="55" t="n"/>
      <c r="J87" s="53" t="n"/>
      <c r="K87" s="54" t="n"/>
      <c r="L87" s="55" t="n"/>
      <c r="M87" s="55" t="n"/>
      <c r="N87" s="57" t="n"/>
      <c r="O87" s="55" t="n"/>
      <c r="P87" s="56" t="n"/>
      <c r="Q87" s="55" t="n"/>
      <c r="R87" s="55" t="n"/>
      <c r="S87" s="55" t="n"/>
      <c r="T87" s="55" t="n"/>
      <c r="U87" s="55" t="n"/>
      <c r="V87" s="55" t="n"/>
      <c r="W87" s="58" t="n"/>
      <c r="X87" s="58" t="n"/>
      <c r="Y87" s="55" t="n"/>
      <c r="Z87" s="55" t="n"/>
      <c r="AA87" s="55" t="n"/>
      <c r="AB87" s="55" t="n"/>
      <c r="AC87" s="55" t="n"/>
      <c r="AD87" s="53" t="n"/>
      <c r="AE87" s="55" t="n"/>
      <c r="AF87" s="55" t="n"/>
      <c r="AG87" s="59" t="n"/>
      <c r="AH87" s="57" t="n"/>
      <c r="AI87" s="55" t="n"/>
      <c r="AJ87" s="55" t="n"/>
      <c r="AK87" s="55" t="n"/>
      <c r="AL87" s="55" t="n"/>
      <c r="AM87" s="56" t="n"/>
      <c r="AN87" s="55" t="n"/>
      <c r="AO87" s="55" t="n"/>
      <c r="AP87" s="55" t="n"/>
      <c r="AQ87" s="55" t="n"/>
      <c r="AR87" s="60">
        <f>IF(AND(C87="",E87=""),"",IF(A87="","⚠ Date manquante",IF(AND(C87="",E87&lt;&gt;"Dépense"),"⚠ Prospect manquant",IF(E87="","⚠ Action manquante",IF(AND(AU87=1,D87=""),"⚠ Canal manquant",IF(AND(W87&lt;&gt;"",COUNTIFS('Saisie'!$W$5:$W$2004,W87,'Saisie'!$C$5:$C$2004,"&lt;&gt;"&amp;C87)&gt;0),"⚠ Numéro déjà utilisé par un autre prospect",IF(AND(J87&lt;&gt;"",J87&lt;A87),"⚠ Relance avant la date de l'action",IF(A87&gt;TODAY(),"⚠ Date dans le futur","✓"))))))))</f>
        <v/>
      </c>
      <c r="AS87" s="61">
        <f>IF(AND(A87="",C87="",E87=""),"",ROW())</f>
        <v/>
      </c>
      <c r="AT87" s="61">
        <f>IF(E87&amp;F87="","",MAX(IFERROR(INDEX('Paramètres'!$J$6:$J$33,MATCH(E87,'Paramètres'!$I$6:$I$33,0)),0),IFERROR(INDEX('Paramètres'!$N$6:$N$17,MATCH(F87,'Paramètres'!$M$6:$M$17,0)),0)))</f>
        <v/>
      </c>
      <c r="AU87" s="61">
        <f>IF(E87="","",IFERROR(IF(INDEX('Paramètres'!$K$6:$K$33,MATCH(E87,'Paramètres'!$I$6:$I$33,0))="Oui",1,0),0))</f>
        <v/>
      </c>
      <c r="AV87" s="61">
        <f>IF(F87="","",IFERROR(IF(INDEX('Paramètres'!$O$6:$O$17,MATCH(F87,'Paramètres'!$M$6:$M$17,0))="Oui",1,0),0))</f>
        <v/>
      </c>
      <c r="AW87" s="62">
        <f>IF(E87="","",IF(G87&lt;&gt;"",G87,IF(OR(E87="Proposition envoyée",E87="Signature"),MAX(0,N(IFERROR(INDEX('Paramètres'!$R$6:$R$15,MATCH(IF(AL87&lt;&gt;"",AL87,IFERROR(INDEX('Prospects'!$AN$5:$AN$504,MATCH(C87,'Prospects'!$C$5:$C$504,0)),"")),'Paramètres'!$Q$6:$Q$15,0)),0))-N(P87)),0)))</f>
        <v/>
      </c>
      <c r="AX87" s="61">
        <f>IF(C87="","",IF(COUNTIF($C$5:C87,C87)=1,MAX($AX$4:AX86)+1,""))</f>
        <v/>
      </c>
      <c r="AY87" s="61">
        <f>IF(B87="","",HOUR(B87))</f>
        <v/>
      </c>
      <c r="AZ87" s="61">
        <f>IF(A87="","",MOD(A87-2,7)+1)</f>
        <v/>
      </c>
      <c r="BA87" s="60">
        <f>IF(C87="","",IFERROR(INDEX('Prospects'!$N$5:$N$504,MATCH(C87,'Prospects'!$C$5:$C$504,0)),""))</f>
        <v/>
      </c>
      <c r="BB87" s="61">
        <f>IF(AND(C87&lt;&gt;"",C87='Fiche prospect'!$C$4),COUNTIF($C$5:C87,C87),"")</f>
        <v/>
      </c>
    </row>
    <row r="88">
      <c r="A88" s="53" t="n"/>
      <c r="B88" s="54" t="n"/>
      <c r="C88" s="55" t="n"/>
      <c r="D88" s="55" t="n"/>
      <c r="E88" s="55" t="n"/>
      <c r="F88" s="55" t="n"/>
      <c r="G88" s="56" t="n"/>
      <c r="H88" s="57" t="n"/>
      <c r="I88" s="55" t="n"/>
      <c r="J88" s="53" t="n"/>
      <c r="K88" s="54" t="n"/>
      <c r="L88" s="55" t="n"/>
      <c r="M88" s="55" t="n"/>
      <c r="N88" s="57" t="n"/>
      <c r="O88" s="55" t="n"/>
      <c r="P88" s="56" t="n"/>
      <c r="Q88" s="55" t="n"/>
      <c r="R88" s="55" t="n"/>
      <c r="S88" s="55" t="n"/>
      <c r="T88" s="55" t="n"/>
      <c r="U88" s="55" t="n"/>
      <c r="V88" s="55" t="n"/>
      <c r="W88" s="58" t="n"/>
      <c r="X88" s="58" t="n"/>
      <c r="Y88" s="55" t="n"/>
      <c r="Z88" s="55" t="n"/>
      <c r="AA88" s="55" t="n"/>
      <c r="AB88" s="55" t="n"/>
      <c r="AC88" s="55" t="n"/>
      <c r="AD88" s="53" t="n"/>
      <c r="AE88" s="55" t="n"/>
      <c r="AF88" s="55" t="n"/>
      <c r="AG88" s="59" t="n"/>
      <c r="AH88" s="57" t="n"/>
      <c r="AI88" s="55" t="n"/>
      <c r="AJ88" s="55" t="n"/>
      <c r="AK88" s="55" t="n"/>
      <c r="AL88" s="55" t="n"/>
      <c r="AM88" s="56" t="n"/>
      <c r="AN88" s="55" t="n"/>
      <c r="AO88" s="55" t="n"/>
      <c r="AP88" s="55" t="n"/>
      <c r="AQ88" s="55" t="n"/>
      <c r="AR88" s="60">
        <f>IF(AND(C88="",E88=""),"",IF(A88="","⚠ Date manquante",IF(AND(C88="",E88&lt;&gt;"Dépense"),"⚠ Prospect manquant",IF(E88="","⚠ Action manquante",IF(AND(AU88=1,D88=""),"⚠ Canal manquant",IF(AND(W88&lt;&gt;"",COUNTIFS('Saisie'!$W$5:$W$2004,W88,'Saisie'!$C$5:$C$2004,"&lt;&gt;"&amp;C88)&gt;0),"⚠ Numéro déjà utilisé par un autre prospect",IF(AND(J88&lt;&gt;"",J88&lt;A88),"⚠ Relance avant la date de l'action",IF(A88&gt;TODAY(),"⚠ Date dans le futur","✓"))))))))</f>
        <v/>
      </c>
      <c r="AS88" s="61">
        <f>IF(AND(A88="",C88="",E88=""),"",ROW())</f>
        <v/>
      </c>
      <c r="AT88" s="61">
        <f>IF(E88&amp;F88="","",MAX(IFERROR(INDEX('Paramètres'!$J$6:$J$33,MATCH(E88,'Paramètres'!$I$6:$I$33,0)),0),IFERROR(INDEX('Paramètres'!$N$6:$N$17,MATCH(F88,'Paramètres'!$M$6:$M$17,0)),0)))</f>
        <v/>
      </c>
      <c r="AU88" s="61">
        <f>IF(E88="","",IFERROR(IF(INDEX('Paramètres'!$K$6:$K$33,MATCH(E88,'Paramètres'!$I$6:$I$33,0))="Oui",1,0),0))</f>
        <v/>
      </c>
      <c r="AV88" s="61">
        <f>IF(F88="","",IFERROR(IF(INDEX('Paramètres'!$O$6:$O$17,MATCH(F88,'Paramètres'!$M$6:$M$17,0))="Oui",1,0),0))</f>
        <v/>
      </c>
      <c r="AW88" s="62">
        <f>IF(E88="","",IF(G88&lt;&gt;"",G88,IF(OR(E88="Proposition envoyée",E88="Signature"),MAX(0,N(IFERROR(INDEX('Paramètres'!$R$6:$R$15,MATCH(IF(AL88&lt;&gt;"",AL88,IFERROR(INDEX('Prospects'!$AN$5:$AN$504,MATCH(C88,'Prospects'!$C$5:$C$504,0)),"")),'Paramètres'!$Q$6:$Q$15,0)),0))-N(P88)),0)))</f>
        <v/>
      </c>
      <c r="AX88" s="61">
        <f>IF(C88="","",IF(COUNTIF($C$5:C88,C88)=1,MAX($AX$4:AX87)+1,""))</f>
        <v/>
      </c>
      <c r="AY88" s="61">
        <f>IF(B88="","",HOUR(B88))</f>
        <v/>
      </c>
      <c r="AZ88" s="61">
        <f>IF(A88="","",MOD(A88-2,7)+1)</f>
        <v/>
      </c>
      <c r="BA88" s="60">
        <f>IF(C88="","",IFERROR(INDEX('Prospects'!$N$5:$N$504,MATCH(C88,'Prospects'!$C$5:$C$504,0)),""))</f>
        <v/>
      </c>
      <c r="BB88" s="61">
        <f>IF(AND(C88&lt;&gt;"",C88='Fiche prospect'!$C$4),COUNTIF($C$5:C88,C88),"")</f>
        <v/>
      </c>
    </row>
    <row r="89">
      <c r="A89" s="53" t="n"/>
      <c r="B89" s="54" t="n"/>
      <c r="C89" s="55" t="n"/>
      <c r="D89" s="55" t="n"/>
      <c r="E89" s="55" t="n"/>
      <c r="F89" s="55" t="n"/>
      <c r="G89" s="56" t="n"/>
      <c r="H89" s="57" t="n"/>
      <c r="I89" s="55" t="n"/>
      <c r="J89" s="53" t="n"/>
      <c r="K89" s="54" t="n"/>
      <c r="L89" s="55" t="n"/>
      <c r="M89" s="55" t="n"/>
      <c r="N89" s="57" t="n"/>
      <c r="O89" s="55" t="n"/>
      <c r="P89" s="56" t="n"/>
      <c r="Q89" s="55" t="n"/>
      <c r="R89" s="55" t="n"/>
      <c r="S89" s="55" t="n"/>
      <c r="T89" s="55" t="n"/>
      <c r="U89" s="55" t="n"/>
      <c r="V89" s="55" t="n"/>
      <c r="W89" s="58" t="n"/>
      <c r="X89" s="58" t="n"/>
      <c r="Y89" s="55" t="n"/>
      <c r="Z89" s="55" t="n"/>
      <c r="AA89" s="55" t="n"/>
      <c r="AB89" s="55" t="n"/>
      <c r="AC89" s="55" t="n"/>
      <c r="AD89" s="53" t="n"/>
      <c r="AE89" s="55" t="n"/>
      <c r="AF89" s="55" t="n"/>
      <c r="AG89" s="59" t="n"/>
      <c r="AH89" s="57" t="n"/>
      <c r="AI89" s="55" t="n"/>
      <c r="AJ89" s="55" t="n"/>
      <c r="AK89" s="55" t="n"/>
      <c r="AL89" s="55" t="n"/>
      <c r="AM89" s="56" t="n"/>
      <c r="AN89" s="55" t="n"/>
      <c r="AO89" s="55" t="n"/>
      <c r="AP89" s="55" t="n"/>
      <c r="AQ89" s="55" t="n"/>
      <c r="AR89" s="60">
        <f>IF(AND(C89="",E89=""),"",IF(A89="","⚠ Date manquante",IF(AND(C89="",E89&lt;&gt;"Dépense"),"⚠ Prospect manquant",IF(E89="","⚠ Action manquante",IF(AND(AU89=1,D89=""),"⚠ Canal manquant",IF(AND(W89&lt;&gt;"",COUNTIFS('Saisie'!$W$5:$W$2004,W89,'Saisie'!$C$5:$C$2004,"&lt;&gt;"&amp;C89)&gt;0),"⚠ Numéro déjà utilisé par un autre prospect",IF(AND(J89&lt;&gt;"",J89&lt;A89),"⚠ Relance avant la date de l'action",IF(A89&gt;TODAY(),"⚠ Date dans le futur","✓"))))))))</f>
        <v/>
      </c>
      <c r="AS89" s="61">
        <f>IF(AND(A89="",C89="",E89=""),"",ROW())</f>
        <v/>
      </c>
      <c r="AT89" s="61">
        <f>IF(E89&amp;F89="","",MAX(IFERROR(INDEX('Paramètres'!$J$6:$J$33,MATCH(E89,'Paramètres'!$I$6:$I$33,0)),0),IFERROR(INDEX('Paramètres'!$N$6:$N$17,MATCH(F89,'Paramètres'!$M$6:$M$17,0)),0)))</f>
        <v/>
      </c>
      <c r="AU89" s="61">
        <f>IF(E89="","",IFERROR(IF(INDEX('Paramètres'!$K$6:$K$33,MATCH(E89,'Paramètres'!$I$6:$I$33,0))="Oui",1,0),0))</f>
        <v/>
      </c>
      <c r="AV89" s="61">
        <f>IF(F89="","",IFERROR(IF(INDEX('Paramètres'!$O$6:$O$17,MATCH(F89,'Paramètres'!$M$6:$M$17,0))="Oui",1,0),0))</f>
        <v/>
      </c>
      <c r="AW89" s="62">
        <f>IF(E89="","",IF(G89&lt;&gt;"",G89,IF(OR(E89="Proposition envoyée",E89="Signature"),MAX(0,N(IFERROR(INDEX('Paramètres'!$R$6:$R$15,MATCH(IF(AL89&lt;&gt;"",AL89,IFERROR(INDEX('Prospects'!$AN$5:$AN$504,MATCH(C89,'Prospects'!$C$5:$C$504,0)),"")),'Paramètres'!$Q$6:$Q$15,0)),0))-N(P89)),0)))</f>
        <v/>
      </c>
      <c r="AX89" s="61">
        <f>IF(C89="","",IF(COUNTIF($C$5:C89,C89)=1,MAX($AX$4:AX88)+1,""))</f>
        <v/>
      </c>
      <c r="AY89" s="61">
        <f>IF(B89="","",HOUR(B89))</f>
        <v/>
      </c>
      <c r="AZ89" s="61">
        <f>IF(A89="","",MOD(A89-2,7)+1)</f>
        <v/>
      </c>
      <c r="BA89" s="60">
        <f>IF(C89="","",IFERROR(INDEX('Prospects'!$N$5:$N$504,MATCH(C89,'Prospects'!$C$5:$C$504,0)),""))</f>
        <v/>
      </c>
      <c r="BB89" s="61">
        <f>IF(AND(C89&lt;&gt;"",C89='Fiche prospect'!$C$4),COUNTIF($C$5:C89,C89),"")</f>
        <v/>
      </c>
    </row>
    <row r="90">
      <c r="A90" s="53" t="n"/>
      <c r="B90" s="54" t="n"/>
      <c r="C90" s="55" t="n"/>
      <c r="D90" s="55" t="n"/>
      <c r="E90" s="55" t="n"/>
      <c r="F90" s="55" t="n"/>
      <c r="G90" s="56" t="n"/>
      <c r="H90" s="57" t="n"/>
      <c r="I90" s="55" t="n"/>
      <c r="J90" s="53" t="n"/>
      <c r="K90" s="54" t="n"/>
      <c r="L90" s="55" t="n"/>
      <c r="M90" s="55" t="n"/>
      <c r="N90" s="57" t="n"/>
      <c r="O90" s="55" t="n"/>
      <c r="P90" s="56" t="n"/>
      <c r="Q90" s="55" t="n"/>
      <c r="R90" s="55" t="n"/>
      <c r="S90" s="55" t="n"/>
      <c r="T90" s="55" t="n"/>
      <c r="U90" s="55" t="n"/>
      <c r="V90" s="55" t="n"/>
      <c r="W90" s="58" t="n"/>
      <c r="X90" s="58" t="n"/>
      <c r="Y90" s="55" t="n"/>
      <c r="Z90" s="55" t="n"/>
      <c r="AA90" s="55" t="n"/>
      <c r="AB90" s="55" t="n"/>
      <c r="AC90" s="55" t="n"/>
      <c r="AD90" s="53" t="n"/>
      <c r="AE90" s="55" t="n"/>
      <c r="AF90" s="55" t="n"/>
      <c r="AG90" s="59" t="n"/>
      <c r="AH90" s="57" t="n"/>
      <c r="AI90" s="55" t="n"/>
      <c r="AJ90" s="55" t="n"/>
      <c r="AK90" s="55" t="n"/>
      <c r="AL90" s="55" t="n"/>
      <c r="AM90" s="56" t="n"/>
      <c r="AN90" s="55" t="n"/>
      <c r="AO90" s="55" t="n"/>
      <c r="AP90" s="55" t="n"/>
      <c r="AQ90" s="55" t="n"/>
      <c r="AR90" s="60">
        <f>IF(AND(C90="",E90=""),"",IF(A90="","⚠ Date manquante",IF(AND(C90="",E90&lt;&gt;"Dépense"),"⚠ Prospect manquant",IF(E90="","⚠ Action manquante",IF(AND(AU90=1,D90=""),"⚠ Canal manquant",IF(AND(W90&lt;&gt;"",COUNTIFS('Saisie'!$W$5:$W$2004,W90,'Saisie'!$C$5:$C$2004,"&lt;&gt;"&amp;C90)&gt;0),"⚠ Numéro déjà utilisé par un autre prospect",IF(AND(J90&lt;&gt;"",J90&lt;A90),"⚠ Relance avant la date de l'action",IF(A90&gt;TODAY(),"⚠ Date dans le futur","✓"))))))))</f>
        <v/>
      </c>
      <c r="AS90" s="61">
        <f>IF(AND(A90="",C90="",E90=""),"",ROW())</f>
        <v/>
      </c>
      <c r="AT90" s="61">
        <f>IF(E90&amp;F90="","",MAX(IFERROR(INDEX('Paramètres'!$J$6:$J$33,MATCH(E90,'Paramètres'!$I$6:$I$33,0)),0),IFERROR(INDEX('Paramètres'!$N$6:$N$17,MATCH(F90,'Paramètres'!$M$6:$M$17,0)),0)))</f>
        <v/>
      </c>
      <c r="AU90" s="61">
        <f>IF(E90="","",IFERROR(IF(INDEX('Paramètres'!$K$6:$K$33,MATCH(E90,'Paramètres'!$I$6:$I$33,0))="Oui",1,0),0))</f>
        <v/>
      </c>
      <c r="AV90" s="61">
        <f>IF(F90="","",IFERROR(IF(INDEX('Paramètres'!$O$6:$O$17,MATCH(F90,'Paramètres'!$M$6:$M$17,0))="Oui",1,0),0))</f>
        <v/>
      </c>
      <c r="AW90" s="62">
        <f>IF(E90="","",IF(G90&lt;&gt;"",G90,IF(OR(E90="Proposition envoyée",E90="Signature"),MAX(0,N(IFERROR(INDEX('Paramètres'!$R$6:$R$15,MATCH(IF(AL90&lt;&gt;"",AL90,IFERROR(INDEX('Prospects'!$AN$5:$AN$504,MATCH(C90,'Prospects'!$C$5:$C$504,0)),"")),'Paramètres'!$Q$6:$Q$15,0)),0))-N(P90)),0)))</f>
        <v/>
      </c>
      <c r="AX90" s="61">
        <f>IF(C90="","",IF(COUNTIF($C$5:C90,C90)=1,MAX($AX$4:AX89)+1,""))</f>
        <v/>
      </c>
      <c r="AY90" s="61">
        <f>IF(B90="","",HOUR(B90))</f>
        <v/>
      </c>
      <c r="AZ90" s="61">
        <f>IF(A90="","",MOD(A90-2,7)+1)</f>
        <v/>
      </c>
      <c r="BA90" s="60">
        <f>IF(C90="","",IFERROR(INDEX('Prospects'!$N$5:$N$504,MATCH(C90,'Prospects'!$C$5:$C$504,0)),""))</f>
        <v/>
      </c>
      <c r="BB90" s="61">
        <f>IF(AND(C90&lt;&gt;"",C90='Fiche prospect'!$C$4),COUNTIF($C$5:C90,C90),"")</f>
        <v/>
      </c>
    </row>
    <row r="91">
      <c r="A91" s="53" t="n"/>
      <c r="B91" s="54" t="n"/>
      <c r="C91" s="55" t="n"/>
      <c r="D91" s="55" t="n"/>
      <c r="E91" s="55" t="n"/>
      <c r="F91" s="55" t="n"/>
      <c r="G91" s="56" t="n"/>
      <c r="H91" s="57" t="n"/>
      <c r="I91" s="55" t="n"/>
      <c r="J91" s="53" t="n"/>
      <c r="K91" s="54" t="n"/>
      <c r="L91" s="55" t="n"/>
      <c r="M91" s="55" t="n"/>
      <c r="N91" s="57" t="n"/>
      <c r="O91" s="55" t="n"/>
      <c r="P91" s="56" t="n"/>
      <c r="Q91" s="55" t="n"/>
      <c r="R91" s="55" t="n"/>
      <c r="S91" s="55" t="n"/>
      <c r="T91" s="55" t="n"/>
      <c r="U91" s="55" t="n"/>
      <c r="V91" s="55" t="n"/>
      <c r="W91" s="58" t="n"/>
      <c r="X91" s="58" t="n"/>
      <c r="Y91" s="55" t="n"/>
      <c r="Z91" s="55" t="n"/>
      <c r="AA91" s="55" t="n"/>
      <c r="AB91" s="55" t="n"/>
      <c r="AC91" s="55" t="n"/>
      <c r="AD91" s="53" t="n"/>
      <c r="AE91" s="55" t="n"/>
      <c r="AF91" s="55" t="n"/>
      <c r="AG91" s="59" t="n"/>
      <c r="AH91" s="57" t="n"/>
      <c r="AI91" s="55" t="n"/>
      <c r="AJ91" s="55" t="n"/>
      <c r="AK91" s="55" t="n"/>
      <c r="AL91" s="55" t="n"/>
      <c r="AM91" s="56" t="n"/>
      <c r="AN91" s="55" t="n"/>
      <c r="AO91" s="55" t="n"/>
      <c r="AP91" s="55" t="n"/>
      <c r="AQ91" s="55" t="n"/>
      <c r="AR91" s="60">
        <f>IF(AND(C91="",E91=""),"",IF(A91="","⚠ Date manquante",IF(AND(C91="",E91&lt;&gt;"Dépense"),"⚠ Prospect manquant",IF(E91="","⚠ Action manquante",IF(AND(AU91=1,D91=""),"⚠ Canal manquant",IF(AND(W91&lt;&gt;"",COUNTIFS('Saisie'!$W$5:$W$2004,W91,'Saisie'!$C$5:$C$2004,"&lt;&gt;"&amp;C91)&gt;0),"⚠ Numéro déjà utilisé par un autre prospect",IF(AND(J91&lt;&gt;"",J91&lt;A91),"⚠ Relance avant la date de l'action",IF(A91&gt;TODAY(),"⚠ Date dans le futur","✓"))))))))</f>
        <v/>
      </c>
      <c r="AS91" s="61">
        <f>IF(AND(A91="",C91="",E91=""),"",ROW())</f>
        <v/>
      </c>
      <c r="AT91" s="61">
        <f>IF(E91&amp;F91="","",MAX(IFERROR(INDEX('Paramètres'!$J$6:$J$33,MATCH(E91,'Paramètres'!$I$6:$I$33,0)),0),IFERROR(INDEX('Paramètres'!$N$6:$N$17,MATCH(F91,'Paramètres'!$M$6:$M$17,0)),0)))</f>
        <v/>
      </c>
      <c r="AU91" s="61">
        <f>IF(E91="","",IFERROR(IF(INDEX('Paramètres'!$K$6:$K$33,MATCH(E91,'Paramètres'!$I$6:$I$33,0))="Oui",1,0),0))</f>
        <v/>
      </c>
      <c r="AV91" s="61">
        <f>IF(F91="","",IFERROR(IF(INDEX('Paramètres'!$O$6:$O$17,MATCH(F91,'Paramètres'!$M$6:$M$17,0))="Oui",1,0),0))</f>
        <v/>
      </c>
      <c r="AW91" s="62">
        <f>IF(E91="","",IF(G91&lt;&gt;"",G91,IF(OR(E91="Proposition envoyée",E91="Signature"),MAX(0,N(IFERROR(INDEX('Paramètres'!$R$6:$R$15,MATCH(IF(AL91&lt;&gt;"",AL91,IFERROR(INDEX('Prospects'!$AN$5:$AN$504,MATCH(C91,'Prospects'!$C$5:$C$504,0)),"")),'Paramètres'!$Q$6:$Q$15,0)),0))-N(P91)),0)))</f>
        <v/>
      </c>
      <c r="AX91" s="61">
        <f>IF(C91="","",IF(COUNTIF($C$5:C91,C91)=1,MAX($AX$4:AX90)+1,""))</f>
        <v/>
      </c>
      <c r="AY91" s="61">
        <f>IF(B91="","",HOUR(B91))</f>
        <v/>
      </c>
      <c r="AZ91" s="61">
        <f>IF(A91="","",MOD(A91-2,7)+1)</f>
        <v/>
      </c>
      <c r="BA91" s="60">
        <f>IF(C91="","",IFERROR(INDEX('Prospects'!$N$5:$N$504,MATCH(C91,'Prospects'!$C$5:$C$504,0)),""))</f>
        <v/>
      </c>
      <c r="BB91" s="61">
        <f>IF(AND(C91&lt;&gt;"",C91='Fiche prospect'!$C$4),COUNTIF($C$5:C91,C91),"")</f>
        <v/>
      </c>
    </row>
    <row r="92">
      <c r="A92" s="53" t="n"/>
      <c r="B92" s="54" t="n"/>
      <c r="C92" s="55" t="n"/>
      <c r="D92" s="55" t="n"/>
      <c r="E92" s="55" t="n"/>
      <c r="F92" s="55" t="n"/>
      <c r="G92" s="56" t="n"/>
      <c r="H92" s="57" t="n"/>
      <c r="I92" s="55" t="n"/>
      <c r="J92" s="53" t="n"/>
      <c r="K92" s="54" t="n"/>
      <c r="L92" s="55" t="n"/>
      <c r="M92" s="55" t="n"/>
      <c r="N92" s="57" t="n"/>
      <c r="O92" s="55" t="n"/>
      <c r="P92" s="56" t="n"/>
      <c r="Q92" s="55" t="n"/>
      <c r="R92" s="55" t="n"/>
      <c r="S92" s="55" t="n"/>
      <c r="T92" s="55" t="n"/>
      <c r="U92" s="55" t="n"/>
      <c r="V92" s="55" t="n"/>
      <c r="W92" s="58" t="n"/>
      <c r="X92" s="58" t="n"/>
      <c r="Y92" s="55" t="n"/>
      <c r="Z92" s="55" t="n"/>
      <c r="AA92" s="55" t="n"/>
      <c r="AB92" s="55" t="n"/>
      <c r="AC92" s="55" t="n"/>
      <c r="AD92" s="53" t="n"/>
      <c r="AE92" s="55" t="n"/>
      <c r="AF92" s="55" t="n"/>
      <c r="AG92" s="59" t="n"/>
      <c r="AH92" s="57" t="n"/>
      <c r="AI92" s="55" t="n"/>
      <c r="AJ92" s="55" t="n"/>
      <c r="AK92" s="55" t="n"/>
      <c r="AL92" s="55" t="n"/>
      <c r="AM92" s="56" t="n"/>
      <c r="AN92" s="55" t="n"/>
      <c r="AO92" s="55" t="n"/>
      <c r="AP92" s="55" t="n"/>
      <c r="AQ92" s="55" t="n"/>
      <c r="AR92" s="60">
        <f>IF(AND(C92="",E92=""),"",IF(A92="","⚠ Date manquante",IF(AND(C92="",E92&lt;&gt;"Dépense"),"⚠ Prospect manquant",IF(E92="","⚠ Action manquante",IF(AND(AU92=1,D92=""),"⚠ Canal manquant",IF(AND(W92&lt;&gt;"",COUNTIFS('Saisie'!$W$5:$W$2004,W92,'Saisie'!$C$5:$C$2004,"&lt;&gt;"&amp;C92)&gt;0),"⚠ Numéro déjà utilisé par un autre prospect",IF(AND(J92&lt;&gt;"",J92&lt;A92),"⚠ Relance avant la date de l'action",IF(A92&gt;TODAY(),"⚠ Date dans le futur","✓"))))))))</f>
        <v/>
      </c>
      <c r="AS92" s="61">
        <f>IF(AND(A92="",C92="",E92=""),"",ROW())</f>
        <v/>
      </c>
      <c r="AT92" s="61">
        <f>IF(E92&amp;F92="","",MAX(IFERROR(INDEX('Paramètres'!$J$6:$J$33,MATCH(E92,'Paramètres'!$I$6:$I$33,0)),0),IFERROR(INDEX('Paramètres'!$N$6:$N$17,MATCH(F92,'Paramètres'!$M$6:$M$17,0)),0)))</f>
        <v/>
      </c>
      <c r="AU92" s="61">
        <f>IF(E92="","",IFERROR(IF(INDEX('Paramètres'!$K$6:$K$33,MATCH(E92,'Paramètres'!$I$6:$I$33,0))="Oui",1,0),0))</f>
        <v/>
      </c>
      <c r="AV92" s="61">
        <f>IF(F92="","",IFERROR(IF(INDEX('Paramètres'!$O$6:$O$17,MATCH(F92,'Paramètres'!$M$6:$M$17,0))="Oui",1,0),0))</f>
        <v/>
      </c>
      <c r="AW92" s="62">
        <f>IF(E92="","",IF(G92&lt;&gt;"",G92,IF(OR(E92="Proposition envoyée",E92="Signature"),MAX(0,N(IFERROR(INDEX('Paramètres'!$R$6:$R$15,MATCH(IF(AL92&lt;&gt;"",AL92,IFERROR(INDEX('Prospects'!$AN$5:$AN$504,MATCH(C92,'Prospects'!$C$5:$C$504,0)),"")),'Paramètres'!$Q$6:$Q$15,0)),0))-N(P92)),0)))</f>
        <v/>
      </c>
      <c r="AX92" s="61">
        <f>IF(C92="","",IF(COUNTIF($C$5:C92,C92)=1,MAX($AX$4:AX91)+1,""))</f>
        <v/>
      </c>
      <c r="AY92" s="61">
        <f>IF(B92="","",HOUR(B92))</f>
        <v/>
      </c>
      <c r="AZ92" s="61">
        <f>IF(A92="","",MOD(A92-2,7)+1)</f>
        <v/>
      </c>
      <c r="BA92" s="60">
        <f>IF(C92="","",IFERROR(INDEX('Prospects'!$N$5:$N$504,MATCH(C92,'Prospects'!$C$5:$C$504,0)),""))</f>
        <v/>
      </c>
      <c r="BB92" s="61">
        <f>IF(AND(C92&lt;&gt;"",C92='Fiche prospect'!$C$4),COUNTIF($C$5:C92,C92),"")</f>
        <v/>
      </c>
    </row>
    <row r="93">
      <c r="A93" s="53" t="n"/>
      <c r="B93" s="54" t="n"/>
      <c r="C93" s="55" t="n"/>
      <c r="D93" s="55" t="n"/>
      <c r="E93" s="55" t="n"/>
      <c r="F93" s="55" t="n"/>
      <c r="G93" s="56" t="n"/>
      <c r="H93" s="57" t="n"/>
      <c r="I93" s="55" t="n"/>
      <c r="J93" s="53" t="n"/>
      <c r="K93" s="54" t="n"/>
      <c r="L93" s="55" t="n"/>
      <c r="M93" s="55" t="n"/>
      <c r="N93" s="57" t="n"/>
      <c r="O93" s="55" t="n"/>
      <c r="P93" s="56" t="n"/>
      <c r="Q93" s="55" t="n"/>
      <c r="R93" s="55" t="n"/>
      <c r="S93" s="55" t="n"/>
      <c r="T93" s="55" t="n"/>
      <c r="U93" s="55" t="n"/>
      <c r="V93" s="55" t="n"/>
      <c r="W93" s="58" t="n"/>
      <c r="X93" s="58" t="n"/>
      <c r="Y93" s="55" t="n"/>
      <c r="Z93" s="55" t="n"/>
      <c r="AA93" s="55" t="n"/>
      <c r="AB93" s="55" t="n"/>
      <c r="AC93" s="55" t="n"/>
      <c r="AD93" s="53" t="n"/>
      <c r="AE93" s="55" t="n"/>
      <c r="AF93" s="55" t="n"/>
      <c r="AG93" s="59" t="n"/>
      <c r="AH93" s="57" t="n"/>
      <c r="AI93" s="55" t="n"/>
      <c r="AJ93" s="55" t="n"/>
      <c r="AK93" s="55" t="n"/>
      <c r="AL93" s="55" t="n"/>
      <c r="AM93" s="56" t="n"/>
      <c r="AN93" s="55" t="n"/>
      <c r="AO93" s="55" t="n"/>
      <c r="AP93" s="55" t="n"/>
      <c r="AQ93" s="55" t="n"/>
      <c r="AR93" s="60">
        <f>IF(AND(C93="",E93=""),"",IF(A93="","⚠ Date manquante",IF(AND(C93="",E93&lt;&gt;"Dépense"),"⚠ Prospect manquant",IF(E93="","⚠ Action manquante",IF(AND(AU93=1,D93=""),"⚠ Canal manquant",IF(AND(W93&lt;&gt;"",COUNTIFS('Saisie'!$W$5:$W$2004,W93,'Saisie'!$C$5:$C$2004,"&lt;&gt;"&amp;C93)&gt;0),"⚠ Numéro déjà utilisé par un autre prospect",IF(AND(J93&lt;&gt;"",J93&lt;A93),"⚠ Relance avant la date de l'action",IF(A93&gt;TODAY(),"⚠ Date dans le futur","✓"))))))))</f>
        <v/>
      </c>
      <c r="AS93" s="61">
        <f>IF(AND(A93="",C93="",E93=""),"",ROW())</f>
        <v/>
      </c>
      <c r="AT93" s="61">
        <f>IF(E93&amp;F93="","",MAX(IFERROR(INDEX('Paramètres'!$J$6:$J$33,MATCH(E93,'Paramètres'!$I$6:$I$33,0)),0),IFERROR(INDEX('Paramètres'!$N$6:$N$17,MATCH(F93,'Paramètres'!$M$6:$M$17,0)),0)))</f>
        <v/>
      </c>
      <c r="AU93" s="61">
        <f>IF(E93="","",IFERROR(IF(INDEX('Paramètres'!$K$6:$K$33,MATCH(E93,'Paramètres'!$I$6:$I$33,0))="Oui",1,0),0))</f>
        <v/>
      </c>
      <c r="AV93" s="61">
        <f>IF(F93="","",IFERROR(IF(INDEX('Paramètres'!$O$6:$O$17,MATCH(F93,'Paramètres'!$M$6:$M$17,0))="Oui",1,0),0))</f>
        <v/>
      </c>
      <c r="AW93" s="62">
        <f>IF(E93="","",IF(G93&lt;&gt;"",G93,IF(OR(E93="Proposition envoyée",E93="Signature"),MAX(0,N(IFERROR(INDEX('Paramètres'!$R$6:$R$15,MATCH(IF(AL93&lt;&gt;"",AL93,IFERROR(INDEX('Prospects'!$AN$5:$AN$504,MATCH(C93,'Prospects'!$C$5:$C$504,0)),"")),'Paramètres'!$Q$6:$Q$15,0)),0))-N(P93)),0)))</f>
        <v/>
      </c>
      <c r="AX93" s="61">
        <f>IF(C93="","",IF(COUNTIF($C$5:C93,C93)=1,MAX($AX$4:AX92)+1,""))</f>
        <v/>
      </c>
      <c r="AY93" s="61">
        <f>IF(B93="","",HOUR(B93))</f>
        <v/>
      </c>
      <c r="AZ93" s="61">
        <f>IF(A93="","",MOD(A93-2,7)+1)</f>
        <v/>
      </c>
      <c r="BA93" s="60">
        <f>IF(C93="","",IFERROR(INDEX('Prospects'!$N$5:$N$504,MATCH(C93,'Prospects'!$C$5:$C$504,0)),""))</f>
        <v/>
      </c>
      <c r="BB93" s="61">
        <f>IF(AND(C93&lt;&gt;"",C93='Fiche prospect'!$C$4),COUNTIF($C$5:C93,C93),"")</f>
        <v/>
      </c>
    </row>
    <row r="94">
      <c r="A94" s="53" t="n"/>
      <c r="B94" s="54" t="n"/>
      <c r="C94" s="55" t="n"/>
      <c r="D94" s="55" t="n"/>
      <c r="E94" s="55" t="n"/>
      <c r="F94" s="55" t="n"/>
      <c r="G94" s="56" t="n"/>
      <c r="H94" s="57" t="n"/>
      <c r="I94" s="55" t="n"/>
      <c r="J94" s="53" t="n"/>
      <c r="K94" s="54" t="n"/>
      <c r="L94" s="55" t="n"/>
      <c r="M94" s="55" t="n"/>
      <c r="N94" s="57" t="n"/>
      <c r="O94" s="55" t="n"/>
      <c r="P94" s="56" t="n"/>
      <c r="Q94" s="55" t="n"/>
      <c r="R94" s="55" t="n"/>
      <c r="S94" s="55" t="n"/>
      <c r="T94" s="55" t="n"/>
      <c r="U94" s="55" t="n"/>
      <c r="V94" s="55" t="n"/>
      <c r="W94" s="58" t="n"/>
      <c r="X94" s="58" t="n"/>
      <c r="Y94" s="55" t="n"/>
      <c r="Z94" s="55" t="n"/>
      <c r="AA94" s="55" t="n"/>
      <c r="AB94" s="55" t="n"/>
      <c r="AC94" s="55" t="n"/>
      <c r="AD94" s="53" t="n"/>
      <c r="AE94" s="55" t="n"/>
      <c r="AF94" s="55" t="n"/>
      <c r="AG94" s="59" t="n"/>
      <c r="AH94" s="57" t="n"/>
      <c r="AI94" s="55" t="n"/>
      <c r="AJ94" s="55" t="n"/>
      <c r="AK94" s="55" t="n"/>
      <c r="AL94" s="55" t="n"/>
      <c r="AM94" s="56" t="n"/>
      <c r="AN94" s="55" t="n"/>
      <c r="AO94" s="55" t="n"/>
      <c r="AP94" s="55" t="n"/>
      <c r="AQ94" s="55" t="n"/>
      <c r="AR94" s="60">
        <f>IF(AND(C94="",E94=""),"",IF(A94="","⚠ Date manquante",IF(AND(C94="",E94&lt;&gt;"Dépense"),"⚠ Prospect manquant",IF(E94="","⚠ Action manquante",IF(AND(AU94=1,D94=""),"⚠ Canal manquant",IF(AND(W94&lt;&gt;"",COUNTIFS('Saisie'!$W$5:$W$2004,W94,'Saisie'!$C$5:$C$2004,"&lt;&gt;"&amp;C94)&gt;0),"⚠ Numéro déjà utilisé par un autre prospect",IF(AND(J94&lt;&gt;"",J94&lt;A94),"⚠ Relance avant la date de l'action",IF(A94&gt;TODAY(),"⚠ Date dans le futur","✓"))))))))</f>
        <v/>
      </c>
      <c r="AS94" s="61">
        <f>IF(AND(A94="",C94="",E94=""),"",ROW())</f>
        <v/>
      </c>
      <c r="AT94" s="61">
        <f>IF(E94&amp;F94="","",MAX(IFERROR(INDEX('Paramètres'!$J$6:$J$33,MATCH(E94,'Paramètres'!$I$6:$I$33,0)),0),IFERROR(INDEX('Paramètres'!$N$6:$N$17,MATCH(F94,'Paramètres'!$M$6:$M$17,0)),0)))</f>
        <v/>
      </c>
      <c r="AU94" s="61">
        <f>IF(E94="","",IFERROR(IF(INDEX('Paramètres'!$K$6:$K$33,MATCH(E94,'Paramètres'!$I$6:$I$33,0))="Oui",1,0),0))</f>
        <v/>
      </c>
      <c r="AV94" s="61">
        <f>IF(F94="","",IFERROR(IF(INDEX('Paramètres'!$O$6:$O$17,MATCH(F94,'Paramètres'!$M$6:$M$17,0))="Oui",1,0),0))</f>
        <v/>
      </c>
      <c r="AW94" s="62">
        <f>IF(E94="","",IF(G94&lt;&gt;"",G94,IF(OR(E94="Proposition envoyée",E94="Signature"),MAX(0,N(IFERROR(INDEX('Paramètres'!$R$6:$R$15,MATCH(IF(AL94&lt;&gt;"",AL94,IFERROR(INDEX('Prospects'!$AN$5:$AN$504,MATCH(C94,'Prospects'!$C$5:$C$504,0)),"")),'Paramètres'!$Q$6:$Q$15,0)),0))-N(P94)),0)))</f>
        <v/>
      </c>
      <c r="AX94" s="61">
        <f>IF(C94="","",IF(COUNTIF($C$5:C94,C94)=1,MAX($AX$4:AX93)+1,""))</f>
        <v/>
      </c>
      <c r="AY94" s="61">
        <f>IF(B94="","",HOUR(B94))</f>
        <v/>
      </c>
      <c r="AZ94" s="61">
        <f>IF(A94="","",MOD(A94-2,7)+1)</f>
        <v/>
      </c>
      <c r="BA94" s="60">
        <f>IF(C94="","",IFERROR(INDEX('Prospects'!$N$5:$N$504,MATCH(C94,'Prospects'!$C$5:$C$504,0)),""))</f>
        <v/>
      </c>
      <c r="BB94" s="61">
        <f>IF(AND(C94&lt;&gt;"",C94='Fiche prospect'!$C$4),COUNTIF($C$5:C94,C94),"")</f>
        <v/>
      </c>
    </row>
    <row r="95">
      <c r="A95" s="53" t="n"/>
      <c r="B95" s="54" t="n"/>
      <c r="C95" s="55" t="n"/>
      <c r="D95" s="55" t="n"/>
      <c r="E95" s="55" t="n"/>
      <c r="F95" s="55" t="n"/>
      <c r="G95" s="56" t="n"/>
      <c r="H95" s="57" t="n"/>
      <c r="I95" s="55" t="n"/>
      <c r="J95" s="53" t="n"/>
      <c r="K95" s="54" t="n"/>
      <c r="L95" s="55" t="n"/>
      <c r="M95" s="55" t="n"/>
      <c r="N95" s="57" t="n"/>
      <c r="O95" s="55" t="n"/>
      <c r="P95" s="56" t="n"/>
      <c r="Q95" s="55" t="n"/>
      <c r="R95" s="55" t="n"/>
      <c r="S95" s="55" t="n"/>
      <c r="T95" s="55" t="n"/>
      <c r="U95" s="55" t="n"/>
      <c r="V95" s="55" t="n"/>
      <c r="W95" s="58" t="n"/>
      <c r="X95" s="58" t="n"/>
      <c r="Y95" s="55" t="n"/>
      <c r="Z95" s="55" t="n"/>
      <c r="AA95" s="55" t="n"/>
      <c r="AB95" s="55" t="n"/>
      <c r="AC95" s="55" t="n"/>
      <c r="AD95" s="53" t="n"/>
      <c r="AE95" s="55" t="n"/>
      <c r="AF95" s="55" t="n"/>
      <c r="AG95" s="59" t="n"/>
      <c r="AH95" s="57" t="n"/>
      <c r="AI95" s="55" t="n"/>
      <c r="AJ95" s="55" t="n"/>
      <c r="AK95" s="55" t="n"/>
      <c r="AL95" s="55" t="n"/>
      <c r="AM95" s="56" t="n"/>
      <c r="AN95" s="55" t="n"/>
      <c r="AO95" s="55" t="n"/>
      <c r="AP95" s="55" t="n"/>
      <c r="AQ95" s="55" t="n"/>
      <c r="AR95" s="60">
        <f>IF(AND(C95="",E95=""),"",IF(A95="","⚠ Date manquante",IF(AND(C95="",E95&lt;&gt;"Dépense"),"⚠ Prospect manquant",IF(E95="","⚠ Action manquante",IF(AND(AU95=1,D95=""),"⚠ Canal manquant",IF(AND(W95&lt;&gt;"",COUNTIFS('Saisie'!$W$5:$W$2004,W95,'Saisie'!$C$5:$C$2004,"&lt;&gt;"&amp;C95)&gt;0),"⚠ Numéro déjà utilisé par un autre prospect",IF(AND(J95&lt;&gt;"",J95&lt;A95),"⚠ Relance avant la date de l'action",IF(A95&gt;TODAY(),"⚠ Date dans le futur","✓"))))))))</f>
        <v/>
      </c>
      <c r="AS95" s="61">
        <f>IF(AND(A95="",C95="",E95=""),"",ROW())</f>
        <v/>
      </c>
      <c r="AT95" s="61">
        <f>IF(E95&amp;F95="","",MAX(IFERROR(INDEX('Paramètres'!$J$6:$J$33,MATCH(E95,'Paramètres'!$I$6:$I$33,0)),0),IFERROR(INDEX('Paramètres'!$N$6:$N$17,MATCH(F95,'Paramètres'!$M$6:$M$17,0)),0)))</f>
        <v/>
      </c>
      <c r="AU95" s="61">
        <f>IF(E95="","",IFERROR(IF(INDEX('Paramètres'!$K$6:$K$33,MATCH(E95,'Paramètres'!$I$6:$I$33,0))="Oui",1,0),0))</f>
        <v/>
      </c>
      <c r="AV95" s="61">
        <f>IF(F95="","",IFERROR(IF(INDEX('Paramètres'!$O$6:$O$17,MATCH(F95,'Paramètres'!$M$6:$M$17,0))="Oui",1,0),0))</f>
        <v/>
      </c>
      <c r="AW95" s="62">
        <f>IF(E95="","",IF(G95&lt;&gt;"",G95,IF(OR(E95="Proposition envoyée",E95="Signature"),MAX(0,N(IFERROR(INDEX('Paramètres'!$R$6:$R$15,MATCH(IF(AL95&lt;&gt;"",AL95,IFERROR(INDEX('Prospects'!$AN$5:$AN$504,MATCH(C95,'Prospects'!$C$5:$C$504,0)),"")),'Paramètres'!$Q$6:$Q$15,0)),0))-N(P95)),0)))</f>
        <v/>
      </c>
      <c r="AX95" s="61">
        <f>IF(C95="","",IF(COUNTIF($C$5:C95,C95)=1,MAX($AX$4:AX94)+1,""))</f>
        <v/>
      </c>
      <c r="AY95" s="61">
        <f>IF(B95="","",HOUR(B95))</f>
        <v/>
      </c>
      <c r="AZ95" s="61">
        <f>IF(A95="","",MOD(A95-2,7)+1)</f>
        <v/>
      </c>
      <c r="BA95" s="60">
        <f>IF(C95="","",IFERROR(INDEX('Prospects'!$N$5:$N$504,MATCH(C95,'Prospects'!$C$5:$C$504,0)),""))</f>
        <v/>
      </c>
      <c r="BB95" s="61">
        <f>IF(AND(C95&lt;&gt;"",C95='Fiche prospect'!$C$4),COUNTIF($C$5:C95,C95),"")</f>
        <v/>
      </c>
    </row>
    <row r="96">
      <c r="A96" s="53" t="n"/>
      <c r="B96" s="54" t="n"/>
      <c r="C96" s="55" t="n"/>
      <c r="D96" s="55" t="n"/>
      <c r="E96" s="55" t="n"/>
      <c r="F96" s="55" t="n"/>
      <c r="G96" s="56" t="n"/>
      <c r="H96" s="57" t="n"/>
      <c r="I96" s="55" t="n"/>
      <c r="J96" s="53" t="n"/>
      <c r="K96" s="54" t="n"/>
      <c r="L96" s="55" t="n"/>
      <c r="M96" s="55" t="n"/>
      <c r="N96" s="57" t="n"/>
      <c r="O96" s="55" t="n"/>
      <c r="P96" s="56" t="n"/>
      <c r="Q96" s="55" t="n"/>
      <c r="R96" s="55" t="n"/>
      <c r="S96" s="55" t="n"/>
      <c r="T96" s="55" t="n"/>
      <c r="U96" s="55" t="n"/>
      <c r="V96" s="55" t="n"/>
      <c r="W96" s="58" t="n"/>
      <c r="X96" s="58" t="n"/>
      <c r="Y96" s="55" t="n"/>
      <c r="Z96" s="55" t="n"/>
      <c r="AA96" s="55" t="n"/>
      <c r="AB96" s="55" t="n"/>
      <c r="AC96" s="55" t="n"/>
      <c r="AD96" s="53" t="n"/>
      <c r="AE96" s="55" t="n"/>
      <c r="AF96" s="55" t="n"/>
      <c r="AG96" s="59" t="n"/>
      <c r="AH96" s="57" t="n"/>
      <c r="AI96" s="55" t="n"/>
      <c r="AJ96" s="55" t="n"/>
      <c r="AK96" s="55" t="n"/>
      <c r="AL96" s="55" t="n"/>
      <c r="AM96" s="56" t="n"/>
      <c r="AN96" s="55" t="n"/>
      <c r="AO96" s="55" t="n"/>
      <c r="AP96" s="55" t="n"/>
      <c r="AQ96" s="55" t="n"/>
      <c r="AR96" s="60">
        <f>IF(AND(C96="",E96=""),"",IF(A96="","⚠ Date manquante",IF(AND(C96="",E96&lt;&gt;"Dépense"),"⚠ Prospect manquant",IF(E96="","⚠ Action manquante",IF(AND(AU96=1,D96=""),"⚠ Canal manquant",IF(AND(W96&lt;&gt;"",COUNTIFS('Saisie'!$W$5:$W$2004,W96,'Saisie'!$C$5:$C$2004,"&lt;&gt;"&amp;C96)&gt;0),"⚠ Numéro déjà utilisé par un autre prospect",IF(AND(J96&lt;&gt;"",J96&lt;A96),"⚠ Relance avant la date de l'action",IF(A96&gt;TODAY(),"⚠ Date dans le futur","✓"))))))))</f>
        <v/>
      </c>
      <c r="AS96" s="61">
        <f>IF(AND(A96="",C96="",E96=""),"",ROW())</f>
        <v/>
      </c>
      <c r="AT96" s="61">
        <f>IF(E96&amp;F96="","",MAX(IFERROR(INDEX('Paramètres'!$J$6:$J$33,MATCH(E96,'Paramètres'!$I$6:$I$33,0)),0),IFERROR(INDEX('Paramètres'!$N$6:$N$17,MATCH(F96,'Paramètres'!$M$6:$M$17,0)),0)))</f>
        <v/>
      </c>
      <c r="AU96" s="61">
        <f>IF(E96="","",IFERROR(IF(INDEX('Paramètres'!$K$6:$K$33,MATCH(E96,'Paramètres'!$I$6:$I$33,0))="Oui",1,0),0))</f>
        <v/>
      </c>
      <c r="AV96" s="61">
        <f>IF(F96="","",IFERROR(IF(INDEX('Paramètres'!$O$6:$O$17,MATCH(F96,'Paramètres'!$M$6:$M$17,0))="Oui",1,0),0))</f>
        <v/>
      </c>
      <c r="AW96" s="62">
        <f>IF(E96="","",IF(G96&lt;&gt;"",G96,IF(OR(E96="Proposition envoyée",E96="Signature"),MAX(0,N(IFERROR(INDEX('Paramètres'!$R$6:$R$15,MATCH(IF(AL96&lt;&gt;"",AL96,IFERROR(INDEX('Prospects'!$AN$5:$AN$504,MATCH(C96,'Prospects'!$C$5:$C$504,0)),"")),'Paramètres'!$Q$6:$Q$15,0)),0))-N(P96)),0)))</f>
        <v/>
      </c>
      <c r="AX96" s="61">
        <f>IF(C96="","",IF(COUNTIF($C$5:C96,C96)=1,MAX($AX$4:AX95)+1,""))</f>
        <v/>
      </c>
      <c r="AY96" s="61">
        <f>IF(B96="","",HOUR(B96))</f>
        <v/>
      </c>
      <c r="AZ96" s="61">
        <f>IF(A96="","",MOD(A96-2,7)+1)</f>
        <v/>
      </c>
      <c r="BA96" s="60">
        <f>IF(C96="","",IFERROR(INDEX('Prospects'!$N$5:$N$504,MATCH(C96,'Prospects'!$C$5:$C$504,0)),""))</f>
        <v/>
      </c>
      <c r="BB96" s="61">
        <f>IF(AND(C96&lt;&gt;"",C96='Fiche prospect'!$C$4),COUNTIF($C$5:C96,C96),"")</f>
        <v/>
      </c>
    </row>
    <row r="97">
      <c r="A97" s="53" t="n"/>
      <c r="B97" s="54" t="n"/>
      <c r="C97" s="55" t="n"/>
      <c r="D97" s="55" t="n"/>
      <c r="E97" s="55" t="n"/>
      <c r="F97" s="55" t="n"/>
      <c r="G97" s="56" t="n"/>
      <c r="H97" s="57" t="n"/>
      <c r="I97" s="55" t="n"/>
      <c r="J97" s="53" t="n"/>
      <c r="K97" s="54" t="n"/>
      <c r="L97" s="55" t="n"/>
      <c r="M97" s="55" t="n"/>
      <c r="N97" s="57" t="n"/>
      <c r="O97" s="55" t="n"/>
      <c r="P97" s="56" t="n"/>
      <c r="Q97" s="55" t="n"/>
      <c r="R97" s="55" t="n"/>
      <c r="S97" s="55" t="n"/>
      <c r="T97" s="55" t="n"/>
      <c r="U97" s="55" t="n"/>
      <c r="V97" s="55" t="n"/>
      <c r="W97" s="58" t="n"/>
      <c r="X97" s="58" t="n"/>
      <c r="Y97" s="55" t="n"/>
      <c r="Z97" s="55" t="n"/>
      <c r="AA97" s="55" t="n"/>
      <c r="AB97" s="55" t="n"/>
      <c r="AC97" s="55" t="n"/>
      <c r="AD97" s="53" t="n"/>
      <c r="AE97" s="55" t="n"/>
      <c r="AF97" s="55" t="n"/>
      <c r="AG97" s="59" t="n"/>
      <c r="AH97" s="57" t="n"/>
      <c r="AI97" s="55" t="n"/>
      <c r="AJ97" s="55" t="n"/>
      <c r="AK97" s="55" t="n"/>
      <c r="AL97" s="55" t="n"/>
      <c r="AM97" s="56" t="n"/>
      <c r="AN97" s="55" t="n"/>
      <c r="AO97" s="55" t="n"/>
      <c r="AP97" s="55" t="n"/>
      <c r="AQ97" s="55" t="n"/>
      <c r="AR97" s="60">
        <f>IF(AND(C97="",E97=""),"",IF(A97="","⚠ Date manquante",IF(AND(C97="",E97&lt;&gt;"Dépense"),"⚠ Prospect manquant",IF(E97="","⚠ Action manquante",IF(AND(AU97=1,D97=""),"⚠ Canal manquant",IF(AND(W97&lt;&gt;"",COUNTIFS('Saisie'!$W$5:$W$2004,W97,'Saisie'!$C$5:$C$2004,"&lt;&gt;"&amp;C97)&gt;0),"⚠ Numéro déjà utilisé par un autre prospect",IF(AND(J97&lt;&gt;"",J97&lt;A97),"⚠ Relance avant la date de l'action",IF(A97&gt;TODAY(),"⚠ Date dans le futur","✓"))))))))</f>
        <v/>
      </c>
      <c r="AS97" s="61">
        <f>IF(AND(A97="",C97="",E97=""),"",ROW())</f>
        <v/>
      </c>
      <c r="AT97" s="61">
        <f>IF(E97&amp;F97="","",MAX(IFERROR(INDEX('Paramètres'!$J$6:$J$33,MATCH(E97,'Paramètres'!$I$6:$I$33,0)),0),IFERROR(INDEX('Paramètres'!$N$6:$N$17,MATCH(F97,'Paramètres'!$M$6:$M$17,0)),0)))</f>
        <v/>
      </c>
      <c r="AU97" s="61">
        <f>IF(E97="","",IFERROR(IF(INDEX('Paramètres'!$K$6:$K$33,MATCH(E97,'Paramètres'!$I$6:$I$33,0))="Oui",1,0),0))</f>
        <v/>
      </c>
      <c r="AV97" s="61">
        <f>IF(F97="","",IFERROR(IF(INDEX('Paramètres'!$O$6:$O$17,MATCH(F97,'Paramètres'!$M$6:$M$17,0))="Oui",1,0),0))</f>
        <v/>
      </c>
      <c r="AW97" s="62">
        <f>IF(E97="","",IF(G97&lt;&gt;"",G97,IF(OR(E97="Proposition envoyée",E97="Signature"),MAX(0,N(IFERROR(INDEX('Paramètres'!$R$6:$R$15,MATCH(IF(AL97&lt;&gt;"",AL97,IFERROR(INDEX('Prospects'!$AN$5:$AN$504,MATCH(C97,'Prospects'!$C$5:$C$504,0)),"")),'Paramètres'!$Q$6:$Q$15,0)),0))-N(P97)),0)))</f>
        <v/>
      </c>
      <c r="AX97" s="61">
        <f>IF(C97="","",IF(COUNTIF($C$5:C97,C97)=1,MAX($AX$4:AX96)+1,""))</f>
        <v/>
      </c>
      <c r="AY97" s="61">
        <f>IF(B97="","",HOUR(B97))</f>
        <v/>
      </c>
      <c r="AZ97" s="61">
        <f>IF(A97="","",MOD(A97-2,7)+1)</f>
        <v/>
      </c>
      <c r="BA97" s="60">
        <f>IF(C97="","",IFERROR(INDEX('Prospects'!$N$5:$N$504,MATCH(C97,'Prospects'!$C$5:$C$504,0)),""))</f>
        <v/>
      </c>
      <c r="BB97" s="61">
        <f>IF(AND(C97&lt;&gt;"",C97='Fiche prospect'!$C$4),COUNTIF($C$5:C97,C97),"")</f>
        <v/>
      </c>
    </row>
    <row r="98">
      <c r="A98" s="53" t="n"/>
      <c r="B98" s="54" t="n"/>
      <c r="C98" s="55" t="n"/>
      <c r="D98" s="55" t="n"/>
      <c r="E98" s="55" t="n"/>
      <c r="F98" s="55" t="n"/>
      <c r="G98" s="56" t="n"/>
      <c r="H98" s="57" t="n"/>
      <c r="I98" s="55" t="n"/>
      <c r="J98" s="53" t="n"/>
      <c r="K98" s="54" t="n"/>
      <c r="L98" s="55" t="n"/>
      <c r="M98" s="55" t="n"/>
      <c r="N98" s="57" t="n"/>
      <c r="O98" s="55" t="n"/>
      <c r="P98" s="56" t="n"/>
      <c r="Q98" s="55" t="n"/>
      <c r="R98" s="55" t="n"/>
      <c r="S98" s="55" t="n"/>
      <c r="T98" s="55" t="n"/>
      <c r="U98" s="55" t="n"/>
      <c r="V98" s="55" t="n"/>
      <c r="W98" s="58" t="n"/>
      <c r="X98" s="58" t="n"/>
      <c r="Y98" s="55" t="n"/>
      <c r="Z98" s="55" t="n"/>
      <c r="AA98" s="55" t="n"/>
      <c r="AB98" s="55" t="n"/>
      <c r="AC98" s="55" t="n"/>
      <c r="AD98" s="53" t="n"/>
      <c r="AE98" s="55" t="n"/>
      <c r="AF98" s="55" t="n"/>
      <c r="AG98" s="59" t="n"/>
      <c r="AH98" s="57" t="n"/>
      <c r="AI98" s="55" t="n"/>
      <c r="AJ98" s="55" t="n"/>
      <c r="AK98" s="55" t="n"/>
      <c r="AL98" s="55" t="n"/>
      <c r="AM98" s="56" t="n"/>
      <c r="AN98" s="55" t="n"/>
      <c r="AO98" s="55" t="n"/>
      <c r="AP98" s="55" t="n"/>
      <c r="AQ98" s="55" t="n"/>
      <c r="AR98" s="60">
        <f>IF(AND(C98="",E98=""),"",IF(A98="","⚠ Date manquante",IF(AND(C98="",E98&lt;&gt;"Dépense"),"⚠ Prospect manquant",IF(E98="","⚠ Action manquante",IF(AND(AU98=1,D98=""),"⚠ Canal manquant",IF(AND(W98&lt;&gt;"",COUNTIFS('Saisie'!$W$5:$W$2004,W98,'Saisie'!$C$5:$C$2004,"&lt;&gt;"&amp;C98)&gt;0),"⚠ Numéro déjà utilisé par un autre prospect",IF(AND(J98&lt;&gt;"",J98&lt;A98),"⚠ Relance avant la date de l'action",IF(A98&gt;TODAY(),"⚠ Date dans le futur","✓"))))))))</f>
        <v/>
      </c>
      <c r="AS98" s="61">
        <f>IF(AND(A98="",C98="",E98=""),"",ROW())</f>
        <v/>
      </c>
      <c r="AT98" s="61">
        <f>IF(E98&amp;F98="","",MAX(IFERROR(INDEX('Paramètres'!$J$6:$J$33,MATCH(E98,'Paramètres'!$I$6:$I$33,0)),0),IFERROR(INDEX('Paramètres'!$N$6:$N$17,MATCH(F98,'Paramètres'!$M$6:$M$17,0)),0)))</f>
        <v/>
      </c>
      <c r="AU98" s="61">
        <f>IF(E98="","",IFERROR(IF(INDEX('Paramètres'!$K$6:$K$33,MATCH(E98,'Paramètres'!$I$6:$I$33,0))="Oui",1,0),0))</f>
        <v/>
      </c>
      <c r="AV98" s="61">
        <f>IF(F98="","",IFERROR(IF(INDEX('Paramètres'!$O$6:$O$17,MATCH(F98,'Paramètres'!$M$6:$M$17,0))="Oui",1,0),0))</f>
        <v/>
      </c>
      <c r="AW98" s="62">
        <f>IF(E98="","",IF(G98&lt;&gt;"",G98,IF(OR(E98="Proposition envoyée",E98="Signature"),MAX(0,N(IFERROR(INDEX('Paramètres'!$R$6:$R$15,MATCH(IF(AL98&lt;&gt;"",AL98,IFERROR(INDEX('Prospects'!$AN$5:$AN$504,MATCH(C98,'Prospects'!$C$5:$C$504,0)),"")),'Paramètres'!$Q$6:$Q$15,0)),0))-N(P98)),0)))</f>
        <v/>
      </c>
      <c r="AX98" s="61">
        <f>IF(C98="","",IF(COUNTIF($C$5:C98,C98)=1,MAX($AX$4:AX97)+1,""))</f>
        <v/>
      </c>
      <c r="AY98" s="61">
        <f>IF(B98="","",HOUR(B98))</f>
        <v/>
      </c>
      <c r="AZ98" s="61">
        <f>IF(A98="","",MOD(A98-2,7)+1)</f>
        <v/>
      </c>
      <c r="BA98" s="60">
        <f>IF(C98="","",IFERROR(INDEX('Prospects'!$N$5:$N$504,MATCH(C98,'Prospects'!$C$5:$C$504,0)),""))</f>
        <v/>
      </c>
      <c r="BB98" s="61">
        <f>IF(AND(C98&lt;&gt;"",C98='Fiche prospect'!$C$4),COUNTIF($C$5:C98,C98),"")</f>
        <v/>
      </c>
    </row>
    <row r="99">
      <c r="A99" s="53" t="n"/>
      <c r="B99" s="54" t="n"/>
      <c r="C99" s="55" t="n"/>
      <c r="D99" s="55" t="n"/>
      <c r="E99" s="55" t="n"/>
      <c r="F99" s="55" t="n"/>
      <c r="G99" s="56" t="n"/>
      <c r="H99" s="57" t="n"/>
      <c r="I99" s="55" t="n"/>
      <c r="J99" s="53" t="n"/>
      <c r="K99" s="54" t="n"/>
      <c r="L99" s="55" t="n"/>
      <c r="M99" s="55" t="n"/>
      <c r="N99" s="57" t="n"/>
      <c r="O99" s="55" t="n"/>
      <c r="P99" s="56" t="n"/>
      <c r="Q99" s="55" t="n"/>
      <c r="R99" s="55" t="n"/>
      <c r="S99" s="55" t="n"/>
      <c r="T99" s="55" t="n"/>
      <c r="U99" s="55" t="n"/>
      <c r="V99" s="55" t="n"/>
      <c r="W99" s="58" t="n"/>
      <c r="X99" s="58" t="n"/>
      <c r="Y99" s="55" t="n"/>
      <c r="Z99" s="55" t="n"/>
      <c r="AA99" s="55" t="n"/>
      <c r="AB99" s="55" t="n"/>
      <c r="AC99" s="55" t="n"/>
      <c r="AD99" s="53" t="n"/>
      <c r="AE99" s="55" t="n"/>
      <c r="AF99" s="55" t="n"/>
      <c r="AG99" s="59" t="n"/>
      <c r="AH99" s="57" t="n"/>
      <c r="AI99" s="55" t="n"/>
      <c r="AJ99" s="55" t="n"/>
      <c r="AK99" s="55" t="n"/>
      <c r="AL99" s="55" t="n"/>
      <c r="AM99" s="56" t="n"/>
      <c r="AN99" s="55" t="n"/>
      <c r="AO99" s="55" t="n"/>
      <c r="AP99" s="55" t="n"/>
      <c r="AQ99" s="55" t="n"/>
      <c r="AR99" s="60">
        <f>IF(AND(C99="",E99=""),"",IF(A99="","⚠ Date manquante",IF(AND(C99="",E99&lt;&gt;"Dépense"),"⚠ Prospect manquant",IF(E99="","⚠ Action manquante",IF(AND(AU99=1,D99=""),"⚠ Canal manquant",IF(AND(W99&lt;&gt;"",COUNTIFS('Saisie'!$W$5:$W$2004,W99,'Saisie'!$C$5:$C$2004,"&lt;&gt;"&amp;C99)&gt;0),"⚠ Numéro déjà utilisé par un autre prospect",IF(AND(J99&lt;&gt;"",J99&lt;A99),"⚠ Relance avant la date de l'action",IF(A99&gt;TODAY(),"⚠ Date dans le futur","✓"))))))))</f>
        <v/>
      </c>
      <c r="AS99" s="61">
        <f>IF(AND(A99="",C99="",E99=""),"",ROW())</f>
        <v/>
      </c>
      <c r="AT99" s="61">
        <f>IF(E99&amp;F99="","",MAX(IFERROR(INDEX('Paramètres'!$J$6:$J$33,MATCH(E99,'Paramètres'!$I$6:$I$33,0)),0),IFERROR(INDEX('Paramètres'!$N$6:$N$17,MATCH(F99,'Paramètres'!$M$6:$M$17,0)),0)))</f>
        <v/>
      </c>
      <c r="AU99" s="61">
        <f>IF(E99="","",IFERROR(IF(INDEX('Paramètres'!$K$6:$K$33,MATCH(E99,'Paramètres'!$I$6:$I$33,0))="Oui",1,0),0))</f>
        <v/>
      </c>
      <c r="AV99" s="61">
        <f>IF(F99="","",IFERROR(IF(INDEX('Paramètres'!$O$6:$O$17,MATCH(F99,'Paramètres'!$M$6:$M$17,0))="Oui",1,0),0))</f>
        <v/>
      </c>
      <c r="AW99" s="62">
        <f>IF(E99="","",IF(G99&lt;&gt;"",G99,IF(OR(E99="Proposition envoyée",E99="Signature"),MAX(0,N(IFERROR(INDEX('Paramètres'!$R$6:$R$15,MATCH(IF(AL99&lt;&gt;"",AL99,IFERROR(INDEX('Prospects'!$AN$5:$AN$504,MATCH(C99,'Prospects'!$C$5:$C$504,0)),"")),'Paramètres'!$Q$6:$Q$15,0)),0))-N(P99)),0)))</f>
        <v/>
      </c>
      <c r="AX99" s="61">
        <f>IF(C99="","",IF(COUNTIF($C$5:C99,C99)=1,MAX($AX$4:AX98)+1,""))</f>
        <v/>
      </c>
      <c r="AY99" s="61">
        <f>IF(B99="","",HOUR(B99))</f>
        <v/>
      </c>
      <c r="AZ99" s="61">
        <f>IF(A99="","",MOD(A99-2,7)+1)</f>
        <v/>
      </c>
      <c r="BA99" s="60">
        <f>IF(C99="","",IFERROR(INDEX('Prospects'!$N$5:$N$504,MATCH(C99,'Prospects'!$C$5:$C$504,0)),""))</f>
        <v/>
      </c>
      <c r="BB99" s="61">
        <f>IF(AND(C99&lt;&gt;"",C99='Fiche prospect'!$C$4),COUNTIF($C$5:C99,C99),"")</f>
        <v/>
      </c>
    </row>
    <row r="100">
      <c r="A100" s="53" t="n"/>
      <c r="B100" s="54" t="n"/>
      <c r="C100" s="55" t="n"/>
      <c r="D100" s="55" t="n"/>
      <c r="E100" s="55" t="n"/>
      <c r="F100" s="55" t="n"/>
      <c r="G100" s="56" t="n"/>
      <c r="H100" s="57" t="n"/>
      <c r="I100" s="55" t="n"/>
      <c r="J100" s="53" t="n"/>
      <c r="K100" s="54" t="n"/>
      <c r="L100" s="55" t="n"/>
      <c r="M100" s="55" t="n"/>
      <c r="N100" s="57" t="n"/>
      <c r="O100" s="55" t="n"/>
      <c r="P100" s="56" t="n"/>
      <c r="Q100" s="55" t="n"/>
      <c r="R100" s="55" t="n"/>
      <c r="S100" s="55" t="n"/>
      <c r="T100" s="55" t="n"/>
      <c r="U100" s="55" t="n"/>
      <c r="V100" s="55" t="n"/>
      <c r="W100" s="58" t="n"/>
      <c r="X100" s="58" t="n"/>
      <c r="Y100" s="55" t="n"/>
      <c r="Z100" s="55" t="n"/>
      <c r="AA100" s="55" t="n"/>
      <c r="AB100" s="55" t="n"/>
      <c r="AC100" s="55" t="n"/>
      <c r="AD100" s="53" t="n"/>
      <c r="AE100" s="55" t="n"/>
      <c r="AF100" s="55" t="n"/>
      <c r="AG100" s="59" t="n"/>
      <c r="AH100" s="57" t="n"/>
      <c r="AI100" s="55" t="n"/>
      <c r="AJ100" s="55" t="n"/>
      <c r="AK100" s="55" t="n"/>
      <c r="AL100" s="55" t="n"/>
      <c r="AM100" s="56" t="n"/>
      <c r="AN100" s="55" t="n"/>
      <c r="AO100" s="55" t="n"/>
      <c r="AP100" s="55" t="n"/>
      <c r="AQ100" s="55" t="n"/>
      <c r="AR100" s="60">
        <f>IF(AND(C100="",E100=""),"",IF(A100="","⚠ Date manquante",IF(AND(C100="",E100&lt;&gt;"Dépense"),"⚠ Prospect manquant",IF(E100="","⚠ Action manquante",IF(AND(AU100=1,D100=""),"⚠ Canal manquant",IF(AND(W100&lt;&gt;"",COUNTIFS('Saisie'!$W$5:$W$2004,W100,'Saisie'!$C$5:$C$2004,"&lt;&gt;"&amp;C100)&gt;0),"⚠ Numéro déjà utilisé par un autre prospect",IF(AND(J100&lt;&gt;"",J100&lt;A100),"⚠ Relance avant la date de l'action",IF(A100&gt;TODAY(),"⚠ Date dans le futur","✓"))))))))</f>
        <v/>
      </c>
      <c r="AS100" s="61">
        <f>IF(AND(A100="",C100="",E100=""),"",ROW())</f>
        <v/>
      </c>
      <c r="AT100" s="61">
        <f>IF(E100&amp;F100="","",MAX(IFERROR(INDEX('Paramètres'!$J$6:$J$33,MATCH(E100,'Paramètres'!$I$6:$I$33,0)),0),IFERROR(INDEX('Paramètres'!$N$6:$N$17,MATCH(F100,'Paramètres'!$M$6:$M$17,0)),0)))</f>
        <v/>
      </c>
      <c r="AU100" s="61">
        <f>IF(E100="","",IFERROR(IF(INDEX('Paramètres'!$K$6:$K$33,MATCH(E100,'Paramètres'!$I$6:$I$33,0))="Oui",1,0),0))</f>
        <v/>
      </c>
      <c r="AV100" s="61">
        <f>IF(F100="","",IFERROR(IF(INDEX('Paramètres'!$O$6:$O$17,MATCH(F100,'Paramètres'!$M$6:$M$17,0))="Oui",1,0),0))</f>
        <v/>
      </c>
      <c r="AW100" s="62">
        <f>IF(E100="","",IF(G100&lt;&gt;"",G100,IF(OR(E100="Proposition envoyée",E100="Signature"),MAX(0,N(IFERROR(INDEX('Paramètres'!$R$6:$R$15,MATCH(IF(AL100&lt;&gt;"",AL100,IFERROR(INDEX('Prospects'!$AN$5:$AN$504,MATCH(C100,'Prospects'!$C$5:$C$504,0)),"")),'Paramètres'!$Q$6:$Q$15,0)),0))-N(P100)),0)))</f>
        <v/>
      </c>
      <c r="AX100" s="61">
        <f>IF(C100="","",IF(COUNTIF($C$5:C100,C100)=1,MAX($AX$4:AX99)+1,""))</f>
        <v/>
      </c>
      <c r="AY100" s="61">
        <f>IF(B100="","",HOUR(B100))</f>
        <v/>
      </c>
      <c r="AZ100" s="61">
        <f>IF(A100="","",MOD(A100-2,7)+1)</f>
        <v/>
      </c>
      <c r="BA100" s="60">
        <f>IF(C100="","",IFERROR(INDEX('Prospects'!$N$5:$N$504,MATCH(C100,'Prospects'!$C$5:$C$504,0)),""))</f>
        <v/>
      </c>
      <c r="BB100" s="61">
        <f>IF(AND(C100&lt;&gt;"",C100='Fiche prospect'!$C$4),COUNTIF($C$5:C100,C100),"")</f>
        <v/>
      </c>
    </row>
    <row r="101">
      <c r="A101" s="53" t="n"/>
      <c r="B101" s="54" t="n"/>
      <c r="C101" s="55" t="n"/>
      <c r="D101" s="55" t="n"/>
      <c r="E101" s="55" t="n"/>
      <c r="F101" s="55" t="n"/>
      <c r="G101" s="56" t="n"/>
      <c r="H101" s="57" t="n"/>
      <c r="I101" s="55" t="n"/>
      <c r="J101" s="53" t="n"/>
      <c r="K101" s="54" t="n"/>
      <c r="L101" s="55" t="n"/>
      <c r="M101" s="55" t="n"/>
      <c r="N101" s="57" t="n"/>
      <c r="O101" s="55" t="n"/>
      <c r="P101" s="56" t="n"/>
      <c r="Q101" s="55" t="n"/>
      <c r="R101" s="55" t="n"/>
      <c r="S101" s="55" t="n"/>
      <c r="T101" s="55" t="n"/>
      <c r="U101" s="55" t="n"/>
      <c r="V101" s="55" t="n"/>
      <c r="W101" s="58" t="n"/>
      <c r="X101" s="58" t="n"/>
      <c r="Y101" s="55" t="n"/>
      <c r="Z101" s="55" t="n"/>
      <c r="AA101" s="55" t="n"/>
      <c r="AB101" s="55" t="n"/>
      <c r="AC101" s="55" t="n"/>
      <c r="AD101" s="53" t="n"/>
      <c r="AE101" s="55" t="n"/>
      <c r="AF101" s="55" t="n"/>
      <c r="AG101" s="59" t="n"/>
      <c r="AH101" s="57" t="n"/>
      <c r="AI101" s="55" t="n"/>
      <c r="AJ101" s="55" t="n"/>
      <c r="AK101" s="55" t="n"/>
      <c r="AL101" s="55" t="n"/>
      <c r="AM101" s="56" t="n"/>
      <c r="AN101" s="55" t="n"/>
      <c r="AO101" s="55" t="n"/>
      <c r="AP101" s="55" t="n"/>
      <c r="AQ101" s="55" t="n"/>
      <c r="AR101" s="60">
        <f>IF(AND(C101="",E101=""),"",IF(A101="","⚠ Date manquante",IF(AND(C101="",E101&lt;&gt;"Dépense"),"⚠ Prospect manquant",IF(E101="","⚠ Action manquante",IF(AND(AU101=1,D101=""),"⚠ Canal manquant",IF(AND(W101&lt;&gt;"",COUNTIFS('Saisie'!$W$5:$W$2004,W101,'Saisie'!$C$5:$C$2004,"&lt;&gt;"&amp;C101)&gt;0),"⚠ Numéro déjà utilisé par un autre prospect",IF(AND(J101&lt;&gt;"",J101&lt;A101),"⚠ Relance avant la date de l'action",IF(A101&gt;TODAY(),"⚠ Date dans le futur","✓"))))))))</f>
        <v/>
      </c>
      <c r="AS101" s="61">
        <f>IF(AND(A101="",C101="",E101=""),"",ROW())</f>
        <v/>
      </c>
      <c r="AT101" s="61">
        <f>IF(E101&amp;F101="","",MAX(IFERROR(INDEX('Paramètres'!$J$6:$J$33,MATCH(E101,'Paramètres'!$I$6:$I$33,0)),0),IFERROR(INDEX('Paramètres'!$N$6:$N$17,MATCH(F101,'Paramètres'!$M$6:$M$17,0)),0)))</f>
        <v/>
      </c>
      <c r="AU101" s="61">
        <f>IF(E101="","",IFERROR(IF(INDEX('Paramètres'!$K$6:$K$33,MATCH(E101,'Paramètres'!$I$6:$I$33,0))="Oui",1,0),0))</f>
        <v/>
      </c>
      <c r="AV101" s="61">
        <f>IF(F101="","",IFERROR(IF(INDEX('Paramètres'!$O$6:$O$17,MATCH(F101,'Paramètres'!$M$6:$M$17,0))="Oui",1,0),0))</f>
        <v/>
      </c>
      <c r="AW101" s="62">
        <f>IF(E101="","",IF(G101&lt;&gt;"",G101,IF(OR(E101="Proposition envoyée",E101="Signature"),MAX(0,N(IFERROR(INDEX('Paramètres'!$R$6:$R$15,MATCH(IF(AL101&lt;&gt;"",AL101,IFERROR(INDEX('Prospects'!$AN$5:$AN$504,MATCH(C101,'Prospects'!$C$5:$C$504,0)),"")),'Paramètres'!$Q$6:$Q$15,0)),0))-N(P101)),0)))</f>
        <v/>
      </c>
      <c r="AX101" s="61">
        <f>IF(C101="","",IF(COUNTIF($C$5:C101,C101)=1,MAX($AX$4:AX100)+1,""))</f>
        <v/>
      </c>
      <c r="AY101" s="61">
        <f>IF(B101="","",HOUR(B101))</f>
        <v/>
      </c>
      <c r="AZ101" s="61">
        <f>IF(A101="","",MOD(A101-2,7)+1)</f>
        <v/>
      </c>
      <c r="BA101" s="60">
        <f>IF(C101="","",IFERROR(INDEX('Prospects'!$N$5:$N$504,MATCH(C101,'Prospects'!$C$5:$C$504,0)),""))</f>
        <v/>
      </c>
      <c r="BB101" s="61">
        <f>IF(AND(C101&lt;&gt;"",C101='Fiche prospect'!$C$4),COUNTIF($C$5:C101,C101),"")</f>
        <v/>
      </c>
    </row>
    <row r="102">
      <c r="A102" s="53" t="n"/>
      <c r="B102" s="54" t="n"/>
      <c r="C102" s="55" t="n"/>
      <c r="D102" s="55" t="n"/>
      <c r="E102" s="55" t="n"/>
      <c r="F102" s="55" t="n"/>
      <c r="G102" s="56" t="n"/>
      <c r="H102" s="57" t="n"/>
      <c r="I102" s="55" t="n"/>
      <c r="J102" s="53" t="n"/>
      <c r="K102" s="54" t="n"/>
      <c r="L102" s="55" t="n"/>
      <c r="M102" s="55" t="n"/>
      <c r="N102" s="57" t="n"/>
      <c r="O102" s="55" t="n"/>
      <c r="P102" s="56" t="n"/>
      <c r="Q102" s="55" t="n"/>
      <c r="R102" s="55" t="n"/>
      <c r="S102" s="55" t="n"/>
      <c r="T102" s="55" t="n"/>
      <c r="U102" s="55" t="n"/>
      <c r="V102" s="55" t="n"/>
      <c r="W102" s="58" t="n"/>
      <c r="X102" s="58" t="n"/>
      <c r="Y102" s="55" t="n"/>
      <c r="Z102" s="55" t="n"/>
      <c r="AA102" s="55" t="n"/>
      <c r="AB102" s="55" t="n"/>
      <c r="AC102" s="55" t="n"/>
      <c r="AD102" s="53" t="n"/>
      <c r="AE102" s="55" t="n"/>
      <c r="AF102" s="55" t="n"/>
      <c r="AG102" s="59" t="n"/>
      <c r="AH102" s="57" t="n"/>
      <c r="AI102" s="55" t="n"/>
      <c r="AJ102" s="55" t="n"/>
      <c r="AK102" s="55" t="n"/>
      <c r="AL102" s="55" t="n"/>
      <c r="AM102" s="56" t="n"/>
      <c r="AN102" s="55" t="n"/>
      <c r="AO102" s="55" t="n"/>
      <c r="AP102" s="55" t="n"/>
      <c r="AQ102" s="55" t="n"/>
      <c r="AR102" s="60">
        <f>IF(AND(C102="",E102=""),"",IF(A102="","⚠ Date manquante",IF(AND(C102="",E102&lt;&gt;"Dépense"),"⚠ Prospect manquant",IF(E102="","⚠ Action manquante",IF(AND(AU102=1,D102=""),"⚠ Canal manquant",IF(AND(W102&lt;&gt;"",COUNTIFS('Saisie'!$W$5:$W$2004,W102,'Saisie'!$C$5:$C$2004,"&lt;&gt;"&amp;C102)&gt;0),"⚠ Numéro déjà utilisé par un autre prospect",IF(AND(J102&lt;&gt;"",J102&lt;A102),"⚠ Relance avant la date de l'action",IF(A102&gt;TODAY(),"⚠ Date dans le futur","✓"))))))))</f>
        <v/>
      </c>
      <c r="AS102" s="61">
        <f>IF(AND(A102="",C102="",E102=""),"",ROW())</f>
        <v/>
      </c>
      <c r="AT102" s="61">
        <f>IF(E102&amp;F102="","",MAX(IFERROR(INDEX('Paramètres'!$J$6:$J$33,MATCH(E102,'Paramètres'!$I$6:$I$33,0)),0),IFERROR(INDEX('Paramètres'!$N$6:$N$17,MATCH(F102,'Paramètres'!$M$6:$M$17,0)),0)))</f>
        <v/>
      </c>
      <c r="AU102" s="61">
        <f>IF(E102="","",IFERROR(IF(INDEX('Paramètres'!$K$6:$K$33,MATCH(E102,'Paramètres'!$I$6:$I$33,0))="Oui",1,0),0))</f>
        <v/>
      </c>
      <c r="AV102" s="61">
        <f>IF(F102="","",IFERROR(IF(INDEX('Paramètres'!$O$6:$O$17,MATCH(F102,'Paramètres'!$M$6:$M$17,0))="Oui",1,0),0))</f>
        <v/>
      </c>
      <c r="AW102" s="62">
        <f>IF(E102="","",IF(G102&lt;&gt;"",G102,IF(OR(E102="Proposition envoyée",E102="Signature"),MAX(0,N(IFERROR(INDEX('Paramètres'!$R$6:$R$15,MATCH(IF(AL102&lt;&gt;"",AL102,IFERROR(INDEX('Prospects'!$AN$5:$AN$504,MATCH(C102,'Prospects'!$C$5:$C$504,0)),"")),'Paramètres'!$Q$6:$Q$15,0)),0))-N(P102)),0)))</f>
        <v/>
      </c>
      <c r="AX102" s="61">
        <f>IF(C102="","",IF(COUNTIF($C$5:C102,C102)=1,MAX($AX$4:AX101)+1,""))</f>
        <v/>
      </c>
      <c r="AY102" s="61">
        <f>IF(B102="","",HOUR(B102))</f>
        <v/>
      </c>
      <c r="AZ102" s="61">
        <f>IF(A102="","",MOD(A102-2,7)+1)</f>
        <v/>
      </c>
      <c r="BA102" s="60">
        <f>IF(C102="","",IFERROR(INDEX('Prospects'!$N$5:$N$504,MATCH(C102,'Prospects'!$C$5:$C$504,0)),""))</f>
        <v/>
      </c>
      <c r="BB102" s="61">
        <f>IF(AND(C102&lt;&gt;"",C102='Fiche prospect'!$C$4),COUNTIF($C$5:C102,C102),"")</f>
        <v/>
      </c>
    </row>
    <row r="103">
      <c r="A103" s="53" t="n"/>
      <c r="B103" s="54" t="n"/>
      <c r="C103" s="55" t="n"/>
      <c r="D103" s="55" t="n"/>
      <c r="E103" s="55" t="n"/>
      <c r="F103" s="55" t="n"/>
      <c r="G103" s="56" t="n"/>
      <c r="H103" s="57" t="n"/>
      <c r="I103" s="55" t="n"/>
      <c r="J103" s="53" t="n"/>
      <c r="K103" s="54" t="n"/>
      <c r="L103" s="55" t="n"/>
      <c r="M103" s="55" t="n"/>
      <c r="N103" s="57" t="n"/>
      <c r="O103" s="55" t="n"/>
      <c r="P103" s="56" t="n"/>
      <c r="Q103" s="55" t="n"/>
      <c r="R103" s="55" t="n"/>
      <c r="S103" s="55" t="n"/>
      <c r="T103" s="55" t="n"/>
      <c r="U103" s="55" t="n"/>
      <c r="V103" s="55" t="n"/>
      <c r="W103" s="58" t="n"/>
      <c r="X103" s="58" t="n"/>
      <c r="Y103" s="55" t="n"/>
      <c r="Z103" s="55" t="n"/>
      <c r="AA103" s="55" t="n"/>
      <c r="AB103" s="55" t="n"/>
      <c r="AC103" s="55" t="n"/>
      <c r="AD103" s="53" t="n"/>
      <c r="AE103" s="55" t="n"/>
      <c r="AF103" s="55" t="n"/>
      <c r="AG103" s="59" t="n"/>
      <c r="AH103" s="57" t="n"/>
      <c r="AI103" s="55" t="n"/>
      <c r="AJ103" s="55" t="n"/>
      <c r="AK103" s="55" t="n"/>
      <c r="AL103" s="55" t="n"/>
      <c r="AM103" s="56" t="n"/>
      <c r="AN103" s="55" t="n"/>
      <c r="AO103" s="55" t="n"/>
      <c r="AP103" s="55" t="n"/>
      <c r="AQ103" s="55" t="n"/>
      <c r="AR103" s="60">
        <f>IF(AND(C103="",E103=""),"",IF(A103="","⚠ Date manquante",IF(AND(C103="",E103&lt;&gt;"Dépense"),"⚠ Prospect manquant",IF(E103="","⚠ Action manquante",IF(AND(AU103=1,D103=""),"⚠ Canal manquant",IF(AND(W103&lt;&gt;"",COUNTIFS('Saisie'!$W$5:$W$2004,W103,'Saisie'!$C$5:$C$2004,"&lt;&gt;"&amp;C103)&gt;0),"⚠ Numéro déjà utilisé par un autre prospect",IF(AND(J103&lt;&gt;"",J103&lt;A103),"⚠ Relance avant la date de l'action",IF(A103&gt;TODAY(),"⚠ Date dans le futur","✓"))))))))</f>
        <v/>
      </c>
      <c r="AS103" s="61">
        <f>IF(AND(A103="",C103="",E103=""),"",ROW())</f>
        <v/>
      </c>
      <c r="AT103" s="61">
        <f>IF(E103&amp;F103="","",MAX(IFERROR(INDEX('Paramètres'!$J$6:$J$33,MATCH(E103,'Paramètres'!$I$6:$I$33,0)),0),IFERROR(INDEX('Paramètres'!$N$6:$N$17,MATCH(F103,'Paramètres'!$M$6:$M$17,0)),0)))</f>
        <v/>
      </c>
      <c r="AU103" s="61">
        <f>IF(E103="","",IFERROR(IF(INDEX('Paramètres'!$K$6:$K$33,MATCH(E103,'Paramètres'!$I$6:$I$33,0))="Oui",1,0),0))</f>
        <v/>
      </c>
      <c r="AV103" s="61">
        <f>IF(F103="","",IFERROR(IF(INDEX('Paramètres'!$O$6:$O$17,MATCH(F103,'Paramètres'!$M$6:$M$17,0))="Oui",1,0),0))</f>
        <v/>
      </c>
      <c r="AW103" s="62">
        <f>IF(E103="","",IF(G103&lt;&gt;"",G103,IF(OR(E103="Proposition envoyée",E103="Signature"),MAX(0,N(IFERROR(INDEX('Paramètres'!$R$6:$R$15,MATCH(IF(AL103&lt;&gt;"",AL103,IFERROR(INDEX('Prospects'!$AN$5:$AN$504,MATCH(C103,'Prospects'!$C$5:$C$504,0)),"")),'Paramètres'!$Q$6:$Q$15,0)),0))-N(P103)),0)))</f>
        <v/>
      </c>
      <c r="AX103" s="61">
        <f>IF(C103="","",IF(COUNTIF($C$5:C103,C103)=1,MAX($AX$4:AX102)+1,""))</f>
        <v/>
      </c>
      <c r="AY103" s="61">
        <f>IF(B103="","",HOUR(B103))</f>
        <v/>
      </c>
      <c r="AZ103" s="61">
        <f>IF(A103="","",MOD(A103-2,7)+1)</f>
        <v/>
      </c>
      <c r="BA103" s="60">
        <f>IF(C103="","",IFERROR(INDEX('Prospects'!$N$5:$N$504,MATCH(C103,'Prospects'!$C$5:$C$504,0)),""))</f>
        <v/>
      </c>
      <c r="BB103" s="61">
        <f>IF(AND(C103&lt;&gt;"",C103='Fiche prospect'!$C$4),COUNTIF($C$5:C103,C103),"")</f>
        <v/>
      </c>
    </row>
    <row r="104">
      <c r="A104" s="53" t="n"/>
      <c r="B104" s="54" t="n"/>
      <c r="C104" s="55" t="n"/>
      <c r="D104" s="55" t="n"/>
      <c r="E104" s="55" t="n"/>
      <c r="F104" s="55" t="n"/>
      <c r="G104" s="56" t="n"/>
      <c r="H104" s="57" t="n"/>
      <c r="I104" s="55" t="n"/>
      <c r="J104" s="53" t="n"/>
      <c r="K104" s="54" t="n"/>
      <c r="L104" s="55" t="n"/>
      <c r="M104" s="55" t="n"/>
      <c r="N104" s="57" t="n"/>
      <c r="O104" s="55" t="n"/>
      <c r="P104" s="56" t="n"/>
      <c r="Q104" s="55" t="n"/>
      <c r="R104" s="55" t="n"/>
      <c r="S104" s="55" t="n"/>
      <c r="T104" s="55" t="n"/>
      <c r="U104" s="55" t="n"/>
      <c r="V104" s="55" t="n"/>
      <c r="W104" s="58" t="n"/>
      <c r="X104" s="58" t="n"/>
      <c r="Y104" s="55" t="n"/>
      <c r="Z104" s="55" t="n"/>
      <c r="AA104" s="55" t="n"/>
      <c r="AB104" s="55" t="n"/>
      <c r="AC104" s="55" t="n"/>
      <c r="AD104" s="53" t="n"/>
      <c r="AE104" s="55" t="n"/>
      <c r="AF104" s="55" t="n"/>
      <c r="AG104" s="59" t="n"/>
      <c r="AH104" s="57" t="n"/>
      <c r="AI104" s="55" t="n"/>
      <c r="AJ104" s="55" t="n"/>
      <c r="AK104" s="55" t="n"/>
      <c r="AL104" s="55" t="n"/>
      <c r="AM104" s="56" t="n"/>
      <c r="AN104" s="55" t="n"/>
      <c r="AO104" s="55" t="n"/>
      <c r="AP104" s="55" t="n"/>
      <c r="AQ104" s="55" t="n"/>
      <c r="AR104" s="60">
        <f>IF(AND(C104="",E104=""),"",IF(A104="","⚠ Date manquante",IF(AND(C104="",E104&lt;&gt;"Dépense"),"⚠ Prospect manquant",IF(E104="","⚠ Action manquante",IF(AND(AU104=1,D104=""),"⚠ Canal manquant",IF(AND(W104&lt;&gt;"",COUNTIFS('Saisie'!$W$5:$W$2004,W104,'Saisie'!$C$5:$C$2004,"&lt;&gt;"&amp;C104)&gt;0),"⚠ Numéro déjà utilisé par un autre prospect",IF(AND(J104&lt;&gt;"",J104&lt;A104),"⚠ Relance avant la date de l'action",IF(A104&gt;TODAY(),"⚠ Date dans le futur","✓"))))))))</f>
        <v/>
      </c>
      <c r="AS104" s="61">
        <f>IF(AND(A104="",C104="",E104=""),"",ROW())</f>
        <v/>
      </c>
      <c r="AT104" s="61">
        <f>IF(E104&amp;F104="","",MAX(IFERROR(INDEX('Paramètres'!$J$6:$J$33,MATCH(E104,'Paramètres'!$I$6:$I$33,0)),0),IFERROR(INDEX('Paramètres'!$N$6:$N$17,MATCH(F104,'Paramètres'!$M$6:$M$17,0)),0)))</f>
        <v/>
      </c>
      <c r="AU104" s="61">
        <f>IF(E104="","",IFERROR(IF(INDEX('Paramètres'!$K$6:$K$33,MATCH(E104,'Paramètres'!$I$6:$I$33,0))="Oui",1,0),0))</f>
        <v/>
      </c>
      <c r="AV104" s="61">
        <f>IF(F104="","",IFERROR(IF(INDEX('Paramètres'!$O$6:$O$17,MATCH(F104,'Paramètres'!$M$6:$M$17,0))="Oui",1,0),0))</f>
        <v/>
      </c>
      <c r="AW104" s="62">
        <f>IF(E104="","",IF(G104&lt;&gt;"",G104,IF(OR(E104="Proposition envoyée",E104="Signature"),MAX(0,N(IFERROR(INDEX('Paramètres'!$R$6:$R$15,MATCH(IF(AL104&lt;&gt;"",AL104,IFERROR(INDEX('Prospects'!$AN$5:$AN$504,MATCH(C104,'Prospects'!$C$5:$C$504,0)),"")),'Paramètres'!$Q$6:$Q$15,0)),0))-N(P104)),0)))</f>
        <v/>
      </c>
      <c r="AX104" s="61">
        <f>IF(C104="","",IF(COUNTIF($C$5:C104,C104)=1,MAX($AX$4:AX103)+1,""))</f>
        <v/>
      </c>
      <c r="AY104" s="61">
        <f>IF(B104="","",HOUR(B104))</f>
        <v/>
      </c>
      <c r="AZ104" s="61">
        <f>IF(A104="","",MOD(A104-2,7)+1)</f>
        <v/>
      </c>
      <c r="BA104" s="60">
        <f>IF(C104="","",IFERROR(INDEX('Prospects'!$N$5:$N$504,MATCH(C104,'Prospects'!$C$5:$C$504,0)),""))</f>
        <v/>
      </c>
      <c r="BB104" s="61">
        <f>IF(AND(C104&lt;&gt;"",C104='Fiche prospect'!$C$4),COUNTIF($C$5:C104,C104),"")</f>
        <v/>
      </c>
    </row>
    <row r="105">
      <c r="A105" s="53" t="n"/>
      <c r="B105" s="54" t="n"/>
      <c r="C105" s="55" t="n"/>
      <c r="D105" s="55" t="n"/>
      <c r="E105" s="55" t="n"/>
      <c r="F105" s="55" t="n"/>
      <c r="G105" s="56" t="n"/>
      <c r="H105" s="57" t="n"/>
      <c r="I105" s="55" t="n"/>
      <c r="J105" s="53" t="n"/>
      <c r="K105" s="54" t="n"/>
      <c r="L105" s="55" t="n"/>
      <c r="M105" s="55" t="n"/>
      <c r="N105" s="57" t="n"/>
      <c r="O105" s="55" t="n"/>
      <c r="P105" s="56" t="n"/>
      <c r="Q105" s="55" t="n"/>
      <c r="R105" s="55" t="n"/>
      <c r="S105" s="55" t="n"/>
      <c r="T105" s="55" t="n"/>
      <c r="U105" s="55" t="n"/>
      <c r="V105" s="55" t="n"/>
      <c r="W105" s="58" t="n"/>
      <c r="X105" s="58" t="n"/>
      <c r="Y105" s="55" t="n"/>
      <c r="Z105" s="55" t="n"/>
      <c r="AA105" s="55" t="n"/>
      <c r="AB105" s="55" t="n"/>
      <c r="AC105" s="55" t="n"/>
      <c r="AD105" s="53" t="n"/>
      <c r="AE105" s="55" t="n"/>
      <c r="AF105" s="55" t="n"/>
      <c r="AG105" s="59" t="n"/>
      <c r="AH105" s="57" t="n"/>
      <c r="AI105" s="55" t="n"/>
      <c r="AJ105" s="55" t="n"/>
      <c r="AK105" s="55" t="n"/>
      <c r="AL105" s="55" t="n"/>
      <c r="AM105" s="56" t="n"/>
      <c r="AN105" s="55" t="n"/>
      <c r="AO105" s="55" t="n"/>
      <c r="AP105" s="55" t="n"/>
      <c r="AQ105" s="55" t="n"/>
      <c r="AR105" s="60">
        <f>IF(AND(C105="",E105=""),"",IF(A105="","⚠ Date manquante",IF(AND(C105="",E105&lt;&gt;"Dépense"),"⚠ Prospect manquant",IF(E105="","⚠ Action manquante",IF(AND(AU105=1,D105=""),"⚠ Canal manquant",IF(AND(W105&lt;&gt;"",COUNTIFS('Saisie'!$W$5:$W$2004,W105,'Saisie'!$C$5:$C$2004,"&lt;&gt;"&amp;C105)&gt;0),"⚠ Numéro déjà utilisé par un autre prospect",IF(AND(J105&lt;&gt;"",J105&lt;A105),"⚠ Relance avant la date de l'action",IF(A105&gt;TODAY(),"⚠ Date dans le futur","✓"))))))))</f>
        <v/>
      </c>
      <c r="AS105" s="61">
        <f>IF(AND(A105="",C105="",E105=""),"",ROW())</f>
        <v/>
      </c>
      <c r="AT105" s="61">
        <f>IF(E105&amp;F105="","",MAX(IFERROR(INDEX('Paramètres'!$J$6:$J$33,MATCH(E105,'Paramètres'!$I$6:$I$33,0)),0),IFERROR(INDEX('Paramètres'!$N$6:$N$17,MATCH(F105,'Paramètres'!$M$6:$M$17,0)),0)))</f>
        <v/>
      </c>
      <c r="AU105" s="61">
        <f>IF(E105="","",IFERROR(IF(INDEX('Paramètres'!$K$6:$K$33,MATCH(E105,'Paramètres'!$I$6:$I$33,0))="Oui",1,0),0))</f>
        <v/>
      </c>
      <c r="AV105" s="61">
        <f>IF(F105="","",IFERROR(IF(INDEX('Paramètres'!$O$6:$O$17,MATCH(F105,'Paramètres'!$M$6:$M$17,0))="Oui",1,0),0))</f>
        <v/>
      </c>
      <c r="AW105" s="62">
        <f>IF(E105="","",IF(G105&lt;&gt;"",G105,IF(OR(E105="Proposition envoyée",E105="Signature"),MAX(0,N(IFERROR(INDEX('Paramètres'!$R$6:$R$15,MATCH(IF(AL105&lt;&gt;"",AL105,IFERROR(INDEX('Prospects'!$AN$5:$AN$504,MATCH(C105,'Prospects'!$C$5:$C$504,0)),"")),'Paramètres'!$Q$6:$Q$15,0)),0))-N(P105)),0)))</f>
        <v/>
      </c>
      <c r="AX105" s="61">
        <f>IF(C105="","",IF(COUNTIF($C$5:C105,C105)=1,MAX($AX$4:AX104)+1,""))</f>
        <v/>
      </c>
      <c r="AY105" s="61">
        <f>IF(B105="","",HOUR(B105))</f>
        <v/>
      </c>
      <c r="AZ105" s="61">
        <f>IF(A105="","",MOD(A105-2,7)+1)</f>
        <v/>
      </c>
      <c r="BA105" s="60">
        <f>IF(C105="","",IFERROR(INDEX('Prospects'!$N$5:$N$504,MATCH(C105,'Prospects'!$C$5:$C$504,0)),""))</f>
        <v/>
      </c>
      <c r="BB105" s="61">
        <f>IF(AND(C105&lt;&gt;"",C105='Fiche prospect'!$C$4),COUNTIF($C$5:C105,C105),"")</f>
        <v/>
      </c>
    </row>
    <row r="106">
      <c r="A106" s="53" t="n"/>
      <c r="B106" s="54" t="n"/>
      <c r="C106" s="55" t="n"/>
      <c r="D106" s="55" t="n"/>
      <c r="E106" s="55" t="n"/>
      <c r="F106" s="55" t="n"/>
      <c r="G106" s="56" t="n"/>
      <c r="H106" s="57" t="n"/>
      <c r="I106" s="55" t="n"/>
      <c r="J106" s="53" t="n"/>
      <c r="K106" s="54" t="n"/>
      <c r="L106" s="55" t="n"/>
      <c r="M106" s="55" t="n"/>
      <c r="N106" s="57" t="n"/>
      <c r="O106" s="55" t="n"/>
      <c r="P106" s="56" t="n"/>
      <c r="Q106" s="55" t="n"/>
      <c r="R106" s="55" t="n"/>
      <c r="S106" s="55" t="n"/>
      <c r="T106" s="55" t="n"/>
      <c r="U106" s="55" t="n"/>
      <c r="V106" s="55" t="n"/>
      <c r="W106" s="58" t="n"/>
      <c r="X106" s="58" t="n"/>
      <c r="Y106" s="55" t="n"/>
      <c r="Z106" s="55" t="n"/>
      <c r="AA106" s="55" t="n"/>
      <c r="AB106" s="55" t="n"/>
      <c r="AC106" s="55" t="n"/>
      <c r="AD106" s="53" t="n"/>
      <c r="AE106" s="55" t="n"/>
      <c r="AF106" s="55" t="n"/>
      <c r="AG106" s="59" t="n"/>
      <c r="AH106" s="57" t="n"/>
      <c r="AI106" s="55" t="n"/>
      <c r="AJ106" s="55" t="n"/>
      <c r="AK106" s="55" t="n"/>
      <c r="AL106" s="55" t="n"/>
      <c r="AM106" s="56" t="n"/>
      <c r="AN106" s="55" t="n"/>
      <c r="AO106" s="55" t="n"/>
      <c r="AP106" s="55" t="n"/>
      <c r="AQ106" s="55" t="n"/>
      <c r="AR106" s="60">
        <f>IF(AND(C106="",E106=""),"",IF(A106="","⚠ Date manquante",IF(AND(C106="",E106&lt;&gt;"Dépense"),"⚠ Prospect manquant",IF(E106="","⚠ Action manquante",IF(AND(AU106=1,D106=""),"⚠ Canal manquant",IF(AND(W106&lt;&gt;"",COUNTIFS('Saisie'!$W$5:$W$2004,W106,'Saisie'!$C$5:$C$2004,"&lt;&gt;"&amp;C106)&gt;0),"⚠ Numéro déjà utilisé par un autre prospect",IF(AND(J106&lt;&gt;"",J106&lt;A106),"⚠ Relance avant la date de l'action",IF(A106&gt;TODAY(),"⚠ Date dans le futur","✓"))))))))</f>
        <v/>
      </c>
      <c r="AS106" s="61">
        <f>IF(AND(A106="",C106="",E106=""),"",ROW())</f>
        <v/>
      </c>
      <c r="AT106" s="61">
        <f>IF(E106&amp;F106="","",MAX(IFERROR(INDEX('Paramètres'!$J$6:$J$33,MATCH(E106,'Paramètres'!$I$6:$I$33,0)),0),IFERROR(INDEX('Paramètres'!$N$6:$N$17,MATCH(F106,'Paramètres'!$M$6:$M$17,0)),0)))</f>
        <v/>
      </c>
      <c r="AU106" s="61">
        <f>IF(E106="","",IFERROR(IF(INDEX('Paramètres'!$K$6:$K$33,MATCH(E106,'Paramètres'!$I$6:$I$33,0))="Oui",1,0),0))</f>
        <v/>
      </c>
      <c r="AV106" s="61">
        <f>IF(F106="","",IFERROR(IF(INDEX('Paramètres'!$O$6:$O$17,MATCH(F106,'Paramètres'!$M$6:$M$17,0))="Oui",1,0),0))</f>
        <v/>
      </c>
      <c r="AW106" s="62">
        <f>IF(E106="","",IF(G106&lt;&gt;"",G106,IF(OR(E106="Proposition envoyée",E106="Signature"),MAX(0,N(IFERROR(INDEX('Paramètres'!$R$6:$R$15,MATCH(IF(AL106&lt;&gt;"",AL106,IFERROR(INDEX('Prospects'!$AN$5:$AN$504,MATCH(C106,'Prospects'!$C$5:$C$504,0)),"")),'Paramètres'!$Q$6:$Q$15,0)),0))-N(P106)),0)))</f>
        <v/>
      </c>
      <c r="AX106" s="61">
        <f>IF(C106="","",IF(COUNTIF($C$5:C106,C106)=1,MAX($AX$4:AX105)+1,""))</f>
        <v/>
      </c>
      <c r="AY106" s="61">
        <f>IF(B106="","",HOUR(B106))</f>
        <v/>
      </c>
      <c r="AZ106" s="61">
        <f>IF(A106="","",MOD(A106-2,7)+1)</f>
        <v/>
      </c>
      <c r="BA106" s="60">
        <f>IF(C106="","",IFERROR(INDEX('Prospects'!$N$5:$N$504,MATCH(C106,'Prospects'!$C$5:$C$504,0)),""))</f>
        <v/>
      </c>
      <c r="BB106" s="61">
        <f>IF(AND(C106&lt;&gt;"",C106='Fiche prospect'!$C$4),COUNTIF($C$5:C106,C106),"")</f>
        <v/>
      </c>
    </row>
    <row r="107">
      <c r="A107" s="53" t="n"/>
      <c r="B107" s="54" t="n"/>
      <c r="C107" s="55" t="n"/>
      <c r="D107" s="55" t="n"/>
      <c r="E107" s="55" t="n"/>
      <c r="F107" s="55" t="n"/>
      <c r="G107" s="56" t="n"/>
      <c r="H107" s="57" t="n"/>
      <c r="I107" s="55" t="n"/>
      <c r="J107" s="53" t="n"/>
      <c r="K107" s="54" t="n"/>
      <c r="L107" s="55" t="n"/>
      <c r="M107" s="55" t="n"/>
      <c r="N107" s="57" t="n"/>
      <c r="O107" s="55" t="n"/>
      <c r="P107" s="56" t="n"/>
      <c r="Q107" s="55" t="n"/>
      <c r="R107" s="55" t="n"/>
      <c r="S107" s="55" t="n"/>
      <c r="T107" s="55" t="n"/>
      <c r="U107" s="55" t="n"/>
      <c r="V107" s="55" t="n"/>
      <c r="W107" s="58" t="n"/>
      <c r="X107" s="58" t="n"/>
      <c r="Y107" s="55" t="n"/>
      <c r="Z107" s="55" t="n"/>
      <c r="AA107" s="55" t="n"/>
      <c r="AB107" s="55" t="n"/>
      <c r="AC107" s="55" t="n"/>
      <c r="AD107" s="53" t="n"/>
      <c r="AE107" s="55" t="n"/>
      <c r="AF107" s="55" t="n"/>
      <c r="AG107" s="59" t="n"/>
      <c r="AH107" s="57" t="n"/>
      <c r="AI107" s="55" t="n"/>
      <c r="AJ107" s="55" t="n"/>
      <c r="AK107" s="55" t="n"/>
      <c r="AL107" s="55" t="n"/>
      <c r="AM107" s="56" t="n"/>
      <c r="AN107" s="55" t="n"/>
      <c r="AO107" s="55" t="n"/>
      <c r="AP107" s="55" t="n"/>
      <c r="AQ107" s="55" t="n"/>
      <c r="AR107" s="60">
        <f>IF(AND(C107="",E107=""),"",IF(A107="","⚠ Date manquante",IF(AND(C107="",E107&lt;&gt;"Dépense"),"⚠ Prospect manquant",IF(E107="","⚠ Action manquante",IF(AND(AU107=1,D107=""),"⚠ Canal manquant",IF(AND(W107&lt;&gt;"",COUNTIFS('Saisie'!$W$5:$W$2004,W107,'Saisie'!$C$5:$C$2004,"&lt;&gt;"&amp;C107)&gt;0),"⚠ Numéro déjà utilisé par un autre prospect",IF(AND(J107&lt;&gt;"",J107&lt;A107),"⚠ Relance avant la date de l'action",IF(A107&gt;TODAY(),"⚠ Date dans le futur","✓"))))))))</f>
        <v/>
      </c>
      <c r="AS107" s="61">
        <f>IF(AND(A107="",C107="",E107=""),"",ROW())</f>
        <v/>
      </c>
      <c r="AT107" s="61">
        <f>IF(E107&amp;F107="","",MAX(IFERROR(INDEX('Paramètres'!$J$6:$J$33,MATCH(E107,'Paramètres'!$I$6:$I$33,0)),0),IFERROR(INDEX('Paramètres'!$N$6:$N$17,MATCH(F107,'Paramètres'!$M$6:$M$17,0)),0)))</f>
        <v/>
      </c>
      <c r="AU107" s="61">
        <f>IF(E107="","",IFERROR(IF(INDEX('Paramètres'!$K$6:$K$33,MATCH(E107,'Paramètres'!$I$6:$I$33,0))="Oui",1,0),0))</f>
        <v/>
      </c>
      <c r="AV107" s="61">
        <f>IF(F107="","",IFERROR(IF(INDEX('Paramètres'!$O$6:$O$17,MATCH(F107,'Paramètres'!$M$6:$M$17,0))="Oui",1,0),0))</f>
        <v/>
      </c>
      <c r="AW107" s="62">
        <f>IF(E107="","",IF(G107&lt;&gt;"",G107,IF(OR(E107="Proposition envoyée",E107="Signature"),MAX(0,N(IFERROR(INDEX('Paramètres'!$R$6:$R$15,MATCH(IF(AL107&lt;&gt;"",AL107,IFERROR(INDEX('Prospects'!$AN$5:$AN$504,MATCH(C107,'Prospects'!$C$5:$C$504,0)),"")),'Paramètres'!$Q$6:$Q$15,0)),0))-N(P107)),0)))</f>
        <v/>
      </c>
      <c r="AX107" s="61">
        <f>IF(C107="","",IF(COUNTIF($C$5:C107,C107)=1,MAX($AX$4:AX106)+1,""))</f>
        <v/>
      </c>
      <c r="AY107" s="61">
        <f>IF(B107="","",HOUR(B107))</f>
        <v/>
      </c>
      <c r="AZ107" s="61">
        <f>IF(A107="","",MOD(A107-2,7)+1)</f>
        <v/>
      </c>
      <c r="BA107" s="60">
        <f>IF(C107="","",IFERROR(INDEX('Prospects'!$N$5:$N$504,MATCH(C107,'Prospects'!$C$5:$C$504,0)),""))</f>
        <v/>
      </c>
      <c r="BB107" s="61">
        <f>IF(AND(C107&lt;&gt;"",C107='Fiche prospect'!$C$4),COUNTIF($C$5:C107,C107),"")</f>
        <v/>
      </c>
    </row>
    <row r="108">
      <c r="A108" s="53" t="n"/>
      <c r="B108" s="54" t="n"/>
      <c r="C108" s="55" t="n"/>
      <c r="D108" s="55" t="n"/>
      <c r="E108" s="55" t="n"/>
      <c r="F108" s="55" t="n"/>
      <c r="G108" s="56" t="n"/>
      <c r="H108" s="57" t="n"/>
      <c r="I108" s="55" t="n"/>
      <c r="J108" s="53" t="n"/>
      <c r="K108" s="54" t="n"/>
      <c r="L108" s="55" t="n"/>
      <c r="M108" s="55" t="n"/>
      <c r="N108" s="57" t="n"/>
      <c r="O108" s="55" t="n"/>
      <c r="P108" s="56" t="n"/>
      <c r="Q108" s="55" t="n"/>
      <c r="R108" s="55" t="n"/>
      <c r="S108" s="55" t="n"/>
      <c r="T108" s="55" t="n"/>
      <c r="U108" s="55" t="n"/>
      <c r="V108" s="55" t="n"/>
      <c r="W108" s="58" t="n"/>
      <c r="X108" s="58" t="n"/>
      <c r="Y108" s="55" t="n"/>
      <c r="Z108" s="55" t="n"/>
      <c r="AA108" s="55" t="n"/>
      <c r="AB108" s="55" t="n"/>
      <c r="AC108" s="55" t="n"/>
      <c r="AD108" s="53" t="n"/>
      <c r="AE108" s="55" t="n"/>
      <c r="AF108" s="55" t="n"/>
      <c r="AG108" s="59" t="n"/>
      <c r="AH108" s="57" t="n"/>
      <c r="AI108" s="55" t="n"/>
      <c r="AJ108" s="55" t="n"/>
      <c r="AK108" s="55" t="n"/>
      <c r="AL108" s="55" t="n"/>
      <c r="AM108" s="56" t="n"/>
      <c r="AN108" s="55" t="n"/>
      <c r="AO108" s="55" t="n"/>
      <c r="AP108" s="55" t="n"/>
      <c r="AQ108" s="55" t="n"/>
      <c r="AR108" s="60">
        <f>IF(AND(C108="",E108=""),"",IF(A108="","⚠ Date manquante",IF(AND(C108="",E108&lt;&gt;"Dépense"),"⚠ Prospect manquant",IF(E108="","⚠ Action manquante",IF(AND(AU108=1,D108=""),"⚠ Canal manquant",IF(AND(W108&lt;&gt;"",COUNTIFS('Saisie'!$W$5:$W$2004,W108,'Saisie'!$C$5:$C$2004,"&lt;&gt;"&amp;C108)&gt;0),"⚠ Numéro déjà utilisé par un autre prospect",IF(AND(J108&lt;&gt;"",J108&lt;A108),"⚠ Relance avant la date de l'action",IF(A108&gt;TODAY(),"⚠ Date dans le futur","✓"))))))))</f>
        <v/>
      </c>
      <c r="AS108" s="61">
        <f>IF(AND(A108="",C108="",E108=""),"",ROW())</f>
        <v/>
      </c>
      <c r="AT108" s="61">
        <f>IF(E108&amp;F108="","",MAX(IFERROR(INDEX('Paramètres'!$J$6:$J$33,MATCH(E108,'Paramètres'!$I$6:$I$33,0)),0),IFERROR(INDEX('Paramètres'!$N$6:$N$17,MATCH(F108,'Paramètres'!$M$6:$M$17,0)),0)))</f>
        <v/>
      </c>
      <c r="AU108" s="61">
        <f>IF(E108="","",IFERROR(IF(INDEX('Paramètres'!$K$6:$K$33,MATCH(E108,'Paramètres'!$I$6:$I$33,0))="Oui",1,0),0))</f>
        <v/>
      </c>
      <c r="AV108" s="61">
        <f>IF(F108="","",IFERROR(IF(INDEX('Paramètres'!$O$6:$O$17,MATCH(F108,'Paramètres'!$M$6:$M$17,0))="Oui",1,0),0))</f>
        <v/>
      </c>
      <c r="AW108" s="62">
        <f>IF(E108="","",IF(G108&lt;&gt;"",G108,IF(OR(E108="Proposition envoyée",E108="Signature"),MAX(0,N(IFERROR(INDEX('Paramètres'!$R$6:$R$15,MATCH(IF(AL108&lt;&gt;"",AL108,IFERROR(INDEX('Prospects'!$AN$5:$AN$504,MATCH(C108,'Prospects'!$C$5:$C$504,0)),"")),'Paramètres'!$Q$6:$Q$15,0)),0))-N(P108)),0)))</f>
        <v/>
      </c>
      <c r="AX108" s="61">
        <f>IF(C108="","",IF(COUNTIF($C$5:C108,C108)=1,MAX($AX$4:AX107)+1,""))</f>
        <v/>
      </c>
      <c r="AY108" s="61">
        <f>IF(B108="","",HOUR(B108))</f>
        <v/>
      </c>
      <c r="AZ108" s="61">
        <f>IF(A108="","",MOD(A108-2,7)+1)</f>
        <v/>
      </c>
      <c r="BA108" s="60">
        <f>IF(C108="","",IFERROR(INDEX('Prospects'!$N$5:$N$504,MATCH(C108,'Prospects'!$C$5:$C$504,0)),""))</f>
        <v/>
      </c>
      <c r="BB108" s="61">
        <f>IF(AND(C108&lt;&gt;"",C108='Fiche prospect'!$C$4),COUNTIF($C$5:C108,C108),"")</f>
        <v/>
      </c>
    </row>
    <row r="109">
      <c r="A109" s="53" t="n"/>
      <c r="B109" s="54" t="n"/>
      <c r="C109" s="55" t="n"/>
      <c r="D109" s="55" t="n"/>
      <c r="E109" s="55" t="n"/>
      <c r="F109" s="55" t="n"/>
      <c r="G109" s="56" t="n"/>
      <c r="H109" s="57" t="n"/>
      <c r="I109" s="55" t="n"/>
      <c r="J109" s="53" t="n"/>
      <c r="K109" s="54" t="n"/>
      <c r="L109" s="55" t="n"/>
      <c r="M109" s="55" t="n"/>
      <c r="N109" s="57" t="n"/>
      <c r="O109" s="55" t="n"/>
      <c r="P109" s="56" t="n"/>
      <c r="Q109" s="55" t="n"/>
      <c r="R109" s="55" t="n"/>
      <c r="S109" s="55" t="n"/>
      <c r="T109" s="55" t="n"/>
      <c r="U109" s="55" t="n"/>
      <c r="V109" s="55" t="n"/>
      <c r="W109" s="58" t="n"/>
      <c r="X109" s="58" t="n"/>
      <c r="Y109" s="55" t="n"/>
      <c r="Z109" s="55" t="n"/>
      <c r="AA109" s="55" t="n"/>
      <c r="AB109" s="55" t="n"/>
      <c r="AC109" s="55" t="n"/>
      <c r="AD109" s="53" t="n"/>
      <c r="AE109" s="55" t="n"/>
      <c r="AF109" s="55" t="n"/>
      <c r="AG109" s="59" t="n"/>
      <c r="AH109" s="57" t="n"/>
      <c r="AI109" s="55" t="n"/>
      <c r="AJ109" s="55" t="n"/>
      <c r="AK109" s="55" t="n"/>
      <c r="AL109" s="55" t="n"/>
      <c r="AM109" s="56" t="n"/>
      <c r="AN109" s="55" t="n"/>
      <c r="AO109" s="55" t="n"/>
      <c r="AP109" s="55" t="n"/>
      <c r="AQ109" s="55" t="n"/>
      <c r="AR109" s="60">
        <f>IF(AND(C109="",E109=""),"",IF(A109="","⚠ Date manquante",IF(AND(C109="",E109&lt;&gt;"Dépense"),"⚠ Prospect manquant",IF(E109="","⚠ Action manquante",IF(AND(AU109=1,D109=""),"⚠ Canal manquant",IF(AND(W109&lt;&gt;"",COUNTIFS('Saisie'!$W$5:$W$2004,W109,'Saisie'!$C$5:$C$2004,"&lt;&gt;"&amp;C109)&gt;0),"⚠ Numéro déjà utilisé par un autre prospect",IF(AND(J109&lt;&gt;"",J109&lt;A109),"⚠ Relance avant la date de l'action",IF(A109&gt;TODAY(),"⚠ Date dans le futur","✓"))))))))</f>
        <v/>
      </c>
      <c r="AS109" s="61">
        <f>IF(AND(A109="",C109="",E109=""),"",ROW())</f>
        <v/>
      </c>
      <c r="AT109" s="61">
        <f>IF(E109&amp;F109="","",MAX(IFERROR(INDEX('Paramètres'!$J$6:$J$33,MATCH(E109,'Paramètres'!$I$6:$I$33,0)),0),IFERROR(INDEX('Paramètres'!$N$6:$N$17,MATCH(F109,'Paramètres'!$M$6:$M$17,0)),0)))</f>
        <v/>
      </c>
      <c r="AU109" s="61">
        <f>IF(E109="","",IFERROR(IF(INDEX('Paramètres'!$K$6:$K$33,MATCH(E109,'Paramètres'!$I$6:$I$33,0))="Oui",1,0),0))</f>
        <v/>
      </c>
      <c r="AV109" s="61">
        <f>IF(F109="","",IFERROR(IF(INDEX('Paramètres'!$O$6:$O$17,MATCH(F109,'Paramètres'!$M$6:$M$17,0))="Oui",1,0),0))</f>
        <v/>
      </c>
      <c r="AW109" s="62">
        <f>IF(E109="","",IF(G109&lt;&gt;"",G109,IF(OR(E109="Proposition envoyée",E109="Signature"),MAX(0,N(IFERROR(INDEX('Paramètres'!$R$6:$R$15,MATCH(IF(AL109&lt;&gt;"",AL109,IFERROR(INDEX('Prospects'!$AN$5:$AN$504,MATCH(C109,'Prospects'!$C$5:$C$504,0)),"")),'Paramètres'!$Q$6:$Q$15,0)),0))-N(P109)),0)))</f>
        <v/>
      </c>
      <c r="AX109" s="61">
        <f>IF(C109="","",IF(COUNTIF($C$5:C109,C109)=1,MAX($AX$4:AX108)+1,""))</f>
        <v/>
      </c>
      <c r="AY109" s="61">
        <f>IF(B109="","",HOUR(B109))</f>
        <v/>
      </c>
      <c r="AZ109" s="61">
        <f>IF(A109="","",MOD(A109-2,7)+1)</f>
        <v/>
      </c>
      <c r="BA109" s="60">
        <f>IF(C109="","",IFERROR(INDEX('Prospects'!$N$5:$N$504,MATCH(C109,'Prospects'!$C$5:$C$504,0)),""))</f>
        <v/>
      </c>
      <c r="BB109" s="61">
        <f>IF(AND(C109&lt;&gt;"",C109='Fiche prospect'!$C$4),COUNTIF($C$5:C109,C109),"")</f>
        <v/>
      </c>
    </row>
    <row r="110">
      <c r="A110" s="53" t="n"/>
      <c r="B110" s="54" t="n"/>
      <c r="C110" s="55" t="n"/>
      <c r="D110" s="55" t="n"/>
      <c r="E110" s="55" t="n"/>
      <c r="F110" s="55" t="n"/>
      <c r="G110" s="56" t="n"/>
      <c r="H110" s="57" t="n"/>
      <c r="I110" s="55" t="n"/>
      <c r="J110" s="53" t="n"/>
      <c r="K110" s="54" t="n"/>
      <c r="L110" s="55" t="n"/>
      <c r="M110" s="55" t="n"/>
      <c r="N110" s="57" t="n"/>
      <c r="O110" s="55" t="n"/>
      <c r="P110" s="56" t="n"/>
      <c r="Q110" s="55" t="n"/>
      <c r="R110" s="55" t="n"/>
      <c r="S110" s="55" t="n"/>
      <c r="T110" s="55" t="n"/>
      <c r="U110" s="55" t="n"/>
      <c r="V110" s="55" t="n"/>
      <c r="W110" s="58" t="n"/>
      <c r="X110" s="58" t="n"/>
      <c r="Y110" s="55" t="n"/>
      <c r="Z110" s="55" t="n"/>
      <c r="AA110" s="55" t="n"/>
      <c r="AB110" s="55" t="n"/>
      <c r="AC110" s="55" t="n"/>
      <c r="AD110" s="53" t="n"/>
      <c r="AE110" s="55" t="n"/>
      <c r="AF110" s="55" t="n"/>
      <c r="AG110" s="59" t="n"/>
      <c r="AH110" s="57" t="n"/>
      <c r="AI110" s="55" t="n"/>
      <c r="AJ110" s="55" t="n"/>
      <c r="AK110" s="55" t="n"/>
      <c r="AL110" s="55" t="n"/>
      <c r="AM110" s="56" t="n"/>
      <c r="AN110" s="55" t="n"/>
      <c r="AO110" s="55" t="n"/>
      <c r="AP110" s="55" t="n"/>
      <c r="AQ110" s="55" t="n"/>
      <c r="AR110" s="60">
        <f>IF(AND(C110="",E110=""),"",IF(A110="","⚠ Date manquante",IF(AND(C110="",E110&lt;&gt;"Dépense"),"⚠ Prospect manquant",IF(E110="","⚠ Action manquante",IF(AND(AU110=1,D110=""),"⚠ Canal manquant",IF(AND(W110&lt;&gt;"",COUNTIFS('Saisie'!$W$5:$W$2004,W110,'Saisie'!$C$5:$C$2004,"&lt;&gt;"&amp;C110)&gt;0),"⚠ Numéro déjà utilisé par un autre prospect",IF(AND(J110&lt;&gt;"",J110&lt;A110),"⚠ Relance avant la date de l'action",IF(A110&gt;TODAY(),"⚠ Date dans le futur","✓"))))))))</f>
        <v/>
      </c>
      <c r="AS110" s="61">
        <f>IF(AND(A110="",C110="",E110=""),"",ROW())</f>
        <v/>
      </c>
      <c r="AT110" s="61">
        <f>IF(E110&amp;F110="","",MAX(IFERROR(INDEX('Paramètres'!$J$6:$J$33,MATCH(E110,'Paramètres'!$I$6:$I$33,0)),0),IFERROR(INDEX('Paramètres'!$N$6:$N$17,MATCH(F110,'Paramètres'!$M$6:$M$17,0)),0)))</f>
        <v/>
      </c>
      <c r="AU110" s="61">
        <f>IF(E110="","",IFERROR(IF(INDEX('Paramètres'!$K$6:$K$33,MATCH(E110,'Paramètres'!$I$6:$I$33,0))="Oui",1,0),0))</f>
        <v/>
      </c>
      <c r="AV110" s="61">
        <f>IF(F110="","",IFERROR(IF(INDEX('Paramètres'!$O$6:$O$17,MATCH(F110,'Paramètres'!$M$6:$M$17,0))="Oui",1,0),0))</f>
        <v/>
      </c>
      <c r="AW110" s="62">
        <f>IF(E110="","",IF(G110&lt;&gt;"",G110,IF(OR(E110="Proposition envoyée",E110="Signature"),MAX(0,N(IFERROR(INDEX('Paramètres'!$R$6:$R$15,MATCH(IF(AL110&lt;&gt;"",AL110,IFERROR(INDEX('Prospects'!$AN$5:$AN$504,MATCH(C110,'Prospects'!$C$5:$C$504,0)),"")),'Paramètres'!$Q$6:$Q$15,0)),0))-N(P110)),0)))</f>
        <v/>
      </c>
      <c r="AX110" s="61">
        <f>IF(C110="","",IF(COUNTIF($C$5:C110,C110)=1,MAX($AX$4:AX109)+1,""))</f>
        <v/>
      </c>
      <c r="AY110" s="61">
        <f>IF(B110="","",HOUR(B110))</f>
        <v/>
      </c>
      <c r="AZ110" s="61">
        <f>IF(A110="","",MOD(A110-2,7)+1)</f>
        <v/>
      </c>
      <c r="BA110" s="60">
        <f>IF(C110="","",IFERROR(INDEX('Prospects'!$N$5:$N$504,MATCH(C110,'Prospects'!$C$5:$C$504,0)),""))</f>
        <v/>
      </c>
      <c r="BB110" s="61">
        <f>IF(AND(C110&lt;&gt;"",C110='Fiche prospect'!$C$4),COUNTIF($C$5:C110,C110),"")</f>
        <v/>
      </c>
    </row>
    <row r="111">
      <c r="A111" s="53" t="n"/>
      <c r="B111" s="54" t="n"/>
      <c r="C111" s="55" t="n"/>
      <c r="D111" s="55" t="n"/>
      <c r="E111" s="55" t="n"/>
      <c r="F111" s="55" t="n"/>
      <c r="G111" s="56" t="n"/>
      <c r="H111" s="57" t="n"/>
      <c r="I111" s="55" t="n"/>
      <c r="J111" s="53" t="n"/>
      <c r="K111" s="54" t="n"/>
      <c r="L111" s="55" t="n"/>
      <c r="M111" s="55" t="n"/>
      <c r="N111" s="57" t="n"/>
      <c r="O111" s="55" t="n"/>
      <c r="P111" s="56" t="n"/>
      <c r="Q111" s="55" t="n"/>
      <c r="R111" s="55" t="n"/>
      <c r="S111" s="55" t="n"/>
      <c r="T111" s="55" t="n"/>
      <c r="U111" s="55" t="n"/>
      <c r="V111" s="55" t="n"/>
      <c r="W111" s="58" t="n"/>
      <c r="X111" s="58" t="n"/>
      <c r="Y111" s="55" t="n"/>
      <c r="Z111" s="55" t="n"/>
      <c r="AA111" s="55" t="n"/>
      <c r="AB111" s="55" t="n"/>
      <c r="AC111" s="55" t="n"/>
      <c r="AD111" s="53" t="n"/>
      <c r="AE111" s="55" t="n"/>
      <c r="AF111" s="55" t="n"/>
      <c r="AG111" s="59" t="n"/>
      <c r="AH111" s="57" t="n"/>
      <c r="AI111" s="55" t="n"/>
      <c r="AJ111" s="55" t="n"/>
      <c r="AK111" s="55" t="n"/>
      <c r="AL111" s="55" t="n"/>
      <c r="AM111" s="56" t="n"/>
      <c r="AN111" s="55" t="n"/>
      <c r="AO111" s="55" t="n"/>
      <c r="AP111" s="55" t="n"/>
      <c r="AQ111" s="55" t="n"/>
      <c r="AR111" s="60">
        <f>IF(AND(C111="",E111=""),"",IF(A111="","⚠ Date manquante",IF(AND(C111="",E111&lt;&gt;"Dépense"),"⚠ Prospect manquant",IF(E111="","⚠ Action manquante",IF(AND(AU111=1,D111=""),"⚠ Canal manquant",IF(AND(W111&lt;&gt;"",COUNTIFS('Saisie'!$W$5:$W$2004,W111,'Saisie'!$C$5:$C$2004,"&lt;&gt;"&amp;C111)&gt;0),"⚠ Numéro déjà utilisé par un autre prospect",IF(AND(J111&lt;&gt;"",J111&lt;A111),"⚠ Relance avant la date de l'action",IF(A111&gt;TODAY(),"⚠ Date dans le futur","✓"))))))))</f>
        <v/>
      </c>
      <c r="AS111" s="61">
        <f>IF(AND(A111="",C111="",E111=""),"",ROW())</f>
        <v/>
      </c>
      <c r="AT111" s="61">
        <f>IF(E111&amp;F111="","",MAX(IFERROR(INDEX('Paramètres'!$J$6:$J$33,MATCH(E111,'Paramètres'!$I$6:$I$33,0)),0),IFERROR(INDEX('Paramètres'!$N$6:$N$17,MATCH(F111,'Paramètres'!$M$6:$M$17,0)),0)))</f>
        <v/>
      </c>
      <c r="AU111" s="61">
        <f>IF(E111="","",IFERROR(IF(INDEX('Paramètres'!$K$6:$K$33,MATCH(E111,'Paramètres'!$I$6:$I$33,0))="Oui",1,0),0))</f>
        <v/>
      </c>
      <c r="AV111" s="61">
        <f>IF(F111="","",IFERROR(IF(INDEX('Paramètres'!$O$6:$O$17,MATCH(F111,'Paramètres'!$M$6:$M$17,0))="Oui",1,0),0))</f>
        <v/>
      </c>
      <c r="AW111" s="62">
        <f>IF(E111="","",IF(G111&lt;&gt;"",G111,IF(OR(E111="Proposition envoyée",E111="Signature"),MAX(0,N(IFERROR(INDEX('Paramètres'!$R$6:$R$15,MATCH(IF(AL111&lt;&gt;"",AL111,IFERROR(INDEX('Prospects'!$AN$5:$AN$504,MATCH(C111,'Prospects'!$C$5:$C$504,0)),"")),'Paramètres'!$Q$6:$Q$15,0)),0))-N(P111)),0)))</f>
        <v/>
      </c>
      <c r="AX111" s="61">
        <f>IF(C111="","",IF(COUNTIF($C$5:C111,C111)=1,MAX($AX$4:AX110)+1,""))</f>
        <v/>
      </c>
      <c r="AY111" s="61">
        <f>IF(B111="","",HOUR(B111))</f>
        <v/>
      </c>
      <c r="AZ111" s="61">
        <f>IF(A111="","",MOD(A111-2,7)+1)</f>
        <v/>
      </c>
      <c r="BA111" s="60">
        <f>IF(C111="","",IFERROR(INDEX('Prospects'!$N$5:$N$504,MATCH(C111,'Prospects'!$C$5:$C$504,0)),""))</f>
        <v/>
      </c>
      <c r="BB111" s="61">
        <f>IF(AND(C111&lt;&gt;"",C111='Fiche prospect'!$C$4),COUNTIF($C$5:C111,C111),"")</f>
        <v/>
      </c>
    </row>
    <row r="112">
      <c r="A112" s="53" t="n"/>
      <c r="B112" s="54" t="n"/>
      <c r="C112" s="55" t="n"/>
      <c r="D112" s="55" t="n"/>
      <c r="E112" s="55" t="n"/>
      <c r="F112" s="55" t="n"/>
      <c r="G112" s="56" t="n"/>
      <c r="H112" s="57" t="n"/>
      <c r="I112" s="55" t="n"/>
      <c r="J112" s="53" t="n"/>
      <c r="K112" s="54" t="n"/>
      <c r="L112" s="55" t="n"/>
      <c r="M112" s="55" t="n"/>
      <c r="N112" s="57" t="n"/>
      <c r="O112" s="55" t="n"/>
      <c r="P112" s="56" t="n"/>
      <c r="Q112" s="55" t="n"/>
      <c r="R112" s="55" t="n"/>
      <c r="S112" s="55" t="n"/>
      <c r="T112" s="55" t="n"/>
      <c r="U112" s="55" t="n"/>
      <c r="V112" s="55" t="n"/>
      <c r="W112" s="58" t="n"/>
      <c r="X112" s="58" t="n"/>
      <c r="Y112" s="55" t="n"/>
      <c r="Z112" s="55" t="n"/>
      <c r="AA112" s="55" t="n"/>
      <c r="AB112" s="55" t="n"/>
      <c r="AC112" s="55" t="n"/>
      <c r="AD112" s="53" t="n"/>
      <c r="AE112" s="55" t="n"/>
      <c r="AF112" s="55" t="n"/>
      <c r="AG112" s="59" t="n"/>
      <c r="AH112" s="57" t="n"/>
      <c r="AI112" s="55" t="n"/>
      <c r="AJ112" s="55" t="n"/>
      <c r="AK112" s="55" t="n"/>
      <c r="AL112" s="55" t="n"/>
      <c r="AM112" s="56" t="n"/>
      <c r="AN112" s="55" t="n"/>
      <c r="AO112" s="55" t="n"/>
      <c r="AP112" s="55" t="n"/>
      <c r="AQ112" s="55" t="n"/>
      <c r="AR112" s="60">
        <f>IF(AND(C112="",E112=""),"",IF(A112="","⚠ Date manquante",IF(AND(C112="",E112&lt;&gt;"Dépense"),"⚠ Prospect manquant",IF(E112="","⚠ Action manquante",IF(AND(AU112=1,D112=""),"⚠ Canal manquant",IF(AND(W112&lt;&gt;"",COUNTIFS('Saisie'!$W$5:$W$2004,W112,'Saisie'!$C$5:$C$2004,"&lt;&gt;"&amp;C112)&gt;0),"⚠ Numéro déjà utilisé par un autre prospect",IF(AND(J112&lt;&gt;"",J112&lt;A112),"⚠ Relance avant la date de l'action",IF(A112&gt;TODAY(),"⚠ Date dans le futur","✓"))))))))</f>
        <v/>
      </c>
      <c r="AS112" s="61">
        <f>IF(AND(A112="",C112="",E112=""),"",ROW())</f>
        <v/>
      </c>
      <c r="AT112" s="61">
        <f>IF(E112&amp;F112="","",MAX(IFERROR(INDEX('Paramètres'!$J$6:$J$33,MATCH(E112,'Paramètres'!$I$6:$I$33,0)),0),IFERROR(INDEX('Paramètres'!$N$6:$N$17,MATCH(F112,'Paramètres'!$M$6:$M$17,0)),0)))</f>
        <v/>
      </c>
      <c r="AU112" s="61">
        <f>IF(E112="","",IFERROR(IF(INDEX('Paramètres'!$K$6:$K$33,MATCH(E112,'Paramètres'!$I$6:$I$33,0))="Oui",1,0),0))</f>
        <v/>
      </c>
      <c r="AV112" s="61">
        <f>IF(F112="","",IFERROR(IF(INDEX('Paramètres'!$O$6:$O$17,MATCH(F112,'Paramètres'!$M$6:$M$17,0))="Oui",1,0),0))</f>
        <v/>
      </c>
      <c r="AW112" s="62">
        <f>IF(E112="","",IF(G112&lt;&gt;"",G112,IF(OR(E112="Proposition envoyée",E112="Signature"),MAX(0,N(IFERROR(INDEX('Paramètres'!$R$6:$R$15,MATCH(IF(AL112&lt;&gt;"",AL112,IFERROR(INDEX('Prospects'!$AN$5:$AN$504,MATCH(C112,'Prospects'!$C$5:$C$504,0)),"")),'Paramètres'!$Q$6:$Q$15,0)),0))-N(P112)),0)))</f>
        <v/>
      </c>
      <c r="AX112" s="61">
        <f>IF(C112="","",IF(COUNTIF($C$5:C112,C112)=1,MAX($AX$4:AX111)+1,""))</f>
        <v/>
      </c>
      <c r="AY112" s="61">
        <f>IF(B112="","",HOUR(B112))</f>
        <v/>
      </c>
      <c r="AZ112" s="61">
        <f>IF(A112="","",MOD(A112-2,7)+1)</f>
        <v/>
      </c>
      <c r="BA112" s="60">
        <f>IF(C112="","",IFERROR(INDEX('Prospects'!$N$5:$N$504,MATCH(C112,'Prospects'!$C$5:$C$504,0)),""))</f>
        <v/>
      </c>
      <c r="BB112" s="61">
        <f>IF(AND(C112&lt;&gt;"",C112='Fiche prospect'!$C$4),COUNTIF($C$5:C112,C112),"")</f>
        <v/>
      </c>
    </row>
    <row r="113">
      <c r="A113" s="53" t="n"/>
      <c r="B113" s="54" t="n"/>
      <c r="C113" s="55" t="n"/>
      <c r="D113" s="55" t="n"/>
      <c r="E113" s="55" t="n"/>
      <c r="F113" s="55" t="n"/>
      <c r="G113" s="56" t="n"/>
      <c r="H113" s="57" t="n"/>
      <c r="I113" s="55" t="n"/>
      <c r="J113" s="53" t="n"/>
      <c r="K113" s="54" t="n"/>
      <c r="L113" s="55" t="n"/>
      <c r="M113" s="55" t="n"/>
      <c r="N113" s="57" t="n"/>
      <c r="O113" s="55" t="n"/>
      <c r="P113" s="56" t="n"/>
      <c r="Q113" s="55" t="n"/>
      <c r="R113" s="55" t="n"/>
      <c r="S113" s="55" t="n"/>
      <c r="T113" s="55" t="n"/>
      <c r="U113" s="55" t="n"/>
      <c r="V113" s="55" t="n"/>
      <c r="W113" s="58" t="n"/>
      <c r="X113" s="58" t="n"/>
      <c r="Y113" s="55" t="n"/>
      <c r="Z113" s="55" t="n"/>
      <c r="AA113" s="55" t="n"/>
      <c r="AB113" s="55" t="n"/>
      <c r="AC113" s="55" t="n"/>
      <c r="AD113" s="53" t="n"/>
      <c r="AE113" s="55" t="n"/>
      <c r="AF113" s="55" t="n"/>
      <c r="AG113" s="59" t="n"/>
      <c r="AH113" s="57" t="n"/>
      <c r="AI113" s="55" t="n"/>
      <c r="AJ113" s="55" t="n"/>
      <c r="AK113" s="55" t="n"/>
      <c r="AL113" s="55" t="n"/>
      <c r="AM113" s="56" t="n"/>
      <c r="AN113" s="55" t="n"/>
      <c r="AO113" s="55" t="n"/>
      <c r="AP113" s="55" t="n"/>
      <c r="AQ113" s="55" t="n"/>
      <c r="AR113" s="60">
        <f>IF(AND(C113="",E113=""),"",IF(A113="","⚠ Date manquante",IF(AND(C113="",E113&lt;&gt;"Dépense"),"⚠ Prospect manquant",IF(E113="","⚠ Action manquante",IF(AND(AU113=1,D113=""),"⚠ Canal manquant",IF(AND(W113&lt;&gt;"",COUNTIFS('Saisie'!$W$5:$W$2004,W113,'Saisie'!$C$5:$C$2004,"&lt;&gt;"&amp;C113)&gt;0),"⚠ Numéro déjà utilisé par un autre prospect",IF(AND(J113&lt;&gt;"",J113&lt;A113),"⚠ Relance avant la date de l'action",IF(A113&gt;TODAY(),"⚠ Date dans le futur","✓"))))))))</f>
        <v/>
      </c>
      <c r="AS113" s="61">
        <f>IF(AND(A113="",C113="",E113=""),"",ROW())</f>
        <v/>
      </c>
      <c r="AT113" s="61">
        <f>IF(E113&amp;F113="","",MAX(IFERROR(INDEX('Paramètres'!$J$6:$J$33,MATCH(E113,'Paramètres'!$I$6:$I$33,0)),0),IFERROR(INDEX('Paramètres'!$N$6:$N$17,MATCH(F113,'Paramètres'!$M$6:$M$17,0)),0)))</f>
        <v/>
      </c>
      <c r="AU113" s="61">
        <f>IF(E113="","",IFERROR(IF(INDEX('Paramètres'!$K$6:$K$33,MATCH(E113,'Paramètres'!$I$6:$I$33,0))="Oui",1,0),0))</f>
        <v/>
      </c>
      <c r="AV113" s="61">
        <f>IF(F113="","",IFERROR(IF(INDEX('Paramètres'!$O$6:$O$17,MATCH(F113,'Paramètres'!$M$6:$M$17,0))="Oui",1,0),0))</f>
        <v/>
      </c>
      <c r="AW113" s="62">
        <f>IF(E113="","",IF(G113&lt;&gt;"",G113,IF(OR(E113="Proposition envoyée",E113="Signature"),MAX(0,N(IFERROR(INDEX('Paramètres'!$R$6:$R$15,MATCH(IF(AL113&lt;&gt;"",AL113,IFERROR(INDEX('Prospects'!$AN$5:$AN$504,MATCH(C113,'Prospects'!$C$5:$C$504,0)),"")),'Paramètres'!$Q$6:$Q$15,0)),0))-N(P113)),0)))</f>
        <v/>
      </c>
      <c r="AX113" s="61">
        <f>IF(C113="","",IF(COUNTIF($C$5:C113,C113)=1,MAX($AX$4:AX112)+1,""))</f>
        <v/>
      </c>
      <c r="AY113" s="61">
        <f>IF(B113="","",HOUR(B113))</f>
        <v/>
      </c>
      <c r="AZ113" s="61">
        <f>IF(A113="","",MOD(A113-2,7)+1)</f>
        <v/>
      </c>
      <c r="BA113" s="60">
        <f>IF(C113="","",IFERROR(INDEX('Prospects'!$N$5:$N$504,MATCH(C113,'Prospects'!$C$5:$C$504,0)),""))</f>
        <v/>
      </c>
      <c r="BB113" s="61">
        <f>IF(AND(C113&lt;&gt;"",C113='Fiche prospect'!$C$4),COUNTIF($C$5:C113,C113),"")</f>
        <v/>
      </c>
    </row>
    <row r="114">
      <c r="A114" s="53" t="n"/>
      <c r="B114" s="54" t="n"/>
      <c r="C114" s="55" t="n"/>
      <c r="D114" s="55" t="n"/>
      <c r="E114" s="55" t="n"/>
      <c r="F114" s="55" t="n"/>
      <c r="G114" s="56" t="n"/>
      <c r="H114" s="57" t="n"/>
      <c r="I114" s="55" t="n"/>
      <c r="J114" s="53" t="n"/>
      <c r="K114" s="54" t="n"/>
      <c r="L114" s="55" t="n"/>
      <c r="M114" s="55" t="n"/>
      <c r="N114" s="57" t="n"/>
      <c r="O114" s="55" t="n"/>
      <c r="P114" s="56" t="n"/>
      <c r="Q114" s="55" t="n"/>
      <c r="R114" s="55" t="n"/>
      <c r="S114" s="55" t="n"/>
      <c r="T114" s="55" t="n"/>
      <c r="U114" s="55" t="n"/>
      <c r="V114" s="55" t="n"/>
      <c r="W114" s="58" t="n"/>
      <c r="X114" s="58" t="n"/>
      <c r="Y114" s="55" t="n"/>
      <c r="Z114" s="55" t="n"/>
      <c r="AA114" s="55" t="n"/>
      <c r="AB114" s="55" t="n"/>
      <c r="AC114" s="55" t="n"/>
      <c r="AD114" s="53" t="n"/>
      <c r="AE114" s="55" t="n"/>
      <c r="AF114" s="55" t="n"/>
      <c r="AG114" s="59" t="n"/>
      <c r="AH114" s="57" t="n"/>
      <c r="AI114" s="55" t="n"/>
      <c r="AJ114" s="55" t="n"/>
      <c r="AK114" s="55" t="n"/>
      <c r="AL114" s="55" t="n"/>
      <c r="AM114" s="56" t="n"/>
      <c r="AN114" s="55" t="n"/>
      <c r="AO114" s="55" t="n"/>
      <c r="AP114" s="55" t="n"/>
      <c r="AQ114" s="55" t="n"/>
      <c r="AR114" s="60">
        <f>IF(AND(C114="",E114=""),"",IF(A114="","⚠ Date manquante",IF(AND(C114="",E114&lt;&gt;"Dépense"),"⚠ Prospect manquant",IF(E114="","⚠ Action manquante",IF(AND(AU114=1,D114=""),"⚠ Canal manquant",IF(AND(W114&lt;&gt;"",COUNTIFS('Saisie'!$W$5:$W$2004,W114,'Saisie'!$C$5:$C$2004,"&lt;&gt;"&amp;C114)&gt;0),"⚠ Numéro déjà utilisé par un autre prospect",IF(AND(J114&lt;&gt;"",J114&lt;A114),"⚠ Relance avant la date de l'action",IF(A114&gt;TODAY(),"⚠ Date dans le futur","✓"))))))))</f>
        <v/>
      </c>
      <c r="AS114" s="61">
        <f>IF(AND(A114="",C114="",E114=""),"",ROW())</f>
        <v/>
      </c>
      <c r="AT114" s="61">
        <f>IF(E114&amp;F114="","",MAX(IFERROR(INDEX('Paramètres'!$J$6:$J$33,MATCH(E114,'Paramètres'!$I$6:$I$33,0)),0),IFERROR(INDEX('Paramètres'!$N$6:$N$17,MATCH(F114,'Paramètres'!$M$6:$M$17,0)),0)))</f>
        <v/>
      </c>
      <c r="AU114" s="61">
        <f>IF(E114="","",IFERROR(IF(INDEX('Paramètres'!$K$6:$K$33,MATCH(E114,'Paramètres'!$I$6:$I$33,0))="Oui",1,0),0))</f>
        <v/>
      </c>
      <c r="AV114" s="61">
        <f>IF(F114="","",IFERROR(IF(INDEX('Paramètres'!$O$6:$O$17,MATCH(F114,'Paramètres'!$M$6:$M$17,0))="Oui",1,0),0))</f>
        <v/>
      </c>
      <c r="AW114" s="62">
        <f>IF(E114="","",IF(G114&lt;&gt;"",G114,IF(OR(E114="Proposition envoyée",E114="Signature"),MAX(0,N(IFERROR(INDEX('Paramètres'!$R$6:$R$15,MATCH(IF(AL114&lt;&gt;"",AL114,IFERROR(INDEX('Prospects'!$AN$5:$AN$504,MATCH(C114,'Prospects'!$C$5:$C$504,0)),"")),'Paramètres'!$Q$6:$Q$15,0)),0))-N(P114)),0)))</f>
        <v/>
      </c>
      <c r="AX114" s="61">
        <f>IF(C114="","",IF(COUNTIF($C$5:C114,C114)=1,MAX($AX$4:AX113)+1,""))</f>
        <v/>
      </c>
      <c r="AY114" s="61">
        <f>IF(B114="","",HOUR(B114))</f>
        <v/>
      </c>
      <c r="AZ114" s="61">
        <f>IF(A114="","",MOD(A114-2,7)+1)</f>
        <v/>
      </c>
      <c r="BA114" s="60">
        <f>IF(C114="","",IFERROR(INDEX('Prospects'!$N$5:$N$504,MATCH(C114,'Prospects'!$C$5:$C$504,0)),""))</f>
        <v/>
      </c>
      <c r="BB114" s="61">
        <f>IF(AND(C114&lt;&gt;"",C114='Fiche prospect'!$C$4),COUNTIF($C$5:C114,C114),"")</f>
        <v/>
      </c>
    </row>
    <row r="115">
      <c r="A115" s="53" t="n"/>
      <c r="B115" s="54" t="n"/>
      <c r="C115" s="55" t="n"/>
      <c r="D115" s="55" t="n"/>
      <c r="E115" s="55" t="n"/>
      <c r="F115" s="55" t="n"/>
      <c r="G115" s="56" t="n"/>
      <c r="H115" s="57" t="n"/>
      <c r="I115" s="55" t="n"/>
      <c r="J115" s="53" t="n"/>
      <c r="K115" s="54" t="n"/>
      <c r="L115" s="55" t="n"/>
      <c r="M115" s="55" t="n"/>
      <c r="N115" s="57" t="n"/>
      <c r="O115" s="55" t="n"/>
      <c r="P115" s="56" t="n"/>
      <c r="Q115" s="55" t="n"/>
      <c r="R115" s="55" t="n"/>
      <c r="S115" s="55" t="n"/>
      <c r="T115" s="55" t="n"/>
      <c r="U115" s="55" t="n"/>
      <c r="V115" s="55" t="n"/>
      <c r="W115" s="58" t="n"/>
      <c r="X115" s="58" t="n"/>
      <c r="Y115" s="55" t="n"/>
      <c r="Z115" s="55" t="n"/>
      <c r="AA115" s="55" t="n"/>
      <c r="AB115" s="55" t="n"/>
      <c r="AC115" s="55" t="n"/>
      <c r="AD115" s="53" t="n"/>
      <c r="AE115" s="55" t="n"/>
      <c r="AF115" s="55" t="n"/>
      <c r="AG115" s="59" t="n"/>
      <c r="AH115" s="57" t="n"/>
      <c r="AI115" s="55" t="n"/>
      <c r="AJ115" s="55" t="n"/>
      <c r="AK115" s="55" t="n"/>
      <c r="AL115" s="55" t="n"/>
      <c r="AM115" s="56" t="n"/>
      <c r="AN115" s="55" t="n"/>
      <c r="AO115" s="55" t="n"/>
      <c r="AP115" s="55" t="n"/>
      <c r="AQ115" s="55" t="n"/>
      <c r="AR115" s="60">
        <f>IF(AND(C115="",E115=""),"",IF(A115="","⚠ Date manquante",IF(AND(C115="",E115&lt;&gt;"Dépense"),"⚠ Prospect manquant",IF(E115="","⚠ Action manquante",IF(AND(AU115=1,D115=""),"⚠ Canal manquant",IF(AND(W115&lt;&gt;"",COUNTIFS('Saisie'!$W$5:$W$2004,W115,'Saisie'!$C$5:$C$2004,"&lt;&gt;"&amp;C115)&gt;0),"⚠ Numéro déjà utilisé par un autre prospect",IF(AND(J115&lt;&gt;"",J115&lt;A115),"⚠ Relance avant la date de l'action",IF(A115&gt;TODAY(),"⚠ Date dans le futur","✓"))))))))</f>
        <v/>
      </c>
      <c r="AS115" s="61">
        <f>IF(AND(A115="",C115="",E115=""),"",ROW())</f>
        <v/>
      </c>
      <c r="AT115" s="61">
        <f>IF(E115&amp;F115="","",MAX(IFERROR(INDEX('Paramètres'!$J$6:$J$33,MATCH(E115,'Paramètres'!$I$6:$I$33,0)),0),IFERROR(INDEX('Paramètres'!$N$6:$N$17,MATCH(F115,'Paramètres'!$M$6:$M$17,0)),0)))</f>
        <v/>
      </c>
      <c r="AU115" s="61">
        <f>IF(E115="","",IFERROR(IF(INDEX('Paramètres'!$K$6:$K$33,MATCH(E115,'Paramètres'!$I$6:$I$33,0))="Oui",1,0),0))</f>
        <v/>
      </c>
      <c r="AV115" s="61">
        <f>IF(F115="","",IFERROR(IF(INDEX('Paramètres'!$O$6:$O$17,MATCH(F115,'Paramètres'!$M$6:$M$17,0))="Oui",1,0),0))</f>
        <v/>
      </c>
      <c r="AW115" s="62">
        <f>IF(E115="","",IF(G115&lt;&gt;"",G115,IF(OR(E115="Proposition envoyée",E115="Signature"),MAX(0,N(IFERROR(INDEX('Paramètres'!$R$6:$R$15,MATCH(IF(AL115&lt;&gt;"",AL115,IFERROR(INDEX('Prospects'!$AN$5:$AN$504,MATCH(C115,'Prospects'!$C$5:$C$504,0)),"")),'Paramètres'!$Q$6:$Q$15,0)),0))-N(P115)),0)))</f>
        <v/>
      </c>
      <c r="AX115" s="61">
        <f>IF(C115="","",IF(COUNTIF($C$5:C115,C115)=1,MAX($AX$4:AX114)+1,""))</f>
        <v/>
      </c>
      <c r="AY115" s="61">
        <f>IF(B115="","",HOUR(B115))</f>
        <v/>
      </c>
      <c r="AZ115" s="61">
        <f>IF(A115="","",MOD(A115-2,7)+1)</f>
        <v/>
      </c>
      <c r="BA115" s="60">
        <f>IF(C115="","",IFERROR(INDEX('Prospects'!$N$5:$N$504,MATCH(C115,'Prospects'!$C$5:$C$504,0)),""))</f>
        <v/>
      </c>
      <c r="BB115" s="61">
        <f>IF(AND(C115&lt;&gt;"",C115='Fiche prospect'!$C$4),COUNTIF($C$5:C115,C115),"")</f>
        <v/>
      </c>
    </row>
    <row r="116">
      <c r="A116" s="53" t="n"/>
      <c r="B116" s="54" t="n"/>
      <c r="C116" s="55" t="n"/>
      <c r="D116" s="55" t="n"/>
      <c r="E116" s="55" t="n"/>
      <c r="F116" s="55" t="n"/>
      <c r="G116" s="56" t="n"/>
      <c r="H116" s="57" t="n"/>
      <c r="I116" s="55" t="n"/>
      <c r="J116" s="53" t="n"/>
      <c r="K116" s="54" t="n"/>
      <c r="L116" s="55" t="n"/>
      <c r="M116" s="55" t="n"/>
      <c r="N116" s="57" t="n"/>
      <c r="O116" s="55" t="n"/>
      <c r="P116" s="56" t="n"/>
      <c r="Q116" s="55" t="n"/>
      <c r="R116" s="55" t="n"/>
      <c r="S116" s="55" t="n"/>
      <c r="T116" s="55" t="n"/>
      <c r="U116" s="55" t="n"/>
      <c r="V116" s="55" t="n"/>
      <c r="W116" s="58" t="n"/>
      <c r="X116" s="58" t="n"/>
      <c r="Y116" s="55" t="n"/>
      <c r="Z116" s="55" t="n"/>
      <c r="AA116" s="55" t="n"/>
      <c r="AB116" s="55" t="n"/>
      <c r="AC116" s="55" t="n"/>
      <c r="AD116" s="53" t="n"/>
      <c r="AE116" s="55" t="n"/>
      <c r="AF116" s="55" t="n"/>
      <c r="AG116" s="59" t="n"/>
      <c r="AH116" s="57" t="n"/>
      <c r="AI116" s="55" t="n"/>
      <c r="AJ116" s="55" t="n"/>
      <c r="AK116" s="55" t="n"/>
      <c r="AL116" s="55" t="n"/>
      <c r="AM116" s="56" t="n"/>
      <c r="AN116" s="55" t="n"/>
      <c r="AO116" s="55" t="n"/>
      <c r="AP116" s="55" t="n"/>
      <c r="AQ116" s="55" t="n"/>
      <c r="AR116" s="60">
        <f>IF(AND(C116="",E116=""),"",IF(A116="","⚠ Date manquante",IF(AND(C116="",E116&lt;&gt;"Dépense"),"⚠ Prospect manquant",IF(E116="","⚠ Action manquante",IF(AND(AU116=1,D116=""),"⚠ Canal manquant",IF(AND(W116&lt;&gt;"",COUNTIFS('Saisie'!$W$5:$W$2004,W116,'Saisie'!$C$5:$C$2004,"&lt;&gt;"&amp;C116)&gt;0),"⚠ Numéro déjà utilisé par un autre prospect",IF(AND(J116&lt;&gt;"",J116&lt;A116),"⚠ Relance avant la date de l'action",IF(A116&gt;TODAY(),"⚠ Date dans le futur","✓"))))))))</f>
        <v/>
      </c>
      <c r="AS116" s="61">
        <f>IF(AND(A116="",C116="",E116=""),"",ROW())</f>
        <v/>
      </c>
      <c r="AT116" s="61">
        <f>IF(E116&amp;F116="","",MAX(IFERROR(INDEX('Paramètres'!$J$6:$J$33,MATCH(E116,'Paramètres'!$I$6:$I$33,0)),0),IFERROR(INDEX('Paramètres'!$N$6:$N$17,MATCH(F116,'Paramètres'!$M$6:$M$17,0)),0)))</f>
        <v/>
      </c>
      <c r="AU116" s="61">
        <f>IF(E116="","",IFERROR(IF(INDEX('Paramètres'!$K$6:$K$33,MATCH(E116,'Paramètres'!$I$6:$I$33,0))="Oui",1,0),0))</f>
        <v/>
      </c>
      <c r="AV116" s="61">
        <f>IF(F116="","",IFERROR(IF(INDEX('Paramètres'!$O$6:$O$17,MATCH(F116,'Paramètres'!$M$6:$M$17,0))="Oui",1,0),0))</f>
        <v/>
      </c>
      <c r="AW116" s="62">
        <f>IF(E116="","",IF(G116&lt;&gt;"",G116,IF(OR(E116="Proposition envoyée",E116="Signature"),MAX(0,N(IFERROR(INDEX('Paramètres'!$R$6:$R$15,MATCH(IF(AL116&lt;&gt;"",AL116,IFERROR(INDEX('Prospects'!$AN$5:$AN$504,MATCH(C116,'Prospects'!$C$5:$C$504,0)),"")),'Paramètres'!$Q$6:$Q$15,0)),0))-N(P116)),0)))</f>
        <v/>
      </c>
      <c r="AX116" s="61">
        <f>IF(C116="","",IF(COUNTIF($C$5:C116,C116)=1,MAX($AX$4:AX115)+1,""))</f>
        <v/>
      </c>
      <c r="AY116" s="61">
        <f>IF(B116="","",HOUR(B116))</f>
        <v/>
      </c>
      <c r="AZ116" s="61">
        <f>IF(A116="","",MOD(A116-2,7)+1)</f>
        <v/>
      </c>
      <c r="BA116" s="60">
        <f>IF(C116="","",IFERROR(INDEX('Prospects'!$N$5:$N$504,MATCH(C116,'Prospects'!$C$5:$C$504,0)),""))</f>
        <v/>
      </c>
      <c r="BB116" s="61">
        <f>IF(AND(C116&lt;&gt;"",C116='Fiche prospect'!$C$4),COUNTIF($C$5:C116,C116),"")</f>
        <v/>
      </c>
    </row>
    <row r="117">
      <c r="A117" s="53" t="n"/>
      <c r="B117" s="54" t="n"/>
      <c r="C117" s="55" t="n"/>
      <c r="D117" s="55" t="n"/>
      <c r="E117" s="55" t="n"/>
      <c r="F117" s="55" t="n"/>
      <c r="G117" s="56" t="n"/>
      <c r="H117" s="57" t="n"/>
      <c r="I117" s="55" t="n"/>
      <c r="J117" s="53" t="n"/>
      <c r="K117" s="54" t="n"/>
      <c r="L117" s="55" t="n"/>
      <c r="M117" s="55" t="n"/>
      <c r="N117" s="57" t="n"/>
      <c r="O117" s="55" t="n"/>
      <c r="P117" s="56" t="n"/>
      <c r="Q117" s="55" t="n"/>
      <c r="R117" s="55" t="n"/>
      <c r="S117" s="55" t="n"/>
      <c r="T117" s="55" t="n"/>
      <c r="U117" s="55" t="n"/>
      <c r="V117" s="55" t="n"/>
      <c r="W117" s="58" t="n"/>
      <c r="X117" s="58" t="n"/>
      <c r="Y117" s="55" t="n"/>
      <c r="Z117" s="55" t="n"/>
      <c r="AA117" s="55" t="n"/>
      <c r="AB117" s="55" t="n"/>
      <c r="AC117" s="55" t="n"/>
      <c r="AD117" s="53" t="n"/>
      <c r="AE117" s="55" t="n"/>
      <c r="AF117" s="55" t="n"/>
      <c r="AG117" s="59" t="n"/>
      <c r="AH117" s="57" t="n"/>
      <c r="AI117" s="55" t="n"/>
      <c r="AJ117" s="55" t="n"/>
      <c r="AK117" s="55" t="n"/>
      <c r="AL117" s="55" t="n"/>
      <c r="AM117" s="56" t="n"/>
      <c r="AN117" s="55" t="n"/>
      <c r="AO117" s="55" t="n"/>
      <c r="AP117" s="55" t="n"/>
      <c r="AQ117" s="55" t="n"/>
      <c r="AR117" s="60">
        <f>IF(AND(C117="",E117=""),"",IF(A117="","⚠ Date manquante",IF(AND(C117="",E117&lt;&gt;"Dépense"),"⚠ Prospect manquant",IF(E117="","⚠ Action manquante",IF(AND(AU117=1,D117=""),"⚠ Canal manquant",IF(AND(W117&lt;&gt;"",COUNTIFS('Saisie'!$W$5:$W$2004,W117,'Saisie'!$C$5:$C$2004,"&lt;&gt;"&amp;C117)&gt;0),"⚠ Numéro déjà utilisé par un autre prospect",IF(AND(J117&lt;&gt;"",J117&lt;A117),"⚠ Relance avant la date de l'action",IF(A117&gt;TODAY(),"⚠ Date dans le futur","✓"))))))))</f>
        <v/>
      </c>
      <c r="AS117" s="61">
        <f>IF(AND(A117="",C117="",E117=""),"",ROW())</f>
        <v/>
      </c>
      <c r="AT117" s="61">
        <f>IF(E117&amp;F117="","",MAX(IFERROR(INDEX('Paramètres'!$J$6:$J$33,MATCH(E117,'Paramètres'!$I$6:$I$33,0)),0),IFERROR(INDEX('Paramètres'!$N$6:$N$17,MATCH(F117,'Paramètres'!$M$6:$M$17,0)),0)))</f>
        <v/>
      </c>
      <c r="AU117" s="61">
        <f>IF(E117="","",IFERROR(IF(INDEX('Paramètres'!$K$6:$K$33,MATCH(E117,'Paramètres'!$I$6:$I$33,0))="Oui",1,0),0))</f>
        <v/>
      </c>
      <c r="AV117" s="61">
        <f>IF(F117="","",IFERROR(IF(INDEX('Paramètres'!$O$6:$O$17,MATCH(F117,'Paramètres'!$M$6:$M$17,0))="Oui",1,0),0))</f>
        <v/>
      </c>
      <c r="AW117" s="62">
        <f>IF(E117="","",IF(G117&lt;&gt;"",G117,IF(OR(E117="Proposition envoyée",E117="Signature"),MAX(0,N(IFERROR(INDEX('Paramètres'!$R$6:$R$15,MATCH(IF(AL117&lt;&gt;"",AL117,IFERROR(INDEX('Prospects'!$AN$5:$AN$504,MATCH(C117,'Prospects'!$C$5:$C$504,0)),"")),'Paramètres'!$Q$6:$Q$15,0)),0))-N(P117)),0)))</f>
        <v/>
      </c>
      <c r="AX117" s="61">
        <f>IF(C117="","",IF(COUNTIF($C$5:C117,C117)=1,MAX($AX$4:AX116)+1,""))</f>
        <v/>
      </c>
      <c r="AY117" s="61">
        <f>IF(B117="","",HOUR(B117))</f>
        <v/>
      </c>
      <c r="AZ117" s="61">
        <f>IF(A117="","",MOD(A117-2,7)+1)</f>
        <v/>
      </c>
      <c r="BA117" s="60">
        <f>IF(C117="","",IFERROR(INDEX('Prospects'!$N$5:$N$504,MATCH(C117,'Prospects'!$C$5:$C$504,0)),""))</f>
        <v/>
      </c>
      <c r="BB117" s="61">
        <f>IF(AND(C117&lt;&gt;"",C117='Fiche prospect'!$C$4),COUNTIF($C$5:C117,C117),"")</f>
        <v/>
      </c>
    </row>
    <row r="118">
      <c r="A118" s="53" t="n"/>
      <c r="B118" s="54" t="n"/>
      <c r="C118" s="55" t="n"/>
      <c r="D118" s="55" t="n"/>
      <c r="E118" s="55" t="n"/>
      <c r="F118" s="55" t="n"/>
      <c r="G118" s="56" t="n"/>
      <c r="H118" s="57" t="n"/>
      <c r="I118" s="55" t="n"/>
      <c r="J118" s="53" t="n"/>
      <c r="K118" s="54" t="n"/>
      <c r="L118" s="55" t="n"/>
      <c r="M118" s="55" t="n"/>
      <c r="N118" s="57" t="n"/>
      <c r="O118" s="55" t="n"/>
      <c r="P118" s="56" t="n"/>
      <c r="Q118" s="55" t="n"/>
      <c r="R118" s="55" t="n"/>
      <c r="S118" s="55" t="n"/>
      <c r="T118" s="55" t="n"/>
      <c r="U118" s="55" t="n"/>
      <c r="V118" s="55" t="n"/>
      <c r="W118" s="58" t="n"/>
      <c r="X118" s="58" t="n"/>
      <c r="Y118" s="55" t="n"/>
      <c r="Z118" s="55" t="n"/>
      <c r="AA118" s="55" t="n"/>
      <c r="AB118" s="55" t="n"/>
      <c r="AC118" s="55" t="n"/>
      <c r="AD118" s="53" t="n"/>
      <c r="AE118" s="55" t="n"/>
      <c r="AF118" s="55" t="n"/>
      <c r="AG118" s="59" t="n"/>
      <c r="AH118" s="57" t="n"/>
      <c r="AI118" s="55" t="n"/>
      <c r="AJ118" s="55" t="n"/>
      <c r="AK118" s="55" t="n"/>
      <c r="AL118" s="55" t="n"/>
      <c r="AM118" s="56" t="n"/>
      <c r="AN118" s="55" t="n"/>
      <c r="AO118" s="55" t="n"/>
      <c r="AP118" s="55" t="n"/>
      <c r="AQ118" s="55" t="n"/>
      <c r="AR118" s="60">
        <f>IF(AND(C118="",E118=""),"",IF(A118="","⚠ Date manquante",IF(AND(C118="",E118&lt;&gt;"Dépense"),"⚠ Prospect manquant",IF(E118="","⚠ Action manquante",IF(AND(AU118=1,D118=""),"⚠ Canal manquant",IF(AND(W118&lt;&gt;"",COUNTIFS('Saisie'!$W$5:$W$2004,W118,'Saisie'!$C$5:$C$2004,"&lt;&gt;"&amp;C118)&gt;0),"⚠ Numéro déjà utilisé par un autre prospect",IF(AND(J118&lt;&gt;"",J118&lt;A118),"⚠ Relance avant la date de l'action",IF(A118&gt;TODAY(),"⚠ Date dans le futur","✓"))))))))</f>
        <v/>
      </c>
      <c r="AS118" s="61">
        <f>IF(AND(A118="",C118="",E118=""),"",ROW())</f>
        <v/>
      </c>
      <c r="AT118" s="61">
        <f>IF(E118&amp;F118="","",MAX(IFERROR(INDEX('Paramètres'!$J$6:$J$33,MATCH(E118,'Paramètres'!$I$6:$I$33,0)),0),IFERROR(INDEX('Paramètres'!$N$6:$N$17,MATCH(F118,'Paramètres'!$M$6:$M$17,0)),0)))</f>
        <v/>
      </c>
      <c r="AU118" s="61">
        <f>IF(E118="","",IFERROR(IF(INDEX('Paramètres'!$K$6:$K$33,MATCH(E118,'Paramètres'!$I$6:$I$33,0))="Oui",1,0),0))</f>
        <v/>
      </c>
      <c r="AV118" s="61">
        <f>IF(F118="","",IFERROR(IF(INDEX('Paramètres'!$O$6:$O$17,MATCH(F118,'Paramètres'!$M$6:$M$17,0))="Oui",1,0),0))</f>
        <v/>
      </c>
      <c r="AW118" s="62">
        <f>IF(E118="","",IF(G118&lt;&gt;"",G118,IF(OR(E118="Proposition envoyée",E118="Signature"),MAX(0,N(IFERROR(INDEX('Paramètres'!$R$6:$R$15,MATCH(IF(AL118&lt;&gt;"",AL118,IFERROR(INDEX('Prospects'!$AN$5:$AN$504,MATCH(C118,'Prospects'!$C$5:$C$504,0)),"")),'Paramètres'!$Q$6:$Q$15,0)),0))-N(P118)),0)))</f>
        <v/>
      </c>
      <c r="AX118" s="61">
        <f>IF(C118="","",IF(COUNTIF($C$5:C118,C118)=1,MAX($AX$4:AX117)+1,""))</f>
        <v/>
      </c>
      <c r="AY118" s="61">
        <f>IF(B118="","",HOUR(B118))</f>
        <v/>
      </c>
      <c r="AZ118" s="61">
        <f>IF(A118="","",MOD(A118-2,7)+1)</f>
        <v/>
      </c>
      <c r="BA118" s="60">
        <f>IF(C118="","",IFERROR(INDEX('Prospects'!$N$5:$N$504,MATCH(C118,'Prospects'!$C$5:$C$504,0)),""))</f>
        <v/>
      </c>
      <c r="BB118" s="61">
        <f>IF(AND(C118&lt;&gt;"",C118='Fiche prospect'!$C$4),COUNTIF($C$5:C118,C118),"")</f>
        <v/>
      </c>
    </row>
    <row r="119">
      <c r="A119" s="53" t="n"/>
      <c r="B119" s="54" t="n"/>
      <c r="C119" s="55" t="n"/>
      <c r="D119" s="55" t="n"/>
      <c r="E119" s="55" t="n"/>
      <c r="F119" s="55" t="n"/>
      <c r="G119" s="56" t="n"/>
      <c r="H119" s="57" t="n"/>
      <c r="I119" s="55" t="n"/>
      <c r="J119" s="53" t="n"/>
      <c r="K119" s="54" t="n"/>
      <c r="L119" s="55" t="n"/>
      <c r="M119" s="55" t="n"/>
      <c r="N119" s="57" t="n"/>
      <c r="O119" s="55" t="n"/>
      <c r="P119" s="56" t="n"/>
      <c r="Q119" s="55" t="n"/>
      <c r="R119" s="55" t="n"/>
      <c r="S119" s="55" t="n"/>
      <c r="T119" s="55" t="n"/>
      <c r="U119" s="55" t="n"/>
      <c r="V119" s="55" t="n"/>
      <c r="W119" s="58" t="n"/>
      <c r="X119" s="58" t="n"/>
      <c r="Y119" s="55" t="n"/>
      <c r="Z119" s="55" t="n"/>
      <c r="AA119" s="55" t="n"/>
      <c r="AB119" s="55" t="n"/>
      <c r="AC119" s="55" t="n"/>
      <c r="AD119" s="53" t="n"/>
      <c r="AE119" s="55" t="n"/>
      <c r="AF119" s="55" t="n"/>
      <c r="AG119" s="59" t="n"/>
      <c r="AH119" s="57" t="n"/>
      <c r="AI119" s="55" t="n"/>
      <c r="AJ119" s="55" t="n"/>
      <c r="AK119" s="55" t="n"/>
      <c r="AL119" s="55" t="n"/>
      <c r="AM119" s="56" t="n"/>
      <c r="AN119" s="55" t="n"/>
      <c r="AO119" s="55" t="n"/>
      <c r="AP119" s="55" t="n"/>
      <c r="AQ119" s="55" t="n"/>
      <c r="AR119" s="60">
        <f>IF(AND(C119="",E119=""),"",IF(A119="","⚠ Date manquante",IF(AND(C119="",E119&lt;&gt;"Dépense"),"⚠ Prospect manquant",IF(E119="","⚠ Action manquante",IF(AND(AU119=1,D119=""),"⚠ Canal manquant",IF(AND(W119&lt;&gt;"",COUNTIFS('Saisie'!$W$5:$W$2004,W119,'Saisie'!$C$5:$C$2004,"&lt;&gt;"&amp;C119)&gt;0),"⚠ Numéro déjà utilisé par un autre prospect",IF(AND(J119&lt;&gt;"",J119&lt;A119),"⚠ Relance avant la date de l'action",IF(A119&gt;TODAY(),"⚠ Date dans le futur","✓"))))))))</f>
        <v/>
      </c>
      <c r="AS119" s="61">
        <f>IF(AND(A119="",C119="",E119=""),"",ROW())</f>
        <v/>
      </c>
      <c r="AT119" s="61">
        <f>IF(E119&amp;F119="","",MAX(IFERROR(INDEX('Paramètres'!$J$6:$J$33,MATCH(E119,'Paramètres'!$I$6:$I$33,0)),0),IFERROR(INDEX('Paramètres'!$N$6:$N$17,MATCH(F119,'Paramètres'!$M$6:$M$17,0)),0)))</f>
        <v/>
      </c>
      <c r="AU119" s="61">
        <f>IF(E119="","",IFERROR(IF(INDEX('Paramètres'!$K$6:$K$33,MATCH(E119,'Paramètres'!$I$6:$I$33,0))="Oui",1,0),0))</f>
        <v/>
      </c>
      <c r="AV119" s="61">
        <f>IF(F119="","",IFERROR(IF(INDEX('Paramètres'!$O$6:$O$17,MATCH(F119,'Paramètres'!$M$6:$M$17,0))="Oui",1,0),0))</f>
        <v/>
      </c>
      <c r="AW119" s="62">
        <f>IF(E119="","",IF(G119&lt;&gt;"",G119,IF(OR(E119="Proposition envoyée",E119="Signature"),MAX(0,N(IFERROR(INDEX('Paramètres'!$R$6:$R$15,MATCH(IF(AL119&lt;&gt;"",AL119,IFERROR(INDEX('Prospects'!$AN$5:$AN$504,MATCH(C119,'Prospects'!$C$5:$C$504,0)),"")),'Paramètres'!$Q$6:$Q$15,0)),0))-N(P119)),0)))</f>
        <v/>
      </c>
      <c r="AX119" s="61">
        <f>IF(C119="","",IF(COUNTIF($C$5:C119,C119)=1,MAX($AX$4:AX118)+1,""))</f>
        <v/>
      </c>
      <c r="AY119" s="61">
        <f>IF(B119="","",HOUR(B119))</f>
        <v/>
      </c>
      <c r="AZ119" s="61">
        <f>IF(A119="","",MOD(A119-2,7)+1)</f>
        <v/>
      </c>
      <c r="BA119" s="60">
        <f>IF(C119="","",IFERROR(INDEX('Prospects'!$N$5:$N$504,MATCH(C119,'Prospects'!$C$5:$C$504,0)),""))</f>
        <v/>
      </c>
      <c r="BB119" s="61">
        <f>IF(AND(C119&lt;&gt;"",C119='Fiche prospect'!$C$4),COUNTIF($C$5:C119,C119),"")</f>
        <v/>
      </c>
    </row>
    <row r="120">
      <c r="A120" s="53" t="n"/>
      <c r="B120" s="54" t="n"/>
      <c r="C120" s="55" t="n"/>
      <c r="D120" s="55" t="n"/>
      <c r="E120" s="55" t="n"/>
      <c r="F120" s="55" t="n"/>
      <c r="G120" s="56" t="n"/>
      <c r="H120" s="57" t="n"/>
      <c r="I120" s="55" t="n"/>
      <c r="J120" s="53" t="n"/>
      <c r="K120" s="54" t="n"/>
      <c r="L120" s="55" t="n"/>
      <c r="M120" s="55" t="n"/>
      <c r="N120" s="57" t="n"/>
      <c r="O120" s="55" t="n"/>
      <c r="P120" s="56" t="n"/>
      <c r="Q120" s="55" t="n"/>
      <c r="R120" s="55" t="n"/>
      <c r="S120" s="55" t="n"/>
      <c r="T120" s="55" t="n"/>
      <c r="U120" s="55" t="n"/>
      <c r="V120" s="55" t="n"/>
      <c r="W120" s="58" t="n"/>
      <c r="X120" s="58" t="n"/>
      <c r="Y120" s="55" t="n"/>
      <c r="Z120" s="55" t="n"/>
      <c r="AA120" s="55" t="n"/>
      <c r="AB120" s="55" t="n"/>
      <c r="AC120" s="55" t="n"/>
      <c r="AD120" s="53" t="n"/>
      <c r="AE120" s="55" t="n"/>
      <c r="AF120" s="55" t="n"/>
      <c r="AG120" s="59" t="n"/>
      <c r="AH120" s="57" t="n"/>
      <c r="AI120" s="55" t="n"/>
      <c r="AJ120" s="55" t="n"/>
      <c r="AK120" s="55" t="n"/>
      <c r="AL120" s="55" t="n"/>
      <c r="AM120" s="56" t="n"/>
      <c r="AN120" s="55" t="n"/>
      <c r="AO120" s="55" t="n"/>
      <c r="AP120" s="55" t="n"/>
      <c r="AQ120" s="55" t="n"/>
      <c r="AR120" s="60">
        <f>IF(AND(C120="",E120=""),"",IF(A120="","⚠ Date manquante",IF(AND(C120="",E120&lt;&gt;"Dépense"),"⚠ Prospect manquant",IF(E120="","⚠ Action manquante",IF(AND(AU120=1,D120=""),"⚠ Canal manquant",IF(AND(W120&lt;&gt;"",COUNTIFS('Saisie'!$W$5:$W$2004,W120,'Saisie'!$C$5:$C$2004,"&lt;&gt;"&amp;C120)&gt;0),"⚠ Numéro déjà utilisé par un autre prospect",IF(AND(J120&lt;&gt;"",J120&lt;A120),"⚠ Relance avant la date de l'action",IF(A120&gt;TODAY(),"⚠ Date dans le futur","✓"))))))))</f>
        <v/>
      </c>
      <c r="AS120" s="61">
        <f>IF(AND(A120="",C120="",E120=""),"",ROW())</f>
        <v/>
      </c>
      <c r="AT120" s="61">
        <f>IF(E120&amp;F120="","",MAX(IFERROR(INDEX('Paramètres'!$J$6:$J$33,MATCH(E120,'Paramètres'!$I$6:$I$33,0)),0),IFERROR(INDEX('Paramètres'!$N$6:$N$17,MATCH(F120,'Paramètres'!$M$6:$M$17,0)),0)))</f>
        <v/>
      </c>
      <c r="AU120" s="61">
        <f>IF(E120="","",IFERROR(IF(INDEX('Paramètres'!$K$6:$K$33,MATCH(E120,'Paramètres'!$I$6:$I$33,0))="Oui",1,0),0))</f>
        <v/>
      </c>
      <c r="AV120" s="61">
        <f>IF(F120="","",IFERROR(IF(INDEX('Paramètres'!$O$6:$O$17,MATCH(F120,'Paramètres'!$M$6:$M$17,0))="Oui",1,0),0))</f>
        <v/>
      </c>
      <c r="AW120" s="62">
        <f>IF(E120="","",IF(G120&lt;&gt;"",G120,IF(OR(E120="Proposition envoyée",E120="Signature"),MAX(0,N(IFERROR(INDEX('Paramètres'!$R$6:$R$15,MATCH(IF(AL120&lt;&gt;"",AL120,IFERROR(INDEX('Prospects'!$AN$5:$AN$504,MATCH(C120,'Prospects'!$C$5:$C$504,0)),"")),'Paramètres'!$Q$6:$Q$15,0)),0))-N(P120)),0)))</f>
        <v/>
      </c>
      <c r="AX120" s="61">
        <f>IF(C120="","",IF(COUNTIF($C$5:C120,C120)=1,MAX($AX$4:AX119)+1,""))</f>
        <v/>
      </c>
      <c r="AY120" s="61">
        <f>IF(B120="","",HOUR(B120))</f>
        <v/>
      </c>
      <c r="AZ120" s="61">
        <f>IF(A120="","",MOD(A120-2,7)+1)</f>
        <v/>
      </c>
      <c r="BA120" s="60">
        <f>IF(C120="","",IFERROR(INDEX('Prospects'!$N$5:$N$504,MATCH(C120,'Prospects'!$C$5:$C$504,0)),""))</f>
        <v/>
      </c>
      <c r="BB120" s="61">
        <f>IF(AND(C120&lt;&gt;"",C120='Fiche prospect'!$C$4),COUNTIF($C$5:C120,C120),"")</f>
        <v/>
      </c>
    </row>
    <row r="121">
      <c r="A121" s="53" t="n"/>
      <c r="B121" s="54" t="n"/>
      <c r="C121" s="55" t="n"/>
      <c r="D121" s="55" t="n"/>
      <c r="E121" s="55" t="n"/>
      <c r="F121" s="55" t="n"/>
      <c r="G121" s="56" t="n"/>
      <c r="H121" s="57" t="n"/>
      <c r="I121" s="55" t="n"/>
      <c r="J121" s="53" t="n"/>
      <c r="K121" s="54" t="n"/>
      <c r="L121" s="55" t="n"/>
      <c r="M121" s="55" t="n"/>
      <c r="N121" s="57" t="n"/>
      <c r="O121" s="55" t="n"/>
      <c r="P121" s="56" t="n"/>
      <c r="Q121" s="55" t="n"/>
      <c r="R121" s="55" t="n"/>
      <c r="S121" s="55" t="n"/>
      <c r="T121" s="55" t="n"/>
      <c r="U121" s="55" t="n"/>
      <c r="V121" s="55" t="n"/>
      <c r="W121" s="58" t="n"/>
      <c r="X121" s="58" t="n"/>
      <c r="Y121" s="55" t="n"/>
      <c r="Z121" s="55" t="n"/>
      <c r="AA121" s="55" t="n"/>
      <c r="AB121" s="55" t="n"/>
      <c r="AC121" s="55" t="n"/>
      <c r="AD121" s="53" t="n"/>
      <c r="AE121" s="55" t="n"/>
      <c r="AF121" s="55" t="n"/>
      <c r="AG121" s="59" t="n"/>
      <c r="AH121" s="57" t="n"/>
      <c r="AI121" s="55" t="n"/>
      <c r="AJ121" s="55" t="n"/>
      <c r="AK121" s="55" t="n"/>
      <c r="AL121" s="55" t="n"/>
      <c r="AM121" s="56" t="n"/>
      <c r="AN121" s="55" t="n"/>
      <c r="AO121" s="55" t="n"/>
      <c r="AP121" s="55" t="n"/>
      <c r="AQ121" s="55" t="n"/>
      <c r="AR121" s="60">
        <f>IF(AND(C121="",E121=""),"",IF(A121="","⚠ Date manquante",IF(AND(C121="",E121&lt;&gt;"Dépense"),"⚠ Prospect manquant",IF(E121="","⚠ Action manquante",IF(AND(AU121=1,D121=""),"⚠ Canal manquant",IF(AND(W121&lt;&gt;"",COUNTIFS('Saisie'!$W$5:$W$2004,W121,'Saisie'!$C$5:$C$2004,"&lt;&gt;"&amp;C121)&gt;0),"⚠ Numéro déjà utilisé par un autre prospect",IF(AND(J121&lt;&gt;"",J121&lt;A121),"⚠ Relance avant la date de l'action",IF(A121&gt;TODAY(),"⚠ Date dans le futur","✓"))))))))</f>
        <v/>
      </c>
      <c r="AS121" s="61">
        <f>IF(AND(A121="",C121="",E121=""),"",ROW())</f>
        <v/>
      </c>
      <c r="AT121" s="61">
        <f>IF(E121&amp;F121="","",MAX(IFERROR(INDEX('Paramètres'!$J$6:$J$33,MATCH(E121,'Paramètres'!$I$6:$I$33,0)),0),IFERROR(INDEX('Paramètres'!$N$6:$N$17,MATCH(F121,'Paramètres'!$M$6:$M$17,0)),0)))</f>
        <v/>
      </c>
      <c r="AU121" s="61">
        <f>IF(E121="","",IFERROR(IF(INDEX('Paramètres'!$K$6:$K$33,MATCH(E121,'Paramètres'!$I$6:$I$33,0))="Oui",1,0),0))</f>
        <v/>
      </c>
      <c r="AV121" s="61">
        <f>IF(F121="","",IFERROR(IF(INDEX('Paramètres'!$O$6:$O$17,MATCH(F121,'Paramètres'!$M$6:$M$17,0))="Oui",1,0),0))</f>
        <v/>
      </c>
      <c r="AW121" s="62">
        <f>IF(E121="","",IF(G121&lt;&gt;"",G121,IF(OR(E121="Proposition envoyée",E121="Signature"),MAX(0,N(IFERROR(INDEX('Paramètres'!$R$6:$R$15,MATCH(IF(AL121&lt;&gt;"",AL121,IFERROR(INDEX('Prospects'!$AN$5:$AN$504,MATCH(C121,'Prospects'!$C$5:$C$504,0)),"")),'Paramètres'!$Q$6:$Q$15,0)),0))-N(P121)),0)))</f>
        <v/>
      </c>
      <c r="AX121" s="61">
        <f>IF(C121="","",IF(COUNTIF($C$5:C121,C121)=1,MAX($AX$4:AX120)+1,""))</f>
        <v/>
      </c>
      <c r="AY121" s="61">
        <f>IF(B121="","",HOUR(B121))</f>
        <v/>
      </c>
      <c r="AZ121" s="61">
        <f>IF(A121="","",MOD(A121-2,7)+1)</f>
        <v/>
      </c>
      <c r="BA121" s="60">
        <f>IF(C121="","",IFERROR(INDEX('Prospects'!$N$5:$N$504,MATCH(C121,'Prospects'!$C$5:$C$504,0)),""))</f>
        <v/>
      </c>
      <c r="BB121" s="61">
        <f>IF(AND(C121&lt;&gt;"",C121='Fiche prospect'!$C$4),COUNTIF($C$5:C121,C121),"")</f>
        <v/>
      </c>
    </row>
    <row r="122">
      <c r="A122" s="53" t="n"/>
      <c r="B122" s="54" t="n"/>
      <c r="C122" s="55" t="n"/>
      <c r="D122" s="55" t="n"/>
      <c r="E122" s="55" t="n"/>
      <c r="F122" s="55" t="n"/>
      <c r="G122" s="56" t="n"/>
      <c r="H122" s="57" t="n"/>
      <c r="I122" s="55" t="n"/>
      <c r="J122" s="53" t="n"/>
      <c r="K122" s="54" t="n"/>
      <c r="L122" s="55" t="n"/>
      <c r="M122" s="55" t="n"/>
      <c r="N122" s="57" t="n"/>
      <c r="O122" s="55" t="n"/>
      <c r="P122" s="56" t="n"/>
      <c r="Q122" s="55" t="n"/>
      <c r="R122" s="55" t="n"/>
      <c r="S122" s="55" t="n"/>
      <c r="T122" s="55" t="n"/>
      <c r="U122" s="55" t="n"/>
      <c r="V122" s="55" t="n"/>
      <c r="W122" s="58" t="n"/>
      <c r="X122" s="58" t="n"/>
      <c r="Y122" s="55" t="n"/>
      <c r="Z122" s="55" t="n"/>
      <c r="AA122" s="55" t="n"/>
      <c r="AB122" s="55" t="n"/>
      <c r="AC122" s="55" t="n"/>
      <c r="AD122" s="53" t="n"/>
      <c r="AE122" s="55" t="n"/>
      <c r="AF122" s="55" t="n"/>
      <c r="AG122" s="59" t="n"/>
      <c r="AH122" s="57" t="n"/>
      <c r="AI122" s="55" t="n"/>
      <c r="AJ122" s="55" t="n"/>
      <c r="AK122" s="55" t="n"/>
      <c r="AL122" s="55" t="n"/>
      <c r="AM122" s="56" t="n"/>
      <c r="AN122" s="55" t="n"/>
      <c r="AO122" s="55" t="n"/>
      <c r="AP122" s="55" t="n"/>
      <c r="AQ122" s="55" t="n"/>
      <c r="AR122" s="60">
        <f>IF(AND(C122="",E122=""),"",IF(A122="","⚠ Date manquante",IF(AND(C122="",E122&lt;&gt;"Dépense"),"⚠ Prospect manquant",IF(E122="","⚠ Action manquante",IF(AND(AU122=1,D122=""),"⚠ Canal manquant",IF(AND(W122&lt;&gt;"",COUNTIFS('Saisie'!$W$5:$W$2004,W122,'Saisie'!$C$5:$C$2004,"&lt;&gt;"&amp;C122)&gt;0),"⚠ Numéro déjà utilisé par un autre prospect",IF(AND(J122&lt;&gt;"",J122&lt;A122),"⚠ Relance avant la date de l'action",IF(A122&gt;TODAY(),"⚠ Date dans le futur","✓"))))))))</f>
        <v/>
      </c>
      <c r="AS122" s="61">
        <f>IF(AND(A122="",C122="",E122=""),"",ROW())</f>
        <v/>
      </c>
      <c r="AT122" s="61">
        <f>IF(E122&amp;F122="","",MAX(IFERROR(INDEX('Paramètres'!$J$6:$J$33,MATCH(E122,'Paramètres'!$I$6:$I$33,0)),0),IFERROR(INDEX('Paramètres'!$N$6:$N$17,MATCH(F122,'Paramètres'!$M$6:$M$17,0)),0)))</f>
        <v/>
      </c>
      <c r="AU122" s="61">
        <f>IF(E122="","",IFERROR(IF(INDEX('Paramètres'!$K$6:$K$33,MATCH(E122,'Paramètres'!$I$6:$I$33,0))="Oui",1,0),0))</f>
        <v/>
      </c>
      <c r="AV122" s="61">
        <f>IF(F122="","",IFERROR(IF(INDEX('Paramètres'!$O$6:$O$17,MATCH(F122,'Paramètres'!$M$6:$M$17,0))="Oui",1,0),0))</f>
        <v/>
      </c>
      <c r="AW122" s="62">
        <f>IF(E122="","",IF(G122&lt;&gt;"",G122,IF(OR(E122="Proposition envoyée",E122="Signature"),MAX(0,N(IFERROR(INDEX('Paramètres'!$R$6:$R$15,MATCH(IF(AL122&lt;&gt;"",AL122,IFERROR(INDEX('Prospects'!$AN$5:$AN$504,MATCH(C122,'Prospects'!$C$5:$C$504,0)),"")),'Paramètres'!$Q$6:$Q$15,0)),0))-N(P122)),0)))</f>
        <v/>
      </c>
      <c r="AX122" s="61">
        <f>IF(C122="","",IF(COUNTIF($C$5:C122,C122)=1,MAX($AX$4:AX121)+1,""))</f>
        <v/>
      </c>
      <c r="AY122" s="61">
        <f>IF(B122="","",HOUR(B122))</f>
        <v/>
      </c>
      <c r="AZ122" s="61">
        <f>IF(A122="","",MOD(A122-2,7)+1)</f>
        <v/>
      </c>
      <c r="BA122" s="60">
        <f>IF(C122="","",IFERROR(INDEX('Prospects'!$N$5:$N$504,MATCH(C122,'Prospects'!$C$5:$C$504,0)),""))</f>
        <v/>
      </c>
      <c r="BB122" s="61">
        <f>IF(AND(C122&lt;&gt;"",C122='Fiche prospect'!$C$4),COUNTIF($C$5:C122,C122),"")</f>
        <v/>
      </c>
    </row>
    <row r="123">
      <c r="A123" s="53" t="n"/>
      <c r="B123" s="54" t="n"/>
      <c r="C123" s="55" t="n"/>
      <c r="D123" s="55" t="n"/>
      <c r="E123" s="55" t="n"/>
      <c r="F123" s="55" t="n"/>
      <c r="G123" s="56" t="n"/>
      <c r="H123" s="57" t="n"/>
      <c r="I123" s="55" t="n"/>
      <c r="J123" s="53" t="n"/>
      <c r="K123" s="54" t="n"/>
      <c r="L123" s="55" t="n"/>
      <c r="M123" s="55" t="n"/>
      <c r="N123" s="57" t="n"/>
      <c r="O123" s="55" t="n"/>
      <c r="P123" s="56" t="n"/>
      <c r="Q123" s="55" t="n"/>
      <c r="R123" s="55" t="n"/>
      <c r="S123" s="55" t="n"/>
      <c r="T123" s="55" t="n"/>
      <c r="U123" s="55" t="n"/>
      <c r="V123" s="55" t="n"/>
      <c r="W123" s="58" t="n"/>
      <c r="X123" s="58" t="n"/>
      <c r="Y123" s="55" t="n"/>
      <c r="Z123" s="55" t="n"/>
      <c r="AA123" s="55" t="n"/>
      <c r="AB123" s="55" t="n"/>
      <c r="AC123" s="55" t="n"/>
      <c r="AD123" s="53" t="n"/>
      <c r="AE123" s="55" t="n"/>
      <c r="AF123" s="55" t="n"/>
      <c r="AG123" s="59" t="n"/>
      <c r="AH123" s="57" t="n"/>
      <c r="AI123" s="55" t="n"/>
      <c r="AJ123" s="55" t="n"/>
      <c r="AK123" s="55" t="n"/>
      <c r="AL123" s="55" t="n"/>
      <c r="AM123" s="56" t="n"/>
      <c r="AN123" s="55" t="n"/>
      <c r="AO123" s="55" t="n"/>
      <c r="AP123" s="55" t="n"/>
      <c r="AQ123" s="55" t="n"/>
      <c r="AR123" s="60">
        <f>IF(AND(C123="",E123=""),"",IF(A123="","⚠ Date manquante",IF(AND(C123="",E123&lt;&gt;"Dépense"),"⚠ Prospect manquant",IF(E123="","⚠ Action manquante",IF(AND(AU123=1,D123=""),"⚠ Canal manquant",IF(AND(W123&lt;&gt;"",COUNTIFS('Saisie'!$W$5:$W$2004,W123,'Saisie'!$C$5:$C$2004,"&lt;&gt;"&amp;C123)&gt;0),"⚠ Numéro déjà utilisé par un autre prospect",IF(AND(J123&lt;&gt;"",J123&lt;A123),"⚠ Relance avant la date de l'action",IF(A123&gt;TODAY(),"⚠ Date dans le futur","✓"))))))))</f>
        <v/>
      </c>
      <c r="AS123" s="61">
        <f>IF(AND(A123="",C123="",E123=""),"",ROW())</f>
        <v/>
      </c>
      <c r="AT123" s="61">
        <f>IF(E123&amp;F123="","",MAX(IFERROR(INDEX('Paramètres'!$J$6:$J$33,MATCH(E123,'Paramètres'!$I$6:$I$33,0)),0),IFERROR(INDEX('Paramètres'!$N$6:$N$17,MATCH(F123,'Paramètres'!$M$6:$M$17,0)),0)))</f>
        <v/>
      </c>
      <c r="AU123" s="61">
        <f>IF(E123="","",IFERROR(IF(INDEX('Paramètres'!$K$6:$K$33,MATCH(E123,'Paramètres'!$I$6:$I$33,0))="Oui",1,0),0))</f>
        <v/>
      </c>
      <c r="AV123" s="61">
        <f>IF(F123="","",IFERROR(IF(INDEX('Paramètres'!$O$6:$O$17,MATCH(F123,'Paramètres'!$M$6:$M$17,0))="Oui",1,0),0))</f>
        <v/>
      </c>
      <c r="AW123" s="62">
        <f>IF(E123="","",IF(G123&lt;&gt;"",G123,IF(OR(E123="Proposition envoyée",E123="Signature"),MAX(0,N(IFERROR(INDEX('Paramètres'!$R$6:$R$15,MATCH(IF(AL123&lt;&gt;"",AL123,IFERROR(INDEX('Prospects'!$AN$5:$AN$504,MATCH(C123,'Prospects'!$C$5:$C$504,0)),"")),'Paramètres'!$Q$6:$Q$15,0)),0))-N(P123)),0)))</f>
        <v/>
      </c>
      <c r="AX123" s="61">
        <f>IF(C123="","",IF(COUNTIF($C$5:C123,C123)=1,MAX($AX$4:AX122)+1,""))</f>
        <v/>
      </c>
      <c r="AY123" s="61">
        <f>IF(B123="","",HOUR(B123))</f>
        <v/>
      </c>
      <c r="AZ123" s="61">
        <f>IF(A123="","",MOD(A123-2,7)+1)</f>
        <v/>
      </c>
      <c r="BA123" s="60">
        <f>IF(C123="","",IFERROR(INDEX('Prospects'!$N$5:$N$504,MATCH(C123,'Prospects'!$C$5:$C$504,0)),""))</f>
        <v/>
      </c>
      <c r="BB123" s="61">
        <f>IF(AND(C123&lt;&gt;"",C123='Fiche prospect'!$C$4),COUNTIF($C$5:C123,C123),"")</f>
        <v/>
      </c>
    </row>
    <row r="124">
      <c r="A124" s="53" t="n"/>
      <c r="B124" s="54" t="n"/>
      <c r="C124" s="55" t="n"/>
      <c r="D124" s="55" t="n"/>
      <c r="E124" s="55" t="n"/>
      <c r="F124" s="55" t="n"/>
      <c r="G124" s="56" t="n"/>
      <c r="H124" s="57" t="n"/>
      <c r="I124" s="55" t="n"/>
      <c r="J124" s="53" t="n"/>
      <c r="K124" s="54" t="n"/>
      <c r="L124" s="55" t="n"/>
      <c r="M124" s="55" t="n"/>
      <c r="N124" s="57" t="n"/>
      <c r="O124" s="55" t="n"/>
      <c r="P124" s="56" t="n"/>
      <c r="Q124" s="55" t="n"/>
      <c r="R124" s="55" t="n"/>
      <c r="S124" s="55" t="n"/>
      <c r="T124" s="55" t="n"/>
      <c r="U124" s="55" t="n"/>
      <c r="V124" s="55" t="n"/>
      <c r="W124" s="58" t="n"/>
      <c r="X124" s="58" t="n"/>
      <c r="Y124" s="55" t="n"/>
      <c r="Z124" s="55" t="n"/>
      <c r="AA124" s="55" t="n"/>
      <c r="AB124" s="55" t="n"/>
      <c r="AC124" s="55" t="n"/>
      <c r="AD124" s="53" t="n"/>
      <c r="AE124" s="55" t="n"/>
      <c r="AF124" s="55" t="n"/>
      <c r="AG124" s="59" t="n"/>
      <c r="AH124" s="57" t="n"/>
      <c r="AI124" s="55" t="n"/>
      <c r="AJ124" s="55" t="n"/>
      <c r="AK124" s="55" t="n"/>
      <c r="AL124" s="55" t="n"/>
      <c r="AM124" s="56" t="n"/>
      <c r="AN124" s="55" t="n"/>
      <c r="AO124" s="55" t="n"/>
      <c r="AP124" s="55" t="n"/>
      <c r="AQ124" s="55" t="n"/>
      <c r="AR124" s="60">
        <f>IF(AND(C124="",E124=""),"",IF(A124="","⚠ Date manquante",IF(AND(C124="",E124&lt;&gt;"Dépense"),"⚠ Prospect manquant",IF(E124="","⚠ Action manquante",IF(AND(AU124=1,D124=""),"⚠ Canal manquant",IF(AND(W124&lt;&gt;"",COUNTIFS('Saisie'!$W$5:$W$2004,W124,'Saisie'!$C$5:$C$2004,"&lt;&gt;"&amp;C124)&gt;0),"⚠ Numéro déjà utilisé par un autre prospect",IF(AND(J124&lt;&gt;"",J124&lt;A124),"⚠ Relance avant la date de l'action",IF(A124&gt;TODAY(),"⚠ Date dans le futur","✓"))))))))</f>
        <v/>
      </c>
      <c r="AS124" s="61">
        <f>IF(AND(A124="",C124="",E124=""),"",ROW())</f>
        <v/>
      </c>
      <c r="AT124" s="61">
        <f>IF(E124&amp;F124="","",MAX(IFERROR(INDEX('Paramètres'!$J$6:$J$33,MATCH(E124,'Paramètres'!$I$6:$I$33,0)),0),IFERROR(INDEX('Paramètres'!$N$6:$N$17,MATCH(F124,'Paramètres'!$M$6:$M$17,0)),0)))</f>
        <v/>
      </c>
      <c r="AU124" s="61">
        <f>IF(E124="","",IFERROR(IF(INDEX('Paramètres'!$K$6:$K$33,MATCH(E124,'Paramètres'!$I$6:$I$33,0))="Oui",1,0),0))</f>
        <v/>
      </c>
      <c r="AV124" s="61">
        <f>IF(F124="","",IFERROR(IF(INDEX('Paramètres'!$O$6:$O$17,MATCH(F124,'Paramètres'!$M$6:$M$17,0))="Oui",1,0),0))</f>
        <v/>
      </c>
      <c r="AW124" s="62">
        <f>IF(E124="","",IF(G124&lt;&gt;"",G124,IF(OR(E124="Proposition envoyée",E124="Signature"),MAX(0,N(IFERROR(INDEX('Paramètres'!$R$6:$R$15,MATCH(IF(AL124&lt;&gt;"",AL124,IFERROR(INDEX('Prospects'!$AN$5:$AN$504,MATCH(C124,'Prospects'!$C$5:$C$504,0)),"")),'Paramètres'!$Q$6:$Q$15,0)),0))-N(P124)),0)))</f>
        <v/>
      </c>
      <c r="AX124" s="61">
        <f>IF(C124="","",IF(COUNTIF($C$5:C124,C124)=1,MAX($AX$4:AX123)+1,""))</f>
        <v/>
      </c>
      <c r="AY124" s="61">
        <f>IF(B124="","",HOUR(B124))</f>
        <v/>
      </c>
      <c r="AZ124" s="61">
        <f>IF(A124="","",MOD(A124-2,7)+1)</f>
        <v/>
      </c>
      <c r="BA124" s="60">
        <f>IF(C124="","",IFERROR(INDEX('Prospects'!$N$5:$N$504,MATCH(C124,'Prospects'!$C$5:$C$504,0)),""))</f>
        <v/>
      </c>
      <c r="BB124" s="61">
        <f>IF(AND(C124&lt;&gt;"",C124='Fiche prospect'!$C$4),COUNTIF($C$5:C124,C124),"")</f>
        <v/>
      </c>
    </row>
    <row r="125">
      <c r="A125" s="53" t="n"/>
      <c r="B125" s="54" t="n"/>
      <c r="C125" s="55" t="n"/>
      <c r="D125" s="55" t="n"/>
      <c r="E125" s="55" t="n"/>
      <c r="F125" s="55" t="n"/>
      <c r="G125" s="56" t="n"/>
      <c r="H125" s="57" t="n"/>
      <c r="I125" s="55" t="n"/>
      <c r="J125" s="53" t="n"/>
      <c r="K125" s="54" t="n"/>
      <c r="L125" s="55" t="n"/>
      <c r="M125" s="55" t="n"/>
      <c r="N125" s="57" t="n"/>
      <c r="O125" s="55" t="n"/>
      <c r="P125" s="56" t="n"/>
      <c r="Q125" s="55" t="n"/>
      <c r="R125" s="55" t="n"/>
      <c r="S125" s="55" t="n"/>
      <c r="T125" s="55" t="n"/>
      <c r="U125" s="55" t="n"/>
      <c r="V125" s="55" t="n"/>
      <c r="W125" s="58" t="n"/>
      <c r="X125" s="58" t="n"/>
      <c r="Y125" s="55" t="n"/>
      <c r="Z125" s="55" t="n"/>
      <c r="AA125" s="55" t="n"/>
      <c r="AB125" s="55" t="n"/>
      <c r="AC125" s="55" t="n"/>
      <c r="AD125" s="53" t="n"/>
      <c r="AE125" s="55" t="n"/>
      <c r="AF125" s="55" t="n"/>
      <c r="AG125" s="59" t="n"/>
      <c r="AH125" s="57" t="n"/>
      <c r="AI125" s="55" t="n"/>
      <c r="AJ125" s="55" t="n"/>
      <c r="AK125" s="55" t="n"/>
      <c r="AL125" s="55" t="n"/>
      <c r="AM125" s="56" t="n"/>
      <c r="AN125" s="55" t="n"/>
      <c r="AO125" s="55" t="n"/>
      <c r="AP125" s="55" t="n"/>
      <c r="AQ125" s="55" t="n"/>
      <c r="AR125" s="60">
        <f>IF(AND(C125="",E125=""),"",IF(A125="","⚠ Date manquante",IF(AND(C125="",E125&lt;&gt;"Dépense"),"⚠ Prospect manquant",IF(E125="","⚠ Action manquante",IF(AND(AU125=1,D125=""),"⚠ Canal manquant",IF(AND(W125&lt;&gt;"",COUNTIFS('Saisie'!$W$5:$W$2004,W125,'Saisie'!$C$5:$C$2004,"&lt;&gt;"&amp;C125)&gt;0),"⚠ Numéro déjà utilisé par un autre prospect",IF(AND(J125&lt;&gt;"",J125&lt;A125),"⚠ Relance avant la date de l'action",IF(A125&gt;TODAY(),"⚠ Date dans le futur","✓"))))))))</f>
        <v/>
      </c>
      <c r="AS125" s="61">
        <f>IF(AND(A125="",C125="",E125=""),"",ROW())</f>
        <v/>
      </c>
      <c r="AT125" s="61">
        <f>IF(E125&amp;F125="","",MAX(IFERROR(INDEX('Paramètres'!$J$6:$J$33,MATCH(E125,'Paramètres'!$I$6:$I$33,0)),0),IFERROR(INDEX('Paramètres'!$N$6:$N$17,MATCH(F125,'Paramètres'!$M$6:$M$17,0)),0)))</f>
        <v/>
      </c>
      <c r="AU125" s="61">
        <f>IF(E125="","",IFERROR(IF(INDEX('Paramètres'!$K$6:$K$33,MATCH(E125,'Paramètres'!$I$6:$I$33,0))="Oui",1,0),0))</f>
        <v/>
      </c>
      <c r="AV125" s="61">
        <f>IF(F125="","",IFERROR(IF(INDEX('Paramètres'!$O$6:$O$17,MATCH(F125,'Paramètres'!$M$6:$M$17,0))="Oui",1,0),0))</f>
        <v/>
      </c>
      <c r="AW125" s="62">
        <f>IF(E125="","",IF(G125&lt;&gt;"",G125,IF(OR(E125="Proposition envoyée",E125="Signature"),MAX(0,N(IFERROR(INDEX('Paramètres'!$R$6:$R$15,MATCH(IF(AL125&lt;&gt;"",AL125,IFERROR(INDEX('Prospects'!$AN$5:$AN$504,MATCH(C125,'Prospects'!$C$5:$C$504,0)),"")),'Paramètres'!$Q$6:$Q$15,0)),0))-N(P125)),0)))</f>
        <v/>
      </c>
      <c r="AX125" s="61">
        <f>IF(C125="","",IF(COUNTIF($C$5:C125,C125)=1,MAX($AX$4:AX124)+1,""))</f>
        <v/>
      </c>
      <c r="AY125" s="61">
        <f>IF(B125="","",HOUR(B125))</f>
        <v/>
      </c>
      <c r="AZ125" s="61">
        <f>IF(A125="","",MOD(A125-2,7)+1)</f>
        <v/>
      </c>
      <c r="BA125" s="60">
        <f>IF(C125="","",IFERROR(INDEX('Prospects'!$N$5:$N$504,MATCH(C125,'Prospects'!$C$5:$C$504,0)),""))</f>
        <v/>
      </c>
      <c r="BB125" s="61">
        <f>IF(AND(C125&lt;&gt;"",C125='Fiche prospect'!$C$4),COUNTIF($C$5:C125,C125),"")</f>
        <v/>
      </c>
    </row>
    <row r="126">
      <c r="A126" s="53" t="n"/>
      <c r="B126" s="54" t="n"/>
      <c r="C126" s="55" t="n"/>
      <c r="D126" s="55" t="n"/>
      <c r="E126" s="55" t="n"/>
      <c r="F126" s="55" t="n"/>
      <c r="G126" s="56" t="n"/>
      <c r="H126" s="57" t="n"/>
      <c r="I126" s="55" t="n"/>
      <c r="J126" s="53" t="n"/>
      <c r="K126" s="54" t="n"/>
      <c r="L126" s="55" t="n"/>
      <c r="M126" s="55" t="n"/>
      <c r="N126" s="57" t="n"/>
      <c r="O126" s="55" t="n"/>
      <c r="P126" s="56" t="n"/>
      <c r="Q126" s="55" t="n"/>
      <c r="R126" s="55" t="n"/>
      <c r="S126" s="55" t="n"/>
      <c r="T126" s="55" t="n"/>
      <c r="U126" s="55" t="n"/>
      <c r="V126" s="55" t="n"/>
      <c r="W126" s="58" t="n"/>
      <c r="X126" s="58" t="n"/>
      <c r="Y126" s="55" t="n"/>
      <c r="Z126" s="55" t="n"/>
      <c r="AA126" s="55" t="n"/>
      <c r="AB126" s="55" t="n"/>
      <c r="AC126" s="55" t="n"/>
      <c r="AD126" s="53" t="n"/>
      <c r="AE126" s="55" t="n"/>
      <c r="AF126" s="55" t="n"/>
      <c r="AG126" s="59" t="n"/>
      <c r="AH126" s="57" t="n"/>
      <c r="AI126" s="55" t="n"/>
      <c r="AJ126" s="55" t="n"/>
      <c r="AK126" s="55" t="n"/>
      <c r="AL126" s="55" t="n"/>
      <c r="AM126" s="56" t="n"/>
      <c r="AN126" s="55" t="n"/>
      <c r="AO126" s="55" t="n"/>
      <c r="AP126" s="55" t="n"/>
      <c r="AQ126" s="55" t="n"/>
      <c r="AR126" s="60">
        <f>IF(AND(C126="",E126=""),"",IF(A126="","⚠ Date manquante",IF(AND(C126="",E126&lt;&gt;"Dépense"),"⚠ Prospect manquant",IF(E126="","⚠ Action manquante",IF(AND(AU126=1,D126=""),"⚠ Canal manquant",IF(AND(W126&lt;&gt;"",COUNTIFS('Saisie'!$W$5:$W$2004,W126,'Saisie'!$C$5:$C$2004,"&lt;&gt;"&amp;C126)&gt;0),"⚠ Numéro déjà utilisé par un autre prospect",IF(AND(J126&lt;&gt;"",J126&lt;A126),"⚠ Relance avant la date de l'action",IF(A126&gt;TODAY(),"⚠ Date dans le futur","✓"))))))))</f>
        <v/>
      </c>
      <c r="AS126" s="61">
        <f>IF(AND(A126="",C126="",E126=""),"",ROW())</f>
        <v/>
      </c>
      <c r="AT126" s="61">
        <f>IF(E126&amp;F126="","",MAX(IFERROR(INDEX('Paramètres'!$J$6:$J$33,MATCH(E126,'Paramètres'!$I$6:$I$33,0)),0),IFERROR(INDEX('Paramètres'!$N$6:$N$17,MATCH(F126,'Paramètres'!$M$6:$M$17,0)),0)))</f>
        <v/>
      </c>
      <c r="AU126" s="61">
        <f>IF(E126="","",IFERROR(IF(INDEX('Paramètres'!$K$6:$K$33,MATCH(E126,'Paramètres'!$I$6:$I$33,0))="Oui",1,0),0))</f>
        <v/>
      </c>
      <c r="AV126" s="61">
        <f>IF(F126="","",IFERROR(IF(INDEX('Paramètres'!$O$6:$O$17,MATCH(F126,'Paramètres'!$M$6:$M$17,0))="Oui",1,0),0))</f>
        <v/>
      </c>
      <c r="AW126" s="62">
        <f>IF(E126="","",IF(G126&lt;&gt;"",G126,IF(OR(E126="Proposition envoyée",E126="Signature"),MAX(0,N(IFERROR(INDEX('Paramètres'!$R$6:$R$15,MATCH(IF(AL126&lt;&gt;"",AL126,IFERROR(INDEX('Prospects'!$AN$5:$AN$504,MATCH(C126,'Prospects'!$C$5:$C$504,0)),"")),'Paramètres'!$Q$6:$Q$15,0)),0))-N(P126)),0)))</f>
        <v/>
      </c>
      <c r="AX126" s="61">
        <f>IF(C126="","",IF(COUNTIF($C$5:C126,C126)=1,MAX($AX$4:AX125)+1,""))</f>
        <v/>
      </c>
      <c r="AY126" s="61">
        <f>IF(B126="","",HOUR(B126))</f>
        <v/>
      </c>
      <c r="AZ126" s="61">
        <f>IF(A126="","",MOD(A126-2,7)+1)</f>
        <v/>
      </c>
      <c r="BA126" s="60">
        <f>IF(C126="","",IFERROR(INDEX('Prospects'!$N$5:$N$504,MATCH(C126,'Prospects'!$C$5:$C$504,0)),""))</f>
        <v/>
      </c>
      <c r="BB126" s="61">
        <f>IF(AND(C126&lt;&gt;"",C126='Fiche prospect'!$C$4),COUNTIF($C$5:C126,C126),"")</f>
        <v/>
      </c>
    </row>
    <row r="127">
      <c r="A127" s="53" t="n"/>
      <c r="B127" s="54" t="n"/>
      <c r="C127" s="55" t="n"/>
      <c r="D127" s="55" t="n"/>
      <c r="E127" s="55" t="n"/>
      <c r="F127" s="55" t="n"/>
      <c r="G127" s="56" t="n"/>
      <c r="H127" s="57" t="n"/>
      <c r="I127" s="55" t="n"/>
      <c r="J127" s="53" t="n"/>
      <c r="K127" s="54" t="n"/>
      <c r="L127" s="55" t="n"/>
      <c r="M127" s="55" t="n"/>
      <c r="N127" s="57" t="n"/>
      <c r="O127" s="55" t="n"/>
      <c r="P127" s="56" t="n"/>
      <c r="Q127" s="55" t="n"/>
      <c r="R127" s="55" t="n"/>
      <c r="S127" s="55" t="n"/>
      <c r="T127" s="55" t="n"/>
      <c r="U127" s="55" t="n"/>
      <c r="V127" s="55" t="n"/>
      <c r="W127" s="58" t="n"/>
      <c r="X127" s="58" t="n"/>
      <c r="Y127" s="55" t="n"/>
      <c r="Z127" s="55" t="n"/>
      <c r="AA127" s="55" t="n"/>
      <c r="AB127" s="55" t="n"/>
      <c r="AC127" s="55" t="n"/>
      <c r="AD127" s="53" t="n"/>
      <c r="AE127" s="55" t="n"/>
      <c r="AF127" s="55" t="n"/>
      <c r="AG127" s="59" t="n"/>
      <c r="AH127" s="57" t="n"/>
      <c r="AI127" s="55" t="n"/>
      <c r="AJ127" s="55" t="n"/>
      <c r="AK127" s="55" t="n"/>
      <c r="AL127" s="55" t="n"/>
      <c r="AM127" s="56" t="n"/>
      <c r="AN127" s="55" t="n"/>
      <c r="AO127" s="55" t="n"/>
      <c r="AP127" s="55" t="n"/>
      <c r="AQ127" s="55" t="n"/>
      <c r="AR127" s="60">
        <f>IF(AND(C127="",E127=""),"",IF(A127="","⚠ Date manquante",IF(AND(C127="",E127&lt;&gt;"Dépense"),"⚠ Prospect manquant",IF(E127="","⚠ Action manquante",IF(AND(AU127=1,D127=""),"⚠ Canal manquant",IF(AND(W127&lt;&gt;"",COUNTIFS('Saisie'!$W$5:$W$2004,W127,'Saisie'!$C$5:$C$2004,"&lt;&gt;"&amp;C127)&gt;0),"⚠ Numéro déjà utilisé par un autre prospect",IF(AND(J127&lt;&gt;"",J127&lt;A127),"⚠ Relance avant la date de l'action",IF(A127&gt;TODAY(),"⚠ Date dans le futur","✓"))))))))</f>
        <v/>
      </c>
      <c r="AS127" s="61">
        <f>IF(AND(A127="",C127="",E127=""),"",ROW())</f>
        <v/>
      </c>
      <c r="AT127" s="61">
        <f>IF(E127&amp;F127="","",MAX(IFERROR(INDEX('Paramètres'!$J$6:$J$33,MATCH(E127,'Paramètres'!$I$6:$I$33,0)),0),IFERROR(INDEX('Paramètres'!$N$6:$N$17,MATCH(F127,'Paramètres'!$M$6:$M$17,0)),0)))</f>
        <v/>
      </c>
      <c r="AU127" s="61">
        <f>IF(E127="","",IFERROR(IF(INDEX('Paramètres'!$K$6:$K$33,MATCH(E127,'Paramètres'!$I$6:$I$33,0))="Oui",1,0),0))</f>
        <v/>
      </c>
      <c r="AV127" s="61">
        <f>IF(F127="","",IFERROR(IF(INDEX('Paramètres'!$O$6:$O$17,MATCH(F127,'Paramètres'!$M$6:$M$17,0))="Oui",1,0),0))</f>
        <v/>
      </c>
      <c r="AW127" s="62">
        <f>IF(E127="","",IF(G127&lt;&gt;"",G127,IF(OR(E127="Proposition envoyée",E127="Signature"),MAX(0,N(IFERROR(INDEX('Paramètres'!$R$6:$R$15,MATCH(IF(AL127&lt;&gt;"",AL127,IFERROR(INDEX('Prospects'!$AN$5:$AN$504,MATCH(C127,'Prospects'!$C$5:$C$504,0)),"")),'Paramètres'!$Q$6:$Q$15,0)),0))-N(P127)),0)))</f>
        <v/>
      </c>
      <c r="AX127" s="61">
        <f>IF(C127="","",IF(COUNTIF($C$5:C127,C127)=1,MAX($AX$4:AX126)+1,""))</f>
        <v/>
      </c>
      <c r="AY127" s="61">
        <f>IF(B127="","",HOUR(B127))</f>
        <v/>
      </c>
      <c r="AZ127" s="61">
        <f>IF(A127="","",MOD(A127-2,7)+1)</f>
        <v/>
      </c>
      <c r="BA127" s="60">
        <f>IF(C127="","",IFERROR(INDEX('Prospects'!$N$5:$N$504,MATCH(C127,'Prospects'!$C$5:$C$504,0)),""))</f>
        <v/>
      </c>
      <c r="BB127" s="61">
        <f>IF(AND(C127&lt;&gt;"",C127='Fiche prospect'!$C$4),COUNTIF($C$5:C127,C127),"")</f>
        <v/>
      </c>
    </row>
    <row r="128">
      <c r="A128" s="53" t="n"/>
      <c r="B128" s="54" t="n"/>
      <c r="C128" s="55" t="n"/>
      <c r="D128" s="55" t="n"/>
      <c r="E128" s="55" t="n"/>
      <c r="F128" s="55" t="n"/>
      <c r="G128" s="56" t="n"/>
      <c r="H128" s="57" t="n"/>
      <c r="I128" s="55" t="n"/>
      <c r="J128" s="53" t="n"/>
      <c r="K128" s="54" t="n"/>
      <c r="L128" s="55" t="n"/>
      <c r="M128" s="55" t="n"/>
      <c r="N128" s="57" t="n"/>
      <c r="O128" s="55" t="n"/>
      <c r="P128" s="56" t="n"/>
      <c r="Q128" s="55" t="n"/>
      <c r="R128" s="55" t="n"/>
      <c r="S128" s="55" t="n"/>
      <c r="T128" s="55" t="n"/>
      <c r="U128" s="55" t="n"/>
      <c r="V128" s="55" t="n"/>
      <c r="W128" s="58" t="n"/>
      <c r="X128" s="58" t="n"/>
      <c r="Y128" s="55" t="n"/>
      <c r="Z128" s="55" t="n"/>
      <c r="AA128" s="55" t="n"/>
      <c r="AB128" s="55" t="n"/>
      <c r="AC128" s="55" t="n"/>
      <c r="AD128" s="53" t="n"/>
      <c r="AE128" s="55" t="n"/>
      <c r="AF128" s="55" t="n"/>
      <c r="AG128" s="59" t="n"/>
      <c r="AH128" s="57" t="n"/>
      <c r="AI128" s="55" t="n"/>
      <c r="AJ128" s="55" t="n"/>
      <c r="AK128" s="55" t="n"/>
      <c r="AL128" s="55" t="n"/>
      <c r="AM128" s="56" t="n"/>
      <c r="AN128" s="55" t="n"/>
      <c r="AO128" s="55" t="n"/>
      <c r="AP128" s="55" t="n"/>
      <c r="AQ128" s="55" t="n"/>
      <c r="AR128" s="60">
        <f>IF(AND(C128="",E128=""),"",IF(A128="","⚠ Date manquante",IF(AND(C128="",E128&lt;&gt;"Dépense"),"⚠ Prospect manquant",IF(E128="","⚠ Action manquante",IF(AND(AU128=1,D128=""),"⚠ Canal manquant",IF(AND(W128&lt;&gt;"",COUNTIFS('Saisie'!$W$5:$W$2004,W128,'Saisie'!$C$5:$C$2004,"&lt;&gt;"&amp;C128)&gt;0),"⚠ Numéro déjà utilisé par un autre prospect",IF(AND(J128&lt;&gt;"",J128&lt;A128),"⚠ Relance avant la date de l'action",IF(A128&gt;TODAY(),"⚠ Date dans le futur","✓"))))))))</f>
        <v/>
      </c>
      <c r="AS128" s="61">
        <f>IF(AND(A128="",C128="",E128=""),"",ROW())</f>
        <v/>
      </c>
      <c r="AT128" s="61">
        <f>IF(E128&amp;F128="","",MAX(IFERROR(INDEX('Paramètres'!$J$6:$J$33,MATCH(E128,'Paramètres'!$I$6:$I$33,0)),0),IFERROR(INDEX('Paramètres'!$N$6:$N$17,MATCH(F128,'Paramètres'!$M$6:$M$17,0)),0)))</f>
        <v/>
      </c>
      <c r="AU128" s="61">
        <f>IF(E128="","",IFERROR(IF(INDEX('Paramètres'!$K$6:$K$33,MATCH(E128,'Paramètres'!$I$6:$I$33,0))="Oui",1,0),0))</f>
        <v/>
      </c>
      <c r="AV128" s="61">
        <f>IF(F128="","",IFERROR(IF(INDEX('Paramètres'!$O$6:$O$17,MATCH(F128,'Paramètres'!$M$6:$M$17,0))="Oui",1,0),0))</f>
        <v/>
      </c>
      <c r="AW128" s="62">
        <f>IF(E128="","",IF(G128&lt;&gt;"",G128,IF(OR(E128="Proposition envoyée",E128="Signature"),MAX(0,N(IFERROR(INDEX('Paramètres'!$R$6:$R$15,MATCH(IF(AL128&lt;&gt;"",AL128,IFERROR(INDEX('Prospects'!$AN$5:$AN$504,MATCH(C128,'Prospects'!$C$5:$C$504,0)),"")),'Paramètres'!$Q$6:$Q$15,0)),0))-N(P128)),0)))</f>
        <v/>
      </c>
      <c r="AX128" s="61">
        <f>IF(C128="","",IF(COUNTIF($C$5:C128,C128)=1,MAX($AX$4:AX127)+1,""))</f>
        <v/>
      </c>
      <c r="AY128" s="61">
        <f>IF(B128="","",HOUR(B128))</f>
        <v/>
      </c>
      <c r="AZ128" s="61">
        <f>IF(A128="","",MOD(A128-2,7)+1)</f>
        <v/>
      </c>
      <c r="BA128" s="60">
        <f>IF(C128="","",IFERROR(INDEX('Prospects'!$N$5:$N$504,MATCH(C128,'Prospects'!$C$5:$C$504,0)),""))</f>
        <v/>
      </c>
      <c r="BB128" s="61">
        <f>IF(AND(C128&lt;&gt;"",C128='Fiche prospect'!$C$4),COUNTIF($C$5:C128,C128),"")</f>
        <v/>
      </c>
    </row>
    <row r="129">
      <c r="A129" s="53" t="n"/>
      <c r="B129" s="54" t="n"/>
      <c r="C129" s="55" t="n"/>
      <c r="D129" s="55" t="n"/>
      <c r="E129" s="55" t="n"/>
      <c r="F129" s="55" t="n"/>
      <c r="G129" s="56" t="n"/>
      <c r="H129" s="57" t="n"/>
      <c r="I129" s="55" t="n"/>
      <c r="J129" s="53" t="n"/>
      <c r="K129" s="54" t="n"/>
      <c r="L129" s="55" t="n"/>
      <c r="M129" s="55" t="n"/>
      <c r="N129" s="57" t="n"/>
      <c r="O129" s="55" t="n"/>
      <c r="P129" s="56" t="n"/>
      <c r="Q129" s="55" t="n"/>
      <c r="R129" s="55" t="n"/>
      <c r="S129" s="55" t="n"/>
      <c r="T129" s="55" t="n"/>
      <c r="U129" s="55" t="n"/>
      <c r="V129" s="55" t="n"/>
      <c r="W129" s="58" t="n"/>
      <c r="X129" s="58" t="n"/>
      <c r="Y129" s="55" t="n"/>
      <c r="Z129" s="55" t="n"/>
      <c r="AA129" s="55" t="n"/>
      <c r="AB129" s="55" t="n"/>
      <c r="AC129" s="55" t="n"/>
      <c r="AD129" s="53" t="n"/>
      <c r="AE129" s="55" t="n"/>
      <c r="AF129" s="55" t="n"/>
      <c r="AG129" s="59" t="n"/>
      <c r="AH129" s="57" t="n"/>
      <c r="AI129" s="55" t="n"/>
      <c r="AJ129" s="55" t="n"/>
      <c r="AK129" s="55" t="n"/>
      <c r="AL129" s="55" t="n"/>
      <c r="AM129" s="56" t="n"/>
      <c r="AN129" s="55" t="n"/>
      <c r="AO129" s="55" t="n"/>
      <c r="AP129" s="55" t="n"/>
      <c r="AQ129" s="55" t="n"/>
      <c r="AR129" s="60">
        <f>IF(AND(C129="",E129=""),"",IF(A129="","⚠ Date manquante",IF(AND(C129="",E129&lt;&gt;"Dépense"),"⚠ Prospect manquant",IF(E129="","⚠ Action manquante",IF(AND(AU129=1,D129=""),"⚠ Canal manquant",IF(AND(W129&lt;&gt;"",COUNTIFS('Saisie'!$W$5:$W$2004,W129,'Saisie'!$C$5:$C$2004,"&lt;&gt;"&amp;C129)&gt;0),"⚠ Numéro déjà utilisé par un autre prospect",IF(AND(J129&lt;&gt;"",J129&lt;A129),"⚠ Relance avant la date de l'action",IF(A129&gt;TODAY(),"⚠ Date dans le futur","✓"))))))))</f>
        <v/>
      </c>
      <c r="AS129" s="61">
        <f>IF(AND(A129="",C129="",E129=""),"",ROW())</f>
        <v/>
      </c>
      <c r="AT129" s="61">
        <f>IF(E129&amp;F129="","",MAX(IFERROR(INDEX('Paramètres'!$J$6:$J$33,MATCH(E129,'Paramètres'!$I$6:$I$33,0)),0),IFERROR(INDEX('Paramètres'!$N$6:$N$17,MATCH(F129,'Paramètres'!$M$6:$M$17,0)),0)))</f>
        <v/>
      </c>
      <c r="AU129" s="61">
        <f>IF(E129="","",IFERROR(IF(INDEX('Paramètres'!$K$6:$K$33,MATCH(E129,'Paramètres'!$I$6:$I$33,0))="Oui",1,0),0))</f>
        <v/>
      </c>
      <c r="AV129" s="61">
        <f>IF(F129="","",IFERROR(IF(INDEX('Paramètres'!$O$6:$O$17,MATCH(F129,'Paramètres'!$M$6:$M$17,0))="Oui",1,0),0))</f>
        <v/>
      </c>
      <c r="AW129" s="62">
        <f>IF(E129="","",IF(G129&lt;&gt;"",G129,IF(OR(E129="Proposition envoyée",E129="Signature"),MAX(0,N(IFERROR(INDEX('Paramètres'!$R$6:$R$15,MATCH(IF(AL129&lt;&gt;"",AL129,IFERROR(INDEX('Prospects'!$AN$5:$AN$504,MATCH(C129,'Prospects'!$C$5:$C$504,0)),"")),'Paramètres'!$Q$6:$Q$15,0)),0))-N(P129)),0)))</f>
        <v/>
      </c>
      <c r="AX129" s="61">
        <f>IF(C129="","",IF(COUNTIF($C$5:C129,C129)=1,MAX($AX$4:AX128)+1,""))</f>
        <v/>
      </c>
      <c r="AY129" s="61">
        <f>IF(B129="","",HOUR(B129))</f>
        <v/>
      </c>
      <c r="AZ129" s="61">
        <f>IF(A129="","",MOD(A129-2,7)+1)</f>
        <v/>
      </c>
      <c r="BA129" s="60">
        <f>IF(C129="","",IFERROR(INDEX('Prospects'!$N$5:$N$504,MATCH(C129,'Prospects'!$C$5:$C$504,0)),""))</f>
        <v/>
      </c>
      <c r="BB129" s="61">
        <f>IF(AND(C129&lt;&gt;"",C129='Fiche prospect'!$C$4),COUNTIF($C$5:C129,C129),"")</f>
        <v/>
      </c>
    </row>
    <row r="130">
      <c r="A130" s="53" t="n"/>
      <c r="B130" s="54" t="n"/>
      <c r="C130" s="55" t="n"/>
      <c r="D130" s="55" t="n"/>
      <c r="E130" s="55" t="n"/>
      <c r="F130" s="55" t="n"/>
      <c r="G130" s="56" t="n"/>
      <c r="H130" s="57" t="n"/>
      <c r="I130" s="55" t="n"/>
      <c r="J130" s="53" t="n"/>
      <c r="K130" s="54" t="n"/>
      <c r="L130" s="55" t="n"/>
      <c r="M130" s="55" t="n"/>
      <c r="N130" s="57" t="n"/>
      <c r="O130" s="55" t="n"/>
      <c r="P130" s="56" t="n"/>
      <c r="Q130" s="55" t="n"/>
      <c r="R130" s="55" t="n"/>
      <c r="S130" s="55" t="n"/>
      <c r="T130" s="55" t="n"/>
      <c r="U130" s="55" t="n"/>
      <c r="V130" s="55" t="n"/>
      <c r="W130" s="58" t="n"/>
      <c r="X130" s="58" t="n"/>
      <c r="Y130" s="55" t="n"/>
      <c r="Z130" s="55" t="n"/>
      <c r="AA130" s="55" t="n"/>
      <c r="AB130" s="55" t="n"/>
      <c r="AC130" s="55" t="n"/>
      <c r="AD130" s="53" t="n"/>
      <c r="AE130" s="55" t="n"/>
      <c r="AF130" s="55" t="n"/>
      <c r="AG130" s="59" t="n"/>
      <c r="AH130" s="57" t="n"/>
      <c r="AI130" s="55" t="n"/>
      <c r="AJ130" s="55" t="n"/>
      <c r="AK130" s="55" t="n"/>
      <c r="AL130" s="55" t="n"/>
      <c r="AM130" s="56" t="n"/>
      <c r="AN130" s="55" t="n"/>
      <c r="AO130" s="55" t="n"/>
      <c r="AP130" s="55" t="n"/>
      <c r="AQ130" s="55" t="n"/>
      <c r="AR130" s="60">
        <f>IF(AND(C130="",E130=""),"",IF(A130="","⚠ Date manquante",IF(AND(C130="",E130&lt;&gt;"Dépense"),"⚠ Prospect manquant",IF(E130="","⚠ Action manquante",IF(AND(AU130=1,D130=""),"⚠ Canal manquant",IF(AND(W130&lt;&gt;"",COUNTIFS('Saisie'!$W$5:$W$2004,W130,'Saisie'!$C$5:$C$2004,"&lt;&gt;"&amp;C130)&gt;0),"⚠ Numéro déjà utilisé par un autre prospect",IF(AND(J130&lt;&gt;"",J130&lt;A130),"⚠ Relance avant la date de l'action",IF(A130&gt;TODAY(),"⚠ Date dans le futur","✓"))))))))</f>
        <v/>
      </c>
      <c r="AS130" s="61">
        <f>IF(AND(A130="",C130="",E130=""),"",ROW())</f>
        <v/>
      </c>
      <c r="AT130" s="61">
        <f>IF(E130&amp;F130="","",MAX(IFERROR(INDEX('Paramètres'!$J$6:$J$33,MATCH(E130,'Paramètres'!$I$6:$I$33,0)),0),IFERROR(INDEX('Paramètres'!$N$6:$N$17,MATCH(F130,'Paramètres'!$M$6:$M$17,0)),0)))</f>
        <v/>
      </c>
      <c r="AU130" s="61">
        <f>IF(E130="","",IFERROR(IF(INDEX('Paramètres'!$K$6:$K$33,MATCH(E130,'Paramètres'!$I$6:$I$33,0))="Oui",1,0),0))</f>
        <v/>
      </c>
      <c r="AV130" s="61">
        <f>IF(F130="","",IFERROR(IF(INDEX('Paramètres'!$O$6:$O$17,MATCH(F130,'Paramètres'!$M$6:$M$17,0))="Oui",1,0),0))</f>
        <v/>
      </c>
      <c r="AW130" s="62">
        <f>IF(E130="","",IF(G130&lt;&gt;"",G130,IF(OR(E130="Proposition envoyée",E130="Signature"),MAX(0,N(IFERROR(INDEX('Paramètres'!$R$6:$R$15,MATCH(IF(AL130&lt;&gt;"",AL130,IFERROR(INDEX('Prospects'!$AN$5:$AN$504,MATCH(C130,'Prospects'!$C$5:$C$504,0)),"")),'Paramètres'!$Q$6:$Q$15,0)),0))-N(P130)),0)))</f>
        <v/>
      </c>
      <c r="AX130" s="61">
        <f>IF(C130="","",IF(COUNTIF($C$5:C130,C130)=1,MAX($AX$4:AX129)+1,""))</f>
        <v/>
      </c>
      <c r="AY130" s="61">
        <f>IF(B130="","",HOUR(B130))</f>
        <v/>
      </c>
      <c r="AZ130" s="61">
        <f>IF(A130="","",MOD(A130-2,7)+1)</f>
        <v/>
      </c>
      <c r="BA130" s="60">
        <f>IF(C130="","",IFERROR(INDEX('Prospects'!$N$5:$N$504,MATCH(C130,'Prospects'!$C$5:$C$504,0)),""))</f>
        <v/>
      </c>
      <c r="BB130" s="61">
        <f>IF(AND(C130&lt;&gt;"",C130='Fiche prospect'!$C$4),COUNTIF($C$5:C130,C130),"")</f>
        <v/>
      </c>
    </row>
    <row r="131">
      <c r="A131" s="53" t="n"/>
      <c r="B131" s="54" t="n"/>
      <c r="C131" s="55" t="n"/>
      <c r="D131" s="55" t="n"/>
      <c r="E131" s="55" t="n"/>
      <c r="F131" s="55" t="n"/>
      <c r="G131" s="56" t="n"/>
      <c r="H131" s="57" t="n"/>
      <c r="I131" s="55" t="n"/>
      <c r="J131" s="53" t="n"/>
      <c r="K131" s="54" t="n"/>
      <c r="L131" s="55" t="n"/>
      <c r="M131" s="55" t="n"/>
      <c r="N131" s="57" t="n"/>
      <c r="O131" s="55" t="n"/>
      <c r="P131" s="56" t="n"/>
      <c r="Q131" s="55" t="n"/>
      <c r="R131" s="55" t="n"/>
      <c r="S131" s="55" t="n"/>
      <c r="T131" s="55" t="n"/>
      <c r="U131" s="55" t="n"/>
      <c r="V131" s="55" t="n"/>
      <c r="W131" s="58" t="n"/>
      <c r="X131" s="58" t="n"/>
      <c r="Y131" s="55" t="n"/>
      <c r="Z131" s="55" t="n"/>
      <c r="AA131" s="55" t="n"/>
      <c r="AB131" s="55" t="n"/>
      <c r="AC131" s="55" t="n"/>
      <c r="AD131" s="53" t="n"/>
      <c r="AE131" s="55" t="n"/>
      <c r="AF131" s="55" t="n"/>
      <c r="AG131" s="59" t="n"/>
      <c r="AH131" s="57" t="n"/>
      <c r="AI131" s="55" t="n"/>
      <c r="AJ131" s="55" t="n"/>
      <c r="AK131" s="55" t="n"/>
      <c r="AL131" s="55" t="n"/>
      <c r="AM131" s="56" t="n"/>
      <c r="AN131" s="55" t="n"/>
      <c r="AO131" s="55" t="n"/>
      <c r="AP131" s="55" t="n"/>
      <c r="AQ131" s="55" t="n"/>
      <c r="AR131" s="60">
        <f>IF(AND(C131="",E131=""),"",IF(A131="","⚠ Date manquante",IF(AND(C131="",E131&lt;&gt;"Dépense"),"⚠ Prospect manquant",IF(E131="","⚠ Action manquante",IF(AND(AU131=1,D131=""),"⚠ Canal manquant",IF(AND(W131&lt;&gt;"",COUNTIFS('Saisie'!$W$5:$W$2004,W131,'Saisie'!$C$5:$C$2004,"&lt;&gt;"&amp;C131)&gt;0),"⚠ Numéro déjà utilisé par un autre prospect",IF(AND(J131&lt;&gt;"",J131&lt;A131),"⚠ Relance avant la date de l'action",IF(A131&gt;TODAY(),"⚠ Date dans le futur","✓"))))))))</f>
        <v/>
      </c>
      <c r="AS131" s="61">
        <f>IF(AND(A131="",C131="",E131=""),"",ROW())</f>
        <v/>
      </c>
      <c r="AT131" s="61">
        <f>IF(E131&amp;F131="","",MAX(IFERROR(INDEX('Paramètres'!$J$6:$J$33,MATCH(E131,'Paramètres'!$I$6:$I$33,0)),0),IFERROR(INDEX('Paramètres'!$N$6:$N$17,MATCH(F131,'Paramètres'!$M$6:$M$17,0)),0)))</f>
        <v/>
      </c>
      <c r="AU131" s="61">
        <f>IF(E131="","",IFERROR(IF(INDEX('Paramètres'!$K$6:$K$33,MATCH(E131,'Paramètres'!$I$6:$I$33,0))="Oui",1,0),0))</f>
        <v/>
      </c>
      <c r="AV131" s="61">
        <f>IF(F131="","",IFERROR(IF(INDEX('Paramètres'!$O$6:$O$17,MATCH(F131,'Paramètres'!$M$6:$M$17,0))="Oui",1,0),0))</f>
        <v/>
      </c>
      <c r="AW131" s="62">
        <f>IF(E131="","",IF(G131&lt;&gt;"",G131,IF(OR(E131="Proposition envoyée",E131="Signature"),MAX(0,N(IFERROR(INDEX('Paramètres'!$R$6:$R$15,MATCH(IF(AL131&lt;&gt;"",AL131,IFERROR(INDEX('Prospects'!$AN$5:$AN$504,MATCH(C131,'Prospects'!$C$5:$C$504,0)),"")),'Paramètres'!$Q$6:$Q$15,0)),0))-N(P131)),0)))</f>
        <v/>
      </c>
      <c r="AX131" s="61">
        <f>IF(C131="","",IF(COUNTIF($C$5:C131,C131)=1,MAX($AX$4:AX130)+1,""))</f>
        <v/>
      </c>
      <c r="AY131" s="61">
        <f>IF(B131="","",HOUR(B131))</f>
        <v/>
      </c>
      <c r="AZ131" s="61">
        <f>IF(A131="","",MOD(A131-2,7)+1)</f>
        <v/>
      </c>
      <c r="BA131" s="60">
        <f>IF(C131="","",IFERROR(INDEX('Prospects'!$N$5:$N$504,MATCH(C131,'Prospects'!$C$5:$C$504,0)),""))</f>
        <v/>
      </c>
      <c r="BB131" s="61">
        <f>IF(AND(C131&lt;&gt;"",C131='Fiche prospect'!$C$4),COUNTIF($C$5:C131,C131),"")</f>
        <v/>
      </c>
    </row>
    <row r="132">
      <c r="A132" s="53" t="n"/>
      <c r="B132" s="54" t="n"/>
      <c r="C132" s="55" t="n"/>
      <c r="D132" s="55" t="n"/>
      <c r="E132" s="55" t="n"/>
      <c r="F132" s="55" t="n"/>
      <c r="G132" s="56" t="n"/>
      <c r="H132" s="57" t="n"/>
      <c r="I132" s="55" t="n"/>
      <c r="J132" s="53" t="n"/>
      <c r="K132" s="54" t="n"/>
      <c r="L132" s="55" t="n"/>
      <c r="M132" s="55" t="n"/>
      <c r="N132" s="57" t="n"/>
      <c r="O132" s="55" t="n"/>
      <c r="P132" s="56" t="n"/>
      <c r="Q132" s="55" t="n"/>
      <c r="R132" s="55" t="n"/>
      <c r="S132" s="55" t="n"/>
      <c r="T132" s="55" t="n"/>
      <c r="U132" s="55" t="n"/>
      <c r="V132" s="55" t="n"/>
      <c r="W132" s="58" t="n"/>
      <c r="X132" s="58" t="n"/>
      <c r="Y132" s="55" t="n"/>
      <c r="Z132" s="55" t="n"/>
      <c r="AA132" s="55" t="n"/>
      <c r="AB132" s="55" t="n"/>
      <c r="AC132" s="55" t="n"/>
      <c r="AD132" s="53" t="n"/>
      <c r="AE132" s="55" t="n"/>
      <c r="AF132" s="55" t="n"/>
      <c r="AG132" s="59" t="n"/>
      <c r="AH132" s="57" t="n"/>
      <c r="AI132" s="55" t="n"/>
      <c r="AJ132" s="55" t="n"/>
      <c r="AK132" s="55" t="n"/>
      <c r="AL132" s="55" t="n"/>
      <c r="AM132" s="56" t="n"/>
      <c r="AN132" s="55" t="n"/>
      <c r="AO132" s="55" t="n"/>
      <c r="AP132" s="55" t="n"/>
      <c r="AQ132" s="55" t="n"/>
      <c r="AR132" s="60">
        <f>IF(AND(C132="",E132=""),"",IF(A132="","⚠ Date manquante",IF(AND(C132="",E132&lt;&gt;"Dépense"),"⚠ Prospect manquant",IF(E132="","⚠ Action manquante",IF(AND(AU132=1,D132=""),"⚠ Canal manquant",IF(AND(W132&lt;&gt;"",COUNTIFS('Saisie'!$W$5:$W$2004,W132,'Saisie'!$C$5:$C$2004,"&lt;&gt;"&amp;C132)&gt;0),"⚠ Numéro déjà utilisé par un autre prospect",IF(AND(J132&lt;&gt;"",J132&lt;A132),"⚠ Relance avant la date de l'action",IF(A132&gt;TODAY(),"⚠ Date dans le futur","✓"))))))))</f>
        <v/>
      </c>
      <c r="AS132" s="61">
        <f>IF(AND(A132="",C132="",E132=""),"",ROW())</f>
        <v/>
      </c>
      <c r="AT132" s="61">
        <f>IF(E132&amp;F132="","",MAX(IFERROR(INDEX('Paramètres'!$J$6:$J$33,MATCH(E132,'Paramètres'!$I$6:$I$33,0)),0),IFERROR(INDEX('Paramètres'!$N$6:$N$17,MATCH(F132,'Paramètres'!$M$6:$M$17,0)),0)))</f>
        <v/>
      </c>
      <c r="AU132" s="61">
        <f>IF(E132="","",IFERROR(IF(INDEX('Paramètres'!$K$6:$K$33,MATCH(E132,'Paramètres'!$I$6:$I$33,0))="Oui",1,0),0))</f>
        <v/>
      </c>
      <c r="AV132" s="61">
        <f>IF(F132="","",IFERROR(IF(INDEX('Paramètres'!$O$6:$O$17,MATCH(F132,'Paramètres'!$M$6:$M$17,0))="Oui",1,0),0))</f>
        <v/>
      </c>
      <c r="AW132" s="62">
        <f>IF(E132="","",IF(G132&lt;&gt;"",G132,IF(OR(E132="Proposition envoyée",E132="Signature"),MAX(0,N(IFERROR(INDEX('Paramètres'!$R$6:$R$15,MATCH(IF(AL132&lt;&gt;"",AL132,IFERROR(INDEX('Prospects'!$AN$5:$AN$504,MATCH(C132,'Prospects'!$C$5:$C$504,0)),"")),'Paramètres'!$Q$6:$Q$15,0)),0))-N(P132)),0)))</f>
        <v/>
      </c>
      <c r="AX132" s="61">
        <f>IF(C132="","",IF(COUNTIF($C$5:C132,C132)=1,MAX($AX$4:AX131)+1,""))</f>
        <v/>
      </c>
      <c r="AY132" s="61">
        <f>IF(B132="","",HOUR(B132))</f>
        <v/>
      </c>
      <c r="AZ132" s="61">
        <f>IF(A132="","",MOD(A132-2,7)+1)</f>
        <v/>
      </c>
      <c r="BA132" s="60">
        <f>IF(C132="","",IFERROR(INDEX('Prospects'!$N$5:$N$504,MATCH(C132,'Prospects'!$C$5:$C$504,0)),""))</f>
        <v/>
      </c>
      <c r="BB132" s="61">
        <f>IF(AND(C132&lt;&gt;"",C132='Fiche prospect'!$C$4),COUNTIF($C$5:C132,C132),"")</f>
        <v/>
      </c>
    </row>
    <row r="133">
      <c r="A133" s="53" t="n"/>
      <c r="B133" s="54" t="n"/>
      <c r="C133" s="55" t="n"/>
      <c r="D133" s="55" t="n"/>
      <c r="E133" s="55" t="n"/>
      <c r="F133" s="55" t="n"/>
      <c r="G133" s="56" t="n"/>
      <c r="H133" s="57" t="n"/>
      <c r="I133" s="55" t="n"/>
      <c r="J133" s="53" t="n"/>
      <c r="K133" s="54" t="n"/>
      <c r="L133" s="55" t="n"/>
      <c r="M133" s="55" t="n"/>
      <c r="N133" s="57" t="n"/>
      <c r="O133" s="55" t="n"/>
      <c r="P133" s="56" t="n"/>
      <c r="Q133" s="55" t="n"/>
      <c r="R133" s="55" t="n"/>
      <c r="S133" s="55" t="n"/>
      <c r="T133" s="55" t="n"/>
      <c r="U133" s="55" t="n"/>
      <c r="V133" s="55" t="n"/>
      <c r="W133" s="58" t="n"/>
      <c r="X133" s="58" t="n"/>
      <c r="Y133" s="55" t="n"/>
      <c r="Z133" s="55" t="n"/>
      <c r="AA133" s="55" t="n"/>
      <c r="AB133" s="55" t="n"/>
      <c r="AC133" s="55" t="n"/>
      <c r="AD133" s="53" t="n"/>
      <c r="AE133" s="55" t="n"/>
      <c r="AF133" s="55" t="n"/>
      <c r="AG133" s="59" t="n"/>
      <c r="AH133" s="57" t="n"/>
      <c r="AI133" s="55" t="n"/>
      <c r="AJ133" s="55" t="n"/>
      <c r="AK133" s="55" t="n"/>
      <c r="AL133" s="55" t="n"/>
      <c r="AM133" s="56" t="n"/>
      <c r="AN133" s="55" t="n"/>
      <c r="AO133" s="55" t="n"/>
      <c r="AP133" s="55" t="n"/>
      <c r="AQ133" s="55" t="n"/>
      <c r="AR133" s="60">
        <f>IF(AND(C133="",E133=""),"",IF(A133="","⚠ Date manquante",IF(AND(C133="",E133&lt;&gt;"Dépense"),"⚠ Prospect manquant",IF(E133="","⚠ Action manquante",IF(AND(AU133=1,D133=""),"⚠ Canal manquant",IF(AND(W133&lt;&gt;"",COUNTIFS('Saisie'!$W$5:$W$2004,W133,'Saisie'!$C$5:$C$2004,"&lt;&gt;"&amp;C133)&gt;0),"⚠ Numéro déjà utilisé par un autre prospect",IF(AND(J133&lt;&gt;"",J133&lt;A133),"⚠ Relance avant la date de l'action",IF(A133&gt;TODAY(),"⚠ Date dans le futur","✓"))))))))</f>
        <v/>
      </c>
      <c r="AS133" s="61">
        <f>IF(AND(A133="",C133="",E133=""),"",ROW())</f>
        <v/>
      </c>
      <c r="AT133" s="61">
        <f>IF(E133&amp;F133="","",MAX(IFERROR(INDEX('Paramètres'!$J$6:$J$33,MATCH(E133,'Paramètres'!$I$6:$I$33,0)),0),IFERROR(INDEX('Paramètres'!$N$6:$N$17,MATCH(F133,'Paramètres'!$M$6:$M$17,0)),0)))</f>
        <v/>
      </c>
      <c r="AU133" s="61">
        <f>IF(E133="","",IFERROR(IF(INDEX('Paramètres'!$K$6:$K$33,MATCH(E133,'Paramètres'!$I$6:$I$33,0))="Oui",1,0),0))</f>
        <v/>
      </c>
      <c r="AV133" s="61">
        <f>IF(F133="","",IFERROR(IF(INDEX('Paramètres'!$O$6:$O$17,MATCH(F133,'Paramètres'!$M$6:$M$17,0))="Oui",1,0),0))</f>
        <v/>
      </c>
      <c r="AW133" s="62">
        <f>IF(E133="","",IF(G133&lt;&gt;"",G133,IF(OR(E133="Proposition envoyée",E133="Signature"),MAX(0,N(IFERROR(INDEX('Paramètres'!$R$6:$R$15,MATCH(IF(AL133&lt;&gt;"",AL133,IFERROR(INDEX('Prospects'!$AN$5:$AN$504,MATCH(C133,'Prospects'!$C$5:$C$504,0)),"")),'Paramètres'!$Q$6:$Q$15,0)),0))-N(P133)),0)))</f>
        <v/>
      </c>
      <c r="AX133" s="61">
        <f>IF(C133="","",IF(COUNTIF($C$5:C133,C133)=1,MAX($AX$4:AX132)+1,""))</f>
        <v/>
      </c>
      <c r="AY133" s="61">
        <f>IF(B133="","",HOUR(B133))</f>
        <v/>
      </c>
      <c r="AZ133" s="61">
        <f>IF(A133="","",MOD(A133-2,7)+1)</f>
        <v/>
      </c>
      <c r="BA133" s="60">
        <f>IF(C133="","",IFERROR(INDEX('Prospects'!$N$5:$N$504,MATCH(C133,'Prospects'!$C$5:$C$504,0)),""))</f>
        <v/>
      </c>
      <c r="BB133" s="61">
        <f>IF(AND(C133&lt;&gt;"",C133='Fiche prospect'!$C$4),COUNTIF($C$5:C133,C133),"")</f>
        <v/>
      </c>
    </row>
    <row r="134">
      <c r="A134" s="53" t="n"/>
      <c r="B134" s="54" t="n"/>
      <c r="C134" s="55" t="n"/>
      <c r="D134" s="55" t="n"/>
      <c r="E134" s="55" t="n"/>
      <c r="F134" s="55" t="n"/>
      <c r="G134" s="56" t="n"/>
      <c r="H134" s="57" t="n"/>
      <c r="I134" s="55" t="n"/>
      <c r="J134" s="53" t="n"/>
      <c r="K134" s="54" t="n"/>
      <c r="L134" s="55" t="n"/>
      <c r="M134" s="55" t="n"/>
      <c r="N134" s="57" t="n"/>
      <c r="O134" s="55" t="n"/>
      <c r="P134" s="56" t="n"/>
      <c r="Q134" s="55" t="n"/>
      <c r="R134" s="55" t="n"/>
      <c r="S134" s="55" t="n"/>
      <c r="T134" s="55" t="n"/>
      <c r="U134" s="55" t="n"/>
      <c r="V134" s="55" t="n"/>
      <c r="W134" s="58" t="n"/>
      <c r="X134" s="58" t="n"/>
      <c r="Y134" s="55" t="n"/>
      <c r="Z134" s="55" t="n"/>
      <c r="AA134" s="55" t="n"/>
      <c r="AB134" s="55" t="n"/>
      <c r="AC134" s="55" t="n"/>
      <c r="AD134" s="53" t="n"/>
      <c r="AE134" s="55" t="n"/>
      <c r="AF134" s="55" t="n"/>
      <c r="AG134" s="59" t="n"/>
      <c r="AH134" s="57" t="n"/>
      <c r="AI134" s="55" t="n"/>
      <c r="AJ134" s="55" t="n"/>
      <c r="AK134" s="55" t="n"/>
      <c r="AL134" s="55" t="n"/>
      <c r="AM134" s="56" t="n"/>
      <c r="AN134" s="55" t="n"/>
      <c r="AO134" s="55" t="n"/>
      <c r="AP134" s="55" t="n"/>
      <c r="AQ134" s="55" t="n"/>
      <c r="AR134" s="60">
        <f>IF(AND(C134="",E134=""),"",IF(A134="","⚠ Date manquante",IF(AND(C134="",E134&lt;&gt;"Dépense"),"⚠ Prospect manquant",IF(E134="","⚠ Action manquante",IF(AND(AU134=1,D134=""),"⚠ Canal manquant",IF(AND(W134&lt;&gt;"",COUNTIFS('Saisie'!$W$5:$W$2004,W134,'Saisie'!$C$5:$C$2004,"&lt;&gt;"&amp;C134)&gt;0),"⚠ Numéro déjà utilisé par un autre prospect",IF(AND(J134&lt;&gt;"",J134&lt;A134),"⚠ Relance avant la date de l'action",IF(A134&gt;TODAY(),"⚠ Date dans le futur","✓"))))))))</f>
        <v/>
      </c>
      <c r="AS134" s="61">
        <f>IF(AND(A134="",C134="",E134=""),"",ROW())</f>
        <v/>
      </c>
      <c r="AT134" s="61">
        <f>IF(E134&amp;F134="","",MAX(IFERROR(INDEX('Paramètres'!$J$6:$J$33,MATCH(E134,'Paramètres'!$I$6:$I$33,0)),0),IFERROR(INDEX('Paramètres'!$N$6:$N$17,MATCH(F134,'Paramètres'!$M$6:$M$17,0)),0)))</f>
        <v/>
      </c>
      <c r="AU134" s="61">
        <f>IF(E134="","",IFERROR(IF(INDEX('Paramètres'!$K$6:$K$33,MATCH(E134,'Paramètres'!$I$6:$I$33,0))="Oui",1,0),0))</f>
        <v/>
      </c>
      <c r="AV134" s="61">
        <f>IF(F134="","",IFERROR(IF(INDEX('Paramètres'!$O$6:$O$17,MATCH(F134,'Paramètres'!$M$6:$M$17,0))="Oui",1,0),0))</f>
        <v/>
      </c>
      <c r="AW134" s="62">
        <f>IF(E134="","",IF(G134&lt;&gt;"",G134,IF(OR(E134="Proposition envoyée",E134="Signature"),MAX(0,N(IFERROR(INDEX('Paramètres'!$R$6:$R$15,MATCH(IF(AL134&lt;&gt;"",AL134,IFERROR(INDEX('Prospects'!$AN$5:$AN$504,MATCH(C134,'Prospects'!$C$5:$C$504,0)),"")),'Paramètres'!$Q$6:$Q$15,0)),0))-N(P134)),0)))</f>
        <v/>
      </c>
      <c r="AX134" s="61">
        <f>IF(C134="","",IF(COUNTIF($C$5:C134,C134)=1,MAX($AX$4:AX133)+1,""))</f>
        <v/>
      </c>
      <c r="AY134" s="61">
        <f>IF(B134="","",HOUR(B134))</f>
        <v/>
      </c>
      <c r="AZ134" s="61">
        <f>IF(A134="","",MOD(A134-2,7)+1)</f>
        <v/>
      </c>
      <c r="BA134" s="60">
        <f>IF(C134="","",IFERROR(INDEX('Prospects'!$N$5:$N$504,MATCH(C134,'Prospects'!$C$5:$C$504,0)),""))</f>
        <v/>
      </c>
      <c r="BB134" s="61">
        <f>IF(AND(C134&lt;&gt;"",C134='Fiche prospect'!$C$4),COUNTIF($C$5:C134,C134),"")</f>
        <v/>
      </c>
    </row>
    <row r="135">
      <c r="A135" s="53" t="n"/>
      <c r="B135" s="54" t="n"/>
      <c r="C135" s="55" t="n"/>
      <c r="D135" s="55" t="n"/>
      <c r="E135" s="55" t="n"/>
      <c r="F135" s="55" t="n"/>
      <c r="G135" s="56" t="n"/>
      <c r="H135" s="57" t="n"/>
      <c r="I135" s="55" t="n"/>
      <c r="J135" s="53" t="n"/>
      <c r="K135" s="54" t="n"/>
      <c r="L135" s="55" t="n"/>
      <c r="M135" s="55" t="n"/>
      <c r="N135" s="57" t="n"/>
      <c r="O135" s="55" t="n"/>
      <c r="P135" s="56" t="n"/>
      <c r="Q135" s="55" t="n"/>
      <c r="R135" s="55" t="n"/>
      <c r="S135" s="55" t="n"/>
      <c r="T135" s="55" t="n"/>
      <c r="U135" s="55" t="n"/>
      <c r="V135" s="55" t="n"/>
      <c r="W135" s="58" t="n"/>
      <c r="X135" s="58" t="n"/>
      <c r="Y135" s="55" t="n"/>
      <c r="Z135" s="55" t="n"/>
      <c r="AA135" s="55" t="n"/>
      <c r="AB135" s="55" t="n"/>
      <c r="AC135" s="55" t="n"/>
      <c r="AD135" s="53" t="n"/>
      <c r="AE135" s="55" t="n"/>
      <c r="AF135" s="55" t="n"/>
      <c r="AG135" s="59" t="n"/>
      <c r="AH135" s="57" t="n"/>
      <c r="AI135" s="55" t="n"/>
      <c r="AJ135" s="55" t="n"/>
      <c r="AK135" s="55" t="n"/>
      <c r="AL135" s="55" t="n"/>
      <c r="AM135" s="56" t="n"/>
      <c r="AN135" s="55" t="n"/>
      <c r="AO135" s="55" t="n"/>
      <c r="AP135" s="55" t="n"/>
      <c r="AQ135" s="55" t="n"/>
      <c r="AR135" s="60">
        <f>IF(AND(C135="",E135=""),"",IF(A135="","⚠ Date manquante",IF(AND(C135="",E135&lt;&gt;"Dépense"),"⚠ Prospect manquant",IF(E135="","⚠ Action manquante",IF(AND(AU135=1,D135=""),"⚠ Canal manquant",IF(AND(W135&lt;&gt;"",COUNTIFS('Saisie'!$W$5:$W$2004,W135,'Saisie'!$C$5:$C$2004,"&lt;&gt;"&amp;C135)&gt;0),"⚠ Numéro déjà utilisé par un autre prospect",IF(AND(J135&lt;&gt;"",J135&lt;A135),"⚠ Relance avant la date de l'action",IF(A135&gt;TODAY(),"⚠ Date dans le futur","✓"))))))))</f>
        <v/>
      </c>
      <c r="AS135" s="61">
        <f>IF(AND(A135="",C135="",E135=""),"",ROW())</f>
        <v/>
      </c>
      <c r="AT135" s="61">
        <f>IF(E135&amp;F135="","",MAX(IFERROR(INDEX('Paramètres'!$J$6:$J$33,MATCH(E135,'Paramètres'!$I$6:$I$33,0)),0),IFERROR(INDEX('Paramètres'!$N$6:$N$17,MATCH(F135,'Paramètres'!$M$6:$M$17,0)),0)))</f>
        <v/>
      </c>
      <c r="AU135" s="61">
        <f>IF(E135="","",IFERROR(IF(INDEX('Paramètres'!$K$6:$K$33,MATCH(E135,'Paramètres'!$I$6:$I$33,0))="Oui",1,0),0))</f>
        <v/>
      </c>
      <c r="AV135" s="61">
        <f>IF(F135="","",IFERROR(IF(INDEX('Paramètres'!$O$6:$O$17,MATCH(F135,'Paramètres'!$M$6:$M$17,0))="Oui",1,0),0))</f>
        <v/>
      </c>
      <c r="AW135" s="62">
        <f>IF(E135="","",IF(G135&lt;&gt;"",G135,IF(OR(E135="Proposition envoyée",E135="Signature"),MAX(0,N(IFERROR(INDEX('Paramètres'!$R$6:$R$15,MATCH(IF(AL135&lt;&gt;"",AL135,IFERROR(INDEX('Prospects'!$AN$5:$AN$504,MATCH(C135,'Prospects'!$C$5:$C$504,0)),"")),'Paramètres'!$Q$6:$Q$15,0)),0))-N(P135)),0)))</f>
        <v/>
      </c>
      <c r="AX135" s="61">
        <f>IF(C135="","",IF(COUNTIF($C$5:C135,C135)=1,MAX($AX$4:AX134)+1,""))</f>
        <v/>
      </c>
      <c r="AY135" s="61">
        <f>IF(B135="","",HOUR(B135))</f>
        <v/>
      </c>
      <c r="AZ135" s="61">
        <f>IF(A135="","",MOD(A135-2,7)+1)</f>
        <v/>
      </c>
      <c r="BA135" s="60">
        <f>IF(C135="","",IFERROR(INDEX('Prospects'!$N$5:$N$504,MATCH(C135,'Prospects'!$C$5:$C$504,0)),""))</f>
        <v/>
      </c>
      <c r="BB135" s="61">
        <f>IF(AND(C135&lt;&gt;"",C135='Fiche prospect'!$C$4),COUNTIF($C$5:C135,C135),"")</f>
        <v/>
      </c>
    </row>
    <row r="136">
      <c r="A136" s="53" t="n"/>
      <c r="B136" s="54" t="n"/>
      <c r="C136" s="55" t="n"/>
      <c r="D136" s="55" t="n"/>
      <c r="E136" s="55" t="n"/>
      <c r="F136" s="55" t="n"/>
      <c r="G136" s="56" t="n"/>
      <c r="H136" s="57" t="n"/>
      <c r="I136" s="55" t="n"/>
      <c r="J136" s="53" t="n"/>
      <c r="K136" s="54" t="n"/>
      <c r="L136" s="55" t="n"/>
      <c r="M136" s="55" t="n"/>
      <c r="N136" s="57" t="n"/>
      <c r="O136" s="55" t="n"/>
      <c r="P136" s="56" t="n"/>
      <c r="Q136" s="55" t="n"/>
      <c r="R136" s="55" t="n"/>
      <c r="S136" s="55" t="n"/>
      <c r="T136" s="55" t="n"/>
      <c r="U136" s="55" t="n"/>
      <c r="V136" s="55" t="n"/>
      <c r="W136" s="58" t="n"/>
      <c r="X136" s="58" t="n"/>
      <c r="Y136" s="55" t="n"/>
      <c r="Z136" s="55" t="n"/>
      <c r="AA136" s="55" t="n"/>
      <c r="AB136" s="55" t="n"/>
      <c r="AC136" s="55" t="n"/>
      <c r="AD136" s="53" t="n"/>
      <c r="AE136" s="55" t="n"/>
      <c r="AF136" s="55" t="n"/>
      <c r="AG136" s="59" t="n"/>
      <c r="AH136" s="57" t="n"/>
      <c r="AI136" s="55" t="n"/>
      <c r="AJ136" s="55" t="n"/>
      <c r="AK136" s="55" t="n"/>
      <c r="AL136" s="55" t="n"/>
      <c r="AM136" s="56" t="n"/>
      <c r="AN136" s="55" t="n"/>
      <c r="AO136" s="55" t="n"/>
      <c r="AP136" s="55" t="n"/>
      <c r="AQ136" s="55" t="n"/>
      <c r="AR136" s="60">
        <f>IF(AND(C136="",E136=""),"",IF(A136="","⚠ Date manquante",IF(AND(C136="",E136&lt;&gt;"Dépense"),"⚠ Prospect manquant",IF(E136="","⚠ Action manquante",IF(AND(AU136=1,D136=""),"⚠ Canal manquant",IF(AND(W136&lt;&gt;"",COUNTIFS('Saisie'!$W$5:$W$2004,W136,'Saisie'!$C$5:$C$2004,"&lt;&gt;"&amp;C136)&gt;0),"⚠ Numéro déjà utilisé par un autre prospect",IF(AND(J136&lt;&gt;"",J136&lt;A136),"⚠ Relance avant la date de l'action",IF(A136&gt;TODAY(),"⚠ Date dans le futur","✓"))))))))</f>
        <v/>
      </c>
      <c r="AS136" s="61">
        <f>IF(AND(A136="",C136="",E136=""),"",ROW())</f>
        <v/>
      </c>
      <c r="AT136" s="61">
        <f>IF(E136&amp;F136="","",MAX(IFERROR(INDEX('Paramètres'!$J$6:$J$33,MATCH(E136,'Paramètres'!$I$6:$I$33,0)),0),IFERROR(INDEX('Paramètres'!$N$6:$N$17,MATCH(F136,'Paramètres'!$M$6:$M$17,0)),0)))</f>
        <v/>
      </c>
      <c r="AU136" s="61">
        <f>IF(E136="","",IFERROR(IF(INDEX('Paramètres'!$K$6:$K$33,MATCH(E136,'Paramètres'!$I$6:$I$33,0))="Oui",1,0),0))</f>
        <v/>
      </c>
      <c r="AV136" s="61">
        <f>IF(F136="","",IFERROR(IF(INDEX('Paramètres'!$O$6:$O$17,MATCH(F136,'Paramètres'!$M$6:$M$17,0))="Oui",1,0),0))</f>
        <v/>
      </c>
      <c r="AW136" s="62">
        <f>IF(E136="","",IF(G136&lt;&gt;"",G136,IF(OR(E136="Proposition envoyée",E136="Signature"),MAX(0,N(IFERROR(INDEX('Paramètres'!$R$6:$R$15,MATCH(IF(AL136&lt;&gt;"",AL136,IFERROR(INDEX('Prospects'!$AN$5:$AN$504,MATCH(C136,'Prospects'!$C$5:$C$504,0)),"")),'Paramètres'!$Q$6:$Q$15,0)),0))-N(P136)),0)))</f>
        <v/>
      </c>
      <c r="AX136" s="61">
        <f>IF(C136="","",IF(COUNTIF($C$5:C136,C136)=1,MAX($AX$4:AX135)+1,""))</f>
        <v/>
      </c>
      <c r="AY136" s="61">
        <f>IF(B136="","",HOUR(B136))</f>
        <v/>
      </c>
      <c r="AZ136" s="61">
        <f>IF(A136="","",MOD(A136-2,7)+1)</f>
        <v/>
      </c>
      <c r="BA136" s="60">
        <f>IF(C136="","",IFERROR(INDEX('Prospects'!$N$5:$N$504,MATCH(C136,'Prospects'!$C$5:$C$504,0)),""))</f>
        <v/>
      </c>
      <c r="BB136" s="61">
        <f>IF(AND(C136&lt;&gt;"",C136='Fiche prospect'!$C$4),COUNTIF($C$5:C136,C136),"")</f>
        <v/>
      </c>
    </row>
    <row r="137">
      <c r="A137" s="53" t="n"/>
      <c r="B137" s="54" t="n"/>
      <c r="C137" s="55" t="n"/>
      <c r="D137" s="55" t="n"/>
      <c r="E137" s="55" t="n"/>
      <c r="F137" s="55" t="n"/>
      <c r="G137" s="56" t="n"/>
      <c r="H137" s="57" t="n"/>
      <c r="I137" s="55" t="n"/>
      <c r="J137" s="53" t="n"/>
      <c r="K137" s="54" t="n"/>
      <c r="L137" s="55" t="n"/>
      <c r="M137" s="55" t="n"/>
      <c r="N137" s="57" t="n"/>
      <c r="O137" s="55" t="n"/>
      <c r="P137" s="56" t="n"/>
      <c r="Q137" s="55" t="n"/>
      <c r="R137" s="55" t="n"/>
      <c r="S137" s="55" t="n"/>
      <c r="T137" s="55" t="n"/>
      <c r="U137" s="55" t="n"/>
      <c r="V137" s="55" t="n"/>
      <c r="W137" s="58" t="n"/>
      <c r="X137" s="58" t="n"/>
      <c r="Y137" s="55" t="n"/>
      <c r="Z137" s="55" t="n"/>
      <c r="AA137" s="55" t="n"/>
      <c r="AB137" s="55" t="n"/>
      <c r="AC137" s="55" t="n"/>
      <c r="AD137" s="53" t="n"/>
      <c r="AE137" s="55" t="n"/>
      <c r="AF137" s="55" t="n"/>
      <c r="AG137" s="59" t="n"/>
      <c r="AH137" s="57" t="n"/>
      <c r="AI137" s="55" t="n"/>
      <c r="AJ137" s="55" t="n"/>
      <c r="AK137" s="55" t="n"/>
      <c r="AL137" s="55" t="n"/>
      <c r="AM137" s="56" t="n"/>
      <c r="AN137" s="55" t="n"/>
      <c r="AO137" s="55" t="n"/>
      <c r="AP137" s="55" t="n"/>
      <c r="AQ137" s="55" t="n"/>
      <c r="AR137" s="60">
        <f>IF(AND(C137="",E137=""),"",IF(A137="","⚠ Date manquante",IF(AND(C137="",E137&lt;&gt;"Dépense"),"⚠ Prospect manquant",IF(E137="","⚠ Action manquante",IF(AND(AU137=1,D137=""),"⚠ Canal manquant",IF(AND(W137&lt;&gt;"",COUNTIFS('Saisie'!$W$5:$W$2004,W137,'Saisie'!$C$5:$C$2004,"&lt;&gt;"&amp;C137)&gt;0),"⚠ Numéro déjà utilisé par un autre prospect",IF(AND(J137&lt;&gt;"",J137&lt;A137),"⚠ Relance avant la date de l'action",IF(A137&gt;TODAY(),"⚠ Date dans le futur","✓"))))))))</f>
        <v/>
      </c>
      <c r="AS137" s="61">
        <f>IF(AND(A137="",C137="",E137=""),"",ROW())</f>
        <v/>
      </c>
      <c r="AT137" s="61">
        <f>IF(E137&amp;F137="","",MAX(IFERROR(INDEX('Paramètres'!$J$6:$J$33,MATCH(E137,'Paramètres'!$I$6:$I$33,0)),0),IFERROR(INDEX('Paramètres'!$N$6:$N$17,MATCH(F137,'Paramètres'!$M$6:$M$17,0)),0)))</f>
        <v/>
      </c>
      <c r="AU137" s="61">
        <f>IF(E137="","",IFERROR(IF(INDEX('Paramètres'!$K$6:$K$33,MATCH(E137,'Paramètres'!$I$6:$I$33,0))="Oui",1,0),0))</f>
        <v/>
      </c>
      <c r="AV137" s="61">
        <f>IF(F137="","",IFERROR(IF(INDEX('Paramètres'!$O$6:$O$17,MATCH(F137,'Paramètres'!$M$6:$M$17,0))="Oui",1,0),0))</f>
        <v/>
      </c>
      <c r="AW137" s="62">
        <f>IF(E137="","",IF(G137&lt;&gt;"",G137,IF(OR(E137="Proposition envoyée",E137="Signature"),MAX(0,N(IFERROR(INDEX('Paramètres'!$R$6:$R$15,MATCH(IF(AL137&lt;&gt;"",AL137,IFERROR(INDEX('Prospects'!$AN$5:$AN$504,MATCH(C137,'Prospects'!$C$5:$C$504,0)),"")),'Paramètres'!$Q$6:$Q$15,0)),0))-N(P137)),0)))</f>
        <v/>
      </c>
      <c r="AX137" s="61">
        <f>IF(C137="","",IF(COUNTIF($C$5:C137,C137)=1,MAX($AX$4:AX136)+1,""))</f>
        <v/>
      </c>
      <c r="AY137" s="61">
        <f>IF(B137="","",HOUR(B137))</f>
        <v/>
      </c>
      <c r="AZ137" s="61">
        <f>IF(A137="","",MOD(A137-2,7)+1)</f>
        <v/>
      </c>
      <c r="BA137" s="60">
        <f>IF(C137="","",IFERROR(INDEX('Prospects'!$N$5:$N$504,MATCH(C137,'Prospects'!$C$5:$C$504,0)),""))</f>
        <v/>
      </c>
      <c r="BB137" s="61">
        <f>IF(AND(C137&lt;&gt;"",C137='Fiche prospect'!$C$4),COUNTIF($C$5:C137,C137),"")</f>
        <v/>
      </c>
    </row>
    <row r="138">
      <c r="A138" s="53" t="n"/>
      <c r="B138" s="54" t="n"/>
      <c r="C138" s="55" t="n"/>
      <c r="D138" s="55" t="n"/>
      <c r="E138" s="55" t="n"/>
      <c r="F138" s="55" t="n"/>
      <c r="G138" s="56" t="n"/>
      <c r="H138" s="57" t="n"/>
      <c r="I138" s="55" t="n"/>
      <c r="J138" s="53" t="n"/>
      <c r="K138" s="54" t="n"/>
      <c r="L138" s="55" t="n"/>
      <c r="M138" s="55" t="n"/>
      <c r="N138" s="57" t="n"/>
      <c r="O138" s="55" t="n"/>
      <c r="P138" s="56" t="n"/>
      <c r="Q138" s="55" t="n"/>
      <c r="R138" s="55" t="n"/>
      <c r="S138" s="55" t="n"/>
      <c r="T138" s="55" t="n"/>
      <c r="U138" s="55" t="n"/>
      <c r="V138" s="55" t="n"/>
      <c r="W138" s="58" t="n"/>
      <c r="X138" s="58" t="n"/>
      <c r="Y138" s="55" t="n"/>
      <c r="Z138" s="55" t="n"/>
      <c r="AA138" s="55" t="n"/>
      <c r="AB138" s="55" t="n"/>
      <c r="AC138" s="55" t="n"/>
      <c r="AD138" s="53" t="n"/>
      <c r="AE138" s="55" t="n"/>
      <c r="AF138" s="55" t="n"/>
      <c r="AG138" s="59" t="n"/>
      <c r="AH138" s="57" t="n"/>
      <c r="AI138" s="55" t="n"/>
      <c r="AJ138" s="55" t="n"/>
      <c r="AK138" s="55" t="n"/>
      <c r="AL138" s="55" t="n"/>
      <c r="AM138" s="56" t="n"/>
      <c r="AN138" s="55" t="n"/>
      <c r="AO138" s="55" t="n"/>
      <c r="AP138" s="55" t="n"/>
      <c r="AQ138" s="55" t="n"/>
      <c r="AR138" s="60">
        <f>IF(AND(C138="",E138=""),"",IF(A138="","⚠ Date manquante",IF(AND(C138="",E138&lt;&gt;"Dépense"),"⚠ Prospect manquant",IF(E138="","⚠ Action manquante",IF(AND(AU138=1,D138=""),"⚠ Canal manquant",IF(AND(W138&lt;&gt;"",COUNTIFS('Saisie'!$W$5:$W$2004,W138,'Saisie'!$C$5:$C$2004,"&lt;&gt;"&amp;C138)&gt;0),"⚠ Numéro déjà utilisé par un autre prospect",IF(AND(J138&lt;&gt;"",J138&lt;A138),"⚠ Relance avant la date de l'action",IF(A138&gt;TODAY(),"⚠ Date dans le futur","✓"))))))))</f>
        <v/>
      </c>
      <c r="AS138" s="61">
        <f>IF(AND(A138="",C138="",E138=""),"",ROW())</f>
        <v/>
      </c>
      <c r="AT138" s="61">
        <f>IF(E138&amp;F138="","",MAX(IFERROR(INDEX('Paramètres'!$J$6:$J$33,MATCH(E138,'Paramètres'!$I$6:$I$33,0)),0),IFERROR(INDEX('Paramètres'!$N$6:$N$17,MATCH(F138,'Paramètres'!$M$6:$M$17,0)),0)))</f>
        <v/>
      </c>
      <c r="AU138" s="61">
        <f>IF(E138="","",IFERROR(IF(INDEX('Paramètres'!$K$6:$K$33,MATCH(E138,'Paramètres'!$I$6:$I$33,0))="Oui",1,0),0))</f>
        <v/>
      </c>
      <c r="AV138" s="61">
        <f>IF(F138="","",IFERROR(IF(INDEX('Paramètres'!$O$6:$O$17,MATCH(F138,'Paramètres'!$M$6:$M$17,0))="Oui",1,0),0))</f>
        <v/>
      </c>
      <c r="AW138" s="62">
        <f>IF(E138="","",IF(G138&lt;&gt;"",G138,IF(OR(E138="Proposition envoyée",E138="Signature"),MAX(0,N(IFERROR(INDEX('Paramètres'!$R$6:$R$15,MATCH(IF(AL138&lt;&gt;"",AL138,IFERROR(INDEX('Prospects'!$AN$5:$AN$504,MATCH(C138,'Prospects'!$C$5:$C$504,0)),"")),'Paramètres'!$Q$6:$Q$15,0)),0))-N(P138)),0)))</f>
        <v/>
      </c>
      <c r="AX138" s="61">
        <f>IF(C138="","",IF(COUNTIF($C$5:C138,C138)=1,MAX($AX$4:AX137)+1,""))</f>
        <v/>
      </c>
      <c r="AY138" s="61">
        <f>IF(B138="","",HOUR(B138))</f>
        <v/>
      </c>
      <c r="AZ138" s="61">
        <f>IF(A138="","",MOD(A138-2,7)+1)</f>
        <v/>
      </c>
      <c r="BA138" s="60">
        <f>IF(C138="","",IFERROR(INDEX('Prospects'!$N$5:$N$504,MATCH(C138,'Prospects'!$C$5:$C$504,0)),""))</f>
        <v/>
      </c>
      <c r="BB138" s="61">
        <f>IF(AND(C138&lt;&gt;"",C138='Fiche prospect'!$C$4),COUNTIF($C$5:C138,C138),"")</f>
        <v/>
      </c>
    </row>
    <row r="139">
      <c r="A139" s="53" t="n"/>
      <c r="B139" s="54" t="n"/>
      <c r="C139" s="55" t="n"/>
      <c r="D139" s="55" t="n"/>
      <c r="E139" s="55" t="n"/>
      <c r="F139" s="55" t="n"/>
      <c r="G139" s="56" t="n"/>
      <c r="H139" s="57" t="n"/>
      <c r="I139" s="55" t="n"/>
      <c r="J139" s="53" t="n"/>
      <c r="K139" s="54" t="n"/>
      <c r="L139" s="55" t="n"/>
      <c r="M139" s="55" t="n"/>
      <c r="N139" s="57" t="n"/>
      <c r="O139" s="55" t="n"/>
      <c r="P139" s="56" t="n"/>
      <c r="Q139" s="55" t="n"/>
      <c r="R139" s="55" t="n"/>
      <c r="S139" s="55" t="n"/>
      <c r="T139" s="55" t="n"/>
      <c r="U139" s="55" t="n"/>
      <c r="V139" s="55" t="n"/>
      <c r="W139" s="58" t="n"/>
      <c r="X139" s="58" t="n"/>
      <c r="Y139" s="55" t="n"/>
      <c r="Z139" s="55" t="n"/>
      <c r="AA139" s="55" t="n"/>
      <c r="AB139" s="55" t="n"/>
      <c r="AC139" s="55" t="n"/>
      <c r="AD139" s="53" t="n"/>
      <c r="AE139" s="55" t="n"/>
      <c r="AF139" s="55" t="n"/>
      <c r="AG139" s="59" t="n"/>
      <c r="AH139" s="57" t="n"/>
      <c r="AI139" s="55" t="n"/>
      <c r="AJ139" s="55" t="n"/>
      <c r="AK139" s="55" t="n"/>
      <c r="AL139" s="55" t="n"/>
      <c r="AM139" s="56" t="n"/>
      <c r="AN139" s="55" t="n"/>
      <c r="AO139" s="55" t="n"/>
      <c r="AP139" s="55" t="n"/>
      <c r="AQ139" s="55" t="n"/>
      <c r="AR139" s="60">
        <f>IF(AND(C139="",E139=""),"",IF(A139="","⚠ Date manquante",IF(AND(C139="",E139&lt;&gt;"Dépense"),"⚠ Prospect manquant",IF(E139="","⚠ Action manquante",IF(AND(AU139=1,D139=""),"⚠ Canal manquant",IF(AND(W139&lt;&gt;"",COUNTIFS('Saisie'!$W$5:$W$2004,W139,'Saisie'!$C$5:$C$2004,"&lt;&gt;"&amp;C139)&gt;0),"⚠ Numéro déjà utilisé par un autre prospect",IF(AND(J139&lt;&gt;"",J139&lt;A139),"⚠ Relance avant la date de l'action",IF(A139&gt;TODAY(),"⚠ Date dans le futur","✓"))))))))</f>
        <v/>
      </c>
      <c r="AS139" s="61">
        <f>IF(AND(A139="",C139="",E139=""),"",ROW())</f>
        <v/>
      </c>
      <c r="AT139" s="61">
        <f>IF(E139&amp;F139="","",MAX(IFERROR(INDEX('Paramètres'!$J$6:$J$33,MATCH(E139,'Paramètres'!$I$6:$I$33,0)),0),IFERROR(INDEX('Paramètres'!$N$6:$N$17,MATCH(F139,'Paramètres'!$M$6:$M$17,0)),0)))</f>
        <v/>
      </c>
      <c r="AU139" s="61">
        <f>IF(E139="","",IFERROR(IF(INDEX('Paramètres'!$K$6:$K$33,MATCH(E139,'Paramètres'!$I$6:$I$33,0))="Oui",1,0),0))</f>
        <v/>
      </c>
      <c r="AV139" s="61">
        <f>IF(F139="","",IFERROR(IF(INDEX('Paramètres'!$O$6:$O$17,MATCH(F139,'Paramètres'!$M$6:$M$17,0))="Oui",1,0),0))</f>
        <v/>
      </c>
      <c r="AW139" s="62">
        <f>IF(E139="","",IF(G139&lt;&gt;"",G139,IF(OR(E139="Proposition envoyée",E139="Signature"),MAX(0,N(IFERROR(INDEX('Paramètres'!$R$6:$R$15,MATCH(IF(AL139&lt;&gt;"",AL139,IFERROR(INDEX('Prospects'!$AN$5:$AN$504,MATCH(C139,'Prospects'!$C$5:$C$504,0)),"")),'Paramètres'!$Q$6:$Q$15,0)),0))-N(P139)),0)))</f>
        <v/>
      </c>
      <c r="AX139" s="61">
        <f>IF(C139="","",IF(COUNTIF($C$5:C139,C139)=1,MAX($AX$4:AX138)+1,""))</f>
        <v/>
      </c>
      <c r="AY139" s="61">
        <f>IF(B139="","",HOUR(B139))</f>
        <v/>
      </c>
      <c r="AZ139" s="61">
        <f>IF(A139="","",MOD(A139-2,7)+1)</f>
        <v/>
      </c>
      <c r="BA139" s="60">
        <f>IF(C139="","",IFERROR(INDEX('Prospects'!$N$5:$N$504,MATCH(C139,'Prospects'!$C$5:$C$504,0)),""))</f>
        <v/>
      </c>
      <c r="BB139" s="61">
        <f>IF(AND(C139&lt;&gt;"",C139='Fiche prospect'!$C$4),COUNTIF($C$5:C139,C139),"")</f>
        <v/>
      </c>
    </row>
    <row r="140">
      <c r="A140" s="53" t="n"/>
      <c r="B140" s="54" t="n"/>
      <c r="C140" s="55" t="n"/>
      <c r="D140" s="55" t="n"/>
      <c r="E140" s="55" t="n"/>
      <c r="F140" s="55" t="n"/>
      <c r="G140" s="56" t="n"/>
      <c r="H140" s="57" t="n"/>
      <c r="I140" s="55" t="n"/>
      <c r="J140" s="53" t="n"/>
      <c r="K140" s="54" t="n"/>
      <c r="L140" s="55" t="n"/>
      <c r="M140" s="55" t="n"/>
      <c r="N140" s="57" t="n"/>
      <c r="O140" s="55" t="n"/>
      <c r="P140" s="56" t="n"/>
      <c r="Q140" s="55" t="n"/>
      <c r="R140" s="55" t="n"/>
      <c r="S140" s="55" t="n"/>
      <c r="T140" s="55" t="n"/>
      <c r="U140" s="55" t="n"/>
      <c r="V140" s="55" t="n"/>
      <c r="W140" s="58" t="n"/>
      <c r="X140" s="58" t="n"/>
      <c r="Y140" s="55" t="n"/>
      <c r="Z140" s="55" t="n"/>
      <c r="AA140" s="55" t="n"/>
      <c r="AB140" s="55" t="n"/>
      <c r="AC140" s="55" t="n"/>
      <c r="AD140" s="53" t="n"/>
      <c r="AE140" s="55" t="n"/>
      <c r="AF140" s="55" t="n"/>
      <c r="AG140" s="59" t="n"/>
      <c r="AH140" s="57" t="n"/>
      <c r="AI140" s="55" t="n"/>
      <c r="AJ140" s="55" t="n"/>
      <c r="AK140" s="55" t="n"/>
      <c r="AL140" s="55" t="n"/>
      <c r="AM140" s="56" t="n"/>
      <c r="AN140" s="55" t="n"/>
      <c r="AO140" s="55" t="n"/>
      <c r="AP140" s="55" t="n"/>
      <c r="AQ140" s="55" t="n"/>
      <c r="AR140" s="60">
        <f>IF(AND(C140="",E140=""),"",IF(A140="","⚠ Date manquante",IF(AND(C140="",E140&lt;&gt;"Dépense"),"⚠ Prospect manquant",IF(E140="","⚠ Action manquante",IF(AND(AU140=1,D140=""),"⚠ Canal manquant",IF(AND(W140&lt;&gt;"",COUNTIFS('Saisie'!$W$5:$W$2004,W140,'Saisie'!$C$5:$C$2004,"&lt;&gt;"&amp;C140)&gt;0),"⚠ Numéro déjà utilisé par un autre prospect",IF(AND(J140&lt;&gt;"",J140&lt;A140),"⚠ Relance avant la date de l'action",IF(A140&gt;TODAY(),"⚠ Date dans le futur","✓"))))))))</f>
        <v/>
      </c>
      <c r="AS140" s="61">
        <f>IF(AND(A140="",C140="",E140=""),"",ROW())</f>
        <v/>
      </c>
      <c r="AT140" s="61">
        <f>IF(E140&amp;F140="","",MAX(IFERROR(INDEX('Paramètres'!$J$6:$J$33,MATCH(E140,'Paramètres'!$I$6:$I$33,0)),0),IFERROR(INDEX('Paramètres'!$N$6:$N$17,MATCH(F140,'Paramètres'!$M$6:$M$17,0)),0)))</f>
        <v/>
      </c>
      <c r="AU140" s="61">
        <f>IF(E140="","",IFERROR(IF(INDEX('Paramètres'!$K$6:$K$33,MATCH(E140,'Paramètres'!$I$6:$I$33,0))="Oui",1,0),0))</f>
        <v/>
      </c>
      <c r="AV140" s="61">
        <f>IF(F140="","",IFERROR(IF(INDEX('Paramètres'!$O$6:$O$17,MATCH(F140,'Paramètres'!$M$6:$M$17,0))="Oui",1,0),0))</f>
        <v/>
      </c>
      <c r="AW140" s="62">
        <f>IF(E140="","",IF(G140&lt;&gt;"",G140,IF(OR(E140="Proposition envoyée",E140="Signature"),MAX(0,N(IFERROR(INDEX('Paramètres'!$R$6:$R$15,MATCH(IF(AL140&lt;&gt;"",AL140,IFERROR(INDEX('Prospects'!$AN$5:$AN$504,MATCH(C140,'Prospects'!$C$5:$C$504,0)),"")),'Paramètres'!$Q$6:$Q$15,0)),0))-N(P140)),0)))</f>
        <v/>
      </c>
      <c r="AX140" s="61">
        <f>IF(C140="","",IF(COUNTIF($C$5:C140,C140)=1,MAX($AX$4:AX139)+1,""))</f>
        <v/>
      </c>
      <c r="AY140" s="61">
        <f>IF(B140="","",HOUR(B140))</f>
        <v/>
      </c>
      <c r="AZ140" s="61">
        <f>IF(A140="","",MOD(A140-2,7)+1)</f>
        <v/>
      </c>
      <c r="BA140" s="60">
        <f>IF(C140="","",IFERROR(INDEX('Prospects'!$N$5:$N$504,MATCH(C140,'Prospects'!$C$5:$C$504,0)),""))</f>
        <v/>
      </c>
      <c r="BB140" s="61">
        <f>IF(AND(C140&lt;&gt;"",C140='Fiche prospect'!$C$4),COUNTIF($C$5:C140,C140),"")</f>
        <v/>
      </c>
    </row>
    <row r="141">
      <c r="A141" s="53" t="n"/>
      <c r="B141" s="54" t="n"/>
      <c r="C141" s="55" t="n"/>
      <c r="D141" s="55" t="n"/>
      <c r="E141" s="55" t="n"/>
      <c r="F141" s="55" t="n"/>
      <c r="G141" s="56" t="n"/>
      <c r="H141" s="57" t="n"/>
      <c r="I141" s="55" t="n"/>
      <c r="J141" s="53" t="n"/>
      <c r="K141" s="54" t="n"/>
      <c r="L141" s="55" t="n"/>
      <c r="M141" s="55" t="n"/>
      <c r="N141" s="57" t="n"/>
      <c r="O141" s="55" t="n"/>
      <c r="P141" s="56" t="n"/>
      <c r="Q141" s="55" t="n"/>
      <c r="R141" s="55" t="n"/>
      <c r="S141" s="55" t="n"/>
      <c r="T141" s="55" t="n"/>
      <c r="U141" s="55" t="n"/>
      <c r="V141" s="55" t="n"/>
      <c r="W141" s="58" t="n"/>
      <c r="X141" s="58" t="n"/>
      <c r="Y141" s="55" t="n"/>
      <c r="Z141" s="55" t="n"/>
      <c r="AA141" s="55" t="n"/>
      <c r="AB141" s="55" t="n"/>
      <c r="AC141" s="55" t="n"/>
      <c r="AD141" s="53" t="n"/>
      <c r="AE141" s="55" t="n"/>
      <c r="AF141" s="55" t="n"/>
      <c r="AG141" s="59" t="n"/>
      <c r="AH141" s="57" t="n"/>
      <c r="AI141" s="55" t="n"/>
      <c r="AJ141" s="55" t="n"/>
      <c r="AK141" s="55" t="n"/>
      <c r="AL141" s="55" t="n"/>
      <c r="AM141" s="56" t="n"/>
      <c r="AN141" s="55" t="n"/>
      <c r="AO141" s="55" t="n"/>
      <c r="AP141" s="55" t="n"/>
      <c r="AQ141" s="55" t="n"/>
      <c r="AR141" s="60">
        <f>IF(AND(C141="",E141=""),"",IF(A141="","⚠ Date manquante",IF(AND(C141="",E141&lt;&gt;"Dépense"),"⚠ Prospect manquant",IF(E141="","⚠ Action manquante",IF(AND(AU141=1,D141=""),"⚠ Canal manquant",IF(AND(W141&lt;&gt;"",COUNTIFS('Saisie'!$W$5:$W$2004,W141,'Saisie'!$C$5:$C$2004,"&lt;&gt;"&amp;C141)&gt;0),"⚠ Numéro déjà utilisé par un autre prospect",IF(AND(J141&lt;&gt;"",J141&lt;A141),"⚠ Relance avant la date de l'action",IF(A141&gt;TODAY(),"⚠ Date dans le futur","✓"))))))))</f>
        <v/>
      </c>
      <c r="AS141" s="61">
        <f>IF(AND(A141="",C141="",E141=""),"",ROW())</f>
        <v/>
      </c>
      <c r="AT141" s="61">
        <f>IF(E141&amp;F141="","",MAX(IFERROR(INDEX('Paramètres'!$J$6:$J$33,MATCH(E141,'Paramètres'!$I$6:$I$33,0)),0),IFERROR(INDEX('Paramètres'!$N$6:$N$17,MATCH(F141,'Paramètres'!$M$6:$M$17,0)),0)))</f>
        <v/>
      </c>
      <c r="AU141" s="61">
        <f>IF(E141="","",IFERROR(IF(INDEX('Paramètres'!$K$6:$K$33,MATCH(E141,'Paramètres'!$I$6:$I$33,0))="Oui",1,0),0))</f>
        <v/>
      </c>
      <c r="AV141" s="61">
        <f>IF(F141="","",IFERROR(IF(INDEX('Paramètres'!$O$6:$O$17,MATCH(F141,'Paramètres'!$M$6:$M$17,0))="Oui",1,0),0))</f>
        <v/>
      </c>
      <c r="AW141" s="62">
        <f>IF(E141="","",IF(G141&lt;&gt;"",G141,IF(OR(E141="Proposition envoyée",E141="Signature"),MAX(0,N(IFERROR(INDEX('Paramètres'!$R$6:$R$15,MATCH(IF(AL141&lt;&gt;"",AL141,IFERROR(INDEX('Prospects'!$AN$5:$AN$504,MATCH(C141,'Prospects'!$C$5:$C$504,0)),"")),'Paramètres'!$Q$6:$Q$15,0)),0))-N(P141)),0)))</f>
        <v/>
      </c>
      <c r="AX141" s="61">
        <f>IF(C141="","",IF(COUNTIF($C$5:C141,C141)=1,MAX($AX$4:AX140)+1,""))</f>
        <v/>
      </c>
      <c r="AY141" s="61">
        <f>IF(B141="","",HOUR(B141))</f>
        <v/>
      </c>
      <c r="AZ141" s="61">
        <f>IF(A141="","",MOD(A141-2,7)+1)</f>
        <v/>
      </c>
      <c r="BA141" s="60">
        <f>IF(C141="","",IFERROR(INDEX('Prospects'!$N$5:$N$504,MATCH(C141,'Prospects'!$C$5:$C$504,0)),""))</f>
        <v/>
      </c>
      <c r="BB141" s="61">
        <f>IF(AND(C141&lt;&gt;"",C141='Fiche prospect'!$C$4),COUNTIF($C$5:C141,C141),"")</f>
        <v/>
      </c>
    </row>
    <row r="142">
      <c r="A142" s="53" t="n"/>
      <c r="B142" s="54" t="n"/>
      <c r="C142" s="55" t="n"/>
      <c r="D142" s="55" t="n"/>
      <c r="E142" s="55" t="n"/>
      <c r="F142" s="55" t="n"/>
      <c r="G142" s="56" t="n"/>
      <c r="H142" s="57" t="n"/>
      <c r="I142" s="55" t="n"/>
      <c r="J142" s="53" t="n"/>
      <c r="K142" s="54" t="n"/>
      <c r="L142" s="55" t="n"/>
      <c r="M142" s="55" t="n"/>
      <c r="N142" s="57" t="n"/>
      <c r="O142" s="55" t="n"/>
      <c r="P142" s="56" t="n"/>
      <c r="Q142" s="55" t="n"/>
      <c r="R142" s="55" t="n"/>
      <c r="S142" s="55" t="n"/>
      <c r="T142" s="55" t="n"/>
      <c r="U142" s="55" t="n"/>
      <c r="V142" s="55" t="n"/>
      <c r="W142" s="58" t="n"/>
      <c r="X142" s="58" t="n"/>
      <c r="Y142" s="55" t="n"/>
      <c r="Z142" s="55" t="n"/>
      <c r="AA142" s="55" t="n"/>
      <c r="AB142" s="55" t="n"/>
      <c r="AC142" s="55" t="n"/>
      <c r="AD142" s="53" t="n"/>
      <c r="AE142" s="55" t="n"/>
      <c r="AF142" s="55" t="n"/>
      <c r="AG142" s="59" t="n"/>
      <c r="AH142" s="57" t="n"/>
      <c r="AI142" s="55" t="n"/>
      <c r="AJ142" s="55" t="n"/>
      <c r="AK142" s="55" t="n"/>
      <c r="AL142" s="55" t="n"/>
      <c r="AM142" s="56" t="n"/>
      <c r="AN142" s="55" t="n"/>
      <c r="AO142" s="55" t="n"/>
      <c r="AP142" s="55" t="n"/>
      <c r="AQ142" s="55" t="n"/>
      <c r="AR142" s="60">
        <f>IF(AND(C142="",E142=""),"",IF(A142="","⚠ Date manquante",IF(AND(C142="",E142&lt;&gt;"Dépense"),"⚠ Prospect manquant",IF(E142="","⚠ Action manquante",IF(AND(AU142=1,D142=""),"⚠ Canal manquant",IF(AND(W142&lt;&gt;"",COUNTIFS('Saisie'!$W$5:$W$2004,W142,'Saisie'!$C$5:$C$2004,"&lt;&gt;"&amp;C142)&gt;0),"⚠ Numéro déjà utilisé par un autre prospect",IF(AND(J142&lt;&gt;"",J142&lt;A142),"⚠ Relance avant la date de l'action",IF(A142&gt;TODAY(),"⚠ Date dans le futur","✓"))))))))</f>
        <v/>
      </c>
      <c r="AS142" s="61">
        <f>IF(AND(A142="",C142="",E142=""),"",ROW())</f>
        <v/>
      </c>
      <c r="AT142" s="61">
        <f>IF(E142&amp;F142="","",MAX(IFERROR(INDEX('Paramètres'!$J$6:$J$33,MATCH(E142,'Paramètres'!$I$6:$I$33,0)),0),IFERROR(INDEX('Paramètres'!$N$6:$N$17,MATCH(F142,'Paramètres'!$M$6:$M$17,0)),0)))</f>
        <v/>
      </c>
      <c r="AU142" s="61">
        <f>IF(E142="","",IFERROR(IF(INDEX('Paramètres'!$K$6:$K$33,MATCH(E142,'Paramètres'!$I$6:$I$33,0))="Oui",1,0),0))</f>
        <v/>
      </c>
      <c r="AV142" s="61">
        <f>IF(F142="","",IFERROR(IF(INDEX('Paramètres'!$O$6:$O$17,MATCH(F142,'Paramètres'!$M$6:$M$17,0))="Oui",1,0),0))</f>
        <v/>
      </c>
      <c r="AW142" s="62">
        <f>IF(E142="","",IF(G142&lt;&gt;"",G142,IF(OR(E142="Proposition envoyée",E142="Signature"),MAX(0,N(IFERROR(INDEX('Paramètres'!$R$6:$R$15,MATCH(IF(AL142&lt;&gt;"",AL142,IFERROR(INDEX('Prospects'!$AN$5:$AN$504,MATCH(C142,'Prospects'!$C$5:$C$504,0)),"")),'Paramètres'!$Q$6:$Q$15,0)),0))-N(P142)),0)))</f>
        <v/>
      </c>
      <c r="AX142" s="61">
        <f>IF(C142="","",IF(COUNTIF($C$5:C142,C142)=1,MAX($AX$4:AX141)+1,""))</f>
        <v/>
      </c>
      <c r="AY142" s="61">
        <f>IF(B142="","",HOUR(B142))</f>
        <v/>
      </c>
      <c r="AZ142" s="61">
        <f>IF(A142="","",MOD(A142-2,7)+1)</f>
        <v/>
      </c>
      <c r="BA142" s="60">
        <f>IF(C142="","",IFERROR(INDEX('Prospects'!$N$5:$N$504,MATCH(C142,'Prospects'!$C$5:$C$504,0)),""))</f>
        <v/>
      </c>
      <c r="BB142" s="61">
        <f>IF(AND(C142&lt;&gt;"",C142='Fiche prospect'!$C$4),COUNTIF($C$5:C142,C142),"")</f>
        <v/>
      </c>
    </row>
    <row r="143">
      <c r="A143" s="53" t="n"/>
      <c r="B143" s="54" t="n"/>
      <c r="C143" s="55" t="n"/>
      <c r="D143" s="55" t="n"/>
      <c r="E143" s="55" t="n"/>
      <c r="F143" s="55" t="n"/>
      <c r="G143" s="56" t="n"/>
      <c r="H143" s="57" t="n"/>
      <c r="I143" s="55" t="n"/>
      <c r="J143" s="53" t="n"/>
      <c r="K143" s="54" t="n"/>
      <c r="L143" s="55" t="n"/>
      <c r="M143" s="55" t="n"/>
      <c r="N143" s="57" t="n"/>
      <c r="O143" s="55" t="n"/>
      <c r="P143" s="56" t="n"/>
      <c r="Q143" s="55" t="n"/>
      <c r="R143" s="55" t="n"/>
      <c r="S143" s="55" t="n"/>
      <c r="T143" s="55" t="n"/>
      <c r="U143" s="55" t="n"/>
      <c r="V143" s="55" t="n"/>
      <c r="W143" s="58" t="n"/>
      <c r="X143" s="58" t="n"/>
      <c r="Y143" s="55" t="n"/>
      <c r="Z143" s="55" t="n"/>
      <c r="AA143" s="55" t="n"/>
      <c r="AB143" s="55" t="n"/>
      <c r="AC143" s="55" t="n"/>
      <c r="AD143" s="53" t="n"/>
      <c r="AE143" s="55" t="n"/>
      <c r="AF143" s="55" t="n"/>
      <c r="AG143" s="59" t="n"/>
      <c r="AH143" s="57" t="n"/>
      <c r="AI143" s="55" t="n"/>
      <c r="AJ143" s="55" t="n"/>
      <c r="AK143" s="55" t="n"/>
      <c r="AL143" s="55" t="n"/>
      <c r="AM143" s="56" t="n"/>
      <c r="AN143" s="55" t="n"/>
      <c r="AO143" s="55" t="n"/>
      <c r="AP143" s="55" t="n"/>
      <c r="AQ143" s="55" t="n"/>
      <c r="AR143" s="60">
        <f>IF(AND(C143="",E143=""),"",IF(A143="","⚠ Date manquante",IF(AND(C143="",E143&lt;&gt;"Dépense"),"⚠ Prospect manquant",IF(E143="","⚠ Action manquante",IF(AND(AU143=1,D143=""),"⚠ Canal manquant",IF(AND(W143&lt;&gt;"",COUNTIFS('Saisie'!$W$5:$W$2004,W143,'Saisie'!$C$5:$C$2004,"&lt;&gt;"&amp;C143)&gt;0),"⚠ Numéro déjà utilisé par un autre prospect",IF(AND(J143&lt;&gt;"",J143&lt;A143),"⚠ Relance avant la date de l'action",IF(A143&gt;TODAY(),"⚠ Date dans le futur","✓"))))))))</f>
        <v/>
      </c>
      <c r="AS143" s="61">
        <f>IF(AND(A143="",C143="",E143=""),"",ROW())</f>
        <v/>
      </c>
      <c r="AT143" s="61">
        <f>IF(E143&amp;F143="","",MAX(IFERROR(INDEX('Paramètres'!$J$6:$J$33,MATCH(E143,'Paramètres'!$I$6:$I$33,0)),0),IFERROR(INDEX('Paramètres'!$N$6:$N$17,MATCH(F143,'Paramètres'!$M$6:$M$17,0)),0)))</f>
        <v/>
      </c>
      <c r="AU143" s="61">
        <f>IF(E143="","",IFERROR(IF(INDEX('Paramètres'!$K$6:$K$33,MATCH(E143,'Paramètres'!$I$6:$I$33,0))="Oui",1,0),0))</f>
        <v/>
      </c>
      <c r="AV143" s="61">
        <f>IF(F143="","",IFERROR(IF(INDEX('Paramètres'!$O$6:$O$17,MATCH(F143,'Paramètres'!$M$6:$M$17,0))="Oui",1,0),0))</f>
        <v/>
      </c>
      <c r="AW143" s="62">
        <f>IF(E143="","",IF(G143&lt;&gt;"",G143,IF(OR(E143="Proposition envoyée",E143="Signature"),MAX(0,N(IFERROR(INDEX('Paramètres'!$R$6:$R$15,MATCH(IF(AL143&lt;&gt;"",AL143,IFERROR(INDEX('Prospects'!$AN$5:$AN$504,MATCH(C143,'Prospects'!$C$5:$C$504,0)),"")),'Paramètres'!$Q$6:$Q$15,0)),0))-N(P143)),0)))</f>
        <v/>
      </c>
      <c r="AX143" s="61">
        <f>IF(C143="","",IF(COUNTIF($C$5:C143,C143)=1,MAX($AX$4:AX142)+1,""))</f>
        <v/>
      </c>
      <c r="AY143" s="61">
        <f>IF(B143="","",HOUR(B143))</f>
        <v/>
      </c>
      <c r="AZ143" s="61">
        <f>IF(A143="","",MOD(A143-2,7)+1)</f>
        <v/>
      </c>
      <c r="BA143" s="60">
        <f>IF(C143="","",IFERROR(INDEX('Prospects'!$N$5:$N$504,MATCH(C143,'Prospects'!$C$5:$C$504,0)),""))</f>
        <v/>
      </c>
      <c r="BB143" s="61">
        <f>IF(AND(C143&lt;&gt;"",C143='Fiche prospect'!$C$4),COUNTIF($C$5:C143,C143),"")</f>
        <v/>
      </c>
    </row>
    <row r="144">
      <c r="A144" s="53" t="n"/>
      <c r="B144" s="54" t="n"/>
      <c r="C144" s="55" t="n"/>
      <c r="D144" s="55" t="n"/>
      <c r="E144" s="55" t="n"/>
      <c r="F144" s="55" t="n"/>
      <c r="G144" s="56" t="n"/>
      <c r="H144" s="57" t="n"/>
      <c r="I144" s="55" t="n"/>
      <c r="J144" s="53" t="n"/>
      <c r="K144" s="54" t="n"/>
      <c r="L144" s="55" t="n"/>
      <c r="M144" s="55" t="n"/>
      <c r="N144" s="57" t="n"/>
      <c r="O144" s="55" t="n"/>
      <c r="P144" s="56" t="n"/>
      <c r="Q144" s="55" t="n"/>
      <c r="R144" s="55" t="n"/>
      <c r="S144" s="55" t="n"/>
      <c r="T144" s="55" t="n"/>
      <c r="U144" s="55" t="n"/>
      <c r="V144" s="55" t="n"/>
      <c r="W144" s="58" t="n"/>
      <c r="X144" s="58" t="n"/>
      <c r="Y144" s="55" t="n"/>
      <c r="Z144" s="55" t="n"/>
      <c r="AA144" s="55" t="n"/>
      <c r="AB144" s="55" t="n"/>
      <c r="AC144" s="55" t="n"/>
      <c r="AD144" s="53" t="n"/>
      <c r="AE144" s="55" t="n"/>
      <c r="AF144" s="55" t="n"/>
      <c r="AG144" s="59" t="n"/>
      <c r="AH144" s="57" t="n"/>
      <c r="AI144" s="55" t="n"/>
      <c r="AJ144" s="55" t="n"/>
      <c r="AK144" s="55" t="n"/>
      <c r="AL144" s="55" t="n"/>
      <c r="AM144" s="56" t="n"/>
      <c r="AN144" s="55" t="n"/>
      <c r="AO144" s="55" t="n"/>
      <c r="AP144" s="55" t="n"/>
      <c r="AQ144" s="55" t="n"/>
      <c r="AR144" s="60">
        <f>IF(AND(C144="",E144=""),"",IF(A144="","⚠ Date manquante",IF(AND(C144="",E144&lt;&gt;"Dépense"),"⚠ Prospect manquant",IF(E144="","⚠ Action manquante",IF(AND(AU144=1,D144=""),"⚠ Canal manquant",IF(AND(W144&lt;&gt;"",COUNTIFS('Saisie'!$W$5:$W$2004,W144,'Saisie'!$C$5:$C$2004,"&lt;&gt;"&amp;C144)&gt;0),"⚠ Numéro déjà utilisé par un autre prospect",IF(AND(J144&lt;&gt;"",J144&lt;A144),"⚠ Relance avant la date de l'action",IF(A144&gt;TODAY(),"⚠ Date dans le futur","✓"))))))))</f>
        <v/>
      </c>
      <c r="AS144" s="61">
        <f>IF(AND(A144="",C144="",E144=""),"",ROW())</f>
        <v/>
      </c>
      <c r="AT144" s="61">
        <f>IF(E144&amp;F144="","",MAX(IFERROR(INDEX('Paramètres'!$J$6:$J$33,MATCH(E144,'Paramètres'!$I$6:$I$33,0)),0),IFERROR(INDEX('Paramètres'!$N$6:$N$17,MATCH(F144,'Paramètres'!$M$6:$M$17,0)),0)))</f>
        <v/>
      </c>
      <c r="AU144" s="61">
        <f>IF(E144="","",IFERROR(IF(INDEX('Paramètres'!$K$6:$K$33,MATCH(E144,'Paramètres'!$I$6:$I$33,0))="Oui",1,0),0))</f>
        <v/>
      </c>
      <c r="AV144" s="61">
        <f>IF(F144="","",IFERROR(IF(INDEX('Paramètres'!$O$6:$O$17,MATCH(F144,'Paramètres'!$M$6:$M$17,0))="Oui",1,0),0))</f>
        <v/>
      </c>
      <c r="AW144" s="62">
        <f>IF(E144="","",IF(G144&lt;&gt;"",G144,IF(OR(E144="Proposition envoyée",E144="Signature"),MAX(0,N(IFERROR(INDEX('Paramètres'!$R$6:$R$15,MATCH(IF(AL144&lt;&gt;"",AL144,IFERROR(INDEX('Prospects'!$AN$5:$AN$504,MATCH(C144,'Prospects'!$C$5:$C$504,0)),"")),'Paramètres'!$Q$6:$Q$15,0)),0))-N(P144)),0)))</f>
        <v/>
      </c>
      <c r="AX144" s="61">
        <f>IF(C144="","",IF(COUNTIF($C$5:C144,C144)=1,MAX($AX$4:AX143)+1,""))</f>
        <v/>
      </c>
      <c r="AY144" s="61">
        <f>IF(B144="","",HOUR(B144))</f>
        <v/>
      </c>
      <c r="AZ144" s="61">
        <f>IF(A144="","",MOD(A144-2,7)+1)</f>
        <v/>
      </c>
      <c r="BA144" s="60">
        <f>IF(C144="","",IFERROR(INDEX('Prospects'!$N$5:$N$504,MATCH(C144,'Prospects'!$C$5:$C$504,0)),""))</f>
        <v/>
      </c>
      <c r="BB144" s="61">
        <f>IF(AND(C144&lt;&gt;"",C144='Fiche prospect'!$C$4),COUNTIF($C$5:C144,C144),"")</f>
        <v/>
      </c>
    </row>
    <row r="145">
      <c r="A145" s="53" t="n"/>
      <c r="B145" s="54" t="n"/>
      <c r="C145" s="55" t="n"/>
      <c r="D145" s="55" t="n"/>
      <c r="E145" s="55" t="n"/>
      <c r="F145" s="55" t="n"/>
      <c r="G145" s="56" t="n"/>
      <c r="H145" s="57" t="n"/>
      <c r="I145" s="55" t="n"/>
      <c r="J145" s="53" t="n"/>
      <c r="K145" s="54" t="n"/>
      <c r="L145" s="55" t="n"/>
      <c r="M145" s="55" t="n"/>
      <c r="N145" s="57" t="n"/>
      <c r="O145" s="55" t="n"/>
      <c r="P145" s="56" t="n"/>
      <c r="Q145" s="55" t="n"/>
      <c r="R145" s="55" t="n"/>
      <c r="S145" s="55" t="n"/>
      <c r="T145" s="55" t="n"/>
      <c r="U145" s="55" t="n"/>
      <c r="V145" s="55" t="n"/>
      <c r="W145" s="58" t="n"/>
      <c r="X145" s="58" t="n"/>
      <c r="Y145" s="55" t="n"/>
      <c r="Z145" s="55" t="n"/>
      <c r="AA145" s="55" t="n"/>
      <c r="AB145" s="55" t="n"/>
      <c r="AC145" s="55" t="n"/>
      <c r="AD145" s="53" t="n"/>
      <c r="AE145" s="55" t="n"/>
      <c r="AF145" s="55" t="n"/>
      <c r="AG145" s="59" t="n"/>
      <c r="AH145" s="57" t="n"/>
      <c r="AI145" s="55" t="n"/>
      <c r="AJ145" s="55" t="n"/>
      <c r="AK145" s="55" t="n"/>
      <c r="AL145" s="55" t="n"/>
      <c r="AM145" s="56" t="n"/>
      <c r="AN145" s="55" t="n"/>
      <c r="AO145" s="55" t="n"/>
      <c r="AP145" s="55" t="n"/>
      <c r="AQ145" s="55" t="n"/>
      <c r="AR145" s="60">
        <f>IF(AND(C145="",E145=""),"",IF(A145="","⚠ Date manquante",IF(AND(C145="",E145&lt;&gt;"Dépense"),"⚠ Prospect manquant",IF(E145="","⚠ Action manquante",IF(AND(AU145=1,D145=""),"⚠ Canal manquant",IF(AND(W145&lt;&gt;"",COUNTIFS('Saisie'!$W$5:$W$2004,W145,'Saisie'!$C$5:$C$2004,"&lt;&gt;"&amp;C145)&gt;0),"⚠ Numéro déjà utilisé par un autre prospect",IF(AND(J145&lt;&gt;"",J145&lt;A145),"⚠ Relance avant la date de l'action",IF(A145&gt;TODAY(),"⚠ Date dans le futur","✓"))))))))</f>
        <v/>
      </c>
      <c r="AS145" s="61">
        <f>IF(AND(A145="",C145="",E145=""),"",ROW())</f>
        <v/>
      </c>
      <c r="AT145" s="61">
        <f>IF(E145&amp;F145="","",MAX(IFERROR(INDEX('Paramètres'!$J$6:$J$33,MATCH(E145,'Paramètres'!$I$6:$I$33,0)),0),IFERROR(INDEX('Paramètres'!$N$6:$N$17,MATCH(F145,'Paramètres'!$M$6:$M$17,0)),0)))</f>
        <v/>
      </c>
      <c r="AU145" s="61">
        <f>IF(E145="","",IFERROR(IF(INDEX('Paramètres'!$K$6:$K$33,MATCH(E145,'Paramètres'!$I$6:$I$33,0))="Oui",1,0),0))</f>
        <v/>
      </c>
      <c r="AV145" s="61">
        <f>IF(F145="","",IFERROR(IF(INDEX('Paramètres'!$O$6:$O$17,MATCH(F145,'Paramètres'!$M$6:$M$17,0))="Oui",1,0),0))</f>
        <v/>
      </c>
      <c r="AW145" s="62">
        <f>IF(E145="","",IF(G145&lt;&gt;"",G145,IF(OR(E145="Proposition envoyée",E145="Signature"),MAX(0,N(IFERROR(INDEX('Paramètres'!$R$6:$R$15,MATCH(IF(AL145&lt;&gt;"",AL145,IFERROR(INDEX('Prospects'!$AN$5:$AN$504,MATCH(C145,'Prospects'!$C$5:$C$504,0)),"")),'Paramètres'!$Q$6:$Q$15,0)),0))-N(P145)),0)))</f>
        <v/>
      </c>
      <c r="AX145" s="61">
        <f>IF(C145="","",IF(COUNTIF($C$5:C145,C145)=1,MAX($AX$4:AX144)+1,""))</f>
        <v/>
      </c>
      <c r="AY145" s="61">
        <f>IF(B145="","",HOUR(B145))</f>
        <v/>
      </c>
      <c r="AZ145" s="61">
        <f>IF(A145="","",MOD(A145-2,7)+1)</f>
        <v/>
      </c>
      <c r="BA145" s="60">
        <f>IF(C145="","",IFERROR(INDEX('Prospects'!$N$5:$N$504,MATCH(C145,'Prospects'!$C$5:$C$504,0)),""))</f>
        <v/>
      </c>
      <c r="BB145" s="61">
        <f>IF(AND(C145&lt;&gt;"",C145='Fiche prospect'!$C$4),COUNTIF($C$5:C145,C145),"")</f>
        <v/>
      </c>
    </row>
    <row r="146">
      <c r="A146" s="53" t="n"/>
      <c r="B146" s="54" t="n"/>
      <c r="C146" s="55" t="n"/>
      <c r="D146" s="55" t="n"/>
      <c r="E146" s="55" t="n"/>
      <c r="F146" s="55" t="n"/>
      <c r="G146" s="56" t="n"/>
      <c r="H146" s="57" t="n"/>
      <c r="I146" s="55" t="n"/>
      <c r="J146" s="53" t="n"/>
      <c r="K146" s="54" t="n"/>
      <c r="L146" s="55" t="n"/>
      <c r="M146" s="55" t="n"/>
      <c r="N146" s="57" t="n"/>
      <c r="O146" s="55" t="n"/>
      <c r="P146" s="56" t="n"/>
      <c r="Q146" s="55" t="n"/>
      <c r="R146" s="55" t="n"/>
      <c r="S146" s="55" t="n"/>
      <c r="T146" s="55" t="n"/>
      <c r="U146" s="55" t="n"/>
      <c r="V146" s="55" t="n"/>
      <c r="W146" s="58" t="n"/>
      <c r="X146" s="58" t="n"/>
      <c r="Y146" s="55" t="n"/>
      <c r="Z146" s="55" t="n"/>
      <c r="AA146" s="55" t="n"/>
      <c r="AB146" s="55" t="n"/>
      <c r="AC146" s="55" t="n"/>
      <c r="AD146" s="53" t="n"/>
      <c r="AE146" s="55" t="n"/>
      <c r="AF146" s="55" t="n"/>
      <c r="AG146" s="59" t="n"/>
      <c r="AH146" s="57" t="n"/>
      <c r="AI146" s="55" t="n"/>
      <c r="AJ146" s="55" t="n"/>
      <c r="AK146" s="55" t="n"/>
      <c r="AL146" s="55" t="n"/>
      <c r="AM146" s="56" t="n"/>
      <c r="AN146" s="55" t="n"/>
      <c r="AO146" s="55" t="n"/>
      <c r="AP146" s="55" t="n"/>
      <c r="AQ146" s="55" t="n"/>
      <c r="AR146" s="60">
        <f>IF(AND(C146="",E146=""),"",IF(A146="","⚠ Date manquante",IF(AND(C146="",E146&lt;&gt;"Dépense"),"⚠ Prospect manquant",IF(E146="","⚠ Action manquante",IF(AND(AU146=1,D146=""),"⚠ Canal manquant",IF(AND(W146&lt;&gt;"",COUNTIFS('Saisie'!$W$5:$W$2004,W146,'Saisie'!$C$5:$C$2004,"&lt;&gt;"&amp;C146)&gt;0),"⚠ Numéro déjà utilisé par un autre prospect",IF(AND(J146&lt;&gt;"",J146&lt;A146),"⚠ Relance avant la date de l'action",IF(A146&gt;TODAY(),"⚠ Date dans le futur","✓"))))))))</f>
        <v/>
      </c>
      <c r="AS146" s="61">
        <f>IF(AND(A146="",C146="",E146=""),"",ROW())</f>
        <v/>
      </c>
      <c r="AT146" s="61">
        <f>IF(E146&amp;F146="","",MAX(IFERROR(INDEX('Paramètres'!$J$6:$J$33,MATCH(E146,'Paramètres'!$I$6:$I$33,0)),0),IFERROR(INDEX('Paramètres'!$N$6:$N$17,MATCH(F146,'Paramètres'!$M$6:$M$17,0)),0)))</f>
        <v/>
      </c>
      <c r="AU146" s="61">
        <f>IF(E146="","",IFERROR(IF(INDEX('Paramètres'!$K$6:$K$33,MATCH(E146,'Paramètres'!$I$6:$I$33,0))="Oui",1,0),0))</f>
        <v/>
      </c>
      <c r="AV146" s="61">
        <f>IF(F146="","",IFERROR(IF(INDEX('Paramètres'!$O$6:$O$17,MATCH(F146,'Paramètres'!$M$6:$M$17,0))="Oui",1,0),0))</f>
        <v/>
      </c>
      <c r="AW146" s="62">
        <f>IF(E146="","",IF(G146&lt;&gt;"",G146,IF(OR(E146="Proposition envoyée",E146="Signature"),MAX(0,N(IFERROR(INDEX('Paramètres'!$R$6:$R$15,MATCH(IF(AL146&lt;&gt;"",AL146,IFERROR(INDEX('Prospects'!$AN$5:$AN$504,MATCH(C146,'Prospects'!$C$5:$C$504,0)),"")),'Paramètres'!$Q$6:$Q$15,0)),0))-N(P146)),0)))</f>
        <v/>
      </c>
      <c r="AX146" s="61">
        <f>IF(C146="","",IF(COUNTIF($C$5:C146,C146)=1,MAX($AX$4:AX145)+1,""))</f>
        <v/>
      </c>
      <c r="AY146" s="61">
        <f>IF(B146="","",HOUR(B146))</f>
        <v/>
      </c>
      <c r="AZ146" s="61">
        <f>IF(A146="","",MOD(A146-2,7)+1)</f>
        <v/>
      </c>
      <c r="BA146" s="60">
        <f>IF(C146="","",IFERROR(INDEX('Prospects'!$N$5:$N$504,MATCH(C146,'Prospects'!$C$5:$C$504,0)),""))</f>
        <v/>
      </c>
      <c r="BB146" s="61">
        <f>IF(AND(C146&lt;&gt;"",C146='Fiche prospect'!$C$4),COUNTIF($C$5:C146,C146),"")</f>
        <v/>
      </c>
    </row>
    <row r="147">
      <c r="A147" s="53" t="n"/>
      <c r="B147" s="54" t="n"/>
      <c r="C147" s="55" t="n"/>
      <c r="D147" s="55" t="n"/>
      <c r="E147" s="55" t="n"/>
      <c r="F147" s="55" t="n"/>
      <c r="G147" s="56" t="n"/>
      <c r="H147" s="57" t="n"/>
      <c r="I147" s="55" t="n"/>
      <c r="J147" s="53" t="n"/>
      <c r="K147" s="54" t="n"/>
      <c r="L147" s="55" t="n"/>
      <c r="M147" s="55" t="n"/>
      <c r="N147" s="57" t="n"/>
      <c r="O147" s="55" t="n"/>
      <c r="P147" s="56" t="n"/>
      <c r="Q147" s="55" t="n"/>
      <c r="R147" s="55" t="n"/>
      <c r="S147" s="55" t="n"/>
      <c r="T147" s="55" t="n"/>
      <c r="U147" s="55" t="n"/>
      <c r="V147" s="55" t="n"/>
      <c r="W147" s="58" t="n"/>
      <c r="X147" s="58" t="n"/>
      <c r="Y147" s="55" t="n"/>
      <c r="Z147" s="55" t="n"/>
      <c r="AA147" s="55" t="n"/>
      <c r="AB147" s="55" t="n"/>
      <c r="AC147" s="55" t="n"/>
      <c r="AD147" s="53" t="n"/>
      <c r="AE147" s="55" t="n"/>
      <c r="AF147" s="55" t="n"/>
      <c r="AG147" s="59" t="n"/>
      <c r="AH147" s="57" t="n"/>
      <c r="AI147" s="55" t="n"/>
      <c r="AJ147" s="55" t="n"/>
      <c r="AK147" s="55" t="n"/>
      <c r="AL147" s="55" t="n"/>
      <c r="AM147" s="56" t="n"/>
      <c r="AN147" s="55" t="n"/>
      <c r="AO147" s="55" t="n"/>
      <c r="AP147" s="55" t="n"/>
      <c r="AQ147" s="55" t="n"/>
      <c r="AR147" s="60">
        <f>IF(AND(C147="",E147=""),"",IF(A147="","⚠ Date manquante",IF(AND(C147="",E147&lt;&gt;"Dépense"),"⚠ Prospect manquant",IF(E147="","⚠ Action manquante",IF(AND(AU147=1,D147=""),"⚠ Canal manquant",IF(AND(W147&lt;&gt;"",COUNTIFS('Saisie'!$W$5:$W$2004,W147,'Saisie'!$C$5:$C$2004,"&lt;&gt;"&amp;C147)&gt;0),"⚠ Numéro déjà utilisé par un autre prospect",IF(AND(J147&lt;&gt;"",J147&lt;A147),"⚠ Relance avant la date de l'action",IF(A147&gt;TODAY(),"⚠ Date dans le futur","✓"))))))))</f>
        <v/>
      </c>
      <c r="AS147" s="61">
        <f>IF(AND(A147="",C147="",E147=""),"",ROW())</f>
        <v/>
      </c>
      <c r="AT147" s="61">
        <f>IF(E147&amp;F147="","",MAX(IFERROR(INDEX('Paramètres'!$J$6:$J$33,MATCH(E147,'Paramètres'!$I$6:$I$33,0)),0),IFERROR(INDEX('Paramètres'!$N$6:$N$17,MATCH(F147,'Paramètres'!$M$6:$M$17,0)),0)))</f>
        <v/>
      </c>
      <c r="AU147" s="61">
        <f>IF(E147="","",IFERROR(IF(INDEX('Paramètres'!$K$6:$K$33,MATCH(E147,'Paramètres'!$I$6:$I$33,0))="Oui",1,0),0))</f>
        <v/>
      </c>
      <c r="AV147" s="61">
        <f>IF(F147="","",IFERROR(IF(INDEX('Paramètres'!$O$6:$O$17,MATCH(F147,'Paramètres'!$M$6:$M$17,0))="Oui",1,0),0))</f>
        <v/>
      </c>
      <c r="AW147" s="62">
        <f>IF(E147="","",IF(G147&lt;&gt;"",G147,IF(OR(E147="Proposition envoyée",E147="Signature"),MAX(0,N(IFERROR(INDEX('Paramètres'!$R$6:$R$15,MATCH(IF(AL147&lt;&gt;"",AL147,IFERROR(INDEX('Prospects'!$AN$5:$AN$504,MATCH(C147,'Prospects'!$C$5:$C$504,0)),"")),'Paramètres'!$Q$6:$Q$15,0)),0))-N(P147)),0)))</f>
        <v/>
      </c>
      <c r="AX147" s="61">
        <f>IF(C147="","",IF(COUNTIF($C$5:C147,C147)=1,MAX($AX$4:AX146)+1,""))</f>
        <v/>
      </c>
      <c r="AY147" s="61">
        <f>IF(B147="","",HOUR(B147))</f>
        <v/>
      </c>
      <c r="AZ147" s="61">
        <f>IF(A147="","",MOD(A147-2,7)+1)</f>
        <v/>
      </c>
      <c r="BA147" s="60">
        <f>IF(C147="","",IFERROR(INDEX('Prospects'!$N$5:$N$504,MATCH(C147,'Prospects'!$C$5:$C$504,0)),""))</f>
        <v/>
      </c>
      <c r="BB147" s="61">
        <f>IF(AND(C147&lt;&gt;"",C147='Fiche prospect'!$C$4),COUNTIF($C$5:C147,C147),"")</f>
        <v/>
      </c>
    </row>
    <row r="148">
      <c r="A148" s="53" t="n"/>
      <c r="B148" s="54" t="n"/>
      <c r="C148" s="55" t="n"/>
      <c r="D148" s="55" t="n"/>
      <c r="E148" s="55" t="n"/>
      <c r="F148" s="55" t="n"/>
      <c r="G148" s="56" t="n"/>
      <c r="H148" s="57" t="n"/>
      <c r="I148" s="55" t="n"/>
      <c r="J148" s="53" t="n"/>
      <c r="K148" s="54" t="n"/>
      <c r="L148" s="55" t="n"/>
      <c r="M148" s="55" t="n"/>
      <c r="N148" s="57" t="n"/>
      <c r="O148" s="55" t="n"/>
      <c r="P148" s="56" t="n"/>
      <c r="Q148" s="55" t="n"/>
      <c r="R148" s="55" t="n"/>
      <c r="S148" s="55" t="n"/>
      <c r="T148" s="55" t="n"/>
      <c r="U148" s="55" t="n"/>
      <c r="V148" s="55" t="n"/>
      <c r="W148" s="58" t="n"/>
      <c r="X148" s="58" t="n"/>
      <c r="Y148" s="55" t="n"/>
      <c r="Z148" s="55" t="n"/>
      <c r="AA148" s="55" t="n"/>
      <c r="AB148" s="55" t="n"/>
      <c r="AC148" s="55" t="n"/>
      <c r="AD148" s="53" t="n"/>
      <c r="AE148" s="55" t="n"/>
      <c r="AF148" s="55" t="n"/>
      <c r="AG148" s="59" t="n"/>
      <c r="AH148" s="57" t="n"/>
      <c r="AI148" s="55" t="n"/>
      <c r="AJ148" s="55" t="n"/>
      <c r="AK148" s="55" t="n"/>
      <c r="AL148" s="55" t="n"/>
      <c r="AM148" s="56" t="n"/>
      <c r="AN148" s="55" t="n"/>
      <c r="AO148" s="55" t="n"/>
      <c r="AP148" s="55" t="n"/>
      <c r="AQ148" s="55" t="n"/>
      <c r="AR148" s="60">
        <f>IF(AND(C148="",E148=""),"",IF(A148="","⚠ Date manquante",IF(AND(C148="",E148&lt;&gt;"Dépense"),"⚠ Prospect manquant",IF(E148="","⚠ Action manquante",IF(AND(AU148=1,D148=""),"⚠ Canal manquant",IF(AND(W148&lt;&gt;"",COUNTIFS('Saisie'!$W$5:$W$2004,W148,'Saisie'!$C$5:$C$2004,"&lt;&gt;"&amp;C148)&gt;0),"⚠ Numéro déjà utilisé par un autre prospect",IF(AND(J148&lt;&gt;"",J148&lt;A148),"⚠ Relance avant la date de l'action",IF(A148&gt;TODAY(),"⚠ Date dans le futur","✓"))))))))</f>
        <v/>
      </c>
      <c r="AS148" s="61">
        <f>IF(AND(A148="",C148="",E148=""),"",ROW())</f>
        <v/>
      </c>
      <c r="AT148" s="61">
        <f>IF(E148&amp;F148="","",MAX(IFERROR(INDEX('Paramètres'!$J$6:$J$33,MATCH(E148,'Paramètres'!$I$6:$I$33,0)),0),IFERROR(INDEX('Paramètres'!$N$6:$N$17,MATCH(F148,'Paramètres'!$M$6:$M$17,0)),0)))</f>
        <v/>
      </c>
      <c r="AU148" s="61">
        <f>IF(E148="","",IFERROR(IF(INDEX('Paramètres'!$K$6:$K$33,MATCH(E148,'Paramètres'!$I$6:$I$33,0))="Oui",1,0),0))</f>
        <v/>
      </c>
      <c r="AV148" s="61">
        <f>IF(F148="","",IFERROR(IF(INDEX('Paramètres'!$O$6:$O$17,MATCH(F148,'Paramètres'!$M$6:$M$17,0))="Oui",1,0),0))</f>
        <v/>
      </c>
      <c r="AW148" s="62">
        <f>IF(E148="","",IF(G148&lt;&gt;"",G148,IF(OR(E148="Proposition envoyée",E148="Signature"),MAX(0,N(IFERROR(INDEX('Paramètres'!$R$6:$R$15,MATCH(IF(AL148&lt;&gt;"",AL148,IFERROR(INDEX('Prospects'!$AN$5:$AN$504,MATCH(C148,'Prospects'!$C$5:$C$504,0)),"")),'Paramètres'!$Q$6:$Q$15,0)),0))-N(P148)),0)))</f>
        <v/>
      </c>
      <c r="AX148" s="61">
        <f>IF(C148="","",IF(COUNTIF($C$5:C148,C148)=1,MAX($AX$4:AX147)+1,""))</f>
        <v/>
      </c>
      <c r="AY148" s="61">
        <f>IF(B148="","",HOUR(B148))</f>
        <v/>
      </c>
      <c r="AZ148" s="61">
        <f>IF(A148="","",MOD(A148-2,7)+1)</f>
        <v/>
      </c>
      <c r="BA148" s="60">
        <f>IF(C148="","",IFERROR(INDEX('Prospects'!$N$5:$N$504,MATCH(C148,'Prospects'!$C$5:$C$504,0)),""))</f>
        <v/>
      </c>
      <c r="BB148" s="61">
        <f>IF(AND(C148&lt;&gt;"",C148='Fiche prospect'!$C$4),COUNTIF($C$5:C148,C148),"")</f>
        <v/>
      </c>
    </row>
    <row r="149">
      <c r="A149" s="53" t="n"/>
      <c r="B149" s="54" t="n"/>
      <c r="C149" s="55" t="n"/>
      <c r="D149" s="55" t="n"/>
      <c r="E149" s="55" t="n"/>
      <c r="F149" s="55" t="n"/>
      <c r="G149" s="56" t="n"/>
      <c r="H149" s="57" t="n"/>
      <c r="I149" s="55" t="n"/>
      <c r="J149" s="53" t="n"/>
      <c r="K149" s="54" t="n"/>
      <c r="L149" s="55" t="n"/>
      <c r="M149" s="55" t="n"/>
      <c r="N149" s="57" t="n"/>
      <c r="O149" s="55" t="n"/>
      <c r="P149" s="56" t="n"/>
      <c r="Q149" s="55" t="n"/>
      <c r="R149" s="55" t="n"/>
      <c r="S149" s="55" t="n"/>
      <c r="T149" s="55" t="n"/>
      <c r="U149" s="55" t="n"/>
      <c r="V149" s="55" t="n"/>
      <c r="W149" s="58" t="n"/>
      <c r="X149" s="58" t="n"/>
      <c r="Y149" s="55" t="n"/>
      <c r="Z149" s="55" t="n"/>
      <c r="AA149" s="55" t="n"/>
      <c r="AB149" s="55" t="n"/>
      <c r="AC149" s="55" t="n"/>
      <c r="AD149" s="53" t="n"/>
      <c r="AE149" s="55" t="n"/>
      <c r="AF149" s="55" t="n"/>
      <c r="AG149" s="59" t="n"/>
      <c r="AH149" s="57" t="n"/>
      <c r="AI149" s="55" t="n"/>
      <c r="AJ149" s="55" t="n"/>
      <c r="AK149" s="55" t="n"/>
      <c r="AL149" s="55" t="n"/>
      <c r="AM149" s="56" t="n"/>
      <c r="AN149" s="55" t="n"/>
      <c r="AO149" s="55" t="n"/>
      <c r="AP149" s="55" t="n"/>
      <c r="AQ149" s="55" t="n"/>
      <c r="AR149" s="60">
        <f>IF(AND(C149="",E149=""),"",IF(A149="","⚠ Date manquante",IF(AND(C149="",E149&lt;&gt;"Dépense"),"⚠ Prospect manquant",IF(E149="","⚠ Action manquante",IF(AND(AU149=1,D149=""),"⚠ Canal manquant",IF(AND(W149&lt;&gt;"",COUNTIFS('Saisie'!$W$5:$W$2004,W149,'Saisie'!$C$5:$C$2004,"&lt;&gt;"&amp;C149)&gt;0),"⚠ Numéro déjà utilisé par un autre prospect",IF(AND(J149&lt;&gt;"",J149&lt;A149),"⚠ Relance avant la date de l'action",IF(A149&gt;TODAY(),"⚠ Date dans le futur","✓"))))))))</f>
        <v/>
      </c>
      <c r="AS149" s="61">
        <f>IF(AND(A149="",C149="",E149=""),"",ROW())</f>
        <v/>
      </c>
      <c r="AT149" s="61">
        <f>IF(E149&amp;F149="","",MAX(IFERROR(INDEX('Paramètres'!$J$6:$J$33,MATCH(E149,'Paramètres'!$I$6:$I$33,0)),0),IFERROR(INDEX('Paramètres'!$N$6:$N$17,MATCH(F149,'Paramètres'!$M$6:$M$17,0)),0)))</f>
        <v/>
      </c>
      <c r="AU149" s="61">
        <f>IF(E149="","",IFERROR(IF(INDEX('Paramètres'!$K$6:$K$33,MATCH(E149,'Paramètres'!$I$6:$I$33,0))="Oui",1,0),0))</f>
        <v/>
      </c>
      <c r="AV149" s="61">
        <f>IF(F149="","",IFERROR(IF(INDEX('Paramètres'!$O$6:$O$17,MATCH(F149,'Paramètres'!$M$6:$M$17,0))="Oui",1,0),0))</f>
        <v/>
      </c>
      <c r="AW149" s="62">
        <f>IF(E149="","",IF(G149&lt;&gt;"",G149,IF(OR(E149="Proposition envoyée",E149="Signature"),MAX(0,N(IFERROR(INDEX('Paramètres'!$R$6:$R$15,MATCH(IF(AL149&lt;&gt;"",AL149,IFERROR(INDEX('Prospects'!$AN$5:$AN$504,MATCH(C149,'Prospects'!$C$5:$C$504,0)),"")),'Paramètres'!$Q$6:$Q$15,0)),0))-N(P149)),0)))</f>
        <v/>
      </c>
      <c r="AX149" s="61">
        <f>IF(C149="","",IF(COUNTIF($C$5:C149,C149)=1,MAX($AX$4:AX148)+1,""))</f>
        <v/>
      </c>
      <c r="AY149" s="61">
        <f>IF(B149="","",HOUR(B149))</f>
        <v/>
      </c>
      <c r="AZ149" s="61">
        <f>IF(A149="","",MOD(A149-2,7)+1)</f>
        <v/>
      </c>
      <c r="BA149" s="60">
        <f>IF(C149="","",IFERROR(INDEX('Prospects'!$N$5:$N$504,MATCH(C149,'Prospects'!$C$5:$C$504,0)),""))</f>
        <v/>
      </c>
      <c r="BB149" s="61">
        <f>IF(AND(C149&lt;&gt;"",C149='Fiche prospect'!$C$4),COUNTIF($C$5:C149,C149),"")</f>
        <v/>
      </c>
    </row>
    <row r="150">
      <c r="A150" s="53" t="n"/>
      <c r="B150" s="54" t="n"/>
      <c r="C150" s="55" t="n"/>
      <c r="D150" s="55" t="n"/>
      <c r="E150" s="55" t="n"/>
      <c r="F150" s="55" t="n"/>
      <c r="G150" s="56" t="n"/>
      <c r="H150" s="57" t="n"/>
      <c r="I150" s="55" t="n"/>
      <c r="J150" s="53" t="n"/>
      <c r="K150" s="54" t="n"/>
      <c r="L150" s="55" t="n"/>
      <c r="M150" s="55" t="n"/>
      <c r="N150" s="57" t="n"/>
      <c r="O150" s="55" t="n"/>
      <c r="P150" s="56" t="n"/>
      <c r="Q150" s="55" t="n"/>
      <c r="R150" s="55" t="n"/>
      <c r="S150" s="55" t="n"/>
      <c r="T150" s="55" t="n"/>
      <c r="U150" s="55" t="n"/>
      <c r="V150" s="55" t="n"/>
      <c r="W150" s="58" t="n"/>
      <c r="X150" s="58" t="n"/>
      <c r="Y150" s="55" t="n"/>
      <c r="Z150" s="55" t="n"/>
      <c r="AA150" s="55" t="n"/>
      <c r="AB150" s="55" t="n"/>
      <c r="AC150" s="55" t="n"/>
      <c r="AD150" s="53" t="n"/>
      <c r="AE150" s="55" t="n"/>
      <c r="AF150" s="55" t="n"/>
      <c r="AG150" s="59" t="n"/>
      <c r="AH150" s="57" t="n"/>
      <c r="AI150" s="55" t="n"/>
      <c r="AJ150" s="55" t="n"/>
      <c r="AK150" s="55" t="n"/>
      <c r="AL150" s="55" t="n"/>
      <c r="AM150" s="56" t="n"/>
      <c r="AN150" s="55" t="n"/>
      <c r="AO150" s="55" t="n"/>
      <c r="AP150" s="55" t="n"/>
      <c r="AQ150" s="55" t="n"/>
      <c r="AR150" s="60">
        <f>IF(AND(C150="",E150=""),"",IF(A150="","⚠ Date manquante",IF(AND(C150="",E150&lt;&gt;"Dépense"),"⚠ Prospect manquant",IF(E150="","⚠ Action manquante",IF(AND(AU150=1,D150=""),"⚠ Canal manquant",IF(AND(W150&lt;&gt;"",COUNTIFS('Saisie'!$W$5:$W$2004,W150,'Saisie'!$C$5:$C$2004,"&lt;&gt;"&amp;C150)&gt;0),"⚠ Numéro déjà utilisé par un autre prospect",IF(AND(J150&lt;&gt;"",J150&lt;A150),"⚠ Relance avant la date de l'action",IF(A150&gt;TODAY(),"⚠ Date dans le futur","✓"))))))))</f>
        <v/>
      </c>
      <c r="AS150" s="61">
        <f>IF(AND(A150="",C150="",E150=""),"",ROW())</f>
        <v/>
      </c>
      <c r="AT150" s="61">
        <f>IF(E150&amp;F150="","",MAX(IFERROR(INDEX('Paramètres'!$J$6:$J$33,MATCH(E150,'Paramètres'!$I$6:$I$33,0)),0),IFERROR(INDEX('Paramètres'!$N$6:$N$17,MATCH(F150,'Paramètres'!$M$6:$M$17,0)),0)))</f>
        <v/>
      </c>
      <c r="AU150" s="61">
        <f>IF(E150="","",IFERROR(IF(INDEX('Paramètres'!$K$6:$K$33,MATCH(E150,'Paramètres'!$I$6:$I$33,0))="Oui",1,0),0))</f>
        <v/>
      </c>
      <c r="AV150" s="61">
        <f>IF(F150="","",IFERROR(IF(INDEX('Paramètres'!$O$6:$O$17,MATCH(F150,'Paramètres'!$M$6:$M$17,0))="Oui",1,0),0))</f>
        <v/>
      </c>
      <c r="AW150" s="62">
        <f>IF(E150="","",IF(G150&lt;&gt;"",G150,IF(OR(E150="Proposition envoyée",E150="Signature"),MAX(0,N(IFERROR(INDEX('Paramètres'!$R$6:$R$15,MATCH(IF(AL150&lt;&gt;"",AL150,IFERROR(INDEX('Prospects'!$AN$5:$AN$504,MATCH(C150,'Prospects'!$C$5:$C$504,0)),"")),'Paramètres'!$Q$6:$Q$15,0)),0))-N(P150)),0)))</f>
        <v/>
      </c>
      <c r="AX150" s="61">
        <f>IF(C150="","",IF(COUNTIF($C$5:C150,C150)=1,MAX($AX$4:AX149)+1,""))</f>
        <v/>
      </c>
      <c r="AY150" s="61">
        <f>IF(B150="","",HOUR(B150))</f>
        <v/>
      </c>
      <c r="AZ150" s="61">
        <f>IF(A150="","",MOD(A150-2,7)+1)</f>
        <v/>
      </c>
      <c r="BA150" s="60">
        <f>IF(C150="","",IFERROR(INDEX('Prospects'!$N$5:$N$504,MATCH(C150,'Prospects'!$C$5:$C$504,0)),""))</f>
        <v/>
      </c>
      <c r="BB150" s="61">
        <f>IF(AND(C150&lt;&gt;"",C150='Fiche prospect'!$C$4),COUNTIF($C$5:C150,C150),"")</f>
        <v/>
      </c>
    </row>
    <row r="151">
      <c r="A151" s="53" t="n"/>
      <c r="B151" s="54" t="n"/>
      <c r="C151" s="55" t="n"/>
      <c r="D151" s="55" t="n"/>
      <c r="E151" s="55" t="n"/>
      <c r="F151" s="55" t="n"/>
      <c r="G151" s="56" t="n"/>
      <c r="H151" s="57" t="n"/>
      <c r="I151" s="55" t="n"/>
      <c r="J151" s="53" t="n"/>
      <c r="K151" s="54" t="n"/>
      <c r="L151" s="55" t="n"/>
      <c r="M151" s="55" t="n"/>
      <c r="N151" s="57" t="n"/>
      <c r="O151" s="55" t="n"/>
      <c r="P151" s="56" t="n"/>
      <c r="Q151" s="55" t="n"/>
      <c r="R151" s="55" t="n"/>
      <c r="S151" s="55" t="n"/>
      <c r="T151" s="55" t="n"/>
      <c r="U151" s="55" t="n"/>
      <c r="V151" s="55" t="n"/>
      <c r="W151" s="58" t="n"/>
      <c r="X151" s="58" t="n"/>
      <c r="Y151" s="55" t="n"/>
      <c r="Z151" s="55" t="n"/>
      <c r="AA151" s="55" t="n"/>
      <c r="AB151" s="55" t="n"/>
      <c r="AC151" s="55" t="n"/>
      <c r="AD151" s="53" t="n"/>
      <c r="AE151" s="55" t="n"/>
      <c r="AF151" s="55" t="n"/>
      <c r="AG151" s="59" t="n"/>
      <c r="AH151" s="57" t="n"/>
      <c r="AI151" s="55" t="n"/>
      <c r="AJ151" s="55" t="n"/>
      <c r="AK151" s="55" t="n"/>
      <c r="AL151" s="55" t="n"/>
      <c r="AM151" s="56" t="n"/>
      <c r="AN151" s="55" t="n"/>
      <c r="AO151" s="55" t="n"/>
      <c r="AP151" s="55" t="n"/>
      <c r="AQ151" s="55" t="n"/>
      <c r="AR151" s="60">
        <f>IF(AND(C151="",E151=""),"",IF(A151="","⚠ Date manquante",IF(AND(C151="",E151&lt;&gt;"Dépense"),"⚠ Prospect manquant",IF(E151="","⚠ Action manquante",IF(AND(AU151=1,D151=""),"⚠ Canal manquant",IF(AND(W151&lt;&gt;"",COUNTIFS('Saisie'!$W$5:$W$2004,W151,'Saisie'!$C$5:$C$2004,"&lt;&gt;"&amp;C151)&gt;0),"⚠ Numéro déjà utilisé par un autre prospect",IF(AND(J151&lt;&gt;"",J151&lt;A151),"⚠ Relance avant la date de l'action",IF(A151&gt;TODAY(),"⚠ Date dans le futur","✓"))))))))</f>
        <v/>
      </c>
      <c r="AS151" s="61">
        <f>IF(AND(A151="",C151="",E151=""),"",ROW())</f>
        <v/>
      </c>
      <c r="AT151" s="61">
        <f>IF(E151&amp;F151="","",MAX(IFERROR(INDEX('Paramètres'!$J$6:$J$33,MATCH(E151,'Paramètres'!$I$6:$I$33,0)),0),IFERROR(INDEX('Paramètres'!$N$6:$N$17,MATCH(F151,'Paramètres'!$M$6:$M$17,0)),0)))</f>
        <v/>
      </c>
      <c r="AU151" s="61">
        <f>IF(E151="","",IFERROR(IF(INDEX('Paramètres'!$K$6:$K$33,MATCH(E151,'Paramètres'!$I$6:$I$33,0))="Oui",1,0),0))</f>
        <v/>
      </c>
      <c r="AV151" s="61">
        <f>IF(F151="","",IFERROR(IF(INDEX('Paramètres'!$O$6:$O$17,MATCH(F151,'Paramètres'!$M$6:$M$17,0))="Oui",1,0),0))</f>
        <v/>
      </c>
      <c r="AW151" s="62">
        <f>IF(E151="","",IF(G151&lt;&gt;"",G151,IF(OR(E151="Proposition envoyée",E151="Signature"),MAX(0,N(IFERROR(INDEX('Paramètres'!$R$6:$R$15,MATCH(IF(AL151&lt;&gt;"",AL151,IFERROR(INDEX('Prospects'!$AN$5:$AN$504,MATCH(C151,'Prospects'!$C$5:$C$504,0)),"")),'Paramètres'!$Q$6:$Q$15,0)),0))-N(P151)),0)))</f>
        <v/>
      </c>
      <c r="AX151" s="61">
        <f>IF(C151="","",IF(COUNTIF($C$5:C151,C151)=1,MAX($AX$4:AX150)+1,""))</f>
        <v/>
      </c>
      <c r="AY151" s="61">
        <f>IF(B151="","",HOUR(B151))</f>
        <v/>
      </c>
      <c r="AZ151" s="61">
        <f>IF(A151="","",MOD(A151-2,7)+1)</f>
        <v/>
      </c>
      <c r="BA151" s="60">
        <f>IF(C151="","",IFERROR(INDEX('Prospects'!$N$5:$N$504,MATCH(C151,'Prospects'!$C$5:$C$504,0)),""))</f>
        <v/>
      </c>
      <c r="BB151" s="61">
        <f>IF(AND(C151&lt;&gt;"",C151='Fiche prospect'!$C$4),COUNTIF($C$5:C151,C151),"")</f>
        <v/>
      </c>
    </row>
    <row r="152">
      <c r="A152" s="53" t="n"/>
      <c r="B152" s="54" t="n"/>
      <c r="C152" s="55" t="n"/>
      <c r="D152" s="55" t="n"/>
      <c r="E152" s="55" t="n"/>
      <c r="F152" s="55" t="n"/>
      <c r="G152" s="56" t="n"/>
      <c r="H152" s="57" t="n"/>
      <c r="I152" s="55" t="n"/>
      <c r="J152" s="53" t="n"/>
      <c r="K152" s="54" t="n"/>
      <c r="L152" s="55" t="n"/>
      <c r="M152" s="55" t="n"/>
      <c r="N152" s="57" t="n"/>
      <c r="O152" s="55" t="n"/>
      <c r="P152" s="56" t="n"/>
      <c r="Q152" s="55" t="n"/>
      <c r="R152" s="55" t="n"/>
      <c r="S152" s="55" t="n"/>
      <c r="T152" s="55" t="n"/>
      <c r="U152" s="55" t="n"/>
      <c r="V152" s="55" t="n"/>
      <c r="W152" s="58" t="n"/>
      <c r="X152" s="58" t="n"/>
      <c r="Y152" s="55" t="n"/>
      <c r="Z152" s="55" t="n"/>
      <c r="AA152" s="55" t="n"/>
      <c r="AB152" s="55" t="n"/>
      <c r="AC152" s="55" t="n"/>
      <c r="AD152" s="53" t="n"/>
      <c r="AE152" s="55" t="n"/>
      <c r="AF152" s="55" t="n"/>
      <c r="AG152" s="59" t="n"/>
      <c r="AH152" s="57" t="n"/>
      <c r="AI152" s="55" t="n"/>
      <c r="AJ152" s="55" t="n"/>
      <c r="AK152" s="55" t="n"/>
      <c r="AL152" s="55" t="n"/>
      <c r="AM152" s="56" t="n"/>
      <c r="AN152" s="55" t="n"/>
      <c r="AO152" s="55" t="n"/>
      <c r="AP152" s="55" t="n"/>
      <c r="AQ152" s="55" t="n"/>
      <c r="AR152" s="60">
        <f>IF(AND(C152="",E152=""),"",IF(A152="","⚠ Date manquante",IF(AND(C152="",E152&lt;&gt;"Dépense"),"⚠ Prospect manquant",IF(E152="","⚠ Action manquante",IF(AND(AU152=1,D152=""),"⚠ Canal manquant",IF(AND(W152&lt;&gt;"",COUNTIFS('Saisie'!$W$5:$W$2004,W152,'Saisie'!$C$5:$C$2004,"&lt;&gt;"&amp;C152)&gt;0),"⚠ Numéro déjà utilisé par un autre prospect",IF(AND(J152&lt;&gt;"",J152&lt;A152),"⚠ Relance avant la date de l'action",IF(A152&gt;TODAY(),"⚠ Date dans le futur","✓"))))))))</f>
        <v/>
      </c>
      <c r="AS152" s="61">
        <f>IF(AND(A152="",C152="",E152=""),"",ROW())</f>
        <v/>
      </c>
      <c r="AT152" s="61">
        <f>IF(E152&amp;F152="","",MAX(IFERROR(INDEX('Paramètres'!$J$6:$J$33,MATCH(E152,'Paramètres'!$I$6:$I$33,0)),0),IFERROR(INDEX('Paramètres'!$N$6:$N$17,MATCH(F152,'Paramètres'!$M$6:$M$17,0)),0)))</f>
        <v/>
      </c>
      <c r="AU152" s="61">
        <f>IF(E152="","",IFERROR(IF(INDEX('Paramètres'!$K$6:$K$33,MATCH(E152,'Paramètres'!$I$6:$I$33,0))="Oui",1,0),0))</f>
        <v/>
      </c>
      <c r="AV152" s="61">
        <f>IF(F152="","",IFERROR(IF(INDEX('Paramètres'!$O$6:$O$17,MATCH(F152,'Paramètres'!$M$6:$M$17,0))="Oui",1,0),0))</f>
        <v/>
      </c>
      <c r="AW152" s="62">
        <f>IF(E152="","",IF(G152&lt;&gt;"",G152,IF(OR(E152="Proposition envoyée",E152="Signature"),MAX(0,N(IFERROR(INDEX('Paramètres'!$R$6:$R$15,MATCH(IF(AL152&lt;&gt;"",AL152,IFERROR(INDEX('Prospects'!$AN$5:$AN$504,MATCH(C152,'Prospects'!$C$5:$C$504,0)),"")),'Paramètres'!$Q$6:$Q$15,0)),0))-N(P152)),0)))</f>
        <v/>
      </c>
      <c r="AX152" s="61">
        <f>IF(C152="","",IF(COUNTIF($C$5:C152,C152)=1,MAX($AX$4:AX151)+1,""))</f>
        <v/>
      </c>
      <c r="AY152" s="61">
        <f>IF(B152="","",HOUR(B152))</f>
        <v/>
      </c>
      <c r="AZ152" s="61">
        <f>IF(A152="","",MOD(A152-2,7)+1)</f>
        <v/>
      </c>
      <c r="BA152" s="60">
        <f>IF(C152="","",IFERROR(INDEX('Prospects'!$N$5:$N$504,MATCH(C152,'Prospects'!$C$5:$C$504,0)),""))</f>
        <v/>
      </c>
      <c r="BB152" s="61">
        <f>IF(AND(C152&lt;&gt;"",C152='Fiche prospect'!$C$4),COUNTIF($C$5:C152,C152),"")</f>
        <v/>
      </c>
    </row>
    <row r="153">
      <c r="A153" s="53" t="n"/>
      <c r="B153" s="54" t="n"/>
      <c r="C153" s="55" t="n"/>
      <c r="D153" s="55" t="n"/>
      <c r="E153" s="55" t="n"/>
      <c r="F153" s="55" t="n"/>
      <c r="G153" s="56" t="n"/>
      <c r="H153" s="57" t="n"/>
      <c r="I153" s="55" t="n"/>
      <c r="J153" s="53" t="n"/>
      <c r="K153" s="54" t="n"/>
      <c r="L153" s="55" t="n"/>
      <c r="M153" s="55" t="n"/>
      <c r="N153" s="57" t="n"/>
      <c r="O153" s="55" t="n"/>
      <c r="P153" s="56" t="n"/>
      <c r="Q153" s="55" t="n"/>
      <c r="R153" s="55" t="n"/>
      <c r="S153" s="55" t="n"/>
      <c r="T153" s="55" t="n"/>
      <c r="U153" s="55" t="n"/>
      <c r="V153" s="55" t="n"/>
      <c r="W153" s="58" t="n"/>
      <c r="X153" s="58" t="n"/>
      <c r="Y153" s="55" t="n"/>
      <c r="Z153" s="55" t="n"/>
      <c r="AA153" s="55" t="n"/>
      <c r="AB153" s="55" t="n"/>
      <c r="AC153" s="55" t="n"/>
      <c r="AD153" s="53" t="n"/>
      <c r="AE153" s="55" t="n"/>
      <c r="AF153" s="55" t="n"/>
      <c r="AG153" s="59" t="n"/>
      <c r="AH153" s="57" t="n"/>
      <c r="AI153" s="55" t="n"/>
      <c r="AJ153" s="55" t="n"/>
      <c r="AK153" s="55" t="n"/>
      <c r="AL153" s="55" t="n"/>
      <c r="AM153" s="56" t="n"/>
      <c r="AN153" s="55" t="n"/>
      <c r="AO153" s="55" t="n"/>
      <c r="AP153" s="55" t="n"/>
      <c r="AQ153" s="55" t="n"/>
      <c r="AR153" s="60">
        <f>IF(AND(C153="",E153=""),"",IF(A153="","⚠ Date manquante",IF(AND(C153="",E153&lt;&gt;"Dépense"),"⚠ Prospect manquant",IF(E153="","⚠ Action manquante",IF(AND(AU153=1,D153=""),"⚠ Canal manquant",IF(AND(W153&lt;&gt;"",COUNTIFS('Saisie'!$W$5:$W$2004,W153,'Saisie'!$C$5:$C$2004,"&lt;&gt;"&amp;C153)&gt;0),"⚠ Numéro déjà utilisé par un autre prospect",IF(AND(J153&lt;&gt;"",J153&lt;A153),"⚠ Relance avant la date de l'action",IF(A153&gt;TODAY(),"⚠ Date dans le futur","✓"))))))))</f>
        <v/>
      </c>
      <c r="AS153" s="61">
        <f>IF(AND(A153="",C153="",E153=""),"",ROW())</f>
        <v/>
      </c>
      <c r="AT153" s="61">
        <f>IF(E153&amp;F153="","",MAX(IFERROR(INDEX('Paramètres'!$J$6:$J$33,MATCH(E153,'Paramètres'!$I$6:$I$33,0)),0),IFERROR(INDEX('Paramètres'!$N$6:$N$17,MATCH(F153,'Paramètres'!$M$6:$M$17,0)),0)))</f>
        <v/>
      </c>
      <c r="AU153" s="61">
        <f>IF(E153="","",IFERROR(IF(INDEX('Paramètres'!$K$6:$K$33,MATCH(E153,'Paramètres'!$I$6:$I$33,0))="Oui",1,0),0))</f>
        <v/>
      </c>
      <c r="AV153" s="61">
        <f>IF(F153="","",IFERROR(IF(INDEX('Paramètres'!$O$6:$O$17,MATCH(F153,'Paramètres'!$M$6:$M$17,0))="Oui",1,0),0))</f>
        <v/>
      </c>
      <c r="AW153" s="62">
        <f>IF(E153="","",IF(G153&lt;&gt;"",G153,IF(OR(E153="Proposition envoyée",E153="Signature"),MAX(0,N(IFERROR(INDEX('Paramètres'!$R$6:$R$15,MATCH(IF(AL153&lt;&gt;"",AL153,IFERROR(INDEX('Prospects'!$AN$5:$AN$504,MATCH(C153,'Prospects'!$C$5:$C$504,0)),"")),'Paramètres'!$Q$6:$Q$15,0)),0))-N(P153)),0)))</f>
        <v/>
      </c>
      <c r="AX153" s="61">
        <f>IF(C153="","",IF(COUNTIF($C$5:C153,C153)=1,MAX($AX$4:AX152)+1,""))</f>
        <v/>
      </c>
      <c r="AY153" s="61">
        <f>IF(B153="","",HOUR(B153))</f>
        <v/>
      </c>
      <c r="AZ153" s="61">
        <f>IF(A153="","",MOD(A153-2,7)+1)</f>
        <v/>
      </c>
      <c r="BA153" s="60">
        <f>IF(C153="","",IFERROR(INDEX('Prospects'!$N$5:$N$504,MATCH(C153,'Prospects'!$C$5:$C$504,0)),""))</f>
        <v/>
      </c>
      <c r="BB153" s="61">
        <f>IF(AND(C153&lt;&gt;"",C153='Fiche prospect'!$C$4),COUNTIF($C$5:C153,C153),"")</f>
        <v/>
      </c>
    </row>
    <row r="154">
      <c r="A154" s="53" t="n"/>
      <c r="B154" s="54" t="n"/>
      <c r="C154" s="55" t="n"/>
      <c r="D154" s="55" t="n"/>
      <c r="E154" s="55" t="n"/>
      <c r="F154" s="55" t="n"/>
      <c r="G154" s="56" t="n"/>
      <c r="H154" s="57" t="n"/>
      <c r="I154" s="55" t="n"/>
      <c r="J154" s="53" t="n"/>
      <c r="K154" s="54" t="n"/>
      <c r="L154" s="55" t="n"/>
      <c r="M154" s="55" t="n"/>
      <c r="N154" s="57" t="n"/>
      <c r="O154" s="55" t="n"/>
      <c r="P154" s="56" t="n"/>
      <c r="Q154" s="55" t="n"/>
      <c r="R154" s="55" t="n"/>
      <c r="S154" s="55" t="n"/>
      <c r="T154" s="55" t="n"/>
      <c r="U154" s="55" t="n"/>
      <c r="V154" s="55" t="n"/>
      <c r="W154" s="58" t="n"/>
      <c r="X154" s="58" t="n"/>
      <c r="Y154" s="55" t="n"/>
      <c r="Z154" s="55" t="n"/>
      <c r="AA154" s="55" t="n"/>
      <c r="AB154" s="55" t="n"/>
      <c r="AC154" s="55" t="n"/>
      <c r="AD154" s="53" t="n"/>
      <c r="AE154" s="55" t="n"/>
      <c r="AF154" s="55" t="n"/>
      <c r="AG154" s="59" t="n"/>
      <c r="AH154" s="57" t="n"/>
      <c r="AI154" s="55" t="n"/>
      <c r="AJ154" s="55" t="n"/>
      <c r="AK154" s="55" t="n"/>
      <c r="AL154" s="55" t="n"/>
      <c r="AM154" s="56" t="n"/>
      <c r="AN154" s="55" t="n"/>
      <c r="AO154" s="55" t="n"/>
      <c r="AP154" s="55" t="n"/>
      <c r="AQ154" s="55" t="n"/>
      <c r="AR154" s="60">
        <f>IF(AND(C154="",E154=""),"",IF(A154="","⚠ Date manquante",IF(AND(C154="",E154&lt;&gt;"Dépense"),"⚠ Prospect manquant",IF(E154="","⚠ Action manquante",IF(AND(AU154=1,D154=""),"⚠ Canal manquant",IF(AND(W154&lt;&gt;"",COUNTIFS('Saisie'!$W$5:$W$2004,W154,'Saisie'!$C$5:$C$2004,"&lt;&gt;"&amp;C154)&gt;0),"⚠ Numéro déjà utilisé par un autre prospect",IF(AND(J154&lt;&gt;"",J154&lt;A154),"⚠ Relance avant la date de l'action",IF(A154&gt;TODAY(),"⚠ Date dans le futur","✓"))))))))</f>
        <v/>
      </c>
      <c r="AS154" s="61">
        <f>IF(AND(A154="",C154="",E154=""),"",ROW())</f>
        <v/>
      </c>
      <c r="AT154" s="61">
        <f>IF(E154&amp;F154="","",MAX(IFERROR(INDEX('Paramètres'!$J$6:$J$33,MATCH(E154,'Paramètres'!$I$6:$I$33,0)),0),IFERROR(INDEX('Paramètres'!$N$6:$N$17,MATCH(F154,'Paramètres'!$M$6:$M$17,0)),0)))</f>
        <v/>
      </c>
      <c r="AU154" s="61">
        <f>IF(E154="","",IFERROR(IF(INDEX('Paramètres'!$K$6:$K$33,MATCH(E154,'Paramètres'!$I$6:$I$33,0))="Oui",1,0),0))</f>
        <v/>
      </c>
      <c r="AV154" s="61">
        <f>IF(F154="","",IFERROR(IF(INDEX('Paramètres'!$O$6:$O$17,MATCH(F154,'Paramètres'!$M$6:$M$17,0))="Oui",1,0),0))</f>
        <v/>
      </c>
      <c r="AW154" s="62">
        <f>IF(E154="","",IF(G154&lt;&gt;"",G154,IF(OR(E154="Proposition envoyée",E154="Signature"),MAX(0,N(IFERROR(INDEX('Paramètres'!$R$6:$R$15,MATCH(IF(AL154&lt;&gt;"",AL154,IFERROR(INDEX('Prospects'!$AN$5:$AN$504,MATCH(C154,'Prospects'!$C$5:$C$504,0)),"")),'Paramètres'!$Q$6:$Q$15,0)),0))-N(P154)),0)))</f>
        <v/>
      </c>
      <c r="AX154" s="61">
        <f>IF(C154="","",IF(COUNTIF($C$5:C154,C154)=1,MAX($AX$4:AX153)+1,""))</f>
        <v/>
      </c>
      <c r="AY154" s="61">
        <f>IF(B154="","",HOUR(B154))</f>
        <v/>
      </c>
      <c r="AZ154" s="61">
        <f>IF(A154="","",MOD(A154-2,7)+1)</f>
        <v/>
      </c>
      <c r="BA154" s="60">
        <f>IF(C154="","",IFERROR(INDEX('Prospects'!$N$5:$N$504,MATCH(C154,'Prospects'!$C$5:$C$504,0)),""))</f>
        <v/>
      </c>
      <c r="BB154" s="61">
        <f>IF(AND(C154&lt;&gt;"",C154='Fiche prospect'!$C$4),COUNTIF($C$5:C154,C154),"")</f>
        <v/>
      </c>
    </row>
    <row r="155">
      <c r="A155" s="53" t="n"/>
      <c r="B155" s="54" t="n"/>
      <c r="C155" s="55" t="n"/>
      <c r="D155" s="55" t="n"/>
      <c r="E155" s="55" t="n"/>
      <c r="F155" s="55" t="n"/>
      <c r="G155" s="56" t="n"/>
      <c r="H155" s="57" t="n"/>
      <c r="I155" s="55" t="n"/>
      <c r="J155" s="53" t="n"/>
      <c r="K155" s="54" t="n"/>
      <c r="L155" s="55" t="n"/>
      <c r="M155" s="55" t="n"/>
      <c r="N155" s="57" t="n"/>
      <c r="O155" s="55" t="n"/>
      <c r="P155" s="56" t="n"/>
      <c r="Q155" s="55" t="n"/>
      <c r="R155" s="55" t="n"/>
      <c r="S155" s="55" t="n"/>
      <c r="T155" s="55" t="n"/>
      <c r="U155" s="55" t="n"/>
      <c r="V155" s="55" t="n"/>
      <c r="W155" s="58" t="n"/>
      <c r="X155" s="58" t="n"/>
      <c r="Y155" s="55" t="n"/>
      <c r="Z155" s="55" t="n"/>
      <c r="AA155" s="55" t="n"/>
      <c r="AB155" s="55" t="n"/>
      <c r="AC155" s="55" t="n"/>
      <c r="AD155" s="53" t="n"/>
      <c r="AE155" s="55" t="n"/>
      <c r="AF155" s="55" t="n"/>
      <c r="AG155" s="59" t="n"/>
      <c r="AH155" s="57" t="n"/>
      <c r="AI155" s="55" t="n"/>
      <c r="AJ155" s="55" t="n"/>
      <c r="AK155" s="55" t="n"/>
      <c r="AL155" s="55" t="n"/>
      <c r="AM155" s="56" t="n"/>
      <c r="AN155" s="55" t="n"/>
      <c r="AO155" s="55" t="n"/>
      <c r="AP155" s="55" t="n"/>
      <c r="AQ155" s="55" t="n"/>
      <c r="AR155" s="60">
        <f>IF(AND(C155="",E155=""),"",IF(A155="","⚠ Date manquante",IF(AND(C155="",E155&lt;&gt;"Dépense"),"⚠ Prospect manquant",IF(E155="","⚠ Action manquante",IF(AND(AU155=1,D155=""),"⚠ Canal manquant",IF(AND(W155&lt;&gt;"",COUNTIFS('Saisie'!$W$5:$W$2004,W155,'Saisie'!$C$5:$C$2004,"&lt;&gt;"&amp;C155)&gt;0),"⚠ Numéro déjà utilisé par un autre prospect",IF(AND(J155&lt;&gt;"",J155&lt;A155),"⚠ Relance avant la date de l'action",IF(A155&gt;TODAY(),"⚠ Date dans le futur","✓"))))))))</f>
        <v/>
      </c>
      <c r="AS155" s="61">
        <f>IF(AND(A155="",C155="",E155=""),"",ROW())</f>
        <v/>
      </c>
      <c r="AT155" s="61">
        <f>IF(E155&amp;F155="","",MAX(IFERROR(INDEX('Paramètres'!$J$6:$J$33,MATCH(E155,'Paramètres'!$I$6:$I$33,0)),0),IFERROR(INDEX('Paramètres'!$N$6:$N$17,MATCH(F155,'Paramètres'!$M$6:$M$17,0)),0)))</f>
        <v/>
      </c>
      <c r="AU155" s="61">
        <f>IF(E155="","",IFERROR(IF(INDEX('Paramètres'!$K$6:$K$33,MATCH(E155,'Paramètres'!$I$6:$I$33,0))="Oui",1,0),0))</f>
        <v/>
      </c>
      <c r="AV155" s="61">
        <f>IF(F155="","",IFERROR(IF(INDEX('Paramètres'!$O$6:$O$17,MATCH(F155,'Paramètres'!$M$6:$M$17,0))="Oui",1,0),0))</f>
        <v/>
      </c>
      <c r="AW155" s="62">
        <f>IF(E155="","",IF(G155&lt;&gt;"",G155,IF(OR(E155="Proposition envoyée",E155="Signature"),MAX(0,N(IFERROR(INDEX('Paramètres'!$R$6:$R$15,MATCH(IF(AL155&lt;&gt;"",AL155,IFERROR(INDEX('Prospects'!$AN$5:$AN$504,MATCH(C155,'Prospects'!$C$5:$C$504,0)),"")),'Paramètres'!$Q$6:$Q$15,0)),0))-N(P155)),0)))</f>
        <v/>
      </c>
      <c r="AX155" s="61">
        <f>IF(C155="","",IF(COUNTIF($C$5:C155,C155)=1,MAX($AX$4:AX154)+1,""))</f>
        <v/>
      </c>
      <c r="AY155" s="61">
        <f>IF(B155="","",HOUR(B155))</f>
        <v/>
      </c>
      <c r="AZ155" s="61">
        <f>IF(A155="","",MOD(A155-2,7)+1)</f>
        <v/>
      </c>
      <c r="BA155" s="60">
        <f>IF(C155="","",IFERROR(INDEX('Prospects'!$N$5:$N$504,MATCH(C155,'Prospects'!$C$5:$C$504,0)),""))</f>
        <v/>
      </c>
      <c r="BB155" s="61">
        <f>IF(AND(C155&lt;&gt;"",C155='Fiche prospect'!$C$4),COUNTIF($C$5:C155,C155),"")</f>
        <v/>
      </c>
    </row>
    <row r="156">
      <c r="A156" s="53" t="n"/>
      <c r="B156" s="54" t="n"/>
      <c r="C156" s="55" t="n"/>
      <c r="D156" s="55" t="n"/>
      <c r="E156" s="55" t="n"/>
      <c r="F156" s="55" t="n"/>
      <c r="G156" s="56" t="n"/>
      <c r="H156" s="57" t="n"/>
      <c r="I156" s="55" t="n"/>
      <c r="J156" s="53" t="n"/>
      <c r="K156" s="54" t="n"/>
      <c r="L156" s="55" t="n"/>
      <c r="M156" s="55" t="n"/>
      <c r="N156" s="57" t="n"/>
      <c r="O156" s="55" t="n"/>
      <c r="P156" s="56" t="n"/>
      <c r="Q156" s="55" t="n"/>
      <c r="R156" s="55" t="n"/>
      <c r="S156" s="55" t="n"/>
      <c r="T156" s="55" t="n"/>
      <c r="U156" s="55" t="n"/>
      <c r="V156" s="55" t="n"/>
      <c r="W156" s="58" t="n"/>
      <c r="X156" s="58" t="n"/>
      <c r="Y156" s="55" t="n"/>
      <c r="Z156" s="55" t="n"/>
      <c r="AA156" s="55" t="n"/>
      <c r="AB156" s="55" t="n"/>
      <c r="AC156" s="55" t="n"/>
      <c r="AD156" s="53" t="n"/>
      <c r="AE156" s="55" t="n"/>
      <c r="AF156" s="55" t="n"/>
      <c r="AG156" s="59" t="n"/>
      <c r="AH156" s="57" t="n"/>
      <c r="AI156" s="55" t="n"/>
      <c r="AJ156" s="55" t="n"/>
      <c r="AK156" s="55" t="n"/>
      <c r="AL156" s="55" t="n"/>
      <c r="AM156" s="56" t="n"/>
      <c r="AN156" s="55" t="n"/>
      <c r="AO156" s="55" t="n"/>
      <c r="AP156" s="55" t="n"/>
      <c r="AQ156" s="55" t="n"/>
      <c r="AR156" s="60">
        <f>IF(AND(C156="",E156=""),"",IF(A156="","⚠ Date manquante",IF(AND(C156="",E156&lt;&gt;"Dépense"),"⚠ Prospect manquant",IF(E156="","⚠ Action manquante",IF(AND(AU156=1,D156=""),"⚠ Canal manquant",IF(AND(W156&lt;&gt;"",COUNTIFS('Saisie'!$W$5:$W$2004,W156,'Saisie'!$C$5:$C$2004,"&lt;&gt;"&amp;C156)&gt;0),"⚠ Numéro déjà utilisé par un autre prospect",IF(AND(J156&lt;&gt;"",J156&lt;A156),"⚠ Relance avant la date de l'action",IF(A156&gt;TODAY(),"⚠ Date dans le futur","✓"))))))))</f>
        <v/>
      </c>
      <c r="AS156" s="61">
        <f>IF(AND(A156="",C156="",E156=""),"",ROW())</f>
        <v/>
      </c>
      <c r="AT156" s="61">
        <f>IF(E156&amp;F156="","",MAX(IFERROR(INDEX('Paramètres'!$J$6:$J$33,MATCH(E156,'Paramètres'!$I$6:$I$33,0)),0),IFERROR(INDEX('Paramètres'!$N$6:$N$17,MATCH(F156,'Paramètres'!$M$6:$M$17,0)),0)))</f>
        <v/>
      </c>
      <c r="AU156" s="61">
        <f>IF(E156="","",IFERROR(IF(INDEX('Paramètres'!$K$6:$K$33,MATCH(E156,'Paramètres'!$I$6:$I$33,0))="Oui",1,0),0))</f>
        <v/>
      </c>
      <c r="AV156" s="61">
        <f>IF(F156="","",IFERROR(IF(INDEX('Paramètres'!$O$6:$O$17,MATCH(F156,'Paramètres'!$M$6:$M$17,0))="Oui",1,0),0))</f>
        <v/>
      </c>
      <c r="AW156" s="62">
        <f>IF(E156="","",IF(G156&lt;&gt;"",G156,IF(OR(E156="Proposition envoyée",E156="Signature"),MAX(0,N(IFERROR(INDEX('Paramètres'!$R$6:$R$15,MATCH(IF(AL156&lt;&gt;"",AL156,IFERROR(INDEX('Prospects'!$AN$5:$AN$504,MATCH(C156,'Prospects'!$C$5:$C$504,0)),"")),'Paramètres'!$Q$6:$Q$15,0)),0))-N(P156)),0)))</f>
        <v/>
      </c>
      <c r="AX156" s="61">
        <f>IF(C156="","",IF(COUNTIF($C$5:C156,C156)=1,MAX($AX$4:AX155)+1,""))</f>
        <v/>
      </c>
      <c r="AY156" s="61">
        <f>IF(B156="","",HOUR(B156))</f>
        <v/>
      </c>
      <c r="AZ156" s="61">
        <f>IF(A156="","",MOD(A156-2,7)+1)</f>
        <v/>
      </c>
      <c r="BA156" s="60">
        <f>IF(C156="","",IFERROR(INDEX('Prospects'!$N$5:$N$504,MATCH(C156,'Prospects'!$C$5:$C$504,0)),""))</f>
        <v/>
      </c>
      <c r="BB156" s="61">
        <f>IF(AND(C156&lt;&gt;"",C156='Fiche prospect'!$C$4),COUNTIF($C$5:C156,C156),"")</f>
        <v/>
      </c>
    </row>
    <row r="157">
      <c r="A157" s="53" t="n"/>
      <c r="B157" s="54" t="n"/>
      <c r="C157" s="55" t="n"/>
      <c r="D157" s="55" t="n"/>
      <c r="E157" s="55" t="n"/>
      <c r="F157" s="55" t="n"/>
      <c r="G157" s="56" t="n"/>
      <c r="H157" s="57" t="n"/>
      <c r="I157" s="55" t="n"/>
      <c r="J157" s="53" t="n"/>
      <c r="K157" s="54" t="n"/>
      <c r="L157" s="55" t="n"/>
      <c r="M157" s="55" t="n"/>
      <c r="N157" s="57" t="n"/>
      <c r="O157" s="55" t="n"/>
      <c r="P157" s="56" t="n"/>
      <c r="Q157" s="55" t="n"/>
      <c r="R157" s="55" t="n"/>
      <c r="S157" s="55" t="n"/>
      <c r="T157" s="55" t="n"/>
      <c r="U157" s="55" t="n"/>
      <c r="V157" s="55" t="n"/>
      <c r="W157" s="58" t="n"/>
      <c r="X157" s="58" t="n"/>
      <c r="Y157" s="55" t="n"/>
      <c r="Z157" s="55" t="n"/>
      <c r="AA157" s="55" t="n"/>
      <c r="AB157" s="55" t="n"/>
      <c r="AC157" s="55" t="n"/>
      <c r="AD157" s="53" t="n"/>
      <c r="AE157" s="55" t="n"/>
      <c r="AF157" s="55" t="n"/>
      <c r="AG157" s="59" t="n"/>
      <c r="AH157" s="57" t="n"/>
      <c r="AI157" s="55" t="n"/>
      <c r="AJ157" s="55" t="n"/>
      <c r="AK157" s="55" t="n"/>
      <c r="AL157" s="55" t="n"/>
      <c r="AM157" s="56" t="n"/>
      <c r="AN157" s="55" t="n"/>
      <c r="AO157" s="55" t="n"/>
      <c r="AP157" s="55" t="n"/>
      <c r="AQ157" s="55" t="n"/>
      <c r="AR157" s="60">
        <f>IF(AND(C157="",E157=""),"",IF(A157="","⚠ Date manquante",IF(AND(C157="",E157&lt;&gt;"Dépense"),"⚠ Prospect manquant",IF(E157="","⚠ Action manquante",IF(AND(AU157=1,D157=""),"⚠ Canal manquant",IF(AND(W157&lt;&gt;"",COUNTIFS('Saisie'!$W$5:$W$2004,W157,'Saisie'!$C$5:$C$2004,"&lt;&gt;"&amp;C157)&gt;0),"⚠ Numéro déjà utilisé par un autre prospect",IF(AND(J157&lt;&gt;"",J157&lt;A157),"⚠ Relance avant la date de l'action",IF(A157&gt;TODAY(),"⚠ Date dans le futur","✓"))))))))</f>
        <v/>
      </c>
      <c r="AS157" s="61">
        <f>IF(AND(A157="",C157="",E157=""),"",ROW())</f>
        <v/>
      </c>
      <c r="AT157" s="61">
        <f>IF(E157&amp;F157="","",MAX(IFERROR(INDEX('Paramètres'!$J$6:$J$33,MATCH(E157,'Paramètres'!$I$6:$I$33,0)),0),IFERROR(INDEX('Paramètres'!$N$6:$N$17,MATCH(F157,'Paramètres'!$M$6:$M$17,0)),0)))</f>
        <v/>
      </c>
      <c r="AU157" s="61">
        <f>IF(E157="","",IFERROR(IF(INDEX('Paramètres'!$K$6:$K$33,MATCH(E157,'Paramètres'!$I$6:$I$33,0))="Oui",1,0),0))</f>
        <v/>
      </c>
      <c r="AV157" s="61">
        <f>IF(F157="","",IFERROR(IF(INDEX('Paramètres'!$O$6:$O$17,MATCH(F157,'Paramètres'!$M$6:$M$17,0))="Oui",1,0),0))</f>
        <v/>
      </c>
      <c r="AW157" s="62">
        <f>IF(E157="","",IF(G157&lt;&gt;"",G157,IF(OR(E157="Proposition envoyée",E157="Signature"),MAX(0,N(IFERROR(INDEX('Paramètres'!$R$6:$R$15,MATCH(IF(AL157&lt;&gt;"",AL157,IFERROR(INDEX('Prospects'!$AN$5:$AN$504,MATCH(C157,'Prospects'!$C$5:$C$504,0)),"")),'Paramètres'!$Q$6:$Q$15,0)),0))-N(P157)),0)))</f>
        <v/>
      </c>
      <c r="AX157" s="61">
        <f>IF(C157="","",IF(COUNTIF($C$5:C157,C157)=1,MAX($AX$4:AX156)+1,""))</f>
        <v/>
      </c>
      <c r="AY157" s="61">
        <f>IF(B157="","",HOUR(B157))</f>
        <v/>
      </c>
      <c r="AZ157" s="61">
        <f>IF(A157="","",MOD(A157-2,7)+1)</f>
        <v/>
      </c>
      <c r="BA157" s="60">
        <f>IF(C157="","",IFERROR(INDEX('Prospects'!$N$5:$N$504,MATCH(C157,'Prospects'!$C$5:$C$504,0)),""))</f>
        <v/>
      </c>
      <c r="BB157" s="61">
        <f>IF(AND(C157&lt;&gt;"",C157='Fiche prospect'!$C$4),COUNTIF($C$5:C157,C157),"")</f>
        <v/>
      </c>
    </row>
    <row r="158">
      <c r="A158" s="53" t="n"/>
      <c r="B158" s="54" t="n"/>
      <c r="C158" s="55" t="n"/>
      <c r="D158" s="55" t="n"/>
      <c r="E158" s="55" t="n"/>
      <c r="F158" s="55" t="n"/>
      <c r="G158" s="56" t="n"/>
      <c r="H158" s="57" t="n"/>
      <c r="I158" s="55" t="n"/>
      <c r="J158" s="53" t="n"/>
      <c r="K158" s="54" t="n"/>
      <c r="L158" s="55" t="n"/>
      <c r="M158" s="55" t="n"/>
      <c r="N158" s="57" t="n"/>
      <c r="O158" s="55" t="n"/>
      <c r="P158" s="56" t="n"/>
      <c r="Q158" s="55" t="n"/>
      <c r="R158" s="55" t="n"/>
      <c r="S158" s="55" t="n"/>
      <c r="T158" s="55" t="n"/>
      <c r="U158" s="55" t="n"/>
      <c r="V158" s="55" t="n"/>
      <c r="W158" s="58" t="n"/>
      <c r="X158" s="58" t="n"/>
      <c r="Y158" s="55" t="n"/>
      <c r="Z158" s="55" t="n"/>
      <c r="AA158" s="55" t="n"/>
      <c r="AB158" s="55" t="n"/>
      <c r="AC158" s="55" t="n"/>
      <c r="AD158" s="53" t="n"/>
      <c r="AE158" s="55" t="n"/>
      <c r="AF158" s="55" t="n"/>
      <c r="AG158" s="59" t="n"/>
      <c r="AH158" s="57" t="n"/>
      <c r="AI158" s="55" t="n"/>
      <c r="AJ158" s="55" t="n"/>
      <c r="AK158" s="55" t="n"/>
      <c r="AL158" s="55" t="n"/>
      <c r="AM158" s="56" t="n"/>
      <c r="AN158" s="55" t="n"/>
      <c r="AO158" s="55" t="n"/>
      <c r="AP158" s="55" t="n"/>
      <c r="AQ158" s="55" t="n"/>
      <c r="AR158" s="60">
        <f>IF(AND(C158="",E158=""),"",IF(A158="","⚠ Date manquante",IF(AND(C158="",E158&lt;&gt;"Dépense"),"⚠ Prospect manquant",IF(E158="","⚠ Action manquante",IF(AND(AU158=1,D158=""),"⚠ Canal manquant",IF(AND(W158&lt;&gt;"",COUNTIFS('Saisie'!$W$5:$W$2004,W158,'Saisie'!$C$5:$C$2004,"&lt;&gt;"&amp;C158)&gt;0),"⚠ Numéro déjà utilisé par un autre prospect",IF(AND(J158&lt;&gt;"",J158&lt;A158),"⚠ Relance avant la date de l'action",IF(A158&gt;TODAY(),"⚠ Date dans le futur","✓"))))))))</f>
        <v/>
      </c>
      <c r="AS158" s="61">
        <f>IF(AND(A158="",C158="",E158=""),"",ROW())</f>
        <v/>
      </c>
      <c r="AT158" s="61">
        <f>IF(E158&amp;F158="","",MAX(IFERROR(INDEX('Paramètres'!$J$6:$J$33,MATCH(E158,'Paramètres'!$I$6:$I$33,0)),0),IFERROR(INDEX('Paramètres'!$N$6:$N$17,MATCH(F158,'Paramètres'!$M$6:$M$17,0)),0)))</f>
        <v/>
      </c>
      <c r="AU158" s="61">
        <f>IF(E158="","",IFERROR(IF(INDEX('Paramètres'!$K$6:$K$33,MATCH(E158,'Paramètres'!$I$6:$I$33,0))="Oui",1,0),0))</f>
        <v/>
      </c>
      <c r="AV158" s="61">
        <f>IF(F158="","",IFERROR(IF(INDEX('Paramètres'!$O$6:$O$17,MATCH(F158,'Paramètres'!$M$6:$M$17,0))="Oui",1,0),0))</f>
        <v/>
      </c>
      <c r="AW158" s="62">
        <f>IF(E158="","",IF(G158&lt;&gt;"",G158,IF(OR(E158="Proposition envoyée",E158="Signature"),MAX(0,N(IFERROR(INDEX('Paramètres'!$R$6:$R$15,MATCH(IF(AL158&lt;&gt;"",AL158,IFERROR(INDEX('Prospects'!$AN$5:$AN$504,MATCH(C158,'Prospects'!$C$5:$C$504,0)),"")),'Paramètres'!$Q$6:$Q$15,0)),0))-N(P158)),0)))</f>
        <v/>
      </c>
      <c r="AX158" s="61">
        <f>IF(C158="","",IF(COUNTIF($C$5:C158,C158)=1,MAX($AX$4:AX157)+1,""))</f>
        <v/>
      </c>
      <c r="AY158" s="61">
        <f>IF(B158="","",HOUR(B158))</f>
        <v/>
      </c>
      <c r="AZ158" s="61">
        <f>IF(A158="","",MOD(A158-2,7)+1)</f>
        <v/>
      </c>
      <c r="BA158" s="60">
        <f>IF(C158="","",IFERROR(INDEX('Prospects'!$N$5:$N$504,MATCH(C158,'Prospects'!$C$5:$C$504,0)),""))</f>
        <v/>
      </c>
      <c r="BB158" s="61">
        <f>IF(AND(C158&lt;&gt;"",C158='Fiche prospect'!$C$4),COUNTIF($C$5:C158,C158),"")</f>
        <v/>
      </c>
    </row>
    <row r="159">
      <c r="A159" s="53" t="n"/>
      <c r="B159" s="54" t="n"/>
      <c r="C159" s="55" t="n"/>
      <c r="D159" s="55" t="n"/>
      <c r="E159" s="55" t="n"/>
      <c r="F159" s="55" t="n"/>
      <c r="G159" s="56" t="n"/>
      <c r="H159" s="57" t="n"/>
      <c r="I159" s="55" t="n"/>
      <c r="J159" s="53" t="n"/>
      <c r="K159" s="54" t="n"/>
      <c r="L159" s="55" t="n"/>
      <c r="M159" s="55" t="n"/>
      <c r="N159" s="57" t="n"/>
      <c r="O159" s="55" t="n"/>
      <c r="P159" s="56" t="n"/>
      <c r="Q159" s="55" t="n"/>
      <c r="R159" s="55" t="n"/>
      <c r="S159" s="55" t="n"/>
      <c r="T159" s="55" t="n"/>
      <c r="U159" s="55" t="n"/>
      <c r="V159" s="55" t="n"/>
      <c r="W159" s="58" t="n"/>
      <c r="X159" s="58" t="n"/>
      <c r="Y159" s="55" t="n"/>
      <c r="Z159" s="55" t="n"/>
      <c r="AA159" s="55" t="n"/>
      <c r="AB159" s="55" t="n"/>
      <c r="AC159" s="55" t="n"/>
      <c r="AD159" s="53" t="n"/>
      <c r="AE159" s="55" t="n"/>
      <c r="AF159" s="55" t="n"/>
      <c r="AG159" s="59" t="n"/>
      <c r="AH159" s="57" t="n"/>
      <c r="AI159" s="55" t="n"/>
      <c r="AJ159" s="55" t="n"/>
      <c r="AK159" s="55" t="n"/>
      <c r="AL159" s="55" t="n"/>
      <c r="AM159" s="56" t="n"/>
      <c r="AN159" s="55" t="n"/>
      <c r="AO159" s="55" t="n"/>
      <c r="AP159" s="55" t="n"/>
      <c r="AQ159" s="55" t="n"/>
      <c r="AR159" s="60">
        <f>IF(AND(C159="",E159=""),"",IF(A159="","⚠ Date manquante",IF(AND(C159="",E159&lt;&gt;"Dépense"),"⚠ Prospect manquant",IF(E159="","⚠ Action manquante",IF(AND(AU159=1,D159=""),"⚠ Canal manquant",IF(AND(W159&lt;&gt;"",COUNTIFS('Saisie'!$W$5:$W$2004,W159,'Saisie'!$C$5:$C$2004,"&lt;&gt;"&amp;C159)&gt;0),"⚠ Numéro déjà utilisé par un autre prospect",IF(AND(J159&lt;&gt;"",J159&lt;A159),"⚠ Relance avant la date de l'action",IF(A159&gt;TODAY(),"⚠ Date dans le futur","✓"))))))))</f>
        <v/>
      </c>
      <c r="AS159" s="61">
        <f>IF(AND(A159="",C159="",E159=""),"",ROW())</f>
        <v/>
      </c>
      <c r="AT159" s="61">
        <f>IF(E159&amp;F159="","",MAX(IFERROR(INDEX('Paramètres'!$J$6:$J$33,MATCH(E159,'Paramètres'!$I$6:$I$33,0)),0),IFERROR(INDEX('Paramètres'!$N$6:$N$17,MATCH(F159,'Paramètres'!$M$6:$M$17,0)),0)))</f>
        <v/>
      </c>
      <c r="AU159" s="61">
        <f>IF(E159="","",IFERROR(IF(INDEX('Paramètres'!$K$6:$K$33,MATCH(E159,'Paramètres'!$I$6:$I$33,0))="Oui",1,0),0))</f>
        <v/>
      </c>
      <c r="AV159" s="61">
        <f>IF(F159="","",IFERROR(IF(INDEX('Paramètres'!$O$6:$O$17,MATCH(F159,'Paramètres'!$M$6:$M$17,0))="Oui",1,0),0))</f>
        <v/>
      </c>
      <c r="AW159" s="62">
        <f>IF(E159="","",IF(G159&lt;&gt;"",G159,IF(OR(E159="Proposition envoyée",E159="Signature"),MAX(0,N(IFERROR(INDEX('Paramètres'!$R$6:$R$15,MATCH(IF(AL159&lt;&gt;"",AL159,IFERROR(INDEX('Prospects'!$AN$5:$AN$504,MATCH(C159,'Prospects'!$C$5:$C$504,0)),"")),'Paramètres'!$Q$6:$Q$15,0)),0))-N(P159)),0)))</f>
        <v/>
      </c>
      <c r="AX159" s="61">
        <f>IF(C159="","",IF(COUNTIF($C$5:C159,C159)=1,MAX($AX$4:AX158)+1,""))</f>
        <v/>
      </c>
      <c r="AY159" s="61">
        <f>IF(B159="","",HOUR(B159))</f>
        <v/>
      </c>
      <c r="AZ159" s="61">
        <f>IF(A159="","",MOD(A159-2,7)+1)</f>
        <v/>
      </c>
      <c r="BA159" s="60">
        <f>IF(C159="","",IFERROR(INDEX('Prospects'!$N$5:$N$504,MATCH(C159,'Prospects'!$C$5:$C$504,0)),""))</f>
        <v/>
      </c>
      <c r="BB159" s="61">
        <f>IF(AND(C159&lt;&gt;"",C159='Fiche prospect'!$C$4),COUNTIF($C$5:C159,C159),"")</f>
        <v/>
      </c>
    </row>
    <row r="160">
      <c r="A160" s="53" t="n"/>
      <c r="B160" s="54" t="n"/>
      <c r="C160" s="55" t="n"/>
      <c r="D160" s="55" t="n"/>
      <c r="E160" s="55" t="n"/>
      <c r="F160" s="55" t="n"/>
      <c r="G160" s="56" t="n"/>
      <c r="H160" s="57" t="n"/>
      <c r="I160" s="55" t="n"/>
      <c r="J160" s="53" t="n"/>
      <c r="K160" s="54" t="n"/>
      <c r="L160" s="55" t="n"/>
      <c r="M160" s="55" t="n"/>
      <c r="N160" s="57" t="n"/>
      <c r="O160" s="55" t="n"/>
      <c r="P160" s="56" t="n"/>
      <c r="Q160" s="55" t="n"/>
      <c r="R160" s="55" t="n"/>
      <c r="S160" s="55" t="n"/>
      <c r="T160" s="55" t="n"/>
      <c r="U160" s="55" t="n"/>
      <c r="V160" s="55" t="n"/>
      <c r="W160" s="58" t="n"/>
      <c r="X160" s="58" t="n"/>
      <c r="Y160" s="55" t="n"/>
      <c r="Z160" s="55" t="n"/>
      <c r="AA160" s="55" t="n"/>
      <c r="AB160" s="55" t="n"/>
      <c r="AC160" s="55" t="n"/>
      <c r="AD160" s="53" t="n"/>
      <c r="AE160" s="55" t="n"/>
      <c r="AF160" s="55" t="n"/>
      <c r="AG160" s="59" t="n"/>
      <c r="AH160" s="57" t="n"/>
      <c r="AI160" s="55" t="n"/>
      <c r="AJ160" s="55" t="n"/>
      <c r="AK160" s="55" t="n"/>
      <c r="AL160" s="55" t="n"/>
      <c r="AM160" s="56" t="n"/>
      <c r="AN160" s="55" t="n"/>
      <c r="AO160" s="55" t="n"/>
      <c r="AP160" s="55" t="n"/>
      <c r="AQ160" s="55" t="n"/>
      <c r="AR160" s="60">
        <f>IF(AND(C160="",E160=""),"",IF(A160="","⚠ Date manquante",IF(AND(C160="",E160&lt;&gt;"Dépense"),"⚠ Prospect manquant",IF(E160="","⚠ Action manquante",IF(AND(AU160=1,D160=""),"⚠ Canal manquant",IF(AND(W160&lt;&gt;"",COUNTIFS('Saisie'!$W$5:$W$2004,W160,'Saisie'!$C$5:$C$2004,"&lt;&gt;"&amp;C160)&gt;0),"⚠ Numéro déjà utilisé par un autre prospect",IF(AND(J160&lt;&gt;"",J160&lt;A160),"⚠ Relance avant la date de l'action",IF(A160&gt;TODAY(),"⚠ Date dans le futur","✓"))))))))</f>
        <v/>
      </c>
      <c r="AS160" s="61">
        <f>IF(AND(A160="",C160="",E160=""),"",ROW())</f>
        <v/>
      </c>
      <c r="AT160" s="61">
        <f>IF(E160&amp;F160="","",MAX(IFERROR(INDEX('Paramètres'!$J$6:$J$33,MATCH(E160,'Paramètres'!$I$6:$I$33,0)),0),IFERROR(INDEX('Paramètres'!$N$6:$N$17,MATCH(F160,'Paramètres'!$M$6:$M$17,0)),0)))</f>
        <v/>
      </c>
      <c r="AU160" s="61">
        <f>IF(E160="","",IFERROR(IF(INDEX('Paramètres'!$K$6:$K$33,MATCH(E160,'Paramètres'!$I$6:$I$33,0))="Oui",1,0),0))</f>
        <v/>
      </c>
      <c r="AV160" s="61">
        <f>IF(F160="","",IFERROR(IF(INDEX('Paramètres'!$O$6:$O$17,MATCH(F160,'Paramètres'!$M$6:$M$17,0))="Oui",1,0),0))</f>
        <v/>
      </c>
      <c r="AW160" s="62">
        <f>IF(E160="","",IF(G160&lt;&gt;"",G160,IF(OR(E160="Proposition envoyée",E160="Signature"),MAX(0,N(IFERROR(INDEX('Paramètres'!$R$6:$R$15,MATCH(IF(AL160&lt;&gt;"",AL160,IFERROR(INDEX('Prospects'!$AN$5:$AN$504,MATCH(C160,'Prospects'!$C$5:$C$504,0)),"")),'Paramètres'!$Q$6:$Q$15,0)),0))-N(P160)),0)))</f>
        <v/>
      </c>
      <c r="AX160" s="61">
        <f>IF(C160="","",IF(COUNTIF($C$5:C160,C160)=1,MAX($AX$4:AX159)+1,""))</f>
        <v/>
      </c>
      <c r="AY160" s="61">
        <f>IF(B160="","",HOUR(B160))</f>
        <v/>
      </c>
      <c r="AZ160" s="61">
        <f>IF(A160="","",MOD(A160-2,7)+1)</f>
        <v/>
      </c>
      <c r="BA160" s="60">
        <f>IF(C160="","",IFERROR(INDEX('Prospects'!$N$5:$N$504,MATCH(C160,'Prospects'!$C$5:$C$504,0)),""))</f>
        <v/>
      </c>
      <c r="BB160" s="61">
        <f>IF(AND(C160&lt;&gt;"",C160='Fiche prospect'!$C$4),COUNTIF($C$5:C160,C160),"")</f>
        <v/>
      </c>
    </row>
    <row r="161">
      <c r="A161" s="53" t="n"/>
      <c r="B161" s="54" t="n"/>
      <c r="C161" s="55" t="n"/>
      <c r="D161" s="55" t="n"/>
      <c r="E161" s="55" t="n"/>
      <c r="F161" s="55" t="n"/>
      <c r="G161" s="56" t="n"/>
      <c r="H161" s="57" t="n"/>
      <c r="I161" s="55" t="n"/>
      <c r="J161" s="53" t="n"/>
      <c r="K161" s="54" t="n"/>
      <c r="L161" s="55" t="n"/>
      <c r="M161" s="55" t="n"/>
      <c r="N161" s="57" t="n"/>
      <c r="O161" s="55" t="n"/>
      <c r="P161" s="56" t="n"/>
      <c r="Q161" s="55" t="n"/>
      <c r="R161" s="55" t="n"/>
      <c r="S161" s="55" t="n"/>
      <c r="T161" s="55" t="n"/>
      <c r="U161" s="55" t="n"/>
      <c r="V161" s="55" t="n"/>
      <c r="W161" s="58" t="n"/>
      <c r="X161" s="58" t="n"/>
      <c r="Y161" s="55" t="n"/>
      <c r="Z161" s="55" t="n"/>
      <c r="AA161" s="55" t="n"/>
      <c r="AB161" s="55" t="n"/>
      <c r="AC161" s="55" t="n"/>
      <c r="AD161" s="53" t="n"/>
      <c r="AE161" s="55" t="n"/>
      <c r="AF161" s="55" t="n"/>
      <c r="AG161" s="59" t="n"/>
      <c r="AH161" s="57" t="n"/>
      <c r="AI161" s="55" t="n"/>
      <c r="AJ161" s="55" t="n"/>
      <c r="AK161" s="55" t="n"/>
      <c r="AL161" s="55" t="n"/>
      <c r="AM161" s="56" t="n"/>
      <c r="AN161" s="55" t="n"/>
      <c r="AO161" s="55" t="n"/>
      <c r="AP161" s="55" t="n"/>
      <c r="AQ161" s="55" t="n"/>
      <c r="AR161" s="60">
        <f>IF(AND(C161="",E161=""),"",IF(A161="","⚠ Date manquante",IF(AND(C161="",E161&lt;&gt;"Dépense"),"⚠ Prospect manquant",IF(E161="","⚠ Action manquante",IF(AND(AU161=1,D161=""),"⚠ Canal manquant",IF(AND(W161&lt;&gt;"",COUNTIFS('Saisie'!$W$5:$W$2004,W161,'Saisie'!$C$5:$C$2004,"&lt;&gt;"&amp;C161)&gt;0),"⚠ Numéro déjà utilisé par un autre prospect",IF(AND(J161&lt;&gt;"",J161&lt;A161),"⚠ Relance avant la date de l'action",IF(A161&gt;TODAY(),"⚠ Date dans le futur","✓"))))))))</f>
        <v/>
      </c>
      <c r="AS161" s="61">
        <f>IF(AND(A161="",C161="",E161=""),"",ROW())</f>
        <v/>
      </c>
      <c r="AT161" s="61">
        <f>IF(E161&amp;F161="","",MAX(IFERROR(INDEX('Paramètres'!$J$6:$J$33,MATCH(E161,'Paramètres'!$I$6:$I$33,0)),0),IFERROR(INDEX('Paramètres'!$N$6:$N$17,MATCH(F161,'Paramètres'!$M$6:$M$17,0)),0)))</f>
        <v/>
      </c>
      <c r="AU161" s="61">
        <f>IF(E161="","",IFERROR(IF(INDEX('Paramètres'!$K$6:$K$33,MATCH(E161,'Paramètres'!$I$6:$I$33,0))="Oui",1,0),0))</f>
        <v/>
      </c>
      <c r="AV161" s="61">
        <f>IF(F161="","",IFERROR(IF(INDEX('Paramètres'!$O$6:$O$17,MATCH(F161,'Paramètres'!$M$6:$M$17,0))="Oui",1,0),0))</f>
        <v/>
      </c>
      <c r="AW161" s="62">
        <f>IF(E161="","",IF(G161&lt;&gt;"",G161,IF(OR(E161="Proposition envoyée",E161="Signature"),MAX(0,N(IFERROR(INDEX('Paramètres'!$R$6:$R$15,MATCH(IF(AL161&lt;&gt;"",AL161,IFERROR(INDEX('Prospects'!$AN$5:$AN$504,MATCH(C161,'Prospects'!$C$5:$C$504,0)),"")),'Paramètres'!$Q$6:$Q$15,0)),0))-N(P161)),0)))</f>
        <v/>
      </c>
      <c r="AX161" s="61">
        <f>IF(C161="","",IF(COUNTIF($C$5:C161,C161)=1,MAX($AX$4:AX160)+1,""))</f>
        <v/>
      </c>
      <c r="AY161" s="61">
        <f>IF(B161="","",HOUR(B161))</f>
        <v/>
      </c>
      <c r="AZ161" s="61">
        <f>IF(A161="","",MOD(A161-2,7)+1)</f>
        <v/>
      </c>
      <c r="BA161" s="60">
        <f>IF(C161="","",IFERROR(INDEX('Prospects'!$N$5:$N$504,MATCH(C161,'Prospects'!$C$5:$C$504,0)),""))</f>
        <v/>
      </c>
      <c r="BB161" s="61">
        <f>IF(AND(C161&lt;&gt;"",C161='Fiche prospect'!$C$4),COUNTIF($C$5:C161,C161),"")</f>
        <v/>
      </c>
    </row>
    <row r="162">
      <c r="A162" s="53" t="n"/>
      <c r="B162" s="54" t="n"/>
      <c r="C162" s="55" t="n"/>
      <c r="D162" s="55" t="n"/>
      <c r="E162" s="55" t="n"/>
      <c r="F162" s="55" t="n"/>
      <c r="G162" s="56" t="n"/>
      <c r="H162" s="57" t="n"/>
      <c r="I162" s="55" t="n"/>
      <c r="J162" s="53" t="n"/>
      <c r="K162" s="54" t="n"/>
      <c r="L162" s="55" t="n"/>
      <c r="M162" s="55" t="n"/>
      <c r="N162" s="57" t="n"/>
      <c r="O162" s="55" t="n"/>
      <c r="P162" s="56" t="n"/>
      <c r="Q162" s="55" t="n"/>
      <c r="R162" s="55" t="n"/>
      <c r="S162" s="55" t="n"/>
      <c r="T162" s="55" t="n"/>
      <c r="U162" s="55" t="n"/>
      <c r="V162" s="55" t="n"/>
      <c r="W162" s="58" t="n"/>
      <c r="X162" s="58" t="n"/>
      <c r="Y162" s="55" t="n"/>
      <c r="Z162" s="55" t="n"/>
      <c r="AA162" s="55" t="n"/>
      <c r="AB162" s="55" t="n"/>
      <c r="AC162" s="55" t="n"/>
      <c r="AD162" s="53" t="n"/>
      <c r="AE162" s="55" t="n"/>
      <c r="AF162" s="55" t="n"/>
      <c r="AG162" s="59" t="n"/>
      <c r="AH162" s="57" t="n"/>
      <c r="AI162" s="55" t="n"/>
      <c r="AJ162" s="55" t="n"/>
      <c r="AK162" s="55" t="n"/>
      <c r="AL162" s="55" t="n"/>
      <c r="AM162" s="56" t="n"/>
      <c r="AN162" s="55" t="n"/>
      <c r="AO162" s="55" t="n"/>
      <c r="AP162" s="55" t="n"/>
      <c r="AQ162" s="55" t="n"/>
      <c r="AR162" s="60">
        <f>IF(AND(C162="",E162=""),"",IF(A162="","⚠ Date manquante",IF(AND(C162="",E162&lt;&gt;"Dépense"),"⚠ Prospect manquant",IF(E162="","⚠ Action manquante",IF(AND(AU162=1,D162=""),"⚠ Canal manquant",IF(AND(W162&lt;&gt;"",COUNTIFS('Saisie'!$W$5:$W$2004,W162,'Saisie'!$C$5:$C$2004,"&lt;&gt;"&amp;C162)&gt;0),"⚠ Numéro déjà utilisé par un autre prospect",IF(AND(J162&lt;&gt;"",J162&lt;A162),"⚠ Relance avant la date de l'action",IF(A162&gt;TODAY(),"⚠ Date dans le futur","✓"))))))))</f>
        <v/>
      </c>
      <c r="AS162" s="61">
        <f>IF(AND(A162="",C162="",E162=""),"",ROW())</f>
        <v/>
      </c>
      <c r="AT162" s="61">
        <f>IF(E162&amp;F162="","",MAX(IFERROR(INDEX('Paramètres'!$J$6:$J$33,MATCH(E162,'Paramètres'!$I$6:$I$33,0)),0),IFERROR(INDEX('Paramètres'!$N$6:$N$17,MATCH(F162,'Paramètres'!$M$6:$M$17,0)),0)))</f>
        <v/>
      </c>
      <c r="AU162" s="61">
        <f>IF(E162="","",IFERROR(IF(INDEX('Paramètres'!$K$6:$K$33,MATCH(E162,'Paramètres'!$I$6:$I$33,0))="Oui",1,0),0))</f>
        <v/>
      </c>
      <c r="AV162" s="61">
        <f>IF(F162="","",IFERROR(IF(INDEX('Paramètres'!$O$6:$O$17,MATCH(F162,'Paramètres'!$M$6:$M$17,0))="Oui",1,0),0))</f>
        <v/>
      </c>
      <c r="AW162" s="62">
        <f>IF(E162="","",IF(G162&lt;&gt;"",G162,IF(OR(E162="Proposition envoyée",E162="Signature"),MAX(0,N(IFERROR(INDEX('Paramètres'!$R$6:$R$15,MATCH(IF(AL162&lt;&gt;"",AL162,IFERROR(INDEX('Prospects'!$AN$5:$AN$504,MATCH(C162,'Prospects'!$C$5:$C$504,0)),"")),'Paramètres'!$Q$6:$Q$15,0)),0))-N(P162)),0)))</f>
        <v/>
      </c>
      <c r="AX162" s="61">
        <f>IF(C162="","",IF(COUNTIF($C$5:C162,C162)=1,MAX($AX$4:AX161)+1,""))</f>
        <v/>
      </c>
      <c r="AY162" s="61">
        <f>IF(B162="","",HOUR(B162))</f>
        <v/>
      </c>
      <c r="AZ162" s="61">
        <f>IF(A162="","",MOD(A162-2,7)+1)</f>
        <v/>
      </c>
      <c r="BA162" s="60">
        <f>IF(C162="","",IFERROR(INDEX('Prospects'!$N$5:$N$504,MATCH(C162,'Prospects'!$C$5:$C$504,0)),""))</f>
        <v/>
      </c>
      <c r="BB162" s="61">
        <f>IF(AND(C162&lt;&gt;"",C162='Fiche prospect'!$C$4),COUNTIF($C$5:C162,C162),"")</f>
        <v/>
      </c>
    </row>
    <row r="163">
      <c r="A163" s="53" t="n"/>
      <c r="B163" s="54" t="n"/>
      <c r="C163" s="55" t="n"/>
      <c r="D163" s="55" t="n"/>
      <c r="E163" s="55" t="n"/>
      <c r="F163" s="55" t="n"/>
      <c r="G163" s="56" t="n"/>
      <c r="H163" s="57" t="n"/>
      <c r="I163" s="55" t="n"/>
      <c r="J163" s="53" t="n"/>
      <c r="K163" s="54" t="n"/>
      <c r="L163" s="55" t="n"/>
      <c r="M163" s="55" t="n"/>
      <c r="N163" s="57" t="n"/>
      <c r="O163" s="55" t="n"/>
      <c r="P163" s="56" t="n"/>
      <c r="Q163" s="55" t="n"/>
      <c r="R163" s="55" t="n"/>
      <c r="S163" s="55" t="n"/>
      <c r="T163" s="55" t="n"/>
      <c r="U163" s="55" t="n"/>
      <c r="V163" s="55" t="n"/>
      <c r="W163" s="58" t="n"/>
      <c r="X163" s="58" t="n"/>
      <c r="Y163" s="55" t="n"/>
      <c r="Z163" s="55" t="n"/>
      <c r="AA163" s="55" t="n"/>
      <c r="AB163" s="55" t="n"/>
      <c r="AC163" s="55" t="n"/>
      <c r="AD163" s="53" t="n"/>
      <c r="AE163" s="55" t="n"/>
      <c r="AF163" s="55" t="n"/>
      <c r="AG163" s="59" t="n"/>
      <c r="AH163" s="57" t="n"/>
      <c r="AI163" s="55" t="n"/>
      <c r="AJ163" s="55" t="n"/>
      <c r="AK163" s="55" t="n"/>
      <c r="AL163" s="55" t="n"/>
      <c r="AM163" s="56" t="n"/>
      <c r="AN163" s="55" t="n"/>
      <c r="AO163" s="55" t="n"/>
      <c r="AP163" s="55" t="n"/>
      <c r="AQ163" s="55" t="n"/>
      <c r="AR163" s="60">
        <f>IF(AND(C163="",E163=""),"",IF(A163="","⚠ Date manquante",IF(AND(C163="",E163&lt;&gt;"Dépense"),"⚠ Prospect manquant",IF(E163="","⚠ Action manquante",IF(AND(AU163=1,D163=""),"⚠ Canal manquant",IF(AND(W163&lt;&gt;"",COUNTIFS('Saisie'!$W$5:$W$2004,W163,'Saisie'!$C$5:$C$2004,"&lt;&gt;"&amp;C163)&gt;0),"⚠ Numéro déjà utilisé par un autre prospect",IF(AND(J163&lt;&gt;"",J163&lt;A163),"⚠ Relance avant la date de l'action",IF(A163&gt;TODAY(),"⚠ Date dans le futur","✓"))))))))</f>
        <v/>
      </c>
      <c r="AS163" s="61">
        <f>IF(AND(A163="",C163="",E163=""),"",ROW())</f>
        <v/>
      </c>
      <c r="AT163" s="61">
        <f>IF(E163&amp;F163="","",MAX(IFERROR(INDEX('Paramètres'!$J$6:$J$33,MATCH(E163,'Paramètres'!$I$6:$I$33,0)),0),IFERROR(INDEX('Paramètres'!$N$6:$N$17,MATCH(F163,'Paramètres'!$M$6:$M$17,0)),0)))</f>
        <v/>
      </c>
      <c r="AU163" s="61">
        <f>IF(E163="","",IFERROR(IF(INDEX('Paramètres'!$K$6:$K$33,MATCH(E163,'Paramètres'!$I$6:$I$33,0))="Oui",1,0),0))</f>
        <v/>
      </c>
      <c r="AV163" s="61">
        <f>IF(F163="","",IFERROR(IF(INDEX('Paramètres'!$O$6:$O$17,MATCH(F163,'Paramètres'!$M$6:$M$17,0))="Oui",1,0),0))</f>
        <v/>
      </c>
      <c r="AW163" s="62">
        <f>IF(E163="","",IF(G163&lt;&gt;"",G163,IF(OR(E163="Proposition envoyée",E163="Signature"),MAX(0,N(IFERROR(INDEX('Paramètres'!$R$6:$R$15,MATCH(IF(AL163&lt;&gt;"",AL163,IFERROR(INDEX('Prospects'!$AN$5:$AN$504,MATCH(C163,'Prospects'!$C$5:$C$504,0)),"")),'Paramètres'!$Q$6:$Q$15,0)),0))-N(P163)),0)))</f>
        <v/>
      </c>
      <c r="AX163" s="61">
        <f>IF(C163="","",IF(COUNTIF($C$5:C163,C163)=1,MAX($AX$4:AX162)+1,""))</f>
        <v/>
      </c>
      <c r="AY163" s="61">
        <f>IF(B163="","",HOUR(B163))</f>
        <v/>
      </c>
      <c r="AZ163" s="61">
        <f>IF(A163="","",MOD(A163-2,7)+1)</f>
        <v/>
      </c>
      <c r="BA163" s="60">
        <f>IF(C163="","",IFERROR(INDEX('Prospects'!$N$5:$N$504,MATCH(C163,'Prospects'!$C$5:$C$504,0)),""))</f>
        <v/>
      </c>
      <c r="BB163" s="61">
        <f>IF(AND(C163&lt;&gt;"",C163='Fiche prospect'!$C$4),COUNTIF($C$5:C163,C163),"")</f>
        <v/>
      </c>
    </row>
    <row r="164">
      <c r="A164" s="53" t="n"/>
      <c r="B164" s="54" t="n"/>
      <c r="C164" s="55" t="n"/>
      <c r="D164" s="55" t="n"/>
      <c r="E164" s="55" t="n"/>
      <c r="F164" s="55" t="n"/>
      <c r="G164" s="56" t="n"/>
      <c r="H164" s="57" t="n"/>
      <c r="I164" s="55" t="n"/>
      <c r="J164" s="53" t="n"/>
      <c r="K164" s="54" t="n"/>
      <c r="L164" s="55" t="n"/>
      <c r="M164" s="55" t="n"/>
      <c r="N164" s="57" t="n"/>
      <c r="O164" s="55" t="n"/>
      <c r="P164" s="56" t="n"/>
      <c r="Q164" s="55" t="n"/>
      <c r="R164" s="55" t="n"/>
      <c r="S164" s="55" t="n"/>
      <c r="T164" s="55" t="n"/>
      <c r="U164" s="55" t="n"/>
      <c r="V164" s="55" t="n"/>
      <c r="W164" s="58" t="n"/>
      <c r="X164" s="58" t="n"/>
      <c r="Y164" s="55" t="n"/>
      <c r="Z164" s="55" t="n"/>
      <c r="AA164" s="55" t="n"/>
      <c r="AB164" s="55" t="n"/>
      <c r="AC164" s="55" t="n"/>
      <c r="AD164" s="53" t="n"/>
      <c r="AE164" s="55" t="n"/>
      <c r="AF164" s="55" t="n"/>
      <c r="AG164" s="59" t="n"/>
      <c r="AH164" s="57" t="n"/>
      <c r="AI164" s="55" t="n"/>
      <c r="AJ164" s="55" t="n"/>
      <c r="AK164" s="55" t="n"/>
      <c r="AL164" s="55" t="n"/>
      <c r="AM164" s="56" t="n"/>
      <c r="AN164" s="55" t="n"/>
      <c r="AO164" s="55" t="n"/>
      <c r="AP164" s="55" t="n"/>
      <c r="AQ164" s="55" t="n"/>
      <c r="AR164" s="60">
        <f>IF(AND(C164="",E164=""),"",IF(A164="","⚠ Date manquante",IF(AND(C164="",E164&lt;&gt;"Dépense"),"⚠ Prospect manquant",IF(E164="","⚠ Action manquante",IF(AND(AU164=1,D164=""),"⚠ Canal manquant",IF(AND(W164&lt;&gt;"",COUNTIFS('Saisie'!$W$5:$W$2004,W164,'Saisie'!$C$5:$C$2004,"&lt;&gt;"&amp;C164)&gt;0),"⚠ Numéro déjà utilisé par un autre prospect",IF(AND(J164&lt;&gt;"",J164&lt;A164),"⚠ Relance avant la date de l'action",IF(A164&gt;TODAY(),"⚠ Date dans le futur","✓"))))))))</f>
        <v/>
      </c>
      <c r="AS164" s="61">
        <f>IF(AND(A164="",C164="",E164=""),"",ROW())</f>
        <v/>
      </c>
      <c r="AT164" s="61">
        <f>IF(E164&amp;F164="","",MAX(IFERROR(INDEX('Paramètres'!$J$6:$J$33,MATCH(E164,'Paramètres'!$I$6:$I$33,0)),0),IFERROR(INDEX('Paramètres'!$N$6:$N$17,MATCH(F164,'Paramètres'!$M$6:$M$17,0)),0)))</f>
        <v/>
      </c>
      <c r="AU164" s="61">
        <f>IF(E164="","",IFERROR(IF(INDEX('Paramètres'!$K$6:$K$33,MATCH(E164,'Paramètres'!$I$6:$I$33,0))="Oui",1,0),0))</f>
        <v/>
      </c>
      <c r="AV164" s="61">
        <f>IF(F164="","",IFERROR(IF(INDEX('Paramètres'!$O$6:$O$17,MATCH(F164,'Paramètres'!$M$6:$M$17,0))="Oui",1,0),0))</f>
        <v/>
      </c>
      <c r="AW164" s="62">
        <f>IF(E164="","",IF(G164&lt;&gt;"",G164,IF(OR(E164="Proposition envoyée",E164="Signature"),MAX(0,N(IFERROR(INDEX('Paramètres'!$R$6:$R$15,MATCH(IF(AL164&lt;&gt;"",AL164,IFERROR(INDEX('Prospects'!$AN$5:$AN$504,MATCH(C164,'Prospects'!$C$5:$C$504,0)),"")),'Paramètres'!$Q$6:$Q$15,0)),0))-N(P164)),0)))</f>
        <v/>
      </c>
      <c r="AX164" s="61">
        <f>IF(C164="","",IF(COUNTIF($C$5:C164,C164)=1,MAX($AX$4:AX163)+1,""))</f>
        <v/>
      </c>
      <c r="AY164" s="61">
        <f>IF(B164="","",HOUR(B164))</f>
        <v/>
      </c>
      <c r="AZ164" s="61">
        <f>IF(A164="","",MOD(A164-2,7)+1)</f>
        <v/>
      </c>
      <c r="BA164" s="60">
        <f>IF(C164="","",IFERROR(INDEX('Prospects'!$N$5:$N$504,MATCH(C164,'Prospects'!$C$5:$C$504,0)),""))</f>
        <v/>
      </c>
      <c r="BB164" s="61">
        <f>IF(AND(C164&lt;&gt;"",C164='Fiche prospect'!$C$4),COUNTIF($C$5:C164,C164),"")</f>
        <v/>
      </c>
    </row>
    <row r="165">
      <c r="A165" s="53" t="n"/>
      <c r="B165" s="54" t="n"/>
      <c r="C165" s="55" t="n"/>
      <c r="D165" s="55" t="n"/>
      <c r="E165" s="55" t="n"/>
      <c r="F165" s="55" t="n"/>
      <c r="G165" s="56" t="n"/>
      <c r="H165" s="57" t="n"/>
      <c r="I165" s="55" t="n"/>
      <c r="J165" s="53" t="n"/>
      <c r="K165" s="54" t="n"/>
      <c r="L165" s="55" t="n"/>
      <c r="M165" s="55" t="n"/>
      <c r="N165" s="57" t="n"/>
      <c r="O165" s="55" t="n"/>
      <c r="P165" s="56" t="n"/>
      <c r="Q165" s="55" t="n"/>
      <c r="R165" s="55" t="n"/>
      <c r="S165" s="55" t="n"/>
      <c r="T165" s="55" t="n"/>
      <c r="U165" s="55" t="n"/>
      <c r="V165" s="55" t="n"/>
      <c r="W165" s="58" t="n"/>
      <c r="X165" s="58" t="n"/>
      <c r="Y165" s="55" t="n"/>
      <c r="Z165" s="55" t="n"/>
      <c r="AA165" s="55" t="n"/>
      <c r="AB165" s="55" t="n"/>
      <c r="AC165" s="55" t="n"/>
      <c r="AD165" s="53" t="n"/>
      <c r="AE165" s="55" t="n"/>
      <c r="AF165" s="55" t="n"/>
      <c r="AG165" s="59" t="n"/>
      <c r="AH165" s="57" t="n"/>
      <c r="AI165" s="55" t="n"/>
      <c r="AJ165" s="55" t="n"/>
      <c r="AK165" s="55" t="n"/>
      <c r="AL165" s="55" t="n"/>
      <c r="AM165" s="56" t="n"/>
      <c r="AN165" s="55" t="n"/>
      <c r="AO165" s="55" t="n"/>
      <c r="AP165" s="55" t="n"/>
      <c r="AQ165" s="55" t="n"/>
      <c r="AR165" s="60">
        <f>IF(AND(C165="",E165=""),"",IF(A165="","⚠ Date manquante",IF(AND(C165="",E165&lt;&gt;"Dépense"),"⚠ Prospect manquant",IF(E165="","⚠ Action manquante",IF(AND(AU165=1,D165=""),"⚠ Canal manquant",IF(AND(W165&lt;&gt;"",COUNTIFS('Saisie'!$W$5:$W$2004,W165,'Saisie'!$C$5:$C$2004,"&lt;&gt;"&amp;C165)&gt;0),"⚠ Numéro déjà utilisé par un autre prospect",IF(AND(J165&lt;&gt;"",J165&lt;A165),"⚠ Relance avant la date de l'action",IF(A165&gt;TODAY(),"⚠ Date dans le futur","✓"))))))))</f>
        <v/>
      </c>
      <c r="AS165" s="61">
        <f>IF(AND(A165="",C165="",E165=""),"",ROW())</f>
        <v/>
      </c>
      <c r="AT165" s="61">
        <f>IF(E165&amp;F165="","",MAX(IFERROR(INDEX('Paramètres'!$J$6:$J$33,MATCH(E165,'Paramètres'!$I$6:$I$33,0)),0),IFERROR(INDEX('Paramètres'!$N$6:$N$17,MATCH(F165,'Paramètres'!$M$6:$M$17,0)),0)))</f>
        <v/>
      </c>
      <c r="AU165" s="61">
        <f>IF(E165="","",IFERROR(IF(INDEX('Paramètres'!$K$6:$K$33,MATCH(E165,'Paramètres'!$I$6:$I$33,0))="Oui",1,0),0))</f>
        <v/>
      </c>
      <c r="AV165" s="61">
        <f>IF(F165="","",IFERROR(IF(INDEX('Paramètres'!$O$6:$O$17,MATCH(F165,'Paramètres'!$M$6:$M$17,0))="Oui",1,0),0))</f>
        <v/>
      </c>
      <c r="AW165" s="62">
        <f>IF(E165="","",IF(G165&lt;&gt;"",G165,IF(OR(E165="Proposition envoyée",E165="Signature"),MAX(0,N(IFERROR(INDEX('Paramètres'!$R$6:$R$15,MATCH(IF(AL165&lt;&gt;"",AL165,IFERROR(INDEX('Prospects'!$AN$5:$AN$504,MATCH(C165,'Prospects'!$C$5:$C$504,0)),"")),'Paramètres'!$Q$6:$Q$15,0)),0))-N(P165)),0)))</f>
        <v/>
      </c>
      <c r="AX165" s="61">
        <f>IF(C165="","",IF(COUNTIF($C$5:C165,C165)=1,MAX($AX$4:AX164)+1,""))</f>
        <v/>
      </c>
      <c r="AY165" s="61">
        <f>IF(B165="","",HOUR(B165))</f>
        <v/>
      </c>
      <c r="AZ165" s="61">
        <f>IF(A165="","",MOD(A165-2,7)+1)</f>
        <v/>
      </c>
      <c r="BA165" s="60">
        <f>IF(C165="","",IFERROR(INDEX('Prospects'!$N$5:$N$504,MATCH(C165,'Prospects'!$C$5:$C$504,0)),""))</f>
        <v/>
      </c>
      <c r="BB165" s="61">
        <f>IF(AND(C165&lt;&gt;"",C165='Fiche prospect'!$C$4),COUNTIF($C$5:C165,C165),"")</f>
        <v/>
      </c>
    </row>
    <row r="166">
      <c r="A166" s="53" t="n"/>
      <c r="B166" s="54" t="n"/>
      <c r="C166" s="55" t="n"/>
      <c r="D166" s="55" t="n"/>
      <c r="E166" s="55" t="n"/>
      <c r="F166" s="55" t="n"/>
      <c r="G166" s="56" t="n"/>
      <c r="H166" s="57" t="n"/>
      <c r="I166" s="55" t="n"/>
      <c r="J166" s="53" t="n"/>
      <c r="K166" s="54" t="n"/>
      <c r="L166" s="55" t="n"/>
      <c r="M166" s="55" t="n"/>
      <c r="N166" s="57" t="n"/>
      <c r="O166" s="55" t="n"/>
      <c r="P166" s="56" t="n"/>
      <c r="Q166" s="55" t="n"/>
      <c r="R166" s="55" t="n"/>
      <c r="S166" s="55" t="n"/>
      <c r="T166" s="55" t="n"/>
      <c r="U166" s="55" t="n"/>
      <c r="V166" s="55" t="n"/>
      <c r="W166" s="58" t="n"/>
      <c r="X166" s="58" t="n"/>
      <c r="Y166" s="55" t="n"/>
      <c r="Z166" s="55" t="n"/>
      <c r="AA166" s="55" t="n"/>
      <c r="AB166" s="55" t="n"/>
      <c r="AC166" s="55" t="n"/>
      <c r="AD166" s="53" t="n"/>
      <c r="AE166" s="55" t="n"/>
      <c r="AF166" s="55" t="n"/>
      <c r="AG166" s="59" t="n"/>
      <c r="AH166" s="57" t="n"/>
      <c r="AI166" s="55" t="n"/>
      <c r="AJ166" s="55" t="n"/>
      <c r="AK166" s="55" t="n"/>
      <c r="AL166" s="55" t="n"/>
      <c r="AM166" s="56" t="n"/>
      <c r="AN166" s="55" t="n"/>
      <c r="AO166" s="55" t="n"/>
      <c r="AP166" s="55" t="n"/>
      <c r="AQ166" s="55" t="n"/>
      <c r="AR166" s="60">
        <f>IF(AND(C166="",E166=""),"",IF(A166="","⚠ Date manquante",IF(AND(C166="",E166&lt;&gt;"Dépense"),"⚠ Prospect manquant",IF(E166="","⚠ Action manquante",IF(AND(AU166=1,D166=""),"⚠ Canal manquant",IF(AND(W166&lt;&gt;"",COUNTIFS('Saisie'!$W$5:$W$2004,W166,'Saisie'!$C$5:$C$2004,"&lt;&gt;"&amp;C166)&gt;0),"⚠ Numéro déjà utilisé par un autre prospect",IF(AND(J166&lt;&gt;"",J166&lt;A166),"⚠ Relance avant la date de l'action",IF(A166&gt;TODAY(),"⚠ Date dans le futur","✓"))))))))</f>
        <v/>
      </c>
      <c r="AS166" s="61">
        <f>IF(AND(A166="",C166="",E166=""),"",ROW())</f>
        <v/>
      </c>
      <c r="AT166" s="61">
        <f>IF(E166&amp;F166="","",MAX(IFERROR(INDEX('Paramètres'!$J$6:$J$33,MATCH(E166,'Paramètres'!$I$6:$I$33,0)),0),IFERROR(INDEX('Paramètres'!$N$6:$N$17,MATCH(F166,'Paramètres'!$M$6:$M$17,0)),0)))</f>
        <v/>
      </c>
      <c r="AU166" s="61">
        <f>IF(E166="","",IFERROR(IF(INDEX('Paramètres'!$K$6:$K$33,MATCH(E166,'Paramètres'!$I$6:$I$33,0))="Oui",1,0),0))</f>
        <v/>
      </c>
      <c r="AV166" s="61">
        <f>IF(F166="","",IFERROR(IF(INDEX('Paramètres'!$O$6:$O$17,MATCH(F166,'Paramètres'!$M$6:$M$17,0))="Oui",1,0),0))</f>
        <v/>
      </c>
      <c r="AW166" s="62">
        <f>IF(E166="","",IF(G166&lt;&gt;"",G166,IF(OR(E166="Proposition envoyée",E166="Signature"),MAX(0,N(IFERROR(INDEX('Paramètres'!$R$6:$R$15,MATCH(IF(AL166&lt;&gt;"",AL166,IFERROR(INDEX('Prospects'!$AN$5:$AN$504,MATCH(C166,'Prospects'!$C$5:$C$504,0)),"")),'Paramètres'!$Q$6:$Q$15,0)),0))-N(P166)),0)))</f>
        <v/>
      </c>
      <c r="AX166" s="61">
        <f>IF(C166="","",IF(COUNTIF($C$5:C166,C166)=1,MAX($AX$4:AX165)+1,""))</f>
        <v/>
      </c>
      <c r="AY166" s="61">
        <f>IF(B166="","",HOUR(B166))</f>
        <v/>
      </c>
      <c r="AZ166" s="61">
        <f>IF(A166="","",MOD(A166-2,7)+1)</f>
        <v/>
      </c>
      <c r="BA166" s="60">
        <f>IF(C166="","",IFERROR(INDEX('Prospects'!$N$5:$N$504,MATCH(C166,'Prospects'!$C$5:$C$504,0)),""))</f>
        <v/>
      </c>
      <c r="BB166" s="61">
        <f>IF(AND(C166&lt;&gt;"",C166='Fiche prospect'!$C$4),COUNTIF($C$5:C166,C166),"")</f>
        <v/>
      </c>
    </row>
    <row r="167">
      <c r="A167" s="53" t="n"/>
      <c r="B167" s="54" t="n"/>
      <c r="C167" s="55" t="n"/>
      <c r="D167" s="55" t="n"/>
      <c r="E167" s="55" t="n"/>
      <c r="F167" s="55" t="n"/>
      <c r="G167" s="56" t="n"/>
      <c r="H167" s="57" t="n"/>
      <c r="I167" s="55" t="n"/>
      <c r="J167" s="53" t="n"/>
      <c r="K167" s="54" t="n"/>
      <c r="L167" s="55" t="n"/>
      <c r="M167" s="55" t="n"/>
      <c r="N167" s="57" t="n"/>
      <c r="O167" s="55" t="n"/>
      <c r="P167" s="56" t="n"/>
      <c r="Q167" s="55" t="n"/>
      <c r="R167" s="55" t="n"/>
      <c r="S167" s="55" t="n"/>
      <c r="T167" s="55" t="n"/>
      <c r="U167" s="55" t="n"/>
      <c r="V167" s="55" t="n"/>
      <c r="W167" s="58" t="n"/>
      <c r="X167" s="58" t="n"/>
      <c r="Y167" s="55" t="n"/>
      <c r="Z167" s="55" t="n"/>
      <c r="AA167" s="55" t="n"/>
      <c r="AB167" s="55" t="n"/>
      <c r="AC167" s="55" t="n"/>
      <c r="AD167" s="53" t="n"/>
      <c r="AE167" s="55" t="n"/>
      <c r="AF167" s="55" t="n"/>
      <c r="AG167" s="59" t="n"/>
      <c r="AH167" s="57" t="n"/>
      <c r="AI167" s="55" t="n"/>
      <c r="AJ167" s="55" t="n"/>
      <c r="AK167" s="55" t="n"/>
      <c r="AL167" s="55" t="n"/>
      <c r="AM167" s="56" t="n"/>
      <c r="AN167" s="55" t="n"/>
      <c r="AO167" s="55" t="n"/>
      <c r="AP167" s="55" t="n"/>
      <c r="AQ167" s="55" t="n"/>
      <c r="AR167" s="60">
        <f>IF(AND(C167="",E167=""),"",IF(A167="","⚠ Date manquante",IF(AND(C167="",E167&lt;&gt;"Dépense"),"⚠ Prospect manquant",IF(E167="","⚠ Action manquante",IF(AND(AU167=1,D167=""),"⚠ Canal manquant",IF(AND(W167&lt;&gt;"",COUNTIFS('Saisie'!$W$5:$W$2004,W167,'Saisie'!$C$5:$C$2004,"&lt;&gt;"&amp;C167)&gt;0),"⚠ Numéro déjà utilisé par un autre prospect",IF(AND(J167&lt;&gt;"",J167&lt;A167),"⚠ Relance avant la date de l'action",IF(A167&gt;TODAY(),"⚠ Date dans le futur","✓"))))))))</f>
        <v/>
      </c>
      <c r="AS167" s="61">
        <f>IF(AND(A167="",C167="",E167=""),"",ROW())</f>
        <v/>
      </c>
      <c r="AT167" s="61">
        <f>IF(E167&amp;F167="","",MAX(IFERROR(INDEX('Paramètres'!$J$6:$J$33,MATCH(E167,'Paramètres'!$I$6:$I$33,0)),0),IFERROR(INDEX('Paramètres'!$N$6:$N$17,MATCH(F167,'Paramètres'!$M$6:$M$17,0)),0)))</f>
        <v/>
      </c>
      <c r="AU167" s="61">
        <f>IF(E167="","",IFERROR(IF(INDEX('Paramètres'!$K$6:$K$33,MATCH(E167,'Paramètres'!$I$6:$I$33,0))="Oui",1,0),0))</f>
        <v/>
      </c>
      <c r="AV167" s="61">
        <f>IF(F167="","",IFERROR(IF(INDEX('Paramètres'!$O$6:$O$17,MATCH(F167,'Paramètres'!$M$6:$M$17,0))="Oui",1,0),0))</f>
        <v/>
      </c>
      <c r="AW167" s="62">
        <f>IF(E167="","",IF(G167&lt;&gt;"",G167,IF(OR(E167="Proposition envoyée",E167="Signature"),MAX(0,N(IFERROR(INDEX('Paramètres'!$R$6:$R$15,MATCH(IF(AL167&lt;&gt;"",AL167,IFERROR(INDEX('Prospects'!$AN$5:$AN$504,MATCH(C167,'Prospects'!$C$5:$C$504,0)),"")),'Paramètres'!$Q$6:$Q$15,0)),0))-N(P167)),0)))</f>
        <v/>
      </c>
      <c r="AX167" s="61">
        <f>IF(C167="","",IF(COUNTIF($C$5:C167,C167)=1,MAX($AX$4:AX166)+1,""))</f>
        <v/>
      </c>
      <c r="AY167" s="61">
        <f>IF(B167="","",HOUR(B167))</f>
        <v/>
      </c>
      <c r="AZ167" s="61">
        <f>IF(A167="","",MOD(A167-2,7)+1)</f>
        <v/>
      </c>
      <c r="BA167" s="60">
        <f>IF(C167="","",IFERROR(INDEX('Prospects'!$N$5:$N$504,MATCH(C167,'Prospects'!$C$5:$C$504,0)),""))</f>
        <v/>
      </c>
      <c r="BB167" s="61">
        <f>IF(AND(C167&lt;&gt;"",C167='Fiche prospect'!$C$4),COUNTIF($C$5:C167,C167),"")</f>
        <v/>
      </c>
    </row>
    <row r="168">
      <c r="A168" s="53" t="n"/>
      <c r="B168" s="54" t="n"/>
      <c r="C168" s="55" t="n"/>
      <c r="D168" s="55" t="n"/>
      <c r="E168" s="55" t="n"/>
      <c r="F168" s="55" t="n"/>
      <c r="G168" s="56" t="n"/>
      <c r="H168" s="57" t="n"/>
      <c r="I168" s="55" t="n"/>
      <c r="J168" s="53" t="n"/>
      <c r="K168" s="54" t="n"/>
      <c r="L168" s="55" t="n"/>
      <c r="M168" s="55" t="n"/>
      <c r="N168" s="57" t="n"/>
      <c r="O168" s="55" t="n"/>
      <c r="P168" s="56" t="n"/>
      <c r="Q168" s="55" t="n"/>
      <c r="R168" s="55" t="n"/>
      <c r="S168" s="55" t="n"/>
      <c r="T168" s="55" t="n"/>
      <c r="U168" s="55" t="n"/>
      <c r="V168" s="55" t="n"/>
      <c r="W168" s="58" t="n"/>
      <c r="X168" s="58" t="n"/>
      <c r="Y168" s="55" t="n"/>
      <c r="Z168" s="55" t="n"/>
      <c r="AA168" s="55" t="n"/>
      <c r="AB168" s="55" t="n"/>
      <c r="AC168" s="55" t="n"/>
      <c r="AD168" s="53" t="n"/>
      <c r="AE168" s="55" t="n"/>
      <c r="AF168" s="55" t="n"/>
      <c r="AG168" s="59" t="n"/>
      <c r="AH168" s="57" t="n"/>
      <c r="AI168" s="55" t="n"/>
      <c r="AJ168" s="55" t="n"/>
      <c r="AK168" s="55" t="n"/>
      <c r="AL168" s="55" t="n"/>
      <c r="AM168" s="56" t="n"/>
      <c r="AN168" s="55" t="n"/>
      <c r="AO168" s="55" t="n"/>
      <c r="AP168" s="55" t="n"/>
      <c r="AQ168" s="55" t="n"/>
      <c r="AR168" s="60">
        <f>IF(AND(C168="",E168=""),"",IF(A168="","⚠ Date manquante",IF(AND(C168="",E168&lt;&gt;"Dépense"),"⚠ Prospect manquant",IF(E168="","⚠ Action manquante",IF(AND(AU168=1,D168=""),"⚠ Canal manquant",IF(AND(W168&lt;&gt;"",COUNTIFS('Saisie'!$W$5:$W$2004,W168,'Saisie'!$C$5:$C$2004,"&lt;&gt;"&amp;C168)&gt;0),"⚠ Numéro déjà utilisé par un autre prospect",IF(AND(J168&lt;&gt;"",J168&lt;A168),"⚠ Relance avant la date de l'action",IF(A168&gt;TODAY(),"⚠ Date dans le futur","✓"))))))))</f>
        <v/>
      </c>
      <c r="AS168" s="61">
        <f>IF(AND(A168="",C168="",E168=""),"",ROW())</f>
        <v/>
      </c>
      <c r="AT168" s="61">
        <f>IF(E168&amp;F168="","",MAX(IFERROR(INDEX('Paramètres'!$J$6:$J$33,MATCH(E168,'Paramètres'!$I$6:$I$33,0)),0),IFERROR(INDEX('Paramètres'!$N$6:$N$17,MATCH(F168,'Paramètres'!$M$6:$M$17,0)),0)))</f>
        <v/>
      </c>
      <c r="AU168" s="61">
        <f>IF(E168="","",IFERROR(IF(INDEX('Paramètres'!$K$6:$K$33,MATCH(E168,'Paramètres'!$I$6:$I$33,0))="Oui",1,0),0))</f>
        <v/>
      </c>
      <c r="AV168" s="61">
        <f>IF(F168="","",IFERROR(IF(INDEX('Paramètres'!$O$6:$O$17,MATCH(F168,'Paramètres'!$M$6:$M$17,0))="Oui",1,0),0))</f>
        <v/>
      </c>
      <c r="AW168" s="62">
        <f>IF(E168="","",IF(G168&lt;&gt;"",G168,IF(OR(E168="Proposition envoyée",E168="Signature"),MAX(0,N(IFERROR(INDEX('Paramètres'!$R$6:$R$15,MATCH(IF(AL168&lt;&gt;"",AL168,IFERROR(INDEX('Prospects'!$AN$5:$AN$504,MATCH(C168,'Prospects'!$C$5:$C$504,0)),"")),'Paramètres'!$Q$6:$Q$15,0)),0))-N(P168)),0)))</f>
        <v/>
      </c>
      <c r="AX168" s="61">
        <f>IF(C168="","",IF(COUNTIF($C$5:C168,C168)=1,MAX($AX$4:AX167)+1,""))</f>
        <v/>
      </c>
      <c r="AY168" s="61">
        <f>IF(B168="","",HOUR(B168))</f>
        <v/>
      </c>
      <c r="AZ168" s="61">
        <f>IF(A168="","",MOD(A168-2,7)+1)</f>
        <v/>
      </c>
      <c r="BA168" s="60">
        <f>IF(C168="","",IFERROR(INDEX('Prospects'!$N$5:$N$504,MATCH(C168,'Prospects'!$C$5:$C$504,0)),""))</f>
        <v/>
      </c>
      <c r="BB168" s="61">
        <f>IF(AND(C168&lt;&gt;"",C168='Fiche prospect'!$C$4),COUNTIF($C$5:C168,C168),"")</f>
        <v/>
      </c>
    </row>
    <row r="169">
      <c r="A169" s="53" t="n"/>
      <c r="B169" s="54" t="n"/>
      <c r="C169" s="55" t="n"/>
      <c r="D169" s="55" t="n"/>
      <c r="E169" s="55" t="n"/>
      <c r="F169" s="55" t="n"/>
      <c r="G169" s="56" t="n"/>
      <c r="H169" s="57" t="n"/>
      <c r="I169" s="55" t="n"/>
      <c r="J169" s="53" t="n"/>
      <c r="K169" s="54" t="n"/>
      <c r="L169" s="55" t="n"/>
      <c r="M169" s="55" t="n"/>
      <c r="N169" s="57" t="n"/>
      <c r="O169" s="55" t="n"/>
      <c r="P169" s="56" t="n"/>
      <c r="Q169" s="55" t="n"/>
      <c r="R169" s="55" t="n"/>
      <c r="S169" s="55" t="n"/>
      <c r="T169" s="55" t="n"/>
      <c r="U169" s="55" t="n"/>
      <c r="V169" s="55" t="n"/>
      <c r="W169" s="58" t="n"/>
      <c r="X169" s="58" t="n"/>
      <c r="Y169" s="55" t="n"/>
      <c r="Z169" s="55" t="n"/>
      <c r="AA169" s="55" t="n"/>
      <c r="AB169" s="55" t="n"/>
      <c r="AC169" s="55" t="n"/>
      <c r="AD169" s="53" t="n"/>
      <c r="AE169" s="55" t="n"/>
      <c r="AF169" s="55" t="n"/>
      <c r="AG169" s="59" t="n"/>
      <c r="AH169" s="57" t="n"/>
      <c r="AI169" s="55" t="n"/>
      <c r="AJ169" s="55" t="n"/>
      <c r="AK169" s="55" t="n"/>
      <c r="AL169" s="55" t="n"/>
      <c r="AM169" s="56" t="n"/>
      <c r="AN169" s="55" t="n"/>
      <c r="AO169" s="55" t="n"/>
      <c r="AP169" s="55" t="n"/>
      <c r="AQ169" s="55" t="n"/>
      <c r="AR169" s="60">
        <f>IF(AND(C169="",E169=""),"",IF(A169="","⚠ Date manquante",IF(AND(C169="",E169&lt;&gt;"Dépense"),"⚠ Prospect manquant",IF(E169="","⚠ Action manquante",IF(AND(AU169=1,D169=""),"⚠ Canal manquant",IF(AND(W169&lt;&gt;"",COUNTIFS('Saisie'!$W$5:$W$2004,W169,'Saisie'!$C$5:$C$2004,"&lt;&gt;"&amp;C169)&gt;0),"⚠ Numéro déjà utilisé par un autre prospect",IF(AND(J169&lt;&gt;"",J169&lt;A169),"⚠ Relance avant la date de l'action",IF(A169&gt;TODAY(),"⚠ Date dans le futur","✓"))))))))</f>
        <v/>
      </c>
      <c r="AS169" s="61">
        <f>IF(AND(A169="",C169="",E169=""),"",ROW())</f>
        <v/>
      </c>
      <c r="AT169" s="61">
        <f>IF(E169&amp;F169="","",MAX(IFERROR(INDEX('Paramètres'!$J$6:$J$33,MATCH(E169,'Paramètres'!$I$6:$I$33,0)),0),IFERROR(INDEX('Paramètres'!$N$6:$N$17,MATCH(F169,'Paramètres'!$M$6:$M$17,0)),0)))</f>
        <v/>
      </c>
      <c r="AU169" s="61">
        <f>IF(E169="","",IFERROR(IF(INDEX('Paramètres'!$K$6:$K$33,MATCH(E169,'Paramètres'!$I$6:$I$33,0))="Oui",1,0),0))</f>
        <v/>
      </c>
      <c r="AV169" s="61">
        <f>IF(F169="","",IFERROR(IF(INDEX('Paramètres'!$O$6:$O$17,MATCH(F169,'Paramètres'!$M$6:$M$17,0))="Oui",1,0),0))</f>
        <v/>
      </c>
      <c r="AW169" s="62">
        <f>IF(E169="","",IF(G169&lt;&gt;"",G169,IF(OR(E169="Proposition envoyée",E169="Signature"),MAX(0,N(IFERROR(INDEX('Paramètres'!$R$6:$R$15,MATCH(IF(AL169&lt;&gt;"",AL169,IFERROR(INDEX('Prospects'!$AN$5:$AN$504,MATCH(C169,'Prospects'!$C$5:$C$504,0)),"")),'Paramètres'!$Q$6:$Q$15,0)),0))-N(P169)),0)))</f>
        <v/>
      </c>
      <c r="AX169" s="61">
        <f>IF(C169="","",IF(COUNTIF($C$5:C169,C169)=1,MAX($AX$4:AX168)+1,""))</f>
        <v/>
      </c>
      <c r="AY169" s="61">
        <f>IF(B169="","",HOUR(B169))</f>
        <v/>
      </c>
      <c r="AZ169" s="61">
        <f>IF(A169="","",MOD(A169-2,7)+1)</f>
        <v/>
      </c>
      <c r="BA169" s="60">
        <f>IF(C169="","",IFERROR(INDEX('Prospects'!$N$5:$N$504,MATCH(C169,'Prospects'!$C$5:$C$504,0)),""))</f>
        <v/>
      </c>
      <c r="BB169" s="61">
        <f>IF(AND(C169&lt;&gt;"",C169='Fiche prospect'!$C$4),COUNTIF($C$5:C169,C169),"")</f>
        <v/>
      </c>
    </row>
    <row r="170">
      <c r="A170" s="53" t="n"/>
      <c r="B170" s="54" t="n"/>
      <c r="C170" s="55" t="n"/>
      <c r="D170" s="55" t="n"/>
      <c r="E170" s="55" t="n"/>
      <c r="F170" s="55" t="n"/>
      <c r="G170" s="56" t="n"/>
      <c r="H170" s="57" t="n"/>
      <c r="I170" s="55" t="n"/>
      <c r="J170" s="53" t="n"/>
      <c r="K170" s="54" t="n"/>
      <c r="L170" s="55" t="n"/>
      <c r="M170" s="55" t="n"/>
      <c r="N170" s="57" t="n"/>
      <c r="O170" s="55" t="n"/>
      <c r="P170" s="56" t="n"/>
      <c r="Q170" s="55" t="n"/>
      <c r="R170" s="55" t="n"/>
      <c r="S170" s="55" t="n"/>
      <c r="T170" s="55" t="n"/>
      <c r="U170" s="55" t="n"/>
      <c r="V170" s="55" t="n"/>
      <c r="W170" s="58" t="n"/>
      <c r="X170" s="58" t="n"/>
      <c r="Y170" s="55" t="n"/>
      <c r="Z170" s="55" t="n"/>
      <c r="AA170" s="55" t="n"/>
      <c r="AB170" s="55" t="n"/>
      <c r="AC170" s="55" t="n"/>
      <c r="AD170" s="53" t="n"/>
      <c r="AE170" s="55" t="n"/>
      <c r="AF170" s="55" t="n"/>
      <c r="AG170" s="59" t="n"/>
      <c r="AH170" s="57" t="n"/>
      <c r="AI170" s="55" t="n"/>
      <c r="AJ170" s="55" t="n"/>
      <c r="AK170" s="55" t="n"/>
      <c r="AL170" s="55" t="n"/>
      <c r="AM170" s="56" t="n"/>
      <c r="AN170" s="55" t="n"/>
      <c r="AO170" s="55" t="n"/>
      <c r="AP170" s="55" t="n"/>
      <c r="AQ170" s="55" t="n"/>
      <c r="AR170" s="60">
        <f>IF(AND(C170="",E170=""),"",IF(A170="","⚠ Date manquante",IF(AND(C170="",E170&lt;&gt;"Dépense"),"⚠ Prospect manquant",IF(E170="","⚠ Action manquante",IF(AND(AU170=1,D170=""),"⚠ Canal manquant",IF(AND(W170&lt;&gt;"",COUNTIFS('Saisie'!$W$5:$W$2004,W170,'Saisie'!$C$5:$C$2004,"&lt;&gt;"&amp;C170)&gt;0),"⚠ Numéro déjà utilisé par un autre prospect",IF(AND(J170&lt;&gt;"",J170&lt;A170),"⚠ Relance avant la date de l'action",IF(A170&gt;TODAY(),"⚠ Date dans le futur","✓"))))))))</f>
        <v/>
      </c>
      <c r="AS170" s="61">
        <f>IF(AND(A170="",C170="",E170=""),"",ROW())</f>
        <v/>
      </c>
      <c r="AT170" s="61">
        <f>IF(E170&amp;F170="","",MAX(IFERROR(INDEX('Paramètres'!$J$6:$J$33,MATCH(E170,'Paramètres'!$I$6:$I$33,0)),0),IFERROR(INDEX('Paramètres'!$N$6:$N$17,MATCH(F170,'Paramètres'!$M$6:$M$17,0)),0)))</f>
        <v/>
      </c>
      <c r="AU170" s="61">
        <f>IF(E170="","",IFERROR(IF(INDEX('Paramètres'!$K$6:$K$33,MATCH(E170,'Paramètres'!$I$6:$I$33,0))="Oui",1,0),0))</f>
        <v/>
      </c>
      <c r="AV170" s="61">
        <f>IF(F170="","",IFERROR(IF(INDEX('Paramètres'!$O$6:$O$17,MATCH(F170,'Paramètres'!$M$6:$M$17,0))="Oui",1,0),0))</f>
        <v/>
      </c>
      <c r="AW170" s="62">
        <f>IF(E170="","",IF(G170&lt;&gt;"",G170,IF(OR(E170="Proposition envoyée",E170="Signature"),MAX(0,N(IFERROR(INDEX('Paramètres'!$R$6:$R$15,MATCH(IF(AL170&lt;&gt;"",AL170,IFERROR(INDEX('Prospects'!$AN$5:$AN$504,MATCH(C170,'Prospects'!$C$5:$C$504,0)),"")),'Paramètres'!$Q$6:$Q$15,0)),0))-N(P170)),0)))</f>
        <v/>
      </c>
      <c r="AX170" s="61">
        <f>IF(C170="","",IF(COUNTIF($C$5:C170,C170)=1,MAX($AX$4:AX169)+1,""))</f>
        <v/>
      </c>
      <c r="AY170" s="61">
        <f>IF(B170="","",HOUR(B170))</f>
        <v/>
      </c>
      <c r="AZ170" s="61">
        <f>IF(A170="","",MOD(A170-2,7)+1)</f>
        <v/>
      </c>
      <c r="BA170" s="60">
        <f>IF(C170="","",IFERROR(INDEX('Prospects'!$N$5:$N$504,MATCH(C170,'Prospects'!$C$5:$C$504,0)),""))</f>
        <v/>
      </c>
      <c r="BB170" s="61">
        <f>IF(AND(C170&lt;&gt;"",C170='Fiche prospect'!$C$4),COUNTIF($C$5:C170,C170),"")</f>
        <v/>
      </c>
    </row>
    <row r="171">
      <c r="A171" s="53" t="n"/>
      <c r="B171" s="54" t="n"/>
      <c r="C171" s="55" t="n"/>
      <c r="D171" s="55" t="n"/>
      <c r="E171" s="55" t="n"/>
      <c r="F171" s="55" t="n"/>
      <c r="G171" s="56" t="n"/>
      <c r="H171" s="57" t="n"/>
      <c r="I171" s="55" t="n"/>
      <c r="J171" s="53" t="n"/>
      <c r="K171" s="54" t="n"/>
      <c r="L171" s="55" t="n"/>
      <c r="M171" s="55" t="n"/>
      <c r="N171" s="57" t="n"/>
      <c r="O171" s="55" t="n"/>
      <c r="P171" s="56" t="n"/>
      <c r="Q171" s="55" t="n"/>
      <c r="R171" s="55" t="n"/>
      <c r="S171" s="55" t="n"/>
      <c r="T171" s="55" t="n"/>
      <c r="U171" s="55" t="n"/>
      <c r="V171" s="55" t="n"/>
      <c r="W171" s="58" t="n"/>
      <c r="X171" s="58" t="n"/>
      <c r="Y171" s="55" t="n"/>
      <c r="Z171" s="55" t="n"/>
      <c r="AA171" s="55" t="n"/>
      <c r="AB171" s="55" t="n"/>
      <c r="AC171" s="55" t="n"/>
      <c r="AD171" s="53" t="n"/>
      <c r="AE171" s="55" t="n"/>
      <c r="AF171" s="55" t="n"/>
      <c r="AG171" s="59" t="n"/>
      <c r="AH171" s="57" t="n"/>
      <c r="AI171" s="55" t="n"/>
      <c r="AJ171" s="55" t="n"/>
      <c r="AK171" s="55" t="n"/>
      <c r="AL171" s="55" t="n"/>
      <c r="AM171" s="56" t="n"/>
      <c r="AN171" s="55" t="n"/>
      <c r="AO171" s="55" t="n"/>
      <c r="AP171" s="55" t="n"/>
      <c r="AQ171" s="55" t="n"/>
      <c r="AR171" s="60">
        <f>IF(AND(C171="",E171=""),"",IF(A171="","⚠ Date manquante",IF(AND(C171="",E171&lt;&gt;"Dépense"),"⚠ Prospect manquant",IF(E171="","⚠ Action manquante",IF(AND(AU171=1,D171=""),"⚠ Canal manquant",IF(AND(W171&lt;&gt;"",COUNTIFS('Saisie'!$W$5:$W$2004,W171,'Saisie'!$C$5:$C$2004,"&lt;&gt;"&amp;C171)&gt;0),"⚠ Numéro déjà utilisé par un autre prospect",IF(AND(J171&lt;&gt;"",J171&lt;A171),"⚠ Relance avant la date de l'action",IF(A171&gt;TODAY(),"⚠ Date dans le futur","✓"))))))))</f>
        <v/>
      </c>
      <c r="AS171" s="61">
        <f>IF(AND(A171="",C171="",E171=""),"",ROW())</f>
        <v/>
      </c>
      <c r="AT171" s="61">
        <f>IF(E171&amp;F171="","",MAX(IFERROR(INDEX('Paramètres'!$J$6:$J$33,MATCH(E171,'Paramètres'!$I$6:$I$33,0)),0),IFERROR(INDEX('Paramètres'!$N$6:$N$17,MATCH(F171,'Paramètres'!$M$6:$M$17,0)),0)))</f>
        <v/>
      </c>
      <c r="AU171" s="61">
        <f>IF(E171="","",IFERROR(IF(INDEX('Paramètres'!$K$6:$K$33,MATCH(E171,'Paramètres'!$I$6:$I$33,0))="Oui",1,0),0))</f>
        <v/>
      </c>
      <c r="AV171" s="61">
        <f>IF(F171="","",IFERROR(IF(INDEX('Paramètres'!$O$6:$O$17,MATCH(F171,'Paramètres'!$M$6:$M$17,0))="Oui",1,0),0))</f>
        <v/>
      </c>
      <c r="AW171" s="62">
        <f>IF(E171="","",IF(G171&lt;&gt;"",G171,IF(OR(E171="Proposition envoyée",E171="Signature"),MAX(0,N(IFERROR(INDEX('Paramètres'!$R$6:$R$15,MATCH(IF(AL171&lt;&gt;"",AL171,IFERROR(INDEX('Prospects'!$AN$5:$AN$504,MATCH(C171,'Prospects'!$C$5:$C$504,0)),"")),'Paramètres'!$Q$6:$Q$15,0)),0))-N(P171)),0)))</f>
        <v/>
      </c>
      <c r="AX171" s="61">
        <f>IF(C171="","",IF(COUNTIF($C$5:C171,C171)=1,MAX($AX$4:AX170)+1,""))</f>
        <v/>
      </c>
      <c r="AY171" s="61">
        <f>IF(B171="","",HOUR(B171))</f>
        <v/>
      </c>
      <c r="AZ171" s="61">
        <f>IF(A171="","",MOD(A171-2,7)+1)</f>
        <v/>
      </c>
      <c r="BA171" s="60">
        <f>IF(C171="","",IFERROR(INDEX('Prospects'!$N$5:$N$504,MATCH(C171,'Prospects'!$C$5:$C$504,0)),""))</f>
        <v/>
      </c>
      <c r="BB171" s="61">
        <f>IF(AND(C171&lt;&gt;"",C171='Fiche prospect'!$C$4),COUNTIF($C$5:C171,C171),"")</f>
        <v/>
      </c>
    </row>
    <row r="172">
      <c r="A172" s="53" t="n"/>
      <c r="B172" s="54" t="n"/>
      <c r="C172" s="55" t="n"/>
      <c r="D172" s="55" t="n"/>
      <c r="E172" s="55" t="n"/>
      <c r="F172" s="55" t="n"/>
      <c r="G172" s="56" t="n"/>
      <c r="H172" s="57" t="n"/>
      <c r="I172" s="55" t="n"/>
      <c r="J172" s="53" t="n"/>
      <c r="K172" s="54" t="n"/>
      <c r="L172" s="55" t="n"/>
      <c r="M172" s="55" t="n"/>
      <c r="N172" s="57" t="n"/>
      <c r="O172" s="55" t="n"/>
      <c r="P172" s="56" t="n"/>
      <c r="Q172" s="55" t="n"/>
      <c r="R172" s="55" t="n"/>
      <c r="S172" s="55" t="n"/>
      <c r="T172" s="55" t="n"/>
      <c r="U172" s="55" t="n"/>
      <c r="V172" s="55" t="n"/>
      <c r="W172" s="58" t="n"/>
      <c r="X172" s="58" t="n"/>
      <c r="Y172" s="55" t="n"/>
      <c r="Z172" s="55" t="n"/>
      <c r="AA172" s="55" t="n"/>
      <c r="AB172" s="55" t="n"/>
      <c r="AC172" s="55" t="n"/>
      <c r="AD172" s="53" t="n"/>
      <c r="AE172" s="55" t="n"/>
      <c r="AF172" s="55" t="n"/>
      <c r="AG172" s="59" t="n"/>
      <c r="AH172" s="57" t="n"/>
      <c r="AI172" s="55" t="n"/>
      <c r="AJ172" s="55" t="n"/>
      <c r="AK172" s="55" t="n"/>
      <c r="AL172" s="55" t="n"/>
      <c r="AM172" s="56" t="n"/>
      <c r="AN172" s="55" t="n"/>
      <c r="AO172" s="55" t="n"/>
      <c r="AP172" s="55" t="n"/>
      <c r="AQ172" s="55" t="n"/>
      <c r="AR172" s="60">
        <f>IF(AND(C172="",E172=""),"",IF(A172="","⚠ Date manquante",IF(AND(C172="",E172&lt;&gt;"Dépense"),"⚠ Prospect manquant",IF(E172="","⚠ Action manquante",IF(AND(AU172=1,D172=""),"⚠ Canal manquant",IF(AND(W172&lt;&gt;"",COUNTIFS('Saisie'!$W$5:$W$2004,W172,'Saisie'!$C$5:$C$2004,"&lt;&gt;"&amp;C172)&gt;0),"⚠ Numéro déjà utilisé par un autre prospect",IF(AND(J172&lt;&gt;"",J172&lt;A172),"⚠ Relance avant la date de l'action",IF(A172&gt;TODAY(),"⚠ Date dans le futur","✓"))))))))</f>
        <v/>
      </c>
      <c r="AS172" s="61">
        <f>IF(AND(A172="",C172="",E172=""),"",ROW())</f>
        <v/>
      </c>
      <c r="AT172" s="61">
        <f>IF(E172&amp;F172="","",MAX(IFERROR(INDEX('Paramètres'!$J$6:$J$33,MATCH(E172,'Paramètres'!$I$6:$I$33,0)),0),IFERROR(INDEX('Paramètres'!$N$6:$N$17,MATCH(F172,'Paramètres'!$M$6:$M$17,0)),0)))</f>
        <v/>
      </c>
      <c r="AU172" s="61">
        <f>IF(E172="","",IFERROR(IF(INDEX('Paramètres'!$K$6:$K$33,MATCH(E172,'Paramètres'!$I$6:$I$33,0))="Oui",1,0),0))</f>
        <v/>
      </c>
      <c r="AV172" s="61">
        <f>IF(F172="","",IFERROR(IF(INDEX('Paramètres'!$O$6:$O$17,MATCH(F172,'Paramètres'!$M$6:$M$17,0))="Oui",1,0),0))</f>
        <v/>
      </c>
      <c r="AW172" s="62">
        <f>IF(E172="","",IF(G172&lt;&gt;"",G172,IF(OR(E172="Proposition envoyée",E172="Signature"),MAX(0,N(IFERROR(INDEX('Paramètres'!$R$6:$R$15,MATCH(IF(AL172&lt;&gt;"",AL172,IFERROR(INDEX('Prospects'!$AN$5:$AN$504,MATCH(C172,'Prospects'!$C$5:$C$504,0)),"")),'Paramètres'!$Q$6:$Q$15,0)),0))-N(P172)),0)))</f>
        <v/>
      </c>
      <c r="AX172" s="61">
        <f>IF(C172="","",IF(COUNTIF($C$5:C172,C172)=1,MAX($AX$4:AX171)+1,""))</f>
        <v/>
      </c>
      <c r="AY172" s="61">
        <f>IF(B172="","",HOUR(B172))</f>
        <v/>
      </c>
      <c r="AZ172" s="61">
        <f>IF(A172="","",MOD(A172-2,7)+1)</f>
        <v/>
      </c>
      <c r="BA172" s="60">
        <f>IF(C172="","",IFERROR(INDEX('Prospects'!$N$5:$N$504,MATCH(C172,'Prospects'!$C$5:$C$504,0)),""))</f>
        <v/>
      </c>
      <c r="BB172" s="61">
        <f>IF(AND(C172&lt;&gt;"",C172='Fiche prospect'!$C$4),COUNTIF($C$5:C172,C172),"")</f>
        <v/>
      </c>
    </row>
    <row r="173">
      <c r="A173" s="53" t="n"/>
      <c r="B173" s="54" t="n"/>
      <c r="C173" s="55" t="n"/>
      <c r="D173" s="55" t="n"/>
      <c r="E173" s="55" t="n"/>
      <c r="F173" s="55" t="n"/>
      <c r="G173" s="56" t="n"/>
      <c r="H173" s="57" t="n"/>
      <c r="I173" s="55" t="n"/>
      <c r="J173" s="53" t="n"/>
      <c r="K173" s="54" t="n"/>
      <c r="L173" s="55" t="n"/>
      <c r="M173" s="55" t="n"/>
      <c r="N173" s="57" t="n"/>
      <c r="O173" s="55" t="n"/>
      <c r="P173" s="56" t="n"/>
      <c r="Q173" s="55" t="n"/>
      <c r="R173" s="55" t="n"/>
      <c r="S173" s="55" t="n"/>
      <c r="T173" s="55" t="n"/>
      <c r="U173" s="55" t="n"/>
      <c r="V173" s="55" t="n"/>
      <c r="W173" s="58" t="n"/>
      <c r="X173" s="58" t="n"/>
      <c r="Y173" s="55" t="n"/>
      <c r="Z173" s="55" t="n"/>
      <c r="AA173" s="55" t="n"/>
      <c r="AB173" s="55" t="n"/>
      <c r="AC173" s="55" t="n"/>
      <c r="AD173" s="53" t="n"/>
      <c r="AE173" s="55" t="n"/>
      <c r="AF173" s="55" t="n"/>
      <c r="AG173" s="59" t="n"/>
      <c r="AH173" s="57" t="n"/>
      <c r="AI173" s="55" t="n"/>
      <c r="AJ173" s="55" t="n"/>
      <c r="AK173" s="55" t="n"/>
      <c r="AL173" s="55" t="n"/>
      <c r="AM173" s="56" t="n"/>
      <c r="AN173" s="55" t="n"/>
      <c r="AO173" s="55" t="n"/>
      <c r="AP173" s="55" t="n"/>
      <c r="AQ173" s="55" t="n"/>
      <c r="AR173" s="60">
        <f>IF(AND(C173="",E173=""),"",IF(A173="","⚠ Date manquante",IF(AND(C173="",E173&lt;&gt;"Dépense"),"⚠ Prospect manquant",IF(E173="","⚠ Action manquante",IF(AND(AU173=1,D173=""),"⚠ Canal manquant",IF(AND(W173&lt;&gt;"",COUNTIFS('Saisie'!$W$5:$W$2004,W173,'Saisie'!$C$5:$C$2004,"&lt;&gt;"&amp;C173)&gt;0),"⚠ Numéro déjà utilisé par un autre prospect",IF(AND(J173&lt;&gt;"",J173&lt;A173),"⚠ Relance avant la date de l'action",IF(A173&gt;TODAY(),"⚠ Date dans le futur","✓"))))))))</f>
        <v/>
      </c>
      <c r="AS173" s="61">
        <f>IF(AND(A173="",C173="",E173=""),"",ROW())</f>
        <v/>
      </c>
      <c r="AT173" s="61">
        <f>IF(E173&amp;F173="","",MAX(IFERROR(INDEX('Paramètres'!$J$6:$J$33,MATCH(E173,'Paramètres'!$I$6:$I$33,0)),0),IFERROR(INDEX('Paramètres'!$N$6:$N$17,MATCH(F173,'Paramètres'!$M$6:$M$17,0)),0)))</f>
        <v/>
      </c>
      <c r="AU173" s="61">
        <f>IF(E173="","",IFERROR(IF(INDEX('Paramètres'!$K$6:$K$33,MATCH(E173,'Paramètres'!$I$6:$I$33,0))="Oui",1,0),0))</f>
        <v/>
      </c>
      <c r="AV173" s="61">
        <f>IF(F173="","",IFERROR(IF(INDEX('Paramètres'!$O$6:$O$17,MATCH(F173,'Paramètres'!$M$6:$M$17,0))="Oui",1,0),0))</f>
        <v/>
      </c>
      <c r="AW173" s="62">
        <f>IF(E173="","",IF(G173&lt;&gt;"",G173,IF(OR(E173="Proposition envoyée",E173="Signature"),MAX(0,N(IFERROR(INDEX('Paramètres'!$R$6:$R$15,MATCH(IF(AL173&lt;&gt;"",AL173,IFERROR(INDEX('Prospects'!$AN$5:$AN$504,MATCH(C173,'Prospects'!$C$5:$C$504,0)),"")),'Paramètres'!$Q$6:$Q$15,0)),0))-N(P173)),0)))</f>
        <v/>
      </c>
      <c r="AX173" s="61">
        <f>IF(C173="","",IF(COUNTIF($C$5:C173,C173)=1,MAX($AX$4:AX172)+1,""))</f>
        <v/>
      </c>
      <c r="AY173" s="61">
        <f>IF(B173="","",HOUR(B173))</f>
        <v/>
      </c>
      <c r="AZ173" s="61">
        <f>IF(A173="","",MOD(A173-2,7)+1)</f>
        <v/>
      </c>
      <c r="BA173" s="60">
        <f>IF(C173="","",IFERROR(INDEX('Prospects'!$N$5:$N$504,MATCH(C173,'Prospects'!$C$5:$C$504,0)),""))</f>
        <v/>
      </c>
      <c r="BB173" s="61">
        <f>IF(AND(C173&lt;&gt;"",C173='Fiche prospect'!$C$4),COUNTIF($C$5:C173,C173),"")</f>
        <v/>
      </c>
    </row>
    <row r="174">
      <c r="A174" s="53" t="n"/>
      <c r="B174" s="54" t="n"/>
      <c r="C174" s="55" t="n"/>
      <c r="D174" s="55" t="n"/>
      <c r="E174" s="55" t="n"/>
      <c r="F174" s="55" t="n"/>
      <c r="G174" s="56" t="n"/>
      <c r="H174" s="57" t="n"/>
      <c r="I174" s="55" t="n"/>
      <c r="J174" s="53" t="n"/>
      <c r="K174" s="54" t="n"/>
      <c r="L174" s="55" t="n"/>
      <c r="M174" s="55" t="n"/>
      <c r="N174" s="57" t="n"/>
      <c r="O174" s="55" t="n"/>
      <c r="P174" s="56" t="n"/>
      <c r="Q174" s="55" t="n"/>
      <c r="R174" s="55" t="n"/>
      <c r="S174" s="55" t="n"/>
      <c r="T174" s="55" t="n"/>
      <c r="U174" s="55" t="n"/>
      <c r="V174" s="55" t="n"/>
      <c r="W174" s="58" t="n"/>
      <c r="X174" s="58" t="n"/>
      <c r="Y174" s="55" t="n"/>
      <c r="Z174" s="55" t="n"/>
      <c r="AA174" s="55" t="n"/>
      <c r="AB174" s="55" t="n"/>
      <c r="AC174" s="55" t="n"/>
      <c r="AD174" s="53" t="n"/>
      <c r="AE174" s="55" t="n"/>
      <c r="AF174" s="55" t="n"/>
      <c r="AG174" s="59" t="n"/>
      <c r="AH174" s="57" t="n"/>
      <c r="AI174" s="55" t="n"/>
      <c r="AJ174" s="55" t="n"/>
      <c r="AK174" s="55" t="n"/>
      <c r="AL174" s="55" t="n"/>
      <c r="AM174" s="56" t="n"/>
      <c r="AN174" s="55" t="n"/>
      <c r="AO174" s="55" t="n"/>
      <c r="AP174" s="55" t="n"/>
      <c r="AQ174" s="55" t="n"/>
      <c r="AR174" s="60">
        <f>IF(AND(C174="",E174=""),"",IF(A174="","⚠ Date manquante",IF(AND(C174="",E174&lt;&gt;"Dépense"),"⚠ Prospect manquant",IF(E174="","⚠ Action manquante",IF(AND(AU174=1,D174=""),"⚠ Canal manquant",IF(AND(W174&lt;&gt;"",COUNTIFS('Saisie'!$W$5:$W$2004,W174,'Saisie'!$C$5:$C$2004,"&lt;&gt;"&amp;C174)&gt;0),"⚠ Numéro déjà utilisé par un autre prospect",IF(AND(J174&lt;&gt;"",J174&lt;A174),"⚠ Relance avant la date de l'action",IF(A174&gt;TODAY(),"⚠ Date dans le futur","✓"))))))))</f>
        <v/>
      </c>
      <c r="AS174" s="61">
        <f>IF(AND(A174="",C174="",E174=""),"",ROW())</f>
        <v/>
      </c>
      <c r="AT174" s="61">
        <f>IF(E174&amp;F174="","",MAX(IFERROR(INDEX('Paramètres'!$J$6:$J$33,MATCH(E174,'Paramètres'!$I$6:$I$33,0)),0),IFERROR(INDEX('Paramètres'!$N$6:$N$17,MATCH(F174,'Paramètres'!$M$6:$M$17,0)),0)))</f>
        <v/>
      </c>
      <c r="AU174" s="61">
        <f>IF(E174="","",IFERROR(IF(INDEX('Paramètres'!$K$6:$K$33,MATCH(E174,'Paramètres'!$I$6:$I$33,0))="Oui",1,0),0))</f>
        <v/>
      </c>
      <c r="AV174" s="61">
        <f>IF(F174="","",IFERROR(IF(INDEX('Paramètres'!$O$6:$O$17,MATCH(F174,'Paramètres'!$M$6:$M$17,0))="Oui",1,0),0))</f>
        <v/>
      </c>
      <c r="AW174" s="62">
        <f>IF(E174="","",IF(G174&lt;&gt;"",G174,IF(OR(E174="Proposition envoyée",E174="Signature"),MAX(0,N(IFERROR(INDEX('Paramètres'!$R$6:$R$15,MATCH(IF(AL174&lt;&gt;"",AL174,IFERROR(INDEX('Prospects'!$AN$5:$AN$504,MATCH(C174,'Prospects'!$C$5:$C$504,0)),"")),'Paramètres'!$Q$6:$Q$15,0)),0))-N(P174)),0)))</f>
        <v/>
      </c>
      <c r="AX174" s="61">
        <f>IF(C174="","",IF(COUNTIF($C$5:C174,C174)=1,MAX($AX$4:AX173)+1,""))</f>
        <v/>
      </c>
      <c r="AY174" s="61">
        <f>IF(B174="","",HOUR(B174))</f>
        <v/>
      </c>
      <c r="AZ174" s="61">
        <f>IF(A174="","",MOD(A174-2,7)+1)</f>
        <v/>
      </c>
      <c r="BA174" s="60">
        <f>IF(C174="","",IFERROR(INDEX('Prospects'!$N$5:$N$504,MATCH(C174,'Prospects'!$C$5:$C$504,0)),""))</f>
        <v/>
      </c>
      <c r="BB174" s="61">
        <f>IF(AND(C174&lt;&gt;"",C174='Fiche prospect'!$C$4),COUNTIF($C$5:C174,C174),"")</f>
        <v/>
      </c>
    </row>
    <row r="175">
      <c r="A175" s="53" t="n"/>
      <c r="B175" s="54" t="n"/>
      <c r="C175" s="55" t="n"/>
      <c r="D175" s="55" t="n"/>
      <c r="E175" s="55" t="n"/>
      <c r="F175" s="55" t="n"/>
      <c r="G175" s="56" t="n"/>
      <c r="H175" s="57" t="n"/>
      <c r="I175" s="55" t="n"/>
      <c r="J175" s="53" t="n"/>
      <c r="K175" s="54" t="n"/>
      <c r="L175" s="55" t="n"/>
      <c r="M175" s="55" t="n"/>
      <c r="N175" s="57" t="n"/>
      <c r="O175" s="55" t="n"/>
      <c r="P175" s="56" t="n"/>
      <c r="Q175" s="55" t="n"/>
      <c r="R175" s="55" t="n"/>
      <c r="S175" s="55" t="n"/>
      <c r="T175" s="55" t="n"/>
      <c r="U175" s="55" t="n"/>
      <c r="V175" s="55" t="n"/>
      <c r="W175" s="58" t="n"/>
      <c r="X175" s="58" t="n"/>
      <c r="Y175" s="55" t="n"/>
      <c r="Z175" s="55" t="n"/>
      <c r="AA175" s="55" t="n"/>
      <c r="AB175" s="55" t="n"/>
      <c r="AC175" s="55" t="n"/>
      <c r="AD175" s="53" t="n"/>
      <c r="AE175" s="55" t="n"/>
      <c r="AF175" s="55" t="n"/>
      <c r="AG175" s="59" t="n"/>
      <c r="AH175" s="57" t="n"/>
      <c r="AI175" s="55" t="n"/>
      <c r="AJ175" s="55" t="n"/>
      <c r="AK175" s="55" t="n"/>
      <c r="AL175" s="55" t="n"/>
      <c r="AM175" s="56" t="n"/>
      <c r="AN175" s="55" t="n"/>
      <c r="AO175" s="55" t="n"/>
      <c r="AP175" s="55" t="n"/>
      <c r="AQ175" s="55" t="n"/>
      <c r="AR175" s="60">
        <f>IF(AND(C175="",E175=""),"",IF(A175="","⚠ Date manquante",IF(AND(C175="",E175&lt;&gt;"Dépense"),"⚠ Prospect manquant",IF(E175="","⚠ Action manquante",IF(AND(AU175=1,D175=""),"⚠ Canal manquant",IF(AND(W175&lt;&gt;"",COUNTIFS('Saisie'!$W$5:$W$2004,W175,'Saisie'!$C$5:$C$2004,"&lt;&gt;"&amp;C175)&gt;0),"⚠ Numéro déjà utilisé par un autre prospect",IF(AND(J175&lt;&gt;"",J175&lt;A175),"⚠ Relance avant la date de l'action",IF(A175&gt;TODAY(),"⚠ Date dans le futur","✓"))))))))</f>
        <v/>
      </c>
      <c r="AS175" s="61">
        <f>IF(AND(A175="",C175="",E175=""),"",ROW())</f>
        <v/>
      </c>
      <c r="AT175" s="61">
        <f>IF(E175&amp;F175="","",MAX(IFERROR(INDEX('Paramètres'!$J$6:$J$33,MATCH(E175,'Paramètres'!$I$6:$I$33,0)),0),IFERROR(INDEX('Paramètres'!$N$6:$N$17,MATCH(F175,'Paramètres'!$M$6:$M$17,0)),0)))</f>
        <v/>
      </c>
      <c r="AU175" s="61">
        <f>IF(E175="","",IFERROR(IF(INDEX('Paramètres'!$K$6:$K$33,MATCH(E175,'Paramètres'!$I$6:$I$33,0))="Oui",1,0),0))</f>
        <v/>
      </c>
      <c r="AV175" s="61">
        <f>IF(F175="","",IFERROR(IF(INDEX('Paramètres'!$O$6:$O$17,MATCH(F175,'Paramètres'!$M$6:$M$17,0))="Oui",1,0),0))</f>
        <v/>
      </c>
      <c r="AW175" s="62">
        <f>IF(E175="","",IF(G175&lt;&gt;"",G175,IF(OR(E175="Proposition envoyée",E175="Signature"),MAX(0,N(IFERROR(INDEX('Paramètres'!$R$6:$R$15,MATCH(IF(AL175&lt;&gt;"",AL175,IFERROR(INDEX('Prospects'!$AN$5:$AN$504,MATCH(C175,'Prospects'!$C$5:$C$504,0)),"")),'Paramètres'!$Q$6:$Q$15,0)),0))-N(P175)),0)))</f>
        <v/>
      </c>
      <c r="AX175" s="61">
        <f>IF(C175="","",IF(COUNTIF($C$5:C175,C175)=1,MAX($AX$4:AX174)+1,""))</f>
        <v/>
      </c>
      <c r="AY175" s="61">
        <f>IF(B175="","",HOUR(B175))</f>
        <v/>
      </c>
      <c r="AZ175" s="61">
        <f>IF(A175="","",MOD(A175-2,7)+1)</f>
        <v/>
      </c>
      <c r="BA175" s="60">
        <f>IF(C175="","",IFERROR(INDEX('Prospects'!$N$5:$N$504,MATCH(C175,'Prospects'!$C$5:$C$504,0)),""))</f>
        <v/>
      </c>
      <c r="BB175" s="61">
        <f>IF(AND(C175&lt;&gt;"",C175='Fiche prospect'!$C$4),COUNTIF($C$5:C175,C175),"")</f>
        <v/>
      </c>
    </row>
    <row r="176">
      <c r="A176" s="53" t="n"/>
      <c r="B176" s="54" t="n"/>
      <c r="C176" s="55" t="n"/>
      <c r="D176" s="55" t="n"/>
      <c r="E176" s="55" t="n"/>
      <c r="F176" s="55" t="n"/>
      <c r="G176" s="56" t="n"/>
      <c r="H176" s="57" t="n"/>
      <c r="I176" s="55" t="n"/>
      <c r="J176" s="53" t="n"/>
      <c r="K176" s="54" t="n"/>
      <c r="L176" s="55" t="n"/>
      <c r="M176" s="55" t="n"/>
      <c r="N176" s="57" t="n"/>
      <c r="O176" s="55" t="n"/>
      <c r="P176" s="56" t="n"/>
      <c r="Q176" s="55" t="n"/>
      <c r="R176" s="55" t="n"/>
      <c r="S176" s="55" t="n"/>
      <c r="T176" s="55" t="n"/>
      <c r="U176" s="55" t="n"/>
      <c r="V176" s="55" t="n"/>
      <c r="W176" s="58" t="n"/>
      <c r="X176" s="58" t="n"/>
      <c r="Y176" s="55" t="n"/>
      <c r="Z176" s="55" t="n"/>
      <c r="AA176" s="55" t="n"/>
      <c r="AB176" s="55" t="n"/>
      <c r="AC176" s="55" t="n"/>
      <c r="AD176" s="53" t="n"/>
      <c r="AE176" s="55" t="n"/>
      <c r="AF176" s="55" t="n"/>
      <c r="AG176" s="59" t="n"/>
      <c r="AH176" s="57" t="n"/>
      <c r="AI176" s="55" t="n"/>
      <c r="AJ176" s="55" t="n"/>
      <c r="AK176" s="55" t="n"/>
      <c r="AL176" s="55" t="n"/>
      <c r="AM176" s="56" t="n"/>
      <c r="AN176" s="55" t="n"/>
      <c r="AO176" s="55" t="n"/>
      <c r="AP176" s="55" t="n"/>
      <c r="AQ176" s="55" t="n"/>
      <c r="AR176" s="60">
        <f>IF(AND(C176="",E176=""),"",IF(A176="","⚠ Date manquante",IF(AND(C176="",E176&lt;&gt;"Dépense"),"⚠ Prospect manquant",IF(E176="","⚠ Action manquante",IF(AND(AU176=1,D176=""),"⚠ Canal manquant",IF(AND(W176&lt;&gt;"",COUNTIFS('Saisie'!$W$5:$W$2004,W176,'Saisie'!$C$5:$C$2004,"&lt;&gt;"&amp;C176)&gt;0),"⚠ Numéro déjà utilisé par un autre prospect",IF(AND(J176&lt;&gt;"",J176&lt;A176),"⚠ Relance avant la date de l'action",IF(A176&gt;TODAY(),"⚠ Date dans le futur","✓"))))))))</f>
        <v/>
      </c>
      <c r="AS176" s="61">
        <f>IF(AND(A176="",C176="",E176=""),"",ROW())</f>
        <v/>
      </c>
      <c r="AT176" s="61">
        <f>IF(E176&amp;F176="","",MAX(IFERROR(INDEX('Paramètres'!$J$6:$J$33,MATCH(E176,'Paramètres'!$I$6:$I$33,0)),0),IFERROR(INDEX('Paramètres'!$N$6:$N$17,MATCH(F176,'Paramètres'!$M$6:$M$17,0)),0)))</f>
        <v/>
      </c>
      <c r="AU176" s="61">
        <f>IF(E176="","",IFERROR(IF(INDEX('Paramètres'!$K$6:$K$33,MATCH(E176,'Paramètres'!$I$6:$I$33,0))="Oui",1,0),0))</f>
        <v/>
      </c>
      <c r="AV176" s="61">
        <f>IF(F176="","",IFERROR(IF(INDEX('Paramètres'!$O$6:$O$17,MATCH(F176,'Paramètres'!$M$6:$M$17,0))="Oui",1,0),0))</f>
        <v/>
      </c>
      <c r="AW176" s="62">
        <f>IF(E176="","",IF(G176&lt;&gt;"",G176,IF(OR(E176="Proposition envoyée",E176="Signature"),MAX(0,N(IFERROR(INDEX('Paramètres'!$R$6:$R$15,MATCH(IF(AL176&lt;&gt;"",AL176,IFERROR(INDEX('Prospects'!$AN$5:$AN$504,MATCH(C176,'Prospects'!$C$5:$C$504,0)),"")),'Paramètres'!$Q$6:$Q$15,0)),0))-N(P176)),0)))</f>
        <v/>
      </c>
      <c r="AX176" s="61">
        <f>IF(C176="","",IF(COUNTIF($C$5:C176,C176)=1,MAX($AX$4:AX175)+1,""))</f>
        <v/>
      </c>
      <c r="AY176" s="61">
        <f>IF(B176="","",HOUR(B176))</f>
        <v/>
      </c>
      <c r="AZ176" s="61">
        <f>IF(A176="","",MOD(A176-2,7)+1)</f>
        <v/>
      </c>
      <c r="BA176" s="60">
        <f>IF(C176="","",IFERROR(INDEX('Prospects'!$N$5:$N$504,MATCH(C176,'Prospects'!$C$5:$C$504,0)),""))</f>
        <v/>
      </c>
      <c r="BB176" s="61">
        <f>IF(AND(C176&lt;&gt;"",C176='Fiche prospect'!$C$4),COUNTIF($C$5:C176,C176),"")</f>
        <v/>
      </c>
    </row>
    <row r="177">
      <c r="A177" s="53" t="n"/>
      <c r="B177" s="54" t="n"/>
      <c r="C177" s="55" t="n"/>
      <c r="D177" s="55" t="n"/>
      <c r="E177" s="55" t="n"/>
      <c r="F177" s="55" t="n"/>
      <c r="G177" s="56" t="n"/>
      <c r="H177" s="57" t="n"/>
      <c r="I177" s="55" t="n"/>
      <c r="J177" s="53" t="n"/>
      <c r="K177" s="54" t="n"/>
      <c r="L177" s="55" t="n"/>
      <c r="M177" s="55" t="n"/>
      <c r="N177" s="57" t="n"/>
      <c r="O177" s="55" t="n"/>
      <c r="P177" s="56" t="n"/>
      <c r="Q177" s="55" t="n"/>
      <c r="R177" s="55" t="n"/>
      <c r="S177" s="55" t="n"/>
      <c r="T177" s="55" t="n"/>
      <c r="U177" s="55" t="n"/>
      <c r="V177" s="55" t="n"/>
      <c r="W177" s="58" t="n"/>
      <c r="X177" s="58" t="n"/>
      <c r="Y177" s="55" t="n"/>
      <c r="Z177" s="55" t="n"/>
      <c r="AA177" s="55" t="n"/>
      <c r="AB177" s="55" t="n"/>
      <c r="AC177" s="55" t="n"/>
      <c r="AD177" s="53" t="n"/>
      <c r="AE177" s="55" t="n"/>
      <c r="AF177" s="55" t="n"/>
      <c r="AG177" s="59" t="n"/>
      <c r="AH177" s="57" t="n"/>
      <c r="AI177" s="55" t="n"/>
      <c r="AJ177" s="55" t="n"/>
      <c r="AK177" s="55" t="n"/>
      <c r="AL177" s="55" t="n"/>
      <c r="AM177" s="56" t="n"/>
      <c r="AN177" s="55" t="n"/>
      <c r="AO177" s="55" t="n"/>
      <c r="AP177" s="55" t="n"/>
      <c r="AQ177" s="55" t="n"/>
      <c r="AR177" s="60">
        <f>IF(AND(C177="",E177=""),"",IF(A177="","⚠ Date manquante",IF(AND(C177="",E177&lt;&gt;"Dépense"),"⚠ Prospect manquant",IF(E177="","⚠ Action manquante",IF(AND(AU177=1,D177=""),"⚠ Canal manquant",IF(AND(W177&lt;&gt;"",COUNTIFS('Saisie'!$W$5:$W$2004,W177,'Saisie'!$C$5:$C$2004,"&lt;&gt;"&amp;C177)&gt;0),"⚠ Numéro déjà utilisé par un autre prospect",IF(AND(J177&lt;&gt;"",J177&lt;A177),"⚠ Relance avant la date de l'action",IF(A177&gt;TODAY(),"⚠ Date dans le futur","✓"))))))))</f>
        <v/>
      </c>
      <c r="AS177" s="61">
        <f>IF(AND(A177="",C177="",E177=""),"",ROW())</f>
        <v/>
      </c>
      <c r="AT177" s="61">
        <f>IF(E177&amp;F177="","",MAX(IFERROR(INDEX('Paramètres'!$J$6:$J$33,MATCH(E177,'Paramètres'!$I$6:$I$33,0)),0),IFERROR(INDEX('Paramètres'!$N$6:$N$17,MATCH(F177,'Paramètres'!$M$6:$M$17,0)),0)))</f>
        <v/>
      </c>
      <c r="AU177" s="61">
        <f>IF(E177="","",IFERROR(IF(INDEX('Paramètres'!$K$6:$K$33,MATCH(E177,'Paramètres'!$I$6:$I$33,0))="Oui",1,0),0))</f>
        <v/>
      </c>
      <c r="AV177" s="61">
        <f>IF(F177="","",IFERROR(IF(INDEX('Paramètres'!$O$6:$O$17,MATCH(F177,'Paramètres'!$M$6:$M$17,0))="Oui",1,0),0))</f>
        <v/>
      </c>
      <c r="AW177" s="62">
        <f>IF(E177="","",IF(G177&lt;&gt;"",G177,IF(OR(E177="Proposition envoyée",E177="Signature"),MAX(0,N(IFERROR(INDEX('Paramètres'!$R$6:$R$15,MATCH(IF(AL177&lt;&gt;"",AL177,IFERROR(INDEX('Prospects'!$AN$5:$AN$504,MATCH(C177,'Prospects'!$C$5:$C$504,0)),"")),'Paramètres'!$Q$6:$Q$15,0)),0))-N(P177)),0)))</f>
        <v/>
      </c>
      <c r="AX177" s="61">
        <f>IF(C177="","",IF(COUNTIF($C$5:C177,C177)=1,MAX($AX$4:AX176)+1,""))</f>
        <v/>
      </c>
      <c r="AY177" s="61">
        <f>IF(B177="","",HOUR(B177))</f>
        <v/>
      </c>
      <c r="AZ177" s="61">
        <f>IF(A177="","",MOD(A177-2,7)+1)</f>
        <v/>
      </c>
      <c r="BA177" s="60">
        <f>IF(C177="","",IFERROR(INDEX('Prospects'!$N$5:$N$504,MATCH(C177,'Prospects'!$C$5:$C$504,0)),""))</f>
        <v/>
      </c>
      <c r="BB177" s="61">
        <f>IF(AND(C177&lt;&gt;"",C177='Fiche prospect'!$C$4),COUNTIF($C$5:C177,C177),"")</f>
        <v/>
      </c>
    </row>
    <row r="178">
      <c r="A178" s="53" t="n"/>
      <c r="B178" s="54" t="n"/>
      <c r="C178" s="55" t="n"/>
      <c r="D178" s="55" t="n"/>
      <c r="E178" s="55" t="n"/>
      <c r="F178" s="55" t="n"/>
      <c r="G178" s="56" t="n"/>
      <c r="H178" s="57" t="n"/>
      <c r="I178" s="55" t="n"/>
      <c r="J178" s="53" t="n"/>
      <c r="K178" s="54" t="n"/>
      <c r="L178" s="55" t="n"/>
      <c r="M178" s="55" t="n"/>
      <c r="N178" s="57" t="n"/>
      <c r="O178" s="55" t="n"/>
      <c r="P178" s="56" t="n"/>
      <c r="Q178" s="55" t="n"/>
      <c r="R178" s="55" t="n"/>
      <c r="S178" s="55" t="n"/>
      <c r="T178" s="55" t="n"/>
      <c r="U178" s="55" t="n"/>
      <c r="V178" s="55" t="n"/>
      <c r="W178" s="58" t="n"/>
      <c r="X178" s="58" t="n"/>
      <c r="Y178" s="55" t="n"/>
      <c r="Z178" s="55" t="n"/>
      <c r="AA178" s="55" t="n"/>
      <c r="AB178" s="55" t="n"/>
      <c r="AC178" s="55" t="n"/>
      <c r="AD178" s="53" t="n"/>
      <c r="AE178" s="55" t="n"/>
      <c r="AF178" s="55" t="n"/>
      <c r="AG178" s="59" t="n"/>
      <c r="AH178" s="57" t="n"/>
      <c r="AI178" s="55" t="n"/>
      <c r="AJ178" s="55" t="n"/>
      <c r="AK178" s="55" t="n"/>
      <c r="AL178" s="55" t="n"/>
      <c r="AM178" s="56" t="n"/>
      <c r="AN178" s="55" t="n"/>
      <c r="AO178" s="55" t="n"/>
      <c r="AP178" s="55" t="n"/>
      <c r="AQ178" s="55" t="n"/>
      <c r="AR178" s="60">
        <f>IF(AND(C178="",E178=""),"",IF(A178="","⚠ Date manquante",IF(AND(C178="",E178&lt;&gt;"Dépense"),"⚠ Prospect manquant",IF(E178="","⚠ Action manquante",IF(AND(AU178=1,D178=""),"⚠ Canal manquant",IF(AND(W178&lt;&gt;"",COUNTIFS('Saisie'!$W$5:$W$2004,W178,'Saisie'!$C$5:$C$2004,"&lt;&gt;"&amp;C178)&gt;0),"⚠ Numéro déjà utilisé par un autre prospect",IF(AND(J178&lt;&gt;"",J178&lt;A178),"⚠ Relance avant la date de l'action",IF(A178&gt;TODAY(),"⚠ Date dans le futur","✓"))))))))</f>
        <v/>
      </c>
      <c r="AS178" s="61">
        <f>IF(AND(A178="",C178="",E178=""),"",ROW())</f>
        <v/>
      </c>
      <c r="AT178" s="61">
        <f>IF(E178&amp;F178="","",MAX(IFERROR(INDEX('Paramètres'!$J$6:$J$33,MATCH(E178,'Paramètres'!$I$6:$I$33,0)),0),IFERROR(INDEX('Paramètres'!$N$6:$N$17,MATCH(F178,'Paramètres'!$M$6:$M$17,0)),0)))</f>
        <v/>
      </c>
      <c r="AU178" s="61">
        <f>IF(E178="","",IFERROR(IF(INDEX('Paramètres'!$K$6:$K$33,MATCH(E178,'Paramètres'!$I$6:$I$33,0))="Oui",1,0),0))</f>
        <v/>
      </c>
      <c r="AV178" s="61">
        <f>IF(F178="","",IFERROR(IF(INDEX('Paramètres'!$O$6:$O$17,MATCH(F178,'Paramètres'!$M$6:$M$17,0))="Oui",1,0),0))</f>
        <v/>
      </c>
      <c r="AW178" s="62">
        <f>IF(E178="","",IF(G178&lt;&gt;"",G178,IF(OR(E178="Proposition envoyée",E178="Signature"),MAX(0,N(IFERROR(INDEX('Paramètres'!$R$6:$R$15,MATCH(IF(AL178&lt;&gt;"",AL178,IFERROR(INDEX('Prospects'!$AN$5:$AN$504,MATCH(C178,'Prospects'!$C$5:$C$504,0)),"")),'Paramètres'!$Q$6:$Q$15,0)),0))-N(P178)),0)))</f>
        <v/>
      </c>
      <c r="AX178" s="61">
        <f>IF(C178="","",IF(COUNTIF($C$5:C178,C178)=1,MAX($AX$4:AX177)+1,""))</f>
        <v/>
      </c>
      <c r="AY178" s="61">
        <f>IF(B178="","",HOUR(B178))</f>
        <v/>
      </c>
      <c r="AZ178" s="61">
        <f>IF(A178="","",MOD(A178-2,7)+1)</f>
        <v/>
      </c>
      <c r="BA178" s="60">
        <f>IF(C178="","",IFERROR(INDEX('Prospects'!$N$5:$N$504,MATCH(C178,'Prospects'!$C$5:$C$504,0)),""))</f>
        <v/>
      </c>
      <c r="BB178" s="61">
        <f>IF(AND(C178&lt;&gt;"",C178='Fiche prospect'!$C$4),COUNTIF($C$5:C178,C178),"")</f>
        <v/>
      </c>
    </row>
    <row r="179">
      <c r="A179" s="53" t="n"/>
      <c r="B179" s="54" t="n"/>
      <c r="C179" s="55" t="n"/>
      <c r="D179" s="55" t="n"/>
      <c r="E179" s="55" t="n"/>
      <c r="F179" s="55" t="n"/>
      <c r="G179" s="56" t="n"/>
      <c r="H179" s="57" t="n"/>
      <c r="I179" s="55" t="n"/>
      <c r="J179" s="53" t="n"/>
      <c r="K179" s="54" t="n"/>
      <c r="L179" s="55" t="n"/>
      <c r="M179" s="55" t="n"/>
      <c r="N179" s="57" t="n"/>
      <c r="O179" s="55" t="n"/>
      <c r="P179" s="56" t="n"/>
      <c r="Q179" s="55" t="n"/>
      <c r="R179" s="55" t="n"/>
      <c r="S179" s="55" t="n"/>
      <c r="T179" s="55" t="n"/>
      <c r="U179" s="55" t="n"/>
      <c r="V179" s="55" t="n"/>
      <c r="W179" s="58" t="n"/>
      <c r="X179" s="58" t="n"/>
      <c r="Y179" s="55" t="n"/>
      <c r="Z179" s="55" t="n"/>
      <c r="AA179" s="55" t="n"/>
      <c r="AB179" s="55" t="n"/>
      <c r="AC179" s="55" t="n"/>
      <c r="AD179" s="53" t="n"/>
      <c r="AE179" s="55" t="n"/>
      <c r="AF179" s="55" t="n"/>
      <c r="AG179" s="59" t="n"/>
      <c r="AH179" s="57" t="n"/>
      <c r="AI179" s="55" t="n"/>
      <c r="AJ179" s="55" t="n"/>
      <c r="AK179" s="55" t="n"/>
      <c r="AL179" s="55" t="n"/>
      <c r="AM179" s="56" t="n"/>
      <c r="AN179" s="55" t="n"/>
      <c r="AO179" s="55" t="n"/>
      <c r="AP179" s="55" t="n"/>
      <c r="AQ179" s="55" t="n"/>
      <c r="AR179" s="60">
        <f>IF(AND(C179="",E179=""),"",IF(A179="","⚠ Date manquante",IF(AND(C179="",E179&lt;&gt;"Dépense"),"⚠ Prospect manquant",IF(E179="","⚠ Action manquante",IF(AND(AU179=1,D179=""),"⚠ Canal manquant",IF(AND(W179&lt;&gt;"",COUNTIFS('Saisie'!$W$5:$W$2004,W179,'Saisie'!$C$5:$C$2004,"&lt;&gt;"&amp;C179)&gt;0),"⚠ Numéro déjà utilisé par un autre prospect",IF(AND(J179&lt;&gt;"",J179&lt;A179),"⚠ Relance avant la date de l'action",IF(A179&gt;TODAY(),"⚠ Date dans le futur","✓"))))))))</f>
        <v/>
      </c>
      <c r="AS179" s="61">
        <f>IF(AND(A179="",C179="",E179=""),"",ROW())</f>
        <v/>
      </c>
      <c r="AT179" s="61">
        <f>IF(E179&amp;F179="","",MAX(IFERROR(INDEX('Paramètres'!$J$6:$J$33,MATCH(E179,'Paramètres'!$I$6:$I$33,0)),0),IFERROR(INDEX('Paramètres'!$N$6:$N$17,MATCH(F179,'Paramètres'!$M$6:$M$17,0)),0)))</f>
        <v/>
      </c>
      <c r="AU179" s="61">
        <f>IF(E179="","",IFERROR(IF(INDEX('Paramètres'!$K$6:$K$33,MATCH(E179,'Paramètres'!$I$6:$I$33,0))="Oui",1,0),0))</f>
        <v/>
      </c>
      <c r="AV179" s="61">
        <f>IF(F179="","",IFERROR(IF(INDEX('Paramètres'!$O$6:$O$17,MATCH(F179,'Paramètres'!$M$6:$M$17,0))="Oui",1,0),0))</f>
        <v/>
      </c>
      <c r="AW179" s="62">
        <f>IF(E179="","",IF(G179&lt;&gt;"",G179,IF(OR(E179="Proposition envoyée",E179="Signature"),MAX(0,N(IFERROR(INDEX('Paramètres'!$R$6:$R$15,MATCH(IF(AL179&lt;&gt;"",AL179,IFERROR(INDEX('Prospects'!$AN$5:$AN$504,MATCH(C179,'Prospects'!$C$5:$C$504,0)),"")),'Paramètres'!$Q$6:$Q$15,0)),0))-N(P179)),0)))</f>
        <v/>
      </c>
      <c r="AX179" s="61">
        <f>IF(C179="","",IF(COUNTIF($C$5:C179,C179)=1,MAX($AX$4:AX178)+1,""))</f>
        <v/>
      </c>
      <c r="AY179" s="61">
        <f>IF(B179="","",HOUR(B179))</f>
        <v/>
      </c>
      <c r="AZ179" s="61">
        <f>IF(A179="","",MOD(A179-2,7)+1)</f>
        <v/>
      </c>
      <c r="BA179" s="60">
        <f>IF(C179="","",IFERROR(INDEX('Prospects'!$N$5:$N$504,MATCH(C179,'Prospects'!$C$5:$C$504,0)),""))</f>
        <v/>
      </c>
      <c r="BB179" s="61">
        <f>IF(AND(C179&lt;&gt;"",C179='Fiche prospect'!$C$4),COUNTIF($C$5:C179,C179),"")</f>
        <v/>
      </c>
    </row>
    <row r="180">
      <c r="A180" s="53" t="n"/>
      <c r="B180" s="54" t="n"/>
      <c r="C180" s="55" t="n"/>
      <c r="D180" s="55" t="n"/>
      <c r="E180" s="55" t="n"/>
      <c r="F180" s="55" t="n"/>
      <c r="G180" s="56" t="n"/>
      <c r="H180" s="57" t="n"/>
      <c r="I180" s="55" t="n"/>
      <c r="J180" s="53" t="n"/>
      <c r="K180" s="54" t="n"/>
      <c r="L180" s="55" t="n"/>
      <c r="M180" s="55" t="n"/>
      <c r="N180" s="57" t="n"/>
      <c r="O180" s="55" t="n"/>
      <c r="P180" s="56" t="n"/>
      <c r="Q180" s="55" t="n"/>
      <c r="R180" s="55" t="n"/>
      <c r="S180" s="55" t="n"/>
      <c r="T180" s="55" t="n"/>
      <c r="U180" s="55" t="n"/>
      <c r="V180" s="55" t="n"/>
      <c r="W180" s="58" t="n"/>
      <c r="X180" s="58" t="n"/>
      <c r="Y180" s="55" t="n"/>
      <c r="Z180" s="55" t="n"/>
      <c r="AA180" s="55" t="n"/>
      <c r="AB180" s="55" t="n"/>
      <c r="AC180" s="55" t="n"/>
      <c r="AD180" s="53" t="n"/>
      <c r="AE180" s="55" t="n"/>
      <c r="AF180" s="55" t="n"/>
      <c r="AG180" s="59" t="n"/>
      <c r="AH180" s="57" t="n"/>
      <c r="AI180" s="55" t="n"/>
      <c r="AJ180" s="55" t="n"/>
      <c r="AK180" s="55" t="n"/>
      <c r="AL180" s="55" t="n"/>
      <c r="AM180" s="56" t="n"/>
      <c r="AN180" s="55" t="n"/>
      <c r="AO180" s="55" t="n"/>
      <c r="AP180" s="55" t="n"/>
      <c r="AQ180" s="55" t="n"/>
      <c r="AR180" s="60">
        <f>IF(AND(C180="",E180=""),"",IF(A180="","⚠ Date manquante",IF(AND(C180="",E180&lt;&gt;"Dépense"),"⚠ Prospect manquant",IF(E180="","⚠ Action manquante",IF(AND(AU180=1,D180=""),"⚠ Canal manquant",IF(AND(W180&lt;&gt;"",COUNTIFS('Saisie'!$W$5:$W$2004,W180,'Saisie'!$C$5:$C$2004,"&lt;&gt;"&amp;C180)&gt;0),"⚠ Numéro déjà utilisé par un autre prospect",IF(AND(J180&lt;&gt;"",J180&lt;A180),"⚠ Relance avant la date de l'action",IF(A180&gt;TODAY(),"⚠ Date dans le futur","✓"))))))))</f>
        <v/>
      </c>
      <c r="AS180" s="61">
        <f>IF(AND(A180="",C180="",E180=""),"",ROW())</f>
        <v/>
      </c>
      <c r="AT180" s="61">
        <f>IF(E180&amp;F180="","",MAX(IFERROR(INDEX('Paramètres'!$J$6:$J$33,MATCH(E180,'Paramètres'!$I$6:$I$33,0)),0),IFERROR(INDEX('Paramètres'!$N$6:$N$17,MATCH(F180,'Paramètres'!$M$6:$M$17,0)),0)))</f>
        <v/>
      </c>
      <c r="AU180" s="61">
        <f>IF(E180="","",IFERROR(IF(INDEX('Paramètres'!$K$6:$K$33,MATCH(E180,'Paramètres'!$I$6:$I$33,0))="Oui",1,0),0))</f>
        <v/>
      </c>
      <c r="AV180" s="61">
        <f>IF(F180="","",IFERROR(IF(INDEX('Paramètres'!$O$6:$O$17,MATCH(F180,'Paramètres'!$M$6:$M$17,0))="Oui",1,0),0))</f>
        <v/>
      </c>
      <c r="AW180" s="62">
        <f>IF(E180="","",IF(G180&lt;&gt;"",G180,IF(OR(E180="Proposition envoyée",E180="Signature"),MAX(0,N(IFERROR(INDEX('Paramètres'!$R$6:$R$15,MATCH(IF(AL180&lt;&gt;"",AL180,IFERROR(INDEX('Prospects'!$AN$5:$AN$504,MATCH(C180,'Prospects'!$C$5:$C$504,0)),"")),'Paramètres'!$Q$6:$Q$15,0)),0))-N(P180)),0)))</f>
        <v/>
      </c>
      <c r="AX180" s="61">
        <f>IF(C180="","",IF(COUNTIF($C$5:C180,C180)=1,MAX($AX$4:AX179)+1,""))</f>
        <v/>
      </c>
      <c r="AY180" s="61">
        <f>IF(B180="","",HOUR(B180))</f>
        <v/>
      </c>
      <c r="AZ180" s="61">
        <f>IF(A180="","",MOD(A180-2,7)+1)</f>
        <v/>
      </c>
      <c r="BA180" s="60">
        <f>IF(C180="","",IFERROR(INDEX('Prospects'!$N$5:$N$504,MATCH(C180,'Prospects'!$C$5:$C$504,0)),""))</f>
        <v/>
      </c>
      <c r="BB180" s="61">
        <f>IF(AND(C180&lt;&gt;"",C180='Fiche prospect'!$C$4),COUNTIF($C$5:C180,C180),"")</f>
        <v/>
      </c>
    </row>
    <row r="181">
      <c r="A181" s="53" t="n"/>
      <c r="B181" s="54" t="n"/>
      <c r="C181" s="55" t="n"/>
      <c r="D181" s="55" t="n"/>
      <c r="E181" s="55" t="n"/>
      <c r="F181" s="55" t="n"/>
      <c r="G181" s="56" t="n"/>
      <c r="H181" s="57" t="n"/>
      <c r="I181" s="55" t="n"/>
      <c r="J181" s="53" t="n"/>
      <c r="K181" s="54" t="n"/>
      <c r="L181" s="55" t="n"/>
      <c r="M181" s="55" t="n"/>
      <c r="N181" s="57" t="n"/>
      <c r="O181" s="55" t="n"/>
      <c r="P181" s="56" t="n"/>
      <c r="Q181" s="55" t="n"/>
      <c r="R181" s="55" t="n"/>
      <c r="S181" s="55" t="n"/>
      <c r="T181" s="55" t="n"/>
      <c r="U181" s="55" t="n"/>
      <c r="V181" s="55" t="n"/>
      <c r="W181" s="58" t="n"/>
      <c r="X181" s="58" t="n"/>
      <c r="Y181" s="55" t="n"/>
      <c r="Z181" s="55" t="n"/>
      <c r="AA181" s="55" t="n"/>
      <c r="AB181" s="55" t="n"/>
      <c r="AC181" s="55" t="n"/>
      <c r="AD181" s="53" t="n"/>
      <c r="AE181" s="55" t="n"/>
      <c r="AF181" s="55" t="n"/>
      <c r="AG181" s="59" t="n"/>
      <c r="AH181" s="57" t="n"/>
      <c r="AI181" s="55" t="n"/>
      <c r="AJ181" s="55" t="n"/>
      <c r="AK181" s="55" t="n"/>
      <c r="AL181" s="55" t="n"/>
      <c r="AM181" s="56" t="n"/>
      <c r="AN181" s="55" t="n"/>
      <c r="AO181" s="55" t="n"/>
      <c r="AP181" s="55" t="n"/>
      <c r="AQ181" s="55" t="n"/>
      <c r="AR181" s="60">
        <f>IF(AND(C181="",E181=""),"",IF(A181="","⚠ Date manquante",IF(AND(C181="",E181&lt;&gt;"Dépense"),"⚠ Prospect manquant",IF(E181="","⚠ Action manquante",IF(AND(AU181=1,D181=""),"⚠ Canal manquant",IF(AND(W181&lt;&gt;"",COUNTIFS('Saisie'!$W$5:$W$2004,W181,'Saisie'!$C$5:$C$2004,"&lt;&gt;"&amp;C181)&gt;0),"⚠ Numéro déjà utilisé par un autre prospect",IF(AND(J181&lt;&gt;"",J181&lt;A181),"⚠ Relance avant la date de l'action",IF(A181&gt;TODAY(),"⚠ Date dans le futur","✓"))))))))</f>
        <v/>
      </c>
      <c r="AS181" s="61">
        <f>IF(AND(A181="",C181="",E181=""),"",ROW())</f>
        <v/>
      </c>
      <c r="AT181" s="61">
        <f>IF(E181&amp;F181="","",MAX(IFERROR(INDEX('Paramètres'!$J$6:$J$33,MATCH(E181,'Paramètres'!$I$6:$I$33,0)),0),IFERROR(INDEX('Paramètres'!$N$6:$N$17,MATCH(F181,'Paramètres'!$M$6:$M$17,0)),0)))</f>
        <v/>
      </c>
      <c r="AU181" s="61">
        <f>IF(E181="","",IFERROR(IF(INDEX('Paramètres'!$K$6:$K$33,MATCH(E181,'Paramètres'!$I$6:$I$33,0))="Oui",1,0),0))</f>
        <v/>
      </c>
      <c r="AV181" s="61">
        <f>IF(F181="","",IFERROR(IF(INDEX('Paramètres'!$O$6:$O$17,MATCH(F181,'Paramètres'!$M$6:$M$17,0))="Oui",1,0),0))</f>
        <v/>
      </c>
      <c r="AW181" s="62">
        <f>IF(E181="","",IF(G181&lt;&gt;"",G181,IF(OR(E181="Proposition envoyée",E181="Signature"),MAX(0,N(IFERROR(INDEX('Paramètres'!$R$6:$R$15,MATCH(IF(AL181&lt;&gt;"",AL181,IFERROR(INDEX('Prospects'!$AN$5:$AN$504,MATCH(C181,'Prospects'!$C$5:$C$504,0)),"")),'Paramètres'!$Q$6:$Q$15,0)),0))-N(P181)),0)))</f>
        <v/>
      </c>
      <c r="AX181" s="61">
        <f>IF(C181="","",IF(COUNTIF($C$5:C181,C181)=1,MAX($AX$4:AX180)+1,""))</f>
        <v/>
      </c>
      <c r="AY181" s="61">
        <f>IF(B181="","",HOUR(B181))</f>
        <v/>
      </c>
      <c r="AZ181" s="61">
        <f>IF(A181="","",MOD(A181-2,7)+1)</f>
        <v/>
      </c>
      <c r="BA181" s="60">
        <f>IF(C181="","",IFERROR(INDEX('Prospects'!$N$5:$N$504,MATCH(C181,'Prospects'!$C$5:$C$504,0)),""))</f>
        <v/>
      </c>
      <c r="BB181" s="61">
        <f>IF(AND(C181&lt;&gt;"",C181='Fiche prospect'!$C$4),COUNTIF($C$5:C181,C181),"")</f>
        <v/>
      </c>
    </row>
    <row r="182">
      <c r="A182" s="53" t="n"/>
      <c r="B182" s="54" t="n"/>
      <c r="C182" s="55" t="n"/>
      <c r="D182" s="55" t="n"/>
      <c r="E182" s="55" t="n"/>
      <c r="F182" s="55" t="n"/>
      <c r="G182" s="56" t="n"/>
      <c r="H182" s="57" t="n"/>
      <c r="I182" s="55" t="n"/>
      <c r="J182" s="53" t="n"/>
      <c r="K182" s="54" t="n"/>
      <c r="L182" s="55" t="n"/>
      <c r="M182" s="55" t="n"/>
      <c r="N182" s="57" t="n"/>
      <c r="O182" s="55" t="n"/>
      <c r="P182" s="56" t="n"/>
      <c r="Q182" s="55" t="n"/>
      <c r="R182" s="55" t="n"/>
      <c r="S182" s="55" t="n"/>
      <c r="T182" s="55" t="n"/>
      <c r="U182" s="55" t="n"/>
      <c r="V182" s="55" t="n"/>
      <c r="W182" s="58" t="n"/>
      <c r="X182" s="58" t="n"/>
      <c r="Y182" s="55" t="n"/>
      <c r="Z182" s="55" t="n"/>
      <c r="AA182" s="55" t="n"/>
      <c r="AB182" s="55" t="n"/>
      <c r="AC182" s="55" t="n"/>
      <c r="AD182" s="53" t="n"/>
      <c r="AE182" s="55" t="n"/>
      <c r="AF182" s="55" t="n"/>
      <c r="AG182" s="59" t="n"/>
      <c r="AH182" s="57" t="n"/>
      <c r="AI182" s="55" t="n"/>
      <c r="AJ182" s="55" t="n"/>
      <c r="AK182" s="55" t="n"/>
      <c r="AL182" s="55" t="n"/>
      <c r="AM182" s="56" t="n"/>
      <c r="AN182" s="55" t="n"/>
      <c r="AO182" s="55" t="n"/>
      <c r="AP182" s="55" t="n"/>
      <c r="AQ182" s="55" t="n"/>
      <c r="AR182" s="60">
        <f>IF(AND(C182="",E182=""),"",IF(A182="","⚠ Date manquante",IF(AND(C182="",E182&lt;&gt;"Dépense"),"⚠ Prospect manquant",IF(E182="","⚠ Action manquante",IF(AND(AU182=1,D182=""),"⚠ Canal manquant",IF(AND(W182&lt;&gt;"",COUNTIFS('Saisie'!$W$5:$W$2004,W182,'Saisie'!$C$5:$C$2004,"&lt;&gt;"&amp;C182)&gt;0),"⚠ Numéro déjà utilisé par un autre prospect",IF(AND(J182&lt;&gt;"",J182&lt;A182),"⚠ Relance avant la date de l'action",IF(A182&gt;TODAY(),"⚠ Date dans le futur","✓"))))))))</f>
        <v/>
      </c>
      <c r="AS182" s="61">
        <f>IF(AND(A182="",C182="",E182=""),"",ROW())</f>
        <v/>
      </c>
      <c r="AT182" s="61">
        <f>IF(E182&amp;F182="","",MAX(IFERROR(INDEX('Paramètres'!$J$6:$J$33,MATCH(E182,'Paramètres'!$I$6:$I$33,0)),0),IFERROR(INDEX('Paramètres'!$N$6:$N$17,MATCH(F182,'Paramètres'!$M$6:$M$17,0)),0)))</f>
        <v/>
      </c>
      <c r="AU182" s="61">
        <f>IF(E182="","",IFERROR(IF(INDEX('Paramètres'!$K$6:$K$33,MATCH(E182,'Paramètres'!$I$6:$I$33,0))="Oui",1,0),0))</f>
        <v/>
      </c>
      <c r="AV182" s="61">
        <f>IF(F182="","",IFERROR(IF(INDEX('Paramètres'!$O$6:$O$17,MATCH(F182,'Paramètres'!$M$6:$M$17,0))="Oui",1,0),0))</f>
        <v/>
      </c>
      <c r="AW182" s="62">
        <f>IF(E182="","",IF(G182&lt;&gt;"",G182,IF(OR(E182="Proposition envoyée",E182="Signature"),MAX(0,N(IFERROR(INDEX('Paramètres'!$R$6:$R$15,MATCH(IF(AL182&lt;&gt;"",AL182,IFERROR(INDEX('Prospects'!$AN$5:$AN$504,MATCH(C182,'Prospects'!$C$5:$C$504,0)),"")),'Paramètres'!$Q$6:$Q$15,0)),0))-N(P182)),0)))</f>
        <v/>
      </c>
      <c r="AX182" s="61">
        <f>IF(C182="","",IF(COUNTIF($C$5:C182,C182)=1,MAX($AX$4:AX181)+1,""))</f>
        <v/>
      </c>
      <c r="AY182" s="61">
        <f>IF(B182="","",HOUR(B182))</f>
        <v/>
      </c>
      <c r="AZ182" s="61">
        <f>IF(A182="","",MOD(A182-2,7)+1)</f>
        <v/>
      </c>
      <c r="BA182" s="60">
        <f>IF(C182="","",IFERROR(INDEX('Prospects'!$N$5:$N$504,MATCH(C182,'Prospects'!$C$5:$C$504,0)),""))</f>
        <v/>
      </c>
      <c r="BB182" s="61">
        <f>IF(AND(C182&lt;&gt;"",C182='Fiche prospect'!$C$4),COUNTIF($C$5:C182,C182),"")</f>
        <v/>
      </c>
    </row>
    <row r="183">
      <c r="A183" s="53" t="n"/>
      <c r="B183" s="54" t="n"/>
      <c r="C183" s="55" t="n"/>
      <c r="D183" s="55" t="n"/>
      <c r="E183" s="55" t="n"/>
      <c r="F183" s="55" t="n"/>
      <c r="G183" s="56" t="n"/>
      <c r="H183" s="57" t="n"/>
      <c r="I183" s="55" t="n"/>
      <c r="J183" s="53" t="n"/>
      <c r="K183" s="54" t="n"/>
      <c r="L183" s="55" t="n"/>
      <c r="M183" s="55" t="n"/>
      <c r="N183" s="57" t="n"/>
      <c r="O183" s="55" t="n"/>
      <c r="P183" s="56" t="n"/>
      <c r="Q183" s="55" t="n"/>
      <c r="R183" s="55" t="n"/>
      <c r="S183" s="55" t="n"/>
      <c r="T183" s="55" t="n"/>
      <c r="U183" s="55" t="n"/>
      <c r="V183" s="55" t="n"/>
      <c r="W183" s="58" t="n"/>
      <c r="X183" s="58" t="n"/>
      <c r="Y183" s="55" t="n"/>
      <c r="Z183" s="55" t="n"/>
      <c r="AA183" s="55" t="n"/>
      <c r="AB183" s="55" t="n"/>
      <c r="AC183" s="55" t="n"/>
      <c r="AD183" s="53" t="n"/>
      <c r="AE183" s="55" t="n"/>
      <c r="AF183" s="55" t="n"/>
      <c r="AG183" s="59" t="n"/>
      <c r="AH183" s="57" t="n"/>
      <c r="AI183" s="55" t="n"/>
      <c r="AJ183" s="55" t="n"/>
      <c r="AK183" s="55" t="n"/>
      <c r="AL183" s="55" t="n"/>
      <c r="AM183" s="56" t="n"/>
      <c r="AN183" s="55" t="n"/>
      <c r="AO183" s="55" t="n"/>
      <c r="AP183" s="55" t="n"/>
      <c r="AQ183" s="55" t="n"/>
      <c r="AR183" s="60">
        <f>IF(AND(C183="",E183=""),"",IF(A183="","⚠ Date manquante",IF(AND(C183="",E183&lt;&gt;"Dépense"),"⚠ Prospect manquant",IF(E183="","⚠ Action manquante",IF(AND(AU183=1,D183=""),"⚠ Canal manquant",IF(AND(W183&lt;&gt;"",COUNTIFS('Saisie'!$W$5:$W$2004,W183,'Saisie'!$C$5:$C$2004,"&lt;&gt;"&amp;C183)&gt;0),"⚠ Numéro déjà utilisé par un autre prospect",IF(AND(J183&lt;&gt;"",J183&lt;A183),"⚠ Relance avant la date de l'action",IF(A183&gt;TODAY(),"⚠ Date dans le futur","✓"))))))))</f>
        <v/>
      </c>
      <c r="AS183" s="61">
        <f>IF(AND(A183="",C183="",E183=""),"",ROW())</f>
        <v/>
      </c>
      <c r="AT183" s="61">
        <f>IF(E183&amp;F183="","",MAX(IFERROR(INDEX('Paramètres'!$J$6:$J$33,MATCH(E183,'Paramètres'!$I$6:$I$33,0)),0),IFERROR(INDEX('Paramètres'!$N$6:$N$17,MATCH(F183,'Paramètres'!$M$6:$M$17,0)),0)))</f>
        <v/>
      </c>
      <c r="AU183" s="61">
        <f>IF(E183="","",IFERROR(IF(INDEX('Paramètres'!$K$6:$K$33,MATCH(E183,'Paramètres'!$I$6:$I$33,0))="Oui",1,0),0))</f>
        <v/>
      </c>
      <c r="AV183" s="61">
        <f>IF(F183="","",IFERROR(IF(INDEX('Paramètres'!$O$6:$O$17,MATCH(F183,'Paramètres'!$M$6:$M$17,0))="Oui",1,0),0))</f>
        <v/>
      </c>
      <c r="AW183" s="62">
        <f>IF(E183="","",IF(G183&lt;&gt;"",G183,IF(OR(E183="Proposition envoyée",E183="Signature"),MAX(0,N(IFERROR(INDEX('Paramètres'!$R$6:$R$15,MATCH(IF(AL183&lt;&gt;"",AL183,IFERROR(INDEX('Prospects'!$AN$5:$AN$504,MATCH(C183,'Prospects'!$C$5:$C$504,0)),"")),'Paramètres'!$Q$6:$Q$15,0)),0))-N(P183)),0)))</f>
        <v/>
      </c>
      <c r="AX183" s="61">
        <f>IF(C183="","",IF(COUNTIF($C$5:C183,C183)=1,MAX($AX$4:AX182)+1,""))</f>
        <v/>
      </c>
      <c r="AY183" s="61">
        <f>IF(B183="","",HOUR(B183))</f>
        <v/>
      </c>
      <c r="AZ183" s="61">
        <f>IF(A183="","",MOD(A183-2,7)+1)</f>
        <v/>
      </c>
      <c r="BA183" s="60">
        <f>IF(C183="","",IFERROR(INDEX('Prospects'!$N$5:$N$504,MATCH(C183,'Prospects'!$C$5:$C$504,0)),""))</f>
        <v/>
      </c>
      <c r="BB183" s="61">
        <f>IF(AND(C183&lt;&gt;"",C183='Fiche prospect'!$C$4),COUNTIF($C$5:C183,C183),"")</f>
        <v/>
      </c>
    </row>
    <row r="184">
      <c r="A184" s="53" t="n"/>
      <c r="B184" s="54" t="n"/>
      <c r="C184" s="55" t="n"/>
      <c r="D184" s="55" t="n"/>
      <c r="E184" s="55" t="n"/>
      <c r="F184" s="55" t="n"/>
      <c r="G184" s="56" t="n"/>
      <c r="H184" s="57" t="n"/>
      <c r="I184" s="55" t="n"/>
      <c r="J184" s="53" t="n"/>
      <c r="K184" s="54" t="n"/>
      <c r="L184" s="55" t="n"/>
      <c r="M184" s="55" t="n"/>
      <c r="N184" s="57" t="n"/>
      <c r="O184" s="55" t="n"/>
      <c r="P184" s="56" t="n"/>
      <c r="Q184" s="55" t="n"/>
      <c r="R184" s="55" t="n"/>
      <c r="S184" s="55" t="n"/>
      <c r="T184" s="55" t="n"/>
      <c r="U184" s="55" t="n"/>
      <c r="V184" s="55" t="n"/>
      <c r="W184" s="58" t="n"/>
      <c r="X184" s="58" t="n"/>
      <c r="Y184" s="55" t="n"/>
      <c r="Z184" s="55" t="n"/>
      <c r="AA184" s="55" t="n"/>
      <c r="AB184" s="55" t="n"/>
      <c r="AC184" s="55" t="n"/>
      <c r="AD184" s="53" t="n"/>
      <c r="AE184" s="55" t="n"/>
      <c r="AF184" s="55" t="n"/>
      <c r="AG184" s="59" t="n"/>
      <c r="AH184" s="57" t="n"/>
      <c r="AI184" s="55" t="n"/>
      <c r="AJ184" s="55" t="n"/>
      <c r="AK184" s="55" t="n"/>
      <c r="AL184" s="55" t="n"/>
      <c r="AM184" s="56" t="n"/>
      <c r="AN184" s="55" t="n"/>
      <c r="AO184" s="55" t="n"/>
      <c r="AP184" s="55" t="n"/>
      <c r="AQ184" s="55" t="n"/>
      <c r="AR184" s="60">
        <f>IF(AND(C184="",E184=""),"",IF(A184="","⚠ Date manquante",IF(AND(C184="",E184&lt;&gt;"Dépense"),"⚠ Prospect manquant",IF(E184="","⚠ Action manquante",IF(AND(AU184=1,D184=""),"⚠ Canal manquant",IF(AND(W184&lt;&gt;"",COUNTIFS('Saisie'!$W$5:$W$2004,W184,'Saisie'!$C$5:$C$2004,"&lt;&gt;"&amp;C184)&gt;0),"⚠ Numéro déjà utilisé par un autre prospect",IF(AND(J184&lt;&gt;"",J184&lt;A184),"⚠ Relance avant la date de l'action",IF(A184&gt;TODAY(),"⚠ Date dans le futur","✓"))))))))</f>
        <v/>
      </c>
      <c r="AS184" s="61">
        <f>IF(AND(A184="",C184="",E184=""),"",ROW())</f>
        <v/>
      </c>
      <c r="AT184" s="61">
        <f>IF(E184&amp;F184="","",MAX(IFERROR(INDEX('Paramètres'!$J$6:$J$33,MATCH(E184,'Paramètres'!$I$6:$I$33,0)),0),IFERROR(INDEX('Paramètres'!$N$6:$N$17,MATCH(F184,'Paramètres'!$M$6:$M$17,0)),0)))</f>
        <v/>
      </c>
      <c r="AU184" s="61">
        <f>IF(E184="","",IFERROR(IF(INDEX('Paramètres'!$K$6:$K$33,MATCH(E184,'Paramètres'!$I$6:$I$33,0))="Oui",1,0),0))</f>
        <v/>
      </c>
      <c r="AV184" s="61">
        <f>IF(F184="","",IFERROR(IF(INDEX('Paramètres'!$O$6:$O$17,MATCH(F184,'Paramètres'!$M$6:$M$17,0))="Oui",1,0),0))</f>
        <v/>
      </c>
      <c r="AW184" s="62">
        <f>IF(E184="","",IF(G184&lt;&gt;"",G184,IF(OR(E184="Proposition envoyée",E184="Signature"),MAX(0,N(IFERROR(INDEX('Paramètres'!$R$6:$R$15,MATCH(IF(AL184&lt;&gt;"",AL184,IFERROR(INDEX('Prospects'!$AN$5:$AN$504,MATCH(C184,'Prospects'!$C$5:$C$504,0)),"")),'Paramètres'!$Q$6:$Q$15,0)),0))-N(P184)),0)))</f>
        <v/>
      </c>
      <c r="AX184" s="61">
        <f>IF(C184="","",IF(COUNTIF($C$5:C184,C184)=1,MAX($AX$4:AX183)+1,""))</f>
        <v/>
      </c>
      <c r="AY184" s="61">
        <f>IF(B184="","",HOUR(B184))</f>
        <v/>
      </c>
      <c r="AZ184" s="61">
        <f>IF(A184="","",MOD(A184-2,7)+1)</f>
        <v/>
      </c>
      <c r="BA184" s="60">
        <f>IF(C184="","",IFERROR(INDEX('Prospects'!$N$5:$N$504,MATCH(C184,'Prospects'!$C$5:$C$504,0)),""))</f>
        <v/>
      </c>
      <c r="BB184" s="61">
        <f>IF(AND(C184&lt;&gt;"",C184='Fiche prospect'!$C$4),COUNTIF($C$5:C184,C184),"")</f>
        <v/>
      </c>
    </row>
    <row r="185">
      <c r="A185" s="53" t="n"/>
      <c r="B185" s="54" t="n"/>
      <c r="C185" s="55" t="n"/>
      <c r="D185" s="55" t="n"/>
      <c r="E185" s="55" t="n"/>
      <c r="F185" s="55" t="n"/>
      <c r="G185" s="56" t="n"/>
      <c r="H185" s="57" t="n"/>
      <c r="I185" s="55" t="n"/>
      <c r="J185" s="53" t="n"/>
      <c r="K185" s="54" t="n"/>
      <c r="L185" s="55" t="n"/>
      <c r="M185" s="55" t="n"/>
      <c r="N185" s="57" t="n"/>
      <c r="O185" s="55" t="n"/>
      <c r="P185" s="56" t="n"/>
      <c r="Q185" s="55" t="n"/>
      <c r="R185" s="55" t="n"/>
      <c r="S185" s="55" t="n"/>
      <c r="T185" s="55" t="n"/>
      <c r="U185" s="55" t="n"/>
      <c r="V185" s="55" t="n"/>
      <c r="W185" s="58" t="n"/>
      <c r="X185" s="58" t="n"/>
      <c r="Y185" s="55" t="n"/>
      <c r="Z185" s="55" t="n"/>
      <c r="AA185" s="55" t="n"/>
      <c r="AB185" s="55" t="n"/>
      <c r="AC185" s="55" t="n"/>
      <c r="AD185" s="53" t="n"/>
      <c r="AE185" s="55" t="n"/>
      <c r="AF185" s="55" t="n"/>
      <c r="AG185" s="59" t="n"/>
      <c r="AH185" s="57" t="n"/>
      <c r="AI185" s="55" t="n"/>
      <c r="AJ185" s="55" t="n"/>
      <c r="AK185" s="55" t="n"/>
      <c r="AL185" s="55" t="n"/>
      <c r="AM185" s="56" t="n"/>
      <c r="AN185" s="55" t="n"/>
      <c r="AO185" s="55" t="n"/>
      <c r="AP185" s="55" t="n"/>
      <c r="AQ185" s="55" t="n"/>
      <c r="AR185" s="60">
        <f>IF(AND(C185="",E185=""),"",IF(A185="","⚠ Date manquante",IF(AND(C185="",E185&lt;&gt;"Dépense"),"⚠ Prospect manquant",IF(E185="","⚠ Action manquante",IF(AND(AU185=1,D185=""),"⚠ Canal manquant",IF(AND(W185&lt;&gt;"",COUNTIFS('Saisie'!$W$5:$W$2004,W185,'Saisie'!$C$5:$C$2004,"&lt;&gt;"&amp;C185)&gt;0),"⚠ Numéro déjà utilisé par un autre prospect",IF(AND(J185&lt;&gt;"",J185&lt;A185),"⚠ Relance avant la date de l'action",IF(A185&gt;TODAY(),"⚠ Date dans le futur","✓"))))))))</f>
        <v/>
      </c>
      <c r="AS185" s="61">
        <f>IF(AND(A185="",C185="",E185=""),"",ROW())</f>
        <v/>
      </c>
      <c r="AT185" s="61">
        <f>IF(E185&amp;F185="","",MAX(IFERROR(INDEX('Paramètres'!$J$6:$J$33,MATCH(E185,'Paramètres'!$I$6:$I$33,0)),0),IFERROR(INDEX('Paramètres'!$N$6:$N$17,MATCH(F185,'Paramètres'!$M$6:$M$17,0)),0)))</f>
        <v/>
      </c>
      <c r="AU185" s="61">
        <f>IF(E185="","",IFERROR(IF(INDEX('Paramètres'!$K$6:$K$33,MATCH(E185,'Paramètres'!$I$6:$I$33,0))="Oui",1,0),0))</f>
        <v/>
      </c>
      <c r="AV185" s="61">
        <f>IF(F185="","",IFERROR(IF(INDEX('Paramètres'!$O$6:$O$17,MATCH(F185,'Paramètres'!$M$6:$M$17,0))="Oui",1,0),0))</f>
        <v/>
      </c>
      <c r="AW185" s="62">
        <f>IF(E185="","",IF(G185&lt;&gt;"",G185,IF(OR(E185="Proposition envoyée",E185="Signature"),MAX(0,N(IFERROR(INDEX('Paramètres'!$R$6:$R$15,MATCH(IF(AL185&lt;&gt;"",AL185,IFERROR(INDEX('Prospects'!$AN$5:$AN$504,MATCH(C185,'Prospects'!$C$5:$C$504,0)),"")),'Paramètres'!$Q$6:$Q$15,0)),0))-N(P185)),0)))</f>
        <v/>
      </c>
      <c r="AX185" s="61">
        <f>IF(C185="","",IF(COUNTIF($C$5:C185,C185)=1,MAX($AX$4:AX184)+1,""))</f>
        <v/>
      </c>
      <c r="AY185" s="61">
        <f>IF(B185="","",HOUR(B185))</f>
        <v/>
      </c>
      <c r="AZ185" s="61">
        <f>IF(A185="","",MOD(A185-2,7)+1)</f>
        <v/>
      </c>
      <c r="BA185" s="60">
        <f>IF(C185="","",IFERROR(INDEX('Prospects'!$N$5:$N$504,MATCH(C185,'Prospects'!$C$5:$C$504,0)),""))</f>
        <v/>
      </c>
      <c r="BB185" s="61">
        <f>IF(AND(C185&lt;&gt;"",C185='Fiche prospect'!$C$4),COUNTIF($C$5:C185,C185),"")</f>
        <v/>
      </c>
    </row>
    <row r="186">
      <c r="A186" s="53" t="n"/>
      <c r="B186" s="54" t="n"/>
      <c r="C186" s="55" t="n"/>
      <c r="D186" s="55" t="n"/>
      <c r="E186" s="55" t="n"/>
      <c r="F186" s="55" t="n"/>
      <c r="G186" s="56" t="n"/>
      <c r="H186" s="57" t="n"/>
      <c r="I186" s="55" t="n"/>
      <c r="J186" s="53" t="n"/>
      <c r="K186" s="54" t="n"/>
      <c r="L186" s="55" t="n"/>
      <c r="M186" s="55" t="n"/>
      <c r="N186" s="57" t="n"/>
      <c r="O186" s="55" t="n"/>
      <c r="P186" s="56" t="n"/>
      <c r="Q186" s="55" t="n"/>
      <c r="R186" s="55" t="n"/>
      <c r="S186" s="55" t="n"/>
      <c r="T186" s="55" t="n"/>
      <c r="U186" s="55" t="n"/>
      <c r="V186" s="55" t="n"/>
      <c r="W186" s="58" t="n"/>
      <c r="X186" s="58" t="n"/>
      <c r="Y186" s="55" t="n"/>
      <c r="Z186" s="55" t="n"/>
      <c r="AA186" s="55" t="n"/>
      <c r="AB186" s="55" t="n"/>
      <c r="AC186" s="55" t="n"/>
      <c r="AD186" s="53" t="n"/>
      <c r="AE186" s="55" t="n"/>
      <c r="AF186" s="55" t="n"/>
      <c r="AG186" s="59" t="n"/>
      <c r="AH186" s="57" t="n"/>
      <c r="AI186" s="55" t="n"/>
      <c r="AJ186" s="55" t="n"/>
      <c r="AK186" s="55" t="n"/>
      <c r="AL186" s="55" t="n"/>
      <c r="AM186" s="56" t="n"/>
      <c r="AN186" s="55" t="n"/>
      <c r="AO186" s="55" t="n"/>
      <c r="AP186" s="55" t="n"/>
      <c r="AQ186" s="55" t="n"/>
      <c r="AR186" s="60">
        <f>IF(AND(C186="",E186=""),"",IF(A186="","⚠ Date manquante",IF(AND(C186="",E186&lt;&gt;"Dépense"),"⚠ Prospect manquant",IF(E186="","⚠ Action manquante",IF(AND(AU186=1,D186=""),"⚠ Canal manquant",IF(AND(W186&lt;&gt;"",COUNTIFS('Saisie'!$W$5:$W$2004,W186,'Saisie'!$C$5:$C$2004,"&lt;&gt;"&amp;C186)&gt;0),"⚠ Numéro déjà utilisé par un autre prospect",IF(AND(J186&lt;&gt;"",J186&lt;A186),"⚠ Relance avant la date de l'action",IF(A186&gt;TODAY(),"⚠ Date dans le futur","✓"))))))))</f>
        <v/>
      </c>
      <c r="AS186" s="61">
        <f>IF(AND(A186="",C186="",E186=""),"",ROW())</f>
        <v/>
      </c>
      <c r="AT186" s="61">
        <f>IF(E186&amp;F186="","",MAX(IFERROR(INDEX('Paramètres'!$J$6:$J$33,MATCH(E186,'Paramètres'!$I$6:$I$33,0)),0),IFERROR(INDEX('Paramètres'!$N$6:$N$17,MATCH(F186,'Paramètres'!$M$6:$M$17,0)),0)))</f>
        <v/>
      </c>
      <c r="AU186" s="61">
        <f>IF(E186="","",IFERROR(IF(INDEX('Paramètres'!$K$6:$K$33,MATCH(E186,'Paramètres'!$I$6:$I$33,0))="Oui",1,0),0))</f>
        <v/>
      </c>
      <c r="AV186" s="61">
        <f>IF(F186="","",IFERROR(IF(INDEX('Paramètres'!$O$6:$O$17,MATCH(F186,'Paramètres'!$M$6:$M$17,0))="Oui",1,0),0))</f>
        <v/>
      </c>
      <c r="AW186" s="62">
        <f>IF(E186="","",IF(G186&lt;&gt;"",G186,IF(OR(E186="Proposition envoyée",E186="Signature"),MAX(0,N(IFERROR(INDEX('Paramètres'!$R$6:$R$15,MATCH(IF(AL186&lt;&gt;"",AL186,IFERROR(INDEX('Prospects'!$AN$5:$AN$504,MATCH(C186,'Prospects'!$C$5:$C$504,0)),"")),'Paramètres'!$Q$6:$Q$15,0)),0))-N(P186)),0)))</f>
        <v/>
      </c>
      <c r="AX186" s="61">
        <f>IF(C186="","",IF(COUNTIF($C$5:C186,C186)=1,MAX($AX$4:AX185)+1,""))</f>
        <v/>
      </c>
      <c r="AY186" s="61">
        <f>IF(B186="","",HOUR(B186))</f>
        <v/>
      </c>
      <c r="AZ186" s="61">
        <f>IF(A186="","",MOD(A186-2,7)+1)</f>
        <v/>
      </c>
      <c r="BA186" s="60">
        <f>IF(C186="","",IFERROR(INDEX('Prospects'!$N$5:$N$504,MATCH(C186,'Prospects'!$C$5:$C$504,0)),""))</f>
        <v/>
      </c>
      <c r="BB186" s="61">
        <f>IF(AND(C186&lt;&gt;"",C186='Fiche prospect'!$C$4),COUNTIF($C$5:C186,C186),"")</f>
        <v/>
      </c>
    </row>
    <row r="187">
      <c r="A187" s="53" t="n"/>
      <c r="B187" s="54" t="n"/>
      <c r="C187" s="55" t="n"/>
      <c r="D187" s="55" t="n"/>
      <c r="E187" s="55" t="n"/>
      <c r="F187" s="55" t="n"/>
      <c r="G187" s="56" t="n"/>
      <c r="H187" s="57" t="n"/>
      <c r="I187" s="55" t="n"/>
      <c r="J187" s="53" t="n"/>
      <c r="K187" s="54" t="n"/>
      <c r="L187" s="55" t="n"/>
      <c r="M187" s="55" t="n"/>
      <c r="N187" s="57" t="n"/>
      <c r="O187" s="55" t="n"/>
      <c r="P187" s="56" t="n"/>
      <c r="Q187" s="55" t="n"/>
      <c r="R187" s="55" t="n"/>
      <c r="S187" s="55" t="n"/>
      <c r="T187" s="55" t="n"/>
      <c r="U187" s="55" t="n"/>
      <c r="V187" s="55" t="n"/>
      <c r="W187" s="58" t="n"/>
      <c r="X187" s="58" t="n"/>
      <c r="Y187" s="55" t="n"/>
      <c r="Z187" s="55" t="n"/>
      <c r="AA187" s="55" t="n"/>
      <c r="AB187" s="55" t="n"/>
      <c r="AC187" s="55" t="n"/>
      <c r="AD187" s="53" t="n"/>
      <c r="AE187" s="55" t="n"/>
      <c r="AF187" s="55" t="n"/>
      <c r="AG187" s="59" t="n"/>
      <c r="AH187" s="57" t="n"/>
      <c r="AI187" s="55" t="n"/>
      <c r="AJ187" s="55" t="n"/>
      <c r="AK187" s="55" t="n"/>
      <c r="AL187" s="55" t="n"/>
      <c r="AM187" s="56" t="n"/>
      <c r="AN187" s="55" t="n"/>
      <c r="AO187" s="55" t="n"/>
      <c r="AP187" s="55" t="n"/>
      <c r="AQ187" s="55" t="n"/>
      <c r="AR187" s="60">
        <f>IF(AND(C187="",E187=""),"",IF(A187="","⚠ Date manquante",IF(AND(C187="",E187&lt;&gt;"Dépense"),"⚠ Prospect manquant",IF(E187="","⚠ Action manquante",IF(AND(AU187=1,D187=""),"⚠ Canal manquant",IF(AND(W187&lt;&gt;"",COUNTIFS('Saisie'!$W$5:$W$2004,W187,'Saisie'!$C$5:$C$2004,"&lt;&gt;"&amp;C187)&gt;0),"⚠ Numéro déjà utilisé par un autre prospect",IF(AND(J187&lt;&gt;"",J187&lt;A187),"⚠ Relance avant la date de l'action",IF(A187&gt;TODAY(),"⚠ Date dans le futur","✓"))))))))</f>
        <v/>
      </c>
      <c r="AS187" s="61">
        <f>IF(AND(A187="",C187="",E187=""),"",ROW())</f>
        <v/>
      </c>
      <c r="AT187" s="61">
        <f>IF(E187&amp;F187="","",MAX(IFERROR(INDEX('Paramètres'!$J$6:$J$33,MATCH(E187,'Paramètres'!$I$6:$I$33,0)),0),IFERROR(INDEX('Paramètres'!$N$6:$N$17,MATCH(F187,'Paramètres'!$M$6:$M$17,0)),0)))</f>
        <v/>
      </c>
      <c r="AU187" s="61">
        <f>IF(E187="","",IFERROR(IF(INDEX('Paramètres'!$K$6:$K$33,MATCH(E187,'Paramètres'!$I$6:$I$33,0))="Oui",1,0),0))</f>
        <v/>
      </c>
      <c r="AV187" s="61">
        <f>IF(F187="","",IFERROR(IF(INDEX('Paramètres'!$O$6:$O$17,MATCH(F187,'Paramètres'!$M$6:$M$17,0))="Oui",1,0),0))</f>
        <v/>
      </c>
      <c r="AW187" s="62">
        <f>IF(E187="","",IF(G187&lt;&gt;"",G187,IF(OR(E187="Proposition envoyée",E187="Signature"),MAX(0,N(IFERROR(INDEX('Paramètres'!$R$6:$R$15,MATCH(IF(AL187&lt;&gt;"",AL187,IFERROR(INDEX('Prospects'!$AN$5:$AN$504,MATCH(C187,'Prospects'!$C$5:$C$504,0)),"")),'Paramètres'!$Q$6:$Q$15,0)),0))-N(P187)),0)))</f>
        <v/>
      </c>
      <c r="AX187" s="61">
        <f>IF(C187="","",IF(COUNTIF($C$5:C187,C187)=1,MAX($AX$4:AX186)+1,""))</f>
        <v/>
      </c>
      <c r="AY187" s="61">
        <f>IF(B187="","",HOUR(B187))</f>
        <v/>
      </c>
      <c r="AZ187" s="61">
        <f>IF(A187="","",MOD(A187-2,7)+1)</f>
        <v/>
      </c>
      <c r="BA187" s="60">
        <f>IF(C187="","",IFERROR(INDEX('Prospects'!$N$5:$N$504,MATCH(C187,'Prospects'!$C$5:$C$504,0)),""))</f>
        <v/>
      </c>
      <c r="BB187" s="61">
        <f>IF(AND(C187&lt;&gt;"",C187='Fiche prospect'!$C$4),COUNTIF($C$5:C187,C187),"")</f>
        <v/>
      </c>
    </row>
    <row r="188">
      <c r="A188" s="53" t="n"/>
      <c r="B188" s="54" t="n"/>
      <c r="C188" s="55" t="n"/>
      <c r="D188" s="55" t="n"/>
      <c r="E188" s="55" t="n"/>
      <c r="F188" s="55" t="n"/>
      <c r="G188" s="56" t="n"/>
      <c r="H188" s="57" t="n"/>
      <c r="I188" s="55" t="n"/>
      <c r="J188" s="53" t="n"/>
      <c r="K188" s="54" t="n"/>
      <c r="L188" s="55" t="n"/>
      <c r="M188" s="55" t="n"/>
      <c r="N188" s="57" t="n"/>
      <c r="O188" s="55" t="n"/>
      <c r="P188" s="56" t="n"/>
      <c r="Q188" s="55" t="n"/>
      <c r="R188" s="55" t="n"/>
      <c r="S188" s="55" t="n"/>
      <c r="T188" s="55" t="n"/>
      <c r="U188" s="55" t="n"/>
      <c r="V188" s="55" t="n"/>
      <c r="W188" s="58" t="n"/>
      <c r="X188" s="58" t="n"/>
      <c r="Y188" s="55" t="n"/>
      <c r="Z188" s="55" t="n"/>
      <c r="AA188" s="55" t="n"/>
      <c r="AB188" s="55" t="n"/>
      <c r="AC188" s="55" t="n"/>
      <c r="AD188" s="53" t="n"/>
      <c r="AE188" s="55" t="n"/>
      <c r="AF188" s="55" t="n"/>
      <c r="AG188" s="59" t="n"/>
      <c r="AH188" s="57" t="n"/>
      <c r="AI188" s="55" t="n"/>
      <c r="AJ188" s="55" t="n"/>
      <c r="AK188" s="55" t="n"/>
      <c r="AL188" s="55" t="n"/>
      <c r="AM188" s="56" t="n"/>
      <c r="AN188" s="55" t="n"/>
      <c r="AO188" s="55" t="n"/>
      <c r="AP188" s="55" t="n"/>
      <c r="AQ188" s="55" t="n"/>
      <c r="AR188" s="60">
        <f>IF(AND(C188="",E188=""),"",IF(A188="","⚠ Date manquante",IF(AND(C188="",E188&lt;&gt;"Dépense"),"⚠ Prospect manquant",IF(E188="","⚠ Action manquante",IF(AND(AU188=1,D188=""),"⚠ Canal manquant",IF(AND(W188&lt;&gt;"",COUNTIFS('Saisie'!$W$5:$W$2004,W188,'Saisie'!$C$5:$C$2004,"&lt;&gt;"&amp;C188)&gt;0),"⚠ Numéro déjà utilisé par un autre prospect",IF(AND(J188&lt;&gt;"",J188&lt;A188),"⚠ Relance avant la date de l'action",IF(A188&gt;TODAY(),"⚠ Date dans le futur","✓"))))))))</f>
        <v/>
      </c>
      <c r="AS188" s="61">
        <f>IF(AND(A188="",C188="",E188=""),"",ROW())</f>
        <v/>
      </c>
      <c r="AT188" s="61">
        <f>IF(E188&amp;F188="","",MAX(IFERROR(INDEX('Paramètres'!$J$6:$J$33,MATCH(E188,'Paramètres'!$I$6:$I$33,0)),0),IFERROR(INDEX('Paramètres'!$N$6:$N$17,MATCH(F188,'Paramètres'!$M$6:$M$17,0)),0)))</f>
        <v/>
      </c>
      <c r="AU188" s="61">
        <f>IF(E188="","",IFERROR(IF(INDEX('Paramètres'!$K$6:$K$33,MATCH(E188,'Paramètres'!$I$6:$I$33,0))="Oui",1,0),0))</f>
        <v/>
      </c>
      <c r="AV188" s="61">
        <f>IF(F188="","",IFERROR(IF(INDEX('Paramètres'!$O$6:$O$17,MATCH(F188,'Paramètres'!$M$6:$M$17,0))="Oui",1,0),0))</f>
        <v/>
      </c>
      <c r="AW188" s="62">
        <f>IF(E188="","",IF(G188&lt;&gt;"",G188,IF(OR(E188="Proposition envoyée",E188="Signature"),MAX(0,N(IFERROR(INDEX('Paramètres'!$R$6:$R$15,MATCH(IF(AL188&lt;&gt;"",AL188,IFERROR(INDEX('Prospects'!$AN$5:$AN$504,MATCH(C188,'Prospects'!$C$5:$C$504,0)),"")),'Paramètres'!$Q$6:$Q$15,0)),0))-N(P188)),0)))</f>
        <v/>
      </c>
      <c r="AX188" s="61">
        <f>IF(C188="","",IF(COUNTIF($C$5:C188,C188)=1,MAX($AX$4:AX187)+1,""))</f>
        <v/>
      </c>
      <c r="AY188" s="61">
        <f>IF(B188="","",HOUR(B188))</f>
        <v/>
      </c>
      <c r="AZ188" s="61">
        <f>IF(A188="","",MOD(A188-2,7)+1)</f>
        <v/>
      </c>
      <c r="BA188" s="60">
        <f>IF(C188="","",IFERROR(INDEX('Prospects'!$N$5:$N$504,MATCH(C188,'Prospects'!$C$5:$C$504,0)),""))</f>
        <v/>
      </c>
      <c r="BB188" s="61">
        <f>IF(AND(C188&lt;&gt;"",C188='Fiche prospect'!$C$4),COUNTIF($C$5:C188,C188),"")</f>
        <v/>
      </c>
    </row>
    <row r="189">
      <c r="A189" s="53" t="n"/>
      <c r="B189" s="54" t="n"/>
      <c r="C189" s="55" t="n"/>
      <c r="D189" s="55" t="n"/>
      <c r="E189" s="55" t="n"/>
      <c r="F189" s="55" t="n"/>
      <c r="G189" s="56" t="n"/>
      <c r="H189" s="57" t="n"/>
      <c r="I189" s="55" t="n"/>
      <c r="J189" s="53" t="n"/>
      <c r="K189" s="54" t="n"/>
      <c r="L189" s="55" t="n"/>
      <c r="M189" s="55" t="n"/>
      <c r="N189" s="57" t="n"/>
      <c r="O189" s="55" t="n"/>
      <c r="P189" s="56" t="n"/>
      <c r="Q189" s="55" t="n"/>
      <c r="R189" s="55" t="n"/>
      <c r="S189" s="55" t="n"/>
      <c r="T189" s="55" t="n"/>
      <c r="U189" s="55" t="n"/>
      <c r="V189" s="55" t="n"/>
      <c r="W189" s="58" t="n"/>
      <c r="X189" s="58" t="n"/>
      <c r="Y189" s="55" t="n"/>
      <c r="Z189" s="55" t="n"/>
      <c r="AA189" s="55" t="n"/>
      <c r="AB189" s="55" t="n"/>
      <c r="AC189" s="55" t="n"/>
      <c r="AD189" s="53" t="n"/>
      <c r="AE189" s="55" t="n"/>
      <c r="AF189" s="55" t="n"/>
      <c r="AG189" s="59" t="n"/>
      <c r="AH189" s="57" t="n"/>
      <c r="AI189" s="55" t="n"/>
      <c r="AJ189" s="55" t="n"/>
      <c r="AK189" s="55" t="n"/>
      <c r="AL189" s="55" t="n"/>
      <c r="AM189" s="56" t="n"/>
      <c r="AN189" s="55" t="n"/>
      <c r="AO189" s="55" t="n"/>
      <c r="AP189" s="55" t="n"/>
      <c r="AQ189" s="55" t="n"/>
      <c r="AR189" s="60">
        <f>IF(AND(C189="",E189=""),"",IF(A189="","⚠ Date manquante",IF(AND(C189="",E189&lt;&gt;"Dépense"),"⚠ Prospect manquant",IF(E189="","⚠ Action manquante",IF(AND(AU189=1,D189=""),"⚠ Canal manquant",IF(AND(W189&lt;&gt;"",COUNTIFS('Saisie'!$W$5:$W$2004,W189,'Saisie'!$C$5:$C$2004,"&lt;&gt;"&amp;C189)&gt;0),"⚠ Numéro déjà utilisé par un autre prospect",IF(AND(J189&lt;&gt;"",J189&lt;A189),"⚠ Relance avant la date de l'action",IF(A189&gt;TODAY(),"⚠ Date dans le futur","✓"))))))))</f>
        <v/>
      </c>
      <c r="AS189" s="61">
        <f>IF(AND(A189="",C189="",E189=""),"",ROW())</f>
        <v/>
      </c>
      <c r="AT189" s="61">
        <f>IF(E189&amp;F189="","",MAX(IFERROR(INDEX('Paramètres'!$J$6:$J$33,MATCH(E189,'Paramètres'!$I$6:$I$33,0)),0),IFERROR(INDEX('Paramètres'!$N$6:$N$17,MATCH(F189,'Paramètres'!$M$6:$M$17,0)),0)))</f>
        <v/>
      </c>
      <c r="AU189" s="61">
        <f>IF(E189="","",IFERROR(IF(INDEX('Paramètres'!$K$6:$K$33,MATCH(E189,'Paramètres'!$I$6:$I$33,0))="Oui",1,0),0))</f>
        <v/>
      </c>
      <c r="AV189" s="61">
        <f>IF(F189="","",IFERROR(IF(INDEX('Paramètres'!$O$6:$O$17,MATCH(F189,'Paramètres'!$M$6:$M$17,0))="Oui",1,0),0))</f>
        <v/>
      </c>
      <c r="AW189" s="62">
        <f>IF(E189="","",IF(G189&lt;&gt;"",G189,IF(OR(E189="Proposition envoyée",E189="Signature"),MAX(0,N(IFERROR(INDEX('Paramètres'!$R$6:$R$15,MATCH(IF(AL189&lt;&gt;"",AL189,IFERROR(INDEX('Prospects'!$AN$5:$AN$504,MATCH(C189,'Prospects'!$C$5:$C$504,0)),"")),'Paramètres'!$Q$6:$Q$15,0)),0))-N(P189)),0)))</f>
        <v/>
      </c>
      <c r="AX189" s="61">
        <f>IF(C189="","",IF(COUNTIF($C$5:C189,C189)=1,MAX($AX$4:AX188)+1,""))</f>
        <v/>
      </c>
      <c r="AY189" s="61">
        <f>IF(B189="","",HOUR(B189))</f>
        <v/>
      </c>
      <c r="AZ189" s="61">
        <f>IF(A189="","",MOD(A189-2,7)+1)</f>
        <v/>
      </c>
      <c r="BA189" s="60">
        <f>IF(C189="","",IFERROR(INDEX('Prospects'!$N$5:$N$504,MATCH(C189,'Prospects'!$C$5:$C$504,0)),""))</f>
        <v/>
      </c>
      <c r="BB189" s="61">
        <f>IF(AND(C189&lt;&gt;"",C189='Fiche prospect'!$C$4),COUNTIF($C$5:C189,C189),"")</f>
        <v/>
      </c>
    </row>
    <row r="190">
      <c r="A190" s="53" t="n"/>
      <c r="B190" s="54" t="n"/>
      <c r="C190" s="55" t="n"/>
      <c r="D190" s="55" t="n"/>
      <c r="E190" s="55" t="n"/>
      <c r="F190" s="55" t="n"/>
      <c r="G190" s="56" t="n"/>
      <c r="H190" s="57" t="n"/>
      <c r="I190" s="55" t="n"/>
      <c r="J190" s="53" t="n"/>
      <c r="K190" s="54" t="n"/>
      <c r="L190" s="55" t="n"/>
      <c r="M190" s="55" t="n"/>
      <c r="N190" s="57" t="n"/>
      <c r="O190" s="55" t="n"/>
      <c r="P190" s="56" t="n"/>
      <c r="Q190" s="55" t="n"/>
      <c r="R190" s="55" t="n"/>
      <c r="S190" s="55" t="n"/>
      <c r="T190" s="55" t="n"/>
      <c r="U190" s="55" t="n"/>
      <c r="V190" s="55" t="n"/>
      <c r="W190" s="58" t="n"/>
      <c r="X190" s="58" t="n"/>
      <c r="Y190" s="55" t="n"/>
      <c r="Z190" s="55" t="n"/>
      <c r="AA190" s="55" t="n"/>
      <c r="AB190" s="55" t="n"/>
      <c r="AC190" s="55" t="n"/>
      <c r="AD190" s="53" t="n"/>
      <c r="AE190" s="55" t="n"/>
      <c r="AF190" s="55" t="n"/>
      <c r="AG190" s="59" t="n"/>
      <c r="AH190" s="57" t="n"/>
      <c r="AI190" s="55" t="n"/>
      <c r="AJ190" s="55" t="n"/>
      <c r="AK190" s="55" t="n"/>
      <c r="AL190" s="55" t="n"/>
      <c r="AM190" s="56" t="n"/>
      <c r="AN190" s="55" t="n"/>
      <c r="AO190" s="55" t="n"/>
      <c r="AP190" s="55" t="n"/>
      <c r="AQ190" s="55" t="n"/>
      <c r="AR190" s="60">
        <f>IF(AND(C190="",E190=""),"",IF(A190="","⚠ Date manquante",IF(AND(C190="",E190&lt;&gt;"Dépense"),"⚠ Prospect manquant",IF(E190="","⚠ Action manquante",IF(AND(AU190=1,D190=""),"⚠ Canal manquant",IF(AND(W190&lt;&gt;"",COUNTIFS('Saisie'!$W$5:$W$2004,W190,'Saisie'!$C$5:$C$2004,"&lt;&gt;"&amp;C190)&gt;0),"⚠ Numéro déjà utilisé par un autre prospect",IF(AND(J190&lt;&gt;"",J190&lt;A190),"⚠ Relance avant la date de l'action",IF(A190&gt;TODAY(),"⚠ Date dans le futur","✓"))))))))</f>
        <v/>
      </c>
      <c r="AS190" s="61">
        <f>IF(AND(A190="",C190="",E190=""),"",ROW())</f>
        <v/>
      </c>
      <c r="AT190" s="61">
        <f>IF(E190&amp;F190="","",MAX(IFERROR(INDEX('Paramètres'!$J$6:$J$33,MATCH(E190,'Paramètres'!$I$6:$I$33,0)),0),IFERROR(INDEX('Paramètres'!$N$6:$N$17,MATCH(F190,'Paramètres'!$M$6:$M$17,0)),0)))</f>
        <v/>
      </c>
      <c r="AU190" s="61">
        <f>IF(E190="","",IFERROR(IF(INDEX('Paramètres'!$K$6:$K$33,MATCH(E190,'Paramètres'!$I$6:$I$33,0))="Oui",1,0),0))</f>
        <v/>
      </c>
      <c r="AV190" s="61">
        <f>IF(F190="","",IFERROR(IF(INDEX('Paramètres'!$O$6:$O$17,MATCH(F190,'Paramètres'!$M$6:$M$17,0))="Oui",1,0),0))</f>
        <v/>
      </c>
      <c r="AW190" s="62">
        <f>IF(E190="","",IF(G190&lt;&gt;"",G190,IF(OR(E190="Proposition envoyée",E190="Signature"),MAX(0,N(IFERROR(INDEX('Paramètres'!$R$6:$R$15,MATCH(IF(AL190&lt;&gt;"",AL190,IFERROR(INDEX('Prospects'!$AN$5:$AN$504,MATCH(C190,'Prospects'!$C$5:$C$504,0)),"")),'Paramètres'!$Q$6:$Q$15,0)),0))-N(P190)),0)))</f>
        <v/>
      </c>
      <c r="AX190" s="61">
        <f>IF(C190="","",IF(COUNTIF($C$5:C190,C190)=1,MAX($AX$4:AX189)+1,""))</f>
        <v/>
      </c>
      <c r="AY190" s="61">
        <f>IF(B190="","",HOUR(B190))</f>
        <v/>
      </c>
      <c r="AZ190" s="61">
        <f>IF(A190="","",MOD(A190-2,7)+1)</f>
        <v/>
      </c>
      <c r="BA190" s="60">
        <f>IF(C190="","",IFERROR(INDEX('Prospects'!$N$5:$N$504,MATCH(C190,'Prospects'!$C$5:$C$504,0)),""))</f>
        <v/>
      </c>
      <c r="BB190" s="61">
        <f>IF(AND(C190&lt;&gt;"",C190='Fiche prospect'!$C$4),COUNTIF($C$5:C190,C190),"")</f>
        <v/>
      </c>
    </row>
    <row r="191">
      <c r="A191" s="53" t="n"/>
      <c r="B191" s="54" t="n"/>
      <c r="C191" s="55" t="n"/>
      <c r="D191" s="55" t="n"/>
      <c r="E191" s="55" t="n"/>
      <c r="F191" s="55" t="n"/>
      <c r="G191" s="56" t="n"/>
      <c r="H191" s="57" t="n"/>
      <c r="I191" s="55" t="n"/>
      <c r="J191" s="53" t="n"/>
      <c r="K191" s="54" t="n"/>
      <c r="L191" s="55" t="n"/>
      <c r="M191" s="55" t="n"/>
      <c r="N191" s="57" t="n"/>
      <c r="O191" s="55" t="n"/>
      <c r="P191" s="56" t="n"/>
      <c r="Q191" s="55" t="n"/>
      <c r="R191" s="55" t="n"/>
      <c r="S191" s="55" t="n"/>
      <c r="T191" s="55" t="n"/>
      <c r="U191" s="55" t="n"/>
      <c r="V191" s="55" t="n"/>
      <c r="W191" s="58" t="n"/>
      <c r="X191" s="58" t="n"/>
      <c r="Y191" s="55" t="n"/>
      <c r="Z191" s="55" t="n"/>
      <c r="AA191" s="55" t="n"/>
      <c r="AB191" s="55" t="n"/>
      <c r="AC191" s="55" t="n"/>
      <c r="AD191" s="53" t="n"/>
      <c r="AE191" s="55" t="n"/>
      <c r="AF191" s="55" t="n"/>
      <c r="AG191" s="59" t="n"/>
      <c r="AH191" s="57" t="n"/>
      <c r="AI191" s="55" t="n"/>
      <c r="AJ191" s="55" t="n"/>
      <c r="AK191" s="55" t="n"/>
      <c r="AL191" s="55" t="n"/>
      <c r="AM191" s="56" t="n"/>
      <c r="AN191" s="55" t="n"/>
      <c r="AO191" s="55" t="n"/>
      <c r="AP191" s="55" t="n"/>
      <c r="AQ191" s="55" t="n"/>
      <c r="AR191" s="60">
        <f>IF(AND(C191="",E191=""),"",IF(A191="","⚠ Date manquante",IF(AND(C191="",E191&lt;&gt;"Dépense"),"⚠ Prospect manquant",IF(E191="","⚠ Action manquante",IF(AND(AU191=1,D191=""),"⚠ Canal manquant",IF(AND(W191&lt;&gt;"",COUNTIFS('Saisie'!$W$5:$W$2004,W191,'Saisie'!$C$5:$C$2004,"&lt;&gt;"&amp;C191)&gt;0),"⚠ Numéro déjà utilisé par un autre prospect",IF(AND(J191&lt;&gt;"",J191&lt;A191),"⚠ Relance avant la date de l'action",IF(A191&gt;TODAY(),"⚠ Date dans le futur","✓"))))))))</f>
        <v/>
      </c>
      <c r="AS191" s="61">
        <f>IF(AND(A191="",C191="",E191=""),"",ROW())</f>
        <v/>
      </c>
      <c r="AT191" s="61">
        <f>IF(E191&amp;F191="","",MAX(IFERROR(INDEX('Paramètres'!$J$6:$J$33,MATCH(E191,'Paramètres'!$I$6:$I$33,0)),0),IFERROR(INDEX('Paramètres'!$N$6:$N$17,MATCH(F191,'Paramètres'!$M$6:$M$17,0)),0)))</f>
        <v/>
      </c>
      <c r="AU191" s="61">
        <f>IF(E191="","",IFERROR(IF(INDEX('Paramètres'!$K$6:$K$33,MATCH(E191,'Paramètres'!$I$6:$I$33,0))="Oui",1,0),0))</f>
        <v/>
      </c>
      <c r="AV191" s="61">
        <f>IF(F191="","",IFERROR(IF(INDEX('Paramètres'!$O$6:$O$17,MATCH(F191,'Paramètres'!$M$6:$M$17,0))="Oui",1,0),0))</f>
        <v/>
      </c>
      <c r="AW191" s="62">
        <f>IF(E191="","",IF(G191&lt;&gt;"",G191,IF(OR(E191="Proposition envoyée",E191="Signature"),MAX(0,N(IFERROR(INDEX('Paramètres'!$R$6:$R$15,MATCH(IF(AL191&lt;&gt;"",AL191,IFERROR(INDEX('Prospects'!$AN$5:$AN$504,MATCH(C191,'Prospects'!$C$5:$C$504,0)),"")),'Paramètres'!$Q$6:$Q$15,0)),0))-N(P191)),0)))</f>
        <v/>
      </c>
      <c r="AX191" s="61">
        <f>IF(C191="","",IF(COUNTIF($C$5:C191,C191)=1,MAX($AX$4:AX190)+1,""))</f>
        <v/>
      </c>
      <c r="AY191" s="61">
        <f>IF(B191="","",HOUR(B191))</f>
        <v/>
      </c>
      <c r="AZ191" s="61">
        <f>IF(A191="","",MOD(A191-2,7)+1)</f>
        <v/>
      </c>
      <c r="BA191" s="60">
        <f>IF(C191="","",IFERROR(INDEX('Prospects'!$N$5:$N$504,MATCH(C191,'Prospects'!$C$5:$C$504,0)),""))</f>
        <v/>
      </c>
      <c r="BB191" s="61">
        <f>IF(AND(C191&lt;&gt;"",C191='Fiche prospect'!$C$4),COUNTIF($C$5:C191,C191),"")</f>
        <v/>
      </c>
    </row>
    <row r="192">
      <c r="A192" s="53" t="n"/>
      <c r="B192" s="54" t="n"/>
      <c r="C192" s="55" t="n"/>
      <c r="D192" s="55" t="n"/>
      <c r="E192" s="55" t="n"/>
      <c r="F192" s="55" t="n"/>
      <c r="G192" s="56" t="n"/>
      <c r="H192" s="57" t="n"/>
      <c r="I192" s="55" t="n"/>
      <c r="J192" s="53" t="n"/>
      <c r="K192" s="54" t="n"/>
      <c r="L192" s="55" t="n"/>
      <c r="M192" s="55" t="n"/>
      <c r="N192" s="57" t="n"/>
      <c r="O192" s="55" t="n"/>
      <c r="P192" s="56" t="n"/>
      <c r="Q192" s="55" t="n"/>
      <c r="R192" s="55" t="n"/>
      <c r="S192" s="55" t="n"/>
      <c r="T192" s="55" t="n"/>
      <c r="U192" s="55" t="n"/>
      <c r="V192" s="55" t="n"/>
      <c r="W192" s="58" t="n"/>
      <c r="X192" s="58" t="n"/>
      <c r="Y192" s="55" t="n"/>
      <c r="Z192" s="55" t="n"/>
      <c r="AA192" s="55" t="n"/>
      <c r="AB192" s="55" t="n"/>
      <c r="AC192" s="55" t="n"/>
      <c r="AD192" s="53" t="n"/>
      <c r="AE192" s="55" t="n"/>
      <c r="AF192" s="55" t="n"/>
      <c r="AG192" s="59" t="n"/>
      <c r="AH192" s="57" t="n"/>
      <c r="AI192" s="55" t="n"/>
      <c r="AJ192" s="55" t="n"/>
      <c r="AK192" s="55" t="n"/>
      <c r="AL192" s="55" t="n"/>
      <c r="AM192" s="56" t="n"/>
      <c r="AN192" s="55" t="n"/>
      <c r="AO192" s="55" t="n"/>
      <c r="AP192" s="55" t="n"/>
      <c r="AQ192" s="55" t="n"/>
      <c r="AR192" s="60">
        <f>IF(AND(C192="",E192=""),"",IF(A192="","⚠ Date manquante",IF(AND(C192="",E192&lt;&gt;"Dépense"),"⚠ Prospect manquant",IF(E192="","⚠ Action manquante",IF(AND(AU192=1,D192=""),"⚠ Canal manquant",IF(AND(W192&lt;&gt;"",COUNTIFS('Saisie'!$W$5:$W$2004,W192,'Saisie'!$C$5:$C$2004,"&lt;&gt;"&amp;C192)&gt;0),"⚠ Numéro déjà utilisé par un autre prospect",IF(AND(J192&lt;&gt;"",J192&lt;A192),"⚠ Relance avant la date de l'action",IF(A192&gt;TODAY(),"⚠ Date dans le futur","✓"))))))))</f>
        <v/>
      </c>
      <c r="AS192" s="61">
        <f>IF(AND(A192="",C192="",E192=""),"",ROW())</f>
        <v/>
      </c>
      <c r="AT192" s="61">
        <f>IF(E192&amp;F192="","",MAX(IFERROR(INDEX('Paramètres'!$J$6:$J$33,MATCH(E192,'Paramètres'!$I$6:$I$33,0)),0),IFERROR(INDEX('Paramètres'!$N$6:$N$17,MATCH(F192,'Paramètres'!$M$6:$M$17,0)),0)))</f>
        <v/>
      </c>
      <c r="AU192" s="61">
        <f>IF(E192="","",IFERROR(IF(INDEX('Paramètres'!$K$6:$K$33,MATCH(E192,'Paramètres'!$I$6:$I$33,0))="Oui",1,0),0))</f>
        <v/>
      </c>
      <c r="AV192" s="61">
        <f>IF(F192="","",IFERROR(IF(INDEX('Paramètres'!$O$6:$O$17,MATCH(F192,'Paramètres'!$M$6:$M$17,0))="Oui",1,0),0))</f>
        <v/>
      </c>
      <c r="AW192" s="62">
        <f>IF(E192="","",IF(G192&lt;&gt;"",G192,IF(OR(E192="Proposition envoyée",E192="Signature"),MAX(0,N(IFERROR(INDEX('Paramètres'!$R$6:$R$15,MATCH(IF(AL192&lt;&gt;"",AL192,IFERROR(INDEX('Prospects'!$AN$5:$AN$504,MATCH(C192,'Prospects'!$C$5:$C$504,0)),"")),'Paramètres'!$Q$6:$Q$15,0)),0))-N(P192)),0)))</f>
        <v/>
      </c>
      <c r="AX192" s="61">
        <f>IF(C192="","",IF(COUNTIF($C$5:C192,C192)=1,MAX($AX$4:AX191)+1,""))</f>
        <v/>
      </c>
      <c r="AY192" s="61">
        <f>IF(B192="","",HOUR(B192))</f>
        <v/>
      </c>
      <c r="AZ192" s="61">
        <f>IF(A192="","",MOD(A192-2,7)+1)</f>
        <v/>
      </c>
      <c r="BA192" s="60">
        <f>IF(C192="","",IFERROR(INDEX('Prospects'!$N$5:$N$504,MATCH(C192,'Prospects'!$C$5:$C$504,0)),""))</f>
        <v/>
      </c>
      <c r="BB192" s="61">
        <f>IF(AND(C192&lt;&gt;"",C192='Fiche prospect'!$C$4),COUNTIF($C$5:C192,C192),"")</f>
        <v/>
      </c>
    </row>
    <row r="193">
      <c r="A193" s="53" t="n"/>
      <c r="B193" s="54" t="n"/>
      <c r="C193" s="55" t="n"/>
      <c r="D193" s="55" t="n"/>
      <c r="E193" s="55" t="n"/>
      <c r="F193" s="55" t="n"/>
      <c r="G193" s="56" t="n"/>
      <c r="H193" s="57" t="n"/>
      <c r="I193" s="55" t="n"/>
      <c r="J193" s="53" t="n"/>
      <c r="K193" s="54" t="n"/>
      <c r="L193" s="55" t="n"/>
      <c r="M193" s="55" t="n"/>
      <c r="N193" s="57" t="n"/>
      <c r="O193" s="55" t="n"/>
      <c r="P193" s="56" t="n"/>
      <c r="Q193" s="55" t="n"/>
      <c r="R193" s="55" t="n"/>
      <c r="S193" s="55" t="n"/>
      <c r="T193" s="55" t="n"/>
      <c r="U193" s="55" t="n"/>
      <c r="V193" s="55" t="n"/>
      <c r="W193" s="58" t="n"/>
      <c r="X193" s="58" t="n"/>
      <c r="Y193" s="55" t="n"/>
      <c r="Z193" s="55" t="n"/>
      <c r="AA193" s="55" t="n"/>
      <c r="AB193" s="55" t="n"/>
      <c r="AC193" s="55" t="n"/>
      <c r="AD193" s="53" t="n"/>
      <c r="AE193" s="55" t="n"/>
      <c r="AF193" s="55" t="n"/>
      <c r="AG193" s="59" t="n"/>
      <c r="AH193" s="57" t="n"/>
      <c r="AI193" s="55" t="n"/>
      <c r="AJ193" s="55" t="n"/>
      <c r="AK193" s="55" t="n"/>
      <c r="AL193" s="55" t="n"/>
      <c r="AM193" s="56" t="n"/>
      <c r="AN193" s="55" t="n"/>
      <c r="AO193" s="55" t="n"/>
      <c r="AP193" s="55" t="n"/>
      <c r="AQ193" s="55" t="n"/>
      <c r="AR193" s="60">
        <f>IF(AND(C193="",E193=""),"",IF(A193="","⚠ Date manquante",IF(AND(C193="",E193&lt;&gt;"Dépense"),"⚠ Prospect manquant",IF(E193="","⚠ Action manquante",IF(AND(AU193=1,D193=""),"⚠ Canal manquant",IF(AND(W193&lt;&gt;"",COUNTIFS('Saisie'!$W$5:$W$2004,W193,'Saisie'!$C$5:$C$2004,"&lt;&gt;"&amp;C193)&gt;0),"⚠ Numéro déjà utilisé par un autre prospect",IF(AND(J193&lt;&gt;"",J193&lt;A193),"⚠ Relance avant la date de l'action",IF(A193&gt;TODAY(),"⚠ Date dans le futur","✓"))))))))</f>
        <v/>
      </c>
      <c r="AS193" s="61">
        <f>IF(AND(A193="",C193="",E193=""),"",ROW())</f>
        <v/>
      </c>
      <c r="AT193" s="61">
        <f>IF(E193&amp;F193="","",MAX(IFERROR(INDEX('Paramètres'!$J$6:$J$33,MATCH(E193,'Paramètres'!$I$6:$I$33,0)),0),IFERROR(INDEX('Paramètres'!$N$6:$N$17,MATCH(F193,'Paramètres'!$M$6:$M$17,0)),0)))</f>
        <v/>
      </c>
      <c r="AU193" s="61">
        <f>IF(E193="","",IFERROR(IF(INDEX('Paramètres'!$K$6:$K$33,MATCH(E193,'Paramètres'!$I$6:$I$33,0))="Oui",1,0),0))</f>
        <v/>
      </c>
      <c r="AV193" s="61">
        <f>IF(F193="","",IFERROR(IF(INDEX('Paramètres'!$O$6:$O$17,MATCH(F193,'Paramètres'!$M$6:$M$17,0))="Oui",1,0),0))</f>
        <v/>
      </c>
      <c r="AW193" s="62">
        <f>IF(E193="","",IF(G193&lt;&gt;"",G193,IF(OR(E193="Proposition envoyée",E193="Signature"),MAX(0,N(IFERROR(INDEX('Paramètres'!$R$6:$R$15,MATCH(IF(AL193&lt;&gt;"",AL193,IFERROR(INDEX('Prospects'!$AN$5:$AN$504,MATCH(C193,'Prospects'!$C$5:$C$504,0)),"")),'Paramètres'!$Q$6:$Q$15,0)),0))-N(P193)),0)))</f>
        <v/>
      </c>
      <c r="AX193" s="61">
        <f>IF(C193="","",IF(COUNTIF($C$5:C193,C193)=1,MAX($AX$4:AX192)+1,""))</f>
        <v/>
      </c>
      <c r="AY193" s="61">
        <f>IF(B193="","",HOUR(B193))</f>
        <v/>
      </c>
      <c r="AZ193" s="61">
        <f>IF(A193="","",MOD(A193-2,7)+1)</f>
        <v/>
      </c>
      <c r="BA193" s="60">
        <f>IF(C193="","",IFERROR(INDEX('Prospects'!$N$5:$N$504,MATCH(C193,'Prospects'!$C$5:$C$504,0)),""))</f>
        <v/>
      </c>
      <c r="BB193" s="61">
        <f>IF(AND(C193&lt;&gt;"",C193='Fiche prospect'!$C$4),COUNTIF($C$5:C193,C193),"")</f>
        <v/>
      </c>
    </row>
    <row r="194">
      <c r="A194" s="53" t="n"/>
      <c r="B194" s="54" t="n"/>
      <c r="C194" s="55" t="n"/>
      <c r="D194" s="55" t="n"/>
      <c r="E194" s="55" t="n"/>
      <c r="F194" s="55" t="n"/>
      <c r="G194" s="56" t="n"/>
      <c r="H194" s="57" t="n"/>
      <c r="I194" s="55" t="n"/>
      <c r="J194" s="53" t="n"/>
      <c r="K194" s="54" t="n"/>
      <c r="L194" s="55" t="n"/>
      <c r="M194" s="55" t="n"/>
      <c r="N194" s="57" t="n"/>
      <c r="O194" s="55" t="n"/>
      <c r="P194" s="56" t="n"/>
      <c r="Q194" s="55" t="n"/>
      <c r="R194" s="55" t="n"/>
      <c r="S194" s="55" t="n"/>
      <c r="T194" s="55" t="n"/>
      <c r="U194" s="55" t="n"/>
      <c r="V194" s="55" t="n"/>
      <c r="W194" s="58" t="n"/>
      <c r="X194" s="58" t="n"/>
      <c r="Y194" s="55" t="n"/>
      <c r="Z194" s="55" t="n"/>
      <c r="AA194" s="55" t="n"/>
      <c r="AB194" s="55" t="n"/>
      <c r="AC194" s="55" t="n"/>
      <c r="AD194" s="53" t="n"/>
      <c r="AE194" s="55" t="n"/>
      <c r="AF194" s="55" t="n"/>
      <c r="AG194" s="59" t="n"/>
      <c r="AH194" s="57" t="n"/>
      <c r="AI194" s="55" t="n"/>
      <c r="AJ194" s="55" t="n"/>
      <c r="AK194" s="55" t="n"/>
      <c r="AL194" s="55" t="n"/>
      <c r="AM194" s="56" t="n"/>
      <c r="AN194" s="55" t="n"/>
      <c r="AO194" s="55" t="n"/>
      <c r="AP194" s="55" t="n"/>
      <c r="AQ194" s="55" t="n"/>
      <c r="AR194" s="60">
        <f>IF(AND(C194="",E194=""),"",IF(A194="","⚠ Date manquante",IF(AND(C194="",E194&lt;&gt;"Dépense"),"⚠ Prospect manquant",IF(E194="","⚠ Action manquante",IF(AND(AU194=1,D194=""),"⚠ Canal manquant",IF(AND(W194&lt;&gt;"",COUNTIFS('Saisie'!$W$5:$W$2004,W194,'Saisie'!$C$5:$C$2004,"&lt;&gt;"&amp;C194)&gt;0),"⚠ Numéro déjà utilisé par un autre prospect",IF(AND(J194&lt;&gt;"",J194&lt;A194),"⚠ Relance avant la date de l'action",IF(A194&gt;TODAY(),"⚠ Date dans le futur","✓"))))))))</f>
        <v/>
      </c>
      <c r="AS194" s="61">
        <f>IF(AND(A194="",C194="",E194=""),"",ROW())</f>
        <v/>
      </c>
      <c r="AT194" s="61">
        <f>IF(E194&amp;F194="","",MAX(IFERROR(INDEX('Paramètres'!$J$6:$J$33,MATCH(E194,'Paramètres'!$I$6:$I$33,0)),0),IFERROR(INDEX('Paramètres'!$N$6:$N$17,MATCH(F194,'Paramètres'!$M$6:$M$17,0)),0)))</f>
        <v/>
      </c>
      <c r="AU194" s="61">
        <f>IF(E194="","",IFERROR(IF(INDEX('Paramètres'!$K$6:$K$33,MATCH(E194,'Paramètres'!$I$6:$I$33,0))="Oui",1,0),0))</f>
        <v/>
      </c>
      <c r="AV194" s="61">
        <f>IF(F194="","",IFERROR(IF(INDEX('Paramètres'!$O$6:$O$17,MATCH(F194,'Paramètres'!$M$6:$M$17,0))="Oui",1,0),0))</f>
        <v/>
      </c>
      <c r="AW194" s="62">
        <f>IF(E194="","",IF(G194&lt;&gt;"",G194,IF(OR(E194="Proposition envoyée",E194="Signature"),MAX(0,N(IFERROR(INDEX('Paramètres'!$R$6:$R$15,MATCH(IF(AL194&lt;&gt;"",AL194,IFERROR(INDEX('Prospects'!$AN$5:$AN$504,MATCH(C194,'Prospects'!$C$5:$C$504,0)),"")),'Paramètres'!$Q$6:$Q$15,0)),0))-N(P194)),0)))</f>
        <v/>
      </c>
      <c r="AX194" s="61">
        <f>IF(C194="","",IF(COUNTIF($C$5:C194,C194)=1,MAX($AX$4:AX193)+1,""))</f>
        <v/>
      </c>
      <c r="AY194" s="61">
        <f>IF(B194="","",HOUR(B194))</f>
        <v/>
      </c>
      <c r="AZ194" s="61">
        <f>IF(A194="","",MOD(A194-2,7)+1)</f>
        <v/>
      </c>
      <c r="BA194" s="60">
        <f>IF(C194="","",IFERROR(INDEX('Prospects'!$N$5:$N$504,MATCH(C194,'Prospects'!$C$5:$C$504,0)),""))</f>
        <v/>
      </c>
      <c r="BB194" s="61">
        <f>IF(AND(C194&lt;&gt;"",C194='Fiche prospect'!$C$4),COUNTIF($C$5:C194,C194),"")</f>
        <v/>
      </c>
    </row>
    <row r="195">
      <c r="A195" s="53" t="n"/>
      <c r="B195" s="54" t="n"/>
      <c r="C195" s="55" t="n"/>
      <c r="D195" s="55" t="n"/>
      <c r="E195" s="55" t="n"/>
      <c r="F195" s="55" t="n"/>
      <c r="G195" s="56" t="n"/>
      <c r="H195" s="57" t="n"/>
      <c r="I195" s="55" t="n"/>
      <c r="J195" s="53" t="n"/>
      <c r="K195" s="54" t="n"/>
      <c r="L195" s="55" t="n"/>
      <c r="M195" s="55" t="n"/>
      <c r="N195" s="57" t="n"/>
      <c r="O195" s="55" t="n"/>
      <c r="P195" s="56" t="n"/>
      <c r="Q195" s="55" t="n"/>
      <c r="R195" s="55" t="n"/>
      <c r="S195" s="55" t="n"/>
      <c r="T195" s="55" t="n"/>
      <c r="U195" s="55" t="n"/>
      <c r="V195" s="55" t="n"/>
      <c r="W195" s="58" t="n"/>
      <c r="X195" s="58" t="n"/>
      <c r="Y195" s="55" t="n"/>
      <c r="Z195" s="55" t="n"/>
      <c r="AA195" s="55" t="n"/>
      <c r="AB195" s="55" t="n"/>
      <c r="AC195" s="55" t="n"/>
      <c r="AD195" s="53" t="n"/>
      <c r="AE195" s="55" t="n"/>
      <c r="AF195" s="55" t="n"/>
      <c r="AG195" s="59" t="n"/>
      <c r="AH195" s="57" t="n"/>
      <c r="AI195" s="55" t="n"/>
      <c r="AJ195" s="55" t="n"/>
      <c r="AK195" s="55" t="n"/>
      <c r="AL195" s="55" t="n"/>
      <c r="AM195" s="56" t="n"/>
      <c r="AN195" s="55" t="n"/>
      <c r="AO195" s="55" t="n"/>
      <c r="AP195" s="55" t="n"/>
      <c r="AQ195" s="55" t="n"/>
      <c r="AR195" s="60">
        <f>IF(AND(C195="",E195=""),"",IF(A195="","⚠ Date manquante",IF(AND(C195="",E195&lt;&gt;"Dépense"),"⚠ Prospect manquant",IF(E195="","⚠ Action manquante",IF(AND(AU195=1,D195=""),"⚠ Canal manquant",IF(AND(W195&lt;&gt;"",COUNTIFS('Saisie'!$W$5:$W$2004,W195,'Saisie'!$C$5:$C$2004,"&lt;&gt;"&amp;C195)&gt;0),"⚠ Numéro déjà utilisé par un autre prospect",IF(AND(J195&lt;&gt;"",J195&lt;A195),"⚠ Relance avant la date de l'action",IF(A195&gt;TODAY(),"⚠ Date dans le futur","✓"))))))))</f>
        <v/>
      </c>
      <c r="AS195" s="61">
        <f>IF(AND(A195="",C195="",E195=""),"",ROW())</f>
        <v/>
      </c>
      <c r="AT195" s="61">
        <f>IF(E195&amp;F195="","",MAX(IFERROR(INDEX('Paramètres'!$J$6:$J$33,MATCH(E195,'Paramètres'!$I$6:$I$33,0)),0),IFERROR(INDEX('Paramètres'!$N$6:$N$17,MATCH(F195,'Paramètres'!$M$6:$M$17,0)),0)))</f>
        <v/>
      </c>
      <c r="AU195" s="61">
        <f>IF(E195="","",IFERROR(IF(INDEX('Paramètres'!$K$6:$K$33,MATCH(E195,'Paramètres'!$I$6:$I$33,0))="Oui",1,0),0))</f>
        <v/>
      </c>
      <c r="AV195" s="61">
        <f>IF(F195="","",IFERROR(IF(INDEX('Paramètres'!$O$6:$O$17,MATCH(F195,'Paramètres'!$M$6:$M$17,0))="Oui",1,0),0))</f>
        <v/>
      </c>
      <c r="AW195" s="62">
        <f>IF(E195="","",IF(G195&lt;&gt;"",G195,IF(OR(E195="Proposition envoyée",E195="Signature"),MAX(0,N(IFERROR(INDEX('Paramètres'!$R$6:$R$15,MATCH(IF(AL195&lt;&gt;"",AL195,IFERROR(INDEX('Prospects'!$AN$5:$AN$504,MATCH(C195,'Prospects'!$C$5:$C$504,0)),"")),'Paramètres'!$Q$6:$Q$15,0)),0))-N(P195)),0)))</f>
        <v/>
      </c>
      <c r="AX195" s="61">
        <f>IF(C195="","",IF(COUNTIF($C$5:C195,C195)=1,MAX($AX$4:AX194)+1,""))</f>
        <v/>
      </c>
      <c r="AY195" s="61">
        <f>IF(B195="","",HOUR(B195))</f>
        <v/>
      </c>
      <c r="AZ195" s="61">
        <f>IF(A195="","",MOD(A195-2,7)+1)</f>
        <v/>
      </c>
      <c r="BA195" s="60">
        <f>IF(C195="","",IFERROR(INDEX('Prospects'!$N$5:$N$504,MATCH(C195,'Prospects'!$C$5:$C$504,0)),""))</f>
        <v/>
      </c>
      <c r="BB195" s="61">
        <f>IF(AND(C195&lt;&gt;"",C195='Fiche prospect'!$C$4),COUNTIF($C$5:C195,C195),"")</f>
        <v/>
      </c>
    </row>
    <row r="196">
      <c r="A196" s="53" t="n"/>
      <c r="B196" s="54" t="n"/>
      <c r="C196" s="55" t="n"/>
      <c r="D196" s="55" t="n"/>
      <c r="E196" s="55" t="n"/>
      <c r="F196" s="55" t="n"/>
      <c r="G196" s="56" t="n"/>
      <c r="H196" s="57" t="n"/>
      <c r="I196" s="55" t="n"/>
      <c r="J196" s="53" t="n"/>
      <c r="K196" s="54" t="n"/>
      <c r="L196" s="55" t="n"/>
      <c r="M196" s="55" t="n"/>
      <c r="N196" s="57" t="n"/>
      <c r="O196" s="55" t="n"/>
      <c r="P196" s="56" t="n"/>
      <c r="Q196" s="55" t="n"/>
      <c r="R196" s="55" t="n"/>
      <c r="S196" s="55" t="n"/>
      <c r="T196" s="55" t="n"/>
      <c r="U196" s="55" t="n"/>
      <c r="V196" s="55" t="n"/>
      <c r="W196" s="58" t="n"/>
      <c r="X196" s="58" t="n"/>
      <c r="Y196" s="55" t="n"/>
      <c r="Z196" s="55" t="n"/>
      <c r="AA196" s="55" t="n"/>
      <c r="AB196" s="55" t="n"/>
      <c r="AC196" s="55" t="n"/>
      <c r="AD196" s="53" t="n"/>
      <c r="AE196" s="55" t="n"/>
      <c r="AF196" s="55" t="n"/>
      <c r="AG196" s="59" t="n"/>
      <c r="AH196" s="57" t="n"/>
      <c r="AI196" s="55" t="n"/>
      <c r="AJ196" s="55" t="n"/>
      <c r="AK196" s="55" t="n"/>
      <c r="AL196" s="55" t="n"/>
      <c r="AM196" s="56" t="n"/>
      <c r="AN196" s="55" t="n"/>
      <c r="AO196" s="55" t="n"/>
      <c r="AP196" s="55" t="n"/>
      <c r="AQ196" s="55" t="n"/>
      <c r="AR196" s="60">
        <f>IF(AND(C196="",E196=""),"",IF(A196="","⚠ Date manquante",IF(AND(C196="",E196&lt;&gt;"Dépense"),"⚠ Prospect manquant",IF(E196="","⚠ Action manquante",IF(AND(AU196=1,D196=""),"⚠ Canal manquant",IF(AND(W196&lt;&gt;"",COUNTIFS('Saisie'!$W$5:$W$2004,W196,'Saisie'!$C$5:$C$2004,"&lt;&gt;"&amp;C196)&gt;0),"⚠ Numéro déjà utilisé par un autre prospect",IF(AND(J196&lt;&gt;"",J196&lt;A196),"⚠ Relance avant la date de l'action",IF(A196&gt;TODAY(),"⚠ Date dans le futur","✓"))))))))</f>
        <v/>
      </c>
      <c r="AS196" s="61">
        <f>IF(AND(A196="",C196="",E196=""),"",ROW())</f>
        <v/>
      </c>
      <c r="AT196" s="61">
        <f>IF(E196&amp;F196="","",MAX(IFERROR(INDEX('Paramètres'!$J$6:$J$33,MATCH(E196,'Paramètres'!$I$6:$I$33,0)),0),IFERROR(INDEX('Paramètres'!$N$6:$N$17,MATCH(F196,'Paramètres'!$M$6:$M$17,0)),0)))</f>
        <v/>
      </c>
      <c r="AU196" s="61">
        <f>IF(E196="","",IFERROR(IF(INDEX('Paramètres'!$K$6:$K$33,MATCH(E196,'Paramètres'!$I$6:$I$33,0))="Oui",1,0),0))</f>
        <v/>
      </c>
      <c r="AV196" s="61">
        <f>IF(F196="","",IFERROR(IF(INDEX('Paramètres'!$O$6:$O$17,MATCH(F196,'Paramètres'!$M$6:$M$17,0))="Oui",1,0),0))</f>
        <v/>
      </c>
      <c r="AW196" s="62">
        <f>IF(E196="","",IF(G196&lt;&gt;"",G196,IF(OR(E196="Proposition envoyée",E196="Signature"),MAX(0,N(IFERROR(INDEX('Paramètres'!$R$6:$R$15,MATCH(IF(AL196&lt;&gt;"",AL196,IFERROR(INDEX('Prospects'!$AN$5:$AN$504,MATCH(C196,'Prospects'!$C$5:$C$504,0)),"")),'Paramètres'!$Q$6:$Q$15,0)),0))-N(P196)),0)))</f>
        <v/>
      </c>
      <c r="AX196" s="61">
        <f>IF(C196="","",IF(COUNTIF($C$5:C196,C196)=1,MAX($AX$4:AX195)+1,""))</f>
        <v/>
      </c>
      <c r="AY196" s="61">
        <f>IF(B196="","",HOUR(B196))</f>
        <v/>
      </c>
      <c r="AZ196" s="61">
        <f>IF(A196="","",MOD(A196-2,7)+1)</f>
        <v/>
      </c>
      <c r="BA196" s="60">
        <f>IF(C196="","",IFERROR(INDEX('Prospects'!$N$5:$N$504,MATCH(C196,'Prospects'!$C$5:$C$504,0)),""))</f>
        <v/>
      </c>
      <c r="BB196" s="61">
        <f>IF(AND(C196&lt;&gt;"",C196='Fiche prospect'!$C$4),COUNTIF($C$5:C196,C196),"")</f>
        <v/>
      </c>
    </row>
    <row r="197">
      <c r="A197" s="53" t="n"/>
      <c r="B197" s="54" t="n"/>
      <c r="C197" s="55" t="n"/>
      <c r="D197" s="55" t="n"/>
      <c r="E197" s="55" t="n"/>
      <c r="F197" s="55" t="n"/>
      <c r="G197" s="56" t="n"/>
      <c r="H197" s="57" t="n"/>
      <c r="I197" s="55" t="n"/>
      <c r="J197" s="53" t="n"/>
      <c r="K197" s="54" t="n"/>
      <c r="L197" s="55" t="n"/>
      <c r="M197" s="55" t="n"/>
      <c r="N197" s="57" t="n"/>
      <c r="O197" s="55" t="n"/>
      <c r="P197" s="56" t="n"/>
      <c r="Q197" s="55" t="n"/>
      <c r="R197" s="55" t="n"/>
      <c r="S197" s="55" t="n"/>
      <c r="T197" s="55" t="n"/>
      <c r="U197" s="55" t="n"/>
      <c r="V197" s="55" t="n"/>
      <c r="W197" s="58" t="n"/>
      <c r="X197" s="58" t="n"/>
      <c r="Y197" s="55" t="n"/>
      <c r="Z197" s="55" t="n"/>
      <c r="AA197" s="55" t="n"/>
      <c r="AB197" s="55" t="n"/>
      <c r="AC197" s="55" t="n"/>
      <c r="AD197" s="53" t="n"/>
      <c r="AE197" s="55" t="n"/>
      <c r="AF197" s="55" t="n"/>
      <c r="AG197" s="59" t="n"/>
      <c r="AH197" s="57" t="n"/>
      <c r="AI197" s="55" t="n"/>
      <c r="AJ197" s="55" t="n"/>
      <c r="AK197" s="55" t="n"/>
      <c r="AL197" s="55" t="n"/>
      <c r="AM197" s="56" t="n"/>
      <c r="AN197" s="55" t="n"/>
      <c r="AO197" s="55" t="n"/>
      <c r="AP197" s="55" t="n"/>
      <c r="AQ197" s="55" t="n"/>
      <c r="AR197" s="60">
        <f>IF(AND(C197="",E197=""),"",IF(A197="","⚠ Date manquante",IF(AND(C197="",E197&lt;&gt;"Dépense"),"⚠ Prospect manquant",IF(E197="","⚠ Action manquante",IF(AND(AU197=1,D197=""),"⚠ Canal manquant",IF(AND(W197&lt;&gt;"",COUNTIFS('Saisie'!$W$5:$W$2004,W197,'Saisie'!$C$5:$C$2004,"&lt;&gt;"&amp;C197)&gt;0),"⚠ Numéro déjà utilisé par un autre prospect",IF(AND(J197&lt;&gt;"",J197&lt;A197),"⚠ Relance avant la date de l'action",IF(A197&gt;TODAY(),"⚠ Date dans le futur","✓"))))))))</f>
        <v/>
      </c>
      <c r="AS197" s="61">
        <f>IF(AND(A197="",C197="",E197=""),"",ROW())</f>
        <v/>
      </c>
      <c r="AT197" s="61">
        <f>IF(E197&amp;F197="","",MAX(IFERROR(INDEX('Paramètres'!$J$6:$J$33,MATCH(E197,'Paramètres'!$I$6:$I$33,0)),0),IFERROR(INDEX('Paramètres'!$N$6:$N$17,MATCH(F197,'Paramètres'!$M$6:$M$17,0)),0)))</f>
        <v/>
      </c>
      <c r="AU197" s="61">
        <f>IF(E197="","",IFERROR(IF(INDEX('Paramètres'!$K$6:$K$33,MATCH(E197,'Paramètres'!$I$6:$I$33,0))="Oui",1,0),0))</f>
        <v/>
      </c>
      <c r="AV197" s="61">
        <f>IF(F197="","",IFERROR(IF(INDEX('Paramètres'!$O$6:$O$17,MATCH(F197,'Paramètres'!$M$6:$M$17,0))="Oui",1,0),0))</f>
        <v/>
      </c>
      <c r="AW197" s="62">
        <f>IF(E197="","",IF(G197&lt;&gt;"",G197,IF(OR(E197="Proposition envoyée",E197="Signature"),MAX(0,N(IFERROR(INDEX('Paramètres'!$R$6:$R$15,MATCH(IF(AL197&lt;&gt;"",AL197,IFERROR(INDEX('Prospects'!$AN$5:$AN$504,MATCH(C197,'Prospects'!$C$5:$C$504,0)),"")),'Paramètres'!$Q$6:$Q$15,0)),0))-N(P197)),0)))</f>
        <v/>
      </c>
      <c r="AX197" s="61">
        <f>IF(C197="","",IF(COUNTIF($C$5:C197,C197)=1,MAX($AX$4:AX196)+1,""))</f>
        <v/>
      </c>
      <c r="AY197" s="61">
        <f>IF(B197="","",HOUR(B197))</f>
        <v/>
      </c>
      <c r="AZ197" s="61">
        <f>IF(A197="","",MOD(A197-2,7)+1)</f>
        <v/>
      </c>
      <c r="BA197" s="60">
        <f>IF(C197="","",IFERROR(INDEX('Prospects'!$N$5:$N$504,MATCH(C197,'Prospects'!$C$5:$C$504,0)),""))</f>
        <v/>
      </c>
      <c r="BB197" s="61">
        <f>IF(AND(C197&lt;&gt;"",C197='Fiche prospect'!$C$4),COUNTIF($C$5:C197,C197),"")</f>
        <v/>
      </c>
    </row>
    <row r="198">
      <c r="A198" s="53" t="n"/>
      <c r="B198" s="54" t="n"/>
      <c r="C198" s="55" t="n"/>
      <c r="D198" s="55" t="n"/>
      <c r="E198" s="55" t="n"/>
      <c r="F198" s="55" t="n"/>
      <c r="G198" s="56" t="n"/>
      <c r="H198" s="57" t="n"/>
      <c r="I198" s="55" t="n"/>
      <c r="J198" s="53" t="n"/>
      <c r="K198" s="54" t="n"/>
      <c r="L198" s="55" t="n"/>
      <c r="M198" s="55" t="n"/>
      <c r="N198" s="57" t="n"/>
      <c r="O198" s="55" t="n"/>
      <c r="P198" s="56" t="n"/>
      <c r="Q198" s="55" t="n"/>
      <c r="R198" s="55" t="n"/>
      <c r="S198" s="55" t="n"/>
      <c r="T198" s="55" t="n"/>
      <c r="U198" s="55" t="n"/>
      <c r="V198" s="55" t="n"/>
      <c r="W198" s="58" t="n"/>
      <c r="X198" s="58" t="n"/>
      <c r="Y198" s="55" t="n"/>
      <c r="Z198" s="55" t="n"/>
      <c r="AA198" s="55" t="n"/>
      <c r="AB198" s="55" t="n"/>
      <c r="AC198" s="55" t="n"/>
      <c r="AD198" s="53" t="n"/>
      <c r="AE198" s="55" t="n"/>
      <c r="AF198" s="55" t="n"/>
      <c r="AG198" s="59" t="n"/>
      <c r="AH198" s="57" t="n"/>
      <c r="AI198" s="55" t="n"/>
      <c r="AJ198" s="55" t="n"/>
      <c r="AK198" s="55" t="n"/>
      <c r="AL198" s="55" t="n"/>
      <c r="AM198" s="56" t="n"/>
      <c r="AN198" s="55" t="n"/>
      <c r="AO198" s="55" t="n"/>
      <c r="AP198" s="55" t="n"/>
      <c r="AQ198" s="55" t="n"/>
      <c r="AR198" s="60">
        <f>IF(AND(C198="",E198=""),"",IF(A198="","⚠ Date manquante",IF(AND(C198="",E198&lt;&gt;"Dépense"),"⚠ Prospect manquant",IF(E198="","⚠ Action manquante",IF(AND(AU198=1,D198=""),"⚠ Canal manquant",IF(AND(W198&lt;&gt;"",COUNTIFS('Saisie'!$W$5:$W$2004,W198,'Saisie'!$C$5:$C$2004,"&lt;&gt;"&amp;C198)&gt;0),"⚠ Numéro déjà utilisé par un autre prospect",IF(AND(J198&lt;&gt;"",J198&lt;A198),"⚠ Relance avant la date de l'action",IF(A198&gt;TODAY(),"⚠ Date dans le futur","✓"))))))))</f>
        <v/>
      </c>
      <c r="AS198" s="61">
        <f>IF(AND(A198="",C198="",E198=""),"",ROW())</f>
        <v/>
      </c>
      <c r="AT198" s="61">
        <f>IF(E198&amp;F198="","",MAX(IFERROR(INDEX('Paramètres'!$J$6:$J$33,MATCH(E198,'Paramètres'!$I$6:$I$33,0)),0),IFERROR(INDEX('Paramètres'!$N$6:$N$17,MATCH(F198,'Paramètres'!$M$6:$M$17,0)),0)))</f>
        <v/>
      </c>
      <c r="AU198" s="61">
        <f>IF(E198="","",IFERROR(IF(INDEX('Paramètres'!$K$6:$K$33,MATCH(E198,'Paramètres'!$I$6:$I$33,0))="Oui",1,0),0))</f>
        <v/>
      </c>
      <c r="AV198" s="61">
        <f>IF(F198="","",IFERROR(IF(INDEX('Paramètres'!$O$6:$O$17,MATCH(F198,'Paramètres'!$M$6:$M$17,0))="Oui",1,0),0))</f>
        <v/>
      </c>
      <c r="AW198" s="62">
        <f>IF(E198="","",IF(G198&lt;&gt;"",G198,IF(OR(E198="Proposition envoyée",E198="Signature"),MAX(0,N(IFERROR(INDEX('Paramètres'!$R$6:$R$15,MATCH(IF(AL198&lt;&gt;"",AL198,IFERROR(INDEX('Prospects'!$AN$5:$AN$504,MATCH(C198,'Prospects'!$C$5:$C$504,0)),"")),'Paramètres'!$Q$6:$Q$15,0)),0))-N(P198)),0)))</f>
        <v/>
      </c>
      <c r="AX198" s="61">
        <f>IF(C198="","",IF(COUNTIF($C$5:C198,C198)=1,MAX($AX$4:AX197)+1,""))</f>
        <v/>
      </c>
      <c r="AY198" s="61">
        <f>IF(B198="","",HOUR(B198))</f>
        <v/>
      </c>
      <c r="AZ198" s="61">
        <f>IF(A198="","",MOD(A198-2,7)+1)</f>
        <v/>
      </c>
      <c r="BA198" s="60">
        <f>IF(C198="","",IFERROR(INDEX('Prospects'!$N$5:$N$504,MATCH(C198,'Prospects'!$C$5:$C$504,0)),""))</f>
        <v/>
      </c>
      <c r="BB198" s="61">
        <f>IF(AND(C198&lt;&gt;"",C198='Fiche prospect'!$C$4),COUNTIF($C$5:C198,C198),"")</f>
        <v/>
      </c>
    </row>
    <row r="199">
      <c r="A199" s="53" t="n"/>
      <c r="B199" s="54" t="n"/>
      <c r="C199" s="55" t="n"/>
      <c r="D199" s="55" t="n"/>
      <c r="E199" s="55" t="n"/>
      <c r="F199" s="55" t="n"/>
      <c r="G199" s="56" t="n"/>
      <c r="H199" s="57" t="n"/>
      <c r="I199" s="55" t="n"/>
      <c r="J199" s="53" t="n"/>
      <c r="K199" s="54" t="n"/>
      <c r="L199" s="55" t="n"/>
      <c r="M199" s="55" t="n"/>
      <c r="N199" s="57" t="n"/>
      <c r="O199" s="55" t="n"/>
      <c r="P199" s="56" t="n"/>
      <c r="Q199" s="55" t="n"/>
      <c r="R199" s="55" t="n"/>
      <c r="S199" s="55" t="n"/>
      <c r="T199" s="55" t="n"/>
      <c r="U199" s="55" t="n"/>
      <c r="V199" s="55" t="n"/>
      <c r="W199" s="58" t="n"/>
      <c r="X199" s="58" t="n"/>
      <c r="Y199" s="55" t="n"/>
      <c r="Z199" s="55" t="n"/>
      <c r="AA199" s="55" t="n"/>
      <c r="AB199" s="55" t="n"/>
      <c r="AC199" s="55" t="n"/>
      <c r="AD199" s="53" t="n"/>
      <c r="AE199" s="55" t="n"/>
      <c r="AF199" s="55" t="n"/>
      <c r="AG199" s="59" t="n"/>
      <c r="AH199" s="57" t="n"/>
      <c r="AI199" s="55" t="n"/>
      <c r="AJ199" s="55" t="n"/>
      <c r="AK199" s="55" t="n"/>
      <c r="AL199" s="55" t="n"/>
      <c r="AM199" s="56" t="n"/>
      <c r="AN199" s="55" t="n"/>
      <c r="AO199" s="55" t="n"/>
      <c r="AP199" s="55" t="n"/>
      <c r="AQ199" s="55" t="n"/>
      <c r="AR199" s="60">
        <f>IF(AND(C199="",E199=""),"",IF(A199="","⚠ Date manquante",IF(AND(C199="",E199&lt;&gt;"Dépense"),"⚠ Prospect manquant",IF(E199="","⚠ Action manquante",IF(AND(AU199=1,D199=""),"⚠ Canal manquant",IF(AND(W199&lt;&gt;"",COUNTIFS('Saisie'!$W$5:$W$2004,W199,'Saisie'!$C$5:$C$2004,"&lt;&gt;"&amp;C199)&gt;0),"⚠ Numéro déjà utilisé par un autre prospect",IF(AND(J199&lt;&gt;"",J199&lt;A199),"⚠ Relance avant la date de l'action",IF(A199&gt;TODAY(),"⚠ Date dans le futur","✓"))))))))</f>
        <v/>
      </c>
      <c r="AS199" s="61">
        <f>IF(AND(A199="",C199="",E199=""),"",ROW())</f>
        <v/>
      </c>
      <c r="AT199" s="61">
        <f>IF(E199&amp;F199="","",MAX(IFERROR(INDEX('Paramètres'!$J$6:$J$33,MATCH(E199,'Paramètres'!$I$6:$I$33,0)),0),IFERROR(INDEX('Paramètres'!$N$6:$N$17,MATCH(F199,'Paramètres'!$M$6:$M$17,0)),0)))</f>
        <v/>
      </c>
      <c r="AU199" s="61">
        <f>IF(E199="","",IFERROR(IF(INDEX('Paramètres'!$K$6:$K$33,MATCH(E199,'Paramètres'!$I$6:$I$33,0))="Oui",1,0),0))</f>
        <v/>
      </c>
      <c r="AV199" s="61">
        <f>IF(F199="","",IFERROR(IF(INDEX('Paramètres'!$O$6:$O$17,MATCH(F199,'Paramètres'!$M$6:$M$17,0))="Oui",1,0),0))</f>
        <v/>
      </c>
      <c r="AW199" s="62">
        <f>IF(E199="","",IF(G199&lt;&gt;"",G199,IF(OR(E199="Proposition envoyée",E199="Signature"),MAX(0,N(IFERROR(INDEX('Paramètres'!$R$6:$R$15,MATCH(IF(AL199&lt;&gt;"",AL199,IFERROR(INDEX('Prospects'!$AN$5:$AN$504,MATCH(C199,'Prospects'!$C$5:$C$504,0)),"")),'Paramètres'!$Q$6:$Q$15,0)),0))-N(P199)),0)))</f>
        <v/>
      </c>
      <c r="AX199" s="61">
        <f>IF(C199="","",IF(COUNTIF($C$5:C199,C199)=1,MAX($AX$4:AX198)+1,""))</f>
        <v/>
      </c>
      <c r="AY199" s="61">
        <f>IF(B199="","",HOUR(B199))</f>
        <v/>
      </c>
      <c r="AZ199" s="61">
        <f>IF(A199="","",MOD(A199-2,7)+1)</f>
        <v/>
      </c>
      <c r="BA199" s="60">
        <f>IF(C199="","",IFERROR(INDEX('Prospects'!$N$5:$N$504,MATCH(C199,'Prospects'!$C$5:$C$504,0)),""))</f>
        <v/>
      </c>
      <c r="BB199" s="61">
        <f>IF(AND(C199&lt;&gt;"",C199='Fiche prospect'!$C$4),COUNTIF($C$5:C199,C199),"")</f>
        <v/>
      </c>
    </row>
    <row r="200">
      <c r="A200" s="53" t="n"/>
      <c r="B200" s="54" t="n"/>
      <c r="C200" s="55" t="n"/>
      <c r="D200" s="55" t="n"/>
      <c r="E200" s="55" t="n"/>
      <c r="F200" s="55" t="n"/>
      <c r="G200" s="56" t="n"/>
      <c r="H200" s="57" t="n"/>
      <c r="I200" s="55" t="n"/>
      <c r="J200" s="53" t="n"/>
      <c r="K200" s="54" t="n"/>
      <c r="L200" s="55" t="n"/>
      <c r="M200" s="55" t="n"/>
      <c r="N200" s="57" t="n"/>
      <c r="O200" s="55" t="n"/>
      <c r="P200" s="56" t="n"/>
      <c r="Q200" s="55" t="n"/>
      <c r="R200" s="55" t="n"/>
      <c r="S200" s="55" t="n"/>
      <c r="T200" s="55" t="n"/>
      <c r="U200" s="55" t="n"/>
      <c r="V200" s="55" t="n"/>
      <c r="W200" s="58" t="n"/>
      <c r="X200" s="58" t="n"/>
      <c r="Y200" s="55" t="n"/>
      <c r="Z200" s="55" t="n"/>
      <c r="AA200" s="55" t="n"/>
      <c r="AB200" s="55" t="n"/>
      <c r="AC200" s="55" t="n"/>
      <c r="AD200" s="53" t="n"/>
      <c r="AE200" s="55" t="n"/>
      <c r="AF200" s="55" t="n"/>
      <c r="AG200" s="59" t="n"/>
      <c r="AH200" s="57" t="n"/>
      <c r="AI200" s="55" t="n"/>
      <c r="AJ200" s="55" t="n"/>
      <c r="AK200" s="55" t="n"/>
      <c r="AL200" s="55" t="n"/>
      <c r="AM200" s="56" t="n"/>
      <c r="AN200" s="55" t="n"/>
      <c r="AO200" s="55" t="n"/>
      <c r="AP200" s="55" t="n"/>
      <c r="AQ200" s="55" t="n"/>
      <c r="AR200" s="60">
        <f>IF(AND(C200="",E200=""),"",IF(A200="","⚠ Date manquante",IF(AND(C200="",E200&lt;&gt;"Dépense"),"⚠ Prospect manquant",IF(E200="","⚠ Action manquante",IF(AND(AU200=1,D200=""),"⚠ Canal manquant",IF(AND(W200&lt;&gt;"",COUNTIFS('Saisie'!$W$5:$W$2004,W200,'Saisie'!$C$5:$C$2004,"&lt;&gt;"&amp;C200)&gt;0),"⚠ Numéro déjà utilisé par un autre prospect",IF(AND(J200&lt;&gt;"",J200&lt;A200),"⚠ Relance avant la date de l'action",IF(A200&gt;TODAY(),"⚠ Date dans le futur","✓"))))))))</f>
        <v/>
      </c>
      <c r="AS200" s="61">
        <f>IF(AND(A200="",C200="",E200=""),"",ROW())</f>
        <v/>
      </c>
      <c r="AT200" s="61">
        <f>IF(E200&amp;F200="","",MAX(IFERROR(INDEX('Paramètres'!$J$6:$J$33,MATCH(E200,'Paramètres'!$I$6:$I$33,0)),0),IFERROR(INDEX('Paramètres'!$N$6:$N$17,MATCH(F200,'Paramètres'!$M$6:$M$17,0)),0)))</f>
        <v/>
      </c>
      <c r="AU200" s="61">
        <f>IF(E200="","",IFERROR(IF(INDEX('Paramètres'!$K$6:$K$33,MATCH(E200,'Paramètres'!$I$6:$I$33,0))="Oui",1,0),0))</f>
        <v/>
      </c>
      <c r="AV200" s="61">
        <f>IF(F200="","",IFERROR(IF(INDEX('Paramètres'!$O$6:$O$17,MATCH(F200,'Paramètres'!$M$6:$M$17,0))="Oui",1,0),0))</f>
        <v/>
      </c>
      <c r="AW200" s="62">
        <f>IF(E200="","",IF(G200&lt;&gt;"",G200,IF(OR(E200="Proposition envoyée",E200="Signature"),MAX(0,N(IFERROR(INDEX('Paramètres'!$R$6:$R$15,MATCH(IF(AL200&lt;&gt;"",AL200,IFERROR(INDEX('Prospects'!$AN$5:$AN$504,MATCH(C200,'Prospects'!$C$5:$C$504,0)),"")),'Paramètres'!$Q$6:$Q$15,0)),0))-N(P200)),0)))</f>
        <v/>
      </c>
      <c r="AX200" s="61">
        <f>IF(C200="","",IF(COUNTIF($C$5:C200,C200)=1,MAX($AX$4:AX199)+1,""))</f>
        <v/>
      </c>
      <c r="AY200" s="61">
        <f>IF(B200="","",HOUR(B200))</f>
        <v/>
      </c>
      <c r="AZ200" s="61">
        <f>IF(A200="","",MOD(A200-2,7)+1)</f>
        <v/>
      </c>
      <c r="BA200" s="60">
        <f>IF(C200="","",IFERROR(INDEX('Prospects'!$N$5:$N$504,MATCH(C200,'Prospects'!$C$5:$C$504,0)),""))</f>
        <v/>
      </c>
      <c r="BB200" s="61">
        <f>IF(AND(C200&lt;&gt;"",C200='Fiche prospect'!$C$4),COUNTIF($C$5:C200,C200),"")</f>
        <v/>
      </c>
    </row>
    <row r="201">
      <c r="A201" s="53" t="n"/>
      <c r="B201" s="54" t="n"/>
      <c r="C201" s="55" t="n"/>
      <c r="D201" s="55" t="n"/>
      <c r="E201" s="55" t="n"/>
      <c r="F201" s="55" t="n"/>
      <c r="G201" s="56" t="n"/>
      <c r="H201" s="57" t="n"/>
      <c r="I201" s="55" t="n"/>
      <c r="J201" s="53" t="n"/>
      <c r="K201" s="54" t="n"/>
      <c r="L201" s="55" t="n"/>
      <c r="M201" s="55" t="n"/>
      <c r="N201" s="57" t="n"/>
      <c r="O201" s="55" t="n"/>
      <c r="P201" s="56" t="n"/>
      <c r="Q201" s="55" t="n"/>
      <c r="R201" s="55" t="n"/>
      <c r="S201" s="55" t="n"/>
      <c r="T201" s="55" t="n"/>
      <c r="U201" s="55" t="n"/>
      <c r="V201" s="55" t="n"/>
      <c r="W201" s="58" t="n"/>
      <c r="X201" s="58" t="n"/>
      <c r="Y201" s="55" t="n"/>
      <c r="Z201" s="55" t="n"/>
      <c r="AA201" s="55" t="n"/>
      <c r="AB201" s="55" t="n"/>
      <c r="AC201" s="55" t="n"/>
      <c r="AD201" s="53" t="n"/>
      <c r="AE201" s="55" t="n"/>
      <c r="AF201" s="55" t="n"/>
      <c r="AG201" s="59" t="n"/>
      <c r="AH201" s="57" t="n"/>
      <c r="AI201" s="55" t="n"/>
      <c r="AJ201" s="55" t="n"/>
      <c r="AK201" s="55" t="n"/>
      <c r="AL201" s="55" t="n"/>
      <c r="AM201" s="56" t="n"/>
      <c r="AN201" s="55" t="n"/>
      <c r="AO201" s="55" t="n"/>
      <c r="AP201" s="55" t="n"/>
      <c r="AQ201" s="55" t="n"/>
      <c r="AR201" s="60">
        <f>IF(AND(C201="",E201=""),"",IF(A201="","⚠ Date manquante",IF(AND(C201="",E201&lt;&gt;"Dépense"),"⚠ Prospect manquant",IF(E201="","⚠ Action manquante",IF(AND(AU201=1,D201=""),"⚠ Canal manquant",IF(AND(W201&lt;&gt;"",COUNTIFS('Saisie'!$W$5:$W$2004,W201,'Saisie'!$C$5:$C$2004,"&lt;&gt;"&amp;C201)&gt;0),"⚠ Numéro déjà utilisé par un autre prospect",IF(AND(J201&lt;&gt;"",J201&lt;A201),"⚠ Relance avant la date de l'action",IF(A201&gt;TODAY(),"⚠ Date dans le futur","✓"))))))))</f>
        <v/>
      </c>
      <c r="AS201" s="61">
        <f>IF(AND(A201="",C201="",E201=""),"",ROW())</f>
        <v/>
      </c>
      <c r="AT201" s="61">
        <f>IF(E201&amp;F201="","",MAX(IFERROR(INDEX('Paramètres'!$J$6:$J$33,MATCH(E201,'Paramètres'!$I$6:$I$33,0)),0),IFERROR(INDEX('Paramètres'!$N$6:$N$17,MATCH(F201,'Paramètres'!$M$6:$M$17,0)),0)))</f>
        <v/>
      </c>
      <c r="AU201" s="61">
        <f>IF(E201="","",IFERROR(IF(INDEX('Paramètres'!$K$6:$K$33,MATCH(E201,'Paramètres'!$I$6:$I$33,0))="Oui",1,0),0))</f>
        <v/>
      </c>
      <c r="AV201" s="61">
        <f>IF(F201="","",IFERROR(IF(INDEX('Paramètres'!$O$6:$O$17,MATCH(F201,'Paramètres'!$M$6:$M$17,0))="Oui",1,0),0))</f>
        <v/>
      </c>
      <c r="AW201" s="62">
        <f>IF(E201="","",IF(G201&lt;&gt;"",G201,IF(OR(E201="Proposition envoyée",E201="Signature"),MAX(0,N(IFERROR(INDEX('Paramètres'!$R$6:$R$15,MATCH(IF(AL201&lt;&gt;"",AL201,IFERROR(INDEX('Prospects'!$AN$5:$AN$504,MATCH(C201,'Prospects'!$C$5:$C$504,0)),"")),'Paramètres'!$Q$6:$Q$15,0)),0))-N(P201)),0)))</f>
        <v/>
      </c>
      <c r="AX201" s="61">
        <f>IF(C201="","",IF(COUNTIF($C$5:C201,C201)=1,MAX($AX$4:AX200)+1,""))</f>
        <v/>
      </c>
      <c r="AY201" s="61">
        <f>IF(B201="","",HOUR(B201))</f>
        <v/>
      </c>
      <c r="AZ201" s="61">
        <f>IF(A201="","",MOD(A201-2,7)+1)</f>
        <v/>
      </c>
      <c r="BA201" s="60">
        <f>IF(C201="","",IFERROR(INDEX('Prospects'!$N$5:$N$504,MATCH(C201,'Prospects'!$C$5:$C$504,0)),""))</f>
        <v/>
      </c>
      <c r="BB201" s="61">
        <f>IF(AND(C201&lt;&gt;"",C201='Fiche prospect'!$C$4),COUNTIF($C$5:C201,C201),"")</f>
        <v/>
      </c>
    </row>
    <row r="202">
      <c r="A202" s="53" t="n"/>
      <c r="B202" s="54" t="n"/>
      <c r="C202" s="55" t="n"/>
      <c r="D202" s="55" t="n"/>
      <c r="E202" s="55" t="n"/>
      <c r="F202" s="55" t="n"/>
      <c r="G202" s="56" t="n"/>
      <c r="H202" s="57" t="n"/>
      <c r="I202" s="55" t="n"/>
      <c r="J202" s="53" t="n"/>
      <c r="K202" s="54" t="n"/>
      <c r="L202" s="55" t="n"/>
      <c r="M202" s="55" t="n"/>
      <c r="N202" s="57" t="n"/>
      <c r="O202" s="55" t="n"/>
      <c r="P202" s="56" t="n"/>
      <c r="Q202" s="55" t="n"/>
      <c r="R202" s="55" t="n"/>
      <c r="S202" s="55" t="n"/>
      <c r="T202" s="55" t="n"/>
      <c r="U202" s="55" t="n"/>
      <c r="V202" s="55" t="n"/>
      <c r="W202" s="58" t="n"/>
      <c r="X202" s="58" t="n"/>
      <c r="Y202" s="55" t="n"/>
      <c r="Z202" s="55" t="n"/>
      <c r="AA202" s="55" t="n"/>
      <c r="AB202" s="55" t="n"/>
      <c r="AC202" s="55" t="n"/>
      <c r="AD202" s="53" t="n"/>
      <c r="AE202" s="55" t="n"/>
      <c r="AF202" s="55" t="n"/>
      <c r="AG202" s="59" t="n"/>
      <c r="AH202" s="57" t="n"/>
      <c r="AI202" s="55" t="n"/>
      <c r="AJ202" s="55" t="n"/>
      <c r="AK202" s="55" t="n"/>
      <c r="AL202" s="55" t="n"/>
      <c r="AM202" s="56" t="n"/>
      <c r="AN202" s="55" t="n"/>
      <c r="AO202" s="55" t="n"/>
      <c r="AP202" s="55" t="n"/>
      <c r="AQ202" s="55" t="n"/>
      <c r="AR202" s="60">
        <f>IF(AND(C202="",E202=""),"",IF(A202="","⚠ Date manquante",IF(AND(C202="",E202&lt;&gt;"Dépense"),"⚠ Prospect manquant",IF(E202="","⚠ Action manquante",IF(AND(AU202=1,D202=""),"⚠ Canal manquant",IF(AND(W202&lt;&gt;"",COUNTIFS('Saisie'!$W$5:$W$2004,W202,'Saisie'!$C$5:$C$2004,"&lt;&gt;"&amp;C202)&gt;0),"⚠ Numéro déjà utilisé par un autre prospect",IF(AND(J202&lt;&gt;"",J202&lt;A202),"⚠ Relance avant la date de l'action",IF(A202&gt;TODAY(),"⚠ Date dans le futur","✓"))))))))</f>
        <v/>
      </c>
      <c r="AS202" s="61">
        <f>IF(AND(A202="",C202="",E202=""),"",ROW())</f>
        <v/>
      </c>
      <c r="AT202" s="61">
        <f>IF(E202&amp;F202="","",MAX(IFERROR(INDEX('Paramètres'!$J$6:$J$33,MATCH(E202,'Paramètres'!$I$6:$I$33,0)),0),IFERROR(INDEX('Paramètres'!$N$6:$N$17,MATCH(F202,'Paramètres'!$M$6:$M$17,0)),0)))</f>
        <v/>
      </c>
      <c r="AU202" s="61">
        <f>IF(E202="","",IFERROR(IF(INDEX('Paramètres'!$K$6:$K$33,MATCH(E202,'Paramètres'!$I$6:$I$33,0))="Oui",1,0),0))</f>
        <v/>
      </c>
      <c r="AV202" s="61">
        <f>IF(F202="","",IFERROR(IF(INDEX('Paramètres'!$O$6:$O$17,MATCH(F202,'Paramètres'!$M$6:$M$17,0))="Oui",1,0),0))</f>
        <v/>
      </c>
      <c r="AW202" s="62">
        <f>IF(E202="","",IF(G202&lt;&gt;"",G202,IF(OR(E202="Proposition envoyée",E202="Signature"),MAX(0,N(IFERROR(INDEX('Paramètres'!$R$6:$R$15,MATCH(IF(AL202&lt;&gt;"",AL202,IFERROR(INDEX('Prospects'!$AN$5:$AN$504,MATCH(C202,'Prospects'!$C$5:$C$504,0)),"")),'Paramètres'!$Q$6:$Q$15,0)),0))-N(P202)),0)))</f>
        <v/>
      </c>
      <c r="AX202" s="61">
        <f>IF(C202="","",IF(COUNTIF($C$5:C202,C202)=1,MAX($AX$4:AX201)+1,""))</f>
        <v/>
      </c>
      <c r="AY202" s="61">
        <f>IF(B202="","",HOUR(B202))</f>
        <v/>
      </c>
      <c r="AZ202" s="61">
        <f>IF(A202="","",MOD(A202-2,7)+1)</f>
        <v/>
      </c>
      <c r="BA202" s="60">
        <f>IF(C202="","",IFERROR(INDEX('Prospects'!$N$5:$N$504,MATCH(C202,'Prospects'!$C$5:$C$504,0)),""))</f>
        <v/>
      </c>
      <c r="BB202" s="61">
        <f>IF(AND(C202&lt;&gt;"",C202='Fiche prospect'!$C$4),COUNTIF($C$5:C202,C202),"")</f>
        <v/>
      </c>
    </row>
    <row r="203">
      <c r="A203" s="53" t="n"/>
      <c r="B203" s="54" t="n"/>
      <c r="C203" s="55" t="n"/>
      <c r="D203" s="55" t="n"/>
      <c r="E203" s="55" t="n"/>
      <c r="F203" s="55" t="n"/>
      <c r="G203" s="56" t="n"/>
      <c r="H203" s="57" t="n"/>
      <c r="I203" s="55" t="n"/>
      <c r="J203" s="53" t="n"/>
      <c r="K203" s="54" t="n"/>
      <c r="L203" s="55" t="n"/>
      <c r="M203" s="55" t="n"/>
      <c r="N203" s="57" t="n"/>
      <c r="O203" s="55" t="n"/>
      <c r="P203" s="56" t="n"/>
      <c r="Q203" s="55" t="n"/>
      <c r="R203" s="55" t="n"/>
      <c r="S203" s="55" t="n"/>
      <c r="T203" s="55" t="n"/>
      <c r="U203" s="55" t="n"/>
      <c r="V203" s="55" t="n"/>
      <c r="W203" s="58" t="n"/>
      <c r="X203" s="58" t="n"/>
      <c r="Y203" s="55" t="n"/>
      <c r="Z203" s="55" t="n"/>
      <c r="AA203" s="55" t="n"/>
      <c r="AB203" s="55" t="n"/>
      <c r="AC203" s="55" t="n"/>
      <c r="AD203" s="53" t="n"/>
      <c r="AE203" s="55" t="n"/>
      <c r="AF203" s="55" t="n"/>
      <c r="AG203" s="59" t="n"/>
      <c r="AH203" s="57" t="n"/>
      <c r="AI203" s="55" t="n"/>
      <c r="AJ203" s="55" t="n"/>
      <c r="AK203" s="55" t="n"/>
      <c r="AL203" s="55" t="n"/>
      <c r="AM203" s="56" t="n"/>
      <c r="AN203" s="55" t="n"/>
      <c r="AO203" s="55" t="n"/>
      <c r="AP203" s="55" t="n"/>
      <c r="AQ203" s="55" t="n"/>
      <c r="AR203" s="60">
        <f>IF(AND(C203="",E203=""),"",IF(A203="","⚠ Date manquante",IF(AND(C203="",E203&lt;&gt;"Dépense"),"⚠ Prospect manquant",IF(E203="","⚠ Action manquante",IF(AND(AU203=1,D203=""),"⚠ Canal manquant",IF(AND(W203&lt;&gt;"",COUNTIFS('Saisie'!$W$5:$W$2004,W203,'Saisie'!$C$5:$C$2004,"&lt;&gt;"&amp;C203)&gt;0),"⚠ Numéro déjà utilisé par un autre prospect",IF(AND(J203&lt;&gt;"",J203&lt;A203),"⚠ Relance avant la date de l'action",IF(A203&gt;TODAY(),"⚠ Date dans le futur","✓"))))))))</f>
        <v/>
      </c>
      <c r="AS203" s="61">
        <f>IF(AND(A203="",C203="",E203=""),"",ROW())</f>
        <v/>
      </c>
      <c r="AT203" s="61">
        <f>IF(E203&amp;F203="","",MAX(IFERROR(INDEX('Paramètres'!$J$6:$J$33,MATCH(E203,'Paramètres'!$I$6:$I$33,0)),0),IFERROR(INDEX('Paramètres'!$N$6:$N$17,MATCH(F203,'Paramètres'!$M$6:$M$17,0)),0)))</f>
        <v/>
      </c>
      <c r="AU203" s="61">
        <f>IF(E203="","",IFERROR(IF(INDEX('Paramètres'!$K$6:$K$33,MATCH(E203,'Paramètres'!$I$6:$I$33,0))="Oui",1,0),0))</f>
        <v/>
      </c>
      <c r="AV203" s="61">
        <f>IF(F203="","",IFERROR(IF(INDEX('Paramètres'!$O$6:$O$17,MATCH(F203,'Paramètres'!$M$6:$M$17,0))="Oui",1,0),0))</f>
        <v/>
      </c>
      <c r="AW203" s="62">
        <f>IF(E203="","",IF(G203&lt;&gt;"",G203,IF(OR(E203="Proposition envoyée",E203="Signature"),MAX(0,N(IFERROR(INDEX('Paramètres'!$R$6:$R$15,MATCH(IF(AL203&lt;&gt;"",AL203,IFERROR(INDEX('Prospects'!$AN$5:$AN$504,MATCH(C203,'Prospects'!$C$5:$C$504,0)),"")),'Paramètres'!$Q$6:$Q$15,0)),0))-N(P203)),0)))</f>
        <v/>
      </c>
      <c r="AX203" s="61">
        <f>IF(C203="","",IF(COUNTIF($C$5:C203,C203)=1,MAX($AX$4:AX202)+1,""))</f>
        <v/>
      </c>
      <c r="AY203" s="61">
        <f>IF(B203="","",HOUR(B203))</f>
        <v/>
      </c>
      <c r="AZ203" s="61">
        <f>IF(A203="","",MOD(A203-2,7)+1)</f>
        <v/>
      </c>
      <c r="BA203" s="60">
        <f>IF(C203="","",IFERROR(INDEX('Prospects'!$N$5:$N$504,MATCH(C203,'Prospects'!$C$5:$C$504,0)),""))</f>
        <v/>
      </c>
      <c r="BB203" s="61">
        <f>IF(AND(C203&lt;&gt;"",C203='Fiche prospect'!$C$4),COUNTIF($C$5:C203,C203),"")</f>
        <v/>
      </c>
    </row>
    <row r="204">
      <c r="A204" s="53" t="n"/>
      <c r="B204" s="54" t="n"/>
      <c r="C204" s="55" t="n"/>
      <c r="D204" s="55" t="n"/>
      <c r="E204" s="55" t="n"/>
      <c r="F204" s="55" t="n"/>
      <c r="G204" s="56" t="n"/>
      <c r="H204" s="57" t="n"/>
      <c r="I204" s="55" t="n"/>
      <c r="J204" s="53" t="n"/>
      <c r="K204" s="54" t="n"/>
      <c r="L204" s="55" t="n"/>
      <c r="M204" s="55" t="n"/>
      <c r="N204" s="57" t="n"/>
      <c r="O204" s="55" t="n"/>
      <c r="P204" s="56" t="n"/>
      <c r="Q204" s="55" t="n"/>
      <c r="R204" s="55" t="n"/>
      <c r="S204" s="55" t="n"/>
      <c r="T204" s="55" t="n"/>
      <c r="U204" s="55" t="n"/>
      <c r="V204" s="55" t="n"/>
      <c r="W204" s="58" t="n"/>
      <c r="X204" s="58" t="n"/>
      <c r="Y204" s="55" t="n"/>
      <c r="Z204" s="55" t="n"/>
      <c r="AA204" s="55" t="n"/>
      <c r="AB204" s="55" t="n"/>
      <c r="AC204" s="55" t="n"/>
      <c r="AD204" s="53" t="n"/>
      <c r="AE204" s="55" t="n"/>
      <c r="AF204" s="55" t="n"/>
      <c r="AG204" s="59" t="n"/>
      <c r="AH204" s="57" t="n"/>
      <c r="AI204" s="55" t="n"/>
      <c r="AJ204" s="55" t="n"/>
      <c r="AK204" s="55" t="n"/>
      <c r="AL204" s="55" t="n"/>
      <c r="AM204" s="56" t="n"/>
      <c r="AN204" s="55" t="n"/>
      <c r="AO204" s="55" t="n"/>
      <c r="AP204" s="55" t="n"/>
      <c r="AQ204" s="55" t="n"/>
      <c r="AR204" s="60">
        <f>IF(AND(C204="",E204=""),"",IF(A204="","⚠ Date manquante",IF(AND(C204="",E204&lt;&gt;"Dépense"),"⚠ Prospect manquant",IF(E204="","⚠ Action manquante",IF(AND(AU204=1,D204=""),"⚠ Canal manquant",IF(AND(W204&lt;&gt;"",COUNTIFS('Saisie'!$W$5:$W$2004,W204,'Saisie'!$C$5:$C$2004,"&lt;&gt;"&amp;C204)&gt;0),"⚠ Numéro déjà utilisé par un autre prospect",IF(AND(J204&lt;&gt;"",J204&lt;A204),"⚠ Relance avant la date de l'action",IF(A204&gt;TODAY(),"⚠ Date dans le futur","✓"))))))))</f>
        <v/>
      </c>
      <c r="AS204" s="61">
        <f>IF(AND(A204="",C204="",E204=""),"",ROW())</f>
        <v/>
      </c>
      <c r="AT204" s="61">
        <f>IF(E204&amp;F204="","",MAX(IFERROR(INDEX('Paramètres'!$J$6:$J$33,MATCH(E204,'Paramètres'!$I$6:$I$33,0)),0),IFERROR(INDEX('Paramètres'!$N$6:$N$17,MATCH(F204,'Paramètres'!$M$6:$M$17,0)),0)))</f>
        <v/>
      </c>
      <c r="AU204" s="61">
        <f>IF(E204="","",IFERROR(IF(INDEX('Paramètres'!$K$6:$K$33,MATCH(E204,'Paramètres'!$I$6:$I$33,0))="Oui",1,0),0))</f>
        <v/>
      </c>
      <c r="AV204" s="61">
        <f>IF(F204="","",IFERROR(IF(INDEX('Paramètres'!$O$6:$O$17,MATCH(F204,'Paramètres'!$M$6:$M$17,0))="Oui",1,0),0))</f>
        <v/>
      </c>
      <c r="AW204" s="62">
        <f>IF(E204="","",IF(G204&lt;&gt;"",G204,IF(OR(E204="Proposition envoyée",E204="Signature"),MAX(0,N(IFERROR(INDEX('Paramètres'!$R$6:$R$15,MATCH(IF(AL204&lt;&gt;"",AL204,IFERROR(INDEX('Prospects'!$AN$5:$AN$504,MATCH(C204,'Prospects'!$C$5:$C$504,0)),"")),'Paramètres'!$Q$6:$Q$15,0)),0))-N(P204)),0)))</f>
        <v/>
      </c>
      <c r="AX204" s="61">
        <f>IF(C204="","",IF(COUNTIF($C$5:C204,C204)=1,MAX($AX$4:AX203)+1,""))</f>
        <v/>
      </c>
      <c r="AY204" s="61">
        <f>IF(B204="","",HOUR(B204))</f>
        <v/>
      </c>
      <c r="AZ204" s="61">
        <f>IF(A204="","",MOD(A204-2,7)+1)</f>
        <v/>
      </c>
      <c r="BA204" s="60">
        <f>IF(C204="","",IFERROR(INDEX('Prospects'!$N$5:$N$504,MATCH(C204,'Prospects'!$C$5:$C$504,0)),""))</f>
        <v/>
      </c>
      <c r="BB204" s="61">
        <f>IF(AND(C204&lt;&gt;"",C204='Fiche prospect'!$C$4),COUNTIF($C$5:C204,C204),"")</f>
        <v/>
      </c>
    </row>
    <row r="205">
      <c r="A205" s="53" t="n"/>
      <c r="B205" s="54" t="n"/>
      <c r="C205" s="55" t="n"/>
      <c r="D205" s="55" t="n"/>
      <c r="E205" s="55" t="n"/>
      <c r="F205" s="55" t="n"/>
      <c r="G205" s="56" t="n"/>
      <c r="H205" s="57" t="n"/>
      <c r="I205" s="55" t="n"/>
      <c r="J205" s="53" t="n"/>
      <c r="K205" s="54" t="n"/>
      <c r="L205" s="55" t="n"/>
      <c r="M205" s="55" t="n"/>
      <c r="N205" s="57" t="n"/>
      <c r="O205" s="55" t="n"/>
      <c r="P205" s="56" t="n"/>
      <c r="Q205" s="55" t="n"/>
      <c r="R205" s="55" t="n"/>
      <c r="S205" s="55" t="n"/>
      <c r="T205" s="55" t="n"/>
      <c r="U205" s="55" t="n"/>
      <c r="V205" s="55" t="n"/>
      <c r="W205" s="58" t="n"/>
      <c r="X205" s="58" t="n"/>
      <c r="Y205" s="55" t="n"/>
      <c r="Z205" s="55" t="n"/>
      <c r="AA205" s="55" t="n"/>
      <c r="AB205" s="55" t="n"/>
      <c r="AC205" s="55" t="n"/>
      <c r="AD205" s="53" t="n"/>
      <c r="AE205" s="55" t="n"/>
      <c r="AF205" s="55" t="n"/>
      <c r="AG205" s="59" t="n"/>
      <c r="AH205" s="57" t="n"/>
      <c r="AI205" s="55" t="n"/>
      <c r="AJ205" s="55" t="n"/>
      <c r="AK205" s="55" t="n"/>
      <c r="AL205" s="55" t="n"/>
      <c r="AM205" s="56" t="n"/>
      <c r="AN205" s="55" t="n"/>
      <c r="AO205" s="55" t="n"/>
      <c r="AP205" s="55" t="n"/>
      <c r="AQ205" s="55" t="n"/>
      <c r="AR205" s="60">
        <f>IF(AND(C205="",E205=""),"",IF(A205="","⚠ Date manquante",IF(AND(C205="",E205&lt;&gt;"Dépense"),"⚠ Prospect manquant",IF(E205="","⚠ Action manquante",IF(AND(AU205=1,D205=""),"⚠ Canal manquant",IF(AND(W205&lt;&gt;"",COUNTIFS('Saisie'!$W$5:$W$2004,W205,'Saisie'!$C$5:$C$2004,"&lt;&gt;"&amp;C205)&gt;0),"⚠ Numéro déjà utilisé par un autre prospect",IF(AND(J205&lt;&gt;"",J205&lt;A205),"⚠ Relance avant la date de l'action",IF(A205&gt;TODAY(),"⚠ Date dans le futur","✓"))))))))</f>
        <v/>
      </c>
      <c r="AS205" s="61">
        <f>IF(AND(A205="",C205="",E205=""),"",ROW())</f>
        <v/>
      </c>
      <c r="AT205" s="61">
        <f>IF(E205&amp;F205="","",MAX(IFERROR(INDEX('Paramètres'!$J$6:$J$33,MATCH(E205,'Paramètres'!$I$6:$I$33,0)),0),IFERROR(INDEX('Paramètres'!$N$6:$N$17,MATCH(F205,'Paramètres'!$M$6:$M$17,0)),0)))</f>
        <v/>
      </c>
      <c r="AU205" s="61">
        <f>IF(E205="","",IFERROR(IF(INDEX('Paramètres'!$K$6:$K$33,MATCH(E205,'Paramètres'!$I$6:$I$33,0))="Oui",1,0),0))</f>
        <v/>
      </c>
      <c r="AV205" s="61">
        <f>IF(F205="","",IFERROR(IF(INDEX('Paramètres'!$O$6:$O$17,MATCH(F205,'Paramètres'!$M$6:$M$17,0))="Oui",1,0),0))</f>
        <v/>
      </c>
      <c r="AW205" s="62">
        <f>IF(E205="","",IF(G205&lt;&gt;"",G205,IF(OR(E205="Proposition envoyée",E205="Signature"),MAX(0,N(IFERROR(INDEX('Paramètres'!$R$6:$R$15,MATCH(IF(AL205&lt;&gt;"",AL205,IFERROR(INDEX('Prospects'!$AN$5:$AN$504,MATCH(C205,'Prospects'!$C$5:$C$504,0)),"")),'Paramètres'!$Q$6:$Q$15,0)),0))-N(P205)),0)))</f>
        <v/>
      </c>
      <c r="AX205" s="61">
        <f>IF(C205="","",IF(COUNTIF($C$5:C205,C205)=1,MAX($AX$4:AX204)+1,""))</f>
        <v/>
      </c>
      <c r="AY205" s="61">
        <f>IF(B205="","",HOUR(B205))</f>
        <v/>
      </c>
      <c r="AZ205" s="61">
        <f>IF(A205="","",MOD(A205-2,7)+1)</f>
        <v/>
      </c>
      <c r="BA205" s="60">
        <f>IF(C205="","",IFERROR(INDEX('Prospects'!$N$5:$N$504,MATCH(C205,'Prospects'!$C$5:$C$504,0)),""))</f>
        <v/>
      </c>
      <c r="BB205" s="61">
        <f>IF(AND(C205&lt;&gt;"",C205='Fiche prospect'!$C$4),COUNTIF($C$5:C205,C205),"")</f>
        <v/>
      </c>
    </row>
    <row r="206">
      <c r="A206" s="53" t="n"/>
      <c r="B206" s="54" t="n"/>
      <c r="C206" s="55" t="n"/>
      <c r="D206" s="55" t="n"/>
      <c r="E206" s="55" t="n"/>
      <c r="F206" s="55" t="n"/>
      <c r="G206" s="56" t="n"/>
      <c r="H206" s="57" t="n"/>
      <c r="I206" s="55" t="n"/>
      <c r="J206" s="53" t="n"/>
      <c r="K206" s="54" t="n"/>
      <c r="L206" s="55" t="n"/>
      <c r="M206" s="55" t="n"/>
      <c r="N206" s="57" t="n"/>
      <c r="O206" s="55" t="n"/>
      <c r="P206" s="56" t="n"/>
      <c r="Q206" s="55" t="n"/>
      <c r="R206" s="55" t="n"/>
      <c r="S206" s="55" t="n"/>
      <c r="T206" s="55" t="n"/>
      <c r="U206" s="55" t="n"/>
      <c r="V206" s="55" t="n"/>
      <c r="W206" s="58" t="n"/>
      <c r="X206" s="58" t="n"/>
      <c r="Y206" s="55" t="n"/>
      <c r="Z206" s="55" t="n"/>
      <c r="AA206" s="55" t="n"/>
      <c r="AB206" s="55" t="n"/>
      <c r="AC206" s="55" t="n"/>
      <c r="AD206" s="53" t="n"/>
      <c r="AE206" s="55" t="n"/>
      <c r="AF206" s="55" t="n"/>
      <c r="AG206" s="59" t="n"/>
      <c r="AH206" s="57" t="n"/>
      <c r="AI206" s="55" t="n"/>
      <c r="AJ206" s="55" t="n"/>
      <c r="AK206" s="55" t="n"/>
      <c r="AL206" s="55" t="n"/>
      <c r="AM206" s="56" t="n"/>
      <c r="AN206" s="55" t="n"/>
      <c r="AO206" s="55" t="n"/>
      <c r="AP206" s="55" t="n"/>
      <c r="AQ206" s="55" t="n"/>
      <c r="AR206" s="60">
        <f>IF(AND(C206="",E206=""),"",IF(A206="","⚠ Date manquante",IF(AND(C206="",E206&lt;&gt;"Dépense"),"⚠ Prospect manquant",IF(E206="","⚠ Action manquante",IF(AND(AU206=1,D206=""),"⚠ Canal manquant",IF(AND(W206&lt;&gt;"",COUNTIFS('Saisie'!$W$5:$W$2004,W206,'Saisie'!$C$5:$C$2004,"&lt;&gt;"&amp;C206)&gt;0),"⚠ Numéro déjà utilisé par un autre prospect",IF(AND(J206&lt;&gt;"",J206&lt;A206),"⚠ Relance avant la date de l'action",IF(A206&gt;TODAY(),"⚠ Date dans le futur","✓"))))))))</f>
        <v/>
      </c>
      <c r="AS206" s="61">
        <f>IF(AND(A206="",C206="",E206=""),"",ROW())</f>
        <v/>
      </c>
      <c r="AT206" s="61">
        <f>IF(E206&amp;F206="","",MAX(IFERROR(INDEX('Paramètres'!$J$6:$J$33,MATCH(E206,'Paramètres'!$I$6:$I$33,0)),0),IFERROR(INDEX('Paramètres'!$N$6:$N$17,MATCH(F206,'Paramètres'!$M$6:$M$17,0)),0)))</f>
        <v/>
      </c>
      <c r="AU206" s="61">
        <f>IF(E206="","",IFERROR(IF(INDEX('Paramètres'!$K$6:$K$33,MATCH(E206,'Paramètres'!$I$6:$I$33,0))="Oui",1,0),0))</f>
        <v/>
      </c>
      <c r="AV206" s="61">
        <f>IF(F206="","",IFERROR(IF(INDEX('Paramètres'!$O$6:$O$17,MATCH(F206,'Paramètres'!$M$6:$M$17,0))="Oui",1,0),0))</f>
        <v/>
      </c>
      <c r="AW206" s="62">
        <f>IF(E206="","",IF(G206&lt;&gt;"",G206,IF(OR(E206="Proposition envoyée",E206="Signature"),MAX(0,N(IFERROR(INDEX('Paramètres'!$R$6:$R$15,MATCH(IF(AL206&lt;&gt;"",AL206,IFERROR(INDEX('Prospects'!$AN$5:$AN$504,MATCH(C206,'Prospects'!$C$5:$C$504,0)),"")),'Paramètres'!$Q$6:$Q$15,0)),0))-N(P206)),0)))</f>
        <v/>
      </c>
      <c r="AX206" s="61">
        <f>IF(C206="","",IF(COUNTIF($C$5:C206,C206)=1,MAX($AX$4:AX205)+1,""))</f>
        <v/>
      </c>
      <c r="AY206" s="61">
        <f>IF(B206="","",HOUR(B206))</f>
        <v/>
      </c>
      <c r="AZ206" s="61">
        <f>IF(A206="","",MOD(A206-2,7)+1)</f>
        <v/>
      </c>
      <c r="BA206" s="60">
        <f>IF(C206="","",IFERROR(INDEX('Prospects'!$N$5:$N$504,MATCH(C206,'Prospects'!$C$5:$C$504,0)),""))</f>
        <v/>
      </c>
      <c r="BB206" s="61">
        <f>IF(AND(C206&lt;&gt;"",C206='Fiche prospect'!$C$4),COUNTIF($C$5:C206,C206),"")</f>
        <v/>
      </c>
    </row>
    <row r="207">
      <c r="A207" s="53" t="n"/>
      <c r="B207" s="54" t="n"/>
      <c r="C207" s="55" t="n"/>
      <c r="D207" s="55" t="n"/>
      <c r="E207" s="55" t="n"/>
      <c r="F207" s="55" t="n"/>
      <c r="G207" s="56" t="n"/>
      <c r="H207" s="57" t="n"/>
      <c r="I207" s="55" t="n"/>
      <c r="J207" s="53" t="n"/>
      <c r="K207" s="54" t="n"/>
      <c r="L207" s="55" t="n"/>
      <c r="M207" s="55" t="n"/>
      <c r="N207" s="57" t="n"/>
      <c r="O207" s="55" t="n"/>
      <c r="P207" s="56" t="n"/>
      <c r="Q207" s="55" t="n"/>
      <c r="R207" s="55" t="n"/>
      <c r="S207" s="55" t="n"/>
      <c r="T207" s="55" t="n"/>
      <c r="U207" s="55" t="n"/>
      <c r="V207" s="55" t="n"/>
      <c r="W207" s="58" t="n"/>
      <c r="X207" s="58" t="n"/>
      <c r="Y207" s="55" t="n"/>
      <c r="Z207" s="55" t="n"/>
      <c r="AA207" s="55" t="n"/>
      <c r="AB207" s="55" t="n"/>
      <c r="AC207" s="55" t="n"/>
      <c r="AD207" s="53" t="n"/>
      <c r="AE207" s="55" t="n"/>
      <c r="AF207" s="55" t="n"/>
      <c r="AG207" s="59" t="n"/>
      <c r="AH207" s="57" t="n"/>
      <c r="AI207" s="55" t="n"/>
      <c r="AJ207" s="55" t="n"/>
      <c r="AK207" s="55" t="n"/>
      <c r="AL207" s="55" t="n"/>
      <c r="AM207" s="56" t="n"/>
      <c r="AN207" s="55" t="n"/>
      <c r="AO207" s="55" t="n"/>
      <c r="AP207" s="55" t="n"/>
      <c r="AQ207" s="55" t="n"/>
      <c r="AR207" s="60">
        <f>IF(AND(C207="",E207=""),"",IF(A207="","⚠ Date manquante",IF(AND(C207="",E207&lt;&gt;"Dépense"),"⚠ Prospect manquant",IF(E207="","⚠ Action manquante",IF(AND(AU207=1,D207=""),"⚠ Canal manquant",IF(AND(W207&lt;&gt;"",COUNTIFS('Saisie'!$W$5:$W$2004,W207,'Saisie'!$C$5:$C$2004,"&lt;&gt;"&amp;C207)&gt;0),"⚠ Numéro déjà utilisé par un autre prospect",IF(AND(J207&lt;&gt;"",J207&lt;A207),"⚠ Relance avant la date de l'action",IF(A207&gt;TODAY(),"⚠ Date dans le futur","✓"))))))))</f>
        <v/>
      </c>
      <c r="AS207" s="61">
        <f>IF(AND(A207="",C207="",E207=""),"",ROW())</f>
        <v/>
      </c>
      <c r="AT207" s="61">
        <f>IF(E207&amp;F207="","",MAX(IFERROR(INDEX('Paramètres'!$J$6:$J$33,MATCH(E207,'Paramètres'!$I$6:$I$33,0)),0),IFERROR(INDEX('Paramètres'!$N$6:$N$17,MATCH(F207,'Paramètres'!$M$6:$M$17,0)),0)))</f>
        <v/>
      </c>
      <c r="AU207" s="61">
        <f>IF(E207="","",IFERROR(IF(INDEX('Paramètres'!$K$6:$K$33,MATCH(E207,'Paramètres'!$I$6:$I$33,0))="Oui",1,0),0))</f>
        <v/>
      </c>
      <c r="AV207" s="61">
        <f>IF(F207="","",IFERROR(IF(INDEX('Paramètres'!$O$6:$O$17,MATCH(F207,'Paramètres'!$M$6:$M$17,0))="Oui",1,0),0))</f>
        <v/>
      </c>
      <c r="AW207" s="62">
        <f>IF(E207="","",IF(G207&lt;&gt;"",G207,IF(OR(E207="Proposition envoyée",E207="Signature"),MAX(0,N(IFERROR(INDEX('Paramètres'!$R$6:$R$15,MATCH(IF(AL207&lt;&gt;"",AL207,IFERROR(INDEX('Prospects'!$AN$5:$AN$504,MATCH(C207,'Prospects'!$C$5:$C$504,0)),"")),'Paramètres'!$Q$6:$Q$15,0)),0))-N(P207)),0)))</f>
        <v/>
      </c>
      <c r="AX207" s="61">
        <f>IF(C207="","",IF(COUNTIF($C$5:C207,C207)=1,MAX($AX$4:AX206)+1,""))</f>
        <v/>
      </c>
      <c r="AY207" s="61">
        <f>IF(B207="","",HOUR(B207))</f>
        <v/>
      </c>
      <c r="AZ207" s="61">
        <f>IF(A207="","",MOD(A207-2,7)+1)</f>
        <v/>
      </c>
      <c r="BA207" s="60">
        <f>IF(C207="","",IFERROR(INDEX('Prospects'!$N$5:$N$504,MATCH(C207,'Prospects'!$C$5:$C$504,0)),""))</f>
        <v/>
      </c>
      <c r="BB207" s="61">
        <f>IF(AND(C207&lt;&gt;"",C207='Fiche prospect'!$C$4),COUNTIF($C$5:C207,C207),"")</f>
        <v/>
      </c>
    </row>
    <row r="208">
      <c r="A208" s="53" t="n"/>
      <c r="B208" s="54" t="n"/>
      <c r="C208" s="55" t="n"/>
      <c r="D208" s="55" t="n"/>
      <c r="E208" s="55" t="n"/>
      <c r="F208" s="55" t="n"/>
      <c r="G208" s="56" t="n"/>
      <c r="H208" s="57" t="n"/>
      <c r="I208" s="55" t="n"/>
      <c r="J208" s="53" t="n"/>
      <c r="K208" s="54" t="n"/>
      <c r="L208" s="55" t="n"/>
      <c r="M208" s="55" t="n"/>
      <c r="N208" s="57" t="n"/>
      <c r="O208" s="55" t="n"/>
      <c r="P208" s="56" t="n"/>
      <c r="Q208" s="55" t="n"/>
      <c r="R208" s="55" t="n"/>
      <c r="S208" s="55" t="n"/>
      <c r="T208" s="55" t="n"/>
      <c r="U208" s="55" t="n"/>
      <c r="V208" s="55" t="n"/>
      <c r="W208" s="58" t="n"/>
      <c r="X208" s="58" t="n"/>
      <c r="Y208" s="55" t="n"/>
      <c r="Z208" s="55" t="n"/>
      <c r="AA208" s="55" t="n"/>
      <c r="AB208" s="55" t="n"/>
      <c r="AC208" s="55" t="n"/>
      <c r="AD208" s="53" t="n"/>
      <c r="AE208" s="55" t="n"/>
      <c r="AF208" s="55" t="n"/>
      <c r="AG208" s="59" t="n"/>
      <c r="AH208" s="57" t="n"/>
      <c r="AI208" s="55" t="n"/>
      <c r="AJ208" s="55" t="n"/>
      <c r="AK208" s="55" t="n"/>
      <c r="AL208" s="55" t="n"/>
      <c r="AM208" s="56" t="n"/>
      <c r="AN208" s="55" t="n"/>
      <c r="AO208" s="55" t="n"/>
      <c r="AP208" s="55" t="n"/>
      <c r="AQ208" s="55" t="n"/>
      <c r="AR208" s="60">
        <f>IF(AND(C208="",E208=""),"",IF(A208="","⚠ Date manquante",IF(AND(C208="",E208&lt;&gt;"Dépense"),"⚠ Prospect manquant",IF(E208="","⚠ Action manquante",IF(AND(AU208=1,D208=""),"⚠ Canal manquant",IF(AND(W208&lt;&gt;"",COUNTIFS('Saisie'!$W$5:$W$2004,W208,'Saisie'!$C$5:$C$2004,"&lt;&gt;"&amp;C208)&gt;0),"⚠ Numéro déjà utilisé par un autre prospect",IF(AND(J208&lt;&gt;"",J208&lt;A208),"⚠ Relance avant la date de l'action",IF(A208&gt;TODAY(),"⚠ Date dans le futur","✓"))))))))</f>
        <v/>
      </c>
      <c r="AS208" s="61">
        <f>IF(AND(A208="",C208="",E208=""),"",ROW())</f>
        <v/>
      </c>
      <c r="AT208" s="61">
        <f>IF(E208&amp;F208="","",MAX(IFERROR(INDEX('Paramètres'!$J$6:$J$33,MATCH(E208,'Paramètres'!$I$6:$I$33,0)),0),IFERROR(INDEX('Paramètres'!$N$6:$N$17,MATCH(F208,'Paramètres'!$M$6:$M$17,0)),0)))</f>
        <v/>
      </c>
      <c r="AU208" s="61">
        <f>IF(E208="","",IFERROR(IF(INDEX('Paramètres'!$K$6:$K$33,MATCH(E208,'Paramètres'!$I$6:$I$33,0))="Oui",1,0),0))</f>
        <v/>
      </c>
      <c r="AV208" s="61">
        <f>IF(F208="","",IFERROR(IF(INDEX('Paramètres'!$O$6:$O$17,MATCH(F208,'Paramètres'!$M$6:$M$17,0))="Oui",1,0),0))</f>
        <v/>
      </c>
      <c r="AW208" s="62">
        <f>IF(E208="","",IF(G208&lt;&gt;"",G208,IF(OR(E208="Proposition envoyée",E208="Signature"),MAX(0,N(IFERROR(INDEX('Paramètres'!$R$6:$R$15,MATCH(IF(AL208&lt;&gt;"",AL208,IFERROR(INDEX('Prospects'!$AN$5:$AN$504,MATCH(C208,'Prospects'!$C$5:$C$504,0)),"")),'Paramètres'!$Q$6:$Q$15,0)),0))-N(P208)),0)))</f>
        <v/>
      </c>
      <c r="AX208" s="61">
        <f>IF(C208="","",IF(COUNTIF($C$5:C208,C208)=1,MAX($AX$4:AX207)+1,""))</f>
        <v/>
      </c>
      <c r="AY208" s="61">
        <f>IF(B208="","",HOUR(B208))</f>
        <v/>
      </c>
      <c r="AZ208" s="61">
        <f>IF(A208="","",MOD(A208-2,7)+1)</f>
        <v/>
      </c>
      <c r="BA208" s="60">
        <f>IF(C208="","",IFERROR(INDEX('Prospects'!$N$5:$N$504,MATCH(C208,'Prospects'!$C$5:$C$504,0)),""))</f>
        <v/>
      </c>
      <c r="BB208" s="61">
        <f>IF(AND(C208&lt;&gt;"",C208='Fiche prospect'!$C$4),COUNTIF($C$5:C208,C208),"")</f>
        <v/>
      </c>
    </row>
    <row r="209">
      <c r="A209" s="53" t="n"/>
      <c r="B209" s="54" t="n"/>
      <c r="C209" s="55" t="n"/>
      <c r="D209" s="55" t="n"/>
      <c r="E209" s="55" t="n"/>
      <c r="F209" s="55" t="n"/>
      <c r="G209" s="56" t="n"/>
      <c r="H209" s="57" t="n"/>
      <c r="I209" s="55" t="n"/>
      <c r="J209" s="53" t="n"/>
      <c r="K209" s="54" t="n"/>
      <c r="L209" s="55" t="n"/>
      <c r="M209" s="55" t="n"/>
      <c r="N209" s="57" t="n"/>
      <c r="O209" s="55" t="n"/>
      <c r="P209" s="56" t="n"/>
      <c r="Q209" s="55" t="n"/>
      <c r="R209" s="55" t="n"/>
      <c r="S209" s="55" t="n"/>
      <c r="T209" s="55" t="n"/>
      <c r="U209" s="55" t="n"/>
      <c r="V209" s="55" t="n"/>
      <c r="W209" s="58" t="n"/>
      <c r="X209" s="58" t="n"/>
      <c r="Y209" s="55" t="n"/>
      <c r="Z209" s="55" t="n"/>
      <c r="AA209" s="55" t="n"/>
      <c r="AB209" s="55" t="n"/>
      <c r="AC209" s="55" t="n"/>
      <c r="AD209" s="53" t="n"/>
      <c r="AE209" s="55" t="n"/>
      <c r="AF209" s="55" t="n"/>
      <c r="AG209" s="59" t="n"/>
      <c r="AH209" s="57" t="n"/>
      <c r="AI209" s="55" t="n"/>
      <c r="AJ209" s="55" t="n"/>
      <c r="AK209" s="55" t="n"/>
      <c r="AL209" s="55" t="n"/>
      <c r="AM209" s="56" t="n"/>
      <c r="AN209" s="55" t="n"/>
      <c r="AO209" s="55" t="n"/>
      <c r="AP209" s="55" t="n"/>
      <c r="AQ209" s="55" t="n"/>
      <c r="AR209" s="60">
        <f>IF(AND(C209="",E209=""),"",IF(A209="","⚠ Date manquante",IF(AND(C209="",E209&lt;&gt;"Dépense"),"⚠ Prospect manquant",IF(E209="","⚠ Action manquante",IF(AND(AU209=1,D209=""),"⚠ Canal manquant",IF(AND(W209&lt;&gt;"",COUNTIFS('Saisie'!$W$5:$W$2004,W209,'Saisie'!$C$5:$C$2004,"&lt;&gt;"&amp;C209)&gt;0),"⚠ Numéro déjà utilisé par un autre prospect",IF(AND(J209&lt;&gt;"",J209&lt;A209),"⚠ Relance avant la date de l'action",IF(A209&gt;TODAY(),"⚠ Date dans le futur","✓"))))))))</f>
        <v/>
      </c>
      <c r="AS209" s="61">
        <f>IF(AND(A209="",C209="",E209=""),"",ROW())</f>
        <v/>
      </c>
      <c r="AT209" s="61">
        <f>IF(E209&amp;F209="","",MAX(IFERROR(INDEX('Paramètres'!$J$6:$J$33,MATCH(E209,'Paramètres'!$I$6:$I$33,0)),0),IFERROR(INDEX('Paramètres'!$N$6:$N$17,MATCH(F209,'Paramètres'!$M$6:$M$17,0)),0)))</f>
        <v/>
      </c>
      <c r="AU209" s="61">
        <f>IF(E209="","",IFERROR(IF(INDEX('Paramètres'!$K$6:$K$33,MATCH(E209,'Paramètres'!$I$6:$I$33,0))="Oui",1,0),0))</f>
        <v/>
      </c>
      <c r="AV209" s="61">
        <f>IF(F209="","",IFERROR(IF(INDEX('Paramètres'!$O$6:$O$17,MATCH(F209,'Paramètres'!$M$6:$M$17,0))="Oui",1,0),0))</f>
        <v/>
      </c>
      <c r="AW209" s="62">
        <f>IF(E209="","",IF(G209&lt;&gt;"",G209,IF(OR(E209="Proposition envoyée",E209="Signature"),MAX(0,N(IFERROR(INDEX('Paramètres'!$R$6:$R$15,MATCH(IF(AL209&lt;&gt;"",AL209,IFERROR(INDEX('Prospects'!$AN$5:$AN$504,MATCH(C209,'Prospects'!$C$5:$C$504,0)),"")),'Paramètres'!$Q$6:$Q$15,0)),0))-N(P209)),0)))</f>
        <v/>
      </c>
      <c r="AX209" s="61">
        <f>IF(C209="","",IF(COUNTIF($C$5:C209,C209)=1,MAX($AX$4:AX208)+1,""))</f>
        <v/>
      </c>
      <c r="AY209" s="61">
        <f>IF(B209="","",HOUR(B209))</f>
        <v/>
      </c>
      <c r="AZ209" s="61">
        <f>IF(A209="","",MOD(A209-2,7)+1)</f>
        <v/>
      </c>
      <c r="BA209" s="60">
        <f>IF(C209="","",IFERROR(INDEX('Prospects'!$N$5:$N$504,MATCH(C209,'Prospects'!$C$5:$C$504,0)),""))</f>
        <v/>
      </c>
      <c r="BB209" s="61">
        <f>IF(AND(C209&lt;&gt;"",C209='Fiche prospect'!$C$4),COUNTIF($C$5:C209,C209),"")</f>
        <v/>
      </c>
    </row>
    <row r="210">
      <c r="A210" s="53" t="n"/>
      <c r="B210" s="54" t="n"/>
      <c r="C210" s="55" t="n"/>
      <c r="D210" s="55" t="n"/>
      <c r="E210" s="55" t="n"/>
      <c r="F210" s="55" t="n"/>
      <c r="G210" s="56" t="n"/>
      <c r="H210" s="57" t="n"/>
      <c r="I210" s="55" t="n"/>
      <c r="J210" s="53" t="n"/>
      <c r="K210" s="54" t="n"/>
      <c r="L210" s="55" t="n"/>
      <c r="M210" s="55" t="n"/>
      <c r="N210" s="57" t="n"/>
      <c r="O210" s="55" t="n"/>
      <c r="P210" s="56" t="n"/>
      <c r="Q210" s="55" t="n"/>
      <c r="R210" s="55" t="n"/>
      <c r="S210" s="55" t="n"/>
      <c r="T210" s="55" t="n"/>
      <c r="U210" s="55" t="n"/>
      <c r="V210" s="55" t="n"/>
      <c r="W210" s="58" t="n"/>
      <c r="X210" s="58" t="n"/>
      <c r="Y210" s="55" t="n"/>
      <c r="Z210" s="55" t="n"/>
      <c r="AA210" s="55" t="n"/>
      <c r="AB210" s="55" t="n"/>
      <c r="AC210" s="55" t="n"/>
      <c r="AD210" s="53" t="n"/>
      <c r="AE210" s="55" t="n"/>
      <c r="AF210" s="55" t="n"/>
      <c r="AG210" s="59" t="n"/>
      <c r="AH210" s="57" t="n"/>
      <c r="AI210" s="55" t="n"/>
      <c r="AJ210" s="55" t="n"/>
      <c r="AK210" s="55" t="n"/>
      <c r="AL210" s="55" t="n"/>
      <c r="AM210" s="56" t="n"/>
      <c r="AN210" s="55" t="n"/>
      <c r="AO210" s="55" t="n"/>
      <c r="AP210" s="55" t="n"/>
      <c r="AQ210" s="55" t="n"/>
      <c r="AR210" s="60">
        <f>IF(AND(C210="",E210=""),"",IF(A210="","⚠ Date manquante",IF(AND(C210="",E210&lt;&gt;"Dépense"),"⚠ Prospect manquant",IF(E210="","⚠ Action manquante",IF(AND(AU210=1,D210=""),"⚠ Canal manquant",IF(AND(W210&lt;&gt;"",COUNTIFS('Saisie'!$W$5:$W$2004,W210,'Saisie'!$C$5:$C$2004,"&lt;&gt;"&amp;C210)&gt;0),"⚠ Numéro déjà utilisé par un autre prospect",IF(AND(J210&lt;&gt;"",J210&lt;A210),"⚠ Relance avant la date de l'action",IF(A210&gt;TODAY(),"⚠ Date dans le futur","✓"))))))))</f>
        <v/>
      </c>
      <c r="AS210" s="61">
        <f>IF(AND(A210="",C210="",E210=""),"",ROW())</f>
        <v/>
      </c>
      <c r="AT210" s="61">
        <f>IF(E210&amp;F210="","",MAX(IFERROR(INDEX('Paramètres'!$J$6:$J$33,MATCH(E210,'Paramètres'!$I$6:$I$33,0)),0),IFERROR(INDEX('Paramètres'!$N$6:$N$17,MATCH(F210,'Paramètres'!$M$6:$M$17,0)),0)))</f>
        <v/>
      </c>
      <c r="AU210" s="61">
        <f>IF(E210="","",IFERROR(IF(INDEX('Paramètres'!$K$6:$K$33,MATCH(E210,'Paramètres'!$I$6:$I$33,0))="Oui",1,0),0))</f>
        <v/>
      </c>
      <c r="AV210" s="61">
        <f>IF(F210="","",IFERROR(IF(INDEX('Paramètres'!$O$6:$O$17,MATCH(F210,'Paramètres'!$M$6:$M$17,0))="Oui",1,0),0))</f>
        <v/>
      </c>
      <c r="AW210" s="62">
        <f>IF(E210="","",IF(G210&lt;&gt;"",G210,IF(OR(E210="Proposition envoyée",E210="Signature"),MAX(0,N(IFERROR(INDEX('Paramètres'!$R$6:$R$15,MATCH(IF(AL210&lt;&gt;"",AL210,IFERROR(INDEX('Prospects'!$AN$5:$AN$504,MATCH(C210,'Prospects'!$C$5:$C$504,0)),"")),'Paramètres'!$Q$6:$Q$15,0)),0))-N(P210)),0)))</f>
        <v/>
      </c>
      <c r="AX210" s="61">
        <f>IF(C210="","",IF(COUNTIF($C$5:C210,C210)=1,MAX($AX$4:AX209)+1,""))</f>
        <v/>
      </c>
      <c r="AY210" s="61">
        <f>IF(B210="","",HOUR(B210))</f>
        <v/>
      </c>
      <c r="AZ210" s="61">
        <f>IF(A210="","",MOD(A210-2,7)+1)</f>
        <v/>
      </c>
      <c r="BA210" s="60">
        <f>IF(C210="","",IFERROR(INDEX('Prospects'!$N$5:$N$504,MATCH(C210,'Prospects'!$C$5:$C$504,0)),""))</f>
        <v/>
      </c>
      <c r="BB210" s="61">
        <f>IF(AND(C210&lt;&gt;"",C210='Fiche prospect'!$C$4),COUNTIF($C$5:C210,C210),"")</f>
        <v/>
      </c>
    </row>
    <row r="211">
      <c r="A211" s="53" t="n"/>
      <c r="B211" s="54" t="n"/>
      <c r="C211" s="55" t="n"/>
      <c r="D211" s="55" t="n"/>
      <c r="E211" s="55" t="n"/>
      <c r="F211" s="55" t="n"/>
      <c r="G211" s="56" t="n"/>
      <c r="H211" s="57" t="n"/>
      <c r="I211" s="55" t="n"/>
      <c r="J211" s="53" t="n"/>
      <c r="K211" s="54" t="n"/>
      <c r="L211" s="55" t="n"/>
      <c r="M211" s="55" t="n"/>
      <c r="N211" s="57" t="n"/>
      <c r="O211" s="55" t="n"/>
      <c r="P211" s="56" t="n"/>
      <c r="Q211" s="55" t="n"/>
      <c r="R211" s="55" t="n"/>
      <c r="S211" s="55" t="n"/>
      <c r="T211" s="55" t="n"/>
      <c r="U211" s="55" t="n"/>
      <c r="V211" s="55" t="n"/>
      <c r="W211" s="58" t="n"/>
      <c r="X211" s="58" t="n"/>
      <c r="Y211" s="55" t="n"/>
      <c r="Z211" s="55" t="n"/>
      <c r="AA211" s="55" t="n"/>
      <c r="AB211" s="55" t="n"/>
      <c r="AC211" s="55" t="n"/>
      <c r="AD211" s="53" t="n"/>
      <c r="AE211" s="55" t="n"/>
      <c r="AF211" s="55" t="n"/>
      <c r="AG211" s="59" t="n"/>
      <c r="AH211" s="57" t="n"/>
      <c r="AI211" s="55" t="n"/>
      <c r="AJ211" s="55" t="n"/>
      <c r="AK211" s="55" t="n"/>
      <c r="AL211" s="55" t="n"/>
      <c r="AM211" s="56" t="n"/>
      <c r="AN211" s="55" t="n"/>
      <c r="AO211" s="55" t="n"/>
      <c r="AP211" s="55" t="n"/>
      <c r="AQ211" s="55" t="n"/>
      <c r="AR211" s="60">
        <f>IF(AND(C211="",E211=""),"",IF(A211="","⚠ Date manquante",IF(AND(C211="",E211&lt;&gt;"Dépense"),"⚠ Prospect manquant",IF(E211="","⚠ Action manquante",IF(AND(AU211=1,D211=""),"⚠ Canal manquant",IF(AND(W211&lt;&gt;"",COUNTIFS('Saisie'!$W$5:$W$2004,W211,'Saisie'!$C$5:$C$2004,"&lt;&gt;"&amp;C211)&gt;0),"⚠ Numéro déjà utilisé par un autre prospect",IF(AND(J211&lt;&gt;"",J211&lt;A211),"⚠ Relance avant la date de l'action",IF(A211&gt;TODAY(),"⚠ Date dans le futur","✓"))))))))</f>
        <v/>
      </c>
      <c r="AS211" s="61">
        <f>IF(AND(A211="",C211="",E211=""),"",ROW())</f>
        <v/>
      </c>
      <c r="AT211" s="61">
        <f>IF(E211&amp;F211="","",MAX(IFERROR(INDEX('Paramètres'!$J$6:$J$33,MATCH(E211,'Paramètres'!$I$6:$I$33,0)),0),IFERROR(INDEX('Paramètres'!$N$6:$N$17,MATCH(F211,'Paramètres'!$M$6:$M$17,0)),0)))</f>
        <v/>
      </c>
      <c r="AU211" s="61">
        <f>IF(E211="","",IFERROR(IF(INDEX('Paramètres'!$K$6:$K$33,MATCH(E211,'Paramètres'!$I$6:$I$33,0))="Oui",1,0),0))</f>
        <v/>
      </c>
      <c r="AV211" s="61">
        <f>IF(F211="","",IFERROR(IF(INDEX('Paramètres'!$O$6:$O$17,MATCH(F211,'Paramètres'!$M$6:$M$17,0))="Oui",1,0),0))</f>
        <v/>
      </c>
      <c r="AW211" s="62">
        <f>IF(E211="","",IF(G211&lt;&gt;"",G211,IF(OR(E211="Proposition envoyée",E211="Signature"),MAX(0,N(IFERROR(INDEX('Paramètres'!$R$6:$R$15,MATCH(IF(AL211&lt;&gt;"",AL211,IFERROR(INDEX('Prospects'!$AN$5:$AN$504,MATCH(C211,'Prospects'!$C$5:$C$504,0)),"")),'Paramètres'!$Q$6:$Q$15,0)),0))-N(P211)),0)))</f>
        <v/>
      </c>
      <c r="AX211" s="61">
        <f>IF(C211="","",IF(COUNTIF($C$5:C211,C211)=1,MAX($AX$4:AX210)+1,""))</f>
        <v/>
      </c>
      <c r="AY211" s="61">
        <f>IF(B211="","",HOUR(B211))</f>
        <v/>
      </c>
      <c r="AZ211" s="61">
        <f>IF(A211="","",MOD(A211-2,7)+1)</f>
        <v/>
      </c>
      <c r="BA211" s="60">
        <f>IF(C211="","",IFERROR(INDEX('Prospects'!$N$5:$N$504,MATCH(C211,'Prospects'!$C$5:$C$504,0)),""))</f>
        <v/>
      </c>
      <c r="BB211" s="61">
        <f>IF(AND(C211&lt;&gt;"",C211='Fiche prospect'!$C$4),COUNTIF($C$5:C211,C211),"")</f>
        <v/>
      </c>
    </row>
    <row r="212">
      <c r="A212" s="53" t="n"/>
      <c r="B212" s="54" t="n"/>
      <c r="C212" s="55" t="n"/>
      <c r="D212" s="55" t="n"/>
      <c r="E212" s="55" t="n"/>
      <c r="F212" s="55" t="n"/>
      <c r="G212" s="56" t="n"/>
      <c r="H212" s="57" t="n"/>
      <c r="I212" s="55" t="n"/>
      <c r="J212" s="53" t="n"/>
      <c r="K212" s="54" t="n"/>
      <c r="L212" s="55" t="n"/>
      <c r="M212" s="55" t="n"/>
      <c r="N212" s="57" t="n"/>
      <c r="O212" s="55" t="n"/>
      <c r="P212" s="56" t="n"/>
      <c r="Q212" s="55" t="n"/>
      <c r="R212" s="55" t="n"/>
      <c r="S212" s="55" t="n"/>
      <c r="T212" s="55" t="n"/>
      <c r="U212" s="55" t="n"/>
      <c r="V212" s="55" t="n"/>
      <c r="W212" s="58" t="n"/>
      <c r="X212" s="58" t="n"/>
      <c r="Y212" s="55" t="n"/>
      <c r="Z212" s="55" t="n"/>
      <c r="AA212" s="55" t="n"/>
      <c r="AB212" s="55" t="n"/>
      <c r="AC212" s="55" t="n"/>
      <c r="AD212" s="53" t="n"/>
      <c r="AE212" s="55" t="n"/>
      <c r="AF212" s="55" t="n"/>
      <c r="AG212" s="59" t="n"/>
      <c r="AH212" s="57" t="n"/>
      <c r="AI212" s="55" t="n"/>
      <c r="AJ212" s="55" t="n"/>
      <c r="AK212" s="55" t="n"/>
      <c r="AL212" s="55" t="n"/>
      <c r="AM212" s="56" t="n"/>
      <c r="AN212" s="55" t="n"/>
      <c r="AO212" s="55" t="n"/>
      <c r="AP212" s="55" t="n"/>
      <c r="AQ212" s="55" t="n"/>
      <c r="AR212" s="60">
        <f>IF(AND(C212="",E212=""),"",IF(A212="","⚠ Date manquante",IF(AND(C212="",E212&lt;&gt;"Dépense"),"⚠ Prospect manquant",IF(E212="","⚠ Action manquante",IF(AND(AU212=1,D212=""),"⚠ Canal manquant",IF(AND(W212&lt;&gt;"",COUNTIFS('Saisie'!$W$5:$W$2004,W212,'Saisie'!$C$5:$C$2004,"&lt;&gt;"&amp;C212)&gt;0),"⚠ Numéro déjà utilisé par un autre prospect",IF(AND(J212&lt;&gt;"",J212&lt;A212),"⚠ Relance avant la date de l'action",IF(A212&gt;TODAY(),"⚠ Date dans le futur","✓"))))))))</f>
        <v/>
      </c>
      <c r="AS212" s="61">
        <f>IF(AND(A212="",C212="",E212=""),"",ROW())</f>
        <v/>
      </c>
      <c r="AT212" s="61">
        <f>IF(E212&amp;F212="","",MAX(IFERROR(INDEX('Paramètres'!$J$6:$J$33,MATCH(E212,'Paramètres'!$I$6:$I$33,0)),0),IFERROR(INDEX('Paramètres'!$N$6:$N$17,MATCH(F212,'Paramètres'!$M$6:$M$17,0)),0)))</f>
        <v/>
      </c>
      <c r="AU212" s="61">
        <f>IF(E212="","",IFERROR(IF(INDEX('Paramètres'!$K$6:$K$33,MATCH(E212,'Paramètres'!$I$6:$I$33,0))="Oui",1,0),0))</f>
        <v/>
      </c>
      <c r="AV212" s="61">
        <f>IF(F212="","",IFERROR(IF(INDEX('Paramètres'!$O$6:$O$17,MATCH(F212,'Paramètres'!$M$6:$M$17,0))="Oui",1,0),0))</f>
        <v/>
      </c>
      <c r="AW212" s="62">
        <f>IF(E212="","",IF(G212&lt;&gt;"",G212,IF(OR(E212="Proposition envoyée",E212="Signature"),MAX(0,N(IFERROR(INDEX('Paramètres'!$R$6:$R$15,MATCH(IF(AL212&lt;&gt;"",AL212,IFERROR(INDEX('Prospects'!$AN$5:$AN$504,MATCH(C212,'Prospects'!$C$5:$C$504,0)),"")),'Paramètres'!$Q$6:$Q$15,0)),0))-N(P212)),0)))</f>
        <v/>
      </c>
      <c r="AX212" s="61">
        <f>IF(C212="","",IF(COUNTIF($C$5:C212,C212)=1,MAX($AX$4:AX211)+1,""))</f>
        <v/>
      </c>
      <c r="AY212" s="61">
        <f>IF(B212="","",HOUR(B212))</f>
        <v/>
      </c>
      <c r="AZ212" s="61">
        <f>IF(A212="","",MOD(A212-2,7)+1)</f>
        <v/>
      </c>
      <c r="BA212" s="60">
        <f>IF(C212="","",IFERROR(INDEX('Prospects'!$N$5:$N$504,MATCH(C212,'Prospects'!$C$5:$C$504,0)),""))</f>
        <v/>
      </c>
      <c r="BB212" s="61">
        <f>IF(AND(C212&lt;&gt;"",C212='Fiche prospect'!$C$4),COUNTIF($C$5:C212,C212),"")</f>
        <v/>
      </c>
    </row>
    <row r="213">
      <c r="A213" s="53" t="n"/>
      <c r="B213" s="54" t="n"/>
      <c r="C213" s="55" t="n"/>
      <c r="D213" s="55" t="n"/>
      <c r="E213" s="55" t="n"/>
      <c r="F213" s="55" t="n"/>
      <c r="G213" s="56" t="n"/>
      <c r="H213" s="57" t="n"/>
      <c r="I213" s="55" t="n"/>
      <c r="J213" s="53" t="n"/>
      <c r="K213" s="54" t="n"/>
      <c r="L213" s="55" t="n"/>
      <c r="M213" s="55" t="n"/>
      <c r="N213" s="57" t="n"/>
      <c r="O213" s="55" t="n"/>
      <c r="P213" s="56" t="n"/>
      <c r="Q213" s="55" t="n"/>
      <c r="R213" s="55" t="n"/>
      <c r="S213" s="55" t="n"/>
      <c r="T213" s="55" t="n"/>
      <c r="U213" s="55" t="n"/>
      <c r="V213" s="55" t="n"/>
      <c r="W213" s="58" t="n"/>
      <c r="X213" s="58" t="n"/>
      <c r="Y213" s="55" t="n"/>
      <c r="Z213" s="55" t="n"/>
      <c r="AA213" s="55" t="n"/>
      <c r="AB213" s="55" t="n"/>
      <c r="AC213" s="55" t="n"/>
      <c r="AD213" s="53" t="n"/>
      <c r="AE213" s="55" t="n"/>
      <c r="AF213" s="55" t="n"/>
      <c r="AG213" s="59" t="n"/>
      <c r="AH213" s="57" t="n"/>
      <c r="AI213" s="55" t="n"/>
      <c r="AJ213" s="55" t="n"/>
      <c r="AK213" s="55" t="n"/>
      <c r="AL213" s="55" t="n"/>
      <c r="AM213" s="56" t="n"/>
      <c r="AN213" s="55" t="n"/>
      <c r="AO213" s="55" t="n"/>
      <c r="AP213" s="55" t="n"/>
      <c r="AQ213" s="55" t="n"/>
      <c r="AR213" s="60">
        <f>IF(AND(C213="",E213=""),"",IF(A213="","⚠ Date manquante",IF(AND(C213="",E213&lt;&gt;"Dépense"),"⚠ Prospect manquant",IF(E213="","⚠ Action manquante",IF(AND(AU213=1,D213=""),"⚠ Canal manquant",IF(AND(W213&lt;&gt;"",COUNTIFS('Saisie'!$W$5:$W$2004,W213,'Saisie'!$C$5:$C$2004,"&lt;&gt;"&amp;C213)&gt;0),"⚠ Numéro déjà utilisé par un autre prospect",IF(AND(J213&lt;&gt;"",J213&lt;A213),"⚠ Relance avant la date de l'action",IF(A213&gt;TODAY(),"⚠ Date dans le futur","✓"))))))))</f>
        <v/>
      </c>
      <c r="AS213" s="61">
        <f>IF(AND(A213="",C213="",E213=""),"",ROW())</f>
        <v/>
      </c>
      <c r="AT213" s="61">
        <f>IF(E213&amp;F213="","",MAX(IFERROR(INDEX('Paramètres'!$J$6:$J$33,MATCH(E213,'Paramètres'!$I$6:$I$33,0)),0),IFERROR(INDEX('Paramètres'!$N$6:$N$17,MATCH(F213,'Paramètres'!$M$6:$M$17,0)),0)))</f>
        <v/>
      </c>
      <c r="AU213" s="61">
        <f>IF(E213="","",IFERROR(IF(INDEX('Paramètres'!$K$6:$K$33,MATCH(E213,'Paramètres'!$I$6:$I$33,0))="Oui",1,0),0))</f>
        <v/>
      </c>
      <c r="AV213" s="61">
        <f>IF(F213="","",IFERROR(IF(INDEX('Paramètres'!$O$6:$O$17,MATCH(F213,'Paramètres'!$M$6:$M$17,0))="Oui",1,0),0))</f>
        <v/>
      </c>
      <c r="AW213" s="62">
        <f>IF(E213="","",IF(G213&lt;&gt;"",G213,IF(OR(E213="Proposition envoyée",E213="Signature"),MAX(0,N(IFERROR(INDEX('Paramètres'!$R$6:$R$15,MATCH(IF(AL213&lt;&gt;"",AL213,IFERROR(INDEX('Prospects'!$AN$5:$AN$504,MATCH(C213,'Prospects'!$C$5:$C$504,0)),"")),'Paramètres'!$Q$6:$Q$15,0)),0))-N(P213)),0)))</f>
        <v/>
      </c>
      <c r="AX213" s="61">
        <f>IF(C213="","",IF(COUNTIF($C$5:C213,C213)=1,MAX($AX$4:AX212)+1,""))</f>
        <v/>
      </c>
      <c r="AY213" s="61">
        <f>IF(B213="","",HOUR(B213))</f>
        <v/>
      </c>
      <c r="AZ213" s="61">
        <f>IF(A213="","",MOD(A213-2,7)+1)</f>
        <v/>
      </c>
      <c r="BA213" s="60">
        <f>IF(C213="","",IFERROR(INDEX('Prospects'!$N$5:$N$504,MATCH(C213,'Prospects'!$C$5:$C$504,0)),""))</f>
        <v/>
      </c>
      <c r="BB213" s="61">
        <f>IF(AND(C213&lt;&gt;"",C213='Fiche prospect'!$C$4),COUNTIF($C$5:C213,C213),"")</f>
        <v/>
      </c>
    </row>
    <row r="214">
      <c r="A214" s="53" t="n"/>
      <c r="B214" s="54" t="n"/>
      <c r="C214" s="55" t="n"/>
      <c r="D214" s="55" t="n"/>
      <c r="E214" s="55" t="n"/>
      <c r="F214" s="55" t="n"/>
      <c r="G214" s="56" t="n"/>
      <c r="H214" s="57" t="n"/>
      <c r="I214" s="55" t="n"/>
      <c r="J214" s="53" t="n"/>
      <c r="K214" s="54" t="n"/>
      <c r="L214" s="55" t="n"/>
      <c r="M214" s="55" t="n"/>
      <c r="N214" s="57" t="n"/>
      <c r="O214" s="55" t="n"/>
      <c r="P214" s="56" t="n"/>
      <c r="Q214" s="55" t="n"/>
      <c r="R214" s="55" t="n"/>
      <c r="S214" s="55" t="n"/>
      <c r="T214" s="55" t="n"/>
      <c r="U214" s="55" t="n"/>
      <c r="V214" s="55" t="n"/>
      <c r="W214" s="58" t="n"/>
      <c r="X214" s="58" t="n"/>
      <c r="Y214" s="55" t="n"/>
      <c r="Z214" s="55" t="n"/>
      <c r="AA214" s="55" t="n"/>
      <c r="AB214" s="55" t="n"/>
      <c r="AC214" s="55" t="n"/>
      <c r="AD214" s="53" t="n"/>
      <c r="AE214" s="55" t="n"/>
      <c r="AF214" s="55" t="n"/>
      <c r="AG214" s="59" t="n"/>
      <c r="AH214" s="57" t="n"/>
      <c r="AI214" s="55" t="n"/>
      <c r="AJ214" s="55" t="n"/>
      <c r="AK214" s="55" t="n"/>
      <c r="AL214" s="55" t="n"/>
      <c r="AM214" s="56" t="n"/>
      <c r="AN214" s="55" t="n"/>
      <c r="AO214" s="55" t="n"/>
      <c r="AP214" s="55" t="n"/>
      <c r="AQ214" s="55" t="n"/>
      <c r="AR214" s="60">
        <f>IF(AND(C214="",E214=""),"",IF(A214="","⚠ Date manquante",IF(AND(C214="",E214&lt;&gt;"Dépense"),"⚠ Prospect manquant",IF(E214="","⚠ Action manquante",IF(AND(AU214=1,D214=""),"⚠ Canal manquant",IF(AND(W214&lt;&gt;"",COUNTIFS('Saisie'!$W$5:$W$2004,W214,'Saisie'!$C$5:$C$2004,"&lt;&gt;"&amp;C214)&gt;0),"⚠ Numéro déjà utilisé par un autre prospect",IF(AND(J214&lt;&gt;"",J214&lt;A214),"⚠ Relance avant la date de l'action",IF(A214&gt;TODAY(),"⚠ Date dans le futur","✓"))))))))</f>
        <v/>
      </c>
      <c r="AS214" s="61">
        <f>IF(AND(A214="",C214="",E214=""),"",ROW())</f>
        <v/>
      </c>
      <c r="AT214" s="61">
        <f>IF(E214&amp;F214="","",MAX(IFERROR(INDEX('Paramètres'!$J$6:$J$33,MATCH(E214,'Paramètres'!$I$6:$I$33,0)),0),IFERROR(INDEX('Paramètres'!$N$6:$N$17,MATCH(F214,'Paramètres'!$M$6:$M$17,0)),0)))</f>
        <v/>
      </c>
      <c r="AU214" s="61">
        <f>IF(E214="","",IFERROR(IF(INDEX('Paramètres'!$K$6:$K$33,MATCH(E214,'Paramètres'!$I$6:$I$33,0))="Oui",1,0),0))</f>
        <v/>
      </c>
      <c r="AV214" s="61">
        <f>IF(F214="","",IFERROR(IF(INDEX('Paramètres'!$O$6:$O$17,MATCH(F214,'Paramètres'!$M$6:$M$17,0))="Oui",1,0),0))</f>
        <v/>
      </c>
      <c r="AW214" s="62">
        <f>IF(E214="","",IF(G214&lt;&gt;"",G214,IF(OR(E214="Proposition envoyée",E214="Signature"),MAX(0,N(IFERROR(INDEX('Paramètres'!$R$6:$R$15,MATCH(IF(AL214&lt;&gt;"",AL214,IFERROR(INDEX('Prospects'!$AN$5:$AN$504,MATCH(C214,'Prospects'!$C$5:$C$504,0)),"")),'Paramètres'!$Q$6:$Q$15,0)),0))-N(P214)),0)))</f>
        <v/>
      </c>
      <c r="AX214" s="61">
        <f>IF(C214="","",IF(COUNTIF($C$5:C214,C214)=1,MAX($AX$4:AX213)+1,""))</f>
        <v/>
      </c>
      <c r="AY214" s="61">
        <f>IF(B214="","",HOUR(B214))</f>
        <v/>
      </c>
      <c r="AZ214" s="61">
        <f>IF(A214="","",MOD(A214-2,7)+1)</f>
        <v/>
      </c>
      <c r="BA214" s="60">
        <f>IF(C214="","",IFERROR(INDEX('Prospects'!$N$5:$N$504,MATCH(C214,'Prospects'!$C$5:$C$504,0)),""))</f>
        <v/>
      </c>
      <c r="BB214" s="61">
        <f>IF(AND(C214&lt;&gt;"",C214='Fiche prospect'!$C$4),COUNTIF($C$5:C214,C214),"")</f>
        <v/>
      </c>
    </row>
    <row r="215">
      <c r="A215" s="53" t="n"/>
      <c r="B215" s="54" t="n"/>
      <c r="C215" s="55" t="n"/>
      <c r="D215" s="55" t="n"/>
      <c r="E215" s="55" t="n"/>
      <c r="F215" s="55" t="n"/>
      <c r="G215" s="56" t="n"/>
      <c r="H215" s="57" t="n"/>
      <c r="I215" s="55" t="n"/>
      <c r="J215" s="53" t="n"/>
      <c r="K215" s="54" t="n"/>
      <c r="L215" s="55" t="n"/>
      <c r="M215" s="55" t="n"/>
      <c r="N215" s="57" t="n"/>
      <c r="O215" s="55" t="n"/>
      <c r="P215" s="56" t="n"/>
      <c r="Q215" s="55" t="n"/>
      <c r="R215" s="55" t="n"/>
      <c r="S215" s="55" t="n"/>
      <c r="T215" s="55" t="n"/>
      <c r="U215" s="55" t="n"/>
      <c r="V215" s="55" t="n"/>
      <c r="W215" s="58" t="n"/>
      <c r="X215" s="58" t="n"/>
      <c r="Y215" s="55" t="n"/>
      <c r="Z215" s="55" t="n"/>
      <c r="AA215" s="55" t="n"/>
      <c r="AB215" s="55" t="n"/>
      <c r="AC215" s="55" t="n"/>
      <c r="AD215" s="53" t="n"/>
      <c r="AE215" s="55" t="n"/>
      <c r="AF215" s="55" t="n"/>
      <c r="AG215" s="59" t="n"/>
      <c r="AH215" s="57" t="n"/>
      <c r="AI215" s="55" t="n"/>
      <c r="AJ215" s="55" t="n"/>
      <c r="AK215" s="55" t="n"/>
      <c r="AL215" s="55" t="n"/>
      <c r="AM215" s="56" t="n"/>
      <c r="AN215" s="55" t="n"/>
      <c r="AO215" s="55" t="n"/>
      <c r="AP215" s="55" t="n"/>
      <c r="AQ215" s="55" t="n"/>
      <c r="AR215" s="60">
        <f>IF(AND(C215="",E215=""),"",IF(A215="","⚠ Date manquante",IF(AND(C215="",E215&lt;&gt;"Dépense"),"⚠ Prospect manquant",IF(E215="","⚠ Action manquante",IF(AND(AU215=1,D215=""),"⚠ Canal manquant",IF(AND(W215&lt;&gt;"",COUNTIFS('Saisie'!$W$5:$W$2004,W215,'Saisie'!$C$5:$C$2004,"&lt;&gt;"&amp;C215)&gt;0),"⚠ Numéro déjà utilisé par un autre prospect",IF(AND(J215&lt;&gt;"",J215&lt;A215),"⚠ Relance avant la date de l'action",IF(A215&gt;TODAY(),"⚠ Date dans le futur","✓"))))))))</f>
        <v/>
      </c>
      <c r="AS215" s="61">
        <f>IF(AND(A215="",C215="",E215=""),"",ROW())</f>
        <v/>
      </c>
      <c r="AT215" s="61">
        <f>IF(E215&amp;F215="","",MAX(IFERROR(INDEX('Paramètres'!$J$6:$J$33,MATCH(E215,'Paramètres'!$I$6:$I$33,0)),0),IFERROR(INDEX('Paramètres'!$N$6:$N$17,MATCH(F215,'Paramètres'!$M$6:$M$17,0)),0)))</f>
        <v/>
      </c>
      <c r="AU215" s="61">
        <f>IF(E215="","",IFERROR(IF(INDEX('Paramètres'!$K$6:$K$33,MATCH(E215,'Paramètres'!$I$6:$I$33,0))="Oui",1,0),0))</f>
        <v/>
      </c>
      <c r="AV215" s="61">
        <f>IF(F215="","",IFERROR(IF(INDEX('Paramètres'!$O$6:$O$17,MATCH(F215,'Paramètres'!$M$6:$M$17,0))="Oui",1,0),0))</f>
        <v/>
      </c>
      <c r="AW215" s="62">
        <f>IF(E215="","",IF(G215&lt;&gt;"",G215,IF(OR(E215="Proposition envoyée",E215="Signature"),MAX(0,N(IFERROR(INDEX('Paramètres'!$R$6:$R$15,MATCH(IF(AL215&lt;&gt;"",AL215,IFERROR(INDEX('Prospects'!$AN$5:$AN$504,MATCH(C215,'Prospects'!$C$5:$C$504,0)),"")),'Paramètres'!$Q$6:$Q$15,0)),0))-N(P215)),0)))</f>
        <v/>
      </c>
      <c r="AX215" s="61">
        <f>IF(C215="","",IF(COUNTIF($C$5:C215,C215)=1,MAX($AX$4:AX214)+1,""))</f>
        <v/>
      </c>
      <c r="AY215" s="61">
        <f>IF(B215="","",HOUR(B215))</f>
        <v/>
      </c>
      <c r="AZ215" s="61">
        <f>IF(A215="","",MOD(A215-2,7)+1)</f>
        <v/>
      </c>
      <c r="BA215" s="60">
        <f>IF(C215="","",IFERROR(INDEX('Prospects'!$N$5:$N$504,MATCH(C215,'Prospects'!$C$5:$C$504,0)),""))</f>
        <v/>
      </c>
      <c r="BB215" s="61">
        <f>IF(AND(C215&lt;&gt;"",C215='Fiche prospect'!$C$4),COUNTIF($C$5:C215,C215),"")</f>
        <v/>
      </c>
    </row>
    <row r="216">
      <c r="A216" s="53" t="n"/>
      <c r="B216" s="54" t="n"/>
      <c r="C216" s="55" t="n"/>
      <c r="D216" s="55" t="n"/>
      <c r="E216" s="55" t="n"/>
      <c r="F216" s="55" t="n"/>
      <c r="G216" s="56" t="n"/>
      <c r="H216" s="57" t="n"/>
      <c r="I216" s="55" t="n"/>
      <c r="J216" s="53" t="n"/>
      <c r="K216" s="54" t="n"/>
      <c r="L216" s="55" t="n"/>
      <c r="M216" s="55" t="n"/>
      <c r="N216" s="57" t="n"/>
      <c r="O216" s="55" t="n"/>
      <c r="P216" s="56" t="n"/>
      <c r="Q216" s="55" t="n"/>
      <c r="R216" s="55" t="n"/>
      <c r="S216" s="55" t="n"/>
      <c r="T216" s="55" t="n"/>
      <c r="U216" s="55" t="n"/>
      <c r="V216" s="55" t="n"/>
      <c r="W216" s="58" t="n"/>
      <c r="X216" s="58" t="n"/>
      <c r="Y216" s="55" t="n"/>
      <c r="Z216" s="55" t="n"/>
      <c r="AA216" s="55" t="n"/>
      <c r="AB216" s="55" t="n"/>
      <c r="AC216" s="55" t="n"/>
      <c r="AD216" s="53" t="n"/>
      <c r="AE216" s="55" t="n"/>
      <c r="AF216" s="55" t="n"/>
      <c r="AG216" s="59" t="n"/>
      <c r="AH216" s="57" t="n"/>
      <c r="AI216" s="55" t="n"/>
      <c r="AJ216" s="55" t="n"/>
      <c r="AK216" s="55" t="n"/>
      <c r="AL216" s="55" t="n"/>
      <c r="AM216" s="56" t="n"/>
      <c r="AN216" s="55" t="n"/>
      <c r="AO216" s="55" t="n"/>
      <c r="AP216" s="55" t="n"/>
      <c r="AQ216" s="55" t="n"/>
      <c r="AR216" s="60">
        <f>IF(AND(C216="",E216=""),"",IF(A216="","⚠ Date manquante",IF(AND(C216="",E216&lt;&gt;"Dépense"),"⚠ Prospect manquant",IF(E216="","⚠ Action manquante",IF(AND(AU216=1,D216=""),"⚠ Canal manquant",IF(AND(W216&lt;&gt;"",COUNTIFS('Saisie'!$W$5:$W$2004,W216,'Saisie'!$C$5:$C$2004,"&lt;&gt;"&amp;C216)&gt;0),"⚠ Numéro déjà utilisé par un autre prospect",IF(AND(J216&lt;&gt;"",J216&lt;A216),"⚠ Relance avant la date de l'action",IF(A216&gt;TODAY(),"⚠ Date dans le futur","✓"))))))))</f>
        <v/>
      </c>
      <c r="AS216" s="61">
        <f>IF(AND(A216="",C216="",E216=""),"",ROW())</f>
        <v/>
      </c>
      <c r="AT216" s="61">
        <f>IF(E216&amp;F216="","",MAX(IFERROR(INDEX('Paramètres'!$J$6:$J$33,MATCH(E216,'Paramètres'!$I$6:$I$33,0)),0),IFERROR(INDEX('Paramètres'!$N$6:$N$17,MATCH(F216,'Paramètres'!$M$6:$M$17,0)),0)))</f>
        <v/>
      </c>
      <c r="AU216" s="61">
        <f>IF(E216="","",IFERROR(IF(INDEX('Paramètres'!$K$6:$K$33,MATCH(E216,'Paramètres'!$I$6:$I$33,0))="Oui",1,0),0))</f>
        <v/>
      </c>
      <c r="AV216" s="61">
        <f>IF(F216="","",IFERROR(IF(INDEX('Paramètres'!$O$6:$O$17,MATCH(F216,'Paramètres'!$M$6:$M$17,0))="Oui",1,0),0))</f>
        <v/>
      </c>
      <c r="AW216" s="62">
        <f>IF(E216="","",IF(G216&lt;&gt;"",G216,IF(OR(E216="Proposition envoyée",E216="Signature"),MAX(0,N(IFERROR(INDEX('Paramètres'!$R$6:$R$15,MATCH(IF(AL216&lt;&gt;"",AL216,IFERROR(INDEX('Prospects'!$AN$5:$AN$504,MATCH(C216,'Prospects'!$C$5:$C$504,0)),"")),'Paramètres'!$Q$6:$Q$15,0)),0))-N(P216)),0)))</f>
        <v/>
      </c>
      <c r="AX216" s="61">
        <f>IF(C216="","",IF(COUNTIF($C$5:C216,C216)=1,MAX($AX$4:AX215)+1,""))</f>
        <v/>
      </c>
      <c r="AY216" s="61">
        <f>IF(B216="","",HOUR(B216))</f>
        <v/>
      </c>
      <c r="AZ216" s="61">
        <f>IF(A216="","",MOD(A216-2,7)+1)</f>
        <v/>
      </c>
      <c r="BA216" s="60">
        <f>IF(C216="","",IFERROR(INDEX('Prospects'!$N$5:$N$504,MATCH(C216,'Prospects'!$C$5:$C$504,0)),""))</f>
        <v/>
      </c>
      <c r="BB216" s="61">
        <f>IF(AND(C216&lt;&gt;"",C216='Fiche prospect'!$C$4),COUNTIF($C$5:C216,C216),"")</f>
        <v/>
      </c>
    </row>
    <row r="217">
      <c r="A217" s="53" t="n"/>
      <c r="B217" s="54" t="n"/>
      <c r="C217" s="55" t="n"/>
      <c r="D217" s="55" t="n"/>
      <c r="E217" s="55" t="n"/>
      <c r="F217" s="55" t="n"/>
      <c r="G217" s="56" t="n"/>
      <c r="H217" s="57" t="n"/>
      <c r="I217" s="55" t="n"/>
      <c r="J217" s="53" t="n"/>
      <c r="K217" s="54" t="n"/>
      <c r="L217" s="55" t="n"/>
      <c r="M217" s="55" t="n"/>
      <c r="N217" s="57" t="n"/>
      <c r="O217" s="55" t="n"/>
      <c r="P217" s="56" t="n"/>
      <c r="Q217" s="55" t="n"/>
      <c r="R217" s="55" t="n"/>
      <c r="S217" s="55" t="n"/>
      <c r="T217" s="55" t="n"/>
      <c r="U217" s="55" t="n"/>
      <c r="V217" s="55" t="n"/>
      <c r="W217" s="58" t="n"/>
      <c r="X217" s="58" t="n"/>
      <c r="Y217" s="55" t="n"/>
      <c r="Z217" s="55" t="n"/>
      <c r="AA217" s="55" t="n"/>
      <c r="AB217" s="55" t="n"/>
      <c r="AC217" s="55" t="n"/>
      <c r="AD217" s="53" t="n"/>
      <c r="AE217" s="55" t="n"/>
      <c r="AF217" s="55" t="n"/>
      <c r="AG217" s="59" t="n"/>
      <c r="AH217" s="57" t="n"/>
      <c r="AI217" s="55" t="n"/>
      <c r="AJ217" s="55" t="n"/>
      <c r="AK217" s="55" t="n"/>
      <c r="AL217" s="55" t="n"/>
      <c r="AM217" s="56" t="n"/>
      <c r="AN217" s="55" t="n"/>
      <c r="AO217" s="55" t="n"/>
      <c r="AP217" s="55" t="n"/>
      <c r="AQ217" s="55" t="n"/>
      <c r="AR217" s="60">
        <f>IF(AND(C217="",E217=""),"",IF(A217="","⚠ Date manquante",IF(AND(C217="",E217&lt;&gt;"Dépense"),"⚠ Prospect manquant",IF(E217="","⚠ Action manquante",IF(AND(AU217=1,D217=""),"⚠ Canal manquant",IF(AND(W217&lt;&gt;"",COUNTIFS('Saisie'!$W$5:$W$2004,W217,'Saisie'!$C$5:$C$2004,"&lt;&gt;"&amp;C217)&gt;0),"⚠ Numéro déjà utilisé par un autre prospect",IF(AND(J217&lt;&gt;"",J217&lt;A217),"⚠ Relance avant la date de l'action",IF(A217&gt;TODAY(),"⚠ Date dans le futur","✓"))))))))</f>
        <v/>
      </c>
      <c r="AS217" s="61">
        <f>IF(AND(A217="",C217="",E217=""),"",ROW())</f>
        <v/>
      </c>
      <c r="AT217" s="61">
        <f>IF(E217&amp;F217="","",MAX(IFERROR(INDEX('Paramètres'!$J$6:$J$33,MATCH(E217,'Paramètres'!$I$6:$I$33,0)),0),IFERROR(INDEX('Paramètres'!$N$6:$N$17,MATCH(F217,'Paramètres'!$M$6:$M$17,0)),0)))</f>
        <v/>
      </c>
      <c r="AU217" s="61">
        <f>IF(E217="","",IFERROR(IF(INDEX('Paramètres'!$K$6:$K$33,MATCH(E217,'Paramètres'!$I$6:$I$33,0))="Oui",1,0),0))</f>
        <v/>
      </c>
      <c r="AV217" s="61">
        <f>IF(F217="","",IFERROR(IF(INDEX('Paramètres'!$O$6:$O$17,MATCH(F217,'Paramètres'!$M$6:$M$17,0))="Oui",1,0),0))</f>
        <v/>
      </c>
      <c r="AW217" s="62">
        <f>IF(E217="","",IF(G217&lt;&gt;"",G217,IF(OR(E217="Proposition envoyée",E217="Signature"),MAX(0,N(IFERROR(INDEX('Paramètres'!$R$6:$R$15,MATCH(IF(AL217&lt;&gt;"",AL217,IFERROR(INDEX('Prospects'!$AN$5:$AN$504,MATCH(C217,'Prospects'!$C$5:$C$504,0)),"")),'Paramètres'!$Q$6:$Q$15,0)),0))-N(P217)),0)))</f>
        <v/>
      </c>
      <c r="AX217" s="61">
        <f>IF(C217="","",IF(COUNTIF($C$5:C217,C217)=1,MAX($AX$4:AX216)+1,""))</f>
        <v/>
      </c>
      <c r="AY217" s="61">
        <f>IF(B217="","",HOUR(B217))</f>
        <v/>
      </c>
      <c r="AZ217" s="61">
        <f>IF(A217="","",MOD(A217-2,7)+1)</f>
        <v/>
      </c>
      <c r="BA217" s="60">
        <f>IF(C217="","",IFERROR(INDEX('Prospects'!$N$5:$N$504,MATCH(C217,'Prospects'!$C$5:$C$504,0)),""))</f>
        <v/>
      </c>
      <c r="BB217" s="61">
        <f>IF(AND(C217&lt;&gt;"",C217='Fiche prospect'!$C$4),COUNTIF($C$5:C217,C217),"")</f>
        <v/>
      </c>
    </row>
    <row r="218">
      <c r="A218" s="53" t="n"/>
      <c r="B218" s="54" t="n"/>
      <c r="C218" s="55" t="n"/>
      <c r="D218" s="55" t="n"/>
      <c r="E218" s="55" t="n"/>
      <c r="F218" s="55" t="n"/>
      <c r="G218" s="56" t="n"/>
      <c r="H218" s="57" t="n"/>
      <c r="I218" s="55" t="n"/>
      <c r="J218" s="53" t="n"/>
      <c r="K218" s="54" t="n"/>
      <c r="L218" s="55" t="n"/>
      <c r="M218" s="55" t="n"/>
      <c r="N218" s="57" t="n"/>
      <c r="O218" s="55" t="n"/>
      <c r="P218" s="56" t="n"/>
      <c r="Q218" s="55" t="n"/>
      <c r="R218" s="55" t="n"/>
      <c r="S218" s="55" t="n"/>
      <c r="T218" s="55" t="n"/>
      <c r="U218" s="55" t="n"/>
      <c r="V218" s="55" t="n"/>
      <c r="W218" s="58" t="n"/>
      <c r="X218" s="58" t="n"/>
      <c r="Y218" s="55" t="n"/>
      <c r="Z218" s="55" t="n"/>
      <c r="AA218" s="55" t="n"/>
      <c r="AB218" s="55" t="n"/>
      <c r="AC218" s="55" t="n"/>
      <c r="AD218" s="53" t="n"/>
      <c r="AE218" s="55" t="n"/>
      <c r="AF218" s="55" t="n"/>
      <c r="AG218" s="59" t="n"/>
      <c r="AH218" s="57" t="n"/>
      <c r="AI218" s="55" t="n"/>
      <c r="AJ218" s="55" t="n"/>
      <c r="AK218" s="55" t="n"/>
      <c r="AL218" s="55" t="n"/>
      <c r="AM218" s="56" t="n"/>
      <c r="AN218" s="55" t="n"/>
      <c r="AO218" s="55" t="n"/>
      <c r="AP218" s="55" t="n"/>
      <c r="AQ218" s="55" t="n"/>
      <c r="AR218" s="60">
        <f>IF(AND(C218="",E218=""),"",IF(A218="","⚠ Date manquante",IF(AND(C218="",E218&lt;&gt;"Dépense"),"⚠ Prospect manquant",IF(E218="","⚠ Action manquante",IF(AND(AU218=1,D218=""),"⚠ Canal manquant",IF(AND(W218&lt;&gt;"",COUNTIFS('Saisie'!$W$5:$W$2004,W218,'Saisie'!$C$5:$C$2004,"&lt;&gt;"&amp;C218)&gt;0),"⚠ Numéro déjà utilisé par un autre prospect",IF(AND(J218&lt;&gt;"",J218&lt;A218),"⚠ Relance avant la date de l'action",IF(A218&gt;TODAY(),"⚠ Date dans le futur","✓"))))))))</f>
        <v/>
      </c>
      <c r="AS218" s="61">
        <f>IF(AND(A218="",C218="",E218=""),"",ROW())</f>
        <v/>
      </c>
      <c r="AT218" s="61">
        <f>IF(E218&amp;F218="","",MAX(IFERROR(INDEX('Paramètres'!$J$6:$J$33,MATCH(E218,'Paramètres'!$I$6:$I$33,0)),0),IFERROR(INDEX('Paramètres'!$N$6:$N$17,MATCH(F218,'Paramètres'!$M$6:$M$17,0)),0)))</f>
        <v/>
      </c>
      <c r="AU218" s="61">
        <f>IF(E218="","",IFERROR(IF(INDEX('Paramètres'!$K$6:$K$33,MATCH(E218,'Paramètres'!$I$6:$I$33,0))="Oui",1,0),0))</f>
        <v/>
      </c>
      <c r="AV218" s="61">
        <f>IF(F218="","",IFERROR(IF(INDEX('Paramètres'!$O$6:$O$17,MATCH(F218,'Paramètres'!$M$6:$M$17,0))="Oui",1,0),0))</f>
        <v/>
      </c>
      <c r="AW218" s="62">
        <f>IF(E218="","",IF(G218&lt;&gt;"",G218,IF(OR(E218="Proposition envoyée",E218="Signature"),MAX(0,N(IFERROR(INDEX('Paramètres'!$R$6:$R$15,MATCH(IF(AL218&lt;&gt;"",AL218,IFERROR(INDEX('Prospects'!$AN$5:$AN$504,MATCH(C218,'Prospects'!$C$5:$C$504,0)),"")),'Paramètres'!$Q$6:$Q$15,0)),0))-N(P218)),0)))</f>
        <v/>
      </c>
      <c r="AX218" s="61">
        <f>IF(C218="","",IF(COUNTIF($C$5:C218,C218)=1,MAX($AX$4:AX217)+1,""))</f>
        <v/>
      </c>
      <c r="AY218" s="61">
        <f>IF(B218="","",HOUR(B218))</f>
        <v/>
      </c>
      <c r="AZ218" s="61">
        <f>IF(A218="","",MOD(A218-2,7)+1)</f>
        <v/>
      </c>
      <c r="BA218" s="60">
        <f>IF(C218="","",IFERROR(INDEX('Prospects'!$N$5:$N$504,MATCH(C218,'Prospects'!$C$5:$C$504,0)),""))</f>
        <v/>
      </c>
      <c r="BB218" s="61">
        <f>IF(AND(C218&lt;&gt;"",C218='Fiche prospect'!$C$4),COUNTIF($C$5:C218,C218),"")</f>
        <v/>
      </c>
    </row>
    <row r="219">
      <c r="A219" s="53" t="n"/>
      <c r="B219" s="54" t="n"/>
      <c r="C219" s="55" t="n"/>
      <c r="D219" s="55" t="n"/>
      <c r="E219" s="55" t="n"/>
      <c r="F219" s="55" t="n"/>
      <c r="G219" s="56" t="n"/>
      <c r="H219" s="57" t="n"/>
      <c r="I219" s="55" t="n"/>
      <c r="J219" s="53" t="n"/>
      <c r="K219" s="54" t="n"/>
      <c r="L219" s="55" t="n"/>
      <c r="M219" s="55" t="n"/>
      <c r="N219" s="57" t="n"/>
      <c r="O219" s="55" t="n"/>
      <c r="P219" s="56" t="n"/>
      <c r="Q219" s="55" t="n"/>
      <c r="R219" s="55" t="n"/>
      <c r="S219" s="55" t="n"/>
      <c r="T219" s="55" t="n"/>
      <c r="U219" s="55" t="n"/>
      <c r="V219" s="55" t="n"/>
      <c r="W219" s="58" t="n"/>
      <c r="X219" s="58" t="n"/>
      <c r="Y219" s="55" t="n"/>
      <c r="Z219" s="55" t="n"/>
      <c r="AA219" s="55" t="n"/>
      <c r="AB219" s="55" t="n"/>
      <c r="AC219" s="55" t="n"/>
      <c r="AD219" s="53" t="n"/>
      <c r="AE219" s="55" t="n"/>
      <c r="AF219" s="55" t="n"/>
      <c r="AG219" s="59" t="n"/>
      <c r="AH219" s="57" t="n"/>
      <c r="AI219" s="55" t="n"/>
      <c r="AJ219" s="55" t="n"/>
      <c r="AK219" s="55" t="n"/>
      <c r="AL219" s="55" t="n"/>
      <c r="AM219" s="56" t="n"/>
      <c r="AN219" s="55" t="n"/>
      <c r="AO219" s="55" t="n"/>
      <c r="AP219" s="55" t="n"/>
      <c r="AQ219" s="55" t="n"/>
      <c r="AR219" s="60">
        <f>IF(AND(C219="",E219=""),"",IF(A219="","⚠ Date manquante",IF(AND(C219="",E219&lt;&gt;"Dépense"),"⚠ Prospect manquant",IF(E219="","⚠ Action manquante",IF(AND(AU219=1,D219=""),"⚠ Canal manquant",IF(AND(W219&lt;&gt;"",COUNTIFS('Saisie'!$W$5:$W$2004,W219,'Saisie'!$C$5:$C$2004,"&lt;&gt;"&amp;C219)&gt;0),"⚠ Numéro déjà utilisé par un autre prospect",IF(AND(J219&lt;&gt;"",J219&lt;A219),"⚠ Relance avant la date de l'action",IF(A219&gt;TODAY(),"⚠ Date dans le futur","✓"))))))))</f>
        <v/>
      </c>
      <c r="AS219" s="61">
        <f>IF(AND(A219="",C219="",E219=""),"",ROW())</f>
        <v/>
      </c>
      <c r="AT219" s="61">
        <f>IF(E219&amp;F219="","",MAX(IFERROR(INDEX('Paramètres'!$J$6:$J$33,MATCH(E219,'Paramètres'!$I$6:$I$33,0)),0),IFERROR(INDEX('Paramètres'!$N$6:$N$17,MATCH(F219,'Paramètres'!$M$6:$M$17,0)),0)))</f>
        <v/>
      </c>
      <c r="AU219" s="61">
        <f>IF(E219="","",IFERROR(IF(INDEX('Paramètres'!$K$6:$K$33,MATCH(E219,'Paramètres'!$I$6:$I$33,0))="Oui",1,0),0))</f>
        <v/>
      </c>
      <c r="AV219" s="61">
        <f>IF(F219="","",IFERROR(IF(INDEX('Paramètres'!$O$6:$O$17,MATCH(F219,'Paramètres'!$M$6:$M$17,0))="Oui",1,0),0))</f>
        <v/>
      </c>
      <c r="AW219" s="62">
        <f>IF(E219="","",IF(G219&lt;&gt;"",G219,IF(OR(E219="Proposition envoyée",E219="Signature"),MAX(0,N(IFERROR(INDEX('Paramètres'!$R$6:$R$15,MATCH(IF(AL219&lt;&gt;"",AL219,IFERROR(INDEX('Prospects'!$AN$5:$AN$504,MATCH(C219,'Prospects'!$C$5:$C$504,0)),"")),'Paramètres'!$Q$6:$Q$15,0)),0))-N(P219)),0)))</f>
        <v/>
      </c>
      <c r="AX219" s="61">
        <f>IF(C219="","",IF(COUNTIF($C$5:C219,C219)=1,MAX($AX$4:AX218)+1,""))</f>
        <v/>
      </c>
      <c r="AY219" s="61">
        <f>IF(B219="","",HOUR(B219))</f>
        <v/>
      </c>
      <c r="AZ219" s="61">
        <f>IF(A219="","",MOD(A219-2,7)+1)</f>
        <v/>
      </c>
      <c r="BA219" s="60">
        <f>IF(C219="","",IFERROR(INDEX('Prospects'!$N$5:$N$504,MATCH(C219,'Prospects'!$C$5:$C$504,0)),""))</f>
        <v/>
      </c>
      <c r="BB219" s="61">
        <f>IF(AND(C219&lt;&gt;"",C219='Fiche prospect'!$C$4),COUNTIF($C$5:C219,C219),"")</f>
        <v/>
      </c>
    </row>
    <row r="220">
      <c r="A220" s="53" t="n"/>
      <c r="B220" s="54" t="n"/>
      <c r="C220" s="55" t="n"/>
      <c r="D220" s="55" t="n"/>
      <c r="E220" s="55" t="n"/>
      <c r="F220" s="55" t="n"/>
      <c r="G220" s="56" t="n"/>
      <c r="H220" s="57" t="n"/>
      <c r="I220" s="55" t="n"/>
      <c r="J220" s="53" t="n"/>
      <c r="K220" s="54" t="n"/>
      <c r="L220" s="55" t="n"/>
      <c r="M220" s="55" t="n"/>
      <c r="N220" s="57" t="n"/>
      <c r="O220" s="55" t="n"/>
      <c r="P220" s="56" t="n"/>
      <c r="Q220" s="55" t="n"/>
      <c r="R220" s="55" t="n"/>
      <c r="S220" s="55" t="n"/>
      <c r="T220" s="55" t="n"/>
      <c r="U220" s="55" t="n"/>
      <c r="V220" s="55" t="n"/>
      <c r="W220" s="58" t="n"/>
      <c r="X220" s="58" t="n"/>
      <c r="Y220" s="55" t="n"/>
      <c r="Z220" s="55" t="n"/>
      <c r="AA220" s="55" t="n"/>
      <c r="AB220" s="55" t="n"/>
      <c r="AC220" s="55" t="n"/>
      <c r="AD220" s="53" t="n"/>
      <c r="AE220" s="55" t="n"/>
      <c r="AF220" s="55" t="n"/>
      <c r="AG220" s="59" t="n"/>
      <c r="AH220" s="57" t="n"/>
      <c r="AI220" s="55" t="n"/>
      <c r="AJ220" s="55" t="n"/>
      <c r="AK220" s="55" t="n"/>
      <c r="AL220" s="55" t="n"/>
      <c r="AM220" s="56" t="n"/>
      <c r="AN220" s="55" t="n"/>
      <c r="AO220" s="55" t="n"/>
      <c r="AP220" s="55" t="n"/>
      <c r="AQ220" s="55" t="n"/>
      <c r="AR220" s="60">
        <f>IF(AND(C220="",E220=""),"",IF(A220="","⚠ Date manquante",IF(AND(C220="",E220&lt;&gt;"Dépense"),"⚠ Prospect manquant",IF(E220="","⚠ Action manquante",IF(AND(AU220=1,D220=""),"⚠ Canal manquant",IF(AND(W220&lt;&gt;"",COUNTIFS('Saisie'!$W$5:$W$2004,W220,'Saisie'!$C$5:$C$2004,"&lt;&gt;"&amp;C220)&gt;0),"⚠ Numéro déjà utilisé par un autre prospect",IF(AND(J220&lt;&gt;"",J220&lt;A220),"⚠ Relance avant la date de l'action",IF(A220&gt;TODAY(),"⚠ Date dans le futur","✓"))))))))</f>
        <v/>
      </c>
      <c r="AS220" s="61">
        <f>IF(AND(A220="",C220="",E220=""),"",ROW())</f>
        <v/>
      </c>
      <c r="AT220" s="61">
        <f>IF(E220&amp;F220="","",MAX(IFERROR(INDEX('Paramètres'!$J$6:$J$33,MATCH(E220,'Paramètres'!$I$6:$I$33,0)),0),IFERROR(INDEX('Paramètres'!$N$6:$N$17,MATCH(F220,'Paramètres'!$M$6:$M$17,0)),0)))</f>
        <v/>
      </c>
      <c r="AU220" s="61">
        <f>IF(E220="","",IFERROR(IF(INDEX('Paramètres'!$K$6:$K$33,MATCH(E220,'Paramètres'!$I$6:$I$33,0))="Oui",1,0),0))</f>
        <v/>
      </c>
      <c r="AV220" s="61">
        <f>IF(F220="","",IFERROR(IF(INDEX('Paramètres'!$O$6:$O$17,MATCH(F220,'Paramètres'!$M$6:$M$17,0))="Oui",1,0),0))</f>
        <v/>
      </c>
      <c r="AW220" s="62">
        <f>IF(E220="","",IF(G220&lt;&gt;"",G220,IF(OR(E220="Proposition envoyée",E220="Signature"),MAX(0,N(IFERROR(INDEX('Paramètres'!$R$6:$R$15,MATCH(IF(AL220&lt;&gt;"",AL220,IFERROR(INDEX('Prospects'!$AN$5:$AN$504,MATCH(C220,'Prospects'!$C$5:$C$504,0)),"")),'Paramètres'!$Q$6:$Q$15,0)),0))-N(P220)),0)))</f>
        <v/>
      </c>
      <c r="AX220" s="61">
        <f>IF(C220="","",IF(COUNTIF($C$5:C220,C220)=1,MAX($AX$4:AX219)+1,""))</f>
        <v/>
      </c>
      <c r="AY220" s="61">
        <f>IF(B220="","",HOUR(B220))</f>
        <v/>
      </c>
      <c r="AZ220" s="61">
        <f>IF(A220="","",MOD(A220-2,7)+1)</f>
        <v/>
      </c>
      <c r="BA220" s="60">
        <f>IF(C220="","",IFERROR(INDEX('Prospects'!$N$5:$N$504,MATCH(C220,'Prospects'!$C$5:$C$504,0)),""))</f>
        <v/>
      </c>
      <c r="BB220" s="61">
        <f>IF(AND(C220&lt;&gt;"",C220='Fiche prospect'!$C$4),COUNTIF($C$5:C220,C220),"")</f>
        <v/>
      </c>
    </row>
    <row r="221">
      <c r="A221" s="53" t="n"/>
      <c r="B221" s="54" t="n"/>
      <c r="C221" s="55" t="n"/>
      <c r="D221" s="55" t="n"/>
      <c r="E221" s="55" t="n"/>
      <c r="F221" s="55" t="n"/>
      <c r="G221" s="56" t="n"/>
      <c r="H221" s="57" t="n"/>
      <c r="I221" s="55" t="n"/>
      <c r="J221" s="53" t="n"/>
      <c r="K221" s="54" t="n"/>
      <c r="L221" s="55" t="n"/>
      <c r="M221" s="55" t="n"/>
      <c r="N221" s="57" t="n"/>
      <c r="O221" s="55" t="n"/>
      <c r="P221" s="56" t="n"/>
      <c r="Q221" s="55" t="n"/>
      <c r="R221" s="55" t="n"/>
      <c r="S221" s="55" t="n"/>
      <c r="T221" s="55" t="n"/>
      <c r="U221" s="55" t="n"/>
      <c r="V221" s="55" t="n"/>
      <c r="W221" s="58" t="n"/>
      <c r="X221" s="58" t="n"/>
      <c r="Y221" s="55" t="n"/>
      <c r="Z221" s="55" t="n"/>
      <c r="AA221" s="55" t="n"/>
      <c r="AB221" s="55" t="n"/>
      <c r="AC221" s="55" t="n"/>
      <c r="AD221" s="53" t="n"/>
      <c r="AE221" s="55" t="n"/>
      <c r="AF221" s="55" t="n"/>
      <c r="AG221" s="59" t="n"/>
      <c r="AH221" s="57" t="n"/>
      <c r="AI221" s="55" t="n"/>
      <c r="AJ221" s="55" t="n"/>
      <c r="AK221" s="55" t="n"/>
      <c r="AL221" s="55" t="n"/>
      <c r="AM221" s="56" t="n"/>
      <c r="AN221" s="55" t="n"/>
      <c r="AO221" s="55" t="n"/>
      <c r="AP221" s="55" t="n"/>
      <c r="AQ221" s="55" t="n"/>
      <c r="AR221" s="60">
        <f>IF(AND(C221="",E221=""),"",IF(A221="","⚠ Date manquante",IF(AND(C221="",E221&lt;&gt;"Dépense"),"⚠ Prospect manquant",IF(E221="","⚠ Action manquante",IF(AND(AU221=1,D221=""),"⚠ Canal manquant",IF(AND(W221&lt;&gt;"",COUNTIFS('Saisie'!$W$5:$W$2004,W221,'Saisie'!$C$5:$C$2004,"&lt;&gt;"&amp;C221)&gt;0),"⚠ Numéro déjà utilisé par un autre prospect",IF(AND(J221&lt;&gt;"",J221&lt;A221),"⚠ Relance avant la date de l'action",IF(A221&gt;TODAY(),"⚠ Date dans le futur","✓"))))))))</f>
        <v/>
      </c>
      <c r="AS221" s="61">
        <f>IF(AND(A221="",C221="",E221=""),"",ROW())</f>
        <v/>
      </c>
      <c r="AT221" s="61">
        <f>IF(E221&amp;F221="","",MAX(IFERROR(INDEX('Paramètres'!$J$6:$J$33,MATCH(E221,'Paramètres'!$I$6:$I$33,0)),0),IFERROR(INDEX('Paramètres'!$N$6:$N$17,MATCH(F221,'Paramètres'!$M$6:$M$17,0)),0)))</f>
        <v/>
      </c>
      <c r="AU221" s="61">
        <f>IF(E221="","",IFERROR(IF(INDEX('Paramètres'!$K$6:$K$33,MATCH(E221,'Paramètres'!$I$6:$I$33,0))="Oui",1,0),0))</f>
        <v/>
      </c>
      <c r="AV221" s="61">
        <f>IF(F221="","",IFERROR(IF(INDEX('Paramètres'!$O$6:$O$17,MATCH(F221,'Paramètres'!$M$6:$M$17,0))="Oui",1,0),0))</f>
        <v/>
      </c>
      <c r="AW221" s="62">
        <f>IF(E221="","",IF(G221&lt;&gt;"",G221,IF(OR(E221="Proposition envoyée",E221="Signature"),MAX(0,N(IFERROR(INDEX('Paramètres'!$R$6:$R$15,MATCH(IF(AL221&lt;&gt;"",AL221,IFERROR(INDEX('Prospects'!$AN$5:$AN$504,MATCH(C221,'Prospects'!$C$5:$C$504,0)),"")),'Paramètres'!$Q$6:$Q$15,0)),0))-N(P221)),0)))</f>
        <v/>
      </c>
      <c r="AX221" s="61">
        <f>IF(C221="","",IF(COUNTIF($C$5:C221,C221)=1,MAX($AX$4:AX220)+1,""))</f>
        <v/>
      </c>
      <c r="AY221" s="61">
        <f>IF(B221="","",HOUR(B221))</f>
        <v/>
      </c>
      <c r="AZ221" s="61">
        <f>IF(A221="","",MOD(A221-2,7)+1)</f>
        <v/>
      </c>
      <c r="BA221" s="60">
        <f>IF(C221="","",IFERROR(INDEX('Prospects'!$N$5:$N$504,MATCH(C221,'Prospects'!$C$5:$C$504,0)),""))</f>
        <v/>
      </c>
      <c r="BB221" s="61">
        <f>IF(AND(C221&lt;&gt;"",C221='Fiche prospect'!$C$4),COUNTIF($C$5:C221,C221),"")</f>
        <v/>
      </c>
    </row>
    <row r="222">
      <c r="A222" s="53" t="n"/>
      <c r="B222" s="54" t="n"/>
      <c r="C222" s="55" t="n"/>
      <c r="D222" s="55" t="n"/>
      <c r="E222" s="55" t="n"/>
      <c r="F222" s="55" t="n"/>
      <c r="G222" s="56" t="n"/>
      <c r="H222" s="57" t="n"/>
      <c r="I222" s="55" t="n"/>
      <c r="J222" s="53" t="n"/>
      <c r="K222" s="54" t="n"/>
      <c r="L222" s="55" t="n"/>
      <c r="M222" s="55" t="n"/>
      <c r="N222" s="57" t="n"/>
      <c r="O222" s="55" t="n"/>
      <c r="P222" s="56" t="n"/>
      <c r="Q222" s="55" t="n"/>
      <c r="R222" s="55" t="n"/>
      <c r="S222" s="55" t="n"/>
      <c r="T222" s="55" t="n"/>
      <c r="U222" s="55" t="n"/>
      <c r="V222" s="55" t="n"/>
      <c r="W222" s="58" t="n"/>
      <c r="X222" s="58" t="n"/>
      <c r="Y222" s="55" t="n"/>
      <c r="Z222" s="55" t="n"/>
      <c r="AA222" s="55" t="n"/>
      <c r="AB222" s="55" t="n"/>
      <c r="AC222" s="55" t="n"/>
      <c r="AD222" s="53" t="n"/>
      <c r="AE222" s="55" t="n"/>
      <c r="AF222" s="55" t="n"/>
      <c r="AG222" s="59" t="n"/>
      <c r="AH222" s="57" t="n"/>
      <c r="AI222" s="55" t="n"/>
      <c r="AJ222" s="55" t="n"/>
      <c r="AK222" s="55" t="n"/>
      <c r="AL222" s="55" t="n"/>
      <c r="AM222" s="56" t="n"/>
      <c r="AN222" s="55" t="n"/>
      <c r="AO222" s="55" t="n"/>
      <c r="AP222" s="55" t="n"/>
      <c r="AQ222" s="55" t="n"/>
      <c r="AR222" s="60">
        <f>IF(AND(C222="",E222=""),"",IF(A222="","⚠ Date manquante",IF(AND(C222="",E222&lt;&gt;"Dépense"),"⚠ Prospect manquant",IF(E222="","⚠ Action manquante",IF(AND(AU222=1,D222=""),"⚠ Canal manquant",IF(AND(W222&lt;&gt;"",COUNTIFS('Saisie'!$W$5:$W$2004,W222,'Saisie'!$C$5:$C$2004,"&lt;&gt;"&amp;C222)&gt;0),"⚠ Numéro déjà utilisé par un autre prospect",IF(AND(J222&lt;&gt;"",J222&lt;A222),"⚠ Relance avant la date de l'action",IF(A222&gt;TODAY(),"⚠ Date dans le futur","✓"))))))))</f>
        <v/>
      </c>
      <c r="AS222" s="61">
        <f>IF(AND(A222="",C222="",E222=""),"",ROW())</f>
        <v/>
      </c>
      <c r="AT222" s="61">
        <f>IF(E222&amp;F222="","",MAX(IFERROR(INDEX('Paramètres'!$J$6:$J$33,MATCH(E222,'Paramètres'!$I$6:$I$33,0)),0),IFERROR(INDEX('Paramètres'!$N$6:$N$17,MATCH(F222,'Paramètres'!$M$6:$M$17,0)),0)))</f>
        <v/>
      </c>
      <c r="AU222" s="61">
        <f>IF(E222="","",IFERROR(IF(INDEX('Paramètres'!$K$6:$K$33,MATCH(E222,'Paramètres'!$I$6:$I$33,0))="Oui",1,0),0))</f>
        <v/>
      </c>
      <c r="AV222" s="61">
        <f>IF(F222="","",IFERROR(IF(INDEX('Paramètres'!$O$6:$O$17,MATCH(F222,'Paramètres'!$M$6:$M$17,0))="Oui",1,0),0))</f>
        <v/>
      </c>
      <c r="AW222" s="62">
        <f>IF(E222="","",IF(G222&lt;&gt;"",G222,IF(OR(E222="Proposition envoyée",E222="Signature"),MAX(0,N(IFERROR(INDEX('Paramètres'!$R$6:$R$15,MATCH(IF(AL222&lt;&gt;"",AL222,IFERROR(INDEX('Prospects'!$AN$5:$AN$504,MATCH(C222,'Prospects'!$C$5:$C$504,0)),"")),'Paramètres'!$Q$6:$Q$15,0)),0))-N(P222)),0)))</f>
        <v/>
      </c>
      <c r="AX222" s="61">
        <f>IF(C222="","",IF(COUNTIF($C$5:C222,C222)=1,MAX($AX$4:AX221)+1,""))</f>
        <v/>
      </c>
      <c r="AY222" s="61">
        <f>IF(B222="","",HOUR(B222))</f>
        <v/>
      </c>
      <c r="AZ222" s="61">
        <f>IF(A222="","",MOD(A222-2,7)+1)</f>
        <v/>
      </c>
      <c r="BA222" s="60">
        <f>IF(C222="","",IFERROR(INDEX('Prospects'!$N$5:$N$504,MATCH(C222,'Prospects'!$C$5:$C$504,0)),""))</f>
        <v/>
      </c>
      <c r="BB222" s="61">
        <f>IF(AND(C222&lt;&gt;"",C222='Fiche prospect'!$C$4),COUNTIF($C$5:C222,C222),"")</f>
        <v/>
      </c>
    </row>
    <row r="223">
      <c r="A223" s="53" t="n"/>
      <c r="B223" s="54" t="n"/>
      <c r="C223" s="55" t="n"/>
      <c r="D223" s="55" t="n"/>
      <c r="E223" s="55" t="n"/>
      <c r="F223" s="55" t="n"/>
      <c r="G223" s="56" t="n"/>
      <c r="H223" s="57" t="n"/>
      <c r="I223" s="55" t="n"/>
      <c r="J223" s="53" t="n"/>
      <c r="K223" s="54" t="n"/>
      <c r="L223" s="55" t="n"/>
      <c r="M223" s="55" t="n"/>
      <c r="N223" s="57" t="n"/>
      <c r="O223" s="55" t="n"/>
      <c r="P223" s="56" t="n"/>
      <c r="Q223" s="55" t="n"/>
      <c r="R223" s="55" t="n"/>
      <c r="S223" s="55" t="n"/>
      <c r="T223" s="55" t="n"/>
      <c r="U223" s="55" t="n"/>
      <c r="V223" s="55" t="n"/>
      <c r="W223" s="58" t="n"/>
      <c r="X223" s="58" t="n"/>
      <c r="Y223" s="55" t="n"/>
      <c r="Z223" s="55" t="n"/>
      <c r="AA223" s="55" t="n"/>
      <c r="AB223" s="55" t="n"/>
      <c r="AC223" s="55" t="n"/>
      <c r="AD223" s="53" t="n"/>
      <c r="AE223" s="55" t="n"/>
      <c r="AF223" s="55" t="n"/>
      <c r="AG223" s="59" t="n"/>
      <c r="AH223" s="57" t="n"/>
      <c r="AI223" s="55" t="n"/>
      <c r="AJ223" s="55" t="n"/>
      <c r="AK223" s="55" t="n"/>
      <c r="AL223" s="55" t="n"/>
      <c r="AM223" s="56" t="n"/>
      <c r="AN223" s="55" t="n"/>
      <c r="AO223" s="55" t="n"/>
      <c r="AP223" s="55" t="n"/>
      <c r="AQ223" s="55" t="n"/>
      <c r="AR223" s="60">
        <f>IF(AND(C223="",E223=""),"",IF(A223="","⚠ Date manquante",IF(AND(C223="",E223&lt;&gt;"Dépense"),"⚠ Prospect manquant",IF(E223="","⚠ Action manquante",IF(AND(AU223=1,D223=""),"⚠ Canal manquant",IF(AND(W223&lt;&gt;"",COUNTIFS('Saisie'!$W$5:$W$2004,W223,'Saisie'!$C$5:$C$2004,"&lt;&gt;"&amp;C223)&gt;0),"⚠ Numéro déjà utilisé par un autre prospect",IF(AND(J223&lt;&gt;"",J223&lt;A223),"⚠ Relance avant la date de l'action",IF(A223&gt;TODAY(),"⚠ Date dans le futur","✓"))))))))</f>
        <v/>
      </c>
      <c r="AS223" s="61">
        <f>IF(AND(A223="",C223="",E223=""),"",ROW())</f>
        <v/>
      </c>
      <c r="AT223" s="61">
        <f>IF(E223&amp;F223="","",MAX(IFERROR(INDEX('Paramètres'!$J$6:$J$33,MATCH(E223,'Paramètres'!$I$6:$I$33,0)),0),IFERROR(INDEX('Paramètres'!$N$6:$N$17,MATCH(F223,'Paramètres'!$M$6:$M$17,0)),0)))</f>
        <v/>
      </c>
      <c r="AU223" s="61">
        <f>IF(E223="","",IFERROR(IF(INDEX('Paramètres'!$K$6:$K$33,MATCH(E223,'Paramètres'!$I$6:$I$33,0))="Oui",1,0),0))</f>
        <v/>
      </c>
      <c r="AV223" s="61">
        <f>IF(F223="","",IFERROR(IF(INDEX('Paramètres'!$O$6:$O$17,MATCH(F223,'Paramètres'!$M$6:$M$17,0))="Oui",1,0),0))</f>
        <v/>
      </c>
      <c r="AW223" s="62">
        <f>IF(E223="","",IF(G223&lt;&gt;"",G223,IF(OR(E223="Proposition envoyée",E223="Signature"),MAX(0,N(IFERROR(INDEX('Paramètres'!$R$6:$R$15,MATCH(IF(AL223&lt;&gt;"",AL223,IFERROR(INDEX('Prospects'!$AN$5:$AN$504,MATCH(C223,'Prospects'!$C$5:$C$504,0)),"")),'Paramètres'!$Q$6:$Q$15,0)),0))-N(P223)),0)))</f>
        <v/>
      </c>
      <c r="AX223" s="61">
        <f>IF(C223="","",IF(COUNTIF($C$5:C223,C223)=1,MAX($AX$4:AX222)+1,""))</f>
        <v/>
      </c>
      <c r="AY223" s="61">
        <f>IF(B223="","",HOUR(B223))</f>
        <v/>
      </c>
      <c r="AZ223" s="61">
        <f>IF(A223="","",MOD(A223-2,7)+1)</f>
        <v/>
      </c>
      <c r="BA223" s="60">
        <f>IF(C223="","",IFERROR(INDEX('Prospects'!$N$5:$N$504,MATCH(C223,'Prospects'!$C$5:$C$504,0)),""))</f>
        <v/>
      </c>
      <c r="BB223" s="61">
        <f>IF(AND(C223&lt;&gt;"",C223='Fiche prospect'!$C$4),COUNTIF($C$5:C223,C223),"")</f>
        <v/>
      </c>
    </row>
    <row r="224">
      <c r="A224" s="53" t="n"/>
      <c r="B224" s="54" t="n"/>
      <c r="C224" s="55" t="n"/>
      <c r="D224" s="55" t="n"/>
      <c r="E224" s="55" t="n"/>
      <c r="F224" s="55" t="n"/>
      <c r="G224" s="56" t="n"/>
      <c r="H224" s="57" t="n"/>
      <c r="I224" s="55" t="n"/>
      <c r="J224" s="53" t="n"/>
      <c r="K224" s="54" t="n"/>
      <c r="L224" s="55" t="n"/>
      <c r="M224" s="55" t="n"/>
      <c r="N224" s="57" t="n"/>
      <c r="O224" s="55" t="n"/>
      <c r="P224" s="56" t="n"/>
      <c r="Q224" s="55" t="n"/>
      <c r="R224" s="55" t="n"/>
      <c r="S224" s="55" t="n"/>
      <c r="T224" s="55" t="n"/>
      <c r="U224" s="55" t="n"/>
      <c r="V224" s="55" t="n"/>
      <c r="W224" s="58" t="n"/>
      <c r="X224" s="58" t="n"/>
      <c r="Y224" s="55" t="n"/>
      <c r="Z224" s="55" t="n"/>
      <c r="AA224" s="55" t="n"/>
      <c r="AB224" s="55" t="n"/>
      <c r="AC224" s="55" t="n"/>
      <c r="AD224" s="53" t="n"/>
      <c r="AE224" s="55" t="n"/>
      <c r="AF224" s="55" t="n"/>
      <c r="AG224" s="59" t="n"/>
      <c r="AH224" s="57" t="n"/>
      <c r="AI224" s="55" t="n"/>
      <c r="AJ224" s="55" t="n"/>
      <c r="AK224" s="55" t="n"/>
      <c r="AL224" s="55" t="n"/>
      <c r="AM224" s="56" t="n"/>
      <c r="AN224" s="55" t="n"/>
      <c r="AO224" s="55" t="n"/>
      <c r="AP224" s="55" t="n"/>
      <c r="AQ224" s="55" t="n"/>
      <c r="AR224" s="60">
        <f>IF(AND(C224="",E224=""),"",IF(A224="","⚠ Date manquante",IF(AND(C224="",E224&lt;&gt;"Dépense"),"⚠ Prospect manquant",IF(E224="","⚠ Action manquante",IF(AND(AU224=1,D224=""),"⚠ Canal manquant",IF(AND(W224&lt;&gt;"",COUNTIFS('Saisie'!$W$5:$W$2004,W224,'Saisie'!$C$5:$C$2004,"&lt;&gt;"&amp;C224)&gt;0),"⚠ Numéro déjà utilisé par un autre prospect",IF(AND(J224&lt;&gt;"",J224&lt;A224),"⚠ Relance avant la date de l'action",IF(A224&gt;TODAY(),"⚠ Date dans le futur","✓"))))))))</f>
        <v/>
      </c>
      <c r="AS224" s="61">
        <f>IF(AND(A224="",C224="",E224=""),"",ROW())</f>
        <v/>
      </c>
      <c r="AT224" s="61">
        <f>IF(E224&amp;F224="","",MAX(IFERROR(INDEX('Paramètres'!$J$6:$J$33,MATCH(E224,'Paramètres'!$I$6:$I$33,0)),0),IFERROR(INDEX('Paramètres'!$N$6:$N$17,MATCH(F224,'Paramètres'!$M$6:$M$17,0)),0)))</f>
        <v/>
      </c>
      <c r="AU224" s="61">
        <f>IF(E224="","",IFERROR(IF(INDEX('Paramètres'!$K$6:$K$33,MATCH(E224,'Paramètres'!$I$6:$I$33,0))="Oui",1,0),0))</f>
        <v/>
      </c>
      <c r="AV224" s="61">
        <f>IF(F224="","",IFERROR(IF(INDEX('Paramètres'!$O$6:$O$17,MATCH(F224,'Paramètres'!$M$6:$M$17,0))="Oui",1,0),0))</f>
        <v/>
      </c>
      <c r="AW224" s="62">
        <f>IF(E224="","",IF(G224&lt;&gt;"",G224,IF(OR(E224="Proposition envoyée",E224="Signature"),MAX(0,N(IFERROR(INDEX('Paramètres'!$R$6:$R$15,MATCH(IF(AL224&lt;&gt;"",AL224,IFERROR(INDEX('Prospects'!$AN$5:$AN$504,MATCH(C224,'Prospects'!$C$5:$C$504,0)),"")),'Paramètres'!$Q$6:$Q$15,0)),0))-N(P224)),0)))</f>
        <v/>
      </c>
      <c r="AX224" s="61">
        <f>IF(C224="","",IF(COUNTIF($C$5:C224,C224)=1,MAX($AX$4:AX223)+1,""))</f>
        <v/>
      </c>
      <c r="AY224" s="61">
        <f>IF(B224="","",HOUR(B224))</f>
        <v/>
      </c>
      <c r="AZ224" s="61">
        <f>IF(A224="","",MOD(A224-2,7)+1)</f>
        <v/>
      </c>
      <c r="BA224" s="60">
        <f>IF(C224="","",IFERROR(INDEX('Prospects'!$N$5:$N$504,MATCH(C224,'Prospects'!$C$5:$C$504,0)),""))</f>
        <v/>
      </c>
      <c r="BB224" s="61">
        <f>IF(AND(C224&lt;&gt;"",C224='Fiche prospect'!$C$4),COUNTIF($C$5:C224,C224),"")</f>
        <v/>
      </c>
    </row>
    <row r="225">
      <c r="A225" s="53" t="n"/>
      <c r="B225" s="54" t="n"/>
      <c r="C225" s="55" t="n"/>
      <c r="D225" s="55" t="n"/>
      <c r="E225" s="55" t="n"/>
      <c r="F225" s="55" t="n"/>
      <c r="G225" s="56" t="n"/>
      <c r="H225" s="57" t="n"/>
      <c r="I225" s="55" t="n"/>
      <c r="J225" s="53" t="n"/>
      <c r="K225" s="54" t="n"/>
      <c r="L225" s="55" t="n"/>
      <c r="M225" s="55" t="n"/>
      <c r="N225" s="57" t="n"/>
      <c r="O225" s="55" t="n"/>
      <c r="P225" s="56" t="n"/>
      <c r="Q225" s="55" t="n"/>
      <c r="R225" s="55" t="n"/>
      <c r="S225" s="55" t="n"/>
      <c r="T225" s="55" t="n"/>
      <c r="U225" s="55" t="n"/>
      <c r="V225" s="55" t="n"/>
      <c r="W225" s="58" t="n"/>
      <c r="X225" s="58" t="n"/>
      <c r="Y225" s="55" t="n"/>
      <c r="Z225" s="55" t="n"/>
      <c r="AA225" s="55" t="n"/>
      <c r="AB225" s="55" t="n"/>
      <c r="AC225" s="55" t="n"/>
      <c r="AD225" s="53" t="n"/>
      <c r="AE225" s="55" t="n"/>
      <c r="AF225" s="55" t="n"/>
      <c r="AG225" s="59" t="n"/>
      <c r="AH225" s="57" t="n"/>
      <c r="AI225" s="55" t="n"/>
      <c r="AJ225" s="55" t="n"/>
      <c r="AK225" s="55" t="n"/>
      <c r="AL225" s="55" t="n"/>
      <c r="AM225" s="56" t="n"/>
      <c r="AN225" s="55" t="n"/>
      <c r="AO225" s="55" t="n"/>
      <c r="AP225" s="55" t="n"/>
      <c r="AQ225" s="55" t="n"/>
      <c r="AR225" s="60">
        <f>IF(AND(C225="",E225=""),"",IF(A225="","⚠ Date manquante",IF(AND(C225="",E225&lt;&gt;"Dépense"),"⚠ Prospect manquant",IF(E225="","⚠ Action manquante",IF(AND(AU225=1,D225=""),"⚠ Canal manquant",IF(AND(W225&lt;&gt;"",COUNTIFS('Saisie'!$W$5:$W$2004,W225,'Saisie'!$C$5:$C$2004,"&lt;&gt;"&amp;C225)&gt;0),"⚠ Numéro déjà utilisé par un autre prospect",IF(AND(J225&lt;&gt;"",J225&lt;A225),"⚠ Relance avant la date de l'action",IF(A225&gt;TODAY(),"⚠ Date dans le futur","✓"))))))))</f>
        <v/>
      </c>
      <c r="AS225" s="61">
        <f>IF(AND(A225="",C225="",E225=""),"",ROW())</f>
        <v/>
      </c>
      <c r="AT225" s="61">
        <f>IF(E225&amp;F225="","",MAX(IFERROR(INDEX('Paramètres'!$J$6:$J$33,MATCH(E225,'Paramètres'!$I$6:$I$33,0)),0),IFERROR(INDEX('Paramètres'!$N$6:$N$17,MATCH(F225,'Paramètres'!$M$6:$M$17,0)),0)))</f>
        <v/>
      </c>
      <c r="AU225" s="61">
        <f>IF(E225="","",IFERROR(IF(INDEX('Paramètres'!$K$6:$K$33,MATCH(E225,'Paramètres'!$I$6:$I$33,0))="Oui",1,0),0))</f>
        <v/>
      </c>
      <c r="AV225" s="61">
        <f>IF(F225="","",IFERROR(IF(INDEX('Paramètres'!$O$6:$O$17,MATCH(F225,'Paramètres'!$M$6:$M$17,0))="Oui",1,0),0))</f>
        <v/>
      </c>
      <c r="AW225" s="62">
        <f>IF(E225="","",IF(G225&lt;&gt;"",G225,IF(OR(E225="Proposition envoyée",E225="Signature"),MAX(0,N(IFERROR(INDEX('Paramètres'!$R$6:$R$15,MATCH(IF(AL225&lt;&gt;"",AL225,IFERROR(INDEX('Prospects'!$AN$5:$AN$504,MATCH(C225,'Prospects'!$C$5:$C$504,0)),"")),'Paramètres'!$Q$6:$Q$15,0)),0))-N(P225)),0)))</f>
        <v/>
      </c>
      <c r="AX225" s="61">
        <f>IF(C225="","",IF(COUNTIF($C$5:C225,C225)=1,MAX($AX$4:AX224)+1,""))</f>
        <v/>
      </c>
      <c r="AY225" s="61">
        <f>IF(B225="","",HOUR(B225))</f>
        <v/>
      </c>
      <c r="AZ225" s="61">
        <f>IF(A225="","",MOD(A225-2,7)+1)</f>
        <v/>
      </c>
      <c r="BA225" s="60">
        <f>IF(C225="","",IFERROR(INDEX('Prospects'!$N$5:$N$504,MATCH(C225,'Prospects'!$C$5:$C$504,0)),""))</f>
        <v/>
      </c>
      <c r="BB225" s="61">
        <f>IF(AND(C225&lt;&gt;"",C225='Fiche prospect'!$C$4),COUNTIF($C$5:C225,C225),"")</f>
        <v/>
      </c>
    </row>
    <row r="226">
      <c r="A226" s="53" t="n"/>
      <c r="B226" s="54" t="n"/>
      <c r="C226" s="55" t="n"/>
      <c r="D226" s="55" t="n"/>
      <c r="E226" s="55" t="n"/>
      <c r="F226" s="55" t="n"/>
      <c r="G226" s="56" t="n"/>
      <c r="H226" s="57" t="n"/>
      <c r="I226" s="55" t="n"/>
      <c r="J226" s="53" t="n"/>
      <c r="K226" s="54" t="n"/>
      <c r="L226" s="55" t="n"/>
      <c r="M226" s="55" t="n"/>
      <c r="N226" s="57" t="n"/>
      <c r="O226" s="55" t="n"/>
      <c r="P226" s="56" t="n"/>
      <c r="Q226" s="55" t="n"/>
      <c r="R226" s="55" t="n"/>
      <c r="S226" s="55" t="n"/>
      <c r="T226" s="55" t="n"/>
      <c r="U226" s="55" t="n"/>
      <c r="V226" s="55" t="n"/>
      <c r="W226" s="58" t="n"/>
      <c r="X226" s="58" t="n"/>
      <c r="Y226" s="55" t="n"/>
      <c r="Z226" s="55" t="n"/>
      <c r="AA226" s="55" t="n"/>
      <c r="AB226" s="55" t="n"/>
      <c r="AC226" s="55" t="n"/>
      <c r="AD226" s="53" t="n"/>
      <c r="AE226" s="55" t="n"/>
      <c r="AF226" s="55" t="n"/>
      <c r="AG226" s="59" t="n"/>
      <c r="AH226" s="57" t="n"/>
      <c r="AI226" s="55" t="n"/>
      <c r="AJ226" s="55" t="n"/>
      <c r="AK226" s="55" t="n"/>
      <c r="AL226" s="55" t="n"/>
      <c r="AM226" s="56" t="n"/>
      <c r="AN226" s="55" t="n"/>
      <c r="AO226" s="55" t="n"/>
      <c r="AP226" s="55" t="n"/>
      <c r="AQ226" s="55" t="n"/>
      <c r="AR226" s="60">
        <f>IF(AND(C226="",E226=""),"",IF(A226="","⚠ Date manquante",IF(AND(C226="",E226&lt;&gt;"Dépense"),"⚠ Prospect manquant",IF(E226="","⚠ Action manquante",IF(AND(AU226=1,D226=""),"⚠ Canal manquant",IF(AND(W226&lt;&gt;"",COUNTIFS('Saisie'!$W$5:$W$2004,W226,'Saisie'!$C$5:$C$2004,"&lt;&gt;"&amp;C226)&gt;0),"⚠ Numéro déjà utilisé par un autre prospect",IF(AND(J226&lt;&gt;"",J226&lt;A226),"⚠ Relance avant la date de l'action",IF(A226&gt;TODAY(),"⚠ Date dans le futur","✓"))))))))</f>
        <v/>
      </c>
      <c r="AS226" s="61">
        <f>IF(AND(A226="",C226="",E226=""),"",ROW())</f>
        <v/>
      </c>
      <c r="AT226" s="61">
        <f>IF(E226&amp;F226="","",MAX(IFERROR(INDEX('Paramètres'!$J$6:$J$33,MATCH(E226,'Paramètres'!$I$6:$I$33,0)),0),IFERROR(INDEX('Paramètres'!$N$6:$N$17,MATCH(F226,'Paramètres'!$M$6:$M$17,0)),0)))</f>
        <v/>
      </c>
      <c r="AU226" s="61">
        <f>IF(E226="","",IFERROR(IF(INDEX('Paramètres'!$K$6:$K$33,MATCH(E226,'Paramètres'!$I$6:$I$33,0))="Oui",1,0),0))</f>
        <v/>
      </c>
      <c r="AV226" s="61">
        <f>IF(F226="","",IFERROR(IF(INDEX('Paramètres'!$O$6:$O$17,MATCH(F226,'Paramètres'!$M$6:$M$17,0))="Oui",1,0),0))</f>
        <v/>
      </c>
      <c r="AW226" s="62">
        <f>IF(E226="","",IF(G226&lt;&gt;"",G226,IF(OR(E226="Proposition envoyée",E226="Signature"),MAX(0,N(IFERROR(INDEX('Paramètres'!$R$6:$R$15,MATCH(IF(AL226&lt;&gt;"",AL226,IFERROR(INDEX('Prospects'!$AN$5:$AN$504,MATCH(C226,'Prospects'!$C$5:$C$504,0)),"")),'Paramètres'!$Q$6:$Q$15,0)),0))-N(P226)),0)))</f>
        <v/>
      </c>
      <c r="AX226" s="61">
        <f>IF(C226="","",IF(COUNTIF($C$5:C226,C226)=1,MAX($AX$4:AX225)+1,""))</f>
        <v/>
      </c>
      <c r="AY226" s="61">
        <f>IF(B226="","",HOUR(B226))</f>
        <v/>
      </c>
      <c r="AZ226" s="61">
        <f>IF(A226="","",MOD(A226-2,7)+1)</f>
        <v/>
      </c>
      <c r="BA226" s="60">
        <f>IF(C226="","",IFERROR(INDEX('Prospects'!$N$5:$N$504,MATCH(C226,'Prospects'!$C$5:$C$504,0)),""))</f>
        <v/>
      </c>
      <c r="BB226" s="61">
        <f>IF(AND(C226&lt;&gt;"",C226='Fiche prospect'!$C$4),COUNTIF($C$5:C226,C226),"")</f>
        <v/>
      </c>
    </row>
    <row r="227">
      <c r="A227" s="53" t="n"/>
      <c r="B227" s="54" t="n"/>
      <c r="C227" s="55" t="n"/>
      <c r="D227" s="55" t="n"/>
      <c r="E227" s="55" t="n"/>
      <c r="F227" s="55" t="n"/>
      <c r="G227" s="56" t="n"/>
      <c r="H227" s="57" t="n"/>
      <c r="I227" s="55" t="n"/>
      <c r="J227" s="53" t="n"/>
      <c r="K227" s="54" t="n"/>
      <c r="L227" s="55" t="n"/>
      <c r="M227" s="55" t="n"/>
      <c r="N227" s="57" t="n"/>
      <c r="O227" s="55" t="n"/>
      <c r="P227" s="56" t="n"/>
      <c r="Q227" s="55" t="n"/>
      <c r="R227" s="55" t="n"/>
      <c r="S227" s="55" t="n"/>
      <c r="T227" s="55" t="n"/>
      <c r="U227" s="55" t="n"/>
      <c r="V227" s="55" t="n"/>
      <c r="W227" s="58" t="n"/>
      <c r="X227" s="58" t="n"/>
      <c r="Y227" s="55" t="n"/>
      <c r="Z227" s="55" t="n"/>
      <c r="AA227" s="55" t="n"/>
      <c r="AB227" s="55" t="n"/>
      <c r="AC227" s="55" t="n"/>
      <c r="AD227" s="53" t="n"/>
      <c r="AE227" s="55" t="n"/>
      <c r="AF227" s="55" t="n"/>
      <c r="AG227" s="59" t="n"/>
      <c r="AH227" s="57" t="n"/>
      <c r="AI227" s="55" t="n"/>
      <c r="AJ227" s="55" t="n"/>
      <c r="AK227" s="55" t="n"/>
      <c r="AL227" s="55" t="n"/>
      <c r="AM227" s="56" t="n"/>
      <c r="AN227" s="55" t="n"/>
      <c r="AO227" s="55" t="n"/>
      <c r="AP227" s="55" t="n"/>
      <c r="AQ227" s="55" t="n"/>
      <c r="AR227" s="60">
        <f>IF(AND(C227="",E227=""),"",IF(A227="","⚠ Date manquante",IF(AND(C227="",E227&lt;&gt;"Dépense"),"⚠ Prospect manquant",IF(E227="","⚠ Action manquante",IF(AND(AU227=1,D227=""),"⚠ Canal manquant",IF(AND(W227&lt;&gt;"",COUNTIFS('Saisie'!$W$5:$W$2004,W227,'Saisie'!$C$5:$C$2004,"&lt;&gt;"&amp;C227)&gt;0),"⚠ Numéro déjà utilisé par un autre prospect",IF(AND(J227&lt;&gt;"",J227&lt;A227),"⚠ Relance avant la date de l'action",IF(A227&gt;TODAY(),"⚠ Date dans le futur","✓"))))))))</f>
        <v/>
      </c>
      <c r="AS227" s="61">
        <f>IF(AND(A227="",C227="",E227=""),"",ROW())</f>
        <v/>
      </c>
      <c r="AT227" s="61">
        <f>IF(E227&amp;F227="","",MAX(IFERROR(INDEX('Paramètres'!$J$6:$J$33,MATCH(E227,'Paramètres'!$I$6:$I$33,0)),0),IFERROR(INDEX('Paramètres'!$N$6:$N$17,MATCH(F227,'Paramètres'!$M$6:$M$17,0)),0)))</f>
        <v/>
      </c>
      <c r="AU227" s="61">
        <f>IF(E227="","",IFERROR(IF(INDEX('Paramètres'!$K$6:$K$33,MATCH(E227,'Paramètres'!$I$6:$I$33,0))="Oui",1,0),0))</f>
        <v/>
      </c>
      <c r="AV227" s="61">
        <f>IF(F227="","",IFERROR(IF(INDEX('Paramètres'!$O$6:$O$17,MATCH(F227,'Paramètres'!$M$6:$M$17,0))="Oui",1,0),0))</f>
        <v/>
      </c>
      <c r="AW227" s="62">
        <f>IF(E227="","",IF(G227&lt;&gt;"",G227,IF(OR(E227="Proposition envoyée",E227="Signature"),MAX(0,N(IFERROR(INDEX('Paramètres'!$R$6:$R$15,MATCH(IF(AL227&lt;&gt;"",AL227,IFERROR(INDEX('Prospects'!$AN$5:$AN$504,MATCH(C227,'Prospects'!$C$5:$C$504,0)),"")),'Paramètres'!$Q$6:$Q$15,0)),0))-N(P227)),0)))</f>
        <v/>
      </c>
      <c r="AX227" s="61">
        <f>IF(C227="","",IF(COUNTIF($C$5:C227,C227)=1,MAX($AX$4:AX226)+1,""))</f>
        <v/>
      </c>
      <c r="AY227" s="61">
        <f>IF(B227="","",HOUR(B227))</f>
        <v/>
      </c>
      <c r="AZ227" s="61">
        <f>IF(A227="","",MOD(A227-2,7)+1)</f>
        <v/>
      </c>
      <c r="BA227" s="60">
        <f>IF(C227="","",IFERROR(INDEX('Prospects'!$N$5:$N$504,MATCH(C227,'Prospects'!$C$5:$C$504,0)),""))</f>
        <v/>
      </c>
      <c r="BB227" s="61">
        <f>IF(AND(C227&lt;&gt;"",C227='Fiche prospect'!$C$4),COUNTIF($C$5:C227,C227),"")</f>
        <v/>
      </c>
    </row>
    <row r="228">
      <c r="A228" s="53" t="n"/>
      <c r="B228" s="54" t="n"/>
      <c r="C228" s="55" t="n"/>
      <c r="D228" s="55" t="n"/>
      <c r="E228" s="55" t="n"/>
      <c r="F228" s="55" t="n"/>
      <c r="G228" s="56" t="n"/>
      <c r="H228" s="57" t="n"/>
      <c r="I228" s="55" t="n"/>
      <c r="J228" s="53" t="n"/>
      <c r="K228" s="54" t="n"/>
      <c r="L228" s="55" t="n"/>
      <c r="M228" s="55" t="n"/>
      <c r="N228" s="57" t="n"/>
      <c r="O228" s="55" t="n"/>
      <c r="P228" s="56" t="n"/>
      <c r="Q228" s="55" t="n"/>
      <c r="R228" s="55" t="n"/>
      <c r="S228" s="55" t="n"/>
      <c r="T228" s="55" t="n"/>
      <c r="U228" s="55" t="n"/>
      <c r="V228" s="55" t="n"/>
      <c r="W228" s="58" t="n"/>
      <c r="X228" s="58" t="n"/>
      <c r="Y228" s="55" t="n"/>
      <c r="Z228" s="55" t="n"/>
      <c r="AA228" s="55" t="n"/>
      <c r="AB228" s="55" t="n"/>
      <c r="AC228" s="55" t="n"/>
      <c r="AD228" s="53" t="n"/>
      <c r="AE228" s="55" t="n"/>
      <c r="AF228" s="55" t="n"/>
      <c r="AG228" s="59" t="n"/>
      <c r="AH228" s="57" t="n"/>
      <c r="AI228" s="55" t="n"/>
      <c r="AJ228" s="55" t="n"/>
      <c r="AK228" s="55" t="n"/>
      <c r="AL228" s="55" t="n"/>
      <c r="AM228" s="56" t="n"/>
      <c r="AN228" s="55" t="n"/>
      <c r="AO228" s="55" t="n"/>
      <c r="AP228" s="55" t="n"/>
      <c r="AQ228" s="55" t="n"/>
      <c r="AR228" s="60">
        <f>IF(AND(C228="",E228=""),"",IF(A228="","⚠ Date manquante",IF(AND(C228="",E228&lt;&gt;"Dépense"),"⚠ Prospect manquant",IF(E228="","⚠ Action manquante",IF(AND(AU228=1,D228=""),"⚠ Canal manquant",IF(AND(W228&lt;&gt;"",COUNTIFS('Saisie'!$W$5:$W$2004,W228,'Saisie'!$C$5:$C$2004,"&lt;&gt;"&amp;C228)&gt;0),"⚠ Numéro déjà utilisé par un autre prospect",IF(AND(J228&lt;&gt;"",J228&lt;A228),"⚠ Relance avant la date de l'action",IF(A228&gt;TODAY(),"⚠ Date dans le futur","✓"))))))))</f>
        <v/>
      </c>
      <c r="AS228" s="61">
        <f>IF(AND(A228="",C228="",E228=""),"",ROW())</f>
        <v/>
      </c>
      <c r="AT228" s="61">
        <f>IF(E228&amp;F228="","",MAX(IFERROR(INDEX('Paramètres'!$J$6:$J$33,MATCH(E228,'Paramètres'!$I$6:$I$33,0)),0),IFERROR(INDEX('Paramètres'!$N$6:$N$17,MATCH(F228,'Paramètres'!$M$6:$M$17,0)),0)))</f>
        <v/>
      </c>
      <c r="AU228" s="61">
        <f>IF(E228="","",IFERROR(IF(INDEX('Paramètres'!$K$6:$K$33,MATCH(E228,'Paramètres'!$I$6:$I$33,0))="Oui",1,0),0))</f>
        <v/>
      </c>
      <c r="AV228" s="61">
        <f>IF(F228="","",IFERROR(IF(INDEX('Paramètres'!$O$6:$O$17,MATCH(F228,'Paramètres'!$M$6:$M$17,0))="Oui",1,0),0))</f>
        <v/>
      </c>
      <c r="AW228" s="62">
        <f>IF(E228="","",IF(G228&lt;&gt;"",G228,IF(OR(E228="Proposition envoyée",E228="Signature"),MAX(0,N(IFERROR(INDEX('Paramètres'!$R$6:$R$15,MATCH(IF(AL228&lt;&gt;"",AL228,IFERROR(INDEX('Prospects'!$AN$5:$AN$504,MATCH(C228,'Prospects'!$C$5:$C$504,0)),"")),'Paramètres'!$Q$6:$Q$15,0)),0))-N(P228)),0)))</f>
        <v/>
      </c>
      <c r="AX228" s="61">
        <f>IF(C228="","",IF(COUNTIF($C$5:C228,C228)=1,MAX($AX$4:AX227)+1,""))</f>
        <v/>
      </c>
      <c r="AY228" s="61">
        <f>IF(B228="","",HOUR(B228))</f>
        <v/>
      </c>
      <c r="AZ228" s="61">
        <f>IF(A228="","",MOD(A228-2,7)+1)</f>
        <v/>
      </c>
      <c r="BA228" s="60">
        <f>IF(C228="","",IFERROR(INDEX('Prospects'!$N$5:$N$504,MATCH(C228,'Prospects'!$C$5:$C$504,0)),""))</f>
        <v/>
      </c>
      <c r="BB228" s="61">
        <f>IF(AND(C228&lt;&gt;"",C228='Fiche prospect'!$C$4),COUNTIF($C$5:C228,C228),"")</f>
        <v/>
      </c>
    </row>
    <row r="229">
      <c r="A229" s="53" t="n"/>
      <c r="B229" s="54" t="n"/>
      <c r="C229" s="55" t="n"/>
      <c r="D229" s="55" t="n"/>
      <c r="E229" s="55" t="n"/>
      <c r="F229" s="55" t="n"/>
      <c r="G229" s="56" t="n"/>
      <c r="H229" s="57" t="n"/>
      <c r="I229" s="55" t="n"/>
      <c r="J229" s="53" t="n"/>
      <c r="K229" s="54" t="n"/>
      <c r="L229" s="55" t="n"/>
      <c r="M229" s="55" t="n"/>
      <c r="N229" s="57" t="n"/>
      <c r="O229" s="55" t="n"/>
      <c r="P229" s="56" t="n"/>
      <c r="Q229" s="55" t="n"/>
      <c r="R229" s="55" t="n"/>
      <c r="S229" s="55" t="n"/>
      <c r="T229" s="55" t="n"/>
      <c r="U229" s="55" t="n"/>
      <c r="V229" s="55" t="n"/>
      <c r="W229" s="58" t="n"/>
      <c r="X229" s="58" t="n"/>
      <c r="Y229" s="55" t="n"/>
      <c r="Z229" s="55" t="n"/>
      <c r="AA229" s="55" t="n"/>
      <c r="AB229" s="55" t="n"/>
      <c r="AC229" s="55" t="n"/>
      <c r="AD229" s="53" t="n"/>
      <c r="AE229" s="55" t="n"/>
      <c r="AF229" s="55" t="n"/>
      <c r="AG229" s="59" t="n"/>
      <c r="AH229" s="57" t="n"/>
      <c r="AI229" s="55" t="n"/>
      <c r="AJ229" s="55" t="n"/>
      <c r="AK229" s="55" t="n"/>
      <c r="AL229" s="55" t="n"/>
      <c r="AM229" s="56" t="n"/>
      <c r="AN229" s="55" t="n"/>
      <c r="AO229" s="55" t="n"/>
      <c r="AP229" s="55" t="n"/>
      <c r="AQ229" s="55" t="n"/>
      <c r="AR229" s="60">
        <f>IF(AND(C229="",E229=""),"",IF(A229="","⚠ Date manquante",IF(AND(C229="",E229&lt;&gt;"Dépense"),"⚠ Prospect manquant",IF(E229="","⚠ Action manquante",IF(AND(AU229=1,D229=""),"⚠ Canal manquant",IF(AND(W229&lt;&gt;"",COUNTIFS('Saisie'!$W$5:$W$2004,W229,'Saisie'!$C$5:$C$2004,"&lt;&gt;"&amp;C229)&gt;0),"⚠ Numéro déjà utilisé par un autre prospect",IF(AND(J229&lt;&gt;"",J229&lt;A229),"⚠ Relance avant la date de l'action",IF(A229&gt;TODAY(),"⚠ Date dans le futur","✓"))))))))</f>
        <v/>
      </c>
      <c r="AS229" s="61">
        <f>IF(AND(A229="",C229="",E229=""),"",ROW())</f>
        <v/>
      </c>
      <c r="AT229" s="61">
        <f>IF(E229&amp;F229="","",MAX(IFERROR(INDEX('Paramètres'!$J$6:$J$33,MATCH(E229,'Paramètres'!$I$6:$I$33,0)),0),IFERROR(INDEX('Paramètres'!$N$6:$N$17,MATCH(F229,'Paramètres'!$M$6:$M$17,0)),0)))</f>
        <v/>
      </c>
      <c r="AU229" s="61">
        <f>IF(E229="","",IFERROR(IF(INDEX('Paramètres'!$K$6:$K$33,MATCH(E229,'Paramètres'!$I$6:$I$33,0))="Oui",1,0),0))</f>
        <v/>
      </c>
      <c r="AV229" s="61">
        <f>IF(F229="","",IFERROR(IF(INDEX('Paramètres'!$O$6:$O$17,MATCH(F229,'Paramètres'!$M$6:$M$17,0))="Oui",1,0),0))</f>
        <v/>
      </c>
      <c r="AW229" s="62">
        <f>IF(E229="","",IF(G229&lt;&gt;"",G229,IF(OR(E229="Proposition envoyée",E229="Signature"),MAX(0,N(IFERROR(INDEX('Paramètres'!$R$6:$R$15,MATCH(IF(AL229&lt;&gt;"",AL229,IFERROR(INDEX('Prospects'!$AN$5:$AN$504,MATCH(C229,'Prospects'!$C$5:$C$504,0)),"")),'Paramètres'!$Q$6:$Q$15,0)),0))-N(P229)),0)))</f>
        <v/>
      </c>
      <c r="AX229" s="61">
        <f>IF(C229="","",IF(COUNTIF($C$5:C229,C229)=1,MAX($AX$4:AX228)+1,""))</f>
        <v/>
      </c>
      <c r="AY229" s="61">
        <f>IF(B229="","",HOUR(B229))</f>
        <v/>
      </c>
      <c r="AZ229" s="61">
        <f>IF(A229="","",MOD(A229-2,7)+1)</f>
        <v/>
      </c>
      <c r="BA229" s="60">
        <f>IF(C229="","",IFERROR(INDEX('Prospects'!$N$5:$N$504,MATCH(C229,'Prospects'!$C$5:$C$504,0)),""))</f>
        <v/>
      </c>
      <c r="BB229" s="61">
        <f>IF(AND(C229&lt;&gt;"",C229='Fiche prospect'!$C$4),COUNTIF($C$5:C229,C229),"")</f>
        <v/>
      </c>
    </row>
    <row r="230">
      <c r="A230" s="53" t="n"/>
      <c r="B230" s="54" t="n"/>
      <c r="C230" s="55" t="n"/>
      <c r="D230" s="55" t="n"/>
      <c r="E230" s="55" t="n"/>
      <c r="F230" s="55" t="n"/>
      <c r="G230" s="56" t="n"/>
      <c r="H230" s="57" t="n"/>
      <c r="I230" s="55" t="n"/>
      <c r="J230" s="53" t="n"/>
      <c r="K230" s="54" t="n"/>
      <c r="L230" s="55" t="n"/>
      <c r="M230" s="55" t="n"/>
      <c r="N230" s="57" t="n"/>
      <c r="O230" s="55" t="n"/>
      <c r="P230" s="56" t="n"/>
      <c r="Q230" s="55" t="n"/>
      <c r="R230" s="55" t="n"/>
      <c r="S230" s="55" t="n"/>
      <c r="T230" s="55" t="n"/>
      <c r="U230" s="55" t="n"/>
      <c r="V230" s="55" t="n"/>
      <c r="W230" s="58" t="n"/>
      <c r="X230" s="58" t="n"/>
      <c r="Y230" s="55" t="n"/>
      <c r="Z230" s="55" t="n"/>
      <c r="AA230" s="55" t="n"/>
      <c r="AB230" s="55" t="n"/>
      <c r="AC230" s="55" t="n"/>
      <c r="AD230" s="53" t="n"/>
      <c r="AE230" s="55" t="n"/>
      <c r="AF230" s="55" t="n"/>
      <c r="AG230" s="59" t="n"/>
      <c r="AH230" s="57" t="n"/>
      <c r="AI230" s="55" t="n"/>
      <c r="AJ230" s="55" t="n"/>
      <c r="AK230" s="55" t="n"/>
      <c r="AL230" s="55" t="n"/>
      <c r="AM230" s="56" t="n"/>
      <c r="AN230" s="55" t="n"/>
      <c r="AO230" s="55" t="n"/>
      <c r="AP230" s="55" t="n"/>
      <c r="AQ230" s="55" t="n"/>
      <c r="AR230" s="60">
        <f>IF(AND(C230="",E230=""),"",IF(A230="","⚠ Date manquante",IF(AND(C230="",E230&lt;&gt;"Dépense"),"⚠ Prospect manquant",IF(E230="","⚠ Action manquante",IF(AND(AU230=1,D230=""),"⚠ Canal manquant",IF(AND(W230&lt;&gt;"",COUNTIFS('Saisie'!$W$5:$W$2004,W230,'Saisie'!$C$5:$C$2004,"&lt;&gt;"&amp;C230)&gt;0),"⚠ Numéro déjà utilisé par un autre prospect",IF(AND(J230&lt;&gt;"",J230&lt;A230),"⚠ Relance avant la date de l'action",IF(A230&gt;TODAY(),"⚠ Date dans le futur","✓"))))))))</f>
        <v/>
      </c>
      <c r="AS230" s="61">
        <f>IF(AND(A230="",C230="",E230=""),"",ROW())</f>
        <v/>
      </c>
      <c r="AT230" s="61">
        <f>IF(E230&amp;F230="","",MAX(IFERROR(INDEX('Paramètres'!$J$6:$J$33,MATCH(E230,'Paramètres'!$I$6:$I$33,0)),0),IFERROR(INDEX('Paramètres'!$N$6:$N$17,MATCH(F230,'Paramètres'!$M$6:$M$17,0)),0)))</f>
        <v/>
      </c>
      <c r="AU230" s="61">
        <f>IF(E230="","",IFERROR(IF(INDEX('Paramètres'!$K$6:$K$33,MATCH(E230,'Paramètres'!$I$6:$I$33,0))="Oui",1,0),0))</f>
        <v/>
      </c>
      <c r="AV230" s="61">
        <f>IF(F230="","",IFERROR(IF(INDEX('Paramètres'!$O$6:$O$17,MATCH(F230,'Paramètres'!$M$6:$M$17,0))="Oui",1,0),0))</f>
        <v/>
      </c>
      <c r="AW230" s="62">
        <f>IF(E230="","",IF(G230&lt;&gt;"",G230,IF(OR(E230="Proposition envoyée",E230="Signature"),MAX(0,N(IFERROR(INDEX('Paramètres'!$R$6:$R$15,MATCH(IF(AL230&lt;&gt;"",AL230,IFERROR(INDEX('Prospects'!$AN$5:$AN$504,MATCH(C230,'Prospects'!$C$5:$C$504,0)),"")),'Paramètres'!$Q$6:$Q$15,0)),0))-N(P230)),0)))</f>
        <v/>
      </c>
      <c r="AX230" s="61">
        <f>IF(C230="","",IF(COUNTIF($C$5:C230,C230)=1,MAX($AX$4:AX229)+1,""))</f>
        <v/>
      </c>
      <c r="AY230" s="61">
        <f>IF(B230="","",HOUR(B230))</f>
        <v/>
      </c>
      <c r="AZ230" s="61">
        <f>IF(A230="","",MOD(A230-2,7)+1)</f>
        <v/>
      </c>
      <c r="BA230" s="60">
        <f>IF(C230="","",IFERROR(INDEX('Prospects'!$N$5:$N$504,MATCH(C230,'Prospects'!$C$5:$C$504,0)),""))</f>
        <v/>
      </c>
      <c r="BB230" s="61">
        <f>IF(AND(C230&lt;&gt;"",C230='Fiche prospect'!$C$4),COUNTIF($C$5:C230,C230),"")</f>
        <v/>
      </c>
    </row>
    <row r="231">
      <c r="A231" s="53" t="n"/>
      <c r="B231" s="54" t="n"/>
      <c r="C231" s="55" t="n"/>
      <c r="D231" s="55" t="n"/>
      <c r="E231" s="55" t="n"/>
      <c r="F231" s="55" t="n"/>
      <c r="G231" s="56" t="n"/>
      <c r="H231" s="57" t="n"/>
      <c r="I231" s="55" t="n"/>
      <c r="J231" s="53" t="n"/>
      <c r="K231" s="54" t="n"/>
      <c r="L231" s="55" t="n"/>
      <c r="M231" s="55" t="n"/>
      <c r="N231" s="57" t="n"/>
      <c r="O231" s="55" t="n"/>
      <c r="P231" s="56" t="n"/>
      <c r="Q231" s="55" t="n"/>
      <c r="R231" s="55" t="n"/>
      <c r="S231" s="55" t="n"/>
      <c r="T231" s="55" t="n"/>
      <c r="U231" s="55" t="n"/>
      <c r="V231" s="55" t="n"/>
      <c r="W231" s="58" t="n"/>
      <c r="X231" s="58" t="n"/>
      <c r="Y231" s="55" t="n"/>
      <c r="Z231" s="55" t="n"/>
      <c r="AA231" s="55" t="n"/>
      <c r="AB231" s="55" t="n"/>
      <c r="AC231" s="55" t="n"/>
      <c r="AD231" s="53" t="n"/>
      <c r="AE231" s="55" t="n"/>
      <c r="AF231" s="55" t="n"/>
      <c r="AG231" s="59" t="n"/>
      <c r="AH231" s="57" t="n"/>
      <c r="AI231" s="55" t="n"/>
      <c r="AJ231" s="55" t="n"/>
      <c r="AK231" s="55" t="n"/>
      <c r="AL231" s="55" t="n"/>
      <c r="AM231" s="56" t="n"/>
      <c r="AN231" s="55" t="n"/>
      <c r="AO231" s="55" t="n"/>
      <c r="AP231" s="55" t="n"/>
      <c r="AQ231" s="55" t="n"/>
      <c r="AR231" s="60">
        <f>IF(AND(C231="",E231=""),"",IF(A231="","⚠ Date manquante",IF(AND(C231="",E231&lt;&gt;"Dépense"),"⚠ Prospect manquant",IF(E231="","⚠ Action manquante",IF(AND(AU231=1,D231=""),"⚠ Canal manquant",IF(AND(W231&lt;&gt;"",COUNTIFS('Saisie'!$W$5:$W$2004,W231,'Saisie'!$C$5:$C$2004,"&lt;&gt;"&amp;C231)&gt;0),"⚠ Numéro déjà utilisé par un autre prospect",IF(AND(J231&lt;&gt;"",J231&lt;A231),"⚠ Relance avant la date de l'action",IF(A231&gt;TODAY(),"⚠ Date dans le futur","✓"))))))))</f>
        <v/>
      </c>
      <c r="AS231" s="61">
        <f>IF(AND(A231="",C231="",E231=""),"",ROW())</f>
        <v/>
      </c>
      <c r="AT231" s="61">
        <f>IF(E231&amp;F231="","",MAX(IFERROR(INDEX('Paramètres'!$J$6:$J$33,MATCH(E231,'Paramètres'!$I$6:$I$33,0)),0),IFERROR(INDEX('Paramètres'!$N$6:$N$17,MATCH(F231,'Paramètres'!$M$6:$M$17,0)),0)))</f>
        <v/>
      </c>
      <c r="AU231" s="61">
        <f>IF(E231="","",IFERROR(IF(INDEX('Paramètres'!$K$6:$K$33,MATCH(E231,'Paramètres'!$I$6:$I$33,0))="Oui",1,0),0))</f>
        <v/>
      </c>
      <c r="AV231" s="61">
        <f>IF(F231="","",IFERROR(IF(INDEX('Paramètres'!$O$6:$O$17,MATCH(F231,'Paramètres'!$M$6:$M$17,0))="Oui",1,0),0))</f>
        <v/>
      </c>
      <c r="AW231" s="62">
        <f>IF(E231="","",IF(G231&lt;&gt;"",G231,IF(OR(E231="Proposition envoyée",E231="Signature"),MAX(0,N(IFERROR(INDEX('Paramètres'!$R$6:$R$15,MATCH(IF(AL231&lt;&gt;"",AL231,IFERROR(INDEX('Prospects'!$AN$5:$AN$504,MATCH(C231,'Prospects'!$C$5:$C$504,0)),"")),'Paramètres'!$Q$6:$Q$15,0)),0))-N(P231)),0)))</f>
        <v/>
      </c>
      <c r="AX231" s="61">
        <f>IF(C231="","",IF(COUNTIF($C$5:C231,C231)=1,MAX($AX$4:AX230)+1,""))</f>
        <v/>
      </c>
      <c r="AY231" s="61">
        <f>IF(B231="","",HOUR(B231))</f>
        <v/>
      </c>
      <c r="AZ231" s="61">
        <f>IF(A231="","",MOD(A231-2,7)+1)</f>
        <v/>
      </c>
      <c r="BA231" s="60">
        <f>IF(C231="","",IFERROR(INDEX('Prospects'!$N$5:$N$504,MATCH(C231,'Prospects'!$C$5:$C$504,0)),""))</f>
        <v/>
      </c>
      <c r="BB231" s="61">
        <f>IF(AND(C231&lt;&gt;"",C231='Fiche prospect'!$C$4),COUNTIF($C$5:C231,C231),"")</f>
        <v/>
      </c>
    </row>
    <row r="232">
      <c r="A232" s="53" t="n"/>
      <c r="B232" s="54" t="n"/>
      <c r="C232" s="55" t="n"/>
      <c r="D232" s="55" t="n"/>
      <c r="E232" s="55" t="n"/>
      <c r="F232" s="55" t="n"/>
      <c r="G232" s="56" t="n"/>
      <c r="H232" s="57" t="n"/>
      <c r="I232" s="55" t="n"/>
      <c r="J232" s="53" t="n"/>
      <c r="K232" s="54" t="n"/>
      <c r="L232" s="55" t="n"/>
      <c r="M232" s="55" t="n"/>
      <c r="N232" s="57" t="n"/>
      <c r="O232" s="55" t="n"/>
      <c r="P232" s="56" t="n"/>
      <c r="Q232" s="55" t="n"/>
      <c r="R232" s="55" t="n"/>
      <c r="S232" s="55" t="n"/>
      <c r="T232" s="55" t="n"/>
      <c r="U232" s="55" t="n"/>
      <c r="V232" s="55" t="n"/>
      <c r="W232" s="58" t="n"/>
      <c r="X232" s="58" t="n"/>
      <c r="Y232" s="55" t="n"/>
      <c r="Z232" s="55" t="n"/>
      <c r="AA232" s="55" t="n"/>
      <c r="AB232" s="55" t="n"/>
      <c r="AC232" s="55" t="n"/>
      <c r="AD232" s="53" t="n"/>
      <c r="AE232" s="55" t="n"/>
      <c r="AF232" s="55" t="n"/>
      <c r="AG232" s="59" t="n"/>
      <c r="AH232" s="57" t="n"/>
      <c r="AI232" s="55" t="n"/>
      <c r="AJ232" s="55" t="n"/>
      <c r="AK232" s="55" t="n"/>
      <c r="AL232" s="55" t="n"/>
      <c r="AM232" s="56" t="n"/>
      <c r="AN232" s="55" t="n"/>
      <c r="AO232" s="55" t="n"/>
      <c r="AP232" s="55" t="n"/>
      <c r="AQ232" s="55" t="n"/>
      <c r="AR232" s="60">
        <f>IF(AND(C232="",E232=""),"",IF(A232="","⚠ Date manquante",IF(AND(C232="",E232&lt;&gt;"Dépense"),"⚠ Prospect manquant",IF(E232="","⚠ Action manquante",IF(AND(AU232=1,D232=""),"⚠ Canal manquant",IF(AND(W232&lt;&gt;"",COUNTIFS('Saisie'!$W$5:$W$2004,W232,'Saisie'!$C$5:$C$2004,"&lt;&gt;"&amp;C232)&gt;0),"⚠ Numéro déjà utilisé par un autre prospect",IF(AND(J232&lt;&gt;"",J232&lt;A232),"⚠ Relance avant la date de l'action",IF(A232&gt;TODAY(),"⚠ Date dans le futur","✓"))))))))</f>
        <v/>
      </c>
      <c r="AS232" s="61">
        <f>IF(AND(A232="",C232="",E232=""),"",ROW())</f>
        <v/>
      </c>
      <c r="AT232" s="61">
        <f>IF(E232&amp;F232="","",MAX(IFERROR(INDEX('Paramètres'!$J$6:$J$33,MATCH(E232,'Paramètres'!$I$6:$I$33,0)),0),IFERROR(INDEX('Paramètres'!$N$6:$N$17,MATCH(F232,'Paramètres'!$M$6:$M$17,0)),0)))</f>
        <v/>
      </c>
      <c r="AU232" s="61">
        <f>IF(E232="","",IFERROR(IF(INDEX('Paramètres'!$K$6:$K$33,MATCH(E232,'Paramètres'!$I$6:$I$33,0))="Oui",1,0),0))</f>
        <v/>
      </c>
      <c r="AV232" s="61">
        <f>IF(F232="","",IFERROR(IF(INDEX('Paramètres'!$O$6:$O$17,MATCH(F232,'Paramètres'!$M$6:$M$17,0))="Oui",1,0),0))</f>
        <v/>
      </c>
      <c r="AW232" s="62">
        <f>IF(E232="","",IF(G232&lt;&gt;"",G232,IF(OR(E232="Proposition envoyée",E232="Signature"),MAX(0,N(IFERROR(INDEX('Paramètres'!$R$6:$R$15,MATCH(IF(AL232&lt;&gt;"",AL232,IFERROR(INDEX('Prospects'!$AN$5:$AN$504,MATCH(C232,'Prospects'!$C$5:$C$504,0)),"")),'Paramètres'!$Q$6:$Q$15,0)),0))-N(P232)),0)))</f>
        <v/>
      </c>
      <c r="AX232" s="61">
        <f>IF(C232="","",IF(COUNTIF($C$5:C232,C232)=1,MAX($AX$4:AX231)+1,""))</f>
        <v/>
      </c>
      <c r="AY232" s="61">
        <f>IF(B232="","",HOUR(B232))</f>
        <v/>
      </c>
      <c r="AZ232" s="61">
        <f>IF(A232="","",MOD(A232-2,7)+1)</f>
        <v/>
      </c>
      <c r="BA232" s="60">
        <f>IF(C232="","",IFERROR(INDEX('Prospects'!$N$5:$N$504,MATCH(C232,'Prospects'!$C$5:$C$504,0)),""))</f>
        <v/>
      </c>
      <c r="BB232" s="61">
        <f>IF(AND(C232&lt;&gt;"",C232='Fiche prospect'!$C$4),COUNTIF($C$5:C232,C232),"")</f>
        <v/>
      </c>
    </row>
    <row r="233">
      <c r="A233" s="53" t="n"/>
      <c r="B233" s="54" t="n"/>
      <c r="C233" s="55" t="n"/>
      <c r="D233" s="55" t="n"/>
      <c r="E233" s="55" t="n"/>
      <c r="F233" s="55" t="n"/>
      <c r="G233" s="56" t="n"/>
      <c r="H233" s="57" t="n"/>
      <c r="I233" s="55" t="n"/>
      <c r="J233" s="53" t="n"/>
      <c r="K233" s="54" t="n"/>
      <c r="L233" s="55" t="n"/>
      <c r="M233" s="55" t="n"/>
      <c r="N233" s="57" t="n"/>
      <c r="O233" s="55" t="n"/>
      <c r="P233" s="56" t="n"/>
      <c r="Q233" s="55" t="n"/>
      <c r="R233" s="55" t="n"/>
      <c r="S233" s="55" t="n"/>
      <c r="T233" s="55" t="n"/>
      <c r="U233" s="55" t="n"/>
      <c r="V233" s="55" t="n"/>
      <c r="W233" s="58" t="n"/>
      <c r="X233" s="58" t="n"/>
      <c r="Y233" s="55" t="n"/>
      <c r="Z233" s="55" t="n"/>
      <c r="AA233" s="55" t="n"/>
      <c r="AB233" s="55" t="n"/>
      <c r="AC233" s="55" t="n"/>
      <c r="AD233" s="53" t="n"/>
      <c r="AE233" s="55" t="n"/>
      <c r="AF233" s="55" t="n"/>
      <c r="AG233" s="59" t="n"/>
      <c r="AH233" s="57" t="n"/>
      <c r="AI233" s="55" t="n"/>
      <c r="AJ233" s="55" t="n"/>
      <c r="AK233" s="55" t="n"/>
      <c r="AL233" s="55" t="n"/>
      <c r="AM233" s="56" t="n"/>
      <c r="AN233" s="55" t="n"/>
      <c r="AO233" s="55" t="n"/>
      <c r="AP233" s="55" t="n"/>
      <c r="AQ233" s="55" t="n"/>
      <c r="AR233" s="60">
        <f>IF(AND(C233="",E233=""),"",IF(A233="","⚠ Date manquante",IF(AND(C233="",E233&lt;&gt;"Dépense"),"⚠ Prospect manquant",IF(E233="","⚠ Action manquante",IF(AND(AU233=1,D233=""),"⚠ Canal manquant",IF(AND(W233&lt;&gt;"",COUNTIFS('Saisie'!$W$5:$W$2004,W233,'Saisie'!$C$5:$C$2004,"&lt;&gt;"&amp;C233)&gt;0),"⚠ Numéro déjà utilisé par un autre prospect",IF(AND(J233&lt;&gt;"",J233&lt;A233),"⚠ Relance avant la date de l'action",IF(A233&gt;TODAY(),"⚠ Date dans le futur","✓"))))))))</f>
        <v/>
      </c>
      <c r="AS233" s="61">
        <f>IF(AND(A233="",C233="",E233=""),"",ROW())</f>
        <v/>
      </c>
      <c r="AT233" s="61">
        <f>IF(E233&amp;F233="","",MAX(IFERROR(INDEX('Paramètres'!$J$6:$J$33,MATCH(E233,'Paramètres'!$I$6:$I$33,0)),0),IFERROR(INDEX('Paramètres'!$N$6:$N$17,MATCH(F233,'Paramètres'!$M$6:$M$17,0)),0)))</f>
        <v/>
      </c>
      <c r="AU233" s="61">
        <f>IF(E233="","",IFERROR(IF(INDEX('Paramètres'!$K$6:$K$33,MATCH(E233,'Paramètres'!$I$6:$I$33,0))="Oui",1,0),0))</f>
        <v/>
      </c>
      <c r="AV233" s="61">
        <f>IF(F233="","",IFERROR(IF(INDEX('Paramètres'!$O$6:$O$17,MATCH(F233,'Paramètres'!$M$6:$M$17,0))="Oui",1,0),0))</f>
        <v/>
      </c>
      <c r="AW233" s="62">
        <f>IF(E233="","",IF(G233&lt;&gt;"",G233,IF(OR(E233="Proposition envoyée",E233="Signature"),MAX(0,N(IFERROR(INDEX('Paramètres'!$R$6:$R$15,MATCH(IF(AL233&lt;&gt;"",AL233,IFERROR(INDEX('Prospects'!$AN$5:$AN$504,MATCH(C233,'Prospects'!$C$5:$C$504,0)),"")),'Paramètres'!$Q$6:$Q$15,0)),0))-N(P233)),0)))</f>
        <v/>
      </c>
      <c r="AX233" s="61">
        <f>IF(C233="","",IF(COUNTIF($C$5:C233,C233)=1,MAX($AX$4:AX232)+1,""))</f>
        <v/>
      </c>
      <c r="AY233" s="61">
        <f>IF(B233="","",HOUR(B233))</f>
        <v/>
      </c>
      <c r="AZ233" s="61">
        <f>IF(A233="","",MOD(A233-2,7)+1)</f>
        <v/>
      </c>
      <c r="BA233" s="60">
        <f>IF(C233="","",IFERROR(INDEX('Prospects'!$N$5:$N$504,MATCH(C233,'Prospects'!$C$5:$C$504,0)),""))</f>
        <v/>
      </c>
      <c r="BB233" s="61">
        <f>IF(AND(C233&lt;&gt;"",C233='Fiche prospect'!$C$4),COUNTIF($C$5:C233,C233),"")</f>
        <v/>
      </c>
    </row>
    <row r="234">
      <c r="A234" s="53" t="n"/>
      <c r="B234" s="54" t="n"/>
      <c r="C234" s="55" t="n"/>
      <c r="D234" s="55" t="n"/>
      <c r="E234" s="55" t="n"/>
      <c r="F234" s="55" t="n"/>
      <c r="G234" s="56" t="n"/>
      <c r="H234" s="57" t="n"/>
      <c r="I234" s="55" t="n"/>
      <c r="J234" s="53" t="n"/>
      <c r="K234" s="54" t="n"/>
      <c r="L234" s="55" t="n"/>
      <c r="M234" s="55" t="n"/>
      <c r="N234" s="57" t="n"/>
      <c r="O234" s="55" t="n"/>
      <c r="P234" s="56" t="n"/>
      <c r="Q234" s="55" t="n"/>
      <c r="R234" s="55" t="n"/>
      <c r="S234" s="55" t="n"/>
      <c r="T234" s="55" t="n"/>
      <c r="U234" s="55" t="n"/>
      <c r="V234" s="55" t="n"/>
      <c r="W234" s="58" t="n"/>
      <c r="X234" s="58" t="n"/>
      <c r="Y234" s="55" t="n"/>
      <c r="Z234" s="55" t="n"/>
      <c r="AA234" s="55" t="n"/>
      <c r="AB234" s="55" t="n"/>
      <c r="AC234" s="55" t="n"/>
      <c r="AD234" s="53" t="n"/>
      <c r="AE234" s="55" t="n"/>
      <c r="AF234" s="55" t="n"/>
      <c r="AG234" s="59" t="n"/>
      <c r="AH234" s="57" t="n"/>
      <c r="AI234" s="55" t="n"/>
      <c r="AJ234" s="55" t="n"/>
      <c r="AK234" s="55" t="n"/>
      <c r="AL234" s="55" t="n"/>
      <c r="AM234" s="56" t="n"/>
      <c r="AN234" s="55" t="n"/>
      <c r="AO234" s="55" t="n"/>
      <c r="AP234" s="55" t="n"/>
      <c r="AQ234" s="55" t="n"/>
      <c r="AR234" s="60">
        <f>IF(AND(C234="",E234=""),"",IF(A234="","⚠ Date manquante",IF(AND(C234="",E234&lt;&gt;"Dépense"),"⚠ Prospect manquant",IF(E234="","⚠ Action manquante",IF(AND(AU234=1,D234=""),"⚠ Canal manquant",IF(AND(W234&lt;&gt;"",COUNTIFS('Saisie'!$W$5:$W$2004,W234,'Saisie'!$C$5:$C$2004,"&lt;&gt;"&amp;C234)&gt;0),"⚠ Numéro déjà utilisé par un autre prospect",IF(AND(J234&lt;&gt;"",J234&lt;A234),"⚠ Relance avant la date de l'action",IF(A234&gt;TODAY(),"⚠ Date dans le futur","✓"))))))))</f>
        <v/>
      </c>
      <c r="AS234" s="61">
        <f>IF(AND(A234="",C234="",E234=""),"",ROW())</f>
        <v/>
      </c>
      <c r="AT234" s="61">
        <f>IF(E234&amp;F234="","",MAX(IFERROR(INDEX('Paramètres'!$J$6:$J$33,MATCH(E234,'Paramètres'!$I$6:$I$33,0)),0),IFERROR(INDEX('Paramètres'!$N$6:$N$17,MATCH(F234,'Paramètres'!$M$6:$M$17,0)),0)))</f>
        <v/>
      </c>
      <c r="AU234" s="61">
        <f>IF(E234="","",IFERROR(IF(INDEX('Paramètres'!$K$6:$K$33,MATCH(E234,'Paramètres'!$I$6:$I$33,0))="Oui",1,0),0))</f>
        <v/>
      </c>
      <c r="AV234" s="61">
        <f>IF(F234="","",IFERROR(IF(INDEX('Paramètres'!$O$6:$O$17,MATCH(F234,'Paramètres'!$M$6:$M$17,0))="Oui",1,0),0))</f>
        <v/>
      </c>
      <c r="AW234" s="62">
        <f>IF(E234="","",IF(G234&lt;&gt;"",G234,IF(OR(E234="Proposition envoyée",E234="Signature"),MAX(0,N(IFERROR(INDEX('Paramètres'!$R$6:$R$15,MATCH(IF(AL234&lt;&gt;"",AL234,IFERROR(INDEX('Prospects'!$AN$5:$AN$504,MATCH(C234,'Prospects'!$C$5:$C$504,0)),"")),'Paramètres'!$Q$6:$Q$15,0)),0))-N(P234)),0)))</f>
        <v/>
      </c>
      <c r="AX234" s="61">
        <f>IF(C234="","",IF(COUNTIF($C$5:C234,C234)=1,MAX($AX$4:AX233)+1,""))</f>
        <v/>
      </c>
      <c r="AY234" s="61">
        <f>IF(B234="","",HOUR(B234))</f>
        <v/>
      </c>
      <c r="AZ234" s="61">
        <f>IF(A234="","",MOD(A234-2,7)+1)</f>
        <v/>
      </c>
      <c r="BA234" s="60">
        <f>IF(C234="","",IFERROR(INDEX('Prospects'!$N$5:$N$504,MATCH(C234,'Prospects'!$C$5:$C$504,0)),""))</f>
        <v/>
      </c>
      <c r="BB234" s="61">
        <f>IF(AND(C234&lt;&gt;"",C234='Fiche prospect'!$C$4),COUNTIF($C$5:C234,C234),"")</f>
        <v/>
      </c>
    </row>
    <row r="235">
      <c r="A235" s="53" t="n"/>
      <c r="B235" s="54" t="n"/>
      <c r="C235" s="55" t="n"/>
      <c r="D235" s="55" t="n"/>
      <c r="E235" s="55" t="n"/>
      <c r="F235" s="55" t="n"/>
      <c r="G235" s="56" t="n"/>
      <c r="H235" s="57" t="n"/>
      <c r="I235" s="55" t="n"/>
      <c r="J235" s="53" t="n"/>
      <c r="K235" s="54" t="n"/>
      <c r="L235" s="55" t="n"/>
      <c r="M235" s="55" t="n"/>
      <c r="N235" s="57" t="n"/>
      <c r="O235" s="55" t="n"/>
      <c r="P235" s="56" t="n"/>
      <c r="Q235" s="55" t="n"/>
      <c r="R235" s="55" t="n"/>
      <c r="S235" s="55" t="n"/>
      <c r="T235" s="55" t="n"/>
      <c r="U235" s="55" t="n"/>
      <c r="V235" s="55" t="n"/>
      <c r="W235" s="58" t="n"/>
      <c r="X235" s="58" t="n"/>
      <c r="Y235" s="55" t="n"/>
      <c r="Z235" s="55" t="n"/>
      <c r="AA235" s="55" t="n"/>
      <c r="AB235" s="55" t="n"/>
      <c r="AC235" s="55" t="n"/>
      <c r="AD235" s="53" t="n"/>
      <c r="AE235" s="55" t="n"/>
      <c r="AF235" s="55" t="n"/>
      <c r="AG235" s="59" t="n"/>
      <c r="AH235" s="57" t="n"/>
      <c r="AI235" s="55" t="n"/>
      <c r="AJ235" s="55" t="n"/>
      <c r="AK235" s="55" t="n"/>
      <c r="AL235" s="55" t="n"/>
      <c r="AM235" s="56" t="n"/>
      <c r="AN235" s="55" t="n"/>
      <c r="AO235" s="55" t="n"/>
      <c r="AP235" s="55" t="n"/>
      <c r="AQ235" s="55" t="n"/>
      <c r="AR235" s="60">
        <f>IF(AND(C235="",E235=""),"",IF(A235="","⚠ Date manquante",IF(AND(C235="",E235&lt;&gt;"Dépense"),"⚠ Prospect manquant",IF(E235="","⚠ Action manquante",IF(AND(AU235=1,D235=""),"⚠ Canal manquant",IF(AND(W235&lt;&gt;"",COUNTIFS('Saisie'!$W$5:$W$2004,W235,'Saisie'!$C$5:$C$2004,"&lt;&gt;"&amp;C235)&gt;0),"⚠ Numéro déjà utilisé par un autre prospect",IF(AND(J235&lt;&gt;"",J235&lt;A235),"⚠ Relance avant la date de l'action",IF(A235&gt;TODAY(),"⚠ Date dans le futur","✓"))))))))</f>
        <v/>
      </c>
      <c r="AS235" s="61">
        <f>IF(AND(A235="",C235="",E235=""),"",ROW())</f>
        <v/>
      </c>
      <c r="AT235" s="61">
        <f>IF(E235&amp;F235="","",MAX(IFERROR(INDEX('Paramètres'!$J$6:$J$33,MATCH(E235,'Paramètres'!$I$6:$I$33,0)),0),IFERROR(INDEX('Paramètres'!$N$6:$N$17,MATCH(F235,'Paramètres'!$M$6:$M$17,0)),0)))</f>
        <v/>
      </c>
      <c r="AU235" s="61">
        <f>IF(E235="","",IFERROR(IF(INDEX('Paramètres'!$K$6:$K$33,MATCH(E235,'Paramètres'!$I$6:$I$33,0))="Oui",1,0),0))</f>
        <v/>
      </c>
      <c r="AV235" s="61">
        <f>IF(F235="","",IFERROR(IF(INDEX('Paramètres'!$O$6:$O$17,MATCH(F235,'Paramètres'!$M$6:$M$17,0))="Oui",1,0),0))</f>
        <v/>
      </c>
      <c r="AW235" s="62">
        <f>IF(E235="","",IF(G235&lt;&gt;"",G235,IF(OR(E235="Proposition envoyée",E235="Signature"),MAX(0,N(IFERROR(INDEX('Paramètres'!$R$6:$R$15,MATCH(IF(AL235&lt;&gt;"",AL235,IFERROR(INDEX('Prospects'!$AN$5:$AN$504,MATCH(C235,'Prospects'!$C$5:$C$504,0)),"")),'Paramètres'!$Q$6:$Q$15,0)),0))-N(P235)),0)))</f>
        <v/>
      </c>
      <c r="AX235" s="61">
        <f>IF(C235="","",IF(COUNTIF($C$5:C235,C235)=1,MAX($AX$4:AX234)+1,""))</f>
        <v/>
      </c>
      <c r="AY235" s="61">
        <f>IF(B235="","",HOUR(B235))</f>
        <v/>
      </c>
      <c r="AZ235" s="61">
        <f>IF(A235="","",MOD(A235-2,7)+1)</f>
        <v/>
      </c>
      <c r="BA235" s="60">
        <f>IF(C235="","",IFERROR(INDEX('Prospects'!$N$5:$N$504,MATCH(C235,'Prospects'!$C$5:$C$504,0)),""))</f>
        <v/>
      </c>
      <c r="BB235" s="61">
        <f>IF(AND(C235&lt;&gt;"",C235='Fiche prospect'!$C$4),COUNTIF($C$5:C235,C235),"")</f>
        <v/>
      </c>
    </row>
    <row r="236">
      <c r="A236" s="53" t="n"/>
      <c r="B236" s="54" t="n"/>
      <c r="C236" s="55" t="n"/>
      <c r="D236" s="55" t="n"/>
      <c r="E236" s="55" t="n"/>
      <c r="F236" s="55" t="n"/>
      <c r="G236" s="56" t="n"/>
      <c r="H236" s="57" t="n"/>
      <c r="I236" s="55" t="n"/>
      <c r="J236" s="53" t="n"/>
      <c r="K236" s="54" t="n"/>
      <c r="L236" s="55" t="n"/>
      <c r="M236" s="55" t="n"/>
      <c r="N236" s="57" t="n"/>
      <c r="O236" s="55" t="n"/>
      <c r="P236" s="56" t="n"/>
      <c r="Q236" s="55" t="n"/>
      <c r="R236" s="55" t="n"/>
      <c r="S236" s="55" t="n"/>
      <c r="T236" s="55" t="n"/>
      <c r="U236" s="55" t="n"/>
      <c r="V236" s="55" t="n"/>
      <c r="W236" s="58" t="n"/>
      <c r="X236" s="58" t="n"/>
      <c r="Y236" s="55" t="n"/>
      <c r="Z236" s="55" t="n"/>
      <c r="AA236" s="55" t="n"/>
      <c r="AB236" s="55" t="n"/>
      <c r="AC236" s="55" t="n"/>
      <c r="AD236" s="53" t="n"/>
      <c r="AE236" s="55" t="n"/>
      <c r="AF236" s="55" t="n"/>
      <c r="AG236" s="59" t="n"/>
      <c r="AH236" s="57" t="n"/>
      <c r="AI236" s="55" t="n"/>
      <c r="AJ236" s="55" t="n"/>
      <c r="AK236" s="55" t="n"/>
      <c r="AL236" s="55" t="n"/>
      <c r="AM236" s="56" t="n"/>
      <c r="AN236" s="55" t="n"/>
      <c r="AO236" s="55" t="n"/>
      <c r="AP236" s="55" t="n"/>
      <c r="AQ236" s="55" t="n"/>
      <c r="AR236" s="60">
        <f>IF(AND(C236="",E236=""),"",IF(A236="","⚠ Date manquante",IF(AND(C236="",E236&lt;&gt;"Dépense"),"⚠ Prospect manquant",IF(E236="","⚠ Action manquante",IF(AND(AU236=1,D236=""),"⚠ Canal manquant",IF(AND(W236&lt;&gt;"",COUNTIFS('Saisie'!$W$5:$W$2004,W236,'Saisie'!$C$5:$C$2004,"&lt;&gt;"&amp;C236)&gt;0),"⚠ Numéro déjà utilisé par un autre prospect",IF(AND(J236&lt;&gt;"",J236&lt;A236),"⚠ Relance avant la date de l'action",IF(A236&gt;TODAY(),"⚠ Date dans le futur","✓"))))))))</f>
        <v/>
      </c>
      <c r="AS236" s="61">
        <f>IF(AND(A236="",C236="",E236=""),"",ROW())</f>
        <v/>
      </c>
      <c r="AT236" s="61">
        <f>IF(E236&amp;F236="","",MAX(IFERROR(INDEX('Paramètres'!$J$6:$J$33,MATCH(E236,'Paramètres'!$I$6:$I$33,0)),0),IFERROR(INDEX('Paramètres'!$N$6:$N$17,MATCH(F236,'Paramètres'!$M$6:$M$17,0)),0)))</f>
        <v/>
      </c>
      <c r="AU236" s="61">
        <f>IF(E236="","",IFERROR(IF(INDEX('Paramètres'!$K$6:$K$33,MATCH(E236,'Paramètres'!$I$6:$I$33,0))="Oui",1,0),0))</f>
        <v/>
      </c>
      <c r="AV236" s="61">
        <f>IF(F236="","",IFERROR(IF(INDEX('Paramètres'!$O$6:$O$17,MATCH(F236,'Paramètres'!$M$6:$M$17,0))="Oui",1,0),0))</f>
        <v/>
      </c>
      <c r="AW236" s="62">
        <f>IF(E236="","",IF(G236&lt;&gt;"",G236,IF(OR(E236="Proposition envoyée",E236="Signature"),MAX(0,N(IFERROR(INDEX('Paramètres'!$R$6:$R$15,MATCH(IF(AL236&lt;&gt;"",AL236,IFERROR(INDEX('Prospects'!$AN$5:$AN$504,MATCH(C236,'Prospects'!$C$5:$C$504,0)),"")),'Paramètres'!$Q$6:$Q$15,0)),0))-N(P236)),0)))</f>
        <v/>
      </c>
      <c r="AX236" s="61">
        <f>IF(C236="","",IF(COUNTIF($C$5:C236,C236)=1,MAX($AX$4:AX235)+1,""))</f>
        <v/>
      </c>
      <c r="AY236" s="61">
        <f>IF(B236="","",HOUR(B236))</f>
        <v/>
      </c>
      <c r="AZ236" s="61">
        <f>IF(A236="","",MOD(A236-2,7)+1)</f>
        <v/>
      </c>
      <c r="BA236" s="60">
        <f>IF(C236="","",IFERROR(INDEX('Prospects'!$N$5:$N$504,MATCH(C236,'Prospects'!$C$5:$C$504,0)),""))</f>
        <v/>
      </c>
      <c r="BB236" s="61">
        <f>IF(AND(C236&lt;&gt;"",C236='Fiche prospect'!$C$4),COUNTIF($C$5:C236,C236),"")</f>
        <v/>
      </c>
    </row>
    <row r="237">
      <c r="A237" s="53" t="n"/>
      <c r="B237" s="54" t="n"/>
      <c r="C237" s="55" t="n"/>
      <c r="D237" s="55" t="n"/>
      <c r="E237" s="55" t="n"/>
      <c r="F237" s="55" t="n"/>
      <c r="G237" s="56" t="n"/>
      <c r="H237" s="57" t="n"/>
      <c r="I237" s="55" t="n"/>
      <c r="J237" s="53" t="n"/>
      <c r="K237" s="54" t="n"/>
      <c r="L237" s="55" t="n"/>
      <c r="M237" s="55" t="n"/>
      <c r="N237" s="57" t="n"/>
      <c r="O237" s="55" t="n"/>
      <c r="P237" s="56" t="n"/>
      <c r="Q237" s="55" t="n"/>
      <c r="R237" s="55" t="n"/>
      <c r="S237" s="55" t="n"/>
      <c r="T237" s="55" t="n"/>
      <c r="U237" s="55" t="n"/>
      <c r="V237" s="55" t="n"/>
      <c r="W237" s="58" t="n"/>
      <c r="X237" s="58" t="n"/>
      <c r="Y237" s="55" t="n"/>
      <c r="Z237" s="55" t="n"/>
      <c r="AA237" s="55" t="n"/>
      <c r="AB237" s="55" t="n"/>
      <c r="AC237" s="55" t="n"/>
      <c r="AD237" s="53" t="n"/>
      <c r="AE237" s="55" t="n"/>
      <c r="AF237" s="55" t="n"/>
      <c r="AG237" s="59" t="n"/>
      <c r="AH237" s="57" t="n"/>
      <c r="AI237" s="55" t="n"/>
      <c r="AJ237" s="55" t="n"/>
      <c r="AK237" s="55" t="n"/>
      <c r="AL237" s="55" t="n"/>
      <c r="AM237" s="56" t="n"/>
      <c r="AN237" s="55" t="n"/>
      <c r="AO237" s="55" t="n"/>
      <c r="AP237" s="55" t="n"/>
      <c r="AQ237" s="55" t="n"/>
      <c r="AR237" s="60">
        <f>IF(AND(C237="",E237=""),"",IF(A237="","⚠ Date manquante",IF(AND(C237="",E237&lt;&gt;"Dépense"),"⚠ Prospect manquant",IF(E237="","⚠ Action manquante",IF(AND(AU237=1,D237=""),"⚠ Canal manquant",IF(AND(W237&lt;&gt;"",COUNTIFS('Saisie'!$W$5:$W$2004,W237,'Saisie'!$C$5:$C$2004,"&lt;&gt;"&amp;C237)&gt;0),"⚠ Numéro déjà utilisé par un autre prospect",IF(AND(J237&lt;&gt;"",J237&lt;A237),"⚠ Relance avant la date de l'action",IF(A237&gt;TODAY(),"⚠ Date dans le futur","✓"))))))))</f>
        <v/>
      </c>
      <c r="AS237" s="61">
        <f>IF(AND(A237="",C237="",E237=""),"",ROW())</f>
        <v/>
      </c>
      <c r="AT237" s="61">
        <f>IF(E237&amp;F237="","",MAX(IFERROR(INDEX('Paramètres'!$J$6:$J$33,MATCH(E237,'Paramètres'!$I$6:$I$33,0)),0),IFERROR(INDEX('Paramètres'!$N$6:$N$17,MATCH(F237,'Paramètres'!$M$6:$M$17,0)),0)))</f>
        <v/>
      </c>
      <c r="AU237" s="61">
        <f>IF(E237="","",IFERROR(IF(INDEX('Paramètres'!$K$6:$K$33,MATCH(E237,'Paramètres'!$I$6:$I$33,0))="Oui",1,0),0))</f>
        <v/>
      </c>
      <c r="AV237" s="61">
        <f>IF(F237="","",IFERROR(IF(INDEX('Paramètres'!$O$6:$O$17,MATCH(F237,'Paramètres'!$M$6:$M$17,0))="Oui",1,0),0))</f>
        <v/>
      </c>
      <c r="AW237" s="62">
        <f>IF(E237="","",IF(G237&lt;&gt;"",G237,IF(OR(E237="Proposition envoyée",E237="Signature"),MAX(0,N(IFERROR(INDEX('Paramètres'!$R$6:$R$15,MATCH(IF(AL237&lt;&gt;"",AL237,IFERROR(INDEX('Prospects'!$AN$5:$AN$504,MATCH(C237,'Prospects'!$C$5:$C$504,0)),"")),'Paramètres'!$Q$6:$Q$15,0)),0))-N(P237)),0)))</f>
        <v/>
      </c>
      <c r="AX237" s="61">
        <f>IF(C237="","",IF(COUNTIF($C$5:C237,C237)=1,MAX($AX$4:AX236)+1,""))</f>
        <v/>
      </c>
      <c r="AY237" s="61">
        <f>IF(B237="","",HOUR(B237))</f>
        <v/>
      </c>
      <c r="AZ237" s="61">
        <f>IF(A237="","",MOD(A237-2,7)+1)</f>
        <v/>
      </c>
      <c r="BA237" s="60">
        <f>IF(C237="","",IFERROR(INDEX('Prospects'!$N$5:$N$504,MATCH(C237,'Prospects'!$C$5:$C$504,0)),""))</f>
        <v/>
      </c>
      <c r="BB237" s="61">
        <f>IF(AND(C237&lt;&gt;"",C237='Fiche prospect'!$C$4),COUNTIF($C$5:C237,C237),"")</f>
        <v/>
      </c>
    </row>
    <row r="238">
      <c r="A238" s="53" t="n"/>
      <c r="B238" s="54" t="n"/>
      <c r="C238" s="55" t="n"/>
      <c r="D238" s="55" t="n"/>
      <c r="E238" s="55" t="n"/>
      <c r="F238" s="55" t="n"/>
      <c r="G238" s="56" t="n"/>
      <c r="H238" s="57" t="n"/>
      <c r="I238" s="55" t="n"/>
      <c r="J238" s="53" t="n"/>
      <c r="K238" s="54" t="n"/>
      <c r="L238" s="55" t="n"/>
      <c r="M238" s="55" t="n"/>
      <c r="N238" s="57" t="n"/>
      <c r="O238" s="55" t="n"/>
      <c r="P238" s="56" t="n"/>
      <c r="Q238" s="55" t="n"/>
      <c r="R238" s="55" t="n"/>
      <c r="S238" s="55" t="n"/>
      <c r="T238" s="55" t="n"/>
      <c r="U238" s="55" t="n"/>
      <c r="V238" s="55" t="n"/>
      <c r="W238" s="58" t="n"/>
      <c r="X238" s="58" t="n"/>
      <c r="Y238" s="55" t="n"/>
      <c r="Z238" s="55" t="n"/>
      <c r="AA238" s="55" t="n"/>
      <c r="AB238" s="55" t="n"/>
      <c r="AC238" s="55" t="n"/>
      <c r="AD238" s="53" t="n"/>
      <c r="AE238" s="55" t="n"/>
      <c r="AF238" s="55" t="n"/>
      <c r="AG238" s="59" t="n"/>
      <c r="AH238" s="57" t="n"/>
      <c r="AI238" s="55" t="n"/>
      <c r="AJ238" s="55" t="n"/>
      <c r="AK238" s="55" t="n"/>
      <c r="AL238" s="55" t="n"/>
      <c r="AM238" s="56" t="n"/>
      <c r="AN238" s="55" t="n"/>
      <c r="AO238" s="55" t="n"/>
      <c r="AP238" s="55" t="n"/>
      <c r="AQ238" s="55" t="n"/>
      <c r="AR238" s="60">
        <f>IF(AND(C238="",E238=""),"",IF(A238="","⚠ Date manquante",IF(AND(C238="",E238&lt;&gt;"Dépense"),"⚠ Prospect manquant",IF(E238="","⚠ Action manquante",IF(AND(AU238=1,D238=""),"⚠ Canal manquant",IF(AND(W238&lt;&gt;"",COUNTIFS('Saisie'!$W$5:$W$2004,W238,'Saisie'!$C$5:$C$2004,"&lt;&gt;"&amp;C238)&gt;0),"⚠ Numéro déjà utilisé par un autre prospect",IF(AND(J238&lt;&gt;"",J238&lt;A238),"⚠ Relance avant la date de l'action",IF(A238&gt;TODAY(),"⚠ Date dans le futur","✓"))))))))</f>
        <v/>
      </c>
      <c r="AS238" s="61">
        <f>IF(AND(A238="",C238="",E238=""),"",ROW())</f>
        <v/>
      </c>
      <c r="AT238" s="61">
        <f>IF(E238&amp;F238="","",MAX(IFERROR(INDEX('Paramètres'!$J$6:$J$33,MATCH(E238,'Paramètres'!$I$6:$I$33,0)),0),IFERROR(INDEX('Paramètres'!$N$6:$N$17,MATCH(F238,'Paramètres'!$M$6:$M$17,0)),0)))</f>
        <v/>
      </c>
      <c r="AU238" s="61">
        <f>IF(E238="","",IFERROR(IF(INDEX('Paramètres'!$K$6:$K$33,MATCH(E238,'Paramètres'!$I$6:$I$33,0))="Oui",1,0),0))</f>
        <v/>
      </c>
      <c r="AV238" s="61">
        <f>IF(F238="","",IFERROR(IF(INDEX('Paramètres'!$O$6:$O$17,MATCH(F238,'Paramètres'!$M$6:$M$17,0))="Oui",1,0),0))</f>
        <v/>
      </c>
      <c r="AW238" s="62">
        <f>IF(E238="","",IF(G238&lt;&gt;"",G238,IF(OR(E238="Proposition envoyée",E238="Signature"),MAX(0,N(IFERROR(INDEX('Paramètres'!$R$6:$R$15,MATCH(IF(AL238&lt;&gt;"",AL238,IFERROR(INDEX('Prospects'!$AN$5:$AN$504,MATCH(C238,'Prospects'!$C$5:$C$504,0)),"")),'Paramètres'!$Q$6:$Q$15,0)),0))-N(P238)),0)))</f>
        <v/>
      </c>
      <c r="AX238" s="61">
        <f>IF(C238="","",IF(COUNTIF($C$5:C238,C238)=1,MAX($AX$4:AX237)+1,""))</f>
        <v/>
      </c>
      <c r="AY238" s="61">
        <f>IF(B238="","",HOUR(B238))</f>
        <v/>
      </c>
      <c r="AZ238" s="61">
        <f>IF(A238="","",MOD(A238-2,7)+1)</f>
        <v/>
      </c>
      <c r="BA238" s="60">
        <f>IF(C238="","",IFERROR(INDEX('Prospects'!$N$5:$N$504,MATCH(C238,'Prospects'!$C$5:$C$504,0)),""))</f>
        <v/>
      </c>
      <c r="BB238" s="61">
        <f>IF(AND(C238&lt;&gt;"",C238='Fiche prospect'!$C$4),COUNTIF($C$5:C238,C238),"")</f>
        <v/>
      </c>
    </row>
    <row r="239">
      <c r="A239" s="53" t="n"/>
      <c r="B239" s="54" t="n"/>
      <c r="C239" s="55" t="n"/>
      <c r="D239" s="55" t="n"/>
      <c r="E239" s="55" t="n"/>
      <c r="F239" s="55" t="n"/>
      <c r="G239" s="56" t="n"/>
      <c r="H239" s="57" t="n"/>
      <c r="I239" s="55" t="n"/>
      <c r="J239" s="53" t="n"/>
      <c r="K239" s="54" t="n"/>
      <c r="L239" s="55" t="n"/>
      <c r="M239" s="55" t="n"/>
      <c r="N239" s="57" t="n"/>
      <c r="O239" s="55" t="n"/>
      <c r="P239" s="56" t="n"/>
      <c r="Q239" s="55" t="n"/>
      <c r="R239" s="55" t="n"/>
      <c r="S239" s="55" t="n"/>
      <c r="T239" s="55" t="n"/>
      <c r="U239" s="55" t="n"/>
      <c r="V239" s="55" t="n"/>
      <c r="W239" s="58" t="n"/>
      <c r="X239" s="58" t="n"/>
      <c r="Y239" s="55" t="n"/>
      <c r="Z239" s="55" t="n"/>
      <c r="AA239" s="55" t="n"/>
      <c r="AB239" s="55" t="n"/>
      <c r="AC239" s="55" t="n"/>
      <c r="AD239" s="53" t="n"/>
      <c r="AE239" s="55" t="n"/>
      <c r="AF239" s="55" t="n"/>
      <c r="AG239" s="59" t="n"/>
      <c r="AH239" s="57" t="n"/>
      <c r="AI239" s="55" t="n"/>
      <c r="AJ239" s="55" t="n"/>
      <c r="AK239" s="55" t="n"/>
      <c r="AL239" s="55" t="n"/>
      <c r="AM239" s="56" t="n"/>
      <c r="AN239" s="55" t="n"/>
      <c r="AO239" s="55" t="n"/>
      <c r="AP239" s="55" t="n"/>
      <c r="AQ239" s="55" t="n"/>
      <c r="AR239" s="60">
        <f>IF(AND(C239="",E239=""),"",IF(A239="","⚠ Date manquante",IF(AND(C239="",E239&lt;&gt;"Dépense"),"⚠ Prospect manquant",IF(E239="","⚠ Action manquante",IF(AND(AU239=1,D239=""),"⚠ Canal manquant",IF(AND(W239&lt;&gt;"",COUNTIFS('Saisie'!$W$5:$W$2004,W239,'Saisie'!$C$5:$C$2004,"&lt;&gt;"&amp;C239)&gt;0),"⚠ Numéro déjà utilisé par un autre prospect",IF(AND(J239&lt;&gt;"",J239&lt;A239),"⚠ Relance avant la date de l'action",IF(A239&gt;TODAY(),"⚠ Date dans le futur","✓"))))))))</f>
        <v/>
      </c>
      <c r="AS239" s="61">
        <f>IF(AND(A239="",C239="",E239=""),"",ROW())</f>
        <v/>
      </c>
      <c r="AT239" s="61">
        <f>IF(E239&amp;F239="","",MAX(IFERROR(INDEX('Paramètres'!$J$6:$J$33,MATCH(E239,'Paramètres'!$I$6:$I$33,0)),0),IFERROR(INDEX('Paramètres'!$N$6:$N$17,MATCH(F239,'Paramètres'!$M$6:$M$17,0)),0)))</f>
        <v/>
      </c>
      <c r="AU239" s="61">
        <f>IF(E239="","",IFERROR(IF(INDEX('Paramètres'!$K$6:$K$33,MATCH(E239,'Paramètres'!$I$6:$I$33,0))="Oui",1,0),0))</f>
        <v/>
      </c>
      <c r="AV239" s="61">
        <f>IF(F239="","",IFERROR(IF(INDEX('Paramètres'!$O$6:$O$17,MATCH(F239,'Paramètres'!$M$6:$M$17,0))="Oui",1,0),0))</f>
        <v/>
      </c>
      <c r="AW239" s="62">
        <f>IF(E239="","",IF(G239&lt;&gt;"",G239,IF(OR(E239="Proposition envoyée",E239="Signature"),MAX(0,N(IFERROR(INDEX('Paramètres'!$R$6:$R$15,MATCH(IF(AL239&lt;&gt;"",AL239,IFERROR(INDEX('Prospects'!$AN$5:$AN$504,MATCH(C239,'Prospects'!$C$5:$C$504,0)),"")),'Paramètres'!$Q$6:$Q$15,0)),0))-N(P239)),0)))</f>
        <v/>
      </c>
      <c r="AX239" s="61">
        <f>IF(C239="","",IF(COUNTIF($C$5:C239,C239)=1,MAX($AX$4:AX238)+1,""))</f>
        <v/>
      </c>
      <c r="AY239" s="61">
        <f>IF(B239="","",HOUR(B239))</f>
        <v/>
      </c>
      <c r="AZ239" s="61">
        <f>IF(A239="","",MOD(A239-2,7)+1)</f>
        <v/>
      </c>
      <c r="BA239" s="60">
        <f>IF(C239="","",IFERROR(INDEX('Prospects'!$N$5:$N$504,MATCH(C239,'Prospects'!$C$5:$C$504,0)),""))</f>
        <v/>
      </c>
      <c r="BB239" s="61">
        <f>IF(AND(C239&lt;&gt;"",C239='Fiche prospect'!$C$4),COUNTIF($C$5:C239,C239),"")</f>
        <v/>
      </c>
    </row>
    <row r="240">
      <c r="A240" s="53" t="n"/>
      <c r="B240" s="54" t="n"/>
      <c r="C240" s="55" t="n"/>
      <c r="D240" s="55" t="n"/>
      <c r="E240" s="55" t="n"/>
      <c r="F240" s="55" t="n"/>
      <c r="G240" s="56" t="n"/>
      <c r="H240" s="57" t="n"/>
      <c r="I240" s="55" t="n"/>
      <c r="J240" s="53" t="n"/>
      <c r="K240" s="54" t="n"/>
      <c r="L240" s="55" t="n"/>
      <c r="M240" s="55" t="n"/>
      <c r="N240" s="57" t="n"/>
      <c r="O240" s="55" t="n"/>
      <c r="P240" s="56" t="n"/>
      <c r="Q240" s="55" t="n"/>
      <c r="R240" s="55" t="n"/>
      <c r="S240" s="55" t="n"/>
      <c r="T240" s="55" t="n"/>
      <c r="U240" s="55" t="n"/>
      <c r="V240" s="55" t="n"/>
      <c r="W240" s="58" t="n"/>
      <c r="X240" s="58" t="n"/>
      <c r="Y240" s="55" t="n"/>
      <c r="Z240" s="55" t="n"/>
      <c r="AA240" s="55" t="n"/>
      <c r="AB240" s="55" t="n"/>
      <c r="AC240" s="55" t="n"/>
      <c r="AD240" s="53" t="n"/>
      <c r="AE240" s="55" t="n"/>
      <c r="AF240" s="55" t="n"/>
      <c r="AG240" s="59" t="n"/>
      <c r="AH240" s="57" t="n"/>
      <c r="AI240" s="55" t="n"/>
      <c r="AJ240" s="55" t="n"/>
      <c r="AK240" s="55" t="n"/>
      <c r="AL240" s="55" t="n"/>
      <c r="AM240" s="56" t="n"/>
      <c r="AN240" s="55" t="n"/>
      <c r="AO240" s="55" t="n"/>
      <c r="AP240" s="55" t="n"/>
      <c r="AQ240" s="55" t="n"/>
      <c r="AR240" s="60">
        <f>IF(AND(C240="",E240=""),"",IF(A240="","⚠ Date manquante",IF(AND(C240="",E240&lt;&gt;"Dépense"),"⚠ Prospect manquant",IF(E240="","⚠ Action manquante",IF(AND(AU240=1,D240=""),"⚠ Canal manquant",IF(AND(W240&lt;&gt;"",COUNTIFS('Saisie'!$W$5:$W$2004,W240,'Saisie'!$C$5:$C$2004,"&lt;&gt;"&amp;C240)&gt;0),"⚠ Numéro déjà utilisé par un autre prospect",IF(AND(J240&lt;&gt;"",J240&lt;A240),"⚠ Relance avant la date de l'action",IF(A240&gt;TODAY(),"⚠ Date dans le futur","✓"))))))))</f>
        <v/>
      </c>
      <c r="AS240" s="61">
        <f>IF(AND(A240="",C240="",E240=""),"",ROW())</f>
        <v/>
      </c>
      <c r="AT240" s="61">
        <f>IF(E240&amp;F240="","",MAX(IFERROR(INDEX('Paramètres'!$J$6:$J$33,MATCH(E240,'Paramètres'!$I$6:$I$33,0)),0),IFERROR(INDEX('Paramètres'!$N$6:$N$17,MATCH(F240,'Paramètres'!$M$6:$M$17,0)),0)))</f>
        <v/>
      </c>
      <c r="AU240" s="61">
        <f>IF(E240="","",IFERROR(IF(INDEX('Paramètres'!$K$6:$K$33,MATCH(E240,'Paramètres'!$I$6:$I$33,0))="Oui",1,0),0))</f>
        <v/>
      </c>
      <c r="AV240" s="61">
        <f>IF(F240="","",IFERROR(IF(INDEX('Paramètres'!$O$6:$O$17,MATCH(F240,'Paramètres'!$M$6:$M$17,0))="Oui",1,0),0))</f>
        <v/>
      </c>
      <c r="AW240" s="62">
        <f>IF(E240="","",IF(G240&lt;&gt;"",G240,IF(OR(E240="Proposition envoyée",E240="Signature"),MAX(0,N(IFERROR(INDEX('Paramètres'!$R$6:$R$15,MATCH(IF(AL240&lt;&gt;"",AL240,IFERROR(INDEX('Prospects'!$AN$5:$AN$504,MATCH(C240,'Prospects'!$C$5:$C$504,0)),"")),'Paramètres'!$Q$6:$Q$15,0)),0))-N(P240)),0)))</f>
        <v/>
      </c>
      <c r="AX240" s="61">
        <f>IF(C240="","",IF(COUNTIF($C$5:C240,C240)=1,MAX($AX$4:AX239)+1,""))</f>
        <v/>
      </c>
      <c r="AY240" s="61">
        <f>IF(B240="","",HOUR(B240))</f>
        <v/>
      </c>
      <c r="AZ240" s="61">
        <f>IF(A240="","",MOD(A240-2,7)+1)</f>
        <v/>
      </c>
      <c r="BA240" s="60">
        <f>IF(C240="","",IFERROR(INDEX('Prospects'!$N$5:$N$504,MATCH(C240,'Prospects'!$C$5:$C$504,0)),""))</f>
        <v/>
      </c>
      <c r="BB240" s="61">
        <f>IF(AND(C240&lt;&gt;"",C240='Fiche prospect'!$C$4),COUNTIF($C$5:C240,C240),"")</f>
        <v/>
      </c>
    </row>
    <row r="241">
      <c r="A241" s="53" t="n"/>
      <c r="B241" s="54" t="n"/>
      <c r="C241" s="55" t="n"/>
      <c r="D241" s="55" t="n"/>
      <c r="E241" s="55" t="n"/>
      <c r="F241" s="55" t="n"/>
      <c r="G241" s="56" t="n"/>
      <c r="H241" s="57" t="n"/>
      <c r="I241" s="55" t="n"/>
      <c r="J241" s="53" t="n"/>
      <c r="K241" s="54" t="n"/>
      <c r="L241" s="55" t="n"/>
      <c r="M241" s="55" t="n"/>
      <c r="N241" s="57" t="n"/>
      <c r="O241" s="55" t="n"/>
      <c r="P241" s="56" t="n"/>
      <c r="Q241" s="55" t="n"/>
      <c r="R241" s="55" t="n"/>
      <c r="S241" s="55" t="n"/>
      <c r="T241" s="55" t="n"/>
      <c r="U241" s="55" t="n"/>
      <c r="V241" s="55" t="n"/>
      <c r="W241" s="58" t="n"/>
      <c r="X241" s="58" t="n"/>
      <c r="Y241" s="55" t="n"/>
      <c r="Z241" s="55" t="n"/>
      <c r="AA241" s="55" t="n"/>
      <c r="AB241" s="55" t="n"/>
      <c r="AC241" s="55" t="n"/>
      <c r="AD241" s="53" t="n"/>
      <c r="AE241" s="55" t="n"/>
      <c r="AF241" s="55" t="n"/>
      <c r="AG241" s="59" t="n"/>
      <c r="AH241" s="57" t="n"/>
      <c r="AI241" s="55" t="n"/>
      <c r="AJ241" s="55" t="n"/>
      <c r="AK241" s="55" t="n"/>
      <c r="AL241" s="55" t="n"/>
      <c r="AM241" s="56" t="n"/>
      <c r="AN241" s="55" t="n"/>
      <c r="AO241" s="55" t="n"/>
      <c r="AP241" s="55" t="n"/>
      <c r="AQ241" s="55" t="n"/>
      <c r="AR241" s="60">
        <f>IF(AND(C241="",E241=""),"",IF(A241="","⚠ Date manquante",IF(AND(C241="",E241&lt;&gt;"Dépense"),"⚠ Prospect manquant",IF(E241="","⚠ Action manquante",IF(AND(AU241=1,D241=""),"⚠ Canal manquant",IF(AND(W241&lt;&gt;"",COUNTIFS('Saisie'!$W$5:$W$2004,W241,'Saisie'!$C$5:$C$2004,"&lt;&gt;"&amp;C241)&gt;0),"⚠ Numéro déjà utilisé par un autre prospect",IF(AND(J241&lt;&gt;"",J241&lt;A241),"⚠ Relance avant la date de l'action",IF(A241&gt;TODAY(),"⚠ Date dans le futur","✓"))))))))</f>
        <v/>
      </c>
      <c r="AS241" s="61">
        <f>IF(AND(A241="",C241="",E241=""),"",ROW())</f>
        <v/>
      </c>
      <c r="AT241" s="61">
        <f>IF(E241&amp;F241="","",MAX(IFERROR(INDEX('Paramètres'!$J$6:$J$33,MATCH(E241,'Paramètres'!$I$6:$I$33,0)),0),IFERROR(INDEX('Paramètres'!$N$6:$N$17,MATCH(F241,'Paramètres'!$M$6:$M$17,0)),0)))</f>
        <v/>
      </c>
      <c r="AU241" s="61">
        <f>IF(E241="","",IFERROR(IF(INDEX('Paramètres'!$K$6:$K$33,MATCH(E241,'Paramètres'!$I$6:$I$33,0))="Oui",1,0),0))</f>
        <v/>
      </c>
      <c r="AV241" s="61">
        <f>IF(F241="","",IFERROR(IF(INDEX('Paramètres'!$O$6:$O$17,MATCH(F241,'Paramètres'!$M$6:$M$17,0))="Oui",1,0),0))</f>
        <v/>
      </c>
      <c r="AW241" s="62">
        <f>IF(E241="","",IF(G241&lt;&gt;"",G241,IF(OR(E241="Proposition envoyée",E241="Signature"),MAX(0,N(IFERROR(INDEX('Paramètres'!$R$6:$R$15,MATCH(IF(AL241&lt;&gt;"",AL241,IFERROR(INDEX('Prospects'!$AN$5:$AN$504,MATCH(C241,'Prospects'!$C$5:$C$504,0)),"")),'Paramètres'!$Q$6:$Q$15,0)),0))-N(P241)),0)))</f>
        <v/>
      </c>
      <c r="AX241" s="61">
        <f>IF(C241="","",IF(COUNTIF($C$5:C241,C241)=1,MAX($AX$4:AX240)+1,""))</f>
        <v/>
      </c>
      <c r="AY241" s="61">
        <f>IF(B241="","",HOUR(B241))</f>
        <v/>
      </c>
      <c r="AZ241" s="61">
        <f>IF(A241="","",MOD(A241-2,7)+1)</f>
        <v/>
      </c>
      <c r="BA241" s="60">
        <f>IF(C241="","",IFERROR(INDEX('Prospects'!$N$5:$N$504,MATCH(C241,'Prospects'!$C$5:$C$504,0)),""))</f>
        <v/>
      </c>
      <c r="BB241" s="61">
        <f>IF(AND(C241&lt;&gt;"",C241='Fiche prospect'!$C$4),COUNTIF($C$5:C241,C241),"")</f>
        <v/>
      </c>
    </row>
    <row r="242">
      <c r="A242" s="53" t="n"/>
      <c r="B242" s="54" t="n"/>
      <c r="C242" s="55" t="n"/>
      <c r="D242" s="55" t="n"/>
      <c r="E242" s="55" t="n"/>
      <c r="F242" s="55" t="n"/>
      <c r="G242" s="56" t="n"/>
      <c r="H242" s="57" t="n"/>
      <c r="I242" s="55" t="n"/>
      <c r="J242" s="53" t="n"/>
      <c r="K242" s="54" t="n"/>
      <c r="L242" s="55" t="n"/>
      <c r="M242" s="55" t="n"/>
      <c r="N242" s="57" t="n"/>
      <c r="O242" s="55" t="n"/>
      <c r="P242" s="56" t="n"/>
      <c r="Q242" s="55" t="n"/>
      <c r="R242" s="55" t="n"/>
      <c r="S242" s="55" t="n"/>
      <c r="T242" s="55" t="n"/>
      <c r="U242" s="55" t="n"/>
      <c r="V242" s="55" t="n"/>
      <c r="W242" s="58" t="n"/>
      <c r="X242" s="58" t="n"/>
      <c r="Y242" s="55" t="n"/>
      <c r="Z242" s="55" t="n"/>
      <c r="AA242" s="55" t="n"/>
      <c r="AB242" s="55" t="n"/>
      <c r="AC242" s="55" t="n"/>
      <c r="AD242" s="53" t="n"/>
      <c r="AE242" s="55" t="n"/>
      <c r="AF242" s="55" t="n"/>
      <c r="AG242" s="59" t="n"/>
      <c r="AH242" s="57" t="n"/>
      <c r="AI242" s="55" t="n"/>
      <c r="AJ242" s="55" t="n"/>
      <c r="AK242" s="55" t="n"/>
      <c r="AL242" s="55" t="n"/>
      <c r="AM242" s="56" t="n"/>
      <c r="AN242" s="55" t="n"/>
      <c r="AO242" s="55" t="n"/>
      <c r="AP242" s="55" t="n"/>
      <c r="AQ242" s="55" t="n"/>
      <c r="AR242" s="60">
        <f>IF(AND(C242="",E242=""),"",IF(A242="","⚠ Date manquante",IF(AND(C242="",E242&lt;&gt;"Dépense"),"⚠ Prospect manquant",IF(E242="","⚠ Action manquante",IF(AND(AU242=1,D242=""),"⚠ Canal manquant",IF(AND(W242&lt;&gt;"",COUNTIFS('Saisie'!$W$5:$W$2004,W242,'Saisie'!$C$5:$C$2004,"&lt;&gt;"&amp;C242)&gt;0),"⚠ Numéro déjà utilisé par un autre prospect",IF(AND(J242&lt;&gt;"",J242&lt;A242),"⚠ Relance avant la date de l'action",IF(A242&gt;TODAY(),"⚠ Date dans le futur","✓"))))))))</f>
        <v/>
      </c>
      <c r="AS242" s="61">
        <f>IF(AND(A242="",C242="",E242=""),"",ROW())</f>
        <v/>
      </c>
      <c r="AT242" s="61">
        <f>IF(E242&amp;F242="","",MAX(IFERROR(INDEX('Paramètres'!$J$6:$J$33,MATCH(E242,'Paramètres'!$I$6:$I$33,0)),0),IFERROR(INDEX('Paramètres'!$N$6:$N$17,MATCH(F242,'Paramètres'!$M$6:$M$17,0)),0)))</f>
        <v/>
      </c>
      <c r="AU242" s="61">
        <f>IF(E242="","",IFERROR(IF(INDEX('Paramètres'!$K$6:$K$33,MATCH(E242,'Paramètres'!$I$6:$I$33,0))="Oui",1,0),0))</f>
        <v/>
      </c>
      <c r="AV242" s="61">
        <f>IF(F242="","",IFERROR(IF(INDEX('Paramètres'!$O$6:$O$17,MATCH(F242,'Paramètres'!$M$6:$M$17,0))="Oui",1,0),0))</f>
        <v/>
      </c>
      <c r="AW242" s="62">
        <f>IF(E242="","",IF(G242&lt;&gt;"",G242,IF(OR(E242="Proposition envoyée",E242="Signature"),MAX(0,N(IFERROR(INDEX('Paramètres'!$R$6:$R$15,MATCH(IF(AL242&lt;&gt;"",AL242,IFERROR(INDEX('Prospects'!$AN$5:$AN$504,MATCH(C242,'Prospects'!$C$5:$C$504,0)),"")),'Paramètres'!$Q$6:$Q$15,0)),0))-N(P242)),0)))</f>
        <v/>
      </c>
      <c r="AX242" s="61">
        <f>IF(C242="","",IF(COUNTIF($C$5:C242,C242)=1,MAX($AX$4:AX241)+1,""))</f>
        <v/>
      </c>
      <c r="AY242" s="61">
        <f>IF(B242="","",HOUR(B242))</f>
        <v/>
      </c>
      <c r="AZ242" s="61">
        <f>IF(A242="","",MOD(A242-2,7)+1)</f>
        <v/>
      </c>
      <c r="BA242" s="60">
        <f>IF(C242="","",IFERROR(INDEX('Prospects'!$N$5:$N$504,MATCH(C242,'Prospects'!$C$5:$C$504,0)),""))</f>
        <v/>
      </c>
      <c r="BB242" s="61">
        <f>IF(AND(C242&lt;&gt;"",C242='Fiche prospect'!$C$4),COUNTIF($C$5:C242,C242),"")</f>
        <v/>
      </c>
    </row>
    <row r="243">
      <c r="A243" s="53" t="n"/>
      <c r="B243" s="54" t="n"/>
      <c r="C243" s="55" t="n"/>
      <c r="D243" s="55" t="n"/>
      <c r="E243" s="55" t="n"/>
      <c r="F243" s="55" t="n"/>
      <c r="G243" s="56" t="n"/>
      <c r="H243" s="57" t="n"/>
      <c r="I243" s="55" t="n"/>
      <c r="J243" s="53" t="n"/>
      <c r="K243" s="54" t="n"/>
      <c r="L243" s="55" t="n"/>
      <c r="M243" s="55" t="n"/>
      <c r="N243" s="57" t="n"/>
      <c r="O243" s="55" t="n"/>
      <c r="P243" s="56" t="n"/>
      <c r="Q243" s="55" t="n"/>
      <c r="R243" s="55" t="n"/>
      <c r="S243" s="55" t="n"/>
      <c r="T243" s="55" t="n"/>
      <c r="U243" s="55" t="n"/>
      <c r="V243" s="55" t="n"/>
      <c r="W243" s="58" t="n"/>
      <c r="X243" s="58" t="n"/>
      <c r="Y243" s="55" t="n"/>
      <c r="Z243" s="55" t="n"/>
      <c r="AA243" s="55" t="n"/>
      <c r="AB243" s="55" t="n"/>
      <c r="AC243" s="55" t="n"/>
      <c r="AD243" s="53" t="n"/>
      <c r="AE243" s="55" t="n"/>
      <c r="AF243" s="55" t="n"/>
      <c r="AG243" s="59" t="n"/>
      <c r="AH243" s="57" t="n"/>
      <c r="AI243" s="55" t="n"/>
      <c r="AJ243" s="55" t="n"/>
      <c r="AK243" s="55" t="n"/>
      <c r="AL243" s="55" t="n"/>
      <c r="AM243" s="56" t="n"/>
      <c r="AN243" s="55" t="n"/>
      <c r="AO243" s="55" t="n"/>
      <c r="AP243" s="55" t="n"/>
      <c r="AQ243" s="55" t="n"/>
      <c r="AR243" s="60">
        <f>IF(AND(C243="",E243=""),"",IF(A243="","⚠ Date manquante",IF(AND(C243="",E243&lt;&gt;"Dépense"),"⚠ Prospect manquant",IF(E243="","⚠ Action manquante",IF(AND(AU243=1,D243=""),"⚠ Canal manquant",IF(AND(W243&lt;&gt;"",COUNTIFS('Saisie'!$W$5:$W$2004,W243,'Saisie'!$C$5:$C$2004,"&lt;&gt;"&amp;C243)&gt;0),"⚠ Numéro déjà utilisé par un autre prospect",IF(AND(J243&lt;&gt;"",J243&lt;A243),"⚠ Relance avant la date de l'action",IF(A243&gt;TODAY(),"⚠ Date dans le futur","✓"))))))))</f>
        <v/>
      </c>
      <c r="AS243" s="61">
        <f>IF(AND(A243="",C243="",E243=""),"",ROW())</f>
        <v/>
      </c>
      <c r="AT243" s="61">
        <f>IF(E243&amp;F243="","",MAX(IFERROR(INDEX('Paramètres'!$J$6:$J$33,MATCH(E243,'Paramètres'!$I$6:$I$33,0)),0),IFERROR(INDEX('Paramètres'!$N$6:$N$17,MATCH(F243,'Paramètres'!$M$6:$M$17,0)),0)))</f>
        <v/>
      </c>
      <c r="AU243" s="61">
        <f>IF(E243="","",IFERROR(IF(INDEX('Paramètres'!$K$6:$K$33,MATCH(E243,'Paramètres'!$I$6:$I$33,0))="Oui",1,0),0))</f>
        <v/>
      </c>
      <c r="AV243" s="61">
        <f>IF(F243="","",IFERROR(IF(INDEX('Paramètres'!$O$6:$O$17,MATCH(F243,'Paramètres'!$M$6:$M$17,0))="Oui",1,0),0))</f>
        <v/>
      </c>
      <c r="AW243" s="62">
        <f>IF(E243="","",IF(G243&lt;&gt;"",G243,IF(OR(E243="Proposition envoyée",E243="Signature"),MAX(0,N(IFERROR(INDEX('Paramètres'!$R$6:$R$15,MATCH(IF(AL243&lt;&gt;"",AL243,IFERROR(INDEX('Prospects'!$AN$5:$AN$504,MATCH(C243,'Prospects'!$C$5:$C$504,0)),"")),'Paramètres'!$Q$6:$Q$15,0)),0))-N(P243)),0)))</f>
        <v/>
      </c>
      <c r="AX243" s="61">
        <f>IF(C243="","",IF(COUNTIF($C$5:C243,C243)=1,MAX($AX$4:AX242)+1,""))</f>
        <v/>
      </c>
      <c r="AY243" s="61">
        <f>IF(B243="","",HOUR(B243))</f>
        <v/>
      </c>
      <c r="AZ243" s="61">
        <f>IF(A243="","",MOD(A243-2,7)+1)</f>
        <v/>
      </c>
      <c r="BA243" s="60">
        <f>IF(C243="","",IFERROR(INDEX('Prospects'!$N$5:$N$504,MATCH(C243,'Prospects'!$C$5:$C$504,0)),""))</f>
        <v/>
      </c>
      <c r="BB243" s="61">
        <f>IF(AND(C243&lt;&gt;"",C243='Fiche prospect'!$C$4),COUNTIF($C$5:C243,C243),"")</f>
        <v/>
      </c>
    </row>
    <row r="244">
      <c r="A244" s="53" t="n"/>
      <c r="B244" s="54" t="n"/>
      <c r="C244" s="55" t="n"/>
      <c r="D244" s="55" t="n"/>
      <c r="E244" s="55" t="n"/>
      <c r="F244" s="55" t="n"/>
      <c r="G244" s="56" t="n"/>
      <c r="H244" s="57" t="n"/>
      <c r="I244" s="55" t="n"/>
      <c r="J244" s="53" t="n"/>
      <c r="K244" s="54" t="n"/>
      <c r="L244" s="55" t="n"/>
      <c r="M244" s="55" t="n"/>
      <c r="N244" s="57" t="n"/>
      <c r="O244" s="55" t="n"/>
      <c r="P244" s="56" t="n"/>
      <c r="Q244" s="55" t="n"/>
      <c r="R244" s="55" t="n"/>
      <c r="S244" s="55" t="n"/>
      <c r="T244" s="55" t="n"/>
      <c r="U244" s="55" t="n"/>
      <c r="V244" s="55" t="n"/>
      <c r="W244" s="58" t="n"/>
      <c r="X244" s="58" t="n"/>
      <c r="Y244" s="55" t="n"/>
      <c r="Z244" s="55" t="n"/>
      <c r="AA244" s="55" t="n"/>
      <c r="AB244" s="55" t="n"/>
      <c r="AC244" s="55" t="n"/>
      <c r="AD244" s="53" t="n"/>
      <c r="AE244" s="55" t="n"/>
      <c r="AF244" s="55" t="n"/>
      <c r="AG244" s="59" t="n"/>
      <c r="AH244" s="57" t="n"/>
      <c r="AI244" s="55" t="n"/>
      <c r="AJ244" s="55" t="n"/>
      <c r="AK244" s="55" t="n"/>
      <c r="AL244" s="55" t="n"/>
      <c r="AM244" s="56" t="n"/>
      <c r="AN244" s="55" t="n"/>
      <c r="AO244" s="55" t="n"/>
      <c r="AP244" s="55" t="n"/>
      <c r="AQ244" s="55" t="n"/>
      <c r="AR244" s="60">
        <f>IF(AND(C244="",E244=""),"",IF(A244="","⚠ Date manquante",IF(AND(C244="",E244&lt;&gt;"Dépense"),"⚠ Prospect manquant",IF(E244="","⚠ Action manquante",IF(AND(AU244=1,D244=""),"⚠ Canal manquant",IF(AND(W244&lt;&gt;"",COUNTIFS('Saisie'!$W$5:$W$2004,W244,'Saisie'!$C$5:$C$2004,"&lt;&gt;"&amp;C244)&gt;0),"⚠ Numéro déjà utilisé par un autre prospect",IF(AND(J244&lt;&gt;"",J244&lt;A244),"⚠ Relance avant la date de l'action",IF(A244&gt;TODAY(),"⚠ Date dans le futur","✓"))))))))</f>
        <v/>
      </c>
      <c r="AS244" s="61">
        <f>IF(AND(A244="",C244="",E244=""),"",ROW())</f>
        <v/>
      </c>
      <c r="AT244" s="61">
        <f>IF(E244&amp;F244="","",MAX(IFERROR(INDEX('Paramètres'!$J$6:$J$33,MATCH(E244,'Paramètres'!$I$6:$I$33,0)),0),IFERROR(INDEX('Paramètres'!$N$6:$N$17,MATCH(F244,'Paramètres'!$M$6:$M$17,0)),0)))</f>
        <v/>
      </c>
      <c r="AU244" s="61">
        <f>IF(E244="","",IFERROR(IF(INDEX('Paramètres'!$K$6:$K$33,MATCH(E244,'Paramètres'!$I$6:$I$33,0))="Oui",1,0),0))</f>
        <v/>
      </c>
      <c r="AV244" s="61">
        <f>IF(F244="","",IFERROR(IF(INDEX('Paramètres'!$O$6:$O$17,MATCH(F244,'Paramètres'!$M$6:$M$17,0))="Oui",1,0),0))</f>
        <v/>
      </c>
      <c r="AW244" s="62">
        <f>IF(E244="","",IF(G244&lt;&gt;"",G244,IF(OR(E244="Proposition envoyée",E244="Signature"),MAX(0,N(IFERROR(INDEX('Paramètres'!$R$6:$R$15,MATCH(IF(AL244&lt;&gt;"",AL244,IFERROR(INDEX('Prospects'!$AN$5:$AN$504,MATCH(C244,'Prospects'!$C$5:$C$504,0)),"")),'Paramètres'!$Q$6:$Q$15,0)),0))-N(P244)),0)))</f>
        <v/>
      </c>
      <c r="AX244" s="61">
        <f>IF(C244="","",IF(COUNTIF($C$5:C244,C244)=1,MAX($AX$4:AX243)+1,""))</f>
        <v/>
      </c>
      <c r="AY244" s="61">
        <f>IF(B244="","",HOUR(B244))</f>
        <v/>
      </c>
      <c r="AZ244" s="61">
        <f>IF(A244="","",MOD(A244-2,7)+1)</f>
        <v/>
      </c>
      <c r="BA244" s="60">
        <f>IF(C244="","",IFERROR(INDEX('Prospects'!$N$5:$N$504,MATCH(C244,'Prospects'!$C$5:$C$504,0)),""))</f>
        <v/>
      </c>
      <c r="BB244" s="61">
        <f>IF(AND(C244&lt;&gt;"",C244='Fiche prospect'!$C$4),COUNTIF($C$5:C244,C244),"")</f>
        <v/>
      </c>
    </row>
    <row r="245">
      <c r="A245" s="53" t="n"/>
      <c r="B245" s="54" t="n"/>
      <c r="C245" s="55" t="n"/>
      <c r="D245" s="55" t="n"/>
      <c r="E245" s="55" t="n"/>
      <c r="F245" s="55" t="n"/>
      <c r="G245" s="56" t="n"/>
      <c r="H245" s="57" t="n"/>
      <c r="I245" s="55" t="n"/>
      <c r="J245" s="53" t="n"/>
      <c r="K245" s="54" t="n"/>
      <c r="L245" s="55" t="n"/>
      <c r="M245" s="55" t="n"/>
      <c r="N245" s="57" t="n"/>
      <c r="O245" s="55" t="n"/>
      <c r="P245" s="56" t="n"/>
      <c r="Q245" s="55" t="n"/>
      <c r="R245" s="55" t="n"/>
      <c r="S245" s="55" t="n"/>
      <c r="T245" s="55" t="n"/>
      <c r="U245" s="55" t="n"/>
      <c r="V245" s="55" t="n"/>
      <c r="W245" s="58" t="n"/>
      <c r="X245" s="58" t="n"/>
      <c r="Y245" s="55" t="n"/>
      <c r="Z245" s="55" t="n"/>
      <c r="AA245" s="55" t="n"/>
      <c r="AB245" s="55" t="n"/>
      <c r="AC245" s="55" t="n"/>
      <c r="AD245" s="53" t="n"/>
      <c r="AE245" s="55" t="n"/>
      <c r="AF245" s="55" t="n"/>
      <c r="AG245" s="59" t="n"/>
      <c r="AH245" s="57" t="n"/>
      <c r="AI245" s="55" t="n"/>
      <c r="AJ245" s="55" t="n"/>
      <c r="AK245" s="55" t="n"/>
      <c r="AL245" s="55" t="n"/>
      <c r="AM245" s="56" t="n"/>
      <c r="AN245" s="55" t="n"/>
      <c r="AO245" s="55" t="n"/>
      <c r="AP245" s="55" t="n"/>
      <c r="AQ245" s="55" t="n"/>
      <c r="AR245" s="60">
        <f>IF(AND(C245="",E245=""),"",IF(A245="","⚠ Date manquante",IF(AND(C245="",E245&lt;&gt;"Dépense"),"⚠ Prospect manquant",IF(E245="","⚠ Action manquante",IF(AND(AU245=1,D245=""),"⚠ Canal manquant",IF(AND(W245&lt;&gt;"",COUNTIFS('Saisie'!$W$5:$W$2004,W245,'Saisie'!$C$5:$C$2004,"&lt;&gt;"&amp;C245)&gt;0),"⚠ Numéro déjà utilisé par un autre prospect",IF(AND(J245&lt;&gt;"",J245&lt;A245),"⚠ Relance avant la date de l'action",IF(A245&gt;TODAY(),"⚠ Date dans le futur","✓"))))))))</f>
        <v/>
      </c>
      <c r="AS245" s="61">
        <f>IF(AND(A245="",C245="",E245=""),"",ROW())</f>
        <v/>
      </c>
      <c r="AT245" s="61">
        <f>IF(E245&amp;F245="","",MAX(IFERROR(INDEX('Paramètres'!$J$6:$J$33,MATCH(E245,'Paramètres'!$I$6:$I$33,0)),0),IFERROR(INDEX('Paramètres'!$N$6:$N$17,MATCH(F245,'Paramètres'!$M$6:$M$17,0)),0)))</f>
        <v/>
      </c>
      <c r="AU245" s="61">
        <f>IF(E245="","",IFERROR(IF(INDEX('Paramètres'!$K$6:$K$33,MATCH(E245,'Paramètres'!$I$6:$I$33,0))="Oui",1,0),0))</f>
        <v/>
      </c>
      <c r="AV245" s="61">
        <f>IF(F245="","",IFERROR(IF(INDEX('Paramètres'!$O$6:$O$17,MATCH(F245,'Paramètres'!$M$6:$M$17,0))="Oui",1,0),0))</f>
        <v/>
      </c>
      <c r="AW245" s="62">
        <f>IF(E245="","",IF(G245&lt;&gt;"",G245,IF(OR(E245="Proposition envoyée",E245="Signature"),MAX(0,N(IFERROR(INDEX('Paramètres'!$R$6:$R$15,MATCH(IF(AL245&lt;&gt;"",AL245,IFERROR(INDEX('Prospects'!$AN$5:$AN$504,MATCH(C245,'Prospects'!$C$5:$C$504,0)),"")),'Paramètres'!$Q$6:$Q$15,0)),0))-N(P245)),0)))</f>
        <v/>
      </c>
      <c r="AX245" s="61">
        <f>IF(C245="","",IF(COUNTIF($C$5:C245,C245)=1,MAX($AX$4:AX244)+1,""))</f>
        <v/>
      </c>
      <c r="AY245" s="61">
        <f>IF(B245="","",HOUR(B245))</f>
        <v/>
      </c>
      <c r="AZ245" s="61">
        <f>IF(A245="","",MOD(A245-2,7)+1)</f>
        <v/>
      </c>
      <c r="BA245" s="60">
        <f>IF(C245="","",IFERROR(INDEX('Prospects'!$N$5:$N$504,MATCH(C245,'Prospects'!$C$5:$C$504,0)),""))</f>
        <v/>
      </c>
      <c r="BB245" s="61">
        <f>IF(AND(C245&lt;&gt;"",C245='Fiche prospect'!$C$4),COUNTIF($C$5:C245,C245),"")</f>
        <v/>
      </c>
    </row>
    <row r="246">
      <c r="A246" s="53" t="n"/>
      <c r="B246" s="54" t="n"/>
      <c r="C246" s="55" t="n"/>
      <c r="D246" s="55" t="n"/>
      <c r="E246" s="55" t="n"/>
      <c r="F246" s="55" t="n"/>
      <c r="G246" s="56" t="n"/>
      <c r="H246" s="57" t="n"/>
      <c r="I246" s="55" t="n"/>
      <c r="J246" s="53" t="n"/>
      <c r="K246" s="54" t="n"/>
      <c r="L246" s="55" t="n"/>
      <c r="M246" s="55" t="n"/>
      <c r="N246" s="57" t="n"/>
      <c r="O246" s="55" t="n"/>
      <c r="P246" s="56" t="n"/>
      <c r="Q246" s="55" t="n"/>
      <c r="R246" s="55" t="n"/>
      <c r="S246" s="55" t="n"/>
      <c r="T246" s="55" t="n"/>
      <c r="U246" s="55" t="n"/>
      <c r="V246" s="55" t="n"/>
      <c r="W246" s="58" t="n"/>
      <c r="X246" s="58" t="n"/>
      <c r="Y246" s="55" t="n"/>
      <c r="Z246" s="55" t="n"/>
      <c r="AA246" s="55" t="n"/>
      <c r="AB246" s="55" t="n"/>
      <c r="AC246" s="55" t="n"/>
      <c r="AD246" s="53" t="n"/>
      <c r="AE246" s="55" t="n"/>
      <c r="AF246" s="55" t="n"/>
      <c r="AG246" s="59" t="n"/>
      <c r="AH246" s="57" t="n"/>
      <c r="AI246" s="55" t="n"/>
      <c r="AJ246" s="55" t="n"/>
      <c r="AK246" s="55" t="n"/>
      <c r="AL246" s="55" t="n"/>
      <c r="AM246" s="56" t="n"/>
      <c r="AN246" s="55" t="n"/>
      <c r="AO246" s="55" t="n"/>
      <c r="AP246" s="55" t="n"/>
      <c r="AQ246" s="55" t="n"/>
      <c r="AR246" s="60">
        <f>IF(AND(C246="",E246=""),"",IF(A246="","⚠ Date manquante",IF(AND(C246="",E246&lt;&gt;"Dépense"),"⚠ Prospect manquant",IF(E246="","⚠ Action manquante",IF(AND(AU246=1,D246=""),"⚠ Canal manquant",IF(AND(W246&lt;&gt;"",COUNTIFS('Saisie'!$W$5:$W$2004,W246,'Saisie'!$C$5:$C$2004,"&lt;&gt;"&amp;C246)&gt;0),"⚠ Numéro déjà utilisé par un autre prospect",IF(AND(J246&lt;&gt;"",J246&lt;A246),"⚠ Relance avant la date de l'action",IF(A246&gt;TODAY(),"⚠ Date dans le futur","✓"))))))))</f>
        <v/>
      </c>
      <c r="AS246" s="61">
        <f>IF(AND(A246="",C246="",E246=""),"",ROW())</f>
        <v/>
      </c>
      <c r="AT246" s="61">
        <f>IF(E246&amp;F246="","",MAX(IFERROR(INDEX('Paramètres'!$J$6:$J$33,MATCH(E246,'Paramètres'!$I$6:$I$33,0)),0),IFERROR(INDEX('Paramètres'!$N$6:$N$17,MATCH(F246,'Paramètres'!$M$6:$M$17,0)),0)))</f>
        <v/>
      </c>
      <c r="AU246" s="61">
        <f>IF(E246="","",IFERROR(IF(INDEX('Paramètres'!$K$6:$K$33,MATCH(E246,'Paramètres'!$I$6:$I$33,0))="Oui",1,0),0))</f>
        <v/>
      </c>
      <c r="AV246" s="61">
        <f>IF(F246="","",IFERROR(IF(INDEX('Paramètres'!$O$6:$O$17,MATCH(F246,'Paramètres'!$M$6:$M$17,0))="Oui",1,0),0))</f>
        <v/>
      </c>
      <c r="AW246" s="62">
        <f>IF(E246="","",IF(G246&lt;&gt;"",G246,IF(OR(E246="Proposition envoyée",E246="Signature"),MAX(0,N(IFERROR(INDEX('Paramètres'!$R$6:$R$15,MATCH(IF(AL246&lt;&gt;"",AL246,IFERROR(INDEX('Prospects'!$AN$5:$AN$504,MATCH(C246,'Prospects'!$C$5:$C$504,0)),"")),'Paramètres'!$Q$6:$Q$15,0)),0))-N(P246)),0)))</f>
        <v/>
      </c>
      <c r="AX246" s="61">
        <f>IF(C246="","",IF(COUNTIF($C$5:C246,C246)=1,MAX($AX$4:AX245)+1,""))</f>
        <v/>
      </c>
      <c r="AY246" s="61">
        <f>IF(B246="","",HOUR(B246))</f>
        <v/>
      </c>
      <c r="AZ246" s="61">
        <f>IF(A246="","",MOD(A246-2,7)+1)</f>
        <v/>
      </c>
      <c r="BA246" s="60">
        <f>IF(C246="","",IFERROR(INDEX('Prospects'!$N$5:$N$504,MATCH(C246,'Prospects'!$C$5:$C$504,0)),""))</f>
        <v/>
      </c>
      <c r="BB246" s="61">
        <f>IF(AND(C246&lt;&gt;"",C246='Fiche prospect'!$C$4),COUNTIF($C$5:C246,C246),"")</f>
        <v/>
      </c>
    </row>
    <row r="247">
      <c r="A247" s="53" t="n"/>
      <c r="B247" s="54" t="n"/>
      <c r="C247" s="55" t="n"/>
      <c r="D247" s="55" t="n"/>
      <c r="E247" s="55" t="n"/>
      <c r="F247" s="55" t="n"/>
      <c r="G247" s="56" t="n"/>
      <c r="H247" s="57" t="n"/>
      <c r="I247" s="55" t="n"/>
      <c r="J247" s="53" t="n"/>
      <c r="K247" s="54" t="n"/>
      <c r="L247" s="55" t="n"/>
      <c r="M247" s="55" t="n"/>
      <c r="N247" s="57" t="n"/>
      <c r="O247" s="55" t="n"/>
      <c r="P247" s="56" t="n"/>
      <c r="Q247" s="55" t="n"/>
      <c r="R247" s="55" t="n"/>
      <c r="S247" s="55" t="n"/>
      <c r="T247" s="55" t="n"/>
      <c r="U247" s="55" t="n"/>
      <c r="V247" s="55" t="n"/>
      <c r="W247" s="58" t="n"/>
      <c r="X247" s="58" t="n"/>
      <c r="Y247" s="55" t="n"/>
      <c r="Z247" s="55" t="n"/>
      <c r="AA247" s="55" t="n"/>
      <c r="AB247" s="55" t="n"/>
      <c r="AC247" s="55" t="n"/>
      <c r="AD247" s="53" t="n"/>
      <c r="AE247" s="55" t="n"/>
      <c r="AF247" s="55" t="n"/>
      <c r="AG247" s="59" t="n"/>
      <c r="AH247" s="57" t="n"/>
      <c r="AI247" s="55" t="n"/>
      <c r="AJ247" s="55" t="n"/>
      <c r="AK247" s="55" t="n"/>
      <c r="AL247" s="55" t="n"/>
      <c r="AM247" s="56" t="n"/>
      <c r="AN247" s="55" t="n"/>
      <c r="AO247" s="55" t="n"/>
      <c r="AP247" s="55" t="n"/>
      <c r="AQ247" s="55" t="n"/>
      <c r="AR247" s="60">
        <f>IF(AND(C247="",E247=""),"",IF(A247="","⚠ Date manquante",IF(AND(C247="",E247&lt;&gt;"Dépense"),"⚠ Prospect manquant",IF(E247="","⚠ Action manquante",IF(AND(AU247=1,D247=""),"⚠ Canal manquant",IF(AND(W247&lt;&gt;"",COUNTIFS('Saisie'!$W$5:$W$2004,W247,'Saisie'!$C$5:$C$2004,"&lt;&gt;"&amp;C247)&gt;0),"⚠ Numéro déjà utilisé par un autre prospect",IF(AND(J247&lt;&gt;"",J247&lt;A247),"⚠ Relance avant la date de l'action",IF(A247&gt;TODAY(),"⚠ Date dans le futur","✓"))))))))</f>
        <v/>
      </c>
      <c r="AS247" s="61">
        <f>IF(AND(A247="",C247="",E247=""),"",ROW())</f>
        <v/>
      </c>
      <c r="AT247" s="61">
        <f>IF(E247&amp;F247="","",MAX(IFERROR(INDEX('Paramètres'!$J$6:$J$33,MATCH(E247,'Paramètres'!$I$6:$I$33,0)),0),IFERROR(INDEX('Paramètres'!$N$6:$N$17,MATCH(F247,'Paramètres'!$M$6:$M$17,0)),0)))</f>
        <v/>
      </c>
      <c r="AU247" s="61">
        <f>IF(E247="","",IFERROR(IF(INDEX('Paramètres'!$K$6:$K$33,MATCH(E247,'Paramètres'!$I$6:$I$33,0))="Oui",1,0),0))</f>
        <v/>
      </c>
      <c r="AV247" s="61">
        <f>IF(F247="","",IFERROR(IF(INDEX('Paramètres'!$O$6:$O$17,MATCH(F247,'Paramètres'!$M$6:$M$17,0))="Oui",1,0),0))</f>
        <v/>
      </c>
      <c r="AW247" s="62">
        <f>IF(E247="","",IF(G247&lt;&gt;"",G247,IF(OR(E247="Proposition envoyée",E247="Signature"),MAX(0,N(IFERROR(INDEX('Paramètres'!$R$6:$R$15,MATCH(IF(AL247&lt;&gt;"",AL247,IFERROR(INDEX('Prospects'!$AN$5:$AN$504,MATCH(C247,'Prospects'!$C$5:$C$504,0)),"")),'Paramètres'!$Q$6:$Q$15,0)),0))-N(P247)),0)))</f>
        <v/>
      </c>
      <c r="AX247" s="61">
        <f>IF(C247="","",IF(COUNTIF($C$5:C247,C247)=1,MAX($AX$4:AX246)+1,""))</f>
        <v/>
      </c>
      <c r="AY247" s="61">
        <f>IF(B247="","",HOUR(B247))</f>
        <v/>
      </c>
      <c r="AZ247" s="61">
        <f>IF(A247="","",MOD(A247-2,7)+1)</f>
        <v/>
      </c>
      <c r="BA247" s="60">
        <f>IF(C247="","",IFERROR(INDEX('Prospects'!$N$5:$N$504,MATCH(C247,'Prospects'!$C$5:$C$504,0)),""))</f>
        <v/>
      </c>
      <c r="BB247" s="61">
        <f>IF(AND(C247&lt;&gt;"",C247='Fiche prospect'!$C$4),COUNTIF($C$5:C247,C247),"")</f>
        <v/>
      </c>
    </row>
    <row r="248">
      <c r="A248" s="53" t="n"/>
      <c r="B248" s="54" t="n"/>
      <c r="C248" s="55" t="n"/>
      <c r="D248" s="55" t="n"/>
      <c r="E248" s="55" t="n"/>
      <c r="F248" s="55" t="n"/>
      <c r="G248" s="56" t="n"/>
      <c r="H248" s="57" t="n"/>
      <c r="I248" s="55" t="n"/>
      <c r="J248" s="53" t="n"/>
      <c r="K248" s="54" t="n"/>
      <c r="L248" s="55" t="n"/>
      <c r="M248" s="55" t="n"/>
      <c r="N248" s="57" t="n"/>
      <c r="O248" s="55" t="n"/>
      <c r="P248" s="56" t="n"/>
      <c r="Q248" s="55" t="n"/>
      <c r="R248" s="55" t="n"/>
      <c r="S248" s="55" t="n"/>
      <c r="T248" s="55" t="n"/>
      <c r="U248" s="55" t="n"/>
      <c r="V248" s="55" t="n"/>
      <c r="W248" s="58" t="n"/>
      <c r="X248" s="58" t="n"/>
      <c r="Y248" s="55" t="n"/>
      <c r="Z248" s="55" t="n"/>
      <c r="AA248" s="55" t="n"/>
      <c r="AB248" s="55" t="n"/>
      <c r="AC248" s="55" t="n"/>
      <c r="AD248" s="53" t="n"/>
      <c r="AE248" s="55" t="n"/>
      <c r="AF248" s="55" t="n"/>
      <c r="AG248" s="59" t="n"/>
      <c r="AH248" s="57" t="n"/>
      <c r="AI248" s="55" t="n"/>
      <c r="AJ248" s="55" t="n"/>
      <c r="AK248" s="55" t="n"/>
      <c r="AL248" s="55" t="n"/>
      <c r="AM248" s="56" t="n"/>
      <c r="AN248" s="55" t="n"/>
      <c r="AO248" s="55" t="n"/>
      <c r="AP248" s="55" t="n"/>
      <c r="AQ248" s="55" t="n"/>
      <c r="AR248" s="60">
        <f>IF(AND(C248="",E248=""),"",IF(A248="","⚠ Date manquante",IF(AND(C248="",E248&lt;&gt;"Dépense"),"⚠ Prospect manquant",IF(E248="","⚠ Action manquante",IF(AND(AU248=1,D248=""),"⚠ Canal manquant",IF(AND(W248&lt;&gt;"",COUNTIFS('Saisie'!$W$5:$W$2004,W248,'Saisie'!$C$5:$C$2004,"&lt;&gt;"&amp;C248)&gt;0),"⚠ Numéro déjà utilisé par un autre prospect",IF(AND(J248&lt;&gt;"",J248&lt;A248),"⚠ Relance avant la date de l'action",IF(A248&gt;TODAY(),"⚠ Date dans le futur","✓"))))))))</f>
        <v/>
      </c>
      <c r="AS248" s="61">
        <f>IF(AND(A248="",C248="",E248=""),"",ROW())</f>
        <v/>
      </c>
      <c r="AT248" s="61">
        <f>IF(E248&amp;F248="","",MAX(IFERROR(INDEX('Paramètres'!$J$6:$J$33,MATCH(E248,'Paramètres'!$I$6:$I$33,0)),0),IFERROR(INDEX('Paramètres'!$N$6:$N$17,MATCH(F248,'Paramètres'!$M$6:$M$17,0)),0)))</f>
        <v/>
      </c>
      <c r="AU248" s="61">
        <f>IF(E248="","",IFERROR(IF(INDEX('Paramètres'!$K$6:$K$33,MATCH(E248,'Paramètres'!$I$6:$I$33,0))="Oui",1,0),0))</f>
        <v/>
      </c>
      <c r="AV248" s="61">
        <f>IF(F248="","",IFERROR(IF(INDEX('Paramètres'!$O$6:$O$17,MATCH(F248,'Paramètres'!$M$6:$M$17,0))="Oui",1,0),0))</f>
        <v/>
      </c>
      <c r="AW248" s="62">
        <f>IF(E248="","",IF(G248&lt;&gt;"",G248,IF(OR(E248="Proposition envoyée",E248="Signature"),MAX(0,N(IFERROR(INDEX('Paramètres'!$R$6:$R$15,MATCH(IF(AL248&lt;&gt;"",AL248,IFERROR(INDEX('Prospects'!$AN$5:$AN$504,MATCH(C248,'Prospects'!$C$5:$C$504,0)),"")),'Paramètres'!$Q$6:$Q$15,0)),0))-N(P248)),0)))</f>
        <v/>
      </c>
      <c r="AX248" s="61">
        <f>IF(C248="","",IF(COUNTIF($C$5:C248,C248)=1,MAX($AX$4:AX247)+1,""))</f>
        <v/>
      </c>
      <c r="AY248" s="61">
        <f>IF(B248="","",HOUR(B248))</f>
        <v/>
      </c>
      <c r="AZ248" s="61">
        <f>IF(A248="","",MOD(A248-2,7)+1)</f>
        <v/>
      </c>
      <c r="BA248" s="60">
        <f>IF(C248="","",IFERROR(INDEX('Prospects'!$N$5:$N$504,MATCH(C248,'Prospects'!$C$5:$C$504,0)),""))</f>
        <v/>
      </c>
      <c r="BB248" s="61">
        <f>IF(AND(C248&lt;&gt;"",C248='Fiche prospect'!$C$4),COUNTIF($C$5:C248,C248),"")</f>
        <v/>
      </c>
    </row>
    <row r="249">
      <c r="A249" s="53" t="n"/>
      <c r="B249" s="54" t="n"/>
      <c r="C249" s="55" t="n"/>
      <c r="D249" s="55" t="n"/>
      <c r="E249" s="55" t="n"/>
      <c r="F249" s="55" t="n"/>
      <c r="G249" s="56" t="n"/>
      <c r="H249" s="57" t="n"/>
      <c r="I249" s="55" t="n"/>
      <c r="J249" s="53" t="n"/>
      <c r="K249" s="54" t="n"/>
      <c r="L249" s="55" t="n"/>
      <c r="M249" s="55" t="n"/>
      <c r="N249" s="57" t="n"/>
      <c r="O249" s="55" t="n"/>
      <c r="P249" s="56" t="n"/>
      <c r="Q249" s="55" t="n"/>
      <c r="R249" s="55" t="n"/>
      <c r="S249" s="55" t="n"/>
      <c r="T249" s="55" t="n"/>
      <c r="U249" s="55" t="n"/>
      <c r="V249" s="55" t="n"/>
      <c r="W249" s="58" t="n"/>
      <c r="X249" s="58" t="n"/>
      <c r="Y249" s="55" t="n"/>
      <c r="Z249" s="55" t="n"/>
      <c r="AA249" s="55" t="n"/>
      <c r="AB249" s="55" t="n"/>
      <c r="AC249" s="55" t="n"/>
      <c r="AD249" s="53" t="n"/>
      <c r="AE249" s="55" t="n"/>
      <c r="AF249" s="55" t="n"/>
      <c r="AG249" s="59" t="n"/>
      <c r="AH249" s="57" t="n"/>
      <c r="AI249" s="55" t="n"/>
      <c r="AJ249" s="55" t="n"/>
      <c r="AK249" s="55" t="n"/>
      <c r="AL249" s="55" t="n"/>
      <c r="AM249" s="56" t="n"/>
      <c r="AN249" s="55" t="n"/>
      <c r="AO249" s="55" t="n"/>
      <c r="AP249" s="55" t="n"/>
      <c r="AQ249" s="55" t="n"/>
      <c r="AR249" s="60">
        <f>IF(AND(C249="",E249=""),"",IF(A249="","⚠ Date manquante",IF(AND(C249="",E249&lt;&gt;"Dépense"),"⚠ Prospect manquant",IF(E249="","⚠ Action manquante",IF(AND(AU249=1,D249=""),"⚠ Canal manquant",IF(AND(W249&lt;&gt;"",COUNTIFS('Saisie'!$W$5:$W$2004,W249,'Saisie'!$C$5:$C$2004,"&lt;&gt;"&amp;C249)&gt;0),"⚠ Numéro déjà utilisé par un autre prospect",IF(AND(J249&lt;&gt;"",J249&lt;A249),"⚠ Relance avant la date de l'action",IF(A249&gt;TODAY(),"⚠ Date dans le futur","✓"))))))))</f>
        <v/>
      </c>
      <c r="AS249" s="61">
        <f>IF(AND(A249="",C249="",E249=""),"",ROW())</f>
        <v/>
      </c>
      <c r="AT249" s="61">
        <f>IF(E249&amp;F249="","",MAX(IFERROR(INDEX('Paramètres'!$J$6:$J$33,MATCH(E249,'Paramètres'!$I$6:$I$33,0)),0),IFERROR(INDEX('Paramètres'!$N$6:$N$17,MATCH(F249,'Paramètres'!$M$6:$M$17,0)),0)))</f>
        <v/>
      </c>
      <c r="AU249" s="61">
        <f>IF(E249="","",IFERROR(IF(INDEX('Paramètres'!$K$6:$K$33,MATCH(E249,'Paramètres'!$I$6:$I$33,0))="Oui",1,0),0))</f>
        <v/>
      </c>
      <c r="AV249" s="61">
        <f>IF(F249="","",IFERROR(IF(INDEX('Paramètres'!$O$6:$O$17,MATCH(F249,'Paramètres'!$M$6:$M$17,0))="Oui",1,0),0))</f>
        <v/>
      </c>
      <c r="AW249" s="62">
        <f>IF(E249="","",IF(G249&lt;&gt;"",G249,IF(OR(E249="Proposition envoyée",E249="Signature"),MAX(0,N(IFERROR(INDEX('Paramètres'!$R$6:$R$15,MATCH(IF(AL249&lt;&gt;"",AL249,IFERROR(INDEX('Prospects'!$AN$5:$AN$504,MATCH(C249,'Prospects'!$C$5:$C$504,0)),"")),'Paramètres'!$Q$6:$Q$15,0)),0))-N(P249)),0)))</f>
        <v/>
      </c>
      <c r="AX249" s="61">
        <f>IF(C249="","",IF(COUNTIF($C$5:C249,C249)=1,MAX($AX$4:AX248)+1,""))</f>
        <v/>
      </c>
      <c r="AY249" s="61">
        <f>IF(B249="","",HOUR(B249))</f>
        <v/>
      </c>
      <c r="AZ249" s="61">
        <f>IF(A249="","",MOD(A249-2,7)+1)</f>
        <v/>
      </c>
      <c r="BA249" s="60">
        <f>IF(C249="","",IFERROR(INDEX('Prospects'!$N$5:$N$504,MATCH(C249,'Prospects'!$C$5:$C$504,0)),""))</f>
        <v/>
      </c>
      <c r="BB249" s="61">
        <f>IF(AND(C249&lt;&gt;"",C249='Fiche prospect'!$C$4),COUNTIF($C$5:C249,C249),"")</f>
        <v/>
      </c>
    </row>
    <row r="250">
      <c r="A250" s="53" t="n"/>
      <c r="B250" s="54" t="n"/>
      <c r="C250" s="55" t="n"/>
      <c r="D250" s="55" t="n"/>
      <c r="E250" s="55" t="n"/>
      <c r="F250" s="55" t="n"/>
      <c r="G250" s="56" t="n"/>
      <c r="H250" s="57" t="n"/>
      <c r="I250" s="55" t="n"/>
      <c r="J250" s="53" t="n"/>
      <c r="K250" s="54" t="n"/>
      <c r="L250" s="55" t="n"/>
      <c r="M250" s="55" t="n"/>
      <c r="N250" s="57" t="n"/>
      <c r="O250" s="55" t="n"/>
      <c r="P250" s="56" t="n"/>
      <c r="Q250" s="55" t="n"/>
      <c r="R250" s="55" t="n"/>
      <c r="S250" s="55" t="n"/>
      <c r="T250" s="55" t="n"/>
      <c r="U250" s="55" t="n"/>
      <c r="V250" s="55" t="n"/>
      <c r="W250" s="58" t="n"/>
      <c r="X250" s="58" t="n"/>
      <c r="Y250" s="55" t="n"/>
      <c r="Z250" s="55" t="n"/>
      <c r="AA250" s="55" t="n"/>
      <c r="AB250" s="55" t="n"/>
      <c r="AC250" s="55" t="n"/>
      <c r="AD250" s="53" t="n"/>
      <c r="AE250" s="55" t="n"/>
      <c r="AF250" s="55" t="n"/>
      <c r="AG250" s="59" t="n"/>
      <c r="AH250" s="57" t="n"/>
      <c r="AI250" s="55" t="n"/>
      <c r="AJ250" s="55" t="n"/>
      <c r="AK250" s="55" t="n"/>
      <c r="AL250" s="55" t="n"/>
      <c r="AM250" s="56" t="n"/>
      <c r="AN250" s="55" t="n"/>
      <c r="AO250" s="55" t="n"/>
      <c r="AP250" s="55" t="n"/>
      <c r="AQ250" s="55" t="n"/>
      <c r="AR250" s="60">
        <f>IF(AND(C250="",E250=""),"",IF(A250="","⚠ Date manquante",IF(AND(C250="",E250&lt;&gt;"Dépense"),"⚠ Prospect manquant",IF(E250="","⚠ Action manquante",IF(AND(AU250=1,D250=""),"⚠ Canal manquant",IF(AND(W250&lt;&gt;"",COUNTIFS('Saisie'!$W$5:$W$2004,W250,'Saisie'!$C$5:$C$2004,"&lt;&gt;"&amp;C250)&gt;0),"⚠ Numéro déjà utilisé par un autre prospect",IF(AND(J250&lt;&gt;"",J250&lt;A250),"⚠ Relance avant la date de l'action",IF(A250&gt;TODAY(),"⚠ Date dans le futur","✓"))))))))</f>
        <v/>
      </c>
      <c r="AS250" s="61">
        <f>IF(AND(A250="",C250="",E250=""),"",ROW())</f>
        <v/>
      </c>
      <c r="AT250" s="61">
        <f>IF(E250&amp;F250="","",MAX(IFERROR(INDEX('Paramètres'!$J$6:$J$33,MATCH(E250,'Paramètres'!$I$6:$I$33,0)),0),IFERROR(INDEX('Paramètres'!$N$6:$N$17,MATCH(F250,'Paramètres'!$M$6:$M$17,0)),0)))</f>
        <v/>
      </c>
      <c r="AU250" s="61">
        <f>IF(E250="","",IFERROR(IF(INDEX('Paramètres'!$K$6:$K$33,MATCH(E250,'Paramètres'!$I$6:$I$33,0))="Oui",1,0),0))</f>
        <v/>
      </c>
      <c r="AV250" s="61">
        <f>IF(F250="","",IFERROR(IF(INDEX('Paramètres'!$O$6:$O$17,MATCH(F250,'Paramètres'!$M$6:$M$17,0))="Oui",1,0),0))</f>
        <v/>
      </c>
      <c r="AW250" s="62">
        <f>IF(E250="","",IF(G250&lt;&gt;"",G250,IF(OR(E250="Proposition envoyée",E250="Signature"),MAX(0,N(IFERROR(INDEX('Paramètres'!$R$6:$R$15,MATCH(IF(AL250&lt;&gt;"",AL250,IFERROR(INDEX('Prospects'!$AN$5:$AN$504,MATCH(C250,'Prospects'!$C$5:$C$504,0)),"")),'Paramètres'!$Q$6:$Q$15,0)),0))-N(P250)),0)))</f>
        <v/>
      </c>
      <c r="AX250" s="61">
        <f>IF(C250="","",IF(COUNTIF($C$5:C250,C250)=1,MAX($AX$4:AX249)+1,""))</f>
        <v/>
      </c>
      <c r="AY250" s="61">
        <f>IF(B250="","",HOUR(B250))</f>
        <v/>
      </c>
      <c r="AZ250" s="61">
        <f>IF(A250="","",MOD(A250-2,7)+1)</f>
        <v/>
      </c>
      <c r="BA250" s="60">
        <f>IF(C250="","",IFERROR(INDEX('Prospects'!$N$5:$N$504,MATCH(C250,'Prospects'!$C$5:$C$504,0)),""))</f>
        <v/>
      </c>
      <c r="BB250" s="61">
        <f>IF(AND(C250&lt;&gt;"",C250='Fiche prospect'!$C$4),COUNTIF($C$5:C250,C250),"")</f>
        <v/>
      </c>
    </row>
    <row r="251">
      <c r="A251" s="53" t="n"/>
      <c r="B251" s="54" t="n"/>
      <c r="C251" s="55" t="n"/>
      <c r="D251" s="55" t="n"/>
      <c r="E251" s="55" t="n"/>
      <c r="F251" s="55" t="n"/>
      <c r="G251" s="56" t="n"/>
      <c r="H251" s="57" t="n"/>
      <c r="I251" s="55" t="n"/>
      <c r="J251" s="53" t="n"/>
      <c r="K251" s="54" t="n"/>
      <c r="L251" s="55" t="n"/>
      <c r="M251" s="55" t="n"/>
      <c r="N251" s="57" t="n"/>
      <c r="O251" s="55" t="n"/>
      <c r="P251" s="56" t="n"/>
      <c r="Q251" s="55" t="n"/>
      <c r="R251" s="55" t="n"/>
      <c r="S251" s="55" t="n"/>
      <c r="T251" s="55" t="n"/>
      <c r="U251" s="55" t="n"/>
      <c r="V251" s="55" t="n"/>
      <c r="W251" s="58" t="n"/>
      <c r="X251" s="58" t="n"/>
      <c r="Y251" s="55" t="n"/>
      <c r="Z251" s="55" t="n"/>
      <c r="AA251" s="55" t="n"/>
      <c r="AB251" s="55" t="n"/>
      <c r="AC251" s="55" t="n"/>
      <c r="AD251" s="53" t="n"/>
      <c r="AE251" s="55" t="n"/>
      <c r="AF251" s="55" t="n"/>
      <c r="AG251" s="59" t="n"/>
      <c r="AH251" s="57" t="n"/>
      <c r="AI251" s="55" t="n"/>
      <c r="AJ251" s="55" t="n"/>
      <c r="AK251" s="55" t="n"/>
      <c r="AL251" s="55" t="n"/>
      <c r="AM251" s="56" t="n"/>
      <c r="AN251" s="55" t="n"/>
      <c r="AO251" s="55" t="n"/>
      <c r="AP251" s="55" t="n"/>
      <c r="AQ251" s="55" t="n"/>
      <c r="AR251" s="60">
        <f>IF(AND(C251="",E251=""),"",IF(A251="","⚠ Date manquante",IF(AND(C251="",E251&lt;&gt;"Dépense"),"⚠ Prospect manquant",IF(E251="","⚠ Action manquante",IF(AND(AU251=1,D251=""),"⚠ Canal manquant",IF(AND(W251&lt;&gt;"",COUNTIFS('Saisie'!$W$5:$W$2004,W251,'Saisie'!$C$5:$C$2004,"&lt;&gt;"&amp;C251)&gt;0),"⚠ Numéro déjà utilisé par un autre prospect",IF(AND(J251&lt;&gt;"",J251&lt;A251),"⚠ Relance avant la date de l'action",IF(A251&gt;TODAY(),"⚠ Date dans le futur","✓"))))))))</f>
        <v/>
      </c>
      <c r="AS251" s="61">
        <f>IF(AND(A251="",C251="",E251=""),"",ROW())</f>
        <v/>
      </c>
      <c r="AT251" s="61">
        <f>IF(E251&amp;F251="","",MAX(IFERROR(INDEX('Paramètres'!$J$6:$J$33,MATCH(E251,'Paramètres'!$I$6:$I$33,0)),0),IFERROR(INDEX('Paramètres'!$N$6:$N$17,MATCH(F251,'Paramètres'!$M$6:$M$17,0)),0)))</f>
        <v/>
      </c>
      <c r="AU251" s="61">
        <f>IF(E251="","",IFERROR(IF(INDEX('Paramètres'!$K$6:$K$33,MATCH(E251,'Paramètres'!$I$6:$I$33,0))="Oui",1,0),0))</f>
        <v/>
      </c>
      <c r="AV251" s="61">
        <f>IF(F251="","",IFERROR(IF(INDEX('Paramètres'!$O$6:$O$17,MATCH(F251,'Paramètres'!$M$6:$M$17,0))="Oui",1,0),0))</f>
        <v/>
      </c>
      <c r="AW251" s="62">
        <f>IF(E251="","",IF(G251&lt;&gt;"",G251,IF(OR(E251="Proposition envoyée",E251="Signature"),MAX(0,N(IFERROR(INDEX('Paramètres'!$R$6:$R$15,MATCH(IF(AL251&lt;&gt;"",AL251,IFERROR(INDEX('Prospects'!$AN$5:$AN$504,MATCH(C251,'Prospects'!$C$5:$C$504,0)),"")),'Paramètres'!$Q$6:$Q$15,0)),0))-N(P251)),0)))</f>
        <v/>
      </c>
      <c r="AX251" s="61">
        <f>IF(C251="","",IF(COUNTIF($C$5:C251,C251)=1,MAX($AX$4:AX250)+1,""))</f>
        <v/>
      </c>
      <c r="AY251" s="61">
        <f>IF(B251="","",HOUR(B251))</f>
        <v/>
      </c>
      <c r="AZ251" s="61">
        <f>IF(A251="","",MOD(A251-2,7)+1)</f>
        <v/>
      </c>
      <c r="BA251" s="60">
        <f>IF(C251="","",IFERROR(INDEX('Prospects'!$N$5:$N$504,MATCH(C251,'Prospects'!$C$5:$C$504,0)),""))</f>
        <v/>
      </c>
      <c r="BB251" s="61">
        <f>IF(AND(C251&lt;&gt;"",C251='Fiche prospect'!$C$4),COUNTIF($C$5:C251,C251),"")</f>
        <v/>
      </c>
    </row>
    <row r="252">
      <c r="A252" s="53" t="n"/>
      <c r="B252" s="54" t="n"/>
      <c r="C252" s="55" t="n"/>
      <c r="D252" s="55" t="n"/>
      <c r="E252" s="55" t="n"/>
      <c r="F252" s="55" t="n"/>
      <c r="G252" s="56" t="n"/>
      <c r="H252" s="57" t="n"/>
      <c r="I252" s="55" t="n"/>
      <c r="J252" s="53" t="n"/>
      <c r="K252" s="54" t="n"/>
      <c r="L252" s="55" t="n"/>
      <c r="M252" s="55" t="n"/>
      <c r="N252" s="57" t="n"/>
      <c r="O252" s="55" t="n"/>
      <c r="P252" s="56" t="n"/>
      <c r="Q252" s="55" t="n"/>
      <c r="R252" s="55" t="n"/>
      <c r="S252" s="55" t="n"/>
      <c r="T252" s="55" t="n"/>
      <c r="U252" s="55" t="n"/>
      <c r="V252" s="55" t="n"/>
      <c r="W252" s="58" t="n"/>
      <c r="X252" s="58" t="n"/>
      <c r="Y252" s="55" t="n"/>
      <c r="Z252" s="55" t="n"/>
      <c r="AA252" s="55" t="n"/>
      <c r="AB252" s="55" t="n"/>
      <c r="AC252" s="55" t="n"/>
      <c r="AD252" s="53" t="n"/>
      <c r="AE252" s="55" t="n"/>
      <c r="AF252" s="55" t="n"/>
      <c r="AG252" s="59" t="n"/>
      <c r="AH252" s="57" t="n"/>
      <c r="AI252" s="55" t="n"/>
      <c r="AJ252" s="55" t="n"/>
      <c r="AK252" s="55" t="n"/>
      <c r="AL252" s="55" t="n"/>
      <c r="AM252" s="56" t="n"/>
      <c r="AN252" s="55" t="n"/>
      <c r="AO252" s="55" t="n"/>
      <c r="AP252" s="55" t="n"/>
      <c r="AQ252" s="55" t="n"/>
      <c r="AR252" s="60">
        <f>IF(AND(C252="",E252=""),"",IF(A252="","⚠ Date manquante",IF(AND(C252="",E252&lt;&gt;"Dépense"),"⚠ Prospect manquant",IF(E252="","⚠ Action manquante",IF(AND(AU252=1,D252=""),"⚠ Canal manquant",IF(AND(W252&lt;&gt;"",COUNTIFS('Saisie'!$W$5:$W$2004,W252,'Saisie'!$C$5:$C$2004,"&lt;&gt;"&amp;C252)&gt;0),"⚠ Numéro déjà utilisé par un autre prospect",IF(AND(J252&lt;&gt;"",J252&lt;A252),"⚠ Relance avant la date de l'action",IF(A252&gt;TODAY(),"⚠ Date dans le futur","✓"))))))))</f>
        <v/>
      </c>
      <c r="AS252" s="61">
        <f>IF(AND(A252="",C252="",E252=""),"",ROW())</f>
        <v/>
      </c>
      <c r="AT252" s="61">
        <f>IF(E252&amp;F252="","",MAX(IFERROR(INDEX('Paramètres'!$J$6:$J$33,MATCH(E252,'Paramètres'!$I$6:$I$33,0)),0),IFERROR(INDEX('Paramètres'!$N$6:$N$17,MATCH(F252,'Paramètres'!$M$6:$M$17,0)),0)))</f>
        <v/>
      </c>
      <c r="AU252" s="61">
        <f>IF(E252="","",IFERROR(IF(INDEX('Paramètres'!$K$6:$K$33,MATCH(E252,'Paramètres'!$I$6:$I$33,0))="Oui",1,0),0))</f>
        <v/>
      </c>
      <c r="AV252" s="61">
        <f>IF(F252="","",IFERROR(IF(INDEX('Paramètres'!$O$6:$O$17,MATCH(F252,'Paramètres'!$M$6:$M$17,0))="Oui",1,0),0))</f>
        <v/>
      </c>
      <c r="AW252" s="62">
        <f>IF(E252="","",IF(G252&lt;&gt;"",G252,IF(OR(E252="Proposition envoyée",E252="Signature"),MAX(0,N(IFERROR(INDEX('Paramètres'!$R$6:$R$15,MATCH(IF(AL252&lt;&gt;"",AL252,IFERROR(INDEX('Prospects'!$AN$5:$AN$504,MATCH(C252,'Prospects'!$C$5:$C$504,0)),"")),'Paramètres'!$Q$6:$Q$15,0)),0))-N(P252)),0)))</f>
        <v/>
      </c>
      <c r="AX252" s="61">
        <f>IF(C252="","",IF(COUNTIF($C$5:C252,C252)=1,MAX($AX$4:AX251)+1,""))</f>
        <v/>
      </c>
      <c r="AY252" s="61">
        <f>IF(B252="","",HOUR(B252))</f>
        <v/>
      </c>
      <c r="AZ252" s="61">
        <f>IF(A252="","",MOD(A252-2,7)+1)</f>
        <v/>
      </c>
      <c r="BA252" s="60">
        <f>IF(C252="","",IFERROR(INDEX('Prospects'!$N$5:$N$504,MATCH(C252,'Prospects'!$C$5:$C$504,0)),""))</f>
        <v/>
      </c>
      <c r="BB252" s="61">
        <f>IF(AND(C252&lt;&gt;"",C252='Fiche prospect'!$C$4),COUNTIF($C$5:C252,C252),"")</f>
        <v/>
      </c>
    </row>
    <row r="253">
      <c r="A253" s="53" t="n"/>
      <c r="B253" s="54" t="n"/>
      <c r="C253" s="55" t="n"/>
      <c r="D253" s="55" t="n"/>
      <c r="E253" s="55" t="n"/>
      <c r="F253" s="55" t="n"/>
      <c r="G253" s="56" t="n"/>
      <c r="H253" s="57" t="n"/>
      <c r="I253" s="55" t="n"/>
      <c r="J253" s="53" t="n"/>
      <c r="K253" s="54" t="n"/>
      <c r="L253" s="55" t="n"/>
      <c r="M253" s="55" t="n"/>
      <c r="N253" s="57" t="n"/>
      <c r="O253" s="55" t="n"/>
      <c r="P253" s="56" t="n"/>
      <c r="Q253" s="55" t="n"/>
      <c r="R253" s="55" t="n"/>
      <c r="S253" s="55" t="n"/>
      <c r="T253" s="55" t="n"/>
      <c r="U253" s="55" t="n"/>
      <c r="V253" s="55" t="n"/>
      <c r="W253" s="58" t="n"/>
      <c r="X253" s="58" t="n"/>
      <c r="Y253" s="55" t="n"/>
      <c r="Z253" s="55" t="n"/>
      <c r="AA253" s="55" t="n"/>
      <c r="AB253" s="55" t="n"/>
      <c r="AC253" s="55" t="n"/>
      <c r="AD253" s="53" t="n"/>
      <c r="AE253" s="55" t="n"/>
      <c r="AF253" s="55" t="n"/>
      <c r="AG253" s="59" t="n"/>
      <c r="AH253" s="57" t="n"/>
      <c r="AI253" s="55" t="n"/>
      <c r="AJ253" s="55" t="n"/>
      <c r="AK253" s="55" t="n"/>
      <c r="AL253" s="55" t="n"/>
      <c r="AM253" s="56" t="n"/>
      <c r="AN253" s="55" t="n"/>
      <c r="AO253" s="55" t="n"/>
      <c r="AP253" s="55" t="n"/>
      <c r="AQ253" s="55" t="n"/>
      <c r="AR253" s="60">
        <f>IF(AND(C253="",E253=""),"",IF(A253="","⚠ Date manquante",IF(AND(C253="",E253&lt;&gt;"Dépense"),"⚠ Prospect manquant",IF(E253="","⚠ Action manquante",IF(AND(AU253=1,D253=""),"⚠ Canal manquant",IF(AND(W253&lt;&gt;"",COUNTIFS('Saisie'!$W$5:$W$2004,W253,'Saisie'!$C$5:$C$2004,"&lt;&gt;"&amp;C253)&gt;0),"⚠ Numéro déjà utilisé par un autre prospect",IF(AND(J253&lt;&gt;"",J253&lt;A253),"⚠ Relance avant la date de l'action",IF(A253&gt;TODAY(),"⚠ Date dans le futur","✓"))))))))</f>
        <v/>
      </c>
      <c r="AS253" s="61">
        <f>IF(AND(A253="",C253="",E253=""),"",ROW())</f>
        <v/>
      </c>
      <c r="AT253" s="61">
        <f>IF(E253&amp;F253="","",MAX(IFERROR(INDEX('Paramètres'!$J$6:$J$33,MATCH(E253,'Paramètres'!$I$6:$I$33,0)),0),IFERROR(INDEX('Paramètres'!$N$6:$N$17,MATCH(F253,'Paramètres'!$M$6:$M$17,0)),0)))</f>
        <v/>
      </c>
      <c r="AU253" s="61">
        <f>IF(E253="","",IFERROR(IF(INDEX('Paramètres'!$K$6:$K$33,MATCH(E253,'Paramètres'!$I$6:$I$33,0))="Oui",1,0),0))</f>
        <v/>
      </c>
      <c r="AV253" s="61">
        <f>IF(F253="","",IFERROR(IF(INDEX('Paramètres'!$O$6:$O$17,MATCH(F253,'Paramètres'!$M$6:$M$17,0))="Oui",1,0),0))</f>
        <v/>
      </c>
      <c r="AW253" s="62">
        <f>IF(E253="","",IF(G253&lt;&gt;"",G253,IF(OR(E253="Proposition envoyée",E253="Signature"),MAX(0,N(IFERROR(INDEX('Paramètres'!$R$6:$R$15,MATCH(IF(AL253&lt;&gt;"",AL253,IFERROR(INDEX('Prospects'!$AN$5:$AN$504,MATCH(C253,'Prospects'!$C$5:$C$504,0)),"")),'Paramètres'!$Q$6:$Q$15,0)),0))-N(P253)),0)))</f>
        <v/>
      </c>
      <c r="AX253" s="61">
        <f>IF(C253="","",IF(COUNTIF($C$5:C253,C253)=1,MAX($AX$4:AX252)+1,""))</f>
        <v/>
      </c>
      <c r="AY253" s="61">
        <f>IF(B253="","",HOUR(B253))</f>
        <v/>
      </c>
      <c r="AZ253" s="61">
        <f>IF(A253="","",MOD(A253-2,7)+1)</f>
        <v/>
      </c>
      <c r="BA253" s="60">
        <f>IF(C253="","",IFERROR(INDEX('Prospects'!$N$5:$N$504,MATCH(C253,'Prospects'!$C$5:$C$504,0)),""))</f>
        <v/>
      </c>
      <c r="BB253" s="61">
        <f>IF(AND(C253&lt;&gt;"",C253='Fiche prospect'!$C$4),COUNTIF($C$5:C253,C253),"")</f>
        <v/>
      </c>
    </row>
    <row r="254">
      <c r="A254" s="53" t="n"/>
      <c r="B254" s="54" t="n"/>
      <c r="C254" s="55" t="n"/>
      <c r="D254" s="55" t="n"/>
      <c r="E254" s="55" t="n"/>
      <c r="F254" s="55" t="n"/>
      <c r="G254" s="56" t="n"/>
      <c r="H254" s="57" t="n"/>
      <c r="I254" s="55" t="n"/>
      <c r="J254" s="53" t="n"/>
      <c r="K254" s="54" t="n"/>
      <c r="L254" s="55" t="n"/>
      <c r="M254" s="55" t="n"/>
      <c r="N254" s="57" t="n"/>
      <c r="O254" s="55" t="n"/>
      <c r="P254" s="56" t="n"/>
      <c r="Q254" s="55" t="n"/>
      <c r="R254" s="55" t="n"/>
      <c r="S254" s="55" t="n"/>
      <c r="T254" s="55" t="n"/>
      <c r="U254" s="55" t="n"/>
      <c r="V254" s="55" t="n"/>
      <c r="W254" s="58" t="n"/>
      <c r="X254" s="58" t="n"/>
      <c r="Y254" s="55" t="n"/>
      <c r="Z254" s="55" t="n"/>
      <c r="AA254" s="55" t="n"/>
      <c r="AB254" s="55" t="n"/>
      <c r="AC254" s="55" t="n"/>
      <c r="AD254" s="53" t="n"/>
      <c r="AE254" s="55" t="n"/>
      <c r="AF254" s="55" t="n"/>
      <c r="AG254" s="59" t="n"/>
      <c r="AH254" s="57" t="n"/>
      <c r="AI254" s="55" t="n"/>
      <c r="AJ254" s="55" t="n"/>
      <c r="AK254" s="55" t="n"/>
      <c r="AL254" s="55" t="n"/>
      <c r="AM254" s="56" t="n"/>
      <c r="AN254" s="55" t="n"/>
      <c r="AO254" s="55" t="n"/>
      <c r="AP254" s="55" t="n"/>
      <c r="AQ254" s="55" t="n"/>
      <c r="AR254" s="60">
        <f>IF(AND(C254="",E254=""),"",IF(A254="","⚠ Date manquante",IF(AND(C254="",E254&lt;&gt;"Dépense"),"⚠ Prospect manquant",IF(E254="","⚠ Action manquante",IF(AND(AU254=1,D254=""),"⚠ Canal manquant",IF(AND(W254&lt;&gt;"",COUNTIFS('Saisie'!$W$5:$W$2004,W254,'Saisie'!$C$5:$C$2004,"&lt;&gt;"&amp;C254)&gt;0),"⚠ Numéro déjà utilisé par un autre prospect",IF(AND(J254&lt;&gt;"",J254&lt;A254),"⚠ Relance avant la date de l'action",IF(A254&gt;TODAY(),"⚠ Date dans le futur","✓"))))))))</f>
        <v/>
      </c>
      <c r="AS254" s="61">
        <f>IF(AND(A254="",C254="",E254=""),"",ROW())</f>
        <v/>
      </c>
      <c r="AT254" s="61">
        <f>IF(E254&amp;F254="","",MAX(IFERROR(INDEX('Paramètres'!$J$6:$J$33,MATCH(E254,'Paramètres'!$I$6:$I$33,0)),0),IFERROR(INDEX('Paramètres'!$N$6:$N$17,MATCH(F254,'Paramètres'!$M$6:$M$17,0)),0)))</f>
        <v/>
      </c>
      <c r="AU254" s="61">
        <f>IF(E254="","",IFERROR(IF(INDEX('Paramètres'!$K$6:$K$33,MATCH(E254,'Paramètres'!$I$6:$I$33,0))="Oui",1,0),0))</f>
        <v/>
      </c>
      <c r="AV254" s="61">
        <f>IF(F254="","",IFERROR(IF(INDEX('Paramètres'!$O$6:$O$17,MATCH(F254,'Paramètres'!$M$6:$M$17,0))="Oui",1,0),0))</f>
        <v/>
      </c>
      <c r="AW254" s="62">
        <f>IF(E254="","",IF(G254&lt;&gt;"",G254,IF(OR(E254="Proposition envoyée",E254="Signature"),MAX(0,N(IFERROR(INDEX('Paramètres'!$R$6:$R$15,MATCH(IF(AL254&lt;&gt;"",AL254,IFERROR(INDEX('Prospects'!$AN$5:$AN$504,MATCH(C254,'Prospects'!$C$5:$C$504,0)),"")),'Paramètres'!$Q$6:$Q$15,0)),0))-N(P254)),0)))</f>
        <v/>
      </c>
      <c r="AX254" s="61">
        <f>IF(C254="","",IF(COUNTIF($C$5:C254,C254)=1,MAX($AX$4:AX253)+1,""))</f>
        <v/>
      </c>
      <c r="AY254" s="61">
        <f>IF(B254="","",HOUR(B254))</f>
        <v/>
      </c>
      <c r="AZ254" s="61">
        <f>IF(A254="","",MOD(A254-2,7)+1)</f>
        <v/>
      </c>
      <c r="BA254" s="60">
        <f>IF(C254="","",IFERROR(INDEX('Prospects'!$N$5:$N$504,MATCH(C254,'Prospects'!$C$5:$C$504,0)),""))</f>
        <v/>
      </c>
      <c r="BB254" s="61">
        <f>IF(AND(C254&lt;&gt;"",C254='Fiche prospect'!$C$4),COUNTIF($C$5:C254,C254),"")</f>
        <v/>
      </c>
    </row>
    <row r="255">
      <c r="A255" s="53" t="n"/>
      <c r="B255" s="54" t="n"/>
      <c r="C255" s="55" t="n"/>
      <c r="D255" s="55" t="n"/>
      <c r="E255" s="55" t="n"/>
      <c r="F255" s="55" t="n"/>
      <c r="G255" s="56" t="n"/>
      <c r="H255" s="57" t="n"/>
      <c r="I255" s="55" t="n"/>
      <c r="J255" s="53" t="n"/>
      <c r="K255" s="54" t="n"/>
      <c r="L255" s="55" t="n"/>
      <c r="M255" s="55" t="n"/>
      <c r="N255" s="57" t="n"/>
      <c r="O255" s="55" t="n"/>
      <c r="P255" s="56" t="n"/>
      <c r="Q255" s="55" t="n"/>
      <c r="R255" s="55" t="n"/>
      <c r="S255" s="55" t="n"/>
      <c r="T255" s="55" t="n"/>
      <c r="U255" s="55" t="n"/>
      <c r="V255" s="55" t="n"/>
      <c r="W255" s="58" t="n"/>
      <c r="X255" s="58" t="n"/>
      <c r="Y255" s="55" t="n"/>
      <c r="Z255" s="55" t="n"/>
      <c r="AA255" s="55" t="n"/>
      <c r="AB255" s="55" t="n"/>
      <c r="AC255" s="55" t="n"/>
      <c r="AD255" s="53" t="n"/>
      <c r="AE255" s="55" t="n"/>
      <c r="AF255" s="55" t="n"/>
      <c r="AG255" s="59" t="n"/>
      <c r="AH255" s="57" t="n"/>
      <c r="AI255" s="55" t="n"/>
      <c r="AJ255" s="55" t="n"/>
      <c r="AK255" s="55" t="n"/>
      <c r="AL255" s="55" t="n"/>
      <c r="AM255" s="56" t="n"/>
      <c r="AN255" s="55" t="n"/>
      <c r="AO255" s="55" t="n"/>
      <c r="AP255" s="55" t="n"/>
      <c r="AQ255" s="55" t="n"/>
      <c r="AR255" s="60">
        <f>IF(AND(C255="",E255=""),"",IF(A255="","⚠ Date manquante",IF(AND(C255="",E255&lt;&gt;"Dépense"),"⚠ Prospect manquant",IF(E255="","⚠ Action manquante",IF(AND(AU255=1,D255=""),"⚠ Canal manquant",IF(AND(W255&lt;&gt;"",COUNTIFS('Saisie'!$W$5:$W$2004,W255,'Saisie'!$C$5:$C$2004,"&lt;&gt;"&amp;C255)&gt;0),"⚠ Numéro déjà utilisé par un autre prospect",IF(AND(J255&lt;&gt;"",J255&lt;A255),"⚠ Relance avant la date de l'action",IF(A255&gt;TODAY(),"⚠ Date dans le futur","✓"))))))))</f>
        <v/>
      </c>
      <c r="AS255" s="61">
        <f>IF(AND(A255="",C255="",E255=""),"",ROW())</f>
        <v/>
      </c>
      <c r="AT255" s="61">
        <f>IF(E255&amp;F255="","",MAX(IFERROR(INDEX('Paramètres'!$J$6:$J$33,MATCH(E255,'Paramètres'!$I$6:$I$33,0)),0),IFERROR(INDEX('Paramètres'!$N$6:$N$17,MATCH(F255,'Paramètres'!$M$6:$M$17,0)),0)))</f>
        <v/>
      </c>
      <c r="AU255" s="61">
        <f>IF(E255="","",IFERROR(IF(INDEX('Paramètres'!$K$6:$K$33,MATCH(E255,'Paramètres'!$I$6:$I$33,0))="Oui",1,0),0))</f>
        <v/>
      </c>
      <c r="AV255" s="61">
        <f>IF(F255="","",IFERROR(IF(INDEX('Paramètres'!$O$6:$O$17,MATCH(F255,'Paramètres'!$M$6:$M$17,0))="Oui",1,0),0))</f>
        <v/>
      </c>
      <c r="AW255" s="62">
        <f>IF(E255="","",IF(G255&lt;&gt;"",G255,IF(OR(E255="Proposition envoyée",E255="Signature"),MAX(0,N(IFERROR(INDEX('Paramètres'!$R$6:$R$15,MATCH(IF(AL255&lt;&gt;"",AL255,IFERROR(INDEX('Prospects'!$AN$5:$AN$504,MATCH(C255,'Prospects'!$C$5:$C$504,0)),"")),'Paramètres'!$Q$6:$Q$15,0)),0))-N(P255)),0)))</f>
        <v/>
      </c>
      <c r="AX255" s="61">
        <f>IF(C255="","",IF(COUNTIF($C$5:C255,C255)=1,MAX($AX$4:AX254)+1,""))</f>
        <v/>
      </c>
      <c r="AY255" s="61">
        <f>IF(B255="","",HOUR(B255))</f>
        <v/>
      </c>
      <c r="AZ255" s="61">
        <f>IF(A255="","",MOD(A255-2,7)+1)</f>
        <v/>
      </c>
      <c r="BA255" s="60">
        <f>IF(C255="","",IFERROR(INDEX('Prospects'!$N$5:$N$504,MATCH(C255,'Prospects'!$C$5:$C$504,0)),""))</f>
        <v/>
      </c>
      <c r="BB255" s="61">
        <f>IF(AND(C255&lt;&gt;"",C255='Fiche prospect'!$C$4),COUNTIF($C$5:C255,C255),"")</f>
        <v/>
      </c>
    </row>
    <row r="256">
      <c r="A256" s="53" t="n"/>
      <c r="B256" s="54" t="n"/>
      <c r="C256" s="55" t="n"/>
      <c r="D256" s="55" t="n"/>
      <c r="E256" s="55" t="n"/>
      <c r="F256" s="55" t="n"/>
      <c r="G256" s="56" t="n"/>
      <c r="H256" s="57" t="n"/>
      <c r="I256" s="55" t="n"/>
      <c r="J256" s="53" t="n"/>
      <c r="K256" s="54" t="n"/>
      <c r="L256" s="55" t="n"/>
      <c r="M256" s="55" t="n"/>
      <c r="N256" s="57" t="n"/>
      <c r="O256" s="55" t="n"/>
      <c r="P256" s="56" t="n"/>
      <c r="Q256" s="55" t="n"/>
      <c r="R256" s="55" t="n"/>
      <c r="S256" s="55" t="n"/>
      <c r="T256" s="55" t="n"/>
      <c r="U256" s="55" t="n"/>
      <c r="V256" s="55" t="n"/>
      <c r="W256" s="58" t="n"/>
      <c r="X256" s="58" t="n"/>
      <c r="Y256" s="55" t="n"/>
      <c r="Z256" s="55" t="n"/>
      <c r="AA256" s="55" t="n"/>
      <c r="AB256" s="55" t="n"/>
      <c r="AC256" s="55" t="n"/>
      <c r="AD256" s="53" t="n"/>
      <c r="AE256" s="55" t="n"/>
      <c r="AF256" s="55" t="n"/>
      <c r="AG256" s="59" t="n"/>
      <c r="AH256" s="57" t="n"/>
      <c r="AI256" s="55" t="n"/>
      <c r="AJ256" s="55" t="n"/>
      <c r="AK256" s="55" t="n"/>
      <c r="AL256" s="55" t="n"/>
      <c r="AM256" s="56" t="n"/>
      <c r="AN256" s="55" t="n"/>
      <c r="AO256" s="55" t="n"/>
      <c r="AP256" s="55" t="n"/>
      <c r="AQ256" s="55" t="n"/>
      <c r="AR256" s="60">
        <f>IF(AND(C256="",E256=""),"",IF(A256="","⚠ Date manquante",IF(AND(C256="",E256&lt;&gt;"Dépense"),"⚠ Prospect manquant",IF(E256="","⚠ Action manquante",IF(AND(AU256=1,D256=""),"⚠ Canal manquant",IF(AND(W256&lt;&gt;"",COUNTIFS('Saisie'!$W$5:$W$2004,W256,'Saisie'!$C$5:$C$2004,"&lt;&gt;"&amp;C256)&gt;0),"⚠ Numéro déjà utilisé par un autre prospect",IF(AND(J256&lt;&gt;"",J256&lt;A256),"⚠ Relance avant la date de l'action",IF(A256&gt;TODAY(),"⚠ Date dans le futur","✓"))))))))</f>
        <v/>
      </c>
      <c r="AS256" s="61">
        <f>IF(AND(A256="",C256="",E256=""),"",ROW())</f>
        <v/>
      </c>
      <c r="AT256" s="61">
        <f>IF(E256&amp;F256="","",MAX(IFERROR(INDEX('Paramètres'!$J$6:$J$33,MATCH(E256,'Paramètres'!$I$6:$I$33,0)),0),IFERROR(INDEX('Paramètres'!$N$6:$N$17,MATCH(F256,'Paramètres'!$M$6:$M$17,0)),0)))</f>
        <v/>
      </c>
      <c r="AU256" s="61">
        <f>IF(E256="","",IFERROR(IF(INDEX('Paramètres'!$K$6:$K$33,MATCH(E256,'Paramètres'!$I$6:$I$33,0))="Oui",1,0),0))</f>
        <v/>
      </c>
      <c r="AV256" s="61">
        <f>IF(F256="","",IFERROR(IF(INDEX('Paramètres'!$O$6:$O$17,MATCH(F256,'Paramètres'!$M$6:$M$17,0))="Oui",1,0),0))</f>
        <v/>
      </c>
      <c r="AW256" s="62">
        <f>IF(E256="","",IF(G256&lt;&gt;"",G256,IF(OR(E256="Proposition envoyée",E256="Signature"),MAX(0,N(IFERROR(INDEX('Paramètres'!$R$6:$R$15,MATCH(IF(AL256&lt;&gt;"",AL256,IFERROR(INDEX('Prospects'!$AN$5:$AN$504,MATCH(C256,'Prospects'!$C$5:$C$504,0)),"")),'Paramètres'!$Q$6:$Q$15,0)),0))-N(P256)),0)))</f>
        <v/>
      </c>
      <c r="AX256" s="61">
        <f>IF(C256="","",IF(COUNTIF($C$5:C256,C256)=1,MAX($AX$4:AX255)+1,""))</f>
        <v/>
      </c>
      <c r="AY256" s="61">
        <f>IF(B256="","",HOUR(B256))</f>
        <v/>
      </c>
      <c r="AZ256" s="61">
        <f>IF(A256="","",MOD(A256-2,7)+1)</f>
        <v/>
      </c>
      <c r="BA256" s="60">
        <f>IF(C256="","",IFERROR(INDEX('Prospects'!$N$5:$N$504,MATCH(C256,'Prospects'!$C$5:$C$504,0)),""))</f>
        <v/>
      </c>
      <c r="BB256" s="61">
        <f>IF(AND(C256&lt;&gt;"",C256='Fiche prospect'!$C$4),COUNTIF($C$5:C256,C256),"")</f>
        <v/>
      </c>
    </row>
    <row r="257">
      <c r="A257" s="53" t="n"/>
      <c r="B257" s="54" t="n"/>
      <c r="C257" s="55" t="n"/>
      <c r="D257" s="55" t="n"/>
      <c r="E257" s="55" t="n"/>
      <c r="F257" s="55" t="n"/>
      <c r="G257" s="56" t="n"/>
      <c r="H257" s="57" t="n"/>
      <c r="I257" s="55" t="n"/>
      <c r="J257" s="53" t="n"/>
      <c r="K257" s="54" t="n"/>
      <c r="L257" s="55" t="n"/>
      <c r="M257" s="55" t="n"/>
      <c r="N257" s="57" t="n"/>
      <c r="O257" s="55" t="n"/>
      <c r="P257" s="56" t="n"/>
      <c r="Q257" s="55" t="n"/>
      <c r="R257" s="55" t="n"/>
      <c r="S257" s="55" t="n"/>
      <c r="T257" s="55" t="n"/>
      <c r="U257" s="55" t="n"/>
      <c r="V257" s="55" t="n"/>
      <c r="W257" s="58" t="n"/>
      <c r="X257" s="58" t="n"/>
      <c r="Y257" s="55" t="n"/>
      <c r="Z257" s="55" t="n"/>
      <c r="AA257" s="55" t="n"/>
      <c r="AB257" s="55" t="n"/>
      <c r="AC257" s="55" t="n"/>
      <c r="AD257" s="53" t="n"/>
      <c r="AE257" s="55" t="n"/>
      <c r="AF257" s="55" t="n"/>
      <c r="AG257" s="59" t="n"/>
      <c r="AH257" s="57" t="n"/>
      <c r="AI257" s="55" t="n"/>
      <c r="AJ257" s="55" t="n"/>
      <c r="AK257" s="55" t="n"/>
      <c r="AL257" s="55" t="n"/>
      <c r="AM257" s="56" t="n"/>
      <c r="AN257" s="55" t="n"/>
      <c r="AO257" s="55" t="n"/>
      <c r="AP257" s="55" t="n"/>
      <c r="AQ257" s="55" t="n"/>
      <c r="AR257" s="60">
        <f>IF(AND(C257="",E257=""),"",IF(A257="","⚠ Date manquante",IF(AND(C257="",E257&lt;&gt;"Dépense"),"⚠ Prospect manquant",IF(E257="","⚠ Action manquante",IF(AND(AU257=1,D257=""),"⚠ Canal manquant",IF(AND(W257&lt;&gt;"",COUNTIFS('Saisie'!$W$5:$W$2004,W257,'Saisie'!$C$5:$C$2004,"&lt;&gt;"&amp;C257)&gt;0),"⚠ Numéro déjà utilisé par un autre prospect",IF(AND(J257&lt;&gt;"",J257&lt;A257),"⚠ Relance avant la date de l'action",IF(A257&gt;TODAY(),"⚠ Date dans le futur","✓"))))))))</f>
        <v/>
      </c>
      <c r="AS257" s="61">
        <f>IF(AND(A257="",C257="",E257=""),"",ROW())</f>
        <v/>
      </c>
      <c r="AT257" s="61">
        <f>IF(E257&amp;F257="","",MAX(IFERROR(INDEX('Paramètres'!$J$6:$J$33,MATCH(E257,'Paramètres'!$I$6:$I$33,0)),0),IFERROR(INDEX('Paramètres'!$N$6:$N$17,MATCH(F257,'Paramètres'!$M$6:$M$17,0)),0)))</f>
        <v/>
      </c>
      <c r="AU257" s="61">
        <f>IF(E257="","",IFERROR(IF(INDEX('Paramètres'!$K$6:$K$33,MATCH(E257,'Paramètres'!$I$6:$I$33,0))="Oui",1,0),0))</f>
        <v/>
      </c>
      <c r="AV257" s="61">
        <f>IF(F257="","",IFERROR(IF(INDEX('Paramètres'!$O$6:$O$17,MATCH(F257,'Paramètres'!$M$6:$M$17,0))="Oui",1,0),0))</f>
        <v/>
      </c>
      <c r="AW257" s="62">
        <f>IF(E257="","",IF(G257&lt;&gt;"",G257,IF(OR(E257="Proposition envoyée",E257="Signature"),MAX(0,N(IFERROR(INDEX('Paramètres'!$R$6:$R$15,MATCH(IF(AL257&lt;&gt;"",AL257,IFERROR(INDEX('Prospects'!$AN$5:$AN$504,MATCH(C257,'Prospects'!$C$5:$C$504,0)),"")),'Paramètres'!$Q$6:$Q$15,0)),0))-N(P257)),0)))</f>
        <v/>
      </c>
      <c r="AX257" s="61">
        <f>IF(C257="","",IF(COUNTIF($C$5:C257,C257)=1,MAX($AX$4:AX256)+1,""))</f>
        <v/>
      </c>
      <c r="AY257" s="61">
        <f>IF(B257="","",HOUR(B257))</f>
        <v/>
      </c>
      <c r="AZ257" s="61">
        <f>IF(A257="","",MOD(A257-2,7)+1)</f>
        <v/>
      </c>
      <c r="BA257" s="60">
        <f>IF(C257="","",IFERROR(INDEX('Prospects'!$N$5:$N$504,MATCH(C257,'Prospects'!$C$5:$C$504,0)),""))</f>
        <v/>
      </c>
      <c r="BB257" s="61">
        <f>IF(AND(C257&lt;&gt;"",C257='Fiche prospect'!$C$4),COUNTIF($C$5:C257,C257),"")</f>
        <v/>
      </c>
    </row>
    <row r="258">
      <c r="A258" s="53" t="n"/>
      <c r="B258" s="54" t="n"/>
      <c r="C258" s="55" t="n"/>
      <c r="D258" s="55" t="n"/>
      <c r="E258" s="55" t="n"/>
      <c r="F258" s="55" t="n"/>
      <c r="G258" s="56" t="n"/>
      <c r="H258" s="57" t="n"/>
      <c r="I258" s="55" t="n"/>
      <c r="J258" s="53" t="n"/>
      <c r="K258" s="54" t="n"/>
      <c r="L258" s="55" t="n"/>
      <c r="M258" s="55" t="n"/>
      <c r="N258" s="57" t="n"/>
      <c r="O258" s="55" t="n"/>
      <c r="P258" s="56" t="n"/>
      <c r="Q258" s="55" t="n"/>
      <c r="R258" s="55" t="n"/>
      <c r="S258" s="55" t="n"/>
      <c r="T258" s="55" t="n"/>
      <c r="U258" s="55" t="n"/>
      <c r="V258" s="55" t="n"/>
      <c r="W258" s="58" t="n"/>
      <c r="X258" s="58" t="n"/>
      <c r="Y258" s="55" t="n"/>
      <c r="Z258" s="55" t="n"/>
      <c r="AA258" s="55" t="n"/>
      <c r="AB258" s="55" t="n"/>
      <c r="AC258" s="55" t="n"/>
      <c r="AD258" s="53" t="n"/>
      <c r="AE258" s="55" t="n"/>
      <c r="AF258" s="55" t="n"/>
      <c r="AG258" s="59" t="n"/>
      <c r="AH258" s="57" t="n"/>
      <c r="AI258" s="55" t="n"/>
      <c r="AJ258" s="55" t="n"/>
      <c r="AK258" s="55" t="n"/>
      <c r="AL258" s="55" t="n"/>
      <c r="AM258" s="56" t="n"/>
      <c r="AN258" s="55" t="n"/>
      <c r="AO258" s="55" t="n"/>
      <c r="AP258" s="55" t="n"/>
      <c r="AQ258" s="55" t="n"/>
      <c r="AR258" s="60">
        <f>IF(AND(C258="",E258=""),"",IF(A258="","⚠ Date manquante",IF(AND(C258="",E258&lt;&gt;"Dépense"),"⚠ Prospect manquant",IF(E258="","⚠ Action manquante",IF(AND(AU258=1,D258=""),"⚠ Canal manquant",IF(AND(W258&lt;&gt;"",COUNTIFS('Saisie'!$W$5:$W$2004,W258,'Saisie'!$C$5:$C$2004,"&lt;&gt;"&amp;C258)&gt;0),"⚠ Numéro déjà utilisé par un autre prospect",IF(AND(J258&lt;&gt;"",J258&lt;A258),"⚠ Relance avant la date de l'action",IF(A258&gt;TODAY(),"⚠ Date dans le futur","✓"))))))))</f>
        <v/>
      </c>
      <c r="AS258" s="61">
        <f>IF(AND(A258="",C258="",E258=""),"",ROW())</f>
        <v/>
      </c>
      <c r="AT258" s="61">
        <f>IF(E258&amp;F258="","",MAX(IFERROR(INDEX('Paramètres'!$J$6:$J$33,MATCH(E258,'Paramètres'!$I$6:$I$33,0)),0),IFERROR(INDEX('Paramètres'!$N$6:$N$17,MATCH(F258,'Paramètres'!$M$6:$M$17,0)),0)))</f>
        <v/>
      </c>
      <c r="AU258" s="61">
        <f>IF(E258="","",IFERROR(IF(INDEX('Paramètres'!$K$6:$K$33,MATCH(E258,'Paramètres'!$I$6:$I$33,0))="Oui",1,0),0))</f>
        <v/>
      </c>
      <c r="AV258" s="61">
        <f>IF(F258="","",IFERROR(IF(INDEX('Paramètres'!$O$6:$O$17,MATCH(F258,'Paramètres'!$M$6:$M$17,0))="Oui",1,0),0))</f>
        <v/>
      </c>
      <c r="AW258" s="62">
        <f>IF(E258="","",IF(G258&lt;&gt;"",G258,IF(OR(E258="Proposition envoyée",E258="Signature"),MAX(0,N(IFERROR(INDEX('Paramètres'!$R$6:$R$15,MATCH(IF(AL258&lt;&gt;"",AL258,IFERROR(INDEX('Prospects'!$AN$5:$AN$504,MATCH(C258,'Prospects'!$C$5:$C$504,0)),"")),'Paramètres'!$Q$6:$Q$15,0)),0))-N(P258)),0)))</f>
        <v/>
      </c>
      <c r="AX258" s="61">
        <f>IF(C258="","",IF(COUNTIF($C$5:C258,C258)=1,MAX($AX$4:AX257)+1,""))</f>
        <v/>
      </c>
      <c r="AY258" s="61">
        <f>IF(B258="","",HOUR(B258))</f>
        <v/>
      </c>
      <c r="AZ258" s="61">
        <f>IF(A258="","",MOD(A258-2,7)+1)</f>
        <v/>
      </c>
      <c r="BA258" s="60">
        <f>IF(C258="","",IFERROR(INDEX('Prospects'!$N$5:$N$504,MATCH(C258,'Prospects'!$C$5:$C$504,0)),""))</f>
        <v/>
      </c>
      <c r="BB258" s="61">
        <f>IF(AND(C258&lt;&gt;"",C258='Fiche prospect'!$C$4),COUNTIF($C$5:C258,C258),"")</f>
        <v/>
      </c>
    </row>
    <row r="259">
      <c r="A259" s="53" t="n"/>
      <c r="B259" s="54" t="n"/>
      <c r="C259" s="55" t="n"/>
      <c r="D259" s="55" t="n"/>
      <c r="E259" s="55" t="n"/>
      <c r="F259" s="55" t="n"/>
      <c r="G259" s="56" t="n"/>
      <c r="H259" s="57" t="n"/>
      <c r="I259" s="55" t="n"/>
      <c r="J259" s="53" t="n"/>
      <c r="K259" s="54" t="n"/>
      <c r="L259" s="55" t="n"/>
      <c r="M259" s="55" t="n"/>
      <c r="N259" s="57" t="n"/>
      <c r="O259" s="55" t="n"/>
      <c r="P259" s="56" t="n"/>
      <c r="Q259" s="55" t="n"/>
      <c r="R259" s="55" t="n"/>
      <c r="S259" s="55" t="n"/>
      <c r="T259" s="55" t="n"/>
      <c r="U259" s="55" t="n"/>
      <c r="V259" s="55" t="n"/>
      <c r="W259" s="58" t="n"/>
      <c r="X259" s="58" t="n"/>
      <c r="Y259" s="55" t="n"/>
      <c r="Z259" s="55" t="n"/>
      <c r="AA259" s="55" t="n"/>
      <c r="AB259" s="55" t="n"/>
      <c r="AC259" s="55" t="n"/>
      <c r="AD259" s="53" t="n"/>
      <c r="AE259" s="55" t="n"/>
      <c r="AF259" s="55" t="n"/>
      <c r="AG259" s="59" t="n"/>
      <c r="AH259" s="57" t="n"/>
      <c r="AI259" s="55" t="n"/>
      <c r="AJ259" s="55" t="n"/>
      <c r="AK259" s="55" t="n"/>
      <c r="AL259" s="55" t="n"/>
      <c r="AM259" s="56" t="n"/>
      <c r="AN259" s="55" t="n"/>
      <c r="AO259" s="55" t="n"/>
      <c r="AP259" s="55" t="n"/>
      <c r="AQ259" s="55" t="n"/>
      <c r="AR259" s="60">
        <f>IF(AND(C259="",E259=""),"",IF(A259="","⚠ Date manquante",IF(AND(C259="",E259&lt;&gt;"Dépense"),"⚠ Prospect manquant",IF(E259="","⚠ Action manquante",IF(AND(AU259=1,D259=""),"⚠ Canal manquant",IF(AND(W259&lt;&gt;"",COUNTIFS('Saisie'!$W$5:$W$2004,W259,'Saisie'!$C$5:$C$2004,"&lt;&gt;"&amp;C259)&gt;0),"⚠ Numéro déjà utilisé par un autre prospect",IF(AND(J259&lt;&gt;"",J259&lt;A259),"⚠ Relance avant la date de l'action",IF(A259&gt;TODAY(),"⚠ Date dans le futur","✓"))))))))</f>
        <v/>
      </c>
      <c r="AS259" s="61">
        <f>IF(AND(A259="",C259="",E259=""),"",ROW())</f>
        <v/>
      </c>
      <c r="AT259" s="61">
        <f>IF(E259&amp;F259="","",MAX(IFERROR(INDEX('Paramètres'!$J$6:$J$33,MATCH(E259,'Paramètres'!$I$6:$I$33,0)),0),IFERROR(INDEX('Paramètres'!$N$6:$N$17,MATCH(F259,'Paramètres'!$M$6:$M$17,0)),0)))</f>
        <v/>
      </c>
      <c r="AU259" s="61">
        <f>IF(E259="","",IFERROR(IF(INDEX('Paramètres'!$K$6:$K$33,MATCH(E259,'Paramètres'!$I$6:$I$33,0))="Oui",1,0),0))</f>
        <v/>
      </c>
      <c r="AV259" s="61">
        <f>IF(F259="","",IFERROR(IF(INDEX('Paramètres'!$O$6:$O$17,MATCH(F259,'Paramètres'!$M$6:$M$17,0))="Oui",1,0),0))</f>
        <v/>
      </c>
      <c r="AW259" s="62">
        <f>IF(E259="","",IF(G259&lt;&gt;"",G259,IF(OR(E259="Proposition envoyée",E259="Signature"),MAX(0,N(IFERROR(INDEX('Paramètres'!$R$6:$R$15,MATCH(IF(AL259&lt;&gt;"",AL259,IFERROR(INDEX('Prospects'!$AN$5:$AN$504,MATCH(C259,'Prospects'!$C$5:$C$504,0)),"")),'Paramètres'!$Q$6:$Q$15,0)),0))-N(P259)),0)))</f>
        <v/>
      </c>
      <c r="AX259" s="61">
        <f>IF(C259="","",IF(COUNTIF($C$5:C259,C259)=1,MAX($AX$4:AX258)+1,""))</f>
        <v/>
      </c>
      <c r="AY259" s="61">
        <f>IF(B259="","",HOUR(B259))</f>
        <v/>
      </c>
      <c r="AZ259" s="61">
        <f>IF(A259="","",MOD(A259-2,7)+1)</f>
        <v/>
      </c>
      <c r="BA259" s="60">
        <f>IF(C259="","",IFERROR(INDEX('Prospects'!$N$5:$N$504,MATCH(C259,'Prospects'!$C$5:$C$504,0)),""))</f>
        <v/>
      </c>
      <c r="BB259" s="61">
        <f>IF(AND(C259&lt;&gt;"",C259='Fiche prospect'!$C$4),COUNTIF($C$5:C259,C259),"")</f>
        <v/>
      </c>
    </row>
    <row r="260">
      <c r="A260" s="53" t="n"/>
      <c r="B260" s="54" t="n"/>
      <c r="C260" s="55" t="n"/>
      <c r="D260" s="55" t="n"/>
      <c r="E260" s="55" t="n"/>
      <c r="F260" s="55" t="n"/>
      <c r="G260" s="56" t="n"/>
      <c r="H260" s="57" t="n"/>
      <c r="I260" s="55" t="n"/>
      <c r="J260" s="53" t="n"/>
      <c r="K260" s="54" t="n"/>
      <c r="L260" s="55" t="n"/>
      <c r="M260" s="55" t="n"/>
      <c r="N260" s="57" t="n"/>
      <c r="O260" s="55" t="n"/>
      <c r="P260" s="56" t="n"/>
      <c r="Q260" s="55" t="n"/>
      <c r="R260" s="55" t="n"/>
      <c r="S260" s="55" t="n"/>
      <c r="T260" s="55" t="n"/>
      <c r="U260" s="55" t="n"/>
      <c r="V260" s="55" t="n"/>
      <c r="W260" s="58" t="n"/>
      <c r="X260" s="58" t="n"/>
      <c r="Y260" s="55" t="n"/>
      <c r="Z260" s="55" t="n"/>
      <c r="AA260" s="55" t="n"/>
      <c r="AB260" s="55" t="n"/>
      <c r="AC260" s="55" t="n"/>
      <c r="AD260" s="53" t="n"/>
      <c r="AE260" s="55" t="n"/>
      <c r="AF260" s="55" t="n"/>
      <c r="AG260" s="59" t="n"/>
      <c r="AH260" s="57" t="n"/>
      <c r="AI260" s="55" t="n"/>
      <c r="AJ260" s="55" t="n"/>
      <c r="AK260" s="55" t="n"/>
      <c r="AL260" s="55" t="n"/>
      <c r="AM260" s="56" t="n"/>
      <c r="AN260" s="55" t="n"/>
      <c r="AO260" s="55" t="n"/>
      <c r="AP260" s="55" t="n"/>
      <c r="AQ260" s="55" t="n"/>
      <c r="AR260" s="60">
        <f>IF(AND(C260="",E260=""),"",IF(A260="","⚠ Date manquante",IF(AND(C260="",E260&lt;&gt;"Dépense"),"⚠ Prospect manquant",IF(E260="","⚠ Action manquante",IF(AND(AU260=1,D260=""),"⚠ Canal manquant",IF(AND(W260&lt;&gt;"",COUNTIFS('Saisie'!$W$5:$W$2004,W260,'Saisie'!$C$5:$C$2004,"&lt;&gt;"&amp;C260)&gt;0),"⚠ Numéro déjà utilisé par un autre prospect",IF(AND(J260&lt;&gt;"",J260&lt;A260),"⚠ Relance avant la date de l'action",IF(A260&gt;TODAY(),"⚠ Date dans le futur","✓"))))))))</f>
        <v/>
      </c>
      <c r="AS260" s="61">
        <f>IF(AND(A260="",C260="",E260=""),"",ROW())</f>
        <v/>
      </c>
      <c r="AT260" s="61">
        <f>IF(E260&amp;F260="","",MAX(IFERROR(INDEX('Paramètres'!$J$6:$J$33,MATCH(E260,'Paramètres'!$I$6:$I$33,0)),0),IFERROR(INDEX('Paramètres'!$N$6:$N$17,MATCH(F260,'Paramètres'!$M$6:$M$17,0)),0)))</f>
        <v/>
      </c>
      <c r="AU260" s="61">
        <f>IF(E260="","",IFERROR(IF(INDEX('Paramètres'!$K$6:$K$33,MATCH(E260,'Paramètres'!$I$6:$I$33,0))="Oui",1,0),0))</f>
        <v/>
      </c>
      <c r="AV260" s="61">
        <f>IF(F260="","",IFERROR(IF(INDEX('Paramètres'!$O$6:$O$17,MATCH(F260,'Paramètres'!$M$6:$M$17,0))="Oui",1,0),0))</f>
        <v/>
      </c>
      <c r="AW260" s="62">
        <f>IF(E260="","",IF(G260&lt;&gt;"",G260,IF(OR(E260="Proposition envoyée",E260="Signature"),MAX(0,N(IFERROR(INDEX('Paramètres'!$R$6:$R$15,MATCH(IF(AL260&lt;&gt;"",AL260,IFERROR(INDEX('Prospects'!$AN$5:$AN$504,MATCH(C260,'Prospects'!$C$5:$C$504,0)),"")),'Paramètres'!$Q$6:$Q$15,0)),0))-N(P260)),0)))</f>
        <v/>
      </c>
      <c r="AX260" s="61">
        <f>IF(C260="","",IF(COUNTIF($C$5:C260,C260)=1,MAX($AX$4:AX259)+1,""))</f>
        <v/>
      </c>
      <c r="AY260" s="61">
        <f>IF(B260="","",HOUR(B260))</f>
        <v/>
      </c>
      <c r="AZ260" s="61">
        <f>IF(A260="","",MOD(A260-2,7)+1)</f>
        <v/>
      </c>
      <c r="BA260" s="60">
        <f>IF(C260="","",IFERROR(INDEX('Prospects'!$N$5:$N$504,MATCH(C260,'Prospects'!$C$5:$C$504,0)),""))</f>
        <v/>
      </c>
      <c r="BB260" s="61">
        <f>IF(AND(C260&lt;&gt;"",C260='Fiche prospect'!$C$4),COUNTIF($C$5:C260,C260),"")</f>
        <v/>
      </c>
    </row>
    <row r="261">
      <c r="A261" s="53" t="n"/>
      <c r="B261" s="54" t="n"/>
      <c r="C261" s="55" t="n"/>
      <c r="D261" s="55" t="n"/>
      <c r="E261" s="55" t="n"/>
      <c r="F261" s="55" t="n"/>
      <c r="G261" s="56" t="n"/>
      <c r="H261" s="57" t="n"/>
      <c r="I261" s="55" t="n"/>
      <c r="J261" s="53" t="n"/>
      <c r="K261" s="54" t="n"/>
      <c r="L261" s="55" t="n"/>
      <c r="M261" s="55" t="n"/>
      <c r="N261" s="57" t="n"/>
      <c r="O261" s="55" t="n"/>
      <c r="P261" s="56" t="n"/>
      <c r="Q261" s="55" t="n"/>
      <c r="R261" s="55" t="n"/>
      <c r="S261" s="55" t="n"/>
      <c r="T261" s="55" t="n"/>
      <c r="U261" s="55" t="n"/>
      <c r="V261" s="55" t="n"/>
      <c r="W261" s="58" t="n"/>
      <c r="X261" s="58" t="n"/>
      <c r="Y261" s="55" t="n"/>
      <c r="Z261" s="55" t="n"/>
      <c r="AA261" s="55" t="n"/>
      <c r="AB261" s="55" t="n"/>
      <c r="AC261" s="55" t="n"/>
      <c r="AD261" s="53" t="n"/>
      <c r="AE261" s="55" t="n"/>
      <c r="AF261" s="55" t="n"/>
      <c r="AG261" s="59" t="n"/>
      <c r="AH261" s="57" t="n"/>
      <c r="AI261" s="55" t="n"/>
      <c r="AJ261" s="55" t="n"/>
      <c r="AK261" s="55" t="n"/>
      <c r="AL261" s="55" t="n"/>
      <c r="AM261" s="56" t="n"/>
      <c r="AN261" s="55" t="n"/>
      <c r="AO261" s="55" t="n"/>
      <c r="AP261" s="55" t="n"/>
      <c r="AQ261" s="55" t="n"/>
      <c r="AR261" s="60">
        <f>IF(AND(C261="",E261=""),"",IF(A261="","⚠ Date manquante",IF(AND(C261="",E261&lt;&gt;"Dépense"),"⚠ Prospect manquant",IF(E261="","⚠ Action manquante",IF(AND(AU261=1,D261=""),"⚠ Canal manquant",IF(AND(W261&lt;&gt;"",COUNTIFS('Saisie'!$W$5:$W$2004,W261,'Saisie'!$C$5:$C$2004,"&lt;&gt;"&amp;C261)&gt;0),"⚠ Numéro déjà utilisé par un autre prospect",IF(AND(J261&lt;&gt;"",J261&lt;A261),"⚠ Relance avant la date de l'action",IF(A261&gt;TODAY(),"⚠ Date dans le futur","✓"))))))))</f>
        <v/>
      </c>
      <c r="AS261" s="61">
        <f>IF(AND(A261="",C261="",E261=""),"",ROW())</f>
        <v/>
      </c>
      <c r="AT261" s="61">
        <f>IF(E261&amp;F261="","",MAX(IFERROR(INDEX('Paramètres'!$J$6:$J$33,MATCH(E261,'Paramètres'!$I$6:$I$33,0)),0),IFERROR(INDEX('Paramètres'!$N$6:$N$17,MATCH(F261,'Paramètres'!$M$6:$M$17,0)),0)))</f>
        <v/>
      </c>
      <c r="AU261" s="61">
        <f>IF(E261="","",IFERROR(IF(INDEX('Paramètres'!$K$6:$K$33,MATCH(E261,'Paramètres'!$I$6:$I$33,0))="Oui",1,0),0))</f>
        <v/>
      </c>
      <c r="AV261" s="61">
        <f>IF(F261="","",IFERROR(IF(INDEX('Paramètres'!$O$6:$O$17,MATCH(F261,'Paramètres'!$M$6:$M$17,0))="Oui",1,0),0))</f>
        <v/>
      </c>
      <c r="AW261" s="62">
        <f>IF(E261="","",IF(G261&lt;&gt;"",G261,IF(OR(E261="Proposition envoyée",E261="Signature"),MAX(0,N(IFERROR(INDEX('Paramètres'!$R$6:$R$15,MATCH(IF(AL261&lt;&gt;"",AL261,IFERROR(INDEX('Prospects'!$AN$5:$AN$504,MATCH(C261,'Prospects'!$C$5:$C$504,0)),"")),'Paramètres'!$Q$6:$Q$15,0)),0))-N(P261)),0)))</f>
        <v/>
      </c>
      <c r="AX261" s="61">
        <f>IF(C261="","",IF(COUNTIF($C$5:C261,C261)=1,MAX($AX$4:AX260)+1,""))</f>
        <v/>
      </c>
      <c r="AY261" s="61">
        <f>IF(B261="","",HOUR(B261))</f>
        <v/>
      </c>
      <c r="AZ261" s="61">
        <f>IF(A261="","",MOD(A261-2,7)+1)</f>
        <v/>
      </c>
      <c r="BA261" s="60">
        <f>IF(C261="","",IFERROR(INDEX('Prospects'!$N$5:$N$504,MATCH(C261,'Prospects'!$C$5:$C$504,0)),""))</f>
        <v/>
      </c>
      <c r="BB261" s="61">
        <f>IF(AND(C261&lt;&gt;"",C261='Fiche prospect'!$C$4),COUNTIF($C$5:C261,C261),"")</f>
        <v/>
      </c>
    </row>
    <row r="262">
      <c r="A262" s="53" t="n"/>
      <c r="B262" s="54" t="n"/>
      <c r="C262" s="55" t="n"/>
      <c r="D262" s="55" t="n"/>
      <c r="E262" s="55" t="n"/>
      <c r="F262" s="55" t="n"/>
      <c r="G262" s="56" t="n"/>
      <c r="H262" s="57" t="n"/>
      <c r="I262" s="55" t="n"/>
      <c r="J262" s="53" t="n"/>
      <c r="K262" s="54" t="n"/>
      <c r="L262" s="55" t="n"/>
      <c r="M262" s="55" t="n"/>
      <c r="N262" s="57" t="n"/>
      <c r="O262" s="55" t="n"/>
      <c r="P262" s="56" t="n"/>
      <c r="Q262" s="55" t="n"/>
      <c r="R262" s="55" t="n"/>
      <c r="S262" s="55" t="n"/>
      <c r="T262" s="55" t="n"/>
      <c r="U262" s="55" t="n"/>
      <c r="V262" s="55" t="n"/>
      <c r="W262" s="58" t="n"/>
      <c r="X262" s="58" t="n"/>
      <c r="Y262" s="55" t="n"/>
      <c r="Z262" s="55" t="n"/>
      <c r="AA262" s="55" t="n"/>
      <c r="AB262" s="55" t="n"/>
      <c r="AC262" s="55" t="n"/>
      <c r="AD262" s="53" t="n"/>
      <c r="AE262" s="55" t="n"/>
      <c r="AF262" s="55" t="n"/>
      <c r="AG262" s="59" t="n"/>
      <c r="AH262" s="57" t="n"/>
      <c r="AI262" s="55" t="n"/>
      <c r="AJ262" s="55" t="n"/>
      <c r="AK262" s="55" t="n"/>
      <c r="AL262" s="55" t="n"/>
      <c r="AM262" s="56" t="n"/>
      <c r="AN262" s="55" t="n"/>
      <c r="AO262" s="55" t="n"/>
      <c r="AP262" s="55" t="n"/>
      <c r="AQ262" s="55" t="n"/>
      <c r="AR262" s="60">
        <f>IF(AND(C262="",E262=""),"",IF(A262="","⚠ Date manquante",IF(AND(C262="",E262&lt;&gt;"Dépense"),"⚠ Prospect manquant",IF(E262="","⚠ Action manquante",IF(AND(AU262=1,D262=""),"⚠ Canal manquant",IF(AND(W262&lt;&gt;"",COUNTIFS('Saisie'!$W$5:$W$2004,W262,'Saisie'!$C$5:$C$2004,"&lt;&gt;"&amp;C262)&gt;0),"⚠ Numéro déjà utilisé par un autre prospect",IF(AND(J262&lt;&gt;"",J262&lt;A262),"⚠ Relance avant la date de l'action",IF(A262&gt;TODAY(),"⚠ Date dans le futur","✓"))))))))</f>
        <v/>
      </c>
      <c r="AS262" s="61">
        <f>IF(AND(A262="",C262="",E262=""),"",ROW())</f>
        <v/>
      </c>
      <c r="AT262" s="61">
        <f>IF(E262&amp;F262="","",MAX(IFERROR(INDEX('Paramètres'!$J$6:$J$33,MATCH(E262,'Paramètres'!$I$6:$I$33,0)),0),IFERROR(INDEX('Paramètres'!$N$6:$N$17,MATCH(F262,'Paramètres'!$M$6:$M$17,0)),0)))</f>
        <v/>
      </c>
      <c r="AU262" s="61">
        <f>IF(E262="","",IFERROR(IF(INDEX('Paramètres'!$K$6:$K$33,MATCH(E262,'Paramètres'!$I$6:$I$33,0))="Oui",1,0),0))</f>
        <v/>
      </c>
      <c r="AV262" s="61">
        <f>IF(F262="","",IFERROR(IF(INDEX('Paramètres'!$O$6:$O$17,MATCH(F262,'Paramètres'!$M$6:$M$17,0))="Oui",1,0),0))</f>
        <v/>
      </c>
      <c r="AW262" s="62">
        <f>IF(E262="","",IF(G262&lt;&gt;"",G262,IF(OR(E262="Proposition envoyée",E262="Signature"),MAX(0,N(IFERROR(INDEX('Paramètres'!$R$6:$R$15,MATCH(IF(AL262&lt;&gt;"",AL262,IFERROR(INDEX('Prospects'!$AN$5:$AN$504,MATCH(C262,'Prospects'!$C$5:$C$504,0)),"")),'Paramètres'!$Q$6:$Q$15,0)),0))-N(P262)),0)))</f>
        <v/>
      </c>
      <c r="AX262" s="61">
        <f>IF(C262="","",IF(COUNTIF($C$5:C262,C262)=1,MAX($AX$4:AX261)+1,""))</f>
        <v/>
      </c>
      <c r="AY262" s="61">
        <f>IF(B262="","",HOUR(B262))</f>
        <v/>
      </c>
      <c r="AZ262" s="61">
        <f>IF(A262="","",MOD(A262-2,7)+1)</f>
        <v/>
      </c>
      <c r="BA262" s="60">
        <f>IF(C262="","",IFERROR(INDEX('Prospects'!$N$5:$N$504,MATCH(C262,'Prospects'!$C$5:$C$504,0)),""))</f>
        <v/>
      </c>
      <c r="BB262" s="61">
        <f>IF(AND(C262&lt;&gt;"",C262='Fiche prospect'!$C$4),COUNTIF($C$5:C262,C262),"")</f>
        <v/>
      </c>
    </row>
    <row r="263">
      <c r="A263" s="53" t="n"/>
      <c r="B263" s="54" t="n"/>
      <c r="C263" s="55" t="n"/>
      <c r="D263" s="55" t="n"/>
      <c r="E263" s="55" t="n"/>
      <c r="F263" s="55" t="n"/>
      <c r="G263" s="56" t="n"/>
      <c r="H263" s="57" t="n"/>
      <c r="I263" s="55" t="n"/>
      <c r="J263" s="53" t="n"/>
      <c r="K263" s="54" t="n"/>
      <c r="L263" s="55" t="n"/>
      <c r="M263" s="55" t="n"/>
      <c r="N263" s="57" t="n"/>
      <c r="O263" s="55" t="n"/>
      <c r="P263" s="56" t="n"/>
      <c r="Q263" s="55" t="n"/>
      <c r="R263" s="55" t="n"/>
      <c r="S263" s="55" t="n"/>
      <c r="T263" s="55" t="n"/>
      <c r="U263" s="55" t="n"/>
      <c r="V263" s="55" t="n"/>
      <c r="W263" s="58" t="n"/>
      <c r="X263" s="58" t="n"/>
      <c r="Y263" s="55" t="n"/>
      <c r="Z263" s="55" t="n"/>
      <c r="AA263" s="55" t="n"/>
      <c r="AB263" s="55" t="n"/>
      <c r="AC263" s="55" t="n"/>
      <c r="AD263" s="53" t="n"/>
      <c r="AE263" s="55" t="n"/>
      <c r="AF263" s="55" t="n"/>
      <c r="AG263" s="59" t="n"/>
      <c r="AH263" s="57" t="n"/>
      <c r="AI263" s="55" t="n"/>
      <c r="AJ263" s="55" t="n"/>
      <c r="AK263" s="55" t="n"/>
      <c r="AL263" s="55" t="n"/>
      <c r="AM263" s="56" t="n"/>
      <c r="AN263" s="55" t="n"/>
      <c r="AO263" s="55" t="n"/>
      <c r="AP263" s="55" t="n"/>
      <c r="AQ263" s="55" t="n"/>
      <c r="AR263" s="60">
        <f>IF(AND(C263="",E263=""),"",IF(A263="","⚠ Date manquante",IF(AND(C263="",E263&lt;&gt;"Dépense"),"⚠ Prospect manquant",IF(E263="","⚠ Action manquante",IF(AND(AU263=1,D263=""),"⚠ Canal manquant",IF(AND(W263&lt;&gt;"",COUNTIFS('Saisie'!$W$5:$W$2004,W263,'Saisie'!$C$5:$C$2004,"&lt;&gt;"&amp;C263)&gt;0),"⚠ Numéro déjà utilisé par un autre prospect",IF(AND(J263&lt;&gt;"",J263&lt;A263),"⚠ Relance avant la date de l'action",IF(A263&gt;TODAY(),"⚠ Date dans le futur","✓"))))))))</f>
        <v/>
      </c>
      <c r="AS263" s="61">
        <f>IF(AND(A263="",C263="",E263=""),"",ROW())</f>
        <v/>
      </c>
      <c r="AT263" s="61">
        <f>IF(E263&amp;F263="","",MAX(IFERROR(INDEX('Paramètres'!$J$6:$J$33,MATCH(E263,'Paramètres'!$I$6:$I$33,0)),0),IFERROR(INDEX('Paramètres'!$N$6:$N$17,MATCH(F263,'Paramètres'!$M$6:$M$17,0)),0)))</f>
        <v/>
      </c>
      <c r="AU263" s="61">
        <f>IF(E263="","",IFERROR(IF(INDEX('Paramètres'!$K$6:$K$33,MATCH(E263,'Paramètres'!$I$6:$I$33,0))="Oui",1,0),0))</f>
        <v/>
      </c>
      <c r="AV263" s="61">
        <f>IF(F263="","",IFERROR(IF(INDEX('Paramètres'!$O$6:$O$17,MATCH(F263,'Paramètres'!$M$6:$M$17,0))="Oui",1,0),0))</f>
        <v/>
      </c>
      <c r="AW263" s="62">
        <f>IF(E263="","",IF(G263&lt;&gt;"",G263,IF(OR(E263="Proposition envoyée",E263="Signature"),MAX(0,N(IFERROR(INDEX('Paramètres'!$R$6:$R$15,MATCH(IF(AL263&lt;&gt;"",AL263,IFERROR(INDEX('Prospects'!$AN$5:$AN$504,MATCH(C263,'Prospects'!$C$5:$C$504,0)),"")),'Paramètres'!$Q$6:$Q$15,0)),0))-N(P263)),0)))</f>
        <v/>
      </c>
      <c r="AX263" s="61">
        <f>IF(C263="","",IF(COUNTIF($C$5:C263,C263)=1,MAX($AX$4:AX262)+1,""))</f>
        <v/>
      </c>
      <c r="AY263" s="61">
        <f>IF(B263="","",HOUR(B263))</f>
        <v/>
      </c>
      <c r="AZ263" s="61">
        <f>IF(A263="","",MOD(A263-2,7)+1)</f>
        <v/>
      </c>
      <c r="BA263" s="60">
        <f>IF(C263="","",IFERROR(INDEX('Prospects'!$N$5:$N$504,MATCH(C263,'Prospects'!$C$5:$C$504,0)),""))</f>
        <v/>
      </c>
      <c r="BB263" s="61">
        <f>IF(AND(C263&lt;&gt;"",C263='Fiche prospect'!$C$4),COUNTIF($C$5:C263,C263),"")</f>
        <v/>
      </c>
    </row>
    <row r="264">
      <c r="A264" s="53" t="n"/>
      <c r="B264" s="54" t="n"/>
      <c r="C264" s="55" t="n"/>
      <c r="D264" s="55" t="n"/>
      <c r="E264" s="55" t="n"/>
      <c r="F264" s="55" t="n"/>
      <c r="G264" s="56" t="n"/>
      <c r="H264" s="57" t="n"/>
      <c r="I264" s="55" t="n"/>
      <c r="J264" s="53" t="n"/>
      <c r="K264" s="54" t="n"/>
      <c r="L264" s="55" t="n"/>
      <c r="M264" s="55" t="n"/>
      <c r="N264" s="57" t="n"/>
      <c r="O264" s="55" t="n"/>
      <c r="P264" s="56" t="n"/>
      <c r="Q264" s="55" t="n"/>
      <c r="R264" s="55" t="n"/>
      <c r="S264" s="55" t="n"/>
      <c r="T264" s="55" t="n"/>
      <c r="U264" s="55" t="n"/>
      <c r="V264" s="55" t="n"/>
      <c r="W264" s="58" t="n"/>
      <c r="X264" s="58" t="n"/>
      <c r="Y264" s="55" t="n"/>
      <c r="Z264" s="55" t="n"/>
      <c r="AA264" s="55" t="n"/>
      <c r="AB264" s="55" t="n"/>
      <c r="AC264" s="55" t="n"/>
      <c r="AD264" s="53" t="n"/>
      <c r="AE264" s="55" t="n"/>
      <c r="AF264" s="55" t="n"/>
      <c r="AG264" s="59" t="n"/>
      <c r="AH264" s="57" t="n"/>
      <c r="AI264" s="55" t="n"/>
      <c r="AJ264" s="55" t="n"/>
      <c r="AK264" s="55" t="n"/>
      <c r="AL264" s="55" t="n"/>
      <c r="AM264" s="56" t="n"/>
      <c r="AN264" s="55" t="n"/>
      <c r="AO264" s="55" t="n"/>
      <c r="AP264" s="55" t="n"/>
      <c r="AQ264" s="55" t="n"/>
      <c r="AR264" s="60">
        <f>IF(AND(C264="",E264=""),"",IF(A264="","⚠ Date manquante",IF(AND(C264="",E264&lt;&gt;"Dépense"),"⚠ Prospect manquant",IF(E264="","⚠ Action manquante",IF(AND(AU264=1,D264=""),"⚠ Canal manquant",IF(AND(W264&lt;&gt;"",COUNTIFS('Saisie'!$W$5:$W$2004,W264,'Saisie'!$C$5:$C$2004,"&lt;&gt;"&amp;C264)&gt;0),"⚠ Numéro déjà utilisé par un autre prospect",IF(AND(J264&lt;&gt;"",J264&lt;A264),"⚠ Relance avant la date de l'action",IF(A264&gt;TODAY(),"⚠ Date dans le futur","✓"))))))))</f>
        <v/>
      </c>
      <c r="AS264" s="61">
        <f>IF(AND(A264="",C264="",E264=""),"",ROW())</f>
        <v/>
      </c>
      <c r="AT264" s="61">
        <f>IF(E264&amp;F264="","",MAX(IFERROR(INDEX('Paramètres'!$J$6:$J$33,MATCH(E264,'Paramètres'!$I$6:$I$33,0)),0),IFERROR(INDEX('Paramètres'!$N$6:$N$17,MATCH(F264,'Paramètres'!$M$6:$M$17,0)),0)))</f>
        <v/>
      </c>
      <c r="AU264" s="61">
        <f>IF(E264="","",IFERROR(IF(INDEX('Paramètres'!$K$6:$K$33,MATCH(E264,'Paramètres'!$I$6:$I$33,0))="Oui",1,0),0))</f>
        <v/>
      </c>
      <c r="AV264" s="61">
        <f>IF(F264="","",IFERROR(IF(INDEX('Paramètres'!$O$6:$O$17,MATCH(F264,'Paramètres'!$M$6:$M$17,0))="Oui",1,0),0))</f>
        <v/>
      </c>
      <c r="AW264" s="62">
        <f>IF(E264="","",IF(G264&lt;&gt;"",G264,IF(OR(E264="Proposition envoyée",E264="Signature"),MAX(0,N(IFERROR(INDEX('Paramètres'!$R$6:$R$15,MATCH(IF(AL264&lt;&gt;"",AL264,IFERROR(INDEX('Prospects'!$AN$5:$AN$504,MATCH(C264,'Prospects'!$C$5:$C$504,0)),"")),'Paramètres'!$Q$6:$Q$15,0)),0))-N(P264)),0)))</f>
        <v/>
      </c>
      <c r="AX264" s="61">
        <f>IF(C264="","",IF(COUNTIF($C$5:C264,C264)=1,MAX($AX$4:AX263)+1,""))</f>
        <v/>
      </c>
      <c r="AY264" s="61">
        <f>IF(B264="","",HOUR(B264))</f>
        <v/>
      </c>
      <c r="AZ264" s="61">
        <f>IF(A264="","",MOD(A264-2,7)+1)</f>
        <v/>
      </c>
      <c r="BA264" s="60">
        <f>IF(C264="","",IFERROR(INDEX('Prospects'!$N$5:$N$504,MATCH(C264,'Prospects'!$C$5:$C$504,0)),""))</f>
        <v/>
      </c>
      <c r="BB264" s="61">
        <f>IF(AND(C264&lt;&gt;"",C264='Fiche prospect'!$C$4),COUNTIF($C$5:C264,C264),"")</f>
        <v/>
      </c>
    </row>
    <row r="265">
      <c r="A265" s="53" t="n"/>
      <c r="B265" s="54" t="n"/>
      <c r="C265" s="55" t="n"/>
      <c r="D265" s="55" t="n"/>
      <c r="E265" s="55" t="n"/>
      <c r="F265" s="55" t="n"/>
      <c r="G265" s="56" t="n"/>
      <c r="H265" s="57" t="n"/>
      <c r="I265" s="55" t="n"/>
      <c r="J265" s="53" t="n"/>
      <c r="K265" s="54" t="n"/>
      <c r="L265" s="55" t="n"/>
      <c r="M265" s="55" t="n"/>
      <c r="N265" s="57" t="n"/>
      <c r="O265" s="55" t="n"/>
      <c r="P265" s="56" t="n"/>
      <c r="Q265" s="55" t="n"/>
      <c r="R265" s="55" t="n"/>
      <c r="S265" s="55" t="n"/>
      <c r="T265" s="55" t="n"/>
      <c r="U265" s="55" t="n"/>
      <c r="V265" s="55" t="n"/>
      <c r="W265" s="58" t="n"/>
      <c r="X265" s="58" t="n"/>
      <c r="Y265" s="55" t="n"/>
      <c r="Z265" s="55" t="n"/>
      <c r="AA265" s="55" t="n"/>
      <c r="AB265" s="55" t="n"/>
      <c r="AC265" s="55" t="n"/>
      <c r="AD265" s="53" t="n"/>
      <c r="AE265" s="55" t="n"/>
      <c r="AF265" s="55" t="n"/>
      <c r="AG265" s="59" t="n"/>
      <c r="AH265" s="57" t="n"/>
      <c r="AI265" s="55" t="n"/>
      <c r="AJ265" s="55" t="n"/>
      <c r="AK265" s="55" t="n"/>
      <c r="AL265" s="55" t="n"/>
      <c r="AM265" s="56" t="n"/>
      <c r="AN265" s="55" t="n"/>
      <c r="AO265" s="55" t="n"/>
      <c r="AP265" s="55" t="n"/>
      <c r="AQ265" s="55" t="n"/>
      <c r="AR265" s="60">
        <f>IF(AND(C265="",E265=""),"",IF(A265="","⚠ Date manquante",IF(AND(C265="",E265&lt;&gt;"Dépense"),"⚠ Prospect manquant",IF(E265="","⚠ Action manquante",IF(AND(AU265=1,D265=""),"⚠ Canal manquant",IF(AND(W265&lt;&gt;"",COUNTIFS('Saisie'!$W$5:$W$2004,W265,'Saisie'!$C$5:$C$2004,"&lt;&gt;"&amp;C265)&gt;0),"⚠ Numéro déjà utilisé par un autre prospect",IF(AND(J265&lt;&gt;"",J265&lt;A265),"⚠ Relance avant la date de l'action",IF(A265&gt;TODAY(),"⚠ Date dans le futur","✓"))))))))</f>
        <v/>
      </c>
      <c r="AS265" s="61">
        <f>IF(AND(A265="",C265="",E265=""),"",ROW())</f>
        <v/>
      </c>
      <c r="AT265" s="61">
        <f>IF(E265&amp;F265="","",MAX(IFERROR(INDEX('Paramètres'!$J$6:$J$33,MATCH(E265,'Paramètres'!$I$6:$I$33,0)),0),IFERROR(INDEX('Paramètres'!$N$6:$N$17,MATCH(F265,'Paramètres'!$M$6:$M$17,0)),0)))</f>
        <v/>
      </c>
      <c r="AU265" s="61">
        <f>IF(E265="","",IFERROR(IF(INDEX('Paramètres'!$K$6:$K$33,MATCH(E265,'Paramètres'!$I$6:$I$33,0))="Oui",1,0),0))</f>
        <v/>
      </c>
      <c r="AV265" s="61">
        <f>IF(F265="","",IFERROR(IF(INDEX('Paramètres'!$O$6:$O$17,MATCH(F265,'Paramètres'!$M$6:$M$17,0))="Oui",1,0),0))</f>
        <v/>
      </c>
      <c r="AW265" s="62">
        <f>IF(E265="","",IF(G265&lt;&gt;"",G265,IF(OR(E265="Proposition envoyée",E265="Signature"),MAX(0,N(IFERROR(INDEX('Paramètres'!$R$6:$R$15,MATCH(IF(AL265&lt;&gt;"",AL265,IFERROR(INDEX('Prospects'!$AN$5:$AN$504,MATCH(C265,'Prospects'!$C$5:$C$504,0)),"")),'Paramètres'!$Q$6:$Q$15,0)),0))-N(P265)),0)))</f>
        <v/>
      </c>
      <c r="AX265" s="61">
        <f>IF(C265="","",IF(COUNTIF($C$5:C265,C265)=1,MAX($AX$4:AX264)+1,""))</f>
        <v/>
      </c>
      <c r="AY265" s="61">
        <f>IF(B265="","",HOUR(B265))</f>
        <v/>
      </c>
      <c r="AZ265" s="61">
        <f>IF(A265="","",MOD(A265-2,7)+1)</f>
        <v/>
      </c>
      <c r="BA265" s="60">
        <f>IF(C265="","",IFERROR(INDEX('Prospects'!$N$5:$N$504,MATCH(C265,'Prospects'!$C$5:$C$504,0)),""))</f>
        <v/>
      </c>
      <c r="BB265" s="61">
        <f>IF(AND(C265&lt;&gt;"",C265='Fiche prospect'!$C$4),COUNTIF($C$5:C265,C265),"")</f>
        <v/>
      </c>
    </row>
    <row r="266">
      <c r="A266" s="53" t="n"/>
      <c r="B266" s="54" t="n"/>
      <c r="C266" s="55" t="n"/>
      <c r="D266" s="55" t="n"/>
      <c r="E266" s="55" t="n"/>
      <c r="F266" s="55" t="n"/>
      <c r="G266" s="56" t="n"/>
      <c r="H266" s="57" t="n"/>
      <c r="I266" s="55" t="n"/>
      <c r="J266" s="53" t="n"/>
      <c r="K266" s="54" t="n"/>
      <c r="L266" s="55" t="n"/>
      <c r="M266" s="55" t="n"/>
      <c r="N266" s="57" t="n"/>
      <c r="O266" s="55" t="n"/>
      <c r="P266" s="56" t="n"/>
      <c r="Q266" s="55" t="n"/>
      <c r="R266" s="55" t="n"/>
      <c r="S266" s="55" t="n"/>
      <c r="T266" s="55" t="n"/>
      <c r="U266" s="55" t="n"/>
      <c r="V266" s="55" t="n"/>
      <c r="W266" s="58" t="n"/>
      <c r="X266" s="58" t="n"/>
      <c r="Y266" s="55" t="n"/>
      <c r="Z266" s="55" t="n"/>
      <c r="AA266" s="55" t="n"/>
      <c r="AB266" s="55" t="n"/>
      <c r="AC266" s="55" t="n"/>
      <c r="AD266" s="53" t="n"/>
      <c r="AE266" s="55" t="n"/>
      <c r="AF266" s="55" t="n"/>
      <c r="AG266" s="59" t="n"/>
      <c r="AH266" s="57" t="n"/>
      <c r="AI266" s="55" t="n"/>
      <c r="AJ266" s="55" t="n"/>
      <c r="AK266" s="55" t="n"/>
      <c r="AL266" s="55" t="n"/>
      <c r="AM266" s="56" t="n"/>
      <c r="AN266" s="55" t="n"/>
      <c r="AO266" s="55" t="n"/>
      <c r="AP266" s="55" t="n"/>
      <c r="AQ266" s="55" t="n"/>
      <c r="AR266" s="60">
        <f>IF(AND(C266="",E266=""),"",IF(A266="","⚠ Date manquante",IF(AND(C266="",E266&lt;&gt;"Dépense"),"⚠ Prospect manquant",IF(E266="","⚠ Action manquante",IF(AND(AU266=1,D266=""),"⚠ Canal manquant",IF(AND(W266&lt;&gt;"",COUNTIFS('Saisie'!$W$5:$W$2004,W266,'Saisie'!$C$5:$C$2004,"&lt;&gt;"&amp;C266)&gt;0),"⚠ Numéro déjà utilisé par un autre prospect",IF(AND(J266&lt;&gt;"",J266&lt;A266),"⚠ Relance avant la date de l'action",IF(A266&gt;TODAY(),"⚠ Date dans le futur","✓"))))))))</f>
        <v/>
      </c>
      <c r="AS266" s="61">
        <f>IF(AND(A266="",C266="",E266=""),"",ROW())</f>
        <v/>
      </c>
      <c r="AT266" s="61">
        <f>IF(E266&amp;F266="","",MAX(IFERROR(INDEX('Paramètres'!$J$6:$J$33,MATCH(E266,'Paramètres'!$I$6:$I$33,0)),0),IFERROR(INDEX('Paramètres'!$N$6:$N$17,MATCH(F266,'Paramètres'!$M$6:$M$17,0)),0)))</f>
        <v/>
      </c>
      <c r="AU266" s="61">
        <f>IF(E266="","",IFERROR(IF(INDEX('Paramètres'!$K$6:$K$33,MATCH(E266,'Paramètres'!$I$6:$I$33,0))="Oui",1,0),0))</f>
        <v/>
      </c>
      <c r="AV266" s="61">
        <f>IF(F266="","",IFERROR(IF(INDEX('Paramètres'!$O$6:$O$17,MATCH(F266,'Paramètres'!$M$6:$M$17,0))="Oui",1,0),0))</f>
        <v/>
      </c>
      <c r="AW266" s="62">
        <f>IF(E266="","",IF(G266&lt;&gt;"",G266,IF(OR(E266="Proposition envoyée",E266="Signature"),MAX(0,N(IFERROR(INDEX('Paramètres'!$R$6:$R$15,MATCH(IF(AL266&lt;&gt;"",AL266,IFERROR(INDEX('Prospects'!$AN$5:$AN$504,MATCH(C266,'Prospects'!$C$5:$C$504,0)),"")),'Paramètres'!$Q$6:$Q$15,0)),0))-N(P266)),0)))</f>
        <v/>
      </c>
      <c r="AX266" s="61">
        <f>IF(C266="","",IF(COUNTIF($C$5:C266,C266)=1,MAX($AX$4:AX265)+1,""))</f>
        <v/>
      </c>
      <c r="AY266" s="61">
        <f>IF(B266="","",HOUR(B266))</f>
        <v/>
      </c>
      <c r="AZ266" s="61">
        <f>IF(A266="","",MOD(A266-2,7)+1)</f>
        <v/>
      </c>
      <c r="BA266" s="60">
        <f>IF(C266="","",IFERROR(INDEX('Prospects'!$N$5:$N$504,MATCH(C266,'Prospects'!$C$5:$C$504,0)),""))</f>
        <v/>
      </c>
      <c r="BB266" s="61">
        <f>IF(AND(C266&lt;&gt;"",C266='Fiche prospect'!$C$4),COUNTIF($C$5:C266,C266),"")</f>
        <v/>
      </c>
    </row>
    <row r="267">
      <c r="A267" s="53" t="n"/>
      <c r="B267" s="54" t="n"/>
      <c r="C267" s="55" t="n"/>
      <c r="D267" s="55" t="n"/>
      <c r="E267" s="55" t="n"/>
      <c r="F267" s="55" t="n"/>
      <c r="G267" s="56" t="n"/>
      <c r="H267" s="57" t="n"/>
      <c r="I267" s="55" t="n"/>
      <c r="J267" s="53" t="n"/>
      <c r="K267" s="54" t="n"/>
      <c r="L267" s="55" t="n"/>
      <c r="M267" s="55" t="n"/>
      <c r="N267" s="57" t="n"/>
      <c r="O267" s="55" t="n"/>
      <c r="P267" s="56" t="n"/>
      <c r="Q267" s="55" t="n"/>
      <c r="R267" s="55" t="n"/>
      <c r="S267" s="55" t="n"/>
      <c r="T267" s="55" t="n"/>
      <c r="U267" s="55" t="n"/>
      <c r="V267" s="55" t="n"/>
      <c r="W267" s="58" t="n"/>
      <c r="X267" s="58" t="n"/>
      <c r="Y267" s="55" t="n"/>
      <c r="Z267" s="55" t="n"/>
      <c r="AA267" s="55" t="n"/>
      <c r="AB267" s="55" t="n"/>
      <c r="AC267" s="55" t="n"/>
      <c r="AD267" s="53" t="n"/>
      <c r="AE267" s="55" t="n"/>
      <c r="AF267" s="55" t="n"/>
      <c r="AG267" s="59" t="n"/>
      <c r="AH267" s="57" t="n"/>
      <c r="AI267" s="55" t="n"/>
      <c r="AJ267" s="55" t="n"/>
      <c r="AK267" s="55" t="n"/>
      <c r="AL267" s="55" t="n"/>
      <c r="AM267" s="56" t="n"/>
      <c r="AN267" s="55" t="n"/>
      <c r="AO267" s="55" t="n"/>
      <c r="AP267" s="55" t="n"/>
      <c r="AQ267" s="55" t="n"/>
      <c r="AR267" s="60">
        <f>IF(AND(C267="",E267=""),"",IF(A267="","⚠ Date manquante",IF(AND(C267="",E267&lt;&gt;"Dépense"),"⚠ Prospect manquant",IF(E267="","⚠ Action manquante",IF(AND(AU267=1,D267=""),"⚠ Canal manquant",IF(AND(W267&lt;&gt;"",COUNTIFS('Saisie'!$W$5:$W$2004,W267,'Saisie'!$C$5:$C$2004,"&lt;&gt;"&amp;C267)&gt;0),"⚠ Numéro déjà utilisé par un autre prospect",IF(AND(J267&lt;&gt;"",J267&lt;A267),"⚠ Relance avant la date de l'action",IF(A267&gt;TODAY(),"⚠ Date dans le futur","✓"))))))))</f>
        <v/>
      </c>
      <c r="AS267" s="61">
        <f>IF(AND(A267="",C267="",E267=""),"",ROW())</f>
        <v/>
      </c>
      <c r="AT267" s="61">
        <f>IF(E267&amp;F267="","",MAX(IFERROR(INDEX('Paramètres'!$J$6:$J$33,MATCH(E267,'Paramètres'!$I$6:$I$33,0)),0),IFERROR(INDEX('Paramètres'!$N$6:$N$17,MATCH(F267,'Paramètres'!$M$6:$M$17,0)),0)))</f>
        <v/>
      </c>
      <c r="AU267" s="61">
        <f>IF(E267="","",IFERROR(IF(INDEX('Paramètres'!$K$6:$K$33,MATCH(E267,'Paramètres'!$I$6:$I$33,0))="Oui",1,0),0))</f>
        <v/>
      </c>
      <c r="AV267" s="61">
        <f>IF(F267="","",IFERROR(IF(INDEX('Paramètres'!$O$6:$O$17,MATCH(F267,'Paramètres'!$M$6:$M$17,0))="Oui",1,0),0))</f>
        <v/>
      </c>
      <c r="AW267" s="62">
        <f>IF(E267="","",IF(G267&lt;&gt;"",G267,IF(OR(E267="Proposition envoyée",E267="Signature"),MAX(0,N(IFERROR(INDEX('Paramètres'!$R$6:$R$15,MATCH(IF(AL267&lt;&gt;"",AL267,IFERROR(INDEX('Prospects'!$AN$5:$AN$504,MATCH(C267,'Prospects'!$C$5:$C$504,0)),"")),'Paramètres'!$Q$6:$Q$15,0)),0))-N(P267)),0)))</f>
        <v/>
      </c>
      <c r="AX267" s="61">
        <f>IF(C267="","",IF(COUNTIF($C$5:C267,C267)=1,MAX($AX$4:AX266)+1,""))</f>
        <v/>
      </c>
      <c r="AY267" s="61">
        <f>IF(B267="","",HOUR(B267))</f>
        <v/>
      </c>
      <c r="AZ267" s="61">
        <f>IF(A267="","",MOD(A267-2,7)+1)</f>
        <v/>
      </c>
      <c r="BA267" s="60">
        <f>IF(C267="","",IFERROR(INDEX('Prospects'!$N$5:$N$504,MATCH(C267,'Prospects'!$C$5:$C$504,0)),""))</f>
        <v/>
      </c>
      <c r="BB267" s="61">
        <f>IF(AND(C267&lt;&gt;"",C267='Fiche prospect'!$C$4),COUNTIF($C$5:C267,C267),"")</f>
        <v/>
      </c>
    </row>
    <row r="268">
      <c r="A268" s="53" t="n"/>
      <c r="B268" s="54" t="n"/>
      <c r="C268" s="55" t="n"/>
      <c r="D268" s="55" t="n"/>
      <c r="E268" s="55" t="n"/>
      <c r="F268" s="55" t="n"/>
      <c r="G268" s="56" t="n"/>
      <c r="H268" s="57" t="n"/>
      <c r="I268" s="55" t="n"/>
      <c r="J268" s="53" t="n"/>
      <c r="K268" s="54" t="n"/>
      <c r="L268" s="55" t="n"/>
      <c r="M268" s="55" t="n"/>
      <c r="N268" s="57" t="n"/>
      <c r="O268" s="55" t="n"/>
      <c r="P268" s="56" t="n"/>
      <c r="Q268" s="55" t="n"/>
      <c r="R268" s="55" t="n"/>
      <c r="S268" s="55" t="n"/>
      <c r="T268" s="55" t="n"/>
      <c r="U268" s="55" t="n"/>
      <c r="V268" s="55" t="n"/>
      <c r="W268" s="58" t="n"/>
      <c r="X268" s="58" t="n"/>
      <c r="Y268" s="55" t="n"/>
      <c r="Z268" s="55" t="n"/>
      <c r="AA268" s="55" t="n"/>
      <c r="AB268" s="55" t="n"/>
      <c r="AC268" s="55" t="n"/>
      <c r="AD268" s="53" t="n"/>
      <c r="AE268" s="55" t="n"/>
      <c r="AF268" s="55" t="n"/>
      <c r="AG268" s="59" t="n"/>
      <c r="AH268" s="57" t="n"/>
      <c r="AI268" s="55" t="n"/>
      <c r="AJ268" s="55" t="n"/>
      <c r="AK268" s="55" t="n"/>
      <c r="AL268" s="55" t="n"/>
      <c r="AM268" s="56" t="n"/>
      <c r="AN268" s="55" t="n"/>
      <c r="AO268" s="55" t="n"/>
      <c r="AP268" s="55" t="n"/>
      <c r="AQ268" s="55" t="n"/>
      <c r="AR268" s="60">
        <f>IF(AND(C268="",E268=""),"",IF(A268="","⚠ Date manquante",IF(AND(C268="",E268&lt;&gt;"Dépense"),"⚠ Prospect manquant",IF(E268="","⚠ Action manquante",IF(AND(AU268=1,D268=""),"⚠ Canal manquant",IF(AND(W268&lt;&gt;"",COUNTIFS('Saisie'!$W$5:$W$2004,W268,'Saisie'!$C$5:$C$2004,"&lt;&gt;"&amp;C268)&gt;0),"⚠ Numéro déjà utilisé par un autre prospect",IF(AND(J268&lt;&gt;"",J268&lt;A268),"⚠ Relance avant la date de l'action",IF(A268&gt;TODAY(),"⚠ Date dans le futur","✓"))))))))</f>
        <v/>
      </c>
      <c r="AS268" s="61">
        <f>IF(AND(A268="",C268="",E268=""),"",ROW())</f>
        <v/>
      </c>
      <c r="AT268" s="61">
        <f>IF(E268&amp;F268="","",MAX(IFERROR(INDEX('Paramètres'!$J$6:$J$33,MATCH(E268,'Paramètres'!$I$6:$I$33,0)),0),IFERROR(INDEX('Paramètres'!$N$6:$N$17,MATCH(F268,'Paramètres'!$M$6:$M$17,0)),0)))</f>
        <v/>
      </c>
      <c r="AU268" s="61">
        <f>IF(E268="","",IFERROR(IF(INDEX('Paramètres'!$K$6:$K$33,MATCH(E268,'Paramètres'!$I$6:$I$33,0))="Oui",1,0),0))</f>
        <v/>
      </c>
      <c r="AV268" s="61">
        <f>IF(F268="","",IFERROR(IF(INDEX('Paramètres'!$O$6:$O$17,MATCH(F268,'Paramètres'!$M$6:$M$17,0))="Oui",1,0),0))</f>
        <v/>
      </c>
      <c r="AW268" s="62">
        <f>IF(E268="","",IF(G268&lt;&gt;"",G268,IF(OR(E268="Proposition envoyée",E268="Signature"),MAX(0,N(IFERROR(INDEX('Paramètres'!$R$6:$R$15,MATCH(IF(AL268&lt;&gt;"",AL268,IFERROR(INDEX('Prospects'!$AN$5:$AN$504,MATCH(C268,'Prospects'!$C$5:$C$504,0)),"")),'Paramètres'!$Q$6:$Q$15,0)),0))-N(P268)),0)))</f>
        <v/>
      </c>
      <c r="AX268" s="61">
        <f>IF(C268="","",IF(COUNTIF($C$5:C268,C268)=1,MAX($AX$4:AX267)+1,""))</f>
        <v/>
      </c>
      <c r="AY268" s="61">
        <f>IF(B268="","",HOUR(B268))</f>
        <v/>
      </c>
      <c r="AZ268" s="61">
        <f>IF(A268="","",MOD(A268-2,7)+1)</f>
        <v/>
      </c>
      <c r="BA268" s="60">
        <f>IF(C268="","",IFERROR(INDEX('Prospects'!$N$5:$N$504,MATCH(C268,'Prospects'!$C$5:$C$504,0)),""))</f>
        <v/>
      </c>
      <c r="BB268" s="61">
        <f>IF(AND(C268&lt;&gt;"",C268='Fiche prospect'!$C$4),COUNTIF($C$5:C268,C268),"")</f>
        <v/>
      </c>
    </row>
    <row r="269">
      <c r="A269" s="53" t="n"/>
      <c r="B269" s="54" t="n"/>
      <c r="C269" s="55" t="n"/>
      <c r="D269" s="55" t="n"/>
      <c r="E269" s="55" t="n"/>
      <c r="F269" s="55" t="n"/>
      <c r="G269" s="56" t="n"/>
      <c r="H269" s="57" t="n"/>
      <c r="I269" s="55" t="n"/>
      <c r="J269" s="53" t="n"/>
      <c r="K269" s="54" t="n"/>
      <c r="L269" s="55" t="n"/>
      <c r="M269" s="55" t="n"/>
      <c r="N269" s="57" t="n"/>
      <c r="O269" s="55" t="n"/>
      <c r="P269" s="56" t="n"/>
      <c r="Q269" s="55" t="n"/>
      <c r="R269" s="55" t="n"/>
      <c r="S269" s="55" t="n"/>
      <c r="T269" s="55" t="n"/>
      <c r="U269" s="55" t="n"/>
      <c r="V269" s="55" t="n"/>
      <c r="W269" s="58" t="n"/>
      <c r="X269" s="58" t="n"/>
      <c r="Y269" s="55" t="n"/>
      <c r="Z269" s="55" t="n"/>
      <c r="AA269" s="55" t="n"/>
      <c r="AB269" s="55" t="n"/>
      <c r="AC269" s="55" t="n"/>
      <c r="AD269" s="53" t="n"/>
      <c r="AE269" s="55" t="n"/>
      <c r="AF269" s="55" t="n"/>
      <c r="AG269" s="59" t="n"/>
      <c r="AH269" s="57" t="n"/>
      <c r="AI269" s="55" t="n"/>
      <c r="AJ269" s="55" t="n"/>
      <c r="AK269" s="55" t="n"/>
      <c r="AL269" s="55" t="n"/>
      <c r="AM269" s="56" t="n"/>
      <c r="AN269" s="55" t="n"/>
      <c r="AO269" s="55" t="n"/>
      <c r="AP269" s="55" t="n"/>
      <c r="AQ269" s="55" t="n"/>
      <c r="AR269" s="60">
        <f>IF(AND(C269="",E269=""),"",IF(A269="","⚠ Date manquante",IF(AND(C269="",E269&lt;&gt;"Dépense"),"⚠ Prospect manquant",IF(E269="","⚠ Action manquante",IF(AND(AU269=1,D269=""),"⚠ Canal manquant",IF(AND(W269&lt;&gt;"",COUNTIFS('Saisie'!$W$5:$W$2004,W269,'Saisie'!$C$5:$C$2004,"&lt;&gt;"&amp;C269)&gt;0),"⚠ Numéro déjà utilisé par un autre prospect",IF(AND(J269&lt;&gt;"",J269&lt;A269),"⚠ Relance avant la date de l'action",IF(A269&gt;TODAY(),"⚠ Date dans le futur","✓"))))))))</f>
        <v/>
      </c>
      <c r="AS269" s="61">
        <f>IF(AND(A269="",C269="",E269=""),"",ROW())</f>
        <v/>
      </c>
      <c r="AT269" s="61">
        <f>IF(E269&amp;F269="","",MAX(IFERROR(INDEX('Paramètres'!$J$6:$J$33,MATCH(E269,'Paramètres'!$I$6:$I$33,0)),0),IFERROR(INDEX('Paramètres'!$N$6:$N$17,MATCH(F269,'Paramètres'!$M$6:$M$17,0)),0)))</f>
        <v/>
      </c>
      <c r="AU269" s="61">
        <f>IF(E269="","",IFERROR(IF(INDEX('Paramètres'!$K$6:$K$33,MATCH(E269,'Paramètres'!$I$6:$I$33,0))="Oui",1,0),0))</f>
        <v/>
      </c>
      <c r="AV269" s="61">
        <f>IF(F269="","",IFERROR(IF(INDEX('Paramètres'!$O$6:$O$17,MATCH(F269,'Paramètres'!$M$6:$M$17,0))="Oui",1,0),0))</f>
        <v/>
      </c>
      <c r="AW269" s="62">
        <f>IF(E269="","",IF(G269&lt;&gt;"",G269,IF(OR(E269="Proposition envoyée",E269="Signature"),MAX(0,N(IFERROR(INDEX('Paramètres'!$R$6:$R$15,MATCH(IF(AL269&lt;&gt;"",AL269,IFERROR(INDEX('Prospects'!$AN$5:$AN$504,MATCH(C269,'Prospects'!$C$5:$C$504,0)),"")),'Paramètres'!$Q$6:$Q$15,0)),0))-N(P269)),0)))</f>
        <v/>
      </c>
      <c r="AX269" s="61">
        <f>IF(C269="","",IF(COUNTIF($C$5:C269,C269)=1,MAX($AX$4:AX268)+1,""))</f>
        <v/>
      </c>
      <c r="AY269" s="61">
        <f>IF(B269="","",HOUR(B269))</f>
        <v/>
      </c>
      <c r="AZ269" s="61">
        <f>IF(A269="","",MOD(A269-2,7)+1)</f>
        <v/>
      </c>
      <c r="BA269" s="60">
        <f>IF(C269="","",IFERROR(INDEX('Prospects'!$N$5:$N$504,MATCH(C269,'Prospects'!$C$5:$C$504,0)),""))</f>
        <v/>
      </c>
      <c r="BB269" s="61">
        <f>IF(AND(C269&lt;&gt;"",C269='Fiche prospect'!$C$4),COUNTIF($C$5:C269,C269),"")</f>
        <v/>
      </c>
    </row>
    <row r="270">
      <c r="A270" s="53" t="n"/>
      <c r="B270" s="54" t="n"/>
      <c r="C270" s="55" t="n"/>
      <c r="D270" s="55" t="n"/>
      <c r="E270" s="55" t="n"/>
      <c r="F270" s="55" t="n"/>
      <c r="G270" s="56" t="n"/>
      <c r="H270" s="57" t="n"/>
      <c r="I270" s="55" t="n"/>
      <c r="J270" s="53" t="n"/>
      <c r="K270" s="54" t="n"/>
      <c r="L270" s="55" t="n"/>
      <c r="M270" s="55" t="n"/>
      <c r="N270" s="57" t="n"/>
      <c r="O270" s="55" t="n"/>
      <c r="P270" s="56" t="n"/>
      <c r="Q270" s="55" t="n"/>
      <c r="R270" s="55" t="n"/>
      <c r="S270" s="55" t="n"/>
      <c r="T270" s="55" t="n"/>
      <c r="U270" s="55" t="n"/>
      <c r="V270" s="55" t="n"/>
      <c r="W270" s="58" t="n"/>
      <c r="X270" s="58" t="n"/>
      <c r="Y270" s="55" t="n"/>
      <c r="Z270" s="55" t="n"/>
      <c r="AA270" s="55" t="n"/>
      <c r="AB270" s="55" t="n"/>
      <c r="AC270" s="55" t="n"/>
      <c r="AD270" s="53" t="n"/>
      <c r="AE270" s="55" t="n"/>
      <c r="AF270" s="55" t="n"/>
      <c r="AG270" s="59" t="n"/>
      <c r="AH270" s="57" t="n"/>
      <c r="AI270" s="55" t="n"/>
      <c r="AJ270" s="55" t="n"/>
      <c r="AK270" s="55" t="n"/>
      <c r="AL270" s="55" t="n"/>
      <c r="AM270" s="56" t="n"/>
      <c r="AN270" s="55" t="n"/>
      <c r="AO270" s="55" t="n"/>
      <c r="AP270" s="55" t="n"/>
      <c r="AQ270" s="55" t="n"/>
      <c r="AR270" s="60">
        <f>IF(AND(C270="",E270=""),"",IF(A270="","⚠ Date manquante",IF(AND(C270="",E270&lt;&gt;"Dépense"),"⚠ Prospect manquant",IF(E270="","⚠ Action manquante",IF(AND(AU270=1,D270=""),"⚠ Canal manquant",IF(AND(W270&lt;&gt;"",COUNTIFS('Saisie'!$W$5:$W$2004,W270,'Saisie'!$C$5:$C$2004,"&lt;&gt;"&amp;C270)&gt;0),"⚠ Numéro déjà utilisé par un autre prospect",IF(AND(J270&lt;&gt;"",J270&lt;A270),"⚠ Relance avant la date de l'action",IF(A270&gt;TODAY(),"⚠ Date dans le futur","✓"))))))))</f>
        <v/>
      </c>
      <c r="AS270" s="61">
        <f>IF(AND(A270="",C270="",E270=""),"",ROW())</f>
        <v/>
      </c>
      <c r="AT270" s="61">
        <f>IF(E270&amp;F270="","",MAX(IFERROR(INDEX('Paramètres'!$J$6:$J$33,MATCH(E270,'Paramètres'!$I$6:$I$33,0)),0),IFERROR(INDEX('Paramètres'!$N$6:$N$17,MATCH(F270,'Paramètres'!$M$6:$M$17,0)),0)))</f>
        <v/>
      </c>
      <c r="AU270" s="61">
        <f>IF(E270="","",IFERROR(IF(INDEX('Paramètres'!$K$6:$K$33,MATCH(E270,'Paramètres'!$I$6:$I$33,0))="Oui",1,0),0))</f>
        <v/>
      </c>
      <c r="AV270" s="61">
        <f>IF(F270="","",IFERROR(IF(INDEX('Paramètres'!$O$6:$O$17,MATCH(F270,'Paramètres'!$M$6:$M$17,0))="Oui",1,0),0))</f>
        <v/>
      </c>
      <c r="AW270" s="62">
        <f>IF(E270="","",IF(G270&lt;&gt;"",G270,IF(OR(E270="Proposition envoyée",E270="Signature"),MAX(0,N(IFERROR(INDEX('Paramètres'!$R$6:$R$15,MATCH(IF(AL270&lt;&gt;"",AL270,IFERROR(INDEX('Prospects'!$AN$5:$AN$504,MATCH(C270,'Prospects'!$C$5:$C$504,0)),"")),'Paramètres'!$Q$6:$Q$15,0)),0))-N(P270)),0)))</f>
        <v/>
      </c>
      <c r="AX270" s="61">
        <f>IF(C270="","",IF(COUNTIF($C$5:C270,C270)=1,MAX($AX$4:AX269)+1,""))</f>
        <v/>
      </c>
      <c r="AY270" s="61">
        <f>IF(B270="","",HOUR(B270))</f>
        <v/>
      </c>
      <c r="AZ270" s="61">
        <f>IF(A270="","",MOD(A270-2,7)+1)</f>
        <v/>
      </c>
      <c r="BA270" s="60">
        <f>IF(C270="","",IFERROR(INDEX('Prospects'!$N$5:$N$504,MATCH(C270,'Prospects'!$C$5:$C$504,0)),""))</f>
        <v/>
      </c>
      <c r="BB270" s="61">
        <f>IF(AND(C270&lt;&gt;"",C270='Fiche prospect'!$C$4),COUNTIF($C$5:C270,C270),"")</f>
        <v/>
      </c>
    </row>
    <row r="271">
      <c r="A271" s="53" t="n"/>
      <c r="B271" s="54" t="n"/>
      <c r="C271" s="55" t="n"/>
      <c r="D271" s="55" t="n"/>
      <c r="E271" s="55" t="n"/>
      <c r="F271" s="55" t="n"/>
      <c r="G271" s="56" t="n"/>
      <c r="H271" s="57" t="n"/>
      <c r="I271" s="55" t="n"/>
      <c r="J271" s="53" t="n"/>
      <c r="K271" s="54" t="n"/>
      <c r="L271" s="55" t="n"/>
      <c r="M271" s="55" t="n"/>
      <c r="N271" s="57" t="n"/>
      <c r="O271" s="55" t="n"/>
      <c r="P271" s="56" t="n"/>
      <c r="Q271" s="55" t="n"/>
      <c r="R271" s="55" t="n"/>
      <c r="S271" s="55" t="n"/>
      <c r="T271" s="55" t="n"/>
      <c r="U271" s="55" t="n"/>
      <c r="V271" s="55" t="n"/>
      <c r="W271" s="58" t="n"/>
      <c r="X271" s="58" t="n"/>
      <c r="Y271" s="55" t="n"/>
      <c r="Z271" s="55" t="n"/>
      <c r="AA271" s="55" t="n"/>
      <c r="AB271" s="55" t="n"/>
      <c r="AC271" s="55" t="n"/>
      <c r="AD271" s="53" t="n"/>
      <c r="AE271" s="55" t="n"/>
      <c r="AF271" s="55" t="n"/>
      <c r="AG271" s="59" t="n"/>
      <c r="AH271" s="57" t="n"/>
      <c r="AI271" s="55" t="n"/>
      <c r="AJ271" s="55" t="n"/>
      <c r="AK271" s="55" t="n"/>
      <c r="AL271" s="55" t="n"/>
      <c r="AM271" s="56" t="n"/>
      <c r="AN271" s="55" t="n"/>
      <c r="AO271" s="55" t="n"/>
      <c r="AP271" s="55" t="n"/>
      <c r="AQ271" s="55" t="n"/>
      <c r="AR271" s="60">
        <f>IF(AND(C271="",E271=""),"",IF(A271="","⚠ Date manquante",IF(AND(C271="",E271&lt;&gt;"Dépense"),"⚠ Prospect manquant",IF(E271="","⚠ Action manquante",IF(AND(AU271=1,D271=""),"⚠ Canal manquant",IF(AND(W271&lt;&gt;"",COUNTIFS('Saisie'!$W$5:$W$2004,W271,'Saisie'!$C$5:$C$2004,"&lt;&gt;"&amp;C271)&gt;0),"⚠ Numéro déjà utilisé par un autre prospect",IF(AND(J271&lt;&gt;"",J271&lt;A271),"⚠ Relance avant la date de l'action",IF(A271&gt;TODAY(),"⚠ Date dans le futur","✓"))))))))</f>
        <v/>
      </c>
      <c r="AS271" s="61">
        <f>IF(AND(A271="",C271="",E271=""),"",ROW())</f>
        <v/>
      </c>
      <c r="AT271" s="61">
        <f>IF(E271&amp;F271="","",MAX(IFERROR(INDEX('Paramètres'!$J$6:$J$33,MATCH(E271,'Paramètres'!$I$6:$I$33,0)),0),IFERROR(INDEX('Paramètres'!$N$6:$N$17,MATCH(F271,'Paramètres'!$M$6:$M$17,0)),0)))</f>
        <v/>
      </c>
      <c r="AU271" s="61">
        <f>IF(E271="","",IFERROR(IF(INDEX('Paramètres'!$K$6:$K$33,MATCH(E271,'Paramètres'!$I$6:$I$33,0))="Oui",1,0),0))</f>
        <v/>
      </c>
      <c r="AV271" s="61">
        <f>IF(F271="","",IFERROR(IF(INDEX('Paramètres'!$O$6:$O$17,MATCH(F271,'Paramètres'!$M$6:$M$17,0))="Oui",1,0),0))</f>
        <v/>
      </c>
      <c r="AW271" s="62">
        <f>IF(E271="","",IF(G271&lt;&gt;"",G271,IF(OR(E271="Proposition envoyée",E271="Signature"),MAX(0,N(IFERROR(INDEX('Paramètres'!$R$6:$R$15,MATCH(IF(AL271&lt;&gt;"",AL271,IFERROR(INDEX('Prospects'!$AN$5:$AN$504,MATCH(C271,'Prospects'!$C$5:$C$504,0)),"")),'Paramètres'!$Q$6:$Q$15,0)),0))-N(P271)),0)))</f>
        <v/>
      </c>
      <c r="AX271" s="61">
        <f>IF(C271="","",IF(COUNTIF($C$5:C271,C271)=1,MAX($AX$4:AX270)+1,""))</f>
        <v/>
      </c>
      <c r="AY271" s="61">
        <f>IF(B271="","",HOUR(B271))</f>
        <v/>
      </c>
      <c r="AZ271" s="61">
        <f>IF(A271="","",MOD(A271-2,7)+1)</f>
        <v/>
      </c>
      <c r="BA271" s="60">
        <f>IF(C271="","",IFERROR(INDEX('Prospects'!$N$5:$N$504,MATCH(C271,'Prospects'!$C$5:$C$504,0)),""))</f>
        <v/>
      </c>
      <c r="BB271" s="61">
        <f>IF(AND(C271&lt;&gt;"",C271='Fiche prospect'!$C$4),COUNTIF($C$5:C271,C271),"")</f>
        <v/>
      </c>
    </row>
    <row r="272">
      <c r="A272" s="53" t="n"/>
      <c r="B272" s="54" t="n"/>
      <c r="C272" s="55" t="n"/>
      <c r="D272" s="55" t="n"/>
      <c r="E272" s="55" t="n"/>
      <c r="F272" s="55" t="n"/>
      <c r="G272" s="56" t="n"/>
      <c r="H272" s="57" t="n"/>
      <c r="I272" s="55" t="n"/>
      <c r="J272" s="53" t="n"/>
      <c r="K272" s="54" t="n"/>
      <c r="L272" s="55" t="n"/>
      <c r="M272" s="55" t="n"/>
      <c r="N272" s="57" t="n"/>
      <c r="O272" s="55" t="n"/>
      <c r="P272" s="56" t="n"/>
      <c r="Q272" s="55" t="n"/>
      <c r="R272" s="55" t="n"/>
      <c r="S272" s="55" t="n"/>
      <c r="T272" s="55" t="n"/>
      <c r="U272" s="55" t="n"/>
      <c r="V272" s="55" t="n"/>
      <c r="W272" s="58" t="n"/>
      <c r="X272" s="58" t="n"/>
      <c r="Y272" s="55" t="n"/>
      <c r="Z272" s="55" t="n"/>
      <c r="AA272" s="55" t="n"/>
      <c r="AB272" s="55" t="n"/>
      <c r="AC272" s="55" t="n"/>
      <c r="AD272" s="53" t="n"/>
      <c r="AE272" s="55" t="n"/>
      <c r="AF272" s="55" t="n"/>
      <c r="AG272" s="59" t="n"/>
      <c r="AH272" s="57" t="n"/>
      <c r="AI272" s="55" t="n"/>
      <c r="AJ272" s="55" t="n"/>
      <c r="AK272" s="55" t="n"/>
      <c r="AL272" s="55" t="n"/>
      <c r="AM272" s="56" t="n"/>
      <c r="AN272" s="55" t="n"/>
      <c r="AO272" s="55" t="n"/>
      <c r="AP272" s="55" t="n"/>
      <c r="AQ272" s="55" t="n"/>
      <c r="AR272" s="60">
        <f>IF(AND(C272="",E272=""),"",IF(A272="","⚠ Date manquante",IF(AND(C272="",E272&lt;&gt;"Dépense"),"⚠ Prospect manquant",IF(E272="","⚠ Action manquante",IF(AND(AU272=1,D272=""),"⚠ Canal manquant",IF(AND(W272&lt;&gt;"",COUNTIFS('Saisie'!$W$5:$W$2004,W272,'Saisie'!$C$5:$C$2004,"&lt;&gt;"&amp;C272)&gt;0),"⚠ Numéro déjà utilisé par un autre prospect",IF(AND(J272&lt;&gt;"",J272&lt;A272),"⚠ Relance avant la date de l'action",IF(A272&gt;TODAY(),"⚠ Date dans le futur","✓"))))))))</f>
        <v/>
      </c>
      <c r="AS272" s="61">
        <f>IF(AND(A272="",C272="",E272=""),"",ROW())</f>
        <v/>
      </c>
      <c r="AT272" s="61">
        <f>IF(E272&amp;F272="","",MAX(IFERROR(INDEX('Paramètres'!$J$6:$J$33,MATCH(E272,'Paramètres'!$I$6:$I$33,0)),0),IFERROR(INDEX('Paramètres'!$N$6:$N$17,MATCH(F272,'Paramètres'!$M$6:$M$17,0)),0)))</f>
        <v/>
      </c>
      <c r="AU272" s="61">
        <f>IF(E272="","",IFERROR(IF(INDEX('Paramètres'!$K$6:$K$33,MATCH(E272,'Paramètres'!$I$6:$I$33,0))="Oui",1,0),0))</f>
        <v/>
      </c>
      <c r="AV272" s="61">
        <f>IF(F272="","",IFERROR(IF(INDEX('Paramètres'!$O$6:$O$17,MATCH(F272,'Paramètres'!$M$6:$M$17,0))="Oui",1,0),0))</f>
        <v/>
      </c>
      <c r="AW272" s="62">
        <f>IF(E272="","",IF(G272&lt;&gt;"",G272,IF(OR(E272="Proposition envoyée",E272="Signature"),MAX(0,N(IFERROR(INDEX('Paramètres'!$R$6:$R$15,MATCH(IF(AL272&lt;&gt;"",AL272,IFERROR(INDEX('Prospects'!$AN$5:$AN$504,MATCH(C272,'Prospects'!$C$5:$C$504,0)),"")),'Paramètres'!$Q$6:$Q$15,0)),0))-N(P272)),0)))</f>
        <v/>
      </c>
      <c r="AX272" s="61">
        <f>IF(C272="","",IF(COUNTIF($C$5:C272,C272)=1,MAX($AX$4:AX271)+1,""))</f>
        <v/>
      </c>
      <c r="AY272" s="61">
        <f>IF(B272="","",HOUR(B272))</f>
        <v/>
      </c>
      <c r="AZ272" s="61">
        <f>IF(A272="","",MOD(A272-2,7)+1)</f>
        <v/>
      </c>
      <c r="BA272" s="60">
        <f>IF(C272="","",IFERROR(INDEX('Prospects'!$N$5:$N$504,MATCH(C272,'Prospects'!$C$5:$C$504,0)),""))</f>
        <v/>
      </c>
      <c r="BB272" s="61">
        <f>IF(AND(C272&lt;&gt;"",C272='Fiche prospect'!$C$4),COUNTIF($C$5:C272,C272),"")</f>
        <v/>
      </c>
    </row>
    <row r="273">
      <c r="A273" s="53" t="n"/>
      <c r="B273" s="54" t="n"/>
      <c r="C273" s="55" t="n"/>
      <c r="D273" s="55" t="n"/>
      <c r="E273" s="55" t="n"/>
      <c r="F273" s="55" t="n"/>
      <c r="G273" s="56" t="n"/>
      <c r="H273" s="57" t="n"/>
      <c r="I273" s="55" t="n"/>
      <c r="J273" s="53" t="n"/>
      <c r="K273" s="54" t="n"/>
      <c r="L273" s="55" t="n"/>
      <c r="M273" s="55" t="n"/>
      <c r="N273" s="57" t="n"/>
      <c r="O273" s="55" t="n"/>
      <c r="P273" s="56" t="n"/>
      <c r="Q273" s="55" t="n"/>
      <c r="R273" s="55" t="n"/>
      <c r="S273" s="55" t="n"/>
      <c r="T273" s="55" t="n"/>
      <c r="U273" s="55" t="n"/>
      <c r="V273" s="55" t="n"/>
      <c r="W273" s="58" t="n"/>
      <c r="X273" s="58" t="n"/>
      <c r="Y273" s="55" t="n"/>
      <c r="Z273" s="55" t="n"/>
      <c r="AA273" s="55" t="n"/>
      <c r="AB273" s="55" t="n"/>
      <c r="AC273" s="55" t="n"/>
      <c r="AD273" s="53" t="n"/>
      <c r="AE273" s="55" t="n"/>
      <c r="AF273" s="55" t="n"/>
      <c r="AG273" s="59" t="n"/>
      <c r="AH273" s="57" t="n"/>
      <c r="AI273" s="55" t="n"/>
      <c r="AJ273" s="55" t="n"/>
      <c r="AK273" s="55" t="n"/>
      <c r="AL273" s="55" t="n"/>
      <c r="AM273" s="56" t="n"/>
      <c r="AN273" s="55" t="n"/>
      <c r="AO273" s="55" t="n"/>
      <c r="AP273" s="55" t="n"/>
      <c r="AQ273" s="55" t="n"/>
      <c r="AR273" s="60">
        <f>IF(AND(C273="",E273=""),"",IF(A273="","⚠ Date manquante",IF(AND(C273="",E273&lt;&gt;"Dépense"),"⚠ Prospect manquant",IF(E273="","⚠ Action manquante",IF(AND(AU273=1,D273=""),"⚠ Canal manquant",IF(AND(W273&lt;&gt;"",COUNTIFS('Saisie'!$W$5:$W$2004,W273,'Saisie'!$C$5:$C$2004,"&lt;&gt;"&amp;C273)&gt;0),"⚠ Numéro déjà utilisé par un autre prospect",IF(AND(J273&lt;&gt;"",J273&lt;A273),"⚠ Relance avant la date de l'action",IF(A273&gt;TODAY(),"⚠ Date dans le futur","✓"))))))))</f>
        <v/>
      </c>
      <c r="AS273" s="61">
        <f>IF(AND(A273="",C273="",E273=""),"",ROW())</f>
        <v/>
      </c>
      <c r="AT273" s="61">
        <f>IF(E273&amp;F273="","",MAX(IFERROR(INDEX('Paramètres'!$J$6:$J$33,MATCH(E273,'Paramètres'!$I$6:$I$33,0)),0),IFERROR(INDEX('Paramètres'!$N$6:$N$17,MATCH(F273,'Paramètres'!$M$6:$M$17,0)),0)))</f>
        <v/>
      </c>
      <c r="AU273" s="61">
        <f>IF(E273="","",IFERROR(IF(INDEX('Paramètres'!$K$6:$K$33,MATCH(E273,'Paramètres'!$I$6:$I$33,0))="Oui",1,0),0))</f>
        <v/>
      </c>
      <c r="AV273" s="61">
        <f>IF(F273="","",IFERROR(IF(INDEX('Paramètres'!$O$6:$O$17,MATCH(F273,'Paramètres'!$M$6:$M$17,0))="Oui",1,0),0))</f>
        <v/>
      </c>
      <c r="AW273" s="62">
        <f>IF(E273="","",IF(G273&lt;&gt;"",G273,IF(OR(E273="Proposition envoyée",E273="Signature"),MAX(0,N(IFERROR(INDEX('Paramètres'!$R$6:$R$15,MATCH(IF(AL273&lt;&gt;"",AL273,IFERROR(INDEX('Prospects'!$AN$5:$AN$504,MATCH(C273,'Prospects'!$C$5:$C$504,0)),"")),'Paramètres'!$Q$6:$Q$15,0)),0))-N(P273)),0)))</f>
        <v/>
      </c>
      <c r="AX273" s="61">
        <f>IF(C273="","",IF(COUNTIF($C$5:C273,C273)=1,MAX($AX$4:AX272)+1,""))</f>
        <v/>
      </c>
      <c r="AY273" s="61">
        <f>IF(B273="","",HOUR(B273))</f>
        <v/>
      </c>
      <c r="AZ273" s="61">
        <f>IF(A273="","",MOD(A273-2,7)+1)</f>
        <v/>
      </c>
      <c r="BA273" s="60">
        <f>IF(C273="","",IFERROR(INDEX('Prospects'!$N$5:$N$504,MATCH(C273,'Prospects'!$C$5:$C$504,0)),""))</f>
        <v/>
      </c>
      <c r="BB273" s="61">
        <f>IF(AND(C273&lt;&gt;"",C273='Fiche prospect'!$C$4),COUNTIF($C$5:C273,C273),"")</f>
        <v/>
      </c>
    </row>
    <row r="274">
      <c r="A274" s="53" t="n"/>
      <c r="B274" s="54" t="n"/>
      <c r="C274" s="55" t="n"/>
      <c r="D274" s="55" t="n"/>
      <c r="E274" s="55" t="n"/>
      <c r="F274" s="55" t="n"/>
      <c r="G274" s="56" t="n"/>
      <c r="H274" s="57" t="n"/>
      <c r="I274" s="55" t="n"/>
      <c r="J274" s="53" t="n"/>
      <c r="K274" s="54" t="n"/>
      <c r="L274" s="55" t="n"/>
      <c r="M274" s="55" t="n"/>
      <c r="N274" s="57" t="n"/>
      <c r="O274" s="55" t="n"/>
      <c r="P274" s="56" t="n"/>
      <c r="Q274" s="55" t="n"/>
      <c r="R274" s="55" t="n"/>
      <c r="S274" s="55" t="n"/>
      <c r="T274" s="55" t="n"/>
      <c r="U274" s="55" t="n"/>
      <c r="V274" s="55" t="n"/>
      <c r="W274" s="58" t="n"/>
      <c r="X274" s="58" t="n"/>
      <c r="Y274" s="55" t="n"/>
      <c r="Z274" s="55" t="n"/>
      <c r="AA274" s="55" t="n"/>
      <c r="AB274" s="55" t="n"/>
      <c r="AC274" s="55" t="n"/>
      <c r="AD274" s="53" t="n"/>
      <c r="AE274" s="55" t="n"/>
      <c r="AF274" s="55" t="n"/>
      <c r="AG274" s="59" t="n"/>
      <c r="AH274" s="57" t="n"/>
      <c r="AI274" s="55" t="n"/>
      <c r="AJ274" s="55" t="n"/>
      <c r="AK274" s="55" t="n"/>
      <c r="AL274" s="55" t="n"/>
      <c r="AM274" s="56" t="n"/>
      <c r="AN274" s="55" t="n"/>
      <c r="AO274" s="55" t="n"/>
      <c r="AP274" s="55" t="n"/>
      <c r="AQ274" s="55" t="n"/>
      <c r="AR274" s="60">
        <f>IF(AND(C274="",E274=""),"",IF(A274="","⚠ Date manquante",IF(AND(C274="",E274&lt;&gt;"Dépense"),"⚠ Prospect manquant",IF(E274="","⚠ Action manquante",IF(AND(AU274=1,D274=""),"⚠ Canal manquant",IF(AND(W274&lt;&gt;"",COUNTIFS('Saisie'!$W$5:$W$2004,W274,'Saisie'!$C$5:$C$2004,"&lt;&gt;"&amp;C274)&gt;0),"⚠ Numéro déjà utilisé par un autre prospect",IF(AND(J274&lt;&gt;"",J274&lt;A274),"⚠ Relance avant la date de l'action",IF(A274&gt;TODAY(),"⚠ Date dans le futur","✓"))))))))</f>
        <v/>
      </c>
      <c r="AS274" s="61">
        <f>IF(AND(A274="",C274="",E274=""),"",ROW())</f>
        <v/>
      </c>
      <c r="AT274" s="61">
        <f>IF(E274&amp;F274="","",MAX(IFERROR(INDEX('Paramètres'!$J$6:$J$33,MATCH(E274,'Paramètres'!$I$6:$I$33,0)),0),IFERROR(INDEX('Paramètres'!$N$6:$N$17,MATCH(F274,'Paramètres'!$M$6:$M$17,0)),0)))</f>
        <v/>
      </c>
      <c r="AU274" s="61">
        <f>IF(E274="","",IFERROR(IF(INDEX('Paramètres'!$K$6:$K$33,MATCH(E274,'Paramètres'!$I$6:$I$33,0))="Oui",1,0),0))</f>
        <v/>
      </c>
      <c r="AV274" s="61">
        <f>IF(F274="","",IFERROR(IF(INDEX('Paramètres'!$O$6:$O$17,MATCH(F274,'Paramètres'!$M$6:$M$17,0))="Oui",1,0),0))</f>
        <v/>
      </c>
      <c r="AW274" s="62">
        <f>IF(E274="","",IF(G274&lt;&gt;"",G274,IF(OR(E274="Proposition envoyée",E274="Signature"),MAX(0,N(IFERROR(INDEX('Paramètres'!$R$6:$R$15,MATCH(IF(AL274&lt;&gt;"",AL274,IFERROR(INDEX('Prospects'!$AN$5:$AN$504,MATCH(C274,'Prospects'!$C$5:$C$504,0)),"")),'Paramètres'!$Q$6:$Q$15,0)),0))-N(P274)),0)))</f>
        <v/>
      </c>
      <c r="AX274" s="61">
        <f>IF(C274="","",IF(COUNTIF($C$5:C274,C274)=1,MAX($AX$4:AX273)+1,""))</f>
        <v/>
      </c>
      <c r="AY274" s="61">
        <f>IF(B274="","",HOUR(B274))</f>
        <v/>
      </c>
      <c r="AZ274" s="61">
        <f>IF(A274="","",MOD(A274-2,7)+1)</f>
        <v/>
      </c>
      <c r="BA274" s="60">
        <f>IF(C274="","",IFERROR(INDEX('Prospects'!$N$5:$N$504,MATCH(C274,'Prospects'!$C$5:$C$504,0)),""))</f>
        <v/>
      </c>
      <c r="BB274" s="61">
        <f>IF(AND(C274&lt;&gt;"",C274='Fiche prospect'!$C$4),COUNTIF($C$5:C274,C274),"")</f>
        <v/>
      </c>
    </row>
    <row r="275">
      <c r="A275" s="53" t="n"/>
      <c r="B275" s="54" t="n"/>
      <c r="C275" s="55" t="n"/>
      <c r="D275" s="55" t="n"/>
      <c r="E275" s="55" t="n"/>
      <c r="F275" s="55" t="n"/>
      <c r="G275" s="56" t="n"/>
      <c r="H275" s="57" t="n"/>
      <c r="I275" s="55" t="n"/>
      <c r="J275" s="53" t="n"/>
      <c r="K275" s="54" t="n"/>
      <c r="L275" s="55" t="n"/>
      <c r="M275" s="55" t="n"/>
      <c r="N275" s="57" t="n"/>
      <c r="O275" s="55" t="n"/>
      <c r="P275" s="56" t="n"/>
      <c r="Q275" s="55" t="n"/>
      <c r="R275" s="55" t="n"/>
      <c r="S275" s="55" t="n"/>
      <c r="T275" s="55" t="n"/>
      <c r="U275" s="55" t="n"/>
      <c r="V275" s="55" t="n"/>
      <c r="W275" s="58" t="n"/>
      <c r="X275" s="58" t="n"/>
      <c r="Y275" s="55" t="n"/>
      <c r="Z275" s="55" t="n"/>
      <c r="AA275" s="55" t="n"/>
      <c r="AB275" s="55" t="n"/>
      <c r="AC275" s="55" t="n"/>
      <c r="AD275" s="53" t="n"/>
      <c r="AE275" s="55" t="n"/>
      <c r="AF275" s="55" t="n"/>
      <c r="AG275" s="59" t="n"/>
      <c r="AH275" s="57" t="n"/>
      <c r="AI275" s="55" t="n"/>
      <c r="AJ275" s="55" t="n"/>
      <c r="AK275" s="55" t="n"/>
      <c r="AL275" s="55" t="n"/>
      <c r="AM275" s="56" t="n"/>
      <c r="AN275" s="55" t="n"/>
      <c r="AO275" s="55" t="n"/>
      <c r="AP275" s="55" t="n"/>
      <c r="AQ275" s="55" t="n"/>
      <c r="AR275" s="60">
        <f>IF(AND(C275="",E275=""),"",IF(A275="","⚠ Date manquante",IF(AND(C275="",E275&lt;&gt;"Dépense"),"⚠ Prospect manquant",IF(E275="","⚠ Action manquante",IF(AND(AU275=1,D275=""),"⚠ Canal manquant",IF(AND(W275&lt;&gt;"",COUNTIFS('Saisie'!$W$5:$W$2004,W275,'Saisie'!$C$5:$C$2004,"&lt;&gt;"&amp;C275)&gt;0),"⚠ Numéro déjà utilisé par un autre prospect",IF(AND(J275&lt;&gt;"",J275&lt;A275),"⚠ Relance avant la date de l'action",IF(A275&gt;TODAY(),"⚠ Date dans le futur","✓"))))))))</f>
        <v/>
      </c>
      <c r="AS275" s="61">
        <f>IF(AND(A275="",C275="",E275=""),"",ROW())</f>
        <v/>
      </c>
      <c r="AT275" s="61">
        <f>IF(E275&amp;F275="","",MAX(IFERROR(INDEX('Paramètres'!$J$6:$J$33,MATCH(E275,'Paramètres'!$I$6:$I$33,0)),0),IFERROR(INDEX('Paramètres'!$N$6:$N$17,MATCH(F275,'Paramètres'!$M$6:$M$17,0)),0)))</f>
        <v/>
      </c>
      <c r="AU275" s="61">
        <f>IF(E275="","",IFERROR(IF(INDEX('Paramètres'!$K$6:$K$33,MATCH(E275,'Paramètres'!$I$6:$I$33,0))="Oui",1,0),0))</f>
        <v/>
      </c>
      <c r="AV275" s="61">
        <f>IF(F275="","",IFERROR(IF(INDEX('Paramètres'!$O$6:$O$17,MATCH(F275,'Paramètres'!$M$6:$M$17,0))="Oui",1,0),0))</f>
        <v/>
      </c>
      <c r="AW275" s="62">
        <f>IF(E275="","",IF(G275&lt;&gt;"",G275,IF(OR(E275="Proposition envoyée",E275="Signature"),MAX(0,N(IFERROR(INDEX('Paramètres'!$R$6:$R$15,MATCH(IF(AL275&lt;&gt;"",AL275,IFERROR(INDEX('Prospects'!$AN$5:$AN$504,MATCH(C275,'Prospects'!$C$5:$C$504,0)),"")),'Paramètres'!$Q$6:$Q$15,0)),0))-N(P275)),0)))</f>
        <v/>
      </c>
      <c r="AX275" s="61">
        <f>IF(C275="","",IF(COUNTIF($C$5:C275,C275)=1,MAX($AX$4:AX274)+1,""))</f>
        <v/>
      </c>
      <c r="AY275" s="61">
        <f>IF(B275="","",HOUR(B275))</f>
        <v/>
      </c>
      <c r="AZ275" s="61">
        <f>IF(A275="","",MOD(A275-2,7)+1)</f>
        <v/>
      </c>
      <c r="BA275" s="60">
        <f>IF(C275="","",IFERROR(INDEX('Prospects'!$N$5:$N$504,MATCH(C275,'Prospects'!$C$5:$C$504,0)),""))</f>
        <v/>
      </c>
      <c r="BB275" s="61">
        <f>IF(AND(C275&lt;&gt;"",C275='Fiche prospect'!$C$4),COUNTIF($C$5:C275,C275),"")</f>
        <v/>
      </c>
    </row>
    <row r="276">
      <c r="A276" s="53" t="n"/>
      <c r="B276" s="54" t="n"/>
      <c r="C276" s="55" t="n"/>
      <c r="D276" s="55" t="n"/>
      <c r="E276" s="55" t="n"/>
      <c r="F276" s="55" t="n"/>
      <c r="G276" s="56" t="n"/>
      <c r="H276" s="57" t="n"/>
      <c r="I276" s="55" t="n"/>
      <c r="J276" s="53" t="n"/>
      <c r="K276" s="54" t="n"/>
      <c r="L276" s="55" t="n"/>
      <c r="M276" s="55" t="n"/>
      <c r="N276" s="57" t="n"/>
      <c r="O276" s="55" t="n"/>
      <c r="P276" s="56" t="n"/>
      <c r="Q276" s="55" t="n"/>
      <c r="R276" s="55" t="n"/>
      <c r="S276" s="55" t="n"/>
      <c r="T276" s="55" t="n"/>
      <c r="U276" s="55" t="n"/>
      <c r="V276" s="55" t="n"/>
      <c r="W276" s="58" t="n"/>
      <c r="X276" s="58" t="n"/>
      <c r="Y276" s="55" t="n"/>
      <c r="Z276" s="55" t="n"/>
      <c r="AA276" s="55" t="n"/>
      <c r="AB276" s="55" t="n"/>
      <c r="AC276" s="55" t="n"/>
      <c r="AD276" s="53" t="n"/>
      <c r="AE276" s="55" t="n"/>
      <c r="AF276" s="55" t="n"/>
      <c r="AG276" s="59" t="n"/>
      <c r="AH276" s="57" t="n"/>
      <c r="AI276" s="55" t="n"/>
      <c r="AJ276" s="55" t="n"/>
      <c r="AK276" s="55" t="n"/>
      <c r="AL276" s="55" t="n"/>
      <c r="AM276" s="56" t="n"/>
      <c r="AN276" s="55" t="n"/>
      <c r="AO276" s="55" t="n"/>
      <c r="AP276" s="55" t="n"/>
      <c r="AQ276" s="55" t="n"/>
      <c r="AR276" s="60">
        <f>IF(AND(C276="",E276=""),"",IF(A276="","⚠ Date manquante",IF(AND(C276="",E276&lt;&gt;"Dépense"),"⚠ Prospect manquant",IF(E276="","⚠ Action manquante",IF(AND(AU276=1,D276=""),"⚠ Canal manquant",IF(AND(W276&lt;&gt;"",COUNTIFS('Saisie'!$W$5:$W$2004,W276,'Saisie'!$C$5:$C$2004,"&lt;&gt;"&amp;C276)&gt;0),"⚠ Numéro déjà utilisé par un autre prospect",IF(AND(J276&lt;&gt;"",J276&lt;A276),"⚠ Relance avant la date de l'action",IF(A276&gt;TODAY(),"⚠ Date dans le futur","✓"))))))))</f>
        <v/>
      </c>
      <c r="AS276" s="61">
        <f>IF(AND(A276="",C276="",E276=""),"",ROW())</f>
        <v/>
      </c>
      <c r="AT276" s="61">
        <f>IF(E276&amp;F276="","",MAX(IFERROR(INDEX('Paramètres'!$J$6:$J$33,MATCH(E276,'Paramètres'!$I$6:$I$33,0)),0),IFERROR(INDEX('Paramètres'!$N$6:$N$17,MATCH(F276,'Paramètres'!$M$6:$M$17,0)),0)))</f>
        <v/>
      </c>
      <c r="AU276" s="61">
        <f>IF(E276="","",IFERROR(IF(INDEX('Paramètres'!$K$6:$K$33,MATCH(E276,'Paramètres'!$I$6:$I$33,0))="Oui",1,0),0))</f>
        <v/>
      </c>
      <c r="AV276" s="61">
        <f>IF(F276="","",IFERROR(IF(INDEX('Paramètres'!$O$6:$O$17,MATCH(F276,'Paramètres'!$M$6:$M$17,0))="Oui",1,0),0))</f>
        <v/>
      </c>
      <c r="AW276" s="62">
        <f>IF(E276="","",IF(G276&lt;&gt;"",G276,IF(OR(E276="Proposition envoyée",E276="Signature"),MAX(0,N(IFERROR(INDEX('Paramètres'!$R$6:$R$15,MATCH(IF(AL276&lt;&gt;"",AL276,IFERROR(INDEX('Prospects'!$AN$5:$AN$504,MATCH(C276,'Prospects'!$C$5:$C$504,0)),"")),'Paramètres'!$Q$6:$Q$15,0)),0))-N(P276)),0)))</f>
        <v/>
      </c>
      <c r="AX276" s="61">
        <f>IF(C276="","",IF(COUNTIF($C$5:C276,C276)=1,MAX($AX$4:AX275)+1,""))</f>
        <v/>
      </c>
      <c r="AY276" s="61">
        <f>IF(B276="","",HOUR(B276))</f>
        <v/>
      </c>
      <c r="AZ276" s="61">
        <f>IF(A276="","",MOD(A276-2,7)+1)</f>
        <v/>
      </c>
      <c r="BA276" s="60">
        <f>IF(C276="","",IFERROR(INDEX('Prospects'!$N$5:$N$504,MATCH(C276,'Prospects'!$C$5:$C$504,0)),""))</f>
        <v/>
      </c>
      <c r="BB276" s="61">
        <f>IF(AND(C276&lt;&gt;"",C276='Fiche prospect'!$C$4),COUNTIF($C$5:C276,C276),"")</f>
        <v/>
      </c>
    </row>
    <row r="277">
      <c r="A277" s="53" t="n"/>
      <c r="B277" s="54" t="n"/>
      <c r="C277" s="55" t="n"/>
      <c r="D277" s="55" t="n"/>
      <c r="E277" s="55" t="n"/>
      <c r="F277" s="55" t="n"/>
      <c r="G277" s="56" t="n"/>
      <c r="H277" s="57" t="n"/>
      <c r="I277" s="55" t="n"/>
      <c r="J277" s="53" t="n"/>
      <c r="K277" s="54" t="n"/>
      <c r="L277" s="55" t="n"/>
      <c r="M277" s="55" t="n"/>
      <c r="N277" s="57" t="n"/>
      <c r="O277" s="55" t="n"/>
      <c r="P277" s="56" t="n"/>
      <c r="Q277" s="55" t="n"/>
      <c r="R277" s="55" t="n"/>
      <c r="S277" s="55" t="n"/>
      <c r="T277" s="55" t="n"/>
      <c r="U277" s="55" t="n"/>
      <c r="V277" s="55" t="n"/>
      <c r="W277" s="58" t="n"/>
      <c r="X277" s="58" t="n"/>
      <c r="Y277" s="55" t="n"/>
      <c r="Z277" s="55" t="n"/>
      <c r="AA277" s="55" t="n"/>
      <c r="AB277" s="55" t="n"/>
      <c r="AC277" s="55" t="n"/>
      <c r="AD277" s="53" t="n"/>
      <c r="AE277" s="55" t="n"/>
      <c r="AF277" s="55" t="n"/>
      <c r="AG277" s="59" t="n"/>
      <c r="AH277" s="57" t="n"/>
      <c r="AI277" s="55" t="n"/>
      <c r="AJ277" s="55" t="n"/>
      <c r="AK277" s="55" t="n"/>
      <c r="AL277" s="55" t="n"/>
      <c r="AM277" s="56" t="n"/>
      <c r="AN277" s="55" t="n"/>
      <c r="AO277" s="55" t="n"/>
      <c r="AP277" s="55" t="n"/>
      <c r="AQ277" s="55" t="n"/>
      <c r="AR277" s="60">
        <f>IF(AND(C277="",E277=""),"",IF(A277="","⚠ Date manquante",IF(AND(C277="",E277&lt;&gt;"Dépense"),"⚠ Prospect manquant",IF(E277="","⚠ Action manquante",IF(AND(AU277=1,D277=""),"⚠ Canal manquant",IF(AND(W277&lt;&gt;"",COUNTIFS('Saisie'!$W$5:$W$2004,W277,'Saisie'!$C$5:$C$2004,"&lt;&gt;"&amp;C277)&gt;0),"⚠ Numéro déjà utilisé par un autre prospect",IF(AND(J277&lt;&gt;"",J277&lt;A277),"⚠ Relance avant la date de l'action",IF(A277&gt;TODAY(),"⚠ Date dans le futur","✓"))))))))</f>
        <v/>
      </c>
      <c r="AS277" s="61">
        <f>IF(AND(A277="",C277="",E277=""),"",ROW())</f>
        <v/>
      </c>
      <c r="AT277" s="61">
        <f>IF(E277&amp;F277="","",MAX(IFERROR(INDEX('Paramètres'!$J$6:$J$33,MATCH(E277,'Paramètres'!$I$6:$I$33,0)),0),IFERROR(INDEX('Paramètres'!$N$6:$N$17,MATCH(F277,'Paramètres'!$M$6:$M$17,0)),0)))</f>
        <v/>
      </c>
      <c r="AU277" s="61">
        <f>IF(E277="","",IFERROR(IF(INDEX('Paramètres'!$K$6:$K$33,MATCH(E277,'Paramètres'!$I$6:$I$33,0))="Oui",1,0),0))</f>
        <v/>
      </c>
      <c r="AV277" s="61">
        <f>IF(F277="","",IFERROR(IF(INDEX('Paramètres'!$O$6:$O$17,MATCH(F277,'Paramètres'!$M$6:$M$17,0))="Oui",1,0),0))</f>
        <v/>
      </c>
      <c r="AW277" s="62">
        <f>IF(E277="","",IF(G277&lt;&gt;"",G277,IF(OR(E277="Proposition envoyée",E277="Signature"),MAX(0,N(IFERROR(INDEX('Paramètres'!$R$6:$R$15,MATCH(IF(AL277&lt;&gt;"",AL277,IFERROR(INDEX('Prospects'!$AN$5:$AN$504,MATCH(C277,'Prospects'!$C$5:$C$504,0)),"")),'Paramètres'!$Q$6:$Q$15,0)),0))-N(P277)),0)))</f>
        <v/>
      </c>
      <c r="AX277" s="61">
        <f>IF(C277="","",IF(COUNTIF($C$5:C277,C277)=1,MAX($AX$4:AX276)+1,""))</f>
        <v/>
      </c>
      <c r="AY277" s="61">
        <f>IF(B277="","",HOUR(B277))</f>
        <v/>
      </c>
      <c r="AZ277" s="61">
        <f>IF(A277="","",MOD(A277-2,7)+1)</f>
        <v/>
      </c>
      <c r="BA277" s="60">
        <f>IF(C277="","",IFERROR(INDEX('Prospects'!$N$5:$N$504,MATCH(C277,'Prospects'!$C$5:$C$504,0)),""))</f>
        <v/>
      </c>
      <c r="BB277" s="61">
        <f>IF(AND(C277&lt;&gt;"",C277='Fiche prospect'!$C$4),COUNTIF($C$5:C277,C277),"")</f>
        <v/>
      </c>
    </row>
    <row r="278">
      <c r="A278" s="53" t="n"/>
      <c r="B278" s="54" t="n"/>
      <c r="C278" s="55" t="n"/>
      <c r="D278" s="55" t="n"/>
      <c r="E278" s="55" t="n"/>
      <c r="F278" s="55" t="n"/>
      <c r="G278" s="56" t="n"/>
      <c r="H278" s="57" t="n"/>
      <c r="I278" s="55" t="n"/>
      <c r="J278" s="53" t="n"/>
      <c r="K278" s="54" t="n"/>
      <c r="L278" s="55" t="n"/>
      <c r="M278" s="55" t="n"/>
      <c r="N278" s="57" t="n"/>
      <c r="O278" s="55" t="n"/>
      <c r="P278" s="56" t="n"/>
      <c r="Q278" s="55" t="n"/>
      <c r="R278" s="55" t="n"/>
      <c r="S278" s="55" t="n"/>
      <c r="T278" s="55" t="n"/>
      <c r="U278" s="55" t="n"/>
      <c r="V278" s="55" t="n"/>
      <c r="W278" s="58" t="n"/>
      <c r="X278" s="58" t="n"/>
      <c r="Y278" s="55" t="n"/>
      <c r="Z278" s="55" t="n"/>
      <c r="AA278" s="55" t="n"/>
      <c r="AB278" s="55" t="n"/>
      <c r="AC278" s="55" t="n"/>
      <c r="AD278" s="53" t="n"/>
      <c r="AE278" s="55" t="n"/>
      <c r="AF278" s="55" t="n"/>
      <c r="AG278" s="59" t="n"/>
      <c r="AH278" s="57" t="n"/>
      <c r="AI278" s="55" t="n"/>
      <c r="AJ278" s="55" t="n"/>
      <c r="AK278" s="55" t="n"/>
      <c r="AL278" s="55" t="n"/>
      <c r="AM278" s="56" t="n"/>
      <c r="AN278" s="55" t="n"/>
      <c r="AO278" s="55" t="n"/>
      <c r="AP278" s="55" t="n"/>
      <c r="AQ278" s="55" t="n"/>
      <c r="AR278" s="60">
        <f>IF(AND(C278="",E278=""),"",IF(A278="","⚠ Date manquante",IF(AND(C278="",E278&lt;&gt;"Dépense"),"⚠ Prospect manquant",IF(E278="","⚠ Action manquante",IF(AND(AU278=1,D278=""),"⚠ Canal manquant",IF(AND(W278&lt;&gt;"",COUNTIFS('Saisie'!$W$5:$W$2004,W278,'Saisie'!$C$5:$C$2004,"&lt;&gt;"&amp;C278)&gt;0),"⚠ Numéro déjà utilisé par un autre prospect",IF(AND(J278&lt;&gt;"",J278&lt;A278),"⚠ Relance avant la date de l'action",IF(A278&gt;TODAY(),"⚠ Date dans le futur","✓"))))))))</f>
        <v/>
      </c>
      <c r="AS278" s="61">
        <f>IF(AND(A278="",C278="",E278=""),"",ROW())</f>
        <v/>
      </c>
      <c r="AT278" s="61">
        <f>IF(E278&amp;F278="","",MAX(IFERROR(INDEX('Paramètres'!$J$6:$J$33,MATCH(E278,'Paramètres'!$I$6:$I$33,0)),0),IFERROR(INDEX('Paramètres'!$N$6:$N$17,MATCH(F278,'Paramètres'!$M$6:$M$17,0)),0)))</f>
        <v/>
      </c>
      <c r="AU278" s="61">
        <f>IF(E278="","",IFERROR(IF(INDEX('Paramètres'!$K$6:$K$33,MATCH(E278,'Paramètres'!$I$6:$I$33,0))="Oui",1,0),0))</f>
        <v/>
      </c>
      <c r="AV278" s="61">
        <f>IF(F278="","",IFERROR(IF(INDEX('Paramètres'!$O$6:$O$17,MATCH(F278,'Paramètres'!$M$6:$M$17,0))="Oui",1,0),0))</f>
        <v/>
      </c>
      <c r="AW278" s="62">
        <f>IF(E278="","",IF(G278&lt;&gt;"",G278,IF(OR(E278="Proposition envoyée",E278="Signature"),MAX(0,N(IFERROR(INDEX('Paramètres'!$R$6:$R$15,MATCH(IF(AL278&lt;&gt;"",AL278,IFERROR(INDEX('Prospects'!$AN$5:$AN$504,MATCH(C278,'Prospects'!$C$5:$C$504,0)),"")),'Paramètres'!$Q$6:$Q$15,0)),0))-N(P278)),0)))</f>
        <v/>
      </c>
      <c r="AX278" s="61">
        <f>IF(C278="","",IF(COUNTIF($C$5:C278,C278)=1,MAX($AX$4:AX277)+1,""))</f>
        <v/>
      </c>
      <c r="AY278" s="61">
        <f>IF(B278="","",HOUR(B278))</f>
        <v/>
      </c>
      <c r="AZ278" s="61">
        <f>IF(A278="","",MOD(A278-2,7)+1)</f>
        <v/>
      </c>
      <c r="BA278" s="60">
        <f>IF(C278="","",IFERROR(INDEX('Prospects'!$N$5:$N$504,MATCH(C278,'Prospects'!$C$5:$C$504,0)),""))</f>
        <v/>
      </c>
      <c r="BB278" s="61">
        <f>IF(AND(C278&lt;&gt;"",C278='Fiche prospect'!$C$4),COUNTIF($C$5:C278,C278),"")</f>
        <v/>
      </c>
    </row>
    <row r="279">
      <c r="A279" s="53" t="n"/>
      <c r="B279" s="54" t="n"/>
      <c r="C279" s="55" t="n"/>
      <c r="D279" s="55" t="n"/>
      <c r="E279" s="55" t="n"/>
      <c r="F279" s="55" t="n"/>
      <c r="G279" s="56" t="n"/>
      <c r="H279" s="57" t="n"/>
      <c r="I279" s="55" t="n"/>
      <c r="J279" s="53" t="n"/>
      <c r="K279" s="54" t="n"/>
      <c r="L279" s="55" t="n"/>
      <c r="M279" s="55" t="n"/>
      <c r="N279" s="57" t="n"/>
      <c r="O279" s="55" t="n"/>
      <c r="P279" s="56" t="n"/>
      <c r="Q279" s="55" t="n"/>
      <c r="R279" s="55" t="n"/>
      <c r="S279" s="55" t="n"/>
      <c r="T279" s="55" t="n"/>
      <c r="U279" s="55" t="n"/>
      <c r="V279" s="55" t="n"/>
      <c r="W279" s="58" t="n"/>
      <c r="X279" s="58" t="n"/>
      <c r="Y279" s="55" t="n"/>
      <c r="Z279" s="55" t="n"/>
      <c r="AA279" s="55" t="n"/>
      <c r="AB279" s="55" t="n"/>
      <c r="AC279" s="55" t="n"/>
      <c r="AD279" s="53" t="n"/>
      <c r="AE279" s="55" t="n"/>
      <c r="AF279" s="55" t="n"/>
      <c r="AG279" s="59" t="n"/>
      <c r="AH279" s="57" t="n"/>
      <c r="AI279" s="55" t="n"/>
      <c r="AJ279" s="55" t="n"/>
      <c r="AK279" s="55" t="n"/>
      <c r="AL279" s="55" t="n"/>
      <c r="AM279" s="56" t="n"/>
      <c r="AN279" s="55" t="n"/>
      <c r="AO279" s="55" t="n"/>
      <c r="AP279" s="55" t="n"/>
      <c r="AQ279" s="55" t="n"/>
      <c r="AR279" s="60">
        <f>IF(AND(C279="",E279=""),"",IF(A279="","⚠ Date manquante",IF(AND(C279="",E279&lt;&gt;"Dépense"),"⚠ Prospect manquant",IF(E279="","⚠ Action manquante",IF(AND(AU279=1,D279=""),"⚠ Canal manquant",IF(AND(W279&lt;&gt;"",COUNTIFS('Saisie'!$W$5:$W$2004,W279,'Saisie'!$C$5:$C$2004,"&lt;&gt;"&amp;C279)&gt;0),"⚠ Numéro déjà utilisé par un autre prospect",IF(AND(J279&lt;&gt;"",J279&lt;A279),"⚠ Relance avant la date de l'action",IF(A279&gt;TODAY(),"⚠ Date dans le futur","✓"))))))))</f>
        <v/>
      </c>
      <c r="AS279" s="61">
        <f>IF(AND(A279="",C279="",E279=""),"",ROW())</f>
        <v/>
      </c>
      <c r="AT279" s="61">
        <f>IF(E279&amp;F279="","",MAX(IFERROR(INDEX('Paramètres'!$J$6:$J$33,MATCH(E279,'Paramètres'!$I$6:$I$33,0)),0),IFERROR(INDEX('Paramètres'!$N$6:$N$17,MATCH(F279,'Paramètres'!$M$6:$M$17,0)),0)))</f>
        <v/>
      </c>
      <c r="AU279" s="61">
        <f>IF(E279="","",IFERROR(IF(INDEX('Paramètres'!$K$6:$K$33,MATCH(E279,'Paramètres'!$I$6:$I$33,0))="Oui",1,0),0))</f>
        <v/>
      </c>
      <c r="AV279" s="61">
        <f>IF(F279="","",IFERROR(IF(INDEX('Paramètres'!$O$6:$O$17,MATCH(F279,'Paramètres'!$M$6:$M$17,0))="Oui",1,0),0))</f>
        <v/>
      </c>
      <c r="AW279" s="62">
        <f>IF(E279="","",IF(G279&lt;&gt;"",G279,IF(OR(E279="Proposition envoyée",E279="Signature"),MAX(0,N(IFERROR(INDEX('Paramètres'!$R$6:$R$15,MATCH(IF(AL279&lt;&gt;"",AL279,IFERROR(INDEX('Prospects'!$AN$5:$AN$504,MATCH(C279,'Prospects'!$C$5:$C$504,0)),"")),'Paramètres'!$Q$6:$Q$15,0)),0))-N(P279)),0)))</f>
        <v/>
      </c>
      <c r="AX279" s="61">
        <f>IF(C279="","",IF(COUNTIF($C$5:C279,C279)=1,MAX($AX$4:AX278)+1,""))</f>
        <v/>
      </c>
      <c r="AY279" s="61">
        <f>IF(B279="","",HOUR(B279))</f>
        <v/>
      </c>
      <c r="AZ279" s="61">
        <f>IF(A279="","",MOD(A279-2,7)+1)</f>
        <v/>
      </c>
      <c r="BA279" s="60">
        <f>IF(C279="","",IFERROR(INDEX('Prospects'!$N$5:$N$504,MATCH(C279,'Prospects'!$C$5:$C$504,0)),""))</f>
        <v/>
      </c>
      <c r="BB279" s="61">
        <f>IF(AND(C279&lt;&gt;"",C279='Fiche prospect'!$C$4),COUNTIF($C$5:C279,C279),"")</f>
        <v/>
      </c>
    </row>
    <row r="280">
      <c r="A280" s="53" t="n"/>
      <c r="B280" s="54" t="n"/>
      <c r="C280" s="55" t="n"/>
      <c r="D280" s="55" t="n"/>
      <c r="E280" s="55" t="n"/>
      <c r="F280" s="55" t="n"/>
      <c r="G280" s="56" t="n"/>
      <c r="H280" s="57" t="n"/>
      <c r="I280" s="55" t="n"/>
      <c r="J280" s="53" t="n"/>
      <c r="K280" s="54" t="n"/>
      <c r="L280" s="55" t="n"/>
      <c r="M280" s="55" t="n"/>
      <c r="N280" s="57" t="n"/>
      <c r="O280" s="55" t="n"/>
      <c r="P280" s="56" t="n"/>
      <c r="Q280" s="55" t="n"/>
      <c r="R280" s="55" t="n"/>
      <c r="S280" s="55" t="n"/>
      <c r="T280" s="55" t="n"/>
      <c r="U280" s="55" t="n"/>
      <c r="V280" s="55" t="n"/>
      <c r="W280" s="58" t="n"/>
      <c r="X280" s="58" t="n"/>
      <c r="Y280" s="55" t="n"/>
      <c r="Z280" s="55" t="n"/>
      <c r="AA280" s="55" t="n"/>
      <c r="AB280" s="55" t="n"/>
      <c r="AC280" s="55" t="n"/>
      <c r="AD280" s="53" t="n"/>
      <c r="AE280" s="55" t="n"/>
      <c r="AF280" s="55" t="n"/>
      <c r="AG280" s="59" t="n"/>
      <c r="AH280" s="57" t="n"/>
      <c r="AI280" s="55" t="n"/>
      <c r="AJ280" s="55" t="n"/>
      <c r="AK280" s="55" t="n"/>
      <c r="AL280" s="55" t="n"/>
      <c r="AM280" s="56" t="n"/>
      <c r="AN280" s="55" t="n"/>
      <c r="AO280" s="55" t="n"/>
      <c r="AP280" s="55" t="n"/>
      <c r="AQ280" s="55" t="n"/>
      <c r="AR280" s="60">
        <f>IF(AND(C280="",E280=""),"",IF(A280="","⚠ Date manquante",IF(AND(C280="",E280&lt;&gt;"Dépense"),"⚠ Prospect manquant",IF(E280="","⚠ Action manquante",IF(AND(AU280=1,D280=""),"⚠ Canal manquant",IF(AND(W280&lt;&gt;"",COUNTIFS('Saisie'!$W$5:$W$2004,W280,'Saisie'!$C$5:$C$2004,"&lt;&gt;"&amp;C280)&gt;0),"⚠ Numéro déjà utilisé par un autre prospect",IF(AND(J280&lt;&gt;"",J280&lt;A280),"⚠ Relance avant la date de l'action",IF(A280&gt;TODAY(),"⚠ Date dans le futur","✓"))))))))</f>
        <v/>
      </c>
      <c r="AS280" s="61">
        <f>IF(AND(A280="",C280="",E280=""),"",ROW())</f>
        <v/>
      </c>
      <c r="AT280" s="61">
        <f>IF(E280&amp;F280="","",MAX(IFERROR(INDEX('Paramètres'!$J$6:$J$33,MATCH(E280,'Paramètres'!$I$6:$I$33,0)),0),IFERROR(INDEX('Paramètres'!$N$6:$N$17,MATCH(F280,'Paramètres'!$M$6:$M$17,0)),0)))</f>
        <v/>
      </c>
      <c r="AU280" s="61">
        <f>IF(E280="","",IFERROR(IF(INDEX('Paramètres'!$K$6:$K$33,MATCH(E280,'Paramètres'!$I$6:$I$33,0))="Oui",1,0),0))</f>
        <v/>
      </c>
      <c r="AV280" s="61">
        <f>IF(F280="","",IFERROR(IF(INDEX('Paramètres'!$O$6:$O$17,MATCH(F280,'Paramètres'!$M$6:$M$17,0))="Oui",1,0),0))</f>
        <v/>
      </c>
      <c r="AW280" s="62">
        <f>IF(E280="","",IF(G280&lt;&gt;"",G280,IF(OR(E280="Proposition envoyée",E280="Signature"),MAX(0,N(IFERROR(INDEX('Paramètres'!$R$6:$R$15,MATCH(IF(AL280&lt;&gt;"",AL280,IFERROR(INDEX('Prospects'!$AN$5:$AN$504,MATCH(C280,'Prospects'!$C$5:$C$504,0)),"")),'Paramètres'!$Q$6:$Q$15,0)),0))-N(P280)),0)))</f>
        <v/>
      </c>
      <c r="AX280" s="61">
        <f>IF(C280="","",IF(COUNTIF($C$5:C280,C280)=1,MAX($AX$4:AX279)+1,""))</f>
        <v/>
      </c>
      <c r="AY280" s="61">
        <f>IF(B280="","",HOUR(B280))</f>
        <v/>
      </c>
      <c r="AZ280" s="61">
        <f>IF(A280="","",MOD(A280-2,7)+1)</f>
        <v/>
      </c>
      <c r="BA280" s="60">
        <f>IF(C280="","",IFERROR(INDEX('Prospects'!$N$5:$N$504,MATCH(C280,'Prospects'!$C$5:$C$504,0)),""))</f>
        <v/>
      </c>
      <c r="BB280" s="61">
        <f>IF(AND(C280&lt;&gt;"",C280='Fiche prospect'!$C$4),COUNTIF($C$5:C280,C280),"")</f>
        <v/>
      </c>
    </row>
    <row r="281">
      <c r="A281" s="53" t="n"/>
      <c r="B281" s="54" t="n"/>
      <c r="C281" s="55" t="n"/>
      <c r="D281" s="55" t="n"/>
      <c r="E281" s="55" t="n"/>
      <c r="F281" s="55" t="n"/>
      <c r="G281" s="56" t="n"/>
      <c r="H281" s="57" t="n"/>
      <c r="I281" s="55" t="n"/>
      <c r="J281" s="53" t="n"/>
      <c r="K281" s="54" t="n"/>
      <c r="L281" s="55" t="n"/>
      <c r="M281" s="55" t="n"/>
      <c r="N281" s="57" t="n"/>
      <c r="O281" s="55" t="n"/>
      <c r="P281" s="56" t="n"/>
      <c r="Q281" s="55" t="n"/>
      <c r="R281" s="55" t="n"/>
      <c r="S281" s="55" t="n"/>
      <c r="T281" s="55" t="n"/>
      <c r="U281" s="55" t="n"/>
      <c r="V281" s="55" t="n"/>
      <c r="W281" s="58" t="n"/>
      <c r="X281" s="58" t="n"/>
      <c r="Y281" s="55" t="n"/>
      <c r="Z281" s="55" t="n"/>
      <c r="AA281" s="55" t="n"/>
      <c r="AB281" s="55" t="n"/>
      <c r="AC281" s="55" t="n"/>
      <c r="AD281" s="53" t="n"/>
      <c r="AE281" s="55" t="n"/>
      <c r="AF281" s="55" t="n"/>
      <c r="AG281" s="59" t="n"/>
      <c r="AH281" s="57" t="n"/>
      <c r="AI281" s="55" t="n"/>
      <c r="AJ281" s="55" t="n"/>
      <c r="AK281" s="55" t="n"/>
      <c r="AL281" s="55" t="n"/>
      <c r="AM281" s="56" t="n"/>
      <c r="AN281" s="55" t="n"/>
      <c r="AO281" s="55" t="n"/>
      <c r="AP281" s="55" t="n"/>
      <c r="AQ281" s="55" t="n"/>
      <c r="AR281" s="60">
        <f>IF(AND(C281="",E281=""),"",IF(A281="","⚠ Date manquante",IF(AND(C281="",E281&lt;&gt;"Dépense"),"⚠ Prospect manquant",IF(E281="","⚠ Action manquante",IF(AND(AU281=1,D281=""),"⚠ Canal manquant",IF(AND(W281&lt;&gt;"",COUNTIFS('Saisie'!$W$5:$W$2004,W281,'Saisie'!$C$5:$C$2004,"&lt;&gt;"&amp;C281)&gt;0),"⚠ Numéro déjà utilisé par un autre prospect",IF(AND(J281&lt;&gt;"",J281&lt;A281),"⚠ Relance avant la date de l'action",IF(A281&gt;TODAY(),"⚠ Date dans le futur","✓"))))))))</f>
        <v/>
      </c>
      <c r="AS281" s="61">
        <f>IF(AND(A281="",C281="",E281=""),"",ROW())</f>
        <v/>
      </c>
      <c r="AT281" s="61">
        <f>IF(E281&amp;F281="","",MAX(IFERROR(INDEX('Paramètres'!$J$6:$J$33,MATCH(E281,'Paramètres'!$I$6:$I$33,0)),0),IFERROR(INDEX('Paramètres'!$N$6:$N$17,MATCH(F281,'Paramètres'!$M$6:$M$17,0)),0)))</f>
        <v/>
      </c>
      <c r="AU281" s="61">
        <f>IF(E281="","",IFERROR(IF(INDEX('Paramètres'!$K$6:$K$33,MATCH(E281,'Paramètres'!$I$6:$I$33,0))="Oui",1,0),0))</f>
        <v/>
      </c>
      <c r="AV281" s="61">
        <f>IF(F281="","",IFERROR(IF(INDEX('Paramètres'!$O$6:$O$17,MATCH(F281,'Paramètres'!$M$6:$M$17,0))="Oui",1,0),0))</f>
        <v/>
      </c>
      <c r="AW281" s="62">
        <f>IF(E281="","",IF(G281&lt;&gt;"",G281,IF(OR(E281="Proposition envoyée",E281="Signature"),MAX(0,N(IFERROR(INDEX('Paramètres'!$R$6:$R$15,MATCH(IF(AL281&lt;&gt;"",AL281,IFERROR(INDEX('Prospects'!$AN$5:$AN$504,MATCH(C281,'Prospects'!$C$5:$C$504,0)),"")),'Paramètres'!$Q$6:$Q$15,0)),0))-N(P281)),0)))</f>
        <v/>
      </c>
      <c r="AX281" s="61">
        <f>IF(C281="","",IF(COUNTIF($C$5:C281,C281)=1,MAX($AX$4:AX280)+1,""))</f>
        <v/>
      </c>
      <c r="AY281" s="61">
        <f>IF(B281="","",HOUR(B281))</f>
        <v/>
      </c>
      <c r="AZ281" s="61">
        <f>IF(A281="","",MOD(A281-2,7)+1)</f>
        <v/>
      </c>
      <c r="BA281" s="60">
        <f>IF(C281="","",IFERROR(INDEX('Prospects'!$N$5:$N$504,MATCH(C281,'Prospects'!$C$5:$C$504,0)),""))</f>
        <v/>
      </c>
      <c r="BB281" s="61">
        <f>IF(AND(C281&lt;&gt;"",C281='Fiche prospect'!$C$4),COUNTIF($C$5:C281,C281),"")</f>
        <v/>
      </c>
    </row>
    <row r="282">
      <c r="A282" s="53" t="n"/>
      <c r="B282" s="54" t="n"/>
      <c r="C282" s="55" t="n"/>
      <c r="D282" s="55" t="n"/>
      <c r="E282" s="55" t="n"/>
      <c r="F282" s="55" t="n"/>
      <c r="G282" s="56" t="n"/>
      <c r="H282" s="57" t="n"/>
      <c r="I282" s="55" t="n"/>
      <c r="J282" s="53" t="n"/>
      <c r="K282" s="54" t="n"/>
      <c r="L282" s="55" t="n"/>
      <c r="M282" s="55" t="n"/>
      <c r="N282" s="57" t="n"/>
      <c r="O282" s="55" t="n"/>
      <c r="P282" s="56" t="n"/>
      <c r="Q282" s="55" t="n"/>
      <c r="R282" s="55" t="n"/>
      <c r="S282" s="55" t="n"/>
      <c r="T282" s="55" t="n"/>
      <c r="U282" s="55" t="n"/>
      <c r="V282" s="55" t="n"/>
      <c r="W282" s="58" t="n"/>
      <c r="X282" s="58" t="n"/>
      <c r="Y282" s="55" t="n"/>
      <c r="Z282" s="55" t="n"/>
      <c r="AA282" s="55" t="n"/>
      <c r="AB282" s="55" t="n"/>
      <c r="AC282" s="55" t="n"/>
      <c r="AD282" s="53" t="n"/>
      <c r="AE282" s="55" t="n"/>
      <c r="AF282" s="55" t="n"/>
      <c r="AG282" s="59" t="n"/>
      <c r="AH282" s="57" t="n"/>
      <c r="AI282" s="55" t="n"/>
      <c r="AJ282" s="55" t="n"/>
      <c r="AK282" s="55" t="n"/>
      <c r="AL282" s="55" t="n"/>
      <c r="AM282" s="56" t="n"/>
      <c r="AN282" s="55" t="n"/>
      <c r="AO282" s="55" t="n"/>
      <c r="AP282" s="55" t="n"/>
      <c r="AQ282" s="55" t="n"/>
      <c r="AR282" s="60">
        <f>IF(AND(C282="",E282=""),"",IF(A282="","⚠ Date manquante",IF(AND(C282="",E282&lt;&gt;"Dépense"),"⚠ Prospect manquant",IF(E282="","⚠ Action manquante",IF(AND(AU282=1,D282=""),"⚠ Canal manquant",IF(AND(W282&lt;&gt;"",COUNTIFS('Saisie'!$W$5:$W$2004,W282,'Saisie'!$C$5:$C$2004,"&lt;&gt;"&amp;C282)&gt;0),"⚠ Numéro déjà utilisé par un autre prospect",IF(AND(J282&lt;&gt;"",J282&lt;A282),"⚠ Relance avant la date de l'action",IF(A282&gt;TODAY(),"⚠ Date dans le futur","✓"))))))))</f>
        <v/>
      </c>
      <c r="AS282" s="61">
        <f>IF(AND(A282="",C282="",E282=""),"",ROW())</f>
        <v/>
      </c>
      <c r="AT282" s="61">
        <f>IF(E282&amp;F282="","",MAX(IFERROR(INDEX('Paramètres'!$J$6:$J$33,MATCH(E282,'Paramètres'!$I$6:$I$33,0)),0),IFERROR(INDEX('Paramètres'!$N$6:$N$17,MATCH(F282,'Paramètres'!$M$6:$M$17,0)),0)))</f>
        <v/>
      </c>
      <c r="AU282" s="61">
        <f>IF(E282="","",IFERROR(IF(INDEX('Paramètres'!$K$6:$K$33,MATCH(E282,'Paramètres'!$I$6:$I$33,0))="Oui",1,0),0))</f>
        <v/>
      </c>
      <c r="AV282" s="61">
        <f>IF(F282="","",IFERROR(IF(INDEX('Paramètres'!$O$6:$O$17,MATCH(F282,'Paramètres'!$M$6:$M$17,0))="Oui",1,0),0))</f>
        <v/>
      </c>
      <c r="AW282" s="62">
        <f>IF(E282="","",IF(G282&lt;&gt;"",G282,IF(OR(E282="Proposition envoyée",E282="Signature"),MAX(0,N(IFERROR(INDEX('Paramètres'!$R$6:$R$15,MATCH(IF(AL282&lt;&gt;"",AL282,IFERROR(INDEX('Prospects'!$AN$5:$AN$504,MATCH(C282,'Prospects'!$C$5:$C$504,0)),"")),'Paramètres'!$Q$6:$Q$15,0)),0))-N(P282)),0)))</f>
        <v/>
      </c>
      <c r="AX282" s="61">
        <f>IF(C282="","",IF(COUNTIF($C$5:C282,C282)=1,MAX($AX$4:AX281)+1,""))</f>
        <v/>
      </c>
      <c r="AY282" s="61">
        <f>IF(B282="","",HOUR(B282))</f>
        <v/>
      </c>
      <c r="AZ282" s="61">
        <f>IF(A282="","",MOD(A282-2,7)+1)</f>
        <v/>
      </c>
      <c r="BA282" s="60">
        <f>IF(C282="","",IFERROR(INDEX('Prospects'!$N$5:$N$504,MATCH(C282,'Prospects'!$C$5:$C$504,0)),""))</f>
        <v/>
      </c>
      <c r="BB282" s="61">
        <f>IF(AND(C282&lt;&gt;"",C282='Fiche prospect'!$C$4),COUNTIF($C$5:C282,C282),"")</f>
        <v/>
      </c>
    </row>
    <row r="283">
      <c r="A283" s="53" t="n"/>
      <c r="B283" s="54" t="n"/>
      <c r="C283" s="55" t="n"/>
      <c r="D283" s="55" t="n"/>
      <c r="E283" s="55" t="n"/>
      <c r="F283" s="55" t="n"/>
      <c r="G283" s="56" t="n"/>
      <c r="H283" s="57" t="n"/>
      <c r="I283" s="55" t="n"/>
      <c r="J283" s="53" t="n"/>
      <c r="K283" s="54" t="n"/>
      <c r="L283" s="55" t="n"/>
      <c r="M283" s="55" t="n"/>
      <c r="N283" s="57" t="n"/>
      <c r="O283" s="55" t="n"/>
      <c r="P283" s="56" t="n"/>
      <c r="Q283" s="55" t="n"/>
      <c r="R283" s="55" t="n"/>
      <c r="S283" s="55" t="n"/>
      <c r="T283" s="55" t="n"/>
      <c r="U283" s="55" t="n"/>
      <c r="V283" s="55" t="n"/>
      <c r="W283" s="58" t="n"/>
      <c r="X283" s="58" t="n"/>
      <c r="Y283" s="55" t="n"/>
      <c r="Z283" s="55" t="n"/>
      <c r="AA283" s="55" t="n"/>
      <c r="AB283" s="55" t="n"/>
      <c r="AC283" s="55" t="n"/>
      <c r="AD283" s="53" t="n"/>
      <c r="AE283" s="55" t="n"/>
      <c r="AF283" s="55" t="n"/>
      <c r="AG283" s="59" t="n"/>
      <c r="AH283" s="57" t="n"/>
      <c r="AI283" s="55" t="n"/>
      <c r="AJ283" s="55" t="n"/>
      <c r="AK283" s="55" t="n"/>
      <c r="AL283" s="55" t="n"/>
      <c r="AM283" s="56" t="n"/>
      <c r="AN283" s="55" t="n"/>
      <c r="AO283" s="55" t="n"/>
      <c r="AP283" s="55" t="n"/>
      <c r="AQ283" s="55" t="n"/>
      <c r="AR283" s="60">
        <f>IF(AND(C283="",E283=""),"",IF(A283="","⚠ Date manquante",IF(AND(C283="",E283&lt;&gt;"Dépense"),"⚠ Prospect manquant",IF(E283="","⚠ Action manquante",IF(AND(AU283=1,D283=""),"⚠ Canal manquant",IF(AND(W283&lt;&gt;"",COUNTIFS('Saisie'!$W$5:$W$2004,W283,'Saisie'!$C$5:$C$2004,"&lt;&gt;"&amp;C283)&gt;0),"⚠ Numéro déjà utilisé par un autre prospect",IF(AND(J283&lt;&gt;"",J283&lt;A283),"⚠ Relance avant la date de l'action",IF(A283&gt;TODAY(),"⚠ Date dans le futur","✓"))))))))</f>
        <v/>
      </c>
      <c r="AS283" s="61">
        <f>IF(AND(A283="",C283="",E283=""),"",ROW())</f>
        <v/>
      </c>
      <c r="AT283" s="61">
        <f>IF(E283&amp;F283="","",MAX(IFERROR(INDEX('Paramètres'!$J$6:$J$33,MATCH(E283,'Paramètres'!$I$6:$I$33,0)),0),IFERROR(INDEX('Paramètres'!$N$6:$N$17,MATCH(F283,'Paramètres'!$M$6:$M$17,0)),0)))</f>
        <v/>
      </c>
      <c r="AU283" s="61">
        <f>IF(E283="","",IFERROR(IF(INDEX('Paramètres'!$K$6:$K$33,MATCH(E283,'Paramètres'!$I$6:$I$33,0))="Oui",1,0),0))</f>
        <v/>
      </c>
      <c r="AV283" s="61">
        <f>IF(F283="","",IFERROR(IF(INDEX('Paramètres'!$O$6:$O$17,MATCH(F283,'Paramètres'!$M$6:$M$17,0))="Oui",1,0),0))</f>
        <v/>
      </c>
      <c r="AW283" s="62">
        <f>IF(E283="","",IF(G283&lt;&gt;"",G283,IF(OR(E283="Proposition envoyée",E283="Signature"),MAX(0,N(IFERROR(INDEX('Paramètres'!$R$6:$R$15,MATCH(IF(AL283&lt;&gt;"",AL283,IFERROR(INDEX('Prospects'!$AN$5:$AN$504,MATCH(C283,'Prospects'!$C$5:$C$504,0)),"")),'Paramètres'!$Q$6:$Q$15,0)),0))-N(P283)),0)))</f>
        <v/>
      </c>
      <c r="AX283" s="61">
        <f>IF(C283="","",IF(COUNTIF($C$5:C283,C283)=1,MAX($AX$4:AX282)+1,""))</f>
        <v/>
      </c>
      <c r="AY283" s="61">
        <f>IF(B283="","",HOUR(B283))</f>
        <v/>
      </c>
      <c r="AZ283" s="61">
        <f>IF(A283="","",MOD(A283-2,7)+1)</f>
        <v/>
      </c>
      <c r="BA283" s="60">
        <f>IF(C283="","",IFERROR(INDEX('Prospects'!$N$5:$N$504,MATCH(C283,'Prospects'!$C$5:$C$504,0)),""))</f>
        <v/>
      </c>
      <c r="BB283" s="61">
        <f>IF(AND(C283&lt;&gt;"",C283='Fiche prospect'!$C$4),COUNTIF($C$5:C283,C283),"")</f>
        <v/>
      </c>
    </row>
    <row r="284">
      <c r="A284" s="53" t="n"/>
      <c r="B284" s="54" t="n"/>
      <c r="C284" s="55" t="n"/>
      <c r="D284" s="55" t="n"/>
      <c r="E284" s="55" t="n"/>
      <c r="F284" s="55" t="n"/>
      <c r="G284" s="56" t="n"/>
      <c r="H284" s="57" t="n"/>
      <c r="I284" s="55" t="n"/>
      <c r="J284" s="53" t="n"/>
      <c r="K284" s="54" t="n"/>
      <c r="L284" s="55" t="n"/>
      <c r="M284" s="55" t="n"/>
      <c r="N284" s="57" t="n"/>
      <c r="O284" s="55" t="n"/>
      <c r="P284" s="56" t="n"/>
      <c r="Q284" s="55" t="n"/>
      <c r="R284" s="55" t="n"/>
      <c r="S284" s="55" t="n"/>
      <c r="T284" s="55" t="n"/>
      <c r="U284" s="55" t="n"/>
      <c r="V284" s="55" t="n"/>
      <c r="W284" s="58" t="n"/>
      <c r="X284" s="58" t="n"/>
      <c r="Y284" s="55" t="n"/>
      <c r="Z284" s="55" t="n"/>
      <c r="AA284" s="55" t="n"/>
      <c r="AB284" s="55" t="n"/>
      <c r="AC284" s="55" t="n"/>
      <c r="AD284" s="53" t="n"/>
      <c r="AE284" s="55" t="n"/>
      <c r="AF284" s="55" t="n"/>
      <c r="AG284" s="59" t="n"/>
      <c r="AH284" s="57" t="n"/>
      <c r="AI284" s="55" t="n"/>
      <c r="AJ284" s="55" t="n"/>
      <c r="AK284" s="55" t="n"/>
      <c r="AL284" s="55" t="n"/>
      <c r="AM284" s="56" t="n"/>
      <c r="AN284" s="55" t="n"/>
      <c r="AO284" s="55" t="n"/>
      <c r="AP284" s="55" t="n"/>
      <c r="AQ284" s="55" t="n"/>
      <c r="AR284" s="60">
        <f>IF(AND(C284="",E284=""),"",IF(A284="","⚠ Date manquante",IF(AND(C284="",E284&lt;&gt;"Dépense"),"⚠ Prospect manquant",IF(E284="","⚠ Action manquante",IF(AND(AU284=1,D284=""),"⚠ Canal manquant",IF(AND(W284&lt;&gt;"",COUNTIFS('Saisie'!$W$5:$W$2004,W284,'Saisie'!$C$5:$C$2004,"&lt;&gt;"&amp;C284)&gt;0),"⚠ Numéro déjà utilisé par un autre prospect",IF(AND(J284&lt;&gt;"",J284&lt;A284),"⚠ Relance avant la date de l'action",IF(A284&gt;TODAY(),"⚠ Date dans le futur","✓"))))))))</f>
        <v/>
      </c>
      <c r="AS284" s="61">
        <f>IF(AND(A284="",C284="",E284=""),"",ROW())</f>
        <v/>
      </c>
      <c r="AT284" s="61">
        <f>IF(E284&amp;F284="","",MAX(IFERROR(INDEX('Paramètres'!$J$6:$J$33,MATCH(E284,'Paramètres'!$I$6:$I$33,0)),0),IFERROR(INDEX('Paramètres'!$N$6:$N$17,MATCH(F284,'Paramètres'!$M$6:$M$17,0)),0)))</f>
        <v/>
      </c>
      <c r="AU284" s="61">
        <f>IF(E284="","",IFERROR(IF(INDEX('Paramètres'!$K$6:$K$33,MATCH(E284,'Paramètres'!$I$6:$I$33,0))="Oui",1,0),0))</f>
        <v/>
      </c>
      <c r="AV284" s="61">
        <f>IF(F284="","",IFERROR(IF(INDEX('Paramètres'!$O$6:$O$17,MATCH(F284,'Paramètres'!$M$6:$M$17,0))="Oui",1,0),0))</f>
        <v/>
      </c>
      <c r="AW284" s="62">
        <f>IF(E284="","",IF(G284&lt;&gt;"",G284,IF(OR(E284="Proposition envoyée",E284="Signature"),MAX(0,N(IFERROR(INDEX('Paramètres'!$R$6:$R$15,MATCH(IF(AL284&lt;&gt;"",AL284,IFERROR(INDEX('Prospects'!$AN$5:$AN$504,MATCH(C284,'Prospects'!$C$5:$C$504,0)),"")),'Paramètres'!$Q$6:$Q$15,0)),0))-N(P284)),0)))</f>
        <v/>
      </c>
      <c r="AX284" s="61">
        <f>IF(C284="","",IF(COUNTIF($C$5:C284,C284)=1,MAX($AX$4:AX283)+1,""))</f>
        <v/>
      </c>
      <c r="AY284" s="61">
        <f>IF(B284="","",HOUR(B284))</f>
        <v/>
      </c>
      <c r="AZ284" s="61">
        <f>IF(A284="","",MOD(A284-2,7)+1)</f>
        <v/>
      </c>
      <c r="BA284" s="60">
        <f>IF(C284="","",IFERROR(INDEX('Prospects'!$N$5:$N$504,MATCH(C284,'Prospects'!$C$5:$C$504,0)),""))</f>
        <v/>
      </c>
      <c r="BB284" s="61">
        <f>IF(AND(C284&lt;&gt;"",C284='Fiche prospect'!$C$4),COUNTIF($C$5:C284,C284),"")</f>
        <v/>
      </c>
    </row>
    <row r="285">
      <c r="A285" s="53" t="n"/>
      <c r="B285" s="54" t="n"/>
      <c r="C285" s="55" t="n"/>
      <c r="D285" s="55" t="n"/>
      <c r="E285" s="55" t="n"/>
      <c r="F285" s="55" t="n"/>
      <c r="G285" s="56" t="n"/>
      <c r="H285" s="57" t="n"/>
      <c r="I285" s="55" t="n"/>
      <c r="J285" s="53" t="n"/>
      <c r="K285" s="54" t="n"/>
      <c r="L285" s="55" t="n"/>
      <c r="M285" s="55" t="n"/>
      <c r="N285" s="57" t="n"/>
      <c r="O285" s="55" t="n"/>
      <c r="P285" s="56" t="n"/>
      <c r="Q285" s="55" t="n"/>
      <c r="R285" s="55" t="n"/>
      <c r="S285" s="55" t="n"/>
      <c r="T285" s="55" t="n"/>
      <c r="U285" s="55" t="n"/>
      <c r="V285" s="55" t="n"/>
      <c r="W285" s="58" t="n"/>
      <c r="X285" s="58" t="n"/>
      <c r="Y285" s="55" t="n"/>
      <c r="Z285" s="55" t="n"/>
      <c r="AA285" s="55" t="n"/>
      <c r="AB285" s="55" t="n"/>
      <c r="AC285" s="55" t="n"/>
      <c r="AD285" s="53" t="n"/>
      <c r="AE285" s="55" t="n"/>
      <c r="AF285" s="55" t="n"/>
      <c r="AG285" s="59" t="n"/>
      <c r="AH285" s="57" t="n"/>
      <c r="AI285" s="55" t="n"/>
      <c r="AJ285" s="55" t="n"/>
      <c r="AK285" s="55" t="n"/>
      <c r="AL285" s="55" t="n"/>
      <c r="AM285" s="56" t="n"/>
      <c r="AN285" s="55" t="n"/>
      <c r="AO285" s="55" t="n"/>
      <c r="AP285" s="55" t="n"/>
      <c r="AQ285" s="55" t="n"/>
      <c r="AR285" s="60">
        <f>IF(AND(C285="",E285=""),"",IF(A285="","⚠ Date manquante",IF(AND(C285="",E285&lt;&gt;"Dépense"),"⚠ Prospect manquant",IF(E285="","⚠ Action manquante",IF(AND(AU285=1,D285=""),"⚠ Canal manquant",IF(AND(W285&lt;&gt;"",COUNTIFS('Saisie'!$W$5:$W$2004,W285,'Saisie'!$C$5:$C$2004,"&lt;&gt;"&amp;C285)&gt;0),"⚠ Numéro déjà utilisé par un autre prospect",IF(AND(J285&lt;&gt;"",J285&lt;A285),"⚠ Relance avant la date de l'action",IF(A285&gt;TODAY(),"⚠ Date dans le futur","✓"))))))))</f>
        <v/>
      </c>
      <c r="AS285" s="61">
        <f>IF(AND(A285="",C285="",E285=""),"",ROW())</f>
        <v/>
      </c>
      <c r="AT285" s="61">
        <f>IF(E285&amp;F285="","",MAX(IFERROR(INDEX('Paramètres'!$J$6:$J$33,MATCH(E285,'Paramètres'!$I$6:$I$33,0)),0),IFERROR(INDEX('Paramètres'!$N$6:$N$17,MATCH(F285,'Paramètres'!$M$6:$M$17,0)),0)))</f>
        <v/>
      </c>
      <c r="AU285" s="61">
        <f>IF(E285="","",IFERROR(IF(INDEX('Paramètres'!$K$6:$K$33,MATCH(E285,'Paramètres'!$I$6:$I$33,0))="Oui",1,0),0))</f>
        <v/>
      </c>
      <c r="AV285" s="61">
        <f>IF(F285="","",IFERROR(IF(INDEX('Paramètres'!$O$6:$O$17,MATCH(F285,'Paramètres'!$M$6:$M$17,0))="Oui",1,0),0))</f>
        <v/>
      </c>
      <c r="AW285" s="62">
        <f>IF(E285="","",IF(G285&lt;&gt;"",G285,IF(OR(E285="Proposition envoyée",E285="Signature"),MAX(0,N(IFERROR(INDEX('Paramètres'!$R$6:$R$15,MATCH(IF(AL285&lt;&gt;"",AL285,IFERROR(INDEX('Prospects'!$AN$5:$AN$504,MATCH(C285,'Prospects'!$C$5:$C$504,0)),"")),'Paramètres'!$Q$6:$Q$15,0)),0))-N(P285)),0)))</f>
        <v/>
      </c>
      <c r="AX285" s="61">
        <f>IF(C285="","",IF(COUNTIF($C$5:C285,C285)=1,MAX($AX$4:AX284)+1,""))</f>
        <v/>
      </c>
      <c r="AY285" s="61">
        <f>IF(B285="","",HOUR(B285))</f>
        <v/>
      </c>
      <c r="AZ285" s="61">
        <f>IF(A285="","",MOD(A285-2,7)+1)</f>
        <v/>
      </c>
      <c r="BA285" s="60">
        <f>IF(C285="","",IFERROR(INDEX('Prospects'!$N$5:$N$504,MATCH(C285,'Prospects'!$C$5:$C$504,0)),""))</f>
        <v/>
      </c>
      <c r="BB285" s="61">
        <f>IF(AND(C285&lt;&gt;"",C285='Fiche prospect'!$C$4),COUNTIF($C$5:C285,C285),"")</f>
        <v/>
      </c>
    </row>
    <row r="286">
      <c r="A286" s="53" t="n"/>
      <c r="B286" s="54" t="n"/>
      <c r="C286" s="55" t="n"/>
      <c r="D286" s="55" t="n"/>
      <c r="E286" s="55" t="n"/>
      <c r="F286" s="55" t="n"/>
      <c r="G286" s="56" t="n"/>
      <c r="H286" s="57" t="n"/>
      <c r="I286" s="55" t="n"/>
      <c r="J286" s="53" t="n"/>
      <c r="K286" s="54" t="n"/>
      <c r="L286" s="55" t="n"/>
      <c r="M286" s="55" t="n"/>
      <c r="N286" s="57" t="n"/>
      <c r="O286" s="55" t="n"/>
      <c r="P286" s="56" t="n"/>
      <c r="Q286" s="55" t="n"/>
      <c r="R286" s="55" t="n"/>
      <c r="S286" s="55" t="n"/>
      <c r="T286" s="55" t="n"/>
      <c r="U286" s="55" t="n"/>
      <c r="V286" s="55" t="n"/>
      <c r="W286" s="58" t="n"/>
      <c r="X286" s="58" t="n"/>
      <c r="Y286" s="55" t="n"/>
      <c r="Z286" s="55" t="n"/>
      <c r="AA286" s="55" t="n"/>
      <c r="AB286" s="55" t="n"/>
      <c r="AC286" s="55" t="n"/>
      <c r="AD286" s="53" t="n"/>
      <c r="AE286" s="55" t="n"/>
      <c r="AF286" s="55" t="n"/>
      <c r="AG286" s="59" t="n"/>
      <c r="AH286" s="57" t="n"/>
      <c r="AI286" s="55" t="n"/>
      <c r="AJ286" s="55" t="n"/>
      <c r="AK286" s="55" t="n"/>
      <c r="AL286" s="55" t="n"/>
      <c r="AM286" s="56" t="n"/>
      <c r="AN286" s="55" t="n"/>
      <c r="AO286" s="55" t="n"/>
      <c r="AP286" s="55" t="n"/>
      <c r="AQ286" s="55" t="n"/>
      <c r="AR286" s="60">
        <f>IF(AND(C286="",E286=""),"",IF(A286="","⚠ Date manquante",IF(AND(C286="",E286&lt;&gt;"Dépense"),"⚠ Prospect manquant",IF(E286="","⚠ Action manquante",IF(AND(AU286=1,D286=""),"⚠ Canal manquant",IF(AND(W286&lt;&gt;"",COUNTIFS('Saisie'!$W$5:$W$2004,W286,'Saisie'!$C$5:$C$2004,"&lt;&gt;"&amp;C286)&gt;0),"⚠ Numéro déjà utilisé par un autre prospect",IF(AND(J286&lt;&gt;"",J286&lt;A286),"⚠ Relance avant la date de l'action",IF(A286&gt;TODAY(),"⚠ Date dans le futur","✓"))))))))</f>
        <v/>
      </c>
      <c r="AS286" s="61">
        <f>IF(AND(A286="",C286="",E286=""),"",ROW())</f>
        <v/>
      </c>
      <c r="AT286" s="61">
        <f>IF(E286&amp;F286="","",MAX(IFERROR(INDEX('Paramètres'!$J$6:$J$33,MATCH(E286,'Paramètres'!$I$6:$I$33,0)),0),IFERROR(INDEX('Paramètres'!$N$6:$N$17,MATCH(F286,'Paramètres'!$M$6:$M$17,0)),0)))</f>
        <v/>
      </c>
      <c r="AU286" s="61">
        <f>IF(E286="","",IFERROR(IF(INDEX('Paramètres'!$K$6:$K$33,MATCH(E286,'Paramètres'!$I$6:$I$33,0))="Oui",1,0),0))</f>
        <v/>
      </c>
      <c r="AV286" s="61">
        <f>IF(F286="","",IFERROR(IF(INDEX('Paramètres'!$O$6:$O$17,MATCH(F286,'Paramètres'!$M$6:$M$17,0))="Oui",1,0),0))</f>
        <v/>
      </c>
      <c r="AW286" s="62">
        <f>IF(E286="","",IF(G286&lt;&gt;"",G286,IF(OR(E286="Proposition envoyée",E286="Signature"),MAX(0,N(IFERROR(INDEX('Paramètres'!$R$6:$R$15,MATCH(IF(AL286&lt;&gt;"",AL286,IFERROR(INDEX('Prospects'!$AN$5:$AN$504,MATCH(C286,'Prospects'!$C$5:$C$504,0)),"")),'Paramètres'!$Q$6:$Q$15,0)),0))-N(P286)),0)))</f>
        <v/>
      </c>
      <c r="AX286" s="61">
        <f>IF(C286="","",IF(COUNTIF($C$5:C286,C286)=1,MAX($AX$4:AX285)+1,""))</f>
        <v/>
      </c>
      <c r="AY286" s="61">
        <f>IF(B286="","",HOUR(B286))</f>
        <v/>
      </c>
      <c r="AZ286" s="61">
        <f>IF(A286="","",MOD(A286-2,7)+1)</f>
        <v/>
      </c>
      <c r="BA286" s="60">
        <f>IF(C286="","",IFERROR(INDEX('Prospects'!$N$5:$N$504,MATCH(C286,'Prospects'!$C$5:$C$504,0)),""))</f>
        <v/>
      </c>
      <c r="BB286" s="61">
        <f>IF(AND(C286&lt;&gt;"",C286='Fiche prospect'!$C$4),COUNTIF($C$5:C286,C286),"")</f>
        <v/>
      </c>
    </row>
    <row r="287">
      <c r="A287" s="53" t="n"/>
      <c r="B287" s="54" t="n"/>
      <c r="C287" s="55" t="n"/>
      <c r="D287" s="55" t="n"/>
      <c r="E287" s="55" t="n"/>
      <c r="F287" s="55" t="n"/>
      <c r="G287" s="56" t="n"/>
      <c r="H287" s="57" t="n"/>
      <c r="I287" s="55" t="n"/>
      <c r="J287" s="53" t="n"/>
      <c r="K287" s="54" t="n"/>
      <c r="L287" s="55" t="n"/>
      <c r="M287" s="55" t="n"/>
      <c r="N287" s="57" t="n"/>
      <c r="O287" s="55" t="n"/>
      <c r="P287" s="56" t="n"/>
      <c r="Q287" s="55" t="n"/>
      <c r="R287" s="55" t="n"/>
      <c r="S287" s="55" t="n"/>
      <c r="T287" s="55" t="n"/>
      <c r="U287" s="55" t="n"/>
      <c r="V287" s="55" t="n"/>
      <c r="W287" s="58" t="n"/>
      <c r="X287" s="58" t="n"/>
      <c r="Y287" s="55" t="n"/>
      <c r="Z287" s="55" t="n"/>
      <c r="AA287" s="55" t="n"/>
      <c r="AB287" s="55" t="n"/>
      <c r="AC287" s="55" t="n"/>
      <c r="AD287" s="53" t="n"/>
      <c r="AE287" s="55" t="n"/>
      <c r="AF287" s="55" t="n"/>
      <c r="AG287" s="59" t="n"/>
      <c r="AH287" s="57" t="n"/>
      <c r="AI287" s="55" t="n"/>
      <c r="AJ287" s="55" t="n"/>
      <c r="AK287" s="55" t="n"/>
      <c r="AL287" s="55" t="n"/>
      <c r="AM287" s="56" t="n"/>
      <c r="AN287" s="55" t="n"/>
      <c r="AO287" s="55" t="n"/>
      <c r="AP287" s="55" t="n"/>
      <c r="AQ287" s="55" t="n"/>
      <c r="AR287" s="60">
        <f>IF(AND(C287="",E287=""),"",IF(A287="","⚠ Date manquante",IF(AND(C287="",E287&lt;&gt;"Dépense"),"⚠ Prospect manquant",IF(E287="","⚠ Action manquante",IF(AND(AU287=1,D287=""),"⚠ Canal manquant",IF(AND(W287&lt;&gt;"",COUNTIFS('Saisie'!$W$5:$W$2004,W287,'Saisie'!$C$5:$C$2004,"&lt;&gt;"&amp;C287)&gt;0),"⚠ Numéro déjà utilisé par un autre prospect",IF(AND(J287&lt;&gt;"",J287&lt;A287),"⚠ Relance avant la date de l'action",IF(A287&gt;TODAY(),"⚠ Date dans le futur","✓"))))))))</f>
        <v/>
      </c>
      <c r="AS287" s="61">
        <f>IF(AND(A287="",C287="",E287=""),"",ROW())</f>
        <v/>
      </c>
      <c r="AT287" s="61">
        <f>IF(E287&amp;F287="","",MAX(IFERROR(INDEX('Paramètres'!$J$6:$J$33,MATCH(E287,'Paramètres'!$I$6:$I$33,0)),0),IFERROR(INDEX('Paramètres'!$N$6:$N$17,MATCH(F287,'Paramètres'!$M$6:$M$17,0)),0)))</f>
        <v/>
      </c>
      <c r="AU287" s="61">
        <f>IF(E287="","",IFERROR(IF(INDEX('Paramètres'!$K$6:$K$33,MATCH(E287,'Paramètres'!$I$6:$I$33,0))="Oui",1,0),0))</f>
        <v/>
      </c>
      <c r="AV287" s="61">
        <f>IF(F287="","",IFERROR(IF(INDEX('Paramètres'!$O$6:$O$17,MATCH(F287,'Paramètres'!$M$6:$M$17,0))="Oui",1,0),0))</f>
        <v/>
      </c>
      <c r="AW287" s="62">
        <f>IF(E287="","",IF(G287&lt;&gt;"",G287,IF(OR(E287="Proposition envoyée",E287="Signature"),MAX(0,N(IFERROR(INDEX('Paramètres'!$R$6:$R$15,MATCH(IF(AL287&lt;&gt;"",AL287,IFERROR(INDEX('Prospects'!$AN$5:$AN$504,MATCH(C287,'Prospects'!$C$5:$C$504,0)),"")),'Paramètres'!$Q$6:$Q$15,0)),0))-N(P287)),0)))</f>
        <v/>
      </c>
      <c r="AX287" s="61">
        <f>IF(C287="","",IF(COUNTIF($C$5:C287,C287)=1,MAX($AX$4:AX286)+1,""))</f>
        <v/>
      </c>
      <c r="AY287" s="61">
        <f>IF(B287="","",HOUR(B287))</f>
        <v/>
      </c>
      <c r="AZ287" s="61">
        <f>IF(A287="","",MOD(A287-2,7)+1)</f>
        <v/>
      </c>
      <c r="BA287" s="60">
        <f>IF(C287="","",IFERROR(INDEX('Prospects'!$N$5:$N$504,MATCH(C287,'Prospects'!$C$5:$C$504,0)),""))</f>
        <v/>
      </c>
      <c r="BB287" s="61">
        <f>IF(AND(C287&lt;&gt;"",C287='Fiche prospect'!$C$4),COUNTIF($C$5:C287,C287),"")</f>
        <v/>
      </c>
    </row>
    <row r="288">
      <c r="A288" s="53" t="n"/>
      <c r="B288" s="54" t="n"/>
      <c r="C288" s="55" t="n"/>
      <c r="D288" s="55" t="n"/>
      <c r="E288" s="55" t="n"/>
      <c r="F288" s="55" t="n"/>
      <c r="G288" s="56" t="n"/>
      <c r="H288" s="57" t="n"/>
      <c r="I288" s="55" t="n"/>
      <c r="J288" s="53" t="n"/>
      <c r="K288" s="54" t="n"/>
      <c r="L288" s="55" t="n"/>
      <c r="M288" s="55" t="n"/>
      <c r="N288" s="57" t="n"/>
      <c r="O288" s="55" t="n"/>
      <c r="P288" s="56" t="n"/>
      <c r="Q288" s="55" t="n"/>
      <c r="R288" s="55" t="n"/>
      <c r="S288" s="55" t="n"/>
      <c r="T288" s="55" t="n"/>
      <c r="U288" s="55" t="n"/>
      <c r="V288" s="55" t="n"/>
      <c r="W288" s="58" t="n"/>
      <c r="X288" s="58" t="n"/>
      <c r="Y288" s="55" t="n"/>
      <c r="Z288" s="55" t="n"/>
      <c r="AA288" s="55" t="n"/>
      <c r="AB288" s="55" t="n"/>
      <c r="AC288" s="55" t="n"/>
      <c r="AD288" s="53" t="n"/>
      <c r="AE288" s="55" t="n"/>
      <c r="AF288" s="55" t="n"/>
      <c r="AG288" s="59" t="n"/>
      <c r="AH288" s="57" t="n"/>
      <c r="AI288" s="55" t="n"/>
      <c r="AJ288" s="55" t="n"/>
      <c r="AK288" s="55" t="n"/>
      <c r="AL288" s="55" t="n"/>
      <c r="AM288" s="56" t="n"/>
      <c r="AN288" s="55" t="n"/>
      <c r="AO288" s="55" t="n"/>
      <c r="AP288" s="55" t="n"/>
      <c r="AQ288" s="55" t="n"/>
      <c r="AR288" s="60">
        <f>IF(AND(C288="",E288=""),"",IF(A288="","⚠ Date manquante",IF(AND(C288="",E288&lt;&gt;"Dépense"),"⚠ Prospect manquant",IF(E288="","⚠ Action manquante",IF(AND(AU288=1,D288=""),"⚠ Canal manquant",IF(AND(W288&lt;&gt;"",COUNTIFS('Saisie'!$W$5:$W$2004,W288,'Saisie'!$C$5:$C$2004,"&lt;&gt;"&amp;C288)&gt;0),"⚠ Numéro déjà utilisé par un autre prospect",IF(AND(J288&lt;&gt;"",J288&lt;A288),"⚠ Relance avant la date de l'action",IF(A288&gt;TODAY(),"⚠ Date dans le futur","✓"))))))))</f>
        <v/>
      </c>
      <c r="AS288" s="61">
        <f>IF(AND(A288="",C288="",E288=""),"",ROW())</f>
        <v/>
      </c>
      <c r="AT288" s="61">
        <f>IF(E288&amp;F288="","",MAX(IFERROR(INDEX('Paramètres'!$J$6:$J$33,MATCH(E288,'Paramètres'!$I$6:$I$33,0)),0),IFERROR(INDEX('Paramètres'!$N$6:$N$17,MATCH(F288,'Paramètres'!$M$6:$M$17,0)),0)))</f>
        <v/>
      </c>
      <c r="AU288" s="61">
        <f>IF(E288="","",IFERROR(IF(INDEX('Paramètres'!$K$6:$K$33,MATCH(E288,'Paramètres'!$I$6:$I$33,0))="Oui",1,0),0))</f>
        <v/>
      </c>
      <c r="AV288" s="61">
        <f>IF(F288="","",IFERROR(IF(INDEX('Paramètres'!$O$6:$O$17,MATCH(F288,'Paramètres'!$M$6:$M$17,0))="Oui",1,0),0))</f>
        <v/>
      </c>
      <c r="AW288" s="62">
        <f>IF(E288="","",IF(G288&lt;&gt;"",G288,IF(OR(E288="Proposition envoyée",E288="Signature"),MAX(0,N(IFERROR(INDEX('Paramètres'!$R$6:$R$15,MATCH(IF(AL288&lt;&gt;"",AL288,IFERROR(INDEX('Prospects'!$AN$5:$AN$504,MATCH(C288,'Prospects'!$C$5:$C$504,0)),"")),'Paramètres'!$Q$6:$Q$15,0)),0))-N(P288)),0)))</f>
        <v/>
      </c>
      <c r="AX288" s="61">
        <f>IF(C288="","",IF(COUNTIF($C$5:C288,C288)=1,MAX($AX$4:AX287)+1,""))</f>
        <v/>
      </c>
      <c r="AY288" s="61">
        <f>IF(B288="","",HOUR(B288))</f>
        <v/>
      </c>
      <c r="AZ288" s="61">
        <f>IF(A288="","",MOD(A288-2,7)+1)</f>
        <v/>
      </c>
      <c r="BA288" s="60">
        <f>IF(C288="","",IFERROR(INDEX('Prospects'!$N$5:$N$504,MATCH(C288,'Prospects'!$C$5:$C$504,0)),""))</f>
        <v/>
      </c>
      <c r="BB288" s="61">
        <f>IF(AND(C288&lt;&gt;"",C288='Fiche prospect'!$C$4),COUNTIF($C$5:C288,C288),"")</f>
        <v/>
      </c>
    </row>
    <row r="289">
      <c r="A289" s="53" t="n"/>
      <c r="B289" s="54" t="n"/>
      <c r="C289" s="55" t="n"/>
      <c r="D289" s="55" t="n"/>
      <c r="E289" s="55" t="n"/>
      <c r="F289" s="55" t="n"/>
      <c r="G289" s="56" t="n"/>
      <c r="H289" s="57" t="n"/>
      <c r="I289" s="55" t="n"/>
      <c r="J289" s="53" t="n"/>
      <c r="K289" s="54" t="n"/>
      <c r="L289" s="55" t="n"/>
      <c r="M289" s="55" t="n"/>
      <c r="N289" s="57" t="n"/>
      <c r="O289" s="55" t="n"/>
      <c r="P289" s="56" t="n"/>
      <c r="Q289" s="55" t="n"/>
      <c r="R289" s="55" t="n"/>
      <c r="S289" s="55" t="n"/>
      <c r="T289" s="55" t="n"/>
      <c r="U289" s="55" t="n"/>
      <c r="V289" s="55" t="n"/>
      <c r="W289" s="58" t="n"/>
      <c r="X289" s="58" t="n"/>
      <c r="Y289" s="55" t="n"/>
      <c r="Z289" s="55" t="n"/>
      <c r="AA289" s="55" t="n"/>
      <c r="AB289" s="55" t="n"/>
      <c r="AC289" s="55" t="n"/>
      <c r="AD289" s="53" t="n"/>
      <c r="AE289" s="55" t="n"/>
      <c r="AF289" s="55" t="n"/>
      <c r="AG289" s="59" t="n"/>
      <c r="AH289" s="57" t="n"/>
      <c r="AI289" s="55" t="n"/>
      <c r="AJ289" s="55" t="n"/>
      <c r="AK289" s="55" t="n"/>
      <c r="AL289" s="55" t="n"/>
      <c r="AM289" s="56" t="n"/>
      <c r="AN289" s="55" t="n"/>
      <c r="AO289" s="55" t="n"/>
      <c r="AP289" s="55" t="n"/>
      <c r="AQ289" s="55" t="n"/>
      <c r="AR289" s="60">
        <f>IF(AND(C289="",E289=""),"",IF(A289="","⚠ Date manquante",IF(AND(C289="",E289&lt;&gt;"Dépense"),"⚠ Prospect manquant",IF(E289="","⚠ Action manquante",IF(AND(AU289=1,D289=""),"⚠ Canal manquant",IF(AND(W289&lt;&gt;"",COUNTIFS('Saisie'!$W$5:$W$2004,W289,'Saisie'!$C$5:$C$2004,"&lt;&gt;"&amp;C289)&gt;0),"⚠ Numéro déjà utilisé par un autre prospect",IF(AND(J289&lt;&gt;"",J289&lt;A289),"⚠ Relance avant la date de l'action",IF(A289&gt;TODAY(),"⚠ Date dans le futur","✓"))))))))</f>
        <v/>
      </c>
      <c r="AS289" s="61">
        <f>IF(AND(A289="",C289="",E289=""),"",ROW())</f>
        <v/>
      </c>
      <c r="AT289" s="61">
        <f>IF(E289&amp;F289="","",MAX(IFERROR(INDEX('Paramètres'!$J$6:$J$33,MATCH(E289,'Paramètres'!$I$6:$I$33,0)),0),IFERROR(INDEX('Paramètres'!$N$6:$N$17,MATCH(F289,'Paramètres'!$M$6:$M$17,0)),0)))</f>
        <v/>
      </c>
      <c r="AU289" s="61">
        <f>IF(E289="","",IFERROR(IF(INDEX('Paramètres'!$K$6:$K$33,MATCH(E289,'Paramètres'!$I$6:$I$33,0))="Oui",1,0),0))</f>
        <v/>
      </c>
      <c r="AV289" s="61">
        <f>IF(F289="","",IFERROR(IF(INDEX('Paramètres'!$O$6:$O$17,MATCH(F289,'Paramètres'!$M$6:$M$17,0))="Oui",1,0),0))</f>
        <v/>
      </c>
      <c r="AW289" s="62">
        <f>IF(E289="","",IF(G289&lt;&gt;"",G289,IF(OR(E289="Proposition envoyée",E289="Signature"),MAX(0,N(IFERROR(INDEX('Paramètres'!$R$6:$R$15,MATCH(IF(AL289&lt;&gt;"",AL289,IFERROR(INDEX('Prospects'!$AN$5:$AN$504,MATCH(C289,'Prospects'!$C$5:$C$504,0)),"")),'Paramètres'!$Q$6:$Q$15,0)),0))-N(P289)),0)))</f>
        <v/>
      </c>
      <c r="AX289" s="61">
        <f>IF(C289="","",IF(COUNTIF($C$5:C289,C289)=1,MAX($AX$4:AX288)+1,""))</f>
        <v/>
      </c>
      <c r="AY289" s="61">
        <f>IF(B289="","",HOUR(B289))</f>
        <v/>
      </c>
      <c r="AZ289" s="61">
        <f>IF(A289="","",MOD(A289-2,7)+1)</f>
        <v/>
      </c>
      <c r="BA289" s="60">
        <f>IF(C289="","",IFERROR(INDEX('Prospects'!$N$5:$N$504,MATCH(C289,'Prospects'!$C$5:$C$504,0)),""))</f>
        <v/>
      </c>
      <c r="BB289" s="61">
        <f>IF(AND(C289&lt;&gt;"",C289='Fiche prospect'!$C$4),COUNTIF($C$5:C289,C289),"")</f>
        <v/>
      </c>
    </row>
    <row r="290">
      <c r="A290" s="53" t="n"/>
      <c r="B290" s="54" t="n"/>
      <c r="C290" s="55" t="n"/>
      <c r="D290" s="55" t="n"/>
      <c r="E290" s="55" t="n"/>
      <c r="F290" s="55" t="n"/>
      <c r="G290" s="56" t="n"/>
      <c r="H290" s="57" t="n"/>
      <c r="I290" s="55" t="n"/>
      <c r="J290" s="53" t="n"/>
      <c r="K290" s="54" t="n"/>
      <c r="L290" s="55" t="n"/>
      <c r="M290" s="55" t="n"/>
      <c r="N290" s="57" t="n"/>
      <c r="O290" s="55" t="n"/>
      <c r="P290" s="56" t="n"/>
      <c r="Q290" s="55" t="n"/>
      <c r="R290" s="55" t="n"/>
      <c r="S290" s="55" t="n"/>
      <c r="T290" s="55" t="n"/>
      <c r="U290" s="55" t="n"/>
      <c r="V290" s="55" t="n"/>
      <c r="W290" s="58" t="n"/>
      <c r="X290" s="58" t="n"/>
      <c r="Y290" s="55" t="n"/>
      <c r="Z290" s="55" t="n"/>
      <c r="AA290" s="55" t="n"/>
      <c r="AB290" s="55" t="n"/>
      <c r="AC290" s="55" t="n"/>
      <c r="AD290" s="53" t="n"/>
      <c r="AE290" s="55" t="n"/>
      <c r="AF290" s="55" t="n"/>
      <c r="AG290" s="59" t="n"/>
      <c r="AH290" s="57" t="n"/>
      <c r="AI290" s="55" t="n"/>
      <c r="AJ290" s="55" t="n"/>
      <c r="AK290" s="55" t="n"/>
      <c r="AL290" s="55" t="n"/>
      <c r="AM290" s="56" t="n"/>
      <c r="AN290" s="55" t="n"/>
      <c r="AO290" s="55" t="n"/>
      <c r="AP290" s="55" t="n"/>
      <c r="AQ290" s="55" t="n"/>
      <c r="AR290" s="60">
        <f>IF(AND(C290="",E290=""),"",IF(A290="","⚠ Date manquante",IF(AND(C290="",E290&lt;&gt;"Dépense"),"⚠ Prospect manquant",IF(E290="","⚠ Action manquante",IF(AND(AU290=1,D290=""),"⚠ Canal manquant",IF(AND(W290&lt;&gt;"",COUNTIFS('Saisie'!$W$5:$W$2004,W290,'Saisie'!$C$5:$C$2004,"&lt;&gt;"&amp;C290)&gt;0),"⚠ Numéro déjà utilisé par un autre prospect",IF(AND(J290&lt;&gt;"",J290&lt;A290),"⚠ Relance avant la date de l'action",IF(A290&gt;TODAY(),"⚠ Date dans le futur","✓"))))))))</f>
        <v/>
      </c>
      <c r="AS290" s="61">
        <f>IF(AND(A290="",C290="",E290=""),"",ROW())</f>
        <v/>
      </c>
      <c r="AT290" s="61">
        <f>IF(E290&amp;F290="","",MAX(IFERROR(INDEX('Paramètres'!$J$6:$J$33,MATCH(E290,'Paramètres'!$I$6:$I$33,0)),0),IFERROR(INDEX('Paramètres'!$N$6:$N$17,MATCH(F290,'Paramètres'!$M$6:$M$17,0)),0)))</f>
        <v/>
      </c>
      <c r="AU290" s="61">
        <f>IF(E290="","",IFERROR(IF(INDEX('Paramètres'!$K$6:$K$33,MATCH(E290,'Paramètres'!$I$6:$I$33,0))="Oui",1,0),0))</f>
        <v/>
      </c>
      <c r="AV290" s="61">
        <f>IF(F290="","",IFERROR(IF(INDEX('Paramètres'!$O$6:$O$17,MATCH(F290,'Paramètres'!$M$6:$M$17,0))="Oui",1,0),0))</f>
        <v/>
      </c>
      <c r="AW290" s="62">
        <f>IF(E290="","",IF(G290&lt;&gt;"",G290,IF(OR(E290="Proposition envoyée",E290="Signature"),MAX(0,N(IFERROR(INDEX('Paramètres'!$R$6:$R$15,MATCH(IF(AL290&lt;&gt;"",AL290,IFERROR(INDEX('Prospects'!$AN$5:$AN$504,MATCH(C290,'Prospects'!$C$5:$C$504,0)),"")),'Paramètres'!$Q$6:$Q$15,0)),0))-N(P290)),0)))</f>
        <v/>
      </c>
      <c r="AX290" s="61">
        <f>IF(C290="","",IF(COUNTIF($C$5:C290,C290)=1,MAX($AX$4:AX289)+1,""))</f>
        <v/>
      </c>
      <c r="AY290" s="61">
        <f>IF(B290="","",HOUR(B290))</f>
        <v/>
      </c>
      <c r="AZ290" s="61">
        <f>IF(A290="","",MOD(A290-2,7)+1)</f>
        <v/>
      </c>
      <c r="BA290" s="60">
        <f>IF(C290="","",IFERROR(INDEX('Prospects'!$N$5:$N$504,MATCH(C290,'Prospects'!$C$5:$C$504,0)),""))</f>
        <v/>
      </c>
      <c r="BB290" s="61">
        <f>IF(AND(C290&lt;&gt;"",C290='Fiche prospect'!$C$4),COUNTIF($C$5:C290,C290),"")</f>
        <v/>
      </c>
    </row>
    <row r="291">
      <c r="A291" s="53" t="n"/>
      <c r="B291" s="54" t="n"/>
      <c r="C291" s="55" t="n"/>
      <c r="D291" s="55" t="n"/>
      <c r="E291" s="55" t="n"/>
      <c r="F291" s="55" t="n"/>
      <c r="G291" s="56" t="n"/>
      <c r="H291" s="57" t="n"/>
      <c r="I291" s="55" t="n"/>
      <c r="J291" s="53" t="n"/>
      <c r="K291" s="54" t="n"/>
      <c r="L291" s="55" t="n"/>
      <c r="M291" s="55" t="n"/>
      <c r="N291" s="57" t="n"/>
      <c r="O291" s="55" t="n"/>
      <c r="P291" s="56" t="n"/>
      <c r="Q291" s="55" t="n"/>
      <c r="R291" s="55" t="n"/>
      <c r="S291" s="55" t="n"/>
      <c r="T291" s="55" t="n"/>
      <c r="U291" s="55" t="n"/>
      <c r="V291" s="55" t="n"/>
      <c r="W291" s="58" t="n"/>
      <c r="X291" s="58" t="n"/>
      <c r="Y291" s="55" t="n"/>
      <c r="Z291" s="55" t="n"/>
      <c r="AA291" s="55" t="n"/>
      <c r="AB291" s="55" t="n"/>
      <c r="AC291" s="55" t="n"/>
      <c r="AD291" s="53" t="n"/>
      <c r="AE291" s="55" t="n"/>
      <c r="AF291" s="55" t="n"/>
      <c r="AG291" s="59" t="n"/>
      <c r="AH291" s="57" t="n"/>
      <c r="AI291" s="55" t="n"/>
      <c r="AJ291" s="55" t="n"/>
      <c r="AK291" s="55" t="n"/>
      <c r="AL291" s="55" t="n"/>
      <c r="AM291" s="56" t="n"/>
      <c r="AN291" s="55" t="n"/>
      <c r="AO291" s="55" t="n"/>
      <c r="AP291" s="55" t="n"/>
      <c r="AQ291" s="55" t="n"/>
      <c r="AR291" s="60">
        <f>IF(AND(C291="",E291=""),"",IF(A291="","⚠ Date manquante",IF(AND(C291="",E291&lt;&gt;"Dépense"),"⚠ Prospect manquant",IF(E291="","⚠ Action manquante",IF(AND(AU291=1,D291=""),"⚠ Canal manquant",IF(AND(W291&lt;&gt;"",COUNTIFS('Saisie'!$W$5:$W$2004,W291,'Saisie'!$C$5:$C$2004,"&lt;&gt;"&amp;C291)&gt;0),"⚠ Numéro déjà utilisé par un autre prospect",IF(AND(J291&lt;&gt;"",J291&lt;A291),"⚠ Relance avant la date de l'action",IF(A291&gt;TODAY(),"⚠ Date dans le futur","✓"))))))))</f>
        <v/>
      </c>
      <c r="AS291" s="61">
        <f>IF(AND(A291="",C291="",E291=""),"",ROW())</f>
        <v/>
      </c>
      <c r="AT291" s="61">
        <f>IF(E291&amp;F291="","",MAX(IFERROR(INDEX('Paramètres'!$J$6:$J$33,MATCH(E291,'Paramètres'!$I$6:$I$33,0)),0),IFERROR(INDEX('Paramètres'!$N$6:$N$17,MATCH(F291,'Paramètres'!$M$6:$M$17,0)),0)))</f>
        <v/>
      </c>
      <c r="AU291" s="61">
        <f>IF(E291="","",IFERROR(IF(INDEX('Paramètres'!$K$6:$K$33,MATCH(E291,'Paramètres'!$I$6:$I$33,0))="Oui",1,0),0))</f>
        <v/>
      </c>
      <c r="AV291" s="61">
        <f>IF(F291="","",IFERROR(IF(INDEX('Paramètres'!$O$6:$O$17,MATCH(F291,'Paramètres'!$M$6:$M$17,0))="Oui",1,0),0))</f>
        <v/>
      </c>
      <c r="AW291" s="62">
        <f>IF(E291="","",IF(G291&lt;&gt;"",G291,IF(OR(E291="Proposition envoyée",E291="Signature"),MAX(0,N(IFERROR(INDEX('Paramètres'!$R$6:$R$15,MATCH(IF(AL291&lt;&gt;"",AL291,IFERROR(INDEX('Prospects'!$AN$5:$AN$504,MATCH(C291,'Prospects'!$C$5:$C$504,0)),"")),'Paramètres'!$Q$6:$Q$15,0)),0))-N(P291)),0)))</f>
        <v/>
      </c>
      <c r="AX291" s="61">
        <f>IF(C291="","",IF(COUNTIF($C$5:C291,C291)=1,MAX($AX$4:AX290)+1,""))</f>
        <v/>
      </c>
      <c r="AY291" s="61">
        <f>IF(B291="","",HOUR(B291))</f>
        <v/>
      </c>
      <c r="AZ291" s="61">
        <f>IF(A291="","",MOD(A291-2,7)+1)</f>
        <v/>
      </c>
      <c r="BA291" s="60">
        <f>IF(C291="","",IFERROR(INDEX('Prospects'!$N$5:$N$504,MATCH(C291,'Prospects'!$C$5:$C$504,0)),""))</f>
        <v/>
      </c>
      <c r="BB291" s="61">
        <f>IF(AND(C291&lt;&gt;"",C291='Fiche prospect'!$C$4),COUNTIF($C$5:C291,C291),"")</f>
        <v/>
      </c>
    </row>
    <row r="292">
      <c r="A292" s="53" t="n"/>
      <c r="B292" s="54" t="n"/>
      <c r="C292" s="55" t="n"/>
      <c r="D292" s="55" t="n"/>
      <c r="E292" s="55" t="n"/>
      <c r="F292" s="55" t="n"/>
      <c r="G292" s="56" t="n"/>
      <c r="H292" s="57" t="n"/>
      <c r="I292" s="55" t="n"/>
      <c r="J292" s="53" t="n"/>
      <c r="K292" s="54" t="n"/>
      <c r="L292" s="55" t="n"/>
      <c r="M292" s="55" t="n"/>
      <c r="N292" s="57" t="n"/>
      <c r="O292" s="55" t="n"/>
      <c r="P292" s="56" t="n"/>
      <c r="Q292" s="55" t="n"/>
      <c r="R292" s="55" t="n"/>
      <c r="S292" s="55" t="n"/>
      <c r="T292" s="55" t="n"/>
      <c r="U292" s="55" t="n"/>
      <c r="V292" s="55" t="n"/>
      <c r="W292" s="58" t="n"/>
      <c r="X292" s="58" t="n"/>
      <c r="Y292" s="55" t="n"/>
      <c r="Z292" s="55" t="n"/>
      <c r="AA292" s="55" t="n"/>
      <c r="AB292" s="55" t="n"/>
      <c r="AC292" s="55" t="n"/>
      <c r="AD292" s="53" t="n"/>
      <c r="AE292" s="55" t="n"/>
      <c r="AF292" s="55" t="n"/>
      <c r="AG292" s="59" t="n"/>
      <c r="AH292" s="57" t="n"/>
      <c r="AI292" s="55" t="n"/>
      <c r="AJ292" s="55" t="n"/>
      <c r="AK292" s="55" t="n"/>
      <c r="AL292" s="55" t="n"/>
      <c r="AM292" s="56" t="n"/>
      <c r="AN292" s="55" t="n"/>
      <c r="AO292" s="55" t="n"/>
      <c r="AP292" s="55" t="n"/>
      <c r="AQ292" s="55" t="n"/>
      <c r="AR292" s="60">
        <f>IF(AND(C292="",E292=""),"",IF(A292="","⚠ Date manquante",IF(AND(C292="",E292&lt;&gt;"Dépense"),"⚠ Prospect manquant",IF(E292="","⚠ Action manquante",IF(AND(AU292=1,D292=""),"⚠ Canal manquant",IF(AND(W292&lt;&gt;"",COUNTIFS('Saisie'!$W$5:$W$2004,W292,'Saisie'!$C$5:$C$2004,"&lt;&gt;"&amp;C292)&gt;0),"⚠ Numéro déjà utilisé par un autre prospect",IF(AND(J292&lt;&gt;"",J292&lt;A292),"⚠ Relance avant la date de l'action",IF(A292&gt;TODAY(),"⚠ Date dans le futur","✓"))))))))</f>
        <v/>
      </c>
      <c r="AS292" s="61">
        <f>IF(AND(A292="",C292="",E292=""),"",ROW())</f>
        <v/>
      </c>
      <c r="AT292" s="61">
        <f>IF(E292&amp;F292="","",MAX(IFERROR(INDEX('Paramètres'!$J$6:$J$33,MATCH(E292,'Paramètres'!$I$6:$I$33,0)),0),IFERROR(INDEX('Paramètres'!$N$6:$N$17,MATCH(F292,'Paramètres'!$M$6:$M$17,0)),0)))</f>
        <v/>
      </c>
      <c r="AU292" s="61">
        <f>IF(E292="","",IFERROR(IF(INDEX('Paramètres'!$K$6:$K$33,MATCH(E292,'Paramètres'!$I$6:$I$33,0))="Oui",1,0),0))</f>
        <v/>
      </c>
      <c r="AV292" s="61">
        <f>IF(F292="","",IFERROR(IF(INDEX('Paramètres'!$O$6:$O$17,MATCH(F292,'Paramètres'!$M$6:$M$17,0))="Oui",1,0),0))</f>
        <v/>
      </c>
      <c r="AW292" s="62">
        <f>IF(E292="","",IF(G292&lt;&gt;"",G292,IF(OR(E292="Proposition envoyée",E292="Signature"),MAX(0,N(IFERROR(INDEX('Paramètres'!$R$6:$R$15,MATCH(IF(AL292&lt;&gt;"",AL292,IFERROR(INDEX('Prospects'!$AN$5:$AN$504,MATCH(C292,'Prospects'!$C$5:$C$504,0)),"")),'Paramètres'!$Q$6:$Q$15,0)),0))-N(P292)),0)))</f>
        <v/>
      </c>
      <c r="AX292" s="61">
        <f>IF(C292="","",IF(COUNTIF($C$5:C292,C292)=1,MAX($AX$4:AX291)+1,""))</f>
        <v/>
      </c>
      <c r="AY292" s="61">
        <f>IF(B292="","",HOUR(B292))</f>
        <v/>
      </c>
      <c r="AZ292" s="61">
        <f>IF(A292="","",MOD(A292-2,7)+1)</f>
        <v/>
      </c>
      <c r="BA292" s="60">
        <f>IF(C292="","",IFERROR(INDEX('Prospects'!$N$5:$N$504,MATCH(C292,'Prospects'!$C$5:$C$504,0)),""))</f>
        <v/>
      </c>
      <c r="BB292" s="61">
        <f>IF(AND(C292&lt;&gt;"",C292='Fiche prospect'!$C$4),COUNTIF($C$5:C292,C292),"")</f>
        <v/>
      </c>
    </row>
    <row r="293">
      <c r="A293" s="53" t="n"/>
      <c r="B293" s="54" t="n"/>
      <c r="C293" s="55" t="n"/>
      <c r="D293" s="55" t="n"/>
      <c r="E293" s="55" t="n"/>
      <c r="F293" s="55" t="n"/>
      <c r="G293" s="56" t="n"/>
      <c r="H293" s="57" t="n"/>
      <c r="I293" s="55" t="n"/>
      <c r="J293" s="53" t="n"/>
      <c r="K293" s="54" t="n"/>
      <c r="L293" s="55" t="n"/>
      <c r="M293" s="55" t="n"/>
      <c r="N293" s="57" t="n"/>
      <c r="O293" s="55" t="n"/>
      <c r="P293" s="56" t="n"/>
      <c r="Q293" s="55" t="n"/>
      <c r="R293" s="55" t="n"/>
      <c r="S293" s="55" t="n"/>
      <c r="T293" s="55" t="n"/>
      <c r="U293" s="55" t="n"/>
      <c r="V293" s="55" t="n"/>
      <c r="W293" s="58" t="n"/>
      <c r="X293" s="58" t="n"/>
      <c r="Y293" s="55" t="n"/>
      <c r="Z293" s="55" t="n"/>
      <c r="AA293" s="55" t="n"/>
      <c r="AB293" s="55" t="n"/>
      <c r="AC293" s="55" t="n"/>
      <c r="AD293" s="53" t="n"/>
      <c r="AE293" s="55" t="n"/>
      <c r="AF293" s="55" t="n"/>
      <c r="AG293" s="59" t="n"/>
      <c r="AH293" s="57" t="n"/>
      <c r="AI293" s="55" t="n"/>
      <c r="AJ293" s="55" t="n"/>
      <c r="AK293" s="55" t="n"/>
      <c r="AL293" s="55" t="n"/>
      <c r="AM293" s="56" t="n"/>
      <c r="AN293" s="55" t="n"/>
      <c r="AO293" s="55" t="n"/>
      <c r="AP293" s="55" t="n"/>
      <c r="AQ293" s="55" t="n"/>
      <c r="AR293" s="60">
        <f>IF(AND(C293="",E293=""),"",IF(A293="","⚠ Date manquante",IF(AND(C293="",E293&lt;&gt;"Dépense"),"⚠ Prospect manquant",IF(E293="","⚠ Action manquante",IF(AND(AU293=1,D293=""),"⚠ Canal manquant",IF(AND(W293&lt;&gt;"",COUNTIFS('Saisie'!$W$5:$W$2004,W293,'Saisie'!$C$5:$C$2004,"&lt;&gt;"&amp;C293)&gt;0),"⚠ Numéro déjà utilisé par un autre prospect",IF(AND(J293&lt;&gt;"",J293&lt;A293),"⚠ Relance avant la date de l'action",IF(A293&gt;TODAY(),"⚠ Date dans le futur","✓"))))))))</f>
        <v/>
      </c>
      <c r="AS293" s="61">
        <f>IF(AND(A293="",C293="",E293=""),"",ROW())</f>
        <v/>
      </c>
      <c r="AT293" s="61">
        <f>IF(E293&amp;F293="","",MAX(IFERROR(INDEX('Paramètres'!$J$6:$J$33,MATCH(E293,'Paramètres'!$I$6:$I$33,0)),0),IFERROR(INDEX('Paramètres'!$N$6:$N$17,MATCH(F293,'Paramètres'!$M$6:$M$17,0)),0)))</f>
        <v/>
      </c>
      <c r="AU293" s="61">
        <f>IF(E293="","",IFERROR(IF(INDEX('Paramètres'!$K$6:$K$33,MATCH(E293,'Paramètres'!$I$6:$I$33,0))="Oui",1,0),0))</f>
        <v/>
      </c>
      <c r="AV293" s="61">
        <f>IF(F293="","",IFERROR(IF(INDEX('Paramètres'!$O$6:$O$17,MATCH(F293,'Paramètres'!$M$6:$M$17,0))="Oui",1,0),0))</f>
        <v/>
      </c>
      <c r="AW293" s="62">
        <f>IF(E293="","",IF(G293&lt;&gt;"",G293,IF(OR(E293="Proposition envoyée",E293="Signature"),MAX(0,N(IFERROR(INDEX('Paramètres'!$R$6:$R$15,MATCH(IF(AL293&lt;&gt;"",AL293,IFERROR(INDEX('Prospects'!$AN$5:$AN$504,MATCH(C293,'Prospects'!$C$5:$C$504,0)),"")),'Paramètres'!$Q$6:$Q$15,0)),0))-N(P293)),0)))</f>
        <v/>
      </c>
      <c r="AX293" s="61">
        <f>IF(C293="","",IF(COUNTIF($C$5:C293,C293)=1,MAX($AX$4:AX292)+1,""))</f>
        <v/>
      </c>
      <c r="AY293" s="61">
        <f>IF(B293="","",HOUR(B293))</f>
        <v/>
      </c>
      <c r="AZ293" s="61">
        <f>IF(A293="","",MOD(A293-2,7)+1)</f>
        <v/>
      </c>
      <c r="BA293" s="60">
        <f>IF(C293="","",IFERROR(INDEX('Prospects'!$N$5:$N$504,MATCH(C293,'Prospects'!$C$5:$C$504,0)),""))</f>
        <v/>
      </c>
      <c r="BB293" s="61">
        <f>IF(AND(C293&lt;&gt;"",C293='Fiche prospect'!$C$4),COUNTIF($C$5:C293,C293),"")</f>
        <v/>
      </c>
    </row>
    <row r="294">
      <c r="A294" s="53" t="n"/>
      <c r="B294" s="54" t="n"/>
      <c r="C294" s="55" t="n"/>
      <c r="D294" s="55" t="n"/>
      <c r="E294" s="55" t="n"/>
      <c r="F294" s="55" t="n"/>
      <c r="G294" s="56" t="n"/>
      <c r="H294" s="57" t="n"/>
      <c r="I294" s="55" t="n"/>
      <c r="J294" s="53" t="n"/>
      <c r="K294" s="54" t="n"/>
      <c r="L294" s="55" t="n"/>
      <c r="M294" s="55" t="n"/>
      <c r="N294" s="57" t="n"/>
      <c r="O294" s="55" t="n"/>
      <c r="P294" s="56" t="n"/>
      <c r="Q294" s="55" t="n"/>
      <c r="R294" s="55" t="n"/>
      <c r="S294" s="55" t="n"/>
      <c r="T294" s="55" t="n"/>
      <c r="U294" s="55" t="n"/>
      <c r="V294" s="55" t="n"/>
      <c r="W294" s="58" t="n"/>
      <c r="X294" s="58" t="n"/>
      <c r="Y294" s="55" t="n"/>
      <c r="Z294" s="55" t="n"/>
      <c r="AA294" s="55" t="n"/>
      <c r="AB294" s="55" t="n"/>
      <c r="AC294" s="55" t="n"/>
      <c r="AD294" s="53" t="n"/>
      <c r="AE294" s="55" t="n"/>
      <c r="AF294" s="55" t="n"/>
      <c r="AG294" s="59" t="n"/>
      <c r="AH294" s="57" t="n"/>
      <c r="AI294" s="55" t="n"/>
      <c r="AJ294" s="55" t="n"/>
      <c r="AK294" s="55" t="n"/>
      <c r="AL294" s="55" t="n"/>
      <c r="AM294" s="56" t="n"/>
      <c r="AN294" s="55" t="n"/>
      <c r="AO294" s="55" t="n"/>
      <c r="AP294" s="55" t="n"/>
      <c r="AQ294" s="55" t="n"/>
      <c r="AR294" s="60">
        <f>IF(AND(C294="",E294=""),"",IF(A294="","⚠ Date manquante",IF(AND(C294="",E294&lt;&gt;"Dépense"),"⚠ Prospect manquant",IF(E294="","⚠ Action manquante",IF(AND(AU294=1,D294=""),"⚠ Canal manquant",IF(AND(W294&lt;&gt;"",COUNTIFS('Saisie'!$W$5:$W$2004,W294,'Saisie'!$C$5:$C$2004,"&lt;&gt;"&amp;C294)&gt;0),"⚠ Numéro déjà utilisé par un autre prospect",IF(AND(J294&lt;&gt;"",J294&lt;A294),"⚠ Relance avant la date de l'action",IF(A294&gt;TODAY(),"⚠ Date dans le futur","✓"))))))))</f>
        <v/>
      </c>
      <c r="AS294" s="61">
        <f>IF(AND(A294="",C294="",E294=""),"",ROW())</f>
        <v/>
      </c>
      <c r="AT294" s="61">
        <f>IF(E294&amp;F294="","",MAX(IFERROR(INDEX('Paramètres'!$J$6:$J$33,MATCH(E294,'Paramètres'!$I$6:$I$33,0)),0),IFERROR(INDEX('Paramètres'!$N$6:$N$17,MATCH(F294,'Paramètres'!$M$6:$M$17,0)),0)))</f>
        <v/>
      </c>
      <c r="AU294" s="61">
        <f>IF(E294="","",IFERROR(IF(INDEX('Paramètres'!$K$6:$K$33,MATCH(E294,'Paramètres'!$I$6:$I$33,0))="Oui",1,0),0))</f>
        <v/>
      </c>
      <c r="AV294" s="61">
        <f>IF(F294="","",IFERROR(IF(INDEX('Paramètres'!$O$6:$O$17,MATCH(F294,'Paramètres'!$M$6:$M$17,0))="Oui",1,0),0))</f>
        <v/>
      </c>
      <c r="AW294" s="62">
        <f>IF(E294="","",IF(G294&lt;&gt;"",G294,IF(OR(E294="Proposition envoyée",E294="Signature"),MAX(0,N(IFERROR(INDEX('Paramètres'!$R$6:$R$15,MATCH(IF(AL294&lt;&gt;"",AL294,IFERROR(INDEX('Prospects'!$AN$5:$AN$504,MATCH(C294,'Prospects'!$C$5:$C$504,0)),"")),'Paramètres'!$Q$6:$Q$15,0)),0))-N(P294)),0)))</f>
        <v/>
      </c>
      <c r="AX294" s="61">
        <f>IF(C294="","",IF(COUNTIF($C$5:C294,C294)=1,MAX($AX$4:AX293)+1,""))</f>
        <v/>
      </c>
      <c r="AY294" s="61">
        <f>IF(B294="","",HOUR(B294))</f>
        <v/>
      </c>
      <c r="AZ294" s="61">
        <f>IF(A294="","",MOD(A294-2,7)+1)</f>
        <v/>
      </c>
      <c r="BA294" s="60">
        <f>IF(C294="","",IFERROR(INDEX('Prospects'!$N$5:$N$504,MATCH(C294,'Prospects'!$C$5:$C$504,0)),""))</f>
        <v/>
      </c>
      <c r="BB294" s="61">
        <f>IF(AND(C294&lt;&gt;"",C294='Fiche prospect'!$C$4),COUNTIF($C$5:C294,C294),"")</f>
        <v/>
      </c>
    </row>
    <row r="295">
      <c r="A295" s="53" t="n"/>
      <c r="B295" s="54" t="n"/>
      <c r="C295" s="55" t="n"/>
      <c r="D295" s="55" t="n"/>
      <c r="E295" s="55" t="n"/>
      <c r="F295" s="55" t="n"/>
      <c r="G295" s="56" t="n"/>
      <c r="H295" s="57" t="n"/>
      <c r="I295" s="55" t="n"/>
      <c r="J295" s="53" t="n"/>
      <c r="K295" s="54" t="n"/>
      <c r="L295" s="55" t="n"/>
      <c r="M295" s="55" t="n"/>
      <c r="N295" s="57" t="n"/>
      <c r="O295" s="55" t="n"/>
      <c r="P295" s="56" t="n"/>
      <c r="Q295" s="55" t="n"/>
      <c r="R295" s="55" t="n"/>
      <c r="S295" s="55" t="n"/>
      <c r="T295" s="55" t="n"/>
      <c r="U295" s="55" t="n"/>
      <c r="V295" s="55" t="n"/>
      <c r="W295" s="58" t="n"/>
      <c r="X295" s="58" t="n"/>
      <c r="Y295" s="55" t="n"/>
      <c r="Z295" s="55" t="n"/>
      <c r="AA295" s="55" t="n"/>
      <c r="AB295" s="55" t="n"/>
      <c r="AC295" s="55" t="n"/>
      <c r="AD295" s="53" t="n"/>
      <c r="AE295" s="55" t="n"/>
      <c r="AF295" s="55" t="n"/>
      <c r="AG295" s="59" t="n"/>
      <c r="AH295" s="57" t="n"/>
      <c r="AI295" s="55" t="n"/>
      <c r="AJ295" s="55" t="n"/>
      <c r="AK295" s="55" t="n"/>
      <c r="AL295" s="55" t="n"/>
      <c r="AM295" s="56" t="n"/>
      <c r="AN295" s="55" t="n"/>
      <c r="AO295" s="55" t="n"/>
      <c r="AP295" s="55" t="n"/>
      <c r="AQ295" s="55" t="n"/>
      <c r="AR295" s="60">
        <f>IF(AND(C295="",E295=""),"",IF(A295="","⚠ Date manquante",IF(AND(C295="",E295&lt;&gt;"Dépense"),"⚠ Prospect manquant",IF(E295="","⚠ Action manquante",IF(AND(AU295=1,D295=""),"⚠ Canal manquant",IF(AND(W295&lt;&gt;"",COUNTIFS('Saisie'!$W$5:$W$2004,W295,'Saisie'!$C$5:$C$2004,"&lt;&gt;"&amp;C295)&gt;0),"⚠ Numéro déjà utilisé par un autre prospect",IF(AND(J295&lt;&gt;"",J295&lt;A295),"⚠ Relance avant la date de l'action",IF(A295&gt;TODAY(),"⚠ Date dans le futur","✓"))))))))</f>
        <v/>
      </c>
      <c r="AS295" s="61">
        <f>IF(AND(A295="",C295="",E295=""),"",ROW())</f>
        <v/>
      </c>
      <c r="AT295" s="61">
        <f>IF(E295&amp;F295="","",MAX(IFERROR(INDEX('Paramètres'!$J$6:$J$33,MATCH(E295,'Paramètres'!$I$6:$I$33,0)),0),IFERROR(INDEX('Paramètres'!$N$6:$N$17,MATCH(F295,'Paramètres'!$M$6:$M$17,0)),0)))</f>
        <v/>
      </c>
      <c r="AU295" s="61">
        <f>IF(E295="","",IFERROR(IF(INDEX('Paramètres'!$K$6:$K$33,MATCH(E295,'Paramètres'!$I$6:$I$33,0))="Oui",1,0),0))</f>
        <v/>
      </c>
      <c r="AV295" s="61">
        <f>IF(F295="","",IFERROR(IF(INDEX('Paramètres'!$O$6:$O$17,MATCH(F295,'Paramètres'!$M$6:$M$17,0))="Oui",1,0),0))</f>
        <v/>
      </c>
      <c r="AW295" s="62">
        <f>IF(E295="","",IF(G295&lt;&gt;"",G295,IF(OR(E295="Proposition envoyée",E295="Signature"),MAX(0,N(IFERROR(INDEX('Paramètres'!$R$6:$R$15,MATCH(IF(AL295&lt;&gt;"",AL295,IFERROR(INDEX('Prospects'!$AN$5:$AN$504,MATCH(C295,'Prospects'!$C$5:$C$504,0)),"")),'Paramètres'!$Q$6:$Q$15,0)),0))-N(P295)),0)))</f>
        <v/>
      </c>
      <c r="AX295" s="61">
        <f>IF(C295="","",IF(COUNTIF($C$5:C295,C295)=1,MAX($AX$4:AX294)+1,""))</f>
        <v/>
      </c>
      <c r="AY295" s="61">
        <f>IF(B295="","",HOUR(B295))</f>
        <v/>
      </c>
      <c r="AZ295" s="61">
        <f>IF(A295="","",MOD(A295-2,7)+1)</f>
        <v/>
      </c>
      <c r="BA295" s="60">
        <f>IF(C295="","",IFERROR(INDEX('Prospects'!$N$5:$N$504,MATCH(C295,'Prospects'!$C$5:$C$504,0)),""))</f>
        <v/>
      </c>
      <c r="BB295" s="61">
        <f>IF(AND(C295&lt;&gt;"",C295='Fiche prospect'!$C$4),COUNTIF($C$5:C295,C295),"")</f>
        <v/>
      </c>
    </row>
    <row r="296">
      <c r="A296" s="53" t="n"/>
      <c r="B296" s="54" t="n"/>
      <c r="C296" s="55" t="n"/>
      <c r="D296" s="55" t="n"/>
      <c r="E296" s="55" t="n"/>
      <c r="F296" s="55" t="n"/>
      <c r="G296" s="56" t="n"/>
      <c r="H296" s="57" t="n"/>
      <c r="I296" s="55" t="n"/>
      <c r="J296" s="53" t="n"/>
      <c r="K296" s="54" t="n"/>
      <c r="L296" s="55" t="n"/>
      <c r="M296" s="55" t="n"/>
      <c r="N296" s="57" t="n"/>
      <c r="O296" s="55" t="n"/>
      <c r="P296" s="56" t="n"/>
      <c r="Q296" s="55" t="n"/>
      <c r="R296" s="55" t="n"/>
      <c r="S296" s="55" t="n"/>
      <c r="T296" s="55" t="n"/>
      <c r="U296" s="55" t="n"/>
      <c r="V296" s="55" t="n"/>
      <c r="W296" s="58" t="n"/>
      <c r="X296" s="58" t="n"/>
      <c r="Y296" s="55" t="n"/>
      <c r="Z296" s="55" t="n"/>
      <c r="AA296" s="55" t="n"/>
      <c r="AB296" s="55" t="n"/>
      <c r="AC296" s="55" t="n"/>
      <c r="AD296" s="53" t="n"/>
      <c r="AE296" s="55" t="n"/>
      <c r="AF296" s="55" t="n"/>
      <c r="AG296" s="59" t="n"/>
      <c r="AH296" s="57" t="n"/>
      <c r="AI296" s="55" t="n"/>
      <c r="AJ296" s="55" t="n"/>
      <c r="AK296" s="55" t="n"/>
      <c r="AL296" s="55" t="n"/>
      <c r="AM296" s="56" t="n"/>
      <c r="AN296" s="55" t="n"/>
      <c r="AO296" s="55" t="n"/>
      <c r="AP296" s="55" t="n"/>
      <c r="AQ296" s="55" t="n"/>
      <c r="AR296" s="60">
        <f>IF(AND(C296="",E296=""),"",IF(A296="","⚠ Date manquante",IF(AND(C296="",E296&lt;&gt;"Dépense"),"⚠ Prospect manquant",IF(E296="","⚠ Action manquante",IF(AND(AU296=1,D296=""),"⚠ Canal manquant",IF(AND(W296&lt;&gt;"",COUNTIFS('Saisie'!$W$5:$W$2004,W296,'Saisie'!$C$5:$C$2004,"&lt;&gt;"&amp;C296)&gt;0),"⚠ Numéro déjà utilisé par un autre prospect",IF(AND(J296&lt;&gt;"",J296&lt;A296),"⚠ Relance avant la date de l'action",IF(A296&gt;TODAY(),"⚠ Date dans le futur","✓"))))))))</f>
        <v/>
      </c>
      <c r="AS296" s="61">
        <f>IF(AND(A296="",C296="",E296=""),"",ROW())</f>
        <v/>
      </c>
      <c r="AT296" s="61">
        <f>IF(E296&amp;F296="","",MAX(IFERROR(INDEX('Paramètres'!$J$6:$J$33,MATCH(E296,'Paramètres'!$I$6:$I$33,0)),0),IFERROR(INDEX('Paramètres'!$N$6:$N$17,MATCH(F296,'Paramètres'!$M$6:$M$17,0)),0)))</f>
        <v/>
      </c>
      <c r="AU296" s="61">
        <f>IF(E296="","",IFERROR(IF(INDEX('Paramètres'!$K$6:$K$33,MATCH(E296,'Paramètres'!$I$6:$I$33,0))="Oui",1,0),0))</f>
        <v/>
      </c>
      <c r="AV296" s="61">
        <f>IF(F296="","",IFERROR(IF(INDEX('Paramètres'!$O$6:$O$17,MATCH(F296,'Paramètres'!$M$6:$M$17,0))="Oui",1,0),0))</f>
        <v/>
      </c>
      <c r="AW296" s="62">
        <f>IF(E296="","",IF(G296&lt;&gt;"",G296,IF(OR(E296="Proposition envoyée",E296="Signature"),MAX(0,N(IFERROR(INDEX('Paramètres'!$R$6:$R$15,MATCH(IF(AL296&lt;&gt;"",AL296,IFERROR(INDEX('Prospects'!$AN$5:$AN$504,MATCH(C296,'Prospects'!$C$5:$C$504,0)),"")),'Paramètres'!$Q$6:$Q$15,0)),0))-N(P296)),0)))</f>
        <v/>
      </c>
      <c r="AX296" s="61">
        <f>IF(C296="","",IF(COUNTIF($C$5:C296,C296)=1,MAX($AX$4:AX295)+1,""))</f>
        <v/>
      </c>
      <c r="AY296" s="61">
        <f>IF(B296="","",HOUR(B296))</f>
        <v/>
      </c>
      <c r="AZ296" s="61">
        <f>IF(A296="","",MOD(A296-2,7)+1)</f>
        <v/>
      </c>
      <c r="BA296" s="60">
        <f>IF(C296="","",IFERROR(INDEX('Prospects'!$N$5:$N$504,MATCH(C296,'Prospects'!$C$5:$C$504,0)),""))</f>
        <v/>
      </c>
      <c r="BB296" s="61">
        <f>IF(AND(C296&lt;&gt;"",C296='Fiche prospect'!$C$4),COUNTIF($C$5:C296,C296),"")</f>
        <v/>
      </c>
    </row>
    <row r="297">
      <c r="A297" s="53" t="n"/>
      <c r="B297" s="54" t="n"/>
      <c r="C297" s="55" t="n"/>
      <c r="D297" s="55" t="n"/>
      <c r="E297" s="55" t="n"/>
      <c r="F297" s="55" t="n"/>
      <c r="G297" s="56" t="n"/>
      <c r="H297" s="57" t="n"/>
      <c r="I297" s="55" t="n"/>
      <c r="J297" s="53" t="n"/>
      <c r="K297" s="54" t="n"/>
      <c r="L297" s="55" t="n"/>
      <c r="M297" s="55" t="n"/>
      <c r="N297" s="57" t="n"/>
      <c r="O297" s="55" t="n"/>
      <c r="P297" s="56" t="n"/>
      <c r="Q297" s="55" t="n"/>
      <c r="R297" s="55" t="n"/>
      <c r="S297" s="55" t="n"/>
      <c r="T297" s="55" t="n"/>
      <c r="U297" s="55" t="n"/>
      <c r="V297" s="55" t="n"/>
      <c r="W297" s="58" t="n"/>
      <c r="X297" s="58" t="n"/>
      <c r="Y297" s="55" t="n"/>
      <c r="Z297" s="55" t="n"/>
      <c r="AA297" s="55" t="n"/>
      <c r="AB297" s="55" t="n"/>
      <c r="AC297" s="55" t="n"/>
      <c r="AD297" s="53" t="n"/>
      <c r="AE297" s="55" t="n"/>
      <c r="AF297" s="55" t="n"/>
      <c r="AG297" s="59" t="n"/>
      <c r="AH297" s="57" t="n"/>
      <c r="AI297" s="55" t="n"/>
      <c r="AJ297" s="55" t="n"/>
      <c r="AK297" s="55" t="n"/>
      <c r="AL297" s="55" t="n"/>
      <c r="AM297" s="56" t="n"/>
      <c r="AN297" s="55" t="n"/>
      <c r="AO297" s="55" t="n"/>
      <c r="AP297" s="55" t="n"/>
      <c r="AQ297" s="55" t="n"/>
      <c r="AR297" s="60">
        <f>IF(AND(C297="",E297=""),"",IF(A297="","⚠ Date manquante",IF(AND(C297="",E297&lt;&gt;"Dépense"),"⚠ Prospect manquant",IF(E297="","⚠ Action manquante",IF(AND(AU297=1,D297=""),"⚠ Canal manquant",IF(AND(W297&lt;&gt;"",COUNTIFS('Saisie'!$W$5:$W$2004,W297,'Saisie'!$C$5:$C$2004,"&lt;&gt;"&amp;C297)&gt;0),"⚠ Numéro déjà utilisé par un autre prospect",IF(AND(J297&lt;&gt;"",J297&lt;A297),"⚠ Relance avant la date de l'action",IF(A297&gt;TODAY(),"⚠ Date dans le futur","✓"))))))))</f>
        <v/>
      </c>
      <c r="AS297" s="61">
        <f>IF(AND(A297="",C297="",E297=""),"",ROW())</f>
        <v/>
      </c>
      <c r="AT297" s="61">
        <f>IF(E297&amp;F297="","",MAX(IFERROR(INDEX('Paramètres'!$J$6:$J$33,MATCH(E297,'Paramètres'!$I$6:$I$33,0)),0),IFERROR(INDEX('Paramètres'!$N$6:$N$17,MATCH(F297,'Paramètres'!$M$6:$M$17,0)),0)))</f>
        <v/>
      </c>
      <c r="AU297" s="61">
        <f>IF(E297="","",IFERROR(IF(INDEX('Paramètres'!$K$6:$K$33,MATCH(E297,'Paramètres'!$I$6:$I$33,0))="Oui",1,0),0))</f>
        <v/>
      </c>
      <c r="AV297" s="61">
        <f>IF(F297="","",IFERROR(IF(INDEX('Paramètres'!$O$6:$O$17,MATCH(F297,'Paramètres'!$M$6:$M$17,0))="Oui",1,0),0))</f>
        <v/>
      </c>
      <c r="AW297" s="62">
        <f>IF(E297="","",IF(G297&lt;&gt;"",G297,IF(OR(E297="Proposition envoyée",E297="Signature"),MAX(0,N(IFERROR(INDEX('Paramètres'!$R$6:$R$15,MATCH(IF(AL297&lt;&gt;"",AL297,IFERROR(INDEX('Prospects'!$AN$5:$AN$504,MATCH(C297,'Prospects'!$C$5:$C$504,0)),"")),'Paramètres'!$Q$6:$Q$15,0)),0))-N(P297)),0)))</f>
        <v/>
      </c>
      <c r="AX297" s="61">
        <f>IF(C297="","",IF(COUNTIF($C$5:C297,C297)=1,MAX($AX$4:AX296)+1,""))</f>
        <v/>
      </c>
      <c r="AY297" s="61">
        <f>IF(B297="","",HOUR(B297))</f>
        <v/>
      </c>
      <c r="AZ297" s="61">
        <f>IF(A297="","",MOD(A297-2,7)+1)</f>
        <v/>
      </c>
      <c r="BA297" s="60">
        <f>IF(C297="","",IFERROR(INDEX('Prospects'!$N$5:$N$504,MATCH(C297,'Prospects'!$C$5:$C$504,0)),""))</f>
        <v/>
      </c>
      <c r="BB297" s="61">
        <f>IF(AND(C297&lt;&gt;"",C297='Fiche prospect'!$C$4),COUNTIF($C$5:C297,C297),"")</f>
        <v/>
      </c>
    </row>
    <row r="298">
      <c r="A298" s="53" t="n"/>
      <c r="B298" s="54" t="n"/>
      <c r="C298" s="55" t="n"/>
      <c r="D298" s="55" t="n"/>
      <c r="E298" s="55" t="n"/>
      <c r="F298" s="55" t="n"/>
      <c r="G298" s="56" t="n"/>
      <c r="H298" s="57" t="n"/>
      <c r="I298" s="55" t="n"/>
      <c r="J298" s="53" t="n"/>
      <c r="K298" s="54" t="n"/>
      <c r="L298" s="55" t="n"/>
      <c r="M298" s="55" t="n"/>
      <c r="N298" s="57" t="n"/>
      <c r="O298" s="55" t="n"/>
      <c r="P298" s="56" t="n"/>
      <c r="Q298" s="55" t="n"/>
      <c r="R298" s="55" t="n"/>
      <c r="S298" s="55" t="n"/>
      <c r="T298" s="55" t="n"/>
      <c r="U298" s="55" t="n"/>
      <c r="V298" s="55" t="n"/>
      <c r="W298" s="58" t="n"/>
      <c r="X298" s="58" t="n"/>
      <c r="Y298" s="55" t="n"/>
      <c r="Z298" s="55" t="n"/>
      <c r="AA298" s="55" t="n"/>
      <c r="AB298" s="55" t="n"/>
      <c r="AC298" s="55" t="n"/>
      <c r="AD298" s="53" t="n"/>
      <c r="AE298" s="55" t="n"/>
      <c r="AF298" s="55" t="n"/>
      <c r="AG298" s="59" t="n"/>
      <c r="AH298" s="57" t="n"/>
      <c r="AI298" s="55" t="n"/>
      <c r="AJ298" s="55" t="n"/>
      <c r="AK298" s="55" t="n"/>
      <c r="AL298" s="55" t="n"/>
      <c r="AM298" s="56" t="n"/>
      <c r="AN298" s="55" t="n"/>
      <c r="AO298" s="55" t="n"/>
      <c r="AP298" s="55" t="n"/>
      <c r="AQ298" s="55" t="n"/>
      <c r="AR298" s="60">
        <f>IF(AND(C298="",E298=""),"",IF(A298="","⚠ Date manquante",IF(AND(C298="",E298&lt;&gt;"Dépense"),"⚠ Prospect manquant",IF(E298="","⚠ Action manquante",IF(AND(AU298=1,D298=""),"⚠ Canal manquant",IF(AND(W298&lt;&gt;"",COUNTIFS('Saisie'!$W$5:$W$2004,W298,'Saisie'!$C$5:$C$2004,"&lt;&gt;"&amp;C298)&gt;0),"⚠ Numéro déjà utilisé par un autre prospect",IF(AND(J298&lt;&gt;"",J298&lt;A298),"⚠ Relance avant la date de l'action",IF(A298&gt;TODAY(),"⚠ Date dans le futur","✓"))))))))</f>
        <v/>
      </c>
      <c r="AS298" s="61">
        <f>IF(AND(A298="",C298="",E298=""),"",ROW())</f>
        <v/>
      </c>
      <c r="AT298" s="61">
        <f>IF(E298&amp;F298="","",MAX(IFERROR(INDEX('Paramètres'!$J$6:$J$33,MATCH(E298,'Paramètres'!$I$6:$I$33,0)),0),IFERROR(INDEX('Paramètres'!$N$6:$N$17,MATCH(F298,'Paramètres'!$M$6:$M$17,0)),0)))</f>
        <v/>
      </c>
      <c r="AU298" s="61">
        <f>IF(E298="","",IFERROR(IF(INDEX('Paramètres'!$K$6:$K$33,MATCH(E298,'Paramètres'!$I$6:$I$33,0))="Oui",1,0),0))</f>
        <v/>
      </c>
      <c r="AV298" s="61">
        <f>IF(F298="","",IFERROR(IF(INDEX('Paramètres'!$O$6:$O$17,MATCH(F298,'Paramètres'!$M$6:$M$17,0))="Oui",1,0),0))</f>
        <v/>
      </c>
      <c r="AW298" s="62">
        <f>IF(E298="","",IF(G298&lt;&gt;"",G298,IF(OR(E298="Proposition envoyée",E298="Signature"),MAX(0,N(IFERROR(INDEX('Paramètres'!$R$6:$R$15,MATCH(IF(AL298&lt;&gt;"",AL298,IFERROR(INDEX('Prospects'!$AN$5:$AN$504,MATCH(C298,'Prospects'!$C$5:$C$504,0)),"")),'Paramètres'!$Q$6:$Q$15,0)),0))-N(P298)),0)))</f>
        <v/>
      </c>
      <c r="AX298" s="61">
        <f>IF(C298="","",IF(COUNTIF($C$5:C298,C298)=1,MAX($AX$4:AX297)+1,""))</f>
        <v/>
      </c>
      <c r="AY298" s="61">
        <f>IF(B298="","",HOUR(B298))</f>
        <v/>
      </c>
      <c r="AZ298" s="61">
        <f>IF(A298="","",MOD(A298-2,7)+1)</f>
        <v/>
      </c>
      <c r="BA298" s="60">
        <f>IF(C298="","",IFERROR(INDEX('Prospects'!$N$5:$N$504,MATCH(C298,'Prospects'!$C$5:$C$504,0)),""))</f>
        <v/>
      </c>
      <c r="BB298" s="61">
        <f>IF(AND(C298&lt;&gt;"",C298='Fiche prospect'!$C$4),COUNTIF($C$5:C298,C298),"")</f>
        <v/>
      </c>
    </row>
    <row r="299">
      <c r="A299" s="53" t="n"/>
      <c r="B299" s="54" t="n"/>
      <c r="C299" s="55" t="n"/>
      <c r="D299" s="55" t="n"/>
      <c r="E299" s="55" t="n"/>
      <c r="F299" s="55" t="n"/>
      <c r="G299" s="56" t="n"/>
      <c r="H299" s="57" t="n"/>
      <c r="I299" s="55" t="n"/>
      <c r="J299" s="53" t="n"/>
      <c r="K299" s="54" t="n"/>
      <c r="L299" s="55" t="n"/>
      <c r="M299" s="55" t="n"/>
      <c r="N299" s="57" t="n"/>
      <c r="O299" s="55" t="n"/>
      <c r="P299" s="56" t="n"/>
      <c r="Q299" s="55" t="n"/>
      <c r="R299" s="55" t="n"/>
      <c r="S299" s="55" t="n"/>
      <c r="T299" s="55" t="n"/>
      <c r="U299" s="55" t="n"/>
      <c r="V299" s="55" t="n"/>
      <c r="W299" s="58" t="n"/>
      <c r="X299" s="58" t="n"/>
      <c r="Y299" s="55" t="n"/>
      <c r="Z299" s="55" t="n"/>
      <c r="AA299" s="55" t="n"/>
      <c r="AB299" s="55" t="n"/>
      <c r="AC299" s="55" t="n"/>
      <c r="AD299" s="53" t="n"/>
      <c r="AE299" s="55" t="n"/>
      <c r="AF299" s="55" t="n"/>
      <c r="AG299" s="59" t="n"/>
      <c r="AH299" s="57" t="n"/>
      <c r="AI299" s="55" t="n"/>
      <c r="AJ299" s="55" t="n"/>
      <c r="AK299" s="55" t="n"/>
      <c r="AL299" s="55" t="n"/>
      <c r="AM299" s="56" t="n"/>
      <c r="AN299" s="55" t="n"/>
      <c r="AO299" s="55" t="n"/>
      <c r="AP299" s="55" t="n"/>
      <c r="AQ299" s="55" t="n"/>
      <c r="AR299" s="60">
        <f>IF(AND(C299="",E299=""),"",IF(A299="","⚠ Date manquante",IF(AND(C299="",E299&lt;&gt;"Dépense"),"⚠ Prospect manquant",IF(E299="","⚠ Action manquante",IF(AND(AU299=1,D299=""),"⚠ Canal manquant",IF(AND(W299&lt;&gt;"",COUNTIFS('Saisie'!$W$5:$W$2004,W299,'Saisie'!$C$5:$C$2004,"&lt;&gt;"&amp;C299)&gt;0),"⚠ Numéro déjà utilisé par un autre prospect",IF(AND(J299&lt;&gt;"",J299&lt;A299),"⚠ Relance avant la date de l'action",IF(A299&gt;TODAY(),"⚠ Date dans le futur","✓"))))))))</f>
        <v/>
      </c>
      <c r="AS299" s="61">
        <f>IF(AND(A299="",C299="",E299=""),"",ROW())</f>
        <v/>
      </c>
      <c r="AT299" s="61">
        <f>IF(E299&amp;F299="","",MAX(IFERROR(INDEX('Paramètres'!$J$6:$J$33,MATCH(E299,'Paramètres'!$I$6:$I$33,0)),0),IFERROR(INDEX('Paramètres'!$N$6:$N$17,MATCH(F299,'Paramètres'!$M$6:$M$17,0)),0)))</f>
        <v/>
      </c>
      <c r="AU299" s="61">
        <f>IF(E299="","",IFERROR(IF(INDEX('Paramètres'!$K$6:$K$33,MATCH(E299,'Paramètres'!$I$6:$I$33,0))="Oui",1,0),0))</f>
        <v/>
      </c>
      <c r="AV299" s="61">
        <f>IF(F299="","",IFERROR(IF(INDEX('Paramètres'!$O$6:$O$17,MATCH(F299,'Paramètres'!$M$6:$M$17,0))="Oui",1,0),0))</f>
        <v/>
      </c>
      <c r="AW299" s="62">
        <f>IF(E299="","",IF(G299&lt;&gt;"",G299,IF(OR(E299="Proposition envoyée",E299="Signature"),MAX(0,N(IFERROR(INDEX('Paramètres'!$R$6:$R$15,MATCH(IF(AL299&lt;&gt;"",AL299,IFERROR(INDEX('Prospects'!$AN$5:$AN$504,MATCH(C299,'Prospects'!$C$5:$C$504,0)),"")),'Paramètres'!$Q$6:$Q$15,0)),0))-N(P299)),0)))</f>
        <v/>
      </c>
      <c r="AX299" s="61">
        <f>IF(C299="","",IF(COUNTIF($C$5:C299,C299)=1,MAX($AX$4:AX298)+1,""))</f>
        <v/>
      </c>
      <c r="AY299" s="61">
        <f>IF(B299="","",HOUR(B299))</f>
        <v/>
      </c>
      <c r="AZ299" s="61">
        <f>IF(A299="","",MOD(A299-2,7)+1)</f>
        <v/>
      </c>
      <c r="BA299" s="60">
        <f>IF(C299="","",IFERROR(INDEX('Prospects'!$N$5:$N$504,MATCH(C299,'Prospects'!$C$5:$C$504,0)),""))</f>
        <v/>
      </c>
      <c r="BB299" s="61">
        <f>IF(AND(C299&lt;&gt;"",C299='Fiche prospect'!$C$4),COUNTIF($C$5:C299,C299),"")</f>
        <v/>
      </c>
    </row>
    <row r="300">
      <c r="A300" s="53" t="n"/>
      <c r="B300" s="54" t="n"/>
      <c r="C300" s="55" t="n"/>
      <c r="D300" s="55" t="n"/>
      <c r="E300" s="55" t="n"/>
      <c r="F300" s="55" t="n"/>
      <c r="G300" s="56" t="n"/>
      <c r="H300" s="57" t="n"/>
      <c r="I300" s="55" t="n"/>
      <c r="J300" s="53" t="n"/>
      <c r="K300" s="54" t="n"/>
      <c r="L300" s="55" t="n"/>
      <c r="M300" s="55" t="n"/>
      <c r="N300" s="57" t="n"/>
      <c r="O300" s="55" t="n"/>
      <c r="P300" s="56" t="n"/>
      <c r="Q300" s="55" t="n"/>
      <c r="R300" s="55" t="n"/>
      <c r="S300" s="55" t="n"/>
      <c r="T300" s="55" t="n"/>
      <c r="U300" s="55" t="n"/>
      <c r="V300" s="55" t="n"/>
      <c r="W300" s="58" t="n"/>
      <c r="X300" s="58" t="n"/>
      <c r="Y300" s="55" t="n"/>
      <c r="Z300" s="55" t="n"/>
      <c r="AA300" s="55" t="n"/>
      <c r="AB300" s="55" t="n"/>
      <c r="AC300" s="55" t="n"/>
      <c r="AD300" s="53" t="n"/>
      <c r="AE300" s="55" t="n"/>
      <c r="AF300" s="55" t="n"/>
      <c r="AG300" s="59" t="n"/>
      <c r="AH300" s="57" t="n"/>
      <c r="AI300" s="55" t="n"/>
      <c r="AJ300" s="55" t="n"/>
      <c r="AK300" s="55" t="n"/>
      <c r="AL300" s="55" t="n"/>
      <c r="AM300" s="56" t="n"/>
      <c r="AN300" s="55" t="n"/>
      <c r="AO300" s="55" t="n"/>
      <c r="AP300" s="55" t="n"/>
      <c r="AQ300" s="55" t="n"/>
      <c r="AR300" s="60">
        <f>IF(AND(C300="",E300=""),"",IF(A300="","⚠ Date manquante",IF(AND(C300="",E300&lt;&gt;"Dépense"),"⚠ Prospect manquant",IF(E300="","⚠ Action manquante",IF(AND(AU300=1,D300=""),"⚠ Canal manquant",IF(AND(W300&lt;&gt;"",COUNTIFS('Saisie'!$W$5:$W$2004,W300,'Saisie'!$C$5:$C$2004,"&lt;&gt;"&amp;C300)&gt;0),"⚠ Numéro déjà utilisé par un autre prospect",IF(AND(J300&lt;&gt;"",J300&lt;A300),"⚠ Relance avant la date de l'action",IF(A300&gt;TODAY(),"⚠ Date dans le futur","✓"))))))))</f>
        <v/>
      </c>
      <c r="AS300" s="61">
        <f>IF(AND(A300="",C300="",E300=""),"",ROW())</f>
        <v/>
      </c>
      <c r="AT300" s="61">
        <f>IF(E300&amp;F300="","",MAX(IFERROR(INDEX('Paramètres'!$J$6:$J$33,MATCH(E300,'Paramètres'!$I$6:$I$33,0)),0),IFERROR(INDEX('Paramètres'!$N$6:$N$17,MATCH(F300,'Paramètres'!$M$6:$M$17,0)),0)))</f>
        <v/>
      </c>
      <c r="AU300" s="61">
        <f>IF(E300="","",IFERROR(IF(INDEX('Paramètres'!$K$6:$K$33,MATCH(E300,'Paramètres'!$I$6:$I$33,0))="Oui",1,0),0))</f>
        <v/>
      </c>
      <c r="AV300" s="61">
        <f>IF(F300="","",IFERROR(IF(INDEX('Paramètres'!$O$6:$O$17,MATCH(F300,'Paramètres'!$M$6:$M$17,0))="Oui",1,0),0))</f>
        <v/>
      </c>
      <c r="AW300" s="62">
        <f>IF(E300="","",IF(G300&lt;&gt;"",G300,IF(OR(E300="Proposition envoyée",E300="Signature"),MAX(0,N(IFERROR(INDEX('Paramètres'!$R$6:$R$15,MATCH(IF(AL300&lt;&gt;"",AL300,IFERROR(INDEX('Prospects'!$AN$5:$AN$504,MATCH(C300,'Prospects'!$C$5:$C$504,0)),"")),'Paramètres'!$Q$6:$Q$15,0)),0))-N(P300)),0)))</f>
        <v/>
      </c>
      <c r="AX300" s="61">
        <f>IF(C300="","",IF(COUNTIF($C$5:C300,C300)=1,MAX($AX$4:AX299)+1,""))</f>
        <v/>
      </c>
      <c r="AY300" s="61">
        <f>IF(B300="","",HOUR(B300))</f>
        <v/>
      </c>
      <c r="AZ300" s="61">
        <f>IF(A300="","",MOD(A300-2,7)+1)</f>
        <v/>
      </c>
      <c r="BA300" s="60">
        <f>IF(C300="","",IFERROR(INDEX('Prospects'!$N$5:$N$504,MATCH(C300,'Prospects'!$C$5:$C$504,0)),""))</f>
        <v/>
      </c>
      <c r="BB300" s="61">
        <f>IF(AND(C300&lt;&gt;"",C300='Fiche prospect'!$C$4),COUNTIF($C$5:C300,C300),"")</f>
        <v/>
      </c>
    </row>
    <row r="301">
      <c r="A301" s="53" t="n"/>
      <c r="B301" s="54" t="n"/>
      <c r="C301" s="55" t="n"/>
      <c r="D301" s="55" t="n"/>
      <c r="E301" s="55" t="n"/>
      <c r="F301" s="55" t="n"/>
      <c r="G301" s="56" t="n"/>
      <c r="H301" s="57" t="n"/>
      <c r="I301" s="55" t="n"/>
      <c r="J301" s="53" t="n"/>
      <c r="K301" s="54" t="n"/>
      <c r="L301" s="55" t="n"/>
      <c r="M301" s="55" t="n"/>
      <c r="N301" s="57" t="n"/>
      <c r="O301" s="55" t="n"/>
      <c r="P301" s="56" t="n"/>
      <c r="Q301" s="55" t="n"/>
      <c r="R301" s="55" t="n"/>
      <c r="S301" s="55" t="n"/>
      <c r="T301" s="55" t="n"/>
      <c r="U301" s="55" t="n"/>
      <c r="V301" s="55" t="n"/>
      <c r="W301" s="58" t="n"/>
      <c r="X301" s="58" t="n"/>
      <c r="Y301" s="55" t="n"/>
      <c r="Z301" s="55" t="n"/>
      <c r="AA301" s="55" t="n"/>
      <c r="AB301" s="55" t="n"/>
      <c r="AC301" s="55" t="n"/>
      <c r="AD301" s="53" t="n"/>
      <c r="AE301" s="55" t="n"/>
      <c r="AF301" s="55" t="n"/>
      <c r="AG301" s="59" t="n"/>
      <c r="AH301" s="57" t="n"/>
      <c r="AI301" s="55" t="n"/>
      <c r="AJ301" s="55" t="n"/>
      <c r="AK301" s="55" t="n"/>
      <c r="AL301" s="55" t="n"/>
      <c r="AM301" s="56" t="n"/>
      <c r="AN301" s="55" t="n"/>
      <c r="AO301" s="55" t="n"/>
      <c r="AP301" s="55" t="n"/>
      <c r="AQ301" s="55" t="n"/>
      <c r="AR301" s="60">
        <f>IF(AND(C301="",E301=""),"",IF(A301="","⚠ Date manquante",IF(AND(C301="",E301&lt;&gt;"Dépense"),"⚠ Prospect manquant",IF(E301="","⚠ Action manquante",IF(AND(AU301=1,D301=""),"⚠ Canal manquant",IF(AND(W301&lt;&gt;"",COUNTIFS('Saisie'!$W$5:$W$2004,W301,'Saisie'!$C$5:$C$2004,"&lt;&gt;"&amp;C301)&gt;0),"⚠ Numéro déjà utilisé par un autre prospect",IF(AND(J301&lt;&gt;"",J301&lt;A301),"⚠ Relance avant la date de l'action",IF(A301&gt;TODAY(),"⚠ Date dans le futur","✓"))))))))</f>
        <v/>
      </c>
      <c r="AS301" s="61">
        <f>IF(AND(A301="",C301="",E301=""),"",ROW())</f>
        <v/>
      </c>
      <c r="AT301" s="61">
        <f>IF(E301&amp;F301="","",MAX(IFERROR(INDEX('Paramètres'!$J$6:$J$33,MATCH(E301,'Paramètres'!$I$6:$I$33,0)),0),IFERROR(INDEX('Paramètres'!$N$6:$N$17,MATCH(F301,'Paramètres'!$M$6:$M$17,0)),0)))</f>
        <v/>
      </c>
      <c r="AU301" s="61">
        <f>IF(E301="","",IFERROR(IF(INDEX('Paramètres'!$K$6:$K$33,MATCH(E301,'Paramètres'!$I$6:$I$33,0))="Oui",1,0),0))</f>
        <v/>
      </c>
      <c r="AV301" s="61">
        <f>IF(F301="","",IFERROR(IF(INDEX('Paramètres'!$O$6:$O$17,MATCH(F301,'Paramètres'!$M$6:$M$17,0))="Oui",1,0),0))</f>
        <v/>
      </c>
      <c r="AW301" s="62">
        <f>IF(E301="","",IF(G301&lt;&gt;"",G301,IF(OR(E301="Proposition envoyée",E301="Signature"),MAX(0,N(IFERROR(INDEX('Paramètres'!$R$6:$R$15,MATCH(IF(AL301&lt;&gt;"",AL301,IFERROR(INDEX('Prospects'!$AN$5:$AN$504,MATCH(C301,'Prospects'!$C$5:$C$504,0)),"")),'Paramètres'!$Q$6:$Q$15,0)),0))-N(P301)),0)))</f>
        <v/>
      </c>
      <c r="AX301" s="61">
        <f>IF(C301="","",IF(COUNTIF($C$5:C301,C301)=1,MAX($AX$4:AX300)+1,""))</f>
        <v/>
      </c>
      <c r="AY301" s="61">
        <f>IF(B301="","",HOUR(B301))</f>
        <v/>
      </c>
      <c r="AZ301" s="61">
        <f>IF(A301="","",MOD(A301-2,7)+1)</f>
        <v/>
      </c>
      <c r="BA301" s="60">
        <f>IF(C301="","",IFERROR(INDEX('Prospects'!$N$5:$N$504,MATCH(C301,'Prospects'!$C$5:$C$504,0)),""))</f>
        <v/>
      </c>
      <c r="BB301" s="61">
        <f>IF(AND(C301&lt;&gt;"",C301='Fiche prospect'!$C$4),COUNTIF($C$5:C301,C301),"")</f>
        <v/>
      </c>
    </row>
    <row r="302">
      <c r="A302" s="53" t="n"/>
      <c r="B302" s="54" t="n"/>
      <c r="C302" s="55" t="n"/>
      <c r="D302" s="55" t="n"/>
      <c r="E302" s="55" t="n"/>
      <c r="F302" s="55" t="n"/>
      <c r="G302" s="56" t="n"/>
      <c r="H302" s="57" t="n"/>
      <c r="I302" s="55" t="n"/>
      <c r="J302" s="53" t="n"/>
      <c r="K302" s="54" t="n"/>
      <c r="L302" s="55" t="n"/>
      <c r="M302" s="55" t="n"/>
      <c r="N302" s="57" t="n"/>
      <c r="O302" s="55" t="n"/>
      <c r="P302" s="56" t="n"/>
      <c r="Q302" s="55" t="n"/>
      <c r="R302" s="55" t="n"/>
      <c r="S302" s="55" t="n"/>
      <c r="T302" s="55" t="n"/>
      <c r="U302" s="55" t="n"/>
      <c r="V302" s="55" t="n"/>
      <c r="W302" s="58" t="n"/>
      <c r="X302" s="58" t="n"/>
      <c r="Y302" s="55" t="n"/>
      <c r="Z302" s="55" t="n"/>
      <c r="AA302" s="55" t="n"/>
      <c r="AB302" s="55" t="n"/>
      <c r="AC302" s="55" t="n"/>
      <c r="AD302" s="53" t="n"/>
      <c r="AE302" s="55" t="n"/>
      <c r="AF302" s="55" t="n"/>
      <c r="AG302" s="59" t="n"/>
      <c r="AH302" s="57" t="n"/>
      <c r="AI302" s="55" t="n"/>
      <c r="AJ302" s="55" t="n"/>
      <c r="AK302" s="55" t="n"/>
      <c r="AL302" s="55" t="n"/>
      <c r="AM302" s="56" t="n"/>
      <c r="AN302" s="55" t="n"/>
      <c r="AO302" s="55" t="n"/>
      <c r="AP302" s="55" t="n"/>
      <c r="AQ302" s="55" t="n"/>
      <c r="AR302" s="60">
        <f>IF(AND(C302="",E302=""),"",IF(A302="","⚠ Date manquante",IF(AND(C302="",E302&lt;&gt;"Dépense"),"⚠ Prospect manquant",IF(E302="","⚠ Action manquante",IF(AND(AU302=1,D302=""),"⚠ Canal manquant",IF(AND(W302&lt;&gt;"",COUNTIFS('Saisie'!$W$5:$W$2004,W302,'Saisie'!$C$5:$C$2004,"&lt;&gt;"&amp;C302)&gt;0),"⚠ Numéro déjà utilisé par un autre prospect",IF(AND(J302&lt;&gt;"",J302&lt;A302),"⚠ Relance avant la date de l'action",IF(A302&gt;TODAY(),"⚠ Date dans le futur","✓"))))))))</f>
        <v/>
      </c>
      <c r="AS302" s="61">
        <f>IF(AND(A302="",C302="",E302=""),"",ROW())</f>
        <v/>
      </c>
      <c r="AT302" s="61">
        <f>IF(E302&amp;F302="","",MAX(IFERROR(INDEX('Paramètres'!$J$6:$J$33,MATCH(E302,'Paramètres'!$I$6:$I$33,0)),0),IFERROR(INDEX('Paramètres'!$N$6:$N$17,MATCH(F302,'Paramètres'!$M$6:$M$17,0)),0)))</f>
        <v/>
      </c>
      <c r="AU302" s="61">
        <f>IF(E302="","",IFERROR(IF(INDEX('Paramètres'!$K$6:$K$33,MATCH(E302,'Paramètres'!$I$6:$I$33,0))="Oui",1,0),0))</f>
        <v/>
      </c>
      <c r="AV302" s="61">
        <f>IF(F302="","",IFERROR(IF(INDEX('Paramètres'!$O$6:$O$17,MATCH(F302,'Paramètres'!$M$6:$M$17,0))="Oui",1,0),0))</f>
        <v/>
      </c>
      <c r="AW302" s="62">
        <f>IF(E302="","",IF(G302&lt;&gt;"",G302,IF(OR(E302="Proposition envoyée",E302="Signature"),MAX(0,N(IFERROR(INDEX('Paramètres'!$R$6:$R$15,MATCH(IF(AL302&lt;&gt;"",AL302,IFERROR(INDEX('Prospects'!$AN$5:$AN$504,MATCH(C302,'Prospects'!$C$5:$C$504,0)),"")),'Paramètres'!$Q$6:$Q$15,0)),0))-N(P302)),0)))</f>
        <v/>
      </c>
      <c r="AX302" s="61">
        <f>IF(C302="","",IF(COUNTIF($C$5:C302,C302)=1,MAX($AX$4:AX301)+1,""))</f>
        <v/>
      </c>
      <c r="AY302" s="61">
        <f>IF(B302="","",HOUR(B302))</f>
        <v/>
      </c>
      <c r="AZ302" s="61">
        <f>IF(A302="","",MOD(A302-2,7)+1)</f>
        <v/>
      </c>
      <c r="BA302" s="60">
        <f>IF(C302="","",IFERROR(INDEX('Prospects'!$N$5:$N$504,MATCH(C302,'Prospects'!$C$5:$C$504,0)),""))</f>
        <v/>
      </c>
      <c r="BB302" s="61">
        <f>IF(AND(C302&lt;&gt;"",C302='Fiche prospect'!$C$4),COUNTIF($C$5:C302,C302),"")</f>
        <v/>
      </c>
    </row>
    <row r="303">
      <c r="A303" s="53" t="n"/>
      <c r="B303" s="54" t="n"/>
      <c r="C303" s="55" t="n"/>
      <c r="D303" s="55" t="n"/>
      <c r="E303" s="55" t="n"/>
      <c r="F303" s="55" t="n"/>
      <c r="G303" s="56" t="n"/>
      <c r="H303" s="57" t="n"/>
      <c r="I303" s="55" t="n"/>
      <c r="J303" s="53" t="n"/>
      <c r="K303" s="54" t="n"/>
      <c r="L303" s="55" t="n"/>
      <c r="M303" s="55" t="n"/>
      <c r="N303" s="57" t="n"/>
      <c r="O303" s="55" t="n"/>
      <c r="P303" s="56" t="n"/>
      <c r="Q303" s="55" t="n"/>
      <c r="R303" s="55" t="n"/>
      <c r="S303" s="55" t="n"/>
      <c r="T303" s="55" t="n"/>
      <c r="U303" s="55" t="n"/>
      <c r="V303" s="55" t="n"/>
      <c r="W303" s="58" t="n"/>
      <c r="X303" s="58" t="n"/>
      <c r="Y303" s="55" t="n"/>
      <c r="Z303" s="55" t="n"/>
      <c r="AA303" s="55" t="n"/>
      <c r="AB303" s="55" t="n"/>
      <c r="AC303" s="55" t="n"/>
      <c r="AD303" s="53" t="n"/>
      <c r="AE303" s="55" t="n"/>
      <c r="AF303" s="55" t="n"/>
      <c r="AG303" s="59" t="n"/>
      <c r="AH303" s="57" t="n"/>
      <c r="AI303" s="55" t="n"/>
      <c r="AJ303" s="55" t="n"/>
      <c r="AK303" s="55" t="n"/>
      <c r="AL303" s="55" t="n"/>
      <c r="AM303" s="56" t="n"/>
      <c r="AN303" s="55" t="n"/>
      <c r="AO303" s="55" t="n"/>
      <c r="AP303" s="55" t="n"/>
      <c r="AQ303" s="55" t="n"/>
      <c r="AR303" s="60">
        <f>IF(AND(C303="",E303=""),"",IF(A303="","⚠ Date manquante",IF(AND(C303="",E303&lt;&gt;"Dépense"),"⚠ Prospect manquant",IF(E303="","⚠ Action manquante",IF(AND(AU303=1,D303=""),"⚠ Canal manquant",IF(AND(W303&lt;&gt;"",COUNTIFS('Saisie'!$W$5:$W$2004,W303,'Saisie'!$C$5:$C$2004,"&lt;&gt;"&amp;C303)&gt;0),"⚠ Numéro déjà utilisé par un autre prospect",IF(AND(J303&lt;&gt;"",J303&lt;A303),"⚠ Relance avant la date de l'action",IF(A303&gt;TODAY(),"⚠ Date dans le futur","✓"))))))))</f>
        <v/>
      </c>
      <c r="AS303" s="61">
        <f>IF(AND(A303="",C303="",E303=""),"",ROW())</f>
        <v/>
      </c>
      <c r="AT303" s="61">
        <f>IF(E303&amp;F303="","",MAX(IFERROR(INDEX('Paramètres'!$J$6:$J$33,MATCH(E303,'Paramètres'!$I$6:$I$33,0)),0),IFERROR(INDEX('Paramètres'!$N$6:$N$17,MATCH(F303,'Paramètres'!$M$6:$M$17,0)),0)))</f>
        <v/>
      </c>
      <c r="AU303" s="61">
        <f>IF(E303="","",IFERROR(IF(INDEX('Paramètres'!$K$6:$K$33,MATCH(E303,'Paramètres'!$I$6:$I$33,0))="Oui",1,0),0))</f>
        <v/>
      </c>
      <c r="AV303" s="61">
        <f>IF(F303="","",IFERROR(IF(INDEX('Paramètres'!$O$6:$O$17,MATCH(F303,'Paramètres'!$M$6:$M$17,0))="Oui",1,0),0))</f>
        <v/>
      </c>
      <c r="AW303" s="62">
        <f>IF(E303="","",IF(G303&lt;&gt;"",G303,IF(OR(E303="Proposition envoyée",E303="Signature"),MAX(0,N(IFERROR(INDEX('Paramètres'!$R$6:$R$15,MATCH(IF(AL303&lt;&gt;"",AL303,IFERROR(INDEX('Prospects'!$AN$5:$AN$504,MATCH(C303,'Prospects'!$C$5:$C$504,0)),"")),'Paramètres'!$Q$6:$Q$15,0)),0))-N(P303)),0)))</f>
        <v/>
      </c>
      <c r="AX303" s="61">
        <f>IF(C303="","",IF(COUNTIF($C$5:C303,C303)=1,MAX($AX$4:AX302)+1,""))</f>
        <v/>
      </c>
      <c r="AY303" s="61">
        <f>IF(B303="","",HOUR(B303))</f>
        <v/>
      </c>
      <c r="AZ303" s="61">
        <f>IF(A303="","",MOD(A303-2,7)+1)</f>
        <v/>
      </c>
      <c r="BA303" s="60">
        <f>IF(C303="","",IFERROR(INDEX('Prospects'!$N$5:$N$504,MATCH(C303,'Prospects'!$C$5:$C$504,0)),""))</f>
        <v/>
      </c>
      <c r="BB303" s="61">
        <f>IF(AND(C303&lt;&gt;"",C303='Fiche prospect'!$C$4),COUNTIF($C$5:C303,C303),"")</f>
        <v/>
      </c>
    </row>
    <row r="304">
      <c r="A304" s="53" t="n"/>
      <c r="B304" s="54" t="n"/>
      <c r="C304" s="55" t="n"/>
      <c r="D304" s="55" t="n"/>
      <c r="E304" s="55" t="n"/>
      <c r="F304" s="55" t="n"/>
      <c r="G304" s="56" t="n"/>
      <c r="H304" s="57" t="n"/>
      <c r="I304" s="55" t="n"/>
      <c r="J304" s="53" t="n"/>
      <c r="K304" s="54" t="n"/>
      <c r="L304" s="55" t="n"/>
      <c r="M304" s="55" t="n"/>
      <c r="N304" s="57" t="n"/>
      <c r="O304" s="55" t="n"/>
      <c r="P304" s="56" t="n"/>
      <c r="Q304" s="55" t="n"/>
      <c r="R304" s="55" t="n"/>
      <c r="S304" s="55" t="n"/>
      <c r="T304" s="55" t="n"/>
      <c r="U304" s="55" t="n"/>
      <c r="V304" s="55" t="n"/>
      <c r="W304" s="58" t="n"/>
      <c r="X304" s="58" t="n"/>
      <c r="Y304" s="55" t="n"/>
      <c r="Z304" s="55" t="n"/>
      <c r="AA304" s="55" t="n"/>
      <c r="AB304" s="55" t="n"/>
      <c r="AC304" s="55" t="n"/>
      <c r="AD304" s="53" t="n"/>
      <c r="AE304" s="55" t="n"/>
      <c r="AF304" s="55" t="n"/>
      <c r="AG304" s="59" t="n"/>
      <c r="AH304" s="57" t="n"/>
      <c r="AI304" s="55" t="n"/>
      <c r="AJ304" s="55" t="n"/>
      <c r="AK304" s="55" t="n"/>
      <c r="AL304" s="55" t="n"/>
      <c r="AM304" s="56" t="n"/>
      <c r="AN304" s="55" t="n"/>
      <c r="AO304" s="55" t="n"/>
      <c r="AP304" s="55" t="n"/>
      <c r="AQ304" s="55" t="n"/>
      <c r="AR304" s="60">
        <f>IF(AND(C304="",E304=""),"",IF(A304="","⚠ Date manquante",IF(AND(C304="",E304&lt;&gt;"Dépense"),"⚠ Prospect manquant",IF(E304="","⚠ Action manquante",IF(AND(AU304=1,D304=""),"⚠ Canal manquant",IF(AND(W304&lt;&gt;"",COUNTIFS('Saisie'!$W$5:$W$2004,W304,'Saisie'!$C$5:$C$2004,"&lt;&gt;"&amp;C304)&gt;0),"⚠ Numéro déjà utilisé par un autre prospect",IF(AND(J304&lt;&gt;"",J304&lt;A304),"⚠ Relance avant la date de l'action",IF(A304&gt;TODAY(),"⚠ Date dans le futur","✓"))))))))</f>
        <v/>
      </c>
      <c r="AS304" s="61">
        <f>IF(AND(A304="",C304="",E304=""),"",ROW())</f>
        <v/>
      </c>
      <c r="AT304" s="61">
        <f>IF(E304&amp;F304="","",MAX(IFERROR(INDEX('Paramètres'!$J$6:$J$33,MATCH(E304,'Paramètres'!$I$6:$I$33,0)),0),IFERROR(INDEX('Paramètres'!$N$6:$N$17,MATCH(F304,'Paramètres'!$M$6:$M$17,0)),0)))</f>
        <v/>
      </c>
      <c r="AU304" s="61">
        <f>IF(E304="","",IFERROR(IF(INDEX('Paramètres'!$K$6:$K$33,MATCH(E304,'Paramètres'!$I$6:$I$33,0))="Oui",1,0),0))</f>
        <v/>
      </c>
      <c r="AV304" s="61">
        <f>IF(F304="","",IFERROR(IF(INDEX('Paramètres'!$O$6:$O$17,MATCH(F304,'Paramètres'!$M$6:$M$17,0))="Oui",1,0),0))</f>
        <v/>
      </c>
      <c r="AW304" s="62">
        <f>IF(E304="","",IF(G304&lt;&gt;"",G304,IF(OR(E304="Proposition envoyée",E304="Signature"),MAX(0,N(IFERROR(INDEX('Paramètres'!$R$6:$R$15,MATCH(IF(AL304&lt;&gt;"",AL304,IFERROR(INDEX('Prospects'!$AN$5:$AN$504,MATCH(C304,'Prospects'!$C$5:$C$504,0)),"")),'Paramètres'!$Q$6:$Q$15,0)),0))-N(P304)),0)))</f>
        <v/>
      </c>
      <c r="AX304" s="61">
        <f>IF(C304="","",IF(COUNTIF($C$5:C304,C304)=1,MAX($AX$4:AX303)+1,""))</f>
        <v/>
      </c>
      <c r="AY304" s="61">
        <f>IF(B304="","",HOUR(B304))</f>
        <v/>
      </c>
      <c r="AZ304" s="61">
        <f>IF(A304="","",MOD(A304-2,7)+1)</f>
        <v/>
      </c>
      <c r="BA304" s="60">
        <f>IF(C304="","",IFERROR(INDEX('Prospects'!$N$5:$N$504,MATCH(C304,'Prospects'!$C$5:$C$504,0)),""))</f>
        <v/>
      </c>
      <c r="BB304" s="61">
        <f>IF(AND(C304&lt;&gt;"",C304='Fiche prospect'!$C$4),COUNTIF($C$5:C304,C304),"")</f>
        <v/>
      </c>
    </row>
    <row r="305">
      <c r="A305" s="53" t="n"/>
      <c r="B305" s="54" t="n"/>
      <c r="C305" s="55" t="n"/>
      <c r="D305" s="55" t="n"/>
      <c r="E305" s="55" t="n"/>
      <c r="F305" s="55" t="n"/>
      <c r="G305" s="56" t="n"/>
      <c r="H305" s="57" t="n"/>
      <c r="I305" s="55" t="n"/>
      <c r="J305" s="53" t="n"/>
      <c r="K305" s="54" t="n"/>
      <c r="L305" s="55" t="n"/>
      <c r="M305" s="55" t="n"/>
      <c r="N305" s="57" t="n"/>
      <c r="O305" s="55" t="n"/>
      <c r="P305" s="56" t="n"/>
      <c r="Q305" s="55" t="n"/>
      <c r="R305" s="55" t="n"/>
      <c r="S305" s="55" t="n"/>
      <c r="T305" s="55" t="n"/>
      <c r="U305" s="55" t="n"/>
      <c r="V305" s="55" t="n"/>
      <c r="W305" s="58" t="n"/>
      <c r="X305" s="58" t="n"/>
      <c r="Y305" s="55" t="n"/>
      <c r="Z305" s="55" t="n"/>
      <c r="AA305" s="55" t="n"/>
      <c r="AB305" s="55" t="n"/>
      <c r="AC305" s="55" t="n"/>
      <c r="AD305" s="53" t="n"/>
      <c r="AE305" s="55" t="n"/>
      <c r="AF305" s="55" t="n"/>
      <c r="AG305" s="59" t="n"/>
      <c r="AH305" s="57" t="n"/>
      <c r="AI305" s="55" t="n"/>
      <c r="AJ305" s="55" t="n"/>
      <c r="AK305" s="55" t="n"/>
      <c r="AL305" s="55" t="n"/>
      <c r="AM305" s="56" t="n"/>
      <c r="AN305" s="55" t="n"/>
      <c r="AO305" s="55" t="n"/>
      <c r="AP305" s="55" t="n"/>
      <c r="AQ305" s="55" t="n"/>
      <c r="AR305" s="60">
        <f>IF(AND(C305="",E305=""),"",IF(A305="","⚠ Date manquante",IF(AND(C305="",E305&lt;&gt;"Dépense"),"⚠ Prospect manquant",IF(E305="","⚠ Action manquante",IF(AND(AU305=1,D305=""),"⚠ Canal manquant",IF(AND(W305&lt;&gt;"",COUNTIFS('Saisie'!$W$5:$W$2004,W305,'Saisie'!$C$5:$C$2004,"&lt;&gt;"&amp;C305)&gt;0),"⚠ Numéro déjà utilisé par un autre prospect",IF(AND(J305&lt;&gt;"",J305&lt;A305),"⚠ Relance avant la date de l'action",IF(A305&gt;TODAY(),"⚠ Date dans le futur","✓"))))))))</f>
        <v/>
      </c>
      <c r="AS305" s="61">
        <f>IF(AND(A305="",C305="",E305=""),"",ROW())</f>
        <v/>
      </c>
      <c r="AT305" s="61">
        <f>IF(E305&amp;F305="","",MAX(IFERROR(INDEX('Paramètres'!$J$6:$J$33,MATCH(E305,'Paramètres'!$I$6:$I$33,0)),0),IFERROR(INDEX('Paramètres'!$N$6:$N$17,MATCH(F305,'Paramètres'!$M$6:$M$17,0)),0)))</f>
        <v/>
      </c>
      <c r="AU305" s="61">
        <f>IF(E305="","",IFERROR(IF(INDEX('Paramètres'!$K$6:$K$33,MATCH(E305,'Paramètres'!$I$6:$I$33,0))="Oui",1,0),0))</f>
        <v/>
      </c>
      <c r="AV305" s="61">
        <f>IF(F305="","",IFERROR(IF(INDEX('Paramètres'!$O$6:$O$17,MATCH(F305,'Paramètres'!$M$6:$M$17,0))="Oui",1,0),0))</f>
        <v/>
      </c>
      <c r="AW305" s="62">
        <f>IF(E305="","",IF(G305&lt;&gt;"",G305,IF(OR(E305="Proposition envoyée",E305="Signature"),MAX(0,N(IFERROR(INDEX('Paramètres'!$R$6:$R$15,MATCH(IF(AL305&lt;&gt;"",AL305,IFERROR(INDEX('Prospects'!$AN$5:$AN$504,MATCH(C305,'Prospects'!$C$5:$C$504,0)),"")),'Paramètres'!$Q$6:$Q$15,0)),0))-N(P305)),0)))</f>
        <v/>
      </c>
      <c r="AX305" s="61">
        <f>IF(C305="","",IF(COUNTIF($C$5:C305,C305)=1,MAX($AX$4:AX304)+1,""))</f>
        <v/>
      </c>
      <c r="AY305" s="61">
        <f>IF(B305="","",HOUR(B305))</f>
        <v/>
      </c>
      <c r="AZ305" s="61">
        <f>IF(A305="","",MOD(A305-2,7)+1)</f>
        <v/>
      </c>
      <c r="BA305" s="60">
        <f>IF(C305="","",IFERROR(INDEX('Prospects'!$N$5:$N$504,MATCH(C305,'Prospects'!$C$5:$C$504,0)),""))</f>
        <v/>
      </c>
      <c r="BB305" s="61">
        <f>IF(AND(C305&lt;&gt;"",C305='Fiche prospect'!$C$4),COUNTIF($C$5:C305,C305),"")</f>
        <v/>
      </c>
    </row>
    <row r="306">
      <c r="A306" s="53" t="n"/>
      <c r="B306" s="54" t="n"/>
      <c r="C306" s="55" t="n"/>
      <c r="D306" s="55" t="n"/>
      <c r="E306" s="55" t="n"/>
      <c r="F306" s="55" t="n"/>
      <c r="G306" s="56" t="n"/>
      <c r="H306" s="57" t="n"/>
      <c r="I306" s="55" t="n"/>
      <c r="J306" s="53" t="n"/>
      <c r="K306" s="54" t="n"/>
      <c r="L306" s="55" t="n"/>
      <c r="M306" s="55" t="n"/>
      <c r="N306" s="57" t="n"/>
      <c r="O306" s="55" t="n"/>
      <c r="P306" s="56" t="n"/>
      <c r="Q306" s="55" t="n"/>
      <c r="R306" s="55" t="n"/>
      <c r="S306" s="55" t="n"/>
      <c r="T306" s="55" t="n"/>
      <c r="U306" s="55" t="n"/>
      <c r="V306" s="55" t="n"/>
      <c r="W306" s="58" t="n"/>
      <c r="X306" s="58" t="n"/>
      <c r="Y306" s="55" t="n"/>
      <c r="Z306" s="55" t="n"/>
      <c r="AA306" s="55" t="n"/>
      <c r="AB306" s="55" t="n"/>
      <c r="AC306" s="55" t="n"/>
      <c r="AD306" s="53" t="n"/>
      <c r="AE306" s="55" t="n"/>
      <c r="AF306" s="55" t="n"/>
      <c r="AG306" s="59" t="n"/>
      <c r="AH306" s="57" t="n"/>
      <c r="AI306" s="55" t="n"/>
      <c r="AJ306" s="55" t="n"/>
      <c r="AK306" s="55" t="n"/>
      <c r="AL306" s="55" t="n"/>
      <c r="AM306" s="56" t="n"/>
      <c r="AN306" s="55" t="n"/>
      <c r="AO306" s="55" t="n"/>
      <c r="AP306" s="55" t="n"/>
      <c r="AQ306" s="55" t="n"/>
      <c r="AR306" s="60">
        <f>IF(AND(C306="",E306=""),"",IF(A306="","⚠ Date manquante",IF(AND(C306="",E306&lt;&gt;"Dépense"),"⚠ Prospect manquant",IF(E306="","⚠ Action manquante",IF(AND(AU306=1,D306=""),"⚠ Canal manquant",IF(AND(W306&lt;&gt;"",COUNTIFS('Saisie'!$W$5:$W$2004,W306,'Saisie'!$C$5:$C$2004,"&lt;&gt;"&amp;C306)&gt;0),"⚠ Numéro déjà utilisé par un autre prospect",IF(AND(J306&lt;&gt;"",J306&lt;A306),"⚠ Relance avant la date de l'action",IF(A306&gt;TODAY(),"⚠ Date dans le futur","✓"))))))))</f>
        <v/>
      </c>
      <c r="AS306" s="61">
        <f>IF(AND(A306="",C306="",E306=""),"",ROW())</f>
        <v/>
      </c>
      <c r="AT306" s="61">
        <f>IF(E306&amp;F306="","",MAX(IFERROR(INDEX('Paramètres'!$J$6:$J$33,MATCH(E306,'Paramètres'!$I$6:$I$33,0)),0),IFERROR(INDEX('Paramètres'!$N$6:$N$17,MATCH(F306,'Paramètres'!$M$6:$M$17,0)),0)))</f>
        <v/>
      </c>
      <c r="AU306" s="61">
        <f>IF(E306="","",IFERROR(IF(INDEX('Paramètres'!$K$6:$K$33,MATCH(E306,'Paramètres'!$I$6:$I$33,0))="Oui",1,0),0))</f>
        <v/>
      </c>
      <c r="AV306" s="61">
        <f>IF(F306="","",IFERROR(IF(INDEX('Paramètres'!$O$6:$O$17,MATCH(F306,'Paramètres'!$M$6:$M$17,0))="Oui",1,0),0))</f>
        <v/>
      </c>
      <c r="AW306" s="62">
        <f>IF(E306="","",IF(G306&lt;&gt;"",G306,IF(OR(E306="Proposition envoyée",E306="Signature"),MAX(0,N(IFERROR(INDEX('Paramètres'!$R$6:$R$15,MATCH(IF(AL306&lt;&gt;"",AL306,IFERROR(INDEX('Prospects'!$AN$5:$AN$504,MATCH(C306,'Prospects'!$C$5:$C$504,0)),"")),'Paramètres'!$Q$6:$Q$15,0)),0))-N(P306)),0)))</f>
        <v/>
      </c>
      <c r="AX306" s="61">
        <f>IF(C306="","",IF(COUNTIF($C$5:C306,C306)=1,MAX($AX$4:AX305)+1,""))</f>
        <v/>
      </c>
      <c r="AY306" s="61">
        <f>IF(B306="","",HOUR(B306))</f>
        <v/>
      </c>
      <c r="AZ306" s="61">
        <f>IF(A306="","",MOD(A306-2,7)+1)</f>
        <v/>
      </c>
      <c r="BA306" s="60">
        <f>IF(C306="","",IFERROR(INDEX('Prospects'!$N$5:$N$504,MATCH(C306,'Prospects'!$C$5:$C$504,0)),""))</f>
        <v/>
      </c>
      <c r="BB306" s="61">
        <f>IF(AND(C306&lt;&gt;"",C306='Fiche prospect'!$C$4),COUNTIF($C$5:C306,C306),"")</f>
        <v/>
      </c>
    </row>
    <row r="307">
      <c r="A307" s="53" t="n"/>
      <c r="B307" s="54" t="n"/>
      <c r="C307" s="55" t="n"/>
      <c r="D307" s="55" t="n"/>
      <c r="E307" s="55" t="n"/>
      <c r="F307" s="55" t="n"/>
      <c r="G307" s="56" t="n"/>
      <c r="H307" s="57" t="n"/>
      <c r="I307" s="55" t="n"/>
      <c r="J307" s="53" t="n"/>
      <c r="K307" s="54" t="n"/>
      <c r="L307" s="55" t="n"/>
      <c r="M307" s="55" t="n"/>
      <c r="N307" s="57" t="n"/>
      <c r="O307" s="55" t="n"/>
      <c r="P307" s="56" t="n"/>
      <c r="Q307" s="55" t="n"/>
      <c r="R307" s="55" t="n"/>
      <c r="S307" s="55" t="n"/>
      <c r="T307" s="55" t="n"/>
      <c r="U307" s="55" t="n"/>
      <c r="V307" s="55" t="n"/>
      <c r="W307" s="58" t="n"/>
      <c r="X307" s="58" t="n"/>
      <c r="Y307" s="55" t="n"/>
      <c r="Z307" s="55" t="n"/>
      <c r="AA307" s="55" t="n"/>
      <c r="AB307" s="55" t="n"/>
      <c r="AC307" s="55" t="n"/>
      <c r="AD307" s="53" t="n"/>
      <c r="AE307" s="55" t="n"/>
      <c r="AF307" s="55" t="n"/>
      <c r="AG307" s="59" t="n"/>
      <c r="AH307" s="57" t="n"/>
      <c r="AI307" s="55" t="n"/>
      <c r="AJ307" s="55" t="n"/>
      <c r="AK307" s="55" t="n"/>
      <c r="AL307" s="55" t="n"/>
      <c r="AM307" s="56" t="n"/>
      <c r="AN307" s="55" t="n"/>
      <c r="AO307" s="55" t="n"/>
      <c r="AP307" s="55" t="n"/>
      <c r="AQ307" s="55" t="n"/>
      <c r="AR307" s="60">
        <f>IF(AND(C307="",E307=""),"",IF(A307="","⚠ Date manquante",IF(AND(C307="",E307&lt;&gt;"Dépense"),"⚠ Prospect manquant",IF(E307="","⚠ Action manquante",IF(AND(AU307=1,D307=""),"⚠ Canal manquant",IF(AND(W307&lt;&gt;"",COUNTIFS('Saisie'!$W$5:$W$2004,W307,'Saisie'!$C$5:$C$2004,"&lt;&gt;"&amp;C307)&gt;0),"⚠ Numéro déjà utilisé par un autre prospect",IF(AND(J307&lt;&gt;"",J307&lt;A307),"⚠ Relance avant la date de l'action",IF(A307&gt;TODAY(),"⚠ Date dans le futur","✓"))))))))</f>
        <v/>
      </c>
      <c r="AS307" s="61">
        <f>IF(AND(A307="",C307="",E307=""),"",ROW())</f>
        <v/>
      </c>
      <c r="AT307" s="61">
        <f>IF(E307&amp;F307="","",MAX(IFERROR(INDEX('Paramètres'!$J$6:$J$33,MATCH(E307,'Paramètres'!$I$6:$I$33,0)),0),IFERROR(INDEX('Paramètres'!$N$6:$N$17,MATCH(F307,'Paramètres'!$M$6:$M$17,0)),0)))</f>
        <v/>
      </c>
      <c r="AU307" s="61">
        <f>IF(E307="","",IFERROR(IF(INDEX('Paramètres'!$K$6:$K$33,MATCH(E307,'Paramètres'!$I$6:$I$33,0))="Oui",1,0),0))</f>
        <v/>
      </c>
      <c r="AV307" s="61">
        <f>IF(F307="","",IFERROR(IF(INDEX('Paramètres'!$O$6:$O$17,MATCH(F307,'Paramètres'!$M$6:$M$17,0))="Oui",1,0),0))</f>
        <v/>
      </c>
      <c r="AW307" s="62">
        <f>IF(E307="","",IF(G307&lt;&gt;"",G307,IF(OR(E307="Proposition envoyée",E307="Signature"),MAX(0,N(IFERROR(INDEX('Paramètres'!$R$6:$R$15,MATCH(IF(AL307&lt;&gt;"",AL307,IFERROR(INDEX('Prospects'!$AN$5:$AN$504,MATCH(C307,'Prospects'!$C$5:$C$504,0)),"")),'Paramètres'!$Q$6:$Q$15,0)),0))-N(P307)),0)))</f>
        <v/>
      </c>
      <c r="AX307" s="61">
        <f>IF(C307="","",IF(COUNTIF($C$5:C307,C307)=1,MAX($AX$4:AX306)+1,""))</f>
        <v/>
      </c>
      <c r="AY307" s="61">
        <f>IF(B307="","",HOUR(B307))</f>
        <v/>
      </c>
      <c r="AZ307" s="61">
        <f>IF(A307="","",MOD(A307-2,7)+1)</f>
        <v/>
      </c>
      <c r="BA307" s="60">
        <f>IF(C307="","",IFERROR(INDEX('Prospects'!$N$5:$N$504,MATCH(C307,'Prospects'!$C$5:$C$504,0)),""))</f>
        <v/>
      </c>
      <c r="BB307" s="61">
        <f>IF(AND(C307&lt;&gt;"",C307='Fiche prospect'!$C$4),COUNTIF($C$5:C307,C307),"")</f>
        <v/>
      </c>
    </row>
    <row r="308">
      <c r="A308" s="53" t="n"/>
      <c r="B308" s="54" t="n"/>
      <c r="C308" s="55" t="n"/>
      <c r="D308" s="55" t="n"/>
      <c r="E308" s="55" t="n"/>
      <c r="F308" s="55" t="n"/>
      <c r="G308" s="56" t="n"/>
      <c r="H308" s="57" t="n"/>
      <c r="I308" s="55" t="n"/>
      <c r="J308" s="53" t="n"/>
      <c r="K308" s="54" t="n"/>
      <c r="L308" s="55" t="n"/>
      <c r="M308" s="55" t="n"/>
      <c r="N308" s="57" t="n"/>
      <c r="O308" s="55" t="n"/>
      <c r="P308" s="56" t="n"/>
      <c r="Q308" s="55" t="n"/>
      <c r="R308" s="55" t="n"/>
      <c r="S308" s="55" t="n"/>
      <c r="T308" s="55" t="n"/>
      <c r="U308" s="55" t="n"/>
      <c r="V308" s="55" t="n"/>
      <c r="W308" s="58" t="n"/>
      <c r="X308" s="58" t="n"/>
      <c r="Y308" s="55" t="n"/>
      <c r="Z308" s="55" t="n"/>
      <c r="AA308" s="55" t="n"/>
      <c r="AB308" s="55" t="n"/>
      <c r="AC308" s="55" t="n"/>
      <c r="AD308" s="53" t="n"/>
      <c r="AE308" s="55" t="n"/>
      <c r="AF308" s="55" t="n"/>
      <c r="AG308" s="59" t="n"/>
      <c r="AH308" s="57" t="n"/>
      <c r="AI308" s="55" t="n"/>
      <c r="AJ308" s="55" t="n"/>
      <c r="AK308" s="55" t="n"/>
      <c r="AL308" s="55" t="n"/>
      <c r="AM308" s="56" t="n"/>
      <c r="AN308" s="55" t="n"/>
      <c r="AO308" s="55" t="n"/>
      <c r="AP308" s="55" t="n"/>
      <c r="AQ308" s="55" t="n"/>
      <c r="AR308" s="60">
        <f>IF(AND(C308="",E308=""),"",IF(A308="","⚠ Date manquante",IF(AND(C308="",E308&lt;&gt;"Dépense"),"⚠ Prospect manquant",IF(E308="","⚠ Action manquante",IF(AND(AU308=1,D308=""),"⚠ Canal manquant",IF(AND(W308&lt;&gt;"",COUNTIFS('Saisie'!$W$5:$W$2004,W308,'Saisie'!$C$5:$C$2004,"&lt;&gt;"&amp;C308)&gt;0),"⚠ Numéro déjà utilisé par un autre prospect",IF(AND(J308&lt;&gt;"",J308&lt;A308),"⚠ Relance avant la date de l'action",IF(A308&gt;TODAY(),"⚠ Date dans le futur","✓"))))))))</f>
        <v/>
      </c>
      <c r="AS308" s="61">
        <f>IF(AND(A308="",C308="",E308=""),"",ROW())</f>
        <v/>
      </c>
      <c r="AT308" s="61">
        <f>IF(E308&amp;F308="","",MAX(IFERROR(INDEX('Paramètres'!$J$6:$J$33,MATCH(E308,'Paramètres'!$I$6:$I$33,0)),0),IFERROR(INDEX('Paramètres'!$N$6:$N$17,MATCH(F308,'Paramètres'!$M$6:$M$17,0)),0)))</f>
        <v/>
      </c>
      <c r="AU308" s="61">
        <f>IF(E308="","",IFERROR(IF(INDEX('Paramètres'!$K$6:$K$33,MATCH(E308,'Paramètres'!$I$6:$I$33,0))="Oui",1,0),0))</f>
        <v/>
      </c>
      <c r="AV308" s="61">
        <f>IF(F308="","",IFERROR(IF(INDEX('Paramètres'!$O$6:$O$17,MATCH(F308,'Paramètres'!$M$6:$M$17,0))="Oui",1,0),0))</f>
        <v/>
      </c>
      <c r="AW308" s="62">
        <f>IF(E308="","",IF(G308&lt;&gt;"",G308,IF(OR(E308="Proposition envoyée",E308="Signature"),MAX(0,N(IFERROR(INDEX('Paramètres'!$R$6:$R$15,MATCH(IF(AL308&lt;&gt;"",AL308,IFERROR(INDEX('Prospects'!$AN$5:$AN$504,MATCH(C308,'Prospects'!$C$5:$C$504,0)),"")),'Paramètres'!$Q$6:$Q$15,0)),0))-N(P308)),0)))</f>
        <v/>
      </c>
      <c r="AX308" s="61">
        <f>IF(C308="","",IF(COUNTIF($C$5:C308,C308)=1,MAX($AX$4:AX307)+1,""))</f>
        <v/>
      </c>
      <c r="AY308" s="61">
        <f>IF(B308="","",HOUR(B308))</f>
        <v/>
      </c>
      <c r="AZ308" s="61">
        <f>IF(A308="","",MOD(A308-2,7)+1)</f>
        <v/>
      </c>
      <c r="BA308" s="60">
        <f>IF(C308="","",IFERROR(INDEX('Prospects'!$N$5:$N$504,MATCH(C308,'Prospects'!$C$5:$C$504,0)),""))</f>
        <v/>
      </c>
      <c r="BB308" s="61">
        <f>IF(AND(C308&lt;&gt;"",C308='Fiche prospect'!$C$4),COUNTIF($C$5:C308,C308),"")</f>
        <v/>
      </c>
    </row>
    <row r="309">
      <c r="A309" s="53" t="n"/>
      <c r="B309" s="54" t="n"/>
      <c r="C309" s="55" t="n"/>
      <c r="D309" s="55" t="n"/>
      <c r="E309" s="55" t="n"/>
      <c r="F309" s="55" t="n"/>
      <c r="G309" s="56" t="n"/>
      <c r="H309" s="57" t="n"/>
      <c r="I309" s="55" t="n"/>
      <c r="J309" s="53" t="n"/>
      <c r="K309" s="54" t="n"/>
      <c r="L309" s="55" t="n"/>
      <c r="M309" s="55" t="n"/>
      <c r="N309" s="57" t="n"/>
      <c r="O309" s="55" t="n"/>
      <c r="P309" s="56" t="n"/>
      <c r="Q309" s="55" t="n"/>
      <c r="R309" s="55" t="n"/>
      <c r="S309" s="55" t="n"/>
      <c r="T309" s="55" t="n"/>
      <c r="U309" s="55" t="n"/>
      <c r="V309" s="55" t="n"/>
      <c r="W309" s="58" t="n"/>
      <c r="X309" s="58" t="n"/>
      <c r="Y309" s="55" t="n"/>
      <c r="Z309" s="55" t="n"/>
      <c r="AA309" s="55" t="n"/>
      <c r="AB309" s="55" t="n"/>
      <c r="AC309" s="55" t="n"/>
      <c r="AD309" s="53" t="n"/>
      <c r="AE309" s="55" t="n"/>
      <c r="AF309" s="55" t="n"/>
      <c r="AG309" s="59" t="n"/>
      <c r="AH309" s="57" t="n"/>
      <c r="AI309" s="55" t="n"/>
      <c r="AJ309" s="55" t="n"/>
      <c r="AK309" s="55" t="n"/>
      <c r="AL309" s="55" t="n"/>
      <c r="AM309" s="56" t="n"/>
      <c r="AN309" s="55" t="n"/>
      <c r="AO309" s="55" t="n"/>
      <c r="AP309" s="55" t="n"/>
      <c r="AQ309" s="55" t="n"/>
      <c r="AR309" s="60">
        <f>IF(AND(C309="",E309=""),"",IF(A309="","⚠ Date manquante",IF(AND(C309="",E309&lt;&gt;"Dépense"),"⚠ Prospect manquant",IF(E309="","⚠ Action manquante",IF(AND(AU309=1,D309=""),"⚠ Canal manquant",IF(AND(W309&lt;&gt;"",COUNTIFS('Saisie'!$W$5:$W$2004,W309,'Saisie'!$C$5:$C$2004,"&lt;&gt;"&amp;C309)&gt;0),"⚠ Numéro déjà utilisé par un autre prospect",IF(AND(J309&lt;&gt;"",J309&lt;A309),"⚠ Relance avant la date de l'action",IF(A309&gt;TODAY(),"⚠ Date dans le futur","✓"))))))))</f>
        <v/>
      </c>
      <c r="AS309" s="61">
        <f>IF(AND(A309="",C309="",E309=""),"",ROW())</f>
        <v/>
      </c>
      <c r="AT309" s="61">
        <f>IF(E309&amp;F309="","",MAX(IFERROR(INDEX('Paramètres'!$J$6:$J$33,MATCH(E309,'Paramètres'!$I$6:$I$33,0)),0),IFERROR(INDEX('Paramètres'!$N$6:$N$17,MATCH(F309,'Paramètres'!$M$6:$M$17,0)),0)))</f>
        <v/>
      </c>
      <c r="AU309" s="61">
        <f>IF(E309="","",IFERROR(IF(INDEX('Paramètres'!$K$6:$K$33,MATCH(E309,'Paramètres'!$I$6:$I$33,0))="Oui",1,0),0))</f>
        <v/>
      </c>
      <c r="AV309" s="61">
        <f>IF(F309="","",IFERROR(IF(INDEX('Paramètres'!$O$6:$O$17,MATCH(F309,'Paramètres'!$M$6:$M$17,0))="Oui",1,0),0))</f>
        <v/>
      </c>
      <c r="AW309" s="62">
        <f>IF(E309="","",IF(G309&lt;&gt;"",G309,IF(OR(E309="Proposition envoyée",E309="Signature"),MAX(0,N(IFERROR(INDEX('Paramètres'!$R$6:$R$15,MATCH(IF(AL309&lt;&gt;"",AL309,IFERROR(INDEX('Prospects'!$AN$5:$AN$504,MATCH(C309,'Prospects'!$C$5:$C$504,0)),"")),'Paramètres'!$Q$6:$Q$15,0)),0))-N(P309)),0)))</f>
        <v/>
      </c>
      <c r="AX309" s="61">
        <f>IF(C309="","",IF(COUNTIF($C$5:C309,C309)=1,MAX($AX$4:AX308)+1,""))</f>
        <v/>
      </c>
      <c r="AY309" s="61">
        <f>IF(B309="","",HOUR(B309))</f>
        <v/>
      </c>
      <c r="AZ309" s="61">
        <f>IF(A309="","",MOD(A309-2,7)+1)</f>
        <v/>
      </c>
      <c r="BA309" s="60">
        <f>IF(C309="","",IFERROR(INDEX('Prospects'!$N$5:$N$504,MATCH(C309,'Prospects'!$C$5:$C$504,0)),""))</f>
        <v/>
      </c>
      <c r="BB309" s="61">
        <f>IF(AND(C309&lt;&gt;"",C309='Fiche prospect'!$C$4),COUNTIF($C$5:C309,C309),"")</f>
        <v/>
      </c>
    </row>
    <row r="310">
      <c r="A310" s="53" t="n"/>
      <c r="B310" s="54" t="n"/>
      <c r="C310" s="55" t="n"/>
      <c r="D310" s="55" t="n"/>
      <c r="E310" s="55" t="n"/>
      <c r="F310" s="55" t="n"/>
      <c r="G310" s="56" t="n"/>
      <c r="H310" s="57" t="n"/>
      <c r="I310" s="55" t="n"/>
      <c r="J310" s="53" t="n"/>
      <c r="K310" s="54" t="n"/>
      <c r="L310" s="55" t="n"/>
      <c r="M310" s="55" t="n"/>
      <c r="N310" s="57" t="n"/>
      <c r="O310" s="55" t="n"/>
      <c r="P310" s="56" t="n"/>
      <c r="Q310" s="55" t="n"/>
      <c r="R310" s="55" t="n"/>
      <c r="S310" s="55" t="n"/>
      <c r="T310" s="55" t="n"/>
      <c r="U310" s="55" t="n"/>
      <c r="V310" s="55" t="n"/>
      <c r="W310" s="58" t="n"/>
      <c r="X310" s="58" t="n"/>
      <c r="Y310" s="55" t="n"/>
      <c r="Z310" s="55" t="n"/>
      <c r="AA310" s="55" t="n"/>
      <c r="AB310" s="55" t="n"/>
      <c r="AC310" s="55" t="n"/>
      <c r="AD310" s="53" t="n"/>
      <c r="AE310" s="55" t="n"/>
      <c r="AF310" s="55" t="n"/>
      <c r="AG310" s="59" t="n"/>
      <c r="AH310" s="57" t="n"/>
      <c r="AI310" s="55" t="n"/>
      <c r="AJ310" s="55" t="n"/>
      <c r="AK310" s="55" t="n"/>
      <c r="AL310" s="55" t="n"/>
      <c r="AM310" s="56" t="n"/>
      <c r="AN310" s="55" t="n"/>
      <c r="AO310" s="55" t="n"/>
      <c r="AP310" s="55" t="n"/>
      <c r="AQ310" s="55" t="n"/>
      <c r="AR310" s="60">
        <f>IF(AND(C310="",E310=""),"",IF(A310="","⚠ Date manquante",IF(AND(C310="",E310&lt;&gt;"Dépense"),"⚠ Prospect manquant",IF(E310="","⚠ Action manquante",IF(AND(AU310=1,D310=""),"⚠ Canal manquant",IF(AND(W310&lt;&gt;"",COUNTIFS('Saisie'!$W$5:$W$2004,W310,'Saisie'!$C$5:$C$2004,"&lt;&gt;"&amp;C310)&gt;0),"⚠ Numéro déjà utilisé par un autre prospect",IF(AND(J310&lt;&gt;"",J310&lt;A310),"⚠ Relance avant la date de l'action",IF(A310&gt;TODAY(),"⚠ Date dans le futur","✓"))))))))</f>
        <v/>
      </c>
      <c r="AS310" s="61">
        <f>IF(AND(A310="",C310="",E310=""),"",ROW())</f>
        <v/>
      </c>
      <c r="AT310" s="61">
        <f>IF(E310&amp;F310="","",MAX(IFERROR(INDEX('Paramètres'!$J$6:$J$33,MATCH(E310,'Paramètres'!$I$6:$I$33,0)),0),IFERROR(INDEX('Paramètres'!$N$6:$N$17,MATCH(F310,'Paramètres'!$M$6:$M$17,0)),0)))</f>
        <v/>
      </c>
      <c r="AU310" s="61">
        <f>IF(E310="","",IFERROR(IF(INDEX('Paramètres'!$K$6:$K$33,MATCH(E310,'Paramètres'!$I$6:$I$33,0))="Oui",1,0),0))</f>
        <v/>
      </c>
      <c r="AV310" s="61">
        <f>IF(F310="","",IFERROR(IF(INDEX('Paramètres'!$O$6:$O$17,MATCH(F310,'Paramètres'!$M$6:$M$17,0))="Oui",1,0),0))</f>
        <v/>
      </c>
      <c r="AW310" s="62">
        <f>IF(E310="","",IF(G310&lt;&gt;"",G310,IF(OR(E310="Proposition envoyée",E310="Signature"),MAX(0,N(IFERROR(INDEX('Paramètres'!$R$6:$R$15,MATCH(IF(AL310&lt;&gt;"",AL310,IFERROR(INDEX('Prospects'!$AN$5:$AN$504,MATCH(C310,'Prospects'!$C$5:$C$504,0)),"")),'Paramètres'!$Q$6:$Q$15,0)),0))-N(P310)),0)))</f>
        <v/>
      </c>
      <c r="AX310" s="61">
        <f>IF(C310="","",IF(COUNTIF($C$5:C310,C310)=1,MAX($AX$4:AX309)+1,""))</f>
        <v/>
      </c>
      <c r="AY310" s="61">
        <f>IF(B310="","",HOUR(B310))</f>
        <v/>
      </c>
      <c r="AZ310" s="61">
        <f>IF(A310="","",MOD(A310-2,7)+1)</f>
        <v/>
      </c>
      <c r="BA310" s="60">
        <f>IF(C310="","",IFERROR(INDEX('Prospects'!$N$5:$N$504,MATCH(C310,'Prospects'!$C$5:$C$504,0)),""))</f>
        <v/>
      </c>
      <c r="BB310" s="61">
        <f>IF(AND(C310&lt;&gt;"",C310='Fiche prospect'!$C$4),COUNTIF($C$5:C310,C310),"")</f>
        <v/>
      </c>
    </row>
    <row r="311">
      <c r="A311" s="53" t="n"/>
      <c r="B311" s="54" t="n"/>
      <c r="C311" s="55" t="n"/>
      <c r="D311" s="55" t="n"/>
      <c r="E311" s="55" t="n"/>
      <c r="F311" s="55" t="n"/>
      <c r="G311" s="56" t="n"/>
      <c r="H311" s="57" t="n"/>
      <c r="I311" s="55" t="n"/>
      <c r="J311" s="53" t="n"/>
      <c r="K311" s="54" t="n"/>
      <c r="L311" s="55" t="n"/>
      <c r="M311" s="55" t="n"/>
      <c r="N311" s="57" t="n"/>
      <c r="O311" s="55" t="n"/>
      <c r="P311" s="56" t="n"/>
      <c r="Q311" s="55" t="n"/>
      <c r="R311" s="55" t="n"/>
      <c r="S311" s="55" t="n"/>
      <c r="T311" s="55" t="n"/>
      <c r="U311" s="55" t="n"/>
      <c r="V311" s="55" t="n"/>
      <c r="W311" s="58" t="n"/>
      <c r="X311" s="58" t="n"/>
      <c r="Y311" s="55" t="n"/>
      <c r="Z311" s="55" t="n"/>
      <c r="AA311" s="55" t="n"/>
      <c r="AB311" s="55" t="n"/>
      <c r="AC311" s="55" t="n"/>
      <c r="AD311" s="53" t="n"/>
      <c r="AE311" s="55" t="n"/>
      <c r="AF311" s="55" t="n"/>
      <c r="AG311" s="59" t="n"/>
      <c r="AH311" s="57" t="n"/>
      <c r="AI311" s="55" t="n"/>
      <c r="AJ311" s="55" t="n"/>
      <c r="AK311" s="55" t="n"/>
      <c r="AL311" s="55" t="n"/>
      <c r="AM311" s="56" t="n"/>
      <c r="AN311" s="55" t="n"/>
      <c r="AO311" s="55" t="n"/>
      <c r="AP311" s="55" t="n"/>
      <c r="AQ311" s="55" t="n"/>
      <c r="AR311" s="60">
        <f>IF(AND(C311="",E311=""),"",IF(A311="","⚠ Date manquante",IF(AND(C311="",E311&lt;&gt;"Dépense"),"⚠ Prospect manquant",IF(E311="","⚠ Action manquante",IF(AND(AU311=1,D311=""),"⚠ Canal manquant",IF(AND(W311&lt;&gt;"",COUNTIFS('Saisie'!$W$5:$W$2004,W311,'Saisie'!$C$5:$C$2004,"&lt;&gt;"&amp;C311)&gt;0),"⚠ Numéro déjà utilisé par un autre prospect",IF(AND(J311&lt;&gt;"",J311&lt;A311),"⚠ Relance avant la date de l'action",IF(A311&gt;TODAY(),"⚠ Date dans le futur","✓"))))))))</f>
        <v/>
      </c>
      <c r="AS311" s="61">
        <f>IF(AND(A311="",C311="",E311=""),"",ROW())</f>
        <v/>
      </c>
      <c r="AT311" s="61">
        <f>IF(E311&amp;F311="","",MAX(IFERROR(INDEX('Paramètres'!$J$6:$J$33,MATCH(E311,'Paramètres'!$I$6:$I$33,0)),0),IFERROR(INDEX('Paramètres'!$N$6:$N$17,MATCH(F311,'Paramètres'!$M$6:$M$17,0)),0)))</f>
        <v/>
      </c>
      <c r="AU311" s="61">
        <f>IF(E311="","",IFERROR(IF(INDEX('Paramètres'!$K$6:$K$33,MATCH(E311,'Paramètres'!$I$6:$I$33,0))="Oui",1,0),0))</f>
        <v/>
      </c>
      <c r="AV311" s="61">
        <f>IF(F311="","",IFERROR(IF(INDEX('Paramètres'!$O$6:$O$17,MATCH(F311,'Paramètres'!$M$6:$M$17,0))="Oui",1,0),0))</f>
        <v/>
      </c>
      <c r="AW311" s="62">
        <f>IF(E311="","",IF(G311&lt;&gt;"",G311,IF(OR(E311="Proposition envoyée",E311="Signature"),MAX(0,N(IFERROR(INDEX('Paramètres'!$R$6:$R$15,MATCH(IF(AL311&lt;&gt;"",AL311,IFERROR(INDEX('Prospects'!$AN$5:$AN$504,MATCH(C311,'Prospects'!$C$5:$C$504,0)),"")),'Paramètres'!$Q$6:$Q$15,0)),0))-N(P311)),0)))</f>
        <v/>
      </c>
      <c r="AX311" s="61">
        <f>IF(C311="","",IF(COUNTIF($C$5:C311,C311)=1,MAX($AX$4:AX310)+1,""))</f>
        <v/>
      </c>
      <c r="AY311" s="61">
        <f>IF(B311="","",HOUR(B311))</f>
        <v/>
      </c>
      <c r="AZ311" s="61">
        <f>IF(A311="","",MOD(A311-2,7)+1)</f>
        <v/>
      </c>
      <c r="BA311" s="60">
        <f>IF(C311="","",IFERROR(INDEX('Prospects'!$N$5:$N$504,MATCH(C311,'Prospects'!$C$5:$C$504,0)),""))</f>
        <v/>
      </c>
      <c r="BB311" s="61">
        <f>IF(AND(C311&lt;&gt;"",C311='Fiche prospect'!$C$4),COUNTIF($C$5:C311,C311),"")</f>
        <v/>
      </c>
    </row>
    <row r="312">
      <c r="A312" s="53" t="n"/>
      <c r="B312" s="54" t="n"/>
      <c r="C312" s="55" t="n"/>
      <c r="D312" s="55" t="n"/>
      <c r="E312" s="55" t="n"/>
      <c r="F312" s="55" t="n"/>
      <c r="G312" s="56" t="n"/>
      <c r="H312" s="57" t="n"/>
      <c r="I312" s="55" t="n"/>
      <c r="J312" s="53" t="n"/>
      <c r="K312" s="54" t="n"/>
      <c r="L312" s="55" t="n"/>
      <c r="M312" s="55" t="n"/>
      <c r="N312" s="57" t="n"/>
      <c r="O312" s="55" t="n"/>
      <c r="P312" s="56" t="n"/>
      <c r="Q312" s="55" t="n"/>
      <c r="R312" s="55" t="n"/>
      <c r="S312" s="55" t="n"/>
      <c r="T312" s="55" t="n"/>
      <c r="U312" s="55" t="n"/>
      <c r="V312" s="55" t="n"/>
      <c r="W312" s="58" t="n"/>
      <c r="X312" s="58" t="n"/>
      <c r="Y312" s="55" t="n"/>
      <c r="Z312" s="55" t="n"/>
      <c r="AA312" s="55" t="n"/>
      <c r="AB312" s="55" t="n"/>
      <c r="AC312" s="55" t="n"/>
      <c r="AD312" s="53" t="n"/>
      <c r="AE312" s="55" t="n"/>
      <c r="AF312" s="55" t="n"/>
      <c r="AG312" s="59" t="n"/>
      <c r="AH312" s="57" t="n"/>
      <c r="AI312" s="55" t="n"/>
      <c r="AJ312" s="55" t="n"/>
      <c r="AK312" s="55" t="n"/>
      <c r="AL312" s="55" t="n"/>
      <c r="AM312" s="56" t="n"/>
      <c r="AN312" s="55" t="n"/>
      <c r="AO312" s="55" t="n"/>
      <c r="AP312" s="55" t="n"/>
      <c r="AQ312" s="55" t="n"/>
      <c r="AR312" s="60">
        <f>IF(AND(C312="",E312=""),"",IF(A312="","⚠ Date manquante",IF(AND(C312="",E312&lt;&gt;"Dépense"),"⚠ Prospect manquant",IF(E312="","⚠ Action manquante",IF(AND(AU312=1,D312=""),"⚠ Canal manquant",IF(AND(W312&lt;&gt;"",COUNTIFS('Saisie'!$W$5:$W$2004,W312,'Saisie'!$C$5:$C$2004,"&lt;&gt;"&amp;C312)&gt;0),"⚠ Numéro déjà utilisé par un autre prospect",IF(AND(J312&lt;&gt;"",J312&lt;A312),"⚠ Relance avant la date de l'action",IF(A312&gt;TODAY(),"⚠ Date dans le futur","✓"))))))))</f>
        <v/>
      </c>
      <c r="AS312" s="61">
        <f>IF(AND(A312="",C312="",E312=""),"",ROW())</f>
        <v/>
      </c>
      <c r="AT312" s="61">
        <f>IF(E312&amp;F312="","",MAX(IFERROR(INDEX('Paramètres'!$J$6:$J$33,MATCH(E312,'Paramètres'!$I$6:$I$33,0)),0),IFERROR(INDEX('Paramètres'!$N$6:$N$17,MATCH(F312,'Paramètres'!$M$6:$M$17,0)),0)))</f>
        <v/>
      </c>
      <c r="AU312" s="61">
        <f>IF(E312="","",IFERROR(IF(INDEX('Paramètres'!$K$6:$K$33,MATCH(E312,'Paramètres'!$I$6:$I$33,0))="Oui",1,0),0))</f>
        <v/>
      </c>
      <c r="AV312" s="61">
        <f>IF(F312="","",IFERROR(IF(INDEX('Paramètres'!$O$6:$O$17,MATCH(F312,'Paramètres'!$M$6:$M$17,0))="Oui",1,0),0))</f>
        <v/>
      </c>
      <c r="AW312" s="62">
        <f>IF(E312="","",IF(G312&lt;&gt;"",G312,IF(OR(E312="Proposition envoyée",E312="Signature"),MAX(0,N(IFERROR(INDEX('Paramètres'!$R$6:$R$15,MATCH(IF(AL312&lt;&gt;"",AL312,IFERROR(INDEX('Prospects'!$AN$5:$AN$504,MATCH(C312,'Prospects'!$C$5:$C$504,0)),"")),'Paramètres'!$Q$6:$Q$15,0)),0))-N(P312)),0)))</f>
        <v/>
      </c>
      <c r="AX312" s="61">
        <f>IF(C312="","",IF(COUNTIF($C$5:C312,C312)=1,MAX($AX$4:AX311)+1,""))</f>
        <v/>
      </c>
      <c r="AY312" s="61">
        <f>IF(B312="","",HOUR(B312))</f>
        <v/>
      </c>
      <c r="AZ312" s="61">
        <f>IF(A312="","",MOD(A312-2,7)+1)</f>
        <v/>
      </c>
      <c r="BA312" s="60">
        <f>IF(C312="","",IFERROR(INDEX('Prospects'!$N$5:$N$504,MATCH(C312,'Prospects'!$C$5:$C$504,0)),""))</f>
        <v/>
      </c>
      <c r="BB312" s="61">
        <f>IF(AND(C312&lt;&gt;"",C312='Fiche prospect'!$C$4),COUNTIF($C$5:C312,C312),"")</f>
        <v/>
      </c>
    </row>
    <row r="313">
      <c r="A313" s="53" t="n"/>
      <c r="B313" s="54" t="n"/>
      <c r="C313" s="55" t="n"/>
      <c r="D313" s="55" t="n"/>
      <c r="E313" s="55" t="n"/>
      <c r="F313" s="55" t="n"/>
      <c r="G313" s="56" t="n"/>
      <c r="H313" s="57" t="n"/>
      <c r="I313" s="55" t="n"/>
      <c r="J313" s="53" t="n"/>
      <c r="K313" s="54" t="n"/>
      <c r="L313" s="55" t="n"/>
      <c r="M313" s="55" t="n"/>
      <c r="N313" s="57" t="n"/>
      <c r="O313" s="55" t="n"/>
      <c r="P313" s="56" t="n"/>
      <c r="Q313" s="55" t="n"/>
      <c r="R313" s="55" t="n"/>
      <c r="S313" s="55" t="n"/>
      <c r="T313" s="55" t="n"/>
      <c r="U313" s="55" t="n"/>
      <c r="V313" s="55" t="n"/>
      <c r="W313" s="58" t="n"/>
      <c r="X313" s="58" t="n"/>
      <c r="Y313" s="55" t="n"/>
      <c r="Z313" s="55" t="n"/>
      <c r="AA313" s="55" t="n"/>
      <c r="AB313" s="55" t="n"/>
      <c r="AC313" s="55" t="n"/>
      <c r="AD313" s="53" t="n"/>
      <c r="AE313" s="55" t="n"/>
      <c r="AF313" s="55" t="n"/>
      <c r="AG313" s="59" t="n"/>
      <c r="AH313" s="57" t="n"/>
      <c r="AI313" s="55" t="n"/>
      <c r="AJ313" s="55" t="n"/>
      <c r="AK313" s="55" t="n"/>
      <c r="AL313" s="55" t="n"/>
      <c r="AM313" s="56" t="n"/>
      <c r="AN313" s="55" t="n"/>
      <c r="AO313" s="55" t="n"/>
      <c r="AP313" s="55" t="n"/>
      <c r="AQ313" s="55" t="n"/>
      <c r="AR313" s="60">
        <f>IF(AND(C313="",E313=""),"",IF(A313="","⚠ Date manquante",IF(AND(C313="",E313&lt;&gt;"Dépense"),"⚠ Prospect manquant",IF(E313="","⚠ Action manquante",IF(AND(AU313=1,D313=""),"⚠ Canal manquant",IF(AND(W313&lt;&gt;"",COUNTIFS('Saisie'!$W$5:$W$2004,W313,'Saisie'!$C$5:$C$2004,"&lt;&gt;"&amp;C313)&gt;0),"⚠ Numéro déjà utilisé par un autre prospect",IF(AND(J313&lt;&gt;"",J313&lt;A313),"⚠ Relance avant la date de l'action",IF(A313&gt;TODAY(),"⚠ Date dans le futur","✓"))))))))</f>
        <v/>
      </c>
      <c r="AS313" s="61">
        <f>IF(AND(A313="",C313="",E313=""),"",ROW())</f>
        <v/>
      </c>
      <c r="AT313" s="61">
        <f>IF(E313&amp;F313="","",MAX(IFERROR(INDEX('Paramètres'!$J$6:$J$33,MATCH(E313,'Paramètres'!$I$6:$I$33,0)),0),IFERROR(INDEX('Paramètres'!$N$6:$N$17,MATCH(F313,'Paramètres'!$M$6:$M$17,0)),0)))</f>
        <v/>
      </c>
      <c r="AU313" s="61">
        <f>IF(E313="","",IFERROR(IF(INDEX('Paramètres'!$K$6:$K$33,MATCH(E313,'Paramètres'!$I$6:$I$33,0))="Oui",1,0),0))</f>
        <v/>
      </c>
      <c r="AV313" s="61">
        <f>IF(F313="","",IFERROR(IF(INDEX('Paramètres'!$O$6:$O$17,MATCH(F313,'Paramètres'!$M$6:$M$17,0))="Oui",1,0),0))</f>
        <v/>
      </c>
      <c r="AW313" s="62">
        <f>IF(E313="","",IF(G313&lt;&gt;"",G313,IF(OR(E313="Proposition envoyée",E313="Signature"),MAX(0,N(IFERROR(INDEX('Paramètres'!$R$6:$R$15,MATCH(IF(AL313&lt;&gt;"",AL313,IFERROR(INDEX('Prospects'!$AN$5:$AN$504,MATCH(C313,'Prospects'!$C$5:$C$504,0)),"")),'Paramètres'!$Q$6:$Q$15,0)),0))-N(P313)),0)))</f>
        <v/>
      </c>
      <c r="AX313" s="61">
        <f>IF(C313="","",IF(COUNTIF($C$5:C313,C313)=1,MAX($AX$4:AX312)+1,""))</f>
        <v/>
      </c>
      <c r="AY313" s="61">
        <f>IF(B313="","",HOUR(B313))</f>
        <v/>
      </c>
      <c r="AZ313" s="61">
        <f>IF(A313="","",MOD(A313-2,7)+1)</f>
        <v/>
      </c>
      <c r="BA313" s="60">
        <f>IF(C313="","",IFERROR(INDEX('Prospects'!$N$5:$N$504,MATCH(C313,'Prospects'!$C$5:$C$504,0)),""))</f>
        <v/>
      </c>
      <c r="BB313" s="61">
        <f>IF(AND(C313&lt;&gt;"",C313='Fiche prospect'!$C$4),COUNTIF($C$5:C313,C313),"")</f>
        <v/>
      </c>
    </row>
    <row r="314">
      <c r="A314" s="53" t="n"/>
      <c r="B314" s="54" t="n"/>
      <c r="C314" s="55" t="n"/>
      <c r="D314" s="55" t="n"/>
      <c r="E314" s="55" t="n"/>
      <c r="F314" s="55" t="n"/>
      <c r="G314" s="56" t="n"/>
      <c r="H314" s="57" t="n"/>
      <c r="I314" s="55" t="n"/>
      <c r="J314" s="53" t="n"/>
      <c r="K314" s="54" t="n"/>
      <c r="L314" s="55" t="n"/>
      <c r="M314" s="55" t="n"/>
      <c r="N314" s="57" t="n"/>
      <c r="O314" s="55" t="n"/>
      <c r="P314" s="56" t="n"/>
      <c r="Q314" s="55" t="n"/>
      <c r="R314" s="55" t="n"/>
      <c r="S314" s="55" t="n"/>
      <c r="T314" s="55" t="n"/>
      <c r="U314" s="55" t="n"/>
      <c r="V314" s="55" t="n"/>
      <c r="W314" s="58" t="n"/>
      <c r="X314" s="58" t="n"/>
      <c r="Y314" s="55" t="n"/>
      <c r="Z314" s="55" t="n"/>
      <c r="AA314" s="55" t="n"/>
      <c r="AB314" s="55" t="n"/>
      <c r="AC314" s="55" t="n"/>
      <c r="AD314" s="53" t="n"/>
      <c r="AE314" s="55" t="n"/>
      <c r="AF314" s="55" t="n"/>
      <c r="AG314" s="59" t="n"/>
      <c r="AH314" s="57" t="n"/>
      <c r="AI314" s="55" t="n"/>
      <c r="AJ314" s="55" t="n"/>
      <c r="AK314" s="55" t="n"/>
      <c r="AL314" s="55" t="n"/>
      <c r="AM314" s="56" t="n"/>
      <c r="AN314" s="55" t="n"/>
      <c r="AO314" s="55" t="n"/>
      <c r="AP314" s="55" t="n"/>
      <c r="AQ314" s="55" t="n"/>
      <c r="AR314" s="60">
        <f>IF(AND(C314="",E314=""),"",IF(A314="","⚠ Date manquante",IF(AND(C314="",E314&lt;&gt;"Dépense"),"⚠ Prospect manquant",IF(E314="","⚠ Action manquante",IF(AND(AU314=1,D314=""),"⚠ Canal manquant",IF(AND(W314&lt;&gt;"",COUNTIFS('Saisie'!$W$5:$W$2004,W314,'Saisie'!$C$5:$C$2004,"&lt;&gt;"&amp;C314)&gt;0),"⚠ Numéro déjà utilisé par un autre prospect",IF(AND(J314&lt;&gt;"",J314&lt;A314),"⚠ Relance avant la date de l'action",IF(A314&gt;TODAY(),"⚠ Date dans le futur","✓"))))))))</f>
        <v/>
      </c>
      <c r="AS314" s="61">
        <f>IF(AND(A314="",C314="",E314=""),"",ROW())</f>
        <v/>
      </c>
      <c r="AT314" s="61">
        <f>IF(E314&amp;F314="","",MAX(IFERROR(INDEX('Paramètres'!$J$6:$J$33,MATCH(E314,'Paramètres'!$I$6:$I$33,0)),0),IFERROR(INDEX('Paramètres'!$N$6:$N$17,MATCH(F314,'Paramètres'!$M$6:$M$17,0)),0)))</f>
        <v/>
      </c>
      <c r="AU314" s="61">
        <f>IF(E314="","",IFERROR(IF(INDEX('Paramètres'!$K$6:$K$33,MATCH(E314,'Paramètres'!$I$6:$I$33,0))="Oui",1,0),0))</f>
        <v/>
      </c>
      <c r="AV314" s="61">
        <f>IF(F314="","",IFERROR(IF(INDEX('Paramètres'!$O$6:$O$17,MATCH(F314,'Paramètres'!$M$6:$M$17,0))="Oui",1,0),0))</f>
        <v/>
      </c>
      <c r="AW314" s="62">
        <f>IF(E314="","",IF(G314&lt;&gt;"",G314,IF(OR(E314="Proposition envoyée",E314="Signature"),MAX(0,N(IFERROR(INDEX('Paramètres'!$R$6:$R$15,MATCH(IF(AL314&lt;&gt;"",AL314,IFERROR(INDEX('Prospects'!$AN$5:$AN$504,MATCH(C314,'Prospects'!$C$5:$C$504,0)),"")),'Paramètres'!$Q$6:$Q$15,0)),0))-N(P314)),0)))</f>
        <v/>
      </c>
      <c r="AX314" s="61">
        <f>IF(C314="","",IF(COUNTIF($C$5:C314,C314)=1,MAX($AX$4:AX313)+1,""))</f>
        <v/>
      </c>
      <c r="AY314" s="61">
        <f>IF(B314="","",HOUR(B314))</f>
        <v/>
      </c>
      <c r="AZ314" s="61">
        <f>IF(A314="","",MOD(A314-2,7)+1)</f>
        <v/>
      </c>
      <c r="BA314" s="60">
        <f>IF(C314="","",IFERROR(INDEX('Prospects'!$N$5:$N$504,MATCH(C314,'Prospects'!$C$5:$C$504,0)),""))</f>
        <v/>
      </c>
      <c r="BB314" s="61">
        <f>IF(AND(C314&lt;&gt;"",C314='Fiche prospect'!$C$4),COUNTIF($C$5:C314,C314),"")</f>
        <v/>
      </c>
    </row>
    <row r="315">
      <c r="A315" s="53" t="n"/>
      <c r="B315" s="54" t="n"/>
      <c r="C315" s="55" t="n"/>
      <c r="D315" s="55" t="n"/>
      <c r="E315" s="55" t="n"/>
      <c r="F315" s="55" t="n"/>
      <c r="G315" s="56" t="n"/>
      <c r="H315" s="57" t="n"/>
      <c r="I315" s="55" t="n"/>
      <c r="J315" s="53" t="n"/>
      <c r="K315" s="54" t="n"/>
      <c r="L315" s="55" t="n"/>
      <c r="M315" s="55" t="n"/>
      <c r="N315" s="57" t="n"/>
      <c r="O315" s="55" t="n"/>
      <c r="P315" s="56" t="n"/>
      <c r="Q315" s="55" t="n"/>
      <c r="R315" s="55" t="n"/>
      <c r="S315" s="55" t="n"/>
      <c r="T315" s="55" t="n"/>
      <c r="U315" s="55" t="n"/>
      <c r="V315" s="55" t="n"/>
      <c r="W315" s="58" t="n"/>
      <c r="X315" s="58" t="n"/>
      <c r="Y315" s="55" t="n"/>
      <c r="Z315" s="55" t="n"/>
      <c r="AA315" s="55" t="n"/>
      <c r="AB315" s="55" t="n"/>
      <c r="AC315" s="55" t="n"/>
      <c r="AD315" s="53" t="n"/>
      <c r="AE315" s="55" t="n"/>
      <c r="AF315" s="55" t="n"/>
      <c r="AG315" s="59" t="n"/>
      <c r="AH315" s="57" t="n"/>
      <c r="AI315" s="55" t="n"/>
      <c r="AJ315" s="55" t="n"/>
      <c r="AK315" s="55" t="n"/>
      <c r="AL315" s="55" t="n"/>
      <c r="AM315" s="56" t="n"/>
      <c r="AN315" s="55" t="n"/>
      <c r="AO315" s="55" t="n"/>
      <c r="AP315" s="55" t="n"/>
      <c r="AQ315" s="55" t="n"/>
      <c r="AR315" s="60">
        <f>IF(AND(C315="",E315=""),"",IF(A315="","⚠ Date manquante",IF(AND(C315="",E315&lt;&gt;"Dépense"),"⚠ Prospect manquant",IF(E315="","⚠ Action manquante",IF(AND(AU315=1,D315=""),"⚠ Canal manquant",IF(AND(W315&lt;&gt;"",COUNTIFS('Saisie'!$W$5:$W$2004,W315,'Saisie'!$C$5:$C$2004,"&lt;&gt;"&amp;C315)&gt;0),"⚠ Numéro déjà utilisé par un autre prospect",IF(AND(J315&lt;&gt;"",J315&lt;A315),"⚠ Relance avant la date de l'action",IF(A315&gt;TODAY(),"⚠ Date dans le futur","✓"))))))))</f>
        <v/>
      </c>
      <c r="AS315" s="61">
        <f>IF(AND(A315="",C315="",E315=""),"",ROW())</f>
        <v/>
      </c>
      <c r="AT315" s="61">
        <f>IF(E315&amp;F315="","",MAX(IFERROR(INDEX('Paramètres'!$J$6:$J$33,MATCH(E315,'Paramètres'!$I$6:$I$33,0)),0),IFERROR(INDEX('Paramètres'!$N$6:$N$17,MATCH(F315,'Paramètres'!$M$6:$M$17,0)),0)))</f>
        <v/>
      </c>
      <c r="AU315" s="61">
        <f>IF(E315="","",IFERROR(IF(INDEX('Paramètres'!$K$6:$K$33,MATCH(E315,'Paramètres'!$I$6:$I$33,0))="Oui",1,0),0))</f>
        <v/>
      </c>
      <c r="AV315" s="61">
        <f>IF(F315="","",IFERROR(IF(INDEX('Paramètres'!$O$6:$O$17,MATCH(F315,'Paramètres'!$M$6:$M$17,0))="Oui",1,0),0))</f>
        <v/>
      </c>
      <c r="AW315" s="62">
        <f>IF(E315="","",IF(G315&lt;&gt;"",G315,IF(OR(E315="Proposition envoyée",E315="Signature"),MAX(0,N(IFERROR(INDEX('Paramètres'!$R$6:$R$15,MATCH(IF(AL315&lt;&gt;"",AL315,IFERROR(INDEX('Prospects'!$AN$5:$AN$504,MATCH(C315,'Prospects'!$C$5:$C$504,0)),"")),'Paramètres'!$Q$6:$Q$15,0)),0))-N(P315)),0)))</f>
        <v/>
      </c>
      <c r="AX315" s="61">
        <f>IF(C315="","",IF(COUNTIF($C$5:C315,C315)=1,MAX($AX$4:AX314)+1,""))</f>
        <v/>
      </c>
      <c r="AY315" s="61">
        <f>IF(B315="","",HOUR(B315))</f>
        <v/>
      </c>
      <c r="AZ315" s="61">
        <f>IF(A315="","",MOD(A315-2,7)+1)</f>
        <v/>
      </c>
      <c r="BA315" s="60">
        <f>IF(C315="","",IFERROR(INDEX('Prospects'!$N$5:$N$504,MATCH(C315,'Prospects'!$C$5:$C$504,0)),""))</f>
        <v/>
      </c>
      <c r="BB315" s="61">
        <f>IF(AND(C315&lt;&gt;"",C315='Fiche prospect'!$C$4),COUNTIF($C$5:C315,C315),"")</f>
        <v/>
      </c>
    </row>
    <row r="316">
      <c r="A316" s="53" t="n"/>
      <c r="B316" s="54" t="n"/>
      <c r="C316" s="55" t="n"/>
      <c r="D316" s="55" t="n"/>
      <c r="E316" s="55" t="n"/>
      <c r="F316" s="55" t="n"/>
      <c r="G316" s="56" t="n"/>
      <c r="H316" s="57" t="n"/>
      <c r="I316" s="55" t="n"/>
      <c r="J316" s="53" t="n"/>
      <c r="K316" s="54" t="n"/>
      <c r="L316" s="55" t="n"/>
      <c r="M316" s="55" t="n"/>
      <c r="N316" s="57" t="n"/>
      <c r="O316" s="55" t="n"/>
      <c r="P316" s="56" t="n"/>
      <c r="Q316" s="55" t="n"/>
      <c r="R316" s="55" t="n"/>
      <c r="S316" s="55" t="n"/>
      <c r="T316" s="55" t="n"/>
      <c r="U316" s="55" t="n"/>
      <c r="V316" s="55" t="n"/>
      <c r="W316" s="58" t="n"/>
      <c r="X316" s="58" t="n"/>
      <c r="Y316" s="55" t="n"/>
      <c r="Z316" s="55" t="n"/>
      <c r="AA316" s="55" t="n"/>
      <c r="AB316" s="55" t="n"/>
      <c r="AC316" s="55" t="n"/>
      <c r="AD316" s="53" t="n"/>
      <c r="AE316" s="55" t="n"/>
      <c r="AF316" s="55" t="n"/>
      <c r="AG316" s="59" t="n"/>
      <c r="AH316" s="57" t="n"/>
      <c r="AI316" s="55" t="n"/>
      <c r="AJ316" s="55" t="n"/>
      <c r="AK316" s="55" t="n"/>
      <c r="AL316" s="55" t="n"/>
      <c r="AM316" s="56" t="n"/>
      <c r="AN316" s="55" t="n"/>
      <c r="AO316" s="55" t="n"/>
      <c r="AP316" s="55" t="n"/>
      <c r="AQ316" s="55" t="n"/>
      <c r="AR316" s="60">
        <f>IF(AND(C316="",E316=""),"",IF(A316="","⚠ Date manquante",IF(AND(C316="",E316&lt;&gt;"Dépense"),"⚠ Prospect manquant",IF(E316="","⚠ Action manquante",IF(AND(AU316=1,D316=""),"⚠ Canal manquant",IF(AND(W316&lt;&gt;"",COUNTIFS('Saisie'!$W$5:$W$2004,W316,'Saisie'!$C$5:$C$2004,"&lt;&gt;"&amp;C316)&gt;0),"⚠ Numéro déjà utilisé par un autre prospect",IF(AND(J316&lt;&gt;"",J316&lt;A316),"⚠ Relance avant la date de l'action",IF(A316&gt;TODAY(),"⚠ Date dans le futur","✓"))))))))</f>
        <v/>
      </c>
      <c r="AS316" s="61">
        <f>IF(AND(A316="",C316="",E316=""),"",ROW())</f>
        <v/>
      </c>
      <c r="AT316" s="61">
        <f>IF(E316&amp;F316="","",MAX(IFERROR(INDEX('Paramètres'!$J$6:$J$33,MATCH(E316,'Paramètres'!$I$6:$I$33,0)),0),IFERROR(INDEX('Paramètres'!$N$6:$N$17,MATCH(F316,'Paramètres'!$M$6:$M$17,0)),0)))</f>
        <v/>
      </c>
      <c r="AU316" s="61">
        <f>IF(E316="","",IFERROR(IF(INDEX('Paramètres'!$K$6:$K$33,MATCH(E316,'Paramètres'!$I$6:$I$33,0))="Oui",1,0),0))</f>
        <v/>
      </c>
      <c r="AV316" s="61">
        <f>IF(F316="","",IFERROR(IF(INDEX('Paramètres'!$O$6:$O$17,MATCH(F316,'Paramètres'!$M$6:$M$17,0))="Oui",1,0),0))</f>
        <v/>
      </c>
      <c r="AW316" s="62">
        <f>IF(E316="","",IF(G316&lt;&gt;"",G316,IF(OR(E316="Proposition envoyée",E316="Signature"),MAX(0,N(IFERROR(INDEX('Paramètres'!$R$6:$R$15,MATCH(IF(AL316&lt;&gt;"",AL316,IFERROR(INDEX('Prospects'!$AN$5:$AN$504,MATCH(C316,'Prospects'!$C$5:$C$504,0)),"")),'Paramètres'!$Q$6:$Q$15,0)),0))-N(P316)),0)))</f>
        <v/>
      </c>
      <c r="AX316" s="61">
        <f>IF(C316="","",IF(COUNTIF($C$5:C316,C316)=1,MAX($AX$4:AX315)+1,""))</f>
        <v/>
      </c>
      <c r="AY316" s="61">
        <f>IF(B316="","",HOUR(B316))</f>
        <v/>
      </c>
      <c r="AZ316" s="61">
        <f>IF(A316="","",MOD(A316-2,7)+1)</f>
        <v/>
      </c>
      <c r="BA316" s="60">
        <f>IF(C316="","",IFERROR(INDEX('Prospects'!$N$5:$N$504,MATCH(C316,'Prospects'!$C$5:$C$504,0)),""))</f>
        <v/>
      </c>
      <c r="BB316" s="61">
        <f>IF(AND(C316&lt;&gt;"",C316='Fiche prospect'!$C$4),COUNTIF($C$5:C316,C316),"")</f>
        <v/>
      </c>
    </row>
    <row r="317">
      <c r="A317" s="53" t="n"/>
      <c r="B317" s="54" t="n"/>
      <c r="C317" s="55" t="n"/>
      <c r="D317" s="55" t="n"/>
      <c r="E317" s="55" t="n"/>
      <c r="F317" s="55" t="n"/>
      <c r="G317" s="56" t="n"/>
      <c r="H317" s="57" t="n"/>
      <c r="I317" s="55" t="n"/>
      <c r="J317" s="53" t="n"/>
      <c r="K317" s="54" t="n"/>
      <c r="L317" s="55" t="n"/>
      <c r="M317" s="55" t="n"/>
      <c r="N317" s="57" t="n"/>
      <c r="O317" s="55" t="n"/>
      <c r="P317" s="56" t="n"/>
      <c r="Q317" s="55" t="n"/>
      <c r="R317" s="55" t="n"/>
      <c r="S317" s="55" t="n"/>
      <c r="T317" s="55" t="n"/>
      <c r="U317" s="55" t="n"/>
      <c r="V317" s="55" t="n"/>
      <c r="W317" s="58" t="n"/>
      <c r="X317" s="58" t="n"/>
      <c r="Y317" s="55" t="n"/>
      <c r="Z317" s="55" t="n"/>
      <c r="AA317" s="55" t="n"/>
      <c r="AB317" s="55" t="n"/>
      <c r="AC317" s="55" t="n"/>
      <c r="AD317" s="53" t="n"/>
      <c r="AE317" s="55" t="n"/>
      <c r="AF317" s="55" t="n"/>
      <c r="AG317" s="59" t="n"/>
      <c r="AH317" s="57" t="n"/>
      <c r="AI317" s="55" t="n"/>
      <c r="AJ317" s="55" t="n"/>
      <c r="AK317" s="55" t="n"/>
      <c r="AL317" s="55" t="n"/>
      <c r="AM317" s="56" t="n"/>
      <c r="AN317" s="55" t="n"/>
      <c r="AO317" s="55" t="n"/>
      <c r="AP317" s="55" t="n"/>
      <c r="AQ317" s="55" t="n"/>
      <c r="AR317" s="60">
        <f>IF(AND(C317="",E317=""),"",IF(A317="","⚠ Date manquante",IF(AND(C317="",E317&lt;&gt;"Dépense"),"⚠ Prospect manquant",IF(E317="","⚠ Action manquante",IF(AND(AU317=1,D317=""),"⚠ Canal manquant",IF(AND(W317&lt;&gt;"",COUNTIFS('Saisie'!$W$5:$W$2004,W317,'Saisie'!$C$5:$C$2004,"&lt;&gt;"&amp;C317)&gt;0),"⚠ Numéro déjà utilisé par un autre prospect",IF(AND(J317&lt;&gt;"",J317&lt;A317),"⚠ Relance avant la date de l'action",IF(A317&gt;TODAY(),"⚠ Date dans le futur","✓"))))))))</f>
        <v/>
      </c>
      <c r="AS317" s="61">
        <f>IF(AND(A317="",C317="",E317=""),"",ROW())</f>
        <v/>
      </c>
      <c r="AT317" s="61">
        <f>IF(E317&amp;F317="","",MAX(IFERROR(INDEX('Paramètres'!$J$6:$J$33,MATCH(E317,'Paramètres'!$I$6:$I$33,0)),0),IFERROR(INDEX('Paramètres'!$N$6:$N$17,MATCH(F317,'Paramètres'!$M$6:$M$17,0)),0)))</f>
        <v/>
      </c>
      <c r="AU317" s="61">
        <f>IF(E317="","",IFERROR(IF(INDEX('Paramètres'!$K$6:$K$33,MATCH(E317,'Paramètres'!$I$6:$I$33,0))="Oui",1,0),0))</f>
        <v/>
      </c>
      <c r="AV317" s="61">
        <f>IF(F317="","",IFERROR(IF(INDEX('Paramètres'!$O$6:$O$17,MATCH(F317,'Paramètres'!$M$6:$M$17,0))="Oui",1,0),0))</f>
        <v/>
      </c>
      <c r="AW317" s="62">
        <f>IF(E317="","",IF(G317&lt;&gt;"",G317,IF(OR(E317="Proposition envoyée",E317="Signature"),MAX(0,N(IFERROR(INDEX('Paramètres'!$R$6:$R$15,MATCH(IF(AL317&lt;&gt;"",AL317,IFERROR(INDEX('Prospects'!$AN$5:$AN$504,MATCH(C317,'Prospects'!$C$5:$C$504,0)),"")),'Paramètres'!$Q$6:$Q$15,0)),0))-N(P317)),0)))</f>
        <v/>
      </c>
      <c r="AX317" s="61">
        <f>IF(C317="","",IF(COUNTIF($C$5:C317,C317)=1,MAX($AX$4:AX316)+1,""))</f>
        <v/>
      </c>
      <c r="AY317" s="61">
        <f>IF(B317="","",HOUR(B317))</f>
        <v/>
      </c>
      <c r="AZ317" s="61">
        <f>IF(A317="","",MOD(A317-2,7)+1)</f>
        <v/>
      </c>
      <c r="BA317" s="60">
        <f>IF(C317="","",IFERROR(INDEX('Prospects'!$N$5:$N$504,MATCH(C317,'Prospects'!$C$5:$C$504,0)),""))</f>
        <v/>
      </c>
      <c r="BB317" s="61">
        <f>IF(AND(C317&lt;&gt;"",C317='Fiche prospect'!$C$4),COUNTIF($C$5:C317,C317),"")</f>
        <v/>
      </c>
    </row>
    <row r="318">
      <c r="A318" s="53" t="n"/>
      <c r="B318" s="54" t="n"/>
      <c r="C318" s="55" t="n"/>
      <c r="D318" s="55" t="n"/>
      <c r="E318" s="55" t="n"/>
      <c r="F318" s="55" t="n"/>
      <c r="G318" s="56" t="n"/>
      <c r="H318" s="57" t="n"/>
      <c r="I318" s="55" t="n"/>
      <c r="J318" s="53" t="n"/>
      <c r="K318" s="54" t="n"/>
      <c r="L318" s="55" t="n"/>
      <c r="M318" s="55" t="n"/>
      <c r="N318" s="57" t="n"/>
      <c r="O318" s="55" t="n"/>
      <c r="P318" s="56" t="n"/>
      <c r="Q318" s="55" t="n"/>
      <c r="R318" s="55" t="n"/>
      <c r="S318" s="55" t="n"/>
      <c r="T318" s="55" t="n"/>
      <c r="U318" s="55" t="n"/>
      <c r="V318" s="55" t="n"/>
      <c r="W318" s="58" t="n"/>
      <c r="X318" s="58" t="n"/>
      <c r="Y318" s="55" t="n"/>
      <c r="Z318" s="55" t="n"/>
      <c r="AA318" s="55" t="n"/>
      <c r="AB318" s="55" t="n"/>
      <c r="AC318" s="55" t="n"/>
      <c r="AD318" s="53" t="n"/>
      <c r="AE318" s="55" t="n"/>
      <c r="AF318" s="55" t="n"/>
      <c r="AG318" s="59" t="n"/>
      <c r="AH318" s="57" t="n"/>
      <c r="AI318" s="55" t="n"/>
      <c r="AJ318" s="55" t="n"/>
      <c r="AK318" s="55" t="n"/>
      <c r="AL318" s="55" t="n"/>
      <c r="AM318" s="56" t="n"/>
      <c r="AN318" s="55" t="n"/>
      <c r="AO318" s="55" t="n"/>
      <c r="AP318" s="55" t="n"/>
      <c r="AQ318" s="55" t="n"/>
      <c r="AR318" s="60">
        <f>IF(AND(C318="",E318=""),"",IF(A318="","⚠ Date manquante",IF(AND(C318="",E318&lt;&gt;"Dépense"),"⚠ Prospect manquant",IF(E318="","⚠ Action manquante",IF(AND(AU318=1,D318=""),"⚠ Canal manquant",IF(AND(W318&lt;&gt;"",COUNTIFS('Saisie'!$W$5:$W$2004,W318,'Saisie'!$C$5:$C$2004,"&lt;&gt;"&amp;C318)&gt;0),"⚠ Numéro déjà utilisé par un autre prospect",IF(AND(J318&lt;&gt;"",J318&lt;A318),"⚠ Relance avant la date de l'action",IF(A318&gt;TODAY(),"⚠ Date dans le futur","✓"))))))))</f>
        <v/>
      </c>
      <c r="AS318" s="61">
        <f>IF(AND(A318="",C318="",E318=""),"",ROW())</f>
        <v/>
      </c>
      <c r="AT318" s="61">
        <f>IF(E318&amp;F318="","",MAX(IFERROR(INDEX('Paramètres'!$J$6:$J$33,MATCH(E318,'Paramètres'!$I$6:$I$33,0)),0),IFERROR(INDEX('Paramètres'!$N$6:$N$17,MATCH(F318,'Paramètres'!$M$6:$M$17,0)),0)))</f>
        <v/>
      </c>
      <c r="AU318" s="61">
        <f>IF(E318="","",IFERROR(IF(INDEX('Paramètres'!$K$6:$K$33,MATCH(E318,'Paramètres'!$I$6:$I$33,0))="Oui",1,0),0))</f>
        <v/>
      </c>
      <c r="AV318" s="61">
        <f>IF(F318="","",IFERROR(IF(INDEX('Paramètres'!$O$6:$O$17,MATCH(F318,'Paramètres'!$M$6:$M$17,0))="Oui",1,0),0))</f>
        <v/>
      </c>
      <c r="AW318" s="62">
        <f>IF(E318="","",IF(G318&lt;&gt;"",G318,IF(OR(E318="Proposition envoyée",E318="Signature"),MAX(0,N(IFERROR(INDEX('Paramètres'!$R$6:$R$15,MATCH(IF(AL318&lt;&gt;"",AL318,IFERROR(INDEX('Prospects'!$AN$5:$AN$504,MATCH(C318,'Prospects'!$C$5:$C$504,0)),"")),'Paramètres'!$Q$6:$Q$15,0)),0))-N(P318)),0)))</f>
        <v/>
      </c>
      <c r="AX318" s="61">
        <f>IF(C318="","",IF(COUNTIF($C$5:C318,C318)=1,MAX($AX$4:AX317)+1,""))</f>
        <v/>
      </c>
      <c r="AY318" s="61">
        <f>IF(B318="","",HOUR(B318))</f>
        <v/>
      </c>
      <c r="AZ318" s="61">
        <f>IF(A318="","",MOD(A318-2,7)+1)</f>
        <v/>
      </c>
      <c r="BA318" s="60">
        <f>IF(C318="","",IFERROR(INDEX('Prospects'!$N$5:$N$504,MATCH(C318,'Prospects'!$C$5:$C$504,0)),""))</f>
        <v/>
      </c>
      <c r="BB318" s="61">
        <f>IF(AND(C318&lt;&gt;"",C318='Fiche prospect'!$C$4),COUNTIF($C$5:C318,C318),"")</f>
        <v/>
      </c>
    </row>
    <row r="319">
      <c r="A319" s="53" t="n"/>
      <c r="B319" s="54" t="n"/>
      <c r="C319" s="55" t="n"/>
      <c r="D319" s="55" t="n"/>
      <c r="E319" s="55" t="n"/>
      <c r="F319" s="55" t="n"/>
      <c r="G319" s="56" t="n"/>
      <c r="H319" s="57" t="n"/>
      <c r="I319" s="55" t="n"/>
      <c r="J319" s="53" t="n"/>
      <c r="K319" s="54" t="n"/>
      <c r="L319" s="55" t="n"/>
      <c r="M319" s="55" t="n"/>
      <c r="N319" s="57" t="n"/>
      <c r="O319" s="55" t="n"/>
      <c r="P319" s="56" t="n"/>
      <c r="Q319" s="55" t="n"/>
      <c r="R319" s="55" t="n"/>
      <c r="S319" s="55" t="n"/>
      <c r="T319" s="55" t="n"/>
      <c r="U319" s="55" t="n"/>
      <c r="V319" s="55" t="n"/>
      <c r="W319" s="58" t="n"/>
      <c r="X319" s="58" t="n"/>
      <c r="Y319" s="55" t="n"/>
      <c r="Z319" s="55" t="n"/>
      <c r="AA319" s="55" t="n"/>
      <c r="AB319" s="55" t="n"/>
      <c r="AC319" s="55" t="n"/>
      <c r="AD319" s="53" t="n"/>
      <c r="AE319" s="55" t="n"/>
      <c r="AF319" s="55" t="n"/>
      <c r="AG319" s="59" t="n"/>
      <c r="AH319" s="57" t="n"/>
      <c r="AI319" s="55" t="n"/>
      <c r="AJ319" s="55" t="n"/>
      <c r="AK319" s="55" t="n"/>
      <c r="AL319" s="55" t="n"/>
      <c r="AM319" s="56" t="n"/>
      <c r="AN319" s="55" t="n"/>
      <c r="AO319" s="55" t="n"/>
      <c r="AP319" s="55" t="n"/>
      <c r="AQ319" s="55" t="n"/>
      <c r="AR319" s="60">
        <f>IF(AND(C319="",E319=""),"",IF(A319="","⚠ Date manquante",IF(AND(C319="",E319&lt;&gt;"Dépense"),"⚠ Prospect manquant",IF(E319="","⚠ Action manquante",IF(AND(AU319=1,D319=""),"⚠ Canal manquant",IF(AND(W319&lt;&gt;"",COUNTIFS('Saisie'!$W$5:$W$2004,W319,'Saisie'!$C$5:$C$2004,"&lt;&gt;"&amp;C319)&gt;0),"⚠ Numéro déjà utilisé par un autre prospect",IF(AND(J319&lt;&gt;"",J319&lt;A319),"⚠ Relance avant la date de l'action",IF(A319&gt;TODAY(),"⚠ Date dans le futur","✓"))))))))</f>
        <v/>
      </c>
      <c r="AS319" s="61">
        <f>IF(AND(A319="",C319="",E319=""),"",ROW())</f>
        <v/>
      </c>
      <c r="AT319" s="61">
        <f>IF(E319&amp;F319="","",MAX(IFERROR(INDEX('Paramètres'!$J$6:$J$33,MATCH(E319,'Paramètres'!$I$6:$I$33,0)),0),IFERROR(INDEX('Paramètres'!$N$6:$N$17,MATCH(F319,'Paramètres'!$M$6:$M$17,0)),0)))</f>
        <v/>
      </c>
      <c r="AU319" s="61">
        <f>IF(E319="","",IFERROR(IF(INDEX('Paramètres'!$K$6:$K$33,MATCH(E319,'Paramètres'!$I$6:$I$33,0))="Oui",1,0),0))</f>
        <v/>
      </c>
      <c r="AV319" s="61">
        <f>IF(F319="","",IFERROR(IF(INDEX('Paramètres'!$O$6:$O$17,MATCH(F319,'Paramètres'!$M$6:$M$17,0))="Oui",1,0),0))</f>
        <v/>
      </c>
      <c r="AW319" s="62">
        <f>IF(E319="","",IF(G319&lt;&gt;"",G319,IF(OR(E319="Proposition envoyée",E319="Signature"),MAX(0,N(IFERROR(INDEX('Paramètres'!$R$6:$R$15,MATCH(IF(AL319&lt;&gt;"",AL319,IFERROR(INDEX('Prospects'!$AN$5:$AN$504,MATCH(C319,'Prospects'!$C$5:$C$504,0)),"")),'Paramètres'!$Q$6:$Q$15,0)),0))-N(P319)),0)))</f>
        <v/>
      </c>
      <c r="AX319" s="61">
        <f>IF(C319="","",IF(COUNTIF($C$5:C319,C319)=1,MAX($AX$4:AX318)+1,""))</f>
        <v/>
      </c>
      <c r="AY319" s="61">
        <f>IF(B319="","",HOUR(B319))</f>
        <v/>
      </c>
      <c r="AZ319" s="61">
        <f>IF(A319="","",MOD(A319-2,7)+1)</f>
        <v/>
      </c>
      <c r="BA319" s="60">
        <f>IF(C319="","",IFERROR(INDEX('Prospects'!$N$5:$N$504,MATCH(C319,'Prospects'!$C$5:$C$504,0)),""))</f>
        <v/>
      </c>
      <c r="BB319" s="61">
        <f>IF(AND(C319&lt;&gt;"",C319='Fiche prospect'!$C$4),COUNTIF($C$5:C319,C319),"")</f>
        <v/>
      </c>
    </row>
    <row r="320">
      <c r="A320" s="53" t="n"/>
      <c r="B320" s="54" t="n"/>
      <c r="C320" s="55" t="n"/>
      <c r="D320" s="55" t="n"/>
      <c r="E320" s="55" t="n"/>
      <c r="F320" s="55" t="n"/>
      <c r="G320" s="56" t="n"/>
      <c r="H320" s="57" t="n"/>
      <c r="I320" s="55" t="n"/>
      <c r="J320" s="53" t="n"/>
      <c r="K320" s="54" t="n"/>
      <c r="L320" s="55" t="n"/>
      <c r="M320" s="55" t="n"/>
      <c r="N320" s="57" t="n"/>
      <c r="O320" s="55" t="n"/>
      <c r="P320" s="56" t="n"/>
      <c r="Q320" s="55" t="n"/>
      <c r="R320" s="55" t="n"/>
      <c r="S320" s="55" t="n"/>
      <c r="T320" s="55" t="n"/>
      <c r="U320" s="55" t="n"/>
      <c r="V320" s="55" t="n"/>
      <c r="W320" s="58" t="n"/>
      <c r="X320" s="58" t="n"/>
      <c r="Y320" s="55" t="n"/>
      <c r="Z320" s="55" t="n"/>
      <c r="AA320" s="55" t="n"/>
      <c r="AB320" s="55" t="n"/>
      <c r="AC320" s="55" t="n"/>
      <c r="AD320" s="53" t="n"/>
      <c r="AE320" s="55" t="n"/>
      <c r="AF320" s="55" t="n"/>
      <c r="AG320" s="59" t="n"/>
      <c r="AH320" s="57" t="n"/>
      <c r="AI320" s="55" t="n"/>
      <c r="AJ320" s="55" t="n"/>
      <c r="AK320" s="55" t="n"/>
      <c r="AL320" s="55" t="n"/>
      <c r="AM320" s="56" t="n"/>
      <c r="AN320" s="55" t="n"/>
      <c r="AO320" s="55" t="n"/>
      <c r="AP320" s="55" t="n"/>
      <c r="AQ320" s="55" t="n"/>
      <c r="AR320" s="60">
        <f>IF(AND(C320="",E320=""),"",IF(A320="","⚠ Date manquante",IF(AND(C320="",E320&lt;&gt;"Dépense"),"⚠ Prospect manquant",IF(E320="","⚠ Action manquante",IF(AND(AU320=1,D320=""),"⚠ Canal manquant",IF(AND(W320&lt;&gt;"",COUNTIFS('Saisie'!$W$5:$W$2004,W320,'Saisie'!$C$5:$C$2004,"&lt;&gt;"&amp;C320)&gt;0),"⚠ Numéro déjà utilisé par un autre prospect",IF(AND(J320&lt;&gt;"",J320&lt;A320),"⚠ Relance avant la date de l'action",IF(A320&gt;TODAY(),"⚠ Date dans le futur","✓"))))))))</f>
        <v/>
      </c>
      <c r="AS320" s="61">
        <f>IF(AND(A320="",C320="",E320=""),"",ROW())</f>
        <v/>
      </c>
      <c r="AT320" s="61">
        <f>IF(E320&amp;F320="","",MAX(IFERROR(INDEX('Paramètres'!$J$6:$J$33,MATCH(E320,'Paramètres'!$I$6:$I$33,0)),0),IFERROR(INDEX('Paramètres'!$N$6:$N$17,MATCH(F320,'Paramètres'!$M$6:$M$17,0)),0)))</f>
        <v/>
      </c>
      <c r="AU320" s="61">
        <f>IF(E320="","",IFERROR(IF(INDEX('Paramètres'!$K$6:$K$33,MATCH(E320,'Paramètres'!$I$6:$I$33,0))="Oui",1,0),0))</f>
        <v/>
      </c>
      <c r="AV320" s="61">
        <f>IF(F320="","",IFERROR(IF(INDEX('Paramètres'!$O$6:$O$17,MATCH(F320,'Paramètres'!$M$6:$M$17,0))="Oui",1,0),0))</f>
        <v/>
      </c>
      <c r="AW320" s="62">
        <f>IF(E320="","",IF(G320&lt;&gt;"",G320,IF(OR(E320="Proposition envoyée",E320="Signature"),MAX(0,N(IFERROR(INDEX('Paramètres'!$R$6:$R$15,MATCH(IF(AL320&lt;&gt;"",AL320,IFERROR(INDEX('Prospects'!$AN$5:$AN$504,MATCH(C320,'Prospects'!$C$5:$C$504,0)),"")),'Paramètres'!$Q$6:$Q$15,0)),0))-N(P320)),0)))</f>
        <v/>
      </c>
      <c r="AX320" s="61">
        <f>IF(C320="","",IF(COUNTIF($C$5:C320,C320)=1,MAX($AX$4:AX319)+1,""))</f>
        <v/>
      </c>
      <c r="AY320" s="61">
        <f>IF(B320="","",HOUR(B320))</f>
        <v/>
      </c>
      <c r="AZ320" s="61">
        <f>IF(A320="","",MOD(A320-2,7)+1)</f>
        <v/>
      </c>
      <c r="BA320" s="60">
        <f>IF(C320="","",IFERROR(INDEX('Prospects'!$N$5:$N$504,MATCH(C320,'Prospects'!$C$5:$C$504,0)),""))</f>
        <v/>
      </c>
      <c r="BB320" s="61">
        <f>IF(AND(C320&lt;&gt;"",C320='Fiche prospect'!$C$4),COUNTIF($C$5:C320,C320),"")</f>
        <v/>
      </c>
    </row>
    <row r="321">
      <c r="A321" s="53" t="n"/>
      <c r="B321" s="54" t="n"/>
      <c r="C321" s="55" t="n"/>
      <c r="D321" s="55" t="n"/>
      <c r="E321" s="55" t="n"/>
      <c r="F321" s="55" t="n"/>
      <c r="G321" s="56" t="n"/>
      <c r="H321" s="57" t="n"/>
      <c r="I321" s="55" t="n"/>
      <c r="J321" s="53" t="n"/>
      <c r="K321" s="54" t="n"/>
      <c r="L321" s="55" t="n"/>
      <c r="M321" s="55" t="n"/>
      <c r="N321" s="57" t="n"/>
      <c r="O321" s="55" t="n"/>
      <c r="P321" s="56" t="n"/>
      <c r="Q321" s="55" t="n"/>
      <c r="R321" s="55" t="n"/>
      <c r="S321" s="55" t="n"/>
      <c r="T321" s="55" t="n"/>
      <c r="U321" s="55" t="n"/>
      <c r="V321" s="55" t="n"/>
      <c r="W321" s="58" t="n"/>
      <c r="X321" s="58" t="n"/>
      <c r="Y321" s="55" t="n"/>
      <c r="Z321" s="55" t="n"/>
      <c r="AA321" s="55" t="n"/>
      <c r="AB321" s="55" t="n"/>
      <c r="AC321" s="55" t="n"/>
      <c r="AD321" s="53" t="n"/>
      <c r="AE321" s="55" t="n"/>
      <c r="AF321" s="55" t="n"/>
      <c r="AG321" s="59" t="n"/>
      <c r="AH321" s="57" t="n"/>
      <c r="AI321" s="55" t="n"/>
      <c r="AJ321" s="55" t="n"/>
      <c r="AK321" s="55" t="n"/>
      <c r="AL321" s="55" t="n"/>
      <c r="AM321" s="56" t="n"/>
      <c r="AN321" s="55" t="n"/>
      <c r="AO321" s="55" t="n"/>
      <c r="AP321" s="55" t="n"/>
      <c r="AQ321" s="55" t="n"/>
      <c r="AR321" s="60">
        <f>IF(AND(C321="",E321=""),"",IF(A321="","⚠ Date manquante",IF(AND(C321="",E321&lt;&gt;"Dépense"),"⚠ Prospect manquant",IF(E321="","⚠ Action manquante",IF(AND(AU321=1,D321=""),"⚠ Canal manquant",IF(AND(W321&lt;&gt;"",COUNTIFS('Saisie'!$W$5:$W$2004,W321,'Saisie'!$C$5:$C$2004,"&lt;&gt;"&amp;C321)&gt;0),"⚠ Numéro déjà utilisé par un autre prospect",IF(AND(J321&lt;&gt;"",J321&lt;A321),"⚠ Relance avant la date de l'action",IF(A321&gt;TODAY(),"⚠ Date dans le futur","✓"))))))))</f>
        <v/>
      </c>
      <c r="AS321" s="61">
        <f>IF(AND(A321="",C321="",E321=""),"",ROW())</f>
        <v/>
      </c>
      <c r="AT321" s="61">
        <f>IF(E321&amp;F321="","",MAX(IFERROR(INDEX('Paramètres'!$J$6:$J$33,MATCH(E321,'Paramètres'!$I$6:$I$33,0)),0),IFERROR(INDEX('Paramètres'!$N$6:$N$17,MATCH(F321,'Paramètres'!$M$6:$M$17,0)),0)))</f>
        <v/>
      </c>
      <c r="AU321" s="61">
        <f>IF(E321="","",IFERROR(IF(INDEX('Paramètres'!$K$6:$K$33,MATCH(E321,'Paramètres'!$I$6:$I$33,0))="Oui",1,0),0))</f>
        <v/>
      </c>
      <c r="AV321" s="61">
        <f>IF(F321="","",IFERROR(IF(INDEX('Paramètres'!$O$6:$O$17,MATCH(F321,'Paramètres'!$M$6:$M$17,0))="Oui",1,0),0))</f>
        <v/>
      </c>
      <c r="AW321" s="62">
        <f>IF(E321="","",IF(G321&lt;&gt;"",G321,IF(OR(E321="Proposition envoyée",E321="Signature"),MAX(0,N(IFERROR(INDEX('Paramètres'!$R$6:$R$15,MATCH(IF(AL321&lt;&gt;"",AL321,IFERROR(INDEX('Prospects'!$AN$5:$AN$504,MATCH(C321,'Prospects'!$C$5:$C$504,0)),"")),'Paramètres'!$Q$6:$Q$15,0)),0))-N(P321)),0)))</f>
        <v/>
      </c>
      <c r="AX321" s="61">
        <f>IF(C321="","",IF(COUNTIF($C$5:C321,C321)=1,MAX($AX$4:AX320)+1,""))</f>
        <v/>
      </c>
      <c r="AY321" s="61">
        <f>IF(B321="","",HOUR(B321))</f>
        <v/>
      </c>
      <c r="AZ321" s="61">
        <f>IF(A321="","",MOD(A321-2,7)+1)</f>
        <v/>
      </c>
      <c r="BA321" s="60">
        <f>IF(C321="","",IFERROR(INDEX('Prospects'!$N$5:$N$504,MATCH(C321,'Prospects'!$C$5:$C$504,0)),""))</f>
        <v/>
      </c>
      <c r="BB321" s="61">
        <f>IF(AND(C321&lt;&gt;"",C321='Fiche prospect'!$C$4),COUNTIF($C$5:C321,C321),"")</f>
        <v/>
      </c>
    </row>
    <row r="322">
      <c r="A322" s="53" t="n"/>
      <c r="B322" s="54" t="n"/>
      <c r="C322" s="55" t="n"/>
      <c r="D322" s="55" t="n"/>
      <c r="E322" s="55" t="n"/>
      <c r="F322" s="55" t="n"/>
      <c r="G322" s="56" t="n"/>
      <c r="H322" s="57" t="n"/>
      <c r="I322" s="55" t="n"/>
      <c r="J322" s="53" t="n"/>
      <c r="K322" s="54" t="n"/>
      <c r="L322" s="55" t="n"/>
      <c r="M322" s="55" t="n"/>
      <c r="N322" s="57" t="n"/>
      <c r="O322" s="55" t="n"/>
      <c r="P322" s="56" t="n"/>
      <c r="Q322" s="55" t="n"/>
      <c r="R322" s="55" t="n"/>
      <c r="S322" s="55" t="n"/>
      <c r="T322" s="55" t="n"/>
      <c r="U322" s="55" t="n"/>
      <c r="V322" s="55" t="n"/>
      <c r="W322" s="58" t="n"/>
      <c r="X322" s="58" t="n"/>
      <c r="Y322" s="55" t="n"/>
      <c r="Z322" s="55" t="n"/>
      <c r="AA322" s="55" t="n"/>
      <c r="AB322" s="55" t="n"/>
      <c r="AC322" s="55" t="n"/>
      <c r="AD322" s="53" t="n"/>
      <c r="AE322" s="55" t="n"/>
      <c r="AF322" s="55" t="n"/>
      <c r="AG322" s="59" t="n"/>
      <c r="AH322" s="57" t="n"/>
      <c r="AI322" s="55" t="n"/>
      <c r="AJ322" s="55" t="n"/>
      <c r="AK322" s="55" t="n"/>
      <c r="AL322" s="55" t="n"/>
      <c r="AM322" s="56" t="n"/>
      <c r="AN322" s="55" t="n"/>
      <c r="AO322" s="55" t="n"/>
      <c r="AP322" s="55" t="n"/>
      <c r="AQ322" s="55" t="n"/>
      <c r="AR322" s="60">
        <f>IF(AND(C322="",E322=""),"",IF(A322="","⚠ Date manquante",IF(AND(C322="",E322&lt;&gt;"Dépense"),"⚠ Prospect manquant",IF(E322="","⚠ Action manquante",IF(AND(AU322=1,D322=""),"⚠ Canal manquant",IF(AND(W322&lt;&gt;"",COUNTIFS('Saisie'!$W$5:$W$2004,W322,'Saisie'!$C$5:$C$2004,"&lt;&gt;"&amp;C322)&gt;0),"⚠ Numéro déjà utilisé par un autre prospect",IF(AND(J322&lt;&gt;"",J322&lt;A322),"⚠ Relance avant la date de l'action",IF(A322&gt;TODAY(),"⚠ Date dans le futur","✓"))))))))</f>
        <v/>
      </c>
      <c r="AS322" s="61">
        <f>IF(AND(A322="",C322="",E322=""),"",ROW())</f>
        <v/>
      </c>
      <c r="AT322" s="61">
        <f>IF(E322&amp;F322="","",MAX(IFERROR(INDEX('Paramètres'!$J$6:$J$33,MATCH(E322,'Paramètres'!$I$6:$I$33,0)),0),IFERROR(INDEX('Paramètres'!$N$6:$N$17,MATCH(F322,'Paramètres'!$M$6:$M$17,0)),0)))</f>
        <v/>
      </c>
      <c r="AU322" s="61">
        <f>IF(E322="","",IFERROR(IF(INDEX('Paramètres'!$K$6:$K$33,MATCH(E322,'Paramètres'!$I$6:$I$33,0))="Oui",1,0),0))</f>
        <v/>
      </c>
      <c r="AV322" s="61">
        <f>IF(F322="","",IFERROR(IF(INDEX('Paramètres'!$O$6:$O$17,MATCH(F322,'Paramètres'!$M$6:$M$17,0))="Oui",1,0),0))</f>
        <v/>
      </c>
      <c r="AW322" s="62">
        <f>IF(E322="","",IF(G322&lt;&gt;"",G322,IF(OR(E322="Proposition envoyée",E322="Signature"),MAX(0,N(IFERROR(INDEX('Paramètres'!$R$6:$R$15,MATCH(IF(AL322&lt;&gt;"",AL322,IFERROR(INDEX('Prospects'!$AN$5:$AN$504,MATCH(C322,'Prospects'!$C$5:$C$504,0)),"")),'Paramètres'!$Q$6:$Q$15,0)),0))-N(P322)),0)))</f>
        <v/>
      </c>
      <c r="AX322" s="61">
        <f>IF(C322="","",IF(COUNTIF($C$5:C322,C322)=1,MAX($AX$4:AX321)+1,""))</f>
        <v/>
      </c>
      <c r="AY322" s="61">
        <f>IF(B322="","",HOUR(B322))</f>
        <v/>
      </c>
      <c r="AZ322" s="61">
        <f>IF(A322="","",MOD(A322-2,7)+1)</f>
        <v/>
      </c>
      <c r="BA322" s="60">
        <f>IF(C322="","",IFERROR(INDEX('Prospects'!$N$5:$N$504,MATCH(C322,'Prospects'!$C$5:$C$504,0)),""))</f>
        <v/>
      </c>
      <c r="BB322" s="61">
        <f>IF(AND(C322&lt;&gt;"",C322='Fiche prospect'!$C$4),COUNTIF($C$5:C322,C322),"")</f>
        <v/>
      </c>
    </row>
    <row r="323">
      <c r="A323" s="53" t="n"/>
      <c r="B323" s="54" t="n"/>
      <c r="C323" s="55" t="n"/>
      <c r="D323" s="55" t="n"/>
      <c r="E323" s="55" t="n"/>
      <c r="F323" s="55" t="n"/>
      <c r="G323" s="56" t="n"/>
      <c r="H323" s="57" t="n"/>
      <c r="I323" s="55" t="n"/>
      <c r="J323" s="53" t="n"/>
      <c r="K323" s="54" t="n"/>
      <c r="L323" s="55" t="n"/>
      <c r="M323" s="55" t="n"/>
      <c r="N323" s="57" t="n"/>
      <c r="O323" s="55" t="n"/>
      <c r="P323" s="56" t="n"/>
      <c r="Q323" s="55" t="n"/>
      <c r="R323" s="55" t="n"/>
      <c r="S323" s="55" t="n"/>
      <c r="T323" s="55" t="n"/>
      <c r="U323" s="55" t="n"/>
      <c r="V323" s="55" t="n"/>
      <c r="W323" s="58" t="n"/>
      <c r="X323" s="58" t="n"/>
      <c r="Y323" s="55" t="n"/>
      <c r="Z323" s="55" t="n"/>
      <c r="AA323" s="55" t="n"/>
      <c r="AB323" s="55" t="n"/>
      <c r="AC323" s="55" t="n"/>
      <c r="AD323" s="53" t="n"/>
      <c r="AE323" s="55" t="n"/>
      <c r="AF323" s="55" t="n"/>
      <c r="AG323" s="59" t="n"/>
      <c r="AH323" s="57" t="n"/>
      <c r="AI323" s="55" t="n"/>
      <c r="AJ323" s="55" t="n"/>
      <c r="AK323" s="55" t="n"/>
      <c r="AL323" s="55" t="n"/>
      <c r="AM323" s="56" t="n"/>
      <c r="AN323" s="55" t="n"/>
      <c r="AO323" s="55" t="n"/>
      <c r="AP323" s="55" t="n"/>
      <c r="AQ323" s="55" t="n"/>
      <c r="AR323" s="60">
        <f>IF(AND(C323="",E323=""),"",IF(A323="","⚠ Date manquante",IF(AND(C323="",E323&lt;&gt;"Dépense"),"⚠ Prospect manquant",IF(E323="","⚠ Action manquante",IF(AND(AU323=1,D323=""),"⚠ Canal manquant",IF(AND(W323&lt;&gt;"",COUNTIFS('Saisie'!$W$5:$W$2004,W323,'Saisie'!$C$5:$C$2004,"&lt;&gt;"&amp;C323)&gt;0),"⚠ Numéro déjà utilisé par un autre prospect",IF(AND(J323&lt;&gt;"",J323&lt;A323),"⚠ Relance avant la date de l'action",IF(A323&gt;TODAY(),"⚠ Date dans le futur","✓"))))))))</f>
        <v/>
      </c>
      <c r="AS323" s="61">
        <f>IF(AND(A323="",C323="",E323=""),"",ROW())</f>
        <v/>
      </c>
      <c r="AT323" s="61">
        <f>IF(E323&amp;F323="","",MAX(IFERROR(INDEX('Paramètres'!$J$6:$J$33,MATCH(E323,'Paramètres'!$I$6:$I$33,0)),0),IFERROR(INDEX('Paramètres'!$N$6:$N$17,MATCH(F323,'Paramètres'!$M$6:$M$17,0)),0)))</f>
        <v/>
      </c>
      <c r="AU323" s="61">
        <f>IF(E323="","",IFERROR(IF(INDEX('Paramètres'!$K$6:$K$33,MATCH(E323,'Paramètres'!$I$6:$I$33,0))="Oui",1,0),0))</f>
        <v/>
      </c>
      <c r="AV323" s="61">
        <f>IF(F323="","",IFERROR(IF(INDEX('Paramètres'!$O$6:$O$17,MATCH(F323,'Paramètres'!$M$6:$M$17,0))="Oui",1,0),0))</f>
        <v/>
      </c>
      <c r="AW323" s="62">
        <f>IF(E323="","",IF(G323&lt;&gt;"",G323,IF(OR(E323="Proposition envoyée",E323="Signature"),MAX(0,N(IFERROR(INDEX('Paramètres'!$R$6:$R$15,MATCH(IF(AL323&lt;&gt;"",AL323,IFERROR(INDEX('Prospects'!$AN$5:$AN$504,MATCH(C323,'Prospects'!$C$5:$C$504,0)),"")),'Paramètres'!$Q$6:$Q$15,0)),0))-N(P323)),0)))</f>
        <v/>
      </c>
      <c r="AX323" s="61">
        <f>IF(C323="","",IF(COUNTIF($C$5:C323,C323)=1,MAX($AX$4:AX322)+1,""))</f>
        <v/>
      </c>
      <c r="AY323" s="61">
        <f>IF(B323="","",HOUR(B323))</f>
        <v/>
      </c>
      <c r="AZ323" s="61">
        <f>IF(A323="","",MOD(A323-2,7)+1)</f>
        <v/>
      </c>
      <c r="BA323" s="60">
        <f>IF(C323="","",IFERROR(INDEX('Prospects'!$N$5:$N$504,MATCH(C323,'Prospects'!$C$5:$C$504,0)),""))</f>
        <v/>
      </c>
      <c r="BB323" s="61">
        <f>IF(AND(C323&lt;&gt;"",C323='Fiche prospect'!$C$4),COUNTIF($C$5:C323,C323),"")</f>
        <v/>
      </c>
    </row>
    <row r="324">
      <c r="A324" s="53" t="n"/>
      <c r="B324" s="54" t="n"/>
      <c r="C324" s="55" t="n"/>
      <c r="D324" s="55" t="n"/>
      <c r="E324" s="55" t="n"/>
      <c r="F324" s="55" t="n"/>
      <c r="G324" s="56" t="n"/>
      <c r="H324" s="57" t="n"/>
      <c r="I324" s="55" t="n"/>
      <c r="J324" s="53" t="n"/>
      <c r="K324" s="54" t="n"/>
      <c r="L324" s="55" t="n"/>
      <c r="M324" s="55" t="n"/>
      <c r="N324" s="57" t="n"/>
      <c r="O324" s="55" t="n"/>
      <c r="P324" s="56" t="n"/>
      <c r="Q324" s="55" t="n"/>
      <c r="R324" s="55" t="n"/>
      <c r="S324" s="55" t="n"/>
      <c r="T324" s="55" t="n"/>
      <c r="U324" s="55" t="n"/>
      <c r="V324" s="55" t="n"/>
      <c r="W324" s="58" t="n"/>
      <c r="X324" s="58" t="n"/>
      <c r="Y324" s="55" t="n"/>
      <c r="Z324" s="55" t="n"/>
      <c r="AA324" s="55" t="n"/>
      <c r="AB324" s="55" t="n"/>
      <c r="AC324" s="55" t="n"/>
      <c r="AD324" s="53" t="n"/>
      <c r="AE324" s="55" t="n"/>
      <c r="AF324" s="55" t="n"/>
      <c r="AG324" s="59" t="n"/>
      <c r="AH324" s="57" t="n"/>
      <c r="AI324" s="55" t="n"/>
      <c r="AJ324" s="55" t="n"/>
      <c r="AK324" s="55" t="n"/>
      <c r="AL324" s="55" t="n"/>
      <c r="AM324" s="56" t="n"/>
      <c r="AN324" s="55" t="n"/>
      <c r="AO324" s="55" t="n"/>
      <c r="AP324" s="55" t="n"/>
      <c r="AQ324" s="55" t="n"/>
      <c r="AR324" s="60">
        <f>IF(AND(C324="",E324=""),"",IF(A324="","⚠ Date manquante",IF(AND(C324="",E324&lt;&gt;"Dépense"),"⚠ Prospect manquant",IF(E324="","⚠ Action manquante",IF(AND(AU324=1,D324=""),"⚠ Canal manquant",IF(AND(W324&lt;&gt;"",COUNTIFS('Saisie'!$W$5:$W$2004,W324,'Saisie'!$C$5:$C$2004,"&lt;&gt;"&amp;C324)&gt;0),"⚠ Numéro déjà utilisé par un autre prospect",IF(AND(J324&lt;&gt;"",J324&lt;A324),"⚠ Relance avant la date de l'action",IF(A324&gt;TODAY(),"⚠ Date dans le futur","✓"))))))))</f>
        <v/>
      </c>
      <c r="AS324" s="61">
        <f>IF(AND(A324="",C324="",E324=""),"",ROW())</f>
        <v/>
      </c>
      <c r="AT324" s="61">
        <f>IF(E324&amp;F324="","",MAX(IFERROR(INDEX('Paramètres'!$J$6:$J$33,MATCH(E324,'Paramètres'!$I$6:$I$33,0)),0),IFERROR(INDEX('Paramètres'!$N$6:$N$17,MATCH(F324,'Paramètres'!$M$6:$M$17,0)),0)))</f>
        <v/>
      </c>
      <c r="AU324" s="61">
        <f>IF(E324="","",IFERROR(IF(INDEX('Paramètres'!$K$6:$K$33,MATCH(E324,'Paramètres'!$I$6:$I$33,0))="Oui",1,0),0))</f>
        <v/>
      </c>
      <c r="AV324" s="61">
        <f>IF(F324="","",IFERROR(IF(INDEX('Paramètres'!$O$6:$O$17,MATCH(F324,'Paramètres'!$M$6:$M$17,0))="Oui",1,0),0))</f>
        <v/>
      </c>
      <c r="AW324" s="62">
        <f>IF(E324="","",IF(G324&lt;&gt;"",G324,IF(OR(E324="Proposition envoyée",E324="Signature"),MAX(0,N(IFERROR(INDEX('Paramètres'!$R$6:$R$15,MATCH(IF(AL324&lt;&gt;"",AL324,IFERROR(INDEX('Prospects'!$AN$5:$AN$504,MATCH(C324,'Prospects'!$C$5:$C$504,0)),"")),'Paramètres'!$Q$6:$Q$15,0)),0))-N(P324)),0)))</f>
        <v/>
      </c>
      <c r="AX324" s="61">
        <f>IF(C324="","",IF(COUNTIF($C$5:C324,C324)=1,MAX($AX$4:AX323)+1,""))</f>
        <v/>
      </c>
      <c r="AY324" s="61">
        <f>IF(B324="","",HOUR(B324))</f>
        <v/>
      </c>
      <c r="AZ324" s="61">
        <f>IF(A324="","",MOD(A324-2,7)+1)</f>
        <v/>
      </c>
      <c r="BA324" s="60">
        <f>IF(C324="","",IFERROR(INDEX('Prospects'!$N$5:$N$504,MATCH(C324,'Prospects'!$C$5:$C$504,0)),""))</f>
        <v/>
      </c>
      <c r="BB324" s="61">
        <f>IF(AND(C324&lt;&gt;"",C324='Fiche prospect'!$C$4),COUNTIF($C$5:C324,C324),"")</f>
        <v/>
      </c>
    </row>
    <row r="325">
      <c r="A325" s="53" t="n"/>
      <c r="B325" s="54" t="n"/>
      <c r="C325" s="55" t="n"/>
      <c r="D325" s="55" t="n"/>
      <c r="E325" s="55" t="n"/>
      <c r="F325" s="55" t="n"/>
      <c r="G325" s="56" t="n"/>
      <c r="H325" s="57" t="n"/>
      <c r="I325" s="55" t="n"/>
      <c r="J325" s="53" t="n"/>
      <c r="K325" s="54" t="n"/>
      <c r="L325" s="55" t="n"/>
      <c r="M325" s="55" t="n"/>
      <c r="N325" s="57" t="n"/>
      <c r="O325" s="55" t="n"/>
      <c r="P325" s="56" t="n"/>
      <c r="Q325" s="55" t="n"/>
      <c r="R325" s="55" t="n"/>
      <c r="S325" s="55" t="n"/>
      <c r="T325" s="55" t="n"/>
      <c r="U325" s="55" t="n"/>
      <c r="V325" s="55" t="n"/>
      <c r="W325" s="58" t="n"/>
      <c r="X325" s="58" t="n"/>
      <c r="Y325" s="55" t="n"/>
      <c r="Z325" s="55" t="n"/>
      <c r="AA325" s="55" t="n"/>
      <c r="AB325" s="55" t="n"/>
      <c r="AC325" s="55" t="n"/>
      <c r="AD325" s="53" t="n"/>
      <c r="AE325" s="55" t="n"/>
      <c r="AF325" s="55" t="n"/>
      <c r="AG325" s="59" t="n"/>
      <c r="AH325" s="57" t="n"/>
      <c r="AI325" s="55" t="n"/>
      <c r="AJ325" s="55" t="n"/>
      <c r="AK325" s="55" t="n"/>
      <c r="AL325" s="55" t="n"/>
      <c r="AM325" s="56" t="n"/>
      <c r="AN325" s="55" t="n"/>
      <c r="AO325" s="55" t="n"/>
      <c r="AP325" s="55" t="n"/>
      <c r="AQ325" s="55" t="n"/>
      <c r="AR325" s="60">
        <f>IF(AND(C325="",E325=""),"",IF(A325="","⚠ Date manquante",IF(AND(C325="",E325&lt;&gt;"Dépense"),"⚠ Prospect manquant",IF(E325="","⚠ Action manquante",IF(AND(AU325=1,D325=""),"⚠ Canal manquant",IF(AND(W325&lt;&gt;"",COUNTIFS('Saisie'!$W$5:$W$2004,W325,'Saisie'!$C$5:$C$2004,"&lt;&gt;"&amp;C325)&gt;0),"⚠ Numéro déjà utilisé par un autre prospect",IF(AND(J325&lt;&gt;"",J325&lt;A325),"⚠ Relance avant la date de l'action",IF(A325&gt;TODAY(),"⚠ Date dans le futur","✓"))))))))</f>
        <v/>
      </c>
      <c r="AS325" s="61">
        <f>IF(AND(A325="",C325="",E325=""),"",ROW())</f>
        <v/>
      </c>
      <c r="AT325" s="61">
        <f>IF(E325&amp;F325="","",MAX(IFERROR(INDEX('Paramètres'!$J$6:$J$33,MATCH(E325,'Paramètres'!$I$6:$I$33,0)),0),IFERROR(INDEX('Paramètres'!$N$6:$N$17,MATCH(F325,'Paramètres'!$M$6:$M$17,0)),0)))</f>
        <v/>
      </c>
      <c r="AU325" s="61">
        <f>IF(E325="","",IFERROR(IF(INDEX('Paramètres'!$K$6:$K$33,MATCH(E325,'Paramètres'!$I$6:$I$33,0))="Oui",1,0),0))</f>
        <v/>
      </c>
      <c r="AV325" s="61">
        <f>IF(F325="","",IFERROR(IF(INDEX('Paramètres'!$O$6:$O$17,MATCH(F325,'Paramètres'!$M$6:$M$17,0))="Oui",1,0),0))</f>
        <v/>
      </c>
      <c r="AW325" s="62">
        <f>IF(E325="","",IF(G325&lt;&gt;"",G325,IF(OR(E325="Proposition envoyée",E325="Signature"),MAX(0,N(IFERROR(INDEX('Paramètres'!$R$6:$R$15,MATCH(IF(AL325&lt;&gt;"",AL325,IFERROR(INDEX('Prospects'!$AN$5:$AN$504,MATCH(C325,'Prospects'!$C$5:$C$504,0)),"")),'Paramètres'!$Q$6:$Q$15,0)),0))-N(P325)),0)))</f>
        <v/>
      </c>
      <c r="AX325" s="61">
        <f>IF(C325="","",IF(COUNTIF($C$5:C325,C325)=1,MAX($AX$4:AX324)+1,""))</f>
        <v/>
      </c>
      <c r="AY325" s="61">
        <f>IF(B325="","",HOUR(B325))</f>
        <v/>
      </c>
      <c r="AZ325" s="61">
        <f>IF(A325="","",MOD(A325-2,7)+1)</f>
        <v/>
      </c>
      <c r="BA325" s="60">
        <f>IF(C325="","",IFERROR(INDEX('Prospects'!$N$5:$N$504,MATCH(C325,'Prospects'!$C$5:$C$504,0)),""))</f>
        <v/>
      </c>
      <c r="BB325" s="61">
        <f>IF(AND(C325&lt;&gt;"",C325='Fiche prospect'!$C$4),COUNTIF($C$5:C325,C325),"")</f>
        <v/>
      </c>
    </row>
    <row r="326">
      <c r="A326" s="53" t="n"/>
      <c r="B326" s="54" t="n"/>
      <c r="C326" s="55" t="n"/>
      <c r="D326" s="55" t="n"/>
      <c r="E326" s="55" t="n"/>
      <c r="F326" s="55" t="n"/>
      <c r="G326" s="56" t="n"/>
      <c r="H326" s="57" t="n"/>
      <c r="I326" s="55" t="n"/>
      <c r="J326" s="53" t="n"/>
      <c r="K326" s="54" t="n"/>
      <c r="L326" s="55" t="n"/>
      <c r="M326" s="55" t="n"/>
      <c r="N326" s="57" t="n"/>
      <c r="O326" s="55" t="n"/>
      <c r="P326" s="56" t="n"/>
      <c r="Q326" s="55" t="n"/>
      <c r="R326" s="55" t="n"/>
      <c r="S326" s="55" t="n"/>
      <c r="T326" s="55" t="n"/>
      <c r="U326" s="55" t="n"/>
      <c r="V326" s="55" t="n"/>
      <c r="W326" s="58" t="n"/>
      <c r="X326" s="58" t="n"/>
      <c r="Y326" s="55" t="n"/>
      <c r="Z326" s="55" t="n"/>
      <c r="AA326" s="55" t="n"/>
      <c r="AB326" s="55" t="n"/>
      <c r="AC326" s="55" t="n"/>
      <c r="AD326" s="53" t="n"/>
      <c r="AE326" s="55" t="n"/>
      <c r="AF326" s="55" t="n"/>
      <c r="AG326" s="59" t="n"/>
      <c r="AH326" s="57" t="n"/>
      <c r="AI326" s="55" t="n"/>
      <c r="AJ326" s="55" t="n"/>
      <c r="AK326" s="55" t="n"/>
      <c r="AL326" s="55" t="n"/>
      <c r="AM326" s="56" t="n"/>
      <c r="AN326" s="55" t="n"/>
      <c r="AO326" s="55" t="n"/>
      <c r="AP326" s="55" t="n"/>
      <c r="AQ326" s="55" t="n"/>
      <c r="AR326" s="60">
        <f>IF(AND(C326="",E326=""),"",IF(A326="","⚠ Date manquante",IF(AND(C326="",E326&lt;&gt;"Dépense"),"⚠ Prospect manquant",IF(E326="","⚠ Action manquante",IF(AND(AU326=1,D326=""),"⚠ Canal manquant",IF(AND(W326&lt;&gt;"",COUNTIFS('Saisie'!$W$5:$W$2004,W326,'Saisie'!$C$5:$C$2004,"&lt;&gt;"&amp;C326)&gt;0),"⚠ Numéro déjà utilisé par un autre prospect",IF(AND(J326&lt;&gt;"",J326&lt;A326),"⚠ Relance avant la date de l'action",IF(A326&gt;TODAY(),"⚠ Date dans le futur","✓"))))))))</f>
        <v/>
      </c>
      <c r="AS326" s="61">
        <f>IF(AND(A326="",C326="",E326=""),"",ROW())</f>
        <v/>
      </c>
      <c r="AT326" s="61">
        <f>IF(E326&amp;F326="","",MAX(IFERROR(INDEX('Paramètres'!$J$6:$J$33,MATCH(E326,'Paramètres'!$I$6:$I$33,0)),0),IFERROR(INDEX('Paramètres'!$N$6:$N$17,MATCH(F326,'Paramètres'!$M$6:$M$17,0)),0)))</f>
        <v/>
      </c>
      <c r="AU326" s="61">
        <f>IF(E326="","",IFERROR(IF(INDEX('Paramètres'!$K$6:$K$33,MATCH(E326,'Paramètres'!$I$6:$I$33,0))="Oui",1,0),0))</f>
        <v/>
      </c>
      <c r="AV326" s="61">
        <f>IF(F326="","",IFERROR(IF(INDEX('Paramètres'!$O$6:$O$17,MATCH(F326,'Paramètres'!$M$6:$M$17,0))="Oui",1,0),0))</f>
        <v/>
      </c>
      <c r="AW326" s="62">
        <f>IF(E326="","",IF(G326&lt;&gt;"",G326,IF(OR(E326="Proposition envoyée",E326="Signature"),MAX(0,N(IFERROR(INDEX('Paramètres'!$R$6:$R$15,MATCH(IF(AL326&lt;&gt;"",AL326,IFERROR(INDEX('Prospects'!$AN$5:$AN$504,MATCH(C326,'Prospects'!$C$5:$C$504,0)),"")),'Paramètres'!$Q$6:$Q$15,0)),0))-N(P326)),0)))</f>
        <v/>
      </c>
      <c r="AX326" s="61">
        <f>IF(C326="","",IF(COUNTIF($C$5:C326,C326)=1,MAX($AX$4:AX325)+1,""))</f>
        <v/>
      </c>
      <c r="AY326" s="61">
        <f>IF(B326="","",HOUR(B326))</f>
        <v/>
      </c>
      <c r="AZ326" s="61">
        <f>IF(A326="","",MOD(A326-2,7)+1)</f>
        <v/>
      </c>
      <c r="BA326" s="60">
        <f>IF(C326="","",IFERROR(INDEX('Prospects'!$N$5:$N$504,MATCH(C326,'Prospects'!$C$5:$C$504,0)),""))</f>
        <v/>
      </c>
      <c r="BB326" s="61">
        <f>IF(AND(C326&lt;&gt;"",C326='Fiche prospect'!$C$4),COUNTIF($C$5:C326,C326),"")</f>
        <v/>
      </c>
    </row>
    <row r="327">
      <c r="A327" s="53" t="n"/>
      <c r="B327" s="54" t="n"/>
      <c r="C327" s="55" t="n"/>
      <c r="D327" s="55" t="n"/>
      <c r="E327" s="55" t="n"/>
      <c r="F327" s="55" t="n"/>
      <c r="G327" s="56" t="n"/>
      <c r="H327" s="57" t="n"/>
      <c r="I327" s="55" t="n"/>
      <c r="J327" s="53" t="n"/>
      <c r="K327" s="54" t="n"/>
      <c r="L327" s="55" t="n"/>
      <c r="M327" s="55" t="n"/>
      <c r="N327" s="57" t="n"/>
      <c r="O327" s="55" t="n"/>
      <c r="P327" s="56" t="n"/>
      <c r="Q327" s="55" t="n"/>
      <c r="R327" s="55" t="n"/>
      <c r="S327" s="55" t="n"/>
      <c r="T327" s="55" t="n"/>
      <c r="U327" s="55" t="n"/>
      <c r="V327" s="55" t="n"/>
      <c r="W327" s="58" t="n"/>
      <c r="X327" s="58" t="n"/>
      <c r="Y327" s="55" t="n"/>
      <c r="Z327" s="55" t="n"/>
      <c r="AA327" s="55" t="n"/>
      <c r="AB327" s="55" t="n"/>
      <c r="AC327" s="55" t="n"/>
      <c r="AD327" s="53" t="n"/>
      <c r="AE327" s="55" t="n"/>
      <c r="AF327" s="55" t="n"/>
      <c r="AG327" s="59" t="n"/>
      <c r="AH327" s="57" t="n"/>
      <c r="AI327" s="55" t="n"/>
      <c r="AJ327" s="55" t="n"/>
      <c r="AK327" s="55" t="n"/>
      <c r="AL327" s="55" t="n"/>
      <c r="AM327" s="56" t="n"/>
      <c r="AN327" s="55" t="n"/>
      <c r="AO327" s="55" t="n"/>
      <c r="AP327" s="55" t="n"/>
      <c r="AQ327" s="55" t="n"/>
      <c r="AR327" s="60">
        <f>IF(AND(C327="",E327=""),"",IF(A327="","⚠ Date manquante",IF(AND(C327="",E327&lt;&gt;"Dépense"),"⚠ Prospect manquant",IF(E327="","⚠ Action manquante",IF(AND(AU327=1,D327=""),"⚠ Canal manquant",IF(AND(W327&lt;&gt;"",COUNTIFS('Saisie'!$W$5:$W$2004,W327,'Saisie'!$C$5:$C$2004,"&lt;&gt;"&amp;C327)&gt;0),"⚠ Numéro déjà utilisé par un autre prospect",IF(AND(J327&lt;&gt;"",J327&lt;A327),"⚠ Relance avant la date de l'action",IF(A327&gt;TODAY(),"⚠ Date dans le futur","✓"))))))))</f>
        <v/>
      </c>
      <c r="AS327" s="61">
        <f>IF(AND(A327="",C327="",E327=""),"",ROW())</f>
        <v/>
      </c>
      <c r="AT327" s="61">
        <f>IF(E327&amp;F327="","",MAX(IFERROR(INDEX('Paramètres'!$J$6:$J$33,MATCH(E327,'Paramètres'!$I$6:$I$33,0)),0),IFERROR(INDEX('Paramètres'!$N$6:$N$17,MATCH(F327,'Paramètres'!$M$6:$M$17,0)),0)))</f>
        <v/>
      </c>
      <c r="AU327" s="61">
        <f>IF(E327="","",IFERROR(IF(INDEX('Paramètres'!$K$6:$K$33,MATCH(E327,'Paramètres'!$I$6:$I$33,0))="Oui",1,0),0))</f>
        <v/>
      </c>
      <c r="AV327" s="61">
        <f>IF(F327="","",IFERROR(IF(INDEX('Paramètres'!$O$6:$O$17,MATCH(F327,'Paramètres'!$M$6:$M$17,0))="Oui",1,0),0))</f>
        <v/>
      </c>
      <c r="AW327" s="62">
        <f>IF(E327="","",IF(G327&lt;&gt;"",G327,IF(OR(E327="Proposition envoyée",E327="Signature"),MAX(0,N(IFERROR(INDEX('Paramètres'!$R$6:$R$15,MATCH(IF(AL327&lt;&gt;"",AL327,IFERROR(INDEX('Prospects'!$AN$5:$AN$504,MATCH(C327,'Prospects'!$C$5:$C$504,0)),"")),'Paramètres'!$Q$6:$Q$15,0)),0))-N(P327)),0)))</f>
        <v/>
      </c>
      <c r="AX327" s="61">
        <f>IF(C327="","",IF(COUNTIF($C$5:C327,C327)=1,MAX($AX$4:AX326)+1,""))</f>
        <v/>
      </c>
      <c r="AY327" s="61">
        <f>IF(B327="","",HOUR(B327))</f>
        <v/>
      </c>
      <c r="AZ327" s="61">
        <f>IF(A327="","",MOD(A327-2,7)+1)</f>
        <v/>
      </c>
      <c r="BA327" s="60">
        <f>IF(C327="","",IFERROR(INDEX('Prospects'!$N$5:$N$504,MATCH(C327,'Prospects'!$C$5:$C$504,0)),""))</f>
        <v/>
      </c>
      <c r="BB327" s="61">
        <f>IF(AND(C327&lt;&gt;"",C327='Fiche prospect'!$C$4),COUNTIF($C$5:C327,C327),"")</f>
        <v/>
      </c>
    </row>
    <row r="328">
      <c r="A328" s="53" t="n"/>
      <c r="B328" s="54" t="n"/>
      <c r="C328" s="55" t="n"/>
      <c r="D328" s="55" t="n"/>
      <c r="E328" s="55" t="n"/>
      <c r="F328" s="55" t="n"/>
      <c r="G328" s="56" t="n"/>
      <c r="H328" s="57" t="n"/>
      <c r="I328" s="55" t="n"/>
      <c r="J328" s="53" t="n"/>
      <c r="K328" s="54" t="n"/>
      <c r="L328" s="55" t="n"/>
      <c r="M328" s="55" t="n"/>
      <c r="N328" s="57" t="n"/>
      <c r="O328" s="55" t="n"/>
      <c r="P328" s="56" t="n"/>
      <c r="Q328" s="55" t="n"/>
      <c r="R328" s="55" t="n"/>
      <c r="S328" s="55" t="n"/>
      <c r="T328" s="55" t="n"/>
      <c r="U328" s="55" t="n"/>
      <c r="V328" s="55" t="n"/>
      <c r="W328" s="58" t="n"/>
      <c r="X328" s="58" t="n"/>
      <c r="Y328" s="55" t="n"/>
      <c r="Z328" s="55" t="n"/>
      <c r="AA328" s="55" t="n"/>
      <c r="AB328" s="55" t="n"/>
      <c r="AC328" s="55" t="n"/>
      <c r="AD328" s="53" t="n"/>
      <c r="AE328" s="55" t="n"/>
      <c r="AF328" s="55" t="n"/>
      <c r="AG328" s="59" t="n"/>
      <c r="AH328" s="57" t="n"/>
      <c r="AI328" s="55" t="n"/>
      <c r="AJ328" s="55" t="n"/>
      <c r="AK328" s="55" t="n"/>
      <c r="AL328" s="55" t="n"/>
      <c r="AM328" s="56" t="n"/>
      <c r="AN328" s="55" t="n"/>
      <c r="AO328" s="55" t="n"/>
      <c r="AP328" s="55" t="n"/>
      <c r="AQ328" s="55" t="n"/>
      <c r="AR328" s="60">
        <f>IF(AND(C328="",E328=""),"",IF(A328="","⚠ Date manquante",IF(AND(C328="",E328&lt;&gt;"Dépense"),"⚠ Prospect manquant",IF(E328="","⚠ Action manquante",IF(AND(AU328=1,D328=""),"⚠ Canal manquant",IF(AND(W328&lt;&gt;"",COUNTIFS('Saisie'!$W$5:$W$2004,W328,'Saisie'!$C$5:$C$2004,"&lt;&gt;"&amp;C328)&gt;0),"⚠ Numéro déjà utilisé par un autre prospect",IF(AND(J328&lt;&gt;"",J328&lt;A328),"⚠ Relance avant la date de l'action",IF(A328&gt;TODAY(),"⚠ Date dans le futur","✓"))))))))</f>
        <v/>
      </c>
      <c r="AS328" s="61">
        <f>IF(AND(A328="",C328="",E328=""),"",ROW())</f>
        <v/>
      </c>
      <c r="AT328" s="61">
        <f>IF(E328&amp;F328="","",MAX(IFERROR(INDEX('Paramètres'!$J$6:$J$33,MATCH(E328,'Paramètres'!$I$6:$I$33,0)),0),IFERROR(INDEX('Paramètres'!$N$6:$N$17,MATCH(F328,'Paramètres'!$M$6:$M$17,0)),0)))</f>
        <v/>
      </c>
      <c r="AU328" s="61">
        <f>IF(E328="","",IFERROR(IF(INDEX('Paramètres'!$K$6:$K$33,MATCH(E328,'Paramètres'!$I$6:$I$33,0))="Oui",1,0),0))</f>
        <v/>
      </c>
      <c r="AV328" s="61">
        <f>IF(F328="","",IFERROR(IF(INDEX('Paramètres'!$O$6:$O$17,MATCH(F328,'Paramètres'!$M$6:$M$17,0))="Oui",1,0),0))</f>
        <v/>
      </c>
      <c r="AW328" s="62">
        <f>IF(E328="","",IF(G328&lt;&gt;"",G328,IF(OR(E328="Proposition envoyée",E328="Signature"),MAX(0,N(IFERROR(INDEX('Paramètres'!$R$6:$R$15,MATCH(IF(AL328&lt;&gt;"",AL328,IFERROR(INDEX('Prospects'!$AN$5:$AN$504,MATCH(C328,'Prospects'!$C$5:$C$504,0)),"")),'Paramètres'!$Q$6:$Q$15,0)),0))-N(P328)),0)))</f>
        <v/>
      </c>
      <c r="AX328" s="61">
        <f>IF(C328="","",IF(COUNTIF($C$5:C328,C328)=1,MAX($AX$4:AX327)+1,""))</f>
        <v/>
      </c>
      <c r="AY328" s="61">
        <f>IF(B328="","",HOUR(B328))</f>
        <v/>
      </c>
      <c r="AZ328" s="61">
        <f>IF(A328="","",MOD(A328-2,7)+1)</f>
        <v/>
      </c>
      <c r="BA328" s="60">
        <f>IF(C328="","",IFERROR(INDEX('Prospects'!$N$5:$N$504,MATCH(C328,'Prospects'!$C$5:$C$504,0)),""))</f>
        <v/>
      </c>
      <c r="BB328" s="61">
        <f>IF(AND(C328&lt;&gt;"",C328='Fiche prospect'!$C$4),COUNTIF($C$5:C328,C328),"")</f>
        <v/>
      </c>
    </row>
    <row r="329">
      <c r="A329" s="53" t="n"/>
      <c r="B329" s="54" t="n"/>
      <c r="C329" s="55" t="n"/>
      <c r="D329" s="55" t="n"/>
      <c r="E329" s="55" t="n"/>
      <c r="F329" s="55" t="n"/>
      <c r="G329" s="56" t="n"/>
      <c r="H329" s="57" t="n"/>
      <c r="I329" s="55" t="n"/>
      <c r="J329" s="53" t="n"/>
      <c r="K329" s="54" t="n"/>
      <c r="L329" s="55" t="n"/>
      <c r="M329" s="55" t="n"/>
      <c r="N329" s="57" t="n"/>
      <c r="O329" s="55" t="n"/>
      <c r="P329" s="56" t="n"/>
      <c r="Q329" s="55" t="n"/>
      <c r="R329" s="55" t="n"/>
      <c r="S329" s="55" t="n"/>
      <c r="T329" s="55" t="n"/>
      <c r="U329" s="55" t="n"/>
      <c r="V329" s="55" t="n"/>
      <c r="W329" s="58" t="n"/>
      <c r="X329" s="58" t="n"/>
      <c r="Y329" s="55" t="n"/>
      <c r="Z329" s="55" t="n"/>
      <c r="AA329" s="55" t="n"/>
      <c r="AB329" s="55" t="n"/>
      <c r="AC329" s="55" t="n"/>
      <c r="AD329" s="53" t="n"/>
      <c r="AE329" s="55" t="n"/>
      <c r="AF329" s="55" t="n"/>
      <c r="AG329" s="59" t="n"/>
      <c r="AH329" s="57" t="n"/>
      <c r="AI329" s="55" t="n"/>
      <c r="AJ329" s="55" t="n"/>
      <c r="AK329" s="55" t="n"/>
      <c r="AL329" s="55" t="n"/>
      <c r="AM329" s="56" t="n"/>
      <c r="AN329" s="55" t="n"/>
      <c r="AO329" s="55" t="n"/>
      <c r="AP329" s="55" t="n"/>
      <c r="AQ329" s="55" t="n"/>
      <c r="AR329" s="60">
        <f>IF(AND(C329="",E329=""),"",IF(A329="","⚠ Date manquante",IF(AND(C329="",E329&lt;&gt;"Dépense"),"⚠ Prospect manquant",IF(E329="","⚠ Action manquante",IF(AND(AU329=1,D329=""),"⚠ Canal manquant",IF(AND(W329&lt;&gt;"",COUNTIFS('Saisie'!$W$5:$W$2004,W329,'Saisie'!$C$5:$C$2004,"&lt;&gt;"&amp;C329)&gt;0),"⚠ Numéro déjà utilisé par un autre prospect",IF(AND(J329&lt;&gt;"",J329&lt;A329),"⚠ Relance avant la date de l'action",IF(A329&gt;TODAY(),"⚠ Date dans le futur","✓"))))))))</f>
        <v/>
      </c>
      <c r="AS329" s="61">
        <f>IF(AND(A329="",C329="",E329=""),"",ROW())</f>
        <v/>
      </c>
      <c r="AT329" s="61">
        <f>IF(E329&amp;F329="","",MAX(IFERROR(INDEX('Paramètres'!$J$6:$J$33,MATCH(E329,'Paramètres'!$I$6:$I$33,0)),0),IFERROR(INDEX('Paramètres'!$N$6:$N$17,MATCH(F329,'Paramètres'!$M$6:$M$17,0)),0)))</f>
        <v/>
      </c>
      <c r="AU329" s="61">
        <f>IF(E329="","",IFERROR(IF(INDEX('Paramètres'!$K$6:$K$33,MATCH(E329,'Paramètres'!$I$6:$I$33,0))="Oui",1,0),0))</f>
        <v/>
      </c>
      <c r="AV329" s="61">
        <f>IF(F329="","",IFERROR(IF(INDEX('Paramètres'!$O$6:$O$17,MATCH(F329,'Paramètres'!$M$6:$M$17,0))="Oui",1,0),0))</f>
        <v/>
      </c>
      <c r="AW329" s="62">
        <f>IF(E329="","",IF(G329&lt;&gt;"",G329,IF(OR(E329="Proposition envoyée",E329="Signature"),MAX(0,N(IFERROR(INDEX('Paramètres'!$R$6:$R$15,MATCH(IF(AL329&lt;&gt;"",AL329,IFERROR(INDEX('Prospects'!$AN$5:$AN$504,MATCH(C329,'Prospects'!$C$5:$C$504,0)),"")),'Paramètres'!$Q$6:$Q$15,0)),0))-N(P329)),0)))</f>
        <v/>
      </c>
      <c r="AX329" s="61">
        <f>IF(C329="","",IF(COUNTIF($C$5:C329,C329)=1,MAX($AX$4:AX328)+1,""))</f>
        <v/>
      </c>
      <c r="AY329" s="61">
        <f>IF(B329="","",HOUR(B329))</f>
        <v/>
      </c>
      <c r="AZ329" s="61">
        <f>IF(A329="","",MOD(A329-2,7)+1)</f>
        <v/>
      </c>
      <c r="BA329" s="60">
        <f>IF(C329="","",IFERROR(INDEX('Prospects'!$N$5:$N$504,MATCH(C329,'Prospects'!$C$5:$C$504,0)),""))</f>
        <v/>
      </c>
      <c r="BB329" s="61">
        <f>IF(AND(C329&lt;&gt;"",C329='Fiche prospect'!$C$4),COUNTIF($C$5:C329,C329),"")</f>
        <v/>
      </c>
    </row>
    <row r="330">
      <c r="A330" s="53" t="n"/>
      <c r="B330" s="54" t="n"/>
      <c r="C330" s="55" t="n"/>
      <c r="D330" s="55" t="n"/>
      <c r="E330" s="55" t="n"/>
      <c r="F330" s="55" t="n"/>
      <c r="G330" s="56" t="n"/>
      <c r="H330" s="57" t="n"/>
      <c r="I330" s="55" t="n"/>
      <c r="J330" s="53" t="n"/>
      <c r="K330" s="54" t="n"/>
      <c r="L330" s="55" t="n"/>
      <c r="M330" s="55" t="n"/>
      <c r="N330" s="57" t="n"/>
      <c r="O330" s="55" t="n"/>
      <c r="P330" s="56" t="n"/>
      <c r="Q330" s="55" t="n"/>
      <c r="R330" s="55" t="n"/>
      <c r="S330" s="55" t="n"/>
      <c r="T330" s="55" t="n"/>
      <c r="U330" s="55" t="n"/>
      <c r="V330" s="55" t="n"/>
      <c r="W330" s="58" t="n"/>
      <c r="X330" s="58" t="n"/>
      <c r="Y330" s="55" t="n"/>
      <c r="Z330" s="55" t="n"/>
      <c r="AA330" s="55" t="n"/>
      <c r="AB330" s="55" t="n"/>
      <c r="AC330" s="55" t="n"/>
      <c r="AD330" s="53" t="n"/>
      <c r="AE330" s="55" t="n"/>
      <c r="AF330" s="55" t="n"/>
      <c r="AG330" s="59" t="n"/>
      <c r="AH330" s="57" t="n"/>
      <c r="AI330" s="55" t="n"/>
      <c r="AJ330" s="55" t="n"/>
      <c r="AK330" s="55" t="n"/>
      <c r="AL330" s="55" t="n"/>
      <c r="AM330" s="56" t="n"/>
      <c r="AN330" s="55" t="n"/>
      <c r="AO330" s="55" t="n"/>
      <c r="AP330" s="55" t="n"/>
      <c r="AQ330" s="55" t="n"/>
      <c r="AR330" s="60">
        <f>IF(AND(C330="",E330=""),"",IF(A330="","⚠ Date manquante",IF(AND(C330="",E330&lt;&gt;"Dépense"),"⚠ Prospect manquant",IF(E330="","⚠ Action manquante",IF(AND(AU330=1,D330=""),"⚠ Canal manquant",IF(AND(W330&lt;&gt;"",COUNTIFS('Saisie'!$W$5:$W$2004,W330,'Saisie'!$C$5:$C$2004,"&lt;&gt;"&amp;C330)&gt;0),"⚠ Numéro déjà utilisé par un autre prospect",IF(AND(J330&lt;&gt;"",J330&lt;A330),"⚠ Relance avant la date de l'action",IF(A330&gt;TODAY(),"⚠ Date dans le futur","✓"))))))))</f>
        <v/>
      </c>
      <c r="AS330" s="61">
        <f>IF(AND(A330="",C330="",E330=""),"",ROW())</f>
        <v/>
      </c>
      <c r="AT330" s="61">
        <f>IF(E330&amp;F330="","",MAX(IFERROR(INDEX('Paramètres'!$J$6:$J$33,MATCH(E330,'Paramètres'!$I$6:$I$33,0)),0),IFERROR(INDEX('Paramètres'!$N$6:$N$17,MATCH(F330,'Paramètres'!$M$6:$M$17,0)),0)))</f>
        <v/>
      </c>
      <c r="AU330" s="61">
        <f>IF(E330="","",IFERROR(IF(INDEX('Paramètres'!$K$6:$K$33,MATCH(E330,'Paramètres'!$I$6:$I$33,0))="Oui",1,0),0))</f>
        <v/>
      </c>
      <c r="AV330" s="61">
        <f>IF(F330="","",IFERROR(IF(INDEX('Paramètres'!$O$6:$O$17,MATCH(F330,'Paramètres'!$M$6:$M$17,0))="Oui",1,0),0))</f>
        <v/>
      </c>
      <c r="AW330" s="62">
        <f>IF(E330="","",IF(G330&lt;&gt;"",G330,IF(OR(E330="Proposition envoyée",E330="Signature"),MAX(0,N(IFERROR(INDEX('Paramètres'!$R$6:$R$15,MATCH(IF(AL330&lt;&gt;"",AL330,IFERROR(INDEX('Prospects'!$AN$5:$AN$504,MATCH(C330,'Prospects'!$C$5:$C$504,0)),"")),'Paramètres'!$Q$6:$Q$15,0)),0))-N(P330)),0)))</f>
        <v/>
      </c>
      <c r="AX330" s="61">
        <f>IF(C330="","",IF(COUNTIF($C$5:C330,C330)=1,MAX($AX$4:AX329)+1,""))</f>
        <v/>
      </c>
      <c r="AY330" s="61">
        <f>IF(B330="","",HOUR(B330))</f>
        <v/>
      </c>
      <c r="AZ330" s="61">
        <f>IF(A330="","",MOD(A330-2,7)+1)</f>
        <v/>
      </c>
      <c r="BA330" s="60">
        <f>IF(C330="","",IFERROR(INDEX('Prospects'!$N$5:$N$504,MATCH(C330,'Prospects'!$C$5:$C$504,0)),""))</f>
        <v/>
      </c>
      <c r="BB330" s="61">
        <f>IF(AND(C330&lt;&gt;"",C330='Fiche prospect'!$C$4),COUNTIF($C$5:C330,C330),"")</f>
        <v/>
      </c>
    </row>
    <row r="331">
      <c r="A331" s="53" t="n"/>
      <c r="B331" s="54" t="n"/>
      <c r="C331" s="55" t="n"/>
      <c r="D331" s="55" t="n"/>
      <c r="E331" s="55" t="n"/>
      <c r="F331" s="55" t="n"/>
      <c r="G331" s="56" t="n"/>
      <c r="H331" s="57" t="n"/>
      <c r="I331" s="55" t="n"/>
      <c r="J331" s="53" t="n"/>
      <c r="K331" s="54" t="n"/>
      <c r="L331" s="55" t="n"/>
      <c r="M331" s="55" t="n"/>
      <c r="N331" s="57" t="n"/>
      <c r="O331" s="55" t="n"/>
      <c r="P331" s="56" t="n"/>
      <c r="Q331" s="55" t="n"/>
      <c r="R331" s="55" t="n"/>
      <c r="S331" s="55" t="n"/>
      <c r="T331" s="55" t="n"/>
      <c r="U331" s="55" t="n"/>
      <c r="V331" s="55" t="n"/>
      <c r="W331" s="58" t="n"/>
      <c r="X331" s="58" t="n"/>
      <c r="Y331" s="55" t="n"/>
      <c r="Z331" s="55" t="n"/>
      <c r="AA331" s="55" t="n"/>
      <c r="AB331" s="55" t="n"/>
      <c r="AC331" s="55" t="n"/>
      <c r="AD331" s="53" t="n"/>
      <c r="AE331" s="55" t="n"/>
      <c r="AF331" s="55" t="n"/>
      <c r="AG331" s="59" t="n"/>
      <c r="AH331" s="57" t="n"/>
      <c r="AI331" s="55" t="n"/>
      <c r="AJ331" s="55" t="n"/>
      <c r="AK331" s="55" t="n"/>
      <c r="AL331" s="55" t="n"/>
      <c r="AM331" s="56" t="n"/>
      <c r="AN331" s="55" t="n"/>
      <c r="AO331" s="55" t="n"/>
      <c r="AP331" s="55" t="n"/>
      <c r="AQ331" s="55" t="n"/>
      <c r="AR331" s="60">
        <f>IF(AND(C331="",E331=""),"",IF(A331="","⚠ Date manquante",IF(AND(C331="",E331&lt;&gt;"Dépense"),"⚠ Prospect manquant",IF(E331="","⚠ Action manquante",IF(AND(AU331=1,D331=""),"⚠ Canal manquant",IF(AND(W331&lt;&gt;"",COUNTIFS('Saisie'!$W$5:$W$2004,W331,'Saisie'!$C$5:$C$2004,"&lt;&gt;"&amp;C331)&gt;0),"⚠ Numéro déjà utilisé par un autre prospect",IF(AND(J331&lt;&gt;"",J331&lt;A331),"⚠ Relance avant la date de l'action",IF(A331&gt;TODAY(),"⚠ Date dans le futur","✓"))))))))</f>
        <v/>
      </c>
      <c r="AS331" s="61">
        <f>IF(AND(A331="",C331="",E331=""),"",ROW())</f>
        <v/>
      </c>
      <c r="AT331" s="61">
        <f>IF(E331&amp;F331="","",MAX(IFERROR(INDEX('Paramètres'!$J$6:$J$33,MATCH(E331,'Paramètres'!$I$6:$I$33,0)),0),IFERROR(INDEX('Paramètres'!$N$6:$N$17,MATCH(F331,'Paramètres'!$M$6:$M$17,0)),0)))</f>
        <v/>
      </c>
      <c r="AU331" s="61">
        <f>IF(E331="","",IFERROR(IF(INDEX('Paramètres'!$K$6:$K$33,MATCH(E331,'Paramètres'!$I$6:$I$33,0))="Oui",1,0),0))</f>
        <v/>
      </c>
      <c r="AV331" s="61">
        <f>IF(F331="","",IFERROR(IF(INDEX('Paramètres'!$O$6:$O$17,MATCH(F331,'Paramètres'!$M$6:$M$17,0))="Oui",1,0),0))</f>
        <v/>
      </c>
      <c r="AW331" s="62">
        <f>IF(E331="","",IF(G331&lt;&gt;"",G331,IF(OR(E331="Proposition envoyée",E331="Signature"),MAX(0,N(IFERROR(INDEX('Paramètres'!$R$6:$R$15,MATCH(IF(AL331&lt;&gt;"",AL331,IFERROR(INDEX('Prospects'!$AN$5:$AN$504,MATCH(C331,'Prospects'!$C$5:$C$504,0)),"")),'Paramètres'!$Q$6:$Q$15,0)),0))-N(P331)),0)))</f>
        <v/>
      </c>
      <c r="AX331" s="61">
        <f>IF(C331="","",IF(COUNTIF($C$5:C331,C331)=1,MAX($AX$4:AX330)+1,""))</f>
        <v/>
      </c>
      <c r="AY331" s="61">
        <f>IF(B331="","",HOUR(B331))</f>
        <v/>
      </c>
      <c r="AZ331" s="61">
        <f>IF(A331="","",MOD(A331-2,7)+1)</f>
        <v/>
      </c>
      <c r="BA331" s="60">
        <f>IF(C331="","",IFERROR(INDEX('Prospects'!$N$5:$N$504,MATCH(C331,'Prospects'!$C$5:$C$504,0)),""))</f>
        <v/>
      </c>
      <c r="BB331" s="61">
        <f>IF(AND(C331&lt;&gt;"",C331='Fiche prospect'!$C$4),COUNTIF($C$5:C331,C331),"")</f>
        <v/>
      </c>
    </row>
    <row r="332">
      <c r="A332" s="53" t="n"/>
      <c r="B332" s="54" t="n"/>
      <c r="C332" s="55" t="n"/>
      <c r="D332" s="55" t="n"/>
      <c r="E332" s="55" t="n"/>
      <c r="F332" s="55" t="n"/>
      <c r="G332" s="56" t="n"/>
      <c r="H332" s="57" t="n"/>
      <c r="I332" s="55" t="n"/>
      <c r="J332" s="53" t="n"/>
      <c r="K332" s="54" t="n"/>
      <c r="L332" s="55" t="n"/>
      <c r="M332" s="55" t="n"/>
      <c r="N332" s="57" t="n"/>
      <c r="O332" s="55" t="n"/>
      <c r="P332" s="56" t="n"/>
      <c r="Q332" s="55" t="n"/>
      <c r="R332" s="55" t="n"/>
      <c r="S332" s="55" t="n"/>
      <c r="T332" s="55" t="n"/>
      <c r="U332" s="55" t="n"/>
      <c r="V332" s="55" t="n"/>
      <c r="W332" s="58" t="n"/>
      <c r="X332" s="58" t="n"/>
      <c r="Y332" s="55" t="n"/>
      <c r="Z332" s="55" t="n"/>
      <c r="AA332" s="55" t="n"/>
      <c r="AB332" s="55" t="n"/>
      <c r="AC332" s="55" t="n"/>
      <c r="AD332" s="53" t="n"/>
      <c r="AE332" s="55" t="n"/>
      <c r="AF332" s="55" t="n"/>
      <c r="AG332" s="59" t="n"/>
      <c r="AH332" s="57" t="n"/>
      <c r="AI332" s="55" t="n"/>
      <c r="AJ332" s="55" t="n"/>
      <c r="AK332" s="55" t="n"/>
      <c r="AL332" s="55" t="n"/>
      <c r="AM332" s="56" t="n"/>
      <c r="AN332" s="55" t="n"/>
      <c r="AO332" s="55" t="n"/>
      <c r="AP332" s="55" t="n"/>
      <c r="AQ332" s="55" t="n"/>
      <c r="AR332" s="60">
        <f>IF(AND(C332="",E332=""),"",IF(A332="","⚠ Date manquante",IF(AND(C332="",E332&lt;&gt;"Dépense"),"⚠ Prospect manquant",IF(E332="","⚠ Action manquante",IF(AND(AU332=1,D332=""),"⚠ Canal manquant",IF(AND(W332&lt;&gt;"",COUNTIFS('Saisie'!$W$5:$W$2004,W332,'Saisie'!$C$5:$C$2004,"&lt;&gt;"&amp;C332)&gt;0),"⚠ Numéro déjà utilisé par un autre prospect",IF(AND(J332&lt;&gt;"",J332&lt;A332),"⚠ Relance avant la date de l'action",IF(A332&gt;TODAY(),"⚠ Date dans le futur","✓"))))))))</f>
        <v/>
      </c>
      <c r="AS332" s="61">
        <f>IF(AND(A332="",C332="",E332=""),"",ROW())</f>
        <v/>
      </c>
      <c r="AT332" s="61">
        <f>IF(E332&amp;F332="","",MAX(IFERROR(INDEX('Paramètres'!$J$6:$J$33,MATCH(E332,'Paramètres'!$I$6:$I$33,0)),0),IFERROR(INDEX('Paramètres'!$N$6:$N$17,MATCH(F332,'Paramètres'!$M$6:$M$17,0)),0)))</f>
        <v/>
      </c>
      <c r="AU332" s="61">
        <f>IF(E332="","",IFERROR(IF(INDEX('Paramètres'!$K$6:$K$33,MATCH(E332,'Paramètres'!$I$6:$I$33,0))="Oui",1,0),0))</f>
        <v/>
      </c>
      <c r="AV332" s="61">
        <f>IF(F332="","",IFERROR(IF(INDEX('Paramètres'!$O$6:$O$17,MATCH(F332,'Paramètres'!$M$6:$M$17,0))="Oui",1,0),0))</f>
        <v/>
      </c>
      <c r="AW332" s="62">
        <f>IF(E332="","",IF(G332&lt;&gt;"",G332,IF(OR(E332="Proposition envoyée",E332="Signature"),MAX(0,N(IFERROR(INDEX('Paramètres'!$R$6:$R$15,MATCH(IF(AL332&lt;&gt;"",AL332,IFERROR(INDEX('Prospects'!$AN$5:$AN$504,MATCH(C332,'Prospects'!$C$5:$C$504,0)),"")),'Paramètres'!$Q$6:$Q$15,0)),0))-N(P332)),0)))</f>
        <v/>
      </c>
      <c r="AX332" s="61">
        <f>IF(C332="","",IF(COUNTIF($C$5:C332,C332)=1,MAX($AX$4:AX331)+1,""))</f>
        <v/>
      </c>
      <c r="AY332" s="61">
        <f>IF(B332="","",HOUR(B332))</f>
        <v/>
      </c>
      <c r="AZ332" s="61">
        <f>IF(A332="","",MOD(A332-2,7)+1)</f>
        <v/>
      </c>
      <c r="BA332" s="60">
        <f>IF(C332="","",IFERROR(INDEX('Prospects'!$N$5:$N$504,MATCH(C332,'Prospects'!$C$5:$C$504,0)),""))</f>
        <v/>
      </c>
      <c r="BB332" s="61">
        <f>IF(AND(C332&lt;&gt;"",C332='Fiche prospect'!$C$4),COUNTIF($C$5:C332,C332),"")</f>
        <v/>
      </c>
    </row>
    <row r="333">
      <c r="A333" s="53" t="n"/>
      <c r="B333" s="54" t="n"/>
      <c r="C333" s="55" t="n"/>
      <c r="D333" s="55" t="n"/>
      <c r="E333" s="55" t="n"/>
      <c r="F333" s="55" t="n"/>
      <c r="G333" s="56" t="n"/>
      <c r="H333" s="57" t="n"/>
      <c r="I333" s="55" t="n"/>
      <c r="J333" s="53" t="n"/>
      <c r="K333" s="54" t="n"/>
      <c r="L333" s="55" t="n"/>
      <c r="M333" s="55" t="n"/>
      <c r="N333" s="57" t="n"/>
      <c r="O333" s="55" t="n"/>
      <c r="P333" s="56" t="n"/>
      <c r="Q333" s="55" t="n"/>
      <c r="R333" s="55" t="n"/>
      <c r="S333" s="55" t="n"/>
      <c r="T333" s="55" t="n"/>
      <c r="U333" s="55" t="n"/>
      <c r="V333" s="55" t="n"/>
      <c r="W333" s="58" t="n"/>
      <c r="X333" s="58" t="n"/>
      <c r="Y333" s="55" t="n"/>
      <c r="Z333" s="55" t="n"/>
      <c r="AA333" s="55" t="n"/>
      <c r="AB333" s="55" t="n"/>
      <c r="AC333" s="55" t="n"/>
      <c r="AD333" s="53" t="n"/>
      <c r="AE333" s="55" t="n"/>
      <c r="AF333" s="55" t="n"/>
      <c r="AG333" s="59" t="n"/>
      <c r="AH333" s="57" t="n"/>
      <c r="AI333" s="55" t="n"/>
      <c r="AJ333" s="55" t="n"/>
      <c r="AK333" s="55" t="n"/>
      <c r="AL333" s="55" t="n"/>
      <c r="AM333" s="56" t="n"/>
      <c r="AN333" s="55" t="n"/>
      <c r="AO333" s="55" t="n"/>
      <c r="AP333" s="55" t="n"/>
      <c r="AQ333" s="55" t="n"/>
      <c r="AR333" s="60">
        <f>IF(AND(C333="",E333=""),"",IF(A333="","⚠ Date manquante",IF(AND(C333="",E333&lt;&gt;"Dépense"),"⚠ Prospect manquant",IF(E333="","⚠ Action manquante",IF(AND(AU333=1,D333=""),"⚠ Canal manquant",IF(AND(W333&lt;&gt;"",COUNTIFS('Saisie'!$W$5:$W$2004,W333,'Saisie'!$C$5:$C$2004,"&lt;&gt;"&amp;C333)&gt;0),"⚠ Numéro déjà utilisé par un autre prospect",IF(AND(J333&lt;&gt;"",J333&lt;A333),"⚠ Relance avant la date de l'action",IF(A333&gt;TODAY(),"⚠ Date dans le futur","✓"))))))))</f>
        <v/>
      </c>
      <c r="AS333" s="61">
        <f>IF(AND(A333="",C333="",E333=""),"",ROW())</f>
        <v/>
      </c>
      <c r="AT333" s="61">
        <f>IF(E333&amp;F333="","",MAX(IFERROR(INDEX('Paramètres'!$J$6:$J$33,MATCH(E333,'Paramètres'!$I$6:$I$33,0)),0),IFERROR(INDEX('Paramètres'!$N$6:$N$17,MATCH(F333,'Paramètres'!$M$6:$M$17,0)),0)))</f>
        <v/>
      </c>
      <c r="AU333" s="61">
        <f>IF(E333="","",IFERROR(IF(INDEX('Paramètres'!$K$6:$K$33,MATCH(E333,'Paramètres'!$I$6:$I$33,0))="Oui",1,0),0))</f>
        <v/>
      </c>
      <c r="AV333" s="61">
        <f>IF(F333="","",IFERROR(IF(INDEX('Paramètres'!$O$6:$O$17,MATCH(F333,'Paramètres'!$M$6:$M$17,0))="Oui",1,0),0))</f>
        <v/>
      </c>
      <c r="AW333" s="62">
        <f>IF(E333="","",IF(G333&lt;&gt;"",G333,IF(OR(E333="Proposition envoyée",E333="Signature"),MAX(0,N(IFERROR(INDEX('Paramètres'!$R$6:$R$15,MATCH(IF(AL333&lt;&gt;"",AL333,IFERROR(INDEX('Prospects'!$AN$5:$AN$504,MATCH(C333,'Prospects'!$C$5:$C$504,0)),"")),'Paramètres'!$Q$6:$Q$15,0)),0))-N(P333)),0)))</f>
        <v/>
      </c>
      <c r="AX333" s="61">
        <f>IF(C333="","",IF(COUNTIF($C$5:C333,C333)=1,MAX($AX$4:AX332)+1,""))</f>
        <v/>
      </c>
      <c r="AY333" s="61">
        <f>IF(B333="","",HOUR(B333))</f>
        <v/>
      </c>
      <c r="AZ333" s="61">
        <f>IF(A333="","",MOD(A333-2,7)+1)</f>
        <v/>
      </c>
      <c r="BA333" s="60">
        <f>IF(C333="","",IFERROR(INDEX('Prospects'!$N$5:$N$504,MATCH(C333,'Prospects'!$C$5:$C$504,0)),""))</f>
        <v/>
      </c>
      <c r="BB333" s="61">
        <f>IF(AND(C333&lt;&gt;"",C333='Fiche prospect'!$C$4),COUNTIF($C$5:C333,C333),"")</f>
        <v/>
      </c>
    </row>
    <row r="334">
      <c r="A334" s="53" t="n"/>
      <c r="B334" s="54" t="n"/>
      <c r="C334" s="55" t="n"/>
      <c r="D334" s="55" t="n"/>
      <c r="E334" s="55" t="n"/>
      <c r="F334" s="55" t="n"/>
      <c r="G334" s="56" t="n"/>
      <c r="H334" s="57" t="n"/>
      <c r="I334" s="55" t="n"/>
      <c r="J334" s="53" t="n"/>
      <c r="K334" s="54" t="n"/>
      <c r="L334" s="55" t="n"/>
      <c r="M334" s="55" t="n"/>
      <c r="N334" s="57" t="n"/>
      <c r="O334" s="55" t="n"/>
      <c r="P334" s="56" t="n"/>
      <c r="Q334" s="55" t="n"/>
      <c r="R334" s="55" t="n"/>
      <c r="S334" s="55" t="n"/>
      <c r="T334" s="55" t="n"/>
      <c r="U334" s="55" t="n"/>
      <c r="V334" s="55" t="n"/>
      <c r="W334" s="58" t="n"/>
      <c r="X334" s="58" t="n"/>
      <c r="Y334" s="55" t="n"/>
      <c r="Z334" s="55" t="n"/>
      <c r="AA334" s="55" t="n"/>
      <c r="AB334" s="55" t="n"/>
      <c r="AC334" s="55" t="n"/>
      <c r="AD334" s="53" t="n"/>
      <c r="AE334" s="55" t="n"/>
      <c r="AF334" s="55" t="n"/>
      <c r="AG334" s="59" t="n"/>
      <c r="AH334" s="57" t="n"/>
      <c r="AI334" s="55" t="n"/>
      <c r="AJ334" s="55" t="n"/>
      <c r="AK334" s="55" t="n"/>
      <c r="AL334" s="55" t="n"/>
      <c r="AM334" s="56" t="n"/>
      <c r="AN334" s="55" t="n"/>
      <c r="AO334" s="55" t="n"/>
      <c r="AP334" s="55" t="n"/>
      <c r="AQ334" s="55" t="n"/>
      <c r="AR334" s="60">
        <f>IF(AND(C334="",E334=""),"",IF(A334="","⚠ Date manquante",IF(AND(C334="",E334&lt;&gt;"Dépense"),"⚠ Prospect manquant",IF(E334="","⚠ Action manquante",IF(AND(AU334=1,D334=""),"⚠ Canal manquant",IF(AND(W334&lt;&gt;"",COUNTIFS('Saisie'!$W$5:$W$2004,W334,'Saisie'!$C$5:$C$2004,"&lt;&gt;"&amp;C334)&gt;0),"⚠ Numéro déjà utilisé par un autre prospect",IF(AND(J334&lt;&gt;"",J334&lt;A334),"⚠ Relance avant la date de l'action",IF(A334&gt;TODAY(),"⚠ Date dans le futur","✓"))))))))</f>
        <v/>
      </c>
      <c r="AS334" s="61">
        <f>IF(AND(A334="",C334="",E334=""),"",ROW())</f>
        <v/>
      </c>
      <c r="AT334" s="61">
        <f>IF(E334&amp;F334="","",MAX(IFERROR(INDEX('Paramètres'!$J$6:$J$33,MATCH(E334,'Paramètres'!$I$6:$I$33,0)),0),IFERROR(INDEX('Paramètres'!$N$6:$N$17,MATCH(F334,'Paramètres'!$M$6:$M$17,0)),0)))</f>
        <v/>
      </c>
      <c r="AU334" s="61">
        <f>IF(E334="","",IFERROR(IF(INDEX('Paramètres'!$K$6:$K$33,MATCH(E334,'Paramètres'!$I$6:$I$33,0))="Oui",1,0),0))</f>
        <v/>
      </c>
      <c r="AV334" s="61">
        <f>IF(F334="","",IFERROR(IF(INDEX('Paramètres'!$O$6:$O$17,MATCH(F334,'Paramètres'!$M$6:$M$17,0))="Oui",1,0),0))</f>
        <v/>
      </c>
      <c r="AW334" s="62">
        <f>IF(E334="","",IF(G334&lt;&gt;"",G334,IF(OR(E334="Proposition envoyée",E334="Signature"),MAX(0,N(IFERROR(INDEX('Paramètres'!$R$6:$R$15,MATCH(IF(AL334&lt;&gt;"",AL334,IFERROR(INDEX('Prospects'!$AN$5:$AN$504,MATCH(C334,'Prospects'!$C$5:$C$504,0)),"")),'Paramètres'!$Q$6:$Q$15,0)),0))-N(P334)),0)))</f>
        <v/>
      </c>
      <c r="AX334" s="61">
        <f>IF(C334="","",IF(COUNTIF($C$5:C334,C334)=1,MAX($AX$4:AX333)+1,""))</f>
        <v/>
      </c>
      <c r="AY334" s="61">
        <f>IF(B334="","",HOUR(B334))</f>
        <v/>
      </c>
      <c r="AZ334" s="61">
        <f>IF(A334="","",MOD(A334-2,7)+1)</f>
        <v/>
      </c>
      <c r="BA334" s="60">
        <f>IF(C334="","",IFERROR(INDEX('Prospects'!$N$5:$N$504,MATCH(C334,'Prospects'!$C$5:$C$504,0)),""))</f>
        <v/>
      </c>
      <c r="BB334" s="61">
        <f>IF(AND(C334&lt;&gt;"",C334='Fiche prospect'!$C$4),COUNTIF($C$5:C334,C334),"")</f>
        <v/>
      </c>
    </row>
    <row r="335">
      <c r="A335" s="53" t="n"/>
      <c r="B335" s="54" t="n"/>
      <c r="C335" s="55" t="n"/>
      <c r="D335" s="55" t="n"/>
      <c r="E335" s="55" t="n"/>
      <c r="F335" s="55" t="n"/>
      <c r="G335" s="56" t="n"/>
      <c r="H335" s="57" t="n"/>
      <c r="I335" s="55" t="n"/>
      <c r="J335" s="53" t="n"/>
      <c r="K335" s="54" t="n"/>
      <c r="L335" s="55" t="n"/>
      <c r="M335" s="55" t="n"/>
      <c r="N335" s="57" t="n"/>
      <c r="O335" s="55" t="n"/>
      <c r="P335" s="56" t="n"/>
      <c r="Q335" s="55" t="n"/>
      <c r="R335" s="55" t="n"/>
      <c r="S335" s="55" t="n"/>
      <c r="T335" s="55" t="n"/>
      <c r="U335" s="55" t="n"/>
      <c r="V335" s="55" t="n"/>
      <c r="W335" s="58" t="n"/>
      <c r="X335" s="58" t="n"/>
      <c r="Y335" s="55" t="n"/>
      <c r="Z335" s="55" t="n"/>
      <c r="AA335" s="55" t="n"/>
      <c r="AB335" s="55" t="n"/>
      <c r="AC335" s="55" t="n"/>
      <c r="AD335" s="53" t="n"/>
      <c r="AE335" s="55" t="n"/>
      <c r="AF335" s="55" t="n"/>
      <c r="AG335" s="59" t="n"/>
      <c r="AH335" s="57" t="n"/>
      <c r="AI335" s="55" t="n"/>
      <c r="AJ335" s="55" t="n"/>
      <c r="AK335" s="55" t="n"/>
      <c r="AL335" s="55" t="n"/>
      <c r="AM335" s="56" t="n"/>
      <c r="AN335" s="55" t="n"/>
      <c r="AO335" s="55" t="n"/>
      <c r="AP335" s="55" t="n"/>
      <c r="AQ335" s="55" t="n"/>
      <c r="AR335" s="60">
        <f>IF(AND(C335="",E335=""),"",IF(A335="","⚠ Date manquante",IF(AND(C335="",E335&lt;&gt;"Dépense"),"⚠ Prospect manquant",IF(E335="","⚠ Action manquante",IF(AND(AU335=1,D335=""),"⚠ Canal manquant",IF(AND(W335&lt;&gt;"",COUNTIFS('Saisie'!$W$5:$W$2004,W335,'Saisie'!$C$5:$C$2004,"&lt;&gt;"&amp;C335)&gt;0),"⚠ Numéro déjà utilisé par un autre prospect",IF(AND(J335&lt;&gt;"",J335&lt;A335),"⚠ Relance avant la date de l'action",IF(A335&gt;TODAY(),"⚠ Date dans le futur","✓"))))))))</f>
        <v/>
      </c>
      <c r="AS335" s="61">
        <f>IF(AND(A335="",C335="",E335=""),"",ROW())</f>
        <v/>
      </c>
      <c r="AT335" s="61">
        <f>IF(E335&amp;F335="","",MAX(IFERROR(INDEX('Paramètres'!$J$6:$J$33,MATCH(E335,'Paramètres'!$I$6:$I$33,0)),0),IFERROR(INDEX('Paramètres'!$N$6:$N$17,MATCH(F335,'Paramètres'!$M$6:$M$17,0)),0)))</f>
        <v/>
      </c>
      <c r="AU335" s="61">
        <f>IF(E335="","",IFERROR(IF(INDEX('Paramètres'!$K$6:$K$33,MATCH(E335,'Paramètres'!$I$6:$I$33,0))="Oui",1,0),0))</f>
        <v/>
      </c>
      <c r="AV335" s="61">
        <f>IF(F335="","",IFERROR(IF(INDEX('Paramètres'!$O$6:$O$17,MATCH(F335,'Paramètres'!$M$6:$M$17,0))="Oui",1,0),0))</f>
        <v/>
      </c>
      <c r="AW335" s="62">
        <f>IF(E335="","",IF(G335&lt;&gt;"",G335,IF(OR(E335="Proposition envoyée",E335="Signature"),MAX(0,N(IFERROR(INDEX('Paramètres'!$R$6:$R$15,MATCH(IF(AL335&lt;&gt;"",AL335,IFERROR(INDEX('Prospects'!$AN$5:$AN$504,MATCH(C335,'Prospects'!$C$5:$C$504,0)),"")),'Paramètres'!$Q$6:$Q$15,0)),0))-N(P335)),0)))</f>
        <v/>
      </c>
      <c r="AX335" s="61">
        <f>IF(C335="","",IF(COUNTIF($C$5:C335,C335)=1,MAX($AX$4:AX334)+1,""))</f>
        <v/>
      </c>
      <c r="AY335" s="61">
        <f>IF(B335="","",HOUR(B335))</f>
        <v/>
      </c>
      <c r="AZ335" s="61">
        <f>IF(A335="","",MOD(A335-2,7)+1)</f>
        <v/>
      </c>
      <c r="BA335" s="60">
        <f>IF(C335="","",IFERROR(INDEX('Prospects'!$N$5:$N$504,MATCH(C335,'Prospects'!$C$5:$C$504,0)),""))</f>
        <v/>
      </c>
      <c r="BB335" s="61">
        <f>IF(AND(C335&lt;&gt;"",C335='Fiche prospect'!$C$4),COUNTIF($C$5:C335,C335),"")</f>
        <v/>
      </c>
    </row>
    <row r="336">
      <c r="A336" s="53" t="n"/>
      <c r="B336" s="54" t="n"/>
      <c r="C336" s="55" t="n"/>
      <c r="D336" s="55" t="n"/>
      <c r="E336" s="55" t="n"/>
      <c r="F336" s="55" t="n"/>
      <c r="G336" s="56" t="n"/>
      <c r="H336" s="57" t="n"/>
      <c r="I336" s="55" t="n"/>
      <c r="J336" s="53" t="n"/>
      <c r="K336" s="54" t="n"/>
      <c r="L336" s="55" t="n"/>
      <c r="M336" s="55" t="n"/>
      <c r="N336" s="57" t="n"/>
      <c r="O336" s="55" t="n"/>
      <c r="P336" s="56" t="n"/>
      <c r="Q336" s="55" t="n"/>
      <c r="R336" s="55" t="n"/>
      <c r="S336" s="55" t="n"/>
      <c r="T336" s="55" t="n"/>
      <c r="U336" s="55" t="n"/>
      <c r="V336" s="55" t="n"/>
      <c r="W336" s="58" t="n"/>
      <c r="X336" s="58" t="n"/>
      <c r="Y336" s="55" t="n"/>
      <c r="Z336" s="55" t="n"/>
      <c r="AA336" s="55" t="n"/>
      <c r="AB336" s="55" t="n"/>
      <c r="AC336" s="55" t="n"/>
      <c r="AD336" s="53" t="n"/>
      <c r="AE336" s="55" t="n"/>
      <c r="AF336" s="55" t="n"/>
      <c r="AG336" s="59" t="n"/>
      <c r="AH336" s="57" t="n"/>
      <c r="AI336" s="55" t="n"/>
      <c r="AJ336" s="55" t="n"/>
      <c r="AK336" s="55" t="n"/>
      <c r="AL336" s="55" t="n"/>
      <c r="AM336" s="56" t="n"/>
      <c r="AN336" s="55" t="n"/>
      <c r="AO336" s="55" t="n"/>
      <c r="AP336" s="55" t="n"/>
      <c r="AQ336" s="55" t="n"/>
      <c r="AR336" s="60">
        <f>IF(AND(C336="",E336=""),"",IF(A336="","⚠ Date manquante",IF(AND(C336="",E336&lt;&gt;"Dépense"),"⚠ Prospect manquant",IF(E336="","⚠ Action manquante",IF(AND(AU336=1,D336=""),"⚠ Canal manquant",IF(AND(W336&lt;&gt;"",COUNTIFS('Saisie'!$W$5:$W$2004,W336,'Saisie'!$C$5:$C$2004,"&lt;&gt;"&amp;C336)&gt;0),"⚠ Numéro déjà utilisé par un autre prospect",IF(AND(J336&lt;&gt;"",J336&lt;A336),"⚠ Relance avant la date de l'action",IF(A336&gt;TODAY(),"⚠ Date dans le futur","✓"))))))))</f>
        <v/>
      </c>
      <c r="AS336" s="61">
        <f>IF(AND(A336="",C336="",E336=""),"",ROW())</f>
        <v/>
      </c>
      <c r="AT336" s="61">
        <f>IF(E336&amp;F336="","",MAX(IFERROR(INDEX('Paramètres'!$J$6:$J$33,MATCH(E336,'Paramètres'!$I$6:$I$33,0)),0),IFERROR(INDEX('Paramètres'!$N$6:$N$17,MATCH(F336,'Paramètres'!$M$6:$M$17,0)),0)))</f>
        <v/>
      </c>
      <c r="AU336" s="61">
        <f>IF(E336="","",IFERROR(IF(INDEX('Paramètres'!$K$6:$K$33,MATCH(E336,'Paramètres'!$I$6:$I$33,0))="Oui",1,0),0))</f>
        <v/>
      </c>
      <c r="AV336" s="61">
        <f>IF(F336="","",IFERROR(IF(INDEX('Paramètres'!$O$6:$O$17,MATCH(F336,'Paramètres'!$M$6:$M$17,0))="Oui",1,0),0))</f>
        <v/>
      </c>
      <c r="AW336" s="62">
        <f>IF(E336="","",IF(G336&lt;&gt;"",G336,IF(OR(E336="Proposition envoyée",E336="Signature"),MAX(0,N(IFERROR(INDEX('Paramètres'!$R$6:$R$15,MATCH(IF(AL336&lt;&gt;"",AL336,IFERROR(INDEX('Prospects'!$AN$5:$AN$504,MATCH(C336,'Prospects'!$C$5:$C$504,0)),"")),'Paramètres'!$Q$6:$Q$15,0)),0))-N(P336)),0)))</f>
        <v/>
      </c>
      <c r="AX336" s="61">
        <f>IF(C336="","",IF(COUNTIF($C$5:C336,C336)=1,MAX($AX$4:AX335)+1,""))</f>
        <v/>
      </c>
      <c r="AY336" s="61">
        <f>IF(B336="","",HOUR(B336))</f>
        <v/>
      </c>
      <c r="AZ336" s="61">
        <f>IF(A336="","",MOD(A336-2,7)+1)</f>
        <v/>
      </c>
      <c r="BA336" s="60">
        <f>IF(C336="","",IFERROR(INDEX('Prospects'!$N$5:$N$504,MATCH(C336,'Prospects'!$C$5:$C$504,0)),""))</f>
        <v/>
      </c>
      <c r="BB336" s="61">
        <f>IF(AND(C336&lt;&gt;"",C336='Fiche prospect'!$C$4),COUNTIF($C$5:C336,C336),"")</f>
        <v/>
      </c>
    </row>
    <row r="337">
      <c r="A337" s="53" t="n"/>
      <c r="B337" s="54" t="n"/>
      <c r="C337" s="55" t="n"/>
      <c r="D337" s="55" t="n"/>
      <c r="E337" s="55" t="n"/>
      <c r="F337" s="55" t="n"/>
      <c r="G337" s="56" t="n"/>
      <c r="H337" s="57" t="n"/>
      <c r="I337" s="55" t="n"/>
      <c r="J337" s="53" t="n"/>
      <c r="K337" s="54" t="n"/>
      <c r="L337" s="55" t="n"/>
      <c r="M337" s="55" t="n"/>
      <c r="N337" s="57" t="n"/>
      <c r="O337" s="55" t="n"/>
      <c r="P337" s="56" t="n"/>
      <c r="Q337" s="55" t="n"/>
      <c r="R337" s="55" t="n"/>
      <c r="S337" s="55" t="n"/>
      <c r="T337" s="55" t="n"/>
      <c r="U337" s="55" t="n"/>
      <c r="V337" s="55" t="n"/>
      <c r="W337" s="58" t="n"/>
      <c r="X337" s="58" t="n"/>
      <c r="Y337" s="55" t="n"/>
      <c r="Z337" s="55" t="n"/>
      <c r="AA337" s="55" t="n"/>
      <c r="AB337" s="55" t="n"/>
      <c r="AC337" s="55" t="n"/>
      <c r="AD337" s="53" t="n"/>
      <c r="AE337" s="55" t="n"/>
      <c r="AF337" s="55" t="n"/>
      <c r="AG337" s="59" t="n"/>
      <c r="AH337" s="57" t="n"/>
      <c r="AI337" s="55" t="n"/>
      <c r="AJ337" s="55" t="n"/>
      <c r="AK337" s="55" t="n"/>
      <c r="AL337" s="55" t="n"/>
      <c r="AM337" s="56" t="n"/>
      <c r="AN337" s="55" t="n"/>
      <c r="AO337" s="55" t="n"/>
      <c r="AP337" s="55" t="n"/>
      <c r="AQ337" s="55" t="n"/>
      <c r="AR337" s="60">
        <f>IF(AND(C337="",E337=""),"",IF(A337="","⚠ Date manquante",IF(AND(C337="",E337&lt;&gt;"Dépense"),"⚠ Prospect manquant",IF(E337="","⚠ Action manquante",IF(AND(AU337=1,D337=""),"⚠ Canal manquant",IF(AND(W337&lt;&gt;"",COUNTIFS('Saisie'!$W$5:$W$2004,W337,'Saisie'!$C$5:$C$2004,"&lt;&gt;"&amp;C337)&gt;0),"⚠ Numéro déjà utilisé par un autre prospect",IF(AND(J337&lt;&gt;"",J337&lt;A337),"⚠ Relance avant la date de l'action",IF(A337&gt;TODAY(),"⚠ Date dans le futur","✓"))))))))</f>
        <v/>
      </c>
      <c r="AS337" s="61">
        <f>IF(AND(A337="",C337="",E337=""),"",ROW())</f>
        <v/>
      </c>
      <c r="AT337" s="61">
        <f>IF(E337&amp;F337="","",MAX(IFERROR(INDEX('Paramètres'!$J$6:$J$33,MATCH(E337,'Paramètres'!$I$6:$I$33,0)),0),IFERROR(INDEX('Paramètres'!$N$6:$N$17,MATCH(F337,'Paramètres'!$M$6:$M$17,0)),0)))</f>
        <v/>
      </c>
      <c r="AU337" s="61">
        <f>IF(E337="","",IFERROR(IF(INDEX('Paramètres'!$K$6:$K$33,MATCH(E337,'Paramètres'!$I$6:$I$33,0))="Oui",1,0),0))</f>
        <v/>
      </c>
      <c r="AV337" s="61">
        <f>IF(F337="","",IFERROR(IF(INDEX('Paramètres'!$O$6:$O$17,MATCH(F337,'Paramètres'!$M$6:$M$17,0))="Oui",1,0),0))</f>
        <v/>
      </c>
      <c r="AW337" s="62">
        <f>IF(E337="","",IF(G337&lt;&gt;"",G337,IF(OR(E337="Proposition envoyée",E337="Signature"),MAX(0,N(IFERROR(INDEX('Paramètres'!$R$6:$R$15,MATCH(IF(AL337&lt;&gt;"",AL337,IFERROR(INDEX('Prospects'!$AN$5:$AN$504,MATCH(C337,'Prospects'!$C$5:$C$504,0)),"")),'Paramètres'!$Q$6:$Q$15,0)),0))-N(P337)),0)))</f>
        <v/>
      </c>
      <c r="AX337" s="61">
        <f>IF(C337="","",IF(COUNTIF($C$5:C337,C337)=1,MAX($AX$4:AX336)+1,""))</f>
        <v/>
      </c>
      <c r="AY337" s="61">
        <f>IF(B337="","",HOUR(B337))</f>
        <v/>
      </c>
      <c r="AZ337" s="61">
        <f>IF(A337="","",MOD(A337-2,7)+1)</f>
        <v/>
      </c>
      <c r="BA337" s="60">
        <f>IF(C337="","",IFERROR(INDEX('Prospects'!$N$5:$N$504,MATCH(C337,'Prospects'!$C$5:$C$504,0)),""))</f>
        <v/>
      </c>
      <c r="BB337" s="61">
        <f>IF(AND(C337&lt;&gt;"",C337='Fiche prospect'!$C$4),COUNTIF($C$5:C337,C337),"")</f>
        <v/>
      </c>
    </row>
    <row r="338">
      <c r="A338" s="53" t="n"/>
      <c r="B338" s="54" t="n"/>
      <c r="C338" s="55" t="n"/>
      <c r="D338" s="55" t="n"/>
      <c r="E338" s="55" t="n"/>
      <c r="F338" s="55" t="n"/>
      <c r="G338" s="56" t="n"/>
      <c r="H338" s="57" t="n"/>
      <c r="I338" s="55" t="n"/>
      <c r="J338" s="53" t="n"/>
      <c r="K338" s="54" t="n"/>
      <c r="L338" s="55" t="n"/>
      <c r="M338" s="55" t="n"/>
      <c r="N338" s="57" t="n"/>
      <c r="O338" s="55" t="n"/>
      <c r="P338" s="56" t="n"/>
      <c r="Q338" s="55" t="n"/>
      <c r="R338" s="55" t="n"/>
      <c r="S338" s="55" t="n"/>
      <c r="T338" s="55" t="n"/>
      <c r="U338" s="55" t="n"/>
      <c r="V338" s="55" t="n"/>
      <c r="W338" s="58" t="n"/>
      <c r="X338" s="58" t="n"/>
      <c r="Y338" s="55" t="n"/>
      <c r="Z338" s="55" t="n"/>
      <c r="AA338" s="55" t="n"/>
      <c r="AB338" s="55" t="n"/>
      <c r="AC338" s="55" t="n"/>
      <c r="AD338" s="53" t="n"/>
      <c r="AE338" s="55" t="n"/>
      <c r="AF338" s="55" t="n"/>
      <c r="AG338" s="59" t="n"/>
      <c r="AH338" s="57" t="n"/>
      <c r="AI338" s="55" t="n"/>
      <c r="AJ338" s="55" t="n"/>
      <c r="AK338" s="55" t="n"/>
      <c r="AL338" s="55" t="n"/>
      <c r="AM338" s="56" t="n"/>
      <c r="AN338" s="55" t="n"/>
      <c r="AO338" s="55" t="n"/>
      <c r="AP338" s="55" t="n"/>
      <c r="AQ338" s="55" t="n"/>
      <c r="AR338" s="60">
        <f>IF(AND(C338="",E338=""),"",IF(A338="","⚠ Date manquante",IF(AND(C338="",E338&lt;&gt;"Dépense"),"⚠ Prospect manquant",IF(E338="","⚠ Action manquante",IF(AND(AU338=1,D338=""),"⚠ Canal manquant",IF(AND(W338&lt;&gt;"",COUNTIFS('Saisie'!$W$5:$W$2004,W338,'Saisie'!$C$5:$C$2004,"&lt;&gt;"&amp;C338)&gt;0),"⚠ Numéro déjà utilisé par un autre prospect",IF(AND(J338&lt;&gt;"",J338&lt;A338),"⚠ Relance avant la date de l'action",IF(A338&gt;TODAY(),"⚠ Date dans le futur","✓"))))))))</f>
        <v/>
      </c>
      <c r="AS338" s="61">
        <f>IF(AND(A338="",C338="",E338=""),"",ROW())</f>
        <v/>
      </c>
      <c r="AT338" s="61">
        <f>IF(E338&amp;F338="","",MAX(IFERROR(INDEX('Paramètres'!$J$6:$J$33,MATCH(E338,'Paramètres'!$I$6:$I$33,0)),0),IFERROR(INDEX('Paramètres'!$N$6:$N$17,MATCH(F338,'Paramètres'!$M$6:$M$17,0)),0)))</f>
        <v/>
      </c>
      <c r="AU338" s="61">
        <f>IF(E338="","",IFERROR(IF(INDEX('Paramètres'!$K$6:$K$33,MATCH(E338,'Paramètres'!$I$6:$I$33,0))="Oui",1,0),0))</f>
        <v/>
      </c>
      <c r="AV338" s="61">
        <f>IF(F338="","",IFERROR(IF(INDEX('Paramètres'!$O$6:$O$17,MATCH(F338,'Paramètres'!$M$6:$M$17,0))="Oui",1,0),0))</f>
        <v/>
      </c>
      <c r="AW338" s="62">
        <f>IF(E338="","",IF(G338&lt;&gt;"",G338,IF(OR(E338="Proposition envoyée",E338="Signature"),MAX(0,N(IFERROR(INDEX('Paramètres'!$R$6:$R$15,MATCH(IF(AL338&lt;&gt;"",AL338,IFERROR(INDEX('Prospects'!$AN$5:$AN$504,MATCH(C338,'Prospects'!$C$5:$C$504,0)),"")),'Paramètres'!$Q$6:$Q$15,0)),0))-N(P338)),0)))</f>
        <v/>
      </c>
      <c r="AX338" s="61">
        <f>IF(C338="","",IF(COUNTIF($C$5:C338,C338)=1,MAX($AX$4:AX337)+1,""))</f>
        <v/>
      </c>
      <c r="AY338" s="61">
        <f>IF(B338="","",HOUR(B338))</f>
        <v/>
      </c>
      <c r="AZ338" s="61">
        <f>IF(A338="","",MOD(A338-2,7)+1)</f>
        <v/>
      </c>
      <c r="BA338" s="60">
        <f>IF(C338="","",IFERROR(INDEX('Prospects'!$N$5:$N$504,MATCH(C338,'Prospects'!$C$5:$C$504,0)),""))</f>
        <v/>
      </c>
      <c r="BB338" s="61">
        <f>IF(AND(C338&lt;&gt;"",C338='Fiche prospect'!$C$4),COUNTIF($C$5:C338,C338),"")</f>
        <v/>
      </c>
    </row>
    <row r="339">
      <c r="A339" s="53" t="n"/>
      <c r="B339" s="54" t="n"/>
      <c r="C339" s="55" t="n"/>
      <c r="D339" s="55" t="n"/>
      <c r="E339" s="55" t="n"/>
      <c r="F339" s="55" t="n"/>
      <c r="G339" s="56" t="n"/>
      <c r="H339" s="57" t="n"/>
      <c r="I339" s="55" t="n"/>
      <c r="J339" s="53" t="n"/>
      <c r="K339" s="54" t="n"/>
      <c r="L339" s="55" t="n"/>
      <c r="M339" s="55" t="n"/>
      <c r="N339" s="57" t="n"/>
      <c r="O339" s="55" t="n"/>
      <c r="P339" s="56" t="n"/>
      <c r="Q339" s="55" t="n"/>
      <c r="R339" s="55" t="n"/>
      <c r="S339" s="55" t="n"/>
      <c r="T339" s="55" t="n"/>
      <c r="U339" s="55" t="n"/>
      <c r="V339" s="55" t="n"/>
      <c r="W339" s="58" t="n"/>
      <c r="X339" s="58" t="n"/>
      <c r="Y339" s="55" t="n"/>
      <c r="Z339" s="55" t="n"/>
      <c r="AA339" s="55" t="n"/>
      <c r="AB339" s="55" t="n"/>
      <c r="AC339" s="55" t="n"/>
      <c r="AD339" s="53" t="n"/>
      <c r="AE339" s="55" t="n"/>
      <c r="AF339" s="55" t="n"/>
      <c r="AG339" s="59" t="n"/>
      <c r="AH339" s="57" t="n"/>
      <c r="AI339" s="55" t="n"/>
      <c r="AJ339" s="55" t="n"/>
      <c r="AK339" s="55" t="n"/>
      <c r="AL339" s="55" t="n"/>
      <c r="AM339" s="56" t="n"/>
      <c r="AN339" s="55" t="n"/>
      <c r="AO339" s="55" t="n"/>
      <c r="AP339" s="55" t="n"/>
      <c r="AQ339" s="55" t="n"/>
      <c r="AR339" s="60">
        <f>IF(AND(C339="",E339=""),"",IF(A339="","⚠ Date manquante",IF(AND(C339="",E339&lt;&gt;"Dépense"),"⚠ Prospect manquant",IF(E339="","⚠ Action manquante",IF(AND(AU339=1,D339=""),"⚠ Canal manquant",IF(AND(W339&lt;&gt;"",COUNTIFS('Saisie'!$W$5:$W$2004,W339,'Saisie'!$C$5:$C$2004,"&lt;&gt;"&amp;C339)&gt;0),"⚠ Numéro déjà utilisé par un autre prospect",IF(AND(J339&lt;&gt;"",J339&lt;A339),"⚠ Relance avant la date de l'action",IF(A339&gt;TODAY(),"⚠ Date dans le futur","✓"))))))))</f>
        <v/>
      </c>
      <c r="AS339" s="61">
        <f>IF(AND(A339="",C339="",E339=""),"",ROW())</f>
        <v/>
      </c>
      <c r="AT339" s="61">
        <f>IF(E339&amp;F339="","",MAX(IFERROR(INDEX('Paramètres'!$J$6:$J$33,MATCH(E339,'Paramètres'!$I$6:$I$33,0)),0),IFERROR(INDEX('Paramètres'!$N$6:$N$17,MATCH(F339,'Paramètres'!$M$6:$M$17,0)),0)))</f>
        <v/>
      </c>
      <c r="AU339" s="61">
        <f>IF(E339="","",IFERROR(IF(INDEX('Paramètres'!$K$6:$K$33,MATCH(E339,'Paramètres'!$I$6:$I$33,0))="Oui",1,0),0))</f>
        <v/>
      </c>
      <c r="AV339" s="61">
        <f>IF(F339="","",IFERROR(IF(INDEX('Paramètres'!$O$6:$O$17,MATCH(F339,'Paramètres'!$M$6:$M$17,0))="Oui",1,0),0))</f>
        <v/>
      </c>
      <c r="AW339" s="62">
        <f>IF(E339="","",IF(G339&lt;&gt;"",G339,IF(OR(E339="Proposition envoyée",E339="Signature"),MAX(0,N(IFERROR(INDEX('Paramètres'!$R$6:$R$15,MATCH(IF(AL339&lt;&gt;"",AL339,IFERROR(INDEX('Prospects'!$AN$5:$AN$504,MATCH(C339,'Prospects'!$C$5:$C$504,0)),"")),'Paramètres'!$Q$6:$Q$15,0)),0))-N(P339)),0)))</f>
        <v/>
      </c>
      <c r="AX339" s="61">
        <f>IF(C339="","",IF(COUNTIF($C$5:C339,C339)=1,MAX($AX$4:AX338)+1,""))</f>
        <v/>
      </c>
      <c r="AY339" s="61">
        <f>IF(B339="","",HOUR(B339))</f>
        <v/>
      </c>
      <c r="AZ339" s="61">
        <f>IF(A339="","",MOD(A339-2,7)+1)</f>
        <v/>
      </c>
      <c r="BA339" s="60">
        <f>IF(C339="","",IFERROR(INDEX('Prospects'!$N$5:$N$504,MATCH(C339,'Prospects'!$C$5:$C$504,0)),""))</f>
        <v/>
      </c>
      <c r="BB339" s="61">
        <f>IF(AND(C339&lt;&gt;"",C339='Fiche prospect'!$C$4),COUNTIF($C$5:C339,C339),"")</f>
        <v/>
      </c>
    </row>
    <row r="340">
      <c r="A340" s="53" t="n"/>
      <c r="B340" s="54" t="n"/>
      <c r="C340" s="55" t="n"/>
      <c r="D340" s="55" t="n"/>
      <c r="E340" s="55" t="n"/>
      <c r="F340" s="55" t="n"/>
      <c r="G340" s="56" t="n"/>
      <c r="H340" s="57" t="n"/>
      <c r="I340" s="55" t="n"/>
      <c r="J340" s="53" t="n"/>
      <c r="K340" s="54" t="n"/>
      <c r="L340" s="55" t="n"/>
      <c r="M340" s="55" t="n"/>
      <c r="N340" s="57" t="n"/>
      <c r="O340" s="55" t="n"/>
      <c r="P340" s="56" t="n"/>
      <c r="Q340" s="55" t="n"/>
      <c r="R340" s="55" t="n"/>
      <c r="S340" s="55" t="n"/>
      <c r="T340" s="55" t="n"/>
      <c r="U340" s="55" t="n"/>
      <c r="V340" s="55" t="n"/>
      <c r="W340" s="58" t="n"/>
      <c r="X340" s="58" t="n"/>
      <c r="Y340" s="55" t="n"/>
      <c r="Z340" s="55" t="n"/>
      <c r="AA340" s="55" t="n"/>
      <c r="AB340" s="55" t="n"/>
      <c r="AC340" s="55" t="n"/>
      <c r="AD340" s="53" t="n"/>
      <c r="AE340" s="55" t="n"/>
      <c r="AF340" s="55" t="n"/>
      <c r="AG340" s="59" t="n"/>
      <c r="AH340" s="57" t="n"/>
      <c r="AI340" s="55" t="n"/>
      <c r="AJ340" s="55" t="n"/>
      <c r="AK340" s="55" t="n"/>
      <c r="AL340" s="55" t="n"/>
      <c r="AM340" s="56" t="n"/>
      <c r="AN340" s="55" t="n"/>
      <c r="AO340" s="55" t="n"/>
      <c r="AP340" s="55" t="n"/>
      <c r="AQ340" s="55" t="n"/>
      <c r="AR340" s="60">
        <f>IF(AND(C340="",E340=""),"",IF(A340="","⚠ Date manquante",IF(AND(C340="",E340&lt;&gt;"Dépense"),"⚠ Prospect manquant",IF(E340="","⚠ Action manquante",IF(AND(AU340=1,D340=""),"⚠ Canal manquant",IF(AND(W340&lt;&gt;"",COUNTIFS('Saisie'!$W$5:$W$2004,W340,'Saisie'!$C$5:$C$2004,"&lt;&gt;"&amp;C340)&gt;0),"⚠ Numéro déjà utilisé par un autre prospect",IF(AND(J340&lt;&gt;"",J340&lt;A340),"⚠ Relance avant la date de l'action",IF(A340&gt;TODAY(),"⚠ Date dans le futur","✓"))))))))</f>
        <v/>
      </c>
      <c r="AS340" s="61">
        <f>IF(AND(A340="",C340="",E340=""),"",ROW())</f>
        <v/>
      </c>
      <c r="AT340" s="61">
        <f>IF(E340&amp;F340="","",MAX(IFERROR(INDEX('Paramètres'!$J$6:$J$33,MATCH(E340,'Paramètres'!$I$6:$I$33,0)),0),IFERROR(INDEX('Paramètres'!$N$6:$N$17,MATCH(F340,'Paramètres'!$M$6:$M$17,0)),0)))</f>
        <v/>
      </c>
      <c r="AU340" s="61">
        <f>IF(E340="","",IFERROR(IF(INDEX('Paramètres'!$K$6:$K$33,MATCH(E340,'Paramètres'!$I$6:$I$33,0))="Oui",1,0),0))</f>
        <v/>
      </c>
      <c r="AV340" s="61">
        <f>IF(F340="","",IFERROR(IF(INDEX('Paramètres'!$O$6:$O$17,MATCH(F340,'Paramètres'!$M$6:$M$17,0))="Oui",1,0),0))</f>
        <v/>
      </c>
      <c r="AW340" s="62">
        <f>IF(E340="","",IF(G340&lt;&gt;"",G340,IF(OR(E340="Proposition envoyée",E340="Signature"),MAX(0,N(IFERROR(INDEX('Paramètres'!$R$6:$R$15,MATCH(IF(AL340&lt;&gt;"",AL340,IFERROR(INDEX('Prospects'!$AN$5:$AN$504,MATCH(C340,'Prospects'!$C$5:$C$504,0)),"")),'Paramètres'!$Q$6:$Q$15,0)),0))-N(P340)),0)))</f>
        <v/>
      </c>
      <c r="AX340" s="61">
        <f>IF(C340="","",IF(COUNTIF($C$5:C340,C340)=1,MAX($AX$4:AX339)+1,""))</f>
        <v/>
      </c>
      <c r="AY340" s="61">
        <f>IF(B340="","",HOUR(B340))</f>
        <v/>
      </c>
      <c r="AZ340" s="61">
        <f>IF(A340="","",MOD(A340-2,7)+1)</f>
        <v/>
      </c>
      <c r="BA340" s="60">
        <f>IF(C340="","",IFERROR(INDEX('Prospects'!$N$5:$N$504,MATCH(C340,'Prospects'!$C$5:$C$504,0)),""))</f>
        <v/>
      </c>
      <c r="BB340" s="61">
        <f>IF(AND(C340&lt;&gt;"",C340='Fiche prospect'!$C$4),COUNTIF($C$5:C340,C340),"")</f>
        <v/>
      </c>
    </row>
    <row r="341">
      <c r="A341" s="53" t="n"/>
      <c r="B341" s="54" t="n"/>
      <c r="C341" s="55" t="n"/>
      <c r="D341" s="55" t="n"/>
      <c r="E341" s="55" t="n"/>
      <c r="F341" s="55" t="n"/>
      <c r="G341" s="56" t="n"/>
      <c r="H341" s="57" t="n"/>
      <c r="I341" s="55" t="n"/>
      <c r="J341" s="53" t="n"/>
      <c r="K341" s="54" t="n"/>
      <c r="L341" s="55" t="n"/>
      <c r="M341" s="55" t="n"/>
      <c r="N341" s="57" t="n"/>
      <c r="O341" s="55" t="n"/>
      <c r="P341" s="56" t="n"/>
      <c r="Q341" s="55" t="n"/>
      <c r="R341" s="55" t="n"/>
      <c r="S341" s="55" t="n"/>
      <c r="T341" s="55" t="n"/>
      <c r="U341" s="55" t="n"/>
      <c r="V341" s="55" t="n"/>
      <c r="W341" s="58" t="n"/>
      <c r="X341" s="58" t="n"/>
      <c r="Y341" s="55" t="n"/>
      <c r="Z341" s="55" t="n"/>
      <c r="AA341" s="55" t="n"/>
      <c r="AB341" s="55" t="n"/>
      <c r="AC341" s="55" t="n"/>
      <c r="AD341" s="53" t="n"/>
      <c r="AE341" s="55" t="n"/>
      <c r="AF341" s="55" t="n"/>
      <c r="AG341" s="59" t="n"/>
      <c r="AH341" s="57" t="n"/>
      <c r="AI341" s="55" t="n"/>
      <c r="AJ341" s="55" t="n"/>
      <c r="AK341" s="55" t="n"/>
      <c r="AL341" s="55" t="n"/>
      <c r="AM341" s="56" t="n"/>
      <c r="AN341" s="55" t="n"/>
      <c r="AO341" s="55" t="n"/>
      <c r="AP341" s="55" t="n"/>
      <c r="AQ341" s="55" t="n"/>
      <c r="AR341" s="60">
        <f>IF(AND(C341="",E341=""),"",IF(A341="","⚠ Date manquante",IF(AND(C341="",E341&lt;&gt;"Dépense"),"⚠ Prospect manquant",IF(E341="","⚠ Action manquante",IF(AND(AU341=1,D341=""),"⚠ Canal manquant",IF(AND(W341&lt;&gt;"",COUNTIFS('Saisie'!$W$5:$W$2004,W341,'Saisie'!$C$5:$C$2004,"&lt;&gt;"&amp;C341)&gt;0),"⚠ Numéro déjà utilisé par un autre prospect",IF(AND(J341&lt;&gt;"",J341&lt;A341),"⚠ Relance avant la date de l'action",IF(A341&gt;TODAY(),"⚠ Date dans le futur","✓"))))))))</f>
        <v/>
      </c>
      <c r="AS341" s="61">
        <f>IF(AND(A341="",C341="",E341=""),"",ROW())</f>
        <v/>
      </c>
      <c r="AT341" s="61">
        <f>IF(E341&amp;F341="","",MAX(IFERROR(INDEX('Paramètres'!$J$6:$J$33,MATCH(E341,'Paramètres'!$I$6:$I$33,0)),0),IFERROR(INDEX('Paramètres'!$N$6:$N$17,MATCH(F341,'Paramètres'!$M$6:$M$17,0)),0)))</f>
        <v/>
      </c>
      <c r="AU341" s="61">
        <f>IF(E341="","",IFERROR(IF(INDEX('Paramètres'!$K$6:$K$33,MATCH(E341,'Paramètres'!$I$6:$I$33,0))="Oui",1,0),0))</f>
        <v/>
      </c>
      <c r="AV341" s="61">
        <f>IF(F341="","",IFERROR(IF(INDEX('Paramètres'!$O$6:$O$17,MATCH(F341,'Paramètres'!$M$6:$M$17,0))="Oui",1,0),0))</f>
        <v/>
      </c>
      <c r="AW341" s="62">
        <f>IF(E341="","",IF(G341&lt;&gt;"",G341,IF(OR(E341="Proposition envoyée",E341="Signature"),MAX(0,N(IFERROR(INDEX('Paramètres'!$R$6:$R$15,MATCH(IF(AL341&lt;&gt;"",AL341,IFERROR(INDEX('Prospects'!$AN$5:$AN$504,MATCH(C341,'Prospects'!$C$5:$C$504,0)),"")),'Paramètres'!$Q$6:$Q$15,0)),0))-N(P341)),0)))</f>
        <v/>
      </c>
      <c r="AX341" s="61">
        <f>IF(C341="","",IF(COUNTIF($C$5:C341,C341)=1,MAX($AX$4:AX340)+1,""))</f>
        <v/>
      </c>
      <c r="AY341" s="61">
        <f>IF(B341="","",HOUR(B341))</f>
        <v/>
      </c>
      <c r="AZ341" s="61">
        <f>IF(A341="","",MOD(A341-2,7)+1)</f>
        <v/>
      </c>
      <c r="BA341" s="60">
        <f>IF(C341="","",IFERROR(INDEX('Prospects'!$N$5:$N$504,MATCH(C341,'Prospects'!$C$5:$C$504,0)),""))</f>
        <v/>
      </c>
      <c r="BB341" s="61">
        <f>IF(AND(C341&lt;&gt;"",C341='Fiche prospect'!$C$4),COUNTIF($C$5:C341,C341),"")</f>
        <v/>
      </c>
    </row>
    <row r="342">
      <c r="A342" s="53" t="n"/>
      <c r="B342" s="54" t="n"/>
      <c r="C342" s="55" t="n"/>
      <c r="D342" s="55" t="n"/>
      <c r="E342" s="55" t="n"/>
      <c r="F342" s="55" t="n"/>
      <c r="G342" s="56" t="n"/>
      <c r="H342" s="57" t="n"/>
      <c r="I342" s="55" t="n"/>
      <c r="J342" s="53" t="n"/>
      <c r="K342" s="54" t="n"/>
      <c r="L342" s="55" t="n"/>
      <c r="M342" s="55" t="n"/>
      <c r="N342" s="57" t="n"/>
      <c r="O342" s="55" t="n"/>
      <c r="P342" s="56" t="n"/>
      <c r="Q342" s="55" t="n"/>
      <c r="R342" s="55" t="n"/>
      <c r="S342" s="55" t="n"/>
      <c r="T342" s="55" t="n"/>
      <c r="U342" s="55" t="n"/>
      <c r="V342" s="55" t="n"/>
      <c r="W342" s="58" t="n"/>
      <c r="X342" s="58" t="n"/>
      <c r="Y342" s="55" t="n"/>
      <c r="Z342" s="55" t="n"/>
      <c r="AA342" s="55" t="n"/>
      <c r="AB342" s="55" t="n"/>
      <c r="AC342" s="55" t="n"/>
      <c r="AD342" s="53" t="n"/>
      <c r="AE342" s="55" t="n"/>
      <c r="AF342" s="55" t="n"/>
      <c r="AG342" s="59" t="n"/>
      <c r="AH342" s="57" t="n"/>
      <c r="AI342" s="55" t="n"/>
      <c r="AJ342" s="55" t="n"/>
      <c r="AK342" s="55" t="n"/>
      <c r="AL342" s="55" t="n"/>
      <c r="AM342" s="56" t="n"/>
      <c r="AN342" s="55" t="n"/>
      <c r="AO342" s="55" t="n"/>
      <c r="AP342" s="55" t="n"/>
      <c r="AQ342" s="55" t="n"/>
      <c r="AR342" s="60">
        <f>IF(AND(C342="",E342=""),"",IF(A342="","⚠ Date manquante",IF(AND(C342="",E342&lt;&gt;"Dépense"),"⚠ Prospect manquant",IF(E342="","⚠ Action manquante",IF(AND(AU342=1,D342=""),"⚠ Canal manquant",IF(AND(W342&lt;&gt;"",COUNTIFS('Saisie'!$W$5:$W$2004,W342,'Saisie'!$C$5:$C$2004,"&lt;&gt;"&amp;C342)&gt;0),"⚠ Numéro déjà utilisé par un autre prospect",IF(AND(J342&lt;&gt;"",J342&lt;A342),"⚠ Relance avant la date de l'action",IF(A342&gt;TODAY(),"⚠ Date dans le futur","✓"))))))))</f>
        <v/>
      </c>
      <c r="AS342" s="61">
        <f>IF(AND(A342="",C342="",E342=""),"",ROW())</f>
        <v/>
      </c>
      <c r="AT342" s="61">
        <f>IF(E342&amp;F342="","",MAX(IFERROR(INDEX('Paramètres'!$J$6:$J$33,MATCH(E342,'Paramètres'!$I$6:$I$33,0)),0),IFERROR(INDEX('Paramètres'!$N$6:$N$17,MATCH(F342,'Paramètres'!$M$6:$M$17,0)),0)))</f>
        <v/>
      </c>
      <c r="AU342" s="61">
        <f>IF(E342="","",IFERROR(IF(INDEX('Paramètres'!$K$6:$K$33,MATCH(E342,'Paramètres'!$I$6:$I$33,0))="Oui",1,0),0))</f>
        <v/>
      </c>
      <c r="AV342" s="61">
        <f>IF(F342="","",IFERROR(IF(INDEX('Paramètres'!$O$6:$O$17,MATCH(F342,'Paramètres'!$M$6:$M$17,0))="Oui",1,0),0))</f>
        <v/>
      </c>
      <c r="AW342" s="62">
        <f>IF(E342="","",IF(G342&lt;&gt;"",G342,IF(OR(E342="Proposition envoyée",E342="Signature"),MAX(0,N(IFERROR(INDEX('Paramètres'!$R$6:$R$15,MATCH(IF(AL342&lt;&gt;"",AL342,IFERROR(INDEX('Prospects'!$AN$5:$AN$504,MATCH(C342,'Prospects'!$C$5:$C$504,0)),"")),'Paramètres'!$Q$6:$Q$15,0)),0))-N(P342)),0)))</f>
        <v/>
      </c>
      <c r="AX342" s="61">
        <f>IF(C342="","",IF(COUNTIF($C$5:C342,C342)=1,MAX($AX$4:AX341)+1,""))</f>
        <v/>
      </c>
      <c r="AY342" s="61">
        <f>IF(B342="","",HOUR(B342))</f>
        <v/>
      </c>
      <c r="AZ342" s="61">
        <f>IF(A342="","",MOD(A342-2,7)+1)</f>
        <v/>
      </c>
      <c r="BA342" s="60">
        <f>IF(C342="","",IFERROR(INDEX('Prospects'!$N$5:$N$504,MATCH(C342,'Prospects'!$C$5:$C$504,0)),""))</f>
        <v/>
      </c>
      <c r="BB342" s="61">
        <f>IF(AND(C342&lt;&gt;"",C342='Fiche prospect'!$C$4),COUNTIF($C$5:C342,C342),"")</f>
        <v/>
      </c>
    </row>
    <row r="343">
      <c r="A343" s="53" t="n"/>
      <c r="B343" s="54" t="n"/>
      <c r="C343" s="55" t="n"/>
      <c r="D343" s="55" t="n"/>
      <c r="E343" s="55" t="n"/>
      <c r="F343" s="55" t="n"/>
      <c r="G343" s="56" t="n"/>
      <c r="H343" s="57" t="n"/>
      <c r="I343" s="55" t="n"/>
      <c r="J343" s="53" t="n"/>
      <c r="K343" s="54" t="n"/>
      <c r="L343" s="55" t="n"/>
      <c r="M343" s="55" t="n"/>
      <c r="N343" s="57" t="n"/>
      <c r="O343" s="55" t="n"/>
      <c r="P343" s="56" t="n"/>
      <c r="Q343" s="55" t="n"/>
      <c r="R343" s="55" t="n"/>
      <c r="S343" s="55" t="n"/>
      <c r="T343" s="55" t="n"/>
      <c r="U343" s="55" t="n"/>
      <c r="V343" s="55" t="n"/>
      <c r="W343" s="58" t="n"/>
      <c r="X343" s="58" t="n"/>
      <c r="Y343" s="55" t="n"/>
      <c r="Z343" s="55" t="n"/>
      <c r="AA343" s="55" t="n"/>
      <c r="AB343" s="55" t="n"/>
      <c r="AC343" s="55" t="n"/>
      <c r="AD343" s="53" t="n"/>
      <c r="AE343" s="55" t="n"/>
      <c r="AF343" s="55" t="n"/>
      <c r="AG343" s="59" t="n"/>
      <c r="AH343" s="57" t="n"/>
      <c r="AI343" s="55" t="n"/>
      <c r="AJ343" s="55" t="n"/>
      <c r="AK343" s="55" t="n"/>
      <c r="AL343" s="55" t="n"/>
      <c r="AM343" s="56" t="n"/>
      <c r="AN343" s="55" t="n"/>
      <c r="AO343" s="55" t="n"/>
      <c r="AP343" s="55" t="n"/>
      <c r="AQ343" s="55" t="n"/>
      <c r="AR343" s="60">
        <f>IF(AND(C343="",E343=""),"",IF(A343="","⚠ Date manquante",IF(AND(C343="",E343&lt;&gt;"Dépense"),"⚠ Prospect manquant",IF(E343="","⚠ Action manquante",IF(AND(AU343=1,D343=""),"⚠ Canal manquant",IF(AND(W343&lt;&gt;"",COUNTIFS('Saisie'!$W$5:$W$2004,W343,'Saisie'!$C$5:$C$2004,"&lt;&gt;"&amp;C343)&gt;0),"⚠ Numéro déjà utilisé par un autre prospect",IF(AND(J343&lt;&gt;"",J343&lt;A343),"⚠ Relance avant la date de l'action",IF(A343&gt;TODAY(),"⚠ Date dans le futur","✓"))))))))</f>
        <v/>
      </c>
      <c r="AS343" s="61">
        <f>IF(AND(A343="",C343="",E343=""),"",ROW())</f>
        <v/>
      </c>
      <c r="AT343" s="61">
        <f>IF(E343&amp;F343="","",MAX(IFERROR(INDEX('Paramètres'!$J$6:$J$33,MATCH(E343,'Paramètres'!$I$6:$I$33,0)),0),IFERROR(INDEX('Paramètres'!$N$6:$N$17,MATCH(F343,'Paramètres'!$M$6:$M$17,0)),0)))</f>
        <v/>
      </c>
      <c r="AU343" s="61">
        <f>IF(E343="","",IFERROR(IF(INDEX('Paramètres'!$K$6:$K$33,MATCH(E343,'Paramètres'!$I$6:$I$33,0))="Oui",1,0),0))</f>
        <v/>
      </c>
      <c r="AV343" s="61">
        <f>IF(F343="","",IFERROR(IF(INDEX('Paramètres'!$O$6:$O$17,MATCH(F343,'Paramètres'!$M$6:$M$17,0))="Oui",1,0),0))</f>
        <v/>
      </c>
      <c r="AW343" s="62">
        <f>IF(E343="","",IF(G343&lt;&gt;"",G343,IF(OR(E343="Proposition envoyée",E343="Signature"),MAX(0,N(IFERROR(INDEX('Paramètres'!$R$6:$R$15,MATCH(IF(AL343&lt;&gt;"",AL343,IFERROR(INDEX('Prospects'!$AN$5:$AN$504,MATCH(C343,'Prospects'!$C$5:$C$504,0)),"")),'Paramètres'!$Q$6:$Q$15,0)),0))-N(P343)),0)))</f>
        <v/>
      </c>
      <c r="AX343" s="61">
        <f>IF(C343="","",IF(COUNTIF($C$5:C343,C343)=1,MAX($AX$4:AX342)+1,""))</f>
        <v/>
      </c>
      <c r="AY343" s="61">
        <f>IF(B343="","",HOUR(B343))</f>
        <v/>
      </c>
      <c r="AZ343" s="61">
        <f>IF(A343="","",MOD(A343-2,7)+1)</f>
        <v/>
      </c>
      <c r="BA343" s="60">
        <f>IF(C343="","",IFERROR(INDEX('Prospects'!$N$5:$N$504,MATCH(C343,'Prospects'!$C$5:$C$504,0)),""))</f>
        <v/>
      </c>
      <c r="BB343" s="61">
        <f>IF(AND(C343&lt;&gt;"",C343='Fiche prospect'!$C$4),COUNTIF($C$5:C343,C343),"")</f>
        <v/>
      </c>
    </row>
    <row r="344">
      <c r="A344" s="53" t="n"/>
      <c r="B344" s="54" t="n"/>
      <c r="C344" s="55" t="n"/>
      <c r="D344" s="55" t="n"/>
      <c r="E344" s="55" t="n"/>
      <c r="F344" s="55" t="n"/>
      <c r="G344" s="56" t="n"/>
      <c r="H344" s="57" t="n"/>
      <c r="I344" s="55" t="n"/>
      <c r="J344" s="53" t="n"/>
      <c r="K344" s="54" t="n"/>
      <c r="L344" s="55" t="n"/>
      <c r="M344" s="55" t="n"/>
      <c r="N344" s="57" t="n"/>
      <c r="O344" s="55" t="n"/>
      <c r="P344" s="56" t="n"/>
      <c r="Q344" s="55" t="n"/>
      <c r="R344" s="55" t="n"/>
      <c r="S344" s="55" t="n"/>
      <c r="T344" s="55" t="n"/>
      <c r="U344" s="55" t="n"/>
      <c r="V344" s="55" t="n"/>
      <c r="W344" s="58" t="n"/>
      <c r="X344" s="58" t="n"/>
      <c r="Y344" s="55" t="n"/>
      <c r="Z344" s="55" t="n"/>
      <c r="AA344" s="55" t="n"/>
      <c r="AB344" s="55" t="n"/>
      <c r="AC344" s="55" t="n"/>
      <c r="AD344" s="53" t="n"/>
      <c r="AE344" s="55" t="n"/>
      <c r="AF344" s="55" t="n"/>
      <c r="AG344" s="59" t="n"/>
      <c r="AH344" s="57" t="n"/>
      <c r="AI344" s="55" t="n"/>
      <c r="AJ344" s="55" t="n"/>
      <c r="AK344" s="55" t="n"/>
      <c r="AL344" s="55" t="n"/>
      <c r="AM344" s="56" t="n"/>
      <c r="AN344" s="55" t="n"/>
      <c r="AO344" s="55" t="n"/>
      <c r="AP344" s="55" t="n"/>
      <c r="AQ344" s="55" t="n"/>
      <c r="AR344" s="60">
        <f>IF(AND(C344="",E344=""),"",IF(A344="","⚠ Date manquante",IF(AND(C344="",E344&lt;&gt;"Dépense"),"⚠ Prospect manquant",IF(E344="","⚠ Action manquante",IF(AND(AU344=1,D344=""),"⚠ Canal manquant",IF(AND(W344&lt;&gt;"",COUNTIFS('Saisie'!$W$5:$W$2004,W344,'Saisie'!$C$5:$C$2004,"&lt;&gt;"&amp;C344)&gt;0),"⚠ Numéro déjà utilisé par un autre prospect",IF(AND(J344&lt;&gt;"",J344&lt;A344),"⚠ Relance avant la date de l'action",IF(A344&gt;TODAY(),"⚠ Date dans le futur","✓"))))))))</f>
        <v/>
      </c>
      <c r="AS344" s="61">
        <f>IF(AND(A344="",C344="",E344=""),"",ROW())</f>
        <v/>
      </c>
      <c r="AT344" s="61">
        <f>IF(E344&amp;F344="","",MAX(IFERROR(INDEX('Paramètres'!$J$6:$J$33,MATCH(E344,'Paramètres'!$I$6:$I$33,0)),0),IFERROR(INDEX('Paramètres'!$N$6:$N$17,MATCH(F344,'Paramètres'!$M$6:$M$17,0)),0)))</f>
        <v/>
      </c>
      <c r="AU344" s="61">
        <f>IF(E344="","",IFERROR(IF(INDEX('Paramètres'!$K$6:$K$33,MATCH(E344,'Paramètres'!$I$6:$I$33,0))="Oui",1,0),0))</f>
        <v/>
      </c>
      <c r="AV344" s="61">
        <f>IF(F344="","",IFERROR(IF(INDEX('Paramètres'!$O$6:$O$17,MATCH(F344,'Paramètres'!$M$6:$M$17,0))="Oui",1,0),0))</f>
        <v/>
      </c>
      <c r="AW344" s="62">
        <f>IF(E344="","",IF(G344&lt;&gt;"",G344,IF(OR(E344="Proposition envoyée",E344="Signature"),MAX(0,N(IFERROR(INDEX('Paramètres'!$R$6:$R$15,MATCH(IF(AL344&lt;&gt;"",AL344,IFERROR(INDEX('Prospects'!$AN$5:$AN$504,MATCH(C344,'Prospects'!$C$5:$C$504,0)),"")),'Paramètres'!$Q$6:$Q$15,0)),0))-N(P344)),0)))</f>
        <v/>
      </c>
      <c r="AX344" s="61">
        <f>IF(C344="","",IF(COUNTIF($C$5:C344,C344)=1,MAX($AX$4:AX343)+1,""))</f>
        <v/>
      </c>
      <c r="AY344" s="61">
        <f>IF(B344="","",HOUR(B344))</f>
        <v/>
      </c>
      <c r="AZ344" s="61">
        <f>IF(A344="","",MOD(A344-2,7)+1)</f>
        <v/>
      </c>
      <c r="BA344" s="60">
        <f>IF(C344="","",IFERROR(INDEX('Prospects'!$N$5:$N$504,MATCH(C344,'Prospects'!$C$5:$C$504,0)),""))</f>
        <v/>
      </c>
      <c r="BB344" s="61">
        <f>IF(AND(C344&lt;&gt;"",C344='Fiche prospect'!$C$4),COUNTIF($C$5:C344,C344),"")</f>
        <v/>
      </c>
    </row>
    <row r="345">
      <c r="A345" s="53" t="n"/>
      <c r="B345" s="54" t="n"/>
      <c r="C345" s="55" t="n"/>
      <c r="D345" s="55" t="n"/>
      <c r="E345" s="55" t="n"/>
      <c r="F345" s="55" t="n"/>
      <c r="G345" s="56" t="n"/>
      <c r="H345" s="57" t="n"/>
      <c r="I345" s="55" t="n"/>
      <c r="J345" s="53" t="n"/>
      <c r="K345" s="54" t="n"/>
      <c r="L345" s="55" t="n"/>
      <c r="M345" s="55" t="n"/>
      <c r="N345" s="57" t="n"/>
      <c r="O345" s="55" t="n"/>
      <c r="P345" s="56" t="n"/>
      <c r="Q345" s="55" t="n"/>
      <c r="R345" s="55" t="n"/>
      <c r="S345" s="55" t="n"/>
      <c r="T345" s="55" t="n"/>
      <c r="U345" s="55" t="n"/>
      <c r="V345" s="55" t="n"/>
      <c r="W345" s="58" t="n"/>
      <c r="X345" s="58" t="n"/>
      <c r="Y345" s="55" t="n"/>
      <c r="Z345" s="55" t="n"/>
      <c r="AA345" s="55" t="n"/>
      <c r="AB345" s="55" t="n"/>
      <c r="AC345" s="55" t="n"/>
      <c r="AD345" s="53" t="n"/>
      <c r="AE345" s="55" t="n"/>
      <c r="AF345" s="55" t="n"/>
      <c r="AG345" s="59" t="n"/>
      <c r="AH345" s="57" t="n"/>
      <c r="AI345" s="55" t="n"/>
      <c r="AJ345" s="55" t="n"/>
      <c r="AK345" s="55" t="n"/>
      <c r="AL345" s="55" t="n"/>
      <c r="AM345" s="56" t="n"/>
      <c r="AN345" s="55" t="n"/>
      <c r="AO345" s="55" t="n"/>
      <c r="AP345" s="55" t="n"/>
      <c r="AQ345" s="55" t="n"/>
      <c r="AR345" s="60">
        <f>IF(AND(C345="",E345=""),"",IF(A345="","⚠ Date manquante",IF(AND(C345="",E345&lt;&gt;"Dépense"),"⚠ Prospect manquant",IF(E345="","⚠ Action manquante",IF(AND(AU345=1,D345=""),"⚠ Canal manquant",IF(AND(W345&lt;&gt;"",COUNTIFS('Saisie'!$W$5:$W$2004,W345,'Saisie'!$C$5:$C$2004,"&lt;&gt;"&amp;C345)&gt;0),"⚠ Numéro déjà utilisé par un autre prospect",IF(AND(J345&lt;&gt;"",J345&lt;A345),"⚠ Relance avant la date de l'action",IF(A345&gt;TODAY(),"⚠ Date dans le futur","✓"))))))))</f>
        <v/>
      </c>
      <c r="AS345" s="61">
        <f>IF(AND(A345="",C345="",E345=""),"",ROW())</f>
        <v/>
      </c>
      <c r="AT345" s="61">
        <f>IF(E345&amp;F345="","",MAX(IFERROR(INDEX('Paramètres'!$J$6:$J$33,MATCH(E345,'Paramètres'!$I$6:$I$33,0)),0),IFERROR(INDEX('Paramètres'!$N$6:$N$17,MATCH(F345,'Paramètres'!$M$6:$M$17,0)),0)))</f>
        <v/>
      </c>
      <c r="AU345" s="61">
        <f>IF(E345="","",IFERROR(IF(INDEX('Paramètres'!$K$6:$K$33,MATCH(E345,'Paramètres'!$I$6:$I$33,0))="Oui",1,0),0))</f>
        <v/>
      </c>
      <c r="AV345" s="61">
        <f>IF(F345="","",IFERROR(IF(INDEX('Paramètres'!$O$6:$O$17,MATCH(F345,'Paramètres'!$M$6:$M$17,0))="Oui",1,0),0))</f>
        <v/>
      </c>
      <c r="AW345" s="62">
        <f>IF(E345="","",IF(G345&lt;&gt;"",G345,IF(OR(E345="Proposition envoyée",E345="Signature"),MAX(0,N(IFERROR(INDEX('Paramètres'!$R$6:$R$15,MATCH(IF(AL345&lt;&gt;"",AL345,IFERROR(INDEX('Prospects'!$AN$5:$AN$504,MATCH(C345,'Prospects'!$C$5:$C$504,0)),"")),'Paramètres'!$Q$6:$Q$15,0)),0))-N(P345)),0)))</f>
        <v/>
      </c>
      <c r="AX345" s="61">
        <f>IF(C345="","",IF(COUNTIF($C$5:C345,C345)=1,MAX($AX$4:AX344)+1,""))</f>
        <v/>
      </c>
      <c r="AY345" s="61">
        <f>IF(B345="","",HOUR(B345))</f>
        <v/>
      </c>
      <c r="AZ345" s="61">
        <f>IF(A345="","",MOD(A345-2,7)+1)</f>
        <v/>
      </c>
      <c r="BA345" s="60">
        <f>IF(C345="","",IFERROR(INDEX('Prospects'!$N$5:$N$504,MATCH(C345,'Prospects'!$C$5:$C$504,0)),""))</f>
        <v/>
      </c>
      <c r="BB345" s="61">
        <f>IF(AND(C345&lt;&gt;"",C345='Fiche prospect'!$C$4),COUNTIF($C$5:C345,C345),"")</f>
        <v/>
      </c>
    </row>
    <row r="346">
      <c r="A346" s="53" t="n"/>
      <c r="B346" s="54" t="n"/>
      <c r="C346" s="55" t="n"/>
      <c r="D346" s="55" t="n"/>
      <c r="E346" s="55" t="n"/>
      <c r="F346" s="55" t="n"/>
      <c r="G346" s="56" t="n"/>
      <c r="H346" s="57" t="n"/>
      <c r="I346" s="55" t="n"/>
      <c r="J346" s="53" t="n"/>
      <c r="K346" s="54" t="n"/>
      <c r="L346" s="55" t="n"/>
      <c r="M346" s="55" t="n"/>
      <c r="N346" s="57" t="n"/>
      <c r="O346" s="55" t="n"/>
      <c r="P346" s="56" t="n"/>
      <c r="Q346" s="55" t="n"/>
      <c r="R346" s="55" t="n"/>
      <c r="S346" s="55" t="n"/>
      <c r="T346" s="55" t="n"/>
      <c r="U346" s="55" t="n"/>
      <c r="V346" s="55" t="n"/>
      <c r="W346" s="58" t="n"/>
      <c r="X346" s="58" t="n"/>
      <c r="Y346" s="55" t="n"/>
      <c r="Z346" s="55" t="n"/>
      <c r="AA346" s="55" t="n"/>
      <c r="AB346" s="55" t="n"/>
      <c r="AC346" s="55" t="n"/>
      <c r="AD346" s="53" t="n"/>
      <c r="AE346" s="55" t="n"/>
      <c r="AF346" s="55" t="n"/>
      <c r="AG346" s="59" t="n"/>
      <c r="AH346" s="57" t="n"/>
      <c r="AI346" s="55" t="n"/>
      <c r="AJ346" s="55" t="n"/>
      <c r="AK346" s="55" t="n"/>
      <c r="AL346" s="55" t="n"/>
      <c r="AM346" s="56" t="n"/>
      <c r="AN346" s="55" t="n"/>
      <c r="AO346" s="55" t="n"/>
      <c r="AP346" s="55" t="n"/>
      <c r="AQ346" s="55" t="n"/>
      <c r="AR346" s="60">
        <f>IF(AND(C346="",E346=""),"",IF(A346="","⚠ Date manquante",IF(AND(C346="",E346&lt;&gt;"Dépense"),"⚠ Prospect manquant",IF(E346="","⚠ Action manquante",IF(AND(AU346=1,D346=""),"⚠ Canal manquant",IF(AND(W346&lt;&gt;"",COUNTIFS('Saisie'!$W$5:$W$2004,W346,'Saisie'!$C$5:$C$2004,"&lt;&gt;"&amp;C346)&gt;0),"⚠ Numéro déjà utilisé par un autre prospect",IF(AND(J346&lt;&gt;"",J346&lt;A346),"⚠ Relance avant la date de l'action",IF(A346&gt;TODAY(),"⚠ Date dans le futur","✓"))))))))</f>
        <v/>
      </c>
      <c r="AS346" s="61">
        <f>IF(AND(A346="",C346="",E346=""),"",ROW())</f>
        <v/>
      </c>
      <c r="AT346" s="61">
        <f>IF(E346&amp;F346="","",MAX(IFERROR(INDEX('Paramètres'!$J$6:$J$33,MATCH(E346,'Paramètres'!$I$6:$I$33,0)),0),IFERROR(INDEX('Paramètres'!$N$6:$N$17,MATCH(F346,'Paramètres'!$M$6:$M$17,0)),0)))</f>
        <v/>
      </c>
      <c r="AU346" s="61">
        <f>IF(E346="","",IFERROR(IF(INDEX('Paramètres'!$K$6:$K$33,MATCH(E346,'Paramètres'!$I$6:$I$33,0))="Oui",1,0),0))</f>
        <v/>
      </c>
      <c r="AV346" s="61">
        <f>IF(F346="","",IFERROR(IF(INDEX('Paramètres'!$O$6:$O$17,MATCH(F346,'Paramètres'!$M$6:$M$17,0))="Oui",1,0),0))</f>
        <v/>
      </c>
      <c r="AW346" s="62">
        <f>IF(E346="","",IF(G346&lt;&gt;"",G346,IF(OR(E346="Proposition envoyée",E346="Signature"),MAX(0,N(IFERROR(INDEX('Paramètres'!$R$6:$R$15,MATCH(IF(AL346&lt;&gt;"",AL346,IFERROR(INDEX('Prospects'!$AN$5:$AN$504,MATCH(C346,'Prospects'!$C$5:$C$504,0)),"")),'Paramètres'!$Q$6:$Q$15,0)),0))-N(P346)),0)))</f>
        <v/>
      </c>
      <c r="AX346" s="61">
        <f>IF(C346="","",IF(COUNTIF($C$5:C346,C346)=1,MAX($AX$4:AX345)+1,""))</f>
        <v/>
      </c>
      <c r="AY346" s="61">
        <f>IF(B346="","",HOUR(B346))</f>
        <v/>
      </c>
      <c r="AZ346" s="61">
        <f>IF(A346="","",MOD(A346-2,7)+1)</f>
        <v/>
      </c>
      <c r="BA346" s="60">
        <f>IF(C346="","",IFERROR(INDEX('Prospects'!$N$5:$N$504,MATCH(C346,'Prospects'!$C$5:$C$504,0)),""))</f>
        <v/>
      </c>
      <c r="BB346" s="61">
        <f>IF(AND(C346&lt;&gt;"",C346='Fiche prospect'!$C$4),COUNTIF($C$5:C346,C346),"")</f>
        <v/>
      </c>
    </row>
    <row r="347">
      <c r="A347" s="53" t="n"/>
      <c r="B347" s="54" t="n"/>
      <c r="C347" s="55" t="n"/>
      <c r="D347" s="55" t="n"/>
      <c r="E347" s="55" t="n"/>
      <c r="F347" s="55" t="n"/>
      <c r="G347" s="56" t="n"/>
      <c r="H347" s="57" t="n"/>
      <c r="I347" s="55" t="n"/>
      <c r="J347" s="53" t="n"/>
      <c r="K347" s="54" t="n"/>
      <c r="L347" s="55" t="n"/>
      <c r="M347" s="55" t="n"/>
      <c r="N347" s="57" t="n"/>
      <c r="O347" s="55" t="n"/>
      <c r="P347" s="56" t="n"/>
      <c r="Q347" s="55" t="n"/>
      <c r="R347" s="55" t="n"/>
      <c r="S347" s="55" t="n"/>
      <c r="T347" s="55" t="n"/>
      <c r="U347" s="55" t="n"/>
      <c r="V347" s="55" t="n"/>
      <c r="W347" s="58" t="n"/>
      <c r="X347" s="58" t="n"/>
      <c r="Y347" s="55" t="n"/>
      <c r="Z347" s="55" t="n"/>
      <c r="AA347" s="55" t="n"/>
      <c r="AB347" s="55" t="n"/>
      <c r="AC347" s="55" t="n"/>
      <c r="AD347" s="53" t="n"/>
      <c r="AE347" s="55" t="n"/>
      <c r="AF347" s="55" t="n"/>
      <c r="AG347" s="59" t="n"/>
      <c r="AH347" s="57" t="n"/>
      <c r="AI347" s="55" t="n"/>
      <c r="AJ347" s="55" t="n"/>
      <c r="AK347" s="55" t="n"/>
      <c r="AL347" s="55" t="n"/>
      <c r="AM347" s="56" t="n"/>
      <c r="AN347" s="55" t="n"/>
      <c r="AO347" s="55" t="n"/>
      <c r="AP347" s="55" t="n"/>
      <c r="AQ347" s="55" t="n"/>
      <c r="AR347" s="60">
        <f>IF(AND(C347="",E347=""),"",IF(A347="","⚠ Date manquante",IF(AND(C347="",E347&lt;&gt;"Dépense"),"⚠ Prospect manquant",IF(E347="","⚠ Action manquante",IF(AND(AU347=1,D347=""),"⚠ Canal manquant",IF(AND(W347&lt;&gt;"",COUNTIFS('Saisie'!$W$5:$W$2004,W347,'Saisie'!$C$5:$C$2004,"&lt;&gt;"&amp;C347)&gt;0),"⚠ Numéro déjà utilisé par un autre prospect",IF(AND(J347&lt;&gt;"",J347&lt;A347),"⚠ Relance avant la date de l'action",IF(A347&gt;TODAY(),"⚠ Date dans le futur","✓"))))))))</f>
        <v/>
      </c>
      <c r="AS347" s="61">
        <f>IF(AND(A347="",C347="",E347=""),"",ROW())</f>
        <v/>
      </c>
      <c r="AT347" s="61">
        <f>IF(E347&amp;F347="","",MAX(IFERROR(INDEX('Paramètres'!$J$6:$J$33,MATCH(E347,'Paramètres'!$I$6:$I$33,0)),0),IFERROR(INDEX('Paramètres'!$N$6:$N$17,MATCH(F347,'Paramètres'!$M$6:$M$17,0)),0)))</f>
        <v/>
      </c>
      <c r="AU347" s="61">
        <f>IF(E347="","",IFERROR(IF(INDEX('Paramètres'!$K$6:$K$33,MATCH(E347,'Paramètres'!$I$6:$I$33,0))="Oui",1,0),0))</f>
        <v/>
      </c>
      <c r="AV347" s="61">
        <f>IF(F347="","",IFERROR(IF(INDEX('Paramètres'!$O$6:$O$17,MATCH(F347,'Paramètres'!$M$6:$M$17,0))="Oui",1,0),0))</f>
        <v/>
      </c>
      <c r="AW347" s="62">
        <f>IF(E347="","",IF(G347&lt;&gt;"",G347,IF(OR(E347="Proposition envoyée",E347="Signature"),MAX(0,N(IFERROR(INDEX('Paramètres'!$R$6:$R$15,MATCH(IF(AL347&lt;&gt;"",AL347,IFERROR(INDEX('Prospects'!$AN$5:$AN$504,MATCH(C347,'Prospects'!$C$5:$C$504,0)),"")),'Paramètres'!$Q$6:$Q$15,0)),0))-N(P347)),0)))</f>
        <v/>
      </c>
      <c r="AX347" s="61">
        <f>IF(C347="","",IF(COUNTIF($C$5:C347,C347)=1,MAX($AX$4:AX346)+1,""))</f>
        <v/>
      </c>
      <c r="AY347" s="61">
        <f>IF(B347="","",HOUR(B347))</f>
        <v/>
      </c>
      <c r="AZ347" s="61">
        <f>IF(A347="","",MOD(A347-2,7)+1)</f>
        <v/>
      </c>
      <c r="BA347" s="60">
        <f>IF(C347="","",IFERROR(INDEX('Prospects'!$N$5:$N$504,MATCH(C347,'Prospects'!$C$5:$C$504,0)),""))</f>
        <v/>
      </c>
      <c r="BB347" s="61">
        <f>IF(AND(C347&lt;&gt;"",C347='Fiche prospect'!$C$4),COUNTIF($C$5:C347,C347),"")</f>
        <v/>
      </c>
    </row>
    <row r="348">
      <c r="A348" s="53" t="n"/>
      <c r="B348" s="54" t="n"/>
      <c r="C348" s="55" t="n"/>
      <c r="D348" s="55" t="n"/>
      <c r="E348" s="55" t="n"/>
      <c r="F348" s="55" t="n"/>
      <c r="G348" s="56" t="n"/>
      <c r="H348" s="57" t="n"/>
      <c r="I348" s="55" t="n"/>
      <c r="J348" s="53" t="n"/>
      <c r="K348" s="54" t="n"/>
      <c r="L348" s="55" t="n"/>
      <c r="M348" s="55" t="n"/>
      <c r="N348" s="57" t="n"/>
      <c r="O348" s="55" t="n"/>
      <c r="P348" s="56" t="n"/>
      <c r="Q348" s="55" t="n"/>
      <c r="R348" s="55" t="n"/>
      <c r="S348" s="55" t="n"/>
      <c r="T348" s="55" t="n"/>
      <c r="U348" s="55" t="n"/>
      <c r="V348" s="55" t="n"/>
      <c r="W348" s="58" t="n"/>
      <c r="X348" s="58" t="n"/>
      <c r="Y348" s="55" t="n"/>
      <c r="Z348" s="55" t="n"/>
      <c r="AA348" s="55" t="n"/>
      <c r="AB348" s="55" t="n"/>
      <c r="AC348" s="55" t="n"/>
      <c r="AD348" s="53" t="n"/>
      <c r="AE348" s="55" t="n"/>
      <c r="AF348" s="55" t="n"/>
      <c r="AG348" s="59" t="n"/>
      <c r="AH348" s="57" t="n"/>
      <c r="AI348" s="55" t="n"/>
      <c r="AJ348" s="55" t="n"/>
      <c r="AK348" s="55" t="n"/>
      <c r="AL348" s="55" t="n"/>
      <c r="AM348" s="56" t="n"/>
      <c r="AN348" s="55" t="n"/>
      <c r="AO348" s="55" t="n"/>
      <c r="AP348" s="55" t="n"/>
      <c r="AQ348" s="55" t="n"/>
      <c r="AR348" s="60">
        <f>IF(AND(C348="",E348=""),"",IF(A348="","⚠ Date manquante",IF(AND(C348="",E348&lt;&gt;"Dépense"),"⚠ Prospect manquant",IF(E348="","⚠ Action manquante",IF(AND(AU348=1,D348=""),"⚠ Canal manquant",IF(AND(W348&lt;&gt;"",COUNTIFS('Saisie'!$W$5:$W$2004,W348,'Saisie'!$C$5:$C$2004,"&lt;&gt;"&amp;C348)&gt;0),"⚠ Numéro déjà utilisé par un autre prospect",IF(AND(J348&lt;&gt;"",J348&lt;A348),"⚠ Relance avant la date de l'action",IF(A348&gt;TODAY(),"⚠ Date dans le futur","✓"))))))))</f>
        <v/>
      </c>
      <c r="AS348" s="61">
        <f>IF(AND(A348="",C348="",E348=""),"",ROW())</f>
        <v/>
      </c>
      <c r="AT348" s="61">
        <f>IF(E348&amp;F348="","",MAX(IFERROR(INDEX('Paramètres'!$J$6:$J$33,MATCH(E348,'Paramètres'!$I$6:$I$33,0)),0),IFERROR(INDEX('Paramètres'!$N$6:$N$17,MATCH(F348,'Paramètres'!$M$6:$M$17,0)),0)))</f>
        <v/>
      </c>
      <c r="AU348" s="61">
        <f>IF(E348="","",IFERROR(IF(INDEX('Paramètres'!$K$6:$K$33,MATCH(E348,'Paramètres'!$I$6:$I$33,0))="Oui",1,0),0))</f>
        <v/>
      </c>
      <c r="AV348" s="61">
        <f>IF(F348="","",IFERROR(IF(INDEX('Paramètres'!$O$6:$O$17,MATCH(F348,'Paramètres'!$M$6:$M$17,0))="Oui",1,0),0))</f>
        <v/>
      </c>
      <c r="AW348" s="62">
        <f>IF(E348="","",IF(G348&lt;&gt;"",G348,IF(OR(E348="Proposition envoyée",E348="Signature"),MAX(0,N(IFERROR(INDEX('Paramètres'!$R$6:$R$15,MATCH(IF(AL348&lt;&gt;"",AL348,IFERROR(INDEX('Prospects'!$AN$5:$AN$504,MATCH(C348,'Prospects'!$C$5:$C$504,0)),"")),'Paramètres'!$Q$6:$Q$15,0)),0))-N(P348)),0)))</f>
        <v/>
      </c>
      <c r="AX348" s="61">
        <f>IF(C348="","",IF(COUNTIF($C$5:C348,C348)=1,MAX($AX$4:AX347)+1,""))</f>
        <v/>
      </c>
      <c r="AY348" s="61">
        <f>IF(B348="","",HOUR(B348))</f>
        <v/>
      </c>
      <c r="AZ348" s="61">
        <f>IF(A348="","",MOD(A348-2,7)+1)</f>
        <v/>
      </c>
      <c r="BA348" s="60">
        <f>IF(C348="","",IFERROR(INDEX('Prospects'!$N$5:$N$504,MATCH(C348,'Prospects'!$C$5:$C$504,0)),""))</f>
        <v/>
      </c>
      <c r="BB348" s="61">
        <f>IF(AND(C348&lt;&gt;"",C348='Fiche prospect'!$C$4),COUNTIF($C$5:C348,C348),"")</f>
        <v/>
      </c>
    </row>
    <row r="349">
      <c r="A349" s="53" t="n"/>
      <c r="B349" s="54" t="n"/>
      <c r="C349" s="55" t="n"/>
      <c r="D349" s="55" t="n"/>
      <c r="E349" s="55" t="n"/>
      <c r="F349" s="55" t="n"/>
      <c r="G349" s="56" t="n"/>
      <c r="H349" s="57" t="n"/>
      <c r="I349" s="55" t="n"/>
      <c r="J349" s="53" t="n"/>
      <c r="K349" s="54" t="n"/>
      <c r="L349" s="55" t="n"/>
      <c r="M349" s="55" t="n"/>
      <c r="N349" s="57" t="n"/>
      <c r="O349" s="55" t="n"/>
      <c r="P349" s="56" t="n"/>
      <c r="Q349" s="55" t="n"/>
      <c r="R349" s="55" t="n"/>
      <c r="S349" s="55" t="n"/>
      <c r="T349" s="55" t="n"/>
      <c r="U349" s="55" t="n"/>
      <c r="V349" s="55" t="n"/>
      <c r="W349" s="58" t="n"/>
      <c r="X349" s="58" t="n"/>
      <c r="Y349" s="55" t="n"/>
      <c r="Z349" s="55" t="n"/>
      <c r="AA349" s="55" t="n"/>
      <c r="AB349" s="55" t="n"/>
      <c r="AC349" s="55" t="n"/>
      <c r="AD349" s="53" t="n"/>
      <c r="AE349" s="55" t="n"/>
      <c r="AF349" s="55" t="n"/>
      <c r="AG349" s="59" t="n"/>
      <c r="AH349" s="57" t="n"/>
      <c r="AI349" s="55" t="n"/>
      <c r="AJ349" s="55" t="n"/>
      <c r="AK349" s="55" t="n"/>
      <c r="AL349" s="55" t="n"/>
      <c r="AM349" s="56" t="n"/>
      <c r="AN349" s="55" t="n"/>
      <c r="AO349" s="55" t="n"/>
      <c r="AP349" s="55" t="n"/>
      <c r="AQ349" s="55" t="n"/>
      <c r="AR349" s="60">
        <f>IF(AND(C349="",E349=""),"",IF(A349="","⚠ Date manquante",IF(AND(C349="",E349&lt;&gt;"Dépense"),"⚠ Prospect manquant",IF(E349="","⚠ Action manquante",IF(AND(AU349=1,D349=""),"⚠ Canal manquant",IF(AND(W349&lt;&gt;"",COUNTIFS('Saisie'!$W$5:$W$2004,W349,'Saisie'!$C$5:$C$2004,"&lt;&gt;"&amp;C349)&gt;0),"⚠ Numéro déjà utilisé par un autre prospect",IF(AND(J349&lt;&gt;"",J349&lt;A349),"⚠ Relance avant la date de l'action",IF(A349&gt;TODAY(),"⚠ Date dans le futur","✓"))))))))</f>
        <v/>
      </c>
      <c r="AS349" s="61">
        <f>IF(AND(A349="",C349="",E349=""),"",ROW())</f>
        <v/>
      </c>
      <c r="AT349" s="61">
        <f>IF(E349&amp;F349="","",MAX(IFERROR(INDEX('Paramètres'!$J$6:$J$33,MATCH(E349,'Paramètres'!$I$6:$I$33,0)),0),IFERROR(INDEX('Paramètres'!$N$6:$N$17,MATCH(F349,'Paramètres'!$M$6:$M$17,0)),0)))</f>
        <v/>
      </c>
      <c r="AU349" s="61">
        <f>IF(E349="","",IFERROR(IF(INDEX('Paramètres'!$K$6:$K$33,MATCH(E349,'Paramètres'!$I$6:$I$33,0))="Oui",1,0),0))</f>
        <v/>
      </c>
      <c r="AV349" s="61">
        <f>IF(F349="","",IFERROR(IF(INDEX('Paramètres'!$O$6:$O$17,MATCH(F349,'Paramètres'!$M$6:$M$17,0))="Oui",1,0),0))</f>
        <v/>
      </c>
      <c r="AW349" s="62">
        <f>IF(E349="","",IF(G349&lt;&gt;"",G349,IF(OR(E349="Proposition envoyée",E349="Signature"),MAX(0,N(IFERROR(INDEX('Paramètres'!$R$6:$R$15,MATCH(IF(AL349&lt;&gt;"",AL349,IFERROR(INDEX('Prospects'!$AN$5:$AN$504,MATCH(C349,'Prospects'!$C$5:$C$504,0)),"")),'Paramètres'!$Q$6:$Q$15,0)),0))-N(P349)),0)))</f>
        <v/>
      </c>
      <c r="AX349" s="61">
        <f>IF(C349="","",IF(COUNTIF($C$5:C349,C349)=1,MAX($AX$4:AX348)+1,""))</f>
        <v/>
      </c>
      <c r="AY349" s="61">
        <f>IF(B349="","",HOUR(B349))</f>
        <v/>
      </c>
      <c r="AZ349" s="61">
        <f>IF(A349="","",MOD(A349-2,7)+1)</f>
        <v/>
      </c>
      <c r="BA349" s="60">
        <f>IF(C349="","",IFERROR(INDEX('Prospects'!$N$5:$N$504,MATCH(C349,'Prospects'!$C$5:$C$504,0)),""))</f>
        <v/>
      </c>
      <c r="BB349" s="61">
        <f>IF(AND(C349&lt;&gt;"",C349='Fiche prospect'!$C$4),COUNTIF($C$5:C349,C349),"")</f>
        <v/>
      </c>
    </row>
    <row r="350">
      <c r="A350" s="53" t="n"/>
      <c r="B350" s="54" t="n"/>
      <c r="C350" s="55" t="n"/>
      <c r="D350" s="55" t="n"/>
      <c r="E350" s="55" t="n"/>
      <c r="F350" s="55" t="n"/>
      <c r="G350" s="56" t="n"/>
      <c r="H350" s="57" t="n"/>
      <c r="I350" s="55" t="n"/>
      <c r="J350" s="53" t="n"/>
      <c r="K350" s="54" t="n"/>
      <c r="L350" s="55" t="n"/>
      <c r="M350" s="55" t="n"/>
      <c r="N350" s="57" t="n"/>
      <c r="O350" s="55" t="n"/>
      <c r="P350" s="56" t="n"/>
      <c r="Q350" s="55" t="n"/>
      <c r="R350" s="55" t="n"/>
      <c r="S350" s="55" t="n"/>
      <c r="T350" s="55" t="n"/>
      <c r="U350" s="55" t="n"/>
      <c r="V350" s="55" t="n"/>
      <c r="W350" s="58" t="n"/>
      <c r="X350" s="58" t="n"/>
      <c r="Y350" s="55" t="n"/>
      <c r="Z350" s="55" t="n"/>
      <c r="AA350" s="55" t="n"/>
      <c r="AB350" s="55" t="n"/>
      <c r="AC350" s="55" t="n"/>
      <c r="AD350" s="53" t="n"/>
      <c r="AE350" s="55" t="n"/>
      <c r="AF350" s="55" t="n"/>
      <c r="AG350" s="59" t="n"/>
      <c r="AH350" s="57" t="n"/>
      <c r="AI350" s="55" t="n"/>
      <c r="AJ350" s="55" t="n"/>
      <c r="AK350" s="55" t="n"/>
      <c r="AL350" s="55" t="n"/>
      <c r="AM350" s="56" t="n"/>
      <c r="AN350" s="55" t="n"/>
      <c r="AO350" s="55" t="n"/>
      <c r="AP350" s="55" t="n"/>
      <c r="AQ350" s="55" t="n"/>
      <c r="AR350" s="60">
        <f>IF(AND(C350="",E350=""),"",IF(A350="","⚠ Date manquante",IF(AND(C350="",E350&lt;&gt;"Dépense"),"⚠ Prospect manquant",IF(E350="","⚠ Action manquante",IF(AND(AU350=1,D350=""),"⚠ Canal manquant",IF(AND(W350&lt;&gt;"",COUNTIFS('Saisie'!$W$5:$W$2004,W350,'Saisie'!$C$5:$C$2004,"&lt;&gt;"&amp;C350)&gt;0),"⚠ Numéro déjà utilisé par un autre prospect",IF(AND(J350&lt;&gt;"",J350&lt;A350),"⚠ Relance avant la date de l'action",IF(A350&gt;TODAY(),"⚠ Date dans le futur","✓"))))))))</f>
        <v/>
      </c>
      <c r="AS350" s="61">
        <f>IF(AND(A350="",C350="",E350=""),"",ROW())</f>
        <v/>
      </c>
      <c r="AT350" s="61">
        <f>IF(E350&amp;F350="","",MAX(IFERROR(INDEX('Paramètres'!$J$6:$J$33,MATCH(E350,'Paramètres'!$I$6:$I$33,0)),0),IFERROR(INDEX('Paramètres'!$N$6:$N$17,MATCH(F350,'Paramètres'!$M$6:$M$17,0)),0)))</f>
        <v/>
      </c>
      <c r="AU350" s="61">
        <f>IF(E350="","",IFERROR(IF(INDEX('Paramètres'!$K$6:$K$33,MATCH(E350,'Paramètres'!$I$6:$I$33,0))="Oui",1,0),0))</f>
        <v/>
      </c>
      <c r="AV350" s="61">
        <f>IF(F350="","",IFERROR(IF(INDEX('Paramètres'!$O$6:$O$17,MATCH(F350,'Paramètres'!$M$6:$M$17,0))="Oui",1,0),0))</f>
        <v/>
      </c>
      <c r="AW350" s="62">
        <f>IF(E350="","",IF(G350&lt;&gt;"",G350,IF(OR(E350="Proposition envoyée",E350="Signature"),MAX(0,N(IFERROR(INDEX('Paramètres'!$R$6:$R$15,MATCH(IF(AL350&lt;&gt;"",AL350,IFERROR(INDEX('Prospects'!$AN$5:$AN$504,MATCH(C350,'Prospects'!$C$5:$C$504,0)),"")),'Paramètres'!$Q$6:$Q$15,0)),0))-N(P350)),0)))</f>
        <v/>
      </c>
      <c r="AX350" s="61">
        <f>IF(C350="","",IF(COUNTIF($C$5:C350,C350)=1,MAX($AX$4:AX349)+1,""))</f>
        <v/>
      </c>
      <c r="AY350" s="61">
        <f>IF(B350="","",HOUR(B350))</f>
        <v/>
      </c>
      <c r="AZ350" s="61">
        <f>IF(A350="","",MOD(A350-2,7)+1)</f>
        <v/>
      </c>
      <c r="BA350" s="60">
        <f>IF(C350="","",IFERROR(INDEX('Prospects'!$N$5:$N$504,MATCH(C350,'Prospects'!$C$5:$C$504,0)),""))</f>
        <v/>
      </c>
      <c r="BB350" s="61">
        <f>IF(AND(C350&lt;&gt;"",C350='Fiche prospect'!$C$4),COUNTIF($C$5:C350,C350),"")</f>
        <v/>
      </c>
    </row>
    <row r="351">
      <c r="A351" s="53" t="n"/>
      <c r="B351" s="54" t="n"/>
      <c r="C351" s="55" t="n"/>
      <c r="D351" s="55" t="n"/>
      <c r="E351" s="55" t="n"/>
      <c r="F351" s="55" t="n"/>
      <c r="G351" s="56" t="n"/>
      <c r="H351" s="57" t="n"/>
      <c r="I351" s="55" t="n"/>
      <c r="J351" s="53" t="n"/>
      <c r="K351" s="54" t="n"/>
      <c r="L351" s="55" t="n"/>
      <c r="M351" s="55" t="n"/>
      <c r="N351" s="57" t="n"/>
      <c r="O351" s="55" t="n"/>
      <c r="P351" s="56" t="n"/>
      <c r="Q351" s="55" t="n"/>
      <c r="R351" s="55" t="n"/>
      <c r="S351" s="55" t="n"/>
      <c r="T351" s="55" t="n"/>
      <c r="U351" s="55" t="n"/>
      <c r="V351" s="55" t="n"/>
      <c r="W351" s="58" t="n"/>
      <c r="X351" s="58" t="n"/>
      <c r="Y351" s="55" t="n"/>
      <c r="Z351" s="55" t="n"/>
      <c r="AA351" s="55" t="n"/>
      <c r="AB351" s="55" t="n"/>
      <c r="AC351" s="55" t="n"/>
      <c r="AD351" s="53" t="n"/>
      <c r="AE351" s="55" t="n"/>
      <c r="AF351" s="55" t="n"/>
      <c r="AG351" s="59" t="n"/>
      <c r="AH351" s="57" t="n"/>
      <c r="AI351" s="55" t="n"/>
      <c r="AJ351" s="55" t="n"/>
      <c r="AK351" s="55" t="n"/>
      <c r="AL351" s="55" t="n"/>
      <c r="AM351" s="56" t="n"/>
      <c r="AN351" s="55" t="n"/>
      <c r="AO351" s="55" t="n"/>
      <c r="AP351" s="55" t="n"/>
      <c r="AQ351" s="55" t="n"/>
      <c r="AR351" s="60">
        <f>IF(AND(C351="",E351=""),"",IF(A351="","⚠ Date manquante",IF(AND(C351="",E351&lt;&gt;"Dépense"),"⚠ Prospect manquant",IF(E351="","⚠ Action manquante",IF(AND(AU351=1,D351=""),"⚠ Canal manquant",IF(AND(W351&lt;&gt;"",COUNTIFS('Saisie'!$W$5:$W$2004,W351,'Saisie'!$C$5:$C$2004,"&lt;&gt;"&amp;C351)&gt;0),"⚠ Numéro déjà utilisé par un autre prospect",IF(AND(J351&lt;&gt;"",J351&lt;A351),"⚠ Relance avant la date de l'action",IF(A351&gt;TODAY(),"⚠ Date dans le futur","✓"))))))))</f>
        <v/>
      </c>
      <c r="AS351" s="61">
        <f>IF(AND(A351="",C351="",E351=""),"",ROW())</f>
        <v/>
      </c>
      <c r="AT351" s="61">
        <f>IF(E351&amp;F351="","",MAX(IFERROR(INDEX('Paramètres'!$J$6:$J$33,MATCH(E351,'Paramètres'!$I$6:$I$33,0)),0),IFERROR(INDEX('Paramètres'!$N$6:$N$17,MATCH(F351,'Paramètres'!$M$6:$M$17,0)),0)))</f>
        <v/>
      </c>
      <c r="AU351" s="61">
        <f>IF(E351="","",IFERROR(IF(INDEX('Paramètres'!$K$6:$K$33,MATCH(E351,'Paramètres'!$I$6:$I$33,0))="Oui",1,0),0))</f>
        <v/>
      </c>
      <c r="AV351" s="61">
        <f>IF(F351="","",IFERROR(IF(INDEX('Paramètres'!$O$6:$O$17,MATCH(F351,'Paramètres'!$M$6:$M$17,0))="Oui",1,0),0))</f>
        <v/>
      </c>
      <c r="AW351" s="62">
        <f>IF(E351="","",IF(G351&lt;&gt;"",G351,IF(OR(E351="Proposition envoyée",E351="Signature"),MAX(0,N(IFERROR(INDEX('Paramètres'!$R$6:$R$15,MATCH(IF(AL351&lt;&gt;"",AL351,IFERROR(INDEX('Prospects'!$AN$5:$AN$504,MATCH(C351,'Prospects'!$C$5:$C$504,0)),"")),'Paramètres'!$Q$6:$Q$15,0)),0))-N(P351)),0)))</f>
        <v/>
      </c>
      <c r="AX351" s="61">
        <f>IF(C351="","",IF(COUNTIF($C$5:C351,C351)=1,MAX($AX$4:AX350)+1,""))</f>
        <v/>
      </c>
      <c r="AY351" s="61">
        <f>IF(B351="","",HOUR(B351))</f>
        <v/>
      </c>
      <c r="AZ351" s="61">
        <f>IF(A351="","",MOD(A351-2,7)+1)</f>
        <v/>
      </c>
      <c r="BA351" s="60">
        <f>IF(C351="","",IFERROR(INDEX('Prospects'!$N$5:$N$504,MATCH(C351,'Prospects'!$C$5:$C$504,0)),""))</f>
        <v/>
      </c>
      <c r="BB351" s="61">
        <f>IF(AND(C351&lt;&gt;"",C351='Fiche prospect'!$C$4),COUNTIF($C$5:C351,C351),"")</f>
        <v/>
      </c>
    </row>
    <row r="352">
      <c r="A352" s="53" t="n"/>
      <c r="B352" s="54" t="n"/>
      <c r="C352" s="55" t="n"/>
      <c r="D352" s="55" t="n"/>
      <c r="E352" s="55" t="n"/>
      <c r="F352" s="55" t="n"/>
      <c r="G352" s="56" t="n"/>
      <c r="H352" s="57" t="n"/>
      <c r="I352" s="55" t="n"/>
      <c r="J352" s="53" t="n"/>
      <c r="K352" s="54" t="n"/>
      <c r="L352" s="55" t="n"/>
      <c r="M352" s="55" t="n"/>
      <c r="N352" s="57" t="n"/>
      <c r="O352" s="55" t="n"/>
      <c r="P352" s="56" t="n"/>
      <c r="Q352" s="55" t="n"/>
      <c r="R352" s="55" t="n"/>
      <c r="S352" s="55" t="n"/>
      <c r="T352" s="55" t="n"/>
      <c r="U352" s="55" t="n"/>
      <c r="V352" s="55" t="n"/>
      <c r="W352" s="58" t="n"/>
      <c r="X352" s="58" t="n"/>
      <c r="Y352" s="55" t="n"/>
      <c r="Z352" s="55" t="n"/>
      <c r="AA352" s="55" t="n"/>
      <c r="AB352" s="55" t="n"/>
      <c r="AC352" s="55" t="n"/>
      <c r="AD352" s="53" t="n"/>
      <c r="AE352" s="55" t="n"/>
      <c r="AF352" s="55" t="n"/>
      <c r="AG352" s="59" t="n"/>
      <c r="AH352" s="57" t="n"/>
      <c r="AI352" s="55" t="n"/>
      <c r="AJ352" s="55" t="n"/>
      <c r="AK352" s="55" t="n"/>
      <c r="AL352" s="55" t="n"/>
      <c r="AM352" s="56" t="n"/>
      <c r="AN352" s="55" t="n"/>
      <c r="AO352" s="55" t="n"/>
      <c r="AP352" s="55" t="n"/>
      <c r="AQ352" s="55" t="n"/>
      <c r="AR352" s="60">
        <f>IF(AND(C352="",E352=""),"",IF(A352="","⚠ Date manquante",IF(AND(C352="",E352&lt;&gt;"Dépense"),"⚠ Prospect manquant",IF(E352="","⚠ Action manquante",IF(AND(AU352=1,D352=""),"⚠ Canal manquant",IF(AND(W352&lt;&gt;"",COUNTIFS('Saisie'!$W$5:$W$2004,W352,'Saisie'!$C$5:$C$2004,"&lt;&gt;"&amp;C352)&gt;0),"⚠ Numéro déjà utilisé par un autre prospect",IF(AND(J352&lt;&gt;"",J352&lt;A352),"⚠ Relance avant la date de l'action",IF(A352&gt;TODAY(),"⚠ Date dans le futur","✓"))))))))</f>
        <v/>
      </c>
      <c r="AS352" s="61">
        <f>IF(AND(A352="",C352="",E352=""),"",ROW())</f>
        <v/>
      </c>
      <c r="AT352" s="61">
        <f>IF(E352&amp;F352="","",MAX(IFERROR(INDEX('Paramètres'!$J$6:$J$33,MATCH(E352,'Paramètres'!$I$6:$I$33,0)),0),IFERROR(INDEX('Paramètres'!$N$6:$N$17,MATCH(F352,'Paramètres'!$M$6:$M$17,0)),0)))</f>
        <v/>
      </c>
      <c r="AU352" s="61">
        <f>IF(E352="","",IFERROR(IF(INDEX('Paramètres'!$K$6:$K$33,MATCH(E352,'Paramètres'!$I$6:$I$33,0))="Oui",1,0),0))</f>
        <v/>
      </c>
      <c r="AV352" s="61">
        <f>IF(F352="","",IFERROR(IF(INDEX('Paramètres'!$O$6:$O$17,MATCH(F352,'Paramètres'!$M$6:$M$17,0))="Oui",1,0),0))</f>
        <v/>
      </c>
      <c r="AW352" s="62">
        <f>IF(E352="","",IF(G352&lt;&gt;"",G352,IF(OR(E352="Proposition envoyée",E352="Signature"),MAX(0,N(IFERROR(INDEX('Paramètres'!$R$6:$R$15,MATCH(IF(AL352&lt;&gt;"",AL352,IFERROR(INDEX('Prospects'!$AN$5:$AN$504,MATCH(C352,'Prospects'!$C$5:$C$504,0)),"")),'Paramètres'!$Q$6:$Q$15,0)),0))-N(P352)),0)))</f>
        <v/>
      </c>
      <c r="AX352" s="61">
        <f>IF(C352="","",IF(COUNTIF($C$5:C352,C352)=1,MAX($AX$4:AX351)+1,""))</f>
        <v/>
      </c>
      <c r="AY352" s="61">
        <f>IF(B352="","",HOUR(B352))</f>
        <v/>
      </c>
      <c r="AZ352" s="61">
        <f>IF(A352="","",MOD(A352-2,7)+1)</f>
        <v/>
      </c>
      <c r="BA352" s="60">
        <f>IF(C352="","",IFERROR(INDEX('Prospects'!$N$5:$N$504,MATCH(C352,'Prospects'!$C$5:$C$504,0)),""))</f>
        <v/>
      </c>
      <c r="BB352" s="61">
        <f>IF(AND(C352&lt;&gt;"",C352='Fiche prospect'!$C$4),COUNTIF($C$5:C352,C352),"")</f>
        <v/>
      </c>
    </row>
    <row r="353">
      <c r="A353" s="53" t="n"/>
      <c r="B353" s="54" t="n"/>
      <c r="C353" s="55" t="n"/>
      <c r="D353" s="55" t="n"/>
      <c r="E353" s="55" t="n"/>
      <c r="F353" s="55" t="n"/>
      <c r="G353" s="56" t="n"/>
      <c r="H353" s="57" t="n"/>
      <c r="I353" s="55" t="n"/>
      <c r="J353" s="53" t="n"/>
      <c r="K353" s="54" t="n"/>
      <c r="L353" s="55" t="n"/>
      <c r="M353" s="55" t="n"/>
      <c r="N353" s="57" t="n"/>
      <c r="O353" s="55" t="n"/>
      <c r="P353" s="56" t="n"/>
      <c r="Q353" s="55" t="n"/>
      <c r="R353" s="55" t="n"/>
      <c r="S353" s="55" t="n"/>
      <c r="T353" s="55" t="n"/>
      <c r="U353" s="55" t="n"/>
      <c r="V353" s="55" t="n"/>
      <c r="W353" s="58" t="n"/>
      <c r="X353" s="58" t="n"/>
      <c r="Y353" s="55" t="n"/>
      <c r="Z353" s="55" t="n"/>
      <c r="AA353" s="55" t="n"/>
      <c r="AB353" s="55" t="n"/>
      <c r="AC353" s="55" t="n"/>
      <c r="AD353" s="53" t="n"/>
      <c r="AE353" s="55" t="n"/>
      <c r="AF353" s="55" t="n"/>
      <c r="AG353" s="59" t="n"/>
      <c r="AH353" s="57" t="n"/>
      <c r="AI353" s="55" t="n"/>
      <c r="AJ353" s="55" t="n"/>
      <c r="AK353" s="55" t="n"/>
      <c r="AL353" s="55" t="n"/>
      <c r="AM353" s="56" t="n"/>
      <c r="AN353" s="55" t="n"/>
      <c r="AO353" s="55" t="n"/>
      <c r="AP353" s="55" t="n"/>
      <c r="AQ353" s="55" t="n"/>
      <c r="AR353" s="60">
        <f>IF(AND(C353="",E353=""),"",IF(A353="","⚠ Date manquante",IF(AND(C353="",E353&lt;&gt;"Dépense"),"⚠ Prospect manquant",IF(E353="","⚠ Action manquante",IF(AND(AU353=1,D353=""),"⚠ Canal manquant",IF(AND(W353&lt;&gt;"",COUNTIFS('Saisie'!$W$5:$W$2004,W353,'Saisie'!$C$5:$C$2004,"&lt;&gt;"&amp;C353)&gt;0),"⚠ Numéro déjà utilisé par un autre prospect",IF(AND(J353&lt;&gt;"",J353&lt;A353),"⚠ Relance avant la date de l'action",IF(A353&gt;TODAY(),"⚠ Date dans le futur","✓"))))))))</f>
        <v/>
      </c>
      <c r="AS353" s="61">
        <f>IF(AND(A353="",C353="",E353=""),"",ROW())</f>
        <v/>
      </c>
      <c r="AT353" s="61">
        <f>IF(E353&amp;F353="","",MAX(IFERROR(INDEX('Paramètres'!$J$6:$J$33,MATCH(E353,'Paramètres'!$I$6:$I$33,0)),0),IFERROR(INDEX('Paramètres'!$N$6:$N$17,MATCH(F353,'Paramètres'!$M$6:$M$17,0)),0)))</f>
        <v/>
      </c>
      <c r="AU353" s="61">
        <f>IF(E353="","",IFERROR(IF(INDEX('Paramètres'!$K$6:$K$33,MATCH(E353,'Paramètres'!$I$6:$I$33,0))="Oui",1,0),0))</f>
        <v/>
      </c>
      <c r="AV353" s="61">
        <f>IF(F353="","",IFERROR(IF(INDEX('Paramètres'!$O$6:$O$17,MATCH(F353,'Paramètres'!$M$6:$M$17,0))="Oui",1,0),0))</f>
        <v/>
      </c>
      <c r="AW353" s="62">
        <f>IF(E353="","",IF(G353&lt;&gt;"",G353,IF(OR(E353="Proposition envoyée",E353="Signature"),MAX(0,N(IFERROR(INDEX('Paramètres'!$R$6:$R$15,MATCH(IF(AL353&lt;&gt;"",AL353,IFERROR(INDEX('Prospects'!$AN$5:$AN$504,MATCH(C353,'Prospects'!$C$5:$C$504,0)),"")),'Paramètres'!$Q$6:$Q$15,0)),0))-N(P353)),0)))</f>
        <v/>
      </c>
      <c r="AX353" s="61">
        <f>IF(C353="","",IF(COUNTIF($C$5:C353,C353)=1,MAX($AX$4:AX352)+1,""))</f>
        <v/>
      </c>
      <c r="AY353" s="61">
        <f>IF(B353="","",HOUR(B353))</f>
        <v/>
      </c>
      <c r="AZ353" s="61">
        <f>IF(A353="","",MOD(A353-2,7)+1)</f>
        <v/>
      </c>
      <c r="BA353" s="60">
        <f>IF(C353="","",IFERROR(INDEX('Prospects'!$N$5:$N$504,MATCH(C353,'Prospects'!$C$5:$C$504,0)),""))</f>
        <v/>
      </c>
      <c r="BB353" s="61">
        <f>IF(AND(C353&lt;&gt;"",C353='Fiche prospect'!$C$4),COUNTIF($C$5:C353,C353),"")</f>
        <v/>
      </c>
    </row>
    <row r="354">
      <c r="A354" s="53" t="n"/>
      <c r="B354" s="54" t="n"/>
      <c r="C354" s="55" t="n"/>
      <c r="D354" s="55" t="n"/>
      <c r="E354" s="55" t="n"/>
      <c r="F354" s="55" t="n"/>
      <c r="G354" s="56" t="n"/>
      <c r="H354" s="57" t="n"/>
      <c r="I354" s="55" t="n"/>
      <c r="J354" s="53" t="n"/>
      <c r="K354" s="54" t="n"/>
      <c r="L354" s="55" t="n"/>
      <c r="M354" s="55" t="n"/>
      <c r="N354" s="57" t="n"/>
      <c r="O354" s="55" t="n"/>
      <c r="P354" s="56" t="n"/>
      <c r="Q354" s="55" t="n"/>
      <c r="R354" s="55" t="n"/>
      <c r="S354" s="55" t="n"/>
      <c r="T354" s="55" t="n"/>
      <c r="U354" s="55" t="n"/>
      <c r="V354" s="55" t="n"/>
      <c r="W354" s="58" t="n"/>
      <c r="X354" s="58" t="n"/>
      <c r="Y354" s="55" t="n"/>
      <c r="Z354" s="55" t="n"/>
      <c r="AA354" s="55" t="n"/>
      <c r="AB354" s="55" t="n"/>
      <c r="AC354" s="55" t="n"/>
      <c r="AD354" s="53" t="n"/>
      <c r="AE354" s="55" t="n"/>
      <c r="AF354" s="55" t="n"/>
      <c r="AG354" s="59" t="n"/>
      <c r="AH354" s="57" t="n"/>
      <c r="AI354" s="55" t="n"/>
      <c r="AJ354" s="55" t="n"/>
      <c r="AK354" s="55" t="n"/>
      <c r="AL354" s="55" t="n"/>
      <c r="AM354" s="56" t="n"/>
      <c r="AN354" s="55" t="n"/>
      <c r="AO354" s="55" t="n"/>
      <c r="AP354" s="55" t="n"/>
      <c r="AQ354" s="55" t="n"/>
      <c r="AR354" s="60">
        <f>IF(AND(C354="",E354=""),"",IF(A354="","⚠ Date manquante",IF(AND(C354="",E354&lt;&gt;"Dépense"),"⚠ Prospect manquant",IF(E354="","⚠ Action manquante",IF(AND(AU354=1,D354=""),"⚠ Canal manquant",IF(AND(W354&lt;&gt;"",COUNTIFS('Saisie'!$W$5:$W$2004,W354,'Saisie'!$C$5:$C$2004,"&lt;&gt;"&amp;C354)&gt;0),"⚠ Numéro déjà utilisé par un autre prospect",IF(AND(J354&lt;&gt;"",J354&lt;A354),"⚠ Relance avant la date de l'action",IF(A354&gt;TODAY(),"⚠ Date dans le futur","✓"))))))))</f>
        <v/>
      </c>
      <c r="AS354" s="61">
        <f>IF(AND(A354="",C354="",E354=""),"",ROW())</f>
        <v/>
      </c>
      <c r="AT354" s="61">
        <f>IF(E354&amp;F354="","",MAX(IFERROR(INDEX('Paramètres'!$J$6:$J$33,MATCH(E354,'Paramètres'!$I$6:$I$33,0)),0),IFERROR(INDEX('Paramètres'!$N$6:$N$17,MATCH(F354,'Paramètres'!$M$6:$M$17,0)),0)))</f>
        <v/>
      </c>
      <c r="AU354" s="61">
        <f>IF(E354="","",IFERROR(IF(INDEX('Paramètres'!$K$6:$K$33,MATCH(E354,'Paramètres'!$I$6:$I$33,0))="Oui",1,0),0))</f>
        <v/>
      </c>
      <c r="AV354" s="61">
        <f>IF(F354="","",IFERROR(IF(INDEX('Paramètres'!$O$6:$O$17,MATCH(F354,'Paramètres'!$M$6:$M$17,0))="Oui",1,0),0))</f>
        <v/>
      </c>
      <c r="AW354" s="62">
        <f>IF(E354="","",IF(G354&lt;&gt;"",G354,IF(OR(E354="Proposition envoyée",E354="Signature"),MAX(0,N(IFERROR(INDEX('Paramètres'!$R$6:$R$15,MATCH(IF(AL354&lt;&gt;"",AL354,IFERROR(INDEX('Prospects'!$AN$5:$AN$504,MATCH(C354,'Prospects'!$C$5:$C$504,0)),"")),'Paramètres'!$Q$6:$Q$15,0)),0))-N(P354)),0)))</f>
        <v/>
      </c>
      <c r="AX354" s="61">
        <f>IF(C354="","",IF(COUNTIF($C$5:C354,C354)=1,MAX($AX$4:AX353)+1,""))</f>
        <v/>
      </c>
      <c r="AY354" s="61">
        <f>IF(B354="","",HOUR(B354))</f>
        <v/>
      </c>
      <c r="AZ354" s="61">
        <f>IF(A354="","",MOD(A354-2,7)+1)</f>
        <v/>
      </c>
      <c r="BA354" s="60">
        <f>IF(C354="","",IFERROR(INDEX('Prospects'!$N$5:$N$504,MATCH(C354,'Prospects'!$C$5:$C$504,0)),""))</f>
        <v/>
      </c>
      <c r="BB354" s="61">
        <f>IF(AND(C354&lt;&gt;"",C354='Fiche prospect'!$C$4),COUNTIF($C$5:C354,C354),"")</f>
        <v/>
      </c>
    </row>
    <row r="355">
      <c r="A355" s="53" t="n"/>
      <c r="B355" s="54" t="n"/>
      <c r="C355" s="55" t="n"/>
      <c r="D355" s="55" t="n"/>
      <c r="E355" s="55" t="n"/>
      <c r="F355" s="55" t="n"/>
      <c r="G355" s="56" t="n"/>
      <c r="H355" s="57" t="n"/>
      <c r="I355" s="55" t="n"/>
      <c r="J355" s="53" t="n"/>
      <c r="K355" s="54" t="n"/>
      <c r="L355" s="55" t="n"/>
      <c r="M355" s="55" t="n"/>
      <c r="N355" s="57" t="n"/>
      <c r="O355" s="55" t="n"/>
      <c r="P355" s="56" t="n"/>
      <c r="Q355" s="55" t="n"/>
      <c r="R355" s="55" t="n"/>
      <c r="S355" s="55" t="n"/>
      <c r="T355" s="55" t="n"/>
      <c r="U355" s="55" t="n"/>
      <c r="V355" s="55" t="n"/>
      <c r="W355" s="58" t="n"/>
      <c r="X355" s="58" t="n"/>
      <c r="Y355" s="55" t="n"/>
      <c r="Z355" s="55" t="n"/>
      <c r="AA355" s="55" t="n"/>
      <c r="AB355" s="55" t="n"/>
      <c r="AC355" s="55" t="n"/>
      <c r="AD355" s="53" t="n"/>
      <c r="AE355" s="55" t="n"/>
      <c r="AF355" s="55" t="n"/>
      <c r="AG355" s="59" t="n"/>
      <c r="AH355" s="57" t="n"/>
      <c r="AI355" s="55" t="n"/>
      <c r="AJ355" s="55" t="n"/>
      <c r="AK355" s="55" t="n"/>
      <c r="AL355" s="55" t="n"/>
      <c r="AM355" s="56" t="n"/>
      <c r="AN355" s="55" t="n"/>
      <c r="AO355" s="55" t="n"/>
      <c r="AP355" s="55" t="n"/>
      <c r="AQ355" s="55" t="n"/>
      <c r="AR355" s="60">
        <f>IF(AND(C355="",E355=""),"",IF(A355="","⚠ Date manquante",IF(AND(C355="",E355&lt;&gt;"Dépense"),"⚠ Prospect manquant",IF(E355="","⚠ Action manquante",IF(AND(AU355=1,D355=""),"⚠ Canal manquant",IF(AND(W355&lt;&gt;"",COUNTIFS('Saisie'!$W$5:$W$2004,W355,'Saisie'!$C$5:$C$2004,"&lt;&gt;"&amp;C355)&gt;0),"⚠ Numéro déjà utilisé par un autre prospect",IF(AND(J355&lt;&gt;"",J355&lt;A355),"⚠ Relance avant la date de l'action",IF(A355&gt;TODAY(),"⚠ Date dans le futur","✓"))))))))</f>
        <v/>
      </c>
      <c r="AS355" s="61">
        <f>IF(AND(A355="",C355="",E355=""),"",ROW())</f>
        <v/>
      </c>
      <c r="AT355" s="61">
        <f>IF(E355&amp;F355="","",MAX(IFERROR(INDEX('Paramètres'!$J$6:$J$33,MATCH(E355,'Paramètres'!$I$6:$I$33,0)),0),IFERROR(INDEX('Paramètres'!$N$6:$N$17,MATCH(F355,'Paramètres'!$M$6:$M$17,0)),0)))</f>
        <v/>
      </c>
      <c r="AU355" s="61">
        <f>IF(E355="","",IFERROR(IF(INDEX('Paramètres'!$K$6:$K$33,MATCH(E355,'Paramètres'!$I$6:$I$33,0))="Oui",1,0),0))</f>
        <v/>
      </c>
      <c r="AV355" s="61">
        <f>IF(F355="","",IFERROR(IF(INDEX('Paramètres'!$O$6:$O$17,MATCH(F355,'Paramètres'!$M$6:$M$17,0))="Oui",1,0),0))</f>
        <v/>
      </c>
      <c r="AW355" s="62">
        <f>IF(E355="","",IF(G355&lt;&gt;"",G355,IF(OR(E355="Proposition envoyée",E355="Signature"),MAX(0,N(IFERROR(INDEX('Paramètres'!$R$6:$R$15,MATCH(IF(AL355&lt;&gt;"",AL355,IFERROR(INDEX('Prospects'!$AN$5:$AN$504,MATCH(C355,'Prospects'!$C$5:$C$504,0)),"")),'Paramètres'!$Q$6:$Q$15,0)),0))-N(P355)),0)))</f>
        <v/>
      </c>
      <c r="AX355" s="61">
        <f>IF(C355="","",IF(COUNTIF($C$5:C355,C355)=1,MAX($AX$4:AX354)+1,""))</f>
        <v/>
      </c>
      <c r="AY355" s="61">
        <f>IF(B355="","",HOUR(B355))</f>
        <v/>
      </c>
      <c r="AZ355" s="61">
        <f>IF(A355="","",MOD(A355-2,7)+1)</f>
        <v/>
      </c>
      <c r="BA355" s="60">
        <f>IF(C355="","",IFERROR(INDEX('Prospects'!$N$5:$N$504,MATCH(C355,'Prospects'!$C$5:$C$504,0)),""))</f>
        <v/>
      </c>
      <c r="BB355" s="61">
        <f>IF(AND(C355&lt;&gt;"",C355='Fiche prospect'!$C$4),COUNTIF($C$5:C355,C355),"")</f>
        <v/>
      </c>
    </row>
    <row r="356">
      <c r="A356" s="53" t="n"/>
      <c r="B356" s="54" t="n"/>
      <c r="C356" s="55" t="n"/>
      <c r="D356" s="55" t="n"/>
      <c r="E356" s="55" t="n"/>
      <c r="F356" s="55" t="n"/>
      <c r="G356" s="56" t="n"/>
      <c r="H356" s="57" t="n"/>
      <c r="I356" s="55" t="n"/>
      <c r="J356" s="53" t="n"/>
      <c r="K356" s="54" t="n"/>
      <c r="L356" s="55" t="n"/>
      <c r="M356" s="55" t="n"/>
      <c r="N356" s="57" t="n"/>
      <c r="O356" s="55" t="n"/>
      <c r="P356" s="56" t="n"/>
      <c r="Q356" s="55" t="n"/>
      <c r="R356" s="55" t="n"/>
      <c r="S356" s="55" t="n"/>
      <c r="T356" s="55" t="n"/>
      <c r="U356" s="55" t="n"/>
      <c r="V356" s="55" t="n"/>
      <c r="W356" s="58" t="n"/>
      <c r="X356" s="58" t="n"/>
      <c r="Y356" s="55" t="n"/>
      <c r="Z356" s="55" t="n"/>
      <c r="AA356" s="55" t="n"/>
      <c r="AB356" s="55" t="n"/>
      <c r="AC356" s="55" t="n"/>
      <c r="AD356" s="53" t="n"/>
      <c r="AE356" s="55" t="n"/>
      <c r="AF356" s="55" t="n"/>
      <c r="AG356" s="59" t="n"/>
      <c r="AH356" s="57" t="n"/>
      <c r="AI356" s="55" t="n"/>
      <c r="AJ356" s="55" t="n"/>
      <c r="AK356" s="55" t="n"/>
      <c r="AL356" s="55" t="n"/>
      <c r="AM356" s="56" t="n"/>
      <c r="AN356" s="55" t="n"/>
      <c r="AO356" s="55" t="n"/>
      <c r="AP356" s="55" t="n"/>
      <c r="AQ356" s="55" t="n"/>
      <c r="AR356" s="60">
        <f>IF(AND(C356="",E356=""),"",IF(A356="","⚠ Date manquante",IF(AND(C356="",E356&lt;&gt;"Dépense"),"⚠ Prospect manquant",IF(E356="","⚠ Action manquante",IF(AND(AU356=1,D356=""),"⚠ Canal manquant",IF(AND(W356&lt;&gt;"",COUNTIFS('Saisie'!$W$5:$W$2004,W356,'Saisie'!$C$5:$C$2004,"&lt;&gt;"&amp;C356)&gt;0),"⚠ Numéro déjà utilisé par un autre prospect",IF(AND(J356&lt;&gt;"",J356&lt;A356),"⚠ Relance avant la date de l'action",IF(A356&gt;TODAY(),"⚠ Date dans le futur","✓"))))))))</f>
        <v/>
      </c>
      <c r="AS356" s="61">
        <f>IF(AND(A356="",C356="",E356=""),"",ROW())</f>
        <v/>
      </c>
      <c r="AT356" s="61">
        <f>IF(E356&amp;F356="","",MAX(IFERROR(INDEX('Paramètres'!$J$6:$J$33,MATCH(E356,'Paramètres'!$I$6:$I$33,0)),0),IFERROR(INDEX('Paramètres'!$N$6:$N$17,MATCH(F356,'Paramètres'!$M$6:$M$17,0)),0)))</f>
        <v/>
      </c>
      <c r="AU356" s="61">
        <f>IF(E356="","",IFERROR(IF(INDEX('Paramètres'!$K$6:$K$33,MATCH(E356,'Paramètres'!$I$6:$I$33,0))="Oui",1,0),0))</f>
        <v/>
      </c>
      <c r="AV356" s="61">
        <f>IF(F356="","",IFERROR(IF(INDEX('Paramètres'!$O$6:$O$17,MATCH(F356,'Paramètres'!$M$6:$M$17,0))="Oui",1,0),0))</f>
        <v/>
      </c>
      <c r="AW356" s="62">
        <f>IF(E356="","",IF(G356&lt;&gt;"",G356,IF(OR(E356="Proposition envoyée",E356="Signature"),MAX(0,N(IFERROR(INDEX('Paramètres'!$R$6:$R$15,MATCH(IF(AL356&lt;&gt;"",AL356,IFERROR(INDEX('Prospects'!$AN$5:$AN$504,MATCH(C356,'Prospects'!$C$5:$C$504,0)),"")),'Paramètres'!$Q$6:$Q$15,0)),0))-N(P356)),0)))</f>
        <v/>
      </c>
      <c r="AX356" s="61">
        <f>IF(C356="","",IF(COUNTIF($C$5:C356,C356)=1,MAX($AX$4:AX355)+1,""))</f>
        <v/>
      </c>
      <c r="AY356" s="61">
        <f>IF(B356="","",HOUR(B356))</f>
        <v/>
      </c>
      <c r="AZ356" s="61">
        <f>IF(A356="","",MOD(A356-2,7)+1)</f>
        <v/>
      </c>
      <c r="BA356" s="60">
        <f>IF(C356="","",IFERROR(INDEX('Prospects'!$N$5:$N$504,MATCH(C356,'Prospects'!$C$5:$C$504,0)),""))</f>
        <v/>
      </c>
      <c r="BB356" s="61">
        <f>IF(AND(C356&lt;&gt;"",C356='Fiche prospect'!$C$4),COUNTIF($C$5:C356,C356),"")</f>
        <v/>
      </c>
    </row>
    <row r="357">
      <c r="A357" s="53" t="n"/>
      <c r="B357" s="54" t="n"/>
      <c r="C357" s="55" t="n"/>
      <c r="D357" s="55" t="n"/>
      <c r="E357" s="55" t="n"/>
      <c r="F357" s="55" t="n"/>
      <c r="G357" s="56" t="n"/>
      <c r="H357" s="57" t="n"/>
      <c r="I357" s="55" t="n"/>
      <c r="J357" s="53" t="n"/>
      <c r="K357" s="54" t="n"/>
      <c r="L357" s="55" t="n"/>
      <c r="M357" s="55" t="n"/>
      <c r="N357" s="57" t="n"/>
      <c r="O357" s="55" t="n"/>
      <c r="P357" s="56" t="n"/>
      <c r="Q357" s="55" t="n"/>
      <c r="R357" s="55" t="n"/>
      <c r="S357" s="55" t="n"/>
      <c r="T357" s="55" t="n"/>
      <c r="U357" s="55" t="n"/>
      <c r="V357" s="55" t="n"/>
      <c r="W357" s="58" t="n"/>
      <c r="X357" s="58" t="n"/>
      <c r="Y357" s="55" t="n"/>
      <c r="Z357" s="55" t="n"/>
      <c r="AA357" s="55" t="n"/>
      <c r="AB357" s="55" t="n"/>
      <c r="AC357" s="55" t="n"/>
      <c r="AD357" s="53" t="n"/>
      <c r="AE357" s="55" t="n"/>
      <c r="AF357" s="55" t="n"/>
      <c r="AG357" s="59" t="n"/>
      <c r="AH357" s="57" t="n"/>
      <c r="AI357" s="55" t="n"/>
      <c r="AJ357" s="55" t="n"/>
      <c r="AK357" s="55" t="n"/>
      <c r="AL357" s="55" t="n"/>
      <c r="AM357" s="56" t="n"/>
      <c r="AN357" s="55" t="n"/>
      <c r="AO357" s="55" t="n"/>
      <c r="AP357" s="55" t="n"/>
      <c r="AQ357" s="55" t="n"/>
      <c r="AR357" s="60">
        <f>IF(AND(C357="",E357=""),"",IF(A357="","⚠ Date manquante",IF(AND(C357="",E357&lt;&gt;"Dépense"),"⚠ Prospect manquant",IF(E357="","⚠ Action manquante",IF(AND(AU357=1,D357=""),"⚠ Canal manquant",IF(AND(W357&lt;&gt;"",COUNTIFS('Saisie'!$W$5:$W$2004,W357,'Saisie'!$C$5:$C$2004,"&lt;&gt;"&amp;C357)&gt;0),"⚠ Numéro déjà utilisé par un autre prospect",IF(AND(J357&lt;&gt;"",J357&lt;A357),"⚠ Relance avant la date de l'action",IF(A357&gt;TODAY(),"⚠ Date dans le futur","✓"))))))))</f>
        <v/>
      </c>
      <c r="AS357" s="61">
        <f>IF(AND(A357="",C357="",E357=""),"",ROW())</f>
        <v/>
      </c>
      <c r="AT357" s="61">
        <f>IF(E357&amp;F357="","",MAX(IFERROR(INDEX('Paramètres'!$J$6:$J$33,MATCH(E357,'Paramètres'!$I$6:$I$33,0)),0),IFERROR(INDEX('Paramètres'!$N$6:$N$17,MATCH(F357,'Paramètres'!$M$6:$M$17,0)),0)))</f>
        <v/>
      </c>
      <c r="AU357" s="61">
        <f>IF(E357="","",IFERROR(IF(INDEX('Paramètres'!$K$6:$K$33,MATCH(E357,'Paramètres'!$I$6:$I$33,0))="Oui",1,0),0))</f>
        <v/>
      </c>
      <c r="AV357" s="61">
        <f>IF(F357="","",IFERROR(IF(INDEX('Paramètres'!$O$6:$O$17,MATCH(F357,'Paramètres'!$M$6:$M$17,0))="Oui",1,0),0))</f>
        <v/>
      </c>
      <c r="AW357" s="62">
        <f>IF(E357="","",IF(G357&lt;&gt;"",G357,IF(OR(E357="Proposition envoyée",E357="Signature"),MAX(0,N(IFERROR(INDEX('Paramètres'!$R$6:$R$15,MATCH(IF(AL357&lt;&gt;"",AL357,IFERROR(INDEX('Prospects'!$AN$5:$AN$504,MATCH(C357,'Prospects'!$C$5:$C$504,0)),"")),'Paramètres'!$Q$6:$Q$15,0)),0))-N(P357)),0)))</f>
        <v/>
      </c>
      <c r="AX357" s="61">
        <f>IF(C357="","",IF(COUNTIF($C$5:C357,C357)=1,MAX($AX$4:AX356)+1,""))</f>
        <v/>
      </c>
      <c r="AY357" s="61">
        <f>IF(B357="","",HOUR(B357))</f>
        <v/>
      </c>
      <c r="AZ357" s="61">
        <f>IF(A357="","",MOD(A357-2,7)+1)</f>
        <v/>
      </c>
      <c r="BA357" s="60">
        <f>IF(C357="","",IFERROR(INDEX('Prospects'!$N$5:$N$504,MATCH(C357,'Prospects'!$C$5:$C$504,0)),""))</f>
        <v/>
      </c>
      <c r="BB357" s="61">
        <f>IF(AND(C357&lt;&gt;"",C357='Fiche prospect'!$C$4),COUNTIF($C$5:C357,C357),"")</f>
        <v/>
      </c>
    </row>
    <row r="358">
      <c r="A358" s="53" t="n"/>
      <c r="B358" s="54" t="n"/>
      <c r="C358" s="55" t="n"/>
      <c r="D358" s="55" t="n"/>
      <c r="E358" s="55" t="n"/>
      <c r="F358" s="55" t="n"/>
      <c r="G358" s="56" t="n"/>
      <c r="H358" s="57" t="n"/>
      <c r="I358" s="55" t="n"/>
      <c r="J358" s="53" t="n"/>
      <c r="K358" s="54" t="n"/>
      <c r="L358" s="55" t="n"/>
      <c r="M358" s="55" t="n"/>
      <c r="N358" s="57" t="n"/>
      <c r="O358" s="55" t="n"/>
      <c r="P358" s="56" t="n"/>
      <c r="Q358" s="55" t="n"/>
      <c r="R358" s="55" t="n"/>
      <c r="S358" s="55" t="n"/>
      <c r="T358" s="55" t="n"/>
      <c r="U358" s="55" t="n"/>
      <c r="V358" s="55" t="n"/>
      <c r="W358" s="58" t="n"/>
      <c r="X358" s="58" t="n"/>
      <c r="Y358" s="55" t="n"/>
      <c r="Z358" s="55" t="n"/>
      <c r="AA358" s="55" t="n"/>
      <c r="AB358" s="55" t="n"/>
      <c r="AC358" s="55" t="n"/>
      <c r="AD358" s="53" t="n"/>
      <c r="AE358" s="55" t="n"/>
      <c r="AF358" s="55" t="n"/>
      <c r="AG358" s="59" t="n"/>
      <c r="AH358" s="57" t="n"/>
      <c r="AI358" s="55" t="n"/>
      <c r="AJ358" s="55" t="n"/>
      <c r="AK358" s="55" t="n"/>
      <c r="AL358" s="55" t="n"/>
      <c r="AM358" s="56" t="n"/>
      <c r="AN358" s="55" t="n"/>
      <c r="AO358" s="55" t="n"/>
      <c r="AP358" s="55" t="n"/>
      <c r="AQ358" s="55" t="n"/>
      <c r="AR358" s="60">
        <f>IF(AND(C358="",E358=""),"",IF(A358="","⚠ Date manquante",IF(AND(C358="",E358&lt;&gt;"Dépense"),"⚠ Prospect manquant",IF(E358="","⚠ Action manquante",IF(AND(AU358=1,D358=""),"⚠ Canal manquant",IF(AND(W358&lt;&gt;"",COUNTIFS('Saisie'!$W$5:$W$2004,W358,'Saisie'!$C$5:$C$2004,"&lt;&gt;"&amp;C358)&gt;0),"⚠ Numéro déjà utilisé par un autre prospect",IF(AND(J358&lt;&gt;"",J358&lt;A358),"⚠ Relance avant la date de l'action",IF(A358&gt;TODAY(),"⚠ Date dans le futur","✓"))))))))</f>
        <v/>
      </c>
      <c r="AS358" s="61">
        <f>IF(AND(A358="",C358="",E358=""),"",ROW())</f>
        <v/>
      </c>
      <c r="AT358" s="61">
        <f>IF(E358&amp;F358="","",MAX(IFERROR(INDEX('Paramètres'!$J$6:$J$33,MATCH(E358,'Paramètres'!$I$6:$I$33,0)),0),IFERROR(INDEX('Paramètres'!$N$6:$N$17,MATCH(F358,'Paramètres'!$M$6:$M$17,0)),0)))</f>
        <v/>
      </c>
      <c r="AU358" s="61">
        <f>IF(E358="","",IFERROR(IF(INDEX('Paramètres'!$K$6:$K$33,MATCH(E358,'Paramètres'!$I$6:$I$33,0))="Oui",1,0),0))</f>
        <v/>
      </c>
      <c r="AV358" s="61">
        <f>IF(F358="","",IFERROR(IF(INDEX('Paramètres'!$O$6:$O$17,MATCH(F358,'Paramètres'!$M$6:$M$17,0))="Oui",1,0),0))</f>
        <v/>
      </c>
      <c r="AW358" s="62">
        <f>IF(E358="","",IF(G358&lt;&gt;"",G358,IF(OR(E358="Proposition envoyée",E358="Signature"),MAX(0,N(IFERROR(INDEX('Paramètres'!$R$6:$R$15,MATCH(IF(AL358&lt;&gt;"",AL358,IFERROR(INDEX('Prospects'!$AN$5:$AN$504,MATCH(C358,'Prospects'!$C$5:$C$504,0)),"")),'Paramètres'!$Q$6:$Q$15,0)),0))-N(P358)),0)))</f>
        <v/>
      </c>
      <c r="AX358" s="61">
        <f>IF(C358="","",IF(COUNTIF($C$5:C358,C358)=1,MAX($AX$4:AX357)+1,""))</f>
        <v/>
      </c>
      <c r="AY358" s="61">
        <f>IF(B358="","",HOUR(B358))</f>
        <v/>
      </c>
      <c r="AZ358" s="61">
        <f>IF(A358="","",MOD(A358-2,7)+1)</f>
        <v/>
      </c>
      <c r="BA358" s="60">
        <f>IF(C358="","",IFERROR(INDEX('Prospects'!$N$5:$N$504,MATCH(C358,'Prospects'!$C$5:$C$504,0)),""))</f>
        <v/>
      </c>
      <c r="BB358" s="61">
        <f>IF(AND(C358&lt;&gt;"",C358='Fiche prospect'!$C$4),COUNTIF($C$5:C358,C358),"")</f>
        <v/>
      </c>
    </row>
    <row r="359">
      <c r="A359" s="53" t="n"/>
      <c r="B359" s="54" t="n"/>
      <c r="C359" s="55" t="n"/>
      <c r="D359" s="55" t="n"/>
      <c r="E359" s="55" t="n"/>
      <c r="F359" s="55" t="n"/>
      <c r="G359" s="56" t="n"/>
      <c r="H359" s="57" t="n"/>
      <c r="I359" s="55" t="n"/>
      <c r="J359" s="53" t="n"/>
      <c r="K359" s="54" t="n"/>
      <c r="L359" s="55" t="n"/>
      <c r="M359" s="55" t="n"/>
      <c r="N359" s="57" t="n"/>
      <c r="O359" s="55" t="n"/>
      <c r="P359" s="56" t="n"/>
      <c r="Q359" s="55" t="n"/>
      <c r="R359" s="55" t="n"/>
      <c r="S359" s="55" t="n"/>
      <c r="T359" s="55" t="n"/>
      <c r="U359" s="55" t="n"/>
      <c r="V359" s="55" t="n"/>
      <c r="W359" s="58" t="n"/>
      <c r="X359" s="58" t="n"/>
      <c r="Y359" s="55" t="n"/>
      <c r="Z359" s="55" t="n"/>
      <c r="AA359" s="55" t="n"/>
      <c r="AB359" s="55" t="n"/>
      <c r="AC359" s="55" t="n"/>
      <c r="AD359" s="53" t="n"/>
      <c r="AE359" s="55" t="n"/>
      <c r="AF359" s="55" t="n"/>
      <c r="AG359" s="59" t="n"/>
      <c r="AH359" s="57" t="n"/>
      <c r="AI359" s="55" t="n"/>
      <c r="AJ359" s="55" t="n"/>
      <c r="AK359" s="55" t="n"/>
      <c r="AL359" s="55" t="n"/>
      <c r="AM359" s="56" t="n"/>
      <c r="AN359" s="55" t="n"/>
      <c r="AO359" s="55" t="n"/>
      <c r="AP359" s="55" t="n"/>
      <c r="AQ359" s="55" t="n"/>
      <c r="AR359" s="60">
        <f>IF(AND(C359="",E359=""),"",IF(A359="","⚠ Date manquante",IF(AND(C359="",E359&lt;&gt;"Dépense"),"⚠ Prospect manquant",IF(E359="","⚠ Action manquante",IF(AND(AU359=1,D359=""),"⚠ Canal manquant",IF(AND(W359&lt;&gt;"",COUNTIFS('Saisie'!$W$5:$W$2004,W359,'Saisie'!$C$5:$C$2004,"&lt;&gt;"&amp;C359)&gt;0),"⚠ Numéro déjà utilisé par un autre prospect",IF(AND(J359&lt;&gt;"",J359&lt;A359),"⚠ Relance avant la date de l'action",IF(A359&gt;TODAY(),"⚠ Date dans le futur","✓"))))))))</f>
        <v/>
      </c>
      <c r="AS359" s="61">
        <f>IF(AND(A359="",C359="",E359=""),"",ROW())</f>
        <v/>
      </c>
      <c r="AT359" s="61">
        <f>IF(E359&amp;F359="","",MAX(IFERROR(INDEX('Paramètres'!$J$6:$J$33,MATCH(E359,'Paramètres'!$I$6:$I$33,0)),0),IFERROR(INDEX('Paramètres'!$N$6:$N$17,MATCH(F359,'Paramètres'!$M$6:$M$17,0)),0)))</f>
        <v/>
      </c>
      <c r="AU359" s="61">
        <f>IF(E359="","",IFERROR(IF(INDEX('Paramètres'!$K$6:$K$33,MATCH(E359,'Paramètres'!$I$6:$I$33,0))="Oui",1,0),0))</f>
        <v/>
      </c>
      <c r="AV359" s="61">
        <f>IF(F359="","",IFERROR(IF(INDEX('Paramètres'!$O$6:$O$17,MATCH(F359,'Paramètres'!$M$6:$M$17,0))="Oui",1,0),0))</f>
        <v/>
      </c>
      <c r="AW359" s="62">
        <f>IF(E359="","",IF(G359&lt;&gt;"",G359,IF(OR(E359="Proposition envoyée",E359="Signature"),MAX(0,N(IFERROR(INDEX('Paramètres'!$R$6:$R$15,MATCH(IF(AL359&lt;&gt;"",AL359,IFERROR(INDEX('Prospects'!$AN$5:$AN$504,MATCH(C359,'Prospects'!$C$5:$C$504,0)),"")),'Paramètres'!$Q$6:$Q$15,0)),0))-N(P359)),0)))</f>
        <v/>
      </c>
      <c r="AX359" s="61">
        <f>IF(C359="","",IF(COUNTIF($C$5:C359,C359)=1,MAX($AX$4:AX358)+1,""))</f>
        <v/>
      </c>
      <c r="AY359" s="61">
        <f>IF(B359="","",HOUR(B359))</f>
        <v/>
      </c>
      <c r="AZ359" s="61">
        <f>IF(A359="","",MOD(A359-2,7)+1)</f>
        <v/>
      </c>
      <c r="BA359" s="60">
        <f>IF(C359="","",IFERROR(INDEX('Prospects'!$N$5:$N$504,MATCH(C359,'Prospects'!$C$5:$C$504,0)),""))</f>
        <v/>
      </c>
      <c r="BB359" s="61">
        <f>IF(AND(C359&lt;&gt;"",C359='Fiche prospect'!$C$4),COUNTIF($C$5:C359,C359),"")</f>
        <v/>
      </c>
    </row>
    <row r="360">
      <c r="A360" s="53" t="n"/>
      <c r="B360" s="54" t="n"/>
      <c r="C360" s="55" t="n"/>
      <c r="D360" s="55" t="n"/>
      <c r="E360" s="55" t="n"/>
      <c r="F360" s="55" t="n"/>
      <c r="G360" s="56" t="n"/>
      <c r="H360" s="57" t="n"/>
      <c r="I360" s="55" t="n"/>
      <c r="J360" s="53" t="n"/>
      <c r="K360" s="54" t="n"/>
      <c r="L360" s="55" t="n"/>
      <c r="M360" s="55" t="n"/>
      <c r="N360" s="57" t="n"/>
      <c r="O360" s="55" t="n"/>
      <c r="P360" s="56" t="n"/>
      <c r="Q360" s="55" t="n"/>
      <c r="R360" s="55" t="n"/>
      <c r="S360" s="55" t="n"/>
      <c r="T360" s="55" t="n"/>
      <c r="U360" s="55" t="n"/>
      <c r="V360" s="55" t="n"/>
      <c r="W360" s="58" t="n"/>
      <c r="X360" s="58" t="n"/>
      <c r="Y360" s="55" t="n"/>
      <c r="Z360" s="55" t="n"/>
      <c r="AA360" s="55" t="n"/>
      <c r="AB360" s="55" t="n"/>
      <c r="AC360" s="55" t="n"/>
      <c r="AD360" s="53" t="n"/>
      <c r="AE360" s="55" t="n"/>
      <c r="AF360" s="55" t="n"/>
      <c r="AG360" s="59" t="n"/>
      <c r="AH360" s="57" t="n"/>
      <c r="AI360" s="55" t="n"/>
      <c r="AJ360" s="55" t="n"/>
      <c r="AK360" s="55" t="n"/>
      <c r="AL360" s="55" t="n"/>
      <c r="AM360" s="56" t="n"/>
      <c r="AN360" s="55" t="n"/>
      <c r="AO360" s="55" t="n"/>
      <c r="AP360" s="55" t="n"/>
      <c r="AQ360" s="55" t="n"/>
      <c r="AR360" s="60">
        <f>IF(AND(C360="",E360=""),"",IF(A360="","⚠ Date manquante",IF(AND(C360="",E360&lt;&gt;"Dépense"),"⚠ Prospect manquant",IF(E360="","⚠ Action manquante",IF(AND(AU360=1,D360=""),"⚠ Canal manquant",IF(AND(W360&lt;&gt;"",COUNTIFS('Saisie'!$W$5:$W$2004,W360,'Saisie'!$C$5:$C$2004,"&lt;&gt;"&amp;C360)&gt;0),"⚠ Numéro déjà utilisé par un autre prospect",IF(AND(J360&lt;&gt;"",J360&lt;A360),"⚠ Relance avant la date de l'action",IF(A360&gt;TODAY(),"⚠ Date dans le futur","✓"))))))))</f>
        <v/>
      </c>
      <c r="AS360" s="61">
        <f>IF(AND(A360="",C360="",E360=""),"",ROW())</f>
        <v/>
      </c>
      <c r="AT360" s="61">
        <f>IF(E360&amp;F360="","",MAX(IFERROR(INDEX('Paramètres'!$J$6:$J$33,MATCH(E360,'Paramètres'!$I$6:$I$33,0)),0),IFERROR(INDEX('Paramètres'!$N$6:$N$17,MATCH(F360,'Paramètres'!$M$6:$M$17,0)),0)))</f>
        <v/>
      </c>
      <c r="AU360" s="61">
        <f>IF(E360="","",IFERROR(IF(INDEX('Paramètres'!$K$6:$K$33,MATCH(E360,'Paramètres'!$I$6:$I$33,0))="Oui",1,0),0))</f>
        <v/>
      </c>
      <c r="AV360" s="61">
        <f>IF(F360="","",IFERROR(IF(INDEX('Paramètres'!$O$6:$O$17,MATCH(F360,'Paramètres'!$M$6:$M$17,0))="Oui",1,0),0))</f>
        <v/>
      </c>
      <c r="AW360" s="62">
        <f>IF(E360="","",IF(G360&lt;&gt;"",G360,IF(OR(E360="Proposition envoyée",E360="Signature"),MAX(0,N(IFERROR(INDEX('Paramètres'!$R$6:$R$15,MATCH(IF(AL360&lt;&gt;"",AL360,IFERROR(INDEX('Prospects'!$AN$5:$AN$504,MATCH(C360,'Prospects'!$C$5:$C$504,0)),"")),'Paramètres'!$Q$6:$Q$15,0)),0))-N(P360)),0)))</f>
        <v/>
      </c>
      <c r="AX360" s="61">
        <f>IF(C360="","",IF(COUNTIF($C$5:C360,C360)=1,MAX($AX$4:AX359)+1,""))</f>
        <v/>
      </c>
      <c r="AY360" s="61">
        <f>IF(B360="","",HOUR(B360))</f>
        <v/>
      </c>
      <c r="AZ360" s="61">
        <f>IF(A360="","",MOD(A360-2,7)+1)</f>
        <v/>
      </c>
      <c r="BA360" s="60">
        <f>IF(C360="","",IFERROR(INDEX('Prospects'!$N$5:$N$504,MATCH(C360,'Prospects'!$C$5:$C$504,0)),""))</f>
        <v/>
      </c>
      <c r="BB360" s="61">
        <f>IF(AND(C360&lt;&gt;"",C360='Fiche prospect'!$C$4),COUNTIF($C$5:C360,C360),"")</f>
        <v/>
      </c>
    </row>
    <row r="361">
      <c r="A361" s="53" t="n"/>
      <c r="B361" s="54" t="n"/>
      <c r="C361" s="55" t="n"/>
      <c r="D361" s="55" t="n"/>
      <c r="E361" s="55" t="n"/>
      <c r="F361" s="55" t="n"/>
      <c r="G361" s="56" t="n"/>
      <c r="H361" s="57" t="n"/>
      <c r="I361" s="55" t="n"/>
      <c r="J361" s="53" t="n"/>
      <c r="K361" s="54" t="n"/>
      <c r="L361" s="55" t="n"/>
      <c r="M361" s="55" t="n"/>
      <c r="N361" s="57" t="n"/>
      <c r="O361" s="55" t="n"/>
      <c r="P361" s="56" t="n"/>
      <c r="Q361" s="55" t="n"/>
      <c r="R361" s="55" t="n"/>
      <c r="S361" s="55" t="n"/>
      <c r="T361" s="55" t="n"/>
      <c r="U361" s="55" t="n"/>
      <c r="V361" s="55" t="n"/>
      <c r="W361" s="58" t="n"/>
      <c r="X361" s="58" t="n"/>
      <c r="Y361" s="55" t="n"/>
      <c r="Z361" s="55" t="n"/>
      <c r="AA361" s="55" t="n"/>
      <c r="AB361" s="55" t="n"/>
      <c r="AC361" s="55" t="n"/>
      <c r="AD361" s="53" t="n"/>
      <c r="AE361" s="55" t="n"/>
      <c r="AF361" s="55" t="n"/>
      <c r="AG361" s="59" t="n"/>
      <c r="AH361" s="57" t="n"/>
      <c r="AI361" s="55" t="n"/>
      <c r="AJ361" s="55" t="n"/>
      <c r="AK361" s="55" t="n"/>
      <c r="AL361" s="55" t="n"/>
      <c r="AM361" s="56" t="n"/>
      <c r="AN361" s="55" t="n"/>
      <c r="AO361" s="55" t="n"/>
      <c r="AP361" s="55" t="n"/>
      <c r="AQ361" s="55" t="n"/>
      <c r="AR361" s="60">
        <f>IF(AND(C361="",E361=""),"",IF(A361="","⚠ Date manquante",IF(AND(C361="",E361&lt;&gt;"Dépense"),"⚠ Prospect manquant",IF(E361="","⚠ Action manquante",IF(AND(AU361=1,D361=""),"⚠ Canal manquant",IF(AND(W361&lt;&gt;"",COUNTIFS('Saisie'!$W$5:$W$2004,W361,'Saisie'!$C$5:$C$2004,"&lt;&gt;"&amp;C361)&gt;0),"⚠ Numéro déjà utilisé par un autre prospect",IF(AND(J361&lt;&gt;"",J361&lt;A361),"⚠ Relance avant la date de l'action",IF(A361&gt;TODAY(),"⚠ Date dans le futur","✓"))))))))</f>
        <v/>
      </c>
      <c r="AS361" s="61">
        <f>IF(AND(A361="",C361="",E361=""),"",ROW())</f>
        <v/>
      </c>
      <c r="AT361" s="61">
        <f>IF(E361&amp;F361="","",MAX(IFERROR(INDEX('Paramètres'!$J$6:$J$33,MATCH(E361,'Paramètres'!$I$6:$I$33,0)),0),IFERROR(INDEX('Paramètres'!$N$6:$N$17,MATCH(F361,'Paramètres'!$M$6:$M$17,0)),0)))</f>
        <v/>
      </c>
      <c r="AU361" s="61">
        <f>IF(E361="","",IFERROR(IF(INDEX('Paramètres'!$K$6:$K$33,MATCH(E361,'Paramètres'!$I$6:$I$33,0))="Oui",1,0),0))</f>
        <v/>
      </c>
      <c r="AV361" s="61">
        <f>IF(F361="","",IFERROR(IF(INDEX('Paramètres'!$O$6:$O$17,MATCH(F361,'Paramètres'!$M$6:$M$17,0))="Oui",1,0),0))</f>
        <v/>
      </c>
      <c r="AW361" s="62">
        <f>IF(E361="","",IF(G361&lt;&gt;"",G361,IF(OR(E361="Proposition envoyée",E361="Signature"),MAX(0,N(IFERROR(INDEX('Paramètres'!$R$6:$R$15,MATCH(IF(AL361&lt;&gt;"",AL361,IFERROR(INDEX('Prospects'!$AN$5:$AN$504,MATCH(C361,'Prospects'!$C$5:$C$504,0)),"")),'Paramètres'!$Q$6:$Q$15,0)),0))-N(P361)),0)))</f>
        <v/>
      </c>
      <c r="AX361" s="61">
        <f>IF(C361="","",IF(COUNTIF($C$5:C361,C361)=1,MAX($AX$4:AX360)+1,""))</f>
        <v/>
      </c>
      <c r="AY361" s="61">
        <f>IF(B361="","",HOUR(B361))</f>
        <v/>
      </c>
      <c r="AZ361" s="61">
        <f>IF(A361="","",MOD(A361-2,7)+1)</f>
        <v/>
      </c>
      <c r="BA361" s="60">
        <f>IF(C361="","",IFERROR(INDEX('Prospects'!$N$5:$N$504,MATCH(C361,'Prospects'!$C$5:$C$504,0)),""))</f>
        <v/>
      </c>
      <c r="BB361" s="61">
        <f>IF(AND(C361&lt;&gt;"",C361='Fiche prospect'!$C$4),COUNTIF($C$5:C361,C361),"")</f>
        <v/>
      </c>
    </row>
    <row r="362">
      <c r="A362" s="53" t="n"/>
      <c r="B362" s="54" t="n"/>
      <c r="C362" s="55" t="n"/>
      <c r="D362" s="55" t="n"/>
      <c r="E362" s="55" t="n"/>
      <c r="F362" s="55" t="n"/>
      <c r="G362" s="56" t="n"/>
      <c r="H362" s="57" t="n"/>
      <c r="I362" s="55" t="n"/>
      <c r="J362" s="53" t="n"/>
      <c r="K362" s="54" t="n"/>
      <c r="L362" s="55" t="n"/>
      <c r="M362" s="55" t="n"/>
      <c r="N362" s="57" t="n"/>
      <c r="O362" s="55" t="n"/>
      <c r="P362" s="56" t="n"/>
      <c r="Q362" s="55" t="n"/>
      <c r="R362" s="55" t="n"/>
      <c r="S362" s="55" t="n"/>
      <c r="T362" s="55" t="n"/>
      <c r="U362" s="55" t="n"/>
      <c r="V362" s="55" t="n"/>
      <c r="W362" s="58" t="n"/>
      <c r="X362" s="58" t="n"/>
      <c r="Y362" s="55" t="n"/>
      <c r="Z362" s="55" t="n"/>
      <c r="AA362" s="55" t="n"/>
      <c r="AB362" s="55" t="n"/>
      <c r="AC362" s="55" t="n"/>
      <c r="AD362" s="53" t="n"/>
      <c r="AE362" s="55" t="n"/>
      <c r="AF362" s="55" t="n"/>
      <c r="AG362" s="59" t="n"/>
      <c r="AH362" s="57" t="n"/>
      <c r="AI362" s="55" t="n"/>
      <c r="AJ362" s="55" t="n"/>
      <c r="AK362" s="55" t="n"/>
      <c r="AL362" s="55" t="n"/>
      <c r="AM362" s="56" t="n"/>
      <c r="AN362" s="55" t="n"/>
      <c r="AO362" s="55" t="n"/>
      <c r="AP362" s="55" t="n"/>
      <c r="AQ362" s="55" t="n"/>
      <c r="AR362" s="60">
        <f>IF(AND(C362="",E362=""),"",IF(A362="","⚠ Date manquante",IF(AND(C362="",E362&lt;&gt;"Dépense"),"⚠ Prospect manquant",IF(E362="","⚠ Action manquante",IF(AND(AU362=1,D362=""),"⚠ Canal manquant",IF(AND(W362&lt;&gt;"",COUNTIFS('Saisie'!$W$5:$W$2004,W362,'Saisie'!$C$5:$C$2004,"&lt;&gt;"&amp;C362)&gt;0),"⚠ Numéro déjà utilisé par un autre prospect",IF(AND(J362&lt;&gt;"",J362&lt;A362),"⚠ Relance avant la date de l'action",IF(A362&gt;TODAY(),"⚠ Date dans le futur","✓"))))))))</f>
        <v/>
      </c>
      <c r="AS362" s="61">
        <f>IF(AND(A362="",C362="",E362=""),"",ROW())</f>
        <v/>
      </c>
      <c r="AT362" s="61">
        <f>IF(E362&amp;F362="","",MAX(IFERROR(INDEX('Paramètres'!$J$6:$J$33,MATCH(E362,'Paramètres'!$I$6:$I$33,0)),0),IFERROR(INDEX('Paramètres'!$N$6:$N$17,MATCH(F362,'Paramètres'!$M$6:$M$17,0)),0)))</f>
        <v/>
      </c>
      <c r="AU362" s="61">
        <f>IF(E362="","",IFERROR(IF(INDEX('Paramètres'!$K$6:$K$33,MATCH(E362,'Paramètres'!$I$6:$I$33,0))="Oui",1,0),0))</f>
        <v/>
      </c>
      <c r="AV362" s="61">
        <f>IF(F362="","",IFERROR(IF(INDEX('Paramètres'!$O$6:$O$17,MATCH(F362,'Paramètres'!$M$6:$M$17,0))="Oui",1,0),0))</f>
        <v/>
      </c>
      <c r="AW362" s="62">
        <f>IF(E362="","",IF(G362&lt;&gt;"",G362,IF(OR(E362="Proposition envoyée",E362="Signature"),MAX(0,N(IFERROR(INDEX('Paramètres'!$R$6:$R$15,MATCH(IF(AL362&lt;&gt;"",AL362,IFERROR(INDEX('Prospects'!$AN$5:$AN$504,MATCH(C362,'Prospects'!$C$5:$C$504,0)),"")),'Paramètres'!$Q$6:$Q$15,0)),0))-N(P362)),0)))</f>
        <v/>
      </c>
      <c r="AX362" s="61">
        <f>IF(C362="","",IF(COUNTIF($C$5:C362,C362)=1,MAX($AX$4:AX361)+1,""))</f>
        <v/>
      </c>
      <c r="AY362" s="61">
        <f>IF(B362="","",HOUR(B362))</f>
        <v/>
      </c>
      <c r="AZ362" s="61">
        <f>IF(A362="","",MOD(A362-2,7)+1)</f>
        <v/>
      </c>
      <c r="BA362" s="60">
        <f>IF(C362="","",IFERROR(INDEX('Prospects'!$N$5:$N$504,MATCH(C362,'Prospects'!$C$5:$C$504,0)),""))</f>
        <v/>
      </c>
      <c r="BB362" s="61">
        <f>IF(AND(C362&lt;&gt;"",C362='Fiche prospect'!$C$4),COUNTIF($C$5:C362,C362),"")</f>
        <v/>
      </c>
    </row>
    <row r="363">
      <c r="A363" s="53" t="n"/>
      <c r="B363" s="54" t="n"/>
      <c r="C363" s="55" t="n"/>
      <c r="D363" s="55" t="n"/>
      <c r="E363" s="55" t="n"/>
      <c r="F363" s="55" t="n"/>
      <c r="G363" s="56" t="n"/>
      <c r="H363" s="57" t="n"/>
      <c r="I363" s="55" t="n"/>
      <c r="J363" s="53" t="n"/>
      <c r="K363" s="54" t="n"/>
      <c r="L363" s="55" t="n"/>
      <c r="M363" s="55" t="n"/>
      <c r="N363" s="57" t="n"/>
      <c r="O363" s="55" t="n"/>
      <c r="P363" s="56" t="n"/>
      <c r="Q363" s="55" t="n"/>
      <c r="R363" s="55" t="n"/>
      <c r="S363" s="55" t="n"/>
      <c r="T363" s="55" t="n"/>
      <c r="U363" s="55" t="n"/>
      <c r="V363" s="55" t="n"/>
      <c r="W363" s="58" t="n"/>
      <c r="X363" s="58" t="n"/>
      <c r="Y363" s="55" t="n"/>
      <c r="Z363" s="55" t="n"/>
      <c r="AA363" s="55" t="n"/>
      <c r="AB363" s="55" t="n"/>
      <c r="AC363" s="55" t="n"/>
      <c r="AD363" s="53" t="n"/>
      <c r="AE363" s="55" t="n"/>
      <c r="AF363" s="55" t="n"/>
      <c r="AG363" s="59" t="n"/>
      <c r="AH363" s="57" t="n"/>
      <c r="AI363" s="55" t="n"/>
      <c r="AJ363" s="55" t="n"/>
      <c r="AK363" s="55" t="n"/>
      <c r="AL363" s="55" t="n"/>
      <c r="AM363" s="56" t="n"/>
      <c r="AN363" s="55" t="n"/>
      <c r="AO363" s="55" t="n"/>
      <c r="AP363" s="55" t="n"/>
      <c r="AQ363" s="55" t="n"/>
      <c r="AR363" s="60">
        <f>IF(AND(C363="",E363=""),"",IF(A363="","⚠ Date manquante",IF(AND(C363="",E363&lt;&gt;"Dépense"),"⚠ Prospect manquant",IF(E363="","⚠ Action manquante",IF(AND(AU363=1,D363=""),"⚠ Canal manquant",IF(AND(W363&lt;&gt;"",COUNTIFS('Saisie'!$W$5:$W$2004,W363,'Saisie'!$C$5:$C$2004,"&lt;&gt;"&amp;C363)&gt;0),"⚠ Numéro déjà utilisé par un autre prospect",IF(AND(J363&lt;&gt;"",J363&lt;A363),"⚠ Relance avant la date de l'action",IF(A363&gt;TODAY(),"⚠ Date dans le futur","✓"))))))))</f>
        <v/>
      </c>
      <c r="AS363" s="61">
        <f>IF(AND(A363="",C363="",E363=""),"",ROW())</f>
        <v/>
      </c>
      <c r="AT363" s="61">
        <f>IF(E363&amp;F363="","",MAX(IFERROR(INDEX('Paramètres'!$J$6:$J$33,MATCH(E363,'Paramètres'!$I$6:$I$33,0)),0),IFERROR(INDEX('Paramètres'!$N$6:$N$17,MATCH(F363,'Paramètres'!$M$6:$M$17,0)),0)))</f>
        <v/>
      </c>
      <c r="AU363" s="61">
        <f>IF(E363="","",IFERROR(IF(INDEX('Paramètres'!$K$6:$K$33,MATCH(E363,'Paramètres'!$I$6:$I$33,0))="Oui",1,0),0))</f>
        <v/>
      </c>
      <c r="AV363" s="61">
        <f>IF(F363="","",IFERROR(IF(INDEX('Paramètres'!$O$6:$O$17,MATCH(F363,'Paramètres'!$M$6:$M$17,0))="Oui",1,0),0))</f>
        <v/>
      </c>
      <c r="AW363" s="62">
        <f>IF(E363="","",IF(G363&lt;&gt;"",G363,IF(OR(E363="Proposition envoyée",E363="Signature"),MAX(0,N(IFERROR(INDEX('Paramètres'!$R$6:$R$15,MATCH(IF(AL363&lt;&gt;"",AL363,IFERROR(INDEX('Prospects'!$AN$5:$AN$504,MATCH(C363,'Prospects'!$C$5:$C$504,0)),"")),'Paramètres'!$Q$6:$Q$15,0)),0))-N(P363)),0)))</f>
        <v/>
      </c>
      <c r="AX363" s="61">
        <f>IF(C363="","",IF(COUNTIF($C$5:C363,C363)=1,MAX($AX$4:AX362)+1,""))</f>
        <v/>
      </c>
      <c r="AY363" s="61">
        <f>IF(B363="","",HOUR(B363))</f>
        <v/>
      </c>
      <c r="AZ363" s="61">
        <f>IF(A363="","",MOD(A363-2,7)+1)</f>
        <v/>
      </c>
      <c r="BA363" s="60">
        <f>IF(C363="","",IFERROR(INDEX('Prospects'!$N$5:$N$504,MATCH(C363,'Prospects'!$C$5:$C$504,0)),""))</f>
        <v/>
      </c>
      <c r="BB363" s="61">
        <f>IF(AND(C363&lt;&gt;"",C363='Fiche prospect'!$C$4),COUNTIF($C$5:C363,C363),"")</f>
        <v/>
      </c>
    </row>
    <row r="364">
      <c r="A364" s="53" t="n"/>
      <c r="B364" s="54" t="n"/>
      <c r="C364" s="55" t="n"/>
      <c r="D364" s="55" t="n"/>
      <c r="E364" s="55" t="n"/>
      <c r="F364" s="55" t="n"/>
      <c r="G364" s="56" t="n"/>
      <c r="H364" s="57" t="n"/>
      <c r="I364" s="55" t="n"/>
      <c r="J364" s="53" t="n"/>
      <c r="K364" s="54" t="n"/>
      <c r="L364" s="55" t="n"/>
      <c r="M364" s="55" t="n"/>
      <c r="N364" s="57" t="n"/>
      <c r="O364" s="55" t="n"/>
      <c r="P364" s="56" t="n"/>
      <c r="Q364" s="55" t="n"/>
      <c r="R364" s="55" t="n"/>
      <c r="S364" s="55" t="n"/>
      <c r="T364" s="55" t="n"/>
      <c r="U364" s="55" t="n"/>
      <c r="V364" s="55" t="n"/>
      <c r="W364" s="58" t="n"/>
      <c r="X364" s="58" t="n"/>
      <c r="Y364" s="55" t="n"/>
      <c r="Z364" s="55" t="n"/>
      <c r="AA364" s="55" t="n"/>
      <c r="AB364" s="55" t="n"/>
      <c r="AC364" s="55" t="n"/>
      <c r="AD364" s="53" t="n"/>
      <c r="AE364" s="55" t="n"/>
      <c r="AF364" s="55" t="n"/>
      <c r="AG364" s="59" t="n"/>
      <c r="AH364" s="57" t="n"/>
      <c r="AI364" s="55" t="n"/>
      <c r="AJ364" s="55" t="n"/>
      <c r="AK364" s="55" t="n"/>
      <c r="AL364" s="55" t="n"/>
      <c r="AM364" s="56" t="n"/>
      <c r="AN364" s="55" t="n"/>
      <c r="AO364" s="55" t="n"/>
      <c r="AP364" s="55" t="n"/>
      <c r="AQ364" s="55" t="n"/>
      <c r="AR364" s="60">
        <f>IF(AND(C364="",E364=""),"",IF(A364="","⚠ Date manquante",IF(AND(C364="",E364&lt;&gt;"Dépense"),"⚠ Prospect manquant",IF(E364="","⚠ Action manquante",IF(AND(AU364=1,D364=""),"⚠ Canal manquant",IF(AND(W364&lt;&gt;"",COUNTIFS('Saisie'!$W$5:$W$2004,W364,'Saisie'!$C$5:$C$2004,"&lt;&gt;"&amp;C364)&gt;0),"⚠ Numéro déjà utilisé par un autre prospect",IF(AND(J364&lt;&gt;"",J364&lt;A364),"⚠ Relance avant la date de l'action",IF(A364&gt;TODAY(),"⚠ Date dans le futur","✓"))))))))</f>
        <v/>
      </c>
      <c r="AS364" s="61">
        <f>IF(AND(A364="",C364="",E364=""),"",ROW())</f>
        <v/>
      </c>
      <c r="AT364" s="61">
        <f>IF(E364&amp;F364="","",MAX(IFERROR(INDEX('Paramètres'!$J$6:$J$33,MATCH(E364,'Paramètres'!$I$6:$I$33,0)),0),IFERROR(INDEX('Paramètres'!$N$6:$N$17,MATCH(F364,'Paramètres'!$M$6:$M$17,0)),0)))</f>
        <v/>
      </c>
      <c r="AU364" s="61">
        <f>IF(E364="","",IFERROR(IF(INDEX('Paramètres'!$K$6:$K$33,MATCH(E364,'Paramètres'!$I$6:$I$33,0))="Oui",1,0),0))</f>
        <v/>
      </c>
      <c r="AV364" s="61">
        <f>IF(F364="","",IFERROR(IF(INDEX('Paramètres'!$O$6:$O$17,MATCH(F364,'Paramètres'!$M$6:$M$17,0))="Oui",1,0),0))</f>
        <v/>
      </c>
      <c r="AW364" s="62">
        <f>IF(E364="","",IF(G364&lt;&gt;"",G364,IF(OR(E364="Proposition envoyée",E364="Signature"),MAX(0,N(IFERROR(INDEX('Paramètres'!$R$6:$R$15,MATCH(IF(AL364&lt;&gt;"",AL364,IFERROR(INDEX('Prospects'!$AN$5:$AN$504,MATCH(C364,'Prospects'!$C$5:$C$504,0)),"")),'Paramètres'!$Q$6:$Q$15,0)),0))-N(P364)),0)))</f>
        <v/>
      </c>
      <c r="AX364" s="61">
        <f>IF(C364="","",IF(COUNTIF($C$5:C364,C364)=1,MAX($AX$4:AX363)+1,""))</f>
        <v/>
      </c>
      <c r="AY364" s="61">
        <f>IF(B364="","",HOUR(B364))</f>
        <v/>
      </c>
      <c r="AZ364" s="61">
        <f>IF(A364="","",MOD(A364-2,7)+1)</f>
        <v/>
      </c>
      <c r="BA364" s="60">
        <f>IF(C364="","",IFERROR(INDEX('Prospects'!$N$5:$N$504,MATCH(C364,'Prospects'!$C$5:$C$504,0)),""))</f>
        <v/>
      </c>
      <c r="BB364" s="61">
        <f>IF(AND(C364&lt;&gt;"",C364='Fiche prospect'!$C$4),COUNTIF($C$5:C364,C364),"")</f>
        <v/>
      </c>
    </row>
    <row r="365">
      <c r="A365" s="53" t="n"/>
      <c r="B365" s="54" t="n"/>
      <c r="C365" s="55" t="n"/>
      <c r="D365" s="55" t="n"/>
      <c r="E365" s="55" t="n"/>
      <c r="F365" s="55" t="n"/>
      <c r="G365" s="56" t="n"/>
      <c r="H365" s="57" t="n"/>
      <c r="I365" s="55" t="n"/>
      <c r="J365" s="53" t="n"/>
      <c r="K365" s="54" t="n"/>
      <c r="L365" s="55" t="n"/>
      <c r="M365" s="55" t="n"/>
      <c r="N365" s="57" t="n"/>
      <c r="O365" s="55" t="n"/>
      <c r="P365" s="56" t="n"/>
      <c r="Q365" s="55" t="n"/>
      <c r="R365" s="55" t="n"/>
      <c r="S365" s="55" t="n"/>
      <c r="T365" s="55" t="n"/>
      <c r="U365" s="55" t="n"/>
      <c r="V365" s="55" t="n"/>
      <c r="W365" s="58" t="n"/>
      <c r="X365" s="58" t="n"/>
      <c r="Y365" s="55" t="n"/>
      <c r="Z365" s="55" t="n"/>
      <c r="AA365" s="55" t="n"/>
      <c r="AB365" s="55" t="n"/>
      <c r="AC365" s="55" t="n"/>
      <c r="AD365" s="53" t="n"/>
      <c r="AE365" s="55" t="n"/>
      <c r="AF365" s="55" t="n"/>
      <c r="AG365" s="59" t="n"/>
      <c r="AH365" s="57" t="n"/>
      <c r="AI365" s="55" t="n"/>
      <c r="AJ365" s="55" t="n"/>
      <c r="AK365" s="55" t="n"/>
      <c r="AL365" s="55" t="n"/>
      <c r="AM365" s="56" t="n"/>
      <c r="AN365" s="55" t="n"/>
      <c r="AO365" s="55" t="n"/>
      <c r="AP365" s="55" t="n"/>
      <c r="AQ365" s="55" t="n"/>
      <c r="AR365" s="60">
        <f>IF(AND(C365="",E365=""),"",IF(A365="","⚠ Date manquante",IF(AND(C365="",E365&lt;&gt;"Dépense"),"⚠ Prospect manquant",IF(E365="","⚠ Action manquante",IF(AND(AU365=1,D365=""),"⚠ Canal manquant",IF(AND(W365&lt;&gt;"",COUNTIFS('Saisie'!$W$5:$W$2004,W365,'Saisie'!$C$5:$C$2004,"&lt;&gt;"&amp;C365)&gt;0),"⚠ Numéro déjà utilisé par un autre prospect",IF(AND(J365&lt;&gt;"",J365&lt;A365),"⚠ Relance avant la date de l'action",IF(A365&gt;TODAY(),"⚠ Date dans le futur","✓"))))))))</f>
        <v/>
      </c>
      <c r="AS365" s="61">
        <f>IF(AND(A365="",C365="",E365=""),"",ROW())</f>
        <v/>
      </c>
      <c r="AT365" s="61">
        <f>IF(E365&amp;F365="","",MAX(IFERROR(INDEX('Paramètres'!$J$6:$J$33,MATCH(E365,'Paramètres'!$I$6:$I$33,0)),0),IFERROR(INDEX('Paramètres'!$N$6:$N$17,MATCH(F365,'Paramètres'!$M$6:$M$17,0)),0)))</f>
        <v/>
      </c>
      <c r="AU365" s="61">
        <f>IF(E365="","",IFERROR(IF(INDEX('Paramètres'!$K$6:$K$33,MATCH(E365,'Paramètres'!$I$6:$I$33,0))="Oui",1,0),0))</f>
        <v/>
      </c>
      <c r="AV365" s="61">
        <f>IF(F365="","",IFERROR(IF(INDEX('Paramètres'!$O$6:$O$17,MATCH(F365,'Paramètres'!$M$6:$M$17,0))="Oui",1,0),0))</f>
        <v/>
      </c>
      <c r="AW365" s="62">
        <f>IF(E365="","",IF(G365&lt;&gt;"",G365,IF(OR(E365="Proposition envoyée",E365="Signature"),MAX(0,N(IFERROR(INDEX('Paramètres'!$R$6:$R$15,MATCH(IF(AL365&lt;&gt;"",AL365,IFERROR(INDEX('Prospects'!$AN$5:$AN$504,MATCH(C365,'Prospects'!$C$5:$C$504,0)),"")),'Paramètres'!$Q$6:$Q$15,0)),0))-N(P365)),0)))</f>
        <v/>
      </c>
      <c r="AX365" s="61">
        <f>IF(C365="","",IF(COUNTIF($C$5:C365,C365)=1,MAX($AX$4:AX364)+1,""))</f>
        <v/>
      </c>
      <c r="AY365" s="61">
        <f>IF(B365="","",HOUR(B365))</f>
        <v/>
      </c>
      <c r="AZ365" s="61">
        <f>IF(A365="","",MOD(A365-2,7)+1)</f>
        <v/>
      </c>
      <c r="BA365" s="60">
        <f>IF(C365="","",IFERROR(INDEX('Prospects'!$N$5:$N$504,MATCH(C365,'Prospects'!$C$5:$C$504,0)),""))</f>
        <v/>
      </c>
      <c r="BB365" s="61">
        <f>IF(AND(C365&lt;&gt;"",C365='Fiche prospect'!$C$4),COUNTIF($C$5:C365,C365),"")</f>
        <v/>
      </c>
    </row>
    <row r="366">
      <c r="A366" s="53" t="n"/>
      <c r="B366" s="54" t="n"/>
      <c r="C366" s="55" t="n"/>
      <c r="D366" s="55" t="n"/>
      <c r="E366" s="55" t="n"/>
      <c r="F366" s="55" t="n"/>
      <c r="G366" s="56" t="n"/>
      <c r="H366" s="57" t="n"/>
      <c r="I366" s="55" t="n"/>
      <c r="J366" s="53" t="n"/>
      <c r="K366" s="54" t="n"/>
      <c r="L366" s="55" t="n"/>
      <c r="M366" s="55" t="n"/>
      <c r="N366" s="57" t="n"/>
      <c r="O366" s="55" t="n"/>
      <c r="P366" s="56" t="n"/>
      <c r="Q366" s="55" t="n"/>
      <c r="R366" s="55" t="n"/>
      <c r="S366" s="55" t="n"/>
      <c r="T366" s="55" t="n"/>
      <c r="U366" s="55" t="n"/>
      <c r="V366" s="55" t="n"/>
      <c r="W366" s="58" t="n"/>
      <c r="X366" s="58" t="n"/>
      <c r="Y366" s="55" t="n"/>
      <c r="Z366" s="55" t="n"/>
      <c r="AA366" s="55" t="n"/>
      <c r="AB366" s="55" t="n"/>
      <c r="AC366" s="55" t="n"/>
      <c r="AD366" s="53" t="n"/>
      <c r="AE366" s="55" t="n"/>
      <c r="AF366" s="55" t="n"/>
      <c r="AG366" s="59" t="n"/>
      <c r="AH366" s="57" t="n"/>
      <c r="AI366" s="55" t="n"/>
      <c r="AJ366" s="55" t="n"/>
      <c r="AK366" s="55" t="n"/>
      <c r="AL366" s="55" t="n"/>
      <c r="AM366" s="56" t="n"/>
      <c r="AN366" s="55" t="n"/>
      <c r="AO366" s="55" t="n"/>
      <c r="AP366" s="55" t="n"/>
      <c r="AQ366" s="55" t="n"/>
      <c r="AR366" s="60">
        <f>IF(AND(C366="",E366=""),"",IF(A366="","⚠ Date manquante",IF(AND(C366="",E366&lt;&gt;"Dépense"),"⚠ Prospect manquant",IF(E366="","⚠ Action manquante",IF(AND(AU366=1,D366=""),"⚠ Canal manquant",IF(AND(W366&lt;&gt;"",COUNTIFS('Saisie'!$W$5:$W$2004,W366,'Saisie'!$C$5:$C$2004,"&lt;&gt;"&amp;C366)&gt;0),"⚠ Numéro déjà utilisé par un autre prospect",IF(AND(J366&lt;&gt;"",J366&lt;A366),"⚠ Relance avant la date de l'action",IF(A366&gt;TODAY(),"⚠ Date dans le futur","✓"))))))))</f>
        <v/>
      </c>
      <c r="AS366" s="61">
        <f>IF(AND(A366="",C366="",E366=""),"",ROW())</f>
        <v/>
      </c>
      <c r="AT366" s="61">
        <f>IF(E366&amp;F366="","",MAX(IFERROR(INDEX('Paramètres'!$J$6:$J$33,MATCH(E366,'Paramètres'!$I$6:$I$33,0)),0),IFERROR(INDEX('Paramètres'!$N$6:$N$17,MATCH(F366,'Paramètres'!$M$6:$M$17,0)),0)))</f>
        <v/>
      </c>
      <c r="AU366" s="61">
        <f>IF(E366="","",IFERROR(IF(INDEX('Paramètres'!$K$6:$K$33,MATCH(E366,'Paramètres'!$I$6:$I$33,0))="Oui",1,0),0))</f>
        <v/>
      </c>
      <c r="AV366" s="61">
        <f>IF(F366="","",IFERROR(IF(INDEX('Paramètres'!$O$6:$O$17,MATCH(F366,'Paramètres'!$M$6:$M$17,0))="Oui",1,0),0))</f>
        <v/>
      </c>
      <c r="AW366" s="62">
        <f>IF(E366="","",IF(G366&lt;&gt;"",G366,IF(OR(E366="Proposition envoyée",E366="Signature"),MAX(0,N(IFERROR(INDEX('Paramètres'!$R$6:$R$15,MATCH(IF(AL366&lt;&gt;"",AL366,IFERROR(INDEX('Prospects'!$AN$5:$AN$504,MATCH(C366,'Prospects'!$C$5:$C$504,0)),"")),'Paramètres'!$Q$6:$Q$15,0)),0))-N(P366)),0)))</f>
        <v/>
      </c>
      <c r="AX366" s="61">
        <f>IF(C366="","",IF(COUNTIF($C$5:C366,C366)=1,MAX($AX$4:AX365)+1,""))</f>
        <v/>
      </c>
      <c r="AY366" s="61">
        <f>IF(B366="","",HOUR(B366))</f>
        <v/>
      </c>
      <c r="AZ366" s="61">
        <f>IF(A366="","",MOD(A366-2,7)+1)</f>
        <v/>
      </c>
      <c r="BA366" s="60">
        <f>IF(C366="","",IFERROR(INDEX('Prospects'!$N$5:$N$504,MATCH(C366,'Prospects'!$C$5:$C$504,0)),""))</f>
        <v/>
      </c>
      <c r="BB366" s="61">
        <f>IF(AND(C366&lt;&gt;"",C366='Fiche prospect'!$C$4),COUNTIF($C$5:C366,C366),"")</f>
        <v/>
      </c>
    </row>
    <row r="367">
      <c r="A367" s="53" t="n"/>
      <c r="B367" s="54" t="n"/>
      <c r="C367" s="55" t="n"/>
      <c r="D367" s="55" t="n"/>
      <c r="E367" s="55" t="n"/>
      <c r="F367" s="55" t="n"/>
      <c r="G367" s="56" t="n"/>
      <c r="H367" s="57" t="n"/>
      <c r="I367" s="55" t="n"/>
      <c r="J367" s="53" t="n"/>
      <c r="K367" s="54" t="n"/>
      <c r="L367" s="55" t="n"/>
      <c r="M367" s="55" t="n"/>
      <c r="N367" s="57" t="n"/>
      <c r="O367" s="55" t="n"/>
      <c r="P367" s="56" t="n"/>
      <c r="Q367" s="55" t="n"/>
      <c r="R367" s="55" t="n"/>
      <c r="S367" s="55" t="n"/>
      <c r="T367" s="55" t="n"/>
      <c r="U367" s="55" t="n"/>
      <c r="V367" s="55" t="n"/>
      <c r="W367" s="58" t="n"/>
      <c r="X367" s="58" t="n"/>
      <c r="Y367" s="55" t="n"/>
      <c r="Z367" s="55" t="n"/>
      <c r="AA367" s="55" t="n"/>
      <c r="AB367" s="55" t="n"/>
      <c r="AC367" s="55" t="n"/>
      <c r="AD367" s="53" t="n"/>
      <c r="AE367" s="55" t="n"/>
      <c r="AF367" s="55" t="n"/>
      <c r="AG367" s="59" t="n"/>
      <c r="AH367" s="57" t="n"/>
      <c r="AI367" s="55" t="n"/>
      <c r="AJ367" s="55" t="n"/>
      <c r="AK367" s="55" t="n"/>
      <c r="AL367" s="55" t="n"/>
      <c r="AM367" s="56" t="n"/>
      <c r="AN367" s="55" t="n"/>
      <c r="AO367" s="55" t="n"/>
      <c r="AP367" s="55" t="n"/>
      <c r="AQ367" s="55" t="n"/>
      <c r="AR367" s="60">
        <f>IF(AND(C367="",E367=""),"",IF(A367="","⚠ Date manquante",IF(AND(C367="",E367&lt;&gt;"Dépense"),"⚠ Prospect manquant",IF(E367="","⚠ Action manquante",IF(AND(AU367=1,D367=""),"⚠ Canal manquant",IF(AND(W367&lt;&gt;"",COUNTIFS('Saisie'!$W$5:$W$2004,W367,'Saisie'!$C$5:$C$2004,"&lt;&gt;"&amp;C367)&gt;0),"⚠ Numéro déjà utilisé par un autre prospect",IF(AND(J367&lt;&gt;"",J367&lt;A367),"⚠ Relance avant la date de l'action",IF(A367&gt;TODAY(),"⚠ Date dans le futur","✓"))))))))</f>
        <v/>
      </c>
      <c r="AS367" s="61">
        <f>IF(AND(A367="",C367="",E367=""),"",ROW())</f>
        <v/>
      </c>
      <c r="AT367" s="61">
        <f>IF(E367&amp;F367="","",MAX(IFERROR(INDEX('Paramètres'!$J$6:$J$33,MATCH(E367,'Paramètres'!$I$6:$I$33,0)),0),IFERROR(INDEX('Paramètres'!$N$6:$N$17,MATCH(F367,'Paramètres'!$M$6:$M$17,0)),0)))</f>
        <v/>
      </c>
      <c r="AU367" s="61">
        <f>IF(E367="","",IFERROR(IF(INDEX('Paramètres'!$K$6:$K$33,MATCH(E367,'Paramètres'!$I$6:$I$33,0))="Oui",1,0),0))</f>
        <v/>
      </c>
      <c r="AV367" s="61">
        <f>IF(F367="","",IFERROR(IF(INDEX('Paramètres'!$O$6:$O$17,MATCH(F367,'Paramètres'!$M$6:$M$17,0))="Oui",1,0),0))</f>
        <v/>
      </c>
      <c r="AW367" s="62">
        <f>IF(E367="","",IF(G367&lt;&gt;"",G367,IF(OR(E367="Proposition envoyée",E367="Signature"),MAX(0,N(IFERROR(INDEX('Paramètres'!$R$6:$R$15,MATCH(IF(AL367&lt;&gt;"",AL367,IFERROR(INDEX('Prospects'!$AN$5:$AN$504,MATCH(C367,'Prospects'!$C$5:$C$504,0)),"")),'Paramètres'!$Q$6:$Q$15,0)),0))-N(P367)),0)))</f>
        <v/>
      </c>
      <c r="AX367" s="61">
        <f>IF(C367="","",IF(COUNTIF($C$5:C367,C367)=1,MAX($AX$4:AX366)+1,""))</f>
        <v/>
      </c>
      <c r="AY367" s="61">
        <f>IF(B367="","",HOUR(B367))</f>
        <v/>
      </c>
      <c r="AZ367" s="61">
        <f>IF(A367="","",MOD(A367-2,7)+1)</f>
        <v/>
      </c>
      <c r="BA367" s="60">
        <f>IF(C367="","",IFERROR(INDEX('Prospects'!$N$5:$N$504,MATCH(C367,'Prospects'!$C$5:$C$504,0)),""))</f>
        <v/>
      </c>
      <c r="BB367" s="61">
        <f>IF(AND(C367&lt;&gt;"",C367='Fiche prospect'!$C$4),COUNTIF($C$5:C367,C367),"")</f>
        <v/>
      </c>
    </row>
    <row r="368">
      <c r="A368" s="53" t="n"/>
      <c r="B368" s="54" t="n"/>
      <c r="C368" s="55" t="n"/>
      <c r="D368" s="55" t="n"/>
      <c r="E368" s="55" t="n"/>
      <c r="F368" s="55" t="n"/>
      <c r="G368" s="56" t="n"/>
      <c r="H368" s="57" t="n"/>
      <c r="I368" s="55" t="n"/>
      <c r="J368" s="53" t="n"/>
      <c r="K368" s="54" t="n"/>
      <c r="L368" s="55" t="n"/>
      <c r="M368" s="55" t="n"/>
      <c r="N368" s="57" t="n"/>
      <c r="O368" s="55" t="n"/>
      <c r="P368" s="56" t="n"/>
      <c r="Q368" s="55" t="n"/>
      <c r="R368" s="55" t="n"/>
      <c r="S368" s="55" t="n"/>
      <c r="T368" s="55" t="n"/>
      <c r="U368" s="55" t="n"/>
      <c r="V368" s="55" t="n"/>
      <c r="W368" s="58" t="n"/>
      <c r="X368" s="58" t="n"/>
      <c r="Y368" s="55" t="n"/>
      <c r="Z368" s="55" t="n"/>
      <c r="AA368" s="55" t="n"/>
      <c r="AB368" s="55" t="n"/>
      <c r="AC368" s="55" t="n"/>
      <c r="AD368" s="53" t="n"/>
      <c r="AE368" s="55" t="n"/>
      <c r="AF368" s="55" t="n"/>
      <c r="AG368" s="59" t="n"/>
      <c r="AH368" s="57" t="n"/>
      <c r="AI368" s="55" t="n"/>
      <c r="AJ368" s="55" t="n"/>
      <c r="AK368" s="55" t="n"/>
      <c r="AL368" s="55" t="n"/>
      <c r="AM368" s="56" t="n"/>
      <c r="AN368" s="55" t="n"/>
      <c r="AO368" s="55" t="n"/>
      <c r="AP368" s="55" t="n"/>
      <c r="AQ368" s="55" t="n"/>
      <c r="AR368" s="60">
        <f>IF(AND(C368="",E368=""),"",IF(A368="","⚠ Date manquante",IF(AND(C368="",E368&lt;&gt;"Dépense"),"⚠ Prospect manquant",IF(E368="","⚠ Action manquante",IF(AND(AU368=1,D368=""),"⚠ Canal manquant",IF(AND(W368&lt;&gt;"",COUNTIFS('Saisie'!$W$5:$W$2004,W368,'Saisie'!$C$5:$C$2004,"&lt;&gt;"&amp;C368)&gt;0),"⚠ Numéro déjà utilisé par un autre prospect",IF(AND(J368&lt;&gt;"",J368&lt;A368),"⚠ Relance avant la date de l'action",IF(A368&gt;TODAY(),"⚠ Date dans le futur","✓"))))))))</f>
        <v/>
      </c>
      <c r="AS368" s="61">
        <f>IF(AND(A368="",C368="",E368=""),"",ROW())</f>
        <v/>
      </c>
      <c r="AT368" s="61">
        <f>IF(E368&amp;F368="","",MAX(IFERROR(INDEX('Paramètres'!$J$6:$J$33,MATCH(E368,'Paramètres'!$I$6:$I$33,0)),0),IFERROR(INDEX('Paramètres'!$N$6:$N$17,MATCH(F368,'Paramètres'!$M$6:$M$17,0)),0)))</f>
        <v/>
      </c>
      <c r="AU368" s="61">
        <f>IF(E368="","",IFERROR(IF(INDEX('Paramètres'!$K$6:$K$33,MATCH(E368,'Paramètres'!$I$6:$I$33,0))="Oui",1,0),0))</f>
        <v/>
      </c>
      <c r="AV368" s="61">
        <f>IF(F368="","",IFERROR(IF(INDEX('Paramètres'!$O$6:$O$17,MATCH(F368,'Paramètres'!$M$6:$M$17,0))="Oui",1,0),0))</f>
        <v/>
      </c>
      <c r="AW368" s="62">
        <f>IF(E368="","",IF(G368&lt;&gt;"",G368,IF(OR(E368="Proposition envoyée",E368="Signature"),MAX(0,N(IFERROR(INDEX('Paramètres'!$R$6:$R$15,MATCH(IF(AL368&lt;&gt;"",AL368,IFERROR(INDEX('Prospects'!$AN$5:$AN$504,MATCH(C368,'Prospects'!$C$5:$C$504,0)),"")),'Paramètres'!$Q$6:$Q$15,0)),0))-N(P368)),0)))</f>
        <v/>
      </c>
      <c r="AX368" s="61">
        <f>IF(C368="","",IF(COUNTIF($C$5:C368,C368)=1,MAX($AX$4:AX367)+1,""))</f>
        <v/>
      </c>
      <c r="AY368" s="61">
        <f>IF(B368="","",HOUR(B368))</f>
        <v/>
      </c>
      <c r="AZ368" s="61">
        <f>IF(A368="","",MOD(A368-2,7)+1)</f>
        <v/>
      </c>
      <c r="BA368" s="60">
        <f>IF(C368="","",IFERROR(INDEX('Prospects'!$N$5:$N$504,MATCH(C368,'Prospects'!$C$5:$C$504,0)),""))</f>
        <v/>
      </c>
      <c r="BB368" s="61">
        <f>IF(AND(C368&lt;&gt;"",C368='Fiche prospect'!$C$4),COUNTIF($C$5:C368,C368),"")</f>
        <v/>
      </c>
    </row>
    <row r="369">
      <c r="A369" s="53" t="n"/>
      <c r="B369" s="54" t="n"/>
      <c r="C369" s="55" t="n"/>
      <c r="D369" s="55" t="n"/>
      <c r="E369" s="55" t="n"/>
      <c r="F369" s="55" t="n"/>
      <c r="G369" s="56" t="n"/>
      <c r="H369" s="57" t="n"/>
      <c r="I369" s="55" t="n"/>
      <c r="J369" s="53" t="n"/>
      <c r="K369" s="54" t="n"/>
      <c r="L369" s="55" t="n"/>
      <c r="M369" s="55" t="n"/>
      <c r="N369" s="57" t="n"/>
      <c r="O369" s="55" t="n"/>
      <c r="P369" s="56" t="n"/>
      <c r="Q369" s="55" t="n"/>
      <c r="R369" s="55" t="n"/>
      <c r="S369" s="55" t="n"/>
      <c r="T369" s="55" t="n"/>
      <c r="U369" s="55" t="n"/>
      <c r="V369" s="55" t="n"/>
      <c r="W369" s="58" t="n"/>
      <c r="X369" s="58" t="n"/>
      <c r="Y369" s="55" t="n"/>
      <c r="Z369" s="55" t="n"/>
      <c r="AA369" s="55" t="n"/>
      <c r="AB369" s="55" t="n"/>
      <c r="AC369" s="55" t="n"/>
      <c r="AD369" s="53" t="n"/>
      <c r="AE369" s="55" t="n"/>
      <c r="AF369" s="55" t="n"/>
      <c r="AG369" s="59" t="n"/>
      <c r="AH369" s="57" t="n"/>
      <c r="AI369" s="55" t="n"/>
      <c r="AJ369" s="55" t="n"/>
      <c r="AK369" s="55" t="n"/>
      <c r="AL369" s="55" t="n"/>
      <c r="AM369" s="56" t="n"/>
      <c r="AN369" s="55" t="n"/>
      <c r="AO369" s="55" t="n"/>
      <c r="AP369" s="55" t="n"/>
      <c r="AQ369" s="55" t="n"/>
      <c r="AR369" s="60">
        <f>IF(AND(C369="",E369=""),"",IF(A369="","⚠ Date manquante",IF(AND(C369="",E369&lt;&gt;"Dépense"),"⚠ Prospect manquant",IF(E369="","⚠ Action manquante",IF(AND(AU369=1,D369=""),"⚠ Canal manquant",IF(AND(W369&lt;&gt;"",COUNTIFS('Saisie'!$W$5:$W$2004,W369,'Saisie'!$C$5:$C$2004,"&lt;&gt;"&amp;C369)&gt;0),"⚠ Numéro déjà utilisé par un autre prospect",IF(AND(J369&lt;&gt;"",J369&lt;A369),"⚠ Relance avant la date de l'action",IF(A369&gt;TODAY(),"⚠ Date dans le futur","✓"))))))))</f>
        <v/>
      </c>
      <c r="AS369" s="61">
        <f>IF(AND(A369="",C369="",E369=""),"",ROW())</f>
        <v/>
      </c>
      <c r="AT369" s="61">
        <f>IF(E369&amp;F369="","",MAX(IFERROR(INDEX('Paramètres'!$J$6:$J$33,MATCH(E369,'Paramètres'!$I$6:$I$33,0)),0),IFERROR(INDEX('Paramètres'!$N$6:$N$17,MATCH(F369,'Paramètres'!$M$6:$M$17,0)),0)))</f>
        <v/>
      </c>
      <c r="AU369" s="61">
        <f>IF(E369="","",IFERROR(IF(INDEX('Paramètres'!$K$6:$K$33,MATCH(E369,'Paramètres'!$I$6:$I$33,0))="Oui",1,0),0))</f>
        <v/>
      </c>
      <c r="AV369" s="61">
        <f>IF(F369="","",IFERROR(IF(INDEX('Paramètres'!$O$6:$O$17,MATCH(F369,'Paramètres'!$M$6:$M$17,0))="Oui",1,0),0))</f>
        <v/>
      </c>
      <c r="AW369" s="62">
        <f>IF(E369="","",IF(G369&lt;&gt;"",G369,IF(OR(E369="Proposition envoyée",E369="Signature"),MAX(0,N(IFERROR(INDEX('Paramètres'!$R$6:$R$15,MATCH(IF(AL369&lt;&gt;"",AL369,IFERROR(INDEX('Prospects'!$AN$5:$AN$504,MATCH(C369,'Prospects'!$C$5:$C$504,0)),"")),'Paramètres'!$Q$6:$Q$15,0)),0))-N(P369)),0)))</f>
        <v/>
      </c>
      <c r="AX369" s="61">
        <f>IF(C369="","",IF(COUNTIF($C$5:C369,C369)=1,MAX($AX$4:AX368)+1,""))</f>
        <v/>
      </c>
      <c r="AY369" s="61">
        <f>IF(B369="","",HOUR(B369))</f>
        <v/>
      </c>
      <c r="AZ369" s="61">
        <f>IF(A369="","",MOD(A369-2,7)+1)</f>
        <v/>
      </c>
      <c r="BA369" s="60">
        <f>IF(C369="","",IFERROR(INDEX('Prospects'!$N$5:$N$504,MATCH(C369,'Prospects'!$C$5:$C$504,0)),""))</f>
        <v/>
      </c>
      <c r="BB369" s="61">
        <f>IF(AND(C369&lt;&gt;"",C369='Fiche prospect'!$C$4),COUNTIF($C$5:C369,C369),"")</f>
        <v/>
      </c>
    </row>
    <row r="370">
      <c r="A370" s="53" t="n"/>
      <c r="B370" s="54" t="n"/>
      <c r="C370" s="55" t="n"/>
      <c r="D370" s="55" t="n"/>
      <c r="E370" s="55" t="n"/>
      <c r="F370" s="55" t="n"/>
      <c r="G370" s="56" t="n"/>
      <c r="H370" s="57" t="n"/>
      <c r="I370" s="55" t="n"/>
      <c r="J370" s="53" t="n"/>
      <c r="K370" s="54" t="n"/>
      <c r="L370" s="55" t="n"/>
      <c r="M370" s="55" t="n"/>
      <c r="N370" s="57" t="n"/>
      <c r="O370" s="55" t="n"/>
      <c r="P370" s="56" t="n"/>
      <c r="Q370" s="55" t="n"/>
      <c r="R370" s="55" t="n"/>
      <c r="S370" s="55" t="n"/>
      <c r="T370" s="55" t="n"/>
      <c r="U370" s="55" t="n"/>
      <c r="V370" s="55" t="n"/>
      <c r="W370" s="58" t="n"/>
      <c r="X370" s="58" t="n"/>
      <c r="Y370" s="55" t="n"/>
      <c r="Z370" s="55" t="n"/>
      <c r="AA370" s="55" t="n"/>
      <c r="AB370" s="55" t="n"/>
      <c r="AC370" s="55" t="n"/>
      <c r="AD370" s="53" t="n"/>
      <c r="AE370" s="55" t="n"/>
      <c r="AF370" s="55" t="n"/>
      <c r="AG370" s="59" t="n"/>
      <c r="AH370" s="57" t="n"/>
      <c r="AI370" s="55" t="n"/>
      <c r="AJ370" s="55" t="n"/>
      <c r="AK370" s="55" t="n"/>
      <c r="AL370" s="55" t="n"/>
      <c r="AM370" s="56" t="n"/>
      <c r="AN370" s="55" t="n"/>
      <c r="AO370" s="55" t="n"/>
      <c r="AP370" s="55" t="n"/>
      <c r="AQ370" s="55" t="n"/>
      <c r="AR370" s="60">
        <f>IF(AND(C370="",E370=""),"",IF(A370="","⚠ Date manquante",IF(AND(C370="",E370&lt;&gt;"Dépense"),"⚠ Prospect manquant",IF(E370="","⚠ Action manquante",IF(AND(AU370=1,D370=""),"⚠ Canal manquant",IF(AND(W370&lt;&gt;"",COUNTIFS('Saisie'!$W$5:$W$2004,W370,'Saisie'!$C$5:$C$2004,"&lt;&gt;"&amp;C370)&gt;0),"⚠ Numéro déjà utilisé par un autre prospect",IF(AND(J370&lt;&gt;"",J370&lt;A370),"⚠ Relance avant la date de l'action",IF(A370&gt;TODAY(),"⚠ Date dans le futur","✓"))))))))</f>
        <v/>
      </c>
      <c r="AS370" s="61">
        <f>IF(AND(A370="",C370="",E370=""),"",ROW())</f>
        <v/>
      </c>
      <c r="AT370" s="61">
        <f>IF(E370&amp;F370="","",MAX(IFERROR(INDEX('Paramètres'!$J$6:$J$33,MATCH(E370,'Paramètres'!$I$6:$I$33,0)),0),IFERROR(INDEX('Paramètres'!$N$6:$N$17,MATCH(F370,'Paramètres'!$M$6:$M$17,0)),0)))</f>
        <v/>
      </c>
      <c r="AU370" s="61">
        <f>IF(E370="","",IFERROR(IF(INDEX('Paramètres'!$K$6:$K$33,MATCH(E370,'Paramètres'!$I$6:$I$33,0))="Oui",1,0),0))</f>
        <v/>
      </c>
      <c r="AV370" s="61">
        <f>IF(F370="","",IFERROR(IF(INDEX('Paramètres'!$O$6:$O$17,MATCH(F370,'Paramètres'!$M$6:$M$17,0))="Oui",1,0),0))</f>
        <v/>
      </c>
      <c r="AW370" s="62">
        <f>IF(E370="","",IF(G370&lt;&gt;"",G370,IF(OR(E370="Proposition envoyée",E370="Signature"),MAX(0,N(IFERROR(INDEX('Paramètres'!$R$6:$R$15,MATCH(IF(AL370&lt;&gt;"",AL370,IFERROR(INDEX('Prospects'!$AN$5:$AN$504,MATCH(C370,'Prospects'!$C$5:$C$504,0)),"")),'Paramètres'!$Q$6:$Q$15,0)),0))-N(P370)),0)))</f>
        <v/>
      </c>
      <c r="AX370" s="61">
        <f>IF(C370="","",IF(COUNTIF($C$5:C370,C370)=1,MAX($AX$4:AX369)+1,""))</f>
        <v/>
      </c>
      <c r="AY370" s="61">
        <f>IF(B370="","",HOUR(B370))</f>
        <v/>
      </c>
      <c r="AZ370" s="61">
        <f>IF(A370="","",MOD(A370-2,7)+1)</f>
        <v/>
      </c>
      <c r="BA370" s="60">
        <f>IF(C370="","",IFERROR(INDEX('Prospects'!$N$5:$N$504,MATCH(C370,'Prospects'!$C$5:$C$504,0)),""))</f>
        <v/>
      </c>
      <c r="BB370" s="61">
        <f>IF(AND(C370&lt;&gt;"",C370='Fiche prospect'!$C$4),COUNTIF($C$5:C370,C370),"")</f>
        <v/>
      </c>
    </row>
    <row r="371">
      <c r="A371" s="53" t="n"/>
      <c r="B371" s="54" t="n"/>
      <c r="C371" s="55" t="n"/>
      <c r="D371" s="55" t="n"/>
      <c r="E371" s="55" t="n"/>
      <c r="F371" s="55" t="n"/>
      <c r="G371" s="56" t="n"/>
      <c r="H371" s="57" t="n"/>
      <c r="I371" s="55" t="n"/>
      <c r="J371" s="53" t="n"/>
      <c r="K371" s="54" t="n"/>
      <c r="L371" s="55" t="n"/>
      <c r="M371" s="55" t="n"/>
      <c r="N371" s="57" t="n"/>
      <c r="O371" s="55" t="n"/>
      <c r="P371" s="56" t="n"/>
      <c r="Q371" s="55" t="n"/>
      <c r="R371" s="55" t="n"/>
      <c r="S371" s="55" t="n"/>
      <c r="T371" s="55" t="n"/>
      <c r="U371" s="55" t="n"/>
      <c r="V371" s="55" t="n"/>
      <c r="W371" s="58" t="n"/>
      <c r="X371" s="58" t="n"/>
      <c r="Y371" s="55" t="n"/>
      <c r="Z371" s="55" t="n"/>
      <c r="AA371" s="55" t="n"/>
      <c r="AB371" s="55" t="n"/>
      <c r="AC371" s="55" t="n"/>
      <c r="AD371" s="53" t="n"/>
      <c r="AE371" s="55" t="n"/>
      <c r="AF371" s="55" t="n"/>
      <c r="AG371" s="59" t="n"/>
      <c r="AH371" s="57" t="n"/>
      <c r="AI371" s="55" t="n"/>
      <c r="AJ371" s="55" t="n"/>
      <c r="AK371" s="55" t="n"/>
      <c r="AL371" s="55" t="n"/>
      <c r="AM371" s="56" t="n"/>
      <c r="AN371" s="55" t="n"/>
      <c r="AO371" s="55" t="n"/>
      <c r="AP371" s="55" t="n"/>
      <c r="AQ371" s="55" t="n"/>
      <c r="AR371" s="60">
        <f>IF(AND(C371="",E371=""),"",IF(A371="","⚠ Date manquante",IF(AND(C371="",E371&lt;&gt;"Dépense"),"⚠ Prospect manquant",IF(E371="","⚠ Action manquante",IF(AND(AU371=1,D371=""),"⚠ Canal manquant",IF(AND(W371&lt;&gt;"",COUNTIFS('Saisie'!$W$5:$W$2004,W371,'Saisie'!$C$5:$C$2004,"&lt;&gt;"&amp;C371)&gt;0),"⚠ Numéro déjà utilisé par un autre prospect",IF(AND(J371&lt;&gt;"",J371&lt;A371),"⚠ Relance avant la date de l'action",IF(A371&gt;TODAY(),"⚠ Date dans le futur","✓"))))))))</f>
        <v/>
      </c>
      <c r="AS371" s="61">
        <f>IF(AND(A371="",C371="",E371=""),"",ROW())</f>
        <v/>
      </c>
      <c r="AT371" s="61">
        <f>IF(E371&amp;F371="","",MAX(IFERROR(INDEX('Paramètres'!$J$6:$J$33,MATCH(E371,'Paramètres'!$I$6:$I$33,0)),0),IFERROR(INDEX('Paramètres'!$N$6:$N$17,MATCH(F371,'Paramètres'!$M$6:$M$17,0)),0)))</f>
        <v/>
      </c>
      <c r="AU371" s="61">
        <f>IF(E371="","",IFERROR(IF(INDEX('Paramètres'!$K$6:$K$33,MATCH(E371,'Paramètres'!$I$6:$I$33,0))="Oui",1,0),0))</f>
        <v/>
      </c>
      <c r="AV371" s="61">
        <f>IF(F371="","",IFERROR(IF(INDEX('Paramètres'!$O$6:$O$17,MATCH(F371,'Paramètres'!$M$6:$M$17,0))="Oui",1,0),0))</f>
        <v/>
      </c>
      <c r="AW371" s="62">
        <f>IF(E371="","",IF(G371&lt;&gt;"",G371,IF(OR(E371="Proposition envoyée",E371="Signature"),MAX(0,N(IFERROR(INDEX('Paramètres'!$R$6:$R$15,MATCH(IF(AL371&lt;&gt;"",AL371,IFERROR(INDEX('Prospects'!$AN$5:$AN$504,MATCH(C371,'Prospects'!$C$5:$C$504,0)),"")),'Paramètres'!$Q$6:$Q$15,0)),0))-N(P371)),0)))</f>
        <v/>
      </c>
      <c r="AX371" s="61">
        <f>IF(C371="","",IF(COUNTIF($C$5:C371,C371)=1,MAX($AX$4:AX370)+1,""))</f>
        <v/>
      </c>
      <c r="AY371" s="61">
        <f>IF(B371="","",HOUR(B371))</f>
        <v/>
      </c>
      <c r="AZ371" s="61">
        <f>IF(A371="","",MOD(A371-2,7)+1)</f>
        <v/>
      </c>
      <c r="BA371" s="60">
        <f>IF(C371="","",IFERROR(INDEX('Prospects'!$N$5:$N$504,MATCH(C371,'Prospects'!$C$5:$C$504,0)),""))</f>
        <v/>
      </c>
      <c r="BB371" s="61">
        <f>IF(AND(C371&lt;&gt;"",C371='Fiche prospect'!$C$4),COUNTIF($C$5:C371,C371),"")</f>
        <v/>
      </c>
    </row>
    <row r="372">
      <c r="A372" s="53" t="n"/>
      <c r="B372" s="54" t="n"/>
      <c r="C372" s="55" t="n"/>
      <c r="D372" s="55" t="n"/>
      <c r="E372" s="55" t="n"/>
      <c r="F372" s="55" t="n"/>
      <c r="G372" s="56" t="n"/>
      <c r="H372" s="57" t="n"/>
      <c r="I372" s="55" t="n"/>
      <c r="J372" s="53" t="n"/>
      <c r="K372" s="54" t="n"/>
      <c r="L372" s="55" t="n"/>
      <c r="M372" s="55" t="n"/>
      <c r="N372" s="57" t="n"/>
      <c r="O372" s="55" t="n"/>
      <c r="P372" s="56" t="n"/>
      <c r="Q372" s="55" t="n"/>
      <c r="R372" s="55" t="n"/>
      <c r="S372" s="55" t="n"/>
      <c r="T372" s="55" t="n"/>
      <c r="U372" s="55" t="n"/>
      <c r="V372" s="55" t="n"/>
      <c r="W372" s="58" t="n"/>
      <c r="X372" s="58" t="n"/>
      <c r="Y372" s="55" t="n"/>
      <c r="Z372" s="55" t="n"/>
      <c r="AA372" s="55" t="n"/>
      <c r="AB372" s="55" t="n"/>
      <c r="AC372" s="55" t="n"/>
      <c r="AD372" s="53" t="n"/>
      <c r="AE372" s="55" t="n"/>
      <c r="AF372" s="55" t="n"/>
      <c r="AG372" s="59" t="n"/>
      <c r="AH372" s="57" t="n"/>
      <c r="AI372" s="55" t="n"/>
      <c r="AJ372" s="55" t="n"/>
      <c r="AK372" s="55" t="n"/>
      <c r="AL372" s="55" t="n"/>
      <c r="AM372" s="56" t="n"/>
      <c r="AN372" s="55" t="n"/>
      <c r="AO372" s="55" t="n"/>
      <c r="AP372" s="55" t="n"/>
      <c r="AQ372" s="55" t="n"/>
      <c r="AR372" s="60">
        <f>IF(AND(C372="",E372=""),"",IF(A372="","⚠ Date manquante",IF(AND(C372="",E372&lt;&gt;"Dépense"),"⚠ Prospect manquant",IF(E372="","⚠ Action manquante",IF(AND(AU372=1,D372=""),"⚠ Canal manquant",IF(AND(W372&lt;&gt;"",COUNTIFS('Saisie'!$W$5:$W$2004,W372,'Saisie'!$C$5:$C$2004,"&lt;&gt;"&amp;C372)&gt;0),"⚠ Numéro déjà utilisé par un autre prospect",IF(AND(J372&lt;&gt;"",J372&lt;A372),"⚠ Relance avant la date de l'action",IF(A372&gt;TODAY(),"⚠ Date dans le futur","✓"))))))))</f>
        <v/>
      </c>
      <c r="AS372" s="61">
        <f>IF(AND(A372="",C372="",E372=""),"",ROW())</f>
        <v/>
      </c>
      <c r="AT372" s="61">
        <f>IF(E372&amp;F372="","",MAX(IFERROR(INDEX('Paramètres'!$J$6:$J$33,MATCH(E372,'Paramètres'!$I$6:$I$33,0)),0),IFERROR(INDEX('Paramètres'!$N$6:$N$17,MATCH(F372,'Paramètres'!$M$6:$M$17,0)),0)))</f>
        <v/>
      </c>
      <c r="AU372" s="61">
        <f>IF(E372="","",IFERROR(IF(INDEX('Paramètres'!$K$6:$K$33,MATCH(E372,'Paramètres'!$I$6:$I$33,0))="Oui",1,0),0))</f>
        <v/>
      </c>
      <c r="AV372" s="61">
        <f>IF(F372="","",IFERROR(IF(INDEX('Paramètres'!$O$6:$O$17,MATCH(F372,'Paramètres'!$M$6:$M$17,0))="Oui",1,0),0))</f>
        <v/>
      </c>
      <c r="AW372" s="62">
        <f>IF(E372="","",IF(G372&lt;&gt;"",G372,IF(OR(E372="Proposition envoyée",E372="Signature"),MAX(0,N(IFERROR(INDEX('Paramètres'!$R$6:$R$15,MATCH(IF(AL372&lt;&gt;"",AL372,IFERROR(INDEX('Prospects'!$AN$5:$AN$504,MATCH(C372,'Prospects'!$C$5:$C$504,0)),"")),'Paramètres'!$Q$6:$Q$15,0)),0))-N(P372)),0)))</f>
        <v/>
      </c>
      <c r="AX372" s="61">
        <f>IF(C372="","",IF(COUNTIF($C$5:C372,C372)=1,MAX($AX$4:AX371)+1,""))</f>
        <v/>
      </c>
      <c r="AY372" s="61">
        <f>IF(B372="","",HOUR(B372))</f>
        <v/>
      </c>
      <c r="AZ372" s="61">
        <f>IF(A372="","",MOD(A372-2,7)+1)</f>
        <v/>
      </c>
      <c r="BA372" s="60">
        <f>IF(C372="","",IFERROR(INDEX('Prospects'!$N$5:$N$504,MATCH(C372,'Prospects'!$C$5:$C$504,0)),""))</f>
        <v/>
      </c>
      <c r="BB372" s="61">
        <f>IF(AND(C372&lt;&gt;"",C372='Fiche prospect'!$C$4),COUNTIF($C$5:C372,C372),"")</f>
        <v/>
      </c>
    </row>
    <row r="373">
      <c r="A373" s="53" t="n"/>
      <c r="B373" s="54" t="n"/>
      <c r="C373" s="55" t="n"/>
      <c r="D373" s="55" t="n"/>
      <c r="E373" s="55" t="n"/>
      <c r="F373" s="55" t="n"/>
      <c r="G373" s="56" t="n"/>
      <c r="H373" s="57" t="n"/>
      <c r="I373" s="55" t="n"/>
      <c r="J373" s="53" t="n"/>
      <c r="K373" s="54" t="n"/>
      <c r="L373" s="55" t="n"/>
      <c r="M373" s="55" t="n"/>
      <c r="N373" s="57" t="n"/>
      <c r="O373" s="55" t="n"/>
      <c r="P373" s="56" t="n"/>
      <c r="Q373" s="55" t="n"/>
      <c r="R373" s="55" t="n"/>
      <c r="S373" s="55" t="n"/>
      <c r="T373" s="55" t="n"/>
      <c r="U373" s="55" t="n"/>
      <c r="V373" s="55" t="n"/>
      <c r="W373" s="58" t="n"/>
      <c r="X373" s="58" t="n"/>
      <c r="Y373" s="55" t="n"/>
      <c r="Z373" s="55" t="n"/>
      <c r="AA373" s="55" t="n"/>
      <c r="AB373" s="55" t="n"/>
      <c r="AC373" s="55" t="n"/>
      <c r="AD373" s="53" t="n"/>
      <c r="AE373" s="55" t="n"/>
      <c r="AF373" s="55" t="n"/>
      <c r="AG373" s="59" t="n"/>
      <c r="AH373" s="57" t="n"/>
      <c r="AI373" s="55" t="n"/>
      <c r="AJ373" s="55" t="n"/>
      <c r="AK373" s="55" t="n"/>
      <c r="AL373" s="55" t="n"/>
      <c r="AM373" s="56" t="n"/>
      <c r="AN373" s="55" t="n"/>
      <c r="AO373" s="55" t="n"/>
      <c r="AP373" s="55" t="n"/>
      <c r="AQ373" s="55" t="n"/>
      <c r="AR373" s="60">
        <f>IF(AND(C373="",E373=""),"",IF(A373="","⚠ Date manquante",IF(AND(C373="",E373&lt;&gt;"Dépense"),"⚠ Prospect manquant",IF(E373="","⚠ Action manquante",IF(AND(AU373=1,D373=""),"⚠ Canal manquant",IF(AND(W373&lt;&gt;"",COUNTIFS('Saisie'!$W$5:$W$2004,W373,'Saisie'!$C$5:$C$2004,"&lt;&gt;"&amp;C373)&gt;0),"⚠ Numéro déjà utilisé par un autre prospect",IF(AND(J373&lt;&gt;"",J373&lt;A373),"⚠ Relance avant la date de l'action",IF(A373&gt;TODAY(),"⚠ Date dans le futur","✓"))))))))</f>
        <v/>
      </c>
      <c r="AS373" s="61">
        <f>IF(AND(A373="",C373="",E373=""),"",ROW())</f>
        <v/>
      </c>
      <c r="AT373" s="61">
        <f>IF(E373&amp;F373="","",MAX(IFERROR(INDEX('Paramètres'!$J$6:$J$33,MATCH(E373,'Paramètres'!$I$6:$I$33,0)),0),IFERROR(INDEX('Paramètres'!$N$6:$N$17,MATCH(F373,'Paramètres'!$M$6:$M$17,0)),0)))</f>
        <v/>
      </c>
      <c r="AU373" s="61">
        <f>IF(E373="","",IFERROR(IF(INDEX('Paramètres'!$K$6:$K$33,MATCH(E373,'Paramètres'!$I$6:$I$33,0))="Oui",1,0),0))</f>
        <v/>
      </c>
      <c r="AV373" s="61">
        <f>IF(F373="","",IFERROR(IF(INDEX('Paramètres'!$O$6:$O$17,MATCH(F373,'Paramètres'!$M$6:$M$17,0))="Oui",1,0),0))</f>
        <v/>
      </c>
      <c r="AW373" s="62">
        <f>IF(E373="","",IF(G373&lt;&gt;"",G373,IF(OR(E373="Proposition envoyée",E373="Signature"),MAX(0,N(IFERROR(INDEX('Paramètres'!$R$6:$R$15,MATCH(IF(AL373&lt;&gt;"",AL373,IFERROR(INDEX('Prospects'!$AN$5:$AN$504,MATCH(C373,'Prospects'!$C$5:$C$504,0)),"")),'Paramètres'!$Q$6:$Q$15,0)),0))-N(P373)),0)))</f>
        <v/>
      </c>
      <c r="AX373" s="61">
        <f>IF(C373="","",IF(COUNTIF($C$5:C373,C373)=1,MAX($AX$4:AX372)+1,""))</f>
        <v/>
      </c>
      <c r="AY373" s="61">
        <f>IF(B373="","",HOUR(B373))</f>
        <v/>
      </c>
      <c r="AZ373" s="61">
        <f>IF(A373="","",MOD(A373-2,7)+1)</f>
        <v/>
      </c>
      <c r="BA373" s="60">
        <f>IF(C373="","",IFERROR(INDEX('Prospects'!$N$5:$N$504,MATCH(C373,'Prospects'!$C$5:$C$504,0)),""))</f>
        <v/>
      </c>
      <c r="BB373" s="61">
        <f>IF(AND(C373&lt;&gt;"",C373='Fiche prospect'!$C$4),COUNTIF($C$5:C373,C373),"")</f>
        <v/>
      </c>
    </row>
    <row r="374">
      <c r="A374" s="53" t="n"/>
      <c r="B374" s="54" t="n"/>
      <c r="C374" s="55" t="n"/>
      <c r="D374" s="55" t="n"/>
      <c r="E374" s="55" t="n"/>
      <c r="F374" s="55" t="n"/>
      <c r="G374" s="56" t="n"/>
      <c r="H374" s="57" t="n"/>
      <c r="I374" s="55" t="n"/>
      <c r="J374" s="53" t="n"/>
      <c r="K374" s="54" t="n"/>
      <c r="L374" s="55" t="n"/>
      <c r="M374" s="55" t="n"/>
      <c r="N374" s="57" t="n"/>
      <c r="O374" s="55" t="n"/>
      <c r="P374" s="56" t="n"/>
      <c r="Q374" s="55" t="n"/>
      <c r="R374" s="55" t="n"/>
      <c r="S374" s="55" t="n"/>
      <c r="T374" s="55" t="n"/>
      <c r="U374" s="55" t="n"/>
      <c r="V374" s="55" t="n"/>
      <c r="W374" s="58" t="n"/>
      <c r="X374" s="58" t="n"/>
      <c r="Y374" s="55" t="n"/>
      <c r="Z374" s="55" t="n"/>
      <c r="AA374" s="55" t="n"/>
      <c r="AB374" s="55" t="n"/>
      <c r="AC374" s="55" t="n"/>
      <c r="AD374" s="53" t="n"/>
      <c r="AE374" s="55" t="n"/>
      <c r="AF374" s="55" t="n"/>
      <c r="AG374" s="59" t="n"/>
      <c r="AH374" s="57" t="n"/>
      <c r="AI374" s="55" t="n"/>
      <c r="AJ374" s="55" t="n"/>
      <c r="AK374" s="55" t="n"/>
      <c r="AL374" s="55" t="n"/>
      <c r="AM374" s="56" t="n"/>
      <c r="AN374" s="55" t="n"/>
      <c r="AO374" s="55" t="n"/>
      <c r="AP374" s="55" t="n"/>
      <c r="AQ374" s="55" t="n"/>
      <c r="AR374" s="60">
        <f>IF(AND(C374="",E374=""),"",IF(A374="","⚠ Date manquante",IF(AND(C374="",E374&lt;&gt;"Dépense"),"⚠ Prospect manquant",IF(E374="","⚠ Action manquante",IF(AND(AU374=1,D374=""),"⚠ Canal manquant",IF(AND(W374&lt;&gt;"",COUNTIFS('Saisie'!$W$5:$W$2004,W374,'Saisie'!$C$5:$C$2004,"&lt;&gt;"&amp;C374)&gt;0),"⚠ Numéro déjà utilisé par un autre prospect",IF(AND(J374&lt;&gt;"",J374&lt;A374),"⚠ Relance avant la date de l'action",IF(A374&gt;TODAY(),"⚠ Date dans le futur","✓"))))))))</f>
        <v/>
      </c>
      <c r="AS374" s="61">
        <f>IF(AND(A374="",C374="",E374=""),"",ROW())</f>
        <v/>
      </c>
      <c r="AT374" s="61">
        <f>IF(E374&amp;F374="","",MAX(IFERROR(INDEX('Paramètres'!$J$6:$J$33,MATCH(E374,'Paramètres'!$I$6:$I$33,0)),0),IFERROR(INDEX('Paramètres'!$N$6:$N$17,MATCH(F374,'Paramètres'!$M$6:$M$17,0)),0)))</f>
        <v/>
      </c>
      <c r="AU374" s="61">
        <f>IF(E374="","",IFERROR(IF(INDEX('Paramètres'!$K$6:$K$33,MATCH(E374,'Paramètres'!$I$6:$I$33,0))="Oui",1,0),0))</f>
        <v/>
      </c>
      <c r="AV374" s="61">
        <f>IF(F374="","",IFERROR(IF(INDEX('Paramètres'!$O$6:$O$17,MATCH(F374,'Paramètres'!$M$6:$M$17,0))="Oui",1,0),0))</f>
        <v/>
      </c>
      <c r="AW374" s="62">
        <f>IF(E374="","",IF(G374&lt;&gt;"",G374,IF(OR(E374="Proposition envoyée",E374="Signature"),MAX(0,N(IFERROR(INDEX('Paramètres'!$R$6:$R$15,MATCH(IF(AL374&lt;&gt;"",AL374,IFERROR(INDEX('Prospects'!$AN$5:$AN$504,MATCH(C374,'Prospects'!$C$5:$C$504,0)),"")),'Paramètres'!$Q$6:$Q$15,0)),0))-N(P374)),0)))</f>
        <v/>
      </c>
      <c r="AX374" s="61">
        <f>IF(C374="","",IF(COUNTIF($C$5:C374,C374)=1,MAX($AX$4:AX373)+1,""))</f>
        <v/>
      </c>
      <c r="AY374" s="61">
        <f>IF(B374="","",HOUR(B374))</f>
        <v/>
      </c>
      <c r="AZ374" s="61">
        <f>IF(A374="","",MOD(A374-2,7)+1)</f>
        <v/>
      </c>
      <c r="BA374" s="60">
        <f>IF(C374="","",IFERROR(INDEX('Prospects'!$N$5:$N$504,MATCH(C374,'Prospects'!$C$5:$C$504,0)),""))</f>
        <v/>
      </c>
      <c r="BB374" s="61">
        <f>IF(AND(C374&lt;&gt;"",C374='Fiche prospect'!$C$4),COUNTIF($C$5:C374,C374),"")</f>
        <v/>
      </c>
    </row>
    <row r="375">
      <c r="A375" s="53" t="n"/>
      <c r="B375" s="54" t="n"/>
      <c r="C375" s="55" t="n"/>
      <c r="D375" s="55" t="n"/>
      <c r="E375" s="55" t="n"/>
      <c r="F375" s="55" t="n"/>
      <c r="G375" s="56" t="n"/>
      <c r="H375" s="57" t="n"/>
      <c r="I375" s="55" t="n"/>
      <c r="J375" s="53" t="n"/>
      <c r="K375" s="54" t="n"/>
      <c r="L375" s="55" t="n"/>
      <c r="M375" s="55" t="n"/>
      <c r="N375" s="57" t="n"/>
      <c r="O375" s="55" t="n"/>
      <c r="P375" s="56" t="n"/>
      <c r="Q375" s="55" t="n"/>
      <c r="R375" s="55" t="n"/>
      <c r="S375" s="55" t="n"/>
      <c r="T375" s="55" t="n"/>
      <c r="U375" s="55" t="n"/>
      <c r="V375" s="55" t="n"/>
      <c r="W375" s="58" t="n"/>
      <c r="X375" s="58" t="n"/>
      <c r="Y375" s="55" t="n"/>
      <c r="Z375" s="55" t="n"/>
      <c r="AA375" s="55" t="n"/>
      <c r="AB375" s="55" t="n"/>
      <c r="AC375" s="55" t="n"/>
      <c r="AD375" s="53" t="n"/>
      <c r="AE375" s="55" t="n"/>
      <c r="AF375" s="55" t="n"/>
      <c r="AG375" s="59" t="n"/>
      <c r="AH375" s="57" t="n"/>
      <c r="AI375" s="55" t="n"/>
      <c r="AJ375" s="55" t="n"/>
      <c r="AK375" s="55" t="n"/>
      <c r="AL375" s="55" t="n"/>
      <c r="AM375" s="56" t="n"/>
      <c r="AN375" s="55" t="n"/>
      <c r="AO375" s="55" t="n"/>
      <c r="AP375" s="55" t="n"/>
      <c r="AQ375" s="55" t="n"/>
      <c r="AR375" s="60">
        <f>IF(AND(C375="",E375=""),"",IF(A375="","⚠ Date manquante",IF(AND(C375="",E375&lt;&gt;"Dépense"),"⚠ Prospect manquant",IF(E375="","⚠ Action manquante",IF(AND(AU375=1,D375=""),"⚠ Canal manquant",IF(AND(W375&lt;&gt;"",COUNTIFS('Saisie'!$W$5:$W$2004,W375,'Saisie'!$C$5:$C$2004,"&lt;&gt;"&amp;C375)&gt;0),"⚠ Numéro déjà utilisé par un autre prospect",IF(AND(J375&lt;&gt;"",J375&lt;A375),"⚠ Relance avant la date de l'action",IF(A375&gt;TODAY(),"⚠ Date dans le futur","✓"))))))))</f>
        <v/>
      </c>
      <c r="AS375" s="61">
        <f>IF(AND(A375="",C375="",E375=""),"",ROW())</f>
        <v/>
      </c>
      <c r="AT375" s="61">
        <f>IF(E375&amp;F375="","",MAX(IFERROR(INDEX('Paramètres'!$J$6:$J$33,MATCH(E375,'Paramètres'!$I$6:$I$33,0)),0),IFERROR(INDEX('Paramètres'!$N$6:$N$17,MATCH(F375,'Paramètres'!$M$6:$M$17,0)),0)))</f>
        <v/>
      </c>
      <c r="AU375" s="61">
        <f>IF(E375="","",IFERROR(IF(INDEX('Paramètres'!$K$6:$K$33,MATCH(E375,'Paramètres'!$I$6:$I$33,0))="Oui",1,0),0))</f>
        <v/>
      </c>
      <c r="AV375" s="61">
        <f>IF(F375="","",IFERROR(IF(INDEX('Paramètres'!$O$6:$O$17,MATCH(F375,'Paramètres'!$M$6:$M$17,0))="Oui",1,0),0))</f>
        <v/>
      </c>
      <c r="AW375" s="62">
        <f>IF(E375="","",IF(G375&lt;&gt;"",G375,IF(OR(E375="Proposition envoyée",E375="Signature"),MAX(0,N(IFERROR(INDEX('Paramètres'!$R$6:$R$15,MATCH(IF(AL375&lt;&gt;"",AL375,IFERROR(INDEX('Prospects'!$AN$5:$AN$504,MATCH(C375,'Prospects'!$C$5:$C$504,0)),"")),'Paramètres'!$Q$6:$Q$15,0)),0))-N(P375)),0)))</f>
        <v/>
      </c>
      <c r="AX375" s="61">
        <f>IF(C375="","",IF(COUNTIF($C$5:C375,C375)=1,MAX($AX$4:AX374)+1,""))</f>
        <v/>
      </c>
      <c r="AY375" s="61">
        <f>IF(B375="","",HOUR(B375))</f>
        <v/>
      </c>
      <c r="AZ375" s="61">
        <f>IF(A375="","",MOD(A375-2,7)+1)</f>
        <v/>
      </c>
      <c r="BA375" s="60">
        <f>IF(C375="","",IFERROR(INDEX('Prospects'!$N$5:$N$504,MATCH(C375,'Prospects'!$C$5:$C$504,0)),""))</f>
        <v/>
      </c>
      <c r="BB375" s="61">
        <f>IF(AND(C375&lt;&gt;"",C375='Fiche prospect'!$C$4),COUNTIF($C$5:C375,C375),"")</f>
        <v/>
      </c>
    </row>
    <row r="376">
      <c r="A376" s="53" t="n"/>
      <c r="B376" s="54" t="n"/>
      <c r="C376" s="55" t="n"/>
      <c r="D376" s="55" t="n"/>
      <c r="E376" s="55" t="n"/>
      <c r="F376" s="55" t="n"/>
      <c r="G376" s="56" t="n"/>
      <c r="H376" s="57" t="n"/>
      <c r="I376" s="55" t="n"/>
      <c r="J376" s="53" t="n"/>
      <c r="K376" s="54" t="n"/>
      <c r="L376" s="55" t="n"/>
      <c r="M376" s="55" t="n"/>
      <c r="N376" s="57" t="n"/>
      <c r="O376" s="55" t="n"/>
      <c r="P376" s="56" t="n"/>
      <c r="Q376" s="55" t="n"/>
      <c r="R376" s="55" t="n"/>
      <c r="S376" s="55" t="n"/>
      <c r="T376" s="55" t="n"/>
      <c r="U376" s="55" t="n"/>
      <c r="V376" s="55" t="n"/>
      <c r="W376" s="58" t="n"/>
      <c r="X376" s="58" t="n"/>
      <c r="Y376" s="55" t="n"/>
      <c r="Z376" s="55" t="n"/>
      <c r="AA376" s="55" t="n"/>
      <c r="AB376" s="55" t="n"/>
      <c r="AC376" s="55" t="n"/>
      <c r="AD376" s="53" t="n"/>
      <c r="AE376" s="55" t="n"/>
      <c r="AF376" s="55" t="n"/>
      <c r="AG376" s="59" t="n"/>
      <c r="AH376" s="57" t="n"/>
      <c r="AI376" s="55" t="n"/>
      <c r="AJ376" s="55" t="n"/>
      <c r="AK376" s="55" t="n"/>
      <c r="AL376" s="55" t="n"/>
      <c r="AM376" s="56" t="n"/>
      <c r="AN376" s="55" t="n"/>
      <c r="AO376" s="55" t="n"/>
      <c r="AP376" s="55" t="n"/>
      <c r="AQ376" s="55" t="n"/>
      <c r="AR376" s="60">
        <f>IF(AND(C376="",E376=""),"",IF(A376="","⚠ Date manquante",IF(AND(C376="",E376&lt;&gt;"Dépense"),"⚠ Prospect manquant",IF(E376="","⚠ Action manquante",IF(AND(AU376=1,D376=""),"⚠ Canal manquant",IF(AND(W376&lt;&gt;"",COUNTIFS('Saisie'!$W$5:$W$2004,W376,'Saisie'!$C$5:$C$2004,"&lt;&gt;"&amp;C376)&gt;0),"⚠ Numéro déjà utilisé par un autre prospect",IF(AND(J376&lt;&gt;"",J376&lt;A376),"⚠ Relance avant la date de l'action",IF(A376&gt;TODAY(),"⚠ Date dans le futur","✓"))))))))</f>
        <v/>
      </c>
      <c r="AS376" s="61">
        <f>IF(AND(A376="",C376="",E376=""),"",ROW())</f>
        <v/>
      </c>
      <c r="AT376" s="61">
        <f>IF(E376&amp;F376="","",MAX(IFERROR(INDEX('Paramètres'!$J$6:$J$33,MATCH(E376,'Paramètres'!$I$6:$I$33,0)),0),IFERROR(INDEX('Paramètres'!$N$6:$N$17,MATCH(F376,'Paramètres'!$M$6:$M$17,0)),0)))</f>
        <v/>
      </c>
      <c r="AU376" s="61">
        <f>IF(E376="","",IFERROR(IF(INDEX('Paramètres'!$K$6:$K$33,MATCH(E376,'Paramètres'!$I$6:$I$33,0))="Oui",1,0),0))</f>
        <v/>
      </c>
      <c r="AV376" s="61">
        <f>IF(F376="","",IFERROR(IF(INDEX('Paramètres'!$O$6:$O$17,MATCH(F376,'Paramètres'!$M$6:$M$17,0))="Oui",1,0),0))</f>
        <v/>
      </c>
      <c r="AW376" s="62">
        <f>IF(E376="","",IF(G376&lt;&gt;"",G376,IF(OR(E376="Proposition envoyée",E376="Signature"),MAX(0,N(IFERROR(INDEX('Paramètres'!$R$6:$R$15,MATCH(IF(AL376&lt;&gt;"",AL376,IFERROR(INDEX('Prospects'!$AN$5:$AN$504,MATCH(C376,'Prospects'!$C$5:$C$504,0)),"")),'Paramètres'!$Q$6:$Q$15,0)),0))-N(P376)),0)))</f>
        <v/>
      </c>
      <c r="AX376" s="61">
        <f>IF(C376="","",IF(COUNTIF($C$5:C376,C376)=1,MAX($AX$4:AX375)+1,""))</f>
        <v/>
      </c>
      <c r="AY376" s="61">
        <f>IF(B376="","",HOUR(B376))</f>
        <v/>
      </c>
      <c r="AZ376" s="61">
        <f>IF(A376="","",MOD(A376-2,7)+1)</f>
        <v/>
      </c>
      <c r="BA376" s="60">
        <f>IF(C376="","",IFERROR(INDEX('Prospects'!$N$5:$N$504,MATCH(C376,'Prospects'!$C$5:$C$504,0)),""))</f>
        <v/>
      </c>
      <c r="BB376" s="61">
        <f>IF(AND(C376&lt;&gt;"",C376='Fiche prospect'!$C$4),COUNTIF($C$5:C376,C376),"")</f>
        <v/>
      </c>
    </row>
    <row r="377">
      <c r="A377" s="53" t="n"/>
      <c r="B377" s="54" t="n"/>
      <c r="C377" s="55" t="n"/>
      <c r="D377" s="55" t="n"/>
      <c r="E377" s="55" t="n"/>
      <c r="F377" s="55" t="n"/>
      <c r="G377" s="56" t="n"/>
      <c r="H377" s="57" t="n"/>
      <c r="I377" s="55" t="n"/>
      <c r="J377" s="53" t="n"/>
      <c r="K377" s="54" t="n"/>
      <c r="L377" s="55" t="n"/>
      <c r="M377" s="55" t="n"/>
      <c r="N377" s="57" t="n"/>
      <c r="O377" s="55" t="n"/>
      <c r="P377" s="56" t="n"/>
      <c r="Q377" s="55" t="n"/>
      <c r="R377" s="55" t="n"/>
      <c r="S377" s="55" t="n"/>
      <c r="T377" s="55" t="n"/>
      <c r="U377" s="55" t="n"/>
      <c r="V377" s="55" t="n"/>
      <c r="W377" s="58" t="n"/>
      <c r="X377" s="58" t="n"/>
      <c r="Y377" s="55" t="n"/>
      <c r="Z377" s="55" t="n"/>
      <c r="AA377" s="55" t="n"/>
      <c r="AB377" s="55" t="n"/>
      <c r="AC377" s="55" t="n"/>
      <c r="AD377" s="53" t="n"/>
      <c r="AE377" s="55" t="n"/>
      <c r="AF377" s="55" t="n"/>
      <c r="AG377" s="59" t="n"/>
      <c r="AH377" s="57" t="n"/>
      <c r="AI377" s="55" t="n"/>
      <c r="AJ377" s="55" t="n"/>
      <c r="AK377" s="55" t="n"/>
      <c r="AL377" s="55" t="n"/>
      <c r="AM377" s="56" t="n"/>
      <c r="AN377" s="55" t="n"/>
      <c r="AO377" s="55" t="n"/>
      <c r="AP377" s="55" t="n"/>
      <c r="AQ377" s="55" t="n"/>
      <c r="AR377" s="60">
        <f>IF(AND(C377="",E377=""),"",IF(A377="","⚠ Date manquante",IF(AND(C377="",E377&lt;&gt;"Dépense"),"⚠ Prospect manquant",IF(E377="","⚠ Action manquante",IF(AND(AU377=1,D377=""),"⚠ Canal manquant",IF(AND(W377&lt;&gt;"",COUNTIFS('Saisie'!$W$5:$W$2004,W377,'Saisie'!$C$5:$C$2004,"&lt;&gt;"&amp;C377)&gt;0),"⚠ Numéro déjà utilisé par un autre prospect",IF(AND(J377&lt;&gt;"",J377&lt;A377),"⚠ Relance avant la date de l'action",IF(A377&gt;TODAY(),"⚠ Date dans le futur","✓"))))))))</f>
        <v/>
      </c>
      <c r="AS377" s="61">
        <f>IF(AND(A377="",C377="",E377=""),"",ROW())</f>
        <v/>
      </c>
      <c r="AT377" s="61">
        <f>IF(E377&amp;F377="","",MAX(IFERROR(INDEX('Paramètres'!$J$6:$J$33,MATCH(E377,'Paramètres'!$I$6:$I$33,0)),0),IFERROR(INDEX('Paramètres'!$N$6:$N$17,MATCH(F377,'Paramètres'!$M$6:$M$17,0)),0)))</f>
        <v/>
      </c>
      <c r="AU377" s="61">
        <f>IF(E377="","",IFERROR(IF(INDEX('Paramètres'!$K$6:$K$33,MATCH(E377,'Paramètres'!$I$6:$I$33,0))="Oui",1,0),0))</f>
        <v/>
      </c>
      <c r="AV377" s="61">
        <f>IF(F377="","",IFERROR(IF(INDEX('Paramètres'!$O$6:$O$17,MATCH(F377,'Paramètres'!$M$6:$M$17,0))="Oui",1,0),0))</f>
        <v/>
      </c>
      <c r="AW377" s="62">
        <f>IF(E377="","",IF(G377&lt;&gt;"",G377,IF(OR(E377="Proposition envoyée",E377="Signature"),MAX(0,N(IFERROR(INDEX('Paramètres'!$R$6:$R$15,MATCH(IF(AL377&lt;&gt;"",AL377,IFERROR(INDEX('Prospects'!$AN$5:$AN$504,MATCH(C377,'Prospects'!$C$5:$C$504,0)),"")),'Paramètres'!$Q$6:$Q$15,0)),0))-N(P377)),0)))</f>
        <v/>
      </c>
      <c r="AX377" s="61">
        <f>IF(C377="","",IF(COUNTIF($C$5:C377,C377)=1,MAX($AX$4:AX376)+1,""))</f>
        <v/>
      </c>
      <c r="AY377" s="61">
        <f>IF(B377="","",HOUR(B377))</f>
        <v/>
      </c>
      <c r="AZ377" s="61">
        <f>IF(A377="","",MOD(A377-2,7)+1)</f>
        <v/>
      </c>
      <c r="BA377" s="60">
        <f>IF(C377="","",IFERROR(INDEX('Prospects'!$N$5:$N$504,MATCH(C377,'Prospects'!$C$5:$C$504,0)),""))</f>
        <v/>
      </c>
      <c r="BB377" s="61">
        <f>IF(AND(C377&lt;&gt;"",C377='Fiche prospect'!$C$4),COUNTIF($C$5:C377,C377),"")</f>
        <v/>
      </c>
    </row>
    <row r="378">
      <c r="A378" s="53" t="n"/>
      <c r="B378" s="54" t="n"/>
      <c r="C378" s="55" t="n"/>
      <c r="D378" s="55" t="n"/>
      <c r="E378" s="55" t="n"/>
      <c r="F378" s="55" t="n"/>
      <c r="G378" s="56" t="n"/>
      <c r="H378" s="57" t="n"/>
      <c r="I378" s="55" t="n"/>
      <c r="J378" s="53" t="n"/>
      <c r="K378" s="54" t="n"/>
      <c r="L378" s="55" t="n"/>
      <c r="M378" s="55" t="n"/>
      <c r="N378" s="57" t="n"/>
      <c r="O378" s="55" t="n"/>
      <c r="P378" s="56" t="n"/>
      <c r="Q378" s="55" t="n"/>
      <c r="R378" s="55" t="n"/>
      <c r="S378" s="55" t="n"/>
      <c r="T378" s="55" t="n"/>
      <c r="U378" s="55" t="n"/>
      <c r="V378" s="55" t="n"/>
      <c r="W378" s="58" t="n"/>
      <c r="X378" s="58" t="n"/>
      <c r="Y378" s="55" t="n"/>
      <c r="Z378" s="55" t="n"/>
      <c r="AA378" s="55" t="n"/>
      <c r="AB378" s="55" t="n"/>
      <c r="AC378" s="55" t="n"/>
      <c r="AD378" s="53" t="n"/>
      <c r="AE378" s="55" t="n"/>
      <c r="AF378" s="55" t="n"/>
      <c r="AG378" s="59" t="n"/>
      <c r="AH378" s="57" t="n"/>
      <c r="AI378" s="55" t="n"/>
      <c r="AJ378" s="55" t="n"/>
      <c r="AK378" s="55" t="n"/>
      <c r="AL378" s="55" t="n"/>
      <c r="AM378" s="56" t="n"/>
      <c r="AN378" s="55" t="n"/>
      <c r="AO378" s="55" t="n"/>
      <c r="AP378" s="55" t="n"/>
      <c r="AQ378" s="55" t="n"/>
      <c r="AR378" s="60">
        <f>IF(AND(C378="",E378=""),"",IF(A378="","⚠ Date manquante",IF(AND(C378="",E378&lt;&gt;"Dépense"),"⚠ Prospect manquant",IF(E378="","⚠ Action manquante",IF(AND(AU378=1,D378=""),"⚠ Canal manquant",IF(AND(W378&lt;&gt;"",COUNTIFS('Saisie'!$W$5:$W$2004,W378,'Saisie'!$C$5:$C$2004,"&lt;&gt;"&amp;C378)&gt;0),"⚠ Numéro déjà utilisé par un autre prospect",IF(AND(J378&lt;&gt;"",J378&lt;A378),"⚠ Relance avant la date de l'action",IF(A378&gt;TODAY(),"⚠ Date dans le futur","✓"))))))))</f>
        <v/>
      </c>
      <c r="AS378" s="61">
        <f>IF(AND(A378="",C378="",E378=""),"",ROW())</f>
        <v/>
      </c>
      <c r="AT378" s="61">
        <f>IF(E378&amp;F378="","",MAX(IFERROR(INDEX('Paramètres'!$J$6:$J$33,MATCH(E378,'Paramètres'!$I$6:$I$33,0)),0),IFERROR(INDEX('Paramètres'!$N$6:$N$17,MATCH(F378,'Paramètres'!$M$6:$M$17,0)),0)))</f>
        <v/>
      </c>
      <c r="AU378" s="61">
        <f>IF(E378="","",IFERROR(IF(INDEX('Paramètres'!$K$6:$K$33,MATCH(E378,'Paramètres'!$I$6:$I$33,0))="Oui",1,0),0))</f>
        <v/>
      </c>
      <c r="AV378" s="61">
        <f>IF(F378="","",IFERROR(IF(INDEX('Paramètres'!$O$6:$O$17,MATCH(F378,'Paramètres'!$M$6:$M$17,0))="Oui",1,0),0))</f>
        <v/>
      </c>
      <c r="AW378" s="62">
        <f>IF(E378="","",IF(G378&lt;&gt;"",G378,IF(OR(E378="Proposition envoyée",E378="Signature"),MAX(0,N(IFERROR(INDEX('Paramètres'!$R$6:$R$15,MATCH(IF(AL378&lt;&gt;"",AL378,IFERROR(INDEX('Prospects'!$AN$5:$AN$504,MATCH(C378,'Prospects'!$C$5:$C$504,0)),"")),'Paramètres'!$Q$6:$Q$15,0)),0))-N(P378)),0)))</f>
        <v/>
      </c>
      <c r="AX378" s="61">
        <f>IF(C378="","",IF(COUNTIF($C$5:C378,C378)=1,MAX($AX$4:AX377)+1,""))</f>
        <v/>
      </c>
      <c r="AY378" s="61">
        <f>IF(B378="","",HOUR(B378))</f>
        <v/>
      </c>
      <c r="AZ378" s="61">
        <f>IF(A378="","",MOD(A378-2,7)+1)</f>
        <v/>
      </c>
      <c r="BA378" s="60">
        <f>IF(C378="","",IFERROR(INDEX('Prospects'!$N$5:$N$504,MATCH(C378,'Prospects'!$C$5:$C$504,0)),""))</f>
        <v/>
      </c>
      <c r="BB378" s="61">
        <f>IF(AND(C378&lt;&gt;"",C378='Fiche prospect'!$C$4),COUNTIF($C$5:C378,C378),"")</f>
        <v/>
      </c>
    </row>
    <row r="379">
      <c r="A379" s="53" t="n"/>
      <c r="B379" s="54" t="n"/>
      <c r="C379" s="55" t="n"/>
      <c r="D379" s="55" t="n"/>
      <c r="E379" s="55" t="n"/>
      <c r="F379" s="55" t="n"/>
      <c r="G379" s="56" t="n"/>
      <c r="H379" s="57" t="n"/>
      <c r="I379" s="55" t="n"/>
      <c r="J379" s="53" t="n"/>
      <c r="K379" s="54" t="n"/>
      <c r="L379" s="55" t="n"/>
      <c r="M379" s="55" t="n"/>
      <c r="N379" s="57" t="n"/>
      <c r="O379" s="55" t="n"/>
      <c r="P379" s="56" t="n"/>
      <c r="Q379" s="55" t="n"/>
      <c r="R379" s="55" t="n"/>
      <c r="S379" s="55" t="n"/>
      <c r="T379" s="55" t="n"/>
      <c r="U379" s="55" t="n"/>
      <c r="V379" s="55" t="n"/>
      <c r="W379" s="58" t="n"/>
      <c r="X379" s="58" t="n"/>
      <c r="Y379" s="55" t="n"/>
      <c r="Z379" s="55" t="n"/>
      <c r="AA379" s="55" t="n"/>
      <c r="AB379" s="55" t="n"/>
      <c r="AC379" s="55" t="n"/>
      <c r="AD379" s="53" t="n"/>
      <c r="AE379" s="55" t="n"/>
      <c r="AF379" s="55" t="n"/>
      <c r="AG379" s="59" t="n"/>
      <c r="AH379" s="57" t="n"/>
      <c r="AI379" s="55" t="n"/>
      <c r="AJ379" s="55" t="n"/>
      <c r="AK379" s="55" t="n"/>
      <c r="AL379" s="55" t="n"/>
      <c r="AM379" s="56" t="n"/>
      <c r="AN379" s="55" t="n"/>
      <c r="AO379" s="55" t="n"/>
      <c r="AP379" s="55" t="n"/>
      <c r="AQ379" s="55" t="n"/>
      <c r="AR379" s="60">
        <f>IF(AND(C379="",E379=""),"",IF(A379="","⚠ Date manquante",IF(AND(C379="",E379&lt;&gt;"Dépense"),"⚠ Prospect manquant",IF(E379="","⚠ Action manquante",IF(AND(AU379=1,D379=""),"⚠ Canal manquant",IF(AND(W379&lt;&gt;"",COUNTIFS('Saisie'!$W$5:$W$2004,W379,'Saisie'!$C$5:$C$2004,"&lt;&gt;"&amp;C379)&gt;0),"⚠ Numéro déjà utilisé par un autre prospect",IF(AND(J379&lt;&gt;"",J379&lt;A379),"⚠ Relance avant la date de l'action",IF(A379&gt;TODAY(),"⚠ Date dans le futur","✓"))))))))</f>
        <v/>
      </c>
      <c r="AS379" s="61">
        <f>IF(AND(A379="",C379="",E379=""),"",ROW())</f>
        <v/>
      </c>
      <c r="AT379" s="61">
        <f>IF(E379&amp;F379="","",MAX(IFERROR(INDEX('Paramètres'!$J$6:$J$33,MATCH(E379,'Paramètres'!$I$6:$I$33,0)),0),IFERROR(INDEX('Paramètres'!$N$6:$N$17,MATCH(F379,'Paramètres'!$M$6:$M$17,0)),0)))</f>
        <v/>
      </c>
      <c r="AU379" s="61">
        <f>IF(E379="","",IFERROR(IF(INDEX('Paramètres'!$K$6:$K$33,MATCH(E379,'Paramètres'!$I$6:$I$33,0))="Oui",1,0),0))</f>
        <v/>
      </c>
      <c r="AV379" s="61">
        <f>IF(F379="","",IFERROR(IF(INDEX('Paramètres'!$O$6:$O$17,MATCH(F379,'Paramètres'!$M$6:$M$17,0))="Oui",1,0),0))</f>
        <v/>
      </c>
      <c r="AW379" s="62">
        <f>IF(E379="","",IF(G379&lt;&gt;"",G379,IF(OR(E379="Proposition envoyée",E379="Signature"),MAX(0,N(IFERROR(INDEX('Paramètres'!$R$6:$R$15,MATCH(IF(AL379&lt;&gt;"",AL379,IFERROR(INDEX('Prospects'!$AN$5:$AN$504,MATCH(C379,'Prospects'!$C$5:$C$504,0)),"")),'Paramètres'!$Q$6:$Q$15,0)),0))-N(P379)),0)))</f>
        <v/>
      </c>
      <c r="AX379" s="61">
        <f>IF(C379="","",IF(COUNTIF($C$5:C379,C379)=1,MAX($AX$4:AX378)+1,""))</f>
        <v/>
      </c>
      <c r="AY379" s="61">
        <f>IF(B379="","",HOUR(B379))</f>
        <v/>
      </c>
      <c r="AZ379" s="61">
        <f>IF(A379="","",MOD(A379-2,7)+1)</f>
        <v/>
      </c>
      <c r="BA379" s="60">
        <f>IF(C379="","",IFERROR(INDEX('Prospects'!$N$5:$N$504,MATCH(C379,'Prospects'!$C$5:$C$504,0)),""))</f>
        <v/>
      </c>
      <c r="BB379" s="61">
        <f>IF(AND(C379&lt;&gt;"",C379='Fiche prospect'!$C$4),COUNTIF($C$5:C379,C379),"")</f>
        <v/>
      </c>
    </row>
    <row r="380">
      <c r="A380" s="53" t="n"/>
      <c r="B380" s="54" t="n"/>
      <c r="C380" s="55" t="n"/>
      <c r="D380" s="55" t="n"/>
      <c r="E380" s="55" t="n"/>
      <c r="F380" s="55" t="n"/>
      <c r="G380" s="56" t="n"/>
      <c r="H380" s="57" t="n"/>
      <c r="I380" s="55" t="n"/>
      <c r="J380" s="53" t="n"/>
      <c r="K380" s="54" t="n"/>
      <c r="L380" s="55" t="n"/>
      <c r="M380" s="55" t="n"/>
      <c r="N380" s="57" t="n"/>
      <c r="O380" s="55" t="n"/>
      <c r="P380" s="56" t="n"/>
      <c r="Q380" s="55" t="n"/>
      <c r="R380" s="55" t="n"/>
      <c r="S380" s="55" t="n"/>
      <c r="T380" s="55" t="n"/>
      <c r="U380" s="55" t="n"/>
      <c r="V380" s="55" t="n"/>
      <c r="W380" s="58" t="n"/>
      <c r="X380" s="58" t="n"/>
      <c r="Y380" s="55" t="n"/>
      <c r="Z380" s="55" t="n"/>
      <c r="AA380" s="55" t="n"/>
      <c r="AB380" s="55" t="n"/>
      <c r="AC380" s="55" t="n"/>
      <c r="AD380" s="53" t="n"/>
      <c r="AE380" s="55" t="n"/>
      <c r="AF380" s="55" t="n"/>
      <c r="AG380" s="59" t="n"/>
      <c r="AH380" s="57" t="n"/>
      <c r="AI380" s="55" t="n"/>
      <c r="AJ380" s="55" t="n"/>
      <c r="AK380" s="55" t="n"/>
      <c r="AL380" s="55" t="n"/>
      <c r="AM380" s="56" t="n"/>
      <c r="AN380" s="55" t="n"/>
      <c r="AO380" s="55" t="n"/>
      <c r="AP380" s="55" t="n"/>
      <c r="AQ380" s="55" t="n"/>
      <c r="AR380" s="60">
        <f>IF(AND(C380="",E380=""),"",IF(A380="","⚠ Date manquante",IF(AND(C380="",E380&lt;&gt;"Dépense"),"⚠ Prospect manquant",IF(E380="","⚠ Action manquante",IF(AND(AU380=1,D380=""),"⚠ Canal manquant",IF(AND(W380&lt;&gt;"",COUNTIFS('Saisie'!$W$5:$W$2004,W380,'Saisie'!$C$5:$C$2004,"&lt;&gt;"&amp;C380)&gt;0),"⚠ Numéro déjà utilisé par un autre prospect",IF(AND(J380&lt;&gt;"",J380&lt;A380),"⚠ Relance avant la date de l'action",IF(A380&gt;TODAY(),"⚠ Date dans le futur","✓"))))))))</f>
        <v/>
      </c>
      <c r="AS380" s="61">
        <f>IF(AND(A380="",C380="",E380=""),"",ROW())</f>
        <v/>
      </c>
      <c r="AT380" s="61">
        <f>IF(E380&amp;F380="","",MAX(IFERROR(INDEX('Paramètres'!$J$6:$J$33,MATCH(E380,'Paramètres'!$I$6:$I$33,0)),0),IFERROR(INDEX('Paramètres'!$N$6:$N$17,MATCH(F380,'Paramètres'!$M$6:$M$17,0)),0)))</f>
        <v/>
      </c>
      <c r="AU380" s="61">
        <f>IF(E380="","",IFERROR(IF(INDEX('Paramètres'!$K$6:$K$33,MATCH(E380,'Paramètres'!$I$6:$I$33,0))="Oui",1,0),0))</f>
        <v/>
      </c>
      <c r="AV380" s="61">
        <f>IF(F380="","",IFERROR(IF(INDEX('Paramètres'!$O$6:$O$17,MATCH(F380,'Paramètres'!$M$6:$M$17,0))="Oui",1,0),0))</f>
        <v/>
      </c>
      <c r="AW380" s="62">
        <f>IF(E380="","",IF(G380&lt;&gt;"",G380,IF(OR(E380="Proposition envoyée",E380="Signature"),MAX(0,N(IFERROR(INDEX('Paramètres'!$R$6:$R$15,MATCH(IF(AL380&lt;&gt;"",AL380,IFERROR(INDEX('Prospects'!$AN$5:$AN$504,MATCH(C380,'Prospects'!$C$5:$C$504,0)),"")),'Paramètres'!$Q$6:$Q$15,0)),0))-N(P380)),0)))</f>
        <v/>
      </c>
      <c r="AX380" s="61">
        <f>IF(C380="","",IF(COUNTIF($C$5:C380,C380)=1,MAX($AX$4:AX379)+1,""))</f>
        <v/>
      </c>
      <c r="AY380" s="61">
        <f>IF(B380="","",HOUR(B380))</f>
        <v/>
      </c>
      <c r="AZ380" s="61">
        <f>IF(A380="","",MOD(A380-2,7)+1)</f>
        <v/>
      </c>
      <c r="BA380" s="60">
        <f>IF(C380="","",IFERROR(INDEX('Prospects'!$N$5:$N$504,MATCH(C380,'Prospects'!$C$5:$C$504,0)),""))</f>
        <v/>
      </c>
      <c r="BB380" s="61">
        <f>IF(AND(C380&lt;&gt;"",C380='Fiche prospect'!$C$4),COUNTIF($C$5:C380,C380),"")</f>
        <v/>
      </c>
    </row>
    <row r="381">
      <c r="A381" s="53" t="n"/>
      <c r="B381" s="54" t="n"/>
      <c r="C381" s="55" t="n"/>
      <c r="D381" s="55" t="n"/>
      <c r="E381" s="55" t="n"/>
      <c r="F381" s="55" t="n"/>
      <c r="G381" s="56" t="n"/>
      <c r="H381" s="57" t="n"/>
      <c r="I381" s="55" t="n"/>
      <c r="J381" s="53" t="n"/>
      <c r="K381" s="54" t="n"/>
      <c r="L381" s="55" t="n"/>
      <c r="M381" s="55" t="n"/>
      <c r="N381" s="57" t="n"/>
      <c r="O381" s="55" t="n"/>
      <c r="P381" s="56" t="n"/>
      <c r="Q381" s="55" t="n"/>
      <c r="R381" s="55" t="n"/>
      <c r="S381" s="55" t="n"/>
      <c r="T381" s="55" t="n"/>
      <c r="U381" s="55" t="n"/>
      <c r="V381" s="55" t="n"/>
      <c r="W381" s="58" t="n"/>
      <c r="X381" s="58" t="n"/>
      <c r="Y381" s="55" t="n"/>
      <c r="Z381" s="55" t="n"/>
      <c r="AA381" s="55" t="n"/>
      <c r="AB381" s="55" t="n"/>
      <c r="AC381" s="55" t="n"/>
      <c r="AD381" s="53" t="n"/>
      <c r="AE381" s="55" t="n"/>
      <c r="AF381" s="55" t="n"/>
      <c r="AG381" s="59" t="n"/>
      <c r="AH381" s="57" t="n"/>
      <c r="AI381" s="55" t="n"/>
      <c r="AJ381" s="55" t="n"/>
      <c r="AK381" s="55" t="n"/>
      <c r="AL381" s="55" t="n"/>
      <c r="AM381" s="56" t="n"/>
      <c r="AN381" s="55" t="n"/>
      <c r="AO381" s="55" t="n"/>
      <c r="AP381" s="55" t="n"/>
      <c r="AQ381" s="55" t="n"/>
      <c r="AR381" s="60">
        <f>IF(AND(C381="",E381=""),"",IF(A381="","⚠ Date manquante",IF(AND(C381="",E381&lt;&gt;"Dépense"),"⚠ Prospect manquant",IF(E381="","⚠ Action manquante",IF(AND(AU381=1,D381=""),"⚠ Canal manquant",IF(AND(W381&lt;&gt;"",COUNTIFS('Saisie'!$W$5:$W$2004,W381,'Saisie'!$C$5:$C$2004,"&lt;&gt;"&amp;C381)&gt;0),"⚠ Numéro déjà utilisé par un autre prospect",IF(AND(J381&lt;&gt;"",J381&lt;A381),"⚠ Relance avant la date de l'action",IF(A381&gt;TODAY(),"⚠ Date dans le futur","✓"))))))))</f>
        <v/>
      </c>
      <c r="AS381" s="61">
        <f>IF(AND(A381="",C381="",E381=""),"",ROW())</f>
        <v/>
      </c>
      <c r="AT381" s="61">
        <f>IF(E381&amp;F381="","",MAX(IFERROR(INDEX('Paramètres'!$J$6:$J$33,MATCH(E381,'Paramètres'!$I$6:$I$33,0)),0),IFERROR(INDEX('Paramètres'!$N$6:$N$17,MATCH(F381,'Paramètres'!$M$6:$M$17,0)),0)))</f>
        <v/>
      </c>
      <c r="AU381" s="61">
        <f>IF(E381="","",IFERROR(IF(INDEX('Paramètres'!$K$6:$K$33,MATCH(E381,'Paramètres'!$I$6:$I$33,0))="Oui",1,0),0))</f>
        <v/>
      </c>
      <c r="AV381" s="61">
        <f>IF(F381="","",IFERROR(IF(INDEX('Paramètres'!$O$6:$O$17,MATCH(F381,'Paramètres'!$M$6:$M$17,0))="Oui",1,0),0))</f>
        <v/>
      </c>
      <c r="AW381" s="62">
        <f>IF(E381="","",IF(G381&lt;&gt;"",G381,IF(OR(E381="Proposition envoyée",E381="Signature"),MAX(0,N(IFERROR(INDEX('Paramètres'!$R$6:$R$15,MATCH(IF(AL381&lt;&gt;"",AL381,IFERROR(INDEX('Prospects'!$AN$5:$AN$504,MATCH(C381,'Prospects'!$C$5:$C$504,0)),"")),'Paramètres'!$Q$6:$Q$15,0)),0))-N(P381)),0)))</f>
        <v/>
      </c>
      <c r="AX381" s="61">
        <f>IF(C381="","",IF(COUNTIF($C$5:C381,C381)=1,MAX($AX$4:AX380)+1,""))</f>
        <v/>
      </c>
      <c r="AY381" s="61">
        <f>IF(B381="","",HOUR(B381))</f>
        <v/>
      </c>
      <c r="AZ381" s="61">
        <f>IF(A381="","",MOD(A381-2,7)+1)</f>
        <v/>
      </c>
      <c r="BA381" s="60">
        <f>IF(C381="","",IFERROR(INDEX('Prospects'!$N$5:$N$504,MATCH(C381,'Prospects'!$C$5:$C$504,0)),""))</f>
        <v/>
      </c>
      <c r="BB381" s="61">
        <f>IF(AND(C381&lt;&gt;"",C381='Fiche prospect'!$C$4),COUNTIF($C$5:C381,C381),"")</f>
        <v/>
      </c>
    </row>
    <row r="382">
      <c r="A382" s="53" t="n"/>
      <c r="B382" s="54" t="n"/>
      <c r="C382" s="55" t="n"/>
      <c r="D382" s="55" t="n"/>
      <c r="E382" s="55" t="n"/>
      <c r="F382" s="55" t="n"/>
      <c r="G382" s="56" t="n"/>
      <c r="H382" s="57" t="n"/>
      <c r="I382" s="55" t="n"/>
      <c r="J382" s="53" t="n"/>
      <c r="K382" s="54" t="n"/>
      <c r="L382" s="55" t="n"/>
      <c r="M382" s="55" t="n"/>
      <c r="N382" s="57" t="n"/>
      <c r="O382" s="55" t="n"/>
      <c r="P382" s="56" t="n"/>
      <c r="Q382" s="55" t="n"/>
      <c r="R382" s="55" t="n"/>
      <c r="S382" s="55" t="n"/>
      <c r="T382" s="55" t="n"/>
      <c r="U382" s="55" t="n"/>
      <c r="V382" s="55" t="n"/>
      <c r="W382" s="58" t="n"/>
      <c r="X382" s="58" t="n"/>
      <c r="Y382" s="55" t="n"/>
      <c r="Z382" s="55" t="n"/>
      <c r="AA382" s="55" t="n"/>
      <c r="AB382" s="55" t="n"/>
      <c r="AC382" s="55" t="n"/>
      <c r="AD382" s="53" t="n"/>
      <c r="AE382" s="55" t="n"/>
      <c r="AF382" s="55" t="n"/>
      <c r="AG382" s="59" t="n"/>
      <c r="AH382" s="57" t="n"/>
      <c r="AI382" s="55" t="n"/>
      <c r="AJ382" s="55" t="n"/>
      <c r="AK382" s="55" t="n"/>
      <c r="AL382" s="55" t="n"/>
      <c r="AM382" s="56" t="n"/>
      <c r="AN382" s="55" t="n"/>
      <c r="AO382" s="55" t="n"/>
      <c r="AP382" s="55" t="n"/>
      <c r="AQ382" s="55" t="n"/>
      <c r="AR382" s="60">
        <f>IF(AND(C382="",E382=""),"",IF(A382="","⚠ Date manquante",IF(AND(C382="",E382&lt;&gt;"Dépense"),"⚠ Prospect manquant",IF(E382="","⚠ Action manquante",IF(AND(AU382=1,D382=""),"⚠ Canal manquant",IF(AND(W382&lt;&gt;"",COUNTIFS('Saisie'!$W$5:$W$2004,W382,'Saisie'!$C$5:$C$2004,"&lt;&gt;"&amp;C382)&gt;0),"⚠ Numéro déjà utilisé par un autre prospect",IF(AND(J382&lt;&gt;"",J382&lt;A382),"⚠ Relance avant la date de l'action",IF(A382&gt;TODAY(),"⚠ Date dans le futur","✓"))))))))</f>
        <v/>
      </c>
      <c r="AS382" s="61">
        <f>IF(AND(A382="",C382="",E382=""),"",ROW())</f>
        <v/>
      </c>
      <c r="AT382" s="61">
        <f>IF(E382&amp;F382="","",MAX(IFERROR(INDEX('Paramètres'!$J$6:$J$33,MATCH(E382,'Paramètres'!$I$6:$I$33,0)),0),IFERROR(INDEX('Paramètres'!$N$6:$N$17,MATCH(F382,'Paramètres'!$M$6:$M$17,0)),0)))</f>
        <v/>
      </c>
      <c r="AU382" s="61">
        <f>IF(E382="","",IFERROR(IF(INDEX('Paramètres'!$K$6:$K$33,MATCH(E382,'Paramètres'!$I$6:$I$33,0))="Oui",1,0),0))</f>
        <v/>
      </c>
      <c r="AV382" s="61">
        <f>IF(F382="","",IFERROR(IF(INDEX('Paramètres'!$O$6:$O$17,MATCH(F382,'Paramètres'!$M$6:$M$17,0))="Oui",1,0),0))</f>
        <v/>
      </c>
      <c r="AW382" s="62">
        <f>IF(E382="","",IF(G382&lt;&gt;"",G382,IF(OR(E382="Proposition envoyée",E382="Signature"),MAX(0,N(IFERROR(INDEX('Paramètres'!$R$6:$R$15,MATCH(IF(AL382&lt;&gt;"",AL382,IFERROR(INDEX('Prospects'!$AN$5:$AN$504,MATCH(C382,'Prospects'!$C$5:$C$504,0)),"")),'Paramètres'!$Q$6:$Q$15,0)),0))-N(P382)),0)))</f>
        <v/>
      </c>
      <c r="AX382" s="61">
        <f>IF(C382="","",IF(COUNTIF($C$5:C382,C382)=1,MAX($AX$4:AX381)+1,""))</f>
        <v/>
      </c>
      <c r="AY382" s="61">
        <f>IF(B382="","",HOUR(B382))</f>
        <v/>
      </c>
      <c r="AZ382" s="61">
        <f>IF(A382="","",MOD(A382-2,7)+1)</f>
        <v/>
      </c>
      <c r="BA382" s="60">
        <f>IF(C382="","",IFERROR(INDEX('Prospects'!$N$5:$N$504,MATCH(C382,'Prospects'!$C$5:$C$504,0)),""))</f>
        <v/>
      </c>
      <c r="BB382" s="61">
        <f>IF(AND(C382&lt;&gt;"",C382='Fiche prospect'!$C$4),COUNTIF($C$5:C382,C382),"")</f>
        <v/>
      </c>
    </row>
    <row r="383">
      <c r="A383" s="53" t="n"/>
      <c r="B383" s="54" t="n"/>
      <c r="C383" s="55" t="n"/>
      <c r="D383" s="55" t="n"/>
      <c r="E383" s="55" t="n"/>
      <c r="F383" s="55" t="n"/>
      <c r="G383" s="56" t="n"/>
      <c r="H383" s="57" t="n"/>
      <c r="I383" s="55" t="n"/>
      <c r="J383" s="53" t="n"/>
      <c r="K383" s="54" t="n"/>
      <c r="L383" s="55" t="n"/>
      <c r="M383" s="55" t="n"/>
      <c r="N383" s="57" t="n"/>
      <c r="O383" s="55" t="n"/>
      <c r="P383" s="56" t="n"/>
      <c r="Q383" s="55" t="n"/>
      <c r="R383" s="55" t="n"/>
      <c r="S383" s="55" t="n"/>
      <c r="T383" s="55" t="n"/>
      <c r="U383" s="55" t="n"/>
      <c r="V383" s="55" t="n"/>
      <c r="W383" s="58" t="n"/>
      <c r="X383" s="58" t="n"/>
      <c r="Y383" s="55" t="n"/>
      <c r="Z383" s="55" t="n"/>
      <c r="AA383" s="55" t="n"/>
      <c r="AB383" s="55" t="n"/>
      <c r="AC383" s="55" t="n"/>
      <c r="AD383" s="53" t="n"/>
      <c r="AE383" s="55" t="n"/>
      <c r="AF383" s="55" t="n"/>
      <c r="AG383" s="59" t="n"/>
      <c r="AH383" s="57" t="n"/>
      <c r="AI383" s="55" t="n"/>
      <c r="AJ383" s="55" t="n"/>
      <c r="AK383" s="55" t="n"/>
      <c r="AL383" s="55" t="n"/>
      <c r="AM383" s="56" t="n"/>
      <c r="AN383" s="55" t="n"/>
      <c r="AO383" s="55" t="n"/>
      <c r="AP383" s="55" t="n"/>
      <c r="AQ383" s="55" t="n"/>
      <c r="AR383" s="60">
        <f>IF(AND(C383="",E383=""),"",IF(A383="","⚠ Date manquante",IF(AND(C383="",E383&lt;&gt;"Dépense"),"⚠ Prospect manquant",IF(E383="","⚠ Action manquante",IF(AND(AU383=1,D383=""),"⚠ Canal manquant",IF(AND(W383&lt;&gt;"",COUNTIFS('Saisie'!$W$5:$W$2004,W383,'Saisie'!$C$5:$C$2004,"&lt;&gt;"&amp;C383)&gt;0),"⚠ Numéro déjà utilisé par un autre prospect",IF(AND(J383&lt;&gt;"",J383&lt;A383),"⚠ Relance avant la date de l'action",IF(A383&gt;TODAY(),"⚠ Date dans le futur","✓"))))))))</f>
        <v/>
      </c>
      <c r="AS383" s="61">
        <f>IF(AND(A383="",C383="",E383=""),"",ROW())</f>
        <v/>
      </c>
      <c r="AT383" s="61">
        <f>IF(E383&amp;F383="","",MAX(IFERROR(INDEX('Paramètres'!$J$6:$J$33,MATCH(E383,'Paramètres'!$I$6:$I$33,0)),0),IFERROR(INDEX('Paramètres'!$N$6:$N$17,MATCH(F383,'Paramètres'!$M$6:$M$17,0)),0)))</f>
        <v/>
      </c>
      <c r="AU383" s="61">
        <f>IF(E383="","",IFERROR(IF(INDEX('Paramètres'!$K$6:$K$33,MATCH(E383,'Paramètres'!$I$6:$I$33,0))="Oui",1,0),0))</f>
        <v/>
      </c>
      <c r="AV383" s="61">
        <f>IF(F383="","",IFERROR(IF(INDEX('Paramètres'!$O$6:$O$17,MATCH(F383,'Paramètres'!$M$6:$M$17,0))="Oui",1,0),0))</f>
        <v/>
      </c>
      <c r="AW383" s="62">
        <f>IF(E383="","",IF(G383&lt;&gt;"",G383,IF(OR(E383="Proposition envoyée",E383="Signature"),MAX(0,N(IFERROR(INDEX('Paramètres'!$R$6:$R$15,MATCH(IF(AL383&lt;&gt;"",AL383,IFERROR(INDEX('Prospects'!$AN$5:$AN$504,MATCH(C383,'Prospects'!$C$5:$C$504,0)),"")),'Paramètres'!$Q$6:$Q$15,0)),0))-N(P383)),0)))</f>
        <v/>
      </c>
      <c r="AX383" s="61">
        <f>IF(C383="","",IF(COUNTIF($C$5:C383,C383)=1,MAX($AX$4:AX382)+1,""))</f>
        <v/>
      </c>
      <c r="AY383" s="61">
        <f>IF(B383="","",HOUR(B383))</f>
        <v/>
      </c>
      <c r="AZ383" s="61">
        <f>IF(A383="","",MOD(A383-2,7)+1)</f>
        <v/>
      </c>
      <c r="BA383" s="60">
        <f>IF(C383="","",IFERROR(INDEX('Prospects'!$N$5:$N$504,MATCH(C383,'Prospects'!$C$5:$C$504,0)),""))</f>
        <v/>
      </c>
      <c r="BB383" s="61">
        <f>IF(AND(C383&lt;&gt;"",C383='Fiche prospect'!$C$4),COUNTIF($C$5:C383,C383),"")</f>
        <v/>
      </c>
    </row>
    <row r="384">
      <c r="A384" s="53" t="n"/>
      <c r="B384" s="54" t="n"/>
      <c r="C384" s="55" t="n"/>
      <c r="D384" s="55" t="n"/>
      <c r="E384" s="55" t="n"/>
      <c r="F384" s="55" t="n"/>
      <c r="G384" s="56" t="n"/>
      <c r="H384" s="57" t="n"/>
      <c r="I384" s="55" t="n"/>
      <c r="J384" s="53" t="n"/>
      <c r="K384" s="54" t="n"/>
      <c r="L384" s="55" t="n"/>
      <c r="M384" s="55" t="n"/>
      <c r="N384" s="57" t="n"/>
      <c r="O384" s="55" t="n"/>
      <c r="P384" s="56" t="n"/>
      <c r="Q384" s="55" t="n"/>
      <c r="R384" s="55" t="n"/>
      <c r="S384" s="55" t="n"/>
      <c r="T384" s="55" t="n"/>
      <c r="U384" s="55" t="n"/>
      <c r="V384" s="55" t="n"/>
      <c r="W384" s="58" t="n"/>
      <c r="X384" s="58" t="n"/>
      <c r="Y384" s="55" t="n"/>
      <c r="Z384" s="55" t="n"/>
      <c r="AA384" s="55" t="n"/>
      <c r="AB384" s="55" t="n"/>
      <c r="AC384" s="55" t="n"/>
      <c r="AD384" s="53" t="n"/>
      <c r="AE384" s="55" t="n"/>
      <c r="AF384" s="55" t="n"/>
      <c r="AG384" s="59" t="n"/>
      <c r="AH384" s="57" t="n"/>
      <c r="AI384" s="55" t="n"/>
      <c r="AJ384" s="55" t="n"/>
      <c r="AK384" s="55" t="n"/>
      <c r="AL384" s="55" t="n"/>
      <c r="AM384" s="56" t="n"/>
      <c r="AN384" s="55" t="n"/>
      <c r="AO384" s="55" t="n"/>
      <c r="AP384" s="55" t="n"/>
      <c r="AQ384" s="55" t="n"/>
      <c r="AR384" s="60">
        <f>IF(AND(C384="",E384=""),"",IF(A384="","⚠ Date manquante",IF(AND(C384="",E384&lt;&gt;"Dépense"),"⚠ Prospect manquant",IF(E384="","⚠ Action manquante",IF(AND(AU384=1,D384=""),"⚠ Canal manquant",IF(AND(W384&lt;&gt;"",COUNTIFS('Saisie'!$W$5:$W$2004,W384,'Saisie'!$C$5:$C$2004,"&lt;&gt;"&amp;C384)&gt;0),"⚠ Numéro déjà utilisé par un autre prospect",IF(AND(J384&lt;&gt;"",J384&lt;A384),"⚠ Relance avant la date de l'action",IF(A384&gt;TODAY(),"⚠ Date dans le futur","✓"))))))))</f>
        <v/>
      </c>
      <c r="AS384" s="61">
        <f>IF(AND(A384="",C384="",E384=""),"",ROW())</f>
        <v/>
      </c>
      <c r="AT384" s="61">
        <f>IF(E384&amp;F384="","",MAX(IFERROR(INDEX('Paramètres'!$J$6:$J$33,MATCH(E384,'Paramètres'!$I$6:$I$33,0)),0),IFERROR(INDEX('Paramètres'!$N$6:$N$17,MATCH(F384,'Paramètres'!$M$6:$M$17,0)),0)))</f>
        <v/>
      </c>
      <c r="AU384" s="61">
        <f>IF(E384="","",IFERROR(IF(INDEX('Paramètres'!$K$6:$K$33,MATCH(E384,'Paramètres'!$I$6:$I$33,0))="Oui",1,0),0))</f>
        <v/>
      </c>
      <c r="AV384" s="61">
        <f>IF(F384="","",IFERROR(IF(INDEX('Paramètres'!$O$6:$O$17,MATCH(F384,'Paramètres'!$M$6:$M$17,0))="Oui",1,0),0))</f>
        <v/>
      </c>
      <c r="AW384" s="62">
        <f>IF(E384="","",IF(G384&lt;&gt;"",G384,IF(OR(E384="Proposition envoyée",E384="Signature"),MAX(0,N(IFERROR(INDEX('Paramètres'!$R$6:$R$15,MATCH(IF(AL384&lt;&gt;"",AL384,IFERROR(INDEX('Prospects'!$AN$5:$AN$504,MATCH(C384,'Prospects'!$C$5:$C$504,0)),"")),'Paramètres'!$Q$6:$Q$15,0)),0))-N(P384)),0)))</f>
        <v/>
      </c>
      <c r="AX384" s="61">
        <f>IF(C384="","",IF(COUNTIF($C$5:C384,C384)=1,MAX($AX$4:AX383)+1,""))</f>
        <v/>
      </c>
      <c r="AY384" s="61">
        <f>IF(B384="","",HOUR(B384))</f>
        <v/>
      </c>
      <c r="AZ384" s="61">
        <f>IF(A384="","",MOD(A384-2,7)+1)</f>
        <v/>
      </c>
      <c r="BA384" s="60">
        <f>IF(C384="","",IFERROR(INDEX('Prospects'!$N$5:$N$504,MATCH(C384,'Prospects'!$C$5:$C$504,0)),""))</f>
        <v/>
      </c>
      <c r="BB384" s="61">
        <f>IF(AND(C384&lt;&gt;"",C384='Fiche prospect'!$C$4),COUNTIF($C$5:C384,C384),"")</f>
        <v/>
      </c>
    </row>
    <row r="385">
      <c r="A385" s="53" t="n"/>
      <c r="B385" s="54" t="n"/>
      <c r="C385" s="55" t="n"/>
      <c r="D385" s="55" t="n"/>
      <c r="E385" s="55" t="n"/>
      <c r="F385" s="55" t="n"/>
      <c r="G385" s="56" t="n"/>
      <c r="H385" s="57" t="n"/>
      <c r="I385" s="55" t="n"/>
      <c r="J385" s="53" t="n"/>
      <c r="K385" s="54" t="n"/>
      <c r="L385" s="55" t="n"/>
      <c r="M385" s="55" t="n"/>
      <c r="N385" s="57" t="n"/>
      <c r="O385" s="55" t="n"/>
      <c r="P385" s="56" t="n"/>
      <c r="Q385" s="55" t="n"/>
      <c r="R385" s="55" t="n"/>
      <c r="S385" s="55" t="n"/>
      <c r="T385" s="55" t="n"/>
      <c r="U385" s="55" t="n"/>
      <c r="V385" s="55" t="n"/>
      <c r="W385" s="58" t="n"/>
      <c r="X385" s="58" t="n"/>
      <c r="Y385" s="55" t="n"/>
      <c r="Z385" s="55" t="n"/>
      <c r="AA385" s="55" t="n"/>
      <c r="AB385" s="55" t="n"/>
      <c r="AC385" s="55" t="n"/>
      <c r="AD385" s="53" t="n"/>
      <c r="AE385" s="55" t="n"/>
      <c r="AF385" s="55" t="n"/>
      <c r="AG385" s="59" t="n"/>
      <c r="AH385" s="57" t="n"/>
      <c r="AI385" s="55" t="n"/>
      <c r="AJ385" s="55" t="n"/>
      <c r="AK385" s="55" t="n"/>
      <c r="AL385" s="55" t="n"/>
      <c r="AM385" s="56" t="n"/>
      <c r="AN385" s="55" t="n"/>
      <c r="AO385" s="55" t="n"/>
      <c r="AP385" s="55" t="n"/>
      <c r="AQ385" s="55" t="n"/>
      <c r="AR385" s="60">
        <f>IF(AND(C385="",E385=""),"",IF(A385="","⚠ Date manquante",IF(AND(C385="",E385&lt;&gt;"Dépense"),"⚠ Prospect manquant",IF(E385="","⚠ Action manquante",IF(AND(AU385=1,D385=""),"⚠ Canal manquant",IF(AND(W385&lt;&gt;"",COUNTIFS('Saisie'!$W$5:$W$2004,W385,'Saisie'!$C$5:$C$2004,"&lt;&gt;"&amp;C385)&gt;0),"⚠ Numéro déjà utilisé par un autre prospect",IF(AND(J385&lt;&gt;"",J385&lt;A385),"⚠ Relance avant la date de l'action",IF(A385&gt;TODAY(),"⚠ Date dans le futur","✓"))))))))</f>
        <v/>
      </c>
      <c r="AS385" s="61">
        <f>IF(AND(A385="",C385="",E385=""),"",ROW())</f>
        <v/>
      </c>
      <c r="AT385" s="61">
        <f>IF(E385&amp;F385="","",MAX(IFERROR(INDEX('Paramètres'!$J$6:$J$33,MATCH(E385,'Paramètres'!$I$6:$I$33,0)),0),IFERROR(INDEX('Paramètres'!$N$6:$N$17,MATCH(F385,'Paramètres'!$M$6:$M$17,0)),0)))</f>
        <v/>
      </c>
      <c r="AU385" s="61">
        <f>IF(E385="","",IFERROR(IF(INDEX('Paramètres'!$K$6:$K$33,MATCH(E385,'Paramètres'!$I$6:$I$33,0))="Oui",1,0),0))</f>
        <v/>
      </c>
      <c r="AV385" s="61">
        <f>IF(F385="","",IFERROR(IF(INDEX('Paramètres'!$O$6:$O$17,MATCH(F385,'Paramètres'!$M$6:$M$17,0))="Oui",1,0),0))</f>
        <v/>
      </c>
      <c r="AW385" s="62">
        <f>IF(E385="","",IF(G385&lt;&gt;"",G385,IF(OR(E385="Proposition envoyée",E385="Signature"),MAX(0,N(IFERROR(INDEX('Paramètres'!$R$6:$R$15,MATCH(IF(AL385&lt;&gt;"",AL385,IFERROR(INDEX('Prospects'!$AN$5:$AN$504,MATCH(C385,'Prospects'!$C$5:$C$504,0)),"")),'Paramètres'!$Q$6:$Q$15,0)),0))-N(P385)),0)))</f>
        <v/>
      </c>
      <c r="AX385" s="61">
        <f>IF(C385="","",IF(COUNTIF($C$5:C385,C385)=1,MAX($AX$4:AX384)+1,""))</f>
        <v/>
      </c>
      <c r="AY385" s="61">
        <f>IF(B385="","",HOUR(B385))</f>
        <v/>
      </c>
      <c r="AZ385" s="61">
        <f>IF(A385="","",MOD(A385-2,7)+1)</f>
        <v/>
      </c>
      <c r="BA385" s="60">
        <f>IF(C385="","",IFERROR(INDEX('Prospects'!$N$5:$N$504,MATCH(C385,'Prospects'!$C$5:$C$504,0)),""))</f>
        <v/>
      </c>
      <c r="BB385" s="61">
        <f>IF(AND(C385&lt;&gt;"",C385='Fiche prospect'!$C$4),COUNTIF($C$5:C385,C385),"")</f>
        <v/>
      </c>
    </row>
    <row r="386">
      <c r="A386" s="53" t="n"/>
      <c r="B386" s="54" t="n"/>
      <c r="C386" s="55" t="n"/>
      <c r="D386" s="55" t="n"/>
      <c r="E386" s="55" t="n"/>
      <c r="F386" s="55" t="n"/>
      <c r="G386" s="56" t="n"/>
      <c r="H386" s="57" t="n"/>
      <c r="I386" s="55" t="n"/>
      <c r="J386" s="53" t="n"/>
      <c r="K386" s="54" t="n"/>
      <c r="L386" s="55" t="n"/>
      <c r="M386" s="55" t="n"/>
      <c r="N386" s="57" t="n"/>
      <c r="O386" s="55" t="n"/>
      <c r="P386" s="56" t="n"/>
      <c r="Q386" s="55" t="n"/>
      <c r="R386" s="55" t="n"/>
      <c r="S386" s="55" t="n"/>
      <c r="T386" s="55" t="n"/>
      <c r="U386" s="55" t="n"/>
      <c r="V386" s="55" t="n"/>
      <c r="W386" s="58" t="n"/>
      <c r="X386" s="58" t="n"/>
      <c r="Y386" s="55" t="n"/>
      <c r="Z386" s="55" t="n"/>
      <c r="AA386" s="55" t="n"/>
      <c r="AB386" s="55" t="n"/>
      <c r="AC386" s="55" t="n"/>
      <c r="AD386" s="53" t="n"/>
      <c r="AE386" s="55" t="n"/>
      <c r="AF386" s="55" t="n"/>
      <c r="AG386" s="59" t="n"/>
      <c r="AH386" s="57" t="n"/>
      <c r="AI386" s="55" t="n"/>
      <c r="AJ386" s="55" t="n"/>
      <c r="AK386" s="55" t="n"/>
      <c r="AL386" s="55" t="n"/>
      <c r="AM386" s="56" t="n"/>
      <c r="AN386" s="55" t="n"/>
      <c r="AO386" s="55" t="n"/>
      <c r="AP386" s="55" t="n"/>
      <c r="AQ386" s="55" t="n"/>
      <c r="AR386" s="60">
        <f>IF(AND(C386="",E386=""),"",IF(A386="","⚠ Date manquante",IF(AND(C386="",E386&lt;&gt;"Dépense"),"⚠ Prospect manquant",IF(E386="","⚠ Action manquante",IF(AND(AU386=1,D386=""),"⚠ Canal manquant",IF(AND(W386&lt;&gt;"",COUNTIFS('Saisie'!$W$5:$W$2004,W386,'Saisie'!$C$5:$C$2004,"&lt;&gt;"&amp;C386)&gt;0),"⚠ Numéro déjà utilisé par un autre prospect",IF(AND(J386&lt;&gt;"",J386&lt;A386),"⚠ Relance avant la date de l'action",IF(A386&gt;TODAY(),"⚠ Date dans le futur","✓"))))))))</f>
        <v/>
      </c>
      <c r="AS386" s="61">
        <f>IF(AND(A386="",C386="",E386=""),"",ROW())</f>
        <v/>
      </c>
      <c r="AT386" s="61">
        <f>IF(E386&amp;F386="","",MAX(IFERROR(INDEX('Paramètres'!$J$6:$J$33,MATCH(E386,'Paramètres'!$I$6:$I$33,0)),0),IFERROR(INDEX('Paramètres'!$N$6:$N$17,MATCH(F386,'Paramètres'!$M$6:$M$17,0)),0)))</f>
        <v/>
      </c>
      <c r="AU386" s="61">
        <f>IF(E386="","",IFERROR(IF(INDEX('Paramètres'!$K$6:$K$33,MATCH(E386,'Paramètres'!$I$6:$I$33,0))="Oui",1,0),0))</f>
        <v/>
      </c>
      <c r="AV386" s="61">
        <f>IF(F386="","",IFERROR(IF(INDEX('Paramètres'!$O$6:$O$17,MATCH(F386,'Paramètres'!$M$6:$M$17,0))="Oui",1,0),0))</f>
        <v/>
      </c>
      <c r="AW386" s="62">
        <f>IF(E386="","",IF(G386&lt;&gt;"",G386,IF(OR(E386="Proposition envoyée",E386="Signature"),MAX(0,N(IFERROR(INDEX('Paramètres'!$R$6:$R$15,MATCH(IF(AL386&lt;&gt;"",AL386,IFERROR(INDEX('Prospects'!$AN$5:$AN$504,MATCH(C386,'Prospects'!$C$5:$C$504,0)),"")),'Paramètres'!$Q$6:$Q$15,0)),0))-N(P386)),0)))</f>
        <v/>
      </c>
      <c r="AX386" s="61">
        <f>IF(C386="","",IF(COUNTIF($C$5:C386,C386)=1,MAX($AX$4:AX385)+1,""))</f>
        <v/>
      </c>
      <c r="AY386" s="61">
        <f>IF(B386="","",HOUR(B386))</f>
        <v/>
      </c>
      <c r="AZ386" s="61">
        <f>IF(A386="","",MOD(A386-2,7)+1)</f>
        <v/>
      </c>
      <c r="BA386" s="60">
        <f>IF(C386="","",IFERROR(INDEX('Prospects'!$N$5:$N$504,MATCH(C386,'Prospects'!$C$5:$C$504,0)),""))</f>
        <v/>
      </c>
      <c r="BB386" s="61">
        <f>IF(AND(C386&lt;&gt;"",C386='Fiche prospect'!$C$4),COUNTIF($C$5:C386,C386),"")</f>
        <v/>
      </c>
    </row>
    <row r="387">
      <c r="A387" s="53" t="n"/>
      <c r="B387" s="54" t="n"/>
      <c r="C387" s="55" t="n"/>
      <c r="D387" s="55" t="n"/>
      <c r="E387" s="55" t="n"/>
      <c r="F387" s="55" t="n"/>
      <c r="G387" s="56" t="n"/>
      <c r="H387" s="57" t="n"/>
      <c r="I387" s="55" t="n"/>
      <c r="J387" s="53" t="n"/>
      <c r="K387" s="54" t="n"/>
      <c r="L387" s="55" t="n"/>
      <c r="M387" s="55" t="n"/>
      <c r="N387" s="57" t="n"/>
      <c r="O387" s="55" t="n"/>
      <c r="P387" s="56" t="n"/>
      <c r="Q387" s="55" t="n"/>
      <c r="R387" s="55" t="n"/>
      <c r="S387" s="55" t="n"/>
      <c r="T387" s="55" t="n"/>
      <c r="U387" s="55" t="n"/>
      <c r="V387" s="55" t="n"/>
      <c r="W387" s="58" t="n"/>
      <c r="X387" s="58" t="n"/>
      <c r="Y387" s="55" t="n"/>
      <c r="Z387" s="55" t="n"/>
      <c r="AA387" s="55" t="n"/>
      <c r="AB387" s="55" t="n"/>
      <c r="AC387" s="55" t="n"/>
      <c r="AD387" s="53" t="n"/>
      <c r="AE387" s="55" t="n"/>
      <c r="AF387" s="55" t="n"/>
      <c r="AG387" s="59" t="n"/>
      <c r="AH387" s="57" t="n"/>
      <c r="AI387" s="55" t="n"/>
      <c r="AJ387" s="55" t="n"/>
      <c r="AK387" s="55" t="n"/>
      <c r="AL387" s="55" t="n"/>
      <c r="AM387" s="56" t="n"/>
      <c r="AN387" s="55" t="n"/>
      <c r="AO387" s="55" t="n"/>
      <c r="AP387" s="55" t="n"/>
      <c r="AQ387" s="55" t="n"/>
      <c r="AR387" s="60">
        <f>IF(AND(C387="",E387=""),"",IF(A387="","⚠ Date manquante",IF(AND(C387="",E387&lt;&gt;"Dépense"),"⚠ Prospect manquant",IF(E387="","⚠ Action manquante",IF(AND(AU387=1,D387=""),"⚠ Canal manquant",IF(AND(W387&lt;&gt;"",COUNTIFS('Saisie'!$W$5:$W$2004,W387,'Saisie'!$C$5:$C$2004,"&lt;&gt;"&amp;C387)&gt;0),"⚠ Numéro déjà utilisé par un autre prospect",IF(AND(J387&lt;&gt;"",J387&lt;A387),"⚠ Relance avant la date de l'action",IF(A387&gt;TODAY(),"⚠ Date dans le futur","✓"))))))))</f>
        <v/>
      </c>
      <c r="AS387" s="61">
        <f>IF(AND(A387="",C387="",E387=""),"",ROW())</f>
        <v/>
      </c>
      <c r="AT387" s="61">
        <f>IF(E387&amp;F387="","",MAX(IFERROR(INDEX('Paramètres'!$J$6:$J$33,MATCH(E387,'Paramètres'!$I$6:$I$33,0)),0),IFERROR(INDEX('Paramètres'!$N$6:$N$17,MATCH(F387,'Paramètres'!$M$6:$M$17,0)),0)))</f>
        <v/>
      </c>
      <c r="AU387" s="61">
        <f>IF(E387="","",IFERROR(IF(INDEX('Paramètres'!$K$6:$K$33,MATCH(E387,'Paramètres'!$I$6:$I$33,0))="Oui",1,0),0))</f>
        <v/>
      </c>
      <c r="AV387" s="61">
        <f>IF(F387="","",IFERROR(IF(INDEX('Paramètres'!$O$6:$O$17,MATCH(F387,'Paramètres'!$M$6:$M$17,0))="Oui",1,0),0))</f>
        <v/>
      </c>
      <c r="AW387" s="62">
        <f>IF(E387="","",IF(G387&lt;&gt;"",G387,IF(OR(E387="Proposition envoyée",E387="Signature"),MAX(0,N(IFERROR(INDEX('Paramètres'!$R$6:$R$15,MATCH(IF(AL387&lt;&gt;"",AL387,IFERROR(INDEX('Prospects'!$AN$5:$AN$504,MATCH(C387,'Prospects'!$C$5:$C$504,0)),"")),'Paramètres'!$Q$6:$Q$15,0)),0))-N(P387)),0)))</f>
        <v/>
      </c>
      <c r="AX387" s="61">
        <f>IF(C387="","",IF(COUNTIF($C$5:C387,C387)=1,MAX($AX$4:AX386)+1,""))</f>
        <v/>
      </c>
      <c r="AY387" s="61">
        <f>IF(B387="","",HOUR(B387))</f>
        <v/>
      </c>
      <c r="AZ387" s="61">
        <f>IF(A387="","",MOD(A387-2,7)+1)</f>
        <v/>
      </c>
      <c r="BA387" s="60">
        <f>IF(C387="","",IFERROR(INDEX('Prospects'!$N$5:$N$504,MATCH(C387,'Prospects'!$C$5:$C$504,0)),""))</f>
        <v/>
      </c>
      <c r="BB387" s="61">
        <f>IF(AND(C387&lt;&gt;"",C387='Fiche prospect'!$C$4),COUNTIF($C$5:C387,C387),"")</f>
        <v/>
      </c>
    </row>
    <row r="388">
      <c r="A388" s="53" t="n"/>
      <c r="B388" s="54" t="n"/>
      <c r="C388" s="55" t="n"/>
      <c r="D388" s="55" t="n"/>
      <c r="E388" s="55" t="n"/>
      <c r="F388" s="55" t="n"/>
      <c r="G388" s="56" t="n"/>
      <c r="H388" s="57" t="n"/>
      <c r="I388" s="55" t="n"/>
      <c r="J388" s="53" t="n"/>
      <c r="K388" s="54" t="n"/>
      <c r="L388" s="55" t="n"/>
      <c r="M388" s="55" t="n"/>
      <c r="N388" s="57" t="n"/>
      <c r="O388" s="55" t="n"/>
      <c r="P388" s="56" t="n"/>
      <c r="Q388" s="55" t="n"/>
      <c r="R388" s="55" t="n"/>
      <c r="S388" s="55" t="n"/>
      <c r="T388" s="55" t="n"/>
      <c r="U388" s="55" t="n"/>
      <c r="V388" s="55" t="n"/>
      <c r="W388" s="58" t="n"/>
      <c r="X388" s="58" t="n"/>
      <c r="Y388" s="55" t="n"/>
      <c r="Z388" s="55" t="n"/>
      <c r="AA388" s="55" t="n"/>
      <c r="AB388" s="55" t="n"/>
      <c r="AC388" s="55" t="n"/>
      <c r="AD388" s="53" t="n"/>
      <c r="AE388" s="55" t="n"/>
      <c r="AF388" s="55" t="n"/>
      <c r="AG388" s="59" t="n"/>
      <c r="AH388" s="57" t="n"/>
      <c r="AI388" s="55" t="n"/>
      <c r="AJ388" s="55" t="n"/>
      <c r="AK388" s="55" t="n"/>
      <c r="AL388" s="55" t="n"/>
      <c r="AM388" s="56" t="n"/>
      <c r="AN388" s="55" t="n"/>
      <c r="AO388" s="55" t="n"/>
      <c r="AP388" s="55" t="n"/>
      <c r="AQ388" s="55" t="n"/>
      <c r="AR388" s="60">
        <f>IF(AND(C388="",E388=""),"",IF(A388="","⚠ Date manquante",IF(AND(C388="",E388&lt;&gt;"Dépense"),"⚠ Prospect manquant",IF(E388="","⚠ Action manquante",IF(AND(AU388=1,D388=""),"⚠ Canal manquant",IF(AND(W388&lt;&gt;"",COUNTIFS('Saisie'!$W$5:$W$2004,W388,'Saisie'!$C$5:$C$2004,"&lt;&gt;"&amp;C388)&gt;0),"⚠ Numéro déjà utilisé par un autre prospect",IF(AND(J388&lt;&gt;"",J388&lt;A388),"⚠ Relance avant la date de l'action",IF(A388&gt;TODAY(),"⚠ Date dans le futur","✓"))))))))</f>
        <v/>
      </c>
      <c r="AS388" s="61">
        <f>IF(AND(A388="",C388="",E388=""),"",ROW())</f>
        <v/>
      </c>
      <c r="AT388" s="61">
        <f>IF(E388&amp;F388="","",MAX(IFERROR(INDEX('Paramètres'!$J$6:$J$33,MATCH(E388,'Paramètres'!$I$6:$I$33,0)),0),IFERROR(INDEX('Paramètres'!$N$6:$N$17,MATCH(F388,'Paramètres'!$M$6:$M$17,0)),0)))</f>
        <v/>
      </c>
      <c r="AU388" s="61">
        <f>IF(E388="","",IFERROR(IF(INDEX('Paramètres'!$K$6:$K$33,MATCH(E388,'Paramètres'!$I$6:$I$33,0))="Oui",1,0),0))</f>
        <v/>
      </c>
      <c r="AV388" s="61">
        <f>IF(F388="","",IFERROR(IF(INDEX('Paramètres'!$O$6:$O$17,MATCH(F388,'Paramètres'!$M$6:$M$17,0))="Oui",1,0),0))</f>
        <v/>
      </c>
      <c r="AW388" s="62">
        <f>IF(E388="","",IF(G388&lt;&gt;"",G388,IF(OR(E388="Proposition envoyée",E388="Signature"),MAX(0,N(IFERROR(INDEX('Paramètres'!$R$6:$R$15,MATCH(IF(AL388&lt;&gt;"",AL388,IFERROR(INDEX('Prospects'!$AN$5:$AN$504,MATCH(C388,'Prospects'!$C$5:$C$504,0)),"")),'Paramètres'!$Q$6:$Q$15,0)),0))-N(P388)),0)))</f>
        <v/>
      </c>
      <c r="AX388" s="61">
        <f>IF(C388="","",IF(COUNTIF($C$5:C388,C388)=1,MAX($AX$4:AX387)+1,""))</f>
        <v/>
      </c>
      <c r="AY388" s="61">
        <f>IF(B388="","",HOUR(B388))</f>
        <v/>
      </c>
      <c r="AZ388" s="61">
        <f>IF(A388="","",MOD(A388-2,7)+1)</f>
        <v/>
      </c>
      <c r="BA388" s="60">
        <f>IF(C388="","",IFERROR(INDEX('Prospects'!$N$5:$N$504,MATCH(C388,'Prospects'!$C$5:$C$504,0)),""))</f>
        <v/>
      </c>
      <c r="BB388" s="61">
        <f>IF(AND(C388&lt;&gt;"",C388='Fiche prospect'!$C$4),COUNTIF($C$5:C388,C388),"")</f>
        <v/>
      </c>
    </row>
    <row r="389">
      <c r="A389" s="53" t="n"/>
      <c r="B389" s="54" t="n"/>
      <c r="C389" s="55" t="n"/>
      <c r="D389" s="55" t="n"/>
      <c r="E389" s="55" t="n"/>
      <c r="F389" s="55" t="n"/>
      <c r="G389" s="56" t="n"/>
      <c r="H389" s="57" t="n"/>
      <c r="I389" s="55" t="n"/>
      <c r="J389" s="53" t="n"/>
      <c r="K389" s="54" t="n"/>
      <c r="L389" s="55" t="n"/>
      <c r="M389" s="55" t="n"/>
      <c r="N389" s="57" t="n"/>
      <c r="O389" s="55" t="n"/>
      <c r="P389" s="56" t="n"/>
      <c r="Q389" s="55" t="n"/>
      <c r="R389" s="55" t="n"/>
      <c r="S389" s="55" t="n"/>
      <c r="T389" s="55" t="n"/>
      <c r="U389" s="55" t="n"/>
      <c r="V389" s="55" t="n"/>
      <c r="W389" s="58" t="n"/>
      <c r="X389" s="58" t="n"/>
      <c r="Y389" s="55" t="n"/>
      <c r="Z389" s="55" t="n"/>
      <c r="AA389" s="55" t="n"/>
      <c r="AB389" s="55" t="n"/>
      <c r="AC389" s="55" t="n"/>
      <c r="AD389" s="53" t="n"/>
      <c r="AE389" s="55" t="n"/>
      <c r="AF389" s="55" t="n"/>
      <c r="AG389" s="59" t="n"/>
      <c r="AH389" s="57" t="n"/>
      <c r="AI389" s="55" t="n"/>
      <c r="AJ389" s="55" t="n"/>
      <c r="AK389" s="55" t="n"/>
      <c r="AL389" s="55" t="n"/>
      <c r="AM389" s="56" t="n"/>
      <c r="AN389" s="55" t="n"/>
      <c r="AO389" s="55" t="n"/>
      <c r="AP389" s="55" t="n"/>
      <c r="AQ389" s="55" t="n"/>
      <c r="AR389" s="60">
        <f>IF(AND(C389="",E389=""),"",IF(A389="","⚠ Date manquante",IF(AND(C389="",E389&lt;&gt;"Dépense"),"⚠ Prospect manquant",IF(E389="","⚠ Action manquante",IF(AND(AU389=1,D389=""),"⚠ Canal manquant",IF(AND(W389&lt;&gt;"",COUNTIFS('Saisie'!$W$5:$W$2004,W389,'Saisie'!$C$5:$C$2004,"&lt;&gt;"&amp;C389)&gt;0),"⚠ Numéro déjà utilisé par un autre prospect",IF(AND(J389&lt;&gt;"",J389&lt;A389),"⚠ Relance avant la date de l'action",IF(A389&gt;TODAY(),"⚠ Date dans le futur","✓"))))))))</f>
        <v/>
      </c>
      <c r="AS389" s="61">
        <f>IF(AND(A389="",C389="",E389=""),"",ROW())</f>
        <v/>
      </c>
      <c r="AT389" s="61">
        <f>IF(E389&amp;F389="","",MAX(IFERROR(INDEX('Paramètres'!$J$6:$J$33,MATCH(E389,'Paramètres'!$I$6:$I$33,0)),0),IFERROR(INDEX('Paramètres'!$N$6:$N$17,MATCH(F389,'Paramètres'!$M$6:$M$17,0)),0)))</f>
        <v/>
      </c>
      <c r="AU389" s="61">
        <f>IF(E389="","",IFERROR(IF(INDEX('Paramètres'!$K$6:$K$33,MATCH(E389,'Paramètres'!$I$6:$I$33,0))="Oui",1,0),0))</f>
        <v/>
      </c>
      <c r="AV389" s="61">
        <f>IF(F389="","",IFERROR(IF(INDEX('Paramètres'!$O$6:$O$17,MATCH(F389,'Paramètres'!$M$6:$M$17,0))="Oui",1,0),0))</f>
        <v/>
      </c>
      <c r="AW389" s="62">
        <f>IF(E389="","",IF(G389&lt;&gt;"",G389,IF(OR(E389="Proposition envoyée",E389="Signature"),MAX(0,N(IFERROR(INDEX('Paramètres'!$R$6:$R$15,MATCH(IF(AL389&lt;&gt;"",AL389,IFERROR(INDEX('Prospects'!$AN$5:$AN$504,MATCH(C389,'Prospects'!$C$5:$C$504,0)),"")),'Paramètres'!$Q$6:$Q$15,0)),0))-N(P389)),0)))</f>
        <v/>
      </c>
      <c r="AX389" s="61">
        <f>IF(C389="","",IF(COUNTIF($C$5:C389,C389)=1,MAX($AX$4:AX388)+1,""))</f>
        <v/>
      </c>
      <c r="AY389" s="61">
        <f>IF(B389="","",HOUR(B389))</f>
        <v/>
      </c>
      <c r="AZ389" s="61">
        <f>IF(A389="","",MOD(A389-2,7)+1)</f>
        <v/>
      </c>
      <c r="BA389" s="60">
        <f>IF(C389="","",IFERROR(INDEX('Prospects'!$N$5:$N$504,MATCH(C389,'Prospects'!$C$5:$C$504,0)),""))</f>
        <v/>
      </c>
      <c r="BB389" s="61">
        <f>IF(AND(C389&lt;&gt;"",C389='Fiche prospect'!$C$4),COUNTIF($C$5:C389,C389),"")</f>
        <v/>
      </c>
    </row>
    <row r="390">
      <c r="A390" s="53" t="n"/>
      <c r="B390" s="54" t="n"/>
      <c r="C390" s="55" t="n"/>
      <c r="D390" s="55" t="n"/>
      <c r="E390" s="55" t="n"/>
      <c r="F390" s="55" t="n"/>
      <c r="G390" s="56" t="n"/>
      <c r="H390" s="57" t="n"/>
      <c r="I390" s="55" t="n"/>
      <c r="J390" s="53" t="n"/>
      <c r="K390" s="54" t="n"/>
      <c r="L390" s="55" t="n"/>
      <c r="M390" s="55" t="n"/>
      <c r="N390" s="57" t="n"/>
      <c r="O390" s="55" t="n"/>
      <c r="P390" s="56" t="n"/>
      <c r="Q390" s="55" t="n"/>
      <c r="R390" s="55" t="n"/>
      <c r="S390" s="55" t="n"/>
      <c r="T390" s="55" t="n"/>
      <c r="U390" s="55" t="n"/>
      <c r="V390" s="55" t="n"/>
      <c r="W390" s="58" t="n"/>
      <c r="X390" s="58" t="n"/>
      <c r="Y390" s="55" t="n"/>
      <c r="Z390" s="55" t="n"/>
      <c r="AA390" s="55" t="n"/>
      <c r="AB390" s="55" t="n"/>
      <c r="AC390" s="55" t="n"/>
      <c r="AD390" s="53" t="n"/>
      <c r="AE390" s="55" t="n"/>
      <c r="AF390" s="55" t="n"/>
      <c r="AG390" s="59" t="n"/>
      <c r="AH390" s="57" t="n"/>
      <c r="AI390" s="55" t="n"/>
      <c r="AJ390" s="55" t="n"/>
      <c r="AK390" s="55" t="n"/>
      <c r="AL390" s="55" t="n"/>
      <c r="AM390" s="56" t="n"/>
      <c r="AN390" s="55" t="n"/>
      <c r="AO390" s="55" t="n"/>
      <c r="AP390" s="55" t="n"/>
      <c r="AQ390" s="55" t="n"/>
      <c r="AR390" s="60">
        <f>IF(AND(C390="",E390=""),"",IF(A390="","⚠ Date manquante",IF(AND(C390="",E390&lt;&gt;"Dépense"),"⚠ Prospect manquant",IF(E390="","⚠ Action manquante",IF(AND(AU390=1,D390=""),"⚠ Canal manquant",IF(AND(W390&lt;&gt;"",COUNTIFS('Saisie'!$W$5:$W$2004,W390,'Saisie'!$C$5:$C$2004,"&lt;&gt;"&amp;C390)&gt;0),"⚠ Numéro déjà utilisé par un autre prospect",IF(AND(J390&lt;&gt;"",J390&lt;A390),"⚠ Relance avant la date de l'action",IF(A390&gt;TODAY(),"⚠ Date dans le futur","✓"))))))))</f>
        <v/>
      </c>
      <c r="AS390" s="61">
        <f>IF(AND(A390="",C390="",E390=""),"",ROW())</f>
        <v/>
      </c>
      <c r="AT390" s="61">
        <f>IF(E390&amp;F390="","",MAX(IFERROR(INDEX('Paramètres'!$J$6:$J$33,MATCH(E390,'Paramètres'!$I$6:$I$33,0)),0),IFERROR(INDEX('Paramètres'!$N$6:$N$17,MATCH(F390,'Paramètres'!$M$6:$M$17,0)),0)))</f>
        <v/>
      </c>
      <c r="AU390" s="61">
        <f>IF(E390="","",IFERROR(IF(INDEX('Paramètres'!$K$6:$K$33,MATCH(E390,'Paramètres'!$I$6:$I$33,0))="Oui",1,0),0))</f>
        <v/>
      </c>
      <c r="AV390" s="61">
        <f>IF(F390="","",IFERROR(IF(INDEX('Paramètres'!$O$6:$O$17,MATCH(F390,'Paramètres'!$M$6:$M$17,0))="Oui",1,0),0))</f>
        <v/>
      </c>
      <c r="AW390" s="62">
        <f>IF(E390="","",IF(G390&lt;&gt;"",G390,IF(OR(E390="Proposition envoyée",E390="Signature"),MAX(0,N(IFERROR(INDEX('Paramètres'!$R$6:$R$15,MATCH(IF(AL390&lt;&gt;"",AL390,IFERROR(INDEX('Prospects'!$AN$5:$AN$504,MATCH(C390,'Prospects'!$C$5:$C$504,0)),"")),'Paramètres'!$Q$6:$Q$15,0)),0))-N(P390)),0)))</f>
        <v/>
      </c>
      <c r="AX390" s="61">
        <f>IF(C390="","",IF(COUNTIF($C$5:C390,C390)=1,MAX($AX$4:AX389)+1,""))</f>
        <v/>
      </c>
      <c r="AY390" s="61">
        <f>IF(B390="","",HOUR(B390))</f>
        <v/>
      </c>
      <c r="AZ390" s="61">
        <f>IF(A390="","",MOD(A390-2,7)+1)</f>
        <v/>
      </c>
      <c r="BA390" s="60">
        <f>IF(C390="","",IFERROR(INDEX('Prospects'!$N$5:$N$504,MATCH(C390,'Prospects'!$C$5:$C$504,0)),""))</f>
        <v/>
      </c>
      <c r="BB390" s="61">
        <f>IF(AND(C390&lt;&gt;"",C390='Fiche prospect'!$C$4),COUNTIF($C$5:C390,C390),"")</f>
        <v/>
      </c>
    </row>
    <row r="391">
      <c r="A391" s="53" t="n"/>
      <c r="B391" s="54" t="n"/>
      <c r="C391" s="55" t="n"/>
      <c r="D391" s="55" t="n"/>
      <c r="E391" s="55" t="n"/>
      <c r="F391" s="55" t="n"/>
      <c r="G391" s="56" t="n"/>
      <c r="H391" s="57" t="n"/>
      <c r="I391" s="55" t="n"/>
      <c r="J391" s="53" t="n"/>
      <c r="K391" s="54" t="n"/>
      <c r="L391" s="55" t="n"/>
      <c r="M391" s="55" t="n"/>
      <c r="N391" s="57" t="n"/>
      <c r="O391" s="55" t="n"/>
      <c r="P391" s="56" t="n"/>
      <c r="Q391" s="55" t="n"/>
      <c r="R391" s="55" t="n"/>
      <c r="S391" s="55" t="n"/>
      <c r="T391" s="55" t="n"/>
      <c r="U391" s="55" t="n"/>
      <c r="V391" s="55" t="n"/>
      <c r="W391" s="58" t="n"/>
      <c r="X391" s="58" t="n"/>
      <c r="Y391" s="55" t="n"/>
      <c r="Z391" s="55" t="n"/>
      <c r="AA391" s="55" t="n"/>
      <c r="AB391" s="55" t="n"/>
      <c r="AC391" s="55" t="n"/>
      <c r="AD391" s="53" t="n"/>
      <c r="AE391" s="55" t="n"/>
      <c r="AF391" s="55" t="n"/>
      <c r="AG391" s="59" t="n"/>
      <c r="AH391" s="57" t="n"/>
      <c r="AI391" s="55" t="n"/>
      <c r="AJ391" s="55" t="n"/>
      <c r="AK391" s="55" t="n"/>
      <c r="AL391" s="55" t="n"/>
      <c r="AM391" s="56" t="n"/>
      <c r="AN391" s="55" t="n"/>
      <c r="AO391" s="55" t="n"/>
      <c r="AP391" s="55" t="n"/>
      <c r="AQ391" s="55" t="n"/>
      <c r="AR391" s="60">
        <f>IF(AND(C391="",E391=""),"",IF(A391="","⚠ Date manquante",IF(AND(C391="",E391&lt;&gt;"Dépense"),"⚠ Prospect manquant",IF(E391="","⚠ Action manquante",IF(AND(AU391=1,D391=""),"⚠ Canal manquant",IF(AND(W391&lt;&gt;"",COUNTIFS('Saisie'!$W$5:$W$2004,W391,'Saisie'!$C$5:$C$2004,"&lt;&gt;"&amp;C391)&gt;0),"⚠ Numéro déjà utilisé par un autre prospect",IF(AND(J391&lt;&gt;"",J391&lt;A391),"⚠ Relance avant la date de l'action",IF(A391&gt;TODAY(),"⚠ Date dans le futur","✓"))))))))</f>
        <v/>
      </c>
      <c r="AS391" s="61">
        <f>IF(AND(A391="",C391="",E391=""),"",ROW())</f>
        <v/>
      </c>
      <c r="AT391" s="61">
        <f>IF(E391&amp;F391="","",MAX(IFERROR(INDEX('Paramètres'!$J$6:$J$33,MATCH(E391,'Paramètres'!$I$6:$I$33,0)),0),IFERROR(INDEX('Paramètres'!$N$6:$N$17,MATCH(F391,'Paramètres'!$M$6:$M$17,0)),0)))</f>
        <v/>
      </c>
      <c r="AU391" s="61">
        <f>IF(E391="","",IFERROR(IF(INDEX('Paramètres'!$K$6:$K$33,MATCH(E391,'Paramètres'!$I$6:$I$33,0))="Oui",1,0),0))</f>
        <v/>
      </c>
      <c r="AV391" s="61">
        <f>IF(F391="","",IFERROR(IF(INDEX('Paramètres'!$O$6:$O$17,MATCH(F391,'Paramètres'!$M$6:$M$17,0))="Oui",1,0),0))</f>
        <v/>
      </c>
      <c r="AW391" s="62">
        <f>IF(E391="","",IF(G391&lt;&gt;"",G391,IF(OR(E391="Proposition envoyée",E391="Signature"),MAX(0,N(IFERROR(INDEX('Paramètres'!$R$6:$R$15,MATCH(IF(AL391&lt;&gt;"",AL391,IFERROR(INDEX('Prospects'!$AN$5:$AN$504,MATCH(C391,'Prospects'!$C$5:$C$504,0)),"")),'Paramètres'!$Q$6:$Q$15,0)),0))-N(P391)),0)))</f>
        <v/>
      </c>
      <c r="AX391" s="61">
        <f>IF(C391="","",IF(COUNTIF($C$5:C391,C391)=1,MAX($AX$4:AX390)+1,""))</f>
        <v/>
      </c>
      <c r="AY391" s="61">
        <f>IF(B391="","",HOUR(B391))</f>
        <v/>
      </c>
      <c r="AZ391" s="61">
        <f>IF(A391="","",MOD(A391-2,7)+1)</f>
        <v/>
      </c>
      <c r="BA391" s="60">
        <f>IF(C391="","",IFERROR(INDEX('Prospects'!$N$5:$N$504,MATCH(C391,'Prospects'!$C$5:$C$504,0)),""))</f>
        <v/>
      </c>
      <c r="BB391" s="61">
        <f>IF(AND(C391&lt;&gt;"",C391='Fiche prospect'!$C$4),COUNTIF($C$5:C391,C391),"")</f>
        <v/>
      </c>
    </row>
    <row r="392">
      <c r="A392" s="53" t="n"/>
      <c r="B392" s="54" t="n"/>
      <c r="C392" s="55" t="n"/>
      <c r="D392" s="55" t="n"/>
      <c r="E392" s="55" t="n"/>
      <c r="F392" s="55" t="n"/>
      <c r="G392" s="56" t="n"/>
      <c r="H392" s="57" t="n"/>
      <c r="I392" s="55" t="n"/>
      <c r="J392" s="53" t="n"/>
      <c r="K392" s="54" t="n"/>
      <c r="L392" s="55" t="n"/>
      <c r="M392" s="55" t="n"/>
      <c r="N392" s="57" t="n"/>
      <c r="O392" s="55" t="n"/>
      <c r="P392" s="56" t="n"/>
      <c r="Q392" s="55" t="n"/>
      <c r="R392" s="55" t="n"/>
      <c r="S392" s="55" t="n"/>
      <c r="T392" s="55" t="n"/>
      <c r="U392" s="55" t="n"/>
      <c r="V392" s="55" t="n"/>
      <c r="W392" s="58" t="n"/>
      <c r="X392" s="58" t="n"/>
      <c r="Y392" s="55" t="n"/>
      <c r="Z392" s="55" t="n"/>
      <c r="AA392" s="55" t="n"/>
      <c r="AB392" s="55" t="n"/>
      <c r="AC392" s="55" t="n"/>
      <c r="AD392" s="53" t="n"/>
      <c r="AE392" s="55" t="n"/>
      <c r="AF392" s="55" t="n"/>
      <c r="AG392" s="59" t="n"/>
      <c r="AH392" s="57" t="n"/>
      <c r="AI392" s="55" t="n"/>
      <c r="AJ392" s="55" t="n"/>
      <c r="AK392" s="55" t="n"/>
      <c r="AL392" s="55" t="n"/>
      <c r="AM392" s="56" t="n"/>
      <c r="AN392" s="55" t="n"/>
      <c r="AO392" s="55" t="n"/>
      <c r="AP392" s="55" t="n"/>
      <c r="AQ392" s="55" t="n"/>
      <c r="AR392" s="60">
        <f>IF(AND(C392="",E392=""),"",IF(A392="","⚠ Date manquante",IF(AND(C392="",E392&lt;&gt;"Dépense"),"⚠ Prospect manquant",IF(E392="","⚠ Action manquante",IF(AND(AU392=1,D392=""),"⚠ Canal manquant",IF(AND(W392&lt;&gt;"",COUNTIFS('Saisie'!$W$5:$W$2004,W392,'Saisie'!$C$5:$C$2004,"&lt;&gt;"&amp;C392)&gt;0),"⚠ Numéro déjà utilisé par un autre prospect",IF(AND(J392&lt;&gt;"",J392&lt;A392),"⚠ Relance avant la date de l'action",IF(A392&gt;TODAY(),"⚠ Date dans le futur","✓"))))))))</f>
        <v/>
      </c>
      <c r="AS392" s="61">
        <f>IF(AND(A392="",C392="",E392=""),"",ROW())</f>
        <v/>
      </c>
      <c r="AT392" s="61">
        <f>IF(E392&amp;F392="","",MAX(IFERROR(INDEX('Paramètres'!$J$6:$J$33,MATCH(E392,'Paramètres'!$I$6:$I$33,0)),0),IFERROR(INDEX('Paramètres'!$N$6:$N$17,MATCH(F392,'Paramètres'!$M$6:$M$17,0)),0)))</f>
        <v/>
      </c>
      <c r="AU392" s="61">
        <f>IF(E392="","",IFERROR(IF(INDEX('Paramètres'!$K$6:$K$33,MATCH(E392,'Paramètres'!$I$6:$I$33,0))="Oui",1,0),0))</f>
        <v/>
      </c>
      <c r="AV392" s="61">
        <f>IF(F392="","",IFERROR(IF(INDEX('Paramètres'!$O$6:$O$17,MATCH(F392,'Paramètres'!$M$6:$M$17,0))="Oui",1,0),0))</f>
        <v/>
      </c>
      <c r="AW392" s="62">
        <f>IF(E392="","",IF(G392&lt;&gt;"",G392,IF(OR(E392="Proposition envoyée",E392="Signature"),MAX(0,N(IFERROR(INDEX('Paramètres'!$R$6:$R$15,MATCH(IF(AL392&lt;&gt;"",AL392,IFERROR(INDEX('Prospects'!$AN$5:$AN$504,MATCH(C392,'Prospects'!$C$5:$C$504,0)),"")),'Paramètres'!$Q$6:$Q$15,0)),0))-N(P392)),0)))</f>
        <v/>
      </c>
      <c r="AX392" s="61">
        <f>IF(C392="","",IF(COUNTIF($C$5:C392,C392)=1,MAX($AX$4:AX391)+1,""))</f>
        <v/>
      </c>
      <c r="AY392" s="61">
        <f>IF(B392="","",HOUR(B392))</f>
        <v/>
      </c>
      <c r="AZ392" s="61">
        <f>IF(A392="","",MOD(A392-2,7)+1)</f>
        <v/>
      </c>
      <c r="BA392" s="60">
        <f>IF(C392="","",IFERROR(INDEX('Prospects'!$N$5:$N$504,MATCH(C392,'Prospects'!$C$5:$C$504,0)),""))</f>
        <v/>
      </c>
      <c r="BB392" s="61">
        <f>IF(AND(C392&lt;&gt;"",C392='Fiche prospect'!$C$4),COUNTIF($C$5:C392,C392),"")</f>
        <v/>
      </c>
    </row>
    <row r="393">
      <c r="A393" s="53" t="n"/>
      <c r="B393" s="54" t="n"/>
      <c r="C393" s="55" t="n"/>
      <c r="D393" s="55" t="n"/>
      <c r="E393" s="55" t="n"/>
      <c r="F393" s="55" t="n"/>
      <c r="G393" s="56" t="n"/>
      <c r="H393" s="57" t="n"/>
      <c r="I393" s="55" t="n"/>
      <c r="J393" s="53" t="n"/>
      <c r="K393" s="54" t="n"/>
      <c r="L393" s="55" t="n"/>
      <c r="M393" s="55" t="n"/>
      <c r="N393" s="57" t="n"/>
      <c r="O393" s="55" t="n"/>
      <c r="P393" s="56" t="n"/>
      <c r="Q393" s="55" t="n"/>
      <c r="R393" s="55" t="n"/>
      <c r="S393" s="55" t="n"/>
      <c r="T393" s="55" t="n"/>
      <c r="U393" s="55" t="n"/>
      <c r="V393" s="55" t="n"/>
      <c r="W393" s="58" t="n"/>
      <c r="X393" s="58" t="n"/>
      <c r="Y393" s="55" t="n"/>
      <c r="Z393" s="55" t="n"/>
      <c r="AA393" s="55" t="n"/>
      <c r="AB393" s="55" t="n"/>
      <c r="AC393" s="55" t="n"/>
      <c r="AD393" s="53" t="n"/>
      <c r="AE393" s="55" t="n"/>
      <c r="AF393" s="55" t="n"/>
      <c r="AG393" s="59" t="n"/>
      <c r="AH393" s="57" t="n"/>
      <c r="AI393" s="55" t="n"/>
      <c r="AJ393" s="55" t="n"/>
      <c r="AK393" s="55" t="n"/>
      <c r="AL393" s="55" t="n"/>
      <c r="AM393" s="56" t="n"/>
      <c r="AN393" s="55" t="n"/>
      <c r="AO393" s="55" t="n"/>
      <c r="AP393" s="55" t="n"/>
      <c r="AQ393" s="55" t="n"/>
      <c r="AR393" s="60">
        <f>IF(AND(C393="",E393=""),"",IF(A393="","⚠ Date manquante",IF(AND(C393="",E393&lt;&gt;"Dépense"),"⚠ Prospect manquant",IF(E393="","⚠ Action manquante",IF(AND(AU393=1,D393=""),"⚠ Canal manquant",IF(AND(W393&lt;&gt;"",COUNTIFS('Saisie'!$W$5:$W$2004,W393,'Saisie'!$C$5:$C$2004,"&lt;&gt;"&amp;C393)&gt;0),"⚠ Numéro déjà utilisé par un autre prospect",IF(AND(J393&lt;&gt;"",J393&lt;A393),"⚠ Relance avant la date de l'action",IF(A393&gt;TODAY(),"⚠ Date dans le futur","✓"))))))))</f>
        <v/>
      </c>
      <c r="AS393" s="61">
        <f>IF(AND(A393="",C393="",E393=""),"",ROW())</f>
        <v/>
      </c>
      <c r="AT393" s="61">
        <f>IF(E393&amp;F393="","",MAX(IFERROR(INDEX('Paramètres'!$J$6:$J$33,MATCH(E393,'Paramètres'!$I$6:$I$33,0)),0),IFERROR(INDEX('Paramètres'!$N$6:$N$17,MATCH(F393,'Paramètres'!$M$6:$M$17,0)),0)))</f>
        <v/>
      </c>
      <c r="AU393" s="61">
        <f>IF(E393="","",IFERROR(IF(INDEX('Paramètres'!$K$6:$K$33,MATCH(E393,'Paramètres'!$I$6:$I$33,0))="Oui",1,0),0))</f>
        <v/>
      </c>
      <c r="AV393" s="61">
        <f>IF(F393="","",IFERROR(IF(INDEX('Paramètres'!$O$6:$O$17,MATCH(F393,'Paramètres'!$M$6:$M$17,0))="Oui",1,0),0))</f>
        <v/>
      </c>
      <c r="AW393" s="62">
        <f>IF(E393="","",IF(G393&lt;&gt;"",G393,IF(OR(E393="Proposition envoyée",E393="Signature"),MAX(0,N(IFERROR(INDEX('Paramètres'!$R$6:$R$15,MATCH(IF(AL393&lt;&gt;"",AL393,IFERROR(INDEX('Prospects'!$AN$5:$AN$504,MATCH(C393,'Prospects'!$C$5:$C$504,0)),"")),'Paramètres'!$Q$6:$Q$15,0)),0))-N(P393)),0)))</f>
        <v/>
      </c>
      <c r="AX393" s="61">
        <f>IF(C393="","",IF(COUNTIF($C$5:C393,C393)=1,MAX($AX$4:AX392)+1,""))</f>
        <v/>
      </c>
      <c r="AY393" s="61">
        <f>IF(B393="","",HOUR(B393))</f>
        <v/>
      </c>
      <c r="AZ393" s="61">
        <f>IF(A393="","",MOD(A393-2,7)+1)</f>
        <v/>
      </c>
      <c r="BA393" s="60">
        <f>IF(C393="","",IFERROR(INDEX('Prospects'!$N$5:$N$504,MATCH(C393,'Prospects'!$C$5:$C$504,0)),""))</f>
        <v/>
      </c>
      <c r="BB393" s="61">
        <f>IF(AND(C393&lt;&gt;"",C393='Fiche prospect'!$C$4),COUNTIF($C$5:C393,C393),"")</f>
        <v/>
      </c>
    </row>
    <row r="394">
      <c r="A394" s="53" t="n"/>
      <c r="B394" s="54" t="n"/>
      <c r="C394" s="55" t="n"/>
      <c r="D394" s="55" t="n"/>
      <c r="E394" s="55" t="n"/>
      <c r="F394" s="55" t="n"/>
      <c r="G394" s="56" t="n"/>
      <c r="H394" s="57" t="n"/>
      <c r="I394" s="55" t="n"/>
      <c r="J394" s="53" t="n"/>
      <c r="K394" s="54" t="n"/>
      <c r="L394" s="55" t="n"/>
      <c r="M394" s="55" t="n"/>
      <c r="N394" s="57" t="n"/>
      <c r="O394" s="55" t="n"/>
      <c r="P394" s="56" t="n"/>
      <c r="Q394" s="55" t="n"/>
      <c r="R394" s="55" t="n"/>
      <c r="S394" s="55" t="n"/>
      <c r="T394" s="55" t="n"/>
      <c r="U394" s="55" t="n"/>
      <c r="V394" s="55" t="n"/>
      <c r="W394" s="58" t="n"/>
      <c r="X394" s="58" t="n"/>
      <c r="Y394" s="55" t="n"/>
      <c r="Z394" s="55" t="n"/>
      <c r="AA394" s="55" t="n"/>
      <c r="AB394" s="55" t="n"/>
      <c r="AC394" s="55" t="n"/>
      <c r="AD394" s="53" t="n"/>
      <c r="AE394" s="55" t="n"/>
      <c r="AF394" s="55" t="n"/>
      <c r="AG394" s="59" t="n"/>
      <c r="AH394" s="57" t="n"/>
      <c r="AI394" s="55" t="n"/>
      <c r="AJ394" s="55" t="n"/>
      <c r="AK394" s="55" t="n"/>
      <c r="AL394" s="55" t="n"/>
      <c r="AM394" s="56" t="n"/>
      <c r="AN394" s="55" t="n"/>
      <c r="AO394" s="55" t="n"/>
      <c r="AP394" s="55" t="n"/>
      <c r="AQ394" s="55" t="n"/>
      <c r="AR394" s="60">
        <f>IF(AND(C394="",E394=""),"",IF(A394="","⚠ Date manquante",IF(AND(C394="",E394&lt;&gt;"Dépense"),"⚠ Prospect manquant",IF(E394="","⚠ Action manquante",IF(AND(AU394=1,D394=""),"⚠ Canal manquant",IF(AND(W394&lt;&gt;"",COUNTIFS('Saisie'!$W$5:$W$2004,W394,'Saisie'!$C$5:$C$2004,"&lt;&gt;"&amp;C394)&gt;0),"⚠ Numéro déjà utilisé par un autre prospect",IF(AND(J394&lt;&gt;"",J394&lt;A394),"⚠ Relance avant la date de l'action",IF(A394&gt;TODAY(),"⚠ Date dans le futur","✓"))))))))</f>
        <v/>
      </c>
      <c r="AS394" s="61">
        <f>IF(AND(A394="",C394="",E394=""),"",ROW())</f>
        <v/>
      </c>
      <c r="AT394" s="61">
        <f>IF(E394&amp;F394="","",MAX(IFERROR(INDEX('Paramètres'!$J$6:$J$33,MATCH(E394,'Paramètres'!$I$6:$I$33,0)),0),IFERROR(INDEX('Paramètres'!$N$6:$N$17,MATCH(F394,'Paramètres'!$M$6:$M$17,0)),0)))</f>
        <v/>
      </c>
      <c r="AU394" s="61">
        <f>IF(E394="","",IFERROR(IF(INDEX('Paramètres'!$K$6:$K$33,MATCH(E394,'Paramètres'!$I$6:$I$33,0))="Oui",1,0),0))</f>
        <v/>
      </c>
      <c r="AV394" s="61">
        <f>IF(F394="","",IFERROR(IF(INDEX('Paramètres'!$O$6:$O$17,MATCH(F394,'Paramètres'!$M$6:$M$17,0))="Oui",1,0),0))</f>
        <v/>
      </c>
      <c r="AW394" s="62">
        <f>IF(E394="","",IF(G394&lt;&gt;"",G394,IF(OR(E394="Proposition envoyée",E394="Signature"),MAX(0,N(IFERROR(INDEX('Paramètres'!$R$6:$R$15,MATCH(IF(AL394&lt;&gt;"",AL394,IFERROR(INDEX('Prospects'!$AN$5:$AN$504,MATCH(C394,'Prospects'!$C$5:$C$504,0)),"")),'Paramètres'!$Q$6:$Q$15,0)),0))-N(P394)),0)))</f>
        <v/>
      </c>
      <c r="AX394" s="61">
        <f>IF(C394="","",IF(COUNTIF($C$5:C394,C394)=1,MAX($AX$4:AX393)+1,""))</f>
        <v/>
      </c>
      <c r="AY394" s="61">
        <f>IF(B394="","",HOUR(B394))</f>
        <v/>
      </c>
      <c r="AZ394" s="61">
        <f>IF(A394="","",MOD(A394-2,7)+1)</f>
        <v/>
      </c>
      <c r="BA394" s="60">
        <f>IF(C394="","",IFERROR(INDEX('Prospects'!$N$5:$N$504,MATCH(C394,'Prospects'!$C$5:$C$504,0)),""))</f>
        <v/>
      </c>
      <c r="BB394" s="61">
        <f>IF(AND(C394&lt;&gt;"",C394='Fiche prospect'!$C$4),COUNTIF($C$5:C394,C394),"")</f>
        <v/>
      </c>
    </row>
    <row r="395">
      <c r="A395" s="53" t="n"/>
      <c r="B395" s="54" t="n"/>
      <c r="C395" s="55" t="n"/>
      <c r="D395" s="55" t="n"/>
      <c r="E395" s="55" t="n"/>
      <c r="F395" s="55" t="n"/>
      <c r="G395" s="56" t="n"/>
      <c r="H395" s="57" t="n"/>
      <c r="I395" s="55" t="n"/>
      <c r="J395" s="53" t="n"/>
      <c r="K395" s="54" t="n"/>
      <c r="L395" s="55" t="n"/>
      <c r="M395" s="55" t="n"/>
      <c r="N395" s="57" t="n"/>
      <c r="O395" s="55" t="n"/>
      <c r="P395" s="56" t="n"/>
      <c r="Q395" s="55" t="n"/>
      <c r="R395" s="55" t="n"/>
      <c r="S395" s="55" t="n"/>
      <c r="T395" s="55" t="n"/>
      <c r="U395" s="55" t="n"/>
      <c r="V395" s="55" t="n"/>
      <c r="W395" s="58" t="n"/>
      <c r="X395" s="58" t="n"/>
      <c r="Y395" s="55" t="n"/>
      <c r="Z395" s="55" t="n"/>
      <c r="AA395" s="55" t="n"/>
      <c r="AB395" s="55" t="n"/>
      <c r="AC395" s="55" t="n"/>
      <c r="AD395" s="53" t="n"/>
      <c r="AE395" s="55" t="n"/>
      <c r="AF395" s="55" t="n"/>
      <c r="AG395" s="59" t="n"/>
      <c r="AH395" s="57" t="n"/>
      <c r="AI395" s="55" t="n"/>
      <c r="AJ395" s="55" t="n"/>
      <c r="AK395" s="55" t="n"/>
      <c r="AL395" s="55" t="n"/>
      <c r="AM395" s="56" t="n"/>
      <c r="AN395" s="55" t="n"/>
      <c r="AO395" s="55" t="n"/>
      <c r="AP395" s="55" t="n"/>
      <c r="AQ395" s="55" t="n"/>
      <c r="AR395" s="60">
        <f>IF(AND(C395="",E395=""),"",IF(A395="","⚠ Date manquante",IF(AND(C395="",E395&lt;&gt;"Dépense"),"⚠ Prospect manquant",IF(E395="","⚠ Action manquante",IF(AND(AU395=1,D395=""),"⚠ Canal manquant",IF(AND(W395&lt;&gt;"",COUNTIFS('Saisie'!$W$5:$W$2004,W395,'Saisie'!$C$5:$C$2004,"&lt;&gt;"&amp;C395)&gt;0),"⚠ Numéro déjà utilisé par un autre prospect",IF(AND(J395&lt;&gt;"",J395&lt;A395),"⚠ Relance avant la date de l'action",IF(A395&gt;TODAY(),"⚠ Date dans le futur","✓"))))))))</f>
        <v/>
      </c>
      <c r="AS395" s="61">
        <f>IF(AND(A395="",C395="",E395=""),"",ROW())</f>
        <v/>
      </c>
      <c r="AT395" s="61">
        <f>IF(E395&amp;F395="","",MAX(IFERROR(INDEX('Paramètres'!$J$6:$J$33,MATCH(E395,'Paramètres'!$I$6:$I$33,0)),0),IFERROR(INDEX('Paramètres'!$N$6:$N$17,MATCH(F395,'Paramètres'!$M$6:$M$17,0)),0)))</f>
        <v/>
      </c>
      <c r="AU395" s="61">
        <f>IF(E395="","",IFERROR(IF(INDEX('Paramètres'!$K$6:$K$33,MATCH(E395,'Paramètres'!$I$6:$I$33,0))="Oui",1,0),0))</f>
        <v/>
      </c>
      <c r="AV395" s="61">
        <f>IF(F395="","",IFERROR(IF(INDEX('Paramètres'!$O$6:$O$17,MATCH(F395,'Paramètres'!$M$6:$M$17,0))="Oui",1,0),0))</f>
        <v/>
      </c>
      <c r="AW395" s="62">
        <f>IF(E395="","",IF(G395&lt;&gt;"",G395,IF(OR(E395="Proposition envoyée",E395="Signature"),MAX(0,N(IFERROR(INDEX('Paramètres'!$R$6:$R$15,MATCH(IF(AL395&lt;&gt;"",AL395,IFERROR(INDEX('Prospects'!$AN$5:$AN$504,MATCH(C395,'Prospects'!$C$5:$C$504,0)),"")),'Paramètres'!$Q$6:$Q$15,0)),0))-N(P395)),0)))</f>
        <v/>
      </c>
      <c r="AX395" s="61">
        <f>IF(C395="","",IF(COUNTIF($C$5:C395,C395)=1,MAX($AX$4:AX394)+1,""))</f>
        <v/>
      </c>
      <c r="AY395" s="61">
        <f>IF(B395="","",HOUR(B395))</f>
        <v/>
      </c>
      <c r="AZ395" s="61">
        <f>IF(A395="","",MOD(A395-2,7)+1)</f>
        <v/>
      </c>
      <c r="BA395" s="60">
        <f>IF(C395="","",IFERROR(INDEX('Prospects'!$N$5:$N$504,MATCH(C395,'Prospects'!$C$5:$C$504,0)),""))</f>
        <v/>
      </c>
      <c r="BB395" s="61">
        <f>IF(AND(C395&lt;&gt;"",C395='Fiche prospect'!$C$4),COUNTIF($C$5:C395,C395),"")</f>
        <v/>
      </c>
    </row>
    <row r="396">
      <c r="A396" s="53" t="n"/>
      <c r="B396" s="54" t="n"/>
      <c r="C396" s="55" t="n"/>
      <c r="D396" s="55" t="n"/>
      <c r="E396" s="55" t="n"/>
      <c r="F396" s="55" t="n"/>
      <c r="G396" s="56" t="n"/>
      <c r="H396" s="57" t="n"/>
      <c r="I396" s="55" t="n"/>
      <c r="J396" s="53" t="n"/>
      <c r="K396" s="54" t="n"/>
      <c r="L396" s="55" t="n"/>
      <c r="M396" s="55" t="n"/>
      <c r="N396" s="57" t="n"/>
      <c r="O396" s="55" t="n"/>
      <c r="P396" s="56" t="n"/>
      <c r="Q396" s="55" t="n"/>
      <c r="R396" s="55" t="n"/>
      <c r="S396" s="55" t="n"/>
      <c r="T396" s="55" t="n"/>
      <c r="U396" s="55" t="n"/>
      <c r="V396" s="55" t="n"/>
      <c r="W396" s="58" t="n"/>
      <c r="X396" s="58" t="n"/>
      <c r="Y396" s="55" t="n"/>
      <c r="Z396" s="55" t="n"/>
      <c r="AA396" s="55" t="n"/>
      <c r="AB396" s="55" t="n"/>
      <c r="AC396" s="55" t="n"/>
      <c r="AD396" s="53" t="n"/>
      <c r="AE396" s="55" t="n"/>
      <c r="AF396" s="55" t="n"/>
      <c r="AG396" s="59" t="n"/>
      <c r="AH396" s="57" t="n"/>
      <c r="AI396" s="55" t="n"/>
      <c r="AJ396" s="55" t="n"/>
      <c r="AK396" s="55" t="n"/>
      <c r="AL396" s="55" t="n"/>
      <c r="AM396" s="56" t="n"/>
      <c r="AN396" s="55" t="n"/>
      <c r="AO396" s="55" t="n"/>
      <c r="AP396" s="55" t="n"/>
      <c r="AQ396" s="55" t="n"/>
      <c r="AR396" s="60">
        <f>IF(AND(C396="",E396=""),"",IF(A396="","⚠ Date manquante",IF(AND(C396="",E396&lt;&gt;"Dépense"),"⚠ Prospect manquant",IF(E396="","⚠ Action manquante",IF(AND(AU396=1,D396=""),"⚠ Canal manquant",IF(AND(W396&lt;&gt;"",COUNTIFS('Saisie'!$W$5:$W$2004,W396,'Saisie'!$C$5:$C$2004,"&lt;&gt;"&amp;C396)&gt;0),"⚠ Numéro déjà utilisé par un autre prospect",IF(AND(J396&lt;&gt;"",J396&lt;A396),"⚠ Relance avant la date de l'action",IF(A396&gt;TODAY(),"⚠ Date dans le futur","✓"))))))))</f>
        <v/>
      </c>
      <c r="AS396" s="61">
        <f>IF(AND(A396="",C396="",E396=""),"",ROW())</f>
        <v/>
      </c>
      <c r="AT396" s="61">
        <f>IF(E396&amp;F396="","",MAX(IFERROR(INDEX('Paramètres'!$J$6:$J$33,MATCH(E396,'Paramètres'!$I$6:$I$33,0)),0),IFERROR(INDEX('Paramètres'!$N$6:$N$17,MATCH(F396,'Paramètres'!$M$6:$M$17,0)),0)))</f>
        <v/>
      </c>
      <c r="AU396" s="61">
        <f>IF(E396="","",IFERROR(IF(INDEX('Paramètres'!$K$6:$K$33,MATCH(E396,'Paramètres'!$I$6:$I$33,0))="Oui",1,0),0))</f>
        <v/>
      </c>
      <c r="AV396" s="61">
        <f>IF(F396="","",IFERROR(IF(INDEX('Paramètres'!$O$6:$O$17,MATCH(F396,'Paramètres'!$M$6:$M$17,0))="Oui",1,0),0))</f>
        <v/>
      </c>
      <c r="AW396" s="62">
        <f>IF(E396="","",IF(G396&lt;&gt;"",G396,IF(OR(E396="Proposition envoyée",E396="Signature"),MAX(0,N(IFERROR(INDEX('Paramètres'!$R$6:$R$15,MATCH(IF(AL396&lt;&gt;"",AL396,IFERROR(INDEX('Prospects'!$AN$5:$AN$504,MATCH(C396,'Prospects'!$C$5:$C$504,0)),"")),'Paramètres'!$Q$6:$Q$15,0)),0))-N(P396)),0)))</f>
        <v/>
      </c>
      <c r="AX396" s="61">
        <f>IF(C396="","",IF(COUNTIF($C$5:C396,C396)=1,MAX($AX$4:AX395)+1,""))</f>
        <v/>
      </c>
      <c r="AY396" s="61">
        <f>IF(B396="","",HOUR(B396))</f>
        <v/>
      </c>
      <c r="AZ396" s="61">
        <f>IF(A396="","",MOD(A396-2,7)+1)</f>
        <v/>
      </c>
      <c r="BA396" s="60">
        <f>IF(C396="","",IFERROR(INDEX('Prospects'!$N$5:$N$504,MATCH(C396,'Prospects'!$C$5:$C$504,0)),""))</f>
        <v/>
      </c>
      <c r="BB396" s="61">
        <f>IF(AND(C396&lt;&gt;"",C396='Fiche prospect'!$C$4),COUNTIF($C$5:C396,C396),"")</f>
        <v/>
      </c>
    </row>
    <row r="397">
      <c r="A397" s="53" t="n"/>
      <c r="B397" s="54" t="n"/>
      <c r="C397" s="55" t="n"/>
      <c r="D397" s="55" t="n"/>
      <c r="E397" s="55" t="n"/>
      <c r="F397" s="55" t="n"/>
      <c r="G397" s="56" t="n"/>
      <c r="H397" s="57" t="n"/>
      <c r="I397" s="55" t="n"/>
      <c r="J397" s="53" t="n"/>
      <c r="K397" s="54" t="n"/>
      <c r="L397" s="55" t="n"/>
      <c r="M397" s="55" t="n"/>
      <c r="N397" s="57" t="n"/>
      <c r="O397" s="55" t="n"/>
      <c r="P397" s="56" t="n"/>
      <c r="Q397" s="55" t="n"/>
      <c r="R397" s="55" t="n"/>
      <c r="S397" s="55" t="n"/>
      <c r="T397" s="55" t="n"/>
      <c r="U397" s="55" t="n"/>
      <c r="V397" s="55" t="n"/>
      <c r="W397" s="58" t="n"/>
      <c r="X397" s="58" t="n"/>
      <c r="Y397" s="55" t="n"/>
      <c r="Z397" s="55" t="n"/>
      <c r="AA397" s="55" t="n"/>
      <c r="AB397" s="55" t="n"/>
      <c r="AC397" s="55" t="n"/>
      <c r="AD397" s="53" t="n"/>
      <c r="AE397" s="55" t="n"/>
      <c r="AF397" s="55" t="n"/>
      <c r="AG397" s="59" t="n"/>
      <c r="AH397" s="57" t="n"/>
      <c r="AI397" s="55" t="n"/>
      <c r="AJ397" s="55" t="n"/>
      <c r="AK397" s="55" t="n"/>
      <c r="AL397" s="55" t="n"/>
      <c r="AM397" s="56" t="n"/>
      <c r="AN397" s="55" t="n"/>
      <c r="AO397" s="55" t="n"/>
      <c r="AP397" s="55" t="n"/>
      <c r="AQ397" s="55" t="n"/>
      <c r="AR397" s="60">
        <f>IF(AND(C397="",E397=""),"",IF(A397="","⚠ Date manquante",IF(AND(C397="",E397&lt;&gt;"Dépense"),"⚠ Prospect manquant",IF(E397="","⚠ Action manquante",IF(AND(AU397=1,D397=""),"⚠ Canal manquant",IF(AND(W397&lt;&gt;"",COUNTIFS('Saisie'!$W$5:$W$2004,W397,'Saisie'!$C$5:$C$2004,"&lt;&gt;"&amp;C397)&gt;0),"⚠ Numéro déjà utilisé par un autre prospect",IF(AND(J397&lt;&gt;"",J397&lt;A397),"⚠ Relance avant la date de l'action",IF(A397&gt;TODAY(),"⚠ Date dans le futur","✓"))))))))</f>
        <v/>
      </c>
      <c r="AS397" s="61">
        <f>IF(AND(A397="",C397="",E397=""),"",ROW())</f>
        <v/>
      </c>
      <c r="AT397" s="61">
        <f>IF(E397&amp;F397="","",MAX(IFERROR(INDEX('Paramètres'!$J$6:$J$33,MATCH(E397,'Paramètres'!$I$6:$I$33,0)),0),IFERROR(INDEX('Paramètres'!$N$6:$N$17,MATCH(F397,'Paramètres'!$M$6:$M$17,0)),0)))</f>
        <v/>
      </c>
      <c r="AU397" s="61">
        <f>IF(E397="","",IFERROR(IF(INDEX('Paramètres'!$K$6:$K$33,MATCH(E397,'Paramètres'!$I$6:$I$33,0))="Oui",1,0),0))</f>
        <v/>
      </c>
      <c r="AV397" s="61">
        <f>IF(F397="","",IFERROR(IF(INDEX('Paramètres'!$O$6:$O$17,MATCH(F397,'Paramètres'!$M$6:$M$17,0))="Oui",1,0),0))</f>
        <v/>
      </c>
      <c r="AW397" s="62">
        <f>IF(E397="","",IF(G397&lt;&gt;"",G397,IF(OR(E397="Proposition envoyée",E397="Signature"),MAX(0,N(IFERROR(INDEX('Paramètres'!$R$6:$R$15,MATCH(IF(AL397&lt;&gt;"",AL397,IFERROR(INDEX('Prospects'!$AN$5:$AN$504,MATCH(C397,'Prospects'!$C$5:$C$504,0)),"")),'Paramètres'!$Q$6:$Q$15,0)),0))-N(P397)),0)))</f>
        <v/>
      </c>
      <c r="AX397" s="61">
        <f>IF(C397="","",IF(COUNTIF($C$5:C397,C397)=1,MAX($AX$4:AX396)+1,""))</f>
        <v/>
      </c>
      <c r="AY397" s="61">
        <f>IF(B397="","",HOUR(B397))</f>
        <v/>
      </c>
      <c r="AZ397" s="61">
        <f>IF(A397="","",MOD(A397-2,7)+1)</f>
        <v/>
      </c>
      <c r="BA397" s="60">
        <f>IF(C397="","",IFERROR(INDEX('Prospects'!$N$5:$N$504,MATCH(C397,'Prospects'!$C$5:$C$504,0)),""))</f>
        <v/>
      </c>
      <c r="BB397" s="61">
        <f>IF(AND(C397&lt;&gt;"",C397='Fiche prospect'!$C$4),COUNTIF($C$5:C397,C397),"")</f>
        <v/>
      </c>
    </row>
    <row r="398">
      <c r="A398" s="53" t="n"/>
      <c r="B398" s="54" t="n"/>
      <c r="C398" s="55" t="n"/>
      <c r="D398" s="55" t="n"/>
      <c r="E398" s="55" t="n"/>
      <c r="F398" s="55" t="n"/>
      <c r="G398" s="56" t="n"/>
      <c r="H398" s="57" t="n"/>
      <c r="I398" s="55" t="n"/>
      <c r="J398" s="53" t="n"/>
      <c r="K398" s="54" t="n"/>
      <c r="L398" s="55" t="n"/>
      <c r="M398" s="55" t="n"/>
      <c r="N398" s="57" t="n"/>
      <c r="O398" s="55" t="n"/>
      <c r="P398" s="56" t="n"/>
      <c r="Q398" s="55" t="n"/>
      <c r="R398" s="55" t="n"/>
      <c r="S398" s="55" t="n"/>
      <c r="T398" s="55" t="n"/>
      <c r="U398" s="55" t="n"/>
      <c r="V398" s="55" t="n"/>
      <c r="W398" s="58" t="n"/>
      <c r="X398" s="58" t="n"/>
      <c r="Y398" s="55" t="n"/>
      <c r="Z398" s="55" t="n"/>
      <c r="AA398" s="55" t="n"/>
      <c r="AB398" s="55" t="n"/>
      <c r="AC398" s="55" t="n"/>
      <c r="AD398" s="53" t="n"/>
      <c r="AE398" s="55" t="n"/>
      <c r="AF398" s="55" t="n"/>
      <c r="AG398" s="59" t="n"/>
      <c r="AH398" s="57" t="n"/>
      <c r="AI398" s="55" t="n"/>
      <c r="AJ398" s="55" t="n"/>
      <c r="AK398" s="55" t="n"/>
      <c r="AL398" s="55" t="n"/>
      <c r="AM398" s="56" t="n"/>
      <c r="AN398" s="55" t="n"/>
      <c r="AO398" s="55" t="n"/>
      <c r="AP398" s="55" t="n"/>
      <c r="AQ398" s="55" t="n"/>
      <c r="AR398" s="60">
        <f>IF(AND(C398="",E398=""),"",IF(A398="","⚠ Date manquante",IF(AND(C398="",E398&lt;&gt;"Dépense"),"⚠ Prospect manquant",IF(E398="","⚠ Action manquante",IF(AND(AU398=1,D398=""),"⚠ Canal manquant",IF(AND(W398&lt;&gt;"",COUNTIFS('Saisie'!$W$5:$W$2004,W398,'Saisie'!$C$5:$C$2004,"&lt;&gt;"&amp;C398)&gt;0),"⚠ Numéro déjà utilisé par un autre prospect",IF(AND(J398&lt;&gt;"",J398&lt;A398),"⚠ Relance avant la date de l'action",IF(A398&gt;TODAY(),"⚠ Date dans le futur","✓"))))))))</f>
        <v/>
      </c>
      <c r="AS398" s="61">
        <f>IF(AND(A398="",C398="",E398=""),"",ROW())</f>
        <v/>
      </c>
      <c r="AT398" s="61">
        <f>IF(E398&amp;F398="","",MAX(IFERROR(INDEX('Paramètres'!$J$6:$J$33,MATCH(E398,'Paramètres'!$I$6:$I$33,0)),0),IFERROR(INDEX('Paramètres'!$N$6:$N$17,MATCH(F398,'Paramètres'!$M$6:$M$17,0)),0)))</f>
        <v/>
      </c>
      <c r="AU398" s="61">
        <f>IF(E398="","",IFERROR(IF(INDEX('Paramètres'!$K$6:$K$33,MATCH(E398,'Paramètres'!$I$6:$I$33,0))="Oui",1,0),0))</f>
        <v/>
      </c>
      <c r="AV398" s="61">
        <f>IF(F398="","",IFERROR(IF(INDEX('Paramètres'!$O$6:$O$17,MATCH(F398,'Paramètres'!$M$6:$M$17,0))="Oui",1,0),0))</f>
        <v/>
      </c>
      <c r="AW398" s="62">
        <f>IF(E398="","",IF(G398&lt;&gt;"",G398,IF(OR(E398="Proposition envoyée",E398="Signature"),MAX(0,N(IFERROR(INDEX('Paramètres'!$R$6:$R$15,MATCH(IF(AL398&lt;&gt;"",AL398,IFERROR(INDEX('Prospects'!$AN$5:$AN$504,MATCH(C398,'Prospects'!$C$5:$C$504,0)),"")),'Paramètres'!$Q$6:$Q$15,0)),0))-N(P398)),0)))</f>
        <v/>
      </c>
      <c r="AX398" s="61">
        <f>IF(C398="","",IF(COUNTIF($C$5:C398,C398)=1,MAX($AX$4:AX397)+1,""))</f>
        <v/>
      </c>
      <c r="AY398" s="61">
        <f>IF(B398="","",HOUR(B398))</f>
        <v/>
      </c>
      <c r="AZ398" s="61">
        <f>IF(A398="","",MOD(A398-2,7)+1)</f>
        <v/>
      </c>
      <c r="BA398" s="60">
        <f>IF(C398="","",IFERROR(INDEX('Prospects'!$N$5:$N$504,MATCH(C398,'Prospects'!$C$5:$C$504,0)),""))</f>
        <v/>
      </c>
      <c r="BB398" s="61">
        <f>IF(AND(C398&lt;&gt;"",C398='Fiche prospect'!$C$4),COUNTIF($C$5:C398,C398),"")</f>
        <v/>
      </c>
    </row>
    <row r="399">
      <c r="A399" s="53" t="n"/>
      <c r="B399" s="54" t="n"/>
      <c r="C399" s="55" t="n"/>
      <c r="D399" s="55" t="n"/>
      <c r="E399" s="55" t="n"/>
      <c r="F399" s="55" t="n"/>
      <c r="G399" s="56" t="n"/>
      <c r="H399" s="57" t="n"/>
      <c r="I399" s="55" t="n"/>
      <c r="J399" s="53" t="n"/>
      <c r="K399" s="54" t="n"/>
      <c r="L399" s="55" t="n"/>
      <c r="M399" s="55" t="n"/>
      <c r="N399" s="57" t="n"/>
      <c r="O399" s="55" t="n"/>
      <c r="P399" s="56" t="n"/>
      <c r="Q399" s="55" t="n"/>
      <c r="R399" s="55" t="n"/>
      <c r="S399" s="55" t="n"/>
      <c r="T399" s="55" t="n"/>
      <c r="U399" s="55" t="n"/>
      <c r="V399" s="55" t="n"/>
      <c r="W399" s="58" t="n"/>
      <c r="X399" s="58" t="n"/>
      <c r="Y399" s="55" t="n"/>
      <c r="Z399" s="55" t="n"/>
      <c r="AA399" s="55" t="n"/>
      <c r="AB399" s="55" t="n"/>
      <c r="AC399" s="55" t="n"/>
      <c r="AD399" s="53" t="n"/>
      <c r="AE399" s="55" t="n"/>
      <c r="AF399" s="55" t="n"/>
      <c r="AG399" s="59" t="n"/>
      <c r="AH399" s="57" t="n"/>
      <c r="AI399" s="55" t="n"/>
      <c r="AJ399" s="55" t="n"/>
      <c r="AK399" s="55" t="n"/>
      <c r="AL399" s="55" t="n"/>
      <c r="AM399" s="56" t="n"/>
      <c r="AN399" s="55" t="n"/>
      <c r="AO399" s="55" t="n"/>
      <c r="AP399" s="55" t="n"/>
      <c r="AQ399" s="55" t="n"/>
      <c r="AR399" s="60">
        <f>IF(AND(C399="",E399=""),"",IF(A399="","⚠ Date manquante",IF(AND(C399="",E399&lt;&gt;"Dépense"),"⚠ Prospect manquant",IF(E399="","⚠ Action manquante",IF(AND(AU399=1,D399=""),"⚠ Canal manquant",IF(AND(W399&lt;&gt;"",COUNTIFS('Saisie'!$W$5:$W$2004,W399,'Saisie'!$C$5:$C$2004,"&lt;&gt;"&amp;C399)&gt;0),"⚠ Numéro déjà utilisé par un autre prospect",IF(AND(J399&lt;&gt;"",J399&lt;A399),"⚠ Relance avant la date de l'action",IF(A399&gt;TODAY(),"⚠ Date dans le futur","✓"))))))))</f>
        <v/>
      </c>
      <c r="AS399" s="61">
        <f>IF(AND(A399="",C399="",E399=""),"",ROW())</f>
        <v/>
      </c>
      <c r="AT399" s="61">
        <f>IF(E399&amp;F399="","",MAX(IFERROR(INDEX('Paramètres'!$J$6:$J$33,MATCH(E399,'Paramètres'!$I$6:$I$33,0)),0),IFERROR(INDEX('Paramètres'!$N$6:$N$17,MATCH(F399,'Paramètres'!$M$6:$M$17,0)),0)))</f>
        <v/>
      </c>
      <c r="AU399" s="61">
        <f>IF(E399="","",IFERROR(IF(INDEX('Paramètres'!$K$6:$K$33,MATCH(E399,'Paramètres'!$I$6:$I$33,0))="Oui",1,0),0))</f>
        <v/>
      </c>
      <c r="AV399" s="61">
        <f>IF(F399="","",IFERROR(IF(INDEX('Paramètres'!$O$6:$O$17,MATCH(F399,'Paramètres'!$M$6:$M$17,0))="Oui",1,0),0))</f>
        <v/>
      </c>
      <c r="AW399" s="62">
        <f>IF(E399="","",IF(G399&lt;&gt;"",G399,IF(OR(E399="Proposition envoyée",E399="Signature"),MAX(0,N(IFERROR(INDEX('Paramètres'!$R$6:$R$15,MATCH(IF(AL399&lt;&gt;"",AL399,IFERROR(INDEX('Prospects'!$AN$5:$AN$504,MATCH(C399,'Prospects'!$C$5:$C$504,0)),"")),'Paramètres'!$Q$6:$Q$15,0)),0))-N(P399)),0)))</f>
        <v/>
      </c>
      <c r="AX399" s="61">
        <f>IF(C399="","",IF(COUNTIF($C$5:C399,C399)=1,MAX($AX$4:AX398)+1,""))</f>
        <v/>
      </c>
      <c r="AY399" s="61">
        <f>IF(B399="","",HOUR(B399))</f>
        <v/>
      </c>
      <c r="AZ399" s="61">
        <f>IF(A399="","",MOD(A399-2,7)+1)</f>
        <v/>
      </c>
      <c r="BA399" s="60">
        <f>IF(C399="","",IFERROR(INDEX('Prospects'!$N$5:$N$504,MATCH(C399,'Prospects'!$C$5:$C$504,0)),""))</f>
        <v/>
      </c>
      <c r="BB399" s="61">
        <f>IF(AND(C399&lt;&gt;"",C399='Fiche prospect'!$C$4),COUNTIF($C$5:C399,C399),"")</f>
        <v/>
      </c>
    </row>
    <row r="400">
      <c r="A400" s="53" t="n"/>
      <c r="B400" s="54" t="n"/>
      <c r="C400" s="55" t="n"/>
      <c r="D400" s="55" t="n"/>
      <c r="E400" s="55" t="n"/>
      <c r="F400" s="55" t="n"/>
      <c r="G400" s="56" t="n"/>
      <c r="H400" s="57" t="n"/>
      <c r="I400" s="55" t="n"/>
      <c r="J400" s="53" t="n"/>
      <c r="K400" s="54" t="n"/>
      <c r="L400" s="55" t="n"/>
      <c r="M400" s="55" t="n"/>
      <c r="N400" s="57" t="n"/>
      <c r="O400" s="55" t="n"/>
      <c r="P400" s="56" t="n"/>
      <c r="Q400" s="55" t="n"/>
      <c r="R400" s="55" t="n"/>
      <c r="S400" s="55" t="n"/>
      <c r="T400" s="55" t="n"/>
      <c r="U400" s="55" t="n"/>
      <c r="V400" s="55" t="n"/>
      <c r="W400" s="58" t="n"/>
      <c r="X400" s="58" t="n"/>
      <c r="Y400" s="55" t="n"/>
      <c r="Z400" s="55" t="n"/>
      <c r="AA400" s="55" t="n"/>
      <c r="AB400" s="55" t="n"/>
      <c r="AC400" s="55" t="n"/>
      <c r="AD400" s="53" t="n"/>
      <c r="AE400" s="55" t="n"/>
      <c r="AF400" s="55" t="n"/>
      <c r="AG400" s="59" t="n"/>
      <c r="AH400" s="57" t="n"/>
      <c r="AI400" s="55" t="n"/>
      <c r="AJ400" s="55" t="n"/>
      <c r="AK400" s="55" t="n"/>
      <c r="AL400" s="55" t="n"/>
      <c r="AM400" s="56" t="n"/>
      <c r="AN400" s="55" t="n"/>
      <c r="AO400" s="55" t="n"/>
      <c r="AP400" s="55" t="n"/>
      <c r="AQ400" s="55" t="n"/>
      <c r="AR400" s="60">
        <f>IF(AND(C400="",E400=""),"",IF(A400="","⚠ Date manquante",IF(AND(C400="",E400&lt;&gt;"Dépense"),"⚠ Prospect manquant",IF(E400="","⚠ Action manquante",IF(AND(AU400=1,D400=""),"⚠ Canal manquant",IF(AND(W400&lt;&gt;"",COUNTIFS('Saisie'!$W$5:$W$2004,W400,'Saisie'!$C$5:$C$2004,"&lt;&gt;"&amp;C400)&gt;0),"⚠ Numéro déjà utilisé par un autre prospect",IF(AND(J400&lt;&gt;"",J400&lt;A400),"⚠ Relance avant la date de l'action",IF(A400&gt;TODAY(),"⚠ Date dans le futur","✓"))))))))</f>
        <v/>
      </c>
      <c r="AS400" s="61">
        <f>IF(AND(A400="",C400="",E400=""),"",ROW())</f>
        <v/>
      </c>
      <c r="AT400" s="61">
        <f>IF(E400&amp;F400="","",MAX(IFERROR(INDEX('Paramètres'!$J$6:$J$33,MATCH(E400,'Paramètres'!$I$6:$I$33,0)),0),IFERROR(INDEX('Paramètres'!$N$6:$N$17,MATCH(F400,'Paramètres'!$M$6:$M$17,0)),0)))</f>
        <v/>
      </c>
      <c r="AU400" s="61">
        <f>IF(E400="","",IFERROR(IF(INDEX('Paramètres'!$K$6:$K$33,MATCH(E400,'Paramètres'!$I$6:$I$33,0))="Oui",1,0),0))</f>
        <v/>
      </c>
      <c r="AV400" s="61">
        <f>IF(F400="","",IFERROR(IF(INDEX('Paramètres'!$O$6:$O$17,MATCH(F400,'Paramètres'!$M$6:$M$17,0))="Oui",1,0),0))</f>
        <v/>
      </c>
      <c r="AW400" s="62">
        <f>IF(E400="","",IF(G400&lt;&gt;"",G400,IF(OR(E400="Proposition envoyée",E400="Signature"),MAX(0,N(IFERROR(INDEX('Paramètres'!$R$6:$R$15,MATCH(IF(AL400&lt;&gt;"",AL400,IFERROR(INDEX('Prospects'!$AN$5:$AN$504,MATCH(C400,'Prospects'!$C$5:$C$504,0)),"")),'Paramètres'!$Q$6:$Q$15,0)),0))-N(P400)),0)))</f>
        <v/>
      </c>
      <c r="AX400" s="61">
        <f>IF(C400="","",IF(COUNTIF($C$5:C400,C400)=1,MAX($AX$4:AX399)+1,""))</f>
        <v/>
      </c>
      <c r="AY400" s="61">
        <f>IF(B400="","",HOUR(B400))</f>
        <v/>
      </c>
      <c r="AZ400" s="61">
        <f>IF(A400="","",MOD(A400-2,7)+1)</f>
        <v/>
      </c>
      <c r="BA400" s="60">
        <f>IF(C400="","",IFERROR(INDEX('Prospects'!$N$5:$N$504,MATCH(C400,'Prospects'!$C$5:$C$504,0)),""))</f>
        <v/>
      </c>
      <c r="BB400" s="61">
        <f>IF(AND(C400&lt;&gt;"",C400='Fiche prospect'!$C$4),COUNTIF($C$5:C400,C400),"")</f>
        <v/>
      </c>
    </row>
    <row r="401">
      <c r="A401" s="53" t="n"/>
      <c r="B401" s="54" t="n"/>
      <c r="C401" s="55" t="n"/>
      <c r="D401" s="55" t="n"/>
      <c r="E401" s="55" t="n"/>
      <c r="F401" s="55" t="n"/>
      <c r="G401" s="56" t="n"/>
      <c r="H401" s="57" t="n"/>
      <c r="I401" s="55" t="n"/>
      <c r="J401" s="53" t="n"/>
      <c r="K401" s="54" t="n"/>
      <c r="L401" s="55" t="n"/>
      <c r="M401" s="55" t="n"/>
      <c r="N401" s="57" t="n"/>
      <c r="O401" s="55" t="n"/>
      <c r="P401" s="56" t="n"/>
      <c r="Q401" s="55" t="n"/>
      <c r="R401" s="55" t="n"/>
      <c r="S401" s="55" t="n"/>
      <c r="T401" s="55" t="n"/>
      <c r="U401" s="55" t="n"/>
      <c r="V401" s="55" t="n"/>
      <c r="W401" s="58" t="n"/>
      <c r="X401" s="58" t="n"/>
      <c r="Y401" s="55" t="n"/>
      <c r="Z401" s="55" t="n"/>
      <c r="AA401" s="55" t="n"/>
      <c r="AB401" s="55" t="n"/>
      <c r="AC401" s="55" t="n"/>
      <c r="AD401" s="53" t="n"/>
      <c r="AE401" s="55" t="n"/>
      <c r="AF401" s="55" t="n"/>
      <c r="AG401" s="59" t="n"/>
      <c r="AH401" s="57" t="n"/>
      <c r="AI401" s="55" t="n"/>
      <c r="AJ401" s="55" t="n"/>
      <c r="AK401" s="55" t="n"/>
      <c r="AL401" s="55" t="n"/>
      <c r="AM401" s="56" t="n"/>
      <c r="AN401" s="55" t="n"/>
      <c r="AO401" s="55" t="n"/>
      <c r="AP401" s="55" t="n"/>
      <c r="AQ401" s="55" t="n"/>
      <c r="AR401" s="60">
        <f>IF(AND(C401="",E401=""),"",IF(A401="","⚠ Date manquante",IF(AND(C401="",E401&lt;&gt;"Dépense"),"⚠ Prospect manquant",IF(E401="","⚠ Action manquante",IF(AND(AU401=1,D401=""),"⚠ Canal manquant",IF(AND(W401&lt;&gt;"",COUNTIFS('Saisie'!$W$5:$W$2004,W401,'Saisie'!$C$5:$C$2004,"&lt;&gt;"&amp;C401)&gt;0),"⚠ Numéro déjà utilisé par un autre prospect",IF(AND(J401&lt;&gt;"",J401&lt;A401),"⚠ Relance avant la date de l'action",IF(A401&gt;TODAY(),"⚠ Date dans le futur","✓"))))))))</f>
        <v/>
      </c>
      <c r="AS401" s="61">
        <f>IF(AND(A401="",C401="",E401=""),"",ROW())</f>
        <v/>
      </c>
      <c r="AT401" s="61">
        <f>IF(E401&amp;F401="","",MAX(IFERROR(INDEX('Paramètres'!$J$6:$J$33,MATCH(E401,'Paramètres'!$I$6:$I$33,0)),0),IFERROR(INDEX('Paramètres'!$N$6:$N$17,MATCH(F401,'Paramètres'!$M$6:$M$17,0)),0)))</f>
        <v/>
      </c>
      <c r="AU401" s="61">
        <f>IF(E401="","",IFERROR(IF(INDEX('Paramètres'!$K$6:$K$33,MATCH(E401,'Paramètres'!$I$6:$I$33,0))="Oui",1,0),0))</f>
        <v/>
      </c>
      <c r="AV401" s="61">
        <f>IF(F401="","",IFERROR(IF(INDEX('Paramètres'!$O$6:$O$17,MATCH(F401,'Paramètres'!$M$6:$M$17,0))="Oui",1,0),0))</f>
        <v/>
      </c>
      <c r="AW401" s="62">
        <f>IF(E401="","",IF(G401&lt;&gt;"",G401,IF(OR(E401="Proposition envoyée",E401="Signature"),MAX(0,N(IFERROR(INDEX('Paramètres'!$R$6:$R$15,MATCH(IF(AL401&lt;&gt;"",AL401,IFERROR(INDEX('Prospects'!$AN$5:$AN$504,MATCH(C401,'Prospects'!$C$5:$C$504,0)),"")),'Paramètres'!$Q$6:$Q$15,0)),0))-N(P401)),0)))</f>
        <v/>
      </c>
      <c r="AX401" s="61">
        <f>IF(C401="","",IF(COUNTIF($C$5:C401,C401)=1,MAX($AX$4:AX400)+1,""))</f>
        <v/>
      </c>
      <c r="AY401" s="61">
        <f>IF(B401="","",HOUR(B401))</f>
        <v/>
      </c>
      <c r="AZ401" s="61">
        <f>IF(A401="","",MOD(A401-2,7)+1)</f>
        <v/>
      </c>
      <c r="BA401" s="60">
        <f>IF(C401="","",IFERROR(INDEX('Prospects'!$N$5:$N$504,MATCH(C401,'Prospects'!$C$5:$C$504,0)),""))</f>
        <v/>
      </c>
      <c r="BB401" s="61">
        <f>IF(AND(C401&lt;&gt;"",C401='Fiche prospect'!$C$4),COUNTIF($C$5:C401,C401),"")</f>
        <v/>
      </c>
    </row>
    <row r="402">
      <c r="A402" s="53" t="n"/>
      <c r="B402" s="54" t="n"/>
      <c r="C402" s="55" t="n"/>
      <c r="D402" s="55" t="n"/>
      <c r="E402" s="55" t="n"/>
      <c r="F402" s="55" t="n"/>
      <c r="G402" s="56" t="n"/>
      <c r="H402" s="57" t="n"/>
      <c r="I402" s="55" t="n"/>
      <c r="J402" s="53" t="n"/>
      <c r="K402" s="54" t="n"/>
      <c r="L402" s="55" t="n"/>
      <c r="M402" s="55" t="n"/>
      <c r="N402" s="57" t="n"/>
      <c r="O402" s="55" t="n"/>
      <c r="P402" s="56" t="n"/>
      <c r="Q402" s="55" t="n"/>
      <c r="R402" s="55" t="n"/>
      <c r="S402" s="55" t="n"/>
      <c r="T402" s="55" t="n"/>
      <c r="U402" s="55" t="n"/>
      <c r="V402" s="55" t="n"/>
      <c r="W402" s="58" t="n"/>
      <c r="X402" s="58" t="n"/>
      <c r="Y402" s="55" t="n"/>
      <c r="Z402" s="55" t="n"/>
      <c r="AA402" s="55" t="n"/>
      <c r="AB402" s="55" t="n"/>
      <c r="AC402" s="55" t="n"/>
      <c r="AD402" s="53" t="n"/>
      <c r="AE402" s="55" t="n"/>
      <c r="AF402" s="55" t="n"/>
      <c r="AG402" s="59" t="n"/>
      <c r="AH402" s="57" t="n"/>
      <c r="AI402" s="55" t="n"/>
      <c r="AJ402" s="55" t="n"/>
      <c r="AK402" s="55" t="n"/>
      <c r="AL402" s="55" t="n"/>
      <c r="AM402" s="56" t="n"/>
      <c r="AN402" s="55" t="n"/>
      <c r="AO402" s="55" t="n"/>
      <c r="AP402" s="55" t="n"/>
      <c r="AQ402" s="55" t="n"/>
      <c r="AR402" s="60">
        <f>IF(AND(C402="",E402=""),"",IF(A402="","⚠ Date manquante",IF(AND(C402="",E402&lt;&gt;"Dépense"),"⚠ Prospect manquant",IF(E402="","⚠ Action manquante",IF(AND(AU402=1,D402=""),"⚠ Canal manquant",IF(AND(W402&lt;&gt;"",COUNTIFS('Saisie'!$W$5:$W$2004,W402,'Saisie'!$C$5:$C$2004,"&lt;&gt;"&amp;C402)&gt;0),"⚠ Numéro déjà utilisé par un autre prospect",IF(AND(J402&lt;&gt;"",J402&lt;A402),"⚠ Relance avant la date de l'action",IF(A402&gt;TODAY(),"⚠ Date dans le futur","✓"))))))))</f>
        <v/>
      </c>
      <c r="AS402" s="61">
        <f>IF(AND(A402="",C402="",E402=""),"",ROW())</f>
        <v/>
      </c>
      <c r="AT402" s="61">
        <f>IF(E402&amp;F402="","",MAX(IFERROR(INDEX('Paramètres'!$J$6:$J$33,MATCH(E402,'Paramètres'!$I$6:$I$33,0)),0),IFERROR(INDEX('Paramètres'!$N$6:$N$17,MATCH(F402,'Paramètres'!$M$6:$M$17,0)),0)))</f>
        <v/>
      </c>
      <c r="AU402" s="61">
        <f>IF(E402="","",IFERROR(IF(INDEX('Paramètres'!$K$6:$K$33,MATCH(E402,'Paramètres'!$I$6:$I$33,0))="Oui",1,0),0))</f>
        <v/>
      </c>
      <c r="AV402" s="61">
        <f>IF(F402="","",IFERROR(IF(INDEX('Paramètres'!$O$6:$O$17,MATCH(F402,'Paramètres'!$M$6:$M$17,0))="Oui",1,0),0))</f>
        <v/>
      </c>
      <c r="AW402" s="62">
        <f>IF(E402="","",IF(G402&lt;&gt;"",G402,IF(OR(E402="Proposition envoyée",E402="Signature"),MAX(0,N(IFERROR(INDEX('Paramètres'!$R$6:$R$15,MATCH(IF(AL402&lt;&gt;"",AL402,IFERROR(INDEX('Prospects'!$AN$5:$AN$504,MATCH(C402,'Prospects'!$C$5:$C$504,0)),"")),'Paramètres'!$Q$6:$Q$15,0)),0))-N(P402)),0)))</f>
        <v/>
      </c>
      <c r="AX402" s="61">
        <f>IF(C402="","",IF(COUNTIF($C$5:C402,C402)=1,MAX($AX$4:AX401)+1,""))</f>
        <v/>
      </c>
      <c r="AY402" s="61">
        <f>IF(B402="","",HOUR(B402))</f>
        <v/>
      </c>
      <c r="AZ402" s="61">
        <f>IF(A402="","",MOD(A402-2,7)+1)</f>
        <v/>
      </c>
      <c r="BA402" s="60">
        <f>IF(C402="","",IFERROR(INDEX('Prospects'!$N$5:$N$504,MATCH(C402,'Prospects'!$C$5:$C$504,0)),""))</f>
        <v/>
      </c>
      <c r="BB402" s="61">
        <f>IF(AND(C402&lt;&gt;"",C402='Fiche prospect'!$C$4),COUNTIF($C$5:C402,C402),"")</f>
        <v/>
      </c>
    </row>
    <row r="403">
      <c r="A403" s="53" t="n"/>
      <c r="B403" s="54" t="n"/>
      <c r="C403" s="55" t="n"/>
      <c r="D403" s="55" t="n"/>
      <c r="E403" s="55" t="n"/>
      <c r="F403" s="55" t="n"/>
      <c r="G403" s="56" t="n"/>
      <c r="H403" s="57" t="n"/>
      <c r="I403" s="55" t="n"/>
      <c r="J403" s="53" t="n"/>
      <c r="K403" s="54" t="n"/>
      <c r="L403" s="55" t="n"/>
      <c r="M403" s="55" t="n"/>
      <c r="N403" s="57" t="n"/>
      <c r="O403" s="55" t="n"/>
      <c r="P403" s="56" t="n"/>
      <c r="Q403" s="55" t="n"/>
      <c r="R403" s="55" t="n"/>
      <c r="S403" s="55" t="n"/>
      <c r="T403" s="55" t="n"/>
      <c r="U403" s="55" t="n"/>
      <c r="V403" s="55" t="n"/>
      <c r="W403" s="58" t="n"/>
      <c r="X403" s="58" t="n"/>
      <c r="Y403" s="55" t="n"/>
      <c r="Z403" s="55" t="n"/>
      <c r="AA403" s="55" t="n"/>
      <c r="AB403" s="55" t="n"/>
      <c r="AC403" s="55" t="n"/>
      <c r="AD403" s="53" t="n"/>
      <c r="AE403" s="55" t="n"/>
      <c r="AF403" s="55" t="n"/>
      <c r="AG403" s="59" t="n"/>
      <c r="AH403" s="57" t="n"/>
      <c r="AI403" s="55" t="n"/>
      <c r="AJ403" s="55" t="n"/>
      <c r="AK403" s="55" t="n"/>
      <c r="AL403" s="55" t="n"/>
      <c r="AM403" s="56" t="n"/>
      <c r="AN403" s="55" t="n"/>
      <c r="AO403" s="55" t="n"/>
      <c r="AP403" s="55" t="n"/>
      <c r="AQ403" s="55" t="n"/>
      <c r="AR403" s="60">
        <f>IF(AND(C403="",E403=""),"",IF(A403="","⚠ Date manquante",IF(AND(C403="",E403&lt;&gt;"Dépense"),"⚠ Prospect manquant",IF(E403="","⚠ Action manquante",IF(AND(AU403=1,D403=""),"⚠ Canal manquant",IF(AND(W403&lt;&gt;"",COUNTIFS('Saisie'!$W$5:$W$2004,W403,'Saisie'!$C$5:$C$2004,"&lt;&gt;"&amp;C403)&gt;0),"⚠ Numéro déjà utilisé par un autre prospect",IF(AND(J403&lt;&gt;"",J403&lt;A403),"⚠ Relance avant la date de l'action",IF(A403&gt;TODAY(),"⚠ Date dans le futur","✓"))))))))</f>
        <v/>
      </c>
      <c r="AS403" s="61">
        <f>IF(AND(A403="",C403="",E403=""),"",ROW())</f>
        <v/>
      </c>
      <c r="AT403" s="61">
        <f>IF(E403&amp;F403="","",MAX(IFERROR(INDEX('Paramètres'!$J$6:$J$33,MATCH(E403,'Paramètres'!$I$6:$I$33,0)),0),IFERROR(INDEX('Paramètres'!$N$6:$N$17,MATCH(F403,'Paramètres'!$M$6:$M$17,0)),0)))</f>
        <v/>
      </c>
      <c r="AU403" s="61">
        <f>IF(E403="","",IFERROR(IF(INDEX('Paramètres'!$K$6:$K$33,MATCH(E403,'Paramètres'!$I$6:$I$33,0))="Oui",1,0),0))</f>
        <v/>
      </c>
      <c r="AV403" s="61">
        <f>IF(F403="","",IFERROR(IF(INDEX('Paramètres'!$O$6:$O$17,MATCH(F403,'Paramètres'!$M$6:$M$17,0))="Oui",1,0),0))</f>
        <v/>
      </c>
      <c r="AW403" s="62">
        <f>IF(E403="","",IF(G403&lt;&gt;"",G403,IF(OR(E403="Proposition envoyée",E403="Signature"),MAX(0,N(IFERROR(INDEX('Paramètres'!$R$6:$R$15,MATCH(IF(AL403&lt;&gt;"",AL403,IFERROR(INDEX('Prospects'!$AN$5:$AN$504,MATCH(C403,'Prospects'!$C$5:$C$504,0)),"")),'Paramètres'!$Q$6:$Q$15,0)),0))-N(P403)),0)))</f>
        <v/>
      </c>
      <c r="AX403" s="61">
        <f>IF(C403="","",IF(COUNTIF($C$5:C403,C403)=1,MAX($AX$4:AX402)+1,""))</f>
        <v/>
      </c>
      <c r="AY403" s="61">
        <f>IF(B403="","",HOUR(B403))</f>
        <v/>
      </c>
      <c r="AZ403" s="61">
        <f>IF(A403="","",MOD(A403-2,7)+1)</f>
        <v/>
      </c>
      <c r="BA403" s="60">
        <f>IF(C403="","",IFERROR(INDEX('Prospects'!$N$5:$N$504,MATCH(C403,'Prospects'!$C$5:$C$504,0)),""))</f>
        <v/>
      </c>
      <c r="BB403" s="61">
        <f>IF(AND(C403&lt;&gt;"",C403='Fiche prospect'!$C$4),COUNTIF($C$5:C403,C403),"")</f>
        <v/>
      </c>
    </row>
    <row r="404">
      <c r="A404" s="53" t="n"/>
      <c r="B404" s="54" t="n"/>
      <c r="C404" s="55" t="n"/>
      <c r="D404" s="55" t="n"/>
      <c r="E404" s="55" t="n"/>
      <c r="F404" s="55" t="n"/>
      <c r="G404" s="56" t="n"/>
      <c r="H404" s="57" t="n"/>
      <c r="I404" s="55" t="n"/>
      <c r="J404" s="53" t="n"/>
      <c r="K404" s="54" t="n"/>
      <c r="L404" s="55" t="n"/>
      <c r="M404" s="55" t="n"/>
      <c r="N404" s="57" t="n"/>
      <c r="O404" s="55" t="n"/>
      <c r="P404" s="56" t="n"/>
      <c r="Q404" s="55" t="n"/>
      <c r="R404" s="55" t="n"/>
      <c r="S404" s="55" t="n"/>
      <c r="T404" s="55" t="n"/>
      <c r="U404" s="55" t="n"/>
      <c r="V404" s="55" t="n"/>
      <c r="W404" s="58" t="n"/>
      <c r="X404" s="58" t="n"/>
      <c r="Y404" s="55" t="n"/>
      <c r="Z404" s="55" t="n"/>
      <c r="AA404" s="55" t="n"/>
      <c r="AB404" s="55" t="n"/>
      <c r="AC404" s="55" t="n"/>
      <c r="AD404" s="53" t="n"/>
      <c r="AE404" s="55" t="n"/>
      <c r="AF404" s="55" t="n"/>
      <c r="AG404" s="59" t="n"/>
      <c r="AH404" s="57" t="n"/>
      <c r="AI404" s="55" t="n"/>
      <c r="AJ404" s="55" t="n"/>
      <c r="AK404" s="55" t="n"/>
      <c r="AL404" s="55" t="n"/>
      <c r="AM404" s="56" t="n"/>
      <c r="AN404" s="55" t="n"/>
      <c r="AO404" s="55" t="n"/>
      <c r="AP404" s="55" t="n"/>
      <c r="AQ404" s="55" t="n"/>
      <c r="AR404" s="60">
        <f>IF(AND(C404="",E404=""),"",IF(A404="","⚠ Date manquante",IF(AND(C404="",E404&lt;&gt;"Dépense"),"⚠ Prospect manquant",IF(E404="","⚠ Action manquante",IF(AND(AU404=1,D404=""),"⚠ Canal manquant",IF(AND(W404&lt;&gt;"",COUNTIFS('Saisie'!$W$5:$W$2004,W404,'Saisie'!$C$5:$C$2004,"&lt;&gt;"&amp;C404)&gt;0),"⚠ Numéro déjà utilisé par un autre prospect",IF(AND(J404&lt;&gt;"",J404&lt;A404),"⚠ Relance avant la date de l'action",IF(A404&gt;TODAY(),"⚠ Date dans le futur","✓"))))))))</f>
        <v/>
      </c>
      <c r="AS404" s="61">
        <f>IF(AND(A404="",C404="",E404=""),"",ROW())</f>
        <v/>
      </c>
      <c r="AT404" s="61">
        <f>IF(E404&amp;F404="","",MAX(IFERROR(INDEX('Paramètres'!$J$6:$J$33,MATCH(E404,'Paramètres'!$I$6:$I$33,0)),0),IFERROR(INDEX('Paramètres'!$N$6:$N$17,MATCH(F404,'Paramètres'!$M$6:$M$17,0)),0)))</f>
        <v/>
      </c>
      <c r="AU404" s="61">
        <f>IF(E404="","",IFERROR(IF(INDEX('Paramètres'!$K$6:$K$33,MATCH(E404,'Paramètres'!$I$6:$I$33,0))="Oui",1,0),0))</f>
        <v/>
      </c>
      <c r="AV404" s="61">
        <f>IF(F404="","",IFERROR(IF(INDEX('Paramètres'!$O$6:$O$17,MATCH(F404,'Paramètres'!$M$6:$M$17,0))="Oui",1,0),0))</f>
        <v/>
      </c>
      <c r="AW404" s="62">
        <f>IF(E404="","",IF(G404&lt;&gt;"",G404,IF(OR(E404="Proposition envoyée",E404="Signature"),MAX(0,N(IFERROR(INDEX('Paramètres'!$R$6:$R$15,MATCH(IF(AL404&lt;&gt;"",AL404,IFERROR(INDEX('Prospects'!$AN$5:$AN$504,MATCH(C404,'Prospects'!$C$5:$C$504,0)),"")),'Paramètres'!$Q$6:$Q$15,0)),0))-N(P404)),0)))</f>
        <v/>
      </c>
      <c r="AX404" s="61">
        <f>IF(C404="","",IF(COUNTIF($C$5:C404,C404)=1,MAX($AX$4:AX403)+1,""))</f>
        <v/>
      </c>
      <c r="AY404" s="61">
        <f>IF(B404="","",HOUR(B404))</f>
        <v/>
      </c>
      <c r="AZ404" s="61">
        <f>IF(A404="","",MOD(A404-2,7)+1)</f>
        <v/>
      </c>
      <c r="BA404" s="60">
        <f>IF(C404="","",IFERROR(INDEX('Prospects'!$N$5:$N$504,MATCH(C404,'Prospects'!$C$5:$C$504,0)),""))</f>
        <v/>
      </c>
      <c r="BB404" s="61">
        <f>IF(AND(C404&lt;&gt;"",C404='Fiche prospect'!$C$4),COUNTIF($C$5:C404,C404),"")</f>
        <v/>
      </c>
    </row>
    <row r="405">
      <c r="A405" s="53" t="n"/>
      <c r="B405" s="54" t="n"/>
      <c r="C405" s="55" t="n"/>
      <c r="D405" s="55" t="n"/>
      <c r="E405" s="55" t="n"/>
      <c r="F405" s="55" t="n"/>
      <c r="G405" s="56" t="n"/>
      <c r="H405" s="57" t="n"/>
      <c r="I405" s="55" t="n"/>
      <c r="J405" s="53" t="n"/>
      <c r="K405" s="54" t="n"/>
      <c r="L405" s="55" t="n"/>
      <c r="M405" s="55" t="n"/>
      <c r="N405" s="57" t="n"/>
      <c r="O405" s="55" t="n"/>
      <c r="P405" s="56" t="n"/>
      <c r="Q405" s="55" t="n"/>
      <c r="R405" s="55" t="n"/>
      <c r="S405" s="55" t="n"/>
      <c r="T405" s="55" t="n"/>
      <c r="U405" s="55" t="n"/>
      <c r="V405" s="55" t="n"/>
      <c r="W405" s="58" t="n"/>
      <c r="X405" s="58" t="n"/>
      <c r="Y405" s="55" t="n"/>
      <c r="Z405" s="55" t="n"/>
      <c r="AA405" s="55" t="n"/>
      <c r="AB405" s="55" t="n"/>
      <c r="AC405" s="55" t="n"/>
      <c r="AD405" s="53" t="n"/>
      <c r="AE405" s="55" t="n"/>
      <c r="AF405" s="55" t="n"/>
      <c r="AG405" s="59" t="n"/>
      <c r="AH405" s="57" t="n"/>
      <c r="AI405" s="55" t="n"/>
      <c r="AJ405" s="55" t="n"/>
      <c r="AK405" s="55" t="n"/>
      <c r="AL405" s="55" t="n"/>
      <c r="AM405" s="56" t="n"/>
      <c r="AN405" s="55" t="n"/>
      <c r="AO405" s="55" t="n"/>
      <c r="AP405" s="55" t="n"/>
      <c r="AQ405" s="55" t="n"/>
      <c r="AR405" s="60">
        <f>IF(AND(C405="",E405=""),"",IF(A405="","⚠ Date manquante",IF(AND(C405="",E405&lt;&gt;"Dépense"),"⚠ Prospect manquant",IF(E405="","⚠ Action manquante",IF(AND(AU405=1,D405=""),"⚠ Canal manquant",IF(AND(W405&lt;&gt;"",COUNTIFS('Saisie'!$W$5:$W$2004,W405,'Saisie'!$C$5:$C$2004,"&lt;&gt;"&amp;C405)&gt;0),"⚠ Numéro déjà utilisé par un autre prospect",IF(AND(J405&lt;&gt;"",J405&lt;A405),"⚠ Relance avant la date de l'action",IF(A405&gt;TODAY(),"⚠ Date dans le futur","✓"))))))))</f>
        <v/>
      </c>
      <c r="AS405" s="61">
        <f>IF(AND(A405="",C405="",E405=""),"",ROW())</f>
        <v/>
      </c>
      <c r="AT405" s="61">
        <f>IF(E405&amp;F405="","",MAX(IFERROR(INDEX('Paramètres'!$J$6:$J$33,MATCH(E405,'Paramètres'!$I$6:$I$33,0)),0),IFERROR(INDEX('Paramètres'!$N$6:$N$17,MATCH(F405,'Paramètres'!$M$6:$M$17,0)),0)))</f>
        <v/>
      </c>
      <c r="AU405" s="61">
        <f>IF(E405="","",IFERROR(IF(INDEX('Paramètres'!$K$6:$K$33,MATCH(E405,'Paramètres'!$I$6:$I$33,0))="Oui",1,0),0))</f>
        <v/>
      </c>
      <c r="AV405" s="61">
        <f>IF(F405="","",IFERROR(IF(INDEX('Paramètres'!$O$6:$O$17,MATCH(F405,'Paramètres'!$M$6:$M$17,0))="Oui",1,0),0))</f>
        <v/>
      </c>
      <c r="AW405" s="62">
        <f>IF(E405="","",IF(G405&lt;&gt;"",G405,IF(OR(E405="Proposition envoyée",E405="Signature"),MAX(0,N(IFERROR(INDEX('Paramètres'!$R$6:$R$15,MATCH(IF(AL405&lt;&gt;"",AL405,IFERROR(INDEX('Prospects'!$AN$5:$AN$504,MATCH(C405,'Prospects'!$C$5:$C$504,0)),"")),'Paramètres'!$Q$6:$Q$15,0)),0))-N(P405)),0)))</f>
        <v/>
      </c>
      <c r="AX405" s="61">
        <f>IF(C405="","",IF(COUNTIF($C$5:C405,C405)=1,MAX($AX$4:AX404)+1,""))</f>
        <v/>
      </c>
      <c r="AY405" s="61">
        <f>IF(B405="","",HOUR(B405))</f>
        <v/>
      </c>
      <c r="AZ405" s="61">
        <f>IF(A405="","",MOD(A405-2,7)+1)</f>
        <v/>
      </c>
      <c r="BA405" s="60">
        <f>IF(C405="","",IFERROR(INDEX('Prospects'!$N$5:$N$504,MATCH(C405,'Prospects'!$C$5:$C$504,0)),""))</f>
        <v/>
      </c>
      <c r="BB405" s="61">
        <f>IF(AND(C405&lt;&gt;"",C405='Fiche prospect'!$C$4),COUNTIF($C$5:C405,C405),"")</f>
        <v/>
      </c>
    </row>
    <row r="406">
      <c r="A406" s="53" t="n"/>
      <c r="B406" s="54" t="n"/>
      <c r="C406" s="55" t="n"/>
      <c r="D406" s="55" t="n"/>
      <c r="E406" s="55" t="n"/>
      <c r="F406" s="55" t="n"/>
      <c r="G406" s="56" t="n"/>
      <c r="H406" s="57" t="n"/>
      <c r="I406" s="55" t="n"/>
      <c r="J406" s="53" t="n"/>
      <c r="K406" s="54" t="n"/>
      <c r="L406" s="55" t="n"/>
      <c r="M406" s="55" t="n"/>
      <c r="N406" s="57" t="n"/>
      <c r="O406" s="55" t="n"/>
      <c r="P406" s="56" t="n"/>
      <c r="Q406" s="55" t="n"/>
      <c r="R406" s="55" t="n"/>
      <c r="S406" s="55" t="n"/>
      <c r="T406" s="55" t="n"/>
      <c r="U406" s="55" t="n"/>
      <c r="V406" s="55" t="n"/>
      <c r="W406" s="58" t="n"/>
      <c r="X406" s="58" t="n"/>
      <c r="Y406" s="55" t="n"/>
      <c r="Z406" s="55" t="n"/>
      <c r="AA406" s="55" t="n"/>
      <c r="AB406" s="55" t="n"/>
      <c r="AC406" s="55" t="n"/>
      <c r="AD406" s="53" t="n"/>
      <c r="AE406" s="55" t="n"/>
      <c r="AF406" s="55" t="n"/>
      <c r="AG406" s="59" t="n"/>
      <c r="AH406" s="57" t="n"/>
      <c r="AI406" s="55" t="n"/>
      <c r="AJ406" s="55" t="n"/>
      <c r="AK406" s="55" t="n"/>
      <c r="AL406" s="55" t="n"/>
      <c r="AM406" s="56" t="n"/>
      <c r="AN406" s="55" t="n"/>
      <c r="AO406" s="55" t="n"/>
      <c r="AP406" s="55" t="n"/>
      <c r="AQ406" s="55" t="n"/>
      <c r="AR406" s="60">
        <f>IF(AND(C406="",E406=""),"",IF(A406="","⚠ Date manquante",IF(AND(C406="",E406&lt;&gt;"Dépense"),"⚠ Prospect manquant",IF(E406="","⚠ Action manquante",IF(AND(AU406=1,D406=""),"⚠ Canal manquant",IF(AND(W406&lt;&gt;"",COUNTIFS('Saisie'!$W$5:$W$2004,W406,'Saisie'!$C$5:$C$2004,"&lt;&gt;"&amp;C406)&gt;0),"⚠ Numéro déjà utilisé par un autre prospect",IF(AND(J406&lt;&gt;"",J406&lt;A406),"⚠ Relance avant la date de l'action",IF(A406&gt;TODAY(),"⚠ Date dans le futur","✓"))))))))</f>
        <v/>
      </c>
      <c r="AS406" s="61">
        <f>IF(AND(A406="",C406="",E406=""),"",ROW())</f>
        <v/>
      </c>
      <c r="AT406" s="61">
        <f>IF(E406&amp;F406="","",MAX(IFERROR(INDEX('Paramètres'!$J$6:$J$33,MATCH(E406,'Paramètres'!$I$6:$I$33,0)),0),IFERROR(INDEX('Paramètres'!$N$6:$N$17,MATCH(F406,'Paramètres'!$M$6:$M$17,0)),0)))</f>
        <v/>
      </c>
      <c r="AU406" s="61">
        <f>IF(E406="","",IFERROR(IF(INDEX('Paramètres'!$K$6:$K$33,MATCH(E406,'Paramètres'!$I$6:$I$33,0))="Oui",1,0),0))</f>
        <v/>
      </c>
      <c r="AV406" s="61">
        <f>IF(F406="","",IFERROR(IF(INDEX('Paramètres'!$O$6:$O$17,MATCH(F406,'Paramètres'!$M$6:$M$17,0))="Oui",1,0),0))</f>
        <v/>
      </c>
      <c r="AW406" s="62">
        <f>IF(E406="","",IF(G406&lt;&gt;"",G406,IF(OR(E406="Proposition envoyée",E406="Signature"),MAX(0,N(IFERROR(INDEX('Paramètres'!$R$6:$R$15,MATCH(IF(AL406&lt;&gt;"",AL406,IFERROR(INDEX('Prospects'!$AN$5:$AN$504,MATCH(C406,'Prospects'!$C$5:$C$504,0)),"")),'Paramètres'!$Q$6:$Q$15,0)),0))-N(P406)),0)))</f>
        <v/>
      </c>
      <c r="AX406" s="61">
        <f>IF(C406="","",IF(COUNTIF($C$5:C406,C406)=1,MAX($AX$4:AX405)+1,""))</f>
        <v/>
      </c>
      <c r="AY406" s="61">
        <f>IF(B406="","",HOUR(B406))</f>
        <v/>
      </c>
      <c r="AZ406" s="61">
        <f>IF(A406="","",MOD(A406-2,7)+1)</f>
        <v/>
      </c>
      <c r="BA406" s="60">
        <f>IF(C406="","",IFERROR(INDEX('Prospects'!$N$5:$N$504,MATCH(C406,'Prospects'!$C$5:$C$504,0)),""))</f>
        <v/>
      </c>
      <c r="BB406" s="61">
        <f>IF(AND(C406&lt;&gt;"",C406='Fiche prospect'!$C$4),COUNTIF($C$5:C406,C406),"")</f>
        <v/>
      </c>
    </row>
    <row r="407">
      <c r="A407" s="53" t="n"/>
      <c r="B407" s="54" t="n"/>
      <c r="C407" s="55" t="n"/>
      <c r="D407" s="55" t="n"/>
      <c r="E407" s="55" t="n"/>
      <c r="F407" s="55" t="n"/>
      <c r="G407" s="56" t="n"/>
      <c r="H407" s="57" t="n"/>
      <c r="I407" s="55" t="n"/>
      <c r="J407" s="53" t="n"/>
      <c r="K407" s="54" t="n"/>
      <c r="L407" s="55" t="n"/>
      <c r="M407" s="55" t="n"/>
      <c r="N407" s="57" t="n"/>
      <c r="O407" s="55" t="n"/>
      <c r="P407" s="56" t="n"/>
      <c r="Q407" s="55" t="n"/>
      <c r="R407" s="55" t="n"/>
      <c r="S407" s="55" t="n"/>
      <c r="T407" s="55" t="n"/>
      <c r="U407" s="55" t="n"/>
      <c r="V407" s="55" t="n"/>
      <c r="W407" s="58" t="n"/>
      <c r="X407" s="58" t="n"/>
      <c r="Y407" s="55" t="n"/>
      <c r="Z407" s="55" t="n"/>
      <c r="AA407" s="55" t="n"/>
      <c r="AB407" s="55" t="n"/>
      <c r="AC407" s="55" t="n"/>
      <c r="AD407" s="53" t="n"/>
      <c r="AE407" s="55" t="n"/>
      <c r="AF407" s="55" t="n"/>
      <c r="AG407" s="59" t="n"/>
      <c r="AH407" s="57" t="n"/>
      <c r="AI407" s="55" t="n"/>
      <c r="AJ407" s="55" t="n"/>
      <c r="AK407" s="55" t="n"/>
      <c r="AL407" s="55" t="n"/>
      <c r="AM407" s="56" t="n"/>
      <c r="AN407" s="55" t="n"/>
      <c r="AO407" s="55" t="n"/>
      <c r="AP407" s="55" t="n"/>
      <c r="AQ407" s="55" t="n"/>
      <c r="AR407" s="60">
        <f>IF(AND(C407="",E407=""),"",IF(A407="","⚠ Date manquante",IF(AND(C407="",E407&lt;&gt;"Dépense"),"⚠ Prospect manquant",IF(E407="","⚠ Action manquante",IF(AND(AU407=1,D407=""),"⚠ Canal manquant",IF(AND(W407&lt;&gt;"",COUNTIFS('Saisie'!$W$5:$W$2004,W407,'Saisie'!$C$5:$C$2004,"&lt;&gt;"&amp;C407)&gt;0),"⚠ Numéro déjà utilisé par un autre prospect",IF(AND(J407&lt;&gt;"",J407&lt;A407),"⚠ Relance avant la date de l'action",IF(A407&gt;TODAY(),"⚠ Date dans le futur","✓"))))))))</f>
        <v/>
      </c>
      <c r="AS407" s="61">
        <f>IF(AND(A407="",C407="",E407=""),"",ROW())</f>
        <v/>
      </c>
      <c r="AT407" s="61">
        <f>IF(E407&amp;F407="","",MAX(IFERROR(INDEX('Paramètres'!$J$6:$J$33,MATCH(E407,'Paramètres'!$I$6:$I$33,0)),0),IFERROR(INDEX('Paramètres'!$N$6:$N$17,MATCH(F407,'Paramètres'!$M$6:$M$17,0)),0)))</f>
        <v/>
      </c>
      <c r="AU407" s="61">
        <f>IF(E407="","",IFERROR(IF(INDEX('Paramètres'!$K$6:$K$33,MATCH(E407,'Paramètres'!$I$6:$I$33,0))="Oui",1,0),0))</f>
        <v/>
      </c>
      <c r="AV407" s="61">
        <f>IF(F407="","",IFERROR(IF(INDEX('Paramètres'!$O$6:$O$17,MATCH(F407,'Paramètres'!$M$6:$M$17,0))="Oui",1,0),0))</f>
        <v/>
      </c>
      <c r="AW407" s="62">
        <f>IF(E407="","",IF(G407&lt;&gt;"",G407,IF(OR(E407="Proposition envoyée",E407="Signature"),MAX(0,N(IFERROR(INDEX('Paramètres'!$R$6:$R$15,MATCH(IF(AL407&lt;&gt;"",AL407,IFERROR(INDEX('Prospects'!$AN$5:$AN$504,MATCH(C407,'Prospects'!$C$5:$C$504,0)),"")),'Paramètres'!$Q$6:$Q$15,0)),0))-N(P407)),0)))</f>
        <v/>
      </c>
      <c r="AX407" s="61">
        <f>IF(C407="","",IF(COUNTIF($C$5:C407,C407)=1,MAX($AX$4:AX406)+1,""))</f>
        <v/>
      </c>
      <c r="AY407" s="61">
        <f>IF(B407="","",HOUR(B407))</f>
        <v/>
      </c>
      <c r="AZ407" s="61">
        <f>IF(A407="","",MOD(A407-2,7)+1)</f>
        <v/>
      </c>
      <c r="BA407" s="60">
        <f>IF(C407="","",IFERROR(INDEX('Prospects'!$N$5:$N$504,MATCH(C407,'Prospects'!$C$5:$C$504,0)),""))</f>
        <v/>
      </c>
      <c r="BB407" s="61">
        <f>IF(AND(C407&lt;&gt;"",C407='Fiche prospect'!$C$4),COUNTIF($C$5:C407,C407),"")</f>
        <v/>
      </c>
    </row>
    <row r="408">
      <c r="A408" s="53" t="n"/>
      <c r="B408" s="54" t="n"/>
      <c r="C408" s="55" t="n"/>
      <c r="D408" s="55" t="n"/>
      <c r="E408" s="55" t="n"/>
      <c r="F408" s="55" t="n"/>
      <c r="G408" s="56" t="n"/>
      <c r="H408" s="57" t="n"/>
      <c r="I408" s="55" t="n"/>
      <c r="J408" s="53" t="n"/>
      <c r="K408" s="54" t="n"/>
      <c r="L408" s="55" t="n"/>
      <c r="M408" s="55" t="n"/>
      <c r="N408" s="57" t="n"/>
      <c r="O408" s="55" t="n"/>
      <c r="P408" s="56" t="n"/>
      <c r="Q408" s="55" t="n"/>
      <c r="R408" s="55" t="n"/>
      <c r="S408" s="55" t="n"/>
      <c r="T408" s="55" t="n"/>
      <c r="U408" s="55" t="n"/>
      <c r="V408" s="55" t="n"/>
      <c r="W408" s="58" t="n"/>
      <c r="X408" s="58" t="n"/>
      <c r="Y408" s="55" t="n"/>
      <c r="Z408" s="55" t="n"/>
      <c r="AA408" s="55" t="n"/>
      <c r="AB408" s="55" t="n"/>
      <c r="AC408" s="55" t="n"/>
      <c r="AD408" s="53" t="n"/>
      <c r="AE408" s="55" t="n"/>
      <c r="AF408" s="55" t="n"/>
      <c r="AG408" s="59" t="n"/>
      <c r="AH408" s="57" t="n"/>
      <c r="AI408" s="55" t="n"/>
      <c r="AJ408" s="55" t="n"/>
      <c r="AK408" s="55" t="n"/>
      <c r="AL408" s="55" t="n"/>
      <c r="AM408" s="56" t="n"/>
      <c r="AN408" s="55" t="n"/>
      <c r="AO408" s="55" t="n"/>
      <c r="AP408" s="55" t="n"/>
      <c r="AQ408" s="55" t="n"/>
      <c r="AR408" s="60">
        <f>IF(AND(C408="",E408=""),"",IF(A408="","⚠ Date manquante",IF(AND(C408="",E408&lt;&gt;"Dépense"),"⚠ Prospect manquant",IF(E408="","⚠ Action manquante",IF(AND(AU408=1,D408=""),"⚠ Canal manquant",IF(AND(W408&lt;&gt;"",COUNTIFS('Saisie'!$W$5:$W$2004,W408,'Saisie'!$C$5:$C$2004,"&lt;&gt;"&amp;C408)&gt;0),"⚠ Numéro déjà utilisé par un autre prospect",IF(AND(J408&lt;&gt;"",J408&lt;A408),"⚠ Relance avant la date de l'action",IF(A408&gt;TODAY(),"⚠ Date dans le futur","✓"))))))))</f>
        <v/>
      </c>
      <c r="AS408" s="61">
        <f>IF(AND(A408="",C408="",E408=""),"",ROW())</f>
        <v/>
      </c>
      <c r="AT408" s="61">
        <f>IF(E408&amp;F408="","",MAX(IFERROR(INDEX('Paramètres'!$J$6:$J$33,MATCH(E408,'Paramètres'!$I$6:$I$33,0)),0),IFERROR(INDEX('Paramètres'!$N$6:$N$17,MATCH(F408,'Paramètres'!$M$6:$M$17,0)),0)))</f>
        <v/>
      </c>
      <c r="AU408" s="61">
        <f>IF(E408="","",IFERROR(IF(INDEX('Paramètres'!$K$6:$K$33,MATCH(E408,'Paramètres'!$I$6:$I$33,0))="Oui",1,0),0))</f>
        <v/>
      </c>
      <c r="AV408" s="61">
        <f>IF(F408="","",IFERROR(IF(INDEX('Paramètres'!$O$6:$O$17,MATCH(F408,'Paramètres'!$M$6:$M$17,0))="Oui",1,0),0))</f>
        <v/>
      </c>
      <c r="AW408" s="62">
        <f>IF(E408="","",IF(G408&lt;&gt;"",G408,IF(OR(E408="Proposition envoyée",E408="Signature"),MAX(0,N(IFERROR(INDEX('Paramètres'!$R$6:$R$15,MATCH(IF(AL408&lt;&gt;"",AL408,IFERROR(INDEX('Prospects'!$AN$5:$AN$504,MATCH(C408,'Prospects'!$C$5:$C$504,0)),"")),'Paramètres'!$Q$6:$Q$15,0)),0))-N(P408)),0)))</f>
        <v/>
      </c>
      <c r="AX408" s="61">
        <f>IF(C408="","",IF(COUNTIF($C$5:C408,C408)=1,MAX($AX$4:AX407)+1,""))</f>
        <v/>
      </c>
      <c r="AY408" s="61">
        <f>IF(B408="","",HOUR(B408))</f>
        <v/>
      </c>
      <c r="AZ408" s="61">
        <f>IF(A408="","",MOD(A408-2,7)+1)</f>
        <v/>
      </c>
      <c r="BA408" s="60">
        <f>IF(C408="","",IFERROR(INDEX('Prospects'!$N$5:$N$504,MATCH(C408,'Prospects'!$C$5:$C$504,0)),""))</f>
        <v/>
      </c>
      <c r="BB408" s="61">
        <f>IF(AND(C408&lt;&gt;"",C408='Fiche prospect'!$C$4),COUNTIF($C$5:C408,C408),"")</f>
        <v/>
      </c>
    </row>
    <row r="409">
      <c r="A409" s="53" t="n"/>
      <c r="B409" s="54" t="n"/>
      <c r="C409" s="55" t="n"/>
      <c r="D409" s="55" t="n"/>
      <c r="E409" s="55" t="n"/>
      <c r="F409" s="55" t="n"/>
      <c r="G409" s="56" t="n"/>
      <c r="H409" s="57" t="n"/>
      <c r="I409" s="55" t="n"/>
      <c r="J409" s="53" t="n"/>
      <c r="K409" s="54" t="n"/>
      <c r="L409" s="55" t="n"/>
      <c r="M409" s="55" t="n"/>
      <c r="N409" s="57" t="n"/>
      <c r="O409" s="55" t="n"/>
      <c r="P409" s="56" t="n"/>
      <c r="Q409" s="55" t="n"/>
      <c r="R409" s="55" t="n"/>
      <c r="S409" s="55" t="n"/>
      <c r="T409" s="55" t="n"/>
      <c r="U409" s="55" t="n"/>
      <c r="V409" s="55" t="n"/>
      <c r="W409" s="58" t="n"/>
      <c r="X409" s="58" t="n"/>
      <c r="Y409" s="55" t="n"/>
      <c r="Z409" s="55" t="n"/>
      <c r="AA409" s="55" t="n"/>
      <c r="AB409" s="55" t="n"/>
      <c r="AC409" s="55" t="n"/>
      <c r="AD409" s="53" t="n"/>
      <c r="AE409" s="55" t="n"/>
      <c r="AF409" s="55" t="n"/>
      <c r="AG409" s="59" t="n"/>
      <c r="AH409" s="57" t="n"/>
      <c r="AI409" s="55" t="n"/>
      <c r="AJ409" s="55" t="n"/>
      <c r="AK409" s="55" t="n"/>
      <c r="AL409" s="55" t="n"/>
      <c r="AM409" s="56" t="n"/>
      <c r="AN409" s="55" t="n"/>
      <c r="AO409" s="55" t="n"/>
      <c r="AP409" s="55" t="n"/>
      <c r="AQ409" s="55" t="n"/>
      <c r="AR409" s="60">
        <f>IF(AND(C409="",E409=""),"",IF(A409="","⚠ Date manquante",IF(AND(C409="",E409&lt;&gt;"Dépense"),"⚠ Prospect manquant",IF(E409="","⚠ Action manquante",IF(AND(AU409=1,D409=""),"⚠ Canal manquant",IF(AND(W409&lt;&gt;"",COUNTIFS('Saisie'!$W$5:$W$2004,W409,'Saisie'!$C$5:$C$2004,"&lt;&gt;"&amp;C409)&gt;0),"⚠ Numéro déjà utilisé par un autre prospect",IF(AND(J409&lt;&gt;"",J409&lt;A409),"⚠ Relance avant la date de l'action",IF(A409&gt;TODAY(),"⚠ Date dans le futur","✓"))))))))</f>
        <v/>
      </c>
      <c r="AS409" s="61">
        <f>IF(AND(A409="",C409="",E409=""),"",ROW())</f>
        <v/>
      </c>
      <c r="AT409" s="61">
        <f>IF(E409&amp;F409="","",MAX(IFERROR(INDEX('Paramètres'!$J$6:$J$33,MATCH(E409,'Paramètres'!$I$6:$I$33,0)),0),IFERROR(INDEX('Paramètres'!$N$6:$N$17,MATCH(F409,'Paramètres'!$M$6:$M$17,0)),0)))</f>
        <v/>
      </c>
      <c r="AU409" s="61">
        <f>IF(E409="","",IFERROR(IF(INDEX('Paramètres'!$K$6:$K$33,MATCH(E409,'Paramètres'!$I$6:$I$33,0))="Oui",1,0),0))</f>
        <v/>
      </c>
      <c r="AV409" s="61">
        <f>IF(F409="","",IFERROR(IF(INDEX('Paramètres'!$O$6:$O$17,MATCH(F409,'Paramètres'!$M$6:$M$17,0))="Oui",1,0),0))</f>
        <v/>
      </c>
      <c r="AW409" s="62">
        <f>IF(E409="","",IF(G409&lt;&gt;"",G409,IF(OR(E409="Proposition envoyée",E409="Signature"),MAX(0,N(IFERROR(INDEX('Paramètres'!$R$6:$R$15,MATCH(IF(AL409&lt;&gt;"",AL409,IFERROR(INDEX('Prospects'!$AN$5:$AN$504,MATCH(C409,'Prospects'!$C$5:$C$504,0)),"")),'Paramètres'!$Q$6:$Q$15,0)),0))-N(P409)),0)))</f>
        <v/>
      </c>
      <c r="AX409" s="61">
        <f>IF(C409="","",IF(COUNTIF($C$5:C409,C409)=1,MAX($AX$4:AX408)+1,""))</f>
        <v/>
      </c>
      <c r="AY409" s="61">
        <f>IF(B409="","",HOUR(B409))</f>
        <v/>
      </c>
      <c r="AZ409" s="61">
        <f>IF(A409="","",MOD(A409-2,7)+1)</f>
        <v/>
      </c>
      <c r="BA409" s="60">
        <f>IF(C409="","",IFERROR(INDEX('Prospects'!$N$5:$N$504,MATCH(C409,'Prospects'!$C$5:$C$504,0)),""))</f>
        <v/>
      </c>
      <c r="BB409" s="61">
        <f>IF(AND(C409&lt;&gt;"",C409='Fiche prospect'!$C$4),COUNTIF($C$5:C409,C409),"")</f>
        <v/>
      </c>
    </row>
    <row r="410">
      <c r="A410" s="53" t="n"/>
      <c r="B410" s="54" t="n"/>
      <c r="C410" s="55" t="n"/>
      <c r="D410" s="55" t="n"/>
      <c r="E410" s="55" t="n"/>
      <c r="F410" s="55" t="n"/>
      <c r="G410" s="56" t="n"/>
      <c r="H410" s="57" t="n"/>
      <c r="I410" s="55" t="n"/>
      <c r="J410" s="53" t="n"/>
      <c r="K410" s="54" t="n"/>
      <c r="L410" s="55" t="n"/>
      <c r="M410" s="55" t="n"/>
      <c r="N410" s="57" t="n"/>
      <c r="O410" s="55" t="n"/>
      <c r="P410" s="56" t="n"/>
      <c r="Q410" s="55" t="n"/>
      <c r="R410" s="55" t="n"/>
      <c r="S410" s="55" t="n"/>
      <c r="T410" s="55" t="n"/>
      <c r="U410" s="55" t="n"/>
      <c r="V410" s="55" t="n"/>
      <c r="W410" s="58" t="n"/>
      <c r="X410" s="58" t="n"/>
      <c r="Y410" s="55" t="n"/>
      <c r="Z410" s="55" t="n"/>
      <c r="AA410" s="55" t="n"/>
      <c r="AB410" s="55" t="n"/>
      <c r="AC410" s="55" t="n"/>
      <c r="AD410" s="53" t="n"/>
      <c r="AE410" s="55" t="n"/>
      <c r="AF410" s="55" t="n"/>
      <c r="AG410" s="59" t="n"/>
      <c r="AH410" s="57" t="n"/>
      <c r="AI410" s="55" t="n"/>
      <c r="AJ410" s="55" t="n"/>
      <c r="AK410" s="55" t="n"/>
      <c r="AL410" s="55" t="n"/>
      <c r="AM410" s="56" t="n"/>
      <c r="AN410" s="55" t="n"/>
      <c r="AO410" s="55" t="n"/>
      <c r="AP410" s="55" t="n"/>
      <c r="AQ410" s="55" t="n"/>
      <c r="AR410" s="60">
        <f>IF(AND(C410="",E410=""),"",IF(A410="","⚠ Date manquante",IF(AND(C410="",E410&lt;&gt;"Dépense"),"⚠ Prospect manquant",IF(E410="","⚠ Action manquante",IF(AND(AU410=1,D410=""),"⚠ Canal manquant",IF(AND(W410&lt;&gt;"",COUNTIFS('Saisie'!$W$5:$W$2004,W410,'Saisie'!$C$5:$C$2004,"&lt;&gt;"&amp;C410)&gt;0),"⚠ Numéro déjà utilisé par un autre prospect",IF(AND(J410&lt;&gt;"",J410&lt;A410),"⚠ Relance avant la date de l'action",IF(A410&gt;TODAY(),"⚠ Date dans le futur","✓"))))))))</f>
        <v/>
      </c>
      <c r="AS410" s="61">
        <f>IF(AND(A410="",C410="",E410=""),"",ROW())</f>
        <v/>
      </c>
      <c r="AT410" s="61">
        <f>IF(E410&amp;F410="","",MAX(IFERROR(INDEX('Paramètres'!$J$6:$J$33,MATCH(E410,'Paramètres'!$I$6:$I$33,0)),0),IFERROR(INDEX('Paramètres'!$N$6:$N$17,MATCH(F410,'Paramètres'!$M$6:$M$17,0)),0)))</f>
        <v/>
      </c>
      <c r="AU410" s="61">
        <f>IF(E410="","",IFERROR(IF(INDEX('Paramètres'!$K$6:$K$33,MATCH(E410,'Paramètres'!$I$6:$I$33,0))="Oui",1,0),0))</f>
        <v/>
      </c>
      <c r="AV410" s="61">
        <f>IF(F410="","",IFERROR(IF(INDEX('Paramètres'!$O$6:$O$17,MATCH(F410,'Paramètres'!$M$6:$M$17,0))="Oui",1,0),0))</f>
        <v/>
      </c>
      <c r="AW410" s="62">
        <f>IF(E410="","",IF(G410&lt;&gt;"",G410,IF(OR(E410="Proposition envoyée",E410="Signature"),MAX(0,N(IFERROR(INDEX('Paramètres'!$R$6:$R$15,MATCH(IF(AL410&lt;&gt;"",AL410,IFERROR(INDEX('Prospects'!$AN$5:$AN$504,MATCH(C410,'Prospects'!$C$5:$C$504,0)),"")),'Paramètres'!$Q$6:$Q$15,0)),0))-N(P410)),0)))</f>
        <v/>
      </c>
      <c r="AX410" s="61">
        <f>IF(C410="","",IF(COUNTIF($C$5:C410,C410)=1,MAX($AX$4:AX409)+1,""))</f>
        <v/>
      </c>
      <c r="AY410" s="61">
        <f>IF(B410="","",HOUR(B410))</f>
        <v/>
      </c>
      <c r="AZ410" s="61">
        <f>IF(A410="","",MOD(A410-2,7)+1)</f>
        <v/>
      </c>
      <c r="BA410" s="60">
        <f>IF(C410="","",IFERROR(INDEX('Prospects'!$N$5:$N$504,MATCH(C410,'Prospects'!$C$5:$C$504,0)),""))</f>
        <v/>
      </c>
      <c r="BB410" s="61">
        <f>IF(AND(C410&lt;&gt;"",C410='Fiche prospect'!$C$4),COUNTIF($C$5:C410,C410),"")</f>
        <v/>
      </c>
    </row>
    <row r="411">
      <c r="A411" s="53" t="n"/>
      <c r="B411" s="54" t="n"/>
      <c r="C411" s="55" t="n"/>
      <c r="D411" s="55" t="n"/>
      <c r="E411" s="55" t="n"/>
      <c r="F411" s="55" t="n"/>
      <c r="G411" s="56" t="n"/>
      <c r="H411" s="57" t="n"/>
      <c r="I411" s="55" t="n"/>
      <c r="J411" s="53" t="n"/>
      <c r="K411" s="54" t="n"/>
      <c r="L411" s="55" t="n"/>
      <c r="M411" s="55" t="n"/>
      <c r="N411" s="57" t="n"/>
      <c r="O411" s="55" t="n"/>
      <c r="P411" s="56" t="n"/>
      <c r="Q411" s="55" t="n"/>
      <c r="R411" s="55" t="n"/>
      <c r="S411" s="55" t="n"/>
      <c r="T411" s="55" t="n"/>
      <c r="U411" s="55" t="n"/>
      <c r="V411" s="55" t="n"/>
      <c r="W411" s="58" t="n"/>
      <c r="X411" s="58" t="n"/>
      <c r="Y411" s="55" t="n"/>
      <c r="Z411" s="55" t="n"/>
      <c r="AA411" s="55" t="n"/>
      <c r="AB411" s="55" t="n"/>
      <c r="AC411" s="55" t="n"/>
      <c r="AD411" s="53" t="n"/>
      <c r="AE411" s="55" t="n"/>
      <c r="AF411" s="55" t="n"/>
      <c r="AG411" s="59" t="n"/>
      <c r="AH411" s="57" t="n"/>
      <c r="AI411" s="55" t="n"/>
      <c r="AJ411" s="55" t="n"/>
      <c r="AK411" s="55" t="n"/>
      <c r="AL411" s="55" t="n"/>
      <c r="AM411" s="56" t="n"/>
      <c r="AN411" s="55" t="n"/>
      <c r="AO411" s="55" t="n"/>
      <c r="AP411" s="55" t="n"/>
      <c r="AQ411" s="55" t="n"/>
      <c r="AR411" s="60">
        <f>IF(AND(C411="",E411=""),"",IF(A411="","⚠ Date manquante",IF(AND(C411="",E411&lt;&gt;"Dépense"),"⚠ Prospect manquant",IF(E411="","⚠ Action manquante",IF(AND(AU411=1,D411=""),"⚠ Canal manquant",IF(AND(W411&lt;&gt;"",COUNTIFS('Saisie'!$W$5:$W$2004,W411,'Saisie'!$C$5:$C$2004,"&lt;&gt;"&amp;C411)&gt;0),"⚠ Numéro déjà utilisé par un autre prospect",IF(AND(J411&lt;&gt;"",J411&lt;A411),"⚠ Relance avant la date de l'action",IF(A411&gt;TODAY(),"⚠ Date dans le futur","✓"))))))))</f>
        <v/>
      </c>
      <c r="AS411" s="61">
        <f>IF(AND(A411="",C411="",E411=""),"",ROW())</f>
        <v/>
      </c>
      <c r="AT411" s="61">
        <f>IF(E411&amp;F411="","",MAX(IFERROR(INDEX('Paramètres'!$J$6:$J$33,MATCH(E411,'Paramètres'!$I$6:$I$33,0)),0),IFERROR(INDEX('Paramètres'!$N$6:$N$17,MATCH(F411,'Paramètres'!$M$6:$M$17,0)),0)))</f>
        <v/>
      </c>
      <c r="AU411" s="61">
        <f>IF(E411="","",IFERROR(IF(INDEX('Paramètres'!$K$6:$K$33,MATCH(E411,'Paramètres'!$I$6:$I$33,0))="Oui",1,0),0))</f>
        <v/>
      </c>
      <c r="AV411" s="61">
        <f>IF(F411="","",IFERROR(IF(INDEX('Paramètres'!$O$6:$O$17,MATCH(F411,'Paramètres'!$M$6:$M$17,0))="Oui",1,0),0))</f>
        <v/>
      </c>
      <c r="AW411" s="62">
        <f>IF(E411="","",IF(G411&lt;&gt;"",G411,IF(OR(E411="Proposition envoyée",E411="Signature"),MAX(0,N(IFERROR(INDEX('Paramètres'!$R$6:$R$15,MATCH(IF(AL411&lt;&gt;"",AL411,IFERROR(INDEX('Prospects'!$AN$5:$AN$504,MATCH(C411,'Prospects'!$C$5:$C$504,0)),"")),'Paramètres'!$Q$6:$Q$15,0)),0))-N(P411)),0)))</f>
        <v/>
      </c>
      <c r="AX411" s="61">
        <f>IF(C411="","",IF(COUNTIF($C$5:C411,C411)=1,MAX($AX$4:AX410)+1,""))</f>
        <v/>
      </c>
      <c r="AY411" s="61">
        <f>IF(B411="","",HOUR(B411))</f>
        <v/>
      </c>
      <c r="AZ411" s="61">
        <f>IF(A411="","",MOD(A411-2,7)+1)</f>
        <v/>
      </c>
      <c r="BA411" s="60">
        <f>IF(C411="","",IFERROR(INDEX('Prospects'!$N$5:$N$504,MATCH(C411,'Prospects'!$C$5:$C$504,0)),""))</f>
        <v/>
      </c>
      <c r="BB411" s="61">
        <f>IF(AND(C411&lt;&gt;"",C411='Fiche prospect'!$C$4),COUNTIF($C$5:C411,C411),"")</f>
        <v/>
      </c>
    </row>
    <row r="412">
      <c r="A412" s="53" t="n"/>
      <c r="B412" s="54" t="n"/>
      <c r="C412" s="55" t="n"/>
      <c r="D412" s="55" t="n"/>
      <c r="E412" s="55" t="n"/>
      <c r="F412" s="55" t="n"/>
      <c r="G412" s="56" t="n"/>
      <c r="H412" s="57" t="n"/>
      <c r="I412" s="55" t="n"/>
      <c r="J412" s="53" t="n"/>
      <c r="K412" s="54" t="n"/>
      <c r="L412" s="55" t="n"/>
      <c r="M412" s="55" t="n"/>
      <c r="N412" s="57" t="n"/>
      <c r="O412" s="55" t="n"/>
      <c r="P412" s="56" t="n"/>
      <c r="Q412" s="55" t="n"/>
      <c r="R412" s="55" t="n"/>
      <c r="S412" s="55" t="n"/>
      <c r="T412" s="55" t="n"/>
      <c r="U412" s="55" t="n"/>
      <c r="V412" s="55" t="n"/>
      <c r="W412" s="58" t="n"/>
      <c r="X412" s="58" t="n"/>
      <c r="Y412" s="55" t="n"/>
      <c r="Z412" s="55" t="n"/>
      <c r="AA412" s="55" t="n"/>
      <c r="AB412" s="55" t="n"/>
      <c r="AC412" s="55" t="n"/>
      <c r="AD412" s="53" t="n"/>
      <c r="AE412" s="55" t="n"/>
      <c r="AF412" s="55" t="n"/>
      <c r="AG412" s="59" t="n"/>
      <c r="AH412" s="57" t="n"/>
      <c r="AI412" s="55" t="n"/>
      <c r="AJ412" s="55" t="n"/>
      <c r="AK412" s="55" t="n"/>
      <c r="AL412" s="55" t="n"/>
      <c r="AM412" s="56" t="n"/>
      <c r="AN412" s="55" t="n"/>
      <c r="AO412" s="55" t="n"/>
      <c r="AP412" s="55" t="n"/>
      <c r="AQ412" s="55" t="n"/>
      <c r="AR412" s="60">
        <f>IF(AND(C412="",E412=""),"",IF(A412="","⚠ Date manquante",IF(AND(C412="",E412&lt;&gt;"Dépense"),"⚠ Prospect manquant",IF(E412="","⚠ Action manquante",IF(AND(AU412=1,D412=""),"⚠ Canal manquant",IF(AND(W412&lt;&gt;"",COUNTIFS('Saisie'!$W$5:$W$2004,W412,'Saisie'!$C$5:$C$2004,"&lt;&gt;"&amp;C412)&gt;0),"⚠ Numéro déjà utilisé par un autre prospect",IF(AND(J412&lt;&gt;"",J412&lt;A412),"⚠ Relance avant la date de l'action",IF(A412&gt;TODAY(),"⚠ Date dans le futur","✓"))))))))</f>
        <v/>
      </c>
      <c r="AS412" s="61">
        <f>IF(AND(A412="",C412="",E412=""),"",ROW())</f>
        <v/>
      </c>
      <c r="AT412" s="61">
        <f>IF(E412&amp;F412="","",MAX(IFERROR(INDEX('Paramètres'!$J$6:$J$33,MATCH(E412,'Paramètres'!$I$6:$I$33,0)),0),IFERROR(INDEX('Paramètres'!$N$6:$N$17,MATCH(F412,'Paramètres'!$M$6:$M$17,0)),0)))</f>
        <v/>
      </c>
      <c r="AU412" s="61">
        <f>IF(E412="","",IFERROR(IF(INDEX('Paramètres'!$K$6:$K$33,MATCH(E412,'Paramètres'!$I$6:$I$33,0))="Oui",1,0),0))</f>
        <v/>
      </c>
      <c r="AV412" s="61">
        <f>IF(F412="","",IFERROR(IF(INDEX('Paramètres'!$O$6:$O$17,MATCH(F412,'Paramètres'!$M$6:$M$17,0))="Oui",1,0),0))</f>
        <v/>
      </c>
      <c r="AW412" s="62">
        <f>IF(E412="","",IF(G412&lt;&gt;"",G412,IF(OR(E412="Proposition envoyée",E412="Signature"),MAX(0,N(IFERROR(INDEX('Paramètres'!$R$6:$R$15,MATCH(IF(AL412&lt;&gt;"",AL412,IFERROR(INDEX('Prospects'!$AN$5:$AN$504,MATCH(C412,'Prospects'!$C$5:$C$504,0)),"")),'Paramètres'!$Q$6:$Q$15,0)),0))-N(P412)),0)))</f>
        <v/>
      </c>
      <c r="AX412" s="61">
        <f>IF(C412="","",IF(COUNTIF($C$5:C412,C412)=1,MAX($AX$4:AX411)+1,""))</f>
        <v/>
      </c>
      <c r="AY412" s="61">
        <f>IF(B412="","",HOUR(B412))</f>
        <v/>
      </c>
      <c r="AZ412" s="61">
        <f>IF(A412="","",MOD(A412-2,7)+1)</f>
        <v/>
      </c>
      <c r="BA412" s="60">
        <f>IF(C412="","",IFERROR(INDEX('Prospects'!$N$5:$N$504,MATCH(C412,'Prospects'!$C$5:$C$504,0)),""))</f>
        <v/>
      </c>
      <c r="BB412" s="61">
        <f>IF(AND(C412&lt;&gt;"",C412='Fiche prospect'!$C$4),COUNTIF($C$5:C412,C412),"")</f>
        <v/>
      </c>
    </row>
    <row r="413">
      <c r="A413" s="53" t="n"/>
      <c r="B413" s="54" t="n"/>
      <c r="C413" s="55" t="n"/>
      <c r="D413" s="55" t="n"/>
      <c r="E413" s="55" t="n"/>
      <c r="F413" s="55" t="n"/>
      <c r="G413" s="56" t="n"/>
      <c r="H413" s="57" t="n"/>
      <c r="I413" s="55" t="n"/>
      <c r="J413" s="53" t="n"/>
      <c r="K413" s="54" t="n"/>
      <c r="L413" s="55" t="n"/>
      <c r="M413" s="55" t="n"/>
      <c r="N413" s="57" t="n"/>
      <c r="O413" s="55" t="n"/>
      <c r="P413" s="56" t="n"/>
      <c r="Q413" s="55" t="n"/>
      <c r="R413" s="55" t="n"/>
      <c r="S413" s="55" t="n"/>
      <c r="T413" s="55" t="n"/>
      <c r="U413" s="55" t="n"/>
      <c r="V413" s="55" t="n"/>
      <c r="W413" s="58" t="n"/>
      <c r="X413" s="58" t="n"/>
      <c r="Y413" s="55" t="n"/>
      <c r="Z413" s="55" t="n"/>
      <c r="AA413" s="55" t="n"/>
      <c r="AB413" s="55" t="n"/>
      <c r="AC413" s="55" t="n"/>
      <c r="AD413" s="53" t="n"/>
      <c r="AE413" s="55" t="n"/>
      <c r="AF413" s="55" t="n"/>
      <c r="AG413" s="59" t="n"/>
      <c r="AH413" s="57" t="n"/>
      <c r="AI413" s="55" t="n"/>
      <c r="AJ413" s="55" t="n"/>
      <c r="AK413" s="55" t="n"/>
      <c r="AL413" s="55" t="n"/>
      <c r="AM413" s="56" t="n"/>
      <c r="AN413" s="55" t="n"/>
      <c r="AO413" s="55" t="n"/>
      <c r="AP413" s="55" t="n"/>
      <c r="AQ413" s="55" t="n"/>
      <c r="AR413" s="60">
        <f>IF(AND(C413="",E413=""),"",IF(A413="","⚠ Date manquante",IF(AND(C413="",E413&lt;&gt;"Dépense"),"⚠ Prospect manquant",IF(E413="","⚠ Action manquante",IF(AND(AU413=1,D413=""),"⚠ Canal manquant",IF(AND(W413&lt;&gt;"",COUNTIFS('Saisie'!$W$5:$W$2004,W413,'Saisie'!$C$5:$C$2004,"&lt;&gt;"&amp;C413)&gt;0),"⚠ Numéro déjà utilisé par un autre prospect",IF(AND(J413&lt;&gt;"",J413&lt;A413),"⚠ Relance avant la date de l'action",IF(A413&gt;TODAY(),"⚠ Date dans le futur","✓"))))))))</f>
        <v/>
      </c>
      <c r="AS413" s="61">
        <f>IF(AND(A413="",C413="",E413=""),"",ROW())</f>
        <v/>
      </c>
      <c r="AT413" s="61">
        <f>IF(E413&amp;F413="","",MAX(IFERROR(INDEX('Paramètres'!$J$6:$J$33,MATCH(E413,'Paramètres'!$I$6:$I$33,0)),0),IFERROR(INDEX('Paramètres'!$N$6:$N$17,MATCH(F413,'Paramètres'!$M$6:$M$17,0)),0)))</f>
        <v/>
      </c>
      <c r="AU413" s="61">
        <f>IF(E413="","",IFERROR(IF(INDEX('Paramètres'!$K$6:$K$33,MATCH(E413,'Paramètres'!$I$6:$I$33,0))="Oui",1,0),0))</f>
        <v/>
      </c>
      <c r="AV413" s="61">
        <f>IF(F413="","",IFERROR(IF(INDEX('Paramètres'!$O$6:$O$17,MATCH(F413,'Paramètres'!$M$6:$M$17,0))="Oui",1,0),0))</f>
        <v/>
      </c>
      <c r="AW413" s="62">
        <f>IF(E413="","",IF(G413&lt;&gt;"",G413,IF(OR(E413="Proposition envoyée",E413="Signature"),MAX(0,N(IFERROR(INDEX('Paramètres'!$R$6:$R$15,MATCH(IF(AL413&lt;&gt;"",AL413,IFERROR(INDEX('Prospects'!$AN$5:$AN$504,MATCH(C413,'Prospects'!$C$5:$C$504,0)),"")),'Paramètres'!$Q$6:$Q$15,0)),0))-N(P413)),0)))</f>
        <v/>
      </c>
      <c r="AX413" s="61">
        <f>IF(C413="","",IF(COUNTIF($C$5:C413,C413)=1,MAX($AX$4:AX412)+1,""))</f>
        <v/>
      </c>
      <c r="AY413" s="61">
        <f>IF(B413="","",HOUR(B413))</f>
        <v/>
      </c>
      <c r="AZ413" s="61">
        <f>IF(A413="","",MOD(A413-2,7)+1)</f>
        <v/>
      </c>
      <c r="BA413" s="60">
        <f>IF(C413="","",IFERROR(INDEX('Prospects'!$N$5:$N$504,MATCH(C413,'Prospects'!$C$5:$C$504,0)),""))</f>
        <v/>
      </c>
      <c r="BB413" s="61">
        <f>IF(AND(C413&lt;&gt;"",C413='Fiche prospect'!$C$4),COUNTIF($C$5:C413,C413),"")</f>
        <v/>
      </c>
    </row>
    <row r="414">
      <c r="A414" s="53" t="n"/>
      <c r="B414" s="54" t="n"/>
      <c r="C414" s="55" t="n"/>
      <c r="D414" s="55" t="n"/>
      <c r="E414" s="55" t="n"/>
      <c r="F414" s="55" t="n"/>
      <c r="G414" s="56" t="n"/>
      <c r="H414" s="57" t="n"/>
      <c r="I414" s="55" t="n"/>
      <c r="J414" s="53" t="n"/>
      <c r="K414" s="54" t="n"/>
      <c r="L414" s="55" t="n"/>
      <c r="M414" s="55" t="n"/>
      <c r="N414" s="57" t="n"/>
      <c r="O414" s="55" t="n"/>
      <c r="P414" s="56" t="n"/>
      <c r="Q414" s="55" t="n"/>
      <c r="R414" s="55" t="n"/>
      <c r="S414" s="55" t="n"/>
      <c r="T414" s="55" t="n"/>
      <c r="U414" s="55" t="n"/>
      <c r="V414" s="55" t="n"/>
      <c r="W414" s="58" t="n"/>
      <c r="X414" s="58" t="n"/>
      <c r="Y414" s="55" t="n"/>
      <c r="Z414" s="55" t="n"/>
      <c r="AA414" s="55" t="n"/>
      <c r="AB414" s="55" t="n"/>
      <c r="AC414" s="55" t="n"/>
      <c r="AD414" s="53" t="n"/>
      <c r="AE414" s="55" t="n"/>
      <c r="AF414" s="55" t="n"/>
      <c r="AG414" s="59" t="n"/>
      <c r="AH414" s="57" t="n"/>
      <c r="AI414" s="55" t="n"/>
      <c r="AJ414" s="55" t="n"/>
      <c r="AK414" s="55" t="n"/>
      <c r="AL414" s="55" t="n"/>
      <c r="AM414" s="56" t="n"/>
      <c r="AN414" s="55" t="n"/>
      <c r="AO414" s="55" t="n"/>
      <c r="AP414" s="55" t="n"/>
      <c r="AQ414" s="55" t="n"/>
      <c r="AR414" s="60">
        <f>IF(AND(C414="",E414=""),"",IF(A414="","⚠ Date manquante",IF(AND(C414="",E414&lt;&gt;"Dépense"),"⚠ Prospect manquant",IF(E414="","⚠ Action manquante",IF(AND(AU414=1,D414=""),"⚠ Canal manquant",IF(AND(W414&lt;&gt;"",COUNTIFS('Saisie'!$W$5:$W$2004,W414,'Saisie'!$C$5:$C$2004,"&lt;&gt;"&amp;C414)&gt;0),"⚠ Numéro déjà utilisé par un autre prospect",IF(AND(J414&lt;&gt;"",J414&lt;A414),"⚠ Relance avant la date de l'action",IF(A414&gt;TODAY(),"⚠ Date dans le futur","✓"))))))))</f>
        <v/>
      </c>
      <c r="AS414" s="61">
        <f>IF(AND(A414="",C414="",E414=""),"",ROW())</f>
        <v/>
      </c>
      <c r="AT414" s="61">
        <f>IF(E414&amp;F414="","",MAX(IFERROR(INDEX('Paramètres'!$J$6:$J$33,MATCH(E414,'Paramètres'!$I$6:$I$33,0)),0),IFERROR(INDEX('Paramètres'!$N$6:$N$17,MATCH(F414,'Paramètres'!$M$6:$M$17,0)),0)))</f>
        <v/>
      </c>
      <c r="AU414" s="61">
        <f>IF(E414="","",IFERROR(IF(INDEX('Paramètres'!$K$6:$K$33,MATCH(E414,'Paramètres'!$I$6:$I$33,0))="Oui",1,0),0))</f>
        <v/>
      </c>
      <c r="AV414" s="61">
        <f>IF(F414="","",IFERROR(IF(INDEX('Paramètres'!$O$6:$O$17,MATCH(F414,'Paramètres'!$M$6:$M$17,0))="Oui",1,0),0))</f>
        <v/>
      </c>
      <c r="AW414" s="62">
        <f>IF(E414="","",IF(G414&lt;&gt;"",G414,IF(OR(E414="Proposition envoyée",E414="Signature"),MAX(0,N(IFERROR(INDEX('Paramètres'!$R$6:$R$15,MATCH(IF(AL414&lt;&gt;"",AL414,IFERROR(INDEX('Prospects'!$AN$5:$AN$504,MATCH(C414,'Prospects'!$C$5:$C$504,0)),"")),'Paramètres'!$Q$6:$Q$15,0)),0))-N(P414)),0)))</f>
        <v/>
      </c>
      <c r="AX414" s="61">
        <f>IF(C414="","",IF(COUNTIF($C$5:C414,C414)=1,MAX($AX$4:AX413)+1,""))</f>
        <v/>
      </c>
      <c r="AY414" s="61">
        <f>IF(B414="","",HOUR(B414))</f>
        <v/>
      </c>
      <c r="AZ414" s="61">
        <f>IF(A414="","",MOD(A414-2,7)+1)</f>
        <v/>
      </c>
      <c r="BA414" s="60">
        <f>IF(C414="","",IFERROR(INDEX('Prospects'!$N$5:$N$504,MATCH(C414,'Prospects'!$C$5:$C$504,0)),""))</f>
        <v/>
      </c>
      <c r="BB414" s="61">
        <f>IF(AND(C414&lt;&gt;"",C414='Fiche prospect'!$C$4),COUNTIF($C$5:C414,C414),"")</f>
        <v/>
      </c>
    </row>
    <row r="415">
      <c r="A415" s="53" t="n"/>
      <c r="B415" s="54" t="n"/>
      <c r="C415" s="55" t="n"/>
      <c r="D415" s="55" t="n"/>
      <c r="E415" s="55" t="n"/>
      <c r="F415" s="55" t="n"/>
      <c r="G415" s="56" t="n"/>
      <c r="H415" s="57" t="n"/>
      <c r="I415" s="55" t="n"/>
      <c r="J415" s="53" t="n"/>
      <c r="K415" s="54" t="n"/>
      <c r="L415" s="55" t="n"/>
      <c r="M415" s="55" t="n"/>
      <c r="N415" s="57" t="n"/>
      <c r="O415" s="55" t="n"/>
      <c r="P415" s="56" t="n"/>
      <c r="Q415" s="55" t="n"/>
      <c r="R415" s="55" t="n"/>
      <c r="S415" s="55" t="n"/>
      <c r="T415" s="55" t="n"/>
      <c r="U415" s="55" t="n"/>
      <c r="V415" s="55" t="n"/>
      <c r="W415" s="58" t="n"/>
      <c r="X415" s="58" t="n"/>
      <c r="Y415" s="55" t="n"/>
      <c r="Z415" s="55" t="n"/>
      <c r="AA415" s="55" t="n"/>
      <c r="AB415" s="55" t="n"/>
      <c r="AC415" s="55" t="n"/>
      <c r="AD415" s="53" t="n"/>
      <c r="AE415" s="55" t="n"/>
      <c r="AF415" s="55" t="n"/>
      <c r="AG415" s="59" t="n"/>
      <c r="AH415" s="57" t="n"/>
      <c r="AI415" s="55" t="n"/>
      <c r="AJ415" s="55" t="n"/>
      <c r="AK415" s="55" t="n"/>
      <c r="AL415" s="55" t="n"/>
      <c r="AM415" s="56" t="n"/>
      <c r="AN415" s="55" t="n"/>
      <c r="AO415" s="55" t="n"/>
      <c r="AP415" s="55" t="n"/>
      <c r="AQ415" s="55" t="n"/>
      <c r="AR415" s="60">
        <f>IF(AND(C415="",E415=""),"",IF(A415="","⚠ Date manquante",IF(AND(C415="",E415&lt;&gt;"Dépense"),"⚠ Prospect manquant",IF(E415="","⚠ Action manquante",IF(AND(AU415=1,D415=""),"⚠ Canal manquant",IF(AND(W415&lt;&gt;"",COUNTIFS('Saisie'!$W$5:$W$2004,W415,'Saisie'!$C$5:$C$2004,"&lt;&gt;"&amp;C415)&gt;0),"⚠ Numéro déjà utilisé par un autre prospect",IF(AND(J415&lt;&gt;"",J415&lt;A415),"⚠ Relance avant la date de l'action",IF(A415&gt;TODAY(),"⚠ Date dans le futur","✓"))))))))</f>
        <v/>
      </c>
      <c r="AS415" s="61">
        <f>IF(AND(A415="",C415="",E415=""),"",ROW())</f>
        <v/>
      </c>
      <c r="AT415" s="61">
        <f>IF(E415&amp;F415="","",MAX(IFERROR(INDEX('Paramètres'!$J$6:$J$33,MATCH(E415,'Paramètres'!$I$6:$I$33,0)),0),IFERROR(INDEX('Paramètres'!$N$6:$N$17,MATCH(F415,'Paramètres'!$M$6:$M$17,0)),0)))</f>
        <v/>
      </c>
      <c r="AU415" s="61">
        <f>IF(E415="","",IFERROR(IF(INDEX('Paramètres'!$K$6:$K$33,MATCH(E415,'Paramètres'!$I$6:$I$33,0))="Oui",1,0),0))</f>
        <v/>
      </c>
      <c r="AV415" s="61">
        <f>IF(F415="","",IFERROR(IF(INDEX('Paramètres'!$O$6:$O$17,MATCH(F415,'Paramètres'!$M$6:$M$17,0))="Oui",1,0),0))</f>
        <v/>
      </c>
      <c r="AW415" s="62">
        <f>IF(E415="","",IF(G415&lt;&gt;"",G415,IF(OR(E415="Proposition envoyée",E415="Signature"),MAX(0,N(IFERROR(INDEX('Paramètres'!$R$6:$R$15,MATCH(IF(AL415&lt;&gt;"",AL415,IFERROR(INDEX('Prospects'!$AN$5:$AN$504,MATCH(C415,'Prospects'!$C$5:$C$504,0)),"")),'Paramètres'!$Q$6:$Q$15,0)),0))-N(P415)),0)))</f>
        <v/>
      </c>
      <c r="AX415" s="61">
        <f>IF(C415="","",IF(COUNTIF($C$5:C415,C415)=1,MAX($AX$4:AX414)+1,""))</f>
        <v/>
      </c>
      <c r="AY415" s="61">
        <f>IF(B415="","",HOUR(B415))</f>
        <v/>
      </c>
      <c r="AZ415" s="61">
        <f>IF(A415="","",MOD(A415-2,7)+1)</f>
        <v/>
      </c>
      <c r="BA415" s="60">
        <f>IF(C415="","",IFERROR(INDEX('Prospects'!$N$5:$N$504,MATCH(C415,'Prospects'!$C$5:$C$504,0)),""))</f>
        <v/>
      </c>
      <c r="BB415" s="61">
        <f>IF(AND(C415&lt;&gt;"",C415='Fiche prospect'!$C$4),COUNTIF($C$5:C415,C415),"")</f>
        <v/>
      </c>
    </row>
    <row r="416">
      <c r="A416" s="53" t="n"/>
      <c r="B416" s="54" t="n"/>
      <c r="C416" s="55" t="n"/>
      <c r="D416" s="55" t="n"/>
      <c r="E416" s="55" t="n"/>
      <c r="F416" s="55" t="n"/>
      <c r="G416" s="56" t="n"/>
      <c r="H416" s="57" t="n"/>
      <c r="I416" s="55" t="n"/>
      <c r="J416" s="53" t="n"/>
      <c r="K416" s="54" t="n"/>
      <c r="L416" s="55" t="n"/>
      <c r="M416" s="55" t="n"/>
      <c r="N416" s="57" t="n"/>
      <c r="O416" s="55" t="n"/>
      <c r="P416" s="56" t="n"/>
      <c r="Q416" s="55" t="n"/>
      <c r="R416" s="55" t="n"/>
      <c r="S416" s="55" t="n"/>
      <c r="T416" s="55" t="n"/>
      <c r="U416" s="55" t="n"/>
      <c r="V416" s="55" t="n"/>
      <c r="W416" s="58" t="n"/>
      <c r="X416" s="58" t="n"/>
      <c r="Y416" s="55" t="n"/>
      <c r="Z416" s="55" t="n"/>
      <c r="AA416" s="55" t="n"/>
      <c r="AB416" s="55" t="n"/>
      <c r="AC416" s="55" t="n"/>
      <c r="AD416" s="53" t="n"/>
      <c r="AE416" s="55" t="n"/>
      <c r="AF416" s="55" t="n"/>
      <c r="AG416" s="59" t="n"/>
      <c r="AH416" s="57" t="n"/>
      <c r="AI416" s="55" t="n"/>
      <c r="AJ416" s="55" t="n"/>
      <c r="AK416" s="55" t="n"/>
      <c r="AL416" s="55" t="n"/>
      <c r="AM416" s="56" t="n"/>
      <c r="AN416" s="55" t="n"/>
      <c r="AO416" s="55" t="n"/>
      <c r="AP416" s="55" t="n"/>
      <c r="AQ416" s="55" t="n"/>
      <c r="AR416" s="60">
        <f>IF(AND(C416="",E416=""),"",IF(A416="","⚠ Date manquante",IF(AND(C416="",E416&lt;&gt;"Dépense"),"⚠ Prospect manquant",IF(E416="","⚠ Action manquante",IF(AND(AU416=1,D416=""),"⚠ Canal manquant",IF(AND(W416&lt;&gt;"",COUNTIFS('Saisie'!$W$5:$W$2004,W416,'Saisie'!$C$5:$C$2004,"&lt;&gt;"&amp;C416)&gt;0),"⚠ Numéro déjà utilisé par un autre prospect",IF(AND(J416&lt;&gt;"",J416&lt;A416),"⚠ Relance avant la date de l'action",IF(A416&gt;TODAY(),"⚠ Date dans le futur","✓"))))))))</f>
        <v/>
      </c>
      <c r="AS416" s="61">
        <f>IF(AND(A416="",C416="",E416=""),"",ROW())</f>
        <v/>
      </c>
      <c r="AT416" s="61">
        <f>IF(E416&amp;F416="","",MAX(IFERROR(INDEX('Paramètres'!$J$6:$J$33,MATCH(E416,'Paramètres'!$I$6:$I$33,0)),0),IFERROR(INDEX('Paramètres'!$N$6:$N$17,MATCH(F416,'Paramètres'!$M$6:$M$17,0)),0)))</f>
        <v/>
      </c>
      <c r="AU416" s="61">
        <f>IF(E416="","",IFERROR(IF(INDEX('Paramètres'!$K$6:$K$33,MATCH(E416,'Paramètres'!$I$6:$I$33,0))="Oui",1,0),0))</f>
        <v/>
      </c>
      <c r="AV416" s="61">
        <f>IF(F416="","",IFERROR(IF(INDEX('Paramètres'!$O$6:$O$17,MATCH(F416,'Paramètres'!$M$6:$M$17,0))="Oui",1,0),0))</f>
        <v/>
      </c>
      <c r="AW416" s="62">
        <f>IF(E416="","",IF(G416&lt;&gt;"",G416,IF(OR(E416="Proposition envoyée",E416="Signature"),MAX(0,N(IFERROR(INDEX('Paramètres'!$R$6:$R$15,MATCH(IF(AL416&lt;&gt;"",AL416,IFERROR(INDEX('Prospects'!$AN$5:$AN$504,MATCH(C416,'Prospects'!$C$5:$C$504,0)),"")),'Paramètres'!$Q$6:$Q$15,0)),0))-N(P416)),0)))</f>
        <v/>
      </c>
      <c r="AX416" s="61">
        <f>IF(C416="","",IF(COUNTIF($C$5:C416,C416)=1,MAX($AX$4:AX415)+1,""))</f>
        <v/>
      </c>
      <c r="AY416" s="61">
        <f>IF(B416="","",HOUR(B416))</f>
        <v/>
      </c>
      <c r="AZ416" s="61">
        <f>IF(A416="","",MOD(A416-2,7)+1)</f>
        <v/>
      </c>
      <c r="BA416" s="60">
        <f>IF(C416="","",IFERROR(INDEX('Prospects'!$N$5:$N$504,MATCH(C416,'Prospects'!$C$5:$C$504,0)),""))</f>
        <v/>
      </c>
      <c r="BB416" s="61">
        <f>IF(AND(C416&lt;&gt;"",C416='Fiche prospect'!$C$4),COUNTIF($C$5:C416,C416),"")</f>
        <v/>
      </c>
    </row>
    <row r="417">
      <c r="A417" s="53" t="n"/>
      <c r="B417" s="54" t="n"/>
      <c r="C417" s="55" t="n"/>
      <c r="D417" s="55" t="n"/>
      <c r="E417" s="55" t="n"/>
      <c r="F417" s="55" t="n"/>
      <c r="G417" s="56" t="n"/>
      <c r="H417" s="57" t="n"/>
      <c r="I417" s="55" t="n"/>
      <c r="J417" s="53" t="n"/>
      <c r="K417" s="54" t="n"/>
      <c r="L417" s="55" t="n"/>
      <c r="M417" s="55" t="n"/>
      <c r="N417" s="57" t="n"/>
      <c r="O417" s="55" t="n"/>
      <c r="P417" s="56" t="n"/>
      <c r="Q417" s="55" t="n"/>
      <c r="R417" s="55" t="n"/>
      <c r="S417" s="55" t="n"/>
      <c r="T417" s="55" t="n"/>
      <c r="U417" s="55" t="n"/>
      <c r="V417" s="55" t="n"/>
      <c r="W417" s="58" t="n"/>
      <c r="X417" s="58" t="n"/>
      <c r="Y417" s="55" t="n"/>
      <c r="Z417" s="55" t="n"/>
      <c r="AA417" s="55" t="n"/>
      <c r="AB417" s="55" t="n"/>
      <c r="AC417" s="55" t="n"/>
      <c r="AD417" s="53" t="n"/>
      <c r="AE417" s="55" t="n"/>
      <c r="AF417" s="55" t="n"/>
      <c r="AG417" s="59" t="n"/>
      <c r="AH417" s="57" t="n"/>
      <c r="AI417" s="55" t="n"/>
      <c r="AJ417" s="55" t="n"/>
      <c r="AK417" s="55" t="n"/>
      <c r="AL417" s="55" t="n"/>
      <c r="AM417" s="56" t="n"/>
      <c r="AN417" s="55" t="n"/>
      <c r="AO417" s="55" t="n"/>
      <c r="AP417" s="55" t="n"/>
      <c r="AQ417" s="55" t="n"/>
      <c r="AR417" s="60">
        <f>IF(AND(C417="",E417=""),"",IF(A417="","⚠ Date manquante",IF(AND(C417="",E417&lt;&gt;"Dépense"),"⚠ Prospect manquant",IF(E417="","⚠ Action manquante",IF(AND(AU417=1,D417=""),"⚠ Canal manquant",IF(AND(W417&lt;&gt;"",COUNTIFS('Saisie'!$W$5:$W$2004,W417,'Saisie'!$C$5:$C$2004,"&lt;&gt;"&amp;C417)&gt;0),"⚠ Numéro déjà utilisé par un autre prospect",IF(AND(J417&lt;&gt;"",J417&lt;A417),"⚠ Relance avant la date de l'action",IF(A417&gt;TODAY(),"⚠ Date dans le futur","✓"))))))))</f>
        <v/>
      </c>
      <c r="AS417" s="61">
        <f>IF(AND(A417="",C417="",E417=""),"",ROW())</f>
        <v/>
      </c>
      <c r="AT417" s="61">
        <f>IF(E417&amp;F417="","",MAX(IFERROR(INDEX('Paramètres'!$J$6:$J$33,MATCH(E417,'Paramètres'!$I$6:$I$33,0)),0),IFERROR(INDEX('Paramètres'!$N$6:$N$17,MATCH(F417,'Paramètres'!$M$6:$M$17,0)),0)))</f>
        <v/>
      </c>
      <c r="AU417" s="61">
        <f>IF(E417="","",IFERROR(IF(INDEX('Paramètres'!$K$6:$K$33,MATCH(E417,'Paramètres'!$I$6:$I$33,0))="Oui",1,0),0))</f>
        <v/>
      </c>
      <c r="AV417" s="61">
        <f>IF(F417="","",IFERROR(IF(INDEX('Paramètres'!$O$6:$O$17,MATCH(F417,'Paramètres'!$M$6:$M$17,0))="Oui",1,0),0))</f>
        <v/>
      </c>
      <c r="AW417" s="62">
        <f>IF(E417="","",IF(G417&lt;&gt;"",G417,IF(OR(E417="Proposition envoyée",E417="Signature"),MAX(0,N(IFERROR(INDEX('Paramètres'!$R$6:$R$15,MATCH(IF(AL417&lt;&gt;"",AL417,IFERROR(INDEX('Prospects'!$AN$5:$AN$504,MATCH(C417,'Prospects'!$C$5:$C$504,0)),"")),'Paramètres'!$Q$6:$Q$15,0)),0))-N(P417)),0)))</f>
        <v/>
      </c>
      <c r="AX417" s="61">
        <f>IF(C417="","",IF(COUNTIF($C$5:C417,C417)=1,MAX($AX$4:AX416)+1,""))</f>
        <v/>
      </c>
      <c r="AY417" s="61">
        <f>IF(B417="","",HOUR(B417))</f>
        <v/>
      </c>
      <c r="AZ417" s="61">
        <f>IF(A417="","",MOD(A417-2,7)+1)</f>
        <v/>
      </c>
      <c r="BA417" s="60">
        <f>IF(C417="","",IFERROR(INDEX('Prospects'!$N$5:$N$504,MATCH(C417,'Prospects'!$C$5:$C$504,0)),""))</f>
        <v/>
      </c>
      <c r="BB417" s="61">
        <f>IF(AND(C417&lt;&gt;"",C417='Fiche prospect'!$C$4),COUNTIF($C$5:C417,C417),"")</f>
        <v/>
      </c>
    </row>
    <row r="418">
      <c r="A418" s="53" t="n"/>
      <c r="B418" s="54" t="n"/>
      <c r="C418" s="55" t="n"/>
      <c r="D418" s="55" t="n"/>
      <c r="E418" s="55" t="n"/>
      <c r="F418" s="55" t="n"/>
      <c r="G418" s="56" t="n"/>
      <c r="H418" s="57" t="n"/>
      <c r="I418" s="55" t="n"/>
      <c r="J418" s="53" t="n"/>
      <c r="K418" s="54" t="n"/>
      <c r="L418" s="55" t="n"/>
      <c r="M418" s="55" t="n"/>
      <c r="N418" s="57" t="n"/>
      <c r="O418" s="55" t="n"/>
      <c r="P418" s="56" t="n"/>
      <c r="Q418" s="55" t="n"/>
      <c r="R418" s="55" t="n"/>
      <c r="S418" s="55" t="n"/>
      <c r="T418" s="55" t="n"/>
      <c r="U418" s="55" t="n"/>
      <c r="V418" s="55" t="n"/>
      <c r="W418" s="58" t="n"/>
      <c r="X418" s="58" t="n"/>
      <c r="Y418" s="55" t="n"/>
      <c r="Z418" s="55" t="n"/>
      <c r="AA418" s="55" t="n"/>
      <c r="AB418" s="55" t="n"/>
      <c r="AC418" s="55" t="n"/>
      <c r="AD418" s="53" t="n"/>
      <c r="AE418" s="55" t="n"/>
      <c r="AF418" s="55" t="n"/>
      <c r="AG418" s="59" t="n"/>
      <c r="AH418" s="57" t="n"/>
      <c r="AI418" s="55" t="n"/>
      <c r="AJ418" s="55" t="n"/>
      <c r="AK418" s="55" t="n"/>
      <c r="AL418" s="55" t="n"/>
      <c r="AM418" s="56" t="n"/>
      <c r="AN418" s="55" t="n"/>
      <c r="AO418" s="55" t="n"/>
      <c r="AP418" s="55" t="n"/>
      <c r="AQ418" s="55" t="n"/>
      <c r="AR418" s="60">
        <f>IF(AND(C418="",E418=""),"",IF(A418="","⚠ Date manquante",IF(AND(C418="",E418&lt;&gt;"Dépense"),"⚠ Prospect manquant",IF(E418="","⚠ Action manquante",IF(AND(AU418=1,D418=""),"⚠ Canal manquant",IF(AND(W418&lt;&gt;"",COUNTIFS('Saisie'!$W$5:$W$2004,W418,'Saisie'!$C$5:$C$2004,"&lt;&gt;"&amp;C418)&gt;0),"⚠ Numéro déjà utilisé par un autre prospect",IF(AND(J418&lt;&gt;"",J418&lt;A418),"⚠ Relance avant la date de l'action",IF(A418&gt;TODAY(),"⚠ Date dans le futur","✓"))))))))</f>
        <v/>
      </c>
      <c r="AS418" s="61">
        <f>IF(AND(A418="",C418="",E418=""),"",ROW())</f>
        <v/>
      </c>
      <c r="AT418" s="61">
        <f>IF(E418&amp;F418="","",MAX(IFERROR(INDEX('Paramètres'!$J$6:$J$33,MATCH(E418,'Paramètres'!$I$6:$I$33,0)),0),IFERROR(INDEX('Paramètres'!$N$6:$N$17,MATCH(F418,'Paramètres'!$M$6:$M$17,0)),0)))</f>
        <v/>
      </c>
      <c r="AU418" s="61">
        <f>IF(E418="","",IFERROR(IF(INDEX('Paramètres'!$K$6:$K$33,MATCH(E418,'Paramètres'!$I$6:$I$33,0))="Oui",1,0),0))</f>
        <v/>
      </c>
      <c r="AV418" s="61">
        <f>IF(F418="","",IFERROR(IF(INDEX('Paramètres'!$O$6:$O$17,MATCH(F418,'Paramètres'!$M$6:$M$17,0))="Oui",1,0),0))</f>
        <v/>
      </c>
      <c r="AW418" s="62">
        <f>IF(E418="","",IF(G418&lt;&gt;"",G418,IF(OR(E418="Proposition envoyée",E418="Signature"),MAX(0,N(IFERROR(INDEX('Paramètres'!$R$6:$R$15,MATCH(IF(AL418&lt;&gt;"",AL418,IFERROR(INDEX('Prospects'!$AN$5:$AN$504,MATCH(C418,'Prospects'!$C$5:$C$504,0)),"")),'Paramètres'!$Q$6:$Q$15,0)),0))-N(P418)),0)))</f>
        <v/>
      </c>
      <c r="AX418" s="61">
        <f>IF(C418="","",IF(COUNTIF($C$5:C418,C418)=1,MAX($AX$4:AX417)+1,""))</f>
        <v/>
      </c>
      <c r="AY418" s="61">
        <f>IF(B418="","",HOUR(B418))</f>
        <v/>
      </c>
      <c r="AZ418" s="61">
        <f>IF(A418="","",MOD(A418-2,7)+1)</f>
        <v/>
      </c>
      <c r="BA418" s="60">
        <f>IF(C418="","",IFERROR(INDEX('Prospects'!$N$5:$N$504,MATCH(C418,'Prospects'!$C$5:$C$504,0)),""))</f>
        <v/>
      </c>
      <c r="BB418" s="61">
        <f>IF(AND(C418&lt;&gt;"",C418='Fiche prospect'!$C$4),COUNTIF($C$5:C418,C418),"")</f>
        <v/>
      </c>
    </row>
    <row r="419">
      <c r="A419" s="53" t="n"/>
      <c r="B419" s="54" t="n"/>
      <c r="C419" s="55" t="n"/>
      <c r="D419" s="55" t="n"/>
      <c r="E419" s="55" t="n"/>
      <c r="F419" s="55" t="n"/>
      <c r="G419" s="56" t="n"/>
      <c r="H419" s="57" t="n"/>
      <c r="I419" s="55" t="n"/>
      <c r="J419" s="53" t="n"/>
      <c r="K419" s="54" t="n"/>
      <c r="L419" s="55" t="n"/>
      <c r="M419" s="55" t="n"/>
      <c r="N419" s="57" t="n"/>
      <c r="O419" s="55" t="n"/>
      <c r="P419" s="56" t="n"/>
      <c r="Q419" s="55" t="n"/>
      <c r="R419" s="55" t="n"/>
      <c r="S419" s="55" t="n"/>
      <c r="T419" s="55" t="n"/>
      <c r="U419" s="55" t="n"/>
      <c r="V419" s="55" t="n"/>
      <c r="W419" s="58" t="n"/>
      <c r="X419" s="58" t="n"/>
      <c r="Y419" s="55" t="n"/>
      <c r="Z419" s="55" t="n"/>
      <c r="AA419" s="55" t="n"/>
      <c r="AB419" s="55" t="n"/>
      <c r="AC419" s="55" t="n"/>
      <c r="AD419" s="53" t="n"/>
      <c r="AE419" s="55" t="n"/>
      <c r="AF419" s="55" t="n"/>
      <c r="AG419" s="59" t="n"/>
      <c r="AH419" s="57" t="n"/>
      <c r="AI419" s="55" t="n"/>
      <c r="AJ419" s="55" t="n"/>
      <c r="AK419" s="55" t="n"/>
      <c r="AL419" s="55" t="n"/>
      <c r="AM419" s="56" t="n"/>
      <c r="AN419" s="55" t="n"/>
      <c r="AO419" s="55" t="n"/>
      <c r="AP419" s="55" t="n"/>
      <c r="AQ419" s="55" t="n"/>
      <c r="AR419" s="60">
        <f>IF(AND(C419="",E419=""),"",IF(A419="","⚠ Date manquante",IF(AND(C419="",E419&lt;&gt;"Dépense"),"⚠ Prospect manquant",IF(E419="","⚠ Action manquante",IF(AND(AU419=1,D419=""),"⚠ Canal manquant",IF(AND(W419&lt;&gt;"",COUNTIFS('Saisie'!$W$5:$W$2004,W419,'Saisie'!$C$5:$C$2004,"&lt;&gt;"&amp;C419)&gt;0),"⚠ Numéro déjà utilisé par un autre prospect",IF(AND(J419&lt;&gt;"",J419&lt;A419),"⚠ Relance avant la date de l'action",IF(A419&gt;TODAY(),"⚠ Date dans le futur","✓"))))))))</f>
        <v/>
      </c>
      <c r="AS419" s="61">
        <f>IF(AND(A419="",C419="",E419=""),"",ROW())</f>
        <v/>
      </c>
      <c r="AT419" s="61">
        <f>IF(E419&amp;F419="","",MAX(IFERROR(INDEX('Paramètres'!$J$6:$J$33,MATCH(E419,'Paramètres'!$I$6:$I$33,0)),0),IFERROR(INDEX('Paramètres'!$N$6:$N$17,MATCH(F419,'Paramètres'!$M$6:$M$17,0)),0)))</f>
        <v/>
      </c>
      <c r="AU419" s="61">
        <f>IF(E419="","",IFERROR(IF(INDEX('Paramètres'!$K$6:$K$33,MATCH(E419,'Paramètres'!$I$6:$I$33,0))="Oui",1,0),0))</f>
        <v/>
      </c>
      <c r="AV419" s="61">
        <f>IF(F419="","",IFERROR(IF(INDEX('Paramètres'!$O$6:$O$17,MATCH(F419,'Paramètres'!$M$6:$M$17,0))="Oui",1,0),0))</f>
        <v/>
      </c>
      <c r="AW419" s="62">
        <f>IF(E419="","",IF(G419&lt;&gt;"",G419,IF(OR(E419="Proposition envoyée",E419="Signature"),MAX(0,N(IFERROR(INDEX('Paramètres'!$R$6:$R$15,MATCH(IF(AL419&lt;&gt;"",AL419,IFERROR(INDEX('Prospects'!$AN$5:$AN$504,MATCH(C419,'Prospects'!$C$5:$C$504,0)),"")),'Paramètres'!$Q$6:$Q$15,0)),0))-N(P419)),0)))</f>
        <v/>
      </c>
      <c r="AX419" s="61">
        <f>IF(C419="","",IF(COUNTIF($C$5:C419,C419)=1,MAX($AX$4:AX418)+1,""))</f>
        <v/>
      </c>
      <c r="AY419" s="61">
        <f>IF(B419="","",HOUR(B419))</f>
        <v/>
      </c>
      <c r="AZ419" s="61">
        <f>IF(A419="","",MOD(A419-2,7)+1)</f>
        <v/>
      </c>
      <c r="BA419" s="60">
        <f>IF(C419="","",IFERROR(INDEX('Prospects'!$N$5:$N$504,MATCH(C419,'Prospects'!$C$5:$C$504,0)),""))</f>
        <v/>
      </c>
      <c r="BB419" s="61">
        <f>IF(AND(C419&lt;&gt;"",C419='Fiche prospect'!$C$4),COUNTIF($C$5:C419,C419),"")</f>
        <v/>
      </c>
    </row>
    <row r="420">
      <c r="A420" s="53" t="n"/>
      <c r="B420" s="54" t="n"/>
      <c r="C420" s="55" t="n"/>
      <c r="D420" s="55" t="n"/>
      <c r="E420" s="55" t="n"/>
      <c r="F420" s="55" t="n"/>
      <c r="G420" s="56" t="n"/>
      <c r="H420" s="57" t="n"/>
      <c r="I420" s="55" t="n"/>
      <c r="J420" s="53" t="n"/>
      <c r="K420" s="54" t="n"/>
      <c r="L420" s="55" t="n"/>
      <c r="M420" s="55" t="n"/>
      <c r="N420" s="57" t="n"/>
      <c r="O420" s="55" t="n"/>
      <c r="P420" s="56" t="n"/>
      <c r="Q420" s="55" t="n"/>
      <c r="R420" s="55" t="n"/>
      <c r="S420" s="55" t="n"/>
      <c r="T420" s="55" t="n"/>
      <c r="U420" s="55" t="n"/>
      <c r="V420" s="55" t="n"/>
      <c r="W420" s="58" t="n"/>
      <c r="X420" s="58" t="n"/>
      <c r="Y420" s="55" t="n"/>
      <c r="Z420" s="55" t="n"/>
      <c r="AA420" s="55" t="n"/>
      <c r="AB420" s="55" t="n"/>
      <c r="AC420" s="55" t="n"/>
      <c r="AD420" s="53" t="n"/>
      <c r="AE420" s="55" t="n"/>
      <c r="AF420" s="55" t="n"/>
      <c r="AG420" s="59" t="n"/>
      <c r="AH420" s="57" t="n"/>
      <c r="AI420" s="55" t="n"/>
      <c r="AJ420" s="55" t="n"/>
      <c r="AK420" s="55" t="n"/>
      <c r="AL420" s="55" t="n"/>
      <c r="AM420" s="56" t="n"/>
      <c r="AN420" s="55" t="n"/>
      <c r="AO420" s="55" t="n"/>
      <c r="AP420" s="55" t="n"/>
      <c r="AQ420" s="55" t="n"/>
      <c r="AR420" s="60">
        <f>IF(AND(C420="",E420=""),"",IF(A420="","⚠ Date manquante",IF(AND(C420="",E420&lt;&gt;"Dépense"),"⚠ Prospect manquant",IF(E420="","⚠ Action manquante",IF(AND(AU420=1,D420=""),"⚠ Canal manquant",IF(AND(W420&lt;&gt;"",COUNTIFS('Saisie'!$W$5:$W$2004,W420,'Saisie'!$C$5:$C$2004,"&lt;&gt;"&amp;C420)&gt;0),"⚠ Numéro déjà utilisé par un autre prospect",IF(AND(J420&lt;&gt;"",J420&lt;A420),"⚠ Relance avant la date de l'action",IF(A420&gt;TODAY(),"⚠ Date dans le futur","✓"))))))))</f>
        <v/>
      </c>
      <c r="AS420" s="61">
        <f>IF(AND(A420="",C420="",E420=""),"",ROW())</f>
        <v/>
      </c>
      <c r="AT420" s="61">
        <f>IF(E420&amp;F420="","",MAX(IFERROR(INDEX('Paramètres'!$J$6:$J$33,MATCH(E420,'Paramètres'!$I$6:$I$33,0)),0),IFERROR(INDEX('Paramètres'!$N$6:$N$17,MATCH(F420,'Paramètres'!$M$6:$M$17,0)),0)))</f>
        <v/>
      </c>
      <c r="AU420" s="61">
        <f>IF(E420="","",IFERROR(IF(INDEX('Paramètres'!$K$6:$K$33,MATCH(E420,'Paramètres'!$I$6:$I$33,0))="Oui",1,0),0))</f>
        <v/>
      </c>
      <c r="AV420" s="61">
        <f>IF(F420="","",IFERROR(IF(INDEX('Paramètres'!$O$6:$O$17,MATCH(F420,'Paramètres'!$M$6:$M$17,0))="Oui",1,0),0))</f>
        <v/>
      </c>
      <c r="AW420" s="62">
        <f>IF(E420="","",IF(G420&lt;&gt;"",G420,IF(OR(E420="Proposition envoyée",E420="Signature"),MAX(0,N(IFERROR(INDEX('Paramètres'!$R$6:$R$15,MATCH(IF(AL420&lt;&gt;"",AL420,IFERROR(INDEX('Prospects'!$AN$5:$AN$504,MATCH(C420,'Prospects'!$C$5:$C$504,0)),"")),'Paramètres'!$Q$6:$Q$15,0)),0))-N(P420)),0)))</f>
        <v/>
      </c>
      <c r="AX420" s="61">
        <f>IF(C420="","",IF(COUNTIF($C$5:C420,C420)=1,MAX($AX$4:AX419)+1,""))</f>
        <v/>
      </c>
      <c r="AY420" s="61">
        <f>IF(B420="","",HOUR(B420))</f>
        <v/>
      </c>
      <c r="AZ420" s="61">
        <f>IF(A420="","",MOD(A420-2,7)+1)</f>
        <v/>
      </c>
      <c r="BA420" s="60">
        <f>IF(C420="","",IFERROR(INDEX('Prospects'!$N$5:$N$504,MATCH(C420,'Prospects'!$C$5:$C$504,0)),""))</f>
        <v/>
      </c>
      <c r="BB420" s="61">
        <f>IF(AND(C420&lt;&gt;"",C420='Fiche prospect'!$C$4),COUNTIF($C$5:C420,C420),"")</f>
        <v/>
      </c>
    </row>
    <row r="421">
      <c r="A421" s="53" t="n"/>
      <c r="B421" s="54" t="n"/>
      <c r="C421" s="55" t="n"/>
      <c r="D421" s="55" t="n"/>
      <c r="E421" s="55" t="n"/>
      <c r="F421" s="55" t="n"/>
      <c r="G421" s="56" t="n"/>
      <c r="H421" s="57" t="n"/>
      <c r="I421" s="55" t="n"/>
      <c r="J421" s="53" t="n"/>
      <c r="K421" s="54" t="n"/>
      <c r="L421" s="55" t="n"/>
      <c r="M421" s="55" t="n"/>
      <c r="N421" s="57" t="n"/>
      <c r="O421" s="55" t="n"/>
      <c r="P421" s="56" t="n"/>
      <c r="Q421" s="55" t="n"/>
      <c r="R421" s="55" t="n"/>
      <c r="S421" s="55" t="n"/>
      <c r="T421" s="55" t="n"/>
      <c r="U421" s="55" t="n"/>
      <c r="V421" s="55" t="n"/>
      <c r="W421" s="58" t="n"/>
      <c r="X421" s="58" t="n"/>
      <c r="Y421" s="55" t="n"/>
      <c r="Z421" s="55" t="n"/>
      <c r="AA421" s="55" t="n"/>
      <c r="AB421" s="55" t="n"/>
      <c r="AC421" s="55" t="n"/>
      <c r="AD421" s="53" t="n"/>
      <c r="AE421" s="55" t="n"/>
      <c r="AF421" s="55" t="n"/>
      <c r="AG421" s="59" t="n"/>
      <c r="AH421" s="57" t="n"/>
      <c r="AI421" s="55" t="n"/>
      <c r="AJ421" s="55" t="n"/>
      <c r="AK421" s="55" t="n"/>
      <c r="AL421" s="55" t="n"/>
      <c r="AM421" s="56" t="n"/>
      <c r="AN421" s="55" t="n"/>
      <c r="AO421" s="55" t="n"/>
      <c r="AP421" s="55" t="n"/>
      <c r="AQ421" s="55" t="n"/>
      <c r="AR421" s="60">
        <f>IF(AND(C421="",E421=""),"",IF(A421="","⚠ Date manquante",IF(AND(C421="",E421&lt;&gt;"Dépense"),"⚠ Prospect manquant",IF(E421="","⚠ Action manquante",IF(AND(AU421=1,D421=""),"⚠ Canal manquant",IF(AND(W421&lt;&gt;"",COUNTIFS('Saisie'!$W$5:$W$2004,W421,'Saisie'!$C$5:$C$2004,"&lt;&gt;"&amp;C421)&gt;0),"⚠ Numéro déjà utilisé par un autre prospect",IF(AND(J421&lt;&gt;"",J421&lt;A421),"⚠ Relance avant la date de l'action",IF(A421&gt;TODAY(),"⚠ Date dans le futur","✓"))))))))</f>
        <v/>
      </c>
      <c r="AS421" s="61">
        <f>IF(AND(A421="",C421="",E421=""),"",ROW())</f>
        <v/>
      </c>
      <c r="AT421" s="61">
        <f>IF(E421&amp;F421="","",MAX(IFERROR(INDEX('Paramètres'!$J$6:$J$33,MATCH(E421,'Paramètres'!$I$6:$I$33,0)),0),IFERROR(INDEX('Paramètres'!$N$6:$N$17,MATCH(F421,'Paramètres'!$M$6:$M$17,0)),0)))</f>
        <v/>
      </c>
      <c r="AU421" s="61">
        <f>IF(E421="","",IFERROR(IF(INDEX('Paramètres'!$K$6:$K$33,MATCH(E421,'Paramètres'!$I$6:$I$33,0))="Oui",1,0),0))</f>
        <v/>
      </c>
      <c r="AV421" s="61">
        <f>IF(F421="","",IFERROR(IF(INDEX('Paramètres'!$O$6:$O$17,MATCH(F421,'Paramètres'!$M$6:$M$17,0))="Oui",1,0),0))</f>
        <v/>
      </c>
      <c r="AW421" s="62">
        <f>IF(E421="","",IF(G421&lt;&gt;"",G421,IF(OR(E421="Proposition envoyée",E421="Signature"),MAX(0,N(IFERROR(INDEX('Paramètres'!$R$6:$R$15,MATCH(IF(AL421&lt;&gt;"",AL421,IFERROR(INDEX('Prospects'!$AN$5:$AN$504,MATCH(C421,'Prospects'!$C$5:$C$504,0)),"")),'Paramètres'!$Q$6:$Q$15,0)),0))-N(P421)),0)))</f>
        <v/>
      </c>
      <c r="AX421" s="61">
        <f>IF(C421="","",IF(COUNTIF($C$5:C421,C421)=1,MAX($AX$4:AX420)+1,""))</f>
        <v/>
      </c>
      <c r="AY421" s="61">
        <f>IF(B421="","",HOUR(B421))</f>
        <v/>
      </c>
      <c r="AZ421" s="61">
        <f>IF(A421="","",MOD(A421-2,7)+1)</f>
        <v/>
      </c>
      <c r="BA421" s="60">
        <f>IF(C421="","",IFERROR(INDEX('Prospects'!$N$5:$N$504,MATCH(C421,'Prospects'!$C$5:$C$504,0)),""))</f>
        <v/>
      </c>
      <c r="BB421" s="61">
        <f>IF(AND(C421&lt;&gt;"",C421='Fiche prospect'!$C$4),COUNTIF($C$5:C421,C421),"")</f>
        <v/>
      </c>
    </row>
    <row r="422">
      <c r="A422" s="53" t="n"/>
      <c r="B422" s="54" t="n"/>
      <c r="C422" s="55" t="n"/>
      <c r="D422" s="55" t="n"/>
      <c r="E422" s="55" t="n"/>
      <c r="F422" s="55" t="n"/>
      <c r="G422" s="56" t="n"/>
      <c r="H422" s="57" t="n"/>
      <c r="I422" s="55" t="n"/>
      <c r="J422" s="53" t="n"/>
      <c r="K422" s="54" t="n"/>
      <c r="L422" s="55" t="n"/>
      <c r="M422" s="55" t="n"/>
      <c r="N422" s="57" t="n"/>
      <c r="O422" s="55" t="n"/>
      <c r="P422" s="56" t="n"/>
      <c r="Q422" s="55" t="n"/>
      <c r="R422" s="55" t="n"/>
      <c r="S422" s="55" t="n"/>
      <c r="T422" s="55" t="n"/>
      <c r="U422" s="55" t="n"/>
      <c r="V422" s="55" t="n"/>
      <c r="W422" s="58" t="n"/>
      <c r="X422" s="58" t="n"/>
      <c r="Y422" s="55" t="n"/>
      <c r="Z422" s="55" t="n"/>
      <c r="AA422" s="55" t="n"/>
      <c r="AB422" s="55" t="n"/>
      <c r="AC422" s="55" t="n"/>
      <c r="AD422" s="53" t="n"/>
      <c r="AE422" s="55" t="n"/>
      <c r="AF422" s="55" t="n"/>
      <c r="AG422" s="59" t="n"/>
      <c r="AH422" s="57" t="n"/>
      <c r="AI422" s="55" t="n"/>
      <c r="AJ422" s="55" t="n"/>
      <c r="AK422" s="55" t="n"/>
      <c r="AL422" s="55" t="n"/>
      <c r="AM422" s="56" t="n"/>
      <c r="AN422" s="55" t="n"/>
      <c r="AO422" s="55" t="n"/>
      <c r="AP422" s="55" t="n"/>
      <c r="AQ422" s="55" t="n"/>
      <c r="AR422" s="60">
        <f>IF(AND(C422="",E422=""),"",IF(A422="","⚠ Date manquante",IF(AND(C422="",E422&lt;&gt;"Dépense"),"⚠ Prospect manquant",IF(E422="","⚠ Action manquante",IF(AND(AU422=1,D422=""),"⚠ Canal manquant",IF(AND(W422&lt;&gt;"",COUNTIFS('Saisie'!$W$5:$W$2004,W422,'Saisie'!$C$5:$C$2004,"&lt;&gt;"&amp;C422)&gt;0),"⚠ Numéro déjà utilisé par un autre prospect",IF(AND(J422&lt;&gt;"",J422&lt;A422),"⚠ Relance avant la date de l'action",IF(A422&gt;TODAY(),"⚠ Date dans le futur","✓"))))))))</f>
        <v/>
      </c>
      <c r="AS422" s="61">
        <f>IF(AND(A422="",C422="",E422=""),"",ROW())</f>
        <v/>
      </c>
      <c r="AT422" s="61">
        <f>IF(E422&amp;F422="","",MAX(IFERROR(INDEX('Paramètres'!$J$6:$J$33,MATCH(E422,'Paramètres'!$I$6:$I$33,0)),0),IFERROR(INDEX('Paramètres'!$N$6:$N$17,MATCH(F422,'Paramètres'!$M$6:$M$17,0)),0)))</f>
        <v/>
      </c>
      <c r="AU422" s="61">
        <f>IF(E422="","",IFERROR(IF(INDEX('Paramètres'!$K$6:$K$33,MATCH(E422,'Paramètres'!$I$6:$I$33,0))="Oui",1,0),0))</f>
        <v/>
      </c>
      <c r="AV422" s="61">
        <f>IF(F422="","",IFERROR(IF(INDEX('Paramètres'!$O$6:$O$17,MATCH(F422,'Paramètres'!$M$6:$M$17,0))="Oui",1,0),0))</f>
        <v/>
      </c>
      <c r="AW422" s="62">
        <f>IF(E422="","",IF(G422&lt;&gt;"",G422,IF(OR(E422="Proposition envoyée",E422="Signature"),MAX(0,N(IFERROR(INDEX('Paramètres'!$R$6:$R$15,MATCH(IF(AL422&lt;&gt;"",AL422,IFERROR(INDEX('Prospects'!$AN$5:$AN$504,MATCH(C422,'Prospects'!$C$5:$C$504,0)),"")),'Paramètres'!$Q$6:$Q$15,0)),0))-N(P422)),0)))</f>
        <v/>
      </c>
      <c r="AX422" s="61">
        <f>IF(C422="","",IF(COUNTIF($C$5:C422,C422)=1,MAX($AX$4:AX421)+1,""))</f>
        <v/>
      </c>
      <c r="AY422" s="61">
        <f>IF(B422="","",HOUR(B422))</f>
        <v/>
      </c>
      <c r="AZ422" s="61">
        <f>IF(A422="","",MOD(A422-2,7)+1)</f>
        <v/>
      </c>
      <c r="BA422" s="60">
        <f>IF(C422="","",IFERROR(INDEX('Prospects'!$N$5:$N$504,MATCH(C422,'Prospects'!$C$5:$C$504,0)),""))</f>
        <v/>
      </c>
      <c r="BB422" s="61">
        <f>IF(AND(C422&lt;&gt;"",C422='Fiche prospect'!$C$4),COUNTIF($C$5:C422,C422),"")</f>
        <v/>
      </c>
    </row>
    <row r="423">
      <c r="A423" s="53" t="n"/>
      <c r="B423" s="54" t="n"/>
      <c r="C423" s="55" t="n"/>
      <c r="D423" s="55" t="n"/>
      <c r="E423" s="55" t="n"/>
      <c r="F423" s="55" t="n"/>
      <c r="G423" s="56" t="n"/>
      <c r="H423" s="57" t="n"/>
      <c r="I423" s="55" t="n"/>
      <c r="J423" s="53" t="n"/>
      <c r="K423" s="54" t="n"/>
      <c r="L423" s="55" t="n"/>
      <c r="M423" s="55" t="n"/>
      <c r="N423" s="57" t="n"/>
      <c r="O423" s="55" t="n"/>
      <c r="P423" s="56" t="n"/>
      <c r="Q423" s="55" t="n"/>
      <c r="R423" s="55" t="n"/>
      <c r="S423" s="55" t="n"/>
      <c r="T423" s="55" t="n"/>
      <c r="U423" s="55" t="n"/>
      <c r="V423" s="55" t="n"/>
      <c r="W423" s="58" t="n"/>
      <c r="X423" s="58" t="n"/>
      <c r="Y423" s="55" t="n"/>
      <c r="Z423" s="55" t="n"/>
      <c r="AA423" s="55" t="n"/>
      <c r="AB423" s="55" t="n"/>
      <c r="AC423" s="55" t="n"/>
      <c r="AD423" s="53" t="n"/>
      <c r="AE423" s="55" t="n"/>
      <c r="AF423" s="55" t="n"/>
      <c r="AG423" s="59" t="n"/>
      <c r="AH423" s="57" t="n"/>
      <c r="AI423" s="55" t="n"/>
      <c r="AJ423" s="55" t="n"/>
      <c r="AK423" s="55" t="n"/>
      <c r="AL423" s="55" t="n"/>
      <c r="AM423" s="56" t="n"/>
      <c r="AN423" s="55" t="n"/>
      <c r="AO423" s="55" t="n"/>
      <c r="AP423" s="55" t="n"/>
      <c r="AQ423" s="55" t="n"/>
      <c r="AR423" s="60">
        <f>IF(AND(C423="",E423=""),"",IF(A423="","⚠ Date manquante",IF(AND(C423="",E423&lt;&gt;"Dépense"),"⚠ Prospect manquant",IF(E423="","⚠ Action manquante",IF(AND(AU423=1,D423=""),"⚠ Canal manquant",IF(AND(W423&lt;&gt;"",COUNTIFS('Saisie'!$W$5:$W$2004,W423,'Saisie'!$C$5:$C$2004,"&lt;&gt;"&amp;C423)&gt;0),"⚠ Numéro déjà utilisé par un autre prospect",IF(AND(J423&lt;&gt;"",J423&lt;A423),"⚠ Relance avant la date de l'action",IF(A423&gt;TODAY(),"⚠ Date dans le futur","✓"))))))))</f>
        <v/>
      </c>
      <c r="AS423" s="61">
        <f>IF(AND(A423="",C423="",E423=""),"",ROW())</f>
        <v/>
      </c>
      <c r="AT423" s="61">
        <f>IF(E423&amp;F423="","",MAX(IFERROR(INDEX('Paramètres'!$J$6:$J$33,MATCH(E423,'Paramètres'!$I$6:$I$33,0)),0),IFERROR(INDEX('Paramètres'!$N$6:$N$17,MATCH(F423,'Paramètres'!$M$6:$M$17,0)),0)))</f>
        <v/>
      </c>
      <c r="AU423" s="61">
        <f>IF(E423="","",IFERROR(IF(INDEX('Paramètres'!$K$6:$K$33,MATCH(E423,'Paramètres'!$I$6:$I$33,0))="Oui",1,0),0))</f>
        <v/>
      </c>
      <c r="AV423" s="61">
        <f>IF(F423="","",IFERROR(IF(INDEX('Paramètres'!$O$6:$O$17,MATCH(F423,'Paramètres'!$M$6:$M$17,0))="Oui",1,0),0))</f>
        <v/>
      </c>
      <c r="AW423" s="62">
        <f>IF(E423="","",IF(G423&lt;&gt;"",G423,IF(OR(E423="Proposition envoyée",E423="Signature"),MAX(0,N(IFERROR(INDEX('Paramètres'!$R$6:$R$15,MATCH(IF(AL423&lt;&gt;"",AL423,IFERROR(INDEX('Prospects'!$AN$5:$AN$504,MATCH(C423,'Prospects'!$C$5:$C$504,0)),"")),'Paramètres'!$Q$6:$Q$15,0)),0))-N(P423)),0)))</f>
        <v/>
      </c>
      <c r="AX423" s="61">
        <f>IF(C423="","",IF(COUNTIF($C$5:C423,C423)=1,MAX($AX$4:AX422)+1,""))</f>
        <v/>
      </c>
      <c r="AY423" s="61">
        <f>IF(B423="","",HOUR(B423))</f>
        <v/>
      </c>
      <c r="AZ423" s="61">
        <f>IF(A423="","",MOD(A423-2,7)+1)</f>
        <v/>
      </c>
      <c r="BA423" s="60">
        <f>IF(C423="","",IFERROR(INDEX('Prospects'!$N$5:$N$504,MATCH(C423,'Prospects'!$C$5:$C$504,0)),""))</f>
        <v/>
      </c>
      <c r="BB423" s="61">
        <f>IF(AND(C423&lt;&gt;"",C423='Fiche prospect'!$C$4),COUNTIF($C$5:C423,C423),"")</f>
        <v/>
      </c>
    </row>
    <row r="424">
      <c r="A424" s="53" t="n"/>
      <c r="B424" s="54" t="n"/>
      <c r="C424" s="55" t="n"/>
      <c r="D424" s="55" t="n"/>
      <c r="E424" s="55" t="n"/>
      <c r="F424" s="55" t="n"/>
      <c r="G424" s="56" t="n"/>
      <c r="H424" s="57" t="n"/>
      <c r="I424" s="55" t="n"/>
      <c r="J424" s="53" t="n"/>
      <c r="K424" s="54" t="n"/>
      <c r="L424" s="55" t="n"/>
      <c r="M424" s="55" t="n"/>
      <c r="N424" s="57" t="n"/>
      <c r="O424" s="55" t="n"/>
      <c r="P424" s="56" t="n"/>
      <c r="Q424" s="55" t="n"/>
      <c r="R424" s="55" t="n"/>
      <c r="S424" s="55" t="n"/>
      <c r="T424" s="55" t="n"/>
      <c r="U424" s="55" t="n"/>
      <c r="V424" s="55" t="n"/>
      <c r="W424" s="58" t="n"/>
      <c r="X424" s="58" t="n"/>
      <c r="Y424" s="55" t="n"/>
      <c r="Z424" s="55" t="n"/>
      <c r="AA424" s="55" t="n"/>
      <c r="AB424" s="55" t="n"/>
      <c r="AC424" s="55" t="n"/>
      <c r="AD424" s="53" t="n"/>
      <c r="AE424" s="55" t="n"/>
      <c r="AF424" s="55" t="n"/>
      <c r="AG424" s="59" t="n"/>
      <c r="AH424" s="57" t="n"/>
      <c r="AI424" s="55" t="n"/>
      <c r="AJ424" s="55" t="n"/>
      <c r="AK424" s="55" t="n"/>
      <c r="AL424" s="55" t="n"/>
      <c r="AM424" s="56" t="n"/>
      <c r="AN424" s="55" t="n"/>
      <c r="AO424" s="55" t="n"/>
      <c r="AP424" s="55" t="n"/>
      <c r="AQ424" s="55" t="n"/>
      <c r="AR424" s="60">
        <f>IF(AND(C424="",E424=""),"",IF(A424="","⚠ Date manquante",IF(AND(C424="",E424&lt;&gt;"Dépense"),"⚠ Prospect manquant",IF(E424="","⚠ Action manquante",IF(AND(AU424=1,D424=""),"⚠ Canal manquant",IF(AND(W424&lt;&gt;"",COUNTIFS('Saisie'!$W$5:$W$2004,W424,'Saisie'!$C$5:$C$2004,"&lt;&gt;"&amp;C424)&gt;0),"⚠ Numéro déjà utilisé par un autre prospect",IF(AND(J424&lt;&gt;"",J424&lt;A424),"⚠ Relance avant la date de l'action",IF(A424&gt;TODAY(),"⚠ Date dans le futur","✓"))))))))</f>
        <v/>
      </c>
      <c r="AS424" s="61">
        <f>IF(AND(A424="",C424="",E424=""),"",ROW())</f>
        <v/>
      </c>
      <c r="AT424" s="61">
        <f>IF(E424&amp;F424="","",MAX(IFERROR(INDEX('Paramètres'!$J$6:$J$33,MATCH(E424,'Paramètres'!$I$6:$I$33,0)),0),IFERROR(INDEX('Paramètres'!$N$6:$N$17,MATCH(F424,'Paramètres'!$M$6:$M$17,0)),0)))</f>
        <v/>
      </c>
      <c r="AU424" s="61">
        <f>IF(E424="","",IFERROR(IF(INDEX('Paramètres'!$K$6:$K$33,MATCH(E424,'Paramètres'!$I$6:$I$33,0))="Oui",1,0),0))</f>
        <v/>
      </c>
      <c r="AV424" s="61">
        <f>IF(F424="","",IFERROR(IF(INDEX('Paramètres'!$O$6:$O$17,MATCH(F424,'Paramètres'!$M$6:$M$17,0))="Oui",1,0),0))</f>
        <v/>
      </c>
      <c r="AW424" s="62">
        <f>IF(E424="","",IF(G424&lt;&gt;"",G424,IF(OR(E424="Proposition envoyée",E424="Signature"),MAX(0,N(IFERROR(INDEX('Paramètres'!$R$6:$R$15,MATCH(IF(AL424&lt;&gt;"",AL424,IFERROR(INDEX('Prospects'!$AN$5:$AN$504,MATCH(C424,'Prospects'!$C$5:$C$504,0)),"")),'Paramètres'!$Q$6:$Q$15,0)),0))-N(P424)),0)))</f>
        <v/>
      </c>
      <c r="AX424" s="61">
        <f>IF(C424="","",IF(COUNTIF($C$5:C424,C424)=1,MAX($AX$4:AX423)+1,""))</f>
        <v/>
      </c>
      <c r="AY424" s="61">
        <f>IF(B424="","",HOUR(B424))</f>
        <v/>
      </c>
      <c r="AZ424" s="61">
        <f>IF(A424="","",MOD(A424-2,7)+1)</f>
        <v/>
      </c>
      <c r="BA424" s="60">
        <f>IF(C424="","",IFERROR(INDEX('Prospects'!$N$5:$N$504,MATCH(C424,'Prospects'!$C$5:$C$504,0)),""))</f>
        <v/>
      </c>
      <c r="BB424" s="61">
        <f>IF(AND(C424&lt;&gt;"",C424='Fiche prospect'!$C$4),COUNTIF($C$5:C424,C424),"")</f>
        <v/>
      </c>
    </row>
    <row r="425">
      <c r="A425" s="53" t="n"/>
      <c r="B425" s="54" t="n"/>
      <c r="C425" s="55" t="n"/>
      <c r="D425" s="55" t="n"/>
      <c r="E425" s="55" t="n"/>
      <c r="F425" s="55" t="n"/>
      <c r="G425" s="56" t="n"/>
      <c r="H425" s="57" t="n"/>
      <c r="I425" s="55" t="n"/>
      <c r="J425" s="53" t="n"/>
      <c r="K425" s="54" t="n"/>
      <c r="L425" s="55" t="n"/>
      <c r="M425" s="55" t="n"/>
      <c r="N425" s="57" t="n"/>
      <c r="O425" s="55" t="n"/>
      <c r="P425" s="56" t="n"/>
      <c r="Q425" s="55" t="n"/>
      <c r="R425" s="55" t="n"/>
      <c r="S425" s="55" t="n"/>
      <c r="T425" s="55" t="n"/>
      <c r="U425" s="55" t="n"/>
      <c r="V425" s="55" t="n"/>
      <c r="W425" s="58" t="n"/>
      <c r="X425" s="58" t="n"/>
      <c r="Y425" s="55" t="n"/>
      <c r="Z425" s="55" t="n"/>
      <c r="AA425" s="55" t="n"/>
      <c r="AB425" s="55" t="n"/>
      <c r="AC425" s="55" t="n"/>
      <c r="AD425" s="53" t="n"/>
      <c r="AE425" s="55" t="n"/>
      <c r="AF425" s="55" t="n"/>
      <c r="AG425" s="59" t="n"/>
      <c r="AH425" s="57" t="n"/>
      <c r="AI425" s="55" t="n"/>
      <c r="AJ425" s="55" t="n"/>
      <c r="AK425" s="55" t="n"/>
      <c r="AL425" s="55" t="n"/>
      <c r="AM425" s="56" t="n"/>
      <c r="AN425" s="55" t="n"/>
      <c r="AO425" s="55" t="n"/>
      <c r="AP425" s="55" t="n"/>
      <c r="AQ425" s="55" t="n"/>
      <c r="AR425" s="60">
        <f>IF(AND(C425="",E425=""),"",IF(A425="","⚠ Date manquante",IF(AND(C425="",E425&lt;&gt;"Dépense"),"⚠ Prospect manquant",IF(E425="","⚠ Action manquante",IF(AND(AU425=1,D425=""),"⚠ Canal manquant",IF(AND(W425&lt;&gt;"",COUNTIFS('Saisie'!$W$5:$W$2004,W425,'Saisie'!$C$5:$C$2004,"&lt;&gt;"&amp;C425)&gt;0),"⚠ Numéro déjà utilisé par un autre prospect",IF(AND(J425&lt;&gt;"",J425&lt;A425),"⚠ Relance avant la date de l'action",IF(A425&gt;TODAY(),"⚠ Date dans le futur","✓"))))))))</f>
        <v/>
      </c>
      <c r="AS425" s="61">
        <f>IF(AND(A425="",C425="",E425=""),"",ROW())</f>
        <v/>
      </c>
      <c r="AT425" s="61">
        <f>IF(E425&amp;F425="","",MAX(IFERROR(INDEX('Paramètres'!$J$6:$J$33,MATCH(E425,'Paramètres'!$I$6:$I$33,0)),0),IFERROR(INDEX('Paramètres'!$N$6:$N$17,MATCH(F425,'Paramètres'!$M$6:$M$17,0)),0)))</f>
        <v/>
      </c>
      <c r="AU425" s="61">
        <f>IF(E425="","",IFERROR(IF(INDEX('Paramètres'!$K$6:$K$33,MATCH(E425,'Paramètres'!$I$6:$I$33,0))="Oui",1,0),0))</f>
        <v/>
      </c>
      <c r="AV425" s="61">
        <f>IF(F425="","",IFERROR(IF(INDEX('Paramètres'!$O$6:$O$17,MATCH(F425,'Paramètres'!$M$6:$M$17,0))="Oui",1,0),0))</f>
        <v/>
      </c>
      <c r="AW425" s="62">
        <f>IF(E425="","",IF(G425&lt;&gt;"",G425,IF(OR(E425="Proposition envoyée",E425="Signature"),MAX(0,N(IFERROR(INDEX('Paramètres'!$R$6:$R$15,MATCH(IF(AL425&lt;&gt;"",AL425,IFERROR(INDEX('Prospects'!$AN$5:$AN$504,MATCH(C425,'Prospects'!$C$5:$C$504,0)),"")),'Paramètres'!$Q$6:$Q$15,0)),0))-N(P425)),0)))</f>
        <v/>
      </c>
      <c r="AX425" s="61">
        <f>IF(C425="","",IF(COUNTIF($C$5:C425,C425)=1,MAX($AX$4:AX424)+1,""))</f>
        <v/>
      </c>
      <c r="AY425" s="61">
        <f>IF(B425="","",HOUR(B425))</f>
        <v/>
      </c>
      <c r="AZ425" s="61">
        <f>IF(A425="","",MOD(A425-2,7)+1)</f>
        <v/>
      </c>
      <c r="BA425" s="60">
        <f>IF(C425="","",IFERROR(INDEX('Prospects'!$N$5:$N$504,MATCH(C425,'Prospects'!$C$5:$C$504,0)),""))</f>
        <v/>
      </c>
      <c r="BB425" s="61">
        <f>IF(AND(C425&lt;&gt;"",C425='Fiche prospect'!$C$4),COUNTIF($C$5:C425,C425),"")</f>
        <v/>
      </c>
    </row>
    <row r="426">
      <c r="A426" s="53" t="n"/>
      <c r="B426" s="54" t="n"/>
      <c r="C426" s="55" t="n"/>
      <c r="D426" s="55" t="n"/>
      <c r="E426" s="55" t="n"/>
      <c r="F426" s="55" t="n"/>
      <c r="G426" s="56" t="n"/>
      <c r="H426" s="57" t="n"/>
      <c r="I426" s="55" t="n"/>
      <c r="J426" s="53" t="n"/>
      <c r="K426" s="54" t="n"/>
      <c r="L426" s="55" t="n"/>
      <c r="M426" s="55" t="n"/>
      <c r="N426" s="57" t="n"/>
      <c r="O426" s="55" t="n"/>
      <c r="P426" s="56" t="n"/>
      <c r="Q426" s="55" t="n"/>
      <c r="R426" s="55" t="n"/>
      <c r="S426" s="55" t="n"/>
      <c r="T426" s="55" t="n"/>
      <c r="U426" s="55" t="n"/>
      <c r="V426" s="55" t="n"/>
      <c r="W426" s="58" t="n"/>
      <c r="X426" s="58" t="n"/>
      <c r="Y426" s="55" t="n"/>
      <c r="Z426" s="55" t="n"/>
      <c r="AA426" s="55" t="n"/>
      <c r="AB426" s="55" t="n"/>
      <c r="AC426" s="55" t="n"/>
      <c r="AD426" s="53" t="n"/>
      <c r="AE426" s="55" t="n"/>
      <c r="AF426" s="55" t="n"/>
      <c r="AG426" s="59" t="n"/>
      <c r="AH426" s="57" t="n"/>
      <c r="AI426" s="55" t="n"/>
      <c r="AJ426" s="55" t="n"/>
      <c r="AK426" s="55" t="n"/>
      <c r="AL426" s="55" t="n"/>
      <c r="AM426" s="56" t="n"/>
      <c r="AN426" s="55" t="n"/>
      <c r="AO426" s="55" t="n"/>
      <c r="AP426" s="55" t="n"/>
      <c r="AQ426" s="55" t="n"/>
      <c r="AR426" s="60">
        <f>IF(AND(C426="",E426=""),"",IF(A426="","⚠ Date manquante",IF(AND(C426="",E426&lt;&gt;"Dépense"),"⚠ Prospect manquant",IF(E426="","⚠ Action manquante",IF(AND(AU426=1,D426=""),"⚠ Canal manquant",IF(AND(W426&lt;&gt;"",COUNTIFS('Saisie'!$W$5:$W$2004,W426,'Saisie'!$C$5:$C$2004,"&lt;&gt;"&amp;C426)&gt;0),"⚠ Numéro déjà utilisé par un autre prospect",IF(AND(J426&lt;&gt;"",J426&lt;A426),"⚠ Relance avant la date de l'action",IF(A426&gt;TODAY(),"⚠ Date dans le futur","✓"))))))))</f>
        <v/>
      </c>
      <c r="AS426" s="61">
        <f>IF(AND(A426="",C426="",E426=""),"",ROW())</f>
        <v/>
      </c>
      <c r="AT426" s="61">
        <f>IF(E426&amp;F426="","",MAX(IFERROR(INDEX('Paramètres'!$J$6:$J$33,MATCH(E426,'Paramètres'!$I$6:$I$33,0)),0),IFERROR(INDEX('Paramètres'!$N$6:$N$17,MATCH(F426,'Paramètres'!$M$6:$M$17,0)),0)))</f>
        <v/>
      </c>
      <c r="AU426" s="61">
        <f>IF(E426="","",IFERROR(IF(INDEX('Paramètres'!$K$6:$K$33,MATCH(E426,'Paramètres'!$I$6:$I$33,0))="Oui",1,0),0))</f>
        <v/>
      </c>
      <c r="AV426" s="61">
        <f>IF(F426="","",IFERROR(IF(INDEX('Paramètres'!$O$6:$O$17,MATCH(F426,'Paramètres'!$M$6:$M$17,0))="Oui",1,0),0))</f>
        <v/>
      </c>
      <c r="AW426" s="62">
        <f>IF(E426="","",IF(G426&lt;&gt;"",G426,IF(OR(E426="Proposition envoyée",E426="Signature"),MAX(0,N(IFERROR(INDEX('Paramètres'!$R$6:$R$15,MATCH(IF(AL426&lt;&gt;"",AL426,IFERROR(INDEX('Prospects'!$AN$5:$AN$504,MATCH(C426,'Prospects'!$C$5:$C$504,0)),"")),'Paramètres'!$Q$6:$Q$15,0)),0))-N(P426)),0)))</f>
        <v/>
      </c>
      <c r="AX426" s="61">
        <f>IF(C426="","",IF(COUNTIF($C$5:C426,C426)=1,MAX($AX$4:AX425)+1,""))</f>
        <v/>
      </c>
      <c r="AY426" s="61">
        <f>IF(B426="","",HOUR(B426))</f>
        <v/>
      </c>
      <c r="AZ426" s="61">
        <f>IF(A426="","",MOD(A426-2,7)+1)</f>
        <v/>
      </c>
      <c r="BA426" s="60">
        <f>IF(C426="","",IFERROR(INDEX('Prospects'!$N$5:$N$504,MATCH(C426,'Prospects'!$C$5:$C$504,0)),""))</f>
        <v/>
      </c>
      <c r="BB426" s="61">
        <f>IF(AND(C426&lt;&gt;"",C426='Fiche prospect'!$C$4),COUNTIF($C$5:C426,C426),"")</f>
        <v/>
      </c>
    </row>
    <row r="427">
      <c r="A427" s="53" t="n"/>
      <c r="B427" s="54" t="n"/>
      <c r="C427" s="55" t="n"/>
      <c r="D427" s="55" t="n"/>
      <c r="E427" s="55" t="n"/>
      <c r="F427" s="55" t="n"/>
      <c r="G427" s="56" t="n"/>
      <c r="H427" s="57" t="n"/>
      <c r="I427" s="55" t="n"/>
      <c r="J427" s="53" t="n"/>
      <c r="K427" s="54" t="n"/>
      <c r="L427" s="55" t="n"/>
      <c r="M427" s="55" t="n"/>
      <c r="N427" s="57" t="n"/>
      <c r="O427" s="55" t="n"/>
      <c r="P427" s="56" t="n"/>
      <c r="Q427" s="55" t="n"/>
      <c r="R427" s="55" t="n"/>
      <c r="S427" s="55" t="n"/>
      <c r="T427" s="55" t="n"/>
      <c r="U427" s="55" t="n"/>
      <c r="V427" s="55" t="n"/>
      <c r="W427" s="58" t="n"/>
      <c r="X427" s="58" t="n"/>
      <c r="Y427" s="55" t="n"/>
      <c r="Z427" s="55" t="n"/>
      <c r="AA427" s="55" t="n"/>
      <c r="AB427" s="55" t="n"/>
      <c r="AC427" s="55" t="n"/>
      <c r="AD427" s="53" t="n"/>
      <c r="AE427" s="55" t="n"/>
      <c r="AF427" s="55" t="n"/>
      <c r="AG427" s="59" t="n"/>
      <c r="AH427" s="57" t="n"/>
      <c r="AI427" s="55" t="n"/>
      <c r="AJ427" s="55" t="n"/>
      <c r="AK427" s="55" t="n"/>
      <c r="AL427" s="55" t="n"/>
      <c r="AM427" s="56" t="n"/>
      <c r="AN427" s="55" t="n"/>
      <c r="AO427" s="55" t="n"/>
      <c r="AP427" s="55" t="n"/>
      <c r="AQ427" s="55" t="n"/>
      <c r="AR427" s="60">
        <f>IF(AND(C427="",E427=""),"",IF(A427="","⚠ Date manquante",IF(AND(C427="",E427&lt;&gt;"Dépense"),"⚠ Prospect manquant",IF(E427="","⚠ Action manquante",IF(AND(AU427=1,D427=""),"⚠ Canal manquant",IF(AND(W427&lt;&gt;"",COUNTIFS('Saisie'!$W$5:$W$2004,W427,'Saisie'!$C$5:$C$2004,"&lt;&gt;"&amp;C427)&gt;0),"⚠ Numéro déjà utilisé par un autre prospect",IF(AND(J427&lt;&gt;"",J427&lt;A427),"⚠ Relance avant la date de l'action",IF(A427&gt;TODAY(),"⚠ Date dans le futur","✓"))))))))</f>
        <v/>
      </c>
      <c r="AS427" s="61">
        <f>IF(AND(A427="",C427="",E427=""),"",ROW())</f>
        <v/>
      </c>
      <c r="AT427" s="61">
        <f>IF(E427&amp;F427="","",MAX(IFERROR(INDEX('Paramètres'!$J$6:$J$33,MATCH(E427,'Paramètres'!$I$6:$I$33,0)),0),IFERROR(INDEX('Paramètres'!$N$6:$N$17,MATCH(F427,'Paramètres'!$M$6:$M$17,0)),0)))</f>
        <v/>
      </c>
      <c r="AU427" s="61">
        <f>IF(E427="","",IFERROR(IF(INDEX('Paramètres'!$K$6:$K$33,MATCH(E427,'Paramètres'!$I$6:$I$33,0))="Oui",1,0),0))</f>
        <v/>
      </c>
      <c r="AV427" s="61">
        <f>IF(F427="","",IFERROR(IF(INDEX('Paramètres'!$O$6:$O$17,MATCH(F427,'Paramètres'!$M$6:$M$17,0))="Oui",1,0),0))</f>
        <v/>
      </c>
      <c r="AW427" s="62">
        <f>IF(E427="","",IF(G427&lt;&gt;"",G427,IF(OR(E427="Proposition envoyée",E427="Signature"),MAX(0,N(IFERROR(INDEX('Paramètres'!$R$6:$R$15,MATCH(IF(AL427&lt;&gt;"",AL427,IFERROR(INDEX('Prospects'!$AN$5:$AN$504,MATCH(C427,'Prospects'!$C$5:$C$504,0)),"")),'Paramètres'!$Q$6:$Q$15,0)),0))-N(P427)),0)))</f>
        <v/>
      </c>
      <c r="AX427" s="61">
        <f>IF(C427="","",IF(COUNTIF($C$5:C427,C427)=1,MAX($AX$4:AX426)+1,""))</f>
        <v/>
      </c>
      <c r="AY427" s="61">
        <f>IF(B427="","",HOUR(B427))</f>
        <v/>
      </c>
      <c r="AZ427" s="61">
        <f>IF(A427="","",MOD(A427-2,7)+1)</f>
        <v/>
      </c>
      <c r="BA427" s="60">
        <f>IF(C427="","",IFERROR(INDEX('Prospects'!$N$5:$N$504,MATCH(C427,'Prospects'!$C$5:$C$504,0)),""))</f>
        <v/>
      </c>
      <c r="BB427" s="61">
        <f>IF(AND(C427&lt;&gt;"",C427='Fiche prospect'!$C$4),COUNTIF($C$5:C427,C427),"")</f>
        <v/>
      </c>
    </row>
    <row r="428">
      <c r="A428" s="53" t="n"/>
      <c r="B428" s="54" t="n"/>
      <c r="C428" s="55" t="n"/>
      <c r="D428" s="55" t="n"/>
      <c r="E428" s="55" t="n"/>
      <c r="F428" s="55" t="n"/>
      <c r="G428" s="56" t="n"/>
      <c r="H428" s="57" t="n"/>
      <c r="I428" s="55" t="n"/>
      <c r="J428" s="53" t="n"/>
      <c r="K428" s="54" t="n"/>
      <c r="L428" s="55" t="n"/>
      <c r="M428" s="55" t="n"/>
      <c r="N428" s="57" t="n"/>
      <c r="O428" s="55" t="n"/>
      <c r="P428" s="56" t="n"/>
      <c r="Q428" s="55" t="n"/>
      <c r="R428" s="55" t="n"/>
      <c r="S428" s="55" t="n"/>
      <c r="T428" s="55" t="n"/>
      <c r="U428" s="55" t="n"/>
      <c r="V428" s="55" t="n"/>
      <c r="W428" s="58" t="n"/>
      <c r="X428" s="58" t="n"/>
      <c r="Y428" s="55" t="n"/>
      <c r="Z428" s="55" t="n"/>
      <c r="AA428" s="55" t="n"/>
      <c r="AB428" s="55" t="n"/>
      <c r="AC428" s="55" t="n"/>
      <c r="AD428" s="53" t="n"/>
      <c r="AE428" s="55" t="n"/>
      <c r="AF428" s="55" t="n"/>
      <c r="AG428" s="59" t="n"/>
      <c r="AH428" s="57" t="n"/>
      <c r="AI428" s="55" t="n"/>
      <c r="AJ428" s="55" t="n"/>
      <c r="AK428" s="55" t="n"/>
      <c r="AL428" s="55" t="n"/>
      <c r="AM428" s="56" t="n"/>
      <c r="AN428" s="55" t="n"/>
      <c r="AO428" s="55" t="n"/>
      <c r="AP428" s="55" t="n"/>
      <c r="AQ428" s="55" t="n"/>
      <c r="AR428" s="60">
        <f>IF(AND(C428="",E428=""),"",IF(A428="","⚠ Date manquante",IF(AND(C428="",E428&lt;&gt;"Dépense"),"⚠ Prospect manquant",IF(E428="","⚠ Action manquante",IF(AND(AU428=1,D428=""),"⚠ Canal manquant",IF(AND(W428&lt;&gt;"",COUNTIFS('Saisie'!$W$5:$W$2004,W428,'Saisie'!$C$5:$C$2004,"&lt;&gt;"&amp;C428)&gt;0),"⚠ Numéro déjà utilisé par un autre prospect",IF(AND(J428&lt;&gt;"",J428&lt;A428),"⚠ Relance avant la date de l'action",IF(A428&gt;TODAY(),"⚠ Date dans le futur","✓"))))))))</f>
        <v/>
      </c>
      <c r="AS428" s="61">
        <f>IF(AND(A428="",C428="",E428=""),"",ROW())</f>
        <v/>
      </c>
      <c r="AT428" s="61">
        <f>IF(E428&amp;F428="","",MAX(IFERROR(INDEX('Paramètres'!$J$6:$J$33,MATCH(E428,'Paramètres'!$I$6:$I$33,0)),0),IFERROR(INDEX('Paramètres'!$N$6:$N$17,MATCH(F428,'Paramètres'!$M$6:$M$17,0)),0)))</f>
        <v/>
      </c>
      <c r="AU428" s="61">
        <f>IF(E428="","",IFERROR(IF(INDEX('Paramètres'!$K$6:$K$33,MATCH(E428,'Paramètres'!$I$6:$I$33,0))="Oui",1,0),0))</f>
        <v/>
      </c>
      <c r="AV428" s="61">
        <f>IF(F428="","",IFERROR(IF(INDEX('Paramètres'!$O$6:$O$17,MATCH(F428,'Paramètres'!$M$6:$M$17,0))="Oui",1,0),0))</f>
        <v/>
      </c>
      <c r="AW428" s="62">
        <f>IF(E428="","",IF(G428&lt;&gt;"",G428,IF(OR(E428="Proposition envoyée",E428="Signature"),MAX(0,N(IFERROR(INDEX('Paramètres'!$R$6:$R$15,MATCH(IF(AL428&lt;&gt;"",AL428,IFERROR(INDEX('Prospects'!$AN$5:$AN$504,MATCH(C428,'Prospects'!$C$5:$C$504,0)),"")),'Paramètres'!$Q$6:$Q$15,0)),0))-N(P428)),0)))</f>
        <v/>
      </c>
      <c r="AX428" s="61">
        <f>IF(C428="","",IF(COUNTIF($C$5:C428,C428)=1,MAX($AX$4:AX427)+1,""))</f>
        <v/>
      </c>
      <c r="AY428" s="61">
        <f>IF(B428="","",HOUR(B428))</f>
        <v/>
      </c>
      <c r="AZ428" s="61">
        <f>IF(A428="","",MOD(A428-2,7)+1)</f>
        <v/>
      </c>
      <c r="BA428" s="60">
        <f>IF(C428="","",IFERROR(INDEX('Prospects'!$N$5:$N$504,MATCH(C428,'Prospects'!$C$5:$C$504,0)),""))</f>
        <v/>
      </c>
      <c r="BB428" s="61">
        <f>IF(AND(C428&lt;&gt;"",C428='Fiche prospect'!$C$4),COUNTIF($C$5:C428,C428),"")</f>
        <v/>
      </c>
    </row>
    <row r="429">
      <c r="A429" s="53" t="n"/>
      <c r="B429" s="54" t="n"/>
      <c r="C429" s="55" t="n"/>
      <c r="D429" s="55" t="n"/>
      <c r="E429" s="55" t="n"/>
      <c r="F429" s="55" t="n"/>
      <c r="G429" s="56" t="n"/>
      <c r="H429" s="57" t="n"/>
      <c r="I429" s="55" t="n"/>
      <c r="J429" s="53" t="n"/>
      <c r="K429" s="54" t="n"/>
      <c r="L429" s="55" t="n"/>
      <c r="M429" s="55" t="n"/>
      <c r="N429" s="57" t="n"/>
      <c r="O429" s="55" t="n"/>
      <c r="P429" s="56" t="n"/>
      <c r="Q429" s="55" t="n"/>
      <c r="R429" s="55" t="n"/>
      <c r="S429" s="55" t="n"/>
      <c r="T429" s="55" t="n"/>
      <c r="U429" s="55" t="n"/>
      <c r="V429" s="55" t="n"/>
      <c r="W429" s="58" t="n"/>
      <c r="X429" s="58" t="n"/>
      <c r="Y429" s="55" t="n"/>
      <c r="Z429" s="55" t="n"/>
      <c r="AA429" s="55" t="n"/>
      <c r="AB429" s="55" t="n"/>
      <c r="AC429" s="55" t="n"/>
      <c r="AD429" s="53" t="n"/>
      <c r="AE429" s="55" t="n"/>
      <c r="AF429" s="55" t="n"/>
      <c r="AG429" s="59" t="n"/>
      <c r="AH429" s="57" t="n"/>
      <c r="AI429" s="55" t="n"/>
      <c r="AJ429" s="55" t="n"/>
      <c r="AK429" s="55" t="n"/>
      <c r="AL429" s="55" t="n"/>
      <c r="AM429" s="56" t="n"/>
      <c r="AN429" s="55" t="n"/>
      <c r="AO429" s="55" t="n"/>
      <c r="AP429" s="55" t="n"/>
      <c r="AQ429" s="55" t="n"/>
      <c r="AR429" s="60">
        <f>IF(AND(C429="",E429=""),"",IF(A429="","⚠ Date manquante",IF(AND(C429="",E429&lt;&gt;"Dépense"),"⚠ Prospect manquant",IF(E429="","⚠ Action manquante",IF(AND(AU429=1,D429=""),"⚠ Canal manquant",IF(AND(W429&lt;&gt;"",COUNTIFS('Saisie'!$W$5:$W$2004,W429,'Saisie'!$C$5:$C$2004,"&lt;&gt;"&amp;C429)&gt;0),"⚠ Numéro déjà utilisé par un autre prospect",IF(AND(J429&lt;&gt;"",J429&lt;A429),"⚠ Relance avant la date de l'action",IF(A429&gt;TODAY(),"⚠ Date dans le futur","✓"))))))))</f>
        <v/>
      </c>
      <c r="AS429" s="61">
        <f>IF(AND(A429="",C429="",E429=""),"",ROW())</f>
        <v/>
      </c>
      <c r="AT429" s="61">
        <f>IF(E429&amp;F429="","",MAX(IFERROR(INDEX('Paramètres'!$J$6:$J$33,MATCH(E429,'Paramètres'!$I$6:$I$33,0)),0),IFERROR(INDEX('Paramètres'!$N$6:$N$17,MATCH(F429,'Paramètres'!$M$6:$M$17,0)),0)))</f>
        <v/>
      </c>
      <c r="AU429" s="61">
        <f>IF(E429="","",IFERROR(IF(INDEX('Paramètres'!$K$6:$K$33,MATCH(E429,'Paramètres'!$I$6:$I$33,0))="Oui",1,0),0))</f>
        <v/>
      </c>
      <c r="AV429" s="61">
        <f>IF(F429="","",IFERROR(IF(INDEX('Paramètres'!$O$6:$O$17,MATCH(F429,'Paramètres'!$M$6:$M$17,0))="Oui",1,0),0))</f>
        <v/>
      </c>
      <c r="AW429" s="62">
        <f>IF(E429="","",IF(G429&lt;&gt;"",G429,IF(OR(E429="Proposition envoyée",E429="Signature"),MAX(0,N(IFERROR(INDEX('Paramètres'!$R$6:$R$15,MATCH(IF(AL429&lt;&gt;"",AL429,IFERROR(INDEX('Prospects'!$AN$5:$AN$504,MATCH(C429,'Prospects'!$C$5:$C$504,0)),"")),'Paramètres'!$Q$6:$Q$15,0)),0))-N(P429)),0)))</f>
        <v/>
      </c>
      <c r="AX429" s="61">
        <f>IF(C429="","",IF(COUNTIF($C$5:C429,C429)=1,MAX($AX$4:AX428)+1,""))</f>
        <v/>
      </c>
      <c r="AY429" s="61">
        <f>IF(B429="","",HOUR(B429))</f>
        <v/>
      </c>
      <c r="AZ429" s="61">
        <f>IF(A429="","",MOD(A429-2,7)+1)</f>
        <v/>
      </c>
      <c r="BA429" s="60">
        <f>IF(C429="","",IFERROR(INDEX('Prospects'!$N$5:$N$504,MATCH(C429,'Prospects'!$C$5:$C$504,0)),""))</f>
        <v/>
      </c>
      <c r="BB429" s="61">
        <f>IF(AND(C429&lt;&gt;"",C429='Fiche prospect'!$C$4),COUNTIF($C$5:C429,C429),"")</f>
        <v/>
      </c>
    </row>
    <row r="430">
      <c r="A430" s="53" t="n"/>
      <c r="B430" s="54" t="n"/>
      <c r="C430" s="55" t="n"/>
      <c r="D430" s="55" t="n"/>
      <c r="E430" s="55" t="n"/>
      <c r="F430" s="55" t="n"/>
      <c r="G430" s="56" t="n"/>
      <c r="H430" s="57" t="n"/>
      <c r="I430" s="55" t="n"/>
      <c r="J430" s="53" t="n"/>
      <c r="K430" s="54" t="n"/>
      <c r="L430" s="55" t="n"/>
      <c r="M430" s="55" t="n"/>
      <c r="N430" s="57" t="n"/>
      <c r="O430" s="55" t="n"/>
      <c r="P430" s="56" t="n"/>
      <c r="Q430" s="55" t="n"/>
      <c r="R430" s="55" t="n"/>
      <c r="S430" s="55" t="n"/>
      <c r="T430" s="55" t="n"/>
      <c r="U430" s="55" t="n"/>
      <c r="V430" s="55" t="n"/>
      <c r="W430" s="58" t="n"/>
      <c r="X430" s="58" t="n"/>
      <c r="Y430" s="55" t="n"/>
      <c r="Z430" s="55" t="n"/>
      <c r="AA430" s="55" t="n"/>
      <c r="AB430" s="55" t="n"/>
      <c r="AC430" s="55" t="n"/>
      <c r="AD430" s="53" t="n"/>
      <c r="AE430" s="55" t="n"/>
      <c r="AF430" s="55" t="n"/>
      <c r="AG430" s="59" t="n"/>
      <c r="AH430" s="57" t="n"/>
      <c r="AI430" s="55" t="n"/>
      <c r="AJ430" s="55" t="n"/>
      <c r="AK430" s="55" t="n"/>
      <c r="AL430" s="55" t="n"/>
      <c r="AM430" s="56" t="n"/>
      <c r="AN430" s="55" t="n"/>
      <c r="AO430" s="55" t="n"/>
      <c r="AP430" s="55" t="n"/>
      <c r="AQ430" s="55" t="n"/>
      <c r="AR430" s="60">
        <f>IF(AND(C430="",E430=""),"",IF(A430="","⚠ Date manquante",IF(AND(C430="",E430&lt;&gt;"Dépense"),"⚠ Prospect manquant",IF(E430="","⚠ Action manquante",IF(AND(AU430=1,D430=""),"⚠ Canal manquant",IF(AND(W430&lt;&gt;"",COUNTIFS('Saisie'!$W$5:$W$2004,W430,'Saisie'!$C$5:$C$2004,"&lt;&gt;"&amp;C430)&gt;0),"⚠ Numéro déjà utilisé par un autre prospect",IF(AND(J430&lt;&gt;"",J430&lt;A430),"⚠ Relance avant la date de l'action",IF(A430&gt;TODAY(),"⚠ Date dans le futur","✓"))))))))</f>
        <v/>
      </c>
      <c r="AS430" s="61">
        <f>IF(AND(A430="",C430="",E430=""),"",ROW())</f>
        <v/>
      </c>
      <c r="AT430" s="61">
        <f>IF(E430&amp;F430="","",MAX(IFERROR(INDEX('Paramètres'!$J$6:$J$33,MATCH(E430,'Paramètres'!$I$6:$I$33,0)),0),IFERROR(INDEX('Paramètres'!$N$6:$N$17,MATCH(F430,'Paramètres'!$M$6:$M$17,0)),0)))</f>
        <v/>
      </c>
      <c r="AU430" s="61">
        <f>IF(E430="","",IFERROR(IF(INDEX('Paramètres'!$K$6:$K$33,MATCH(E430,'Paramètres'!$I$6:$I$33,0))="Oui",1,0),0))</f>
        <v/>
      </c>
      <c r="AV430" s="61">
        <f>IF(F430="","",IFERROR(IF(INDEX('Paramètres'!$O$6:$O$17,MATCH(F430,'Paramètres'!$M$6:$M$17,0))="Oui",1,0),0))</f>
        <v/>
      </c>
      <c r="AW430" s="62">
        <f>IF(E430="","",IF(G430&lt;&gt;"",G430,IF(OR(E430="Proposition envoyée",E430="Signature"),MAX(0,N(IFERROR(INDEX('Paramètres'!$R$6:$R$15,MATCH(IF(AL430&lt;&gt;"",AL430,IFERROR(INDEX('Prospects'!$AN$5:$AN$504,MATCH(C430,'Prospects'!$C$5:$C$504,0)),"")),'Paramètres'!$Q$6:$Q$15,0)),0))-N(P430)),0)))</f>
        <v/>
      </c>
      <c r="AX430" s="61">
        <f>IF(C430="","",IF(COUNTIF($C$5:C430,C430)=1,MAX($AX$4:AX429)+1,""))</f>
        <v/>
      </c>
      <c r="AY430" s="61">
        <f>IF(B430="","",HOUR(B430))</f>
        <v/>
      </c>
      <c r="AZ430" s="61">
        <f>IF(A430="","",MOD(A430-2,7)+1)</f>
        <v/>
      </c>
      <c r="BA430" s="60">
        <f>IF(C430="","",IFERROR(INDEX('Prospects'!$N$5:$N$504,MATCH(C430,'Prospects'!$C$5:$C$504,0)),""))</f>
        <v/>
      </c>
      <c r="BB430" s="61">
        <f>IF(AND(C430&lt;&gt;"",C430='Fiche prospect'!$C$4),COUNTIF($C$5:C430,C430),"")</f>
        <v/>
      </c>
    </row>
    <row r="431">
      <c r="A431" s="53" t="n"/>
      <c r="B431" s="54" t="n"/>
      <c r="C431" s="55" t="n"/>
      <c r="D431" s="55" t="n"/>
      <c r="E431" s="55" t="n"/>
      <c r="F431" s="55" t="n"/>
      <c r="G431" s="56" t="n"/>
      <c r="H431" s="57" t="n"/>
      <c r="I431" s="55" t="n"/>
      <c r="J431" s="53" t="n"/>
      <c r="K431" s="54" t="n"/>
      <c r="L431" s="55" t="n"/>
      <c r="M431" s="55" t="n"/>
      <c r="N431" s="57" t="n"/>
      <c r="O431" s="55" t="n"/>
      <c r="P431" s="56" t="n"/>
      <c r="Q431" s="55" t="n"/>
      <c r="R431" s="55" t="n"/>
      <c r="S431" s="55" t="n"/>
      <c r="T431" s="55" t="n"/>
      <c r="U431" s="55" t="n"/>
      <c r="V431" s="55" t="n"/>
      <c r="W431" s="58" t="n"/>
      <c r="X431" s="58" t="n"/>
      <c r="Y431" s="55" t="n"/>
      <c r="Z431" s="55" t="n"/>
      <c r="AA431" s="55" t="n"/>
      <c r="AB431" s="55" t="n"/>
      <c r="AC431" s="55" t="n"/>
      <c r="AD431" s="53" t="n"/>
      <c r="AE431" s="55" t="n"/>
      <c r="AF431" s="55" t="n"/>
      <c r="AG431" s="59" t="n"/>
      <c r="AH431" s="57" t="n"/>
      <c r="AI431" s="55" t="n"/>
      <c r="AJ431" s="55" t="n"/>
      <c r="AK431" s="55" t="n"/>
      <c r="AL431" s="55" t="n"/>
      <c r="AM431" s="56" t="n"/>
      <c r="AN431" s="55" t="n"/>
      <c r="AO431" s="55" t="n"/>
      <c r="AP431" s="55" t="n"/>
      <c r="AQ431" s="55" t="n"/>
      <c r="AR431" s="60">
        <f>IF(AND(C431="",E431=""),"",IF(A431="","⚠ Date manquante",IF(AND(C431="",E431&lt;&gt;"Dépense"),"⚠ Prospect manquant",IF(E431="","⚠ Action manquante",IF(AND(AU431=1,D431=""),"⚠ Canal manquant",IF(AND(W431&lt;&gt;"",COUNTIFS('Saisie'!$W$5:$W$2004,W431,'Saisie'!$C$5:$C$2004,"&lt;&gt;"&amp;C431)&gt;0),"⚠ Numéro déjà utilisé par un autre prospect",IF(AND(J431&lt;&gt;"",J431&lt;A431),"⚠ Relance avant la date de l'action",IF(A431&gt;TODAY(),"⚠ Date dans le futur","✓"))))))))</f>
        <v/>
      </c>
      <c r="AS431" s="61">
        <f>IF(AND(A431="",C431="",E431=""),"",ROW())</f>
        <v/>
      </c>
      <c r="AT431" s="61">
        <f>IF(E431&amp;F431="","",MAX(IFERROR(INDEX('Paramètres'!$J$6:$J$33,MATCH(E431,'Paramètres'!$I$6:$I$33,0)),0),IFERROR(INDEX('Paramètres'!$N$6:$N$17,MATCH(F431,'Paramètres'!$M$6:$M$17,0)),0)))</f>
        <v/>
      </c>
      <c r="AU431" s="61">
        <f>IF(E431="","",IFERROR(IF(INDEX('Paramètres'!$K$6:$K$33,MATCH(E431,'Paramètres'!$I$6:$I$33,0))="Oui",1,0),0))</f>
        <v/>
      </c>
      <c r="AV431" s="61">
        <f>IF(F431="","",IFERROR(IF(INDEX('Paramètres'!$O$6:$O$17,MATCH(F431,'Paramètres'!$M$6:$M$17,0))="Oui",1,0),0))</f>
        <v/>
      </c>
      <c r="AW431" s="62">
        <f>IF(E431="","",IF(G431&lt;&gt;"",G431,IF(OR(E431="Proposition envoyée",E431="Signature"),MAX(0,N(IFERROR(INDEX('Paramètres'!$R$6:$R$15,MATCH(IF(AL431&lt;&gt;"",AL431,IFERROR(INDEX('Prospects'!$AN$5:$AN$504,MATCH(C431,'Prospects'!$C$5:$C$504,0)),"")),'Paramètres'!$Q$6:$Q$15,0)),0))-N(P431)),0)))</f>
        <v/>
      </c>
      <c r="AX431" s="61">
        <f>IF(C431="","",IF(COUNTIF($C$5:C431,C431)=1,MAX($AX$4:AX430)+1,""))</f>
        <v/>
      </c>
      <c r="AY431" s="61">
        <f>IF(B431="","",HOUR(B431))</f>
        <v/>
      </c>
      <c r="AZ431" s="61">
        <f>IF(A431="","",MOD(A431-2,7)+1)</f>
        <v/>
      </c>
      <c r="BA431" s="60">
        <f>IF(C431="","",IFERROR(INDEX('Prospects'!$N$5:$N$504,MATCH(C431,'Prospects'!$C$5:$C$504,0)),""))</f>
        <v/>
      </c>
      <c r="BB431" s="61">
        <f>IF(AND(C431&lt;&gt;"",C431='Fiche prospect'!$C$4),COUNTIF($C$5:C431,C431),"")</f>
        <v/>
      </c>
    </row>
    <row r="432">
      <c r="A432" s="53" t="n"/>
      <c r="B432" s="54" t="n"/>
      <c r="C432" s="55" t="n"/>
      <c r="D432" s="55" t="n"/>
      <c r="E432" s="55" t="n"/>
      <c r="F432" s="55" t="n"/>
      <c r="G432" s="56" t="n"/>
      <c r="H432" s="57" t="n"/>
      <c r="I432" s="55" t="n"/>
      <c r="J432" s="53" t="n"/>
      <c r="K432" s="54" t="n"/>
      <c r="L432" s="55" t="n"/>
      <c r="M432" s="55" t="n"/>
      <c r="N432" s="57" t="n"/>
      <c r="O432" s="55" t="n"/>
      <c r="P432" s="56" t="n"/>
      <c r="Q432" s="55" t="n"/>
      <c r="R432" s="55" t="n"/>
      <c r="S432" s="55" t="n"/>
      <c r="T432" s="55" t="n"/>
      <c r="U432" s="55" t="n"/>
      <c r="V432" s="55" t="n"/>
      <c r="W432" s="58" t="n"/>
      <c r="X432" s="58" t="n"/>
      <c r="Y432" s="55" t="n"/>
      <c r="Z432" s="55" t="n"/>
      <c r="AA432" s="55" t="n"/>
      <c r="AB432" s="55" t="n"/>
      <c r="AC432" s="55" t="n"/>
      <c r="AD432" s="53" t="n"/>
      <c r="AE432" s="55" t="n"/>
      <c r="AF432" s="55" t="n"/>
      <c r="AG432" s="59" t="n"/>
      <c r="AH432" s="57" t="n"/>
      <c r="AI432" s="55" t="n"/>
      <c r="AJ432" s="55" t="n"/>
      <c r="AK432" s="55" t="n"/>
      <c r="AL432" s="55" t="n"/>
      <c r="AM432" s="56" t="n"/>
      <c r="AN432" s="55" t="n"/>
      <c r="AO432" s="55" t="n"/>
      <c r="AP432" s="55" t="n"/>
      <c r="AQ432" s="55" t="n"/>
      <c r="AR432" s="60">
        <f>IF(AND(C432="",E432=""),"",IF(A432="","⚠ Date manquante",IF(AND(C432="",E432&lt;&gt;"Dépense"),"⚠ Prospect manquant",IF(E432="","⚠ Action manquante",IF(AND(AU432=1,D432=""),"⚠ Canal manquant",IF(AND(W432&lt;&gt;"",COUNTIFS('Saisie'!$W$5:$W$2004,W432,'Saisie'!$C$5:$C$2004,"&lt;&gt;"&amp;C432)&gt;0),"⚠ Numéro déjà utilisé par un autre prospect",IF(AND(J432&lt;&gt;"",J432&lt;A432),"⚠ Relance avant la date de l'action",IF(A432&gt;TODAY(),"⚠ Date dans le futur","✓"))))))))</f>
        <v/>
      </c>
      <c r="AS432" s="61">
        <f>IF(AND(A432="",C432="",E432=""),"",ROW())</f>
        <v/>
      </c>
      <c r="AT432" s="61">
        <f>IF(E432&amp;F432="","",MAX(IFERROR(INDEX('Paramètres'!$J$6:$J$33,MATCH(E432,'Paramètres'!$I$6:$I$33,0)),0),IFERROR(INDEX('Paramètres'!$N$6:$N$17,MATCH(F432,'Paramètres'!$M$6:$M$17,0)),0)))</f>
        <v/>
      </c>
      <c r="AU432" s="61">
        <f>IF(E432="","",IFERROR(IF(INDEX('Paramètres'!$K$6:$K$33,MATCH(E432,'Paramètres'!$I$6:$I$33,0))="Oui",1,0),0))</f>
        <v/>
      </c>
      <c r="AV432" s="61">
        <f>IF(F432="","",IFERROR(IF(INDEX('Paramètres'!$O$6:$O$17,MATCH(F432,'Paramètres'!$M$6:$M$17,0))="Oui",1,0),0))</f>
        <v/>
      </c>
      <c r="AW432" s="62">
        <f>IF(E432="","",IF(G432&lt;&gt;"",G432,IF(OR(E432="Proposition envoyée",E432="Signature"),MAX(0,N(IFERROR(INDEX('Paramètres'!$R$6:$R$15,MATCH(IF(AL432&lt;&gt;"",AL432,IFERROR(INDEX('Prospects'!$AN$5:$AN$504,MATCH(C432,'Prospects'!$C$5:$C$504,0)),"")),'Paramètres'!$Q$6:$Q$15,0)),0))-N(P432)),0)))</f>
        <v/>
      </c>
      <c r="AX432" s="61">
        <f>IF(C432="","",IF(COUNTIF($C$5:C432,C432)=1,MAX($AX$4:AX431)+1,""))</f>
        <v/>
      </c>
      <c r="AY432" s="61">
        <f>IF(B432="","",HOUR(B432))</f>
        <v/>
      </c>
      <c r="AZ432" s="61">
        <f>IF(A432="","",MOD(A432-2,7)+1)</f>
        <v/>
      </c>
      <c r="BA432" s="60">
        <f>IF(C432="","",IFERROR(INDEX('Prospects'!$N$5:$N$504,MATCH(C432,'Prospects'!$C$5:$C$504,0)),""))</f>
        <v/>
      </c>
      <c r="BB432" s="61">
        <f>IF(AND(C432&lt;&gt;"",C432='Fiche prospect'!$C$4),COUNTIF($C$5:C432,C432),"")</f>
        <v/>
      </c>
    </row>
    <row r="433">
      <c r="A433" s="53" t="n"/>
      <c r="B433" s="54" t="n"/>
      <c r="C433" s="55" t="n"/>
      <c r="D433" s="55" t="n"/>
      <c r="E433" s="55" t="n"/>
      <c r="F433" s="55" t="n"/>
      <c r="G433" s="56" t="n"/>
      <c r="H433" s="57" t="n"/>
      <c r="I433" s="55" t="n"/>
      <c r="J433" s="53" t="n"/>
      <c r="K433" s="54" t="n"/>
      <c r="L433" s="55" t="n"/>
      <c r="M433" s="55" t="n"/>
      <c r="N433" s="57" t="n"/>
      <c r="O433" s="55" t="n"/>
      <c r="P433" s="56" t="n"/>
      <c r="Q433" s="55" t="n"/>
      <c r="R433" s="55" t="n"/>
      <c r="S433" s="55" t="n"/>
      <c r="T433" s="55" t="n"/>
      <c r="U433" s="55" t="n"/>
      <c r="V433" s="55" t="n"/>
      <c r="W433" s="58" t="n"/>
      <c r="X433" s="58" t="n"/>
      <c r="Y433" s="55" t="n"/>
      <c r="Z433" s="55" t="n"/>
      <c r="AA433" s="55" t="n"/>
      <c r="AB433" s="55" t="n"/>
      <c r="AC433" s="55" t="n"/>
      <c r="AD433" s="53" t="n"/>
      <c r="AE433" s="55" t="n"/>
      <c r="AF433" s="55" t="n"/>
      <c r="AG433" s="59" t="n"/>
      <c r="AH433" s="57" t="n"/>
      <c r="AI433" s="55" t="n"/>
      <c r="AJ433" s="55" t="n"/>
      <c r="AK433" s="55" t="n"/>
      <c r="AL433" s="55" t="n"/>
      <c r="AM433" s="56" t="n"/>
      <c r="AN433" s="55" t="n"/>
      <c r="AO433" s="55" t="n"/>
      <c r="AP433" s="55" t="n"/>
      <c r="AQ433" s="55" t="n"/>
      <c r="AR433" s="60">
        <f>IF(AND(C433="",E433=""),"",IF(A433="","⚠ Date manquante",IF(AND(C433="",E433&lt;&gt;"Dépense"),"⚠ Prospect manquant",IF(E433="","⚠ Action manquante",IF(AND(AU433=1,D433=""),"⚠ Canal manquant",IF(AND(W433&lt;&gt;"",COUNTIFS('Saisie'!$W$5:$W$2004,W433,'Saisie'!$C$5:$C$2004,"&lt;&gt;"&amp;C433)&gt;0),"⚠ Numéro déjà utilisé par un autre prospect",IF(AND(J433&lt;&gt;"",J433&lt;A433),"⚠ Relance avant la date de l'action",IF(A433&gt;TODAY(),"⚠ Date dans le futur","✓"))))))))</f>
        <v/>
      </c>
      <c r="AS433" s="61">
        <f>IF(AND(A433="",C433="",E433=""),"",ROW())</f>
        <v/>
      </c>
      <c r="AT433" s="61">
        <f>IF(E433&amp;F433="","",MAX(IFERROR(INDEX('Paramètres'!$J$6:$J$33,MATCH(E433,'Paramètres'!$I$6:$I$33,0)),0),IFERROR(INDEX('Paramètres'!$N$6:$N$17,MATCH(F433,'Paramètres'!$M$6:$M$17,0)),0)))</f>
        <v/>
      </c>
      <c r="AU433" s="61">
        <f>IF(E433="","",IFERROR(IF(INDEX('Paramètres'!$K$6:$K$33,MATCH(E433,'Paramètres'!$I$6:$I$33,0))="Oui",1,0),0))</f>
        <v/>
      </c>
      <c r="AV433" s="61">
        <f>IF(F433="","",IFERROR(IF(INDEX('Paramètres'!$O$6:$O$17,MATCH(F433,'Paramètres'!$M$6:$M$17,0))="Oui",1,0),0))</f>
        <v/>
      </c>
      <c r="AW433" s="62">
        <f>IF(E433="","",IF(G433&lt;&gt;"",G433,IF(OR(E433="Proposition envoyée",E433="Signature"),MAX(0,N(IFERROR(INDEX('Paramètres'!$R$6:$R$15,MATCH(IF(AL433&lt;&gt;"",AL433,IFERROR(INDEX('Prospects'!$AN$5:$AN$504,MATCH(C433,'Prospects'!$C$5:$C$504,0)),"")),'Paramètres'!$Q$6:$Q$15,0)),0))-N(P433)),0)))</f>
        <v/>
      </c>
      <c r="AX433" s="61">
        <f>IF(C433="","",IF(COUNTIF($C$5:C433,C433)=1,MAX($AX$4:AX432)+1,""))</f>
        <v/>
      </c>
      <c r="AY433" s="61">
        <f>IF(B433="","",HOUR(B433))</f>
        <v/>
      </c>
      <c r="AZ433" s="61">
        <f>IF(A433="","",MOD(A433-2,7)+1)</f>
        <v/>
      </c>
      <c r="BA433" s="60">
        <f>IF(C433="","",IFERROR(INDEX('Prospects'!$N$5:$N$504,MATCH(C433,'Prospects'!$C$5:$C$504,0)),""))</f>
        <v/>
      </c>
      <c r="BB433" s="61">
        <f>IF(AND(C433&lt;&gt;"",C433='Fiche prospect'!$C$4),COUNTIF($C$5:C433,C433),"")</f>
        <v/>
      </c>
    </row>
    <row r="434">
      <c r="A434" s="53" t="n"/>
      <c r="B434" s="54" t="n"/>
      <c r="C434" s="55" t="n"/>
      <c r="D434" s="55" t="n"/>
      <c r="E434" s="55" t="n"/>
      <c r="F434" s="55" t="n"/>
      <c r="G434" s="56" t="n"/>
      <c r="H434" s="57" t="n"/>
      <c r="I434" s="55" t="n"/>
      <c r="J434" s="53" t="n"/>
      <c r="K434" s="54" t="n"/>
      <c r="L434" s="55" t="n"/>
      <c r="M434" s="55" t="n"/>
      <c r="N434" s="57" t="n"/>
      <c r="O434" s="55" t="n"/>
      <c r="P434" s="56" t="n"/>
      <c r="Q434" s="55" t="n"/>
      <c r="R434" s="55" t="n"/>
      <c r="S434" s="55" t="n"/>
      <c r="T434" s="55" t="n"/>
      <c r="U434" s="55" t="n"/>
      <c r="V434" s="55" t="n"/>
      <c r="W434" s="58" t="n"/>
      <c r="X434" s="58" t="n"/>
      <c r="Y434" s="55" t="n"/>
      <c r="Z434" s="55" t="n"/>
      <c r="AA434" s="55" t="n"/>
      <c r="AB434" s="55" t="n"/>
      <c r="AC434" s="55" t="n"/>
      <c r="AD434" s="53" t="n"/>
      <c r="AE434" s="55" t="n"/>
      <c r="AF434" s="55" t="n"/>
      <c r="AG434" s="59" t="n"/>
      <c r="AH434" s="57" t="n"/>
      <c r="AI434" s="55" t="n"/>
      <c r="AJ434" s="55" t="n"/>
      <c r="AK434" s="55" t="n"/>
      <c r="AL434" s="55" t="n"/>
      <c r="AM434" s="56" t="n"/>
      <c r="AN434" s="55" t="n"/>
      <c r="AO434" s="55" t="n"/>
      <c r="AP434" s="55" t="n"/>
      <c r="AQ434" s="55" t="n"/>
      <c r="AR434" s="60">
        <f>IF(AND(C434="",E434=""),"",IF(A434="","⚠ Date manquante",IF(AND(C434="",E434&lt;&gt;"Dépense"),"⚠ Prospect manquant",IF(E434="","⚠ Action manquante",IF(AND(AU434=1,D434=""),"⚠ Canal manquant",IF(AND(W434&lt;&gt;"",COUNTIFS('Saisie'!$W$5:$W$2004,W434,'Saisie'!$C$5:$C$2004,"&lt;&gt;"&amp;C434)&gt;0),"⚠ Numéro déjà utilisé par un autre prospect",IF(AND(J434&lt;&gt;"",J434&lt;A434),"⚠ Relance avant la date de l'action",IF(A434&gt;TODAY(),"⚠ Date dans le futur","✓"))))))))</f>
        <v/>
      </c>
      <c r="AS434" s="61">
        <f>IF(AND(A434="",C434="",E434=""),"",ROW())</f>
        <v/>
      </c>
      <c r="AT434" s="61">
        <f>IF(E434&amp;F434="","",MAX(IFERROR(INDEX('Paramètres'!$J$6:$J$33,MATCH(E434,'Paramètres'!$I$6:$I$33,0)),0),IFERROR(INDEX('Paramètres'!$N$6:$N$17,MATCH(F434,'Paramètres'!$M$6:$M$17,0)),0)))</f>
        <v/>
      </c>
      <c r="AU434" s="61">
        <f>IF(E434="","",IFERROR(IF(INDEX('Paramètres'!$K$6:$K$33,MATCH(E434,'Paramètres'!$I$6:$I$33,0))="Oui",1,0),0))</f>
        <v/>
      </c>
      <c r="AV434" s="61">
        <f>IF(F434="","",IFERROR(IF(INDEX('Paramètres'!$O$6:$O$17,MATCH(F434,'Paramètres'!$M$6:$M$17,0))="Oui",1,0),0))</f>
        <v/>
      </c>
      <c r="AW434" s="62">
        <f>IF(E434="","",IF(G434&lt;&gt;"",G434,IF(OR(E434="Proposition envoyée",E434="Signature"),MAX(0,N(IFERROR(INDEX('Paramètres'!$R$6:$R$15,MATCH(IF(AL434&lt;&gt;"",AL434,IFERROR(INDEX('Prospects'!$AN$5:$AN$504,MATCH(C434,'Prospects'!$C$5:$C$504,0)),"")),'Paramètres'!$Q$6:$Q$15,0)),0))-N(P434)),0)))</f>
        <v/>
      </c>
      <c r="AX434" s="61">
        <f>IF(C434="","",IF(COUNTIF($C$5:C434,C434)=1,MAX($AX$4:AX433)+1,""))</f>
        <v/>
      </c>
      <c r="AY434" s="61">
        <f>IF(B434="","",HOUR(B434))</f>
        <v/>
      </c>
      <c r="AZ434" s="61">
        <f>IF(A434="","",MOD(A434-2,7)+1)</f>
        <v/>
      </c>
      <c r="BA434" s="60">
        <f>IF(C434="","",IFERROR(INDEX('Prospects'!$N$5:$N$504,MATCH(C434,'Prospects'!$C$5:$C$504,0)),""))</f>
        <v/>
      </c>
      <c r="BB434" s="61">
        <f>IF(AND(C434&lt;&gt;"",C434='Fiche prospect'!$C$4),COUNTIF($C$5:C434,C434),"")</f>
        <v/>
      </c>
    </row>
    <row r="435">
      <c r="A435" s="53" t="n"/>
      <c r="B435" s="54" t="n"/>
      <c r="C435" s="55" t="n"/>
      <c r="D435" s="55" t="n"/>
      <c r="E435" s="55" t="n"/>
      <c r="F435" s="55" t="n"/>
      <c r="G435" s="56" t="n"/>
      <c r="H435" s="57" t="n"/>
      <c r="I435" s="55" t="n"/>
      <c r="J435" s="53" t="n"/>
      <c r="K435" s="54" t="n"/>
      <c r="L435" s="55" t="n"/>
      <c r="M435" s="55" t="n"/>
      <c r="N435" s="57" t="n"/>
      <c r="O435" s="55" t="n"/>
      <c r="P435" s="56" t="n"/>
      <c r="Q435" s="55" t="n"/>
      <c r="R435" s="55" t="n"/>
      <c r="S435" s="55" t="n"/>
      <c r="T435" s="55" t="n"/>
      <c r="U435" s="55" t="n"/>
      <c r="V435" s="55" t="n"/>
      <c r="W435" s="58" t="n"/>
      <c r="X435" s="58" t="n"/>
      <c r="Y435" s="55" t="n"/>
      <c r="Z435" s="55" t="n"/>
      <c r="AA435" s="55" t="n"/>
      <c r="AB435" s="55" t="n"/>
      <c r="AC435" s="55" t="n"/>
      <c r="AD435" s="53" t="n"/>
      <c r="AE435" s="55" t="n"/>
      <c r="AF435" s="55" t="n"/>
      <c r="AG435" s="59" t="n"/>
      <c r="AH435" s="57" t="n"/>
      <c r="AI435" s="55" t="n"/>
      <c r="AJ435" s="55" t="n"/>
      <c r="AK435" s="55" t="n"/>
      <c r="AL435" s="55" t="n"/>
      <c r="AM435" s="56" t="n"/>
      <c r="AN435" s="55" t="n"/>
      <c r="AO435" s="55" t="n"/>
      <c r="AP435" s="55" t="n"/>
      <c r="AQ435" s="55" t="n"/>
      <c r="AR435" s="60">
        <f>IF(AND(C435="",E435=""),"",IF(A435="","⚠ Date manquante",IF(AND(C435="",E435&lt;&gt;"Dépense"),"⚠ Prospect manquant",IF(E435="","⚠ Action manquante",IF(AND(AU435=1,D435=""),"⚠ Canal manquant",IF(AND(W435&lt;&gt;"",COUNTIFS('Saisie'!$W$5:$W$2004,W435,'Saisie'!$C$5:$C$2004,"&lt;&gt;"&amp;C435)&gt;0),"⚠ Numéro déjà utilisé par un autre prospect",IF(AND(J435&lt;&gt;"",J435&lt;A435),"⚠ Relance avant la date de l'action",IF(A435&gt;TODAY(),"⚠ Date dans le futur","✓"))))))))</f>
        <v/>
      </c>
      <c r="AS435" s="61">
        <f>IF(AND(A435="",C435="",E435=""),"",ROW())</f>
        <v/>
      </c>
      <c r="AT435" s="61">
        <f>IF(E435&amp;F435="","",MAX(IFERROR(INDEX('Paramètres'!$J$6:$J$33,MATCH(E435,'Paramètres'!$I$6:$I$33,0)),0),IFERROR(INDEX('Paramètres'!$N$6:$N$17,MATCH(F435,'Paramètres'!$M$6:$M$17,0)),0)))</f>
        <v/>
      </c>
      <c r="AU435" s="61">
        <f>IF(E435="","",IFERROR(IF(INDEX('Paramètres'!$K$6:$K$33,MATCH(E435,'Paramètres'!$I$6:$I$33,0))="Oui",1,0),0))</f>
        <v/>
      </c>
      <c r="AV435" s="61">
        <f>IF(F435="","",IFERROR(IF(INDEX('Paramètres'!$O$6:$O$17,MATCH(F435,'Paramètres'!$M$6:$M$17,0))="Oui",1,0),0))</f>
        <v/>
      </c>
      <c r="AW435" s="62">
        <f>IF(E435="","",IF(G435&lt;&gt;"",G435,IF(OR(E435="Proposition envoyée",E435="Signature"),MAX(0,N(IFERROR(INDEX('Paramètres'!$R$6:$R$15,MATCH(IF(AL435&lt;&gt;"",AL435,IFERROR(INDEX('Prospects'!$AN$5:$AN$504,MATCH(C435,'Prospects'!$C$5:$C$504,0)),"")),'Paramètres'!$Q$6:$Q$15,0)),0))-N(P435)),0)))</f>
        <v/>
      </c>
      <c r="AX435" s="61">
        <f>IF(C435="","",IF(COUNTIF($C$5:C435,C435)=1,MAX($AX$4:AX434)+1,""))</f>
        <v/>
      </c>
      <c r="AY435" s="61">
        <f>IF(B435="","",HOUR(B435))</f>
        <v/>
      </c>
      <c r="AZ435" s="61">
        <f>IF(A435="","",MOD(A435-2,7)+1)</f>
        <v/>
      </c>
      <c r="BA435" s="60">
        <f>IF(C435="","",IFERROR(INDEX('Prospects'!$N$5:$N$504,MATCH(C435,'Prospects'!$C$5:$C$504,0)),""))</f>
        <v/>
      </c>
      <c r="BB435" s="61">
        <f>IF(AND(C435&lt;&gt;"",C435='Fiche prospect'!$C$4),COUNTIF($C$5:C435,C435),"")</f>
        <v/>
      </c>
    </row>
    <row r="436">
      <c r="A436" s="53" t="n"/>
      <c r="B436" s="54" t="n"/>
      <c r="C436" s="55" t="n"/>
      <c r="D436" s="55" t="n"/>
      <c r="E436" s="55" t="n"/>
      <c r="F436" s="55" t="n"/>
      <c r="G436" s="56" t="n"/>
      <c r="H436" s="57" t="n"/>
      <c r="I436" s="55" t="n"/>
      <c r="J436" s="53" t="n"/>
      <c r="K436" s="54" t="n"/>
      <c r="L436" s="55" t="n"/>
      <c r="M436" s="55" t="n"/>
      <c r="N436" s="57" t="n"/>
      <c r="O436" s="55" t="n"/>
      <c r="P436" s="56" t="n"/>
      <c r="Q436" s="55" t="n"/>
      <c r="R436" s="55" t="n"/>
      <c r="S436" s="55" t="n"/>
      <c r="T436" s="55" t="n"/>
      <c r="U436" s="55" t="n"/>
      <c r="V436" s="55" t="n"/>
      <c r="W436" s="58" t="n"/>
      <c r="X436" s="58" t="n"/>
      <c r="Y436" s="55" t="n"/>
      <c r="Z436" s="55" t="n"/>
      <c r="AA436" s="55" t="n"/>
      <c r="AB436" s="55" t="n"/>
      <c r="AC436" s="55" t="n"/>
      <c r="AD436" s="53" t="n"/>
      <c r="AE436" s="55" t="n"/>
      <c r="AF436" s="55" t="n"/>
      <c r="AG436" s="59" t="n"/>
      <c r="AH436" s="57" t="n"/>
      <c r="AI436" s="55" t="n"/>
      <c r="AJ436" s="55" t="n"/>
      <c r="AK436" s="55" t="n"/>
      <c r="AL436" s="55" t="n"/>
      <c r="AM436" s="56" t="n"/>
      <c r="AN436" s="55" t="n"/>
      <c r="AO436" s="55" t="n"/>
      <c r="AP436" s="55" t="n"/>
      <c r="AQ436" s="55" t="n"/>
      <c r="AR436" s="60">
        <f>IF(AND(C436="",E436=""),"",IF(A436="","⚠ Date manquante",IF(AND(C436="",E436&lt;&gt;"Dépense"),"⚠ Prospect manquant",IF(E436="","⚠ Action manquante",IF(AND(AU436=1,D436=""),"⚠ Canal manquant",IF(AND(W436&lt;&gt;"",COUNTIFS('Saisie'!$W$5:$W$2004,W436,'Saisie'!$C$5:$C$2004,"&lt;&gt;"&amp;C436)&gt;0),"⚠ Numéro déjà utilisé par un autre prospect",IF(AND(J436&lt;&gt;"",J436&lt;A436),"⚠ Relance avant la date de l'action",IF(A436&gt;TODAY(),"⚠ Date dans le futur","✓"))))))))</f>
        <v/>
      </c>
      <c r="AS436" s="61">
        <f>IF(AND(A436="",C436="",E436=""),"",ROW())</f>
        <v/>
      </c>
      <c r="AT436" s="61">
        <f>IF(E436&amp;F436="","",MAX(IFERROR(INDEX('Paramètres'!$J$6:$J$33,MATCH(E436,'Paramètres'!$I$6:$I$33,0)),0),IFERROR(INDEX('Paramètres'!$N$6:$N$17,MATCH(F436,'Paramètres'!$M$6:$M$17,0)),0)))</f>
        <v/>
      </c>
      <c r="AU436" s="61">
        <f>IF(E436="","",IFERROR(IF(INDEX('Paramètres'!$K$6:$K$33,MATCH(E436,'Paramètres'!$I$6:$I$33,0))="Oui",1,0),0))</f>
        <v/>
      </c>
      <c r="AV436" s="61">
        <f>IF(F436="","",IFERROR(IF(INDEX('Paramètres'!$O$6:$O$17,MATCH(F436,'Paramètres'!$M$6:$M$17,0))="Oui",1,0),0))</f>
        <v/>
      </c>
      <c r="AW436" s="62">
        <f>IF(E436="","",IF(G436&lt;&gt;"",G436,IF(OR(E436="Proposition envoyée",E436="Signature"),MAX(0,N(IFERROR(INDEX('Paramètres'!$R$6:$R$15,MATCH(IF(AL436&lt;&gt;"",AL436,IFERROR(INDEX('Prospects'!$AN$5:$AN$504,MATCH(C436,'Prospects'!$C$5:$C$504,0)),"")),'Paramètres'!$Q$6:$Q$15,0)),0))-N(P436)),0)))</f>
        <v/>
      </c>
      <c r="AX436" s="61">
        <f>IF(C436="","",IF(COUNTIF($C$5:C436,C436)=1,MAX($AX$4:AX435)+1,""))</f>
        <v/>
      </c>
      <c r="AY436" s="61">
        <f>IF(B436="","",HOUR(B436))</f>
        <v/>
      </c>
      <c r="AZ436" s="61">
        <f>IF(A436="","",MOD(A436-2,7)+1)</f>
        <v/>
      </c>
      <c r="BA436" s="60">
        <f>IF(C436="","",IFERROR(INDEX('Prospects'!$N$5:$N$504,MATCH(C436,'Prospects'!$C$5:$C$504,0)),""))</f>
        <v/>
      </c>
      <c r="BB436" s="61">
        <f>IF(AND(C436&lt;&gt;"",C436='Fiche prospect'!$C$4),COUNTIF($C$5:C436,C436),"")</f>
        <v/>
      </c>
    </row>
    <row r="437">
      <c r="A437" s="53" t="n"/>
      <c r="B437" s="54" t="n"/>
      <c r="C437" s="55" t="n"/>
      <c r="D437" s="55" t="n"/>
      <c r="E437" s="55" t="n"/>
      <c r="F437" s="55" t="n"/>
      <c r="G437" s="56" t="n"/>
      <c r="H437" s="57" t="n"/>
      <c r="I437" s="55" t="n"/>
      <c r="J437" s="53" t="n"/>
      <c r="K437" s="54" t="n"/>
      <c r="L437" s="55" t="n"/>
      <c r="M437" s="55" t="n"/>
      <c r="N437" s="57" t="n"/>
      <c r="O437" s="55" t="n"/>
      <c r="P437" s="56" t="n"/>
      <c r="Q437" s="55" t="n"/>
      <c r="R437" s="55" t="n"/>
      <c r="S437" s="55" t="n"/>
      <c r="T437" s="55" t="n"/>
      <c r="U437" s="55" t="n"/>
      <c r="V437" s="55" t="n"/>
      <c r="W437" s="58" t="n"/>
      <c r="X437" s="58" t="n"/>
      <c r="Y437" s="55" t="n"/>
      <c r="Z437" s="55" t="n"/>
      <c r="AA437" s="55" t="n"/>
      <c r="AB437" s="55" t="n"/>
      <c r="AC437" s="55" t="n"/>
      <c r="AD437" s="53" t="n"/>
      <c r="AE437" s="55" t="n"/>
      <c r="AF437" s="55" t="n"/>
      <c r="AG437" s="59" t="n"/>
      <c r="AH437" s="57" t="n"/>
      <c r="AI437" s="55" t="n"/>
      <c r="AJ437" s="55" t="n"/>
      <c r="AK437" s="55" t="n"/>
      <c r="AL437" s="55" t="n"/>
      <c r="AM437" s="56" t="n"/>
      <c r="AN437" s="55" t="n"/>
      <c r="AO437" s="55" t="n"/>
      <c r="AP437" s="55" t="n"/>
      <c r="AQ437" s="55" t="n"/>
      <c r="AR437" s="60">
        <f>IF(AND(C437="",E437=""),"",IF(A437="","⚠ Date manquante",IF(AND(C437="",E437&lt;&gt;"Dépense"),"⚠ Prospect manquant",IF(E437="","⚠ Action manquante",IF(AND(AU437=1,D437=""),"⚠ Canal manquant",IF(AND(W437&lt;&gt;"",COUNTIFS('Saisie'!$W$5:$W$2004,W437,'Saisie'!$C$5:$C$2004,"&lt;&gt;"&amp;C437)&gt;0),"⚠ Numéro déjà utilisé par un autre prospect",IF(AND(J437&lt;&gt;"",J437&lt;A437),"⚠ Relance avant la date de l'action",IF(A437&gt;TODAY(),"⚠ Date dans le futur","✓"))))))))</f>
        <v/>
      </c>
      <c r="AS437" s="61">
        <f>IF(AND(A437="",C437="",E437=""),"",ROW())</f>
        <v/>
      </c>
      <c r="AT437" s="61">
        <f>IF(E437&amp;F437="","",MAX(IFERROR(INDEX('Paramètres'!$J$6:$J$33,MATCH(E437,'Paramètres'!$I$6:$I$33,0)),0),IFERROR(INDEX('Paramètres'!$N$6:$N$17,MATCH(F437,'Paramètres'!$M$6:$M$17,0)),0)))</f>
        <v/>
      </c>
      <c r="AU437" s="61">
        <f>IF(E437="","",IFERROR(IF(INDEX('Paramètres'!$K$6:$K$33,MATCH(E437,'Paramètres'!$I$6:$I$33,0))="Oui",1,0),0))</f>
        <v/>
      </c>
      <c r="AV437" s="61">
        <f>IF(F437="","",IFERROR(IF(INDEX('Paramètres'!$O$6:$O$17,MATCH(F437,'Paramètres'!$M$6:$M$17,0))="Oui",1,0),0))</f>
        <v/>
      </c>
      <c r="AW437" s="62">
        <f>IF(E437="","",IF(G437&lt;&gt;"",G437,IF(OR(E437="Proposition envoyée",E437="Signature"),MAX(0,N(IFERROR(INDEX('Paramètres'!$R$6:$R$15,MATCH(IF(AL437&lt;&gt;"",AL437,IFERROR(INDEX('Prospects'!$AN$5:$AN$504,MATCH(C437,'Prospects'!$C$5:$C$504,0)),"")),'Paramètres'!$Q$6:$Q$15,0)),0))-N(P437)),0)))</f>
        <v/>
      </c>
      <c r="AX437" s="61">
        <f>IF(C437="","",IF(COUNTIF($C$5:C437,C437)=1,MAX($AX$4:AX436)+1,""))</f>
        <v/>
      </c>
      <c r="AY437" s="61">
        <f>IF(B437="","",HOUR(B437))</f>
        <v/>
      </c>
      <c r="AZ437" s="61">
        <f>IF(A437="","",MOD(A437-2,7)+1)</f>
        <v/>
      </c>
      <c r="BA437" s="60">
        <f>IF(C437="","",IFERROR(INDEX('Prospects'!$N$5:$N$504,MATCH(C437,'Prospects'!$C$5:$C$504,0)),""))</f>
        <v/>
      </c>
      <c r="BB437" s="61">
        <f>IF(AND(C437&lt;&gt;"",C437='Fiche prospect'!$C$4),COUNTIF($C$5:C437,C437),"")</f>
        <v/>
      </c>
    </row>
    <row r="438">
      <c r="A438" s="53" t="n"/>
      <c r="B438" s="54" t="n"/>
      <c r="C438" s="55" t="n"/>
      <c r="D438" s="55" t="n"/>
      <c r="E438" s="55" t="n"/>
      <c r="F438" s="55" t="n"/>
      <c r="G438" s="56" t="n"/>
      <c r="H438" s="57" t="n"/>
      <c r="I438" s="55" t="n"/>
      <c r="J438" s="53" t="n"/>
      <c r="K438" s="54" t="n"/>
      <c r="L438" s="55" t="n"/>
      <c r="M438" s="55" t="n"/>
      <c r="N438" s="57" t="n"/>
      <c r="O438" s="55" t="n"/>
      <c r="P438" s="56" t="n"/>
      <c r="Q438" s="55" t="n"/>
      <c r="R438" s="55" t="n"/>
      <c r="S438" s="55" t="n"/>
      <c r="T438" s="55" t="n"/>
      <c r="U438" s="55" t="n"/>
      <c r="V438" s="55" t="n"/>
      <c r="W438" s="58" t="n"/>
      <c r="X438" s="58" t="n"/>
      <c r="Y438" s="55" t="n"/>
      <c r="Z438" s="55" t="n"/>
      <c r="AA438" s="55" t="n"/>
      <c r="AB438" s="55" t="n"/>
      <c r="AC438" s="55" t="n"/>
      <c r="AD438" s="53" t="n"/>
      <c r="AE438" s="55" t="n"/>
      <c r="AF438" s="55" t="n"/>
      <c r="AG438" s="59" t="n"/>
      <c r="AH438" s="57" t="n"/>
      <c r="AI438" s="55" t="n"/>
      <c r="AJ438" s="55" t="n"/>
      <c r="AK438" s="55" t="n"/>
      <c r="AL438" s="55" t="n"/>
      <c r="AM438" s="56" t="n"/>
      <c r="AN438" s="55" t="n"/>
      <c r="AO438" s="55" t="n"/>
      <c r="AP438" s="55" t="n"/>
      <c r="AQ438" s="55" t="n"/>
      <c r="AR438" s="60">
        <f>IF(AND(C438="",E438=""),"",IF(A438="","⚠ Date manquante",IF(AND(C438="",E438&lt;&gt;"Dépense"),"⚠ Prospect manquant",IF(E438="","⚠ Action manquante",IF(AND(AU438=1,D438=""),"⚠ Canal manquant",IF(AND(W438&lt;&gt;"",COUNTIFS('Saisie'!$W$5:$W$2004,W438,'Saisie'!$C$5:$C$2004,"&lt;&gt;"&amp;C438)&gt;0),"⚠ Numéro déjà utilisé par un autre prospect",IF(AND(J438&lt;&gt;"",J438&lt;A438),"⚠ Relance avant la date de l'action",IF(A438&gt;TODAY(),"⚠ Date dans le futur","✓"))))))))</f>
        <v/>
      </c>
      <c r="AS438" s="61">
        <f>IF(AND(A438="",C438="",E438=""),"",ROW())</f>
        <v/>
      </c>
      <c r="AT438" s="61">
        <f>IF(E438&amp;F438="","",MAX(IFERROR(INDEX('Paramètres'!$J$6:$J$33,MATCH(E438,'Paramètres'!$I$6:$I$33,0)),0),IFERROR(INDEX('Paramètres'!$N$6:$N$17,MATCH(F438,'Paramètres'!$M$6:$M$17,0)),0)))</f>
        <v/>
      </c>
      <c r="AU438" s="61">
        <f>IF(E438="","",IFERROR(IF(INDEX('Paramètres'!$K$6:$K$33,MATCH(E438,'Paramètres'!$I$6:$I$33,0))="Oui",1,0),0))</f>
        <v/>
      </c>
      <c r="AV438" s="61">
        <f>IF(F438="","",IFERROR(IF(INDEX('Paramètres'!$O$6:$O$17,MATCH(F438,'Paramètres'!$M$6:$M$17,0))="Oui",1,0),0))</f>
        <v/>
      </c>
      <c r="AW438" s="62">
        <f>IF(E438="","",IF(G438&lt;&gt;"",G438,IF(OR(E438="Proposition envoyée",E438="Signature"),MAX(0,N(IFERROR(INDEX('Paramètres'!$R$6:$R$15,MATCH(IF(AL438&lt;&gt;"",AL438,IFERROR(INDEX('Prospects'!$AN$5:$AN$504,MATCH(C438,'Prospects'!$C$5:$C$504,0)),"")),'Paramètres'!$Q$6:$Q$15,0)),0))-N(P438)),0)))</f>
        <v/>
      </c>
      <c r="AX438" s="61">
        <f>IF(C438="","",IF(COUNTIF($C$5:C438,C438)=1,MAX($AX$4:AX437)+1,""))</f>
        <v/>
      </c>
      <c r="AY438" s="61">
        <f>IF(B438="","",HOUR(B438))</f>
        <v/>
      </c>
      <c r="AZ438" s="61">
        <f>IF(A438="","",MOD(A438-2,7)+1)</f>
        <v/>
      </c>
      <c r="BA438" s="60">
        <f>IF(C438="","",IFERROR(INDEX('Prospects'!$N$5:$N$504,MATCH(C438,'Prospects'!$C$5:$C$504,0)),""))</f>
        <v/>
      </c>
      <c r="BB438" s="61">
        <f>IF(AND(C438&lt;&gt;"",C438='Fiche prospect'!$C$4),COUNTIF($C$5:C438,C438),"")</f>
        <v/>
      </c>
    </row>
    <row r="439">
      <c r="A439" s="53" t="n"/>
      <c r="B439" s="54" t="n"/>
      <c r="C439" s="55" t="n"/>
      <c r="D439" s="55" t="n"/>
      <c r="E439" s="55" t="n"/>
      <c r="F439" s="55" t="n"/>
      <c r="G439" s="56" t="n"/>
      <c r="H439" s="57" t="n"/>
      <c r="I439" s="55" t="n"/>
      <c r="J439" s="53" t="n"/>
      <c r="K439" s="54" t="n"/>
      <c r="L439" s="55" t="n"/>
      <c r="M439" s="55" t="n"/>
      <c r="N439" s="57" t="n"/>
      <c r="O439" s="55" t="n"/>
      <c r="P439" s="56" t="n"/>
      <c r="Q439" s="55" t="n"/>
      <c r="R439" s="55" t="n"/>
      <c r="S439" s="55" t="n"/>
      <c r="T439" s="55" t="n"/>
      <c r="U439" s="55" t="n"/>
      <c r="V439" s="55" t="n"/>
      <c r="W439" s="58" t="n"/>
      <c r="X439" s="58" t="n"/>
      <c r="Y439" s="55" t="n"/>
      <c r="Z439" s="55" t="n"/>
      <c r="AA439" s="55" t="n"/>
      <c r="AB439" s="55" t="n"/>
      <c r="AC439" s="55" t="n"/>
      <c r="AD439" s="53" t="n"/>
      <c r="AE439" s="55" t="n"/>
      <c r="AF439" s="55" t="n"/>
      <c r="AG439" s="59" t="n"/>
      <c r="AH439" s="57" t="n"/>
      <c r="AI439" s="55" t="n"/>
      <c r="AJ439" s="55" t="n"/>
      <c r="AK439" s="55" t="n"/>
      <c r="AL439" s="55" t="n"/>
      <c r="AM439" s="56" t="n"/>
      <c r="AN439" s="55" t="n"/>
      <c r="AO439" s="55" t="n"/>
      <c r="AP439" s="55" t="n"/>
      <c r="AQ439" s="55" t="n"/>
      <c r="AR439" s="60">
        <f>IF(AND(C439="",E439=""),"",IF(A439="","⚠ Date manquante",IF(AND(C439="",E439&lt;&gt;"Dépense"),"⚠ Prospect manquant",IF(E439="","⚠ Action manquante",IF(AND(AU439=1,D439=""),"⚠ Canal manquant",IF(AND(W439&lt;&gt;"",COUNTIFS('Saisie'!$W$5:$W$2004,W439,'Saisie'!$C$5:$C$2004,"&lt;&gt;"&amp;C439)&gt;0),"⚠ Numéro déjà utilisé par un autre prospect",IF(AND(J439&lt;&gt;"",J439&lt;A439),"⚠ Relance avant la date de l'action",IF(A439&gt;TODAY(),"⚠ Date dans le futur","✓"))))))))</f>
        <v/>
      </c>
      <c r="AS439" s="61">
        <f>IF(AND(A439="",C439="",E439=""),"",ROW())</f>
        <v/>
      </c>
      <c r="AT439" s="61">
        <f>IF(E439&amp;F439="","",MAX(IFERROR(INDEX('Paramètres'!$J$6:$J$33,MATCH(E439,'Paramètres'!$I$6:$I$33,0)),0),IFERROR(INDEX('Paramètres'!$N$6:$N$17,MATCH(F439,'Paramètres'!$M$6:$M$17,0)),0)))</f>
        <v/>
      </c>
      <c r="AU439" s="61">
        <f>IF(E439="","",IFERROR(IF(INDEX('Paramètres'!$K$6:$K$33,MATCH(E439,'Paramètres'!$I$6:$I$33,0))="Oui",1,0),0))</f>
        <v/>
      </c>
      <c r="AV439" s="61">
        <f>IF(F439="","",IFERROR(IF(INDEX('Paramètres'!$O$6:$O$17,MATCH(F439,'Paramètres'!$M$6:$M$17,0))="Oui",1,0),0))</f>
        <v/>
      </c>
      <c r="AW439" s="62">
        <f>IF(E439="","",IF(G439&lt;&gt;"",G439,IF(OR(E439="Proposition envoyée",E439="Signature"),MAX(0,N(IFERROR(INDEX('Paramètres'!$R$6:$R$15,MATCH(IF(AL439&lt;&gt;"",AL439,IFERROR(INDEX('Prospects'!$AN$5:$AN$504,MATCH(C439,'Prospects'!$C$5:$C$504,0)),"")),'Paramètres'!$Q$6:$Q$15,0)),0))-N(P439)),0)))</f>
        <v/>
      </c>
      <c r="AX439" s="61">
        <f>IF(C439="","",IF(COUNTIF($C$5:C439,C439)=1,MAX($AX$4:AX438)+1,""))</f>
        <v/>
      </c>
      <c r="AY439" s="61">
        <f>IF(B439="","",HOUR(B439))</f>
        <v/>
      </c>
      <c r="AZ439" s="61">
        <f>IF(A439="","",MOD(A439-2,7)+1)</f>
        <v/>
      </c>
      <c r="BA439" s="60">
        <f>IF(C439="","",IFERROR(INDEX('Prospects'!$N$5:$N$504,MATCH(C439,'Prospects'!$C$5:$C$504,0)),""))</f>
        <v/>
      </c>
      <c r="BB439" s="61">
        <f>IF(AND(C439&lt;&gt;"",C439='Fiche prospect'!$C$4),COUNTIF($C$5:C439,C439),"")</f>
        <v/>
      </c>
    </row>
    <row r="440">
      <c r="A440" s="53" t="n"/>
      <c r="B440" s="54" t="n"/>
      <c r="C440" s="55" t="n"/>
      <c r="D440" s="55" t="n"/>
      <c r="E440" s="55" t="n"/>
      <c r="F440" s="55" t="n"/>
      <c r="G440" s="56" t="n"/>
      <c r="H440" s="57" t="n"/>
      <c r="I440" s="55" t="n"/>
      <c r="J440" s="53" t="n"/>
      <c r="K440" s="54" t="n"/>
      <c r="L440" s="55" t="n"/>
      <c r="M440" s="55" t="n"/>
      <c r="N440" s="57" t="n"/>
      <c r="O440" s="55" t="n"/>
      <c r="P440" s="56" t="n"/>
      <c r="Q440" s="55" t="n"/>
      <c r="R440" s="55" t="n"/>
      <c r="S440" s="55" t="n"/>
      <c r="T440" s="55" t="n"/>
      <c r="U440" s="55" t="n"/>
      <c r="V440" s="55" t="n"/>
      <c r="W440" s="58" t="n"/>
      <c r="X440" s="58" t="n"/>
      <c r="Y440" s="55" t="n"/>
      <c r="Z440" s="55" t="n"/>
      <c r="AA440" s="55" t="n"/>
      <c r="AB440" s="55" t="n"/>
      <c r="AC440" s="55" t="n"/>
      <c r="AD440" s="53" t="n"/>
      <c r="AE440" s="55" t="n"/>
      <c r="AF440" s="55" t="n"/>
      <c r="AG440" s="59" t="n"/>
      <c r="AH440" s="57" t="n"/>
      <c r="AI440" s="55" t="n"/>
      <c r="AJ440" s="55" t="n"/>
      <c r="AK440" s="55" t="n"/>
      <c r="AL440" s="55" t="n"/>
      <c r="AM440" s="56" t="n"/>
      <c r="AN440" s="55" t="n"/>
      <c r="AO440" s="55" t="n"/>
      <c r="AP440" s="55" t="n"/>
      <c r="AQ440" s="55" t="n"/>
      <c r="AR440" s="60">
        <f>IF(AND(C440="",E440=""),"",IF(A440="","⚠ Date manquante",IF(AND(C440="",E440&lt;&gt;"Dépense"),"⚠ Prospect manquant",IF(E440="","⚠ Action manquante",IF(AND(AU440=1,D440=""),"⚠ Canal manquant",IF(AND(W440&lt;&gt;"",COUNTIFS('Saisie'!$W$5:$W$2004,W440,'Saisie'!$C$5:$C$2004,"&lt;&gt;"&amp;C440)&gt;0),"⚠ Numéro déjà utilisé par un autre prospect",IF(AND(J440&lt;&gt;"",J440&lt;A440),"⚠ Relance avant la date de l'action",IF(A440&gt;TODAY(),"⚠ Date dans le futur","✓"))))))))</f>
        <v/>
      </c>
      <c r="AS440" s="61">
        <f>IF(AND(A440="",C440="",E440=""),"",ROW())</f>
        <v/>
      </c>
      <c r="AT440" s="61">
        <f>IF(E440&amp;F440="","",MAX(IFERROR(INDEX('Paramètres'!$J$6:$J$33,MATCH(E440,'Paramètres'!$I$6:$I$33,0)),0),IFERROR(INDEX('Paramètres'!$N$6:$N$17,MATCH(F440,'Paramètres'!$M$6:$M$17,0)),0)))</f>
        <v/>
      </c>
      <c r="AU440" s="61">
        <f>IF(E440="","",IFERROR(IF(INDEX('Paramètres'!$K$6:$K$33,MATCH(E440,'Paramètres'!$I$6:$I$33,0))="Oui",1,0),0))</f>
        <v/>
      </c>
      <c r="AV440" s="61">
        <f>IF(F440="","",IFERROR(IF(INDEX('Paramètres'!$O$6:$O$17,MATCH(F440,'Paramètres'!$M$6:$M$17,0))="Oui",1,0),0))</f>
        <v/>
      </c>
      <c r="AW440" s="62">
        <f>IF(E440="","",IF(G440&lt;&gt;"",G440,IF(OR(E440="Proposition envoyée",E440="Signature"),MAX(0,N(IFERROR(INDEX('Paramètres'!$R$6:$R$15,MATCH(IF(AL440&lt;&gt;"",AL440,IFERROR(INDEX('Prospects'!$AN$5:$AN$504,MATCH(C440,'Prospects'!$C$5:$C$504,0)),"")),'Paramètres'!$Q$6:$Q$15,0)),0))-N(P440)),0)))</f>
        <v/>
      </c>
      <c r="AX440" s="61">
        <f>IF(C440="","",IF(COUNTIF($C$5:C440,C440)=1,MAX($AX$4:AX439)+1,""))</f>
        <v/>
      </c>
      <c r="AY440" s="61">
        <f>IF(B440="","",HOUR(B440))</f>
        <v/>
      </c>
      <c r="AZ440" s="61">
        <f>IF(A440="","",MOD(A440-2,7)+1)</f>
        <v/>
      </c>
      <c r="BA440" s="60">
        <f>IF(C440="","",IFERROR(INDEX('Prospects'!$N$5:$N$504,MATCH(C440,'Prospects'!$C$5:$C$504,0)),""))</f>
        <v/>
      </c>
      <c r="BB440" s="61">
        <f>IF(AND(C440&lt;&gt;"",C440='Fiche prospect'!$C$4),COUNTIF($C$5:C440,C440),"")</f>
        <v/>
      </c>
    </row>
    <row r="441">
      <c r="A441" s="53" t="n"/>
      <c r="B441" s="54" t="n"/>
      <c r="C441" s="55" t="n"/>
      <c r="D441" s="55" t="n"/>
      <c r="E441" s="55" t="n"/>
      <c r="F441" s="55" t="n"/>
      <c r="G441" s="56" t="n"/>
      <c r="H441" s="57" t="n"/>
      <c r="I441" s="55" t="n"/>
      <c r="J441" s="53" t="n"/>
      <c r="K441" s="54" t="n"/>
      <c r="L441" s="55" t="n"/>
      <c r="M441" s="55" t="n"/>
      <c r="N441" s="57" t="n"/>
      <c r="O441" s="55" t="n"/>
      <c r="P441" s="56" t="n"/>
      <c r="Q441" s="55" t="n"/>
      <c r="R441" s="55" t="n"/>
      <c r="S441" s="55" t="n"/>
      <c r="T441" s="55" t="n"/>
      <c r="U441" s="55" t="n"/>
      <c r="V441" s="55" t="n"/>
      <c r="W441" s="58" t="n"/>
      <c r="X441" s="58" t="n"/>
      <c r="Y441" s="55" t="n"/>
      <c r="Z441" s="55" t="n"/>
      <c r="AA441" s="55" t="n"/>
      <c r="AB441" s="55" t="n"/>
      <c r="AC441" s="55" t="n"/>
      <c r="AD441" s="53" t="n"/>
      <c r="AE441" s="55" t="n"/>
      <c r="AF441" s="55" t="n"/>
      <c r="AG441" s="59" t="n"/>
      <c r="AH441" s="57" t="n"/>
      <c r="AI441" s="55" t="n"/>
      <c r="AJ441" s="55" t="n"/>
      <c r="AK441" s="55" t="n"/>
      <c r="AL441" s="55" t="n"/>
      <c r="AM441" s="56" t="n"/>
      <c r="AN441" s="55" t="n"/>
      <c r="AO441" s="55" t="n"/>
      <c r="AP441" s="55" t="n"/>
      <c r="AQ441" s="55" t="n"/>
      <c r="AR441" s="60">
        <f>IF(AND(C441="",E441=""),"",IF(A441="","⚠ Date manquante",IF(AND(C441="",E441&lt;&gt;"Dépense"),"⚠ Prospect manquant",IF(E441="","⚠ Action manquante",IF(AND(AU441=1,D441=""),"⚠ Canal manquant",IF(AND(W441&lt;&gt;"",COUNTIFS('Saisie'!$W$5:$W$2004,W441,'Saisie'!$C$5:$C$2004,"&lt;&gt;"&amp;C441)&gt;0),"⚠ Numéro déjà utilisé par un autre prospect",IF(AND(J441&lt;&gt;"",J441&lt;A441),"⚠ Relance avant la date de l'action",IF(A441&gt;TODAY(),"⚠ Date dans le futur","✓"))))))))</f>
        <v/>
      </c>
      <c r="AS441" s="61">
        <f>IF(AND(A441="",C441="",E441=""),"",ROW())</f>
        <v/>
      </c>
      <c r="AT441" s="61">
        <f>IF(E441&amp;F441="","",MAX(IFERROR(INDEX('Paramètres'!$J$6:$J$33,MATCH(E441,'Paramètres'!$I$6:$I$33,0)),0),IFERROR(INDEX('Paramètres'!$N$6:$N$17,MATCH(F441,'Paramètres'!$M$6:$M$17,0)),0)))</f>
        <v/>
      </c>
      <c r="AU441" s="61">
        <f>IF(E441="","",IFERROR(IF(INDEX('Paramètres'!$K$6:$K$33,MATCH(E441,'Paramètres'!$I$6:$I$33,0))="Oui",1,0),0))</f>
        <v/>
      </c>
      <c r="AV441" s="61">
        <f>IF(F441="","",IFERROR(IF(INDEX('Paramètres'!$O$6:$O$17,MATCH(F441,'Paramètres'!$M$6:$M$17,0))="Oui",1,0),0))</f>
        <v/>
      </c>
      <c r="AW441" s="62">
        <f>IF(E441="","",IF(G441&lt;&gt;"",G441,IF(OR(E441="Proposition envoyée",E441="Signature"),MAX(0,N(IFERROR(INDEX('Paramètres'!$R$6:$R$15,MATCH(IF(AL441&lt;&gt;"",AL441,IFERROR(INDEX('Prospects'!$AN$5:$AN$504,MATCH(C441,'Prospects'!$C$5:$C$504,0)),"")),'Paramètres'!$Q$6:$Q$15,0)),0))-N(P441)),0)))</f>
        <v/>
      </c>
      <c r="AX441" s="61">
        <f>IF(C441="","",IF(COUNTIF($C$5:C441,C441)=1,MAX($AX$4:AX440)+1,""))</f>
        <v/>
      </c>
      <c r="AY441" s="61">
        <f>IF(B441="","",HOUR(B441))</f>
        <v/>
      </c>
      <c r="AZ441" s="61">
        <f>IF(A441="","",MOD(A441-2,7)+1)</f>
        <v/>
      </c>
      <c r="BA441" s="60">
        <f>IF(C441="","",IFERROR(INDEX('Prospects'!$N$5:$N$504,MATCH(C441,'Prospects'!$C$5:$C$504,0)),""))</f>
        <v/>
      </c>
      <c r="BB441" s="61">
        <f>IF(AND(C441&lt;&gt;"",C441='Fiche prospect'!$C$4),COUNTIF($C$5:C441,C441),"")</f>
        <v/>
      </c>
    </row>
    <row r="442">
      <c r="A442" s="53" t="n"/>
      <c r="B442" s="54" t="n"/>
      <c r="C442" s="55" t="n"/>
      <c r="D442" s="55" t="n"/>
      <c r="E442" s="55" t="n"/>
      <c r="F442" s="55" t="n"/>
      <c r="G442" s="56" t="n"/>
      <c r="H442" s="57" t="n"/>
      <c r="I442" s="55" t="n"/>
      <c r="J442" s="53" t="n"/>
      <c r="K442" s="54" t="n"/>
      <c r="L442" s="55" t="n"/>
      <c r="M442" s="55" t="n"/>
      <c r="N442" s="57" t="n"/>
      <c r="O442" s="55" t="n"/>
      <c r="P442" s="56" t="n"/>
      <c r="Q442" s="55" t="n"/>
      <c r="R442" s="55" t="n"/>
      <c r="S442" s="55" t="n"/>
      <c r="T442" s="55" t="n"/>
      <c r="U442" s="55" t="n"/>
      <c r="V442" s="55" t="n"/>
      <c r="W442" s="58" t="n"/>
      <c r="X442" s="58" t="n"/>
      <c r="Y442" s="55" t="n"/>
      <c r="Z442" s="55" t="n"/>
      <c r="AA442" s="55" t="n"/>
      <c r="AB442" s="55" t="n"/>
      <c r="AC442" s="55" t="n"/>
      <c r="AD442" s="53" t="n"/>
      <c r="AE442" s="55" t="n"/>
      <c r="AF442" s="55" t="n"/>
      <c r="AG442" s="59" t="n"/>
      <c r="AH442" s="57" t="n"/>
      <c r="AI442" s="55" t="n"/>
      <c r="AJ442" s="55" t="n"/>
      <c r="AK442" s="55" t="n"/>
      <c r="AL442" s="55" t="n"/>
      <c r="AM442" s="56" t="n"/>
      <c r="AN442" s="55" t="n"/>
      <c r="AO442" s="55" t="n"/>
      <c r="AP442" s="55" t="n"/>
      <c r="AQ442" s="55" t="n"/>
      <c r="AR442" s="60">
        <f>IF(AND(C442="",E442=""),"",IF(A442="","⚠ Date manquante",IF(AND(C442="",E442&lt;&gt;"Dépense"),"⚠ Prospect manquant",IF(E442="","⚠ Action manquante",IF(AND(AU442=1,D442=""),"⚠ Canal manquant",IF(AND(W442&lt;&gt;"",COUNTIFS('Saisie'!$W$5:$W$2004,W442,'Saisie'!$C$5:$C$2004,"&lt;&gt;"&amp;C442)&gt;0),"⚠ Numéro déjà utilisé par un autre prospect",IF(AND(J442&lt;&gt;"",J442&lt;A442),"⚠ Relance avant la date de l'action",IF(A442&gt;TODAY(),"⚠ Date dans le futur","✓"))))))))</f>
        <v/>
      </c>
      <c r="AS442" s="61">
        <f>IF(AND(A442="",C442="",E442=""),"",ROW())</f>
        <v/>
      </c>
      <c r="AT442" s="61">
        <f>IF(E442&amp;F442="","",MAX(IFERROR(INDEX('Paramètres'!$J$6:$J$33,MATCH(E442,'Paramètres'!$I$6:$I$33,0)),0),IFERROR(INDEX('Paramètres'!$N$6:$N$17,MATCH(F442,'Paramètres'!$M$6:$M$17,0)),0)))</f>
        <v/>
      </c>
      <c r="AU442" s="61">
        <f>IF(E442="","",IFERROR(IF(INDEX('Paramètres'!$K$6:$K$33,MATCH(E442,'Paramètres'!$I$6:$I$33,0))="Oui",1,0),0))</f>
        <v/>
      </c>
      <c r="AV442" s="61">
        <f>IF(F442="","",IFERROR(IF(INDEX('Paramètres'!$O$6:$O$17,MATCH(F442,'Paramètres'!$M$6:$M$17,0))="Oui",1,0),0))</f>
        <v/>
      </c>
      <c r="AW442" s="62">
        <f>IF(E442="","",IF(G442&lt;&gt;"",G442,IF(OR(E442="Proposition envoyée",E442="Signature"),MAX(0,N(IFERROR(INDEX('Paramètres'!$R$6:$R$15,MATCH(IF(AL442&lt;&gt;"",AL442,IFERROR(INDEX('Prospects'!$AN$5:$AN$504,MATCH(C442,'Prospects'!$C$5:$C$504,0)),"")),'Paramètres'!$Q$6:$Q$15,0)),0))-N(P442)),0)))</f>
        <v/>
      </c>
      <c r="AX442" s="61">
        <f>IF(C442="","",IF(COUNTIF($C$5:C442,C442)=1,MAX($AX$4:AX441)+1,""))</f>
        <v/>
      </c>
      <c r="AY442" s="61">
        <f>IF(B442="","",HOUR(B442))</f>
        <v/>
      </c>
      <c r="AZ442" s="61">
        <f>IF(A442="","",MOD(A442-2,7)+1)</f>
        <v/>
      </c>
      <c r="BA442" s="60">
        <f>IF(C442="","",IFERROR(INDEX('Prospects'!$N$5:$N$504,MATCH(C442,'Prospects'!$C$5:$C$504,0)),""))</f>
        <v/>
      </c>
      <c r="BB442" s="61">
        <f>IF(AND(C442&lt;&gt;"",C442='Fiche prospect'!$C$4),COUNTIF($C$5:C442,C442),"")</f>
        <v/>
      </c>
    </row>
    <row r="443">
      <c r="A443" s="53" t="n"/>
      <c r="B443" s="54" t="n"/>
      <c r="C443" s="55" t="n"/>
      <c r="D443" s="55" t="n"/>
      <c r="E443" s="55" t="n"/>
      <c r="F443" s="55" t="n"/>
      <c r="G443" s="56" t="n"/>
      <c r="H443" s="57" t="n"/>
      <c r="I443" s="55" t="n"/>
      <c r="J443" s="53" t="n"/>
      <c r="K443" s="54" t="n"/>
      <c r="L443" s="55" t="n"/>
      <c r="M443" s="55" t="n"/>
      <c r="N443" s="57" t="n"/>
      <c r="O443" s="55" t="n"/>
      <c r="P443" s="56" t="n"/>
      <c r="Q443" s="55" t="n"/>
      <c r="R443" s="55" t="n"/>
      <c r="S443" s="55" t="n"/>
      <c r="T443" s="55" t="n"/>
      <c r="U443" s="55" t="n"/>
      <c r="V443" s="55" t="n"/>
      <c r="W443" s="58" t="n"/>
      <c r="X443" s="58" t="n"/>
      <c r="Y443" s="55" t="n"/>
      <c r="Z443" s="55" t="n"/>
      <c r="AA443" s="55" t="n"/>
      <c r="AB443" s="55" t="n"/>
      <c r="AC443" s="55" t="n"/>
      <c r="AD443" s="53" t="n"/>
      <c r="AE443" s="55" t="n"/>
      <c r="AF443" s="55" t="n"/>
      <c r="AG443" s="59" t="n"/>
      <c r="AH443" s="57" t="n"/>
      <c r="AI443" s="55" t="n"/>
      <c r="AJ443" s="55" t="n"/>
      <c r="AK443" s="55" t="n"/>
      <c r="AL443" s="55" t="n"/>
      <c r="AM443" s="56" t="n"/>
      <c r="AN443" s="55" t="n"/>
      <c r="AO443" s="55" t="n"/>
      <c r="AP443" s="55" t="n"/>
      <c r="AQ443" s="55" t="n"/>
      <c r="AR443" s="60">
        <f>IF(AND(C443="",E443=""),"",IF(A443="","⚠ Date manquante",IF(AND(C443="",E443&lt;&gt;"Dépense"),"⚠ Prospect manquant",IF(E443="","⚠ Action manquante",IF(AND(AU443=1,D443=""),"⚠ Canal manquant",IF(AND(W443&lt;&gt;"",COUNTIFS('Saisie'!$W$5:$W$2004,W443,'Saisie'!$C$5:$C$2004,"&lt;&gt;"&amp;C443)&gt;0),"⚠ Numéro déjà utilisé par un autre prospect",IF(AND(J443&lt;&gt;"",J443&lt;A443),"⚠ Relance avant la date de l'action",IF(A443&gt;TODAY(),"⚠ Date dans le futur","✓"))))))))</f>
        <v/>
      </c>
      <c r="AS443" s="61">
        <f>IF(AND(A443="",C443="",E443=""),"",ROW())</f>
        <v/>
      </c>
      <c r="AT443" s="61">
        <f>IF(E443&amp;F443="","",MAX(IFERROR(INDEX('Paramètres'!$J$6:$J$33,MATCH(E443,'Paramètres'!$I$6:$I$33,0)),0),IFERROR(INDEX('Paramètres'!$N$6:$N$17,MATCH(F443,'Paramètres'!$M$6:$M$17,0)),0)))</f>
        <v/>
      </c>
      <c r="AU443" s="61">
        <f>IF(E443="","",IFERROR(IF(INDEX('Paramètres'!$K$6:$K$33,MATCH(E443,'Paramètres'!$I$6:$I$33,0))="Oui",1,0),0))</f>
        <v/>
      </c>
      <c r="AV443" s="61">
        <f>IF(F443="","",IFERROR(IF(INDEX('Paramètres'!$O$6:$O$17,MATCH(F443,'Paramètres'!$M$6:$M$17,0))="Oui",1,0),0))</f>
        <v/>
      </c>
      <c r="AW443" s="62">
        <f>IF(E443="","",IF(G443&lt;&gt;"",G443,IF(OR(E443="Proposition envoyée",E443="Signature"),MAX(0,N(IFERROR(INDEX('Paramètres'!$R$6:$R$15,MATCH(IF(AL443&lt;&gt;"",AL443,IFERROR(INDEX('Prospects'!$AN$5:$AN$504,MATCH(C443,'Prospects'!$C$5:$C$504,0)),"")),'Paramètres'!$Q$6:$Q$15,0)),0))-N(P443)),0)))</f>
        <v/>
      </c>
      <c r="AX443" s="61">
        <f>IF(C443="","",IF(COUNTIF($C$5:C443,C443)=1,MAX($AX$4:AX442)+1,""))</f>
        <v/>
      </c>
      <c r="AY443" s="61">
        <f>IF(B443="","",HOUR(B443))</f>
        <v/>
      </c>
      <c r="AZ443" s="61">
        <f>IF(A443="","",MOD(A443-2,7)+1)</f>
        <v/>
      </c>
      <c r="BA443" s="60">
        <f>IF(C443="","",IFERROR(INDEX('Prospects'!$N$5:$N$504,MATCH(C443,'Prospects'!$C$5:$C$504,0)),""))</f>
        <v/>
      </c>
      <c r="BB443" s="61">
        <f>IF(AND(C443&lt;&gt;"",C443='Fiche prospect'!$C$4),COUNTIF($C$5:C443,C443),"")</f>
        <v/>
      </c>
    </row>
    <row r="444">
      <c r="A444" s="53" t="n"/>
      <c r="B444" s="54" t="n"/>
      <c r="C444" s="55" t="n"/>
      <c r="D444" s="55" t="n"/>
      <c r="E444" s="55" t="n"/>
      <c r="F444" s="55" t="n"/>
      <c r="G444" s="56" t="n"/>
      <c r="H444" s="57" t="n"/>
      <c r="I444" s="55" t="n"/>
      <c r="J444" s="53" t="n"/>
      <c r="K444" s="54" t="n"/>
      <c r="L444" s="55" t="n"/>
      <c r="M444" s="55" t="n"/>
      <c r="N444" s="57" t="n"/>
      <c r="O444" s="55" t="n"/>
      <c r="P444" s="56" t="n"/>
      <c r="Q444" s="55" t="n"/>
      <c r="R444" s="55" t="n"/>
      <c r="S444" s="55" t="n"/>
      <c r="T444" s="55" t="n"/>
      <c r="U444" s="55" t="n"/>
      <c r="V444" s="55" t="n"/>
      <c r="W444" s="58" t="n"/>
      <c r="X444" s="58" t="n"/>
      <c r="Y444" s="55" t="n"/>
      <c r="Z444" s="55" t="n"/>
      <c r="AA444" s="55" t="n"/>
      <c r="AB444" s="55" t="n"/>
      <c r="AC444" s="55" t="n"/>
      <c r="AD444" s="53" t="n"/>
      <c r="AE444" s="55" t="n"/>
      <c r="AF444" s="55" t="n"/>
      <c r="AG444" s="59" t="n"/>
      <c r="AH444" s="57" t="n"/>
      <c r="AI444" s="55" t="n"/>
      <c r="AJ444" s="55" t="n"/>
      <c r="AK444" s="55" t="n"/>
      <c r="AL444" s="55" t="n"/>
      <c r="AM444" s="56" t="n"/>
      <c r="AN444" s="55" t="n"/>
      <c r="AO444" s="55" t="n"/>
      <c r="AP444" s="55" t="n"/>
      <c r="AQ444" s="55" t="n"/>
      <c r="AR444" s="60">
        <f>IF(AND(C444="",E444=""),"",IF(A444="","⚠ Date manquante",IF(AND(C444="",E444&lt;&gt;"Dépense"),"⚠ Prospect manquant",IF(E444="","⚠ Action manquante",IF(AND(AU444=1,D444=""),"⚠ Canal manquant",IF(AND(W444&lt;&gt;"",COUNTIFS('Saisie'!$W$5:$W$2004,W444,'Saisie'!$C$5:$C$2004,"&lt;&gt;"&amp;C444)&gt;0),"⚠ Numéro déjà utilisé par un autre prospect",IF(AND(J444&lt;&gt;"",J444&lt;A444),"⚠ Relance avant la date de l'action",IF(A444&gt;TODAY(),"⚠ Date dans le futur","✓"))))))))</f>
        <v/>
      </c>
      <c r="AS444" s="61">
        <f>IF(AND(A444="",C444="",E444=""),"",ROW())</f>
        <v/>
      </c>
      <c r="AT444" s="61">
        <f>IF(E444&amp;F444="","",MAX(IFERROR(INDEX('Paramètres'!$J$6:$J$33,MATCH(E444,'Paramètres'!$I$6:$I$33,0)),0),IFERROR(INDEX('Paramètres'!$N$6:$N$17,MATCH(F444,'Paramètres'!$M$6:$M$17,0)),0)))</f>
        <v/>
      </c>
      <c r="AU444" s="61">
        <f>IF(E444="","",IFERROR(IF(INDEX('Paramètres'!$K$6:$K$33,MATCH(E444,'Paramètres'!$I$6:$I$33,0))="Oui",1,0),0))</f>
        <v/>
      </c>
      <c r="AV444" s="61">
        <f>IF(F444="","",IFERROR(IF(INDEX('Paramètres'!$O$6:$O$17,MATCH(F444,'Paramètres'!$M$6:$M$17,0))="Oui",1,0),0))</f>
        <v/>
      </c>
      <c r="AW444" s="62">
        <f>IF(E444="","",IF(G444&lt;&gt;"",G444,IF(OR(E444="Proposition envoyée",E444="Signature"),MAX(0,N(IFERROR(INDEX('Paramètres'!$R$6:$R$15,MATCH(IF(AL444&lt;&gt;"",AL444,IFERROR(INDEX('Prospects'!$AN$5:$AN$504,MATCH(C444,'Prospects'!$C$5:$C$504,0)),"")),'Paramètres'!$Q$6:$Q$15,0)),0))-N(P444)),0)))</f>
        <v/>
      </c>
      <c r="AX444" s="61">
        <f>IF(C444="","",IF(COUNTIF($C$5:C444,C444)=1,MAX($AX$4:AX443)+1,""))</f>
        <v/>
      </c>
      <c r="AY444" s="61">
        <f>IF(B444="","",HOUR(B444))</f>
        <v/>
      </c>
      <c r="AZ444" s="61">
        <f>IF(A444="","",MOD(A444-2,7)+1)</f>
        <v/>
      </c>
      <c r="BA444" s="60">
        <f>IF(C444="","",IFERROR(INDEX('Prospects'!$N$5:$N$504,MATCH(C444,'Prospects'!$C$5:$C$504,0)),""))</f>
        <v/>
      </c>
      <c r="BB444" s="61">
        <f>IF(AND(C444&lt;&gt;"",C444='Fiche prospect'!$C$4),COUNTIF($C$5:C444,C444),"")</f>
        <v/>
      </c>
    </row>
    <row r="445">
      <c r="A445" s="53" t="n"/>
      <c r="B445" s="54" t="n"/>
      <c r="C445" s="55" t="n"/>
      <c r="D445" s="55" t="n"/>
      <c r="E445" s="55" t="n"/>
      <c r="F445" s="55" t="n"/>
      <c r="G445" s="56" t="n"/>
      <c r="H445" s="57" t="n"/>
      <c r="I445" s="55" t="n"/>
      <c r="J445" s="53" t="n"/>
      <c r="K445" s="54" t="n"/>
      <c r="L445" s="55" t="n"/>
      <c r="M445" s="55" t="n"/>
      <c r="N445" s="57" t="n"/>
      <c r="O445" s="55" t="n"/>
      <c r="P445" s="56" t="n"/>
      <c r="Q445" s="55" t="n"/>
      <c r="R445" s="55" t="n"/>
      <c r="S445" s="55" t="n"/>
      <c r="T445" s="55" t="n"/>
      <c r="U445" s="55" t="n"/>
      <c r="V445" s="55" t="n"/>
      <c r="W445" s="58" t="n"/>
      <c r="X445" s="58" t="n"/>
      <c r="Y445" s="55" t="n"/>
      <c r="Z445" s="55" t="n"/>
      <c r="AA445" s="55" t="n"/>
      <c r="AB445" s="55" t="n"/>
      <c r="AC445" s="55" t="n"/>
      <c r="AD445" s="53" t="n"/>
      <c r="AE445" s="55" t="n"/>
      <c r="AF445" s="55" t="n"/>
      <c r="AG445" s="59" t="n"/>
      <c r="AH445" s="57" t="n"/>
      <c r="AI445" s="55" t="n"/>
      <c r="AJ445" s="55" t="n"/>
      <c r="AK445" s="55" t="n"/>
      <c r="AL445" s="55" t="n"/>
      <c r="AM445" s="56" t="n"/>
      <c r="AN445" s="55" t="n"/>
      <c r="AO445" s="55" t="n"/>
      <c r="AP445" s="55" t="n"/>
      <c r="AQ445" s="55" t="n"/>
      <c r="AR445" s="60">
        <f>IF(AND(C445="",E445=""),"",IF(A445="","⚠ Date manquante",IF(AND(C445="",E445&lt;&gt;"Dépense"),"⚠ Prospect manquant",IF(E445="","⚠ Action manquante",IF(AND(AU445=1,D445=""),"⚠ Canal manquant",IF(AND(W445&lt;&gt;"",COUNTIFS('Saisie'!$W$5:$W$2004,W445,'Saisie'!$C$5:$C$2004,"&lt;&gt;"&amp;C445)&gt;0),"⚠ Numéro déjà utilisé par un autre prospect",IF(AND(J445&lt;&gt;"",J445&lt;A445),"⚠ Relance avant la date de l'action",IF(A445&gt;TODAY(),"⚠ Date dans le futur","✓"))))))))</f>
        <v/>
      </c>
      <c r="AS445" s="61">
        <f>IF(AND(A445="",C445="",E445=""),"",ROW())</f>
        <v/>
      </c>
      <c r="AT445" s="61">
        <f>IF(E445&amp;F445="","",MAX(IFERROR(INDEX('Paramètres'!$J$6:$J$33,MATCH(E445,'Paramètres'!$I$6:$I$33,0)),0),IFERROR(INDEX('Paramètres'!$N$6:$N$17,MATCH(F445,'Paramètres'!$M$6:$M$17,0)),0)))</f>
        <v/>
      </c>
      <c r="AU445" s="61">
        <f>IF(E445="","",IFERROR(IF(INDEX('Paramètres'!$K$6:$K$33,MATCH(E445,'Paramètres'!$I$6:$I$33,0))="Oui",1,0),0))</f>
        <v/>
      </c>
      <c r="AV445" s="61">
        <f>IF(F445="","",IFERROR(IF(INDEX('Paramètres'!$O$6:$O$17,MATCH(F445,'Paramètres'!$M$6:$M$17,0))="Oui",1,0),0))</f>
        <v/>
      </c>
      <c r="AW445" s="62">
        <f>IF(E445="","",IF(G445&lt;&gt;"",G445,IF(OR(E445="Proposition envoyée",E445="Signature"),MAX(0,N(IFERROR(INDEX('Paramètres'!$R$6:$R$15,MATCH(IF(AL445&lt;&gt;"",AL445,IFERROR(INDEX('Prospects'!$AN$5:$AN$504,MATCH(C445,'Prospects'!$C$5:$C$504,0)),"")),'Paramètres'!$Q$6:$Q$15,0)),0))-N(P445)),0)))</f>
        <v/>
      </c>
      <c r="AX445" s="61">
        <f>IF(C445="","",IF(COUNTIF($C$5:C445,C445)=1,MAX($AX$4:AX444)+1,""))</f>
        <v/>
      </c>
      <c r="AY445" s="61">
        <f>IF(B445="","",HOUR(B445))</f>
        <v/>
      </c>
      <c r="AZ445" s="61">
        <f>IF(A445="","",MOD(A445-2,7)+1)</f>
        <v/>
      </c>
      <c r="BA445" s="60">
        <f>IF(C445="","",IFERROR(INDEX('Prospects'!$N$5:$N$504,MATCH(C445,'Prospects'!$C$5:$C$504,0)),""))</f>
        <v/>
      </c>
      <c r="BB445" s="61">
        <f>IF(AND(C445&lt;&gt;"",C445='Fiche prospect'!$C$4),COUNTIF($C$5:C445,C445),"")</f>
        <v/>
      </c>
    </row>
    <row r="446">
      <c r="A446" s="53" t="n"/>
      <c r="B446" s="54" t="n"/>
      <c r="C446" s="55" t="n"/>
      <c r="D446" s="55" t="n"/>
      <c r="E446" s="55" t="n"/>
      <c r="F446" s="55" t="n"/>
      <c r="G446" s="56" t="n"/>
      <c r="H446" s="57" t="n"/>
      <c r="I446" s="55" t="n"/>
      <c r="J446" s="53" t="n"/>
      <c r="K446" s="54" t="n"/>
      <c r="L446" s="55" t="n"/>
      <c r="M446" s="55" t="n"/>
      <c r="N446" s="57" t="n"/>
      <c r="O446" s="55" t="n"/>
      <c r="P446" s="56" t="n"/>
      <c r="Q446" s="55" t="n"/>
      <c r="R446" s="55" t="n"/>
      <c r="S446" s="55" t="n"/>
      <c r="T446" s="55" t="n"/>
      <c r="U446" s="55" t="n"/>
      <c r="V446" s="55" t="n"/>
      <c r="W446" s="58" t="n"/>
      <c r="X446" s="58" t="n"/>
      <c r="Y446" s="55" t="n"/>
      <c r="Z446" s="55" t="n"/>
      <c r="AA446" s="55" t="n"/>
      <c r="AB446" s="55" t="n"/>
      <c r="AC446" s="55" t="n"/>
      <c r="AD446" s="53" t="n"/>
      <c r="AE446" s="55" t="n"/>
      <c r="AF446" s="55" t="n"/>
      <c r="AG446" s="59" t="n"/>
      <c r="AH446" s="57" t="n"/>
      <c r="AI446" s="55" t="n"/>
      <c r="AJ446" s="55" t="n"/>
      <c r="AK446" s="55" t="n"/>
      <c r="AL446" s="55" t="n"/>
      <c r="AM446" s="56" t="n"/>
      <c r="AN446" s="55" t="n"/>
      <c r="AO446" s="55" t="n"/>
      <c r="AP446" s="55" t="n"/>
      <c r="AQ446" s="55" t="n"/>
      <c r="AR446" s="60">
        <f>IF(AND(C446="",E446=""),"",IF(A446="","⚠ Date manquante",IF(AND(C446="",E446&lt;&gt;"Dépense"),"⚠ Prospect manquant",IF(E446="","⚠ Action manquante",IF(AND(AU446=1,D446=""),"⚠ Canal manquant",IF(AND(W446&lt;&gt;"",COUNTIFS('Saisie'!$W$5:$W$2004,W446,'Saisie'!$C$5:$C$2004,"&lt;&gt;"&amp;C446)&gt;0),"⚠ Numéro déjà utilisé par un autre prospect",IF(AND(J446&lt;&gt;"",J446&lt;A446),"⚠ Relance avant la date de l'action",IF(A446&gt;TODAY(),"⚠ Date dans le futur","✓"))))))))</f>
        <v/>
      </c>
      <c r="AS446" s="61">
        <f>IF(AND(A446="",C446="",E446=""),"",ROW())</f>
        <v/>
      </c>
      <c r="AT446" s="61">
        <f>IF(E446&amp;F446="","",MAX(IFERROR(INDEX('Paramètres'!$J$6:$J$33,MATCH(E446,'Paramètres'!$I$6:$I$33,0)),0),IFERROR(INDEX('Paramètres'!$N$6:$N$17,MATCH(F446,'Paramètres'!$M$6:$M$17,0)),0)))</f>
        <v/>
      </c>
      <c r="AU446" s="61">
        <f>IF(E446="","",IFERROR(IF(INDEX('Paramètres'!$K$6:$K$33,MATCH(E446,'Paramètres'!$I$6:$I$33,0))="Oui",1,0),0))</f>
        <v/>
      </c>
      <c r="AV446" s="61">
        <f>IF(F446="","",IFERROR(IF(INDEX('Paramètres'!$O$6:$O$17,MATCH(F446,'Paramètres'!$M$6:$M$17,0))="Oui",1,0),0))</f>
        <v/>
      </c>
      <c r="AW446" s="62">
        <f>IF(E446="","",IF(G446&lt;&gt;"",G446,IF(OR(E446="Proposition envoyée",E446="Signature"),MAX(0,N(IFERROR(INDEX('Paramètres'!$R$6:$R$15,MATCH(IF(AL446&lt;&gt;"",AL446,IFERROR(INDEX('Prospects'!$AN$5:$AN$504,MATCH(C446,'Prospects'!$C$5:$C$504,0)),"")),'Paramètres'!$Q$6:$Q$15,0)),0))-N(P446)),0)))</f>
        <v/>
      </c>
      <c r="AX446" s="61">
        <f>IF(C446="","",IF(COUNTIF($C$5:C446,C446)=1,MAX($AX$4:AX445)+1,""))</f>
        <v/>
      </c>
      <c r="AY446" s="61">
        <f>IF(B446="","",HOUR(B446))</f>
        <v/>
      </c>
      <c r="AZ446" s="61">
        <f>IF(A446="","",MOD(A446-2,7)+1)</f>
        <v/>
      </c>
      <c r="BA446" s="60">
        <f>IF(C446="","",IFERROR(INDEX('Prospects'!$N$5:$N$504,MATCH(C446,'Prospects'!$C$5:$C$504,0)),""))</f>
        <v/>
      </c>
      <c r="BB446" s="61">
        <f>IF(AND(C446&lt;&gt;"",C446='Fiche prospect'!$C$4),COUNTIF($C$5:C446,C446),"")</f>
        <v/>
      </c>
    </row>
    <row r="447">
      <c r="A447" s="53" t="n"/>
      <c r="B447" s="54" t="n"/>
      <c r="C447" s="55" t="n"/>
      <c r="D447" s="55" t="n"/>
      <c r="E447" s="55" t="n"/>
      <c r="F447" s="55" t="n"/>
      <c r="G447" s="56" t="n"/>
      <c r="H447" s="57" t="n"/>
      <c r="I447" s="55" t="n"/>
      <c r="J447" s="53" t="n"/>
      <c r="K447" s="54" t="n"/>
      <c r="L447" s="55" t="n"/>
      <c r="M447" s="55" t="n"/>
      <c r="N447" s="57" t="n"/>
      <c r="O447" s="55" t="n"/>
      <c r="P447" s="56" t="n"/>
      <c r="Q447" s="55" t="n"/>
      <c r="R447" s="55" t="n"/>
      <c r="S447" s="55" t="n"/>
      <c r="T447" s="55" t="n"/>
      <c r="U447" s="55" t="n"/>
      <c r="V447" s="55" t="n"/>
      <c r="W447" s="58" t="n"/>
      <c r="X447" s="58" t="n"/>
      <c r="Y447" s="55" t="n"/>
      <c r="Z447" s="55" t="n"/>
      <c r="AA447" s="55" t="n"/>
      <c r="AB447" s="55" t="n"/>
      <c r="AC447" s="55" t="n"/>
      <c r="AD447" s="53" t="n"/>
      <c r="AE447" s="55" t="n"/>
      <c r="AF447" s="55" t="n"/>
      <c r="AG447" s="59" t="n"/>
      <c r="AH447" s="57" t="n"/>
      <c r="AI447" s="55" t="n"/>
      <c r="AJ447" s="55" t="n"/>
      <c r="AK447" s="55" t="n"/>
      <c r="AL447" s="55" t="n"/>
      <c r="AM447" s="56" t="n"/>
      <c r="AN447" s="55" t="n"/>
      <c r="AO447" s="55" t="n"/>
      <c r="AP447" s="55" t="n"/>
      <c r="AQ447" s="55" t="n"/>
      <c r="AR447" s="60">
        <f>IF(AND(C447="",E447=""),"",IF(A447="","⚠ Date manquante",IF(AND(C447="",E447&lt;&gt;"Dépense"),"⚠ Prospect manquant",IF(E447="","⚠ Action manquante",IF(AND(AU447=1,D447=""),"⚠ Canal manquant",IF(AND(W447&lt;&gt;"",COUNTIFS('Saisie'!$W$5:$W$2004,W447,'Saisie'!$C$5:$C$2004,"&lt;&gt;"&amp;C447)&gt;0),"⚠ Numéro déjà utilisé par un autre prospect",IF(AND(J447&lt;&gt;"",J447&lt;A447),"⚠ Relance avant la date de l'action",IF(A447&gt;TODAY(),"⚠ Date dans le futur","✓"))))))))</f>
        <v/>
      </c>
      <c r="AS447" s="61">
        <f>IF(AND(A447="",C447="",E447=""),"",ROW())</f>
        <v/>
      </c>
      <c r="AT447" s="61">
        <f>IF(E447&amp;F447="","",MAX(IFERROR(INDEX('Paramètres'!$J$6:$J$33,MATCH(E447,'Paramètres'!$I$6:$I$33,0)),0),IFERROR(INDEX('Paramètres'!$N$6:$N$17,MATCH(F447,'Paramètres'!$M$6:$M$17,0)),0)))</f>
        <v/>
      </c>
      <c r="AU447" s="61">
        <f>IF(E447="","",IFERROR(IF(INDEX('Paramètres'!$K$6:$K$33,MATCH(E447,'Paramètres'!$I$6:$I$33,0))="Oui",1,0),0))</f>
        <v/>
      </c>
      <c r="AV447" s="61">
        <f>IF(F447="","",IFERROR(IF(INDEX('Paramètres'!$O$6:$O$17,MATCH(F447,'Paramètres'!$M$6:$M$17,0))="Oui",1,0),0))</f>
        <v/>
      </c>
      <c r="AW447" s="62">
        <f>IF(E447="","",IF(G447&lt;&gt;"",G447,IF(OR(E447="Proposition envoyée",E447="Signature"),MAX(0,N(IFERROR(INDEX('Paramètres'!$R$6:$R$15,MATCH(IF(AL447&lt;&gt;"",AL447,IFERROR(INDEX('Prospects'!$AN$5:$AN$504,MATCH(C447,'Prospects'!$C$5:$C$504,0)),"")),'Paramètres'!$Q$6:$Q$15,0)),0))-N(P447)),0)))</f>
        <v/>
      </c>
      <c r="AX447" s="61">
        <f>IF(C447="","",IF(COUNTIF($C$5:C447,C447)=1,MAX($AX$4:AX446)+1,""))</f>
        <v/>
      </c>
      <c r="AY447" s="61">
        <f>IF(B447="","",HOUR(B447))</f>
        <v/>
      </c>
      <c r="AZ447" s="61">
        <f>IF(A447="","",MOD(A447-2,7)+1)</f>
        <v/>
      </c>
      <c r="BA447" s="60">
        <f>IF(C447="","",IFERROR(INDEX('Prospects'!$N$5:$N$504,MATCH(C447,'Prospects'!$C$5:$C$504,0)),""))</f>
        <v/>
      </c>
      <c r="BB447" s="61">
        <f>IF(AND(C447&lt;&gt;"",C447='Fiche prospect'!$C$4),COUNTIF($C$5:C447,C447),"")</f>
        <v/>
      </c>
    </row>
    <row r="448">
      <c r="A448" s="53" t="n"/>
      <c r="B448" s="54" t="n"/>
      <c r="C448" s="55" t="n"/>
      <c r="D448" s="55" t="n"/>
      <c r="E448" s="55" t="n"/>
      <c r="F448" s="55" t="n"/>
      <c r="G448" s="56" t="n"/>
      <c r="H448" s="57" t="n"/>
      <c r="I448" s="55" t="n"/>
      <c r="J448" s="53" t="n"/>
      <c r="K448" s="54" t="n"/>
      <c r="L448" s="55" t="n"/>
      <c r="M448" s="55" t="n"/>
      <c r="N448" s="57" t="n"/>
      <c r="O448" s="55" t="n"/>
      <c r="P448" s="56" t="n"/>
      <c r="Q448" s="55" t="n"/>
      <c r="R448" s="55" t="n"/>
      <c r="S448" s="55" t="n"/>
      <c r="T448" s="55" t="n"/>
      <c r="U448" s="55" t="n"/>
      <c r="V448" s="55" t="n"/>
      <c r="W448" s="58" t="n"/>
      <c r="X448" s="58" t="n"/>
      <c r="Y448" s="55" t="n"/>
      <c r="Z448" s="55" t="n"/>
      <c r="AA448" s="55" t="n"/>
      <c r="AB448" s="55" t="n"/>
      <c r="AC448" s="55" t="n"/>
      <c r="AD448" s="53" t="n"/>
      <c r="AE448" s="55" t="n"/>
      <c r="AF448" s="55" t="n"/>
      <c r="AG448" s="59" t="n"/>
      <c r="AH448" s="57" t="n"/>
      <c r="AI448" s="55" t="n"/>
      <c r="AJ448" s="55" t="n"/>
      <c r="AK448" s="55" t="n"/>
      <c r="AL448" s="55" t="n"/>
      <c r="AM448" s="56" t="n"/>
      <c r="AN448" s="55" t="n"/>
      <c r="AO448" s="55" t="n"/>
      <c r="AP448" s="55" t="n"/>
      <c r="AQ448" s="55" t="n"/>
      <c r="AR448" s="60">
        <f>IF(AND(C448="",E448=""),"",IF(A448="","⚠ Date manquante",IF(AND(C448="",E448&lt;&gt;"Dépense"),"⚠ Prospect manquant",IF(E448="","⚠ Action manquante",IF(AND(AU448=1,D448=""),"⚠ Canal manquant",IF(AND(W448&lt;&gt;"",COUNTIFS('Saisie'!$W$5:$W$2004,W448,'Saisie'!$C$5:$C$2004,"&lt;&gt;"&amp;C448)&gt;0),"⚠ Numéro déjà utilisé par un autre prospect",IF(AND(J448&lt;&gt;"",J448&lt;A448),"⚠ Relance avant la date de l'action",IF(A448&gt;TODAY(),"⚠ Date dans le futur","✓"))))))))</f>
        <v/>
      </c>
      <c r="AS448" s="61">
        <f>IF(AND(A448="",C448="",E448=""),"",ROW())</f>
        <v/>
      </c>
      <c r="AT448" s="61">
        <f>IF(E448&amp;F448="","",MAX(IFERROR(INDEX('Paramètres'!$J$6:$J$33,MATCH(E448,'Paramètres'!$I$6:$I$33,0)),0),IFERROR(INDEX('Paramètres'!$N$6:$N$17,MATCH(F448,'Paramètres'!$M$6:$M$17,0)),0)))</f>
        <v/>
      </c>
      <c r="AU448" s="61">
        <f>IF(E448="","",IFERROR(IF(INDEX('Paramètres'!$K$6:$K$33,MATCH(E448,'Paramètres'!$I$6:$I$33,0))="Oui",1,0),0))</f>
        <v/>
      </c>
      <c r="AV448" s="61">
        <f>IF(F448="","",IFERROR(IF(INDEX('Paramètres'!$O$6:$O$17,MATCH(F448,'Paramètres'!$M$6:$M$17,0))="Oui",1,0),0))</f>
        <v/>
      </c>
      <c r="AW448" s="62">
        <f>IF(E448="","",IF(G448&lt;&gt;"",G448,IF(OR(E448="Proposition envoyée",E448="Signature"),MAX(0,N(IFERROR(INDEX('Paramètres'!$R$6:$R$15,MATCH(IF(AL448&lt;&gt;"",AL448,IFERROR(INDEX('Prospects'!$AN$5:$AN$504,MATCH(C448,'Prospects'!$C$5:$C$504,0)),"")),'Paramètres'!$Q$6:$Q$15,0)),0))-N(P448)),0)))</f>
        <v/>
      </c>
      <c r="AX448" s="61">
        <f>IF(C448="","",IF(COUNTIF($C$5:C448,C448)=1,MAX($AX$4:AX447)+1,""))</f>
        <v/>
      </c>
      <c r="AY448" s="61">
        <f>IF(B448="","",HOUR(B448))</f>
        <v/>
      </c>
      <c r="AZ448" s="61">
        <f>IF(A448="","",MOD(A448-2,7)+1)</f>
        <v/>
      </c>
      <c r="BA448" s="60">
        <f>IF(C448="","",IFERROR(INDEX('Prospects'!$N$5:$N$504,MATCH(C448,'Prospects'!$C$5:$C$504,0)),""))</f>
        <v/>
      </c>
      <c r="BB448" s="61">
        <f>IF(AND(C448&lt;&gt;"",C448='Fiche prospect'!$C$4),COUNTIF($C$5:C448,C448),"")</f>
        <v/>
      </c>
    </row>
    <row r="449">
      <c r="A449" s="53" t="n"/>
      <c r="B449" s="54" t="n"/>
      <c r="C449" s="55" t="n"/>
      <c r="D449" s="55" t="n"/>
      <c r="E449" s="55" t="n"/>
      <c r="F449" s="55" t="n"/>
      <c r="G449" s="56" t="n"/>
      <c r="H449" s="57" t="n"/>
      <c r="I449" s="55" t="n"/>
      <c r="J449" s="53" t="n"/>
      <c r="K449" s="54" t="n"/>
      <c r="L449" s="55" t="n"/>
      <c r="M449" s="55" t="n"/>
      <c r="N449" s="57" t="n"/>
      <c r="O449" s="55" t="n"/>
      <c r="P449" s="56" t="n"/>
      <c r="Q449" s="55" t="n"/>
      <c r="R449" s="55" t="n"/>
      <c r="S449" s="55" t="n"/>
      <c r="T449" s="55" t="n"/>
      <c r="U449" s="55" t="n"/>
      <c r="V449" s="55" t="n"/>
      <c r="W449" s="58" t="n"/>
      <c r="X449" s="58" t="n"/>
      <c r="Y449" s="55" t="n"/>
      <c r="Z449" s="55" t="n"/>
      <c r="AA449" s="55" t="n"/>
      <c r="AB449" s="55" t="n"/>
      <c r="AC449" s="55" t="n"/>
      <c r="AD449" s="53" t="n"/>
      <c r="AE449" s="55" t="n"/>
      <c r="AF449" s="55" t="n"/>
      <c r="AG449" s="59" t="n"/>
      <c r="AH449" s="57" t="n"/>
      <c r="AI449" s="55" t="n"/>
      <c r="AJ449" s="55" t="n"/>
      <c r="AK449" s="55" t="n"/>
      <c r="AL449" s="55" t="n"/>
      <c r="AM449" s="56" t="n"/>
      <c r="AN449" s="55" t="n"/>
      <c r="AO449" s="55" t="n"/>
      <c r="AP449" s="55" t="n"/>
      <c r="AQ449" s="55" t="n"/>
      <c r="AR449" s="60">
        <f>IF(AND(C449="",E449=""),"",IF(A449="","⚠ Date manquante",IF(AND(C449="",E449&lt;&gt;"Dépense"),"⚠ Prospect manquant",IF(E449="","⚠ Action manquante",IF(AND(AU449=1,D449=""),"⚠ Canal manquant",IF(AND(W449&lt;&gt;"",COUNTIFS('Saisie'!$W$5:$W$2004,W449,'Saisie'!$C$5:$C$2004,"&lt;&gt;"&amp;C449)&gt;0),"⚠ Numéro déjà utilisé par un autre prospect",IF(AND(J449&lt;&gt;"",J449&lt;A449),"⚠ Relance avant la date de l'action",IF(A449&gt;TODAY(),"⚠ Date dans le futur","✓"))))))))</f>
        <v/>
      </c>
      <c r="AS449" s="61">
        <f>IF(AND(A449="",C449="",E449=""),"",ROW())</f>
        <v/>
      </c>
      <c r="AT449" s="61">
        <f>IF(E449&amp;F449="","",MAX(IFERROR(INDEX('Paramètres'!$J$6:$J$33,MATCH(E449,'Paramètres'!$I$6:$I$33,0)),0),IFERROR(INDEX('Paramètres'!$N$6:$N$17,MATCH(F449,'Paramètres'!$M$6:$M$17,0)),0)))</f>
        <v/>
      </c>
      <c r="AU449" s="61">
        <f>IF(E449="","",IFERROR(IF(INDEX('Paramètres'!$K$6:$K$33,MATCH(E449,'Paramètres'!$I$6:$I$33,0))="Oui",1,0),0))</f>
        <v/>
      </c>
      <c r="AV449" s="61">
        <f>IF(F449="","",IFERROR(IF(INDEX('Paramètres'!$O$6:$O$17,MATCH(F449,'Paramètres'!$M$6:$M$17,0))="Oui",1,0),0))</f>
        <v/>
      </c>
      <c r="AW449" s="62">
        <f>IF(E449="","",IF(G449&lt;&gt;"",G449,IF(OR(E449="Proposition envoyée",E449="Signature"),MAX(0,N(IFERROR(INDEX('Paramètres'!$R$6:$R$15,MATCH(IF(AL449&lt;&gt;"",AL449,IFERROR(INDEX('Prospects'!$AN$5:$AN$504,MATCH(C449,'Prospects'!$C$5:$C$504,0)),"")),'Paramètres'!$Q$6:$Q$15,0)),0))-N(P449)),0)))</f>
        <v/>
      </c>
      <c r="AX449" s="61">
        <f>IF(C449="","",IF(COUNTIF($C$5:C449,C449)=1,MAX($AX$4:AX448)+1,""))</f>
        <v/>
      </c>
      <c r="AY449" s="61">
        <f>IF(B449="","",HOUR(B449))</f>
        <v/>
      </c>
      <c r="AZ449" s="61">
        <f>IF(A449="","",MOD(A449-2,7)+1)</f>
        <v/>
      </c>
      <c r="BA449" s="60">
        <f>IF(C449="","",IFERROR(INDEX('Prospects'!$N$5:$N$504,MATCH(C449,'Prospects'!$C$5:$C$504,0)),""))</f>
        <v/>
      </c>
      <c r="BB449" s="61">
        <f>IF(AND(C449&lt;&gt;"",C449='Fiche prospect'!$C$4),COUNTIF($C$5:C449,C449),"")</f>
        <v/>
      </c>
    </row>
    <row r="450">
      <c r="A450" s="53" t="n"/>
      <c r="B450" s="54" t="n"/>
      <c r="C450" s="55" t="n"/>
      <c r="D450" s="55" t="n"/>
      <c r="E450" s="55" t="n"/>
      <c r="F450" s="55" t="n"/>
      <c r="G450" s="56" t="n"/>
      <c r="H450" s="57" t="n"/>
      <c r="I450" s="55" t="n"/>
      <c r="J450" s="53" t="n"/>
      <c r="K450" s="54" t="n"/>
      <c r="L450" s="55" t="n"/>
      <c r="M450" s="55" t="n"/>
      <c r="N450" s="57" t="n"/>
      <c r="O450" s="55" t="n"/>
      <c r="P450" s="56" t="n"/>
      <c r="Q450" s="55" t="n"/>
      <c r="R450" s="55" t="n"/>
      <c r="S450" s="55" t="n"/>
      <c r="T450" s="55" t="n"/>
      <c r="U450" s="55" t="n"/>
      <c r="V450" s="55" t="n"/>
      <c r="W450" s="58" t="n"/>
      <c r="X450" s="58" t="n"/>
      <c r="Y450" s="55" t="n"/>
      <c r="Z450" s="55" t="n"/>
      <c r="AA450" s="55" t="n"/>
      <c r="AB450" s="55" t="n"/>
      <c r="AC450" s="55" t="n"/>
      <c r="AD450" s="53" t="n"/>
      <c r="AE450" s="55" t="n"/>
      <c r="AF450" s="55" t="n"/>
      <c r="AG450" s="59" t="n"/>
      <c r="AH450" s="57" t="n"/>
      <c r="AI450" s="55" t="n"/>
      <c r="AJ450" s="55" t="n"/>
      <c r="AK450" s="55" t="n"/>
      <c r="AL450" s="55" t="n"/>
      <c r="AM450" s="56" t="n"/>
      <c r="AN450" s="55" t="n"/>
      <c r="AO450" s="55" t="n"/>
      <c r="AP450" s="55" t="n"/>
      <c r="AQ450" s="55" t="n"/>
      <c r="AR450" s="60">
        <f>IF(AND(C450="",E450=""),"",IF(A450="","⚠ Date manquante",IF(AND(C450="",E450&lt;&gt;"Dépense"),"⚠ Prospect manquant",IF(E450="","⚠ Action manquante",IF(AND(AU450=1,D450=""),"⚠ Canal manquant",IF(AND(W450&lt;&gt;"",COUNTIFS('Saisie'!$W$5:$W$2004,W450,'Saisie'!$C$5:$C$2004,"&lt;&gt;"&amp;C450)&gt;0),"⚠ Numéro déjà utilisé par un autre prospect",IF(AND(J450&lt;&gt;"",J450&lt;A450),"⚠ Relance avant la date de l'action",IF(A450&gt;TODAY(),"⚠ Date dans le futur","✓"))))))))</f>
        <v/>
      </c>
      <c r="AS450" s="61">
        <f>IF(AND(A450="",C450="",E450=""),"",ROW())</f>
        <v/>
      </c>
      <c r="AT450" s="61">
        <f>IF(E450&amp;F450="","",MAX(IFERROR(INDEX('Paramètres'!$J$6:$J$33,MATCH(E450,'Paramètres'!$I$6:$I$33,0)),0),IFERROR(INDEX('Paramètres'!$N$6:$N$17,MATCH(F450,'Paramètres'!$M$6:$M$17,0)),0)))</f>
        <v/>
      </c>
      <c r="AU450" s="61">
        <f>IF(E450="","",IFERROR(IF(INDEX('Paramètres'!$K$6:$K$33,MATCH(E450,'Paramètres'!$I$6:$I$33,0))="Oui",1,0),0))</f>
        <v/>
      </c>
      <c r="AV450" s="61">
        <f>IF(F450="","",IFERROR(IF(INDEX('Paramètres'!$O$6:$O$17,MATCH(F450,'Paramètres'!$M$6:$M$17,0))="Oui",1,0),0))</f>
        <v/>
      </c>
      <c r="AW450" s="62">
        <f>IF(E450="","",IF(G450&lt;&gt;"",G450,IF(OR(E450="Proposition envoyée",E450="Signature"),MAX(0,N(IFERROR(INDEX('Paramètres'!$R$6:$R$15,MATCH(IF(AL450&lt;&gt;"",AL450,IFERROR(INDEX('Prospects'!$AN$5:$AN$504,MATCH(C450,'Prospects'!$C$5:$C$504,0)),"")),'Paramètres'!$Q$6:$Q$15,0)),0))-N(P450)),0)))</f>
        <v/>
      </c>
      <c r="AX450" s="61">
        <f>IF(C450="","",IF(COUNTIF($C$5:C450,C450)=1,MAX($AX$4:AX449)+1,""))</f>
        <v/>
      </c>
      <c r="AY450" s="61">
        <f>IF(B450="","",HOUR(B450))</f>
        <v/>
      </c>
      <c r="AZ450" s="61">
        <f>IF(A450="","",MOD(A450-2,7)+1)</f>
        <v/>
      </c>
      <c r="BA450" s="60">
        <f>IF(C450="","",IFERROR(INDEX('Prospects'!$N$5:$N$504,MATCH(C450,'Prospects'!$C$5:$C$504,0)),""))</f>
        <v/>
      </c>
      <c r="BB450" s="61">
        <f>IF(AND(C450&lt;&gt;"",C450='Fiche prospect'!$C$4),COUNTIF($C$5:C450,C450),"")</f>
        <v/>
      </c>
    </row>
    <row r="451">
      <c r="A451" s="53" t="n"/>
      <c r="B451" s="54" t="n"/>
      <c r="C451" s="55" t="n"/>
      <c r="D451" s="55" t="n"/>
      <c r="E451" s="55" t="n"/>
      <c r="F451" s="55" t="n"/>
      <c r="G451" s="56" t="n"/>
      <c r="H451" s="57" t="n"/>
      <c r="I451" s="55" t="n"/>
      <c r="J451" s="53" t="n"/>
      <c r="K451" s="54" t="n"/>
      <c r="L451" s="55" t="n"/>
      <c r="M451" s="55" t="n"/>
      <c r="N451" s="57" t="n"/>
      <c r="O451" s="55" t="n"/>
      <c r="P451" s="56" t="n"/>
      <c r="Q451" s="55" t="n"/>
      <c r="R451" s="55" t="n"/>
      <c r="S451" s="55" t="n"/>
      <c r="T451" s="55" t="n"/>
      <c r="U451" s="55" t="n"/>
      <c r="V451" s="55" t="n"/>
      <c r="W451" s="58" t="n"/>
      <c r="X451" s="58" t="n"/>
      <c r="Y451" s="55" t="n"/>
      <c r="Z451" s="55" t="n"/>
      <c r="AA451" s="55" t="n"/>
      <c r="AB451" s="55" t="n"/>
      <c r="AC451" s="55" t="n"/>
      <c r="AD451" s="53" t="n"/>
      <c r="AE451" s="55" t="n"/>
      <c r="AF451" s="55" t="n"/>
      <c r="AG451" s="59" t="n"/>
      <c r="AH451" s="57" t="n"/>
      <c r="AI451" s="55" t="n"/>
      <c r="AJ451" s="55" t="n"/>
      <c r="AK451" s="55" t="n"/>
      <c r="AL451" s="55" t="n"/>
      <c r="AM451" s="56" t="n"/>
      <c r="AN451" s="55" t="n"/>
      <c r="AO451" s="55" t="n"/>
      <c r="AP451" s="55" t="n"/>
      <c r="AQ451" s="55" t="n"/>
      <c r="AR451" s="60">
        <f>IF(AND(C451="",E451=""),"",IF(A451="","⚠ Date manquante",IF(AND(C451="",E451&lt;&gt;"Dépense"),"⚠ Prospect manquant",IF(E451="","⚠ Action manquante",IF(AND(AU451=1,D451=""),"⚠ Canal manquant",IF(AND(W451&lt;&gt;"",COUNTIFS('Saisie'!$W$5:$W$2004,W451,'Saisie'!$C$5:$C$2004,"&lt;&gt;"&amp;C451)&gt;0),"⚠ Numéro déjà utilisé par un autre prospect",IF(AND(J451&lt;&gt;"",J451&lt;A451),"⚠ Relance avant la date de l'action",IF(A451&gt;TODAY(),"⚠ Date dans le futur","✓"))))))))</f>
        <v/>
      </c>
      <c r="AS451" s="61">
        <f>IF(AND(A451="",C451="",E451=""),"",ROW())</f>
        <v/>
      </c>
      <c r="AT451" s="61">
        <f>IF(E451&amp;F451="","",MAX(IFERROR(INDEX('Paramètres'!$J$6:$J$33,MATCH(E451,'Paramètres'!$I$6:$I$33,0)),0),IFERROR(INDEX('Paramètres'!$N$6:$N$17,MATCH(F451,'Paramètres'!$M$6:$M$17,0)),0)))</f>
        <v/>
      </c>
      <c r="AU451" s="61">
        <f>IF(E451="","",IFERROR(IF(INDEX('Paramètres'!$K$6:$K$33,MATCH(E451,'Paramètres'!$I$6:$I$33,0))="Oui",1,0),0))</f>
        <v/>
      </c>
      <c r="AV451" s="61">
        <f>IF(F451="","",IFERROR(IF(INDEX('Paramètres'!$O$6:$O$17,MATCH(F451,'Paramètres'!$M$6:$M$17,0))="Oui",1,0),0))</f>
        <v/>
      </c>
      <c r="AW451" s="62">
        <f>IF(E451="","",IF(G451&lt;&gt;"",G451,IF(OR(E451="Proposition envoyée",E451="Signature"),MAX(0,N(IFERROR(INDEX('Paramètres'!$R$6:$R$15,MATCH(IF(AL451&lt;&gt;"",AL451,IFERROR(INDEX('Prospects'!$AN$5:$AN$504,MATCH(C451,'Prospects'!$C$5:$C$504,0)),"")),'Paramètres'!$Q$6:$Q$15,0)),0))-N(P451)),0)))</f>
        <v/>
      </c>
      <c r="AX451" s="61">
        <f>IF(C451="","",IF(COUNTIF($C$5:C451,C451)=1,MAX($AX$4:AX450)+1,""))</f>
        <v/>
      </c>
      <c r="AY451" s="61">
        <f>IF(B451="","",HOUR(B451))</f>
        <v/>
      </c>
      <c r="AZ451" s="61">
        <f>IF(A451="","",MOD(A451-2,7)+1)</f>
        <v/>
      </c>
      <c r="BA451" s="60">
        <f>IF(C451="","",IFERROR(INDEX('Prospects'!$N$5:$N$504,MATCH(C451,'Prospects'!$C$5:$C$504,0)),""))</f>
        <v/>
      </c>
      <c r="BB451" s="61">
        <f>IF(AND(C451&lt;&gt;"",C451='Fiche prospect'!$C$4),COUNTIF($C$5:C451,C451),"")</f>
        <v/>
      </c>
    </row>
    <row r="452">
      <c r="A452" s="53" t="n"/>
      <c r="B452" s="54" t="n"/>
      <c r="C452" s="55" t="n"/>
      <c r="D452" s="55" t="n"/>
      <c r="E452" s="55" t="n"/>
      <c r="F452" s="55" t="n"/>
      <c r="G452" s="56" t="n"/>
      <c r="H452" s="57" t="n"/>
      <c r="I452" s="55" t="n"/>
      <c r="J452" s="53" t="n"/>
      <c r="K452" s="54" t="n"/>
      <c r="L452" s="55" t="n"/>
      <c r="M452" s="55" t="n"/>
      <c r="N452" s="57" t="n"/>
      <c r="O452" s="55" t="n"/>
      <c r="P452" s="56" t="n"/>
      <c r="Q452" s="55" t="n"/>
      <c r="R452" s="55" t="n"/>
      <c r="S452" s="55" t="n"/>
      <c r="T452" s="55" t="n"/>
      <c r="U452" s="55" t="n"/>
      <c r="V452" s="55" t="n"/>
      <c r="W452" s="58" t="n"/>
      <c r="X452" s="58" t="n"/>
      <c r="Y452" s="55" t="n"/>
      <c r="Z452" s="55" t="n"/>
      <c r="AA452" s="55" t="n"/>
      <c r="AB452" s="55" t="n"/>
      <c r="AC452" s="55" t="n"/>
      <c r="AD452" s="53" t="n"/>
      <c r="AE452" s="55" t="n"/>
      <c r="AF452" s="55" t="n"/>
      <c r="AG452" s="59" t="n"/>
      <c r="AH452" s="57" t="n"/>
      <c r="AI452" s="55" t="n"/>
      <c r="AJ452" s="55" t="n"/>
      <c r="AK452" s="55" t="n"/>
      <c r="AL452" s="55" t="n"/>
      <c r="AM452" s="56" t="n"/>
      <c r="AN452" s="55" t="n"/>
      <c r="AO452" s="55" t="n"/>
      <c r="AP452" s="55" t="n"/>
      <c r="AQ452" s="55" t="n"/>
      <c r="AR452" s="60">
        <f>IF(AND(C452="",E452=""),"",IF(A452="","⚠ Date manquante",IF(AND(C452="",E452&lt;&gt;"Dépense"),"⚠ Prospect manquant",IF(E452="","⚠ Action manquante",IF(AND(AU452=1,D452=""),"⚠ Canal manquant",IF(AND(W452&lt;&gt;"",COUNTIFS('Saisie'!$W$5:$W$2004,W452,'Saisie'!$C$5:$C$2004,"&lt;&gt;"&amp;C452)&gt;0),"⚠ Numéro déjà utilisé par un autre prospect",IF(AND(J452&lt;&gt;"",J452&lt;A452),"⚠ Relance avant la date de l'action",IF(A452&gt;TODAY(),"⚠ Date dans le futur","✓"))))))))</f>
        <v/>
      </c>
      <c r="AS452" s="61">
        <f>IF(AND(A452="",C452="",E452=""),"",ROW())</f>
        <v/>
      </c>
      <c r="AT452" s="61">
        <f>IF(E452&amp;F452="","",MAX(IFERROR(INDEX('Paramètres'!$J$6:$J$33,MATCH(E452,'Paramètres'!$I$6:$I$33,0)),0),IFERROR(INDEX('Paramètres'!$N$6:$N$17,MATCH(F452,'Paramètres'!$M$6:$M$17,0)),0)))</f>
        <v/>
      </c>
      <c r="AU452" s="61">
        <f>IF(E452="","",IFERROR(IF(INDEX('Paramètres'!$K$6:$K$33,MATCH(E452,'Paramètres'!$I$6:$I$33,0))="Oui",1,0),0))</f>
        <v/>
      </c>
      <c r="AV452" s="61">
        <f>IF(F452="","",IFERROR(IF(INDEX('Paramètres'!$O$6:$O$17,MATCH(F452,'Paramètres'!$M$6:$M$17,0))="Oui",1,0),0))</f>
        <v/>
      </c>
      <c r="AW452" s="62">
        <f>IF(E452="","",IF(G452&lt;&gt;"",G452,IF(OR(E452="Proposition envoyée",E452="Signature"),MAX(0,N(IFERROR(INDEX('Paramètres'!$R$6:$R$15,MATCH(IF(AL452&lt;&gt;"",AL452,IFERROR(INDEX('Prospects'!$AN$5:$AN$504,MATCH(C452,'Prospects'!$C$5:$C$504,0)),"")),'Paramètres'!$Q$6:$Q$15,0)),0))-N(P452)),0)))</f>
        <v/>
      </c>
      <c r="AX452" s="61">
        <f>IF(C452="","",IF(COUNTIF($C$5:C452,C452)=1,MAX($AX$4:AX451)+1,""))</f>
        <v/>
      </c>
      <c r="AY452" s="61">
        <f>IF(B452="","",HOUR(B452))</f>
        <v/>
      </c>
      <c r="AZ452" s="61">
        <f>IF(A452="","",MOD(A452-2,7)+1)</f>
        <v/>
      </c>
      <c r="BA452" s="60">
        <f>IF(C452="","",IFERROR(INDEX('Prospects'!$N$5:$N$504,MATCH(C452,'Prospects'!$C$5:$C$504,0)),""))</f>
        <v/>
      </c>
      <c r="BB452" s="61">
        <f>IF(AND(C452&lt;&gt;"",C452='Fiche prospect'!$C$4),COUNTIF($C$5:C452,C452),"")</f>
        <v/>
      </c>
    </row>
    <row r="453">
      <c r="A453" s="53" t="n"/>
      <c r="B453" s="54" t="n"/>
      <c r="C453" s="55" t="n"/>
      <c r="D453" s="55" t="n"/>
      <c r="E453" s="55" t="n"/>
      <c r="F453" s="55" t="n"/>
      <c r="G453" s="56" t="n"/>
      <c r="H453" s="57" t="n"/>
      <c r="I453" s="55" t="n"/>
      <c r="J453" s="53" t="n"/>
      <c r="K453" s="54" t="n"/>
      <c r="L453" s="55" t="n"/>
      <c r="M453" s="55" t="n"/>
      <c r="N453" s="57" t="n"/>
      <c r="O453" s="55" t="n"/>
      <c r="P453" s="56" t="n"/>
      <c r="Q453" s="55" t="n"/>
      <c r="R453" s="55" t="n"/>
      <c r="S453" s="55" t="n"/>
      <c r="T453" s="55" t="n"/>
      <c r="U453" s="55" t="n"/>
      <c r="V453" s="55" t="n"/>
      <c r="W453" s="58" t="n"/>
      <c r="X453" s="58" t="n"/>
      <c r="Y453" s="55" t="n"/>
      <c r="Z453" s="55" t="n"/>
      <c r="AA453" s="55" t="n"/>
      <c r="AB453" s="55" t="n"/>
      <c r="AC453" s="55" t="n"/>
      <c r="AD453" s="53" t="n"/>
      <c r="AE453" s="55" t="n"/>
      <c r="AF453" s="55" t="n"/>
      <c r="AG453" s="59" t="n"/>
      <c r="AH453" s="57" t="n"/>
      <c r="AI453" s="55" t="n"/>
      <c r="AJ453" s="55" t="n"/>
      <c r="AK453" s="55" t="n"/>
      <c r="AL453" s="55" t="n"/>
      <c r="AM453" s="56" t="n"/>
      <c r="AN453" s="55" t="n"/>
      <c r="AO453" s="55" t="n"/>
      <c r="AP453" s="55" t="n"/>
      <c r="AQ453" s="55" t="n"/>
      <c r="AR453" s="60">
        <f>IF(AND(C453="",E453=""),"",IF(A453="","⚠ Date manquante",IF(AND(C453="",E453&lt;&gt;"Dépense"),"⚠ Prospect manquant",IF(E453="","⚠ Action manquante",IF(AND(AU453=1,D453=""),"⚠ Canal manquant",IF(AND(W453&lt;&gt;"",COUNTIFS('Saisie'!$W$5:$W$2004,W453,'Saisie'!$C$5:$C$2004,"&lt;&gt;"&amp;C453)&gt;0),"⚠ Numéro déjà utilisé par un autre prospect",IF(AND(J453&lt;&gt;"",J453&lt;A453),"⚠ Relance avant la date de l'action",IF(A453&gt;TODAY(),"⚠ Date dans le futur","✓"))))))))</f>
        <v/>
      </c>
      <c r="AS453" s="61">
        <f>IF(AND(A453="",C453="",E453=""),"",ROW())</f>
        <v/>
      </c>
      <c r="AT453" s="61">
        <f>IF(E453&amp;F453="","",MAX(IFERROR(INDEX('Paramètres'!$J$6:$J$33,MATCH(E453,'Paramètres'!$I$6:$I$33,0)),0),IFERROR(INDEX('Paramètres'!$N$6:$N$17,MATCH(F453,'Paramètres'!$M$6:$M$17,0)),0)))</f>
        <v/>
      </c>
      <c r="AU453" s="61">
        <f>IF(E453="","",IFERROR(IF(INDEX('Paramètres'!$K$6:$K$33,MATCH(E453,'Paramètres'!$I$6:$I$33,0))="Oui",1,0),0))</f>
        <v/>
      </c>
      <c r="AV453" s="61">
        <f>IF(F453="","",IFERROR(IF(INDEX('Paramètres'!$O$6:$O$17,MATCH(F453,'Paramètres'!$M$6:$M$17,0))="Oui",1,0),0))</f>
        <v/>
      </c>
      <c r="AW453" s="62">
        <f>IF(E453="","",IF(G453&lt;&gt;"",G453,IF(OR(E453="Proposition envoyée",E453="Signature"),MAX(0,N(IFERROR(INDEX('Paramètres'!$R$6:$R$15,MATCH(IF(AL453&lt;&gt;"",AL453,IFERROR(INDEX('Prospects'!$AN$5:$AN$504,MATCH(C453,'Prospects'!$C$5:$C$504,0)),"")),'Paramètres'!$Q$6:$Q$15,0)),0))-N(P453)),0)))</f>
        <v/>
      </c>
      <c r="AX453" s="61">
        <f>IF(C453="","",IF(COUNTIF($C$5:C453,C453)=1,MAX($AX$4:AX452)+1,""))</f>
        <v/>
      </c>
      <c r="AY453" s="61">
        <f>IF(B453="","",HOUR(B453))</f>
        <v/>
      </c>
      <c r="AZ453" s="61">
        <f>IF(A453="","",MOD(A453-2,7)+1)</f>
        <v/>
      </c>
      <c r="BA453" s="60">
        <f>IF(C453="","",IFERROR(INDEX('Prospects'!$N$5:$N$504,MATCH(C453,'Prospects'!$C$5:$C$504,0)),""))</f>
        <v/>
      </c>
      <c r="BB453" s="61">
        <f>IF(AND(C453&lt;&gt;"",C453='Fiche prospect'!$C$4),COUNTIF($C$5:C453,C453),"")</f>
        <v/>
      </c>
    </row>
    <row r="454">
      <c r="A454" s="53" t="n"/>
      <c r="B454" s="54" t="n"/>
      <c r="C454" s="55" t="n"/>
      <c r="D454" s="55" t="n"/>
      <c r="E454" s="55" t="n"/>
      <c r="F454" s="55" t="n"/>
      <c r="G454" s="56" t="n"/>
      <c r="H454" s="57" t="n"/>
      <c r="I454" s="55" t="n"/>
      <c r="J454" s="53" t="n"/>
      <c r="K454" s="54" t="n"/>
      <c r="L454" s="55" t="n"/>
      <c r="M454" s="55" t="n"/>
      <c r="N454" s="57" t="n"/>
      <c r="O454" s="55" t="n"/>
      <c r="P454" s="56" t="n"/>
      <c r="Q454" s="55" t="n"/>
      <c r="R454" s="55" t="n"/>
      <c r="S454" s="55" t="n"/>
      <c r="T454" s="55" t="n"/>
      <c r="U454" s="55" t="n"/>
      <c r="V454" s="55" t="n"/>
      <c r="W454" s="58" t="n"/>
      <c r="X454" s="58" t="n"/>
      <c r="Y454" s="55" t="n"/>
      <c r="Z454" s="55" t="n"/>
      <c r="AA454" s="55" t="n"/>
      <c r="AB454" s="55" t="n"/>
      <c r="AC454" s="55" t="n"/>
      <c r="AD454" s="53" t="n"/>
      <c r="AE454" s="55" t="n"/>
      <c r="AF454" s="55" t="n"/>
      <c r="AG454" s="59" t="n"/>
      <c r="AH454" s="57" t="n"/>
      <c r="AI454" s="55" t="n"/>
      <c r="AJ454" s="55" t="n"/>
      <c r="AK454" s="55" t="n"/>
      <c r="AL454" s="55" t="n"/>
      <c r="AM454" s="56" t="n"/>
      <c r="AN454" s="55" t="n"/>
      <c r="AO454" s="55" t="n"/>
      <c r="AP454" s="55" t="n"/>
      <c r="AQ454" s="55" t="n"/>
      <c r="AR454" s="60">
        <f>IF(AND(C454="",E454=""),"",IF(A454="","⚠ Date manquante",IF(AND(C454="",E454&lt;&gt;"Dépense"),"⚠ Prospect manquant",IF(E454="","⚠ Action manquante",IF(AND(AU454=1,D454=""),"⚠ Canal manquant",IF(AND(W454&lt;&gt;"",COUNTIFS('Saisie'!$W$5:$W$2004,W454,'Saisie'!$C$5:$C$2004,"&lt;&gt;"&amp;C454)&gt;0),"⚠ Numéro déjà utilisé par un autre prospect",IF(AND(J454&lt;&gt;"",J454&lt;A454),"⚠ Relance avant la date de l'action",IF(A454&gt;TODAY(),"⚠ Date dans le futur","✓"))))))))</f>
        <v/>
      </c>
      <c r="AS454" s="61">
        <f>IF(AND(A454="",C454="",E454=""),"",ROW())</f>
        <v/>
      </c>
      <c r="AT454" s="61">
        <f>IF(E454&amp;F454="","",MAX(IFERROR(INDEX('Paramètres'!$J$6:$J$33,MATCH(E454,'Paramètres'!$I$6:$I$33,0)),0),IFERROR(INDEX('Paramètres'!$N$6:$N$17,MATCH(F454,'Paramètres'!$M$6:$M$17,0)),0)))</f>
        <v/>
      </c>
      <c r="AU454" s="61">
        <f>IF(E454="","",IFERROR(IF(INDEX('Paramètres'!$K$6:$K$33,MATCH(E454,'Paramètres'!$I$6:$I$33,0))="Oui",1,0),0))</f>
        <v/>
      </c>
      <c r="AV454" s="61">
        <f>IF(F454="","",IFERROR(IF(INDEX('Paramètres'!$O$6:$O$17,MATCH(F454,'Paramètres'!$M$6:$M$17,0))="Oui",1,0),0))</f>
        <v/>
      </c>
      <c r="AW454" s="62">
        <f>IF(E454="","",IF(G454&lt;&gt;"",G454,IF(OR(E454="Proposition envoyée",E454="Signature"),MAX(0,N(IFERROR(INDEX('Paramètres'!$R$6:$R$15,MATCH(IF(AL454&lt;&gt;"",AL454,IFERROR(INDEX('Prospects'!$AN$5:$AN$504,MATCH(C454,'Prospects'!$C$5:$C$504,0)),"")),'Paramètres'!$Q$6:$Q$15,0)),0))-N(P454)),0)))</f>
        <v/>
      </c>
      <c r="AX454" s="61">
        <f>IF(C454="","",IF(COUNTIF($C$5:C454,C454)=1,MAX($AX$4:AX453)+1,""))</f>
        <v/>
      </c>
      <c r="AY454" s="61">
        <f>IF(B454="","",HOUR(B454))</f>
        <v/>
      </c>
      <c r="AZ454" s="61">
        <f>IF(A454="","",MOD(A454-2,7)+1)</f>
        <v/>
      </c>
      <c r="BA454" s="60">
        <f>IF(C454="","",IFERROR(INDEX('Prospects'!$N$5:$N$504,MATCH(C454,'Prospects'!$C$5:$C$504,0)),""))</f>
        <v/>
      </c>
      <c r="BB454" s="61">
        <f>IF(AND(C454&lt;&gt;"",C454='Fiche prospect'!$C$4),COUNTIF($C$5:C454,C454),"")</f>
        <v/>
      </c>
    </row>
    <row r="455">
      <c r="A455" s="53" t="n"/>
      <c r="B455" s="54" t="n"/>
      <c r="C455" s="55" t="n"/>
      <c r="D455" s="55" t="n"/>
      <c r="E455" s="55" t="n"/>
      <c r="F455" s="55" t="n"/>
      <c r="G455" s="56" t="n"/>
      <c r="H455" s="57" t="n"/>
      <c r="I455" s="55" t="n"/>
      <c r="J455" s="53" t="n"/>
      <c r="K455" s="54" t="n"/>
      <c r="L455" s="55" t="n"/>
      <c r="M455" s="55" t="n"/>
      <c r="N455" s="57" t="n"/>
      <c r="O455" s="55" t="n"/>
      <c r="P455" s="56" t="n"/>
      <c r="Q455" s="55" t="n"/>
      <c r="R455" s="55" t="n"/>
      <c r="S455" s="55" t="n"/>
      <c r="T455" s="55" t="n"/>
      <c r="U455" s="55" t="n"/>
      <c r="V455" s="55" t="n"/>
      <c r="W455" s="58" t="n"/>
      <c r="X455" s="58" t="n"/>
      <c r="Y455" s="55" t="n"/>
      <c r="Z455" s="55" t="n"/>
      <c r="AA455" s="55" t="n"/>
      <c r="AB455" s="55" t="n"/>
      <c r="AC455" s="55" t="n"/>
      <c r="AD455" s="53" t="n"/>
      <c r="AE455" s="55" t="n"/>
      <c r="AF455" s="55" t="n"/>
      <c r="AG455" s="59" t="n"/>
      <c r="AH455" s="57" t="n"/>
      <c r="AI455" s="55" t="n"/>
      <c r="AJ455" s="55" t="n"/>
      <c r="AK455" s="55" t="n"/>
      <c r="AL455" s="55" t="n"/>
      <c r="AM455" s="56" t="n"/>
      <c r="AN455" s="55" t="n"/>
      <c r="AO455" s="55" t="n"/>
      <c r="AP455" s="55" t="n"/>
      <c r="AQ455" s="55" t="n"/>
      <c r="AR455" s="60">
        <f>IF(AND(C455="",E455=""),"",IF(A455="","⚠ Date manquante",IF(AND(C455="",E455&lt;&gt;"Dépense"),"⚠ Prospect manquant",IF(E455="","⚠ Action manquante",IF(AND(AU455=1,D455=""),"⚠ Canal manquant",IF(AND(W455&lt;&gt;"",COUNTIFS('Saisie'!$W$5:$W$2004,W455,'Saisie'!$C$5:$C$2004,"&lt;&gt;"&amp;C455)&gt;0),"⚠ Numéro déjà utilisé par un autre prospect",IF(AND(J455&lt;&gt;"",J455&lt;A455),"⚠ Relance avant la date de l'action",IF(A455&gt;TODAY(),"⚠ Date dans le futur","✓"))))))))</f>
        <v/>
      </c>
      <c r="AS455" s="61">
        <f>IF(AND(A455="",C455="",E455=""),"",ROW())</f>
        <v/>
      </c>
      <c r="AT455" s="61">
        <f>IF(E455&amp;F455="","",MAX(IFERROR(INDEX('Paramètres'!$J$6:$J$33,MATCH(E455,'Paramètres'!$I$6:$I$33,0)),0),IFERROR(INDEX('Paramètres'!$N$6:$N$17,MATCH(F455,'Paramètres'!$M$6:$M$17,0)),0)))</f>
        <v/>
      </c>
      <c r="AU455" s="61">
        <f>IF(E455="","",IFERROR(IF(INDEX('Paramètres'!$K$6:$K$33,MATCH(E455,'Paramètres'!$I$6:$I$33,0))="Oui",1,0),0))</f>
        <v/>
      </c>
      <c r="AV455" s="61">
        <f>IF(F455="","",IFERROR(IF(INDEX('Paramètres'!$O$6:$O$17,MATCH(F455,'Paramètres'!$M$6:$M$17,0))="Oui",1,0),0))</f>
        <v/>
      </c>
      <c r="AW455" s="62">
        <f>IF(E455="","",IF(G455&lt;&gt;"",G455,IF(OR(E455="Proposition envoyée",E455="Signature"),MAX(0,N(IFERROR(INDEX('Paramètres'!$R$6:$R$15,MATCH(IF(AL455&lt;&gt;"",AL455,IFERROR(INDEX('Prospects'!$AN$5:$AN$504,MATCH(C455,'Prospects'!$C$5:$C$504,0)),"")),'Paramètres'!$Q$6:$Q$15,0)),0))-N(P455)),0)))</f>
        <v/>
      </c>
      <c r="AX455" s="61">
        <f>IF(C455="","",IF(COUNTIF($C$5:C455,C455)=1,MAX($AX$4:AX454)+1,""))</f>
        <v/>
      </c>
      <c r="AY455" s="61">
        <f>IF(B455="","",HOUR(B455))</f>
        <v/>
      </c>
      <c r="AZ455" s="61">
        <f>IF(A455="","",MOD(A455-2,7)+1)</f>
        <v/>
      </c>
      <c r="BA455" s="60">
        <f>IF(C455="","",IFERROR(INDEX('Prospects'!$N$5:$N$504,MATCH(C455,'Prospects'!$C$5:$C$504,0)),""))</f>
        <v/>
      </c>
      <c r="BB455" s="61">
        <f>IF(AND(C455&lt;&gt;"",C455='Fiche prospect'!$C$4),COUNTIF($C$5:C455,C455),"")</f>
        <v/>
      </c>
    </row>
    <row r="456">
      <c r="A456" s="53" t="n"/>
      <c r="B456" s="54" t="n"/>
      <c r="C456" s="55" t="n"/>
      <c r="D456" s="55" t="n"/>
      <c r="E456" s="55" t="n"/>
      <c r="F456" s="55" t="n"/>
      <c r="G456" s="56" t="n"/>
      <c r="H456" s="57" t="n"/>
      <c r="I456" s="55" t="n"/>
      <c r="J456" s="53" t="n"/>
      <c r="K456" s="54" t="n"/>
      <c r="L456" s="55" t="n"/>
      <c r="M456" s="55" t="n"/>
      <c r="N456" s="57" t="n"/>
      <c r="O456" s="55" t="n"/>
      <c r="P456" s="56" t="n"/>
      <c r="Q456" s="55" t="n"/>
      <c r="R456" s="55" t="n"/>
      <c r="S456" s="55" t="n"/>
      <c r="T456" s="55" t="n"/>
      <c r="U456" s="55" t="n"/>
      <c r="V456" s="55" t="n"/>
      <c r="W456" s="58" t="n"/>
      <c r="X456" s="58" t="n"/>
      <c r="Y456" s="55" t="n"/>
      <c r="Z456" s="55" t="n"/>
      <c r="AA456" s="55" t="n"/>
      <c r="AB456" s="55" t="n"/>
      <c r="AC456" s="55" t="n"/>
      <c r="AD456" s="53" t="n"/>
      <c r="AE456" s="55" t="n"/>
      <c r="AF456" s="55" t="n"/>
      <c r="AG456" s="59" t="n"/>
      <c r="AH456" s="57" t="n"/>
      <c r="AI456" s="55" t="n"/>
      <c r="AJ456" s="55" t="n"/>
      <c r="AK456" s="55" t="n"/>
      <c r="AL456" s="55" t="n"/>
      <c r="AM456" s="56" t="n"/>
      <c r="AN456" s="55" t="n"/>
      <c r="AO456" s="55" t="n"/>
      <c r="AP456" s="55" t="n"/>
      <c r="AQ456" s="55" t="n"/>
      <c r="AR456" s="60">
        <f>IF(AND(C456="",E456=""),"",IF(A456="","⚠ Date manquante",IF(AND(C456="",E456&lt;&gt;"Dépense"),"⚠ Prospect manquant",IF(E456="","⚠ Action manquante",IF(AND(AU456=1,D456=""),"⚠ Canal manquant",IF(AND(W456&lt;&gt;"",COUNTIFS('Saisie'!$W$5:$W$2004,W456,'Saisie'!$C$5:$C$2004,"&lt;&gt;"&amp;C456)&gt;0),"⚠ Numéro déjà utilisé par un autre prospect",IF(AND(J456&lt;&gt;"",J456&lt;A456),"⚠ Relance avant la date de l'action",IF(A456&gt;TODAY(),"⚠ Date dans le futur","✓"))))))))</f>
        <v/>
      </c>
      <c r="AS456" s="61">
        <f>IF(AND(A456="",C456="",E456=""),"",ROW())</f>
        <v/>
      </c>
      <c r="AT456" s="61">
        <f>IF(E456&amp;F456="","",MAX(IFERROR(INDEX('Paramètres'!$J$6:$J$33,MATCH(E456,'Paramètres'!$I$6:$I$33,0)),0),IFERROR(INDEX('Paramètres'!$N$6:$N$17,MATCH(F456,'Paramètres'!$M$6:$M$17,0)),0)))</f>
        <v/>
      </c>
      <c r="AU456" s="61">
        <f>IF(E456="","",IFERROR(IF(INDEX('Paramètres'!$K$6:$K$33,MATCH(E456,'Paramètres'!$I$6:$I$33,0))="Oui",1,0),0))</f>
        <v/>
      </c>
      <c r="AV456" s="61">
        <f>IF(F456="","",IFERROR(IF(INDEX('Paramètres'!$O$6:$O$17,MATCH(F456,'Paramètres'!$M$6:$M$17,0))="Oui",1,0),0))</f>
        <v/>
      </c>
      <c r="AW456" s="62">
        <f>IF(E456="","",IF(G456&lt;&gt;"",G456,IF(OR(E456="Proposition envoyée",E456="Signature"),MAX(0,N(IFERROR(INDEX('Paramètres'!$R$6:$R$15,MATCH(IF(AL456&lt;&gt;"",AL456,IFERROR(INDEX('Prospects'!$AN$5:$AN$504,MATCH(C456,'Prospects'!$C$5:$C$504,0)),"")),'Paramètres'!$Q$6:$Q$15,0)),0))-N(P456)),0)))</f>
        <v/>
      </c>
      <c r="AX456" s="61">
        <f>IF(C456="","",IF(COUNTIF($C$5:C456,C456)=1,MAX($AX$4:AX455)+1,""))</f>
        <v/>
      </c>
      <c r="AY456" s="61">
        <f>IF(B456="","",HOUR(B456))</f>
        <v/>
      </c>
      <c r="AZ456" s="61">
        <f>IF(A456="","",MOD(A456-2,7)+1)</f>
        <v/>
      </c>
      <c r="BA456" s="60">
        <f>IF(C456="","",IFERROR(INDEX('Prospects'!$N$5:$N$504,MATCH(C456,'Prospects'!$C$5:$C$504,0)),""))</f>
        <v/>
      </c>
      <c r="BB456" s="61">
        <f>IF(AND(C456&lt;&gt;"",C456='Fiche prospect'!$C$4),COUNTIF($C$5:C456,C456),"")</f>
        <v/>
      </c>
    </row>
    <row r="457">
      <c r="A457" s="53" t="n"/>
      <c r="B457" s="54" t="n"/>
      <c r="C457" s="55" t="n"/>
      <c r="D457" s="55" t="n"/>
      <c r="E457" s="55" t="n"/>
      <c r="F457" s="55" t="n"/>
      <c r="G457" s="56" t="n"/>
      <c r="H457" s="57" t="n"/>
      <c r="I457" s="55" t="n"/>
      <c r="J457" s="53" t="n"/>
      <c r="K457" s="54" t="n"/>
      <c r="L457" s="55" t="n"/>
      <c r="M457" s="55" t="n"/>
      <c r="N457" s="57" t="n"/>
      <c r="O457" s="55" t="n"/>
      <c r="P457" s="56" t="n"/>
      <c r="Q457" s="55" t="n"/>
      <c r="R457" s="55" t="n"/>
      <c r="S457" s="55" t="n"/>
      <c r="T457" s="55" t="n"/>
      <c r="U457" s="55" t="n"/>
      <c r="V457" s="55" t="n"/>
      <c r="W457" s="58" t="n"/>
      <c r="X457" s="58" t="n"/>
      <c r="Y457" s="55" t="n"/>
      <c r="Z457" s="55" t="n"/>
      <c r="AA457" s="55" t="n"/>
      <c r="AB457" s="55" t="n"/>
      <c r="AC457" s="55" t="n"/>
      <c r="AD457" s="53" t="n"/>
      <c r="AE457" s="55" t="n"/>
      <c r="AF457" s="55" t="n"/>
      <c r="AG457" s="59" t="n"/>
      <c r="AH457" s="57" t="n"/>
      <c r="AI457" s="55" t="n"/>
      <c r="AJ457" s="55" t="n"/>
      <c r="AK457" s="55" t="n"/>
      <c r="AL457" s="55" t="n"/>
      <c r="AM457" s="56" t="n"/>
      <c r="AN457" s="55" t="n"/>
      <c r="AO457" s="55" t="n"/>
      <c r="AP457" s="55" t="n"/>
      <c r="AQ457" s="55" t="n"/>
      <c r="AR457" s="60">
        <f>IF(AND(C457="",E457=""),"",IF(A457="","⚠ Date manquante",IF(AND(C457="",E457&lt;&gt;"Dépense"),"⚠ Prospect manquant",IF(E457="","⚠ Action manquante",IF(AND(AU457=1,D457=""),"⚠ Canal manquant",IF(AND(W457&lt;&gt;"",COUNTIFS('Saisie'!$W$5:$W$2004,W457,'Saisie'!$C$5:$C$2004,"&lt;&gt;"&amp;C457)&gt;0),"⚠ Numéro déjà utilisé par un autre prospect",IF(AND(J457&lt;&gt;"",J457&lt;A457),"⚠ Relance avant la date de l'action",IF(A457&gt;TODAY(),"⚠ Date dans le futur","✓"))))))))</f>
        <v/>
      </c>
      <c r="AS457" s="61">
        <f>IF(AND(A457="",C457="",E457=""),"",ROW())</f>
        <v/>
      </c>
      <c r="AT457" s="61">
        <f>IF(E457&amp;F457="","",MAX(IFERROR(INDEX('Paramètres'!$J$6:$J$33,MATCH(E457,'Paramètres'!$I$6:$I$33,0)),0),IFERROR(INDEX('Paramètres'!$N$6:$N$17,MATCH(F457,'Paramètres'!$M$6:$M$17,0)),0)))</f>
        <v/>
      </c>
      <c r="AU457" s="61">
        <f>IF(E457="","",IFERROR(IF(INDEX('Paramètres'!$K$6:$K$33,MATCH(E457,'Paramètres'!$I$6:$I$33,0))="Oui",1,0),0))</f>
        <v/>
      </c>
      <c r="AV457" s="61">
        <f>IF(F457="","",IFERROR(IF(INDEX('Paramètres'!$O$6:$O$17,MATCH(F457,'Paramètres'!$M$6:$M$17,0))="Oui",1,0),0))</f>
        <v/>
      </c>
      <c r="AW457" s="62">
        <f>IF(E457="","",IF(G457&lt;&gt;"",G457,IF(OR(E457="Proposition envoyée",E457="Signature"),MAX(0,N(IFERROR(INDEX('Paramètres'!$R$6:$R$15,MATCH(IF(AL457&lt;&gt;"",AL457,IFERROR(INDEX('Prospects'!$AN$5:$AN$504,MATCH(C457,'Prospects'!$C$5:$C$504,0)),"")),'Paramètres'!$Q$6:$Q$15,0)),0))-N(P457)),0)))</f>
        <v/>
      </c>
      <c r="AX457" s="61">
        <f>IF(C457="","",IF(COUNTIF($C$5:C457,C457)=1,MAX($AX$4:AX456)+1,""))</f>
        <v/>
      </c>
      <c r="AY457" s="61">
        <f>IF(B457="","",HOUR(B457))</f>
        <v/>
      </c>
      <c r="AZ457" s="61">
        <f>IF(A457="","",MOD(A457-2,7)+1)</f>
        <v/>
      </c>
      <c r="BA457" s="60">
        <f>IF(C457="","",IFERROR(INDEX('Prospects'!$N$5:$N$504,MATCH(C457,'Prospects'!$C$5:$C$504,0)),""))</f>
        <v/>
      </c>
      <c r="BB457" s="61">
        <f>IF(AND(C457&lt;&gt;"",C457='Fiche prospect'!$C$4),COUNTIF($C$5:C457,C457),"")</f>
        <v/>
      </c>
    </row>
    <row r="458">
      <c r="A458" s="53" t="n"/>
      <c r="B458" s="54" t="n"/>
      <c r="C458" s="55" t="n"/>
      <c r="D458" s="55" t="n"/>
      <c r="E458" s="55" t="n"/>
      <c r="F458" s="55" t="n"/>
      <c r="G458" s="56" t="n"/>
      <c r="H458" s="57" t="n"/>
      <c r="I458" s="55" t="n"/>
      <c r="J458" s="53" t="n"/>
      <c r="K458" s="54" t="n"/>
      <c r="L458" s="55" t="n"/>
      <c r="M458" s="55" t="n"/>
      <c r="N458" s="57" t="n"/>
      <c r="O458" s="55" t="n"/>
      <c r="P458" s="56" t="n"/>
      <c r="Q458" s="55" t="n"/>
      <c r="R458" s="55" t="n"/>
      <c r="S458" s="55" t="n"/>
      <c r="T458" s="55" t="n"/>
      <c r="U458" s="55" t="n"/>
      <c r="V458" s="55" t="n"/>
      <c r="W458" s="58" t="n"/>
      <c r="X458" s="58" t="n"/>
      <c r="Y458" s="55" t="n"/>
      <c r="Z458" s="55" t="n"/>
      <c r="AA458" s="55" t="n"/>
      <c r="AB458" s="55" t="n"/>
      <c r="AC458" s="55" t="n"/>
      <c r="AD458" s="53" t="n"/>
      <c r="AE458" s="55" t="n"/>
      <c r="AF458" s="55" t="n"/>
      <c r="AG458" s="59" t="n"/>
      <c r="AH458" s="57" t="n"/>
      <c r="AI458" s="55" t="n"/>
      <c r="AJ458" s="55" t="n"/>
      <c r="AK458" s="55" t="n"/>
      <c r="AL458" s="55" t="n"/>
      <c r="AM458" s="56" t="n"/>
      <c r="AN458" s="55" t="n"/>
      <c r="AO458" s="55" t="n"/>
      <c r="AP458" s="55" t="n"/>
      <c r="AQ458" s="55" t="n"/>
      <c r="AR458" s="60">
        <f>IF(AND(C458="",E458=""),"",IF(A458="","⚠ Date manquante",IF(AND(C458="",E458&lt;&gt;"Dépense"),"⚠ Prospect manquant",IF(E458="","⚠ Action manquante",IF(AND(AU458=1,D458=""),"⚠ Canal manquant",IF(AND(W458&lt;&gt;"",COUNTIFS('Saisie'!$W$5:$W$2004,W458,'Saisie'!$C$5:$C$2004,"&lt;&gt;"&amp;C458)&gt;0),"⚠ Numéro déjà utilisé par un autre prospect",IF(AND(J458&lt;&gt;"",J458&lt;A458),"⚠ Relance avant la date de l'action",IF(A458&gt;TODAY(),"⚠ Date dans le futur","✓"))))))))</f>
        <v/>
      </c>
      <c r="AS458" s="61">
        <f>IF(AND(A458="",C458="",E458=""),"",ROW())</f>
        <v/>
      </c>
      <c r="AT458" s="61">
        <f>IF(E458&amp;F458="","",MAX(IFERROR(INDEX('Paramètres'!$J$6:$J$33,MATCH(E458,'Paramètres'!$I$6:$I$33,0)),0),IFERROR(INDEX('Paramètres'!$N$6:$N$17,MATCH(F458,'Paramètres'!$M$6:$M$17,0)),0)))</f>
        <v/>
      </c>
      <c r="AU458" s="61">
        <f>IF(E458="","",IFERROR(IF(INDEX('Paramètres'!$K$6:$K$33,MATCH(E458,'Paramètres'!$I$6:$I$33,0))="Oui",1,0),0))</f>
        <v/>
      </c>
      <c r="AV458" s="61">
        <f>IF(F458="","",IFERROR(IF(INDEX('Paramètres'!$O$6:$O$17,MATCH(F458,'Paramètres'!$M$6:$M$17,0))="Oui",1,0),0))</f>
        <v/>
      </c>
      <c r="AW458" s="62">
        <f>IF(E458="","",IF(G458&lt;&gt;"",G458,IF(OR(E458="Proposition envoyée",E458="Signature"),MAX(0,N(IFERROR(INDEX('Paramètres'!$R$6:$R$15,MATCH(IF(AL458&lt;&gt;"",AL458,IFERROR(INDEX('Prospects'!$AN$5:$AN$504,MATCH(C458,'Prospects'!$C$5:$C$504,0)),"")),'Paramètres'!$Q$6:$Q$15,0)),0))-N(P458)),0)))</f>
        <v/>
      </c>
      <c r="AX458" s="61">
        <f>IF(C458="","",IF(COUNTIF($C$5:C458,C458)=1,MAX($AX$4:AX457)+1,""))</f>
        <v/>
      </c>
      <c r="AY458" s="61">
        <f>IF(B458="","",HOUR(B458))</f>
        <v/>
      </c>
      <c r="AZ458" s="61">
        <f>IF(A458="","",MOD(A458-2,7)+1)</f>
        <v/>
      </c>
      <c r="BA458" s="60">
        <f>IF(C458="","",IFERROR(INDEX('Prospects'!$N$5:$N$504,MATCH(C458,'Prospects'!$C$5:$C$504,0)),""))</f>
        <v/>
      </c>
      <c r="BB458" s="61">
        <f>IF(AND(C458&lt;&gt;"",C458='Fiche prospect'!$C$4),COUNTIF($C$5:C458,C458),"")</f>
        <v/>
      </c>
    </row>
    <row r="459">
      <c r="A459" s="53" t="n"/>
      <c r="B459" s="54" t="n"/>
      <c r="C459" s="55" t="n"/>
      <c r="D459" s="55" t="n"/>
      <c r="E459" s="55" t="n"/>
      <c r="F459" s="55" t="n"/>
      <c r="G459" s="56" t="n"/>
      <c r="H459" s="57" t="n"/>
      <c r="I459" s="55" t="n"/>
      <c r="J459" s="53" t="n"/>
      <c r="K459" s="54" t="n"/>
      <c r="L459" s="55" t="n"/>
      <c r="M459" s="55" t="n"/>
      <c r="N459" s="57" t="n"/>
      <c r="O459" s="55" t="n"/>
      <c r="P459" s="56" t="n"/>
      <c r="Q459" s="55" t="n"/>
      <c r="R459" s="55" t="n"/>
      <c r="S459" s="55" t="n"/>
      <c r="T459" s="55" t="n"/>
      <c r="U459" s="55" t="n"/>
      <c r="V459" s="55" t="n"/>
      <c r="W459" s="58" t="n"/>
      <c r="X459" s="58" t="n"/>
      <c r="Y459" s="55" t="n"/>
      <c r="Z459" s="55" t="n"/>
      <c r="AA459" s="55" t="n"/>
      <c r="AB459" s="55" t="n"/>
      <c r="AC459" s="55" t="n"/>
      <c r="AD459" s="53" t="n"/>
      <c r="AE459" s="55" t="n"/>
      <c r="AF459" s="55" t="n"/>
      <c r="AG459" s="59" t="n"/>
      <c r="AH459" s="57" t="n"/>
      <c r="AI459" s="55" t="n"/>
      <c r="AJ459" s="55" t="n"/>
      <c r="AK459" s="55" t="n"/>
      <c r="AL459" s="55" t="n"/>
      <c r="AM459" s="56" t="n"/>
      <c r="AN459" s="55" t="n"/>
      <c r="AO459" s="55" t="n"/>
      <c r="AP459" s="55" t="n"/>
      <c r="AQ459" s="55" t="n"/>
      <c r="AR459" s="60">
        <f>IF(AND(C459="",E459=""),"",IF(A459="","⚠ Date manquante",IF(AND(C459="",E459&lt;&gt;"Dépense"),"⚠ Prospect manquant",IF(E459="","⚠ Action manquante",IF(AND(AU459=1,D459=""),"⚠ Canal manquant",IF(AND(W459&lt;&gt;"",COUNTIFS('Saisie'!$W$5:$W$2004,W459,'Saisie'!$C$5:$C$2004,"&lt;&gt;"&amp;C459)&gt;0),"⚠ Numéro déjà utilisé par un autre prospect",IF(AND(J459&lt;&gt;"",J459&lt;A459),"⚠ Relance avant la date de l'action",IF(A459&gt;TODAY(),"⚠ Date dans le futur","✓"))))))))</f>
        <v/>
      </c>
      <c r="AS459" s="61">
        <f>IF(AND(A459="",C459="",E459=""),"",ROW())</f>
        <v/>
      </c>
      <c r="AT459" s="61">
        <f>IF(E459&amp;F459="","",MAX(IFERROR(INDEX('Paramètres'!$J$6:$J$33,MATCH(E459,'Paramètres'!$I$6:$I$33,0)),0),IFERROR(INDEX('Paramètres'!$N$6:$N$17,MATCH(F459,'Paramètres'!$M$6:$M$17,0)),0)))</f>
        <v/>
      </c>
      <c r="AU459" s="61">
        <f>IF(E459="","",IFERROR(IF(INDEX('Paramètres'!$K$6:$K$33,MATCH(E459,'Paramètres'!$I$6:$I$33,0))="Oui",1,0),0))</f>
        <v/>
      </c>
      <c r="AV459" s="61">
        <f>IF(F459="","",IFERROR(IF(INDEX('Paramètres'!$O$6:$O$17,MATCH(F459,'Paramètres'!$M$6:$M$17,0))="Oui",1,0),0))</f>
        <v/>
      </c>
      <c r="AW459" s="62">
        <f>IF(E459="","",IF(G459&lt;&gt;"",G459,IF(OR(E459="Proposition envoyée",E459="Signature"),MAX(0,N(IFERROR(INDEX('Paramètres'!$R$6:$R$15,MATCH(IF(AL459&lt;&gt;"",AL459,IFERROR(INDEX('Prospects'!$AN$5:$AN$504,MATCH(C459,'Prospects'!$C$5:$C$504,0)),"")),'Paramètres'!$Q$6:$Q$15,0)),0))-N(P459)),0)))</f>
        <v/>
      </c>
      <c r="AX459" s="61">
        <f>IF(C459="","",IF(COUNTIF($C$5:C459,C459)=1,MAX($AX$4:AX458)+1,""))</f>
        <v/>
      </c>
      <c r="AY459" s="61">
        <f>IF(B459="","",HOUR(B459))</f>
        <v/>
      </c>
      <c r="AZ459" s="61">
        <f>IF(A459="","",MOD(A459-2,7)+1)</f>
        <v/>
      </c>
      <c r="BA459" s="60">
        <f>IF(C459="","",IFERROR(INDEX('Prospects'!$N$5:$N$504,MATCH(C459,'Prospects'!$C$5:$C$504,0)),""))</f>
        <v/>
      </c>
      <c r="BB459" s="61">
        <f>IF(AND(C459&lt;&gt;"",C459='Fiche prospect'!$C$4),COUNTIF($C$5:C459,C459),"")</f>
        <v/>
      </c>
    </row>
    <row r="460">
      <c r="A460" s="53" t="n"/>
      <c r="B460" s="54" t="n"/>
      <c r="C460" s="55" t="n"/>
      <c r="D460" s="55" t="n"/>
      <c r="E460" s="55" t="n"/>
      <c r="F460" s="55" t="n"/>
      <c r="G460" s="56" t="n"/>
      <c r="H460" s="57" t="n"/>
      <c r="I460" s="55" t="n"/>
      <c r="J460" s="53" t="n"/>
      <c r="K460" s="54" t="n"/>
      <c r="L460" s="55" t="n"/>
      <c r="M460" s="55" t="n"/>
      <c r="N460" s="57" t="n"/>
      <c r="O460" s="55" t="n"/>
      <c r="P460" s="56" t="n"/>
      <c r="Q460" s="55" t="n"/>
      <c r="R460" s="55" t="n"/>
      <c r="S460" s="55" t="n"/>
      <c r="T460" s="55" t="n"/>
      <c r="U460" s="55" t="n"/>
      <c r="V460" s="55" t="n"/>
      <c r="W460" s="58" t="n"/>
      <c r="X460" s="58" t="n"/>
      <c r="Y460" s="55" t="n"/>
      <c r="Z460" s="55" t="n"/>
      <c r="AA460" s="55" t="n"/>
      <c r="AB460" s="55" t="n"/>
      <c r="AC460" s="55" t="n"/>
      <c r="AD460" s="53" t="n"/>
      <c r="AE460" s="55" t="n"/>
      <c r="AF460" s="55" t="n"/>
      <c r="AG460" s="59" t="n"/>
      <c r="AH460" s="57" t="n"/>
      <c r="AI460" s="55" t="n"/>
      <c r="AJ460" s="55" t="n"/>
      <c r="AK460" s="55" t="n"/>
      <c r="AL460" s="55" t="n"/>
      <c r="AM460" s="56" t="n"/>
      <c r="AN460" s="55" t="n"/>
      <c r="AO460" s="55" t="n"/>
      <c r="AP460" s="55" t="n"/>
      <c r="AQ460" s="55" t="n"/>
      <c r="AR460" s="60">
        <f>IF(AND(C460="",E460=""),"",IF(A460="","⚠ Date manquante",IF(AND(C460="",E460&lt;&gt;"Dépense"),"⚠ Prospect manquant",IF(E460="","⚠ Action manquante",IF(AND(AU460=1,D460=""),"⚠ Canal manquant",IF(AND(W460&lt;&gt;"",COUNTIFS('Saisie'!$W$5:$W$2004,W460,'Saisie'!$C$5:$C$2004,"&lt;&gt;"&amp;C460)&gt;0),"⚠ Numéro déjà utilisé par un autre prospect",IF(AND(J460&lt;&gt;"",J460&lt;A460),"⚠ Relance avant la date de l'action",IF(A460&gt;TODAY(),"⚠ Date dans le futur","✓"))))))))</f>
        <v/>
      </c>
      <c r="AS460" s="61">
        <f>IF(AND(A460="",C460="",E460=""),"",ROW())</f>
        <v/>
      </c>
      <c r="AT460" s="61">
        <f>IF(E460&amp;F460="","",MAX(IFERROR(INDEX('Paramètres'!$J$6:$J$33,MATCH(E460,'Paramètres'!$I$6:$I$33,0)),0),IFERROR(INDEX('Paramètres'!$N$6:$N$17,MATCH(F460,'Paramètres'!$M$6:$M$17,0)),0)))</f>
        <v/>
      </c>
      <c r="AU460" s="61">
        <f>IF(E460="","",IFERROR(IF(INDEX('Paramètres'!$K$6:$K$33,MATCH(E460,'Paramètres'!$I$6:$I$33,0))="Oui",1,0),0))</f>
        <v/>
      </c>
      <c r="AV460" s="61">
        <f>IF(F460="","",IFERROR(IF(INDEX('Paramètres'!$O$6:$O$17,MATCH(F460,'Paramètres'!$M$6:$M$17,0))="Oui",1,0),0))</f>
        <v/>
      </c>
      <c r="AW460" s="62">
        <f>IF(E460="","",IF(G460&lt;&gt;"",G460,IF(OR(E460="Proposition envoyée",E460="Signature"),MAX(0,N(IFERROR(INDEX('Paramètres'!$R$6:$R$15,MATCH(IF(AL460&lt;&gt;"",AL460,IFERROR(INDEX('Prospects'!$AN$5:$AN$504,MATCH(C460,'Prospects'!$C$5:$C$504,0)),"")),'Paramètres'!$Q$6:$Q$15,0)),0))-N(P460)),0)))</f>
        <v/>
      </c>
      <c r="AX460" s="61">
        <f>IF(C460="","",IF(COUNTIF($C$5:C460,C460)=1,MAX($AX$4:AX459)+1,""))</f>
        <v/>
      </c>
      <c r="AY460" s="61">
        <f>IF(B460="","",HOUR(B460))</f>
        <v/>
      </c>
      <c r="AZ460" s="61">
        <f>IF(A460="","",MOD(A460-2,7)+1)</f>
        <v/>
      </c>
      <c r="BA460" s="60">
        <f>IF(C460="","",IFERROR(INDEX('Prospects'!$N$5:$N$504,MATCH(C460,'Prospects'!$C$5:$C$504,0)),""))</f>
        <v/>
      </c>
      <c r="BB460" s="61">
        <f>IF(AND(C460&lt;&gt;"",C460='Fiche prospect'!$C$4),COUNTIF($C$5:C460,C460),"")</f>
        <v/>
      </c>
    </row>
    <row r="461">
      <c r="A461" s="53" t="n"/>
      <c r="B461" s="54" t="n"/>
      <c r="C461" s="55" t="n"/>
      <c r="D461" s="55" t="n"/>
      <c r="E461" s="55" t="n"/>
      <c r="F461" s="55" t="n"/>
      <c r="G461" s="56" t="n"/>
      <c r="H461" s="57" t="n"/>
      <c r="I461" s="55" t="n"/>
      <c r="J461" s="53" t="n"/>
      <c r="K461" s="54" t="n"/>
      <c r="L461" s="55" t="n"/>
      <c r="M461" s="55" t="n"/>
      <c r="N461" s="57" t="n"/>
      <c r="O461" s="55" t="n"/>
      <c r="P461" s="56" t="n"/>
      <c r="Q461" s="55" t="n"/>
      <c r="R461" s="55" t="n"/>
      <c r="S461" s="55" t="n"/>
      <c r="T461" s="55" t="n"/>
      <c r="U461" s="55" t="n"/>
      <c r="V461" s="55" t="n"/>
      <c r="W461" s="58" t="n"/>
      <c r="X461" s="58" t="n"/>
      <c r="Y461" s="55" t="n"/>
      <c r="Z461" s="55" t="n"/>
      <c r="AA461" s="55" t="n"/>
      <c r="AB461" s="55" t="n"/>
      <c r="AC461" s="55" t="n"/>
      <c r="AD461" s="53" t="n"/>
      <c r="AE461" s="55" t="n"/>
      <c r="AF461" s="55" t="n"/>
      <c r="AG461" s="59" t="n"/>
      <c r="AH461" s="57" t="n"/>
      <c r="AI461" s="55" t="n"/>
      <c r="AJ461" s="55" t="n"/>
      <c r="AK461" s="55" t="n"/>
      <c r="AL461" s="55" t="n"/>
      <c r="AM461" s="56" t="n"/>
      <c r="AN461" s="55" t="n"/>
      <c r="AO461" s="55" t="n"/>
      <c r="AP461" s="55" t="n"/>
      <c r="AQ461" s="55" t="n"/>
      <c r="AR461" s="60">
        <f>IF(AND(C461="",E461=""),"",IF(A461="","⚠ Date manquante",IF(AND(C461="",E461&lt;&gt;"Dépense"),"⚠ Prospect manquant",IF(E461="","⚠ Action manquante",IF(AND(AU461=1,D461=""),"⚠ Canal manquant",IF(AND(W461&lt;&gt;"",COUNTIFS('Saisie'!$W$5:$W$2004,W461,'Saisie'!$C$5:$C$2004,"&lt;&gt;"&amp;C461)&gt;0),"⚠ Numéro déjà utilisé par un autre prospect",IF(AND(J461&lt;&gt;"",J461&lt;A461),"⚠ Relance avant la date de l'action",IF(A461&gt;TODAY(),"⚠ Date dans le futur","✓"))))))))</f>
        <v/>
      </c>
      <c r="AS461" s="61">
        <f>IF(AND(A461="",C461="",E461=""),"",ROW())</f>
        <v/>
      </c>
      <c r="AT461" s="61">
        <f>IF(E461&amp;F461="","",MAX(IFERROR(INDEX('Paramètres'!$J$6:$J$33,MATCH(E461,'Paramètres'!$I$6:$I$33,0)),0),IFERROR(INDEX('Paramètres'!$N$6:$N$17,MATCH(F461,'Paramètres'!$M$6:$M$17,0)),0)))</f>
        <v/>
      </c>
      <c r="AU461" s="61">
        <f>IF(E461="","",IFERROR(IF(INDEX('Paramètres'!$K$6:$K$33,MATCH(E461,'Paramètres'!$I$6:$I$33,0))="Oui",1,0),0))</f>
        <v/>
      </c>
      <c r="AV461" s="61">
        <f>IF(F461="","",IFERROR(IF(INDEX('Paramètres'!$O$6:$O$17,MATCH(F461,'Paramètres'!$M$6:$M$17,0))="Oui",1,0),0))</f>
        <v/>
      </c>
      <c r="AW461" s="62">
        <f>IF(E461="","",IF(G461&lt;&gt;"",G461,IF(OR(E461="Proposition envoyée",E461="Signature"),MAX(0,N(IFERROR(INDEX('Paramètres'!$R$6:$R$15,MATCH(IF(AL461&lt;&gt;"",AL461,IFERROR(INDEX('Prospects'!$AN$5:$AN$504,MATCH(C461,'Prospects'!$C$5:$C$504,0)),"")),'Paramètres'!$Q$6:$Q$15,0)),0))-N(P461)),0)))</f>
        <v/>
      </c>
      <c r="AX461" s="61">
        <f>IF(C461="","",IF(COUNTIF($C$5:C461,C461)=1,MAX($AX$4:AX460)+1,""))</f>
        <v/>
      </c>
      <c r="AY461" s="61">
        <f>IF(B461="","",HOUR(B461))</f>
        <v/>
      </c>
      <c r="AZ461" s="61">
        <f>IF(A461="","",MOD(A461-2,7)+1)</f>
        <v/>
      </c>
      <c r="BA461" s="60">
        <f>IF(C461="","",IFERROR(INDEX('Prospects'!$N$5:$N$504,MATCH(C461,'Prospects'!$C$5:$C$504,0)),""))</f>
        <v/>
      </c>
      <c r="BB461" s="61">
        <f>IF(AND(C461&lt;&gt;"",C461='Fiche prospect'!$C$4),COUNTIF($C$5:C461,C461),"")</f>
        <v/>
      </c>
    </row>
    <row r="462">
      <c r="A462" s="53" t="n"/>
      <c r="B462" s="54" t="n"/>
      <c r="C462" s="55" t="n"/>
      <c r="D462" s="55" t="n"/>
      <c r="E462" s="55" t="n"/>
      <c r="F462" s="55" t="n"/>
      <c r="G462" s="56" t="n"/>
      <c r="H462" s="57" t="n"/>
      <c r="I462" s="55" t="n"/>
      <c r="J462" s="53" t="n"/>
      <c r="K462" s="54" t="n"/>
      <c r="L462" s="55" t="n"/>
      <c r="M462" s="55" t="n"/>
      <c r="N462" s="57" t="n"/>
      <c r="O462" s="55" t="n"/>
      <c r="P462" s="56" t="n"/>
      <c r="Q462" s="55" t="n"/>
      <c r="R462" s="55" t="n"/>
      <c r="S462" s="55" t="n"/>
      <c r="T462" s="55" t="n"/>
      <c r="U462" s="55" t="n"/>
      <c r="V462" s="55" t="n"/>
      <c r="W462" s="58" t="n"/>
      <c r="X462" s="58" t="n"/>
      <c r="Y462" s="55" t="n"/>
      <c r="Z462" s="55" t="n"/>
      <c r="AA462" s="55" t="n"/>
      <c r="AB462" s="55" t="n"/>
      <c r="AC462" s="55" t="n"/>
      <c r="AD462" s="53" t="n"/>
      <c r="AE462" s="55" t="n"/>
      <c r="AF462" s="55" t="n"/>
      <c r="AG462" s="59" t="n"/>
      <c r="AH462" s="57" t="n"/>
      <c r="AI462" s="55" t="n"/>
      <c r="AJ462" s="55" t="n"/>
      <c r="AK462" s="55" t="n"/>
      <c r="AL462" s="55" t="n"/>
      <c r="AM462" s="56" t="n"/>
      <c r="AN462" s="55" t="n"/>
      <c r="AO462" s="55" t="n"/>
      <c r="AP462" s="55" t="n"/>
      <c r="AQ462" s="55" t="n"/>
      <c r="AR462" s="60">
        <f>IF(AND(C462="",E462=""),"",IF(A462="","⚠ Date manquante",IF(AND(C462="",E462&lt;&gt;"Dépense"),"⚠ Prospect manquant",IF(E462="","⚠ Action manquante",IF(AND(AU462=1,D462=""),"⚠ Canal manquant",IF(AND(W462&lt;&gt;"",COUNTIFS('Saisie'!$W$5:$W$2004,W462,'Saisie'!$C$5:$C$2004,"&lt;&gt;"&amp;C462)&gt;0),"⚠ Numéro déjà utilisé par un autre prospect",IF(AND(J462&lt;&gt;"",J462&lt;A462),"⚠ Relance avant la date de l'action",IF(A462&gt;TODAY(),"⚠ Date dans le futur","✓"))))))))</f>
        <v/>
      </c>
      <c r="AS462" s="61">
        <f>IF(AND(A462="",C462="",E462=""),"",ROW())</f>
        <v/>
      </c>
      <c r="AT462" s="61">
        <f>IF(E462&amp;F462="","",MAX(IFERROR(INDEX('Paramètres'!$J$6:$J$33,MATCH(E462,'Paramètres'!$I$6:$I$33,0)),0),IFERROR(INDEX('Paramètres'!$N$6:$N$17,MATCH(F462,'Paramètres'!$M$6:$M$17,0)),0)))</f>
        <v/>
      </c>
      <c r="AU462" s="61">
        <f>IF(E462="","",IFERROR(IF(INDEX('Paramètres'!$K$6:$K$33,MATCH(E462,'Paramètres'!$I$6:$I$33,0))="Oui",1,0),0))</f>
        <v/>
      </c>
      <c r="AV462" s="61">
        <f>IF(F462="","",IFERROR(IF(INDEX('Paramètres'!$O$6:$O$17,MATCH(F462,'Paramètres'!$M$6:$M$17,0))="Oui",1,0),0))</f>
        <v/>
      </c>
      <c r="AW462" s="62">
        <f>IF(E462="","",IF(G462&lt;&gt;"",G462,IF(OR(E462="Proposition envoyée",E462="Signature"),MAX(0,N(IFERROR(INDEX('Paramètres'!$R$6:$R$15,MATCH(IF(AL462&lt;&gt;"",AL462,IFERROR(INDEX('Prospects'!$AN$5:$AN$504,MATCH(C462,'Prospects'!$C$5:$C$504,0)),"")),'Paramètres'!$Q$6:$Q$15,0)),0))-N(P462)),0)))</f>
        <v/>
      </c>
      <c r="AX462" s="61">
        <f>IF(C462="","",IF(COUNTIF($C$5:C462,C462)=1,MAX($AX$4:AX461)+1,""))</f>
        <v/>
      </c>
      <c r="AY462" s="61">
        <f>IF(B462="","",HOUR(B462))</f>
        <v/>
      </c>
      <c r="AZ462" s="61">
        <f>IF(A462="","",MOD(A462-2,7)+1)</f>
        <v/>
      </c>
      <c r="BA462" s="60">
        <f>IF(C462="","",IFERROR(INDEX('Prospects'!$N$5:$N$504,MATCH(C462,'Prospects'!$C$5:$C$504,0)),""))</f>
        <v/>
      </c>
      <c r="BB462" s="61">
        <f>IF(AND(C462&lt;&gt;"",C462='Fiche prospect'!$C$4),COUNTIF($C$5:C462,C462),"")</f>
        <v/>
      </c>
    </row>
    <row r="463">
      <c r="A463" s="53" t="n"/>
      <c r="B463" s="54" t="n"/>
      <c r="C463" s="55" t="n"/>
      <c r="D463" s="55" t="n"/>
      <c r="E463" s="55" t="n"/>
      <c r="F463" s="55" t="n"/>
      <c r="G463" s="56" t="n"/>
      <c r="H463" s="57" t="n"/>
      <c r="I463" s="55" t="n"/>
      <c r="J463" s="53" t="n"/>
      <c r="K463" s="54" t="n"/>
      <c r="L463" s="55" t="n"/>
      <c r="M463" s="55" t="n"/>
      <c r="N463" s="57" t="n"/>
      <c r="O463" s="55" t="n"/>
      <c r="P463" s="56" t="n"/>
      <c r="Q463" s="55" t="n"/>
      <c r="R463" s="55" t="n"/>
      <c r="S463" s="55" t="n"/>
      <c r="T463" s="55" t="n"/>
      <c r="U463" s="55" t="n"/>
      <c r="V463" s="55" t="n"/>
      <c r="W463" s="58" t="n"/>
      <c r="X463" s="58" t="n"/>
      <c r="Y463" s="55" t="n"/>
      <c r="Z463" s="55" t="n"/>
      <c r="AA463" s="55" t="n"/>
      <c r="AB463" s="55" t="n"/>
      <c r="AC463" s="55" t="n"/>
      <c r="AD463" s="53" t="n"/>
      <c r="AE463" s="55" t="n"/>
      <c r="AF463" s="55" t="n"/>
      <c r="AG463" s="59" t="n"/>
      <c r="AH463" s="57" t="n"/>
      <c r="AI463" s="55" t="n"/>
      <c r="AJ463" s="55" t="n"/>
      <c r="AK463" s="55" t="n"/>
      <c r="AL463" s="55" t="n"/>
      <c r="AM463" s="56" t="n"/>
      <c r="AN463" s="55" t="n"/>
      <c r="AO463" s="55" t="n"/>
      <c r="AP463" s="55" t="n"/>
      <c r="AQ463" s="55" t="n"/>
      <c r="AR463" s="60">
        <f>IF(AND(C463="",E463=""),"",IF(A463="","⚠ Date manquante",IF(AND(C463="",E463&lt;&gt;"Dépense"),"⚠ Prospect manquant",IF(E463="","⚠ Action manquante",IF(AND(AU463=1,D463=""),"⚠ Canal manquant",IF(AND(W463&lt;&gt;"",COUNTIFS('Saisie'!$W$5:$W$2004,W463,'Saisie'!$C$5:$C$2004,"&lt;&gt;"&amp;C463)&gt;0),"⚠ Numéro déjà utilisé par un autre prospect",IF(AND(J463&lt;&gt;"",J463&lt;A463),"⚠ Relance avant la date de l'action",IF(A463&gt;TODAY(),"⚠ Date dans le futur","✓"))))))))</f>
        <v/>
      </c>
      <c r="AS463" s="61">
        <f>IF(AND(A463="",C463="",E463=""),"",ROW())</f>
        <v/>
      </c>
      <c r="AT463" s="61">
        <f>IF(E463&amp;F463="","",MAX(IFERROR(INDEX('Paramètres'!$J$6:$J$33,MATCH(E463,'Paramètres'!$I$6:$I$33,0)),0),IFERROR(INDEX('Paramètres'!$N$6:$N$17,MATCH(F463,'Paramètres'!$M$6:$M$17,0)),0)))</f>
        <v/>
      </c>
      <c r="AU463" s="61">
        <f>IF(E463="","",IFERROR(IF(INDEX('Paramètres'!$K$6:$K$33,MATCH(E463,'Paramètres'!$I$6:$I$33,0))="Oui",1,0),0))</f>
        <v/>
      </c>
      <c r="AV463" s="61">
        <f>IF(F463="","",IFERROR(IF(INDEX('Paramètres'!$O$6:$O$17,MATCH(F463,'Paramètres'!$M$6:$M$17,0))="Oui",1,0),0))</f>
        <v/>
      </c>
      <c r="AW463" s="62">
        <f>IF(E463="","",IF(G463&lt;&gt;"",G463,IF(OR(E463="Proposition envoyée",E463="Signature"),MAX(0,N(IFERROR(INDEX('Paramètres'!$R$6:$R$15,MATCH(IF(AL463&lt;&gt;"",AL463,IFERROR(INDEX('Prospects'!$AN$5:$AN$504,MATCH(C463,'Prospects'!$C$5:$C$504,0)),"")),'Paramètres'!$Q$6:$Q$15,0)),0))-N(P463)),0)))</f>
        <v/>
      </c>
      <c r="AX463" s="61">
        <f>IF(C463="","",IF(COUNTIF($C$5:C463,C463)=1,MAX($AX$4:AX462)+1,""))</f>
        <v/>
      </c>
      <c r="AY463" s="61">
        <f>IF(B463="","",HOUR(B463))</f>
        <v/>
      </c>
      <c r="AZ463" s="61">
        <f>IF(A463="","",MOD(A463-2,7)+1)</f>
        <v/>
      </c>
      <c r="BA463" s="60">
        <f>IF(C463="","",IFERROR(INDEX('Prospects'!$N$5:$N$504,MATCH(C463,'Prospects'!$C$5:$C$504,0)),""))</f>
        <v/>
      </c>
      <c r="BB463" s="61">
        <f>IF(AND(C463&lt;&gt;"",C463='Fiche prospect'!$C$4),COUNTIF($C$5:C463,C463),"")</f>
        <v/>
      </c>
    </row>
    <row r="464">
      <c r="A464" s="53" t="n"/>
      <c r="B464" s="54" t="n"/>
      <c r="C464" s="55" t="n"/>
      <c r="D464" s="55" t="n"/>
      <c r="E464" s="55" t="n"/>
      <c r="F464" s="55" t="n"/>
      <c r="G464" s="56" t="n"/>
      <c r="H464" s="57" t="n"/>
      <c r="I464" s="55" t="n"/>
      <c r="J464" s="53" t="n"/>
      <c r="K464" s="54" t="n"/>
      <c r="L464" s="55" t="n"/>
      <c r="M464" s="55" t="n"/>
      <c r="N464" s="57" t="n"/>
      <c r="O464" s="55" t="n"/>
      <c r="P464" s="56" t="n"/>
      <c r="Q464" s="55" t="n"/>
      <c r="R464" s="55" t="n"/>
      <c r="S464" s="55" t="n"/>
      <c r="T464" s="55" t="n"/>
      <c r="U464" s="55" t="n"/>
      <c r="V464" s="55" t="n"/>
      <c r="W464" s="58" t="n"/>
      <c r="X464" s="58" t="n"/>
      <c r="Y464" s="55" t="n"/>
      <c r="Z464" s="55" t="n"/>
      <c r="AA464" s="55" t="n"/>
      <c r="AB464" s="55" t="n"/>
      <c r="AC464" s="55" t="n"/>
      <c r="AD464" s="53" t="n"/>
      <c r="AE464" s="55" t="n"/>
      <c r="AF464" s="55" t="n"/>
      <c r="AG464" s="59" t="n"/>
      <c r="AH464" s="57" t="n"/>
      <c r="AI464" s="55" t="n"/>
      <c r="AJ464" s="55" t="n"/>
      <c r="AK464" s="55" t="n"/>
      <c r="AL464" s="55" t="n"/>
      <c r="AM464" s="56" t="n"/>
      <c r="AN464" s="55" t="n"/>
      <c r="AO464" s="55" t="n"/>
      <c r="AP464" s="55" t="n"/>
      <c r="AQ464" s="55" t="n"/>
      <c r="AR464" s="60">
        <f>IF(AND(C464="",E464=""),"",IF(A464="","⚠ Date manquante",IF(AND(C464="",E464&lt;&gt;"Dépense"),"⚠ Prospect manquant",IF(E464="","⚠ Action manquante",IF(AND(AU464=1,D464=""),"⚠ Canal manquant",IF(AND(W464&lt;&gt;"",COUNTIFS('Saisie'!$W$5:$W$2004,W464,'Saisie'!$C$5:$C$2004,"&lt;&gt;"&amp;C464)&gt;0),"⚠ Numéro déjà utilisé par un autre prospect",IF(AND(J464&lt;&gt;"",J464&lt;A464),"⚠ Relance avant la date de l'action",IF(A464&gt;TODAY(),"⚠ Date dans le futur","✓"))))))))</f>
        <v/>
      </c>
      <c r="AS464" s="61">
        <f>IF(AND(A464="",C464="",E464=""),"",ROW())</f>
        <v/>
      </c>
      <c r="AT464" s="61">
        <f>IF(E464&amp;F464="","",MAX(IFERROR(INDEX('Paramètres'!$J$6:$J$33,MATCH(E464,'Paramètres'!$I$6:$I$33,0)),0),IFERROR(INDEX('Paramètres'!$N$6:$N$17,MATCH(F464,'Paramètres'!$M$6:$M$17,0)),0)))</f>
        <v/>
      </c>
      <c r="AU464" s="61">
        <f>IF(E464="","",IFERROR(IF(INDEX('Paramètres'!$K$6:$K$33,MATCH(E464,'Paramètres'!$I$6:$I$33,0))="Oui",1,0),0))</f>
        <v/>
      </c>
      <c r="AV464" s="61">
        <f>IF(F464="","",IFERROR(IF(INDEX('Paramètres'!$O$6:$O$17,MATCH(F464,'Paramètres'!$M$6:$M$17,0))="Oui",1,0),0))</f>
        <v/>
      </c>
      <c r="AW464" s="62">
        <f>IF(E464="","",IF(G464&lt;&gt;"",G464,IF(OR(E464="Proposition envoyée",E464="Signature"),MAX(0,N(IFERROR(INDEX('Paramètres'!$R$6:$R$15,MATCH(IF(AL464&lt;&gt;"",AL464,IFERROR(INDEX('Prospects'!$AN$5:$AN$504,MATCH(C464,'Prospects'!$C$5:$C$504,0)),"")),'Paramètres'!$Q$6:$Q$15,0)),0))-N(P464)),0)))</f>
        <v/>
      </c>
      <c r="AX464" s="61">
        <f>IF(C464="","",IF(COUNTIF($C$5:C464,C464)=1,MAX($AX$4:AX463)+1,""))</f>
        <v/>
      </c>
      <c r="AY464" s="61">
        <f>IF(B464="","",HOUR(B464))</f>
        <v/>
      </c>
      <c r="AZ464" s="61">
        <f>IF(A464="","",MOD(A464-2,7)+1)</f>
        <v/>
      </c>
      <c r="BA464" s="60">
        <f>IF(C464="","",IFERROR(INDEX('Prospects'!$N$5:$N$504,MATCH(C464,'Prospects'!$C$5:$C$504,0)),""))</f>
        <v/>
      </c>
      <c r="BB464" s="61">
        <f>IF(AND(C464&lt;&gt;"",C464='Fiche prospect'!$C$4),COUNTIF($C$5:C464,C464),"")</f>
        <v/>
      </c>
    </row>
    <row r="465">
      <c r="A465" s="53" t="n"/>
      <c r="B465" s="54" t="n"/>
      <c r="C465" s="55" t="n"/>
      <c r="D465" s="55" t="n"/>
      <c r="E465" s="55" t="n"/>
      <c r="F465" s="55" t="n"/>
      <c r="G465" s="56" t="n"/>
      <c r="H465" s="57" t="n"/>
      <c r="I465" s="55" t="n"/>
      <c r="J465" s="53" t="n"/>
      <c r="K465" s="54" t="n"/>
      <c r="L465" s="55" t="n"/>
      <c r="M465" s="55" t="n"/>
      <c r="N465" s="57" t="n"/>
      <c r="O465" s="55" t="n"/>
      <c r="P465" s="56" t="n"/>
      <c r="Q465" s="55" t="n"/>
      <c r="R465" s="55" t="n"/>
      <c r="S465" s="55" t="n"/>
      <c r="T465" s="55" t="n"/>
      <c r="U465" s="55" t="n"/>
      <c r="V465" s="55" t="n"/>
      <c r="W465" s="58" t="n"/>
      <c r="X465" s="58" t="n"/>
      <c r="Y465" s="55" t="n"/>
      <c r="Z465" s="55" t="n"/>
      <c r="AA465" s="55" t="n"/>
      <c r="AB465" s="55" t="n"/>
      <c r="AC465" s="55" t="n"/>
      <c r="AD465" s="53" t="n"/>
      <c r="AE465" s="55" t="n"/>
      <c r="AF465" s="55" t="n"/>
      <c r="AG465" s="59" t="n"/>
      <c r="AH465" s="57" t="n"/>
      <c r="AI465" s="55" t="n"/>
      <c r="AJ465" s="55" t="n"/>
      <c r="AK465" s="55" t="n"/>
      <c r="AL465" s="55" t="n"/>
      <c r="AM465" s="56" t="n"/>
      <c r="AN465" s="55" t="n"/>
      <c r="AO465" s="55" t="n"/>
      <c r="AP465" s="55" t="n"/>
      <c r="AQ465" s="55" t="n"/>
      <c r="AR465" s="60">
        <f>IF(AND(C465="",E465=""),"",IF(A465="","⚠ Date manquante",IF(AND(C465="",E465&lt;&gt;"Dépense"),"⚠ Prospect manquant",IF(E465="","⚠ Action manquante",IF(AND(AU465=1,D465=""),"⚠ Canal manquant",IF(AND(W465&lt;&gt;"",COUNTIFS('Saisie'!$W$5:$W$2004,W465,'Saisie'!$C$5:$C$2004,"&lt;&gt;"&amp;C465)&gt;0),"⚠ Numéro déjà utilisé par un autre prospect",IF(AND(J465&lt;&gt;"",J465&lt;A465),"⚠ Relance avant la date de l'action",IF(A465&gt;TODAY(),"⚠ Date dans le futur","✓"))))))))</f>
        <v/>
      </c>
      <c r="AS465" s="61">
        <f>IF(AND(A465="",C465="",E465=""),"",ROW())</f>
        <v/>
      </c>
      <c r="AT465" s="61">
        <f>IF(E465&amp;F465="","",MAX(IFERROR(INDEX('Paramètres'!$J$6:$J$33,MATCH(E465,'Paramètres'!$I$6:$I$33,0)),0),IFERROR(INDEX('Paramètres'!$N$6:$N$17,MATCH(F465,'Paramètres'!$M$6:$M$17,0)),0)))</f>
        <v/>
      </c>
      <c r="AU465" s="61">
        <f>IF(E465="","",IFERROR(IF(INDEX('Paramètres'!$K$6:$K$33,MATCH(E465,'Paramètres'!$I$6:$I$33,0))="Oui",1,0),0))</f>
        <v/>
      </c>
      <c r="AV465" s="61">
        <f>IF(F465="","",IFERROR(IF(INDEX('Paramètres'!$O$6:$O$17,MATCH(F465,'Paramètres'!$M$6:$M$17,0))="Oui",1,0),0))</f>
        <v/>
      </c>
      <c r="AW465" s="62">
        <f>IF(E465="","",IF(G465&lt;&gt;"",G465,IF(OR(E465="Proposition envoyée",E465="Signature"),MAX(0,N(IFERROR(INDEX('Paramètres'!$R$6:$R$15,MATCH(IF(AL465&lt;&gt;"",AL465,IFERROR(INDEX('Prospects'!$AN$5:$AN$504,MATCH(C465,'Prospects'!$C$5:$C$504,0)),"")),'Paramètres'!$Q$6:$Q$15,0)),0))-N(P465)),0)))</f>
        <v/>
      </c>
      <c r="AX465" s="61">
        <f>IF(C465="","",IF(COUNTIF($C$5:C465,C465)=1,MAX($AX$4:AX464)+1,""))</f>
        <v/>
      </c>
      <c r="AY465" s="61">
        <f>IF(B465="","",HOUR(B465))</f>
        <v/>
      </c>
      <c r="AZ465" s="61">
        <f>IF(A465="","",MOD(A465-2,7)+1)</f>
        <v/>
      </c>
      <c r="BA465" s="60">
        <f>IF(C465="","",IFERROR(INDEX('Prospects'!$N$5:$N$504,MATCH(C465,'Prospects'!$C$5:$C$504,0)),""))</f>
        <v/>
      </c>
      <c r="BB465" s="61">
        <f>IF(AND(C465&lt;&gt;"",C465='Fiche prospect'!$C$4),COUNTIF($C$5:C465,C465),"")</f>
        <v/>
      </c>
    </row>
    <row r="466">
      <c r="A466" s="53" t="n"/>
      <c r="B466" s="54" t="n"/>
      <c r="C466" s="55" t="n"/>
      <c r="D466" s="55" t="n"/>
      <c r="E466" s="55" t="n"/>
      <c r="F466" s="55" t="n"/>
      <c r="G466" s="56" t="n"/>
      <c r="H466" s="57" t="n"/>
      <c r="I466" s="55" t="n"/>
      <c r="J466" s="53" t="n"/>
      <c r="K466" s="54" t="n"/>
      <c r="L466" s="55" t="n"/>
      <c r="M466" s="55" t="n"/>
      <c r="N466" s="57" t="n"/>
      <c r="O466" s="55" t="n"/>
      <c r="P466" s="56" t="n"/>
      <c r="Q466" s="55" t="n"/>
      <c r="R466" s="55" t="n"/>
      <c r="S466" s="55" t="n"/>
      <c r="T466" s="55" t="n"/>
      <c r="U466" s="55" t="n"/>
      <c r="V466" s="55" t="n"/>
      <c r="W466" s="58" t="n"/>
      <c r="X466" s="58" t="n"/>
      <c r="Y466" s="55" t="n"/>
      <c r="Z466" s="55" t="n"/>
      <c r="AA466" s="55" t="n"/>
      <c r="AB466" s="55" t="n"/>
      <c r="AC466" s="55" t="n"/>
      <c r="AD466" s="53" t="n"/>
      <c r="AE466" s="55" t="n"/>
      <c r="AF466" s="55" t="n"/>
      <c r="AG466" s="59" t="n"/>
      <c r="AH466" s="57" t="n"/>
      <c r="AI466" s="55" t="n"/>
      <c r="AJ466" s="55" t="n"/>
      <c r="AK466" s="55" t="n"/>
      <c r="AL466" s="55" t="n"/>
      <c r="AM466" s="56" t="n"/>
      <c r="AN466" s="55" t="n"/>
      <c r="AO466" s="55" t="n"/>
      <c r="AP466" s="55" t="n"/>
      <c r="AQ466" s="55" t="n"/>
      <c r="AR466" s="60">
        <f>IF(AND(C466="",E466=""),"",IF(A466="","⚠ Date manquante",IF(AND(C466="",E466&lt;&gt;"Dépense"),"⚠ Prospect manquant",IF(E466="","⚠ Action manquante",IF(AND(AU466=1,D466=""),"⚠ Canal manquant",IF(AND(W466&lt;&gt;"",COUNTIFS('Saisie'!$W$5:$W$2004,W466,'Saisie'!$C$5:$C$2004,"&lt;&gt;"&amp;C466)&gt;0),"⚠ Numéro déjà utilisé par un autre prospect",IF(AND(J466&lt;&gt;"",J466&lt;A466),"⚠ Relance avant la date de l'action",IF(A466&gt;TODAY(),"⚠ Date dans le futur","✓"))))))))</f>
        <v/>
      </c>
      <c r="AS466" s="61">
        <f>IF(AND(A466="",C466="",E466=""),"",ROW())</f>
        <v/>
      </c>
      <c r="AT466" s="61">
        <f>IF(E466&amp;F466="","",MAX(IFERROR(INDEX('Paramètres'!$J$6:$J$33,MATCH(E466,'Paramètres'!$I$6:$I$33,0)),0),IFERROR(INDEX('Paramètres'!$N$6:$N$17,MATCH(F466,'Paramètres'!$M$6:$M$17,0)),0)))</f>
        <v/>
      </c>
      <c r="AU466" s="61">
        <f>IF(E466="","",IFERROR(IF(INDEX('Paramètres'!$K$6:$K$33,MATCH(E466,'Paramètres'!$I$6:$I$33,0))="Oui",1,0),0))</f>
        <v/>
      </c>
      <c r="AV466" s="61">
        <f>IF(F466="","",IFERROR(IF(INDEX('Paramètres'!$O$6:$O$17,MATCH(F466,'Paramètres'!$M$6:$M$17,0))="Oui",1,0),0))</f>
        <v/>
      </c>
      <c r="AW466" s="62">
        <f>IF(E466="","",IF(G466&lt;&gt;"",G466,IF(OR(E466="Proposition envoyée",E466="Signature"),MAX(0,N(IFERROR(INDEX('Paramètres'!$R$6:$R$15,MATCH(IF(AL466&lt;&gt;"",AL466,IFERROR(INDEX('Prospects'!$AN$5:$AN$504,MATCH(C466,'Prospects'!$C$5:$C$504,0)),"")),'Paramètres'!$Q$6:$Q$15,0)),0))-N(P466)),0)))</f>
        <v/>
      </c>
      <c r="AX466" s="61">
        <f>IF(C466="","",IF(COUNTIF($C$5:C466,C466)=1,MAX($AX$4:AX465)+1,""))</f>
        <v/>
      </c>
      <c r="AY466" s="61">
        <f>IF(B466="","",HOUR(B466))</f>
        <v/>
      </c>
      <c r="AZ466" s="61">
        <f>IF(A466="","",MOD(A466-2,7)+1)</f>
        <v/>
      </c>
      <c r="BA466" s="60">
        <f>IF(C466="","",IFERROR(INDEX('Prospects'!$N$5:$N$504,MATCH(C466,'Prospects'!$C$5:$C$504,0)),""))</f>
        <v/>
      </c>
      <c r="BB466" s="61">
        <f>IF(AND(C466&lt;&gt;"",C466='Fiche prospect'!$C$4),COUNTIF($C$5:C466,C466),"")</f>
        <v/>
      </c>
    </row>
    <row r="467">
      <c r="A467" s="53" t="n"/>
      <c r="B467" s="54" t="n"/>
      <c r="C467" s="55" t="n"/>
      <c r="D467" s="55" t="n"/>
      <c r="E467" s="55" t="n"/>
      <c r="F467" s="55" t="n"/>
      <c r="G467" s="56" t="n"/>
      <c r="H467" s="57" t="n"/>
      <c r="I467" s="55" t="n"/>
      <c r="J467" s="53" t="n"/>
      <c r="K467" s="54" t="n"/>
      <c r="L467" s="55" t="n"/>
      <c r="M467" s="55" t="n"/>
      <c r="N467" s="57" t="n"/>
      <c r="O467" s="55" t="n"/>
      <c r="P467" s="56" t="n"/>
      <c r="Q467" s="55" t="n"/>
      <c r="R467" s="55" t="n"/>
      <c r="S467" s="55" t="n"/>
      <c r="T467" s="55" t="n"/>
      <c r="U467" s="55" t="n"/>
      <c r="V467" s="55" t="n"/>
      <c r="W467" s="58" t="n"/>
      <c r="X467" s="58" t="n"/>
      <c r="Y467" s="55" t="n"/>
      <c r="Z467" s="55" t="n"/>
      <c r="AA467" s="55" t="n"/>
      <c r="AB467" s="55" t="n"/>
      <c r="AC467" s="55" t="n"/>
      <c r="AD467" s="53" t="n"/>
      <c r="AE467" s="55" t="n"/>
      <c r="AF467" s="55" t="n"/>
      <c r="AG467" s="59" t="n"/>
      <c r="AH467" s="57" t="n"/>
      <c r="AI467" s="55" t="n"/>
      <c r="AJ467" s="55" t="n"/>
      <c r="AK467" s="55" t="n"/>
      <c r="AL467" s="55" t="n"/>
      <c r="AM467" s="56" t="n"/>
      <c r="AN467" s="55" t="n"/>
      <c r="AO467" s="55" t="n"/>
      <c r="AP467" s="55" t="n"/>
      <c r="AQ467" s="55" t="n"/>
      <c r="AR467" s="60">
        <f>IF(AND(C467="",E467=""),"",IF(A467="","⚠ Date manquante",IF(AND(C467="",E467&lt;&gt;"Dépense"),"⚠ Prospect manquant",IF(E467="","⚠ Action manquante",IF(AND(AU467=1,D467=""),"⚠ Canal manquant",IF(AND(W467&lt;&gt;"",COUNTIFS('Saisie'!$W$5:$W$2004,W467,'Saisie'!$C$5:$C$2004,"&lt;&gt;"&amp;C467)&gt;0),"⚠ Numéro déjà utilisé par un autre prospect",IF(AND(J467&lt;&gt;"",J467&lt;A467),"⚠ Relance avant la date de l'action",IF(A467&gt;TODAY(),"⚠ Date dans le futur","✓"))))))))</f>
        <v/>
      </c>
      <c r="AS467" s="61">
        <f>IF(AND(A467="",C467="",E467=""),"",ROW())</f>
        <v/>
      </c>
      <c r="AT467" s="61">
        <f>IF(E467&amp;F467="","",MAX(IFERROR(INDEX('Paramètres'!$J$6:$J$33,MATCH(E467,'Paramètres'!$I$6:$I$33,0)),0),IFERROR(INDEX('Paramètres'!$N$6:$N$17,MATCH(F467,'Paramètres'!$M$6:$M$17,0)),0)))</f>
        <v/>
      </c>
      <c r="AU467" s="61">
        <f>IF(E467="","",IFERROR(IF(INDEX('Paramètres'!$K$6:$K$33,MATCH(E467,'Paramètres'!$I$6:$I$33,0))="Oui",1,0),0))</f>
        <v/>
      </c>
      <c r="AV467" s="61">
        <f>IF(F467="","",IFERROR(IF(INDEX('Paramètres'!$O$6:$O$17,MATCH(F467,'Paramètres'!$M$6:$M$17,0))="Oui",1,0),0))</f>
        <v/>
      </c>
      <c r="AW467" s="62">
        <f>IF(E467="","",IF(G467&lt;&gt;"",G467,IF(OR(E467="Proposition envoyée",E467="Signature"),MAX(0,N(IFERROR(INDEX('Paramètres'!$R$6:$R$15,MATCH(IF(AL467&lt;&gt;"",AL467,IFERROR(INDEX('Prospects'!$AN$5:$AN$504,MATCH(C467,'Prospects'!$C$5:$C$504,0)),"")),'Paramètres'!$Q$6:$Q$15,0)),0))-N(P467)),0)))</f>
        <v/>
      </c>
      <c r="AX467" s="61">
        <f>IF(C467="","",IF(COUNTIF($C$5:C467,C467)=1,MAX($AX$4:AX466)+1,""))</f>
        <v/>
      </c>
      <c r="AY467" s="61">
        <f>IF(B467="","",HOUR(B467))</f>
        <v/>
      </c>
      <c r="AZ467" s="61">
        <f>IF(A467="","",MOD(A467-2,7)+1)</f>
        <v/>
      </c>
      <c r="BA467" s="60">
        <f>IF(C467="","",IFERROR(INDEX('Prospects'!$N$5:$N$504,MATCH(C467,'Prospects'!$C$5:$C$504,0)),""))</f>
        <v/>
      </c>
      <c r="BB467" s="61">
        <f>IF(AND(C467&lt;&gt;"",C467='Fiche prospect'!$C$4),COUNTIF($C$5:C467,C467),"")</f>
        <v/>
      </c>
    </row>
    <row r="468">
      <c r="A468" s="53" t="n"/>
      <c r="B468" s="54" t="n"/>
      <c r="C468" s="55" t="n"/>
      <c r="D468" s="55" t="n"/>
      <c r="E468" s="55" t="n"/>
      <c r="F468" s="55" t="n"/>
      <c r="G468" s="56" t="n"/>
      <c r="H468" s="57" t="n"/>
      <c r="I468" s="55" t="n"/>
      <c r="J468" s="53" t="n"/>
      <c r="K468" s="54" t="n"/>
      <c r="L468" s="55" t="n"/>
      <c r="M468" s="55" t="n"/>
      <c r="N468" s="57" t="n"/>
      <c r="O468" s="55" t="n"/>
      <c r="P468" s="56" t="n"/>
      <c r="Q468" s="55" t="n"/>
      <c r="R468" s="55" t="n"/>
      <c r="S468" s="55" t="n"/>
      <c r="T468" s="55" t="n"/>
      <c r="U468" s="55" t="n"/>
      <c r="V468" s="55" t="n"/>
      <c r="W468" s="58" t="n"/>
      <c r="X468" s="58" t="n"/>
      <c r="Y468" s="55" t="n"/>
      <c r="Z468" s="55" t="n"/>
      <c r="AA468" s="55" t="n"/>
      <c r="AB468" s="55" t="n"/>
      <c r="AC468" s="55" t="n"/>
      <c r="AD468" s="53" t="n"/>
      <c r="AE468" s="55" t="n"/>
      <c r="AF468" s="55" t="n"/>
      <c r="AG468" s="59" t="n"/>
      <c r="AH468" s="57" t="n"/>
      <c r="AI468" s="55" t="n"/>
      <c r="AJ468" s="55" t="n"/>
      <c r="AK468" s="55" t="n"/>
      <c r="AL468" s="55" t="n"/>
      <c r="AM468" s="56" t="n"/>
      <c r="AN468" s="55" t="n"/>
      <c r="AO468" s="55" t="n"/>
      <c r="AP468" s="55" t="n"/>
      <c r="AQ468" s="55" t="n"/>
      <c r="AR468" s="60">
        <f>IF(AND(C468="",E468=""),"",IF(A468="","⚠ Date manquante",IF(AND(C468="",E468&lt;&gt;"Dépense"),"⚠ Prospect manquant",IF(E468="","⚠ Action manquante",IF(AND(AU468=1,D468=""),"⚠ Canal manquant",IF(AND(W468&lt;&gt;"",COUNTIFS('Saisie'!$W$5:$W$2004,W468,'Saisie'!$C$5:$C$2004,"&lt;&gt;"&amp;C468)&gt;0),"⚠ Numéro déjà utilisé par un autre prospect",IF(AND(J468&lt;&gt;"",J468&lt;A468),"⚠ Relance avant la date de l'action",IF(A468&gt;TODAY(),"⚠ Date dans le futur","✓"))))))))</f>
        <v/>
      </c>
      <c r="AS468" s="61">
        <f>IF(AND(A468="",C468="",E468=""),"",ROW())</f>
        <v/>
      </c>
      <c r="AT468" s="61">
        <f>IF(E468&amp;F468="","",MAX(IFERROR(INDEX('Paramètres'!$J$6:$J$33,MATCH(E468,'Paramètres'!$I$6:$I$33,0)),0),IFERROR(INDEX('Paramètres'!$N$6:$N$17,MATCH(F468,'Paramètres'!$M$6:$M$17,0)),0)))</f>
        <v/>
      </c>
      <c r="AU468" s="61">
        <f>IF(E468="","",IFERROR(IF(INDEX('Paramètres'!$K$6:$K$33,MATCH(E468,'Paramètres'!$I$6:$I$33,0))="Oui",1,0),0))</f>
        <v/>
      </c>
      <c r="AV468" s="61">
        <f>IF(F468="","",IFERROR(IF(INDEX('Paramètres'!$O$6:$O$17,MATCH(F468,'Paramètres'!$M$6:$M$17,0))="Oui",1,0),0))</f>
        <v/>
      </c>
      <c r="AW468" s="62">
        <f>IF(E468="","",IF(G468&lt;&gt;"",G468,IF(OR(E468="Proposition envoyée",E468="Signature"),MAX(0,N(IFERROR(INDEX('Paramètres'!$R$6:$R$15,MATCH(IF(AL468&lt;&gt;"",AL468,IFERROR(INDEX('Prospects'!$AN$5:$AN$504,MATCH(C468,'Prospects'!$C$5:$C$504,0)),"")),'Paramètres'!$Q$6:$Q$15,0)),0))-N(P468)),0)))</f>
        <v/>
      </c>
      <c r="AX468" s="61">
        <f>IF(C468="","",IF(COUNTIF($C$5:C468,C468)=1,MAX($AX$4:AX467)+1,""))</f>
        <v/>
      </c>
      <c r="AY468" s="61">
        <f>IF(B468="","",HOUR(B468))</f>
        <v/>
      </c>
      <c r="AZ468" s="61">
        <f>IF(A468="","",MOD(A468-2,7)+1)</f>
        <v/>
      </c>
      <c r="BA468" s="60">
        <f>IF(C468="","",IFERROR(INDEX('Prospects'!$N$5:$N$504,MATCH(C468,'Prospects'!$C$5:$C$504,0)),""))</f>
        <v/>
      </c>
      <c r="BB468" s="61">
        <f>IF(AND(C468&lt;&gt;"",C468='Fiche prospect'!$C$4),COUNTIF($C$5:C468,C468),"")</f>
        <v/>
      </c>
    </row>
    <row r="469">
      <c r="A469" s="53" t="n"/>
      <c r="B469" s="54" t="n"/>
      <c r="C469" s="55" t="n"/>
      <c r="D469" s="55" t="n"/>
      <c r="E469" s="55" t="n"/>
      <c r="F469" s="55" t="n"/>
      <c r="G469" s="56" t="n"/>
      <c r="H469" s="57" t="n"/>
      <c r="I469" s="55" t="n"/>
      <c r="J469" s="53" t="n"/>
      <c r="K469" s="54" t="n"/>
      <c r="L469" s="55" t="n"/>
      <c r="M469" s="55" t="n"/>
      <c r="N469" s="57" t="n"/>
      <c r="O469" s="55" t="n"/>
      <c r="P469" s="56" t="n"/>
      <c r="Q469" s="55" t="n"/>
      <c r="R469" s="55" t="n"/>
      <c r="S469" s="55" t="n"/>
      <c r="T469" s="55" t="n"/>
      <c r="U469" s="55" t="n"/>
      <c r="V469" s="55" t="n"/>
      <c r="W469" s="58" t="n"/>
      <c r="X469" s="58" t="n"/>
      <c r="Y469" s="55" t="n"/>
      <c r="Z469" s="55" t="n"/>
      <c r="AA469" s="55" t="n"/>
      <c r="AB469" s="55" t="n"/>
      <c r="AC469" s="55" t="n"/>
      <c r="AD469" s="53" t="n"/>
      <c r="AE469" s="55" t="n"/>
      <c r="AF469" s="55" t="n"/>
      <c r="AG469" s="59" t="n"/>
      <c r="AH469" s="57" t="n"/>
      <c r="AI469" s="55" t="n"/>
      <c r="AJ469" s="55" t="n"/>
      <c r="AK469" s="55" t="n"/>
      <c r="AL469" s="55" t="n"/>
      <c r="AM469" s="56" t="n"/>
      <c r="AN469" s="55" t="n"/>
      <c r="AO469" s="55" t="n"/>
      <c r="AP469" s="55" t="n"/>
      <c r="AQ469" s="55" t="n"/>
      <c r="AR469" s="60">
        <f>IF(AND(C469="",E469=""),"",IF(A469="","⚠ Date manquante",IF(AND(C469="",E469&lt;&gt;"Dépense"),"⚠ Prospect manquant",IF(E469="","⚠ Action manquante",IF(AND(AU469=1,D469=""),"⚠ Canal manquant",IF(AND(W469&lt;&gt;"",COUNTIFS('Saisie'!$W$5:$W$2004,W469,'Saisie'!$C$5:$C$2004,"&lt;&gt;"&amp;C469)&gt;0),"⚠ Numéro déjà utilisé par un autre prospect",IF(AND(J469&lt;&gt;"",J469&lt;A469),"⚠ Relance avant la date de l'action",IF(A469&gt;TODAY(),"⚠ Date dans le futur","✓"))))))))</f>
        <v/>
      </c>
      <c r="AS469" s="61">
        <f>IF(AND(A469="",C469="",E469=""),"",ROW())</f>
        <v/>
      </c>
      <c r="AT469" s="61">
        <f>IF(E469&amp;F469="","",MAX(IFERROR(INDEX('Paramètres'!$J$6:$J$33,MATCH(E469,'Paramètres'!$I$6:$I$33,0)),0),IFERROR(INDEX('Paramètres'!$N$6:$N$17,MATCH(F469,'Paramètres'!$M$6:$M$17,0)),0)))</f>
        <v/>
      </c>
      <c r="AU469" s="61">
        <f>IF(E469="","",IFERROR(IF(INDEX('Paramètres'!$K$6:$K$33,MATCH(E469,'Paramètres'!$I$6:$I$33,0))="Oui",1,0),0))</f>
        <v/>
      </c>
      <c r="AV469" s="61">
        <f>IF(F469="","",IFERROR(IF(INDEX('Paramètres'!$O$6:$O$17,MATCH(F469,'Paramètres'!$M$6:$M$17,0))="Oui",1,0),0))</f>
        <v/>
      </c>
      <c r="AW469" s="62">
        <f>IF(E469="","",IF(G469&lt;&gt;"",G469,IF(OR(E469="Proposition envoyée",E469="Signature"),MAX(0,N(IFERROR(INDEX('Paramètres'!$R$6:$R$15,MATCH(IF(AL469&lt;&gt;"",AL469,IFERROR(INDEX('Prospects'!$AN$5:$AN$504,MATCH(C469,'Prospects'!$C$5:$C$504,0)),"")),'Paramètres'!$Q$6:$Q$15,0)),0))-N(P469)),0)))</f>
        <v/>
      </c>
      <c r="AX469" s="61">
        <f>IF(C469="","",IF(COUNTIF($C$5:C469,C469)=1,MAX($AX$4:AX468)+1,""))</f>
        <v/>
      </c>
      <c r="AY469" s="61">
        <f>IF(B469="","",HOUR(B469))</f>
        <v/>
      </c>
      <c r="AZ469" s="61">
        <f>IF(A469="","",MOD(A469-2,7)+1)</f>
        <v/>
      </c>
      <c r="BA469" s="60">
        <f>IF(C469="","",IFERROR(INDEX('Prospects'!$N$5:$N$504,MATCH(C469,'Prospects'!$C$5:$C$504,0)),""))</f>
        <v/>
      </c>
      <c r="BB469" s="61">
        <f>IF(AND(C469&lt;&gt;"",C469='Fiche prospect'!$C$4),COUNTIF($C$5:C469,C469),"")</f>
        <v/>
      </c>
    </row>
    <row r="470">
      <c r="A470" s="53" t="n"/>
      <c r="B470" s="54" t="n"/>
      <c r="C470" s="55" t="n"/>
      <c r="D470" s="55" t="n"/>
      <c r="E470" s="55" t="n"/>
      <c r="F470" s="55" t="n"/>
      <c r="G470" s="56" t="n"/>
      <c r="H470" s="57" t="n"/>
      <c r="I470" s="55" t="n"/>
      <c r="J470" s="53" t="n"/>
      <c r="K470" s="54" t="n"/>
      <c r="L470" s="55" t="n"/>
      <c r="M470" s="55" t="n"/>
      <c r="N470" s="57" t="n"/>
      <c r="O470" s="55" t="n"/>
      <c r="P470" s="56" t="n"/>
      <c r="Q470" s="55" t="n"/>
      <c r="R470" s="55" t="n"/>
      <c r="S470" s="55" t="n"/>
      <c r="T470" s="55" t="n"/>
      <c r="U470" s="55" t="n"/>
      <c r="V470" s="55" t="n"/>
      <c r="W470" s="58" t="n"/>
      <c r="X470" s="58" t="n"/>
      <c r="Y470" s="55" t="n"/>
      <c r="Z470" s="55" t="n"/>
      <c r="AA470" s="55" t="n"/>
      <c r="AB470" s="55" t="n"/>
      <c r="AC470" s="55" t="n"/>
      <c r="AD470" s="53" t="n"/>
      <c r="AE470" s="55" t="n"/>
      <c r="AF470" s="55" t="n"/>
      <c r="AG470" s="59" t="n"/>
      <c r="AH470" s="57" t="n"/>
      <c r="AI470" s="55" t="n"/>
      <c r="AJ470" s="55" t="n"/>
      <c r="AK470" s="55" t="n"/>
      <c r="AL470" s="55" t="n"/>
      <c r="AM470" s="56" t="n"/>
      <c r="AN470" s="55" t="n"/>
      <c r="AO470" s="55" t="n"/>
      <c r="AP470" s="55" t="n"/>
      <c r="AQ470" s="55" t="n"/>
      <c r="AR470" s="60">
        <f>IF(AND(C470="",E470=""),"",IF(A470="","⚠ Date manquante",IF(AND(C470="",E470&lt;&gt;"Dépense"),"⚠ Prospect manquant",IF(E470="","⚠ Action manquante",IF(AND(AU470=1,D470=""),"⚠ Canal manquant",IF(AND(W470&lt;&gt;"",COUNTIFS('Saisie'!$W$5:$W$2004,W470,'Saisie'!$C$5:$C$2004,"&lt;&gt;"&amp;C470)&gt;0),"⚠ Numéro déjà utilisé par un autre prospect",IF(AND(J470&lt;&gt;"",J470&lt;A470),"⚠ Relance avant la date de l'action",IF(A470&gt;TODAY(),"⚠ Date dans le futur","✓"))))))))</f>
        <v/>
      </c>
      <c r="AS470" s="61">
        <f>IF(AND(A470="",C470="",E470=""),"",ROW())</f>
        <v/>
      </c>
      <c r="AT470" s="61">
        <f>IF(E470&amp;F470="","",MAX(IFERROR(INDEX('Paramètres'!$J$6:$J$33,MATCH(E470,'Paramètres'!$I$6:$I$33,0)),0),IFERROR(INDEX('Paramètres'!$N$6:$N$17,MATCH(F470,'Paramètres'!$M$6:$M$17,0)),0)))</f>
        <v/>
      </c>
      <c r="AU470" s="61">
        <f>IF(E470="","",IFERROR(IF(INDEX('Paramètres'!$K$6:$K$33,MATCH(E470,'Paramètres'!$I$6:$I$33,0))="Oui",1,0),0))</f>
        <v/>
      </c>
      <c r="AV470" s="61">
        <f>IF(F470="","",IFERROR(IF(INDEX('Paramètres'!$O$6:$O$17,MATCH(F470,'Paramètres'!$M$6:$M$17,0))="Oui",1,0),0))</f>
        <v/>
      </c>
      <c r="AW470" s="62">
        <f>IF(E470="","",IF(G470&lt;&gt;"",G470,IF(OR(E470="Proposition envoyée",E470="Signature"),MAX(0,N(IFERROR(INDEX('Paramètres'!$R$6:$R$15,MATCH(IF(AL470&lt;&gt;"",AL470,IFERROR(INDEX('Prospects'!$AN$5:$AN$504,MATCH(C470,'Prospects'!$C$5:$C$504,0)),"")),'Paramètres'!$Q$6:$Q$15,0)),0))-N(P470)),0)))</f>
        <v/>
      </c>
      <c r="AX470" s="61">
        <f>IF(C470="","",IF(COUNTIF($C$5:C470,C470)=1,MAX($AX$4:AX469)+1,""))</f>
        <v/>
      </c>
      <c r="AY470" s="61">
        <f>IF(B470="","",HOUR(B470))</f>
        <v/>
      </c>
      <c r="AZ470" s="61">
        <f>IF(A470="","",MOD(A470-2,7)+1)</f>
        <v/>
      </c>
      <c r="BA470" s="60">
        <f>IF(C470="","",IFERROR(INDEX('Prospects'!$N$5:$N$504,MATCH(C470,'Prospects'!$C$5:$C$504,0)),""))</f>
        <v/>
      </c>
      <c r="BB470" s="61">
        <f>IF(AND(C470&lt;&gt;"",C470='Fiche prospect'!$C$4),COUNTIF($C$5:C470,C470),"")</f>
        <v/>
      </c>
    </row>
    <row r="471">
      <c r="A471" s="53" t="n"/>
      <c r="B471" s="54" t="n"/>
      <c r="C471" s="55" t="n"/>
      <c r="D471" s="55" t="n"/>
      <c r="E471" s="55" t="n"/>
      <c r="F471" s="55" t="n"/>
      <c r="G471" s="56" t="n"/>
      <c r="H471" s="57" t="n"/>
      <c r="I471" s="55" t="n"/>
      <c r="J471" s="53" t="n"/>
      <c r="K471" s="54" t="n"/>
      <c r="L471" s="55" t="n"/>
      <c r="M471" s="55" t="n"/>
      <c r="N471" s="57" t="n"/>
      <c r="O471" s="55" t="n"/>
      <c r="P471" s="56" t="n"/>
      <c r="Q471" s="55" t="n"/>
      <c r="R471" s="55" t="n"/>
      <c r="S471" s="55" t="n"/>
      <c r="T471" s="55" t="n"/>
      <c r="U471" s="55" t="n"/>
      <c r="V471" s="55" t="n"/>
      <c r="W471" s="58" t="n"/>
      <c r="X471" s="58" t="n"/>
      <c r="Y471" s="55" t="n"/>
      <c r="Z471" s="55" t="n"/>
      <c r="AA471" s="55" t="n"/>
      <c r="AB471" s="55" t="n"/>
      <c r="AC471" s="55" t="n"/>
      <c r="AD471" s="53" t="n"/>
      <c r="AE471" s="55" t="n"/>
      <c r="AF471" s="55" t="n"/>
      <c r="AG471" s="59" t="n"/>
      <c r="AH471" s="57" t="n"/>
      <c r="AI471" s="55" t="n"/>
      <c r="AJ471" s="55" t="n"/>
      <c r="AK471" s="55" t="n"/>
      <c r="AL471" s="55" t="n"/>
      <c r="AM471" s="56" t="n"/>
      <c r="AN471" s="55" t="n"/>
      <c r="AO471" s="55" t="n"/>
      <c r="AP471" s="55" t="n"/>
      <c r="AQ471" s="55" t="n"/>
      <c r="AR471" s="60">
        <f>IF(AND(C471="",E471=""),"",IF(A471="","⚠ Date manquante",IF(AND(C471="",E471&lt;&gt;"Dépense"),"⚠ Prospect manquant",IF(E471="","⚠ Action manquante",IF(AND(AU471=1,D471=""),"⚠ Canal manquant",IF(AND(W471&lt;&gt;"",COUNTIFS('Saisie'!$W$5:$W$2004,W471,'Saisie'!$C$5:$C$2004,"&lt;&gt;"&amp;C471)&gt;0),"⚠ Numéro déjà utilisé par un autre prospect",IF(AND(J471&lt;&gt;"",J471&lt;A471),"⚠ Relance avant la date de l'action",IF(A471&gt;TODAY(),"⚠ Date dans le futur","✓"))))))))</f>
        <v/>
      </c>
      <c r="AS471" s="61">
        <f>IF(AND(A471="",C471="",E471=""),"",ROW())</f>
        <v/>
      </c>
      <c r="AT471" s="61">
        <f>IF(E471&amp;F471="","",MAX(IFERROR(INDEX('Paramètres'!$J$6:$J$33,MATCH(E471,'Paramètres'!$I$6:$I$33,0)),0),IFERROR(INDEX('Paramètres'!$N$6:$N$17,MATCH(F471,'Paramètres'!$M$6:$M$17,0)),0)))</f>
        <v/>
      </c>
      <c r="AU471" s="61">
        <f>IF(E471="","",IFERROR(IF(INDEX('Paramètres'!$K$6:$K$33,MATCH(E471,'Paramètres'!$I$6:$I$33,0))="Oui",1,0),0))</f>
        <v/>
      </c>
      <c r="AV471" s="61">
        <f>IF(F471="","",IFERROR(IF(INDEX('Paramètres'!$O$6:$O$17,MATCH(F471,'Paramètres'!$M$6:$M$17,0))="Oui",1,0),0))</f>
        <v/>
      </c>
      <c r="AW471" s="62">
        <f>IF(E471="","",IF(G471&lt;&gt;"",G471,IF(OR(E471="Proposition envoyée",E471="Signature"),MAX(0,N(IFERROR(INDEX('Paramètres'!$R$6:$R$15,MATCH(IF(AL471&lt;&gt;"",AL471,IFERROR(INDEX('Prospects'!$AN$5:$AN$504,MATCH(C471,'Prospects'!$C$5:$C$504,0)),"")),'Paramètres'!$Q$6:$Q$15,0)),0))-N(P471)),0)))</f>
        <v/>
      </c>
      <c r="AX471" s="61">
        <f>IF(C471="","",IF(COUNTIF($C$5:C471,C471)=1,MAX($AX$4:AX470)+1,""))</f>
        <v/>
      </c>
      <c r="AY471" s="61">
        <f>IF(B471="","",HOUR(B471))</f>
        <v/>
      </c>
      <c r="AZ471" s="61">
        <f>IF(A471="","",MOD(A471-2,7)+1)</f>
        <v/>
      </c>
      <c r="BA471" s="60">
        <f>IF(C471="","",IFERROR(INDEX('Prospects'!$N$5:$N$504,MATCH(C471,'Prospects'!$C$5:$C$504,0)),""))</f>
        <v/>
      </c>
      <c r="BB471" s="61">
        <f>IF(AND(C471&lt;&gt;"",C471='Fiche prospect'!$C$4),COUNTIF($C$5:C471,C471),"")</f>
        <v/>
      </c>
    </row>
    <row r="472">
      <c r="A472" s="53" t="n"/>
      <c r="B472" s="54" t="n"/>
      <c r="C472" s="55" t="n"/>
      <c r="D472" s="55" t="n"/>
      <c r="E472" s="55" t="n"/>
      <c r="F472" s="55" t="n"/>
      <c r="G472" s="56" t="n"/>
      <c r="H472" s="57" t="n"/>
      <c r="I472" s="55" t="n"/>
      <c r="J472" s="53" t="n"/>
      <c r="K472" s="54" t="n"/>
      <c r="L472" s="55" t="n"/>
      <c r="M472" s="55" t="n"/>
      <c r="N472" s="57" t="n"/>
      <c r="O472" s="55" t="n"/>
      <c r="P472" s="56" t="n"/>
      <c r="Q472" s="55" t="n"/>
      <c r="R472" s="55" t="n"/>
      <c r="S472" s="55" t="n"/>
      <c r="T472" s="55" t="n"/>
      <c r="U472" s="55" t="n"/>
      <c r="V472" s="55" t="n"/>
      <c r="W472" s="58" t="n"/>
      <c r="X472" s="58" t="n"/>
      <c r="Y472" s="55" t="n"/>
      <c r="Z472" s="55" t="n"/>
      <c r="AA472" s="55" t="n"/>
      <c r="AB472" s="55" t="n"/>
      <c r="AC472" s="55" t="n"/>
      <c r="AD472" s="53" t="n"/>
      <c r="AE472" s="55" t="n"/>
      <c r="AF472" s="55" t="n"/>
      <c r="AG472" s="59" t="n"/>
      <c r="AH472" s="57" t="n"/>
      <c r="AI472" s="55" t="n"/>
      <c r="AJ472" s="55" t="n"/>
      <c r="AK472" s="55" t="n"/>
      <c r="AL472" s="55" t="n"/>
      <c r="AM472" s="56" t="n"/>
      <c r="AN472" s="55" t="n"/>
      <c r="AO472" s="55" t="n"/>
      <c r="AP472" s="55" t="n"/>
      <c r="AQ472" s="55" t="n"/>
      <c r="AR472" s="60">
        <f>IF(AND(C472="",E472=""),"",IF(A472="","⚠ Date manquante",IF(AND(C472="",E472&lt;&gt;"Dépense"),"⚠ Prospect manquant",IF(E472="","⚠ Action manquante",IF(AND(AU472=1,D472=""),"⚠ Canal manquant",IF(AND(W472&lt;&gt;"",COUNTIFS('Saisie'!$W$5:$W$2004,W472,'Saisie'!$C$5:$C$2004,"&lt;&gt;"&amp;C472)&gt;0),"⚠ Numéro déjà utilisé par un autre prospect",IF(AND(J472&lt;&gt;"",J472&lt;A472),"⚠ Relance avant la date de l'action",IF(A472&gt;TODAY(),"⚠ Date dans le futur","✓"))))))))</f>
        <v/>
      </c>
      <c r="AS472" s="61">
        <f>IF(AND(A472="",C472="",E472=""),"",ROW())</f>
        <v/>
      </c>
      <c r="AT472" s="61">
        <f>IF(E472&amp;F472="","",MAX(IFERROR(INDEX('Paramètres'!$J$6:$J$33,MATCH(E472,'Paramètres'!$I$6:$I$33,0)),0),IFERROR(INDEX('Paramètres'!$N$6:$N$17,MATCH(F472,'Paramètres'!$M$6:$M$17,0)),0)))</f>
        <v/>
      </c>
      <c r="AU472" s="61">
        <f>IF(E472="","",IFERROR(IF(INDEX('Paramètres'!$K$6:$K$33,MATCH(E472,'Paramètres'!$I$6:$I$33,0))="Oui",1,0),0))</f>
        <v/>
      </c>
      <c r="AV472" s="61">
        <f>IF(F472="","",IFERROR(IF(INDEX('Paramètres'!$O$6:$O$17,MATCH(F472,'Paramètres'!$M$6:$M$17,0))="Oui",1,0),0))</f>
        <v/>
      </c>
      <c r="AW472" s="62">
        <f>IF(E472="","",IF(G472&lt;&gt;"",G472,IF(OR(E472="Proposition envoyée",E472="Signature"),MAX(0,N(IFERROR(INDEX('Paramètres'!$R$6:$R$15,MATCH(IF(AL472&lt;&gt;"",AL472,IFERROR(INDEX('Prospects'!$AN$5:$AN$504,MATCH(C472,'Prospects'!$C$5:$C$504,0)),"")),'Paramètres'!$Q$6:$Q$15,0)),0))-N(P472)),0)))</f>
        <v/>
      </c>
      <c r="AX472" s="61">
        <f>IF(C472="","",IF(COUNTIF($C$5:C472,C472)=1,MAX($AX$4:AX471)+1,""))</f>
        <v/>
      </c>
      <c r="AY472" s="61">
        <f>IF(B472="","",HOUR(B472))</f>
        <v/>
      </c>
      <c r="AZ472" s="61">
        <f>IF(A472="","",MOD(A472-2,7)+1)</f>
        <v/>
      </c>
      <c r="BA472" s="60">
        <f>IF(C472="","",IFERROR(INDEX('Prospects'!$N$5:$N$504,MATCH(C472,'Prospects'!$C$5:$C$504,0)),""))</f>
        <v/>
      </c>
      <c r="BB472" s="61">
        <f>IF(AND(C472&lt;&gt;"",C472='Fiche prospect'!$C$4),COUNTIF($C$5:C472,C472),"")</f>
        <v/>
      </c>
    </row>
    <row r="473">
      <c r="A473" s="53" t="n"/>
      <c r="B473" s="54" t="n"/>
      <c r="C473" s="55" t="n"/>
      <c r="D473" s="55" t="n"/>
      <c r="E473" s="55" t="n"/>
      <c r="F473" s="55" t="n"/>
      <c r="G473" s="56" t="n"/>
      <c r="H473" s="57" t="n"/>
      <c r="I473" s="55" t="n"/>
      <c r="J473" s="53" t="n"/>
      <c r="K473" s="54" t="n"/>
      <c r="L473" s="55" t="n"/>
      <c r="M473" s="55" t="n"/>
      <c r="N473" s="57" t="n"/>
      <c r="O473" s="55" t="n"/>
      <c r="P473" s="56" t="n"/>
      <c r="Q473" s="55" t="n"/>
      <c r="R473" s="55" t="n"/>
      <c r="S473" s="55" t="n"/>
      <c r="T473" s="55" t="n"/>
      <c r="U473" s="55" t="n"/>
      <c r="V473" s="55" t="n"/>
      <c r="W473" s="58" t="n"/>
      <c r="X473" s="58" t="n"/>
      <c r="Y473" s="55" t="n"/>
      <c r="Z473" s="55" t="n"/>
      <c r="AA473" s="55" t="n"/>
      <c r="AB473" s="55" t="n"/>
      <c r="AC473" s="55" t="n"/>
      <c r="AD473" s="53" t="n"/>
      <c r="AE473" s="55" t="n"/>
      <c r="AF473" s="55" t="n"/>
      <c r="AG473" s="59" t="n"/>
      <c r="AH473" s="57" t="n"/>
      <c r="AI473" s="55" t="n"/>
      <c r="AJ473" s="55" t="n"/>
      <c r="AK473" s="55" t="n"/>
      <c r="AL473" s="55" t="n"/>
      <c r="AM473" s="56" t="n"/>
      <c r="AN473" s="55" t="n"/>
      <c r="AO473" s="55" t="n"/>
      <c r="AP473" s="55" t="n"/>
      <c r="AQ473" s="55" t="n"/>
      <c r="AR473" s="60">
        <f>IF(AND(C473="",E473=""),"",IF(A473="","⚠ Date manquante",IF(AND(C473="",E473&lt;&gt;"Dépense"),"⚠ Prospect manquant",IF(E473="","⚠ Action manquante",IF(AND(AU473=1,D473=""),"⚠ Canal manquant",IF(AND(W473&lt;&gt;"",COUNTIFS('Saisie'!$W$5:$W$2004,W473,'Saisie'!$C$5:$C$2004,"&lt;&gt;"&amp;C473)&gt;0),"⚠ Numéro déjà utilisé par un autre prospect",IF(AND(J473&lt;&gt;"",J473&lt;A473),"⚠ Relance avant la date de l'action",IF(A473&gt;TODAY(),"⚠ Date dans le futur","✓"))))))))</f>
        <v/>
      </c>
      <c r="AS473" s="61">
        <f>IF(AND(A473="",C473="",E473=""),"",ROW())</f>
        <v/>
      </c>
      <c r="AT473" s="61">
        <f>IF(E473&amp;F473="","",MAX(IFERROR(INDEX('Paramètres'!$J$6:$J$33,MATCH(E473,'Paramètres'!$I$6:$I$33,0)),0),IFERROR(INDEX('Paramètres'!$N$6:$N$17,MATCH(F473,'Paramètres'!$M$6:$M$17,0)),0)))</f>
        <v/>
      </c>
      <c r="AU473" s="61">
        <f>IF(E473="","",IFERROR(IF(INDEX('Paramètres'!$K$6:$K$33,MATCH(E473,'Paramètres'!$I$6:$I$33,0))="Oui",1,0),0))</f>
        <v/>
      </c>
      <c r="AV473" s="61">
        <f>IF(F473="","",IFERROR(IF(INDEX('Paramètres'!$O$6:$O$17,MATCH(F473,'Paramètres'!$M$6:$M$17,0))="Oui",1,0),0))</f>
        <v/>
      </c>
      <c r="AW473" s="62">
        <f>IF(E473="","",IF(G473&lt;&gt;"",G473,IF(OR(E473="Proposition envoyée",E473="Signature"),MAX(0,N(IFERROR(INDEX('Paramètres'!$R$6:$R$15,MATCH(IF(AL473&lt;&gt;"",AL473,IFERROR(INDEX('Prospects'!$AN$5:$AN$504,MATCH(C473,'Prospects'!$C$5:$C$504,0)),"")),'Paramètres'!$Q$6:$Q$15,0)),0))-N(P473)),0)))</f>
        <v/>
      </c>
      <c r="AX473" s="61">
        <f>IF(C473="","",IF(COUNTIF($C$5:C473,C473)=1,MAX($AX$4:AX472)+1,""))</f>
        <v/>
      </c>
      <c r="AY473" s="61">
        <f>IF(B473="","",HOUR(B473))</f>
        <v/>
      </c>
      <c r="AZ473" s="61">
        <f>IF(A473="","",MOD(A473-2,7)+1)</f>
        <v/>
      </c>
      <c r="BA473" s="60">
        <f>IF(C473="","",IFERROR(INDEX('Prospects'!$N$5:$N$504,MATCH(C473,'Prospects'!$C$5:$C$504,0)),""))</f>
        <v/>
      </c>
      <c r="BB473" s="61">
        <f>IF(AND(C473&lt;&gt;"",C473='Fiche prospect'!$C$4),COUNTIF($C$5:C473,C473),"")</f>
        <v/>
      </c>
    </row>
    <row r="474">
      <c r="A474" s="53" t="n"/>
      <c r="B474" s="54" t="n"/>
      <c r="C474" s="55" t="n"/>
      <c r="D474" s="55" t="n"/>
      <c r="E474" s="55" t="n"/>
      <c r="F474" s="55" t="n"/>
      <c r="G474" s="56" t="n"/>
      <c r="H474" s="57" t="n"/>
      <c r="I474" s="55" t="n"/>
      <c r="J474" s="53" t="n"/>
      <c r="K474" s="54" t="n"/>
      <c r="L474" s="55" t="n"/>
      <c r="M474" s="55" t="n"/>
      <c r="N474" s="57" t="n"/>
      <c r="O474" s="55" t="n"/>
      <c r="P474" s="56" t="n"/>
      <c r="Q474" s="55" t="n"/>
      <c r="R474" s="55" t="n"/>
      <c r="S474" s="55" t="n"/>
      <c r="T474" s="55" t="n"/>
      <c r="U474" s="55" t="n"/>
      <c r="V474" s="55" t="n"/>
      <c r="W474" s="58" t="n"/>
      <c r="X474" s="58" t="n"/>
      <c r="Y474" s="55" t="n"/>
      <c r="Z474" s="55" t="n"/>
      <c r="AA474" s="55" t="n"/>
      <c r="AB474" s="55" t="n"/>
      <c r="AC474" s="55" t="n"/>
      <c r="AD474" s="53" t="n"/>
      <c r="AE474" s="55" t="n"/>
      <c r="AF474" s="55" t="n"/>
      <c r="AG474" s="59" t="n"/>
      <c r="AH474" s="57" t="n"/>
      <c r="AI474" s="55" t="n"/>
      <c r="AJ474" s="55" t="n"/>
      <c r="AK474" s="55" t="n"/>
      <c r="AL474" s="55" t="n"/>
      <c r="AM474" s="56" t="n"/>
      <c r="AN474" s="55" t="n"/>
      <c r="AO474" s="55" t="n"/>
      <c r="AP474" s="55" t="n"/>
      <c r="AQ474" s="55" t="n"/>
      <c r="AR474" s="60">
        <f>IF(AND(C474="",E474=""),"",IF(A474="","⚠ Date manquante",IF(AND(C474="",E474&lt;&gt;"Dépense"),"⚠ Prospect manquant",IF(E474="","⚠ Action manquante",IF(AND(AU474=1,D474=""),"⚠ Canal manquant",IF(AND(W474&lt;&gt;"",COUNTIFS('Saisie'!$W$5:$W$2004,W474,'Saisie'!$C$5:$C$2004,"&lt;&gt;"&amp;C474)&gt;0),"⚠ Numéro déjà utilisé par un autre prospect",IF(AND(J474&lt;&gt;"",J474&lt;A474),"⚠ Relance avant la date de l'action",IF(A474&gt;TODAY(),"⚠ Date dans le futur","✓"))))))))</f>
        <v/>
      </c>
      <c r="AS474" s="61">
        <f>IF(AND(A474="",C474="",E474=""),"",ROW())</f>
        <v/>
      </c>
      <c r="AT474" s="61">
        <f>IF(E474&amp;F474="","",MAX(IFERROR(INDEX('Paramètres'!$J$6:$J$33,MATCH(E474,'Paramètres'!$I$6:$I$33,0)),0),IFERROR(INDEX('Paramètres'!$N$6:$N$17,MATCH(F474,'Paramètres'!$M$6:$M$17,0)),0)))</f>
        <v/>
      </c>
      <c r="AU474" s="61">
        <f>IF(E474="","",IFERROR(IF(INDEX('Paramètres'!$K$6:$K$33,MATCH(E474,'Paramètres'!$I$6:$I$33,0))="Oui",1,0),0))</f>
        <v/>
      </c>
      <c r="AV474" s="61">
        <f>IF(F474="","",IFERROR(IF(INDEX('Paramètres'!$O$6:$O$17,MATCH(F474,'Paramètres'!$M$6:$M$17,0))="Oui",1,0),0))</f>
        <v/>
      </c>
      <c r="AW474" s="62">
        <f>IF(E474="","",IF(G474&lt;&gt;"",G474,IF(OR(E474="Proposition envoyée",E474="Signature"),MAX(0,N(IFERROR(INDEX('Paramètres'!$R$6:$R$15,MATCH(IF(AL474&lt;&gt;"",AL474,IFERROR(INDEX('Prospects'!$AN$5:$AN$504,MATCH(C474,'Prospects'!$C$5:$C$504,0)),"")),'Paramètres'!$Q$6:$Q$15,0)),0))-N(P474)),0)))</f>
        <v/>
      </c>
      <c r="AX474" s="61">
        <f>IF(C474="","",IF(COUNTIF($C$5:C474,C474)=1,MAX($AX$4:AX473)+1,""))</f>
        <v/>
      </c>
      <c r="AY474" s="61">
        <f>IF(B474="","",HOUR(B474))</f>
        <v/>
      </c>
      <c r="AZ474" s="61">
        <f>IF(A474="","",MOD(A474-2,7)+1)</f>
        <v/>
      </c>
      <c r="BA474" s="60">
        <f>IF(C474="","",IFERROR(INDEX('Prospects'!$N$5:$N$504,MATCH(C474,'Prospects'!$C$5:$C$504,0)),""))</f>
        <v/>
      </c>
      <c r="BB474" s="61">
        <f>IF(AND(C474&lt;&gt;"",C474='Fiche prospect'!$C$4),COUNTIF($C$5:C474,C474),"")</f>
        <v/>
      </c>
    </row>
    <row r="475">
      <c r="A475" s="53" t="n"/>
      <c r="B475" s="54" t="n"/>
      <c r="C475" s="55" t="n"/>
      <c r="D475" s="55" t="n"/>
      <c r="E475" s="55" t="n"/>
      <c r="F475" s="55" t="n"/>
      <c r="G475" s="56" t="n"/>
      <c r="H475" s="57" t="n"/>
      <c r="I475" s="55" t="n"/>
      <c r="J475" s="53" t="n"/>
      <c r="K475" s="54" t="n"/>
      <c r="L475" s="55" t="n"/>
      <c r="M475" s="55" t="n"/>
      <c r="N475" s="57" t="n"/>
      <c r="O475" s="55" t="n"/>
      <c r="P475" s="56" t="n"/>
      <c r="Q475" s="55" t="n"/>
      <c r="R475" s="55" t="n"/>
      <c r="S475" s="55" t="n"/>
      <c r="T475" s="55" t="n"/>
      <c r="U475" s="55" t="n"/>
      <c r="V475" s="55" t="n"/>
      <c r="W475" s="58" t="n"/>
      <c r="X475" s="58" t="n"/>
      <c r="Y475" s="55" t="n"/>
      <c r="Z475" s="55" t="n"/>
      <c r="AA475" s="55" t="n"/>
      <c r="AB475" s="55" t="n"/>
      <c r="AC475" s="55" t="n"/>
      <c r="AD475" s="53" t="n"/>
      <c r="AE475" s="55" t="n"/>
      <c r="AF475" s="55" t="n"/>
      <c r="AG475" s="59" t="n"/>
      <c r="AH475" s="57" t="n"/>
      <c r="AI475" s="55" t="n"/>
      <c r="AJ475" s="55" t="n"/>
      <c r="AK475" s="55" t="n"/>
      <c r="AL475" s="55" t="n"/>
      <c r="AM475" s="56" t="n"/>
      <c r="AN475" s="55" t="n"/>
      <c r="AO475" s="55" t="n"/>
      <c r="AP475" s="55" t="n"/>
      <c r="AQ475" s="55" t="n"/>
      <c r="AR475" s="60">
        <f>IF(AND(C475="",E475=""),"",IF(A475="","⚠ Date manquante",IF(AND(C475="",E475&lt;&gt;"Dépense"),"⚠ Prospect manquant",IF(E475="","⚠ Action manquante",IF(AND(AU475=1,D475=""),"⚠ Canal manquant",IF(AND(W475&lt;&gt;"",COUNTIFS('Saisie'!$W$5:$W$2004,W475,'Saisie'!$C$5:$C$2004,"&lt;&gt;"&amp;C475)&gt;0),"⚠ Numéro déjà utilisé par un autre prospect",IF(AND(J475&lt;&gt;"",J475&lt;A475),"⚠ Relance avant la date de l'action",IF(A475&gt;TODAY(),"⚠ Date dans le futur","✓"))))))))</f>
        <v/>
      </c>
      <c r="AS475" s="61">
        <f>IF(AND(A475="",C475="",E475=""),"",ROW())</f>
        <v/>
      </c>
      <c r="AT475" s="61">
        <f>IF(E475&amp;F475="","",MAX(IFERROR(INDEX('Paramètres'!$J$6:$J$33,MATCH(E475,'Paramètres'!$I$6:$I$33,0)),0),IFERROR(INDEX('Paramètres'!$N$6:$N$17,MATCH(F475,'Paramètres'!$M$6:$M$17,0)),0)))</f>
        <v/>
      </c>
      <c r="AU475" s="61">
        <f>IF(E475="","",IFERROR(IF(INDEX('Paramètres'!$K$6:$K$33,MATCH(E475,'Paramètres'!$I$6:$I$33,0))="Oui",1,0),0))</f>
        <v/>
      </c>
      <c r="AV475" s="61">
        <f>IF(F475="","",IFERROR(IF(INDEX('Paramètres'!$O$6:$O$17,MATCH(F475,'Paramètres'!$M$6:$M$17,0))="Oui",1,0),0))</f>
        <v/>
      </c>
      <c r="AW475" s="62">
        <f>IF(E475="","",IF(G475&lt;&gt;"",G475,IF(OR(E475="Proposition envoyée",E475="Signature"),MAX(0,N(IFERROR(INDEX('Paramètres'!$R$6:$R$15,MATCH(IF(AL475&lt;&gt;"",AL475,IFERROR(INDEX('Prospects'!$AN$5:$AN$504,MATCH(C475,'Prospects'!$C$5:$C$504,0)),"")),'Paramètres'!$Q$6:$Q$15,0)),0))-N(P475)),0)))</f>
        <v/>
      </c>
      <c r="AX475" s="61">
        <f>IF(C475="","",IF(COUNTIF($C$5:C475,C475)=1,MAX($AX$4:AX474)+1,""))</f>
        <v/>
      </c>
      <c r="AY475" s="61">
        <f>IF(B475="","",HOUR(B475))</f>
        <v/>
      </c>
      <c r="AZ475" s="61">
        <f>IF(A475="","",MOD(A475-2,7)+1)</f>
        <v/>
      </c>
      <c r="BA475" s="60">
        <f>IF(C475="","",IFERROR(INDEX('Prospects'!$N$5:$N$504,MATCH(C475,'Prospects'!$C$5:$C$504,0)),""))</f>
        <v/>
      </c>
      <c r="BB475" s="61">
        <f>IF(AND(C475&lt;&gt;"",C475='Fiche prospect'!$C$4),COUNTIF($C$5:C475,C475),"")</f>
        <v/>
      </c>
    </row>
    <row r="476">
      <c r="A476" s="53" t="n"/>
      <c r="B476" s="54" t="n"/>
      <c r="C476" s="55" t="n"/>
      <c r="D476" s="55" t="n"/>
      <c r="E476" s="55" t="n"/>
      <c r="F476" s="55" t="n"/>
      <c r="G476" s="56" t="n"/>
      <c r="H476" s="57" t="n"/>
      <c r="I476" s="55" t="n"/>
      <c r="J476" s="53" t="n"/>
      <c r="K476" s="54" t="n"/>
      <c r="L476" s="55" t="n"/>
      <c r="M476" s="55" t="n"/>
      <c r="N476" s="57" t="n"/>
      <c r="O476" s="55" t="n"/>
      <c r="P476" s="56" t="n"/>
      <c r="Q476" s="55" t="n"/>
      <c r="R476" s="55" t="n"/>
      <c r="S476" s="55" t="n"/>
      <c r="T476" s="55" t="n"/>
      <c r="U476" s="55" t="n"/>
      <c r="V476" s="55" t="n"/>
      <c r="W476" s="58" t="n"/>
      <c r="X476" s="58" t="n"/>
      <c r="Y476" s="55" t="n"/>
      <c r="Z476" s="55" t="n"/>
      <c r="AA476" s="55" t="n"/>
      <c r="AB476" s="55" t="n"/>
      <c r="AC476" s="55" t="n"/>
      <c r="AD476" s="53" t="n"/>
      <c r="AE476" s="55" t="n"/>
      <c r="AF476" s="55" t="n"/>
      <c r="AG476" s="59" t="n"/>
      <c r="AH476" s="57" t="n"/>
      <c r="AI476" s="55" t="n"/>
      <c r="AJ476" s="55" t="n"/>
      <c r="AK476" s="55" t="n"/>
      <c r="AL476" s="55" t="n"/>
      <c r="AM476" s="56" t="n"/>
      <c r="AN476" s="55" t="n"/>
      <c r="AO476" s="55" t="n"/>
      <c r="AP476" s="55" t="n"/>
      <c r="AQ476" s="55" t="n"/>
      <c r="AR476" s="60">
        <f>IF(AND(C476="",E476=""),"",IF(A476="","⚠ Date manquante",IF(AND(C476="",E476&lt;&gt;"Dépense"),"⚠ Prospect manquant",IF(E476="","⚠ Action manquante",IF(AND(AU476=1,D476=""),"⚠ Canal manquant",IF(AND(W476&lt;&gt;"",COUNTIFS('Saisie'!$W$5:$W$2004,W476,'Saisie'!$C$5:$C$2004,"&lt;&gt;"&amp;C476)&gt;0),"⚠ Numéro déjà utilisé par un autre prospect",IF(AND(J476&lt;&gt;"",J476&lt;A476),"⚠ Relance avant la date de l'action",IF(A476&gt;TODAY(),"⚠ Date dans le futur","✓"))))))))</f>
        <v/>
      </c>
      <c r="AS476" s="61">
        <f>IF(AND(A476="",C476="",E476=""),"",ROW())</f>
        <v/>
      </c>
      <c r="AT476" s="61">
        <f>IF(E476&amp;F476="","",MAX(IFERROR(INDEX('Paramètres'!$J$6:$J$33,MATCH(E476,'Paramètres'!$I$6:$I$33,0)),0),IFERROR(INDEX('Paramètres'!$N$6:$N$17,MATCH(F476,'Paramètres'!$M$6:$M$17,0)),0)))</f>
        <v/>
      </c>
      <c r="AU476" s="61">
        <f>IF(E476="","",IFERROR(IF(INDEX('Paramètres'!$K$6:$K$33,MATCH(E476,'Paramètres'!$I$6:$I$33,0))="Oui",1,0),0))</f>
        <v/>
      </c>
      <c r="AV476" s="61">
        <f>IF(F476="","",IFERROR(IF(INDEX('Paramètres'!$O$6:$O$17,MATCH(F476,'Paramètres'!$M$6:$M$17,0))="Oui",1,0),0))</f>
        <v/>
      </c>
      <c r="AW476" s="62">
        <f>IF(E476="","",IF(G476&lt;&gt;"",G476,IF(OR(E476="Proposition envoyée",E476="Signature"),MAX(0,N(IFERROR(INDEX('Paramètres'!$R$6:$R$15,MATCH(IF(AL476&lt;&gt;"",AL476,IFERROR(INDEX('Prospects'!$AN$5:$AN$504,MATCH(C476,'Prospects'!$C$5:$C$504,0)),"")),'Paramètres'!$Q$6:$Q$15,0)),0))-N(P476)),0)))</f>
        <v/>
      </c>
      <c r="AX476" s="61">
        <f>IF(C476="","",IF(COUNTIF($C$5:C476,C476)=1,MAX($AX$4:AX475)+1,""))</f>
        <v/>
      </c>
      <c r="AY476" s="61">
        <f>IF(B476="","",HOUR(B476))</f>
        <v/>
      </c>
      <c r="AZ476" s="61">
        <f>IF(A476="","",MOD(A476-2,7)+1)</f>
        <v/>
      </c>
      <c r="BA476" s="60">
        <f>IF(C476="","",IFERROR(INDEX('Prospects'!$N$5:$N$504,MATCH(C476,'Prospects'!$C$5:$C$504,0)),""))</f>
        <v/>
      </c>
      <c r="BB476" s="61">
        <f>IF(AND(C476&lt;&gt;"",C476='Fiche prospect'!$C$4),COUNTIF($C$5:C476,C476),"")</f>
        <v/>
      </c>
    </row>
    <row r="477">
      <c r="A477" s="53" t="n"/>
      <c r="B477" s="54" t="n"/>
      <c r="C477" s="55" t="n"/>
      <c r="D477" s="55" t="n"/>
      <c r="E477" s="55" t="n"/>
      <c r="F477" s="55" t="n"/>
      <c r="G477" s="56" t="n"/>
      <c r="H477" s="57" t="n"/>
      <c r="I477" s="55" t="n"/>
      <c r="J477" s="53" t="n"/>
      <c r="K477" s="54" t="n"/>
      <c r="L477" s="55" t="n"/>
      <c r="M477" s="55" t="n"/>
      <c r="N477" s="57" t="n"/>
      <c r="O477" s="55" t="n"/>
      <c r="P477" s="56" t="n"/>
      <c r="Q477" s="55" t="n"/>
      <c r="R477" s="55" t="n"/>
      <c r="S477" s="55" t="n"/>
      <c r="T477" s="55" t="n"/>
      <c r="U477" s="55" t="n"/>
      <c r="V477" s="55" t="n"/>
      <c r="W477" s="58" t="n"/>
      <c r="X477" s="58" t="n"/>
      <c r="Y477" s="55" t="n"/>
      <c r="Z477" s="55" t="n"/>
      <c r="AA477" s="55" t="n"/>
      <c r="AB477" s="55" t="n"/>
      <c r="AC477" s="55" t="n"/>
      <c r="AD477" s="53" t="n"/>
      <c r="AE477" s="55" t="n"/>
      <c r="AF477" s="55" t="n"/>
      <c r="AG477" s="59" t="n"/>
      <c r="AH477" s="57" t="n"/>
      <c r="AI477" s="55" t="n"/>
      <c r="AJ477" s="55" t="n"/>
      <c r="AK477" s="55" t="n"/>
      <c r="AL477" s="55" t="n"/>
      <c r="AM477" s="56" t="n"/>
      <c r="AN477" s="55" t="n"/>
      <c r="AO477" s="55" t="n"/>
      <c r="AP477" s="55" t="n"/>
      <c r="AQ477" s="55" t="n"/>
      <c r="AR477" s="60">
        <f>IF(AND(C477="",E477=""),"",IF(A477="","⚠ Date manquante",IF(AND(C477="",E477&lt;&gt;"Dépense"),"⚠ Prospect manquant",IF(E477="","⚠ Action manquante",IF(AND(AU477=1,D477=""),"⚠ Canal manquant",IF(AND(W477&lt;&gt;"",COUNTIFS('Saisie'!$W$5:$W$2004,W477,'Saisie'!$C$5:$C$2004,"&lt;&gt;"&amp;C477)&gt;0),"⚠ Numéro déjà utilisé par un autre prospect",IF(AND(J477&lt;&gt;"",J477&lt;A477),"⚠ Relance avant la date de l'action",IF(A477&gt;TODAY(),"⚠ Date dans le futur","✓"))))))))</f>
        <v/>
      </c>
      <c r="AS477" s="61">
        <f>IF(AND(A477="",C477="",E477=""),"",ROW())</f>
        <v/>
      </c>
      <c r="AT477" s="61">
        <f>IF(E477&amp;F477="","",MAX(IFERROR(INDEX('Paramètres'!$J$6:$J$33,MATCH(E477,'Paramètres'!$I$6:$I$33,0)),0),IFERROR(INDEX('Paramètres'!$N$6:$N$17,MATCH(F477,'Paramètres'!$M$6:$M$17,0)),0)))</f>
        <v/>
      </c>
      <c r="AU477" s="61">
        <f>IF(E477="","",IFERROR(IF(INDEX('Paramètres'!$K$6:$K$33,MATCH(E477,'Paramètres'!$I$6:$I$33,0))="Oui",1,0),0))</f>
        <v/>
      </c>
      <c r="AV477" s="61">
        <f>IF(F477="","",IFERROR(IF(INDEX('Paramètres'!$O$6:$O$17,MATCH(F477,'Paramètres'!$M$6:$M$17,0))="Oui",1,0),0))</f>
        <v/>
      </c>
      <c r="AW477" s="62">
        <f>IF(E477="","",IF(G477&lt;&gt;"",G477,IF(OR(E477="Proposition envoyée",E477="Signature"),MAX(0,N(IFERROR(INDEX('Paramètres'!$R$6:$R$15,MATCH(IF(AL477&lt;&gt;"",AL477,IFERROR(INDEX('Prospects'!$AN$5:$AN$504,MATCH(C477,'Prospects'!$C$5:$C$504,0)),"")),'Paramètres'!$Q$6:$Q$15,0)),0))-N(P477)),0)))</f>
        <v/>
      </c>
      <c r="AX477" s="61">
        <f>IF(C477="","",IF(COUNTIF($C$5:C477,C477)=1,MAX($AX$4:AX476)+1,""))</f>
        <v/>
      </c>
      <c r="AY477" s="61">
        <f>IF(B477="","",HOUR(B477))</f>
        <v/>
      </c>
      <c r="AZ477" s="61">
        <f>IF(A477="","",MOD(A477-2,7)+1)</f>
        <v/>
      </c>
      <c r="BA477" s="60">
        <f>IF(C477="","",IFERROR(INDEX('Prospects'!$N$5:$N$504,MATCH(C477,'Prospects'!$C$5:$C$504,0)),""))</f>
        <v/>
      </c>
      <c r="BB477" s="61">
        <f>IF(AND(C477&lt;&gt;"",C477='Fiche prospect'!$C$4),COUNTIF($C$5:C477,C477),"")</f>
        <v/>
      </c>
    </row>
    <row r="478">
      <c r="A478" s="53" t="n"/>
      <c r="B478" s="54" t="n"/>
      <c r="C478" s="55" t="n"/>
      <c r="D478" s="55" t="n"/>
      <c r="E478" s="55" t="n"/>
      <c r="F478" s="55" t="n"/>
      <c r="G478" s="56" t="n"/>
      <c r="H478" s="57" t="n"/>
      <c r="I478" s="55" t="n"/>
      <c r="J478" s="53" t="n"/>
      <c r="K478" s="54" t="n"/>
      <c r="L478" s="55" t="n"/>
      <c r="M478" s="55" t="n"/>
      <c r="N478" s="57" t="n"/>
      <c r="O478" s="55" t="n"/>
      <c r="P478" s="56" t="n"/>
      <c r="Q478" s="55" t="n"/>
      <c r="R478" s="55" t="n"/>
      <c r="S478" s="55" t="n"/>
      <c r="T478" s="55" t="n"/>
      <c r="U478" s="55" t="n"/>
      <c r="V478" s="55" t="n"/>
      <c r="W478" s="58" t="n"/>
      <c r="X478" s="58" t="n"/>
      <c r="Y478" s="55" t="n"/>
      <c r="Z478" s="55" t="n"/>
      <c r="AA478" s="55" t="n"/>
      <c r="AB478" s="55" t="n"/>
      <c r="AC478" s="55" t="n"/>
      <c r="AD478" s="53" t="n"/>
      <c r="AE478" s="55" t="n"/>
      <c r="AF478" s="55" t="n"/>
      <c r="AG478" s="59" t="n"/>
      <c r="AH478" s="57" t="n"/>
      <c r="AI478" s="55" t="n"/>
      <c r="AJ478" s="55" t="n"/>
      <c r="AK478" s="55" t="n"/>
      <c r="AL478" s="55" t="n"/>
      <c r="AM478" s="56" t="n"/>
      <c r="AN478" s="55" t="n"/>
      <c r="AO478" s="55" t="n"/>
      <c r="AP478" s="55" t="n"/>
      <c r="AQ478" s="55" t="n"/>
      <c r="AR478" s="60">
        <f>IF(AND(C478="",E478=""),"",IF(A478="","⚠ Date manquante",IF(AND(C478="",E478&lt;&gt;"Dépense"),"⚠ Prospect manquant",IF(E478="","⚠ Action manquante",IF(AND(AU478=1,D478=""),"⚠ Canal manquant",IF(AND(W478&lt;&gt;"",COUNTIFS('Saisie'!$W$5:$W$2004,W478,'Saisie'!$C$5:$C$2004,"&lt;&gt;"&amp;C478)&gt;0),"⚠ Numéro déjà utilisé par un autre prospect",IF(AND(J478&lt;&gt;"",J478&lt;A478),"⚠ Relance avant la date de l'action",IF(A478&gt;TODAY(),"⚠ Date dans le futur","✓"))))))))</f>
        <v/>
      </c>
      <c r="AS478" s="61">
        <f>IF(AND(A478="",C478="",E478=""),"",ROW())</f>
        <v/>
      </c>
      <c r="AT478" s="61">
        <f>IF(E478&amp;F478="","",MAX(IFERROR(INDEX('Paramètres'!$J$6:$J$33,MATCH(E478,'Paramètres'!$I$6:$I$33,0)),0),IFERROR(INDEX('Paramètres'!$N$6:$N$17,MATCH(F478,'Paramètres'!$M$6:$M$17,0)),0)))</f>
        <v/>
      </c>
      <c r="AU478" s="61">
        <f>IF(E478="","",IFERROR(IF(INDEX('Paramètres'!$K$6:$K$33,MATCH(E478,'Paramètres'!$I$6:$I$33,0))="Oui",1,0),0))</f>
        <v/>
      </c>
      <c r="AV478" s="61">
        <f>IF(F478="","",IFERROR(IF(INDEX('Paramètres'!$O$6:$O$17,MATCH(F478,'Paramètres'!$M$6:$M$17,0))="Oui",1,0),0))</f>
        <v/>
      </c>
      <c r="AW478" s="62">
        <f>IF(E478="","",IF(G478&lt;&gt;"",G478,IF(OR(E478="Proposition envoyée",E478="Signature"),MAX(0,N(IFERROR(INDEX('Paramètres'!$R$6:$R$15,MATCH(IF(AL478&lt;&gt;"",AL478,IFERROR(INDEX('Prospects'!$AN$5:$AN$504,MATCH(C478,'Prospects'!$C$5:$C$504,0)),"")),'Paramètres'!$Q$6:$Q$15,0)),0))-N(P478)),0)))</f>
        <v/>
      </c>
      <c r="AX478" s="61">
        <f>IF(C478="","",IF(COUNTIF($C$5:C478,C478)=1,MAX($AX$4:AX477)+1,""))</f>
        <v/>
      </c>
      <c r="AY478" s="61">
        <f>IF(B478="","",HOUR(B478))</f>
        <v/>
      </c>
      <c r="AZ478" s="61">
        <f>IF(A478="","",MOD(A478-2,7)+1)</f>
        <v/>
      </c>
      <c r="BA478" s="60">
        <f>IF(C478="","",IFERROR(INDEX('Prospects'!$N$5:$N$504,MATCH(C478,'Prospects'!$C$5:$C$504,0)),""))</f>
        <v/>
      </c>
      <c r="BB478" s="61">
        <f>IF(AND(C478&lt;&gt;"",C478='Fiche prospect'!$C$4),COUNTIF($C$5:C478,C478),"")</f>
        <v/>
      </c>
    </row>
    <row r="479">
      <c r="A479" s="53" t="n"/>
      <c r="B479" s="54" t="n"/>
      <c r="C479" s="55" t="n"/>
      <c r="D479" s="55" t="n"/>
      <c r="E479" s="55" t="n"/>
      <c r="F479" s="55" t="n"/>
      <c r="G479" s="56" t="n"/>
      <c r="H479" s="57" t="n"/>
      <c r="I479" s="55" t="n"/>
      <c r="J479" s="53" t="n"/>
      <c r="K479" s="54" t="n"/>
      <c r="L479" s="55" t="n"/>
      <c r="M479" s="55" t="n"/>
      <c r="N479" s="57" t="n"/>
      <c r="O479" s="55" t="n"/>
      <c r="P479" s="56" t="n"/>
      <c r="Q479" s="55" t="n"/>
      <c r="R479" s="55" t="n"/>
      <c r="S479" s="55" t="n"/>
      <c r="T479" s="55" t="n"/>
      <c r="U479" s="55" t="n"/>
      <c r="V479" s="55" t="n"/>
      <c r="W479" s="58" t="n"/>
      <c r="X479" s="58" t="n"/>
      <c r="Y479" s="55" t="n"/>
      <c r="Z479" s="55" t="n"/>
      <c r="AA479" s="55" t="n"/>
      <c r="AB479" s="55" t="n"/>
      <c r="AC479" s="55" t="n"/>
      <c r="AD479" s="53" t="n"/>
      <c r="AE479" s="55" t="n"/>
      <c r="AF479" s="55" t="n"/>
      <c r="AG479" s="59" t="n"/>
      <c r="AH479" s="57" t="n"/>
      <c r="AI479" s="55" t="n"/>
      <c r="AJ479" s="55" t="n"/>
      <c r="AK479" s="55" t="n"/>
      <c r="AL479" s="55" t="n"/>
      <c r="AM479" s="56" t="n"/>
      <c r="AN479" s="55" t="n"/>
      <c r="AO479" s="55" t="n"/>
      <c r="AP479" s="55" t="n"/>
      <c r="AQ479" s="55" t="n"/>
      <c r="AR479" s="60">
        <f>IF(AND(C479="",E479=""),"",IF(A479="","⚠ Date manquante",IF(AND(C479="",E479&lt;&gt;"Dépense"),"⚠ Prospect manquant",IF(E479="","⚠ Action manquante",IF(AND(AU479=1,D479=""),"⚠ Canal manquant",IF(AND(W479&lt;&gt;"",COUNTIFS('Saisie'!$W$5:$W$2004,W479,'Saisie'!$C$5:$C$2004,"&lt;&gt;"&amp;C479)&gt;0),"⚠ Numéro déjà utilisé par un autre prospect",IF(AND(J479&lt;&gt;"",J479&lt;A479),"⚠ Relance avant la date de l'action",IF(A479&gt;TODAY(),"⚠ Date dans le futur","✓"))))))))</f>
        <v/>
      </c>
      <c r="AS479" s="61">
        <f>IF(AND(A479="",C479="",E479=""),"",ROW())</f>
        <v/>
      </c>
      <c r="AT479" s="61">
        <f>IF(E479&amp;F479="","",MAX(IFERROR(INDEX('Paramètres'!$J$6:$J$33,MATCH(E479,'Paramètres'!$I$6:$I$33,0)),0),IFERROR(INDEX('Paramètres'!$N$6:$N$17,MATCH(F479,'Paramètres'!$M$6:$M$17,0)),0)))</f>
        <v/>
      </c>
      <c r="AU479" s="61">
        <f>IF(E479="","",IFERROR(IF(INDEX('Paramètres'!$K$6:$K$33,MATCH(E479,'Paramètres'!$I$6:$I$33,0))="Oui",1,0),0))</f>
        <v/>
      </c>
      <c r="AV479" s="61">
        <f>IF(F479="","",IFERROR(IF(INDEX('Paramètres'!$O$6:$O$17,MATCH(F479,'Paramètres'!$M$6:$M$17,0))="Oui",1,0),0))</f>
        <v/>
      </c>
      <c r="AW479" s="62">
        <f>IF(E479="","",IF(G479&lt;&gt;"",G479,IF(OR(E479="Proposition envoyée",E479="Signature"),MAX(0,N(IFERROR(INDEX('Paramètres'!$R$6:$R$15,MATCH(IF(AL479&lt;&gt;"",AL479,IFERROR(INDEX('Prospects'!$AN$5:$AN$504,MATCH(C479,'Prospects'!$C$5:$C$504,0)),"")),'Paramètres'!$Q$6:$Q$15,0)),0))-N(P479)),0)))</f>
        <v/>
      </c>
      <c r="AX479" s="61">
        <f>IF(C479="","",IF(COUNTIF($C$5:C479,C479)=1,MAX($AX$4:AX478)+1,""))</f>
        <v/>
      </c>
      <c r="AY479" s="61">
        <f>IF(B479="","",HOUR(B479))</f>
        <v/>
      </c>
      <c r="AZ479" s="61">
        <f>IF(A479="","",MOD(A479-2,7)+1)</f>
        <v/>
      </c>
      <c r="BA479" s="60">
        <f>IF(C479="","",IFERROR(INDEX('Prospects'!$N$5:$N$504,MATCH(C479,'Prospects'!$C$5:$C$504,0)),""))</f>
        <v/>
      </c>
      <c r="BB479" s="61">
        <f>IF(AND(C479&lt;&gt;"",C479='Fiche prospect'!$C$4),COUNTIF($C$5:C479,C479),"")</f>
        <v/>
      </c>
    </row>
    <row r="480">
      <c r="A480" s="53" t="n"/>
      <c r="B480" s="54" t="n"/>
      <c r="C480" s="55" t="n"/>
      <c r="D480" s="55" t="n"/>
      <c r="E480" s="55" t="n"/>
      <c r="F480" s="55" t="n"/>
      <c r="G480" s="56" t="n"/>
      <c r="H480" s="57" t="n"/>
      <c r="I480" s="55" t="n"/>
      <c r="J480" s="53" t="n"/>
      <c r="K480" s="54" t="n"/>
      <c r="L480" s="55" t="n"/>
      <c r="M480" s="55" t="n"/>
      <c r="N480" s="57" t="n"/>
      <c r="O480" s="55" t="n"/>
      <c r="P480" s="56" t="n"/>
      <c r="Q480" s="55" t="n"/>
      <c r="R480" s="55" t="n"/>
      <c r="S480" s="55" t="n"/>
      <c r="T480" s="55" t="n"/>
      <c r="U480" s="55" t="n"/>
      <c r="V480" s="55" t="n"/>
      <c r="W480" s="58" t="n"/>
      <c r="X480" s="58" t="n"/>
      <c r="Y480" s="55" t="n"/>
      <c r="Z480" s="55" t="n"/>
      <c r="AA480" s="55" t="n"/>
      <c r="AB480" s="55" t="n"/>
      <c r="AC480" s="55" t="n"/>
      <c r="AD480" s="53" t="n"/>
      <c r="AE480" s="55" t="n"/>
      <c r="AF480" s="55" t="n"/>
      <c r="AG480" s="59" t="n"/>
      <c r="AH480" s="57" t="n"/>
      <c r="AI480" s="55" t="n"/>
      <c r="AJ480" s="55" t="n"/>
      <c r="AK480" s="55" t="n"/>
      <c r="AL480" s="55" t="n"/>
      <c r="AM480" s="56" t="n"/>
      <c r="AN480" s="55" t="n"/>
      <c r="AO480" s="55" t="n"/>
      <c r="AP480" s="55" t="n"/>
      <c r="AQ480" s="55" t="n"/>
      <c r="AR480" s="60">
        <f>IF(AND(C480="",E480=""),"",IF(A480="","⚠ Date manquante",IF(AND(C480="",E480&lt;&gt;"Dépense"),"⚠ Prospect manquant",IF(E480="","⚠ Action manquante",IF(AND(AU480=1,D480=""),"⚠ Canal manquant",IF(AND(W480&lt;&gt;"",COUNTIFS('Saisie'!$W$5:$W$2004,W480,'Saisie'!$C$5:$C$2004,"&lt;&gt;"&amp;C480)&gt;0),"⚠ Numéro déjà utilisé par un autre prospect",IF(AND(J480&lt;&gt;"",J480&lt;A480),"⚠ Relance avant la date de l'action",IF(A480&gt;TODAY(),"⚠ Date dans le futur","✓"))))))))</f>
        <v/>
      </c>
      <c r="AS480" s="61">
        <f>IF(AND(A480="",C480="",E480=""),"",ROW())</f>
        <v/>
      </c>
      <c r="AT480" s="61">
        <f>IF(E480&amp;F480="","",MAX(IFERROR(INDEX('Paramètres'!$J$6:$J$33,MATCH(E480,'Paramètres'!$I$6:$I$33,0)),0),IFERROR(INDEX('Paramètres'!$N$6:$N$17,MATCH(F480,'Paramètres'!$M$6:$M$17,0)),0)))</f>
        <v/>
      </c>
      <c r="AU480" s="61">
        <f>IF(E480="","",IFERROR(IF(INDEX('Paramètres'!$K$6:$K$33,MATCH(E480,'Paramètres'!$I$6:$I$33,0))="Oui",1,0),0))</f>
        <v/>
      </c>
      <c r="AV480" s="61">
        <f>IF(F480="","",IFERROR(IF(INDEX('Paramètres'!$O$6:$O$17,MATCH(F480,'Paramètres'!$M$6:$M$17,0))="Oui",1,0),0))</f>
        <v/>
      </c>
      <c r="AW480" s="62">
        <f>IF(E480="","",IF(G480&lt;&gt;"",G480,IF(OR(E480="Proposition envoyée",E480="Signature"),MAX(0,N(IFERROR(INDEX('Paramètres'!$R$6:$R$15,MATCH(IF(AL480&lt;&gt;"",AL480,IFERROR(INDEX('Prospects'!$AN$5:$AN$504,MATCH(C480,'Prospects'!$C$5:$C$504,0)),"")),'Paramètres'!$Q$6:$Q$15,0)),0))-N(P480)),0)))</f>
        <v/>
      </c>
      <c r="AX480" s="61">
        <f>IF(C480="","",IF(COUNTIF($C$5:C480,C480)=1,MAX($AX$4:AX479)+1,""))</f>
        <v/>
      </c>
      <c r="AY480" s="61">
        <f>IF(B480="","",HOUR(B480))</f>
        <v/>
      </c>
      <c r="AZ480" s="61">
        <f>IF(A480="","",MOD(A480-2,7)+1)</f>
        <v/>
      </c>
      <c r="BA480" s="60">
        <f>IF(C480="","",IFERROR(INDEX('Prospects'!$N$5:$N$504,MATCH(C480,'Prospects'!$C$5:$C$504,0)),""))</f>
        <v/>
      </c>
      <c r="BB480" s="61">
        <f>IF(AND(C480&lt;&gt;"",C480='Fiche prospect'!$C$4),COUNTIF($C$5:C480,C480),"")</f>
        <v/>
      </c>
    </row>
    <row r="481">
      <c r="A481" s="53" t="n"/>
      <c r="B481" s="54" t="n"/>
      <c r="C481" s="55" t="n"/>
      <c r="D481" s="55" t="n"/>
      <c r="E481" s="55" t="n"/>
      <c r="F481" s="55" t="n"/>
      <c r="G481" s="56" t="n"/>
      <c r="H481" s="57" t="n"/>
      <c r="I481" s="55" t="n"/>
      <c r="J481" s="53" t="n"/>
      <c r="K481" s="54" t="n"/>
      <c r="L481" s="55" t="n"/>
      <c r="M481" s="55" t="n"/>
      <c r="N481" s="57" t="n"/>
      <c r="O481" s="55" t="n"/>
      <c r="P481" s="56" t="n"/>
      <c r="Q481" s="55" t="n"/>
      <c r="R481" s="55" t="n"/>
      <c r="S481" s="55" t="n"/>
      <c r="T481" s="55" t="n"/>
      <c r="U481" s="55" t="n"/>
      <c r="V481" s="55" t="n"/>
      <c r="W481" s="58" t="n"/>
      <c r="X481" s="58" t="n"/>
      <c r="Y481" s="55" t="n"/>
      <c r="Z481" s="55" t="n"/>
      <c r="AA481" s="55" t="n"/>
      <c r="AB481" s="55" t="n"/>
      <c r="AC481" s="55" t="n"/>
      <c r="AD481" s="53" t="n"/>
      <c r="AE481" s="55" t="n"/>
      <c r="AF481" s="55" t="n"/>
      <c r="AG481" s="59" t="n"/>
      <c r="AH481" s="57" t="n"/>
      <c r="AI481" s="55" t="n"/>
      <c r="AJ481" s="55" t="n"/>
      <c r="AK481" s="55" t="n"/>
      <c r="AL481" s="55" t="n"/>
      <c r="AM481" s="56" t="n"/>
      <c r="AN481" s="55" t="n"/>
      <c r="AO481" s="55" t="n"/>
      <c r="AP481" s="55" t="n"/>
      <c r="AQ481" s="55" t="n"/>
      <c r="AR481" s="60">
        <f>IF(AND(C481="",E481=""),"",IF(A481="","⚠ Date manquante",IF(AND(C481="",E481&lt;&gt;"Dépense"),"⚠ Prospect manquant",IF(E481="","⚠ Action manquante",IF(AND(AU481=1,D481=""),"⚠ Canal manquant",IF(AND(W481&lt;&gt;"",COUNTIFS('Saisie'!$W$5:$W$2004,W481,'Saisie'!$C$5:$C$2004,"&lt;&gt;"&amp;C481)&gt;0),"⚠ Numéro déjà utilisé par un autre prospect",IF(AND(J481&lt;&gt;"",J481&lt;A481),"⚠ Relance avant la date de l'action",IF(A481&gt;TODAY(),"⚠ Date dans le futur","✓"))))))))</f>
        <v/>
      </c>
      <c r="AS481" s="61">
        <f>IF(AND(A481="",C481="",E481=""),"",ROW())</f>
        <v/>
      </c>
      <c r="AT481" s="61">
        <f>IF(E481&amp;F481="","",MAX(IFERROR(INDEX('Paramètres'!$J$6:$J$33,MATCH(E481,'Paramètres'!$I$6:$I$33,0)),0),IFERROR(INDEX('Paramètres'!$N$6:$N$17,MATCH(F481,'Paramètres'!$M$6:$M$17,0)),0)))</f>
        <v/>
      </c>
      <c r="AU481" s="61">
        <f>IF(E481="","",IFERROR(IF(INDEX('Paramètres'!$K$6:$K$33,MATCH(E481,'Paramètres'!$I$6:$I$33,0))="Oui",1,0),0))</f>
        <v/>
      </c>
      <c r="AV481" s="61">
        <f>IF(F481="","",IFERROR(IF(INDEX('Paramètres'!$O$6:$O$17,MATCH(F481,'Paramètres'!$M$6:$M$17,0))="Oui",1,0),0))</f>
        <v/>
      </c>
      <c r="AW481" s="62">
        <f>IF(E481="","",IF(G481&lt;&gt;"",G481,IF(OR(E481="Proposition envoyée",E481="Signature"),MAX(0,N(IFERROR(INDEX('Paramètres'!$R$6:$R$15,MATCH(IF(AL481&lt;&gt;"",AL481,IFERROR(INDEX('Prospects'!$AN$5:$AN$504,MATCH(C481,'Prospects'!$C$5:$C$504,0)),"")),'Paramètres'!$Q$6:$Q$15,0)),0))-N(P481)),0)))</f>
        <v/>
      </c>
      <c r="AX481" s="61">
        <f>IF(C481="","",IF(COUNTIF($C$5:C481,C481)=1,MAX($AX$4:AX480)+1,""))</f>
        <v/>
      </c>
      <c r="AY481" s="61">
        <f>IF(B481="","",HOUR(B481))</f>
        <v/>
      </c>
      <c r="AZ481" s="61">
        <f>IF(A481="","",MOD(A481-2,7)+1)</f>
        <v/>
      </c>
      <c r="BA481" s="60">
        <f>IF(C481="","",IFERROR(INDEX('Prospects'!$N$5:$N$504,MATCH(C481,'Prospects'!$C$5:$C$504,0)),""))</f>
        <v/>
      </c>
      <c r="BB481" s="61">
        <f>IF(AND(C481&lt;&gt;"",C481='Fiche prospect'!$C$4),COUNTIF($C$5:C481,C481),"")</f>
        <v/>
      </c>
    </row>
    <row r="482">
      <c r="A482" s="53" t="n"/>
      <c r="B482" s="54" t="n"/>
      <c r="C482" s="55" t="n"/>
      <c r="D482" s="55" t="n"/>
      <c r="E482" s="55" t="n"/>
      <c r="F482" s="55" t="n"/>
      <c r="G482" s="56" t="n"/>
      <c r="H482" s="57" t="n"/>
      <c r="I482" s="55" t="n"/>
      <c r="J482" s="53" t="n"/>
      <c r="K482" s="54" t="n"/>
      <c r="L482" s="55" t="n"/>
      <c r="M482" s="55" t="n"/>
      <c r="N482" s="57" t="n"/>
      <c r="O482" s="55" t="n"/>
      <c r="P482" s="56" t="n"/>
      <c r="Q482" s="55" t="n"/>
      <c r="R482" s="55" t="n"/>
      <c r="S482" s="55" t="n"/>
      <c r="T482" s="55" t="n"/>
      <c r="U482" s="55" t="n"/>
      <c r="V482" s="55" t="n"/>
      <c r="W482" s="58" t="n"/>
      <c r="X482" s="58" t="n"/>
      <c r="Y482" s="55" t="n"/>
      <c r="Z482" s="55" t="n"/>
      <c r="AA482" s="55" t="n"/>
      <c r="AB482" s="55" t="n"/>
      <c r="AC482" s="55" t="n"/>
      <c r="AD482" s="53" t="n"/>
      <c r="AE482" s="55" t="n"/>
      <c r="AF482" s="55" t="n"/>
      <c r="AG482" s="59" t="n"/>
      <c r="AH482" s="57" t="n"/>
      <c r="AI482" s="55" t="n"/>
      <c r="AJ482" s="55" t="n"/>
      <c r="AK482" s="55" t="n"/>
      <c r="AL482" s="55" t="n"/>
      <c r="AM482" s="56" t="n"/>
      <c r="AN482" s="55" t="n"/>
      <c r="AO482" s="55" t="n"/>
      <c r="AP482" s="55" t="n"/>
      <c r="AQ482" s="55" t="n"/>
      <c r="AR482" s="60">
        <f>IF(AND(C482="",E482=""),"",IF(A482="","⚠ Date manquante",IF(AND(C482="",E482&lt;&gt;"Dépense"),"⚠ Prospect manquant",IF(E482="","⚠ Action manquante",IF(AND(AU482=1,D482=""),"⚠ Canal manquant",IF(AND(W482&lt;&gt;"",COUNTIFS('Saisie'!$W$5:$W$2004,W482,'Saisie'!$C$5:$C$2004,"&lt;&gt;"&amp;C482)&gt;0),"⚠ Numéro déjà utilisé par un autre prospect",IF(AND(J482&lt;&gt;"",J482&lt;A482),"⚠ Relance avant la date de l'action",IF(A482&gt;TODAY(),"⚠ Date dans le futur","✓"))))))))</f>
        <v/>
      </c>
      <c r="AS482" s="61">
        <f>IF(AND(A482="",C482="",E482=""),"",ROW())</f>
        <v/>
      </c>
      <c r="AT482" s="61">
        <f>IF(E482&amp;F482="","",MAX(IFERROR(INDEX('Paramètres'!$J$6:$J$33,MATCH(E482,'Paramètres'!$I$6:$I$33,0)),0),IFERROR(INDEX('Paramètres'!$N$6:$N$17,MATCH(F482,'Paramètres'!$M$6:$M$17,0)),0)))</f>
        <v/>
      </c>
      <c r="AU482" s="61">
        <f>IF(E482="","",IFERROR(IF(INDEX('Paramètres'!$K$6:$K$33,MATCH(E482,'Paramètres'!$I$6:$I$33,0))="Oui",1,0),0))</f>
        <v/>
      </c>
      <c r="AV482" s="61">
        <f>IF(F482="","",IFERROR(IF(INDEX('Paramètres'!$O$6:$O$17,MATCH(F482,'Paramètres'!$M$6:$M$17,0))="Oui",1,0),0))</f>
        <v/>
      </c>
      <c r="AW482" s="62">
        <f>IF(E482="","",IF(G482&lt;&gt;"",G482,IF(OR(E482="Proposition envoyée",E482="Signature"),MAX(0,N(IFERROR(INDEX('Paramètres'!$R$6:$R$15,MATCH(IF(AL482&lt;&gt;"",AL482,IFERROR(INDEX('Prospects'!$AN$5:$AN$504,MATCH(C482,'Prospects'!$C$5:$C$504,0)),"")),'Paramètres'!$Q$6:$Q$15,0)),0))-N(P482)),0)))</f>
        <v/>
      </c>
      <c r="AX482" s="61">
        <f>IF(C482="","",IF(COUNTIF($C$5:C482,C482)=1,MAX($AX$4:AX481)+1,""))</f>
        <v/>
      </c>
      <c r="AY482" s="61">
        <f>IF(B482="","",HOUR(B482))</f>
        <v/>
      </c>
      <c r="AZ482" s="61">
        <f>IF(A482="","",MOD(A482-2,7)+1)</f>
        <v/>
      </c>
      <c r="BA482" s="60">
        <f>IF(C482="","",IFERROR(INDEX('Prospects'!$N$5:$N$504,MATCH(C482,'Prospects'!$C$5:$C$504,0)),""))</f>
        <v/>
      </c>
      <c r="BB482" s="61">
        <f>IF(AND(C482&lt;&gt;"",C482='Fiche prospect'!$C$4),COUNTIF($C$5:C482,C482),"")</f>
        <v/>
      </c>
    </row>
    <row r="483">
      <c r="A483" s="53" t="n"/>
      <c r="B483" s="54" t="n"/>
      <c r="C483" s="55" t="n"/>
      <c r="D483" s="55" t="n"/>
      <c r="E483" s="55" t="n"/>
      <c r="F483" s="55" t="n"/>
      <c r="G483" s="56" t="n"/>
      <c r="H483" s="57" t="n"/>
      <c r="I483" s="55" t="n"/>
      <c r="J483" s="53" t="n"/>
      <c r="K483" s="54" t="n"/>
      <c r="L483" s="55" t="n"/>
      <c r="M483" s="55" t="n"/>
      <c r="N483" s="57" t="n"/>
      <c r="O483" s="55" t="n"/>
      <c r="P483" s="56" t="n"/>
      <c r="Q483" s="55" t="n"/>
      <c r="R483" s="55" t="n"/>
      <c r="S483" s="55" t="n"/>
      <c r="T483" s="55" t="n"/>
      <c r="U483" s="55" t="n"/>
      <c r="V483" s="55" t="n"/>
      <c r="W483" s="58" t="n"/>
      <c r="X483" s="58" t="n"/>
      <c r="Y483" s="55" t="n"/>
      <c r="Z483" s="55" t="n"/>
      <c r="AA483" s="55" t="n"/>
      <c r="AB483" s="55" t="n"/>
      <c r="AC483" s="55" t="n"/>
      <c r="AD483" s="53" t="n"/>
      <c r="AE483" s="55" t="n"/>
      <c r="AF483" s="55" t="n"/>
      <c r="AG483" s="59" t="n"/>
      <c r="AH483" s="57" t="n"/>
      <c r="AI483" s="55" t="n"/>
      <c r="AJ483" s="55" t="n"/>
      <c r="AK483" s="55" t="n"/>
      <c r="AL483" s="55" t="n"/>
      <c r="AM483" s="56" t="n"/>
      <c r="AN483" s="55" t="n"/>
      <c r="AO483" s="55" t="n"/>
      <c r="AP483" s="55" t="n"/>
      <c r="AQ483" s="55" t="n"/>
      <c r="AR483" s="60">
        <f>IF(AND(C483="",E483=""),"",IF(A483="","⚠ Date manquante",IF(AND(C483="",E483&lt;&gt;"Dépense"),"⚠ Prospect manquant",IF(E483="","⚠ Action manquante",IF(AND(AU483=1,D483=""),"⚠ Canal manquant",IF(AND(W483&lt;&gt;"",COUNTIFS('Saisie'!$W$5:$W$2004,W483,'Saisie'!$C$5:$C$2004,"&lt;&gt;"&amp;C483)&gt;0),"⚠ Numéro déjà utilisé par un autre prospect",IF(AND(J483&lt;&gt;"",J483&lt;A483),"⚠ Relance avant la date de l'action",IF(A483&gt;TODAY(),"⚠ Date dans le futur","✓"))))))))</f>
        <v/>
      </c>
      <c r="AS483" s="61">
        <f>IF(AND(A483="",C483="",E483=""),"",ROW())</f>
        <v/>
      </c>
      <c r="AT483" s="61">
        <f>IF(E483&amp;F483="","",MAX(IFERROR(INDEX('Paramètres'!$J$6:$J$33,MATCH(E483,'Paramètres'!$I$6:$I$33,0)),0),IFERROR(INDEX('Paramètres'!$N$6:$N$17,MATCH(F483,'Paramètres'!$M$6:$M$17,0)),0)))</f>
        <v/>
      </c>
      <c r="AU483" s="61">
        <f>IF(E483="","",IFERROR(IF(INDEX('Paramètres'!$K$6:$K$33,MATCH(E483,'Paramètres'!$I$6:$I$33,0))="Oui",1,0),0))</f>
        <v/>
      </c>
      <c r="AV483" s="61">
        <f>IF(F483="","",IFERROR(IF(INDEX('Paramètres'!$O$6:$O$17,MATCH(F483,'Paramètres'!$M$6:$M$17,0))="Oui",1,0),0))</f>
        <v/>
      </c>
      <c r="AW483" s="62">
        <f>IF(E483="","",IF(G483&lt;&gt;"",G483,IF(OR(E483="Proposition envoyée",E483="Signature"),MAX(0,N(IFERROR(INDEX('Paramètres'!$R$6:$R$15,MATCH(IF(AL483&lt;&gt;"",AL483,IFERROR(INDEX('Prospects'!$AN$5:$AN$504,MATCH(C483,'Prospects'!$C$5:$C$504,0)),"")),'Paramètres'!$Q$6:$Q$15,0)),0))-N(P483)),0)))</f>
        <v/>
      </c>
      <c r="AX483" s="61">
        <f>IF(C483="","",IF(COUNTIF($C$5:C483,C483)=1,MAX($AX$4:AX482)+1,""))</f>
        <v/>
      </c>
      <c r="AY483" s="61">
        <f>IF(B483="","",HOUR(B483))</f>
        <v/>
      </c>
      <c r="AZ483" s="61">
        <f>IF(A483="","",MOD(A483-2,7)+1)</f>
        <v/>
      </c>
      <c r="BA483" s="60">
        <f>IF(C483="","",IFERROR(INDEX('Prospects'!$N$5:$N$504,MATCH(C483,'Prospects'!$C$5:$C$504,0)),""))</f>
        <v/>
      </c>
      <c r="BB483" s="61">
        <f>IF(AND(C483&lt;&gt;"",C483='Fiche prospect'!$C$4),COUNTIF($C$5:C483,C483),"")</f>
        <v/>
      </c>
    </row>
    <row r="484">
      <c r="A484" s="53" t="n"/>
      <c r="B484" s="54" t="n"/>
      <c r="C484" s="55" t="n"/>
      <c r="D484" s="55" t="n"/>
      <c r="E484" s="55" t="n"/>
      <c r="F484" s="55" t="n"/>
      <c r="G484" s="56" t="n"/>
      <c r="H484" s="57" t="n"/>
      <c r="I484" s="55" t="n"/>
      <c r="J484" s="53" t="n"/>
      <c r="K484" s="54" t="n"/>
      <c r="L484" s="55" t="n"/>
      <c r="M484" s="55" t="n"/>
      <c r="N484" s="57" t="n"/>
      <c r="O484" s="55" t="n"/>
      <c r="P484" s="56" t="n"/>
      <c r="Q484" s="55" t="n"/>
      <c r="R484" s="55" t="n"/>
      <c r="S484" s="55" t="n"/>
      <c r="T484" s="55" t="n"/>
      <c r="U484" s="55" t="n"/>
      <c r="V484" s="55" t="n"/>
      <c r="W484" s="58" t="n"/>
      <c r="X484" s="58" t="n"/>
      <c r="Y484" s="55" t="n"/>
      <c r="Z484" s="55" t="n"/>
      <c r="AA484" s="55" t="n"/>
      <c r="AB484" s="55" t="n"/>
      <c r="AC484" s="55" t="n"/>
      <c r="AD484" s="53" t="n"/>
      <c r="AE484" s="55" t="n"/>
      <c r="AF484" s="55" t="n"/>
      <c r="AG484" s="59" t="n"/>
      <c r="AH484" s="57" t="n"/>
      <c r="AI484" s="55" t="n"/>
      <c r="AJ484" s="55" t="n"/>
      <c r="AK484" s="55" t="n"/>
      <c r="AL484" s="55" t="n"/>
      <c r="AM484" s="56" t="n"/>
      <c r="AN484" s="55" t="n"/>
      <c r="AO484" s="55" t="n"/>
      <c r="AP484" s="55" t="n"/>
      <c r="AQ484" s="55" t="n"/>
      <c r="AR484" s="60">
        <f>IF(AND(C484="",E484=""),"",IF(A484="","⚠ Date manquante",IF(AND(C484="",E484&lt;&gt;"Dépense"),"⚠ Prospect manquant",IF(E484="","⚠ Action manquante",IF(AND(AU484=1,D484=""),"⚠ Canal manquant",IF(AND(W484&lt;&gt;"",COUNTIFS('Saisie'!$W$5:$W$2004,W484,'Saisie'!$C$5:$C$2004,"&lt;&gt;"&amp;C484)&gt;0),"⚠ Numéro déjà utilisé par un autre prospect",IF(AND(J484&lt;&gt;"",J484&lt;A484),"⚠ Relance avant la date de l'action",IF(A484&gt;TODAY(),"⚠ Date dans le futur","✓"))))))))</f>
        <v/>
      </c>
      <c r="AS484" s="61">
        <f>IF(AND(A484="",C484="",E484=""),"",ROW())</f>
        <v/>
      </c>
      <c r="AT484" s="61">
        <f>IF(E484&amp;F484="","",MAX(IFERROR(INDEX('Paramètres'!$J$6:$J$33,MATCH(E484,'Paramètres'!$I$6:$I$33,0)),0),IFERROR(INDEX('Paramètres'!$N$6:$N$17,MATCH(F484,'Paramètres'!$M$6:$M$17,0)),0)))</f>
        <v/>
      </c>
      <c r="AU484" s="61">
        <f>IF(E484="","",IFERROR(IF(INDEX('Paramètres'!$K$6:$K$33,MATCH(E484,'Paramètres'!$I$6:$I$33,0))="Oui",1,0),0))</f>
        <v/>
      </c>
      <c r="AV484" s="61">
        <f>IF(F484="","",IFERROR(IF(INDEX('Paramètres'!$O$6:$O$17,MATCH(F484,'Paramètres'!$M$6:$M$17,0))="Oui",1,0),0))</f>
        <v/>
      </c>
      <c r="AW484" s="62">
        <f>IF(E484="","",IF(G484&lt;&gt;"",G484,IF(OR(E484="Proposition envoyée",E484="Signature"),MAX(0,N(IFERROR(INDEX('Paramètres'!$R$6:$R$15,MATCH(IF(AL484&lt;&gt;"",AL484,IFERROR(INDEX('Prospects'!$AN$5:$AN$504,MATCH(C484,'Prospects'!$C$5:$C$504,0)),"")),'Paramètres'!$Q$6:$Q$15,0)),0))-N(P484)),0)))</f>
        <v/>
      </c>
      <c r="AX484" s="61">
        <f>IF(C484="","",IF(COUNTIF($C$5:C484,C484)=1,MAX($AX$4:AX483)+1,""))</f>
        <v/>
      </c>
      <c r="AY484" s="61">
        <f>IF(B484="","",HOUR(B484))</f>
        <v/>
      </c>
      <c r="AZ484" s="61">
        <f>IF(A484="","",MOD(A484-2,7)+1)</f>
        <v/>
      </c>
      <c r="BA484" s="60">
        <f>IF(C484="","",IFERROR(INDEX('Prospects'!$N$5:$N$504,MATCH(C484,'Prospects'!$C$5:$C$504,0)),""))</f>
        <v/>
      </c>
      <c r="BB484" s="61">
        <f>IF(AND(C484&lt;&gt;"",C484='Fiche prospect'!$C$4),COUNTIF($C$5:C484,C484),"")</f>
        <v/>
      </c>
    </row>
    <row r="485">
      <c r="A485" s="53" t="n"/>
      <c r="B485" s="54" t="n"/>
      <c r="C485" s="55" t="n"/>
      <c r="D485" s="55" t="n"/>
      <c r="E485" s="55" t="n"/>
      <c r="F485" s="55" t="n"/>
      <c r="G485" s="56" t="n"/>
      <c r="H485" s="57" t="n"/>
      <c r="I485" s="55" t="n"/>
      <c r="J485" s="53" t="n"/>
      <c r="K485" s="54" t="n"/>
      <c r="L485" s="55" t="n"/>
      <c r="M485" s="55" t="n"/>
      <c r="N485" s="57" t="n"/>
      <c r="O485" s="55" t="n"/>
      <c r="P485" s="56" t="n"/>
      <c r="Q485" s="55" t="n"/>
      <c r="R485" s="55" t="n"/>
      <c r="S485" s="55" t="n"/>
      <c r="T485" s="55" t="n"/>
      <c r="U485" s="55" t="n"/>
      <c r="V485" s="55" t="n"/>
      <c r="W485" s="58" t="n"/>
      <c r="X485" s="58" t="n"/>
      <c r="Y485" s="55" t="n"/>
      <c r="Z485" s="55" t="n"/>
      <c r="AA485" s="55" t="n"/>
      <c r="AB485" s="55" t="n"/>
      <c r="AC485" s="55" t="n"/>
      <c r="AD485" s="53" t="n"/>
      <c r="AE485" s="55" t="n"/>
      <c r="AF485" s="55" t="n"/>
      <c r="AG485" s="59" t="n"/>
      <c r="AH485" s="57" t="n"/>
      <c r="AI485" s="55" t="n"/>
      <c r="AJ485" s="55" t="n"/>
      <c r="AK485" s="55" t="n"/>
      <c r="AL485" s="55" t="n"/>
      <c r="AM485" s="56" t="n"/>
      <c r="AN485" s="55" t="n"/>
      <c r="AO485" s="55" t="n"/>
      <c r="AP485" s="55" t="n"/>
      <c r="AQ485" s="55" t="n"/>
      <c r="AR485" s="60">
        <f>IF(AND(C485="",E485=""),"",IF(A485="","⚠ Date manquante",IF(AND(C485="",E485&lt;&gt;"Dépense"),"⚠ Prospect manquant",IF(E485="","⚠ Action manquante",IF(AND(AU485=1,D485=""),"⚠ Canal manquant",IF(AND(W485&lt;&gt;"",COUNTIFS('Saisie'!$W$5:$W$2004,W485,'Saisie'!$C$5:$C$2004,"&lt;&gt;"&amp;C485)&gt;0),"⚠ Numéro déjà utilisé par un autre prospect",IF(AND(J485&lt;&gt;"",J485&lt;A485),"⚠ Relance avant la date de l'action",IF(A485&gt;TODAY(),"⚠ Date dans le futur","✓"))))))))</f>
        <v/>
      </c>
      <c r="AS485" s="61">
        <f>IF(AND(A485="",C485="",E485=""),"",ROW())</f>
        <v/>
      </c>
      <c r="AT485" s="61">
        <f>IF(E485&amp;F485="","",MAX(IFERROR(INDEX('Paramètres'!$J$6:$J$33,MATCH(E485,'Paramètres'!$I$6:$I$33,0)),0),IFERROR(INDEX('Paramètres'!$N$6:$N$17,MATCH(F485,'Paramètres'!$M$6:$M$17,0)),0)))</f>
        <v/>
      </c>
      <c r="AU485" s="61">
        <f>IF(E485="","",IFERROR(IF(INDEX('Paramètres'!$K$6:$K$33,MATCH(E485,'Paramètres'!$I$6:$I$33,0))="Oui",1,0),0))</f>
        <v/>
      </c>
      <c r="AV485" s="61">
        <f>IF(F485="","",IFERROR(IF(INDEX('Paramètres'!$O$6:$O$17,MATCH(F485,'Paramètres'!$M$6:$M$17,0))="Oui",1,0),0))</f>
        <v/>
      </c>
      <c r="AW485" s="62">
        <f>IF(E485="","",IF(G485&lt;&gt;"",G485,IF(OR(E485="Proposition envoyée",E485="Signature"),MAX(0,N(IFERROR(INDEX('Paramètres'!$R$6:$R$15,MATCH(IF(AL485&lt;&gt;"",AL485,IFERROR(INDEX('Prospects'!$AN$5:$AN$504,MATCH(C485,'Prospects'!$C$5:$C$504,0)),"")),'Paramètres'!$Q$6:$Q$15,0)),0))-N(P485)),0)))</f>
        <v/>
      </c>
      <c r="AX485" s="61">
        <f>IF(C485="","",IF(COUNTIF($C$5:C485,C485)=1,MAX($AX$4:AX484)+1,""))</f>
        <v/>
      </c>
      <c r="AY485" s="61">
        <f>IF(B485="","",HOUR(B485))</f>
        <v/>
      </c>
      <c r="AZ485" s="61">
        <f>IF(A485="","",MOD(A485-2,7)+1)</f>
        <v/>
      </c>
      <c r="BA485" s="60">
        <f>IF(C485="","",IFERROR(INDEX('Prospects'!$N$5:$N$504,MATCH(C485,'Prospects'!$C$5:$C$504,0)),""))</f>
        <v/>
      </c>
      <c r="BB485" s="61">
        <f>IF(AND(C485&lt;&gt;"",C485='Fiche prospect'!$C$4),COUNTIF($C$5:C485,C485),"")</f>
        <v/>
      </c>
    </row>
    <row r="486">
      <c r="A486" s="53" t="n"/>
      <c r="B486" s="54" t="n"/>
      <c r="C486" s="55" t="n"/>
      <c r="D486" s="55" t="n"/>
      <c r="E486" s="55" t="n"/>
      <c r="F486" s="55" t="n"/>
      <c r="G486" s="56" t="n"/>
      <c r="H486" s="57" t="n"/>
      <c r="I486" s="55" t="n"/>
      <c r="J486" s="53" t="n"/>
      <c r="K486" s="54" t="n"/>
      <c r="L486" s="55" t="n"/>
      <c r="M486" s="55" t="n"/>
      <c r="N486" s="57" t="n"/>
      <c r="O486" s="55" t="n"/>
      <c r="P486" s="56" t="n"/>
      <c r="Q486" s="55" t="n"/>
      <c r="R486" s="55" t="n"/>
      <c r="S486" s="55" t="n"/>
      <c r="T486" s="55" t="n"/>
      <c r="U486" s="55" t="n"/>
      <c r="V486" s="55" t="n"/>
      <c r="W486" s="58" t="n"/>
      <c r="X486" s="58" t="n"/>
      <c r="Y486" s="55" t="n"/>
      <c r="Z486" s="55" t="n"/>
      <c r="AA486" s="55" t="n"/>
      <c r="AB486" s="55" t="n"/>
      <c r="AC486" s="55" t="n"/>
      <c r="AD486" s="53" t="n"/>
      <c r="AE486" s="55" t="n"/>
      <c r="AF486" s="55" t="n"/>
      <c r="AG486" s="59" t="n"/>
      <c r="AH486" s="57" t="n"/>
      <c r="AI486" s="55" t="n"/>
      <c r="AJ486" s="55" t="n"/>
      <c r="AK486" s="55" t="n"/>
      <c r="AL486" s="55" t="n"/>
      <c r="AM486" s="56" t="n"/>
      <c r="AN486" s="55" t="n"/>
      <c r="AO486" s="55" t="n"/>
      <c r="AP486" s="55" t="n"/>
      <c r="AQ486" s="55" t="n"/>
      <c r="AR486" s="60">
        <f>IF(AND(C486="",E486=""),"",IF(A486="","⚠ Date manquante",IF(AND(C486="",E486&lt;&gt;"Dépense"),"⚠ Prospect manquant",IF(E486="","⚠ Action manquante",IF(AND(AU486=1,D486=""),"⚠ Canal manquant",IF(AND(W486&lt;&gt;"",COUNTIFS('Saisie'!$W$5:$W$2004,W486,'Saisie'!$C$5:$C$2004,"&lt;&gt;"&amp;C486)&gt;0),"⚠ Numéro déjà utilisé par un autre prospect",IF(AND(J486&lt;&gt;"",J486&lt;A486),"⚠ Relance avant la date de l'action",IF(A486&gt;TODAY(),"⚠ Date dans le futur","✓"))))))))</f>
        <v/>
      </c>
      <c r="AS486" s="61">
        <f>IF(AND(A486="",C486="",E486=""),"",ROW())</f>
        <v/>
      </c>
      <c r="AT486" s="61">
        <f>IF(E486&amp;F486="","",MAX(IFERROR(INDEX('Paramètres'!$J$6:$J$33,MATCH(E486,'Paramètres'!$I$6:$I$33,0)),0),IFERROR(INDEX('Paramètres'!$N$6:$N$17,MATCH(F486,'Paramètres'!$M$6:$M$17,0)),0)))</f>
        <v/>
      </c>
      <c r="AU486" s="61">
        <f>IF(E486="","",IFERROR(IF(INDEX('Paramètres'!$K$6:$K$33,MATCH(E486,'Paramètres'!$I$6:$I$33,0))="Oui",1,0),0))</f>
        <v/>
      </c>
      <c r="AV486" s="61">
        <f>IF(F486="","",IFERROR(IF(INDEX('Paramètres'!$O$6:$O$17,MATCH(F486,'Paramètres'!$M$6:$M$17,0))="Oui",1,0),0))</f>
        <v/>
      </c>
      <c r="AW486" s="62">
        <f>IF(E486="","",IF(G486&lt;&gt;"",G486,IF(OR(E486="Proposition envoyée",E486="Signature"),MAX(0,N(IFERROR(INDEX('Paramètres'!$R$6:$R$15,MATCH(IF(AL486&lt;&gt;"",AL486,IFERROR(INDEX('Prospects'!$AN$5:$AN$504,MATCH(C486,'Prospects'!$C$5:$C$504,0)),"")),'Paramètres'!$Q$6:$Q$15,0)),0))-N(P486)),0)))</f>
        <v/>
      </c>
      <c r="AX486" s="61">
        <f>IF(C486="","",IF(COUNTIF($C$5:C486,C486)=1,MAX($AX$4:AX485)+1,""))</f>
        <v/>
      </c>
      <c r="AY486" s="61">
        <f>IF(B486="","",HOUR(B486))</f>
        <v/>
      </c>
      <c r="AZ486" s="61">
        <f>IF(A486="","",MOD(A486-2,7)+1)</f>
        <v/>
      </c>
      <c r="BA486" s="60">
        <f>IF(C486="","",IFERROR(INDEX('Prospects'!$N$5:$N$504,MATCH(C486,'Prospects'!$C$5:$C$504,0)),""))</f>
        <v/>
      </c>
      <c r="BB486" s="61">
        <f>IF(AND(C486&lt;&gt;"",C486='Fiche prospect'!$C$4),COUNTIF($C$5:C486,C486),"")</f>
        <v/>
      </c>
    </row>
    <row r="487">
      <c r="A487" s="53" t="n"/>
      <c r="B487" s="54" t="n"/>
      <c r="C487" s="55" t="n"/>
      <c r="D487" s="55" t="n"/>
      <c r="E487" s="55" t="n"/>
      <c r="F487" s="55" t="n"/>
      <c r="G487" s="56" t="n"/>
      <c r="H487" s="57" t="n"/>
      <c r="I487" s="55" t="n"/>
      <c r="J487" s="53" t="n"/>
      <c r="K487" s="54" t="n"/>
      <c r="L487" s="55" t="n"/>
      <c r="M487" s="55" t="n"/>
      <c r="N487" s="57" t="n"/>
      <c r="O487" s="55" t="n"/>
      <c r="P487" s="56" t="n"/>
      <c r="Q487" s="55" t="n"/>
      <c r="R487" s="55" t="n"/>
      <c r="S487" s="55" t="n"/>
      <c r="T487" s="55" t="n"/>
      <c r="U487" s="55" t="n"/>
      <c r="V487" s="55" t="n"/>
      <c r="W487" s="58" t="n"/>
      <c r="X487" s="58" t="n"/>
      <c r="Y487" s="55" t="n"/>
      <c r="Z487" s="55" t="n"/>
      <c r="AA487" s="55" t="n"/>
      <c r="AB487" s="55" t="n"/>
      <c r="AC487" s="55" t="n"/>
      <c r="AD487" s="53" t="n"/>
      <c r="AE487" s="55" t="n"/>
      <c r="AF487" s="55" t="n"/>
      <c r="AG487" s="59" t="n"/>
      <c r="AH487" s="57" t="n"/>
      <c r="AI487" s="55" t="n"/>
      <c r="AJ487" s="55" t="n"/>
      <c r="AK487" s="55" t="n"/>
      <c r="AL487" s="55" t="n"/>
      <c r="AM487" s="56" t="n"/>
      <c r="AN487" s="55" t="n"/>
      <c r="AO487" s="55" t="n"/>
      <c r="AP487" s="55" t="n"/>
      <c r="AQ487" s="55" t="n"/>
      <c r="AR487" s="60">
        <f>IF(AND(C487="",E487=""),"",IF(A487="","⚠ Date manquante",IF(AND(C487="",E487&lt;&gt;"Dépense"),"⚠ Prospect manquant",IF(E487="","⚠ Action manquante",IF(AND(AU487=1,D487=""),"⚠ Canal manquant",IF(AND(W487&lt;&gt;"",COUNTIFS('Saisie'!$W$5:$W$2004,W487,'Saisie'!$C$5:$C$2004,"&lt;&gt;"&amp;C487)&gt;0),"⚠ Numéro déjà utilisé par un autre prospect",IF(AND(J487&lt;&gt;"",J487&lt;A487),"⚠ Relance avant la date de l'action",IF(A487&gt;TODAY(),"⚠ Date dans le futur","✓"))))))))</f>
        <v/>
      </c>
      <c r="AS487" s="61">
        <f>IF(AND(A487="",C487="",E487=""),"",ROW())</f>
        <v/>
      </c>
      <c r="AT487" s="61">
        <f>IF(E487&amp;F487="","",MAX(IFERROR(INDEX('Paramètres'!$J$6:$J$33,MATCH(E487,'Paramètres'!$I$6:$I$33,0)),0),IFERROR(INDEX('Paramètres'!$N$6:$N$17,MATCH(F487,'Paramètres'!$M$6:$M$17,0)),0)))</f>
        <v/>
      </c>
      <c r="AU487" s="61">
        <f>IF(E487="","",IFERROR(IF(INDEX('Paramètres'!$K$6:$K$33,MATCH(E487,'Paramètres'!$I$6:$I$33,0))="Oui",1,0),0))</f>
        <v/>
      </c>
      <c r="AV487" s="61">
        <f>IF(F487="","",IFERROR(IF(INDEX('Paramètres'!$O$6:$O$17,MATCH(F487,'Paramètres'!$M$6:$M$17,0))="Oui",1,0),0))</f>
        <v/>
      </c>
      <c r="AW487" s="62">
        <f>IF(E487="","",IF(G487&lt;&gt;"",G487,IF(OR(E487="Proposition envoyée",E487="Signature"),MAX(0,N(IFERROR(INDEX('Paramètres'!$R$6:$R$15,MATCH(IF(AL487&lt;&gt;"",AL487,IFERROR(INDEX('Prospects'!$AN$5:$AN$504,MATCH(C487,'Prospects'!$C$5:$C$504,0)),"")),'Paramètres'!$Q$6:$Q$15,0)),0))-N(P487)),0)))</f>
        <v/>
      </c>
      <c r="AX487" s="61">
        <f>IF(C487="","",IF(COUNTIF($C$5:C487,C487)=1,MAX($AX$4:AX486)+1,""))</f>
        <v/>
      </c>
      <c r="AY487" s="61">
        <f>IF(B487="","",HOUR(B487))</f>
        <v/>
      </c>
      <c r="AZ487" s="61">
        <f>IF(A487="","",MOD(A487-2,7)+1)</f>
        <v/>
      </c>
      <c r="BA487" s="60">
        <f>IF(C487="","",IFERROR(INDEX('Prospects'!$N$5:$N$504,MATCH(C487,'Prospects'!$C$5:$C$504,0)),""))</f>
        <v/>
      </c>
      <c r="BB487" s="61">
        <f>IF(AND(C487&lt;&gt;"",C487='Fiche prospect'!$C$4),COUNTIF($C$5:C487,C487),"")</f>
        <v/>
      </c>
    </row>
    <row r="488">
      <c r="A488" s="53" t="n"/>
      <c r="B488" s="54" t="n"/>
      <c r="C488" s="55" t="n"/>
      <c r="D488" s="55" t="n"/>
      <c r="E488" s="55" t="n"/>
      <c r="F488" s="55" t="n"/>
      <c r="G488" s="56" t="n"/>
      <c r="H488" s="57" t="n"/>
      <c r="I488" s="55" t="n"/>
      <c r="J488" s="53" t="n"/>
      <c r="K488" s="54" t="n"/>
      <c r="L488" s="55" t="n"/>
      <c r="M488" s="55" t="n"/>
      <c r="N488" s="57" t="n"/>
      <c r="O488" s="55" t="n"/>
      <c r="P488" s="56" t="n"/>
      <c r="Q488" s="55" t="n"/>
      <c r="R488" s="55" t="n"/>
      <c r="S488" s="55" t="n"/>
      <c r="T488" s="55" t="n"/>
      <c r="U488" s="55" t="n"/>
      <c r="V488" s="55" t="n"/>
      <c r="W488" s="58" t="n"/>
      <c r="X488" s="58" t="n"/>
      <c r="Y488" s="55" t="n"/>
      <c r="Z488" s="55" t="n"/>
      <c r="AA488" s="55" t="n"/>
      <c r="AB488" s="55" t="n"/>
      <c r="AC488" s="55" t="n"/>
      <c r="AD488" s="53" t="n"/>
      <c r="AE488" s="55" t="n"/>
      <c r="AF488" s="55" t="n"/>
      <c r="AG488" s="59" t="n"/>
      <c r="AH488" s="57" t="n"/>
      <c r="AI488" s="55" t="n"/>
      <c r="AJ488" s="55" t="n"/>
      <c r="AK488" s="55" t="n"/>
      <c r="AL488" s="55" t="n"/>
      <c r="AM488" s="56" t="n"/>
      <c r="AN488" s="55" t="n"/>
      <c r="AO488" s="55" t="n"/>
      <c r="AP488" s="55" t="n"/>
      <c r="AQ488" s="55" t="n"/>
      <c r="AR488" s="60">
        <f>IF(AND(C488="",E488=""),"",IF(A488="","⚠ Date manquante",IF(AND(C488="",E488&lt;&gt;"Dépense"),"⚠ Prospect manquant",IF(E488="","⚠ Action manquante",IF(AND(AU488=1,D488=""),"⚠ Canal manquant",IF(AND(W488&lt;&gt;"",COUNTIFS('Saisie'!$W$5:$W$2004,W488,'Saisie'!$C$5:$C$2004,"&lt;&gt;"&amp;C488)&gt;0),"⚠ Numéro déjà utilisé par un autre prospect",IF(AND(J488&lt;&gt;"",J488&lt;A488),"⚠ Relance avant la date de l'action",IF(A488&gt;TODAY(),"⚠ Date dans le futur","✓"))))))))</f>
        <v/>
      </c>
      <c r="AS488" s="61">
        <f>IF(AND(A488="",C488="",E488=""),"",ROW())</f>
        <v/>
      </c>
      <c r="AT488" s="61">
        <f>IF(E488&amp;F488="","",MAX(IFERROR(INDEX('Paramètres'!$J$6:$J$33,MATCH(E488,'Paramètres'!$I$6:$I$33,0)),0),IFERROR(INDEX('Paramètres'!$N$6:$N$17,MATCH(F488,'Paramètres'!$M$6:$M$17,0)),0)))</f>
        <v/>
      </c>
      <c r="AU488" s="61">
        <f>IF(E488="","",IFERROR(IF(INDEX('Paramètres'!$K$6:$K$33,MATCH(E488,'Paramètres'!$I$6:$I$33,0))="Oui",1,0),0))</f>
        <v/>
      </c>
      <c r="AV488" s="61">
        <f>IF(F488="","",IFERROR(IF(INDEX('Paramètres'!$O$6:$O$17,MATCH(F488,'Paramètres'!$M$6:$M$17,0))="Oui",1,0),0))</f>
        <v/>
      </c>
      <c r="AW488" s="62">
        <f>IF(E488="","",IF(G488&lt;&gt;"",G488,IF(OR(E488="Proposition envoyée",E488="Signature"),MAX(0,N(IFERROR(INDEX('Paramètres'!$R$6:$R$15,MATCH(IF(AL488&lt;&gt;"",AL488,IFERROR(INDEX('Prospects'!$AN$5:$AN$504,MATCH(C488,'Prospects'!$C$5:$C$504,0)),"")),'Paramètres'!$Q$6:$Q$15,0)),0))-N(P488)),0)))</f>
        <v/>
      </c>
      <c r="AX488" s="61">
        <f>IF(C488="","",IF(COUNTIF($C$5:C488,C488)=1,MAX($AX$4:AX487)+1,""))</f>
        <v/>
      </c>
      <c r="AY488" s="61">
        <f>IF(B488="","",HOUR(B488))</f>
        <v/>
      </c>
      <c r="AZ488" s="61">
        <f>IF(A488="","",MOD(A488-2,7)+1)</f>
        <v/>
      </c>
      <c r="BA488" s="60">
        <f>IF(C488="","",IFERROR(INDEX('Prospects'!$N$5:$N$504,MATCH(C488,'Prospects'!$C$5:$C$504,0)),""))</f>
        <v/>
      </c>
      <c r="BB488" s="61">
        <f>IF(AND(C488&lt;&gt;"",C488='Fiche prospect'!$C$4),COUNTIF($C$5:C488,C488),"")</f>
        <v/>
      </c>
    </row>
    <row r="489">
      <c r="A489" s="53" t="n"/>
      <c r="B489" s="54" t="n"/>
      <c r="C489" s="55" t="n"/>
      <c r="D489" s="55" t="n"/>
      <c r="E489" s="55" t="n"/>
      <c r="F489" s="55" t="n"/>
      <c r="G489" s="56" t="n"/>
      <c r="H489" s="57" t="n"/>
      <c r="I489" s="55" t="n"/>
      <c r="J489" s="53" t="n"/>
      <c r="K489" s="54" t="n"/>
      <c r="L489" s="55" t="n"/>
      <c r="M489" s="55" t="n"/>
      <c r="N489" s="57" t="n"/>
      <c r="O489" s="55" t="n"/>
      <c r="P489" s="56" t="n"/>
      <c r="Q489" s="55" t="n"/>
      <c r="R489" s="55" t="n"/>
      <c r="S489" s="55" t="n"/>
      <c r="T489" s="55" t="n"/>
      <c r="U489" s="55" t="n"/>
      <c r="V489" s="55" t="n"/>
      <c r="W489" s="58" t="n"/>
      <c r="X489" s="58" t="n"/>
      <c r="Y489" s="55" t="n"/>
      <c r="Z489" s="55" t="n"/>
      <c r="AA489" s="55" t="n"/>
      <c r="AB489" s="55" t="n"/>
      <c r="AC489" s="55" t="n"/>
      <c r="AD489" s="53" t="n"/>
      <c r="AE489" s="55" t="n"/>
      <c r="AF489" s="55" t="n"/>
      <c r="AG489" s="59" t="n"/>
      <c r="AH489" s="57" t="n"/>
      <c r="AI489" s="55" t="n"/>
      <c r="AJ489" s="55" t="n"/>
      <c r="AK489" s="55" t="n"/>
      <c r="AL489" s="55" t="n"/>
      <c r="AM489" s="56" t="n"/>
      <c r="AN489" s="55" t="n"/>
      <c r="AO489" s="55" t="n"/>
      <c r="AP489" s="55" t="n"/>
      <c r="AQ489" s="55" t="n"/>
      <c r="AR489" s="60">
        <f>IF(AND(C489="",E489=""),"",IF(A489="","⚠ Date manquante",IF(AND(C489="",E489&lt;&gt;"Dépense"),"⚠ Prospect manquant",IF(E489="","⚠ Action manquante",IF(AND(AU489=1,D489=""),"⚠ Canal manquant",IF(AND(W489&lt;&gt;"",COUNTIFS('Saisie'!$W$5:$W$2004,W489,'Saisie'!$C$5:$C$2004,"&lt;&gt;"&amp;C489)&gt;0),"⚠ Numéro déjà utilisé par un autre prospect",IF(AND(J489&lt;&gt;"",J489&lt;A489),"⚠ Relance avant la date de l'action",IF(A489&gt;TODAY(),"⚠ Date dans le futur","✓"))))))))</f>
        <v/>
      </c>
      <c r="AS489" s="61">
        <f>IF(AND(A489="",C489="",E489=""),"",ROW())</f>
        <v/>
      </c>
      <c r="AT489" s="61">
        <f>IF(E489&amp;F489="","",MAX(IFERROR(INDEX('Paramètres'!$J$6:$J$33,MATCH(E489,'Paramètres'!$I$6:$I$33,0)),0),IFERROR(INDEX('Paramètres'!$N$6:$N$17,MATCH(F489,'Paramètres'!$M$6:$M$17,0)),0)))</f>
        <v/>
      </c>
      <c r="AU489" s="61">
        <f>IF(E489="","",IFERROR(IF(INDEX('Paramètres'!$K$6:$K$33,MATCH(E489,'Paramètres'!$I$6:$I$33,0))="Oui",1,0),0))</f>
        <v/>
      </c>
      <c r="AV489" s="61">
        <f>IF(F489="","",IFERROR(IF(INDEX('Paramètres'!$O$6:$O$17,MATCH(F489,'Paramètres'!$M$6:$M$17,0))="Oui",1,0),0))</f>
        <v/>
      </c>
      <c r="AW489" s="62">
        <f>IF(E489="","",IF(G489&lt;&gt;"",G489,IF(OR(E489="Proposition envoyée",E489="Signature"),MAX(0,N(IFERROR(INDEX('Paramètres'!$R$6:$R$15,MATCH(IF(AL489&lt;&gt;"",AL489,IFERROR(INDEX('Prospects'!$AN$5:$AN$504,MATCH(C489,'Prospects'!$C$5:$C$504,0)),"")),'Paramètres'!$Q$6:$Q$15,0)),0))-N(P489)),0)))</f>
        <v/>
      </c>
      <c r="AX489" s="61">
        <f>IF(C489="","",IF(COUNTIF($C$5:C489,C489)=1,MAX($AX$4:AX488)+1,""))</f>
        <v/>
      </c>
      <c r="AY489" s="61">
        <f>IF(B489="","",HOUR(B489))</f>
        <v/>
      </c>
      <c r="AZ489" s="61">
        <f>IF(A489="","",MOD(A489-2,7)+1)</f>
        <v/>
      </c>
      <c r="BA489" s="60">
        <f>IF(C489="","",IFERROR(INDEX('Prospects'!$N$5:$N$504,MATCH(C489,'Prospects'!$C$5:$C$504,0)),""))</f>
        <v/>
      </c>
      <c r="BB489" s="61">
        <f>IF(AND(C489&lt;&gt;"",C489='Fiche prospect'!$C$4),COUNTIF($C$5:C489,C489),"")</f>
        <v/>
      </c>
    </row>
    <row r="490">
      <c r="A490" s="53" t="n"/>
      <c r="B490" s="54" t="n"/>
      <c r="C490" s="55" t="n"/>
      <c r="D490" s="55" t="n"/>
      <c r="E490" s="55" t="n"/>
      <c r="F490" s="55" t="n"/>
      <c r="G490" s="56" t="n"/>
      <c r="H490" s="57" t="n"/>
      <c r="I490" s="55" t="n"/>
      <c r="J490" s="53" t="n"/>
      <c r="K490" s="54" t="n"/>
      <c r="L490" s="55" t="n"/>
      <c r="M490" s="55" t="n"/>
      <c r="N490" s="57" t="n"/>
      <c r="O490" s="55" t="n"/>
      <c r="P490" s="56" t="n"/>
      <c r="Q490" s="55" t="n"/>
      <c r="R490" s="55" t="n"/>
      <c r="S490" s="55" t="n"/>
      <c r="T490" s="55" t="n"/>
      <c r="U490" s="55" t="n"/>
      <c r="V490" s="55" t="n"/>
      <c r="W490" s="58" t="n"/>
      <c r="X490" s="58" t="n"/>
      <c r="Y490" s="55" t="n"/>
      <c r="Z490" s="55" t="n"/>
      <c r="AA490" s="55" t="n"/>
      <c r="AB490" s="55" t="n"/>
      <c r="AC490" s="55" t="n"/>
      <c r="AD490" s="53" t="n"/>
      <c r="AE490" s="55" t="n"/>
      <c r="AF490" s="55" t="n"/>
      <c r="AG490" s="59" t="n"/>
      <c r="AH490" s="57" t="n"/>
      <c r="AI490" s="55" t="n"/>
      <c r="AJ490" s="55" t="n"/>
      <c r="AK490" s="55" t="n"/>
      <c r="AL490" s="55" t="n"/>
      <c r="AM490" s="56" t="n"/>
      <c r="AN490" s="55" t="n"/>
      <c r="AO490" s="55" t="n"/>
      <c r="AP490" s="55" t="n"/>
      <c r="AQ490" s="55" t="n"/>
      <c r="AR490" s="60">
        <f>IF(AND(C490="",E490=""),"",IF(A490="","⚠ Date manquante",IF(AND(C490="",E490&lt;&gt;"Dépense"),"⚠ Prospect manquant",IF(E490="","⚠ Action manquante",IF(AND(AU490=1,D490=""),"⚠ Canal manquant",IF(AND(W490&lt;&gt;"",COUNTIFS('Saisie'!$W$5:$W$2004,W490,'Saisie'!$C$5:$C$2004,"&lt;&gt;"&amp;C490)&gt;0),"⚠ Numéro déjà utilisé par un autre prospect",IF(AND(J490&lt;&gt;"",J490&lt;A490),"⚠ Relance avant la date de l'action",IF(A490&gt;TODAY(),"⚠ Date dans le futur","✓"))))))))</f>
        <v/>
      </c>
      <c r="AS490" s="61">
        <f>IF(AND(A490="",C490="",E490=""),"",ROW())</f>
        <v/>
      </c>
      <c r="AT490" s="61">
        <f>IF(E490&amp;F490="","",MAX(IFERROR(INDEX('Paramètres'!$J$6:$J$33,MATCH(E490,'Paramètres'!$I$6:$I$33,0)),0),IFERROR(INDEX('Paramètres'!$N$6:$N$17,MATCH(F490,'Paramètres'!$M$6:$M$17,0)),0)))</f>
        <v/>
      </c>
      <c r="AU490" s="61">
        <f>IF(E490="","",IFERROR(IF(INDEX('Paramètres'!$K$6:$K$33,MATCH(E490,'Paramètres'!$I$6:$I$33,0))="Oui",1,0),0))</f>
        <v/>
      </c>
      <c r="AV490" s="61">
        <f>IF(F490="","",IFERROR(IF(INDEX('Paramètres'!$O$6:$O$17,MATCH(F490,'Paramètres'!$M$6:$M$17,0))="Oui",1,0),0))</f>
        <v/>
      </c>
      <c r="AW490" s="62">
        <f>IF(E490="","",IF(G490&lt;&gt;"",G490,IF(OR(E490="Proposition envoyée",E490="Signature"),MAX(0,N(IFERROR(INDEX('Paramètres'!$R$6:$R$15,MATCH(IF(AL490&lt;&gt;"",AL490,IFERROR(INDEX('Prospects'!$AN$5:$AN$504,MATCH(C490,'Prospects'!$C$5:$C$504,0)),"")),'Paramètres'!$Q$6:$Q$15,0)),0))-N(P490)),0)))</f>
        <v/>
      </c>
      <c r="AX490" s="61">
        <f>IF(C490="","",IF(COUNTIF($C$5:C490,C490)=1,MAX($AX$4:AX489)+1,""))</f>
        <v/>
      </c>
      <c r="AY490" s="61">
        <f>IF(B490="","",HOUR(B490))</f>
        <v/>
      </c>
      <c r="AZ490" s="61">
        <f>IF(A490="","",MOD(A490-2,7)+1)</f>
        <v/>
      </c>
      <c r="BA490" s="60">
        <f>IF(C490="","",IFERROR(INDEX('Prospects'!$N$5:$N$504,MATCH(C490,'Prospects'!$C$5:$C$504,0)),""))</f>
        <v/>
      </c>
      <c r="BB490" s="61">
        <f>IF(AND(C490&lt;&gt;"",C490='Fiche prospect'!$C$4),COUNTIF($C$5:C490,C490),"")</f>
        <v/>
      </c>
    </row>
    <row r="491">
      <c r="A491" s="53" t="n"/>
      <c r="B491" s="54" t="n"/>
      <c r="C491" s="55" t="n"/>
      <c r="D491" s="55" t="n"/>
      <c r="E491" s="55" t="n"/>
      <c r="F491" s="55" t="n"/>
      <c r="G491" s="56" t="n"/>
      <c r="H491" s="57" t="n"/>
      <c r="I491" s="55" t="n"/>
      <c r="J491" s="53" t="n"/>
      <c r="K491" s="54" t="n"/>
      <c r="L491" s="55" t="n"/>
      <c r="M491" s="55" t="n"/>
      <c r="N491" s="57" t="n"/>
      <c r="O491" s="55" t="n"/>
      <c r="P491" s="56" t="n"/>
      <c r="Q491" s="55" t="n"/>
      <c r="R491" s="55" t="n"/>
      <c r="S491" s="55" t="n"/>
      <c r="T491" s="55" t="n"/>
      <c r="U491" s="55" t="n"/>
      <c r="V491" s="55" t="n"/>
      <c r="W491" s="58" t="n"/>
      <c r="X491" s="58" t="n"/>
      <c r="Y491" s="55" t="n"/>
      <c r="Z491" s="55" t="n"/>
      <c r="AA491" s="55" t="n"/>
      <c r="AB491" s="55" t="n"/>
      <c r="AC491" s="55" t="n"/>
      <c r="AD491" s="53" t="n"/>
      <c r="AE491" s="55" t="n"/>
      <c r="AF491" s="55" t="n"/>
      <c r="AG491" s="59" t="n"/>
      <c r="AH491" s="57" t="n"/>
      <c r="AI491" s="55" t="n"/>
      <c r="AJ491" s="55" t="n"/>
      <c r="AK491" s="55" t="n"/>
      <c r="AL491" s="55" t="n"/>
      <c r="AM491" s="56" t="n"/>
      <c r="AN491" s="55" t="n"/>
      <c r="AO491" s="55" t="n"/>
      <c r="AP491" s="55" t="n"/>
      <c r="AQ491" s="55" t="n"/>
      <c r="AR491" s="60">
        <f>IF(AND(C491="",E491=""),"",IF(A491="","⚠ Date manquante",IF(AND(C491="",E491&lt;&gt;"Dépense"),"⚠ Prospect manquant",IF(E491="","⚠ Action manquante",IF(AND(AU491=1,D491=""),"⚠ Canal manquant",IF(AND(W491&lt;&gt;"",COUNTIFS('Saisie'!$W$5:$W$2004,W491,'Saisie'!$C$5:$C$2004,"&lt;&gt;"&amp;C491)&gt;0),"⚠ Numéro déjà utilisé par un autre prospect",IF(AND(J491&lt;&gt;"",J491&lt;A491),"⚠ Relance avant la date de l'action",IF(A491&gt;TODAY(),"⚠ Date dans le futur","✓"))))))))</f>
        <v/>
      </c>
      <c r="AS491" s="61">
        <f>IF(AND(A491="",C491="",E491=""),"",ROW())</f>
        <v/>
      </c>
      <c r="AT491" s="61">
        <f>IF(E491&amp;F491="","",MAX(IFERROR(INDEX('Paramètres'!$J$6:$J$33,MATCH(E491,'Paramètres'!$I$6:$I$33,0)),0),IFERROR(INDEX('Paramètres'!$N$6:$N$17,MATCH(F491,'Paramètres'!$M$6:$M$17,0)),0)))</f>
        <v/>
      </c>
      <c r="AU491" s="61">
        <f>IF(E491="","",IFERROR(IF(INDEX('Paramètres'!$K$6:$K$33,MATCH(E491,'Paramètres'!$I$6:$I$33,0))="Oui",1,0),0))</f>
        <v/>
      </c>
      <c r="AV491" s="61">
        <f>IF(F491="","",IFERROR(IF(INDEX('Paramètres'!$O$6:$O$17,MATCH(F491,'Paramètres'!$M$6:$M$17,0))="Oui",1,0),0))</f>
        <v/>
      </c>
      <c r="AW491" s="62">
        <f>IF(E491="","",IF(G491&lt;&gt;"",G491,IF(OR(E491="Proposition envoyée",E491="Signature"),MAX(0,N(IFERROR(INDEX('Paramètres'!$R$6:$R$15,MATCH(IF(AL491&lt;&gt;"",AL491,IFERROR(INDEX('Prospects'!$AN$5:$AN$504,MATCH(C491,'Prospects'!$C$5:$C$504,0)),"")),'Paramètres'!$Q$6:$Q$15,0)),0))-N(P491)),0)))</f>
        <v/>
      </c>
      <c r="AX491" s="61">
        <f>IF(C491="","",IF(COUNTIF($C$5:C491,C491)=1,MAX($AX$4:AX490)+1,""))</f>
        <v/>
      </c>
      <c r="AY491" s="61">
        <f>IF(B491="","",HOUR(B491))</f>
        <v/>
      </c>
      <c r="AZ491" s="61">
        <f>IF(A491="","",MOD(A491-2,7)+1)</f>
        <v/>
      </c>
      <c r="BA491" s="60">
        <f>IF(C491="","",IFERROR(INDEX('Prospects'!$N$5:$N$504,MATCH(C491,'Prospects'!$C$5:$C$504,0)),""))</f>
        <v/>
      </c>
      <c r="BB491" s="61">
        <f>IF(AND(C491&lt;&gt;"",C491='Fiche prospect'!$C$4),COUNTIF($C$5:C491,C491),"")</f>
        <v/>
      </c>
    </row>
    <row r="492">
      <c r="A492" s="53" t="n"/>
      <c r="B492" s="54" t="n"/>
      <c r="C492" s="55" t="n"/>
      <c r="D492" s="55" t="n"/>
      <c r="E492" s="55" t="n"/>
      <c r="F492" s="55" t="n"/>
      <c r="G492" s="56" t="n"/>
      <c r="H492" s="57" t="n"/>
      <c r="I492" s="55" t="n"/>
      <c r="J492" s="53" t="n"/>
      <c r="K492" s="54" t="n"/>
      <c r="L492" s="55" t="n"/>
      <c r="M492" s="55" t="n"/>
      <c r="N492" s="57" t="n"/>
      <c r="O492" s="55" t="n"/>
      <c r="P492" s="56" t="n"/>
      <c r="Q492" s="55" t="n"/>
      <c r="R492" s="55" t="n"/>
      <c r="S492" s="55" t="n"/>
      <c r="T492" s="55" t="n"/>
      <c r="U492" s="55" t="n"/>
      <c r="V492" s="55" t="n"/>
      <c r="W492" s="58" t="n"/>
      <c r="X492" s="58" t="n"/>
      <c r="Y492" s="55" t="n"/>
      <c r="Z492" s="55" t="n"/>
      <c r="AA492" s="55" t="n"/>
      <c r="AB492" s="55" t="n"/>
      <c r="AC492" s="55" t="n"/>
      <c r="AD492" s="53" t="n"/>
      <c r="AE492" s="55" t="n"/>
      <c r="AF492" s="55" t="n"/>
      <c r="AG492" s="59" t="n"/>
      <c r="AH492" s="57" t="n"/>
      <c r="AI492" s="55" t="n"/>
      <c r="AJ492" s="55" t="n"/>
      <c r="AK492" s="55" t="n"/>
      <c r="AL492" s="55" t="n"/>
      <c r="AM492" s="56" t="n"/>
      <c r="AN492" s="55" t="n"/>
      <c r="AO492" s="55" t="n"/>
      <c r="AP492" s="55" t="n"/>
      <c r="AQ492" s="55" t="n"/>
      <c r="AR492" s="60">
        <f>IF(AND(C492="",E492=""),"",IF(A492="","⚠ Date manquante",IF(AND(C492="",E492&lt;&gt;"Dépense"),"⚠ Prospect manquant",IF(E492="","⚠ Action manquante",IF(AND(AU492=1,D492=""),"⚠ Canal manquant",IF(AND(W492&lt;&gt;"",COUNTIFS('Saisie'!$W$5:$W$2004,W492,'Saisie'!$C$5:$C$2004,"&lt;&gt;"&amp;C492)&gt;0),"⚠ Numéro déjà utilisé par un autre prospect",IF(AND(J492&lt;&gt;"",J492&lt;A492),"⚠ Relance avant la date de l'action",IF(A492&gt;TODAY(),"⚠ Date dans le futur","✓"))))))))</f>
        <v/>
      </c>
      <c r="AS492" s="61">
        <f>IF(AND(A492="",C492="",E492=""),"",ROW())</f>
        <v/>
      </c>
      <c r="AT492" s="61">
        <f>IF(E492&amp;F492="","",MAX(IFERROR(INDEX('Paramètres'!$J$6:$J$33,MATCH(E492,'Paramètres'!$I$6:$I$33,0)),0),IFERROR(INDEX('Paramètres'!$N$6:$N$17,MATCH(F492,'Paramètres'!$M$6:$M$17,0)),0)))</f>
        <v/>
      </c>
      <c r="AU492" s="61">
        <f>IF(E492="","",IFERROR(IF(INDEX('Paramètres'!$K$6:$K$33,MATCH(E492,'Paramètres'!$I$6:$I$33,0))="Oui",1,0),0))</f>
        <v/>
      </c>
      <c r="AV492" s="61">
        <f>IF(F492="","",IFERROR(IF(INDEX('Paramètres'!$O$6:$O$17,MATCH(F492,'Paramètres'!$M$6:$M$17,0))="Oui",1,0),0))</f>
        <v/>
      </c>
      <c r="AW492" s="62">
        <f>IF(E492="","",IF(G492&lt;&gt;"",G492,IF(OR(E492="Proposition envoyée",E492="Signature"),MAX(0,N(IFERROR(INDEX('Paramètres'!$R$6:$R$15,MATCH(IF(AL492&lt;&gt;"",AL492,IFERROR(INDEX('Prospects'!$AN$5:$AN$504,MATCH(C492,'Prospects'!$C$5:$C$504,0)),"")),'Paramètres'!$Q$6:$Q$15,0)),0))-N(P492)),0)))</f>
        <v/>
      </c>
      <c r="AX492" s="61">
        <f>IF(C492="","",IF(COUNTIF($C$5:C492,C492)=1,MAX($AX$4:AX491)+1,""))</f>
        <v/>
      </c>
      <c r="AY492" s="61">
        <f>IF(B492="","",HOUR(B492))</f>
        <v/>
      </c>
      <c r="AZ492" s="61">
        <f>IF(A492="","",MOD(A492-2,7)+1)</f>
        <v/>
      </c>
      <c r="BA492" s="60">
        <f>IF(C492="","",IFERROR(INDEX('Prospects'!$N$5:$N$504,MATCH(C492,'Prospects'!$C$5:$C$504,0)),""))</f>
        <v/>
      </c>
      <c r="BB492" s="61">
        <f>IF(AND(C492&lt;&gt;"",C492='Fiche prospect'!$C$4),COUNTIF($C$5:C492,C492),"")</f>
        <v/>
      </c>
    </row>
    <row r="493">
      <c r="A493" s="53" t="n"/>
      <c r="B493" s="54" t="n"/>
      <c r="C493" s="55" t="n"/>
      <c r="D493" s="55" t="n"/>
      <c r="E493" s="55" t="n"/>
      <c r="F493" s="55" t="n"/>
      <c r="G493" s="56" t="n"/>
      <c r="H493" s="57" t="n"/>
      <c r="I493" s="55" t="n"/>
      <c r="J493" s="53" t="n"/>
      <c r="K493" s="54" t="n"/>
      <c r="L493" s="55" t="n"/>
      <c r="M493" s="55" t="n"/>
      <c r="N493" s="57" t="n"/>
      <c r="O493" s="55" t="n"/>
      <c r="P493" s="56" t="n"/>
      <c r="Q493" s="55" t="n"/>
      <c r="R493" s="55" t="n"/>
      <c r="S493" s="55" t="n"/>
      <c r="T493" s="55" t="n"/>
      <c r="U493" s="55" t="n"/>
      <c r="V493" s="55" t="n"/>
      <c r="W493" s="58" t="n"/>
      <c r="X493" s="58" t="n"/>
      <c r="Y493" s="55" t="n"/>
      <c r="Z493" s="55" t="n"/>
      <c r="AA493" s="55" t="n"/>
      <c r="AB493" s="55" t="n"/>
      <c r="AC493" s="55" t="n"/>
      <c r="AD493" s="53" t="n"/>
      <c r="AE493" s="55" t="n"/>
      <c r="AF493" s="55" t="n"/>
      <c r="AG493" s="59" t="n"/>
      <c r="AH493" s="57" t="n"/>
      <c r="AI493" s="55" t="n"/>
      <c r="AJ493" s="55" t="n"/>
      <c r="AK493" s="55" t="n"/>
      <c r="AL493" s="55" t="n"/>
      <c r="AM493" s="56" t="n"/>
      <c r="AN493" s="55" t="n"/>
      <c r="AO493" s="55" t="n"/>
      <c r="AP493" s="55" t="n"/>
      <c r="AQ493" s="55" t="n"/>
      <c r="AR493" s="60">
        <f>IF(AND(C493="",E493=""),"",IF(A493="","⚠ Date manquante",IF(AND(C493="",E493&lt;&gt;"Dépense"),"⚠ Prospect manquant",IF(E493="","⚠ Action manquante",IF(AND(AU493=1,D493=""),"⚠ Canal manquant",IF(AND(W493&lt;&gt;"",COUNTIFS('Saisie'!$W$5:$W$2004,W493,'Saisie'!$C$5:$C$2004,"&lt;&gt;"&amp;C493)&gt;0),"⚠ Numéro déjà utilisé par un autre prospect",IF(AND(J493&lt;&gt;"",J493&lt;A493),"⚠ Relance avant la date de l'action",IF(A493&gt;TODAY(),"⚠ Date dans le futur","✓"))))))))</f>
        <v/>
      </c>
      <c r="AS493" s="61">
        <f>IF(AND(A493="",C493="",E493=""),"",ROW())</f>
        <v/>
      </c>
      <c r="AT493" s="61">
        <f>IF(E493&amp;F493="","",MAX(IFERROR(INDEX('Paramètres'!$J$6:$J$33,MATCH(E493,'Paramètres'!$I$6:$I$33,0)),0),IFERROR(INDEX('Paramètres'!$N$6:$N$17,MATCH(F493,'Paramètres'!$M$6:$M$17,0)),0)))</f>
        <v/>
      </c>
      <c r="AU493" s="61">
        <f>IF(E493="","",IFERROR(IF(INDEX('Paramètres'!$K$6:$K$33,MATCH(E493,'Paramètres'!$I$6:$I$33,0))="Oui",1,0),0))</f>
        <v/>
      </c>
      <c r="AV493" s="61">
        <f>IF(F493="","",IFERROR(IF(INDEX('Paramètres'!$O$6:$O$17,MATCH(F493,'Paramètres'!$M$6:$M$17,0))="Oui",1,0),0))</f>
        <v/>
      </c>
      <c r="AW493" s="62">
        <f>IF(E493="","",IF(G493&lt;&gt;"",G493,IF(OR(E493="Proposition envoyée",E493="Signature"),MAX(0,N(IFERROR(INDEX('Paramètres'!$R$6:$R$15,MATCH(IF(AL493&lt;&gt;"",AL493,IFERROR(INDEX('Prospects'!$AN$5:$AN$504,MATCH(C493,'Prospects'!$C$5:$C$504,0)),"")),'Paramètres'!$Q$6:$Q$15,0)),0))-N(P493)),0)))</f>
        <v/>
      </c>
      <c r="AX493" s="61">
        <f>IF(C493="","",IF(COUNTIF($C$5:C493,C493)=1,MAX($AX$4:AX492)+1,""))</f>
        <v/>
      </c>
      <c r="AY493" s="61">
        <f>IF(B493="","",HOUR(B493))</f>
        <v/>
      </c>
      <c r="AZ493" s="61">
        <f>IF(A493="","",MOD(A493-2,7)+1)</f>
        <v/>
      </c>
      <c r="BA493" s="60">
        <f>IF(C493="","",IFERROR(INDEX('Prospects'!$N$5:$N$504,MATCH(C493,'Prospects'!$C$5:$C$504,0)),""))</f>
        <v/>
      </c>
      <c r="BB493" s="61">
        <f>IF(AND(C493&lt;&gt;"",C493='Fiche prospect'!$C$4),COUNTIF($C$5:C493,C493),"")</f>
        <v/>
      </c>
    </row>
    <row r="494">
      <c r="A494" s="53" t="n"/>
      <c r="B494" s="54" t="n"/>
      <c r="C494" s="55" t="n"/>
      <c r="D494" s="55" t="n"/>
      <c r="E494" s="55" t="n"/>
      <c r="F494" s="55" t="n"/>
      <c r="G494" s="56" t="n"/>
      <c r="H494" s="57" t="n"/>
      <c r="I494" s="55" t="n"/>
      <c r="J494" s="53" t="n"/>
      <c r="K494" s="54" t="n"/>
      <c r="L494" s="55" t="n"/>
      <c r="M494" s="55" t="n"/>
      <c r="N494" s="57" t="n"/>
      <c r="O494" s="55" t="n"/>
      <c r="P494" s="56" t="n"/>
      <c r="Q494" s="55" t="n"/>
      <c r="R494" s="55" t="n"/>
      <c r="S494" s="55" t="n"/>
      <c r="T494" s="55" t="n"/>
      <c r="U494" s="55" t="n"/>
      <c r="V494" s="55" t="n"/>
      <c r="W494" s="58" t="n"/>
      <c r="X494" s="58" t="n"/>
      <c r="Y494" s="55" t="n"/>
      <c r="Z494" s="55" t="n"/>
      <c r="AA494" s="55" t="n"/>
      <c r="AB494" s="55" t="n"/>
      <c r="AC494" s="55" t="n"/>
      <c r="AD494" s="53" t="n"/>
      <c r="AE494" s="55" t="n"/>
      <c r="AF494" s="55" t="n"/>
      <c r="AG494" s="59" t="n"/>
      <c r="AH494" s="57" t="n"/>
      <c r="AI494" s="55" t="n"/>
      <c r="AJ494" s="55" t="n"/>
      <c r="AK494" s="55" t="n"/>
      <c r="AL494" s="55" t="n"/>
      <c r="AM494" s="56" t="n"/>
      <c r="AN494" s="55" t="n"/>
      <c r="AO494" s="55" t="n"/>
      <c r="AP494" s="55" t="n"/>
      <c r="AQ494" s="55" t="n"/>
      <c r="AR494" s="60">
        <f>IF(AND(C494="",E494=""),"",IF(A494="","⚠ Date manquante",IF(AND(C494="",E494&lt;&gt;"Dépense"),"⚠ Prospect manquant",IF(E494="","⚠ Action manquante",IF(AND(AU494=1,D494=""),"⚠ Canal manquant",IF(AND(W494&lt;&gt;"",COUNTIFS('Saisie'!$W$5:$W$2004,W494,'Saisie'!$C$5:$C$2004,"&lt;&gt;"&amp;C494)&gt;0),"⚠ Numéro déjà utilisé par un autre prospect",IF(AND(J494&lt;&gt;"",J494&lt;A494),"⚠ Relance avant la date de l'action",IF(A494&gt;TODAY(),"⚠ Date dans le futur","✓"))))))))</f>
        <v/>
      </c>
      <c r="AS494" s="61">
        <f>IF(AND(A494="",C494="",E494=""),"",ROW())</f>
        <v/>
      </c>
      <c r="AT494" s="61">
        <f>IF(E494&amp;F494="","",MAX(IFERROR(INDEX('Paramètres'!$J$6:$J$33,MATCH(E494,'Paramètres'!$I$6:$I$33,0)),0),IFERROR(INDEX('Paramètres'!$N$6:$N$17,MATCH(F494,'Paramètres'!$M$6:$M$17,0)),0)))</f>
        <v/>
      </c>
      <c r="AU494" s="61">
        <f>IF(E494="","",IFERROR(IF(INDEX('Paramètres'!$K$6:$K$33,MATCH(E494,'Paramètres'!$I$6:$I$33,0))="Oui",1,0),0))</f>
        <v/>
      </c>
      <c r="AV494" s="61">
        <f>IF(F494="","",IFERROR(IF(INDEX('Paramètres'!$O$6:$O$17,MATCH(F494,'Paramètres'!$M$6:$M$17,0))="Oui",1,0),0))</f>
        <v/>
      </c>
      <c r="AW494" s="62">
        <f>IF(E494="","",IF(G494&lt;&gt;"",G494,IF(OR(E494="Proposition envoyée",E494="Signature"),MAX(0,N(IFERROR(INDEX('Paramètres'!$R$6:$R$15,MATCH(IF(AL494&lt;&gt;"",AL494,IFERROR(INDEX('Prospects'!$AN$5:$AN$504,MATCH(C494,'Prospects'!$C$5:$C$504,0)),"")),'Paramètres'!$Q$6:$Q$15,0)),0))-N(P494)),0)))</f>
        <v/>
      </c>
      <c r="AX494" s="61">
        <f>IF(C494="","",IF(COUNTIF($C$5:C494,C494)=1,MAX($AX$4:AX493)+1,""))</f>
        <v/>
      </c>
      <c r="AY494" s="61">
        <f>IF(B494="","",HOUR(B494))</f>
        <v/>
      </c>
      <c r="AZ494" s="61">
        <f>IF(A494="","",MOD(A494-2,7)+1)</f>
        <v/>
      </c>
      <c r="BA494" s="60">
        <f>IF(C494="","",IFERROR(INDEX('Prospects'!$N$5:$N$504,MATCH(C494,'Prospects'!$C$5:$C$504,0)),""))</f>
        <v/>
      </c>
      <c r="BB494" s="61">
        <f>IF(AND(C494&lt;&gt;"",C494='Fiche prospect'!$C$4),COUNTIF($C$5:C494,C494),"")</f>
        <v/>
      </c>
    </row>
    <row r="495">
      <c r="A495" s="53" t="n"/>
      <c r="B495" s="54" t="n"/>
      <c r="C495" s="55" t="n"/>
      <c r="D495" s="55" t="n"/>
      <c r="E495" s="55" t="n"/>
      <c r="F495" s="55" t="n"/>
      <c r="G495" s="56" t="n"/>
      <c r="H495" s="57" t="n"/>
      <c r="I495" s="55" t="n"/>
      <c r="J495" s="53" t="n"/>
      <c r="K495" s="54" t="n"/>
      <c r="L495" s="55" t="n"/>
      <c r="M495" s="55" t="n"/>
      <c r="N495" s="57" t="n"/>
      <c r="O495" s="55" t="n"/>
      <c r="P495" s="56" t="n"/>
      <c r="Q495" s="55" t="n"/>
      <c r="R495" s="55" t="n"/>
      <c r="S495" s="55" t="n"/>
      <c r="T495" s="55" t="n"/>
      <c r="U495" s="55" t="n"/>
      <c r="V495" s="55" t="n"/>
      <c r="W495" s="58" t="n"/>
      <c r="X495" s="58" t="n"/>
      <c r="Y495" s="55" t="n"/>
      <c r="Z495" s="55" t="n"/>
      <c r="AA495" s="55" t="n"/>
      <c r="AB495" s="55" t="n"/>
      <c r="AC495" s="55" t="n"/>
      <c r="AD495" s="53" t="n"/>
      <c r="AE495" s="55" t="n"/>
      <c r="AF495" s="55" t="n"/>
      <c r="AG495" s="59" t="n"/>
      <c r="AH495" s="57" t="n"/>
      <c r="AI495" s="55" t="n"/>
      <c r="AJ495" s="55" t="n"/>
      <c r="AK495" s="55" t="n"/>
      <c r="AL495" s="55" t="n"/>
      <c r="AM495" s="56" t="n"/>
      <c r="AN495" s="55" t="n"/>
      <c r="AO495" s="55" t="n"/>
      <c r="AP495" s="55" t="n"/>
      <c r="AQ495" s="55" t="n"/>
      <c r="AR495" s="60">
        <f>IF(AND(C495="",E495=""),"",IF(A495="","⚠ Date manquante",IF(AND(C495="",E495&lt;&gt;"Dépense"),"⚠ Prospect manquant",IF(E495="","⚠ Action manquante",IF(AND(AU495=1,D495=""),"⚠ Canal manquant",IF(AND(W495&lt;&gt;"",COUNTIFS('Saisie'!$W$5:$W$2004,W495,'Saisie'!$C$5:$C$2004,"&lt;&gt;"&amp;C495)&gt;0),"⚠ Numéro déjà utilisé par un autre prospect",IF(AND(J495&lt;&gt;"",J495&lt;A495),"⚠ Relance avant la date de l'action",IF(A495&gt;TODAY(),"⚠ Date dans le futur","✓"))))))))</f>
        <v/>
      </c>
      <c r="AS495" s="61">
        <f>IF(AND(A495="",C495="",E495=""),"",ROW())</f>
        <v/>
      </c>
      <c r="AT495" s="61">
        <f>IF(E495&amp;F495="","",MAX(IFERROR(INDEX('Paramètres'!$J$6:$J$33,MATCH(E495,'Paramètres'!$I$6:$I$33,0)),0),IFERROR(INDEX('Paramètres'!$N$6:$N$17,MATCH(F495,'Paramètres'!$M$6:$M$17,0)),0)))</f>
        <v/>
      </c>
      <c r="AU495" s="61">
        <f>IF(E495="","",IFERROR(IF(INDEX('Paramètres'!$K$6:$K$33,MATCH(E495,'Paramètres'!$I$6:$I$33,0))="Oui",1,0),0))</f>
        <v/>
      </c>
      <c r="AV495" s="61">
        <f>IF(F495="","",IFERROR(IF(INDEX('Paramètres'!$O$6:$O$17,MATCH(F495,'Paramètres'!$M$6:$M$17,0))="Oui",1,0),0))</f>
        <v/>
      </c>
      <c r="AW495" s="62">
        <f>IF(E495="","",IF(G495&lt;&gt;"",G495,IF(OR(E495="Proposition envoyée",E495="Signature"),MAX(0,N(IFERROR(INDEX('Paramètres'!$R$6:$R$15,MATCH(IF(AL495&lt;&gt;"",AL495,IFERROR(INDEX('Prospects'!$AN$5:$AN$504,MATCH(C495,'Prospects'!$C$5:$C$504,0)),"")),'Paramètres'!$Q$6:$Q$15,0)),0))-N(P495)),0)))</f>
        <v/>
      </c>
      <c r="AX495" s="61">
        <f>IF(C495="","",IF(COUNTIF($C$5:C495,C495)=1,MAX($AX$4:AX494)+1,""))</f>
        <v/>
      </c>
      <c r="AY495" s="61">
        <f>IF(B495="","",HOUR(B495))</f>
        <v/>
      </c>
      <c r="AZ495" s="61">
        <f>IF(A495="","",MOD(A495-2,7)+1)</f>
        <v/>
      </c>
      <c r="BA495" s="60">
        <f>IF(C495="","",IFERROR(INDEX('Prospects'!$N$5:$N$504,MATCH(C495,'Prospects'!$C$5:$C$504,0)),""))</f>
        <v/>
      </c>
      <c r="BB495" s="61">
        <f>IF(AND(C495&lt;&gt;"",C495='Fiche prospect'!$C$4),COUNTIF($C$5:C495,C495),"")</f>
        <v/>
      </c>
    </row>
    <row r="496">
      <c r="A496" s="53" t="n"/>
      <c r="B496" s="54" t="n"/>
      <c r="C496" s="55" t="n"/>
      <c r="D496" s="55" t="n"/>
      <c r="E496" s="55" t="n"/>
      <c r="F496" s="55" t="n"/>
      <c r="G496" s="56" t="n"/>
      <c r="H496" s="57" t="n"/>
      <c r="I496" s="55" t="n"/>
      <c r="J496" s="53" t="n"/>
      <c r="K496" s="54" t="n"/>
      <c r="L496" s="55" t="n"/>
      <c r="M496" s="55" t="n"/>
      <c r="N496" s="57" t="n"/>
      <c r="O496" s="55" t="n"/>
      <c r="P496" s="56" t="n"/>
      <c r="Q496" s="55" t="n"/>
      <c r="R496" s="55" t="n"/>
      <c r="S496" s="55" t="n"/>
      <c r="T496" s="55" t="n"/>
      <c r="U496" s="55" t="n"/>
      <c r="V496" s="55" t="n"/>
      <c r="W496" s="58" t="n"/>
      <c r="X496" s="58" t="n"/>
      <c r="Y496" s="55" t="n"/>
      <c r="Z496" s="55" t="n"/>
      <c r="AA496" s="55" t="n"/>
      <c r="AB496" s="55" t="n"/>
      <c r="AC496" s="55" t="n"/>
      <c r="AD496" s="53" t="n"/>
      <c r="AE496" s="55" t="n"/>
      <c r="AF496" s="55" t="n"/>
      <c r="AG496" s="59" t="n"/>
      <c r="AH496" s="57" t="n"/>
      <c r="AI496" s="55" t="n"/>
      <c r="AJ496" s="55" t="n"/>
      <c r="AK496" s="55" t="n"/>
      <c r="AL496" s="55" t="n"/>
      <c r="AM496" s="56" t="n"/>
      <c r="AN496" s="55" t="n"/>
      <c r="AO496" s="55" t="n"/>
      <c r="AP496" s="55" t="n"/>
      <c r="AQ496" s="55" t="n"/>
      <c r="AR496" s="60">
        <f>IF(AND(C496="",E496=""),"",IF(A496="","⚠ Date manquante",IF(AND(C496="",E496&lt;&gt;"Dépense"),"⚠ Prospect manquant",IF(E496="","⚠ Action manquante",IF(AND(AU496=1,D496=""),"⚠ Canal manquant",IF(AND(W496&lt;&gt;"",COUNTIFS('Saisie'!$W$5:$W$2004,W496,'Saisie'!$C$5:$C$2004,"&lt;&gt;"&amp;C496)&gt;0),"⚠ Numéro déjà utilisé par un autre prospect",IF(AND(J496&lt;&gt;"",J496&lt;A496),"⚠ Relance avant la date de l'action",IF(A496&gt;TODAY(),"⚠ Date dans le futur","✓"))))))))</f>
        <v/>
      </c>
      <c r="AS496" s="61">
        <f>IF(AND(A496="",C496="",E496=""),"",ROW())</f>
        <v/>
      </c>
      <c r="AT496" s="61">
        <f>IF(E496&amp;F496="","",MAX(IFERROR(INDEX('Paramètres'!$J$6:$J$33,MATCH(E496,'Paramètres'!$I$6:$I$33,0)),0),IFERROR(INDEX('Paramètres'!$N$6:$N$17,MATCH(F496,'Paramètres'!$M$6:$M$17,0)),0)))</f>
        <v/>
      </c>
      <c r="AU496" s="61">
        <f>IF(E496="","",IFERROR(IF(INDEX('Paramètres'!$K$6:$K$33,MATCH(E496,'Paramètres'!$I$6:$I$33,0))="Oui",1,0),0))</f>
        <v/>
      </c>
      <c r="AV496" s="61">
        <f>IF(F496="","",IFERROR(IF(INDEX('Paramètres'!$O$6:$O$17,MATCH(F496,'Paramètres'!$M$6:$M$17,0))="Oui",1,0),0))</f>
        <v/>
      </c>
      <c r="AW496" s="62">
        <f>IF(E496="","",IF(G496&lt;&gt;"",G496,IF(OR(E496="Proposition envoyée",E496="Signature"),MAX(0,N(IFERROR(INDEX('Paramètres'!$R$6:$R$15,MATCH(IF(AL496&lt;&gt;"",AL496,IFERROR(INDEX('Prospects'!$AN$5:$AN$504,MATCH(C496,'Prospects'!$C$5:$C$504,0)),"")),'Paramètres'!$Q$6:$Q$15,0)),0))-N(P496)),0)))</f>
        <v/>
      </c>
      <c r="AX496" s="61">
        <f>IF(C496="","",IF(COUNTIF($C$5:C496,C496)=1,MAX($AX$4:AX495)+1,""))</f>
        <v/>
      </c>
      <c r="AY496" s="61">
        <f>IF(B496="","",HOUR(B496))</f>
        <v/>
      </c>
      <c r="AZ496" s="61">
        <f>IF(A496="","",MOD(A496-2,7)+1)</f>
        <v/>
      </c>
      <c r="BA496" s="60">
        <f>IF(C496="","",IFERROR(INDEX('Prospects'!$N$5:$N$504,MATCH(C496,'Prospects'!$C$5:$C$504,0)),""))</f>
        <v/>
      </c>
      <c r="BB496" s="61">
        <f>IF(AND(C496&lt;&gt;"",C496='Fiche prospect'!$C$4),COUNTIF($C$5:C496,C496),"")</f>
        <v/>
      </c>
    </row>
    <row r="497">
      <c r="A497" s="53" t="n"/>
      <c r="B497" s="54" t="n"/>
      <c r="C497" s="55" t="n"/>
      <c r="D497" s="55" t="n"/>
      <c r="E497" s="55" t="n"/>
      <c r="F497" s="55" t="n"/>
      <c r="G497" s="56" t="n"/>
      <c r="H497" s="57" t="n"/>
      <c r="I497" s="55" t="n"/>
      <c r="J497" s="53" t="n"/>
      <c r="K497" s="54" t="n"/>
      <c r="L497" s="55" t="n"/>
      <c r="M497" s="55" t="n"/>
      <c r="N497" s="57" t="n"/>
      <c r="O497" s="55" t="n"/>
      <c r="P497" s="56" t="n"/>
      <c r="Q497" s="55" t="n"/>
      <c r="R497" s="55" t="n"/>
      <c r="S497" s="55" t="n"/>
      <c r="T497" s="55" t="n"/>
      <c r="U497" s="55" t="n"/>
      <c r="V497" s="55" t="n"/>
      <c r="W497" s="58" t="n"/>
      <c r="X497" s="58" t="n"/>
      <c r="Y497" s="55" t="n"/>
      <c r="Z497" s="55" t="n"/>
      <c r="AA497" s="55" t="n"/>
      <c r="AB497" s="55" t="n"/>
      <c r="AC497" s="55" t="n"/>
      <c r="AD497" s="53" t="n"/>
      <c r="AE497" s="55" t="n"/>
      <c r="AF497" s="55" t="n"/>
      <c r="AG497" s="59" t="n"/>
      <c r="AH497" s="57" t="n"/>
      <c r="AI497" s="55" t="n"/>
      <c r="AJ497" s="55" t="n"/>
      <c r="AK497" s="55" t="n"/>
      <c r="AL497" s="55" t="n"/>
      <c r="AM497" s="56" t="n"/>
      <c r="AN497" s="55" t="n"/>
      <c r="AO497" s="55" t="n"/>
      <c r="AP497" s="55" t="n"/>
      <c r="AQ497" s="55" t="n"/>
      <c r="AR497" s="60">
        <f>IF(AND(C497="",E497=""),"",IF(A497="","⚠ Date manquante",IF(AND(C497="",E497&lt;&gt;"Dépense"),"⚠ Prospect manquant",IF(E497="","⚠ Action manquante",IF(AND(AU497=1,D497=""),"⚠ Canal manquant",IF(AND(W497&lt;&gt;"",COUNTIFS('Saisie'!$W$5:$W$2004,W497,'Saisie'!$C$5:$C$2004,"&lt;&gt;"&amp;C497)&gt;0),"⚠ Numéro déjà utilisé par un autre prospect",IF(AND(J497&lt;&gt;"",J497&lt;A497),"⚠ Relance avant la date de l'action",IF(A497&gt;TODAY(),"⚠ Date dans le futur","✓"))))))))</f>
        <v/>
      </c>
      <c r="AS497" s="61">
        <f>IF(AND(A497="",C497="",E497=""),"",ROW())</f>
        <v/>
      </c>
      <c r="AT497" s="61">
        <f>IF(E497&amp;F497="","",MAX(IFERROR(INDEX('Paramètres'!$J$6:$J$33,MATCH(E497,'Paramètres'!$I$6:$I$33,0)),0),IFERROR(INDEX('Paramètres'!$N$6:$N$17,MATCH(F497,'Paramètres'!$M$6:$M$17,0)),0)))</f>
        <v/>
      </c>
      <c r="AU497" s="61">
        <f>IF(E497="","",IFERROR(IF(INDEX('Paramètres'!$K$6:$K$33,MATCH(E497,'Paramètres'!$I$6:$I$33,0))="Oui",1,0),0))</f>
        <v/>
      </c>
      <c r="AV497" s="61">
        <f>IF(F497="","",IFERROR(IF(INDEX('Paramètres'!$O$6:$O$17,MATCH(F497,'Paramètres'!$M$6:$M$17,0))="Oui",1,0),0))</f>
        <v/>
      </c>
      <c r="AW497" s="62">
        <f>IF(E497="","",IF(G497&lt;&gt;"",G497,IF(OR(E497="Proposition envoyée",E497="Signature"),MAX(0,N(IFERROR(INDEX('Paramètres'!$R$6:$R$15,MATCH(IF(AL497&lt;&gt;"",AL497,IFERROR(INDEX('Prospects'!$AN$5:$AN$504,MATCH(C497,'Prospects'!$C$5:$C$504,0)),"")),'Paramètres'!$Q$6:$Q$15,0)),0))-N(P497)),0)))</f>
        <v/>
      </c>
      <c r="AX497" s="61">
        <f>IF(C497="","",IF(COUNTIF($C$5:C497,C497)=1,MAX($AX$4:AX496)+1,""))</f>
        <v/>
      </c>
      <c r="AY497" s="61">
        <f>IF(B497="","",HOUR(B497))</f>
        <v/>
      </c>
      <c r="AZ497" s="61">
        <f>IF(A497="","",MOD(A497-2,7)+1)</f>
        <v/>
      </c>
      <c r="BA497" s="60">
        <f>IF(C497="","",IFERROR(INDEX('Prospects'!$N$5:$N$504,MATCH(C497,'Prospects'!$C$5:$C$504,0)),""))</f>
        <v/>
      </c>
      <c r="BB497" s="61">
        <f>IF(AND(C497&lt;&gt;"",C497='Fiche prospect'!$C$4),COUNTIF($C$5:C497,C497),"")</f>
        <v/>
      </c>
    </row>
    <row r="498">
      <c r="A498" s="53" t="n"/>
      <c r="B498" s="54" t="n"/>
      <c r="C498" s="55" t="n"/>
      <c r="D498" s="55" t="n"/>
      <c r="E498" s="55" t="n"/>
      <c r="F498" s="55" t="n"/>
      <c r="G498" s="56" t="n"/>
      <c r="H498" s="57" t="n"/>
      <c r="I498" s="55" t="n"/>
      <c r="J498" s="53" t="n"/>
      <c r="K498" s="54" t="n"/>
      <c r="L498" s="55" t="n"/>
      <c r="M498" s="55" t="n"/>
      <c r="N498" s="57" t="n"/>
      <c r="O498" s="55" t="n"/>
      <c r="P498" s="56" t="n"/>
      <c r="Q498" s="55" t="n"/>
      <c r="R498" s="55" t="n"/>
      <c r="S498" s="55" t="n"/>
      <c r="T498" s="55" t="n"/>
      <c r="U498" s="55" t="n"/>
      <c r="V498" s="55" t="n"/>
      <c r="W498" s="58" t="n"/>
      <c r="X498" s="58" t="n"/>
      <c r="Y498" s="55" t="n"/>
      <c r="Z498" s="55" t="n"/>
      <c r="AA498" s="55" t="n"/>
      <c r="AB498" s="55" t="n"/>
      <c r="AC498" s="55" t="n"/>
      <c r="AD498" s="53" t="n"/>
      <c r="AE498" s="55" t="n"/>
      <c r="AF498" s="55" t="n"/>
      <c r="AG498" s="59" t="n"/>
      <c r="AH498" s="57" t="n"/>
      <c r="AI498" s="55" t="n"/>
      <c r="AJ498" s="55" t="n"/>
      <c r="AK498" s="55" t="n"/>
      <c r="AL498" s="55" t="n"/>
      <c r="AM498" s="56" t="n"/>
      <c r="AN498" s="55" t="n"/>
      <c r="AO498" s="55" t="n"/>
      <c r="AP498" s="55" t="n"/>
      <c r="AQ498" s="55" t="n"/>
      <c r="AR498" s="60">
        <f>IF(AND(C498="",E498=""),"",IF(A498="","⚠ Date manquante",IF(AND(C498="",E498&lt;&gt;"Dépense"),"⚠ Prospect manquant",IF(E498="","⚠ Action manquante",IF(AND(AU498=1,D498=""),"⚠ Canal manquant",IF(AND(W498&lt;&gt;"",COUNTIFS('Saisie'!$W$5:$W$2004,W498,'Saisie'!$C$5:$C$2004,"&lt;&gt;"&amp;C498)&gt;0),"⚠ Numéro déjà utilisé par un autre prospect",IF(AND(J498&lt;&gt;"",J498&lt;A498),"⚠ Relance avant la date de l'action",IF(A498&gt;TODAY(),"⚠ Date dans le futur","✓"))))))))</f>
        <v/>
      </c>
      <c r="AS498" s="61">
        <f>IF(AND(A498="",C498="",E498=""),"",ROW())</f>
        <v/>
      </c>
      <c r="AT498" s="61">
        <f>IF(E498&amp;F498="","",MAX(IFERROR(INDEX('Paramètres'!$J$6:$J$33,MATCH(E498,'Paramètres'!$I$6:$I$33,0)),0),IFERROR(INDEX('Paramètres'!$N$6:$N$17,MATCH(F498,'Paramètres'!$M$6:$M$17,0)),0)))</f>
        <v/>
      </c>
      <c r="AU498" s="61">
        <f>IF(E498="","",IFERROR(IF(INDEX('Paramètres'!$K$6:$K$33,MATCH(E498,'Paramètres'!$I$6:$I$33,0))="Oui",1,0),0))</f>
        <v/>
      </c>
      <c r="AV498" s="61">
        <f>IF(F498="","",IFERROR(IF(INDEX('Paramètres'!$O$6:$O$17,MATCH(F498,'Paramètres'!$M$6:$M$17,0))="Oui",1,0),0))</f>
        <v/>
      </c>
      <c r="AW498" s="62">
        <f>IF(E498="","",IF(G498&lt;&gt;"",G498,IF(OR(E498="Proposition envoyée",E498="Signature"),MAX(0,N(IFERROR(INDEX('Paramètres'!$R$6:$R$15,MATCH(IF(AL498&lt;&gt;"",AL498,IFERROR(INDEX('Prospects'!$AN$5:$AN$504,MATCH(C498,'Prospects'!$C$5:$C$504,0)),"")),'Paramètres'!$Q$6:$Q$15,0)),0))-N(P498)),0)))</f>
        <v/>
      </c>
      <c r="AX498" s="61">
        <f>IF(C498="","",IF(COUNTIF($C$5:C498,C498)=1,MAX($AX$4:AX497)+1,""))</f>
        <v/>
      </c>
      <c r="AY498" s="61">
        <f>IF(B498="","",HOUR(B498))</f>
        <v/>
      </c>
      <c r="AZ498" s="61">
        <f>IF(A498="","",MOD(A498-2,7)+1)</f>
        <v/>
      </c>
      <c r="BA498" s="60">
        <f>IF(C498="","",IFERROR(INDEX('Prospects'!$N$5:$N$504,MATCH(C498,'Prospects'!$C$5:$C$504,0)),""))</f>
        <v/>
      </c>
      <c r="BB498" s="61">
        <f>IF(AND(C498&lt;&gt;"",C498='Fiche prospect'!$C$4),COUNTIF($C$5:C498,C498),"")</f>
        <v/>
      </c>
    </row>
    <row r="499">
      <c r="A499" s="53" t="n"/>
      <c r="B499" s="54" t="n"/>
      <c r="C499" s="55" t="n"/>
      <c r="D499" s="55" t="n"/>
      <c r="E499" s="55" t="n"/>
      <c r="F499" s="55" t="n"/>
      <c r="G499" s="56" t="n"/>
      <c r="H499" s="57" t="n"/>
      <c r="I499" s="55" t="n"/>
      <c r="J499" s="53" t="n"/>
      <c r="K499" s="54" t="n"/>
      <c r="L499" s="55" t="n"/>
      <c r="M499" s="55" t="n"/>
      <c r="N499" s="57" t="n"/>
      <c r="O499" s="55" t="n"/>
      <c r="P499" s="56" t="n"/>
      <c r="Q499" s="55" t="n"/>
      <c r="R499" s="55" t="n"/>
      <c r="S499" s="55" t="n"/>
      <c r="T499" s="55" t="n"/>
      <c r="U499" s="55" t="n"/>
      <c r="V499" s="55" t="n"/>
      <c r="W499" s="58" t="n"/>
      <c r="X499" s="58" t="n"/>
      <c r="Y499" s="55" t="n"/>
      <c r="Z499" s="55" t="n"/>
      <c r="AA499" s="55" t="n"/>
      <c r="AB499" s="55" t="n"/>
      <c r="AC499" s="55" t="n"/>
      <c r="AD499" s="53" t="n"/>
      <c r="AE499" s="55" t="n"/>
      <c r="AF499" s="55" t="n"/>
      <c r="AG499" s="59" t="n"/>
      <c r="AH499" s="57" t="n"/>
      <c r="AI499" s="55" t="n"/>
      <c r="AJ499" s="55" t="n"/>
      <c r="AK499" s="55" t="n"/>
      <c r="AL499" s="55" t="n"/>
      <c r="AM499" s="56" t="n"/>
      <c r="AN499" s="55" t="n"/>
      <c r="AO499" s="55" t="n"/>
      <c r="AP499" s="55" t="n"/>
      <c r="AQ499" s="55" t="n"/>
      <c r="AR499" s="60">
        <f>IF(AND(C499="",E499=""),"",IF(A499="","⚠ Date manquante",IF(AND(C499="",E499&lt;&gt;"Dépense"),"⚠ Prospect manquant",IF(E499="","⚠ Action manquante",IF(AND(AU499=1,D499=""),"⚠ Canal manquant",IF(AND(W499&lt;&gt;"",COUNTIFS('Saisie'!$W$5:$W$2004,W499,'Saisie'!$C$5:$C$2004,"&lt;&gt;"&amp;C499)&gt;0),"⚠ Numéro déjà utilisé par un autre prospect",IF(AND(J499&lt;&gt;"",J499&lt;A499),"⚠ Relance avant la date de l'action",IF(A499&gt;TODAY(),"⚠ Date dans le futur","✓"))))))))</f>
        <v/>
      </c>
      <c r="AS499" s="61">
        <f>IF(AND(A499="",C499="",E499=""),"",ROW())</f>
        <v/>
      </c>
      <c r="AT499" s="61">
        <f>IF(E499&amp;F499="","",MAX(IFERROR(INDEX('Paramètres'!$J$6:$J$33,MATCH(E499,'Paramètres'!$I$6:$I$33,0)),0),IFERROR(INDEX('Paramètres'!$N$6:$N$17,MATCH(F499,'Paramètres'!$M$6:$M$17,0)),0)))</f>
        <v/>
      </c>
      <c r="AU499" s="61">
        <f>IF(E499="","",IFERROR(IF(INDEX('Paramètres'!$K$6:$K$33,MATCH(E499,'Paramètres'!$I$6:$I$33,0))="Oui",1,0),0))</f>
        <v/>
      </c>
      <c r="AV499" s="61">
        <f>IF(F499="","",IFERROR(IF(INDEX('Paramètres'!$O$6:$O$17,MATCH(F499,'Paramètres'!$M$6:$M$17,0))="Oui",1,0),0))</f>
        <v/>
      </c>
      <c r="AW499" s="62">
        <f>IF(E499="","",IF(G499&lt;&gt;"",G499,IF(OR(E499="Proposition envoyée",E499="Signature"),MAX(0,N(IFERROR(INDEX('Paramètres'!$R$6:$R$15,MATCH(IF(AL499&lt;&gt;"",AL499,IFERROR(INDEX('Prospects'!$AN$5:$AN$504,MATCH(C499,'Prospects'!$C$5:$C$504,0)),"")),'Paramètres'!$Q$6:$Q$15,0)),0))-N(P499)),0)))</f>
        <v/>
      </c>
      <c r="AX499" s="61">
        <f>IF(C499="","",IF(COUNTIF($C$5:C499,C499)=1,MAX($AX$4:AX498)+1,""))</f>
        <v/>
      </c>
      <c r="AY499" s="61">
        <f>IF(B499="","",HOUR(B499))</f>
        <v/>
      </c>
      <c r="AZ499" s="61">
        <f>IF(A499="","",MOD(A499-2,7)+1)</f>
        <v/>
      </c>
      <c r="BA499" s="60">
        <f>IF(C499="","",IFERROR(INDEX('Prospects'!$N$5:$N$504,MATCH(C499,'Prospects'!$C$5:$C$504,0)),""))</f>
        <v/>
      </c>
      <c r="BB499" s="61">
        <f>IF(AND(C499&lt;&gt;"",C499='Fiche prospect'!$C$4),COUNTIF($C$5:C499,C499),"")</f>
        <v/>
      </c>
    </row>
    <row r="500">
      <c r="A500" s="53" t="n"/>
      <c r="B500" s="54" t="n"/>
      <c r="C500" s="55" t="n"/>
      <c r="D500" s="55" t="n"/>
      <c r="E500" s="55" t="n"/>
      <c r="F500" s="55" t="n"/>
      <c r="G500" s="56" t="n"/>
      <c r="H500" s="57" t="n"/>
      <c r="I500" s="55" t="n"/>
      <c r="J500" s="53" t="n"/>
      <c r="K500" s="54" t="n"/>
      <c r="L500" s="55" t="n"/>
      <c r="M500" s="55" t="n"/>
      <c r="N500" s="57" t="n"/>
      <c r="O500" s="55" t="n"/>
      <c r="P500" s="56" t="n"/>
      <c r="Q500" s="55" t="n"/>
      <c r="R500" s="55" t="n"/>
      <c r="S500" s="55" t="n"/>
      <c r="T500" s="55" t="n"/>
      <c r="U500" s="55" t="n"/>
      <c r="V500" s="55" t="n"/>
      <c r="W500" s="58" t="n"/>
      <c r="X500" s="58" t="n"/>
      <c r="Y500" s="55" t="n"/>
      <c r="Z500" s="55" t="n"/>
      <c r="AA500" s="55" t="n"/>
      <c r="AB500" s="55" t="n"/>
      <c r="AC500" s="55" t="n"/>
      <c r="AD500" s="53" t="n"/>
      <c r="AE500" s="55" t="n"/>
      <c r="AF500" s="55" t="n"/>
      <c r="AG500" s="59" t="n"/>
      <c r="AH500" s="57" t="n"/>
      <c r="AI500" s="55" t="n"/>
      <c r="AJ500" s="55" t="n"/>
      <c r="AK500" s="55" t="n"/>
      <c r="AL500" s="55" t="n"/>
      <c r="AM500" s="56" t="n"/>
      <c r="AN500" s="55" t="n"/>
      <c r="AO500" s="55" t="n"/>
      <c r="AP500" s="55" t="n"/>
      <c r="AQ500" s="55" t="n"/>
      <c r="AR500" s="60">
        <f>IF(AND(C500="",E500=""),"",IF(A500="","⚠ Date manquante",IF(AND(C500="",E500&lt;&gt;"Dépense"),"⚠ Prospect manquant",IF(E500="","⚠ Action manquante",IF(AND(AU500=1,D500=""),"⚠ Canal manquant",IF(AND(W500&lt;&gt;"",COUNTIFS('Saisie'!$W$5:$W$2004,W500,'Saisie'!$C$5:$C$2004,"&lt;&gt;"&amp;C500)&gt;0),"⚠ Numéro déjà utilisé par un autre prospect",IF(AND(J500&lt;&gt;"",J500&lt;A500),"⚠ Relance avant la date de l'action",IF(A500&gt;TODAY(),"⚠ Date dans le futur","✓"))))))))</f>
        <v/>
      </c>
      <c r="AS500" s="61">
        <f>IF(AND(A500="",C500="",E500=""),"",ROW())</f>
        <v/>
      </c>
      <c r="AT500" s="61">
        <f>IF(E500&amp;F500="","",MAX(IFERROR(INDEX('Paramètres'!$J$6:$J$33,MATCH(E500,'Paramètres'!$I$6:$I$33,0)),0),IFERROR(INDEX('Paramètres'!$N$6:$N$17,MATCH(F500,'Paramètres'!$M$6:$M$17,0)),0)))</f>
        <v/>
      </c>
      <c r="AU500" s="61">
        <f>IF(E500="","",IFERROR(IF(INDEX('Paramètres'!$K$6:$K$33,MATCH(E500,'Paramètres'!$I$6:$I$33,0))="Oui",1,0),0))</f>
        <v/>
      </c>
      <c r="AV500" s="61">
        <f>IF(F500="","",IFERROR(IF(INDEX('Paramètres'!$O$6:$O$17,MATCH(F500,'Paramètres'!$M$6:$M$17,0))="Oui",1,0),0))</f>
        <v/>
      </c>
      <c r="AW500" s="62">
        <f>IF(E500="","",IF(G500&lt;&gt;"",G500,IF(OR(E500="Proposition envoyée",E500="Signature"),MAX(0,N(IFERROR(INDEX('Paramètres'!$R$6:$R$15,MATCH(IF(AL500&lt;&gt;"",AL500,IFERROR(INDEX('Prospects'!$AN$5:$AN$504,MATCH(C500,'Prospects'!$C$5:$C$504,0)),"")),'Paramètres'!$Q$6:$Q$15,0)),0))-N(P500)),0)))</f>
        <v/>
      </c>
      <c r="AX500" s="61">
        <f>IF(C500="","",IF(COUNTIF($C$5:C500,C500)=1,MAX($AX$4:AX499)+1,""))</f>
        <v/>
      </c>
      <c r="AY500" s="61">
        <f>IF(B500="","",HOUR(B500))</f>
        <v/>
      </c>
      <c r="AZ500" s="61">
        <f>IF(A500="","",MOD(A500-2,7)+1)</f>
        <v/>
      </c>
      <c r="BA500" s="60">
        <f>IF(C500="","",IFERROR(INDEX('Prospects'!$N$5:$N$504,MATCH(C500,'Prospects'!$C$5:$C$504,0)),""))</f>
        <v/>
      </c>
      <c r="BB500" s="61">
        <f>IF(AND(C500&lt;&gt;"",C500='Fiche prospect'!$C$4),COUNTIF($C$5:C500,C500),"")</f>
        <v/>
      </c>
    </row>
    <row r="501">
      <c r="A501" s="53" t="n"/>
      <c r="B501" s="54" t="n"/>
      <c r="C501" s="55" t="n"/>
      <c r="D501" s="55" t="n"/>
      <c r="E501" s="55" t="n"/>
      <c r="F501" s="55" t="n"/>
      <c r="G501" s="56" t="n"/>
      <c r="H501" s="57" t="n"/>
      <c r="I501" s="55" t="n"/>
      <c r="J501" s="53" t="n"/>
      <c r="K501" s="54" t="n"/>
      <c r="L501" s="55" t="n"/>
      <c r="M501" s="55" t="n"/>
      <c r="N501" s="57" t="n"/>
      <c r="O501" s="55" t="n"/>
      <c r="P501" s="56" t="n"/>
      <c r="Q501" s="55" t="n"/>
      <c r="R501" s="55" t="n"/>
      <c r="S501" s="55" t="n"/>
      <c r="T501" s="55" t="n"/>
      <c r="U501" s="55" t="n"/>
      <c r="V501" s="55" t="n"/>
      <c r="W501" s="58" t="n"/>
      <c r="X501" s="58" t="n"/>
      <c r="Y501" s="55" t="n"/>
      <c r="Z501" s="55" t="n"/>
      <c r="AA501" s="55" t="n"/>
      <c r="AB501" s="55" t="n"/>
      <c r="AC501" s="55" t="n"/>
      <c r="AD501" s="53" t="n"/>
      <c r="AE501" s="55" t="n"/>
      <c r="AF501" s="55" t="n"/>
      <c r="AG501" s="59" t="n"/>
      <c r="AH501" s="57" t="n"/>
      <c r="AI501" s="55" t="n"/>
      <c r="AJ501" s="55" t="n"/>
      <c r="AK501" s="55" t="n"/>
      <c r="AL501" s="55" t="n"/>
      <c r="AM501" s="56" t="n"/>
      <c r="AN501" s="55" t="n"/>
      <c r="AO501" s="55" t="n"/>
      <c r="AP501" s="55" t="n"/>
      <c r="AQ501" s="55" t="n"/>
      <c r="AR501" s="60">
        <f>IF(AND(C501="",E501=""),"",IF(A501="","⚠ Date manquante",IF(AND(C501="",E501&lt;&gt;"Dépense"),"⚠ Prospect manquant",IF(E501="","⚠ Action manquante",IF(AND(AU501=1,D501=""),"⚠ Canal manquant",IF(AND(W501&lt;&gt;"",COUNTIFS('Saisie'!$W$5:$W$2004,W501,'Saisie'!$C$5:$C$2004,"&lt;&gt;"&amp;C501)&gt;0),"⚠ Numéro déjà utilisé par un autre prospect",IF(AND(J501&lt;&gt;"",J501&lt;A501),"⚠ Relance avant la date de l'action",IF(A501&gt;TODAY(),"⚠ Date dans le futur","✓"))))))))</f>
        <v/>
      </c>
      <c r="AS501" s="61">
        <f>IF(AND(A501="",C501="",E501=""),"",ROW())</f>
        <v/>
      </c>
      <c r="AT501" s="61">
        <f>IF(E501&amp;F501="","",MAX(IFERROR(INDEX('Paramètres'!$J$6:$J$33,MATCH(E501,'Paramètres'!$I$6:$I$33,0)),0),IFERROR(INDEX('Paramètres'!$N$6:$N$17,MATCH(F501,'Paramètres'!$M$6:$M$17,0)),0)))</f>
        <v/>
      </c>
      <c r="AU501" s="61">
        <f>IF(E501="","",IFERROR(IF(INDEX('Paramètres'!$K$6:$K$33,MATCH(E501,'Paramètres'!$I$6:$I$33,0))="Oui",1,0),0))</f>
        <v/>
      </c>
      <c r="AV501" s="61">
        <f>IF(F501="","",IFERROR(IF(INDEX('Paramètres'!$O$6:$O$17,MATCH(F501,'Paramètres'!$M$6:$M$17,0))="Oui",1,0),0))</f>
        <v/>
      </c>
      <c r="AW501" s="62">
        <f>IF(E501="","",IF(G501&lt;&gt;"",G501,IF(OR(E501="Proposition envoyée",E501="Signature"),MAX(0,N(IFERROR(INDEX('Paramètres'!$R$6:$R$15,MATCH(IF(AL501&lt;&gt;"",AL501,IFERROR(INDEX('Prospects'!$AN$5:$AN$504,MATCH(C501,'Prospects'!$C$5:$C$504,0)),"")),'Paramètres'!$Q$6:$Q$15,0)),0))-N(P501)),0)))</f>
        <v/>
      </c>
      <c r="AX501" s="61">
        <f>IF(C501="","",IF(COUNTIF($C$5:C501,C501)=1,MAX($AX$4:AX500)+1,""))</f>
        <v/>
      </c>
      <c r="AY501" s="61">
        <f>IF(B501="","",HOUR(B501))</f>
        <v/>
      </c>
      <c r="AZ501" s="61">
        <f>IF(A501="","",MOD(A501-2,7)+1)</f>
        <v/>
      </c>
      <c r="BA501" s="60">
        <f>IF(C501="","",IFERROR(INDEX('Prospects'!$N$5:$N$504,MATCH(C501,'Prospects'!$C$5:$C$504,0)),""))</f>
        <v/>
      </c>
      <c r="BB501" s="61">
        <f>IF(AND(C501&lt;&gt;"",C501='Fiche prospect'!$C$4),COUNTIF($C$5:C501,C501),"")</f>
        <v/>
      </c>
    </row>
    <row r="502">
      <c r="A502" s="53" t="n"/>
      <c r="B502" s="54" t="n"/>
      <c r="C502" s="55" t="n"/>
      <c r="D502" s="55" t="n"/>
      <c r="E502" s="55" t="n"/>
      <c r="F502" s="55" t="n"/>
      <c r="G502" s="56" t="n"/>
      <c r="H502" s="57" t="n"/>
      <c r="I502" s="55" t="n"/>
      <c r="J502" s="53" t="n"/>
      <c r="K502" s="54" t="n"/>
      <c r="L502" s="55" t="n"/>
      <c r="M502" s="55" t="n"/>
      <c r="N502" s="57" t="n"/>
      <c r="O502" s="55" t="n"/>
      <c r="P502" s="56" t="n"/>
      <c r="Q502" s="55" t="n"/>
      <c r="R502" s="55" t="n"/>
      <c r="S502" s="55" t="n"/>
      <c r="T502" s="55" t="n"/>
      <c r="U502" s="55" t="n"/>
      <c r="V502" s="55" t="n"/>
      <c r="W502" s="58" t="n"/>
      <c r="X502" s="58" t="n"/>
      <c r="Y502" s="55" t="n"/>
      <c r="Z502" s="55" t="n"/>
      <c r="AA502" s="55" t="n"/>
      <c r="AB502" s="55" t="n"/>
      <c r="AC502" s="55" t="n"/>
      <c r="AD502" s="53" t="n"/>
      <c r="AE502" s="55" t="n"/>
      <c r="AF502" s="55" t="n"/>
      <c r="AG502" s="59" t="n"/>
      <c r="AH502" s="57" t="n"/>
      <c r="AI502" s="55" t="n"/>
      <c r="AJ502" s="55" t="n"/>
      <c r="AK502" s="55" t="n"/>
      <c r="AL502" s="55" t="n"/>
      <c r="AM502" s="56" t="n"/>
      <c r="AN502" s="55" t="n"/>
      <c r="AO502" s="55" t="n"/>
      <c r="AP502" s="55" t="n"/>
      <c r="AQ502" s="55" t="n"/>
      <c r="AR502" s="60">
        <f>IF(AND(C502="",E502=""),"",IF(A502="","⚠ Date manquante",IF(AND(C502="",E502&lt;&gt;"Dépense"),"⚠ Prospect manquant",IF(E502="","⚠ Action manquante",IF(AND(AU502=1,D502=""),"⚠ Canal manquant",IF(AND(W502&lt;&gt;"",COUNTIFS('Saisie'!$W$5:$W$2004,W502,'Saisie'!$C$5:$C$2004,"&lt;&gt;"&amp;C502)&gt;0),"⚠ Numéro déjà utilisé par un autre prospect",IF(AND(J502&lt;&gt;"",J502&lt;A502),"⚠ Relance avant la date de l'action",IF(A502&gt;TODAY(),"⚠ Date dans le futur","✓"))))))))</f>
        <v/>
      </c>
      <c r="AS502" s="61">
        <f>IF(AND(A502="",C502="",E502=""),"",ROW())</f>
        <v/>
      </c>
      <c r="AT502" s="61">
        <f>IF(E502&amp;F502="","",MAX(IFERROR(INDEX('Paramètres'!$J$6:$J$33,MATCH(E502,'Paramètres'!$I$6:$I$33,0)),0),IFERROR(INDEX('Paramètres'!$N$6:$N$17,MATCH(F502,'Paramètres'!$M$6:$M$17,0)),0)))</f>
        <v/>
      </c>
      <c r="AU502" s="61">
        <f>IF(E502="","",IFERROR(IF(INDEX('Paramètres'!$K$6:$K$33,MATCH(E502,'Paramètres'!$I$6:$I$33,0))="Oui",1,0),0))</f>
        <v/>
      </c>
      <c r="AV502" s="61">
        <f>IF(F502="","",IFERROR(IF(INDEX('Paramètres'!$O$6:$O$17,MATCH(F502,'Paramètres'!$M$6:$M$17,0))="Oui",1,0),0))</f>
        <v/>
      </c>
      <c r="AW502" s="62">
        <f>IF(E502="","",IF(G502&lt;&gt;"",G502,IF(OR(E502="Proposition envoyée",E502="Signature"),MAX(0,N(IFERROR(INDEX('Paramètres'!$R$6:$R$15,MATCH(IF(AL502&lt;&gt;"",AL502,IFERROR(INDEX('Prospects'!$AN$5:$AN$504,MATCH(C502,'Prospects'!$C$5:$C$504,0)),"")),'Paramètres'!$Q$6:$Q$15,0)),0))-N(P502)),0)))</f>
        <v/>
      </c>
      <c r="AX502" s="61">
        <f>IF(C502="","",IF(COUNTIF($C$5:C502,C502)=1,MAX($AX$4:AX501)+1,""))</f>
        <v/>
      </c>
      <c r="AY502" s="61">
        <f>IF(B502="","",HOUR(B502))</f>
        <v/>
      </c>
      <c r="AZ502" s="61">
        <f>IF(A502="","",MOD(A502-2,7)+1)</f>
        <v/>
      </c>
      <c r="BA502" s="60">
        <f>IF(C502="","",IFERROR(INDEX('Prospects'!$N$5:$N$504,MATCH(C502,'Prospects'!$C$5:$C$504,0)),""))</f>
        <v/>
      </c>
      <c r="BB502" s="61">
        <f>IF(AND(C502&lt;&gt;"",C502='Fiche prospect'!$C$4),COUNTIF($C$5:C502,C502),"")</f>
        <v/>
      </c>
    </row>
    <row r="503">
      <c r="A503" s="53" t="n"/>
      <c r="B503" s="54" t="n"/>
      <c r="C503" s="55" t="n"/>
      <c r="D503" s="55" t="n"/>
      <c r="E503" s="55" t="n"/>
      <c r="F503" s="55" t="n"/>
      <c r="G503" s="56" t="n"/>
      <c r="H503" s="57" t="n"/>
      <c r="I503" s="55" t="n"/>
      <c r="J503" s="53" t="n"/>
      <c r="K503" s="54" t="n"/>
      <c r="L503" s="55" t="n"/>
      <c r="M503" s="55" t="n"/>
      <c r="N503" s="57" t="n"/>
      <c r="O503" s="55" t="n"/>
      <c r="P503" s="56" t="n"/>
      <c r="Q503" s="55" t="n"/>
      <c r="R503" s="55" t="n"/>
      <c r="S503" s="55" t="n"/>
      <c r="T503" s="55" t="n"/>
      <c r="U503" s="55" t="n"/>
      <c r="V503" s="55" t="n"/>
      <c r="W503" s="58" t="n"/>
      <c r="X503" s="58" t="n"/>
      <c r="Y503" s="55" t="n"/>
      <c r="Z503" s="55" t="n"/>
      <c r="AA503" s="55" t="n"/>
      <c r="AB503" s="55" t="n"/>
      <c r="AC503" s="55" t="n"/>
      <c r="AD503" s="53" t="n"/>
      <c r="AE503" s="55" t="n"/>
      <c r="AF503" s="55" t="n"/>
      <c r="AG503" s="59" t="n"/>
      <c r="AH503" s="57" t="n"/>
      <c r="AI503" s="55" t="n"/>
      <c r="AJ503" s="55" t="n"/>
      <c r="AK503" s="55" t="n"/>
      <c r="AL503" s="55" t="n"/>
      <c r="AM503" s="56" t="n"/>
      <c r="AN503" s="55" t="n"/>
      <c r="AO503" s="55" t="n"/>
      <c r="AP503" s="55" t="n"/>
      <c r="AQ503" s="55" t="n"/>
      <c r="AR503" s="60">
        <f>IF(AND(C503="",E503=""),"",IF(A503="","⚠ Date manquante",IF(AND(C503="",E503&lt;&gt;"Dépense"),"⚠ Prospect manquant",IF(E503="","⚠ Action manquante",IF(AND(AU503=1,D503=""),"⚠ Canal manquant",IF(AND(W503&lt;&gt;"",COUNTIFS('Saisie'!$W$5:$W$2004,W503,'Saisie'!$C$5:$C$2004,"&lt;&gt;"&amp;C503)&gt;0),"⚠ Numéro déjà utilisé par un autre prospect",IF(AND(J503&lt;&gt;"",J503&lt;A503),"⚠ Relance avant la date de l'action",IF(A503&gt;TODAY(),"⚠ Date dans le futur","✓"))))))))</f>
        <v/>
      </c>
      <c r="AS503" s="61">
        <f>IF(AND(A503="",C503="",E503=""),"",ROW())</f>
        <v/>
      </c>
      <c r="AT503" s="61">
        <f>IF(E503&amp;F503="","",MAX(IFERROR(INDEX('Paramètres'!$J$6:$J$33,MATCH(E503,'Paramètres'!$I$6:$I$33,0)),0),IFERROR(INDEX('Paramètres'!$N$6:$N$17,MATCH(F503,'Paramètres'!$M$6:$M$17,0)),0)))</f>
        <v/>
      </c>
      <c r="AU503" s="61">
        <f>IF(E503="","",IFERROR(IF(INDEX('Paramètres'!$K$6:$K$33,MATCH(E503,'Paramètres'!$I$6:$I$33,0))="Oui",1,0),0))</f>
        <v/>
      </c>
      <c r="AV503" s="61">
        <f>IF(F503="","",IFERROR(IF(INDEX('Paramètres'!$O$6:$O$17,MATCH(F503,'Paramètres'!$M$6:$M$17,0))="Oui",1,0),0))</f>
        <v/>
      </c>
      <c r="AW503" s="62">
        <f>IF(E503="","",IF(G503&lt;&gt;"",G503,IF(OR(E503="Proposition envoyée",E503="Signature"),MAX(0,N(IFERROR(INDEX('Paramètres'!$R$6:$R$15,MATCH(IF(AL503&lt;&gt;"",AL503,IFERROR(INDEX('Prospects'!$AN$5:$AN$504,MATCH(C503,'Prospects'!$C$5:$C$504,0)),"")),'Paramètres'!$Q$6:$Q$15,0)),0))-N(P503)),0)))</f>
        <v/>
      </c>
      <c r="AX503" s="61">
        <f>IF(C503="","",IF(COUNTIF($C$5:C503,C503)=1,MAX($AX$4:AX502)+1,""))</f>
        <v/>
      </c>
      <c r="AY503" s="61">
        <f>IF(B503="","",HOUR(B503))</f>
        <v/>
      </c>
      <c r="AZ503" s="61">
        <f>IF(A503="","",MOD(A503-2,7)+1)</f>
        <v/>
      </c>
      <c r="BA503" s="60">
        <f>IF(C503="","",IFERROR(INDEX('Prospects'!$N$5:$N$504,MATCH(C503,'Prospects'!$C$5:$C$504,0)),""))</f>
        <v/>
      </c>
      <c r="BB503" s="61">
        <f>IF(AND(C503&lt;&gt;"",C503='Fiche prospect'!$C$4),COUNTIF($C$5:C503,C503),"")</f>
        <v/>
      </c>
    </row>
    <row r="504">
      <c r="A504" s="53" t="n"/>
      <c r="B504" s="54" t="n"/>
      <c r="C504" s="55" t="n"/>
      <c r="D504" s="55" t="n"/>
      <c r="E504" s="55" t="n"/>
      <c r="F504" s="55" t="n"/>
      <c r="G504" s="56" t="n"/>
      <c r="H504" s="57" t="n"/>
      <c r="I504" s="55" t="n"/>
      <c r="J504" s="53" t="n"/>
      <c r="K504" s="54" t="n"/>
      <c r="L504" s="55" t="n"/>
      <c r="M504" s="55" t="n"/>
      <c r="N504" s="57" t="n"/>
      <c r="O504" s="55" t="n"/>
      <c r="P504" s="56" t="n"/>
      <c r="Q504" s="55" t="n"/>
      <c r="R504" s="55" t="n"/>
      <c r="S504" s="55" t="n"/>
      <c r="T504" s="55" t="n"/>
      <c r="U504" s="55" t="n"/>
      <c r="V504" s="55" t="n"/>
      <c r="W504" s="58" t="n"/>
      <c r="X504" s="58" t="n"/>
      <c r="Y504" s="55" t="n"/>
      <c r="Z504" s="55" t="n"/>
      <c r="AA504" s="55" t="n"/>
      <c r="AB504" s="55" t="n"/>
      <c r="AC504" s="55" t="n"/>
      <c r="AD504" s="53" t="n"/>
      <c r="AE504" s="55" t="n"/>
      <c r="AF504" s="55" t="n"/>
      <c r="AG504" s="59" t="n"/>
      <c r="AH504" s="57" t="n"/>
      <c r="AI504" s="55" t="n"/>
      <c r="AJ504" s="55" t="n"/>
      <c r="AK504" s="55" t="n"/>
      <c r="AL504" s="55" t="n"/>
      <c r="AM504" s="56" t="n"/>
      <c r="AN504" s="55" t="n"/>
      <c r="AO504" s="55" t="n"/>
      <c r="AP504" s="55" t="n"/>
      <c r="AQ504" s="55" t="n"/>
      <c r="AR504" s="60">
        <f>IF(AND(C504="",E504=""),"",IF(A504="","⚠ Date manquante",IF(AND(C504="",E504&lt;&gt;"Dépense"),"⚠ Prospect manquant",IF(E504="","⚠ Action manquante",IF(AND(AU504=1,D504=""),"⚠ Canal manquant",IF(AND(W504&lt;&gt;"",COUNTIFS('Saisie'!$W$5:$W$2004,W504,'Saisie'!$C$5:$C$2004,"&lt;&gt;"&amp;C504)&gt;0),"⚠ Numéro déjà utilisé par un autre prospect",IF(AND(J504&lt;&gt;"",J504&lt;A504),"⚠ Relance avant la date de l'action",IF(A504&gt;TODAY(),"⚠ Date dans le futur","✓"))))))))</f>
        <v/>
      </c>
      <c r="AS504" s="61">
        <f>IF(AND(A504="",C504="",E504=""),"",ROW())</f>
        <v/>
      </c>
      <c r="AT504" s="61">
        <f>IF(E504&amp;F504="","",MAX(IFERROR(INDEX('Paramètres'!$J$6:$J$33,MATCH(E504,'Paramètres'!$I$6:$I$33,0)),0),IFERROR(INDEX('Paramètres'!$N$6:$N$17,MATCH(F504,'Paramètres'!$M$6:$M$17,0)),0)))</f>
        <v/>
      </c>
      <c r="AU504" s="61">
        <f>IF(E504="","",IFERROR(IF(INDEX('Paramètres'!$K$6:$K$33,MATCH(E504,'Paramètres'!$I$6:$I$33,0))="Oui",1,0),0))</f>
        <v/>
      </c>
      <c r="AV504" s="61">
        <f>IF(F504="","",IFERROR(IF(INDEX('Paramètres'!$O$6:$O$17,MATCH(F504,'Paramètres'!$M$6:$M$17,0))="Oui",1,0),0))</f>
        <v/>
      </c>
      <c r="AW504" s="62">
        <f>IF(E504="","",IF(G504&lt;&gt;"",G504,IF(OR(E504="Proposition envoyée",E504="Signature"),MAX(0,N(IFERROR(INDEX('Paramètres'!$R$6:$R$15,MATCH(IF(AL504&lt;&gt;"",AL504,IFERROR(INDEX('Prospects'!$AN$5:$AN$504,MATCH(C504,'Prospects'!$C$5:$C$504,0)),"")),'Paramètres'!$Q$6:$Q$15,0)),0))-N(P504)),0)))</f>
        <v/>
      </c>
      <c r="AX504" s="61">
        <f>IF(C504="","",IF(COUNTIF($C$5:C504,C504)=1,MAX($AX$4:AX503)+1,""))</f>
        <v/>
      </c>
      <c r="AY504" s="61">
        <f>IF(B504="","",HOUR(B504))</f>
        <v/>
      </c>
      <c r="AZ504" s="61">
        <f>IF(A504="","",MOD(A504-2,7)+1)</f>
        <v/>
      </c>
      <c r="BA504" s="60">
        <f>IF(C504="","",IFERROR(INDEX('Prospects'!$N$5:$N$504,MATCH(C504,'Prospects'!$C$5:$C$504,0)),""))</f>
        <v/>
      </c>
      <c r="BB504" s="61">
        <f>IF(AND(C504&lt;&gt;"",C504='Fiche prospect'!$C$4),COUNTIF($C$5:C504,C504),"")</f>
        <v/>
      </c>
    </row>
    <row r="505">
      <c r="A505" s="53" t="n"/>
      <c r="B505" s="54" t="n"/>
      <c r="C505" s="55" t="n"/>
      <c r="D505" s="55" t="n"/>
      <c r="E505" s="55" t="n"/>
      <c r="F505" s="55" t="n"/>
      <c r="G505" s="56" t="n"/>
      <c r="H505" s="57" t="n"/>
      <c r="I505" s="55" t="n"/>
      <c r="J505" s="53" t="n"/>
      <c r="K505" s="54" t="n"/>
      <c r="L505" s="55" t="n"/>
      <c r="M505" s="55" t="n"/>
      <c r="N505" s="57" t="n"/>
      <c r="O505" s="55" t="n"/>
      <c r="P505" s="56" t="n"/>
      <c r="Q505" s="55" t="n"/>
      <c r="R505" s="55" t="n"/>
      <c r="S505" s="55" t="n"/>
      <c r="T505" s="55" t="n"/>
      <c r="U505" s="55" t="n"/>
      <c r="V505" s="55" t="n"/>
      <c r="W505" s="58" t="n"/>
      <c r="X505" s="58" t="n"/>
      <c r="Y505" s="55" t="n"/>
      <c r="Z505" s="55" t="n"/>
      <c r="AA505" s="55" t="n"/>
      <c r="AB505" s="55" t="n"/>
      <c r="AC505" s="55" t="n"/>
      <c r="AD505" s="53" t="n"/>
      <c r="AE505" s="55" t="n"/>
      <c r="AF505" s="55" t="n"/>
      <c r="AG505" s="59" t="n"/>
      <c r="AH505" s="57" t="n"/>
      <c r="AI505" s="55" t="n"/>
      <c r="AJ505" s="55" t="n"/>
      <c r="AK505" s="55" t="n"/>
      <c r="AL505" s="55" t="n"/>
      <c r="AM505" s="56" t="n"/>
      <c r="AN505" s="55" t="n"/>
      <c r="AO505" s="55" t="n"/>
      <c r="AP505" s="55" t="n"/>
      <c r="AQ505" s="55" t="n"/>
      <c r="AR505" s="60">
        <f>IF(AND(C505="",E505=""),"",IF(A505="","⚠ Date manquante",IF(AND(C505="",E505&lt;&gt;"Dépense"),"⚠ Prospect manquant",IF(E505="","⚠ Action manquante",IF(AND(AU505=1,D505=""),"⚠ Canal manquant",IF(AND(W505&lt;&gt;"",COUNTIFS('Saisie'!$W$5:$W$2004,W505,'Saisie'!$C$5:$C$2004,"&lt;&gt;"&amp;C505)&gt;0),"⚠ Numéro déjà utilisé par un autre prospect",IF(AND(J505&lt;&gt;"",J505&lt;A505),"⚠ Relance avant la date de l'action",IF(A505&gt;TODAY(),"⚠ Date dans le futur","✓"))))))))</f>
        <v/>
      </c>
      <c r="AS505" s="61">
        <f>IF(AND(A505="",C505="",E505=""),"",ROW())</f>
        <v/>
      </c>
      <c r="AT505" s="61">
        <f>IF(E505&amp;F505="","",MAX(IFERROR(INDEX('Paramètres'!$J$6:$J$33,MATCH(E505,'Paramètres'!$I$6:$I$33,0)),0),IFERROR(INDEX('Paramètres'!$N$6:$N$17,MATCH(F505,'Paramètres'!$M$6:$M$17,0)),0)))</f>
        <v/>
      </c>
      <c r="AU505" s="61">
        <f>IF(E505="","",IFERROR(IF(INDEX('Paramètres'!$K$6:$K$33,MATCH(E505,'Paramètres'!$I$6:$I$33,0))="Oui",1,0),0))</f>
        <v/>
      </c>
      <c r="AV505" s="61">
        <f>IF(F505="","",IFERROR(IF(INDEX('Paramètres'!$O$6:$O$17,MATCH(F505,'Paramètres'!$M$6:$M$17,0))="Oui",1,0),0))</f>
        <v/>
      </c>
      <c r="AW505" s="62">
        <f>IF(E505="","",IF(G505&lt;&gt;"",G505,IF(OR(E505="Proposition envoyée",E505="Signature"),MAX(0,N(IFERROR(INDEX('Paramètres'!$R$6:$R$15,MATCH(IF(AL505&lt;&gt;"",AL505,IFERROR(INDEX('Prospects'!$AN$5:$AN$504,MATCH(C505,'Prospects'!$C$5:$C$504,0)),"")),'Paramètres'!$Q$6:$Q$15,0)),0))-N(P505)),0)))</f>
        <v/>
      </c>
      <c r="AX505" s="61">
        <f>IF(C505="","",IF(COUNTIF($C$5:C505,C505)=1,MAX($AX$4:AX504)+1,""))</f>
        <v/>
      </c>
      <c r="AY505" s="61">
        <f>IF(B505="","",HOUR(B505))</f>
        <v/>
      </c>
      <c r="AZ505" s="61">
        <f>IF(A505="","",MOD(A505-2,7)+1)</f>
        <v/>
      </c>
      <c r="BA505" s="60">
        <f>IF(C505="","",IFERROR(INDEX('Prospects'!$N$5:$N$504,MATCH(C505,'Prospects'!$C$5:$C$504,0)),""))</f>
        <v/>
      </c>
      <c r="BB505" s="61">
        <f>IF(AND(C505&lt;&gt;"",C505='Fiche prospect'!$C$4),COUNTIF($C$5:C505,C505),"")</f>
        <v/>
      </c>
    </row>
    <row r="506">
      <c r="A506" s="53" t="n"/>
      <c r="B506" s="54" t="n"/>
      <c r="C506" s="55" t="n"/>
      <c r="D506" s="55" t="n"/>
      <c r="E506" s="55" t="n"/>
      <c r="F506" s="55" t="n"/>
      <c r="G506" s="56" t="n"/>
      <c r="H506" s="57" t="n"/>
      <c r="I506" s="55" t="n"/>
      <c r="J506" s="53" t="n"/>
      <c r="K506" s="54" t="n"/>
      <c r="L506" s="55" t="n"/>
      <c r="M506" s="55" t="n"/>
      <c r="N506" s="57" t="n"/>
      <c r="O506" s="55" t="n"/>
      <c r="P506" s="56" t="n"/>
      <c r="Q506" s="55" t="n"/>
      <c r="R506" s="55" t="n"/>
      <c r="S506" s="55" t="n"/>
      <c r="T506" s="55" t="n"/>
      <c r="U506" s="55" t="n"/>
      <c r="V506" s="55" t="n"/>
      <c r="W506" s="58" t="n"/>
      <c r="X506" s="58" t="n"/>
      <c r="Y506" s="55" t="n"/>
      <c r="Z506" s="55" t="n"/>
      <c r="AA506" s="55" t="n"/>
      <c r="AB506" s="55" t="n"/>
      <c r="AC506" s="55" t="n"/>
      <c r="AD506" s="53" t="n"/>
      <c r="AE506" s="55" t="n"/>
      <c r="AF506" s="55" t="n"/>
      <c r="AG506" s="59" t="n"/>
      <c r="AH506" s="57" t="n"/>
      <c r="AI506" s="55" t="n"/>
      <c r="AJ506" s="55" t="n"/>
      <c r="AK506" s="55" t="n"/>
      <c r="AL506" s="55" t="n"/>
      <c r="AM506" s="56" t="n"/>
      <c r="AN506" s="55" t="n"/>
      <c r="AO506" s="55" t="n"/>
      <c r="AP506" s="55" t="n"/>
      <c r="AQ506" s="55" t="n"/>
      <c r="AR506" s="60">
        <f>IF(AND(C506="",E506=""),"",IF(A506="","⚠ Date manquante",IF(AND(C506="",E506&lt;&gt;"Dépense"),"⚠ Prospect manquant",IF(E506="","⚠ Action manquante",IF(AND(AU506=1,D506=""),"⚠ Canal manquant",IF(AND(W506&lt;&gt;"",COUNTIFS('Saisie'!$W$5:$W$2004,W506,'Saisie'!$C$5:$C$2004,"&lt;&gt;"&amp;C506)&gt;0),"⚠ Numéro déjà utilisé par un autre prospect",IF(AND(J506&lt;&gt;"",J506&lt;A506),"⚠ Relance avant la date de l'action",IF(A506&gt;TODAY(),"⚠ Date dans le futur","✓"))))))))</f>
        <v/>
      </c>
      <c r="AS506" s="61">
        <f>IF(AND(A506="",C506="",E506=""),"",ROW())</f>
        <v/>
      </c>
      <c r="AT506" s="61">
        <f>IF(E506&amp;F506="","",MAX(IFERROR(INDEX('Paramètres'!$J$6:$J$33,MATCH(E506,'Paramètres'!$I$6:$I$33,0)),0),IFERROR(INDEX('Paramètres'!$N$6:$N$17,MATCH(F506,'Paramètres'!$M$6:$M$17,0)),0)))</f>
        <v/>
      </c>
      <c r="AU506" s="61">
        <f>IF(E506="","",IFERROR(IF(INDEX('Paramètres'!$K$6:$K$33,MATCH(E506,'Paramètres'!$I$6:$I$33,0))="Oui",1,0),0))</f>
        <v/>
      </c>
      <c r="AV506" s="61">
        <f>IF(F506="","",IFERROR(IF(INDEX('Paramètres'!$O$6:$O$17,MATCH(F506,'Paramètres'!$M$6:$M$17,0))="Oui",1,0),0))</f>
        <v/>
      </c>
      <c r="AW506" s="62">
        <f>IF(E506="","",IF(G506&lt;&gt;"",G506,IF(OR(E506="Proposition envoyée",E506="Signature"),MAX(0,N(IFERROR(INDEX('Paramètres'!$R$6:$R$15,MATCH(IF(AL506&lt;&gt;"",AL506,IFERROR(INDEX('Prospects'!$AN$5:$AN$504,MATCH(C506,'Prospects'!$C$5:$C$504,0)),"")),'Paramètres'!$Q$6:$Q$15,0)),0))-N(P506)),0)))</f>
        <v/>
      </c>
      <c r="AX506" s="61">
        <f>IF(C506="","",IF(COUNTIF($C$5:C506,C506)=1,MAX($AX$4:AX505)+1,""))</f>
        <v/>
      </c>
      <c r="AY506" s="61">
        <f>IF(B506="","",HOUR(B506))</f>
        <v/>
      </c>
      <c r="AZ506" s="61">
        <f>IF(A506="","",MOD(A506-2,7)+1)</f>
        <v/>
      </c>
      <c r="BA506" s="60">
        <f>IF(C506="","",IFERROR(INDEX('Prospects'!$N$5:$N$504,MATCH(C506,'Prospects'!$C$5:$C$504,0)),""))</f>
        <v/>
      </c>
      <c r="BB506" s="61">
        <f>IF(AND(C506&lt;&gt;"",C506='Fiche prospect'!$C$4),COUNTIF($C$5:C506,C506),"")</f>
        <v/>
      </c>
    </row>
    <row r="507">
      <c r="A507" s="53" t="n"/>
      <c r="B507" s="54" t="n"/>
      <c r="C507" s="55" t="n"/>
      <c r="D507" s="55" t="n"/>
      <c r="E507" s="55" t="n"/>
      <c r="F507" s="55" t="n"/>
      <c r="G507" s="56" t="n"/>
      <c r="H507" s="57" t="n"/>
      <c r="I507" s="55" t="n"/>
      <c r="J507" s="53" t="n"/>
      <c r="K507" s="54" t="n"/>
      <c r="L507" s="55" t="n"/>
      <c r="M507" s="55" t="n"/>
      <c r="N507" s="57" t="n"/>
      <c r="O507" s="55" t="n"/>
      <c r="P507" s="56" t="n"/>
      <c r="Q507" s="55" t="n"/>
      <c r="R507" s="55" t="n"/>
      <c r="S507" s="55" t="n"/>
      <c r="T507" s="55" t="n"/>
      <c r="U507" s="55" t="n"/>
      <c r="V507" s="55" t="n"/>
      <c r="W507" s="58" t="n"/>
      <c r="X507" s="58" t="n"/>
      <c r="Y507" s="55" t="n"/>
      <c r="Z507" s="55" t="n"/>
      <c r="AA507" s="55" t="n"/>
      <c r="AB507" s="55" t="n"/>
      <c r="AC507" s="55" t="n"/>
      <c r="AD507" s="53" t="n"/>
      <c r="AE507" s="55" t="n"/>
      <c r="AF507" s="55" t="n"/>
      <c r="AG507" s="59" t="n"/>
      <c r="AH507" s="57" t="n"/>
      <c r="AI507" s="55" t="n"/>
      <c r="AJ507" s="55" t="n"/>
      <c r="AK507" s="55" t="n"/>
      <c r="AL507" s="55" t="n"/>
      <c r="AM507" s="56" t="n"/>
      <c r="AN507" s="55" t="n"/>
      <c r="AO507" s="55" t="n"/>
      <c r="AP507" s="55" t="n"/>
      <c r="AQ507" s="55" t="n"/>
      <c r="AR507" s="60">
        <f>IF(AND(C507="",E507=""),"",IF(A507="","⚠ Date manquante",IF(AND(C507="",E507&lt;&gt;"Dépense"),"⚠ Prospect manquant",IF(E507="","⚠ Action manquante",IF(AND(AU507=1,D507=""),"⚠ Canal manquant",IF(AND(W507&lt;&gt;"",COUNTIFS('Saisie'!$W$5:$W$2004,W507,'Saisie'!$C$5:$C$2004,"&lt;&gt;"&amp;C507)&gt;0),"⚠ Numéro déjà utilisé par un autre prospect",IF(AND(J507&lt;&gt;"",J507&lt;A507),"⚠ Relance avant la date de l'action",IF(A507&gt;TODAY(),"⚠ Date dans le futur","✓"))))))))</f>
        <v/>
      </c>
      <c r="AS507" s="61">
        <f>IF(AND(A507="",C507="",E507=""),"",ROW())</f>
        <v/>
      </c>
      <c r="AT507" s="61">
        <f>IF(E507&amp;F507="","",MAX(IFERROR(INDEX('Paramètres'!$J$6:$J$33,MATCH(E507,'Paramètres'!$I$6:$I$33,0)),0),IFERROR(INDEX('Paramètres'!$N$6:$N$17,MATCH(F507,'Paramètres'!$M$6:$M$17,0)),0)))</f>
        <v/>
      </c>
      <c r="AU507" s="61">
        <f>IF(E507="","",IFERROR(IF(INDEX('Paramètres'!$K$6:$K$33,MATCH(E507,'Paramètres'!$I$6:$I$33,0))="Oui",1,0),0))</f>
        <v/>
      </c>
      <c r="AV507" s="61">
        <f>IF(F507="","",IFERROR(IF(INDEX('Paramètres'!$O$6:$O$17,MATCH(F507,'Paramètres'!$M$6:$M$17,0))="Oui",1,0),0))</f>
        <v/>
      </c>
      <c r="AW507" s="62">
        <f>IF(E507="","",IF(G507&lt;&gt;"",G507,IF(OR(E507="Proposition envoyée",E507="Signature"),MAX(0,N(IFERROR(INDEX('Paramètres'!$R$6:$R$15,MATCH(IF(AL507&lt;&gt;"",AL507,IFERROR(INDEX('Prospects'!$AN$5:$AN$504,MATCH(C507,'Prospects'!$C$5:$C$504,0)),"")),'Paramètres'!$Q$6:$Q$15,0)),0))-N(P507)),0)))</f>
        <v/>
      </c>
      <c r="AX507" s="61">
        <f>IF(C507="","",IF(COUNTIF($C$5:C507,C507)=1,MAX($AX$4:AX506)+1,""))</f>
        <v/>
      </c>
      <c r="AY507" s="61">
        <f>IF(B507="","",HOUR(B507))</f>
        <v/>
      </c>
      <c r="AZ507" s="61">
        <f>IF(A507="","",MOD(A507-2,7)+1)</f>
        <v/>
      </c>
      <c r="BA507" s="60">
        <f>IF(C507="","",IFERROR(INDEX('Prospects'!$N$5:$N$504,MATCH(C507,'Prospects'!$C$5:$C$504,0)),""))</f>
        <v/>
      </c>
      <c r="BB507" s="61">
        <f>IF(AND(C507&lt;&gt;"",C507='Fiche prospect'!$C$4),COUNTIF($C$5:C507,C507),"")</f>
        <v/>
      </c>
    </row>
    <row r="508">
      <c r="A508" s="53" t="n"/>
      <c r="B508" s="54" t="n"/>
      <c r="C508" s="55" t="n"/>
      <c r="D508" s="55" t="n"/>
      <c r="E508" s="55" t="n"/>
      <c r="F508" s="55" t="n"/>
      <c r="G508" s="56" t="n"/>
      <c r="H508" s="57" t="n"/>
      <c r="I508" s="55" t="n"/>
      <c r="J508" s="53" t="n"/>
      <c r="K508" s="54" t="n"/>
      <c r="L508" s="55" t="n"/>
      <c r="M508" s="55" t="n"/>
      <c r="N508" s="57" t="n"/>
      <c r="O508" s="55" t="n"/>
      <c r="P508" s="56" t="n"/>
      <c r="Q508" s="55" t="n"/>
      <c r="R508" s="55" t="n"/>
      <c r="S508" s="55" t="n"/>
      <c r="T508" s="55" t="n"/>
      <c r="U508" s="55" t="n"/>
      <c r="V508" s="55" t="n"/>
      <c r="W508" s="58" t="n"/>
      <c r="X508" s="58" t="n"/>
      <c r="Y508" s="55" t="n"/>
      <c r="Z508" s="55" t="n"/>
      <c r="AA508" s="55" t="n"/>
      <c r="AB508" s="55" t="n"/>
      <c r="AC508" s="55" t="n"/>
      <c r="AD508" s="53" t="n"/>
      <c r="AE508" s="55" t="n"/>
      <c r="AF508" s="55" t="n"/>
      <c r="AG508" s="59" t="n"/>
      <c r="AH508" s="57" t="n"/>
      <c r="AI508" s="55" t="n"/>
      <c r="AJ508" s="55" t="n"/>
      <c r="AK508" s="55" t="n"/>
      <c r="AL508" s="55" t="n"/>
      <c r="AM508" s="56" t="n"/>
      <c r="AN508" s="55" t="n"/>
      <c r="AO508" s="55" t="n"/>
      <c r="AP508" s="55" t="n"/>
      <c r="AQ508" s="55" t="n"/>
      <c r="AR508" s="60">
        <f>IF(AND(C508="",E508=""),"",IF(A508="","⚠ Date manquante",IF(AND(C508="",E508&lt;&gt;"Dépense"),"⚠ Prospect manquant",IF(E508="","⚠ Action manquante",IF(AND(AU508=1,D508=""),"⚠ Canal manquant",IF(AND(W508&lt;&gt;"",COUNTIFS('Saisie'!$W$5:$W$2004,W508,'Saisie'!$C$5:$C$2004,"&lt;&gt;"&amp;C508)&gt;0),"⚠ Numéro déjà utilisé par un autre prospect",IF(AND(J508&lt;&gt;"",J508&lt;A508),"⚠ Relance avant la date de l'action",IF(A508&gt;TODAY(),"⚠ Date dans le futur","✓"))))))))</f>
        <v/>
      </c>
      <c r="AS508" s="61">
        <f>IF(AND(A508="",C508="",E508=""),"",ROW())</f>
        <v/>
      </c>
      <c r="AT508" s="61">
        <f>IF(E508&amp;F508="","",MAX(IFERROR(INDEX('Paramètres'!$J$6:$J$33,MATCH(E508,'Paramètres'!$I$6:$I$33,0)),0),IFERROR(INDEX('Paramètres'!$N$6:$N$17,MATCH(F508,'Paramètres'!$M$6:$M$17,0)),0)))</f>
        <v/>
      </c>
      <c r="AU508" s="61">
        <f>IF(E508="","",IFERROR(IF(INDEX('Paramètres'!$K$6:$K$33,MATCH(E508,'Paramètres'!$I$6:$I$33,0))="Oui",1,0),0))</f>
        <v/>
      </c>
      <c r="AV508" s="61">
        <f>IF(F508="","",IFERROR(IF(INDEX('Paramètres'!$O$6:$O$17,MATCH(F508,'Paramètres'!$M$6:$M$17,0))="Oui",1,0),0))</f>
        <v/>
      </c>
      <c r="AW508" s="62">
        <f>IF(E508="","",IF(G508&lt;&gt;"",G508,IF(OR(E508="Proposition envoyée",E508="Signature"),MAX(0,N(IFERROR(INDEX('Paramètres'!$R$6:$R$15,MATCH(IF(AL508&lt;&gt;"",AL508,IFERROR(INDEX('Prospects'!$AN$5:$AN$504,MATCH(C508,'Prospects'!$C$5:$C$504,0)),"")),'Paramètres'!$Q$6:$Q$15,0)),0))-N(P508)),0)))</f>
        <v/>
      </c>
      <c r="AX508" s="61">
        <f>IF(C508="","",IF(COUNTIF($C$5:C508,C508)=1,MAX($AX$4:AX507)+1,""))</f>
        <v/>
      </c>
      <c r="AY508" s="61">
        <f>IF(B508="","",HOUR(B508))</f>
        <v/>
      </c>
      <c r="AZ508" s="61">
        <f>IF(A508="","",MOD(A508-2,7)+1)</f>
        <v/>
      </c>
      <c r="BA508" s="60">
        <f>IF(C508="","",IFERROR(INDEX('Prospects'!$N$5:$N$504,MATCH(C508,'Prospects'!$C$5:$C$504,0)),""))</f>
        <v/>
      </c>
      <c r="BB508" s="61">
        <f>IF(AND(C508&lt;&gt;"",C508='Fiche prospect'!$C$4),COUNTIF($C$5:C508,C508),"")</f>
        <v/>
      </c>
    </row>
    <row r="509">
      <c r="A509" s="53" t="n"/>
      <c r="B509" s="54" t="n"/>
      <c r="C509" s="55" t="n"/>
      <c r="D509" s="55" t="n"/>
      <c r="E509" s="55" t="n"/>
      <c r="F509" s="55" t="n"/>
      <c r="G509" s="56" t="n"/>
      <c r="H509" s="57" t="n"/>
      <c r="I509" s="55" t="n"/>
      <c r="J509" s="53" t="n"/>
      <c r="K509" s="54" t="n"/>
      <c r="L509" s="55" t="n"/>
      <c r="M509" s="55" t="n"/>
      <c r="N509" s="57" t="n"/>
      <c r="O509" s="55" t="n"/>
      <c r="P509" s="56" t="n"/>
      <c r="Q509" s="55" t="n"/>
      <c r="R509" s="55" t="n"/>
      <c r="S509" s="55" t="n"/>
      <c r="T509" s="55" t="n"/>
      <c r="U509" s="55" t="n"/>
      <c r="V509" s="55" t="n"/>
      <c r="W509" s="58" t="n"/>
      <c r="X509" s="58" t="n"/>
      <c r="Y509" s="55" t="n"/>
      <c r="Z509" s="55" t="n"/>
      <c r="AA509" s="55" t="n"/>
      <c r="AB509" s="55" t="n"/>
      <c r="AC509" s="55" t="n"/>
      <c r="AD509" s="53" t="n"/>
      <c r="AE509" s="55" t="n"/>
      <c r="AF509" s="55" t="n"/>
      <c r="AG509" s="59" t="n"/>
      <c r="AH509" s="57" t="n"/>
      <c r="AI509" s="55" t="n"/>
      <c r="AJ509" s="55" t="n"/>
      <c r="AK509" s="55" t="n"/>
      <c r="AL509" s="55" t="n"/>
      <c r="AM509" s="56" t="n"/>
      <c r="AN509" s="55" t="n"/>
      <c r="AO509" s="55" t="n"/>
      <c r="AP509" s="55" t="n"/>
      <c r="AQ509" s="55" t="n"/>
      <c r="AR509" s="60">
        <f>IF(AND(C509="",E509=""),"",IF(A509="","⚠ Date manquante",IF(AND(C509="",E509&lt;&gt;"Dépense"),"⚠ Prospect manquant",IF(E509="","⚠ Action manquante",IF(AND(AU509=1,D509=""),"⚠ Canal manquant",IF(AND(W509&lt;&gt;"",COUNTIFS('Saisie'!$W$5:$W$2004,W509,'Saisie'!$C$5:$C$2004,"&lt;&gt;"&amp;C509)&gt;0),"⚠ Numéro déjà utilisé par un autre prospect",IF(AND(J509&lt;&gt;"",J509&lt;A509),"⚠ Relance avant la date de l'action",IF(A509&gt;TODAY(),"⚠ Date dans le futur","✓"))))))))</f>
        <v/>
      </c>
      <c r="AS509" s="61">
        <f>IF(AND(A509="",C509="",E509=""),"",ROW())</f>
        <v/>
      </c>
      <c r="AT509" s="61">
        <f>IF(E509&amp;F509="","",MAX(IFERROR(INDEX('Paramètres'!$J$6:$J$33,MATCH(E509,'Paramètres'!$I$6:$I$33,0)),0),IFERROR(INDEX('Paramètres'!$N$6:$N$17,MATCH(F509,'Paramètres'!$M$6:$M$17,0)),0)))</f>
        <v/>
      </c>
      <c r="AU509" s="61">
        <f>IF(E509="","",IFERROR(IF(INDEX('Paramètres'!$K$6:$K$33,MATCH(E509,'Paramètres'!$I$6:$I$33,0))="Oui",1,0),0))</f>
        <v/>
      </c>
      <c r="AV509" s="61">
        <f>IF(F509="","",IFERROR(IF(INDEX('Paramètres'!$O$6:$O$17,MATCH(F509,'Paramètres'!$M$6:$M$17,0))="Oui",1,0),0))</f>
        <v/>
      </c>
      <c r="AW509" s="62">
        <f>IF(E509="","",IF(G509&lt;&gt;"",G509,IF(OR(E509="Proposition envoyée",E509="Signature"),MAX(0,N(IFERROR(INDEX('Paramètres'!$R$6:$R$15,MATCH(IF(AL509&lt;&gt;"",AL509,IFERROR(INDEX('Prospects'!$AN$5:$AN$504,MATCH(C509,'Prospects'!$C$5:$C$504,0)),"")),'Paramètres'!$Q$6:$Q$15,0)),0))-N(P509)),0)))</f>
        <v/>
      </c>
      <c r="AX509" s="61">
        <f>IF(C509="","",IF(COUNTIF($C$5:C509,C509)=1,MAX($AX$4:AX508)+1,""))</f>
        <v/>
      </c>
      <c r="AY509" s="61">
        <f>IF(B509="","",HOUR(B509))</f>
        <v/>
      </c>
      <c r="AZ509" s="61">
        <f>IF(A509="","",MOD(A509-2,7)+1)</f>
        <v/>
      </c>
      <c r="BA509" s="60">
        <f>IF(C509="","",IFERROR(INDEX('Prospects'!$N$5:$N$504,MATCH(C509,'Prospects'!$C$5:$C$504,0)),""))</f>
        <v/>
      </c>
      <c r="BB509" s="61">
        <f>IF(AND(C509&lt;&gt;"",C509='Fiche prospect'!$C$4),COUNTIF($C$5:C509,C509),"")</f>
        <v/>
      </c>
    </row>
    <row r="510">
      <c r="A510" s="53" t="n"/>
      <c r="B510" s="54" t="n"/>
      <c r="C510" s="55" t="n"/>
      <c r="D510" s="55" t="n"/>
      <c r="E510" s="55" t="n"/>
      <c r="F510" s="55" t="n"/>
      <c r="G510" s="56" t="n"/>
      <c r="H510" s="57" t="n"/>
      <c r="I510" s="55" t="n"/>
      <c r="J510" s="53" t="n"/>
      <c r="K510" s="54" t="n"/>
      <c r="L510" s="55" t="n"/>
      <c r="M510" s="55" t="n"/>
      <c r="N510" s="57" t="n"/>
      <c r="O510" s="55" t="n"/>
      <c r="P510" s="56" t="n"/>
      <c r="Q510" s="55" t="n"/>
      <c r="R510" s="55" t="n"/>
      <c r="S510" s="55" t="n"/>
      <c r="T510" s="55" t="n"/>
      <c r="U510" s="55" t="n"/>
      <c r="V510" s="55" t="n"/>
      <c r="W510" s="58" t="n"/>
      <c r="X510" s="58" t="n"/>
      <c r="Y510" s="55" t="n"/>
      <c r="Z510" s="55" t="n"/>
      <c r="AA510" s="55" t="n"/>
      <c r="AB510" s="55" t="n"/>
      <c r="AC510" s="55" t="n"/>
      <c r="AD510" s="53" t="n"/>
      <c r="AE510" s="55" t="n"/>
      <c r="AF510" s="55" t="n"/>
      <c r="AG510" s="59" t="n"/>
      <c r="AH510" s="57" t="n"/>
      <c r="AI510" s="55" t="n"/>
      <c r="AJ510" s="55" t="n"/>
      <c r="AK510" s="55" t="n"/>
      <c r="AL510" s="55" t="n"/>
      <c r="AM510" s="56" t="n"/>
      <c r="AN510" s="55" t="n"/>
      <c r="AO510" s="55" t="n"/>
      <c r="AP510" s="55" t="n"/>
      <c r="AQ510" s="55" t="n"/>
      <c r="AR510" s="60">
        <f>IF(AND(C510="",E510=""),"",IF(A510="","⚠ Date manquante",IF(AND(C510="",E510&lt;&gt;"Dépense"),"⚠ Prospect manquant",IF(E510="","⚠ Action manquante",IF(AND(AU510=1,D510=""),"⚠ Canal manquant",IF(AND(W510&lt;&gt;"",COUNTIFS('Saisie'!$W$5:$W$2004,W510,'Saisie'!$C$5:$C$2004,"&lt;&gt;"&amp;C510)&gt;0),"⚠ Numéro déjà utilisé par un autre prospect",IF(AND(J510&lt;&gt;"",J510&lt;A510),"⚠ Relance avant la date de l'action",IF(A510&gt;TODAY(),"⚠ Date dans le futur","✓"))))))))</f>
        <v/>
      </c>
      <c r="AS510" s="61">
        <f>IF(AND(A510="",C510="",E510=""),"",ROW())</f>
        <v/>
      </c>
      <c r="AT510" s="61">
        <f>IF(E510&amp;F510="","",MAX(IFERROR(INDEX('Paramètres'!$J$6:$J$33,MATCH(E510,'Paramètres'!$I$6:$I$33,0)),0),IFERROR(INDEX('Paramètres'!$N$6:$N$17,MATCH(F510,'Paramètres'!$M$6:$M$17,0)),0)))</f>
        <v/>
      </c>
      <c r="AU510" s="61">
        <f>IF(E510="","",IFERROR(IF(INDEX('Paramètres'!$K$6:$K$33,MATCH(E510,'Paramètres'!$I$6:$I$33,0))="Oui",1,0),0))</f>
        <v/>
      </c>
      <c r="AV510" s="61">
        <f>IF(F510="","",IFERROR(IF(INDEX('Paramètres'!$O$6:$O$17,MATCH(F510,'Paramètres'!$M$6:$M$17,0))="Oui",1,0),0))</f>
        <v/>
      </c>
      <c r="AW510" s="62">
        <f>IF(E510="","",IF(G510&lt;&gt;"",G510,IF(OR(E510="Proposition envoyée",E510="Signature"),MAX(0,N(IFERROR(INDEX('Paramètres'!$R$6:$R$15,MATCH(IF(AL510&lt;&gt;"",AL510,IFERROR(INDEX('Prospects'!$AN$5:$AN$504,MATCH(C510,'Prospects'!$C$5:$C$504,0)),"")),'Paramètres'!$Q$6:$Q$15,0)),0))-N(P510)),0)))</f>
        <v/>
      </c>
      <c r="AX510" s="61">
        <f>IF(C510="","",IF(COUNTIF($C$5:C510,C510)=1,MAX($AX$4:AX509)+1,""))</f>
        <v/>
      </c>
      <c r="AY510" s="61">
        <f>IF(B510="","",HOUR(B510))</f>
        <v/>
      </c>
      <c r="AZ510" s="61">
        <f>IF(A510="","",MOD(A510-2,7)+1)</f>
        <v/>
      </c>
      <c r="BA510" s="60">
        <f>IF(C510="","",IFERROR(INDEX('Prospects'!$N$5:$N$504,MATCH(C510,'Prospects'!$C$5:$C$504,0)),""))</f>
        <v/>
      </c>
      <c r="BB510" s="61">
        <f>IF(AND(C510&lt;&gt;"",C510='Fiche prospect'!$C$4),COUNTIF($C$5:C510,C510),"")</f>
        <v/>
      </c>
    </row>
    <row r="511">
      <c r="A511" s="53" t="n"/>
      <c r="B511" s="54" t="n"/>
      <c r="C511" s="55" t="n"/>
      <c r="D511" s="55" t="n"/>
      <c r="E511" s="55" t="n"/>
      <c r="F511" s="55" t="n"/>
      <c r="G511" s="56" t="n"/>
      <c r="H511" s="57" t="n"/>
      <c r="I511" s="55" t="n"/>
      <c r="J511" s="53" t="n"/>
      <c r="K511" s="54" t="n"/>
      <c r="L511" s="55" t="n"/>
      <c r="M511" s="55" t="n"/>
      <c r="N511" s="57" t="n"/>
      <c r="O511" s="55" t="n"/>
      <c r="P511" s="56" t="n"/>
      <c r="Q511" s="55" t="n"/>
      <c r="R511" s="55" t="n"/>
      <c r="S511" s="55" t="n"/>
      <c r="T511" s="55" t="n"/>
      <c r="U511" s="55" t="n"/>
      <c r="V511" s="55" t="n"/>
      <c r="W511" s="58" t="n"/>
      <c r="X511" s="58" t="n"/>
      <c r="Y511" s="55" t="n"/>
      <c r="Z511" s="55" t="n"/>
      <c r="AA511" s="55" t="n"/>
      <c r="AB511" s="55" t="n"/>
      <c r="AC511" s="55" t="n"/>
      <c r="AD511" s="53" t="n"/>
      <c r="AE511" s="55" t="n"/>
      <c r="AF511" s="55" t="n"/>
      <c r="AG511" s="59" t="n"/>
      <c r="AH511" s="57" t="n"/>
      <c r="AI511" s="55" t="n"/>
      <c r="AJ511" s="55" t="n"/>
      <c r="AK511" s="55" t="n"/>
      <c r="AL511" s="55" t="n"/>
      <c r="AM511" s="56" t="n"/>
      <c r="AN511" s="55" t="n"/>
      <c r="AO511" s="55" t="n"/>
      <c r="AP511" s="55" t="n"/>
      <c r="AQ511" s="55" t="n"/>
      <c r="AR511" s="60">
        <f>IF(AND(C511="",E511=""),"",IF(A511="","⚠ Date manquante",IF(AND(C511="",E511&lt;&gt;"Dépense"),"⚠ Prospect manquant",IF(E511="","⚠ Action manquante",IF(AND(AU511=1,D511=""),"⚠ Canal manquant",IF(AND(W511&lt;&gt;"",COUNTIFS('Saisie'!$W$5:$W$2004,W511,'Saisie'!$C$5:$C$2004,"&lt;&gt;"&amp;C511)&gt;0),"⚠ Numéro déjà utilisé par un autre prospect",IF(AND(J511&lt;&gt;"",J511&lt;A511),"⚠ Relance avant la date de l'action",IF(A511&gt;TODAY(),"⚠ Date dans le futur","✓"))))))))</f>
        <v/>
      </c>
      <c r="AS511" s="61">
        <f>IF(AND(A511="",C511="",E511=""),"",ROW())</f>
        <v/>
      </c>
      <c r="AT511" s="61">
        <f>IF(E511&amp;F511="","",MAX(IFERROR(INDEX('Paramètres'!$J$6:$J$33,MATCH(E511,'Paramètres'!$I$6:$I$33,0)),0),IFERROR(INDEX('Paramètres'!$N$6:$N$17,MATCH(F511,'Paramètres'!$M$6:$M$17,0)),0)))</f>
        <v/>
      </c>
      <c r="AU511" s="61">
        <f>IF(E511="","",IFERROR(IF(INDEX('Paramètres'!$K$6:$K$33,MATCH(E511,'Paramètres'!$I$6:$I$33,0))="Oui",1,0),0))</f>
        <v/>
      </c>
      <c r="AV511" s="61">
        <f>IF(F511="","",IFERROR(IF(INDEX('Paramètres'!$O$6:$O$17,MATCH(F511,'Paramètres'!$M$6:$M$17,0))="Oui",1,0),0))</f>
        <v/>
      </c>
      <c r="AW511" s="62">
        <f>IF(E511="","",IF(G511&lt;&gt;"",G511,IF(OR(E511="Proposition envoyée",E511="Signature"),MAX(0,N(IFERROR(INDEX('Paramètres'!$R$6:$R$15,MATCH(IF(AL511&lt;&gt;"",AL511,IFERROR(INDEX('Prospects'!$AN$5:$AN$504,MATCH(C511,'Prospects'!$C$5:$C$504,0)),"")),'Paramètres'!$Q$6:$Q$15,0)),0))-N(P511)),0)))</f>
        <v/>
      </c>
      <c r="AX511" s="61">
        <f>IF(C511="","",IF(COUNTIF($C$5:C511,C511)=1,MAX($AX$4:AX510)+1,""))</f>
        <v/>
      </c>
      <c r="AY511" s="61">
        <f>IF(B511="","",HOUR(B511))</f>
        <v/>
      </c>
      <c r="AZ511" s="61">
        <f>IF(A511="","",MOD(A511-2,7)+1)</f>
        <v/>
      </c>
      <c r="BA511" s="60">
        <f>IF(C511="","",IFERROR(INDEX('Prospects'!$N$5:$N$504,MATCH(C511,'Prospects'!$C$5:$C$504,0)),""))</f>
        <v/>
      </c>
      <c r="BB511" s="61">
        <f>IF(AND(C511&lt;&gt;"",C511='Fiche prospect'!$C$4),COUNTIF($C$5:C511,C511),"")</f>
        <v/>
      </c>
    </row>
    <row r="512">
      <c r="A512" s="53" t="n"/>
      <c r="B512" s="54" t="n"/>
      <c r="C512" s="55" t="n"/>
      <c r="D512" s="55" t="n"/>
      <c r="E512" s="55" t="n"/>
      <c r="F512" s="55" t="n"/>
      <c r="G512" s="56" t="n"/>
      <c r="H512" s="57" t="n"/>
      <c r="I512" s="55" t="n"/>
      <c r="J512" s="53" t="n"/>
      <c r="K512" s="54" t="n"/>
      <c r="L512" s="55" t="n"/>
      <c r="M512" s="55" t="n"/>
      <c r="N512" s="57" t="n"/>
      <c r="O512" s="55" t="n"/>
      <c r="P512" s="56" t="n"/>
      <c r="Q512" s="55" t="n"/>
      <c r="R512" s="55" t="n"/>
      <c r="S512" s="55" t="n"/>
      <c r="T512" s="55" t="n"/>
      <c r="U512" s="55" t="n"/>
      <c r="V512" s="55" t="n"/>
      <c r="W512" s="58" t="n"/>
      <c r="X512" s="58" t="n"/>
      <c r="Y512" s="55" t="n"/>
      <c r="Z512" s="55" t="n"/>
      <c r="AA512" s="55" t="n"/>
      <c r="AB512" s="55" t="n"/>
      <c r="AC512" s="55" t="n"/>
      <c r="AD512" s="53" t="n"/>
      <c r="AE512" s="55" t="n"/>
      <c r="AF512" s="55" t="n"/>
      <c r="AG512" s="59" t="n"/>
      <c r="AH512" s="57" t="n"/>
      <c r="AI512" s="55" t="n"/>
      <c r="AJ512" s="55" t="n"/>
      <c r="AK512" s="55" t="n"/>
      <c r="AL512" s="55" t="n"/>
      <c r="AM512" s="56" t="n"/>
      <c r="AN512" s="55" t="n"/>
      <c r="AO512" s="55" t="n"/>
      <c r="AP512" s="55" t="n"/>
      <c r="AQ512" s="55" t="n"/>
      <c r="AR512" s="60">
        <f>IF(AND(C512="",E512=""),"",IF(A512="","⚠ Date manquante",IF(AND(C512="",E512&lt;&gt;"Dépense"),"⚠ Prospect manquant",IF(E512="","⚠ Action manquante",IF(AND(AU512=1,D512=""),"⚠ Canal manquant",IF(AND(W512&lt;&gt;"",COUNTIFS('Saisie'!$W$5:$W$2004,W512,'Saisie'!$C$5:$C$2004,"&lt;&gt;"&amp;C512)&gt;0),"⚠ Numéro déjà utilisé par un autre prospect",IF(AND(J512&lt;&gt;"",J512&lt;A512),"⚠ Relance avant la date de l'action",IF(A512&gt;TODAY(),"⚠ Date dans le futur","✓"))))))))</f>
        <v/>
      </c>
      <c r="AS512" s="61">
        <f>IF(AND(A512="",C512="",E512=""),"",ROW())</f>
        <v/>
      </c>
      <c r="AT512" s="61">
        <f>IF(E512&amp;F512="","",MAX(IFERROR(INDEX('Paramètres'!$J$6:$J$33,MATCH(E512,'Paramètres'!$I$6:$I$33,0)),0),IFERROR(INDEX('Paramètres'!$N$6:$N$17,MATCH(F512,'Paramètres'!$M$6:$M$17,0)),0)))</f>
        <v/>
      </c>
      <c r="AU512" s="61">
        <f>IF(E512="","",IFERROR(IF(INDEX('Paramètres'!$K$6:$K$33,MATCH(E512,'Paramètres'!$I$6:$I$33,0))="Oui",1,0),0))</f>
        <v/>
      </c>
      <c r="AV512" s="61">
        <f>IF(F512="","",IFERROR(IF(INDEX('Paramètres'!$O$6:$O$17,MATCH(F512,'Paramètres'!$M$6:$M$17,0))="Oui",1,0),0))</f>
        <v/>
      </c>
      <c r="AW512" s="62">
        <f>IF(E512="","",IF(G512&lt;&gt;"",G512,IF(OR(E512="Proposition envoyée",E512="Signature"),MAX(0,N(IFERROR(INDEX('Paramètres'!$R$6:$R$15,MATCH(IF(AL512&lt;&gt;"",AL512,IFERROR(INDEX('Prospects'!$AN$5:$AN$504,MATCH(C512,'Prospects'!$C$5:$C$504,0)),"")),'Paramètres'!$Q$6:$Q$15,0)),0))-N(P512)),0)))</f>
        <v/>
      </c>
      <c r="AX512" s="61">
        <f>IF(C512="","",IF(COUNTIF($C$5:C512,C512)=1,MAX($AX$4:AX511)+1,""))</f>
        <v/>
      </c>
      <c r="AY512" s="61">
        <f>IF(B512="","",HOUR(B512))</f>
        <v/>
      </c>
      <c r="AZ512" s="61">
        <f>IF(A512="","",MOD(A512-2,7)+1)</f>
        <v/>
      </c>
      <c r="BA512" s="60">
        <f>IF(C512="","",IFERROR(INDEX('Prospects'!$N$5:$N$504,MATCH(C512,'Prospects'!$C$5:$C$504,0)),""))</f>
        <v/>
      </c>
      <c r="BB512" s="61">
        <f>IF(AND(C512&lt;&gt;"",C512='Fiche prospect'!$C$4),COUNTIF($C$5:C512,C512),"")</f>
        <v/>
      </c>
    </row>
    <row r="513">
      <c r="A513" s="53" t="n"/>
      <c r="B513" s="54" t="n"/>
      <c r="C513" s="55" t="n"/>
      <c r="D513" s="55" t="n"/>
      <c r="E513" s="55" t="n"/>
      <c r="F513" s="55" t="n"/>
      <c r="G513" s="56" t="n"/>
      <c r="H513" s="57" t="n"/>
      <c r="I513" s="55" t="n"/>
      <c r="J513" s="53" t="n"/>
      <c r="K513" s="54" t="n"/>
      <c r="L513" s="55" t="n"/>
      <c r="M513" s="55" t="n"/>
      <c r="N513" s="57" t="n"/>
      <c r="O513" s="55" t="n"/>
      <c r="P513" s="56" t="n"/>
      <c r="Q513" s="55" t="n"/>
      <c r="R513" s="55" t="n"/>
      <c r="S513" s="55" t="n"/>
      <c r="T513" s="55" t="n"/>
      <c r="U513" s="55" t="n"/>
      <c r="V513" s="55" t="n"/>
      <c r="W513" s="58" t="n"/>
      <c r="X513" s="58" t="n"/>
      <c r="Y513" s="55" t="n"/>
      <c r="Z513" s="55" t="n"/>
      <c r="AA513" s="55" t="n"/>
      <c r="AB513" s="55" t="n"/>
      <c r="AC513" s="55" t="n"/>
      <c r="AD513" s="53" t="n"/>
      <c r="AE513" s="55" t="n"/>
      <c r="AF513" s="55" t="n"/>
      <c r="AG513" s="59" t="n"/>
      <c r="AH513" s="57" t="n"/>
      <c r="AI513" s="55" t="n"/>
      <c r="AJ513" s="55" t="n"/>
      <c r="AK513" s="55" t="n"/>
      <c r="AL513" s="55" t="n"/>
      <c r="AM513" s="56" t="n"/>
      <c r="AN513" s="55" t="n"/>
      <c r="AO513" s="55" t="n"/>
      <c r="AP513" s="55" t="n"/>
      <c r="AQ513" s="55" t="n"/>
      <c r="AR513" s="60">
        <f>IF(AND(C513="",E513=""),"",IF(A513="","⚠ Date manquante",IF(AND(C513="",E513&lt;&gt;"Dépense"),"⚠ Prospect manquant",IF(E513="","⚠ Action manquante",IF(AND(AU513=1,D513=""),"⚠ Canal manquant",IF(AND(W513&lt;&gt;"",COUNTIFS('Saisie'!$W$5:$W$2004,W513,'Saisie'!$C$5:$C$2004,"&lt;&gt;"&amp;C513)&gt;0),"⚠ Numéro déjà utilisé par un autre prospect",IF(AND(J513&lt;&gt;"",J513&lt;A513),"⚠ Relance avant la date de l'action",IF(A513&gt;TODAY(),"⚠ Date dans le futur","✓"))))))))</f>
        <v/>
      </c>
      <c r="AS513" s="61">
        <f>IF(AND(A513="",C513="",E513=""),"",ROW())</f>
        <v/>
      </c>
      <c r="AT513" s="61">
        <f>IF(E513&amp;F513="","",MAX(IFERROR(INDEX('Paramètres'!$J$6:$J$33,MATCH(E513,'Paramètres'!$I$6:$I$33,0)),0),IFERROR(INDEX('Paramètres'!$N$6:$N$17,MATCH(F513,'Paramètres'!$M$6:$M$17,0)),0)))</f>
        <v/>
      </c>
      <c r="AU513" s="61">
        <f>IF(E513="","",IFERROR(IF(INDEX('Paramètres'!$K$6:$K$33,MATCH(E513,'Paramètres'!$I$6:$I$33,0))="Oui",1,0),0))</f>
        <v/>
      </c>
      <c r="AV513" s="61">
        <f>IF(F513="","",IFERROR(IF(INDEX('Paramètres'!$O$6:$O$17,MATCH(F513,'Paramètres'!$M$6:$M$17,0))="Oui",1,0),0))</f>
        <v/>
      </c>
      <c r="AW513" s="62">
        <f>IF(E513="","",IF(G513&lt;&gt;"",G513,IF(OR(E513="Proposition envoyée",E513="Signature"),MAX(0,N(IFERROR(INDEX('Paramètres'!$R$6:$R$15,MATCH(IF(AL513&lt;&gt;"",AL513,IFERROR(INDEX('Prospects'!$AN$5:$AN$504,MATCH(C513,'Prospects'!$C$5:$C$504,0)),"")),'Paramètres'!$Q$6:$Q$15,0)),0))-N(P513)),0)))</f>
        <v/>
      </c>
      <c r="AX513" s="61">
        <f>IF(C513="","",IF(COUNTIF($C$5:C513,C513)=1,MAX($AX$4:AX512)+1,""))</f>
        <v/>
      </c>
      <c r="AY513" s="61">
        <f>IF(B513="","",HOUR(B513))</f>
        <v/>
      </c>
      <c r="AZ513" s="61">
        <f>IF(A513="","",MOD(A513-2,7)+1)</f>
        <v/>
      </c>
      <c r="BA513" s="60">
        <f>IF(C513="","",IFERROR(INDEX('Prospects'!$N$5:$N$504,MATCH(C513,'Prospects'!$C$5:$C$504,0)),""))</f>
        <v/>
      </c>
      <c r="BB513" s="61">
        <f>IF(AND(C513&lt;&gt;"",C513='Fiche prospect'!$C$4),COUNTIF($C$5:C513,C513),"")</f>
        <v/>
      </c>
    </row>
    <row r="514">
      <c r="A514" s="53" t="n"/>
      <c r="B514" s="54" t="n"/>
      <c r="C514" s="55" t="n"/>
      <c r="D514" s="55" t="n"/>
      <c r="E514" s="55" t="n"/>
      <c r="F514" s="55" t="n"/>
      <c r="G514" s="56" t="n"/>
      <c r="H514" s="57" t="n"/>
      <c r="I514" s="55" t="n"/>
      <c r="J514" s="53" t="n"/>
      <c r="K514" s="54" t="n"/>
      <c r="L514" s="55" t="n"/>
      <c r="M514" s="55" t="n"/>
      <c r="N514" s="57" t="n"/>
      <c r="O514" s="55" t="n"/>
      <c r="P514" s="56" t="n"/>
      <c r="Q514" s="55" t="n"/>
      <c r="R514" s="55" t="n"/>
      <c r="S514" s="55" t="n"/>
      <c r="T514" s="55" t="n"/>
      <c r="U514" s="55" t="n"/>
      <c r="V514" s="55" t="n"/>
      <c r="W514" s="58" t="n"/>
      <c r="X514" s="58" t="n"/>
      <c r="Y514" s="55" t="n"/>
      <c r="Z514" s="55" t="n"/>
      <c r="AA514" s="55" t="n"/>
      <c r="AB514" s="55" t="n"/>
      <c r="AC514" s="55" t="n"/>
      <c r="AD514" s="53" t="n"/>
      <c r="AE514" s="55" t="n"/>
      <c r="AF514" s="55" t="n"/>
      <c r="AG514" s="59" t="n"/>
      <c r="AH514" s="57" t="n"/>
      <c r="AI514" s="55" t="n"/>
      <c r="AJ514" s="55" t="n"/>
      <c r="AK514" s="55" t="n"/>
      <c r="AL514" s="55" t="n"/>
      <c r="AM514" s="56" t="n"/>
      <c r="AN514" s="55" t="n"/>
      <c r="AO514" s="55" t="n"/>
      <c r="AP514" s="55" t="n"/>
      <c r="AQ514" s="55" t="n"/>
      <c r="AR514" s="60">
        <f>IF(AND(C514="",E514=""),"",IF(A514="","⚠ Date manquante",IF(AND(C514="",E514&lt;&gt;"Dépense"),"⚠ Prospect manquant",IF(E514="","⚠ Action manquante",IF(AND(AU514=1,D514=""),"⚠ Canal manquant",IF(AND(W514&lt;&gt;"",COUNTIFS('Saisie'!$W$5:$W$2004,W514,'Saisie'!$C$5:$C$2004,"&lt;&gt;"&amp;C514)&gt;0),"⚠ Numéro déjà utilisé par un autre prospect",IF(AND(J514&lt;&gt;"",J514&lt;A514),"⚠ Relance avant la date de l'action",IF(A514&gt;TODAY(),"⚠ Date dans le futur","✓"))))))))</f>
        <v/>
      </c>
      <c r="AS514" s="61">
        <f>IF(AND(A514="",C514="",E514=""),"",ROW())</f>
        <v/>
      </c>
      <c r="AT514" s="61">
        <f>IF(E514&amp;F514="","",MAX(IFERROR(INDEX('Paramètres'!$J$6:$J$33,MATCH(E514,'Paramètres'!$I$6:$I$33,0)),0),IFERROR(INDEX('Paramètres'!$N$6:$N$17,MATCH(F514,'Paramètres'!$M$6:$M$17,0)),0)))</f>
        <v/>
      </c>
      <c r="AU514" s="61">
        <f>IF(E514="","",IFERROR(IF(INDEX('Paramètres'!$K$6:$K$33,MATCH(E514,'Paramètres'!$I$6:$I$33,0))="Oui",1,0),0))</f>
        <v/>
      </c>
      <c r="AV514" s="61">
        <f>IF(F514="","",IFERROR(IF(INDEX('Paramètres'!$O$6:$O$17,MATCH(F514,'Paramètres'!$M$6:$M$17,0))="Oui",1,0),0))</f>
        <v/>
      </c>
      <c r="AW514" s="62">
        <f>IF(E514="","",IF(G514&lt;&gt;"",G514,IF(OR(E514="Proposition envoyée",E514="Signature"),MAX(0,N(IFERROR(INDEX('Paramètres'!$R$6:$R$15,MATCH(IF(AL514&lt;&gt;"",AL514,IFERROR(INDEX('Prospects'!$AN$5:$AN$504,MATCH(C514,'Prospects'!$C$5:$C$504,0)),"")),'Paramètres'!$Q$6:$Q$15,0)),0))-N(P514)),0)))</f>
        <v/>
      </c>
      <c r="AX514" s="61">
        <f>IF(C514="","",IF(COUNTIF($C$5:C514,C514)=1,MAX($AX$4:AX513)+1,""))</f>
        <v/>
      </c>
      <c r="AY514" s="61">
        <f>IF(B514="","",HOUR(B514))</f>
        <v/>
      </c>
      <c r="AZ514" s="61">
        <f>IF(A514="","",MOD(A514-2,7)+1)</f>
        <v/>
      </c>
      <c r="BA514" s="60">
        <f>IF(C514="","",IFERROR(INDEX('Prospects'!$N$5:$N$504,MATCH(C514,'Prospects'!$C$5:$C$504,0)),""))</f>
        <v/>
      </c>
      <c r="BB514" s="61">
        <f>IF(AND(C514&lt;&gt;"",C514='Fiche prospect'!$C$4),COUNTIF($C$5:C514,C514),"")</f>
        <v/>
      </c>
    </row>
    <row r="515">
      <c r="A515" s="53" t="n"/>
      <c r="B515" s="54" t="n"/>
      <c r="C515" s="55" t="n"/>
      <c r="D515" s="55" t="n"/>
      <c r="E515" s="55" t="n"/>
      <c r="F515" s="55" t="n"/>
      <c r="G515" s="56" t="n"/>
      <c r="H515" s="57" t="n"/>
      <c r="I515" s="55" t="n"/>
      <c r="J515" s="53" t="n"/>
      <c r="K515" s="54" t="n"/>
      <c r="L515" s="55" t="n"/>
      <c r="M515" s="55" t="n"/>
      <c r="N515" s="57" t="n"/>
      <c r="O515" s="55" t="n"/>
      <c r="P515" s="56" t="n"/>
      <c r="Q515" s="55" t="n"/>
      <c r="R515" s="55" t="n"/>
      <c r="S515" s="55" t="n"/>
      <c r="T515" s="55" t="n"/>
      <c r="U515" s="55" t="n"/>
      <c r="V515" s="55" t="n"/>
      <c r="W515" s="58" t="n"/>
      <c r="X515" s="58" t="n"/>
      <c r="Y515" s="55" t="n"/>
      <c r="Z515" s="55" t="n"/>
      <c r="AA515" s="55" t="n"/>
      <c r="AB515" s="55" t="n"/>
      <c r="AC515" s="55" t="n"/>
      <c r="AD515" s="53" t="n"/>
      <c r="AE515" s="55" t="n"/>
      <c r="AF515" s="55" t="n"/>
      <c r="AG515" s="59" t="n"/>
      <c r="AH515" s="57" t="n"/>
      <c r="AI515" s="55" t="n"/>
      <c r="AJ515" s="55" t="n"/>
      <c r="AK515" s="55" t="n"/>
      <c r="AL515" s="55" t="n"/>
      <c r="AM515" s="56" t="n"/>
      <c r="AN515" s="55" t="n"/>
      <c r="AO515" s="55" t="n"/>
      <c r="AP515" s="55" t="n"/>
      <c r="AQ515" s="55" t="n"/>
      <c r="AR515" s="60">
        <f>IF(AND(C515="",E515=""),"",IF(A515="","⚠ Date manquante",IF(AND(C515="",E515&lt;&gt;"Dépense"),"⚠ Prospect manquant",IF(E515="","⚠ Action manquante",IF(AND(AU515=1,D515=""),"⚠ Canal manquant",IF(AND(W515&lt;&gt;"",COUNTIFS('Saisie'!$W$5:$W$2004,W515,'Saisie'!$C$5:$C$2004,"&lt;&gt;"&amp;C515)&gt;0),"⚠ Numéro déjà utilisé par un autre prospect",IF(AND(J515&lt;&gt;"",J515&lt;A515),"⚠ Relance avant la date de l'action",IF(A515&gt;TODAY(),"⚠ Date dans le futur","✓"))))))))</f>
        <v/>
      </c>
      <c r="AS515" s="61">
        <f>IF(AND(A515="",C515="",E515=""),"",ROW())</f>
        <v/>
      </c>
      <c r="AT515" s="61">
        <f>IF(E515&amp;F515="","",MAX(IFERROR(INDEX('Paramètres'!$J$6:$J$33,MATCH(E515,'Paramètres'!$I$6:$I$33,0)),0),IFERROR(INDEX('Paramètres'!$N$6:$N$17,MATCH(F515,'Paramètres'!$M$6:$M$17,0)),0)))</f>
        <v/>
      </c>
      <c r="AU515" s="61">
        <f>IF(E515="","",IFERROR(IF(INDEX('Paramètres'!$K$6:$K$33,MATCH(E515,'Paramètres'!$I$6:$I$33,0))="Oui",1,0),0))</f>
        <v/>
      </c>
      <c r="AV515" s="61">
        <f>IF(F515="","",IFERROR(IF(INDEX('Paramètres'!$O$6:$O$17,MATCH(F515,'Paramètres'!$M$6:$M$17,0))="Oui",1,0),0))</f>
        <v/>
      </c>
      <c r="AW515" s="62">
        <f>IF(E515="","",IF(G515&lt;&gt;"",G515,IF(OR(E515="Proposition envoyée",E515="Signature"),MAX(0,N(IFERROR(INDEX('Paramètres'!$R$6:$R$15,MATCH(IF(AL515&lt;&gt;"",AL515,IFERROR(INDEX('Prospects'!$AN$5:$AN$504,MATCH(C515,'Prospects'!$C$5:$C$504,0)),"")),'Paramètres'!$Q$6:$Q$15,0)),0))-N(P515)),0)))</f>
        <v/>
      </c>
      <c r="AX515" s="61">
        <f>IF(C515="","",IF(COUNTIF($C$5:C515,C515)=1,MAX($AX$4:AX514)+1,""))</f>
        <v/>
      </c>
      <c r="AY515" s="61">
        <f>IF(B515="","",HOUR(B515))</f>
        <v/>
      </c>
      <c r="AZ515" s="61">
        <f>IF(A515="","",MOD(A515-2,7)+1)</f>
        <v/>
      </c>
      <c r="BA515" s="60">
        <f>IF(C515="","",IFERROR(INDEX('Prospects'!$N$5:$N$504,MATCH(C515,'Prospects'!$C$5:$C$504,0)),""))</f>
        <v/>
      </c>
      <c r="BB515" s="61">
        <f>IF(AND(C515&lt;&gt;"",C515='Fiche prospect'!$C$4),COUNTIF($C$5:C515,C515),"")</f>
        <v/>
      </c>
    </row>
    <row r="516">
      <c r="A516" s="53" t="n"/>
      <c r="B516" s="54" t="n"/>
      <c r="C516" s="55" t="n"/>
      <c r="D516" s="55" t="n"/>
      <c r="E516" s="55" t="n"/>
      <c r="F516" s="55" t="n"/>
      <c r="G516" s="56" t="n"/>
      <c r="H516" s="57" t="n"/>
      <c r="I516" s="55" t="n"/>
      <c r="J516" s="53" t="n"/>
      <c r="K516" s="54" t="n"/>
      <c r="L516" s="55" t="n"/>
      <c r="M516" s="55" t="n"/>
      <c r="N516" s="57" t="n"/>
      <c r="O516" s="55" t="n"/>
      <c r="P516" s="56" t="n"/>
      <c r="Q516" s="55" t="n"/>
      <c r="R516" s="55" t="n"/>
      <c r="S516" s="55" t="n"/>
      <c r="T516" s="55" t="n"/>
      <c r="U516" s="55" t="n"/>
      <c r="V516" s="55" t="n"/>
      <c r="W516" s="58" t="n"/>
      <c r="X516" s="58" t="n"/>
      <c r="Y516" s="55" t="n"/>
      <c r="Z516" s="55" t="n"/>
      <c r="AA516" s="55" t="n"/>
      <c r="AB516" s="55" t="n"/>
      <c r="AC516" s="55" t="n"/>
      <c r="AD516" s="53" t="n"/>
      <c r="AE516" s="55" t="n"/>
      <c r="AF516" s="55" t="n"/>
      <c r="AG516" s="59" t="n"/>
      <c r="AH516" s="57" t="n"/>
      <c r="AI516" s="55" t="n"/>
      <c r="AJ516" s="55" t="n"/>
      <c r="AK516" s="55" t="n"/>
      <c r="AL516" s="55" t="n"/>
      <c r="AM516" s="56" t="n"/>
      <c r="AN516" s="55" t="n"/>
      <c r="AO516" s="55" t="n"/>
      <c r="AP516" s="55" t="n"/>
      <c r="AQ516" s="55" t="n"/>
      <c r="AR516" s="60">
        <f>IF(AND(C516="",E516=""),"",IF(A516="","⚠ Date manquante",IF(AND(C516="",E516&lt;&gt;"Dépense"),"⚠ Prospect manquant",IF(E516="","⚠ Action manquante",IF(AND(AU516=1,D516=""),"⚠ Canal manquant",IF(AND(W516&lt;&gt;"",COUNTIFS('Saisie'!$W$5:$W$2004,W516,'Saisie'!$C$5:$C$2004,"&lt;&gt;"&amp;C516)&gt;0),"⚠ Numéro déjà utilisé par un autre prospect",IF(AND(J516&lt;&gt;"",J516&lt;A516),"⚠ Relance avant la date de l'action",IF(A516&gt;TODAY(),"⚠ Date dans le futur","✓"))))))))</f>
        <v/>
      </c>
      <c r="AS516" s="61">
        <f>IF(AND(A516="",C516="",E516=""),"",ROW())</f>
        <v/>
      </c>
      <c r="AT516" s="61">
        <f>IF(E516&amp;F516="","",MAX(IFERROR(INDEX('Paramètres'!$J$6:$J$33,MATCH(E516,'Paramètres'!$I$6:$I$33,0)),0),IFERROR(INDEX('Paramètres'!$N$6:$N$17,MATCH(F516,'Paramètres'!$M$6:$M$17,0)),0)))</f>
        <v/>
      </c>
      <c r="AU516" s="61">
        <f>IF(E516="","",IFERROR(IF(INDEX('Paramètres'!$K$6:$K$33,MATCH(E516,'Paramètres'!$I$6:$I$33,0))="Oui",1,0),0))</f>
        <v/>
      </c>
      <c r="AV516" s="61">
        <f>IF(F516="","",IFERROR(IF(INDEX('Paramètres'!$O$6:$O$17,MATCH(F516,'Paramètres'!$M$6:$M$17,0))="Oui",1,0),0))</f>
        <v/>
      </c>
      <c r="AW516" s="62">
        <f>IF(E516="","",IF(G516&lt;&gt;"",G516,IF(OR(E516="Proposition envoyée",E516="Signature"),MAX(0,N(IFERROR(INDEX('Paramètres'!$R$6:$R$15,MATCH(IF(AL516&lt;&gt;"",AL516,IFERROR(INDEX('Prospects'!$AN$5:$AN$504,MATCH(C516,'Prospects'!$C$5:$C$504,0)),"")),'Paramètres'!$Q$6:$Q$15,0)),0))-N(P516)),0)))</f>
        <v/>
      </c>
      <c r="AX516" s="61">
        <f>IF(C516="","",IF(COUNTIF($C$5:C516,C516)=1,MAX($AX$4:AX515)+1,""))</f>
        <v/>
      </c>
      <c r="AY516" s="61">
        <f>IF(B516="","",HOUR(B516))</f>
        <v/>
      </c>
      <c r="AZ516" s="61">
        <f>IF(A516="","",MOD(A516-2,7)+1)</f>
        <v/>
      </c>
      <c r="BA516" s="60">
        <f>IF(C516="","",IFERROR(INDEX('Prospects'!$N$5:$N$504,MATCH(C516,'Prospects'!$C$5:$C$504,0)),""))</f>
        <v/>
      </c>
      <c r="BB516" s="61">
        <f>IF(AND(C516&lt;&gt;"",C516='Fiche prospect'!$C$4),COUNTIF($C$5:C516,C516),"")</f>
        <v/>
      </c>
    </row>
    <row r="517">
      <c r="A517" s="53" t="n"/>
      <c r="B517" s="54" t="n"/>
      <c r="C517" s="55" t="n"/>
      <c r="D517" s="55" t="n"/>
      <c r="E517" s="55" t="n"/>
      <c r="F517" s="55" t="n"/>
      <c r="G517" s="56" t="n"/>
      <c r="H517" s="57" t="n"/>
      <c r="I517" s="55" t="n"/>
      <c r="J517" s="53" t="n"/>
      <c r="K517" s="54" t="n"/>
      <c r="L517" s="55" t="n"/>
      <c r="M517" s="55" t="n"/>
      <c r="N517" s="57" t="n"/>
      <c r="O517" s="55" t="n"/>
      <c r="P517" s="56" t="n"/>
      <c r="Q517" s="55" t="n"/>
      <c r="R517" s="55" t="n"/>
      <c r="S517" s="55" t="n"/>
      <c r="T517" s="55" t="n"/>
      <c r="U517" s="55" t="n"/>
      <c r="V517" s="55" t="n"/>
      <c r="W517" s="58" t="n"/>
      <c r="X517" s="58" t="n"/>
      <c r="Y517" s="55" t="n"/>
      <c r="Z517" s="55" t="n"/>
      <c r="AA517" s="55" t="n"/>
      <c r="AB517" s="55" t="n"/>
      <c r="AC517" s="55" t="n"/>
      <c r="AD517" s="53" t="n"/>
      <c r="AE517" s="55" t="n"/>
      <c r="AF517" s="55" t="n"/>
      <c r="AG517" s="59" t="n"/>
      <c r="AH517" s="57" t="n"/>
      <c r="AI517" s="55" t="n"/>
      <c r="AJ517" s="55" t="n"/>
      <c r="AK517" s="55" t="n"/>
      <c r="AL517" s="55" t="n"/>
      <c r="AM517" s="56" t="n"/>
      <c r="AN517" s="55" t="n"/>
      <c r="AO517" s="55" t="n"/>
      <c r="AP517" s="55" t="n"/>
      <c r="AQ517" s="55" t="n"/>
      <c r="AR517" s="60">
        <f>IF(AND(C517="",E517=""),"",IF(A517="","⚠ Date manquante",IF(AND(C517="",E517&lt;&gt;"Dépense"),"⚠ Prospect manquant",IF(E517="","⚠ Action manquante",IF(AND(AU517=1,D517=""),"⚠ Canal manquant",IF(AND(W517&lt;&gt;"",COUNTIFS('Saisie'!$W$5:$W$2004,W517,'Saisie'!$C$5:$C$2004,"&lt;&gt;"&amp;C517)&gt;0),"⚠ Numéro déjà utilisé par un autre prospect",IF(AND(J517&lt;&gt;"",J517&lt;A517),"⚠ Relance avant la date de l'action",IF(A517&gt;TODAY(),"⚠ Date dans le futur","✓"))))))))</f>
        <v/>
      </c>
      <c r="AS517" s="61">
        <f>IF(AND(A517="",C517="",E517=""),"",ROW())</f>
        <v/>
      </c>
      <c r="AT517" s="61">
        <f>IF(E517&amp;F517="","",MAX(IFERROR(INDEX('Paramètres'!$J$6:$J$33,MATCH(E517,'Paramètres'!$I$6:$I$33,0)),0),IFERROR(INDEX('Paramètres'!$N$6:$N$17,MATCH(F517,'Paramètres'!$M$6:$M$17,0)),0)))</f>
        <v/>
      </c>
      <c r="AU517" s="61">
        <f>IF(E517="","",IFERROR(IF(INDEX('Paramètres'!$K$6:$K$33,MATCH(E517,'Paramètres'!$I$6:$I$33,0))="Oui",1,0),0))</f>
        <v/>
      </c>
      <c r="AV517" s="61">
        <f>IF(F517="","",IFERROR(IF(INDEX('Paramètres'!$O$6:$O$17,MATCH(F517,'Paramètres'!$M$6:$M$17,0))="Oui",1,0),0))</f>
        <v/>
      </c>
      <c r="AW517" s="62">
        <f>IF(E517="","",IF(G517&lt;&gt;"",G517,IF(OR(E517="Proposition envoyée",E517="Signature"),MAX(0,N(IFERROR(INDEX('Paramètres'!$R$6:$R$15,MATCH(IF(AL517&lt;&gt;"",AL517,IFERROR(INDEX('Prospects'!$AN$5:$AN$504,MATCH(C517,'Prospects'!$C$5:$C$504,0)),"")),'Paramètres'!$Q$6:$Q$15,0)),0))-N(P517)),0)))</f>
        <v/>
      </c>
      <c r="AX517" s="61">
        <f>IF(C517="","",IF(COUNTIF($C$5:C517,C517)=1,MAX($AX$4:AX516)+1,""))</f>
        <v/>
      </c>
      <c r="AY517" s="61">
        <f>IF(B517="","",HOUR(B517))</f>
        <v/>
      </c>
      <c r="AZ517" s="61">
        <f>IF(A517="","",MOD(A517-2,7)+1)</f>
        <v/>
      </c>
      <c r="BA517" s="60">
        <f>IF(C517="","",IFERROR(INDEX('Prospects'!$N$5:$N$504,MATCH(C517,'Prospects'!$C$5:$C$504,0)),""))</f>
        <v/>
      </c>
      <c r="BB517" s="61">
        <f>IF(AND(C517&lt;&gt;"",C517='Fiche prospect'!$C$4),COUNTIF($C$5:C517,C517),"")</f>
        <v/>
      </c>
    </row>
    <row r="518">
      <c r="A518" s="53" t="n"/>
      <c r="B518" s="54" t="n"/>
      <c r="C518" s="55" t="n"/>
      <c r="D518" s="55" t="n"/>
      <c r="E518" s="55" t="n"/>
      <c r="F518" s="55" t="n"/>
      <c r="G518" s="56" t="n"/>
      <c r="H518" s="57" t="n"/>
      <c r="I518" s="55" t="n"/>
      <c r="J518" s="53" t="n"/>
      <c r="K518" s="54" t="n"/>
      <c r="L518" s="55" t="n"/>
      <c r="M518" s="55" t="n"/>
      <c r="N518" s="57" t="n"/>
      <c r="O518" s="55" t="n"/>
      <c r="P518" s="56" t="n"/>
      <c r="Q518" s="55" t="n"/>
      <c r="R518" s="55" t="n"/>
      <c r="S518" s="55" t="n"/>
      <c r="T518" s="55" t="n"/>
      <c r="U518" s="55" t="n"/>
      <c r="V518" s="55" t="n"/>
      <c r="W518" s="58" t="n"/>
      <c r="X518" s="58" t="n"/>
      <c r="Y518" s="55" t="n"/>
      <c r="Z518" s="55" t="n"/>
      <c r="AA518" s="55" t="n"/>
      <c r="AB518" s="55" t="n"/>
      <c r="AC518" s="55" t="n"/>
      <c r="AD518" s="53" t="n"/>
      <c r="AE518" s="55" t="n"/>
      <c r="AF518" s="55" t="n"/>
      <c r="AG518" s="59" t="n"/>
      <c r="AH518" s="57" t="n"/>
      <c r="AI518" s="55" t="n"/>
      <c r="AJ518" s="55" t="n"/>
      <c r="AK518" s="55" t="n"/>
      <c r="AL518" s="55" t="n"/>
      <c r="AM518" s="56" t="n"/>
      <c r="AN518" s="55" t="n"/>
      <c r="AO518" s="55" t="n"/>
      <c r="AP518" s="55" t="n"/>
      <c r="AQ518" s="55" t="n"/>
      <c r="AR518" s="60">
        <f>IF(AND(C518="",E518=""),"",IF(A518="","⚠ Date manquante",IF(AND(C518="",E518&lt;&gt;"Dépense"),"⚠ Prospect manquant",IF(E518="","⚠ Action manquante",IF(AND(AU518=1,D518=""),"⚠ Canal manquant",IF(AND(W518&lt;&gt;"",COUNTIFS('Saisie'!$W$5:$W$2004,W518,'Saisie'!$C$5:$C$2004,"&lt;&gt;"&amp;C518)&gt;0),"⚠ Numéro déjà utilisé par un autre prospect",IF(AND(J518&lt;&gt;"",J518&lt;A518),"⚠ Relance avant la date de l'action",IF(A518&gt;TODAY(),"⚠ Date dans le futur","✓"))))))))</f>
        <v/>
      </c>
      <c r="AS518" s="61">
        <f>IF(AND(A518="",C518="",E518=""),"",ROW())</f>
        <v/>
      </c>
      <c r="AT518" s="61">
        <f>IF(E518&amp;F518="","",MAX(IFERROR(INDEX('Paramètres'!$J$6:$J$33,MATCH(E518,'Paramètres'!$I$6:$I$33,0)),0),IFERROR(INDEX('Paramètres'!$N$6:$N$17,MATCH(F518,'Paramètres'!$M$6:$M$17,0)),0)))</f>
        <v/>
      </c>
      <c r="AU518" s="61">
        <f>IF(E518="","",IFERROR(IF(INDEX('Paramètres'!$K$6:$K$33,MATCH(E518,'Paramètres'!$I$6:$I$33,0))="Oui",1,0),0))</f>
        <v/>
      </c>
      <c r="AV518" s="61">
        <f>IF(F518="","",IFERROR(IF(INDEX('Paramètres'!$O$6:$O$17,MATCH(F518,'Paramètres'!$M$6:$M$17,0))="Oui",1,0),0))</f>
        <v/>
      </c>
      <c r="AW518" s="62">
        <f>IF(E518="","",IF(G518&lt;&gt;"",G518,IF(OR(E518="Proposition envoyée",E518="Signature"),MAX(0,N(IFERROR(INDEX('Paramètres'!$R$6:$R$15,MATCH(IF(AL518&lt;&gt;"",AL518,IFERROR(INDEX('Prospects'!$AN$5:$AN$504,MATCH(C518,'Prospects'!$C$5:$C$504,0)),"")),'Paramètres'!$Q$6:$Q$15,0)),0))-N(P518)),0)))</f>
        <v/>
      </c>
      <c r="AX518" s="61">
        <f>IF(C518="","",IF(COUNTIF($C$5:C518,C518)=1,MAX($AX$4:AX517)+1,""))</f>
        <v/>
      </c>
      <c r="AY518" s="61">
        <f>IF(B518="","",HOUR(B518))</f>
        <v/>
      </c>
      <c r="AZ518" s="61">
        <f>IF(A518="","",MOD(A518-2,7)+1)</f>
        <v/>
      </c>
      <c r="BA518" s="60">
        <f>IF(C518="","",IFERROR(INDEX('Prospects'!$N$5:$N$504,MATCH(C518,'Prospects'!$C$5:$C$504,0)),""))</f>
        <v/>
      </c>
      <c r="BB518" s="61">
        <f>IF(AND(C518&lt;&gt;"",C518='Fiche prospect'!$C$4),COUNTIF($C$5:C518,C518),"")</f>
        <v/>
      </c>
    </row>
    <row r="519">
      <c r="A519" s="53" t="n"/>
      <c r="B519" s="54" t="n"/>
      <c r="C519" s="55" t="n"/>
      <c r="D519" s="55" t="n"/>
      <c r="E519" s="55" t="n"/>
      <c r="F519" s="55" t="n"/>
      <c r="G519" s="56" t="n"/>
      <c r="H519" s="57" t="n"/>
      <c r="I519" s="55" t="n"/>
      <c r="J519" s="53" t="n"/>
      <c r="K519" s="54" t="n"/>
      <c r="L519" s="55" t="n"/>
      <c r="M519" s="55" t="n"/>
      <c r="N519" s="57" t="n"/>
      <c r="O519" s="55" t="n"/>
      <c r="P519" s="56" t="n"/>
      <c r="Q519" s="55" t="n"/>
      <c r="R519" s="55" t="n"/>
      <c r="S519" s="55" t="n"/>
      <c r="T519" s="55" t="n"/>
      <c r="U519" s="55" t="n"/>
      <c r="V519" s="55" t="n"/>
      <c r="W519" s="58" t="n"/>
      <c r="X519" s="58" t="n"/>
      <c r="Y519" s="55" t="n"/>
      <c r="Z519" s="55" t="n"/>
      <c r="AA519" s="55" t="n"/>
      <c r="AB519" s="55" t="n"/>
      <c r="AC519" s="55" t="n"/>
      <c r="AD519" s="53" t="n"/>
      <c r="AE519" s="55" t="n"/>
      <c r="AF519" s="55" t="n"/>
      <c r="AG519" s="59" t="n"/>
      <c r="AH519" s="57" t="n"/>
      <c r="AI519" s="55" t="n"/>
      <c r="AJ519" s="55" t="n"/>
      <c r="AK519" s="55" t="n"/>
      <c r="AL519" s="55" t="n"/>
      <c r="AM519" s="56" t="n"/>
      <c r="AN519" s="55" t="n"/>
      <c r="AO519" s="55" t="n"/>
      <c r="AP519" s="55" t="n"/>
      <c r="AQ519" s="55" t="n"/>
      <c r="AR519" s="60">
        <f>IF(AND(C519="",E519=""),"",IF(A519="","⚠ Date manquante",IF(AND(C519="",E519&lt;&gt;"Dépense"),"⚠ Prospect manquant",IF(E519="","⚠ Action manquante",IF(AND(AU519=1,D519=""),"⚠ Canal manquant",IF(AND(W519&lt;&gt;"",COUNTIFS('Saisie'!$W$5:$W$2004,W519,'Saisie'!$C$5:$C$2004,"&lt;&gt;"&amp;C519)&gt;0),"⚠ Numéro déjà utilisé par un autre prospect",IF(AND(J519&lt;&gt;"",J519&lt;A519),"⚠ Relance avant la date de l'action",IF(A519&gt;TODAY(),"⚠ Date dans le futur","✓"))))))))</f>
        <v/>
      </c>
      <c r="AS519" s="61">
        <f>IF(AND(A519="",C519="",E519=""),"",ROW())</f>
        <v/>
      </c>
      <c r="AT519" s="61">
        <f>IF(E519&amp;F519="","",MAX(IFERROR(INDEX('Paramètres'!$J$6:$J$33,MATCH(E519,'Paramètres'!$I$6:$I$33,0)),0),IFERROR(INDEX('Paramètres'!$N$6:$N$17,MATCH(F519,'Paramètres'!$M$6:$M$17,0)),0)))</f>
        <v/>
      </c>
      <c r="AU519" s="61">
        <f>IF(E519="","",IFERROR(IF(INDEX('Paramètres'!$K$6:$K$33,MATCH(E519,'Paramètres'!$I$6:$I$33,0))="Oui",1,0),0))</f>
        <v/>
      </c>
      <c r="AV519" s="61">
        <f>IF(F519="","",IFERROR(IF(INDEX('Paramètres'!$O$6:$O$17,MATCH(F519,'Paramètres'!$M$6:$M$17,0))="Oui",1,0),0))</f>
        <v/>
      </c>
      <c r="AW519" s="62">
        <f>IF(E519="","",IF(G519&lt;&gt;"",G519,IF(OR(E519="Proposition envoyée",E519="Signature"),MAX(0,N(IFERROR(INDEX('Paramètres'!$R$6:$R$15,MATCH(IF(AL519&lt;&gt;"",AL519,IFERROR(INDEX('Prospects'!$AN$5:$AN$504,MATCH(C519,'Prospects'!$C$5:$C$504,0)),"")),'Paramètres'!$Q$6:$Q$15,0)),0))-N(P519)),0)))</f>
        <v/>
      </c>
      <c r="AX519" s="61">
        <f>IF(C519="","",IF(COUNTIF($C$5:C519,C519)=1,MAX($AX$4:AX518)+1,""))</f>
        <v/>
      </c>
      <c r="AY519" s="61">
        <f>IF(B519="","",HOUR(B519))</f>
        <v/>
      </c>
      <c r="AZ519" s="61">
        <f>IF(A519="","",MOD(A519-2,7)+1)</f>
        <v/>
      </c>
      <c r="BA519" s="60">
        <f>IF(C519="","",IFERROR(INDEX('Prospects'!$N$5:$N$504,MATCH(C519,'Prospects'!$C$5:$C$504,0)),""))</f>
        <v/>
      </c>
      <c r="BB519" s="61">
        <f>IF(AND(C519&lt;&gt;"",C519='Fiche prospect'!$C$4),COUNTIF($C$5:C519,C519),"")</f>
        <v/>
      </c>
    </row>
    <row r="520">
      <c r="A520" s="53" t="n"/>
      <c r="B520" s="54" t="n"/>
      <c r="C520" s="55" t="n"/>
      <c r="D520" s="55" t="n"/>
      <c r="E520" s="55" t="n"/>
      <c r="F520" s="55" t="n"/>
      <c r="G520" s="56" t="n"/>
      <c r="H520" s="57" t="n"/>
      <c r="I520" s="55" t="n"/>
      <c r="J520" s="53" t="n"/>
      <c r="K520" s="54" t="n"/>
      <c r="L520" s="55" t="n"/>
      <c r="M520" s="55" t="n"/>
      <c r="N520" s="57" t="n"/>
      <c r="O520" s="55" t="n"/>
      <c r="P520" s="56" t="n"/>
      <c r="Q520" s="55" t="n"/>
      <c r="R520" s="55" t="n"/>
      <c r="S520" s="55" t="n"/>
      <c r="T520" s="55" t="n"/>
      <c r="U520" s="55" t="n"/>
      <c r="V520" s="55" t="n"/>
      <c r="W520" s="58" t="n"/>
      <c r="X520" s="58" t="n"/>
      <c r="Y520" s="55" t="n"/>
      <c r="Z520" s="55" t="n"/>
      <c r="AA520" s="55" t="n"/>
      <c r="AB520" s="55" t="n"/>
      <c r="AC520" s="55" t="n"/>
      <c r="AD520" s="53" t="n"/>
      <c r="AE520" s="55" t="n"/>
      <c r="AF520" s="55" t="n"/>
      <c r="AG520" s="59" t="n"/>
      <c r="AH520" s="57" t="n"/>
      <c r="AI520" s="55" t="n"/>
      <c r="AJ520" s="55" t="n"/>
      <c r="AK520" s="55" t="n"/>
      <c r="AL520" s="55" t="n"/>
      <c r="AM520" s="56" t="n"/>
      <c r="AN520" s="55" t="n"/>
      <c r="AO520" s="55" t="n"/>
      <c r="AP520" s="55" t="n"/>
      <c r="AQ520" s="55" t="n"/>
      <c r="AR520" s="60">
        <f>IF(AND(C520="",E520=""),"",IF(A520="","⚠ Date manquante",IF(AND(C520="",E520&lt;&gt;"Dépense"),"⚠ Prospect manquant",IF(E520="","⚠ Action manquante",IF(AND(AU520=1,D520=""),"⚠ Canal manquant",IF(AND(W520&lt;&gt;"",COUNTIFS('Saisie'!$W$5:$W$2004,W520,'Saisie'!$C$5:$C$2004,"&lt;&gt;"&amp;C520)&gt;0),"⚠ Numéro déjà utilisé par un autre prospect",IF(AND(J520&lt;&gt;"",J520&lt;A520),"⚠ Relance avant la date de l'action",IF(A520&gt;TODAY(),"⚠ Date dans le futur","✓"))))))))</f>
        <v/>
      </c>
      <c r="AS520" s="61">
        <f>IF(AND(A520="",C520="",E520=""),"",ROW())</f>
        <v/>
      </c>
      <c r="AT520" s="61">
        <f>IF(E520&amp;F520="","",MAX(IFERROR(INDEX('Paramètres'!$J$6:$J$33,MATCH(E520,'Paramètres'!$I$6:$I$33,0)),0),IFERROR(INDEX('Paramètres'!$N$6:$N$17,MATCH(F520,'Paramètres'!$M$6:$M$17,0)),0)))</f>
        <v/>
      </c>
      <c r="AU520" s="61">
        <f>IF(E520="","",IFERROR(IF(INDEX('Paramètres'!$K$6:$K$33,MATCH(E520,'Paramètres'!$I$6:$I$33,0))="Oui",1,0),0))</f>
        <v/>
      </c>
      <c r="AV520" s="61">
        <f>IF(F520="","",IFERROR(IF(INDEX('Paramètres'!$O$6:$O$17,MATCH(F520,'Paramètres'!$M$6:$M$17,0))="Oui",1,0),0))</f>
        <v/>
      </c>
      <c r="AW520" s="62">
        <f>IF(E520="","",IF(G520&lt;&gt;"",G520,IF(OR(E520="Proposition envoyée",E520="Signature"),MAX(0,N(IFERROR(INDEX('Paramètres'!$R$6:$R$15,MATCH(IF(AL520&lt;&gt;"",AL520,IFERROR(INDEX('Prospects'!$AN$5:$AN$504,MATCH(C520,'Prospects'!$C$5:$C$504,0)),"")),'Paramètres'!$Q$6:$Q$15,0)),0))-N(P520)),0)))</f>
        <v/>
      </c>
      <c r="AX520" s="61">
        <f>IF(C520="","",IF(COUNTIF($C$5:C520,C520)=1,MAX($AX$4:AX519)+1,""))</f>
        <v/>
      </c>
      <c r="AY520" s="61">
        <f>IF(B520="","",HOUR(B520))</f>
        <v/>
      </c>
      <c r="AZ520" s="61">
        <f>IF(A520="","",MOD(A520-2,7)+1)</f>
        <v/>
      </c>
      <c r="BA520" s="60">
        <f>IF(C520="","",IFERROR(INDEX('Prospects'!$N$5:$N$504,MATCH(C520,'Prospects'!$C$5:$C$504,0)),""))</f>
        <v/>
      </c>
      <c r="BB520" s="61">
        <f>IF(AND(C520&lt;&gt;"",C520='Fiche prospect'!$C$4),COUNTIF($C$5:C520,C520),"")</f>
        <v/>
      </c>
    </row>
    <row r="521">
      <c r="A521" s="53" t="n"/>
      <c r="B521" s="54" t="n"/>
      <c r="C521" s="55" t="n"/>
      <c r="D521" s="55" t="n"/>
      <c r="E521" s="55" t="n"/>
      <c r="F521" s="55" t="n"/>
      <c r="G521" s="56" t="n"/>
      <c r="H521" s="57" t="n"/>
      <c r="I521" s="55" t="n"/>
      <c r="J521" s="53" t="n"/>
      <c r="K521" s="54" t="n"/>
      <c r="L521" s="55" t="n"/>
      <c r="M521" s="55" t="n"/>
      <c r="N521" s="57" t="n"/>
      <c r="O521" s="55" t="n"/>
      <c r="P521" s="56" t="n"/>
      <c r="Q521" s="55" t="n"/>
      <c r="R521" s="55" t="n"/>
      <c r="S521" s="55" t="n"/>
      <c r="T521" s="55" t="n"/>
      <c r="U521" s="55" t="n"/>
      <c r="V521" s="55" t="n"/>
      <c r="W521" s="58" t="n"/>
      <c r="X521" s="58" t="n"/>
      <c r="Y521" s="55" t="n"/>
      <c r="Z521" s="55" t="n"/>
      <c r="AA521" s="55" t="n"/>
      <c r="AB521" s="55" t="n"/>
      <c r="AC521" s="55" t="n"/>
      <c r="AD521" s="53" t="n"/>
      <c r="AE521" s="55" t="n"/>
      <c r="AF521" s="55" t="n"/>
      <c r="AG521" s="59" t="n"/>
      <c r="AH521" s="57" t="n"/>
      <c r="AI521" s="55" t="n"/>
      <c r="AJ521" s="55" t="n"/>
      <c r="AK521" s="55" t="n"/>
      <c r="AL521" s="55" t="n"/>
      <c r="AM521" s="56" t="n"/>
      <c r="AN521" s="55" t="n"/>
      <c r="AO521" s="55" t="n"/>
      <c r="AP521" s="55" t="n"/>
      <c r="AQ521" s="55" t="n"/>
      <c r="AR521" s="60">
        <f>IF(AND(C521="",E521=""),"",IF(A521="","⚠ Date manquante",IF(AND(C521="",E521&lt;&gt;"Dépense"),"⚠ Prospect manquant",IF(E521="","⚠ Action manquante",IF(AND(AU521=1,D521=""),"⚠ Canal manquant",IF(AND(W521&lt;&gt;"",COUNTIFS('Saisie'!$W$5:$W$2004,W521,'Saisie'!$C$5:$C$2004,"&lt;&gt;"&amp;C521)&gt;0),"⚠ Numéro déjà utilisé par un autre prospect",IF(AND(J521&lt;&gt;"",J521&lt;A521),"⚠ Relance avant la date de l'action",IF(A521&gt;TODAY(),"⚠ Date dans le futur","✓"))))))))</f>
        <v/>
      </c>
      <c r="AS521" s="61">
        <f>IF(AND(A521="",C521="",E521=""),"",ROW())</f>
        <v/>
      </c>
      <c r="AT521" s="61">
        <f>IF(E521&amp;F521="","",MAX(IFERROR(INDEX('Paramètres'!$J$6:$J$33,MATCH(E521,'Paramètres'!$I$6:$I$33,0)),0),IFERROR(INDEX('Paramètres'!$N$6:$N$17,MATCH(F521,'Paramètres'!$M$6:$M$17,0)),0)))</f>
        <v/>
      </c>
      <c r="AU521" s="61">
        <f>IF(E521="","",IFERROR(IF(INDEX('Paramètres'!$K$6:$K$33,MATCH(E521,'Paramètres'!$I$6:$I$33,0))="Oui",1,0),0))</f>
        <v/>
      </c>
      <c r="AV521" s="61">
        <f>IF(F521="","",IFERROR(IF(INDEX('Paramètres'!$O$6:$O$17,MATCH(F521,'Paramètres'!$M$6:$M$17,0))="Oui",1,0),0))</f>
        <v/>
      </c>
      <c r="AW521" s="62">
        <f>IF(E521="","",IF(G521&lt;&gt;"",G521,IF(OR(E521="Proposition envoyée",E521="Signature"),MAX(0,N(IFERROR(INDEX('Paramètres'!$R$6:$R$15,MATCH(IF(AL521&lt;&gt;"",AL521,IFERROR(INDEX('Prospects'!$AN$5:$AN$504,MATCH(C521,'Prospects'!$C$5:$C$504,0)),"")),'Paramètres'!$Q$6:$Q$15,0)),0))-N(P521)),0)))</f>
        <v/>
      </c>
      <c r="AX521" s="61">
        <f>IF(C521="","",IF(COUNTIF($C$5:C521,C521)=1,MAX($AX$4:AX520)+1,""))</f>
        <v/>
      </c>
      <c r="AY521" s="61">
        <f>IF(B521="","",HOUR(B521))</f>
        <v/>
      </c>
      <c r="AZ521" s="61">
        <f>IF(A521="","",MOD(A521-2,7)+1)</f>
        <v/>
      </c>
      <c r="BA521" s="60">
        <f>IF(C521="","",IFERROR(INDEX('Prospects'!$N$5:$N$504,MATCH(C521,'Prospects'!$C$5:$C$504,0)),""))</f>
        <v/>
      </c>
      <c r="BB521" s="61">
        <f>IF(AND(C521&lt;&gt;"",C521='Fiche prospect'!$C$4),COUNTIF($C$5:C521,C521),"")</f>
        <v/>
      </c>
    </row>
    <row r="522">
      <c r="A522" s="53" t="n"/>
      <c r="B522" s="54" t="n"/>
      <c r="C522" s="55" t="n"/>
      <c r="D522" s="55" t="n"/>
      <c r="E522" s="55" t="n"/>
      <c r="F522" s="55" t="n"/>
      <c r="G522" s="56" t="n"/>
      <c r="H522" s="57" t="n"/>
      <c r="I522" s="55" t="n"/>
      <c r="J522" s="53" t="n"/>
      <c r="K522" s="54" t="n"/>
      <c r="L522" s="55" t="n"/>
      <c r="M522" s="55" t="n"/>
      <c r="N522" s="57" t="n"/>
      <c r="O522" s="55" t="n"/>
      <c r="P522" s="56" t="n"/>
      <c r="Q522" s="55" t="n"/>
      <c r="R522" s="55" t="n"/>
      <c r="S522" s="55" t="n"/>
      <c r="T522" s="55" t="n"/>
      <c r="U522" s="55" t="n"/>
      <c r="V522" s="55" t="n"/>
      <c r="W522" s="58" t="n"/>
      <c r="X522" s="58" t="n"/>
      <c r="Y522" s="55" t="n"/>
      <c r="Z522" s="55" t="n"/>
      <c r="AA522" s="55" t="n"/>
      <c r="AB522" s="55" t="n"/>
      <c r="AC522" s="55" t="n"/>
      <c r="AD522" s="53" t="n"/>
      <c r="AE522" s="55" t="n"/>
      <c r="AF522" s="55" t="n"/>
      <c r="AG522" s="59" t="n"/>
      <c r="AH522" s="57" t="n"/>
      <c r="AI522" s="55" t="n"/>
      <c r="AJ522" s="55" t="n"/>
      <c r="AK522" s="55" t="n"/>
      <c r="AL522" s="55" t="n"/>
      <c r="AM522" s="56" t="n"/>
      <c r="AN522" s="55" t="n"/>
      <c r="AO522" s="55" t="n"/>
      <c r="AP522" s="55" t="n"/>
      <c r="AQ522" s="55" t="n"/>
      <c r="AR522" s="60">
        <f>IF(AND(C522="",E522=""),"",IF(A522="","⚠ Date manquante",IF(AND(C522="",E522&lt;&gt;"Dépense"),"⚠ Prospect manquant",IF(E522="","⚠ Action manquante",IF(AND(AU522=1,D522=""),"⚠ Canal manquant",IF(AND(W522&lt;&gt;"",COUNTIFS('Saisie'!$W$5:$W$2004,W522,'Saisie'!$C$5:$C$2004,"&lt;&gt;"&amp;C522)&gt;0),"⚠ Numéro déjà utilisé par un autre prospect",IF(AND(J522&lt;&gt;"",J522&lt;A522),"⚠ Relance avant la date de l'action",IF(A522&gt;TODAY(),"⚠ Date dans le futur","✓"))))))))</f>
        <v/>
      </c>
      <c r="AS522" s="61">
        <f>IF(AND(A522="",C522="",E522=""),"",ROW())</f>
        <v/>
      </c>
      <c r="AT522" s="61">
        <f>IF(E522&amp;F522="","",MAX(IFERROR(INDEX('Paramètres'!$J$6:$J$33,MATCH(E522,'Paramètres'!$I$6:$I$33,0)),0),IFERROR(INDEX('Paramètres'!$N$6:$N$17,MATCH(F522,'Paramètres'!$M$6:$M$17,0)),0)))</f>
        <v/>
      </c>
      <c r="AU522" s="61">
        <f>IF(E522="","",IFERROR(IF(INDEX('Paramètres'!$K$6:$K$33,MATCH(E522,'Paramètres'!$I$6:$I$33,0))="Oui",1,0),0))</f>
        <v/>
      </c>
      <c r="AV522" s="61">
        <f>IF(F522="","",IFERROR(IF(INDEX('Paramètres'!$O$6:$O$17,MATCH(F522,'Paramètres'!$M$6:$M$17,0))="Oui",1,0),0))</f>
        <v/>
      </c>
      <c r="AW522" s="62">
        <f>IF(E522="","",IF(G522&lt;&gt;"",G522,IF(OR(E522="Proposition envoyée",E522="Signature"),MAX(0,N(IFERROR(INDEX('Paramètres'!$R$6:$R$15,MATCH(IF(AL522&lt;&gt;"",AL522,IFERROR(INDEX('Prospects'!$AN$5:$AN$504,MATCH(C522,'Prospects'!$C$5:$C$504,0)),"")),'Paramètres'!$Q$6:$Q$15,0)),0))-N(P522)),0)))</f>
        <v/>
      </c>
      <c r="AX522" s="61">
        <f>IF(C522="","",IF(COUNTIF($C$5:C522,C522)=1,MAX($AX$4:AX521)+1,""))</f>
        <v/>
      </c>
      <c r="AY522" s="61">
        <f>IF(B522="","",HOUR(B522))</f>
        <v/>
      </c>
      <c r="AZ522" s="61">
        <f>IF(A522="","",MOD(A522-2,7)+1)</f>
        <v/>
      </c>
      <c r="BA522" s="60">
        <f>IF(C522="","",IFERROR(INDEX('Prospects'!$N$5:$N$504,MATCH(C522,'Prospects'!$C$5:$C$504,0)),""))</f>
        <v/>
      </c>
      <c r="BB522" s="61">
        <f>IF(AND(C522&lt;&gt;"",C522='Fiche prospect'!$C$4),COUNTIF($C$5:C522,C522),"")</f>
        <v/>
      </c>
    </row>
    <row r="523">
      <c r="A523" s="53" t="n"/>
      <c r="B523" s="54" t="n"/>
      <c r="C523" s="55" t="n"/>
      <c r="D523" s="55" t="n"/>
      <c r="E523" s="55" t="n"/>
      <c r="F523" s="55" t="n"/>
      <c r="G523" s="56" t="n"/>
      <c r="H523" s="57" t="n"/>
      <c r="I523" s="55" t="n"/>
      <c r="J523" s="53" t="n"/>
      <c r="K523" s="54" t="n"/>
      <c r="L523" s="55" t="n"/>
      <c r="M523" s="55" t="n"/>
      <c r="N523" s="57" t="n"/>
      <c r="O523" s="55" t="n"/>
      <c r="P523" s="56" t="n"/>
      <c r="Q523" s="55" t="n"/>
      <c r="R523" s="55" t="n"/>
      <c r="S523" s="55" t="n"/>
      <c r="T523" s="55" t="n"/>
      <c r="U523" s="55" t="n"/>
      <c r="V523" s="55" t="n"/>
      <c r="W523" s="58" t="n"/>
      <c r="X523" s="58" t="n"/>
      <c r="Y523" s="55" t="n"/>
      <c r="Z523" s="55" t="n"/>
      <c r="AA523" s="55" t="n"/>
      <c r="AB523" s="55" t="n"/>
      <c r="AC523" s="55" t="n"/>
      <c r="AD523" s="53" t="n"/>
      <c r="AE523" s="55" t="n"/>
      <c r="AF523" s="55" t="n"/>
      <c r="AG523" s="59" t="n"/>
      <c r="AH523" s="57" t="n"/>
      <c r="AI523" s="55" t="n"/>
      <c r="AJ523" s="55" t="n"/>
      <c r="AK523" s="55" t="n"/>
      <c r="AL523" s="55" t="n"/>
      <c r="AM523" s="56" t="n"/>
      <c r="AN523" s="55" t="n"/>
      <c r="AO523" s="55" t="n"/>
      <c r="AP523" s="55" t="n"/>
      <c r="AQ523" s="55" t="n"/>
      <c r="AR523" s="60">
        <f>IF(AND(C523="",E523=""),"",IF(A523="","⚠ Date manquante",IF(AND(C523="",E523&lt;&gt;"Dépense"),"⚠ Prospect manquant",IF(E523="","⚠ Action manquante",IF(AND(AU523=1,D523=""),"⚠ Canal manquant",IF(AND(W523&lt;&gt;"",COUNTIFS('Saisie'!$W$5:$W$2004,W523,'Saisie'!$C$5:$C$2004,"&lt;&gt;"&amp;C523)&gt;0),"⚠ Numéro déjà utilisé par un autre prospect",IF(AND(J523&lt;&gt;"",J523&lt;A523),"⚠ Relance avant la date de l'action",IF(A523&gt;TODAY(),"⚠ Date dans le futur","✓"))))))))</f>
        <v/>
      </c>
      <c r="AS523" s="61">
        <f>IF(AND(A523="",C523="",E523=""),"",ROW())</f>
        <v/>
      </c>
      <c r="AT523" s="61">
        <f>IF(E523&amp;F523="","",MAX(IFERROR(INDEX('Paramètres'!$J$6:$J$33,MATCH(E523,'Paramètres'!$I$6:$I$33,0)),0),IFERROR(INDEX('Paramètres'!$N$6:$N$17,MATCH(F523,'Paramètres'!$M$6:$M$17,0)),0)))</f>
        <v/>
      </c>
      <c r="AU523" s="61">
        <f>IF(E523="","",IFERROR(IF(INDEX('Paramètres'!$K$6:$K$33,MATCH(E523,'Paramètres'!$I$6:$I$33,0))="Oui",1,0),0))</f>
        <v/>
      </c>
      <c r="AV523" s="61">
        <f>IF(F523="","",IFERROR(IF(INDEX('Paramètres'!$O$6:$O$17,MATCH(F523,'Paramètres'!$M$6:$M$17,0))="Oui",1,0),0))</f>
        <v/>
      </c>
      <c r="AW523" s="62">
        <f>IF(E523="","",IF(G523&lt;&gt;"",G523,IF(OR(E523="Proposition envoyée",E523="Signature"),MAX(0,N(IFERROR(INDEX('Paramètres'!$R$6:$R$15,MATCH(IF(AL523&lt;&gt;"",AL523,IFERROR(INDEX('Prospects'!$AN$5:$AN$504,MATCH(C523,'Prospects'!$C$5:$C$504,0)),"")),'Paramètres'!$Q$6:$Q$15,0)),0))-N(P523)),0)))</f>
        <v/>
      </c>
      <c r="AX523" s="61">
        <f>IF(C523="","",IF(COUNTIF($C$5:C523,C523)=1,MAX($AX$4:AX522)+1,""))</f>
        <v/>
      </c>
      <c r="AY523" s="61">
        <f>IF(B523="","",HOUR(B523))</f>
        <v/>
      </c>
      <c r="AZ523" s="61">
        <f>IF(A523="","",MOD(A523-2,7)+1)</f>
        <v/>
      </c>
      <c r="BA523" s="60">
        <f>IF(C523="","",IFERROR(INDEX('Prospects'!$N$5:$N$504,MATCH(C523,'Prospects'!$C$5:$C$504,0)),""))</f>
        <v/>
      </c>
      <c r="BB523" s="61">
        <f>IF(AND(C523&lt;&gt;"",C523='Fiche prospect'!$C$4),COUNTIF($C$5:C523,C523),"")</f>
        <v/>
      </c>
    </row>
    <row r="524">
      <c r="A524" s="53" t="n"/>
      <c r="B524" s="54" t="n"/>
      <c r="C524" s="55" t="n"/>
      <c r="D524" s="55" t="n"/>
      <c r="E524" s="55" t="n"/>
      <c r="F524" s="55" t="n"/>
      <c r="G524" s="56" t="n"/>
      <c r="H524" s="57" t="n"/>
      <c r="I524" s="55" t="n"/>
      <c r="J524" s="53" t="n"/>
      <c r="K524" s="54" t="n"/>
      <c r="L524" s="55" t="n"/>
      <c r="M524" s="55" t="n"/>
      <c r="N524" s="57" t="n"/>
      <c r="O524" s="55" t="n"/>
      <c r="P524" s="56" t="n"/>
      <c r="Q524" s="55" t="n"/>
      <c r="R524" s="55" t="n"/>
      <c r="S524" s="55" t="n"/>
      <c r="T524" s="55" t="n"/>
      <c r="U524" s="55" t="n"/>
      <c r="V524" s="55" t="n"/>
      <c r="W524" s="58" t="n"/>
      <c r="X524" s="58" t="n"/>
      <c r="Y524" s="55" t="n"/>
      <c r="Z524" s="55" t="n"/>
      <c r="AA524" s="55" t="n"/>
      <c r="AB524" s="55" t="n"/>
      <c r="AC524" s="55" t="n"/>
      <c r="AD524" s="53" t="n"/>
      <c r="AE524" s="55" t="n"/>
      <c r="AF524" s="55" t="n"/>
      <c r="AG524" s="59" t="n"/>
      <c r="AH524" s="57" t="n"/>
      <c r="AI524" s="55" t="n"/>
      <c r="AJ524" s="55" t="n"/>
      <c r="AK524" s="55" t="n"/>
      <c r="AL524" s="55" t="n"/>
      <c r="AM524" s="56" t="n"/>
      <c r="AN524" s="55" t="n"/>
      <c r="AO524" s="55" t="n"/>
      <c r="AP524" s="55" t="n"/>
      <c r="AQ524" s="55" t="n"/>
      <c r="AR524" s="60">
        <f>IF(AND(C524="",E524=""),"",IF(A524="","⚠ Date manquante",IF(AND(C524="",E524&lt;&gt;"Dépense"),"⚠ Prospect manquant",IF(E524="","⚠ Action manquante",IF(AND(AU524=1,D524=""),"⚠ Canal manquant",IF(AND(W524&lt;&gt;"",COUNTIFS('Saisie'!$W$5:$W$2004,W524,'Saisie'!$C$5:$C$2004,"&lt;&gt;"&amp;C524)&gt;0),"⚠ Numéro déjà utilisé par un autre prospect",IF(AND(J524&lt;&gt;"",J524&lt;A524),"⚠ Relance avant la date de l'action",IF(A524&gt;TODAY(),"⚠ Date dans le futur","✓"))))))))</f>
        <v/>
      </c>
      <c r="AS524" s="61">
        <f>IF(AND(A524="",C524="",E524=""),"",ROW())</f>
        <v/>
      </c>
      <c r="AT524" s="61">
        <f>IF(E524&amp;F524="","",MAX(IFERROR(INDEX('Paramètres'!$J$6:$J$33,MATCH(E524,'Paramètres'!$I$6:$I$33,0)),0),IFERROR(INDEX('Paramètres'!$N$6:$N$17,MATCH(F524,'Paramètres'!$M$6:$M$17,0)),0)))</f>
        <v/>
      </c>
      <c r="AU524" s="61">
        <f>IF(E524="","",IFERROR(IF(INDEX('Paramètres'!$K$6:$K$33,MATCH(E524,'Paramètres'!$I$6:$I$33,0))="Oui",1,0),0))</f>
        <v/>
      </c>
      <c r="AV524" s="61">
        <f>IF(F524="","",IFERROR(IF(INDEX('Paramètres'!$O$6:$O$17,MATCH(F524,'Paramètres'!$M$6:$M$17,0))="Oui",1,0),0))</f>
        <v/>
      </c>
      <c r="AW524" s="62">
        <f>IF(E524="","",IF(G524&lt;&gt;"",G524,IF(OR(E524="Proposition envoyée",E524="Signature"),MAX(0,N(IFERROR(INDEX('Paramètres'!$R$6:$R$15,MATCH(IF(AL524&lt;&gt;"",AL524,IFERROR(INDEX('Prospects'!$AN$5:$AN$504,MATCH(C524,'Prospects'!$C$5:$C$504,0)),"")),'Paramètres'!$Q$6:$Q$15,0)),0))-N(P524)),0)))</f>
        <v/>
      </c>
      <c r="AX524" s="61">
        <f>IF(C524="","",IF(COUNTIF($C$5:C524,C524)=1,MAX($AX$4:AX523)+1,""))</f>
        <v/>
      </c>
      <c r="AY524" s="61">
        <f>IF(B524="","",HOUR(B524))</f>
        <v/>
      </c>
      <c r="AZ524" s="61">
        <f>IF(A524="","",MOD(A524-2,7)+1)</f>
        <v/>
      </c>
      <c r="BA524" s="60">
        <f>IF(C524="","",IFERROR(INDEX('Prospects'!$N$5:$N$504,MATCH(C524,'Prospects'!$C$5:$C$504,0)),""))</f>
        <v/>
      </c>
      <c r="BB524" s="61">
        <f>IF(AND(C524&lt;&gt;"",C524='Fiche prospect'!$C$4),COUNTIF($C$5:C524,C524),"")</f>
        <v/>
      </c>
    </row>
    <row r="525">
      <c r="A525" s="53" t="n"/>
      <c r="B525" s="54" t="n"/>
      <c r="C525" s="55" t="n"/>
      <c r="D525" s="55" t="n"/>
      <c r="E525" s="55" t="n"/>
      <c r="F525" s="55" t="n"/>
      <c r="G525" s="56" t="n"/>
      <c r="H525" s="57" t="n"/>
      <c r="I525" s="55" t="n"/>
      <c r="J525" s="53" t="n"/>
      <c r="K525" s="54" t="n"/>
      <c r="L525" s="55" t="n"/>
      <c r="M525" s="55" t="n"/>
      <c r="N525" s="57" t="n"/>
      <c r="O525" s="55" t="n"/>
      <c r="P525" s="56" t="n"/>
      <c r="Q525" s="55" t="n"/>
      <c r="R525" s="55" t="n"/>
      <c r="S525" s="55" t="n"/>
      <c r="T525" s="55" t="n"/>
      <c r="U525" s="55" t="n"/>
      <c r="V525" s="55" t="n"/>
      <c r="W525" s="58" t="n"/>
      <c r="X525" s="58" t="n"/>
      <c r="Y525" s="55" t="n"/>
      <c r="Z525" s="55" t="n"/>
      <c r="AA525" s="55" t="n"/>
      <c r="AB525" s="55" t="n"/>
      <c r="AC525" s="55" t="n"/>
      <c r="AD525" s="53" t="n"/>
      <c r="AE525" s="55" t="n"/>
      <c r="AF525" s="55" t="n"/>
      <c r="AG525" s="59" t="n"/>
      <c r="AH525" s="57" t="n"/>
      <c r="AI525" s="55" t="n"/>
      <c r="AJ525" s="55" t="n"/>
      <c r="AK525" s="55" t="n"/>
      <c r="AL525" s="55" t="n"/>
      <c r="AM525" s="56" t="n"/>
      <c r="AN525" s="55" t="n"/>
      <c r="AO525" s="55" t="n"/>
      <c r="AP525" s="55" t="n"/>
      <c r="AQ525" s="55" t="n"/>
      <c r="AR525" s="60">
        <f>IF(AND(C525="",E525=""),"",IF(A525="","⚠ Date manquante",IF(AND(C525="",E525&lt;&gt;"Dépense"),"⚠ Prospect manquant",IF(E525="","⚠ Action manquante",IF(AND(AU525=1,D525=""),"⚠ Canal manquant",IF(AND(W525&lt;&gt;"",COUNTIFS('Saisie'!$W$5:$W$2004,W525,'Saisie'!$C$5:$C$2004,"&lt;&gt;"&amp;C525)&gt;0),"⚠ Numéro déjà utilisé par un autre prospect",IF(AND(J525&lt;&gt;"",J525&lt;A525),"⚠ Relance avant la date de l'action",IF(A525&gt;TODAY(),"⚠ Date dans le futur","✓"))))))))</f>
        <v/>
      </c>
      <c r="AS525" s="61">
        <f>IF(AND(A525="",C525="",E525=""),"",ROW())</f>
        <v/>
      </c>
      <c r="AT525" s="61">
        <f>IF(E525&amp;F525="","",MAX(IFERROR(INDEX('Paramètres'!$J$6:$J$33,MATCH(E525,'Paramètres'!$I$6:$I$33,0)),0),IFERROR(INDEX('Paramètres'!$N$6:$N$17,MATCH(F525,'Paramètres'!$M$6:$M$17,0)),0)))</f>
        <v/>
      </c>
      <c r="AU525" s="61">
        <f>IF(E525="","",IFERROR(IF(INDEX('Paramètres'!$K$6:$K$33,MATCH(E525,'Paramètres'!$I$6:$I$33,0))="Oui",1,0),0))</f>
        <v/>
      </c>
      <c r="AV525" s="61">
        <f>IF(F525="","",IFERROR(IF(INDEX('Paramètres'!$O$6:$O$17,MATCH(F525,'Paramètres'!$M$6:$M$17,0))="Oui",1,0),0))</f>
        <v/>
      </c>
      <c r="AW525" s="62">
        <f>IF(E525="","",IF(G525&lt;&gt;"",G525,IF(OR(E525="Proposition envoyée",E525="Signature"),MAX(0,N(IFERROR(INDEX('Paramètres'!$R$6:$R$15,MATCH(IF(AL525&lt;&gt;"",AL525,IFERROR(INDEX('Prospects'!$AN$5:$AN$504,MATCH(C525,'Prospects'!$C$5:$C$504,0)),"")),'Paramètres'!$Q$6:$Q$15,0)),0))-N(P525)),0)))</f>
        <v/>
      </c>
      <c r="AX525" s="61">
        <f>IF(C525="","",IF(COUNTIF($C$5:C525,C525)=1,MAX($AX$4:AX524)+1,""))</f>
        <v/>
      </c>
      <c r="AY525" s="61">
        <f>IF(B525="","",HOUR(B525))</f>
        <v/>
      </c>
      <c r="AZ525" s="61">
        <f>IF(A525="","",MOD(A525-2,7)+1)</f>
        <v/>
      </c>
      <c r="BA525" s="60">
        <f>IF(C525="","",IFERROR(INDEX('Prospects'!$N$5:$N$504,MATCH(C525,'Prospects'!$C$5:$C$504,0)),""))</f>
        <v/>
      </c>
      <c r="BB525" s="61">
        <f>IF(AND(C525&lt;&gt;"",C525='Fiche prospect'!$C$4),COUNTIF($C$5:C525,C525),"")</f>
        <v/>
      </c>
    </row>
    <row r="526">
      <c r="A526" s="53" t="n"/>
      <c r="B526" s="54" t="n"/>
      <c r="C526" s="55" t="n"/>
      <c r="D526" s="55" t="n"/>
      <c r="E526" s="55" t="n"/>
      <c r="F526" s="55" t="n"/>
      <c r="G526" s="56" t="n"/>
      <c r="H526" s="57" t="n"/>
      <c r="I526" s="55" t="n"/>
      <c r="J526" s="53" t="n"/>
      <c r="K526" s="54" t="n"/>
      <c r="L526" s="55" t="n"/>
      <c r="M526" s="55" t="n"/>
      <c r="N526" s="57" t="n"/>
      <c r="O526" s="55" t="n"/>
      <c r="P526" s="56" t="n"/>
      <c r="Q526" s="55" t="n"/>
      <c r="R526" s="55" t="n"/>
      <c r="S526" s="55" t="n"/>
      <c r="T526" s="55" t="n"/>
      <c r="U526" s="55" t="n"/>
      <c r="V526" s="55" t="n"/>
      <c r="W526" s="58" t="n"/>
      <c r="X526" s="58" t="n"/>
      <c r="Y526" s="55" t="n"/>
      <c r="Z526" s="55" t="n"/>
      <c r="AA526" s="55" t="n"/>
      <c r="AB526" s="55" t="n"/>
      <c r="AC526" s="55" t="n"/>
      <c r="AD526" s="53" t="n"/>
      <c r="AE526" s="55" t="n"/>
      <c r="AF526" s="55" t="n"/>
      <c r="AG526" s="59" t="n"/>
      <c r="AH526" s="57" t="n"/>
      <c r="AI526" s="55" t="n"/>
      <c r="AJ526" s="55" t="n"/>
      <c r="AK526" s="55" t="n"/>
      <c r="AL526" s="55" t="n"/>
      <c r="AM526" s="56" t="n"/>
      <c r="AN526" s="55" t="n"/>
      <c r="AO526" s="55" t="n"/>
      <c r="AP526" s="55" t="n"/>
      <c r="AQ526" s="55" t="n"/>
      <c r="AR526" s="60">
        <f>IF(AND(C526="",E526=""),"",IF(A526="","⚠ Date manquante",IF(AND(C526="",E526&lt;&gt;"Dépense"),"⚠ Prospect manquant",IF(E526="","⚠ Action manquante",IF(AND(AU526=1,D526=""),"⚠ Canal manquant",IF(AND(W526&lt;&gt;"",COUNTIFS('Saisie'!$W$5:$W$2004,W526,'Saisie'!$C$5:$C$2004,"&lt;&gt;"&amp;C526)&gt;0),"⚠ Numéro déjà utilisé par un autre prospect",IF(AND(J526&lt;&gt;"",J526&lt;A526),"⚠ Relance avant la date de l'action",IF(A526&gt;TODAY(),"⚠ Date dans le futur","✓"))))))))</f>
        <v/>
      </c>
      <c r="AS526" s="61">
        <f>IF(AND(A526="",C526="",E526=""),"",ROW())</f>
        <v/>
      </c>
      <c r="AT526" s="61">
        <f>IF(E526&amp;F526="","",MAX(IFERROR(INDEX('Paramètres'!$J$6:$J$33,MATCH(E526,'Paramètres'!$I$6:$I$33,0)),0),IFERROR(INDEX('Paramètres'!$N$6:$N$17,MATCH(F526,'Paramètres'!$M$6:$M$17,0)),0)))</f>
        <v/>
      </c>
      <c r="AU526" s="61">
        <f>IF(E526="","",IFERROR(IF(INDEX('Paramètres'!$K$6:$K$33,MATCH(E526,'Paramètres'!$I$6:$I$33,0))="Oui",1,0),0))</f>
        <v/>
      </c>
      <c r="AV526" s="61">
        <f>IF(F526="","",IFERROR(IF(INDEX('Paramètres'!$O$6:$O$17,MATCH(F526,'Paramètres'!$M$6:$M$17,0))="Oui",1,0),0))</f>
        <v/>
      </c>
      <c r="AW526" s="62">
        <f>IF(E526="","",IF(G526&lt;&gt;"",G526,IF(OR(E526="Proposition envoyée",E526="Signature"),MAX(0,N(IFERROR(INDEX('Paramètres'!$R$6:$R$15,MATCH(IF(AL526&lt;&gt;"",AL526,IFERROR(INDEX('Prospects'!$AN$5:$AN$504,MATCH(C526,'Prospects'!$C$5:$C$504,0)),"")),'Paramètres'!$Q$6:$Q$15,0)),0))-N(P526)),0)))</f>
        <v/>
      </c>
      <c r="AX526" s="61">
        <f>IF(C526="","",IF(COUNTIF($C$5:C526,C526)=1,MAX($AX$4:AX525)+1,""))</f>
        <v/>
      </c>
      <c r="AY526" s="61">
        <f>IF(B526="","",HOUR(B526))</f>
        <v/>
      </c>
      <c r="AZ526" s="61">
        <f>IF(A526="","",MOD(A526-2,7)+1)</f>
        <v/>
      </c>
      <c r="BA526" s="60">
        <f>IF(C526="","",IFERROR(INDEX('Prospects'!$N$5:$N$504,MATCH(C526,'Prospects'!$C$5:$C$504,0)),""))</f>
        <v/>
      </c>
      <c r="BB526" s="61">
        <f>IF(AND(C526&lt;&gt;"",C526='Fiche prospect'!$C$4),COUNTIF($C$5:C526,C526),"")</f>
        <v/>
      </c>
    </row>
    <row r="527">
      <c r="A527" s="53" t="n"/>
      <c r="B527" s="54" t="n"/>
      <c r="C527" s="55" t="n"/>
      <c r="D527" s="55" t="n"/>
      <c r="E527" s="55" t="n"/>
      <c r="F527" s="55" t="n"/>
      <c r="G527" s="56" t="n"/>
      <c r="H527" s="57" t="n"/>
      <c r="I527" s="55" t="n"/>
      <c r="J527" s="53" t="n"/>
      <c r="K527" s="54" t="n"/>
      <c r="L527" s="55" t="n"/>
      <c r="M527" s="55" t="n"/>
      <c r="N527" s="57" t="n"/>
      <c r="O527" s="55" t="n"/>
      <c r="P527" s="56" t="n"/>
      <c r="Q527" s="55" t="n"/>
      <c r="R527" s="55" t="n"/>
      <c r="S527" s="55" t="n"/>
      <c r="T527" s="55" t="n"/>
      <c r="U527" s="55" t="n"/>
      <c r="V527" s="55" t="n"/>
      <c r="W527" s="58" t="n"/>
      <c r="X527" s="58" t="n"/>
      <c r="Y527" s="55" t="n"/>
      <c r="Z527" s="55" t="n"/>
      <c r="AA527" s="55" t="n"/>
      <c r="AB527" s="55" t="n"/>
      <c r="AC527" s="55" t="n"/>
      <c r="AD527" s="53" t="n"/>
      <c r="AE527" s="55" t="n"/>
      <c r="AF527" s="55" t="n"/>
      <c r="AG527" s="59" t="n"/>
      <c r="AH527" s="57" t="n"/>
      <c r="AI527" s="55" t="n"/>
      <c r="AJ527" s="55" t="n"/>
      <c r="AK527" s="55" t="n"/>
      <c r="AL527" s="55" t="n"/>
      <c r="AM527" s="56" t="n"/>
      <c r="AN527" s="55" t="n"/>
      <c r="AO527" s="55" t="n"/>
      <c r="AP527" s="55" t="n"/>
      <c r="AQ527" s="55" t="n"/>
      <c r="AR527" s="60">
        <f>IF(AND(C527="",E527=""),"",IF(A527="","⚠ Date manquante",IF(AND(C527="",E527&lt;&gt;"Dépense"),"⚠ Prospect manquant",IF(E527="","⚠ Action manquante",IF(AND(AU527=1,D527=""),"⚠ Canal manquant",IF(AND(W527&lt;&gt;"",COUNTIFS('Saisie'!$W$5:$W$2004,W527,'Saisie'!$C$5:$C$2004,"&lt;&gt;"&amp;C527)&gt;0),"⚠ Numéro déjà utilisé par un autre prospect",IF(AND(J527&lt;&gt;"",J527&lt;A527),"⚠ Relance avant la date de l'action",IF(A527&gt;TODAY(),"⚠ Date dans le futur","✓"))))))))</f>
        <v/>
      </c>
      <c r="AS527" s="61">
        <f>IF(AND(A527="",C527="",E527=""),"",ROW())</f>
        <v/>
      </c>
      <c r="AT527" s="61">
        <f>IF(E527&amp;F527="","",MAX(IFERROR(INDEX('Paramètres'!$J$6:$J$33,MATCH(E527,'Paramètres'!$I$6:$I$33,0)),0),IFERROR(INDEX('Paramètres'!$N$6:$N$17,MATCH(F527,'Paramètres'!$M$6:$M$17,0)),0)))</f>
        <v/>
      </c>
      <c r="AU527" s="61">
        <f>IF(E527="","",IFERROR(IF(INDEX('Paramètres'!$K$6:$K$33,MATCH(E527,'Paramètres'!$I$6:$I$33,0))="Oui",1,0),0))</f>
        <v/>
      </c>
      <c r="AV527" s="61">
        <f>IF(F527="","",IFERROR(IF(INDEX('Paramètres'!$O$6:$O$17,MATCH(F527,'Paramètres'!$M$6:$M$17,0))="Oui",1,0),0))</f>
        <v/>
      </c>
      <c r="AW527" s="62">
        <f>IF(E527="","",IF(G527&lt;&gt;"",G527,IF(OR(E527="Proposition envoyée",E527="Signature"),MAX(0,N(IFERROR(INDEX('Paramètres'!$R$6:$R$15,MATCH(IF(AL527&lt;&gt;"",AL527,IFERROR(INDEX('Prospects'!$AN$5:$AN$504,MATCH(C527,'Prospects'!$C$5:$C$504,0)),"")),'Paramètres'!$Q$6:$Q$15,0)),0))-N(P527)),0)))</f>
        <v/>
      </c>
      <c r="AX527" s="61">
        <f>IF(C527="","",IF(COUNTIF($C$5:C527,C527)=1,MAX($AX$4:AX526)+1,""))</f>
        <v/>
      </c>
      <c r="AY527" s="61">
        <f>IF(B527="","",HOUR(B527))</f>
        <v/>
      </c>
      <c r="AZ527" s="61">
        <f>IF(A527="","",MOD(A527-2,7)+1)</f>
        <v/>
      </c>
      <c r="BA527" s="60">
        <f>IF(C527="","",IFERROR(INDEX('Prospects'!$N$5:$N$504,MATCH(C527,'Prospects'!$C$5:$C$504,0)),""))</f>
        <v/>
      </c>
      <c r="BB527" s="61">
        <f>IF(AND(C527&lt;&gt;"",C527='Fiche prospect'!$C$4),COUNTIF($C$5:C527,C527),"")</f>
        <v/>
      </c>
    </row>
    <row r="528">
      <c r="A528" s="53" t="n"/>
      <c r="B528" s="54" t="n"/>
      <c r="C528" s="55" t="n"/>
      <c r="D528" s="55" t="n"/>
      <c r="E528" s="55" t="n"/>
      <c r="F528" s="55" t="n"/>
      <c r="G528" s="56" t="n"/>
      <c r="H528" s="57" t="n"/>
      <c r="I528" s="55" t="n"/>
      <c r="J528" s="53" t="n"/>
      <c r="K528" s="54" t="n"/>
      <c r="L528" s="55" t="n"/>
      <c r="M528" s="55" t="n"/>
      <c r="N528" s="57" t="n"/>
      <c r="O528" s="55" t="n"/>
      <c r="P528" s="56" t="n"/>
      <c r="Q528" s="55" t="n"/>
      <c r="R528" s="55" t="n"/>
      <c r="S528" s="55" t="n"/>
      <c r="T528" s="55" t="n"/>
      <c r="U528" s="55" t="n"/>
      <c r="V528" s="55" t="n"/>
      <c r="W528" s="58" t="n"/>
      <c r="X528" s="58" t="n"/>
      <c r="Y528" s="55" t="n"/>
      <c r="Z528" s="55" t="n"/>
      <c r="AA528" s="55" t="n"/>
      <c r="AB528" s="55" t="n"/>
      <c r="AC528" s="55" t="n"/>
      <c r="AD528" s="53" t="n"/>
      <c r="AE528" s="55" t="n"/>
      <c r="AF528" s="55" t="n"/>
      <c r="AG528" s="59" t="n"/>
      <c r="AH528" s="57" t="n"/>
      <c r="AI528" s="55" t="n"/>
      <c r="AJ528" s="55" t="n"/>
      <c r="AK528" s="55" t="n"/>
      <c r="AL528" s="55" t="n"/>
      <c r="AM528" s="56" t="n"/>
      <c r="AN528" s="55" t="n"/>
      <c r="AO528" s="55" t="n"/>
      <c r="AP528" s="55" t="n"/>
      <c r="AQ528" s="55" t="n"/>
      <c r="AR528" s="60">
        <f>IF(AND(C528="",E528=""),"",IF(A528="","⚠ Date manquante",IF(AND(C528="",E528&lt;&gt;"Dépense"),"⚠ Prospect manquant",IF(E528="","⚠ Action manquante",IF(AND(AU528=1,D528=""),"⚠ Canal manquant",IF(AND(W528&lt;&gt;"",COUNTIFS('Saisie'!$W$5:$W$2004,W528,'Saisie'!$C$5:$C$2004,"&lt;&gt;"&amp;C528)&gt;0),"⚠ Numéro déjà utilisé par un autre prospect",IF(AND(J528&lt;&gt;"",J528&lt;A528),"⚠ Relance avant la date de l'action",IF(A528&gt;TODAY(),"⚠ Date dans le futur","✓"))))))))</f>
        <v/>
      </c>
      <c r="AS528" s="61">
        <f>IF(AND(A528="",C528="",E528=""),"",ROW())</f>
        <v/>
      </c>
      <c r="AT528" s="61">
        <f>IF(E528&amp;F528="","",MAX(IFERROR(INDEX('Paramètres'!$J$6:$J$33,MATCH(E528,'Paramètres'!$I$6:$I$33,0)),0),IFERROR(INDEX('Paramètres'!$N$6:$N$17,MATCH(F528,'Paramètres'!$M$6:$M$17,0)),0)))</f>
        <v/>
      </c>
      <c r="AU528" s="61">
        <f>IF(E528="","",IFERROR(IF(INDEX('Paramètres'!$K$6:$K$33,MATCH(E528,'Paramètres'!$I$6:$I$33,0))="Oui",1,0),0))</f>
        <v/>
      </c>
      <c r="AV528" s="61">
        <f>IF(F528="","",IFERROR(IF(INDEX('Paramètres'!$O$6:$O$17,MATCH(F528,'Paramètres'!$M$6:$M$17,0))="Oui",1,0),0))</f>
        <v/>
      </c>
      <c r="AW528" s="62">
        <f>IF(E528="","",IF(G528&lt;&gt;"",G528,IF(OR(E528="Proposition envoyée",E528="Signature"),MAX(0,N(IFERROR(INDEX('Paramètres'!$R$6:$R$15,MATCH(IF(AL528&lt;&gt;"",AL528,IFERROR(INDEX('Prospects'!$AN$5:$AN$504,MATCH(C528,'Prospects'!$C$5:$C$504,0)),"")),'Paramètres'!$Q$6:$Q$15,0)),0))-N(P528)),0)))</f>
        <v/>
      </c>
      <c r="AX528" s="61">
        <f>IF(C528="","",IF(COUNTIF($C$5:C528,C528)=1,MAX($AX$4:AX527)+1,""))</f>
        <v/>
      </c>
      <c r="AY528" s="61">
        <f>IF(B528="","",HOUR(B528))</f>
        <v/>
      </c>
      <c r="AZ528" s="61">
        <f>IF(A528="","",MOD(A528-2,7)+1)</f>
        <v/>
      </c>
      <c r="BA528" s="60">
        <f>IF(C528="","",IFERROR(INDEX('Prospects'!$N$5:$N$504,MATCH(C528,'Prospects'!$C$5:$C$504,0)),""))</f>
        <v/>
      </c>
      <c r="BB528" s="61">
        <f>IF(AND(C528&lt;&gt;"",C528='Fiche prospect'!$C$4),COUNTIF($C$5:C528,C528),"")</f>
        <v/>
      </c>
    </row>
    <row r="529">
      <c r="A529" s="53" t="n"/>
      <c r="B529" s="54" t="n"/>
      <c r="C529" s="55" t="n"/>
      <c r="D529" s="55" t="n"/>
      <c r="E529" s="55" t="n"/>
      <c r="F529" s="55" t="n"/>
      <c r="G529" s="56" t="n"/>
      <c r="H529" s="57" t="n"/>
      <c r="I529" s="55" t="n"/>
      <c r="J529" s="53" t="n"/>
      <c r="K529" s="54" t="n"/>
      <c r="L529" s="55" t="n"/>
      <c r="M529" s="55" t="n"/>
      <c r="N529" s="57" t="n"/>
      <c r="O529" s="55" t="n"/>
      <c r="P529" s="56" t="n"/>
      <c r="Q529" s="55" t="n"/>
      <c r="R529" s="55" t="n"/>
      <c r="S529" s="55" t="n"/>
      <c r="T529" s="55" t="n"/>
      <c r="U529" s="55" t="n"/>
      <c r="V529" s="55" t="n"/>
      <c r="W529" s="58" t="n"/>
      <c r="X529" s="58" t="n"/>
      <c r="Y529" s="55" t="n"/>
      <c r="Z529" s="55" t="n"/>
      <c r="AA529" s="55" t="n"/>
      <c r="AB529" s="55" t="n"/>
      <c r="AC529" s="55" t="n"/>
      <c r="AD529" s="53" t="n"/>
      <c r="AE529" s="55" t="n"/>
      <c r="AF529" s="55" t="n"/>
      <c r="AG529" s="59" t="n"/>
      <c r="AH529" s="57" t="n"/>
      <c r="AI529" s="55" t="n"/>
      <c r="AJ529" s="55" t="n"/>
      <c r="AK529" s="55" t="n"/>
      <c r="AL529" s="55" t="n"/>
      <c r="AM529" s="56" t="n"/>
      <c r="AN529" s="55" t="n"/>
      <c r="AO529" s="55" t="n"/>
      <c r="AP529" s="55" t="n"/>
      <c r="AQ529" s="55" t="n"/>
      <c r="AR529" s="60">
        <f>IF(AND(C529="",E529=""),"",IF(A529="","⚠ Date manquante",IF(AND(C529="",E529&lt;&gt;"Dépense"),"⚠ Prospect manquant",IF(E529="","⚠ Action manquante",IF(AND(AU529=1,D529=""),"⚠ Canal manquant",IF(AND(W529&lt;&gt;"",COUNTIFS('Saisie'!$W$5:$W$2004,W529,'Saisie'!$C$5:$C$2004,"&lt;&gt;"&amp;C529)&gt;0),"⚠ Numéro déjà utilisé par un autre prospect",IF(AND(J529&lt;&gt;"",J529&lt;A529),"⚠ Relance avant la date de l'action",IF(A529&gt;TODAY(),"⚠ Date dans le futur","✓"))))))))</f>
        <v/>
      </c>
      <c r="AS529" s="61">
        <f>IF(AND(A529="",C529="",E529=""),"",ROW())</f>
        <v/>
      </c>
      <c r="AT529" s="61">
        <f>IF(E529&amp;F529="","",MAX(IFERROR(INDEX('Paramètres'!$J$6:$J$33,MATCH(E529,'Paramètres'!$I$6:$I$33,0)),0),IFERROR(INDEX('Paramètres'!$N$6:$N$17,MATCH(F529,'Paramètres'!$M$6:$M$17,0)),0)))</f>
        <v/>
      </c>
      <c r="AU529" s="61">
        <f>IF(E529="","",IFERROR(IF(INDEX('Paramètres'!$K$6:$K$33,MATCH(E529,'Paramètres'!$I$6:$I$33,0))="Oui",1,0),0))</f>
        <v/>
      </c>
      <c r="AV529" s="61">
        <f>IF(F529="","",IFERROR(IF(INDEX('Paramètres'!$O$6:$O$17,MATCH(F529,'Paramètres'!$M$6:$M$17,0))="Oui",1,0),0))</f>
        <v/>
      </c>
      <c r="AW529" s="62">
        <f>IF(E529="","",IF(G529&lt;&gt;"",G529,IF(OR(E529="Proposition envoyée",E529="Signature"),MAX(0,N(IFERROR(INDEX('Paramètres'!$R$6:$R$15,MATCH(IF(AL529&lt;&gt;"",AL529,IFERROR(INDEX('Prospects'!$AN$5:$AN$504,MATCH(C529,'Prospects'!$C$5:$C$504,0)),"")),'Paramètres'!$Q$6:$Q$15,0)),0))-N(P529)),0)))</f>
        <v/>
      </c>
      <c r="AX529" s="61">
        <f>IF(C529="","",IF(COUNTIF($C$5:C529,C529)=1,MAX($AX$4:AX528)+1,""))</f>
        <v/>
      </c>
      <c r="AY529" s="61">
        <f>IF(B529="","",HOUR(B529))</f>
        <v/>
      </c>
      <c r="AZ529" s="61">
        <f>IF(A529="","",MOD(A529-2,7)+1)</f>
        <v/>
      </c>
      <c r="BA529" s="60">
        <f>IF(C529="","",IFERROR(INDEX('Prospects'!$N$5:$N$504,MATCH(C529,'Prospects'!$C$5:$C$504,0)),""))</f>
        <v/>
      </c>
      <c r="BB529" s="61">
        <f>IF(AND(C529&lt;&gt;"",C529='Fiche prospect'!$C$4),COUNTIF($C$5:C529,C529),"")</f>
        <v/>
      </c>
    </row>
    <row r="530">
      <c r="A530" s="53" t="n"/>
      <c r="B530" s="54" t="n"/>
      <c r="C530" s="55" t="n"/>
      <c r="D530" s="55" t="n"/>
      <c r="E530" s="55" t="n"/>
      <c r="F530" s="55" t="n"/>
      <c r="G530" s="56" t="n"/>
      <c r="H530" s="57" t="n"/>
      <c r="I530" s="55" t="n"/>
      <c r="J530" s="53" t="n"/>
      <c r="K530" s="54" t="n"/>
      <c r="L530" s="55" t="n"/>
      <c r="M530" s="55" t="n"/>
      <c r="N530" s="57" t="n"/>
      <c r="O530" s="55" t="n"/>
      <c r="P530" s="56" t="n"/>
      <c r="Q530" s="55" t="n"/>
      <c r="R530" s="55" t="n"/>
      <c r="S530" s="55" t="n"/>
      <c r="T530" s="55" t="n"/>
      <c r="U530" s="55" t="n"/>
      <c r="V530" s="55" t="n"/>
      <c r="W530" s="58" t="n"/>
      <c r="X530" s="58" t="n"/>
      <c r="Y530" s="55" t="n"/>
      <c r="Z530" s="55" t="n"/>
      <c r="AA530" s="55" t="n"/>
      <c r="AB530" s="55" t="n"/>
      <c r="AC530" s="55" t="n"/>
      <c r="AD530" s="53" t="n"/>
      <c r="AE530" s="55" t="n"/>
      <c r="AF530" s="55" t="n"/>
      <c r="AG530" s="59" t="n"/>
      <c r="AH530" s="57" t="n"/>
      <c r="AI530" s="55" t="n"/>
      <c r="AJ530" s="55" t="n"/>
      <c r="AK530" s="55" t="n"/>
      <c r="AL530" s="55" t="n"/>
      <c r="AM530" s="56" t="n"/>
      <c r="AN530" s="55" t="n"/>
      <c r="AO530" s="55" t="n"/>
      <c r="AP530" s="55" t="n"/>
      <c r="AQ530" s="55" t="n"/>
      <c r="AR530" s="60">
        <f>IF(AND(C530="",E530=""),"",IF(A530="","⚠ Date manquante",IF(AND(C530="",E530&lt;&gt;"Dépense"),"⚠ Prospect manquant",IF(E530="","⚠ Action manquante",IF(AND(AU530=1,D530=""),"⚠ Canal manquant",IF(AND(W530&lt;&gt;"",COUNTIFS('Saisie'!$W$5:$W$2004,W530,'Saisie'!$C$5:$C$2004,"&lt;&gt;"&amp;C530)&gt;0),"⚠ Numéro déjà utilisé par un autre prospect",IF(AND(J530&lt;&gt;"",J530&lt;A530),"⚠ Relance avant la date de l'action",IF(A530&gt;TODAY(),"⚠ Date dans le futur","✓"))))))))</f>
        <v/>
      </c>
      <c r="AS530" s="61">
        <f>IF(AND(A530="",C530="",E530=""),"",ROW())</f>
        <v/>
      </c>
      <c r="AT530" s="61">
        <f>IF(E530&amp;F530="","",MAX(IFERROR(INDEX('Paramètres'!$J$6:$J$33,MATCH(E530,'Paramètres'!$I$6:$I$33,0)),0),IFERROR(INDEX('Paramètres'!$N$6:$N$17,MATCH(F530,'Paramètres'!$M$6:$M$17,0)),0)))</f>
        <v/>
      </c>
      <c r="AU530" s="61">
        <f>IF(E530="","",IFERROR(IF(INDEX('Paramètres'!$K$6:$K$33,MATCH(E530,'Paramètres'!$I$6:$I$33,0))="Oui",1,0),0))</f>
        <v/>
      </c>
      <c r="AV530" s="61">
        <f>IF(F530="","",IFERROR(IF(INDEX('Paramètres'!$O$6:$O$17,MATCH(F530,'Paramètres'!$M$6:$M$17,0))="Oui",1,0),0))</f>
        <v/>
      </c>
      <c r="AW530" s="62">
        <f>IF(E530="","",IF(G530&lt;&gt;"",G530,IF(OR(E530="Proposition envoyée",E530="Signature"),MAX(0,N(IFERROR(INDEX('Paramètres'!$R$6:$R$15,MATCH(IF(AL530&lt;&gt;"",AL530,IFERROR(INDEX('Prospects'!$AN$5:$AN$504,MATCH(C530,'Prospects'!$C$5:$C$504,0)),"")),'Paramètres'!$Q$6:$Q$15,0)),0))-N(P530)),0)))</f>
        <v/>
      </c>
      <c r="AX530" s="61">
        <f>IF(C530="","",IF(COUNTIF($C$5:C530,C530)=1,MAX($AX$4:AX529)+1,""))</f>
        <v/>
      </c>
      <c r="AY530" s="61">
        <f>IF(B530="","",HOUR(B530))</f>
        <v/>
      </c>
      <c r="AZ530" s="61">
        <f>IF(A530="","",MOD(A530-2,7)+1)</f>
        <v/>
      </c>
      <c r="BA530" s="60">
        <f>IF(C530="","",IFERROR(INDEX('Prospects'!$N$5:$N$504,MATCH(C530,'Prospects'!$C$5:$C$504,0)),""))</f>
        <v/>
      </c>
      <c r="BB530" s="61">
        <f>IF(AND(C530&lt;&gt;"",C530='Fiche prospect'!$C$4),COUNTIF($C$5:C530,C530),"")</f>
        <v/>
      </c>
    </row>
    <row r="531">
      <c r="A531" s="53" t="n"/>
      <c r="B531" s="54" t="n"/>
      <c r="C531" s="55" t="n"/>
      <c r="D531" s="55" t="n"/>
      <c r="E531" s="55" t="n"/>
      <c r="F531" s="55" t="n"/>
      <c r="G531" s="56" t="n"/>
      <c r="H531" s="57" t="n"/>
      <c r="I531" s="55" t="n"/>
      <c r="J531" s="53" t="n"/>
      <c r="K531" s="54" t="n"/>
      <c r="L531" s="55" t="n"/>
      <c r="M531" s="55" t="n"/>
      <c r="N531" s="57" t="n"/>
      <c r="O531" s="55" t="n"/>
      <c r="P531" s="56" t="n"/>
      <c r="Q531" s="55" t="n"/>
      <c r="R531" s="55" t="n"/>
      <c r="S531" s="55" t="n"/>
      <c r="T531" s="55" t="n"/>
      <c r="U531" s="55" t="n"/>
      <c r="V531" s="55" t="n"/>
      <c r="W531" s="58" t="n"/>
      <c r="X531" s="58" t="n"/>
      <c r="Y531" s="55" t="n"/>
      <c r="Z531" s="55" t="n"/>
      <c r="AA531" s="55" t="n"/>
      <c r="AB531" s="55" t="n"/>
      <c r="AC531" s="55" t="n"/>
      <c r="AD531" s="53" t="n"/>
      <c r="AE531" s="55" t="n"/>
      <c r="AF531" s="55" t="n"/>
      <c r="AG531" s="59" t="n"/>
      <c r="AH531" s="57" t="n"/>
      <c r="AI531" s="55" t="n"/>
      <c r="AJ531" s="55" t="n"/>
      <c r="AK531" s="55" t="n"/>
      <c r="AL531" s="55" t="n"/>
      <c r="AM531" s="56" t="n"/>
      <c r="AN531" s="55" t="n"/>
      <c r="AO531" s="55" t="n"/>
      <c r="AP531" s="55" t="n"/>
      <c r="AQ531" s="55" t="n"/>
      <c r="AR531" s="60">
        <f>IF(AND(C531="",E531=""),"",IF(A531="","⚠ Date manquante",IF(AND(C531="",E531&lt;&gt;"Dépense"),"⚠ Prospect manquant",IF(E531="","⚠ Action manquante",IF(AND(AU531=1,D531=""),"⚠ Canal manquant",IF(AND(W531&lt;&gt;"",COUNTIFS('Saisie'!$W$5:$W$2004,W531,'Saisie'!$C$5:$C$2004,"&lt;&gt;"&amp;C531)&gt;0),"⚠ Numéro déjà utilisé par un autre prospect",IF(AND(J531&lt;&gt;"",J531&lt;A531),"⚠ Relance avant la date de l'action",IF(A531&gt;TODAY(),"⚠ Date dans le futur","✓"))))))))</f>
        <v/>
      </c>
      <c r="AS531" s="61">
        <f>IF(AND(A531="",C531="",E531=""),"",ROW())</f>
        <v/>
      </c>
      <c r="AT531" s="61">
        <f>IF(E531&amp;F531="","",MAX(IFERROR(INDEX('Paramètres'!$J$6:$J$33,MATCH(E531,'Paramètres'!$I$6:$I$33,0)),0),IFERROR(INDEX('Paramètres'!$N$6:$N$17,MATCH(F531,'Paramètres'!$M$6:$M$17,0)),0)))</f>
        <v/>
      </c>
      <c r="AU531" s="61">
        <f>IF(E531="","",IFERROR(IF(INDEX('Paramètres'!$K$6:$K$33,MATCH(E531,'Paramètres'!$I$6:$I$33,0))="Oui",1,0),0))</f>
        <v/>
      </c>
      <c r="AV531" s="61">
        <f>IF(F531="","",IFERROR(IF(INDEX('Paramètres'!$O$6:$O$17,MATCH(F531,'Paramètres'!$M$6:$M$17,0))="Oui",1,0),0))</f>
        <v/>
      </c>
      <c r="AW531" s="62">
        <f>IF(E531="","",IF(G531&lt;&gt;"",G531,IF(OR(E531="Proposition envoyée",E531="Signature"),MAX(0,N(IFERROR(INDEX('Paramètres'!$R$6:$R$15,MATCH(IF(AL531&lt;&gt;"",AL531,IFERROR(INDEX('Prospects'!$AN$5:$AN$504,MATCH(C531,'Prospects'!$C$5:$C$504,0)),"")),'Paramètres'!$Q$6:$Q$15,0)),0))-N(P531)),0)))</f>
        <v/>
      </c>
      <c r="AX531" s="61">
        <f>IF(C531="","",IF(COUNTIF($C$5:C531,C531)=1,MAX($AX$4:AX530)+1,""))</f>
        <v/>
      </c>
      <c r="AY531" s="61">
        <f>IF(B531="","",HOUR(B531))</f>
        <v/>
      </c>
      <c r="AZ531" s="61">
        <f>IF(A531="","",MOD(A531-2,7)+1)</f>
        <v/>
      </c>
      <c r="BA531" s="60">
        <f>IF(C531="","",IFERROR(INDEX('Prospects'!$N$5:$N$504,MATCH(C531,'Prospects'!$C$5:$C$504,0)),""))</f>
        <v/>
      </c>
      <c r="BB531" s="61">
        <f>IF(AND(C531&lt;&gt;"",C531='Fiche prospect'!$C$4),COUNTIF($C$5:C531,C531),"")</f>
        <v/>
      </c>
    </row>
    <row r="532">
      <c r="A532" s="53" t="n"/>
      <c r="B532" s="54" t="n"/>
      <c r="C532" s="55" t="n"/>
      <c r="D532" s="55" t="n"/>
      <c r="E532" s="55" t="n"/>
      <c r="F532" s="55" t="n"/>
      <c r="G532" s="56" t="n"/>
      <c r="H532" s="57" t="n"/>
      <c r="I532" s="55" t="n"/>
      <c r="J532" s="53" t="n"/>
      <c r="K532" s="54" t="n"/>
      <c r="L532" s="55" t="n"/>
      <c r="M532" s="55" t="n"/>
      <c r="N532" s="57" t="n"/>
      <c r="O532" s="55" t="n"/>
      <c r="P532" s="56" t="n"/>
      <c r="Q532" s="55" t="n"/>
      <c r="R532" s="55" t="n"/>
      <c r="S532" s="55" t="n"/>
      <c r="T532" s="55" t="n"/>
      <c r="U532" s="55" t="n"/>
      <c r="V532" s="55" t="n"/>
      <c r="W532" s="58" t="n"/>
      <c r="X532" s="58" t="n"/>
      <c r="Y532" s="55" t="n"/>
      <c r="Z532" s="55" t="n"/>
      <c r="AA532" s="55" t="n"/>
      <c r="AB532" s="55" t="n"/>
      <c r="AC532" s="55" t="n"/>
      <c r="AD532" s="53" t="n"/>
      <c r="AE532" s="55" t="n"/>
      <c r="AF532" s="55" t="n"/>
      <c r="AG532" s="59" t="n"/>
      <c r="AH532" s="57" t="n"/>
      <c r="AI532" s="55" t="n"/>
      <c r="AJ532" s="55" t="n"/>
      <c r="AK532" s="55" t="n"/>
      <c r="AL532" s="55" t="n"/>
      <c r="AM532" s="56" t="n"/>
      <c r="AN532" s="55" t="n"/>
      <c r="AO532" s="55" t="n"/>
      <c r="AP532" s="55" t="n"/>
      <c r="AQ532" s="55" t="n"/>
      <c r="AR532" s="60">
        <f>IF(AND(C532="",E532=""),"",IF(A532="","⚠ Date manquante",IF(AND(C532="",E532&lt;&gt;"Dépense"),"⚠ Prospect manquant",IF(E532="","⚠ Action manquante",IF(AND(AU532=1,D532=""),"⚠ Canal manquant",IF(AND(W532&lt;&gt;"",COUNTIFS('Saisie'!$W$5:$W$2004,W532,'Saisie'!$C$5:$C$2004,"&lt;&gt;"&amp;C532)&gt;0),"⚠ Numéro déjà utilisé par un autre prospect",IF(AND(J532&lt;&gt;"",J532&lt;A532),"⚠ Relance avant la date de l'action",IF(A532&gt;TODAY(),"⚠ Date dans le futur","✓"))))))))</f>
        <v/>
      </c>
      <c r="AS532" s="61">
        <f>IF(AND(A532="",C532="",E532=""),"",ROW())</f>
        <v/>
      </c>
      <c r="AT532" s="61">
        <f>IF(E532&amp;F532="","",MAX(IFERROR(INDEX('Paramètres'!$J$6:$J$33,MATCH(E532,'Paramètres'!$I$6:$I$33,0)),0),IFERROR(INDEX('Paramètres'!$N$6:$N$17,MATCH(F532,'Paramètres'!$M$6:$M$17,0)),0)))</f>
        <v/>
      </c>
      <c r="AU532" s="61">
        <f>IF(E532="","",IFERROR(IF(INDEX('Paramètres'!$K$6:$K$33,MATCH(E532,'Paramètres'!$I$6:$I$33,0))="Oui",1,0),0))</f>
        <v/>
      </c>
      <c r="AV532" s="61">
        <f>IF(F532="","",IFERROR(IF(INDEX('Paramètres'!$O$6:$O$17,MATCH(F532,'Paramètres'!$M$6:$M$17,0))="Oui",1,0),0))</f>
        <v/>
      </c>
      <c r="AW532" s="62">
        <f>IF(E532="","",IF(G532&lt;&gt;"",G532,IF(OR(E532="Proposition envoyée",E532="Signature"),MAX(0,N(IFERROR(INDEX('Paramètres'!$R$6:$R$15,MATCH(IF(AL532&lt;&gt;"",AL532,IFERROR(INDEX('Prospects'!$AN$5:$AN$504,MATCH(C532,'Prospects'!$C$5:$C$504,0)),"")),'Paramètres'!$Q$6:$Q$15,0)),0))-N(P532)),0)))</f>
        <v/>
      </c>
      <c r="AX532" s="61">
        <f>IF(C532="","",IF(COUNTIF($C$5:C532,C532)=1,MAX($AX$4:AX531)+1,""))</f>
        <v/>
      </c>
      <c r="AY532" s="61">
        <f>IF(B532="","",HOUR(B532))</f>
        <v/>
      </c>
      <c r="AZ532" s="61">
        <f>IF(A532="","",MOD(A532-2,7)+1)</f>
        <v/>
      </c>
      <c r="BA532" s="60">
        <f>IF(C532="","",IFERROR(INDEX('Prospects'!$N$5:$N$504,MATCH(C532,'Prospects'!$C$5:$C$504,0)),""))</f>
        <v/>
      </c>
      <c r="BB532" s="61">
        <f>IF(AND(C532&lt;&gt;"",C532='Fiche prospect'!$C$4),COUNTIF($C$5:C532,C532),"")</f>
        <v/>
      </c>
    </row>
    <row r="533">
      <c r="A533" s="53" t="n"/>
      <c r="B533" s="54" t="n"/>
      <c r="C533" s="55" t="n"/>
      <c r="D533" s="55" t="n"/>
      <c r="E533" s="55" t="n"/>
      <c r="F533" s="55" t="n"/>
      <c r="G533" s="56" t="n"/>
      <c r="H533" s="57" t="n"/>
      <c r="I533" s="55" t="n"/>
      <c r="J533" s="53" t="n"/>
      <c r="K533" s="54" t="n"/>
      <c r="L533" s="55" t="n"/>
      <c r="M533" s="55" t="n"/>
      <c r="N533" s="57" t="n"/>
      <c r="O533" s="55" t="n"/>
      <c r="P533" s="56" t="n"/>
      <c r="Q533" s="55" t="n"/>
      <c r="R533" s="55" t="n"/>
      <c r="S533" s="55" t="n"/>
      <c r="T533" s="55" t="n"/>
      <c r="U533" s="55" t="n"/>
      <c r="V533" s="55" t="n"/>
      <c r="W533" s="58" t="n"/>
      <c r="X533" s="58" t="n"/>
      <c r="Y533" s="55" t="n"/>
      <c r="Z533" s="55" t="n"/>
      <c r="AA533" s="55" t="n"/>
      <c r="AB533" s="55" t="n"/>
      <c r="AC533" s="55" t="n"/>
      <c r="AD533" s="53" t="n"/>
      <c r="AE533" s="55" t="n"/>
      <c r="AF533" s="55" t="n"/>
      <c r="AG533" s="59" t="n"/>
      <c r="AH533" s="57" t="n"/>
      <c r="AI533" s="55" t="n"/>
      <c r="AJ533" s="55" t="n"/>
      <c r="AK533" s="55" t="n"/>
      <c r="AL533" s="55" t="n"/>
      <c r="AM533" s="56" t="n"/>
      <c r="AN533" s="55" t="n"/>
      <c r="AO533" s="55" t="n"/>
      <c r="AP533" s="55" t="n"/>
      <c r="AQ533" s="55" t="n"/>
      <c r="AR533" s="60">
        <f>IF(AND(C533="",E533=""),"",IF(A533="","⚠ Date manquante",IF(AND(C533="",E533&lt;&gt;"Dépense"),"⚠ Prospect manquant",IF(E533="","⚠ Action manquante",IF(AND(AU533=1,D533=""),"⚠ Canal manquant",IF(AND(W533&lt;&gt;"",COUNTIFS('Saisie'!$W$5:$W$2004,W533,'Saisie'!$C$5:$C$2004,"&lt;&gt;"&amp;C533)&gt;0),"⚠ Numéro déjà utilisé par un autre prospect",IF(AND(J533&lt;&gt;"",J533&lt;A533),"⚠ Relance avant la date de l'action",IF(A533&gt;TODAY(),"⚠ Date dans le futur","✓"))))))))</f>
        <v/>
      </c>
      <c r="AS533" s="61">
        <f>IF(AND(A533="",C533="",E533=""),"",ROW())</f>
        <v/>
      </c>
      <c r="AT533" s="61">
        <f>IF(E533&amp;F533="","",MAX(IFERROR(INDEX('Paramètres'!$J$6:$J$33,MATCH(E533,'Paramètres'!$I$6:$I$33,0)),0),IFERROR(INDEX('Paramètres'!$N$6:$N$17,MATCH(F533,'Paramètres'!$M$6:$M$17,0)),0)))</f>
        <v/>
      </c>
      <c r="AU533" s="61">
        <f>IF(E533="","",IFERROR(IF(INDEX('Paramètres'!$K$6:$K$33,MATCH(E533,'Paramètres'!$I$6:$I$33,0))="Oui",1,0),0))</f>
        <v/>
      </c>
      <c r="AV533" s="61">
        <f>IF(F533="","",IFERROR(IF(INDEX('Paramètres'!$O$6:$O$17,MATCH(F533,'Paramètres'!$M$6:$M$17,0))="Oui",1,0),0))</f>
        <v/>
      </c>
      <c r="AW533" s="62">
        <f>IF(E533="","",IF(G533&lt;&gt;"",G533,IF(OR(E533="Proposition envoyée",E533="Signature"),MAX(0,N(IFERROR(INDEX('Paramètres'!$R$6:$R$15,MATCH(IF(AL533&lt;&gt;"",AL533,IFERROR(INDEX('Prospects'!$AN$5:$AN$504,MATCH(C533,'Prospects'!$C$5:$C$504,0)),"")),'Paramètres'!$Q$6:$Q$15,0)),0))-N(P533)),0)))</f>
        <v/>
      </c>
      <c r="AX533" s="61">
        <f>IF(C533="","",IF(COUNTIF($C$5:C533,C533)=1,MAX($AX$4:AX532)+1,""))</f>
        <v/>
      </c>
      <c r="AY533" s="61">
        <f>IF(B533="","",HOUR(B533))</f>
        <v/>
      </c>
      <c r="AZ533" s="61">
        <f>IF(A533="","",MOD(A533-2,7)+1)</f>
        <v/>
      </c>
      <c r="BA533" s="60">
        <f>IF(C533="","",IFERROR(INDEX('Prospects'!$N$5:$N$504,MATCH(C533,'Prospects'!$C$5:$C$504,0)),""))</f>
        <v/>
      </c>
      <c r="BB533" s="61">
        <f>IF(AND(C533&lt;&gt;"",C533='Fiche prospect'!$C$4),COUNTIF($C$5:C533,C533),"")</f>
        <v/>
      </c>
    </row>
    <row r="534">
      <c r="A534" s="53" t="n"/>
      <c r="B534" s="54" t="n"/>
      <c r="C534" s="55" t="n"/>
      <c r="D534" s="55" t="n"/>
      <c r="E534" s="55" t="n"/>
      <c r="F534" s="55" t="n"/>
      <c r="G534" s="56" t="n"/>
      <c r="H534" s="57" t="n"/>
      <c r="I534" s="55" t="n"/>
      <c r="J534" s="53" t="n"/>
      <c r="K534" s="54" t="n"/>
      <c r="L534" s="55" t="n"/>
      <c r="M534" s="55" t="n"/>
      <c r="N534" s="57" t="n"/>
      <c r="O534" s="55" t="n"/>
      <c r="P534" s="56" t="n"/>
      <c r="Q534" s="55" t="n"/>
      <c r="R534" s="55" t="n"/>
      <c r="S534" s="55" t="n"/>
      <c r="T534" s="55" t="n"/>
      <c r="U534" s="55" t="n"/>
      <c r="V534" s="55" t="n"/>
      <c r="W534" s="58" t="n"/>
      <c r="X534" s="58" t="n"/>
      <c r="Y534" s="55" t="n"/>
      <c r="Z534" s="55" t="n"/>
      <c r="AA534" s="55" t="n"/>
      <c r="AB534" s="55" t="n"/>
      <c r="AC534" s="55" t="n"/>
      <c r="AD534" s="53" t="n"/>
      <c r="AE534" s="55" t="n"/>
      <c r="AF534" s="55" t="n"/>
      <c r="AG534" s="59" t="n"/>
      <c r="AH534" s="57" t="n"/>
      <c r="AI534" s="55" t="n"/>
      <c r="AJ534" s="55" t="n"/>
      <c r="AK534" s="55" t="n"/>
      <c r="AL534" s="55" t="n"/>
      <c r="AM534" s="56" t="n"/>
      <c r="AN534" s="55" t="n"/>
      <c r="AO534" s="55" t="n"/>
      <c r="AP534" s="55" t="n"/>
      <c r="AQ534" s="55" t="n"/>
      <c r="AR534" s="60">
        <f>IF(AND(C534="",E534=""),"",IF(A534="","⚠ Date manquante",IF(AND(C534="",E534&lt;&gt;"Dépense"),"⚠ Prospect manquant",IF(E534="","⚠ Action manquante",IF(AND(AU534=1,D534=""),"⚠ Canal manquant",IF(AND(W534&lt;&gt;"",COUNTIFS('Saisie'!$W$5:$W$2004,W534,'Saisie'!$C$5:$C$2004,"&lt;&gt;"&amp;C534)&gt;0),"⚠ Numéro déjà utilisé par un autre prospect",IF(AND(J534&lt;&gt;"",J534&lt;A534),"⚠ Relance avant la date de l'action",IF(A534&gt;TODAY(),"⚠ Date dans le futur","✓"))))))))</f>
        <v/>
      </c>
      <c r="AS534" s="61">
        <f>IF(AND(A534="",C534="",E534=""),"",ROW())</f>
        <v/>
      </c>
      <c r="AT534" s="61">
        <f>IF(E534&amp;F534="","",MAX(IFERROR(INDEX('Paramètres'!$J$6:$J$33,MATCH(E534,'Paramètres'!$I$6:$I$33,0)),0),IFERROR(INDEX('Paramètres'!$N$6:$N$17,MATCH(F534,'Paramètres'!$M$6:$M$17,0)),0)))</f>
        <v/>
      </c>
      <c r="AU534" s="61">
        <f>IF(E534="","",IFERROR(IF(INDEX('Paramètres'!$K$6:$K$33,MATCH(E534,'Paramètres'!$I$6:$I$33,0))="Oui",1,0),0))</f>
        <v/>
      </c>
      <c r="AV534" s="61">
        <f>IF(F534="","",IFERROR(IF(INDEX('Paramètres'!$O$6:$O$17,MATCH(F534,'Paramètres'!$M$6:$M$17,0))="Oui",1,0),0))</f>
        <v/>
      </c>
      <c r="AW534" s="62">
        <f>IF(E534="","",IF(G534&lt;&gt;"",G534,IF(OR(E534="Proposition envoyée",E534="Signature"),MAX(0,N(IFERROR(INDEX('Paramètres'!$R$6:$R$15,MATCH(IF(AL534&lt;&gt;"",AL534,IFERROR(INDEX('Prospects'!$AN$5:$AN$504,MATCH(C534,'Prospects'!$C$5:$C$504,0)),"")),'Paramètres'!$Q$6:$Q$15,0)),0))-N(P534)),0)))</f>
        <v/>
      </c>
      <c r="AX534" s="61">
        <f>IF(C534="","",IF(COUNTIF($C$5:C534,C534)=1,MAX($AX$4:AX533)+1,""))</f>
        <v/>
      </c>
      <c r="AY534" s="61">
        <f>IF(B534="","",HOUR(B534))</f>
        <v/>
      </c>
      <c r="AZ534" s="61">
        <f>IF(A534="","",MOD(A534-2,7)+1)</f>
        <v/>
      </c>
      <c r="BA534" s="60">
        <f>IF(C534="","",IFERROR(INDEX('Prospects'!$N$5:$N$504,MATCH(C534,'Prospects'!$C$5:$C$504,0)),""))</f>
        <v/>
      </c>
      <c r="BB534" s="61">
        <f>IF(AND(C534&lt;&gt;"",C534='Fiche prospect'!$C$4),COUNTIF($C$5:C534,C534),"")</f>
        <v/>
      </c>
    </row>
    <row r="535">
      <c r="A535" s="53" t="n"/>
      <c r="B535" s="54" t="n"/>
      <c r="C535" s="55" t="n"/>
      <c r="D535" s="55" t="n"/>
      <c r="E535" s="55" t="n"/>
      <c r="F535" s="55" t="n"/>
      <c r="G535" s="56" t="n"/>
      <c r="H535" s="57" t="n"/>
      <c r="I535" s="55" t="n"/>
      <c r="J535" s="53" t="n"/>
      <c r="K535" s="54" t="n"/>
      <c r="L535" s="55" t="n"/>
      <c r="M535" s="55" t="n"/>
      <c r="N535" s="57" t="n"/>
      <c r="O535" s="55" t="n"/>
      <c r="P535" s="56" t="n"/>
      <c r="Q535" s="55" t="n"/>
      <c r="R535" s="55" t="n"/>
      <c r="S535" s="55" t="n"/>
      <c r="T535" s="55" t="n"/>
      <c r="U535" s="55" t="n"/>
      <c r="V535" s="55" t="n"/>
      <c r="W535" s="58" t="n"/>
      <c r="X535" s="58" t="n"/>
      <c r="Y535" s="55" t="n"/>
      <c r="Z535" s="55" t="n"/>
      <c r="AA535" s="55" t="n"/>
      <c r="AB535" s="55" t="n"/>
      <c r="AC535" s="55" t="n"/>
      <c r="AD535" s="53" t="n"/>
      <c r="AE535" s="55" t="n"/>
      <c r="AF535" s="55" t="n"/>
      <c r="AG535" s="59" t="n"/>
      <c r="AH535" s="57" t="n"/>
      <c r="AI535" s="55" t="n"/>
      <c r="AJ535" s="55" t="n"/>
      <c r="AK535" s="55" t="n"/>
      <c r="AL535" s="55" t="n"/>
      <c r="AM535" s="56" t="n"/>
      <c r="AN535" s="55" t="n"/>
      <c r="AO535" s="55" t="n"/>
      <c r="AP535" s="55" t="n"/>
      <c r="AQ535" s="55" t="n"/>
      <c r="AR535" s="60">
        <f>IF(AND(C535="",E535=""),"",IF(A535="","⚠ Date manquante",IF(AND(C535="",E535&lt;&gt;"Dépense"),"⚠ Prospect manquant",IF(E535="","⚠ Action manquante",IF(AND(AU535=1,D535=""),"⚠ Canal manquant",IF(AND(W535&lt;&gt;"",COUNTIFS('Saisie'!$W$5:$W$2004,W535,'Saisie'!$C$5:$C$2004,"&lt;&gt;"&amp;C535)&gt;0),"⚠ Numéro déjà utilisé par un autre prospect",IF(AND(J535&lt;&gt;"",J535&lt;A535),"⚠ Relance avant la date de l'action",IF(A535&gt;TODAY(),"⚠ Date dans le futur","✓"))))))))</f>
        <v/>
      </c>
      <c r="AS535" s="61">
        <f>IF(AND(A535="",C535="",E535=""),"",ROW())</f>
        <v/>
      </c>
      <c r="AT535" s="61">
        <f>IF(E535&amp;F535="","",MAX(IFERROR(INDEX('Paramètres'!$J$6:$J$33,MATCH(E535,'Paramètres'!$I$6:$I$33,0)),0),IFERROR(INDEX('Paramètres'!$N$6:$N$17,MATCH(F535,'Paramètres'!$M$6:$M$17,0)),0)))</f>
        <v/>
      </c>
      <c r="AU535" s="61">
        <f>IF(E535="","",IFERROR(IF(INDEX('Paramètres'!$K$6:$K$33,MATCH(E535,'Paramètres'!$I$6:$I$33,0))="Oui",1,0),0))</f>
        <v/>
      </c>
      <c r="AV535" s="61">
        <f>IF(F535="","",IFERROR(IF(INDEX('Paramètres'!$O$6:$O$17,MATCH(F535,'Paramètres'!$M$6:$M$17,0))="Oui",1,0),0))</f>
        <v/>
      </c>
      <c r="AW535" s="62">
        <f>IF(E535="","",IF(G535&lt;&gt;"",G535,IF(OR(E535="Proposition envoyée",E535="Signature"),MAX(0,N(IFERROR(INDEX('Paramètres'!$R$6:$R$15,MATCH(IF(AL535&lt;&gt;"",AL535,IFERROR(INDEX('Prospects'!$AN$5:$AN$504,MATCH(C535,'Prospects'!$C$5:$C$504,0)),"")),'Paramètres'!$Q$6:$Q$15,0)),0))-N(P535)),0)))</f>
        <v/>
      </c>
      <c r="AX535" s="61">
        <f>IF(C535="","",IF(COUNTIF($C$5:C535,C535)=1,MAX($AX$4:AX534)+1,""))</f>
        <v/>
      </c>
      <c r="AY535" s="61">
        <f>IF(B535="","",HOUR(B535))</f>
        <v/>
      </c>
      <c r="AZ535" s="61">
        <f>IF(A535="","",MOD(A535-2,7)+1)</f>
        <v/>
      </c>
      <c r="BA535" s="60">
        <f>IF(C535="","",IFERROR(INDEX('Prospects'!$N$5:$N$504,MATCH(C535,'Prospects'!$C$5:$C$504,0)),""))</f>
        <v/>
      </c>
      <c r="BB535" s="61">
        <f>IF(AND(C535&lt;&gt;"",C535='Fiche prospect'!$C$4),COUNTIF($C$5:C535,C535),"")</f>
        <v/>
      </c>
    </row>
    <row r="536">
      <c r="A536" s="53" t="n"/>
      <c r="B536" s="54" t="n"/>
      <c r="C536" s="55" t="n"/>
      <c r="D536" s="55" t="n"/>
      <c r="E536" s="55" t="n"/>
      <c r="F536" s="55" t="n"/>
      <c r="G536" s="56" t="n"/>
      <c r="H536" s="57" t="n"/>
      <c r="I536" s="55" t="n"/>
      <c r="J536" s="53" t="n"/>
      <c r="K536" s="54" t="n"/>
      <c r="L536" s="55" t="n"/>
      <c r="M536" s="55" t="n"/>
      <c r="N536" s="57" t="n"/>
      <c r="O536" s="55" t="n"/>
      <c r="P536" s="56" t="n"/>
      <c r="Q536" s="55" t="n"/>
      <c r="R536" s="55" t="n"/>
      <c r="S536" s="55" t="n"/>
      <c r="T536" s="55" t="n"/>
      <c r="U536" s="55" t="n"/>
      <c r="V536" s="55" t="n"/>
      <c r="W536" s="58" t="n"/>
      <c r="X536" s="58" t="n"/>
      <c r="Y536" s="55" t="n"/>
      <c r="Z536" s="55" t="n"/>
      <c r="AA536" s="55" t="n"/>
      <c r="AB536" s="55" t="n"/>
      <c r="AC536" s="55" t="n"/>
      <c r="AD536" s="53" t="n"/>
      <c r="AE536" s="55" t="n"/>
      <c r="AF536" s="55" t="n"/>
      <c r="AG536" s="59" t="n"/>
      <c r="AH536" s="57" t="n"/>
      <c r="AI536" s="55" t="n"/>
      <c r="AJ536" s="55" t="n"/>
      <c r="AK536" s="55" t="n"/>
      <c r="AL536" s="55" t="n"/>
      <c r="AM536" s="56" t="n"/>
      <c r="AN536" s="55" t="n"/>
      <c r="AO536" s="55" t="n"/>
      <c r="AP536" s="55" t="n"/>
      <c r="AQ536" s="55" t="n"/>
      <c r="AR536" s="60">
        <f>IF(AND(C536="",E536=""),"",IF(A536="","⚠ Date manquante",IF(AND(C536="",E536&lt;&gt;"Dépense"),"⚠ Prospect manquant",IF(E536="","⚠ Action manquante",IF(AND(AU536=1,D536=""),"⚠ Canal manquant",IF(AND(W536&lt;&gt;"",COUNTIFS('Saisie'!$W$5:$W$2004,W536,'Saisie'!$C$5:$C$2004,"&lt;&gt;"&amp;C536)&gt;0),"⚠ Numéro déjà utilisé par un autre prospect",IF(AND(J536&lt;&gt;"",J536&lt;A536),"⚠ Relance avant la date de l'action",IF(A536&gt;TODAY(),"⚠ Date dans le futur","✓"))))))))</f>
        <v/>
      </c>
      <c r="AS536" s="61">
        <f>IF(AND(A536="",C536="",E536=""),"",ROW())</f>
        <v/>
      </c>
      <c r="AT536" s="61">
        <f>IF(E536&amp;F536="","",MAX(IFERROR(INDEX('Paramètres'!$J$6:$J$33,MATCH(E536,'Paramètres'!$I$6:$I$33,0)),0),IFERROR(INDEX('Paramètres'!$N$6:$N$17,MATCH(F536,'Paramètres'!$M$6:$M$17,0)),0)))</f>
        <v/>
      </c>
      <c r="AU536" s="61">
        <f>IF(E536="","",IFERROR(IF(INDEX('Paramètres'!$K$6:$K$33,MATCH(E536,'Paramètres'!$I$6:$I$33,0))="Oui",1,0),0))</f>
        <v/>
      </c>
      <c r="AV536" s="61">
        <f>IF(F536="","",IFERROR(IF(INDEX('Paramètres'!$O$6:$O$17,MATCH(F536,'Paramètres'!$M$6:$M$17,0))="Oui",1,0),0))</f>
        <v/>
      </c>
      <c r="AW536" s="62">
        <f>IF(E536="","",IF(G536&lt;&gt;"",G536,IF(OR(E536="Proposition envoyée",E536="Signature"),MAX(0,N(IFERROR(INDEX('Paramètres'!$R$6:$R$15,MATCH(IF(AL536&lt;&gt;"",AL536,IFERROR(INDEX('Prospects'!$AN$5:$AN$504,MATCH(C536,'Prospects'!$C$5:$C$504,0)),"")),'Paramètres'!$Q$6:$Q$15,0)),0))-N(P536)),0)))</f>
        <v/>
      </c>
      <c r="AX536" s="61">
        <f>IF(C536="","",IF(COUNTIF($C$5:C536,C536)=1,MAX($AX$4:AX535)+1,""))</f>
        <v/>
      </c>
      <c r="AY536" s="61">
        <f>IF(B536="","",HOUR(B536))</f>
        <v/>
      </c>
      <c r="AZ536" s="61">
        <f>IF(A536="","",MOD(A536-2,7)+1)</f>
        <v/>
      </c>
      <c r="BA536" s="60">
        <f>IF(C536="","",IFERROR(INDEX('Prospects'!$N$5:$N$504,MATCH(C536,'Prospects'!$C$5:$C$504,0)),""))</f>
        <v/>
      </c>
      <c r="BB536" s="61">
        <f>IF(AND(C536&lt;&gt;"",C536='Fiche prospect'!$C$4),COUNTIF($C$5:C536,C536),"")</f>
        <v/>
      </c>
    </row>
    <row r="537">
      <c r="A537" s="53" t="n"/>
      <c r="B537" s="54" t="n"/>
      <c r="C537" s="55" t="n"/>
      <c r="D537" s="55" t="n"/>
      <c r="E537" s="55" t="n"/>
      <c r="F537" s="55" t="n"/>
      <c r="G537" s="56" t="n"/>
      <c r="H537" s="57" t="n"/>
      <c r="I537" s="55" t="n"/>
      <c r="J537" s="53" t="n"/>
      <c r="K537" s="54" t="n"/>
      <c r="L537" s="55" t="n"/>
      <c r="M537" s="55" t="n"/>
      <c r="N537" s="57" t="n"/>
      <c r="O537" s="55" t="n"/>
      <c r="P537" s="56" t="n"/>
      <c r="Q537" s="55" t="n"/>
      <c r="R537" s="55" t="n"/>
      <c r="S537" s="55" t="n"/>
      <c r="T537" s="55" t="n"/>
      <c r="U537" s="55" t="n"/>
      <c r="V537" s="55" t="n"/>
      <c r="W537" s="58" t="n"/>
      <c r="X537" s="58" t="n"/>
      <c r="Y537" s="55" t="n"/>
      <c r="Z537" s="55" t="n"/>
      <c r="AA537" s="55" t="n"/>
      <c r="AB537" s="55" t="n"/>
      <c r="AC537" s="55" t="n"/>
      <c r="AD537" s="53" t="n"/>
      <c r="AE537" s="55" t="n"/>
      <c r="AF537" s="55" t="n"/>
      <c r="AG537" s="59" t="n"/>
      <c r="AH537" s="57" t="n"/>
      <c r="AI537" s="55" t="n"/>
      <c r="AJ537" s="55" t="n"/>
      <c r="AK537" s="55" t="n"/>
      <c r="AL537" s="55" t="n"/>
      <c r="AM537" s="56" t="n"/>
      <c r="AN537" s="55" t="n"/>
      <c r="AO537" s="55" t="n"/>
      <c r="AP537" s="55" t="n"/>
      <c r="AQ537" s="55" t="n"/>
      <c r="AR537" s="60">
        <f>IF(AND(C537="",E537=""),"",IF(A537="","⚠ Date manquante",IF(AND(C537="",E537&lt;&gt;"Dépense"),"⚠ Prospect manquant",IF(E537="","⚠ Action manquante",IF(AND(AU537=1,D537=""),"⚠ Canal manquant",IF(AND(W537&lt;&gt;"",COUNTIFS('Saisie'!$W$5:$W$2004,W537,'Saisie'!$C$5:$C$2004,"&lt;&gt;"&amp;C537)&gt;0),"⚠ Numéro déjà utilisé par un autre prospect",IF(AND(J537&lt;&gt;"",J537&lt;A537),"⚠ Relance avant la date de l'action",IF(A537&gt;TODAY(),"⚠ Date dans le futur","✓"))))))))</f>
        <v/>
      </c>
      <c r="AS537" s="61">
        <f>IF(AND(A537="",C537="",E537=""),"",ROW())</f>
        <v/>
      </c>
      <c r="AT537" s="61">
        <f>IF(E537&amp;F537="","",MAX(IFERROR(INDEX('Paramètres'!$J$6:$J$33,MATCH(E537,'Paramètres'!$I$6:$I$33,0)),0),IFERROR(INDEX('Paramètres'!$N$6:$N$17,MATCH(F537,'Paramètres'!$M$6:$M$17,0)),0)))</f>
        <v/>
      </c>
      <c r="AU537" s="61">
        <f>IF(E537="","",IFERROR(IF(INDEX('Paramètres'!$K$6:$K$33,MATCH(E537,'Paramètres'!$I$6:$I$33,0))="Oui",1,0),0))</f>
        <v/>
      </c>
      <c r="AV537" s="61">
        <f>IF(F537="","",IFERROR(IF(INDEX('Paramètres'!$O$6:$O$17,MATCH(F537,'Paramètres'!$M$6:$M$17,0))="Oui",1,0),0))</f>
        <v/>
      </c>
      <c r="AW537" s="62">
        <f>IF(E537="","",IF(G537&lt;&gt;"",G537,IF(OR(E537="Proposition envoyée",E537="Signature"),MAX(0,N(IFERROR(INDEX('Paramètres'!$R$6:$R$15,MATCH(IF(AL537&lt;&gt;"",AL537,IFERROR(INDEX('Prospects'!$AN$5:$AN$504,MATCH(C537,'Prospects'!$C$5:$C$504,0)),"")),'Paramètres'!$Q$6:$Q$15,0)),0))-N(P537)),0)))</f>
        <v/>
      </c>
      <c r="AX537" s="61">
        <f>IF(C537="","",IF(COUNTIF($C$5:C537,C537)=1,MAX($AX$4:AX536)+1,""))</f>
        <v/>
      </c>
      <c r="AY537" s="61">
        <f>IF(B537="","",HOUR(B537))</f>
        <v/>
      </c>
      <c r="AZ537" s="61">
        <f>IF(A537="","",MOD(A537-2,7)+1)</f>
        <v/>
      </c>
      <c r="BA537" s="60">
        <f>IF(C537="","",IFERROR(INDEX('Prospects'!$N$5:$N$504,MATCH(C537,'Prospects'!$C$5:$C$504,0)),""))</f>
        <v/>
      </c>
      <c r="BB537" s="61">
        <f>IF(AND(C537&lt;&gt;"",C537='Fiche prospect'!$C$4),COUNTIF($C$5:C537,C537),"")</f>
        <v/>
      </c>
    </row>
    <row r="538">
      <c r="A538" s="53" t="n"/>
      <c r="B538" s="54" t="n"/>
      <c r="C538" s="55" t="n"/>
      <c r="D538" s="55" t="n"/>
      <c r="E538" s="55" t="n"/>
      <c r="F538" s="55" t="n"/>
      <c r="G538" s="56" t="n"/>
      <c r="H538" s="57" t="n"/>
      <c r="I538" s="55" t="n"/>
      <c r="J538" s="53" t="n"/>
      <c r="K538" s="54" t="n"/>
      <c r="L538" s="55" t="n"/>
      <c r="M538" s="55" t="n"/>
      <c r="N538" s="57" t="n"/>
      <c r="O538" s="55" t="n"/>
      <c r="P538" s="56" t="n"/>
      <c r="Q538" s="55" t="n"/>
      <c r="R538" s="55" t="n"/>
      <c r="S538" s="55" t="n"/>
      <c r="T538" s="55" t="n"/>
      <c r="U538" s="55" t="n"/>
      <c r="V538" s="55" t="n"/>
      <c r="W538" s="58" t="n"/>
      <c r="X538" s="58" t="n"/>
      <c r="Y538" s="55" t="n"/>
      <c r="Z538" s="55" t="n"/>
      <c r="AA538" s="55" t="n"/>
      <c r="AB538" s="55" t="n"/>
      <c r="AC538" s="55" t="n"/>
      <c r="AD538" s="53" t="n"/>
      <c r="AE538" s="55" t="n"/>
      <c r="AF538" s="55" t="n"/>
      <c r="AG538" s="59" t="n"/>
      <c r="AH538" s="57" t="n"/>
      <c r="AI538" s="55" t="n"/>
      <c r="AJ538" s="55" t="n"/>
      <c r="AK538" s="55" t="n"/>
      <c r="AL538" s="55" t="n"/>
      <c r="AM538" s="56" t="n"/>
      <c r="AN538" s="55" t="n"/>
      <c r="AO538" s="55" t="n"/>
      <c r="AP538" s="55" t="n"/>
      <c r="AQ538" s="55" t="n"/>
      <c r="AR538" s="60">
        <f>IF(AND(C538="",E538=""),"",IF(A538="","⚠ Date manquante",IF(AND(C538="",E538&lt;&gt;"Dépense"),"⚠ Prospect manquant",IF(E538="","⚠ Action manquante",IF(AND(AU538=1,D538=""),"⚠ Canal manquant",IF(AND(W538&lt;&gt;"",COUNTIFS('Saisie'!$W$5:$W$2004,W538,'Saisie'!$C$5:$C$2004,"&lt;&gt;"&amp;C538)&gt;0),"⚠ Numéro déjà utilisé par un autre prospect",IF(AND(J538&lt;&gt;"",J538&lt;A538),"⚠ Relance avant la date de l'action",IF(A538&gt;TODAY(),"⚠ Date dans le futur","✓"))))))))</f>
        <v/>
      </c>
      <c r="AS538" s="61">
        <f>IF(AND(A538="",C538="",E538=""),"",ROW())</f>
        <v/>
      </c>
      <c r="AT538" s="61">
        <f>IF(E538&amp;F538="","",MAX(IFERROR(INDEX('Paramètres'!$J$6:$J$33,MATCH(E538,'Paramètres'!$I$6:$I$33,0)),0),IFERROR(INDEX('Paramètres'!$N$6:$N$17,MATCH(F538,'Paramètres'!$M$6:$M$17,0)),0)))</f>
        <v/>
      </c>
      <c r="AU538" s="61">
        <f>IF(E538="","",IFERROR(IF(INDEX('Paramètres'!$K$6:$K$33,MATCH(E538,'Paramètres'!$I$6:$I$33,0))="Oui",1,0),0))</f>
        <v/>
      </c>
      <c r="AV538" s="61">
        <f>IF(F538="","",IFERROR(IF(INDEX('Paramètres'!$O$6:$O$17,MATCH(F538,'Paramètres'!$M$6:$M$17,0))="Oui",1,0),0))</f>
        <v/>
      </c>
      <c r="AW538" s="62">
        <f>IF(E538="","",IF(G538&lt;&gt;"",G538,IF(OR(E538="Proposition envoyée",E538="Signature"),MAX(0,N(IFERROR(INDEX('Paramètres'!$R$6:$R$15,MATCH(IF(AL538&lt;&gt;"",AL538,IFERROR(INDEX('Prospects'!$AN$5:$AN$504,MATCH(C538,'Prospects'!$C$5:$C$504,0)),"")),'Paramètres'!$Q$6:$Q$15,0)),0))-N(P538)),0)))</f>
        <v/>
      </c>
      <c r="AX538" s="61">
        <f>IF(C538="","",IF(COUNTIF($C$5:C538,C538)=1,MAX($AX$4:AX537)+1,""))</f>
        <v/>
      </c>
      <c r="AY538" s="61">
        <f>IF(B538="","",HOUR(B538))</f>
        <v/>
      </c>
      <c r="AZ538" s="61">
        <f>IF(A538="","",MOD(A538-2,7)+1)</f>
        <v/>
      </c>
      <c r="BA538" s="60">
        <f>IF(C538="","",IFERROR(INDEX('Prospects'!$N$5:$N$504,MATCH(C538,'Prospects'!$C$5:$C$504,0)),""))</f>
        <v/>
      </c>
      <c r="BB538" s="61">
        <f>IF(AND(C538&lt;&gt;"",C538='Fiche prospect'!$C$4),COUNTIF($C$5:C538,C538),"")</f>
        <v/>
      </c>
    </row>
    <row r="539">
      <c r="A539" s="53" t="n"/>
      <c r="B539" s="54" t="n"/>
      <c r="C539" s="55" t="n"/>
      <c r="D539" s="55" t="n"/>
      <c r="E539" s="55" t="n"/>
      <c r="F539" s="55" t="n"/>
      <c r="G539" s="56" t="n"/>
      <c r="H539" s="57" t="n"/>
      <c r="I539" s="55" t="n"/>
      <c r="J539" s="53" t="n"/>
      <c r="K539" s="54" t="n"/>
      <c r="L539" s="55" t="n"/>
      <c r="M539" s="55" t="n"/>
      <c r="N539" s="57" t="n"/>
      <c r="O539" s="55" t="n"/>
      <c r="P539" s="56" t="n"/>
      <c r="Q539" s="55" t="n"/>
      <c r="R539" s="55" t="n"/>
      <c r="S539" s="55" t="n"/>
      <c r="T539" s="55" t="n"/>
      <c r="U539" s="55" t="n"/>
      <c r="V539" s="55" t="n"/>
      <c r="W539" s="58" t="n"/>
      <c r="X539" s="58" t="n"/>
      <c r="Y539" s="55" t="n"/>
      <c r="Z539" s="55" t="n"/>
      <c r="AA539" s="55" t="n"/>
      <c r="AB539" s="55" t="n"/>
      <c r="AC539" s="55" t="n"/>
      <c r="AD539" s="53" t="n"/>
      <c r="AE539" s="55" t="n"/>
      <c r="AF539" s="55" t="n"/>
      <c r="AG539" s="59" t="n"/>
      <c r="AH539" s="57" t="n"/>
      <c r="AI539" s="55" t="n"/>
      <c r="AJ539" s="55" t="n"/>
      <c r="AK539" s="55" t="n"/>
      <c r="AL539" s="55" t="n"/>
      <c r="AM539" s="56" t="n"/>
      <c r="AN539" s="55" t="n"/>
      <c r="AO539" s="55" t="n"/>
      <c r="AP539" s="55" t="n"/>
      <c r="AQ539" s="55" t="n"/>
      <c r="AR539" s="60">
        <f>IF(AND(C539="",E539=""),"",IF(A539="","⚠ Date manquante",IF(AND(C539="",E539&lt;&gt;"Dépense"),"⚠ Prospect manquant",IF(E539="","⚠ Action manquante",IF(AND(AU539=1,D539=""),"⚠ Canal manquant",IF(AND(W539&lt;&gt;"",COUNTIFS('Saisie'!$W$5:$W$2004,W539,'Saisie'!$C$5:$C$2004,"&lt;&gt;"&amp;C539)&gt;0),"⚠ Numéro déjà utilisé par un autre prospect",IF(AND(J539&lt;&gt;"",J539&lt;A539),"⚠ Relance avant la date de l'action",IF(A539&gt;TODAY(),"⚠ Date dans le futur","✓"))))))))</f>
        <v/>
      </c>
      <c r="AS539" s="61">
        <f>IF(AND(A539="",C539="",E539=""),"",ROW())</f>
        <v/>
      </c>
      <c r="AT539" s="61">
        <f>IF(E539&amp;F539="","",MAX(IFERROR(INDEX('Paramètres'!$J$6:$J$33,MATCH(E539,'Paramètres'!$I$6:$I$33,0)),0),IFERROR(INDEX('Paramètres'!$N$6:$N$17,MATCH(F539,'Paramètres'!$M$6:$M$17,0)),0)))</f>
        <v/>
      </c>
      <c r="AU539" s="61">
        <f>IF(E539="","",IFERROR(IF(INDEX('Paramètres'!$K$6:$K$33,MATCH(E539,'Paramètres'!$I$6:$I$33,0))="Oui",1,0),0))</f>
        <v/>
      </c>
      <c r="AV539" s="61">
        <f>IF(F539="","",IFERROR(IF(INDEX('Paramètres'!$O$6:$O$17,MATCH(F539,'Paramètres'!$M$6:$M$17,0))="Oui",1,0),0))</f>
        <v/>
      </c>
      <c r="AW539" s="62">
        <f>IF(E539="","",IF(G539&lt;&gt;"",G539,IF(OR(E539="Proposition envoyée",E539="Signature"),MAX(0,N(IFERROR(INDEX('Paramètres'!$R$6:$R$15,MATCH(IF(AL539&lt;&gt;"",AL539,IFERROR(INDEX('Prospects'!$AN$5:$AN$504,MATCH(C539,'Prospects'!$C$5:$C$504,0)),"")),'Paramètres'!$Q$6:$Q$15,0)),0))-N(P539)),0)))</f>
        <v/>
      </c>
      <c r="AX539" s="61">
        <f>IF(C539="","",IF(COUNTIF($C$5:C539,C539)=1,MAX($AX$4:AX538)+1,""))</f>
        <v/>
      </c>
      <c r="AY539" s="61">
        <f>IF(B539="","",HOUR(B539))</f>
        <v/>
      </c>
      <c r="AZ539" s="61">
        <f>IF(A539="","",MOD(A539-2,7)+1)</f>
        <v/>
      </c>
      <c r="BA539" s="60">
        <f>IF(C539="","",IFERROR(INDEX('Prospects'!$N$5:$N$504,MATCH(C539,'Prospects'!$C$5:$C$504,0)),""))</f>
        <v/>
      </c>
      <c r="BB539" s="61">
        <f>IF(AND(C539&lt;&gt;"",C539='Fiche prospect'!$C$4),COUNTIF($C$5:C539,C539),"")</f>
        <v/>
      </c>
    </row>
    <row r="540">
      <c r="A540" s="53" t="n"/>
      <c r="B540" s="54" t="n"/>
      <c r="C540" s="55" t="n"/>
      <c r="D540" s="55" t="n"/>
      <c r="E540" s="55" t="n"/>
      <c r="F540" s="55" t="n"/>
      <c r="G540" s="56" t="n"/>
      <c r="H540" s="57" t="n"/>
      <c r="I540" s="55" t="n"/>
      <c r="J540" s="53" t="n"/>
      <c r="K540" s="54" t="n"/>
      <c r="L540" s="55" t="n"/>
      <c r="M540" s="55" t="n"/>
      <c r="N540" s="57" t="n"/>
      <c r="O540" s="55" t="n"/>
      <c r="P540" s="56" t="n"/>
      <c r="Q540" s="55" t="n"/>
      <c r="R540" s="55" t="n"/>
      <c r="S540" s="55" t="n"/>
      <c r="T540" s="55" t="n"/>
      <c r="U540" s="55" t="n"/>
      <c r="V540" s="55" t="n"/>
      <c r="W540" s="58" t="n"/>
      <c r="X540" s="58" t="n"/>
      <c r="Y540" s="55" t="n"/>
      <c r="Z540" s="55" t="n"/>
      <c r="AA540" s="55" t="n"/>
      <c r="AB540" s="55" t="n"/>
      <c r="AC540" s="55" t="n"/>
      <c r="AD540" s="53" t="n"/>
      <c r="AE540" s="55" t="n"/>
      <c r="AF540" s="55" t="n"/>
      <c r="AG540" s="59" t="n"/>
      <c r="AH540" s="57" t="n"/>
      <c r="AI540" s="55" t="n"/>
      <c r="AJ540" s="55" t="n"/>
      <c r="AK540" s="55" t="n"/>
      <c r="AL540" s="55" t="n"/>
      <c r="AM540" s="56" t="n"/>
      <c r="AN540" s="55" t="n"/>
      <c r="AO540" s="55" t="n"/>
      <c r="AP540" s="55" t="n"/>
      <c r="AQ540" s="55" t="n"/>
      <c r="AR540" s="60">
        <f>IF(AND(C540="",E540=""),"",IF(A540="","⚠ Date manquante",IF(AND(C540="",E540&lt;&gt;"Dépense"),"⚠ Prospect manquant",IF(E540="","⚠ Action manquante",IF(AND(AU540=1,D540=""),"⚠ Canal manquant",IF(AND(W540&lt;&gt;"",COUNTIFS('Saisie'!$W$5:$W$2004,W540,'Saisie'!$C$5:$C$2004,"&lt;&gt;"&amp;C540)&gt;0),"⚠ Numéro déjà utilisé par un autre prospect",IF(AND(J540&lt;&gt;"",J540&lt;A540),"⚠ Relance avant la date de l'action",IF(A540&gt;TODAY(),"⚠ Date dans le futur","✓"))))))))</f>
        <v/>
      </c>
      <c r="AS540" s="61">
        <f>IF(AND(A540="",C540="",E540=""),"",ROW())</f>
        <v/>
      </c>
      <c r="AT540" s="61">
        <f>IF(E540&amp;F540="","",MAX(IFERROR(INDEX('Paramètres'!$J$6:$J$33,MATCH(E540,'Paramètres'!$I$6:$I$33,0)),0),IFERROR(INDEX('Paramètres'!$N$6:$N$17,MATCH(F540,'Paramètres'!$M$6:$M$17,0)),0)))</f>
        <v/>
      </c>
      <c r="AU540" s="61">
        <f>IF(E540="","",IFERROR(IF(INDEX('Paramètres'!$K$6:$K$33,MATCH(E540,'Paramètres'!$I$6:$I$33,0))="Oui",1,0),0))</f>
        <v/>
      </c>
      <c r="AV540" s="61">
        <f>IF(F540="","",IFERROR(IF(INDEX('Paramètres'!$O$6:$O$17,MATCH(F540,'Paramètres'!$M$6:$M$17,0))="Oui",1,0),0))</f>
        <v/>
      </c>
      <c r="AW540" s="62">
        <f>IF(E540="","",IF(G540&lt;&gt;"",G540,IF(OR(E540="Proposition envoyée",E540="Signature"),MAX(0,N(IFERROR(INDEX('Paramètres'!$R$6:$R$15,MATCH(IF(AL540&lt;&gt;"",AL540,IFERROR(INDEX('Prospects'!$AN$5:$AN$504,MATCH(C540,'Prospects'!$C$5:$C$504,0)),"")),'Paramètres'!$Q$6:$Q$15,0)),0))-N(P540)),0)))</f>
        <v/>
      </c>
      <c r="AX540" s="61">
        <f>IF(C540="","",IF(COUNTIF($C$5:C540,C540)=1,MAX($AX$4:AX539)+1,""))</f>
        <v/>
      </c>
      <c r="AY540" s="61">
        <f>IF(B540="","",HOUR(B540))</f>
        <v/>
      </c>
      <c r="AZ540" s="61">
        <f>IF(A540="","",MOD(A540-2,7)+1)</f>
        <v/>
      </c>
      <c r="BA540" s="60">
        <f>IF(C540="","",IFERROR(INDEX('Prospects'!$N$5:$N$504,MATCH(C540,'Prospects'!$C$5:$C$504,0)),""))</f>
        <v/>
      </c>
      <c r="BB540" s="61">
        <f>IF(AND(C540&lt;&gt;"",C540='Fiche prospect'!$C$4),COUNTIF($C$5:C540,C540),"")</f>
        <v/>
      </c>
    </row>
    <row r="541">
      <c r="A541" s="53" t="n"/>
      <c r="B541" s="54" t="n"/>
      <c r="C541" s="55" t="n"/>
      <c r="D541" s="55" t="n"/>
      <c r="E541" s="55" t="n"/>
      <c r="F541" s="55" t="n"/>
      <c r="G541" s="56" t="n"/>
      <c r="H541" s="57" t="n"/>
      <c r="I541" s="55" t="n"/>
      <c r="J541" s="53" t="n"/>
      <c r="K541" s="54" t="n"/>
      <c r="L541" s="55" t="n"/>
      <c r="M541" s="55" t="n"/>
      <c r="N541" s="57" t="n"/>
      <c r="O541" s="55" t="n"/>
      <c r="P541" s="56" t="n"/>
      <c r="Q541" s="55" t="n"/>
      <c r="R541" s="55" t="n"/>
      <c r="S541" s="55" t="n"/>
      <c r="T541" s="55" t="n"/>
      <c r="U541" s="55" t="n"/>
      <c r="V541" s="55" t="n"/>
      <c r="W541" s="58" t="n"/>
      <c r="X541" s="58" t="n"/>
      <c r="Y541" s="55" t="n"/>
      <c r="Z541" s="55" t="n"/>
      <c r="AA541" s="55" t="n"/>
      <c r="AB541" s="55" t="n"/>
      <c r="AC541" s="55" t="n"/>
      <c r="AD541" s="53" t="n"/>
      <c r="AE541" s="55" t="n"/>
      <c r="AF541" s="55" t="n"/>
      <c r="AG541" s="59" t="n"/>
      <c r="AH541" s="57" t="n"/>
      <c r="AI541" s="55" t="n"/>
      <c r="AJ541" s="55" t="n"/>
      <c r="AK541" s="55" t="n"/>
      <c r="AL541" s="55" t="n"/>
      <c r="AM541" s="56" t="n"/>
      <c r="AN541" s="55" t="n"/>
      <c r="AO541" s="55" t="n"/>
      <c r="AP541" s="55" t="n"/>
      <c r="AQ541" s="55" t="n"/>
      <c r="AR541" s="60">
        <f>IF(AND(C541="",E541=""),"",IF(A541="","⚠ Date manquante",IF(AND(C541="",E541&lt;&gt;"Dépense"),"⚠ Prospect manquant",IF(E541="","⚠ Action manquante",IF(AND(AU541=1,D541=""),"⚠ Canal manquant",IF(AND(W541&lt;&gt;"",COUNTIFS('Saisie'!$W$5:$W$2004,W541,'Saisie'!$C$5:$C$2004,"&lt;&gt;"&amp;C541)&gt;0),"⚠ Numéro déjà utilisé par un autre prospect",IF(AND(J541&lt;&gt;"",J541&lt;A541),"⚠ Relance avant la date de l'action",IF(A541&gt;TODAY(),"⚠ Date dans le futur","✓"))))))))</f>
        <v/>
      </c>
      <c r="AS541" s="61">
        <f>IF(AND(A541="",C541="",E541=""),"",ROW())</f>
        <v/>
      </c>
      <c r="AT541" s="61">
        <f>IF(E541&amp;F541="","",MAX(IFERROR(INDEX('Paramètres'!$J$6:$J$33,MATCH(E541,'Paramètres'!$I$6:$I$33,0)),0),IFERROR(INDEX('Paramètres'!$N$6:$N$17,MATCH(F541,'Paramètres'!$M$6:$M$17,0)),0)))</f>
        <v/>
      </c>
      <c r="AU541" s="61">
        <f>IF(E541="","",IFERROR(IF(INDEX('Paramètres'!$K$6:$K$33,MATCH(E541,'Paramètres'!$I$6:$I$33,0))="Oui",1,0),0))</f>
        <v/>
      </c>
      <c r="AV541" s="61">
        <f>IF(F541="","",IFERROR(IF(INDEX('Paramètres'!$O$6:$O$17,MATCH(F541,'Paramètres'!$M$6:$M$17,0))="Oui",1,0),0))</f>
        <v/>
      </c>
      <c r="AW541" s="62">
        <f>IF(E541="","",IF(G541&lt;&gt;"",G541,IF(OR(E541="Proposition envoyée",E541="Signature"),MAX(0,N(IFERROR(INDEX('Paramètres'!$R$6:$R$15,MATCH(IF(AL541&lt;&gt;"",AL541,IFERROR(INDEX('Prospects'!$AN$5:$AN$504,MATCH(C541,'Prospects'!$C$5:$C$504,0)),"")),'Paramètres'!$Q$6:$Q$15,0)),0))-N(P541)),0)))</f>
        <v/>
      </c>
      <c r="AX541" s="61">
        <f>IF(C541="","",IF(COUNTIF($C$5:C541,C541)=1,MAX($AX$4:AX540)+1,""))</f>
        <v/>
      </c>
      <c r="AY541" s="61">
        <f>IF(B541="","",HOUR(B541))</f>
        <v/>
      </c>
      <c r="AZ541" s="61">
        <f>IF(A541="","",MOD(A541-2,7)+1)</f>
        <v/>
      </c>
      <c r="BA541" s="60">
        <f>IF(C541="","",IFERROR(INDEX('Prospects'!$N$5:$N$504,MATCH(C541,'Prospects'!$C$5:$C$504,0)),""))</f>
        <v/>
      </c>
      <c r="BB541" s="61">
        <f>IF(AND(C541&lt;&gt;"",C541='Fiche prospect'!$C$4),COUNTIF($C$5:C541,C541),"")</f>
        <v/>
      </c>
    </row>
    <row r="542">
      <c r="A542" s="53" t="n"/>
      <c r="B542" s="54" t="n"/>
      <c r="C542" s="55" t="n"/>
      <c r="D542" s="55" t="n"/>
      <c r="E542" s="55" t="n"/>
      <c r="F542" s="55" t="n"/>
      <c r="G542" s="56" t="n"/>
      <c r="H542" s="57" t="n"/>
      <c r="I542" s="55" t="n"/>
      <c r="J542" s="53" t="n"/>
      <c r="K542" s="54" t="n"/>
      <c r="L542" s="55" t="n"/>
      <c r="M542" s="55" t="n"/>
      <c r="N542" s="57" t="n"/>
      <c r="O542" s="55" t="n"/>
      <c r="P542" s="56" t="n"/>
      <c r="Q542" s="55" t="n"/>
      <c r="R542" s="55" t="n"/>
      <c r="S542" s="55" t="n"/>
      <c r="T542" s="55" t="n"/>
      <c r="U542" s="55" t="n"/>
      <c r="V542" s="55" t="n"/>
      <c r="W542" s="58" t="n"/>
      <c r="X542" s="58" t="n"/>
      <c r="Y542" s="55" t="n"/>
      <c r="Z542" s="55" t="n"/>
      <c r="AA542" s="55" t="n"/>
      <c r="AB542" s="55" t="n"/>
      <c r="AC542" s="55" t="n"/>
      <c r="AD542" s="53" t="n"/>
      <c r="AE542" s="55" t="n"/>
      <c r="AF542" s="55" t="n"/>
      <c r="AG542" s="59" t="n"/>
      <c r="AH542" s="57" t="n"/>
      <c r="AI542" s="55" t="n"/>
      <c r="AJ542" s="55" t="n"/>
      <c r="AK542" s="55" t="n"/>
      <c r="AL542" s="55" t="n"/>
      <c r="AM542" s="56" t="n"/>
      <c r="AN542" s="55" t="n"/>
      <c r="AO542" s="55" t="n"/>
      <c r="AP542" s="55" t="n"/>
      <c r="AQ542" s="55" t="n"/>
      <c r="AR542" s="60">
        <f>IF(AND(C542="",E542=""),"",IF(A542="","⚠ Date manquante",IF(AND(C542="",E542&lt;&gt;"Dépense"),"⚠ Prospect manquant",IF(E542="","⚠ Action manquante",IF(AND(AU542=1,D542=""),"⚠ Canal manquant",IF(AND(W542&lt;&gt;"",COUNTIFS('Saisie'!$W$5:$W$2004,W542,'Saisie'!$C$5:$C$2004,"&lt;&gt;"&amp;C542)&gt;0),"⚠ Numéro déjà utilisé par un autre prospect",IF(AND(J542&lt;&gt;"",J542&lt;A542),"⚠ Relance avant la date de l'action",IF(A542&gt;TODAY(),"⚠ Date dans le futur","✓"))))))))</f>
        <v/>
      </c>
      <c r="AS542" s="61">
        <f>IF(AND(A542="",C542="",E542=""),"",ROW())</f>
        <v/>
      </c>
      <c r="AT542" s="61">
        <f>IF(E542&amp;F542="","",MAX(IFERROR(INDEX('Paramètres'!$J$6:$J$33,MATCH(E542,'Paramètres'!$I$6:$I$33,0)),0),IFERROR(INDEX('Paramètres'!$N$6:$N$17,MATCH(F542,'Paramètres'!$M$6:$M$17,0)),0)))</f>
        <v/>
      </c>
      <c r="AU542" s="61">
        <f>IF(E542="","",IFERROR(IF(INDEX('Paramètres'!$K$6:$K$33,MATCH(E542,'Paramètres'!$I$6:$I$33,0))="Oui",1,0),0))</f>
        <v/>
      </c>
      <c r="AV542" s="61">
        <f>IF(F542="","",IFERROR(IF(INDEX('Paramètres'!$O$6:$O$17,MATCH(F542,'Paramètres'!$M$6:$M$17,0))="Oui",1,0),0))</f>
        <v/>
      </c>
      <c r="AW542" s="62">
        <f>IF(E542="","",IF(G542&lt;&gt;"",G542,IF(OR(E542="Proposition envoyée",E542="Signature"),MAX(0,N(IFERROR(INDEX('Paramètres'!$R$6:$R$15,MATCH(IF(AL542&lt;&gt;"",AL542,IFERROR(INDEX('Prospects'!$AN$5:$AN$504,MATCH(C542,'Prospects'!$C$5:$C$504,0)),"")),'Paramètres'!$Q$6:$Q$15,0)),0))-N(P542)),0)))</f>
        <v/>
      </c>
      <c r="AX542" s="61">
        <f>IF(C542="","",IF(COUNTIF($C$5:C542,C542)=1,MAX($AX$4:AX541)+1,""))</f>
        <v/>
      </c>
      <c r="AY542" s="61">
        <f>IF(B542="","",HOUR(B542))</f>
        <v/>
      </c>
      <c r="AZ542" s="61">
        <f>IF(A542="","",MOD(A542-2,7)+1)</f>
        <v/>
      </c>
      <c r="BA542" s="60">
        <f>IF(C542="","",IFERROR(INDEX('Prospects'!$N$5:$N$504,MATCH(C542,'Prospects'!$C$5:$C$504,0)),""))</f>
        <v/>
      </c>
      <c r="BB542" s="61">
        <f>IF(AND(C542&lt;&gt;"",C542='Fiche prospect'!$C$4),COUNTIF($C$5:C542,C542),"")</f>
        <v/>
      </c>
    </row>
    <row r="543">
      <c r="A543" s="53" t="n"/>
      <c r="B543" s="54" t="n"/>
      <c r="C543" s="55" t="n"/>
      <c r="D543" s="55" t="n"/>
      <c r="E543" s="55" t="n"/>
      <c r="F543" s="55" t="n"/>
      <c r="G543" s="56" t="n"/>
      <c r="H543" s="57" t="n"/>
      <c r="I543" s="55" t="n"/>
      <c r="J543" s="53" t="n"/>
      <c r="K543" s="54" t="n"/>
      <c r="L543" s="55" t="n"/>
      <c r="M543" s="55" t="n"/>
      <c r="N543" s="57" t="n"/>
      <c r="O543" s="55" t="n"/>
      <c r="P543" s="56" t="n"/>
      <c r="Q543" s="55" t="n"/>
      <c r="R543" s="55" t="n"/>
      <c r="S543" s="55" t="n"/>
      <c r="T543" s="55" t="n"/>
      <c r="U543" s="55" t="n"/>
      <c r="V543" s="55" t="n"/>
      <c r="W543" s="58" t="n"/>
      <c r="X543" s="58" t="n"/>
      <c r="Y543" s="55" t="n"/>
      <c r="Z543" s="55" t="n"/>
      <c r="AA543" s="55" t="n"/>
      <c r="AB543" s="55" t="n"/>
      <c r="AC543" s="55" t="n"/>
      <c r="AD543" s="53" t="n"/>
      <c r="AE543" s="55" t="n"/>
      <c r="AF543" s="55" t="n"/>
      <c r="AG543" s="59" t="n"/>
      <c r="AH543" s="57" t="n"/>
      <c r="AI543" s="55" t="n"/>
      <c r="AJ543" s="55" t="n"/>
      <c r="AK543" s="55" t="n"/>
      <c r="AL543" s="55" t="n"/>
      <c r="AM543" s="56" t="n"/>
      <c r="AN543" s="55" t="n"/>
      <c r="AO543" s="55" t="n"/>
      <c r="AP543" s="55" t="n"/>
      <c r="AQ543" s="55" t="n"/>
      <c r="AR543" s="60">
        <f>IF(AND(C543="",E543=""),"",IF(A543="","⚠ Date manquante",IF(AND(C543="",E543&lt;&gt;"Dépense"),"⚠ Prospect manquant",IF(E543="","⚠ Action manquante",IF(AND(AU543=1,D543=""),"⚠ Canal manquant",IF(AND(W543&lt;&gt;"",COUNTIFS('Saisie'!$W$5:$W$2004,W543,'Saisie'!$C$5:$C$2004,"&lt;&gt;"&amp;C543)&gt;0),"⚠ Numéro déjà utilisé par un autre prospect",IF(AND(J543&lt;&gt;"",J543&lt;A543),"⚠ Relance avant la date de l'action",IF(A543&gt;TODAY(),"⚠ Date dans le futur","✓"))))))))</f>
        <v/>
      </c>
      <c r="AS543" s="61">
        <f>IF(AND(A543="",C543="",E543=""),"",ROW())</f>
        <v/>
      </c>
      <c r="AT543" s="61">
        <f>IF(E543&amp;F543="","",MAX(IFERROR(INDEX('Paramètres'!$J$6:$J$33,MATCH(E543,'Paramètres'!$I$6:$I$33,0)),0),IFERROR(INDEX('Paramètres'!$N$6:$N$17,MATCH(F543,'Paramètres'!$M$6:$M$17,0)),0)))</f>
        <v/>
      </c>
      <c r="AU543" s="61">
        <f>IF(E543="","",IFERROR(IF(INDEX('Paramètres'!$K$6:$K$33,MATCH(E543,'Paramètres'!$I$6:$I$33,0))="Oui",1,0),0))</f>
        <v/>
      </c>
      <c r="AV543" s="61">
        <f>IF(F543="","",IFERROR(IF(INDEX('Paramètres'!$O$6:$O$17,MATCH(F543,'Paramètres'!$M$6:$M$17,0))="Oui",1,0),0))</f>
        <v/>
      </c>
      <c r="AW543" s="62">
        <f>IF(E543="","",IF(G543&lt;&gt;"",G543,IF(OR(E543="Proposition envoyée",E543="Signature"),MAX(0,N(IFERROR(INDEX('Paramètres'!$R$6:$R$15,MATCH(IF(AL543&lt;&gt;"",AL543,IFERROR(INDEX('Prospects'!$AN$5:$AN$504,MATCH(C543,'Prospects'!$C$5:$C$504,0)),"")),'Paramètres'!$Q$6:$Q$15,0)),0))-N(P543)),0)))</f>
        <v/>
      </c>
      <c r="AX543" s="61">
        <f>IF(C543="","",IF(COUNTIF($C$5:C543,C543)=1,MAX($AX$4:AX542)+1,""))</f>
        <v/>
      </c>
      <c r="AY543" s="61">
        <f>IF(B543="","",HOUR(B543))</f>
        <v/>
      </c>
      <c r="AZ543" s="61">
        <f>IF(A543="","",MOD(A543-2,7)+1)</f>
        <v/>
      </c>
      <c r="BA543" s="60">
        <f>IF(C543="","",IFERROR(INDEX('Prospects'!$N$5:$N$504,MATCH(C543,'Prospects'!$C$5:$C$504,0)),""))</f>
        <v/>
      </c>
      <c r="BB543" s="61">
        <f>IF(AND(C543&lt;&gt;"",C543='Fiche prospect'!$C$4),COUNTIF($C$5:C543,C543),"")</f>
        <v/>
      </c>
    </row>
    <row r="544">
      <c r="A544" s="53" t="n"/>
      <c r="B544" s="54" t="n"/>
      <c r="C544" s="55" t="n"/>
      <c r="D544" s="55" t="n"/>
      <c r="E544" s="55" t="n"/>
      <c r="F544" s="55" t="n"/>
      <c r="G544" s="56" t="n"/>
      <c r="H544" s="57" t="n"/>
      <c r="I544" s="55" t="n"/>
      <c r="J544" s="53" t="n"/>
      <c r="K544" s="54" t="n"/>
      <c r="L544" s="55" t="n"/>
      <c r="M544" s="55" t="n"/>
      <c r="N544" s="57" t="n"/>
      <c r="O544" s="55" t="n"/>
      <c r="P544" s="56" t="n"/>
      <c r="Q544" s="55" t="n"/>
      <c r="R544" s="55" t="n"/>
      <c r="S544" s="55" t="n"/>
      <c r="T544" s="55" t="n"/>
      <c r="U544" s="55" t="n"/>
      <c r="V544" s="55" t="n"/>
      <c r="W544" s="58" t="n"/>
      <c r="X544" s="58" t="n"/>
      <c r="Y544" s="55" t="n"/>
      <c r="Z544" s="55" t="n"/>
      <c r="AA544" s="55" t="n"/>
      <c r="AB544" s="55" t="n"/>
      <c r="AC544" s="55" t="n"/>
      <c r="AD544" s="53" t="n"/>
      <c r="AE544" s="55" t="n"/>
      <c r="AF544" s="55" t="n"/>
      <c r="AG544" s="59" t="n"/>
      <c r="AH544" s="57" t="n"/>
      <c r="AI544" s="55" t="n"/>
      <c r="AJ544" s="55" t="n"/>
      <c r="AK544" s="55" t="n"/>
      <c r="AL544" s="55" t="n"/>
      <c r="AM544" s="56" t="n"/>
      <c r="AN544" s="55" t="n"/>
      <c r="AO544" s="55" t="n"/>
      <c r="AP544" s="55" t="n"/>
      <c r="AQ544" s="55" t="n"/>
      <c r="AR544" s="60">
        <f>IF(AND(C544="",E544=""),"",IF(A544="","⚠ Date manquante",IF(AND(C544="",E544&lt;&gt;"Dépense"),"⚠ Prospect manquant",IF(E544="","⚠ Action manquante",IF(AND(AU544=1,D544=""),"⚠ Canal manquant",IF(AND(W544&lt;&gt;"",COUNTIFS('Saisie'!$W$5:$W$2004,W544,'Saisie'!$C$5:$C$2004,"&lt;&gt;"&amp;C544)&gt;0),"⚠ Numéro déjà utilisé par un autre prospect",IF(AND(J544&lt;&gt;"",J544&lt;A544),"⚠ Relance avant la date de l'action",IF(A544&gt;TODAY(),"⚠ Date dans le futur","✓"))))))))</f>
        <v/>
      </c>
      <c r="AS544" s="61">
        <f>IF(AND(A544="",C544="",E544=""),"",ROW())</f>
        <v/>
      </c>
      <c r="AT544" s="61">
        <f>IF(E544&amp;F544="","",MAX(IFERROR(INDEX('Paramètres'!$J$6:$J$33,MATCH(E544,'Paramètres'!$I$6:$I$33,0)),0),IFERROR(INDEX('Paramètres'!$N$6:$N$17,MATCH(F544,'Paramètres'!$M$6:$M$17,0)),0)))</f>
        <v/>
      </c>
      <c r="AU544" s="61">
        <f>IF(E544="","",IFERROR(IF(INDEX('Paramètres'!$K$6:$K$33,MATCH(E544,'Paramètres'!$I$6:$I$33,0))="Oui",1,0),0))</f>
        <v/>
      </c>
      <c r="AV544" s="61">
        <f>IF(F544="","",IFERROR(IF(INDEX('Paramètres'!$O$6:$O$17,MATCH(F544,'Paramètres'!$M$6:$M$17,0))="Oui",1,0),0))</f>
        <v/>
      </c>
      <c r="AW544" s="62">
        <f>IF(E544="","",IF(G544&lt;&gt;"",G544,IF(OR(E544="Proposition envoyée",E544="Signature"),MAX(0,N(IFERROR(INDEX('Paramètres'!$R$6:$R$15,MATCH(IF(AL544&lt;&gt;"",AL544,IFERROR(INDEX('Prospects'!$AN$5:$AN$504,MATCH(C544,'Prospects'!$C$5:$C$504,0)),"")),'Paramètres'!$Q$6:$Q$15,0)),0))-N(P544)),0)))</f>
        <v/>
      </c>
      <c r="AX544" s="61">
        <f>IF(C544="","",IF(COUNTIF($C$5:C544,C544)=1,MAX($AX$4:AX543)+1,""))</f>
        <v/>
      </c>
      <c r="AY544" s="61">
        <f>IF(B544="","",HOUR(B544))</f>
        <v/>
      </c>
      <c r="AZ544" s="61">
        <f>IF(A544="","",MOD(A544-2,7)+1)</f>
        <v/>
      </c>
      <c r="BA544" s="60">
        <f>IF(C544="","",IFERROR(INDEX('Prospects'!$N$5:$N$504,MATCH(C544,'Prospects'!$C$5:$C$504,0)),""))</f>
        <v/>
      </c>
      <c r="BB544" s="61">
        <f>IF(AND(C544&lt;&gt;"",C544='Fiche prospect'!$C$4),COUNTIF($C$5:C544,C544),"")</f>
        <v/>
      </c>
    </row>
    <row r="545">
      <c r="A545" s="53" t="n"/>
      <c r="B545" s="54" t="n"/>
      <c r="C545" s="55" t="n"/>
      <c r="D545" s="55" t="n"/>
      <c r="E545" s="55" t="n"/>
      <c r="F545" s="55" t="n"/>
      <c r="G545" s="56" t="n"/>
      <c r="H545" s="57" t="n"/>
      <c r="I545" s="55" t="n"/>
      <c r="J545" s="53" t="n"/>
      <c r="K545" s="54" t="n"/>
      <c r="L545" s="55" t="n"/>
      <c r="M545" s="55" t="n"/>
      <c r="N545" s="57" t="n"/>
      <c r="O545" s="55" t="n"/>
      <c r="P545" s="56" t="n"/>
      <c r="Q545" s="55" t="n"/>
      <c r="R545" s="55" t="n"/>
      <c r="S545" s="55" t="n"/>
      <c r="T545" s="55" t="n"/>
      <c r="U545" s="55" t="n"/>
      <c r="V545" s="55" t="n"/>
      <c r="W545" s="58" t="n"/>
      <c r="X545" s="58" t="n"/>
      <c r="Y545" s="55" t="n"/>
      <c r="Z545" s="55" t="n"/>
      <c r="AA545" s="55" t="n"/>
      <c r="AB545" s="55" t="n"/>
      <c r="AC545" s="55" t="n"/>
      <c r="AD545" s="53" t="n"/>
      <c r="AE545" s="55" t="n"/>
      <c r="AF545" s="55" t="n"/>
      <c r="AG545" s="59" t="n"/>
      <c r="AH545" s="57" t="n"/>
      <c r="AI545" s="55" t="n"/>
      <c r="AJ545" s="55" t="n"/>
      <c r="AK545" s="55" t="n"/>
      <c r="AL545" s="55" t="n"/>
      <c r="AM545" s="56" t="n"/>
      <c r="AN545" s="55" t="n"/>
      <c r="AO545" s="55" t="n"/>
      <c r="AP545" s="55" t="n"/>
      <c r="AQ545" s="55" t="n"/>
      <c r="AR545" s="60">
        <f>IF(AND(C545="",E545=""),"",IF(A545="","⚠ Date manquante",IF(AND(C545="",E545&lt;&gt;"Dépense"),"⚠ Prospect manquant",IF(E545="","⚠ Action manquante",IF(AND(AU545=1,D545=""),"⚠ Canal manquant",IF(AND(W545&lt;&gt;"",COUNTIFS('Saisie'!$W$5:$W$2004,W545,'Saisie'!$C$5:$C$2004,"&lt;&gt;"&amp;C545)&gt;0),"⚠ Numéro déjà utilisé par un autre prospect",IF(AND(J545&lt;&gt;"",J545&lt;A545),"⚠ Relance avant la date de l'action",IF(A545&gt;TODAY(),"⚠ Date dans le futur","✓"))))))))</f>
        <v/>
      </c>
      <c r="AS545" s="61">
        <f>IF(AND(A545="",C545="",E545=""),"",ROW())</f>
        <v/>
      </c>
      <c r="AT545" s="61">
        <f>IF(E545&amp;F545="","",MAX(IFERROR(INDEX('Paramètres'!$J$6:$J$33,MATCH(E545,'Paramètres'!$I$6:$I$33,0)),0),IFERROR(INDEX('Paramètres'!$N$6:$N$17,MATCH(F545,'Paramètres'!$M$6:$M$17,0)),0)))</f>
        <v/>
      </c>
      <c r="AU545" s="61">
        <f>IF(E545="","",IFERROR(IF(INDEX('Paramètres'!$K$6:$K$33,MATCH(E545,'Paramètres'!$I$6:$I$33,0))="Oui",1,0),0))</f>
        <v/>
      </c>
      <c r="AV545" s="61">
        <f>IF(F545="","",IFERROR(IF(INDEX('Paramètres'!$O$6:$O$17,MATCH(F545,'Paramètres'!$M$6:$M$17,0))="Oui",1,0),0))</f>
        <v/>
      </c>
      <c r="AW545" s="62">
        <f>IF(E545="","",IF(G545&lt;&gt;"",G545,IF(OR(E545="Proposition envoyée",E545="Signature"),MAX(0,N(IFERROR(INDEX('Paramètres'!$R$6:$R$15,MATCH(IF(AL545&lt;&gt;"",AL545,IFERROR(INDEX('Prospects'!$AN$5:$AN$504,MATCH(C545,'Prospects'!$C$5:$C$504,0)),"")),'Paramètres'!$Q$6:$Q$15,0)),0))-N(P545)),0)))</f>
        <v/>
      </c>
      <c r="AX545" s="61">
        <f>IF(C545="","",IF(COUNTIF($C$5:C545,C545)=1,MAX($AX$4:AX544)+1,""))</f>
        <v/>
      </c>
      <c r="AY545" s="61">
        <f>IF(B545="","",HOUR(B545))</f>
        <v/>
      </c>
      <c r="AZ545" s="61">
        <f>IF(A545="","",MOD(A545-2,7)+1)</f>
        <v/>
      </c>
      <c r="BA545" s="60">
        <f>IF(C545="","",IFERROR(INDEX('Prospects'!$N$5:$N$504,MATCH(C545,'Prospects'!$C$5:$C$504,0)),""))</f>
        <v/>
      </c>
      <c r="BB545" s="61">
        <f>IF(AND(C545&lt;&gt;"",C545='Fiche prospect'!$C$4),COUNTIF($C$5:C545,C545),"")</f>
        <v/>
      </c>
    </row>
    <row r="546">
      <c r="A546" s="53" t="n"/>
      <c r="B546" s="54" t="n"/>
      <c r="C546" s="55" t="n"/>
      <c r="D546" s="55" t="n"/>
      <c r="E546" s="55" t="n"/>
      <c r="F546" s="55" t="n"/>
      <c r="G546" s="56" t="n"/>
      <c r="H546" s="57" t="n"/>
      <c r="I546" s="55" t="n"/>
      <c r="J546" s="53" t="n"/>
      <c r="K546" s="54" t="n"/>
      <c r="L546" s="55" t="n"/>
      <c r="M546" s="55" t="n"/>
      <c r="N546" s="57" t="n"/>
      <c r="O546" s="55" t="n"/>
      <c r="P546" s="56" t="n"/>
      <c r="Q546" s="55" t="n"/>
      <c r="R546" s="55" t="n"/>
      <c r="S546" s="55" t="n"/>
      <c r="T546" s="55" t="n"/>
      <c r="U546" s="55" t="n"/>
      <c r="V546" s="55" t="n"/>
      <c r="W546" s="58" t="n"/>
      <c r="X546" s="58" t="n"/>
      <c r="Y546" s="55" t="n"/>
      <c r="Z546" s="55" t="n"/>
      <c r="AA546" s="55" t="n"/>
      <c r="AB546" s="55" t="n"/>
      <c r="AC546" s="55" t="n"/>
      <c r="AD546" s="53" t="n"/>
      <c r="AE546" s="55" t="n"/>
      <c r="AF546" s="55" t="n"/>
      <c r="AG546" s="59" t="n"/>
      <c r="AH546" s="57" t="n"/>
      <c r="AI546" s="55" t="n"/>
      <c r="AJ546" s="55" t="n"/>
      <c r="AK546" s="55" t="n"/>
      <c r="AL546" s="55" t="n"/>
      <c r="AM546" s="56" t="n"/>
      <c r="AN546" s="55" t="n"/>
      <c r="AO546" s="55" t="n"/>
      <c r="AP546" s="55" t="n"/>
      <c r="AQ546" s="55" t="n"/>
      <c r="AR546" s="60">
        <f>IF(AND(C546="",E546=""),"",IF(A546="","⚠ Date manquante",IF(AND(C546="",E546&lt;&gt;"Dépense"),"⚠ Prospect manquant",IF(E546="","⚠ Action manquante",IF(AND(AU546=1,D546=""),"⚠ Canal manquant",IF(AND(W546&lt;&gt;"",COUNTIFS('Saisie'!$W$5:$W$2004,W546,'Saisie'!$C$5:$C$2004,"&lt;&gt;"&amp;C546)&gt;0),"⚠ Numéro déjà utilisé par un autre prospect",IF(AND(J546&lt;&gt;"",J546&lt;A546),"⚠ Relance avant la date de l'action",IF(A546&gt;TODAY(),"⚠ Date dans le futur","✓"))))))))</f>
        <v/>
      </c>
      <c r="AS546" s="61">
        <f>IF(AND(A546="",C546="",E546=""),"",ROW())</f>
        <v/>
      </c>
      <c r="AT546" s="61">
        <f>IF(E546&amp;F546="","",MAX(IFERROR(INDEX('Paramètres'!$J$6:$J$33,MATCH(E546,'Paramètres'!$I$6:$I$33,0)),0),IFERROR(INDEX('Paramètres'!$N$6:$N$17,MATCH(F546,'Paramètres'!$M$6:$M$17,0)),0)))</f>
        <v/>
      </c>
      <c r="AU546" s="61">
        <f>IF(E546="","",IFERROR(IF(INDEX('Paramètres'!$K$6:$K$33,MATCH(E546,'Paramètres'!$I$6:$I$33,0))="Oui",1,0),0))</f>
        <v/>
      </c>
      <c r="AV546" s="61">
        <f>IF(F546="","",IFERROR(IF(INDEX('Paramètres'!$O$6:$O$17,MATCH(F546,'Paramètres'!$M$6:$M$17,0))="Oui",1,0),0))</f>
        <v/>
      </c>
      <c r="AW546" s="62">
        <f>IF(E546="","",IF(G546&lt;&gt;"",G546,IF(OR(E546="Proposition envoyée",E546="Signature"),MAX(0,N(IFERROR(INDEX('Paramètres'!$R$6:$R$15,MATCH(IF(AL546&lt;&gt;"",AL546,IFERROR(INDEX('Prospects'!$AN$5:$AN$504,MATCH(C546,'Prospects'!$C$5:$C$504,0)),"")),'Paramètres'!$Q$6:$Q$15,0)),0))-N(P546)),0)))</f>
        <v/>
      </c>
      <c r="AX546" s="61">
        <f>IF(C546="","",IF(COUNTIF($C$5:C546,C546)=1,MAX($AX$4:AX545)+1,""))</f>
        <v/>
      </c>
      <c r="AY546" s="61">
        <f>IF(B546="","",HOUR(B546))</f>
        <v/>
      </c>
      <c r="AZ546" s="61">
        <f>IF(A546="","",MOD(A546-2,7)+1)</f>
        <v/>
      </c>
      <c r="BA546" s="60">
        <f>IF(C546="","",IFERROR(INDEX('Prospects'!$N$5:$N$504,MATCH(C546,'Prospects'!$C$5:$C$504,0)),""))</f>
        <v/>
      </c>
      <c r="BB546" s="61">
        <f>IF(AND(C546&lt;&gt;"",C546='Fiche prospect'!$C$4),COUNTIF($C$5:C546,C546),"")</f>
        <v/>
      </c>
    </row>
    <row r="547">
      <c r="A547" s="53" t="n"/>
      <c r="B547" s="54" t="n"/>
      <c r="C547" s="55" t="n"/>
      <c r="D547" s="55" t="n"/>
      <c r="E547" s="55" t="n"/>
      <c r="F547" s="55" t="n"/>
      <c r="G547" s="56" t="n"/>
      <c r="H547" s="57" t="n"/>
      <c r="I547" s="55" t="n"/>
      <c r="J547" s="53" t="n"/>
      <c r="K547" s="54" t="n"/>
      <c r="L547" s="55" t="n"/>
      <c r="M547" s="55" t="n"/>
      <c r="N547" s="57" t="n"/>
      <c r="O547" s="55" t="n"/>
      <c r="P547" s="56" t="n"/>
      <c r="Q547" s="55" t="n"/>
      <c r="R547" s="55" t="n"/>
      <c r="S547" s="55" t="n"/>
      <c r="T547" s="55" t="n"/>
      <c r="U547" s="55" t="n"/>
      <c r="V547" s="55" t="n"/>
      <c r="W547" s="58" t="n"/>
      <c r="X547" s="58" t="n"/>
      <c r="Y547" s="55" t="n"/>
      <c r="Z547" s="55" t="n"/>
      <c r="AA547" s="55" t="n"/>
      <c r="AB547" s="55" t="n"/>
      <c r="AC547" s="55" t="n"/>
      <c r="AD547" s="53" t="n"/>
      <c r="AE547" s="55" t="n"/>
      <c r="AF547" s="55" t="n"/>
      <c r="AG547" s="59" t="n"/>
      <c r="AH547" s="57" t="n"/>
      <c r="AI547" s="55" t="n"/>
      <c r="AJ547" s="55" t="n"/>
      <c r="AK547" s="55" t="n"/>
      <c r="AL547" s="55" t="n"/>
      <c r="AM547" s="56" t="n"/>
      <c r="AN547" s="55" t="n"/>
      <c r="AO547" s="55" t="n"/>
      <c r="AP547" s="55" t="n"/>
      <c r="AQ547" s="55" t="n"/>
      <c r="AR547" s="60">
        <f>IF(AND(C547="",E547=""),"",IF(A547="","⚠ Date manquante",IF(AND(C547="",E547&lt;&gt;"Dépense"),"⚠ Prospect manquant",IF(E547="","⚠ Action manquante",IF(AND(AU547=1,D547=""),"⚠ Canal manquant",IF(AND(W547&lt;&gt;"",COUNTIFS('Saisie'!$W$5:$W$2004,W547,'Saisie'!$C$5:$C$2004,"&lt;&gt;"&amp;C547)&gt;0),"⚠ Numéro déjà utilisé par un autre prospect",IF(AND(J547&lt;&gt;"",J547&lt;A547),"⚠ Relance avant la date de l'action",IF(A547&gt;TODAY(),"⚠ Date dans le futur","✓"))))))))</f>
        <v/>
      </c>
      <c r="AS547" s="61">
        <f>IF(AND(A547="",C547="",E547=""),"",ROW())</f>
        <v/>
      </c>
      <c r="AT547" s="61">
        <f>IF(E547&amp;F547="","",MAX(IFERROR(INDEX('Paramètres'!$J$6:$J$33,MATCH(E547,'Paramètres'!$I$6:$I$33,0)),0),IFERROR(INDEX('Paramètres'!$N$6:$N$17,MATCH(F547,'Paramètres'!$M$6:$M$17,0)),0)))</f>
        <v/>
      </c>
      <c r="AU547" s="61">
        <f>IF(E547="","",IFERROR(IF(INDEX('Paramètres'!$K$6:$K$33,MATCH(E547,'Paramètres'!$I$6:$I$33,0))="Oui",1,0),0))</f>
        <v/>
      </c>
      <c r="AV547" s="61">
        <f>IF(F547="","",IFERROR(IF(INDEX('Paramètres'!$O$6:$O$17,MATCH(F547,'Paramètres'!$M$6:$M$17,0))="Oui",1,0),0))</f>
        <v/>
      </c>
      <c r="AW547" s="62">
        <f>IF(E547="","",IF(G547&lt;&gt;"",G547,IF(OR(E547="Proposition envoyée",E547="Signature"),MAX(0,N(IFERROR(INDEX('Paramètres'!$R$6:$R$15,MATCH(IF(AL547&lt;&gt;"",AL547,IFERROR(INDEX('Prospects'!$AN$5:$AN$504,MATCH(C547,'Prospects'!$C$5:$C$504,0)),"")),'Paramètres'!$Q$6:$Q$15,0)),0))-N(P547)),0)))</f>
        <v/>
      </c>
      <c r="AX547" s="61">
        <f>IF(C547="","",IF(COUNTIF($C$5:C547,C547)=1,MAX($AX$4:AX546)+1,""))</f>
        <v/>
      </c>
      <c r="AY547" s="61">
        <f>IF(B547="","",HOUR(B547))</f>
        <v/>
      </c>
      <c r="AZ547" s="61">
        <f>IF(A547="","",MOD(A547-2,7)+1)</f>
        <v/>
      </c>
      <c r="BA547" s="60">
        <f>IF(C547="","",IFERROR(INDEX('Prospects'!$N$5:$N$504,MATCH(C547,'Prospects'!$C$5:$C$504,0)),""))</f>
        <v/>
      </c>
      <c r="BB547" s="61">
        <f>IF(AND(C547&lt;&gt;"",C547='Fiche prospect'!$C$4),COUNTIF($C$5:C547,C547),"")</f>
        <v/>
      </c>
    </row>
    <row r="548">
      <c r="A548" s="53" t="n"/>
      <c r="B548" s="54" t="n"/>
      <c r="C548" s="55" t="n"/>
      <c r="D548" s="55" t="n"/>
      <c r="E548" s="55" t="n"/>
      <c r="F548" s="55" t="n"/>
      <c r="G548" s="56" t="n"/>
      <c r="H548" s="57" t="n"/>
      <c r="I548" s="55" t="n"/>
      <c r="J548" s="53" t="n"/>
      <c r="K548" s="54" t="n"/>
      <c r="L548" s="55" t="n"/>
      <c r="M548" s="55" t="n"/>
      <c r="N548" s="57" t="n"/>
      <c r="O548" s="55" t="n"/>
      <c r="P548" s="56" t="n"/>
      <c r="Q548" s="55" t="n"/>
      <c r="R548" s="55" t="n"/>
      <c r="S548" s="55" t="n"/>
      <c r="T548" s="55" t="n"/>
      <c r="U548" s="55" t="n"/>
      <c r="V548" s="55" t="n"/>
      <c r="W548" s="58" t="n"/>
      <c r="X548" s="58" t="n"/>
      <c r="Y548" s="55" t="n"/>
      <c r="Z548" s="55" t="n"/>
      <c r="AA548" s="55" t="n"/>
      <c r="AB548" s="55" t="n"/>
      <c r="AC548" s="55" t="n"/>
      <c r="AD548" s="53" t="n"/>
      <c r="AE548" s="55" t="n"/>
      <c r="AF548" s="55" t="n"/>
      <c r="AG548" s="59" t="n"/>
      <c r="AH548" s="57" t="n"/>
      <c r="AI548" s="55" t="n"/>
      <c r="AJ548" s="55" t="n"/>
      <c r="AK548" s="55" t="n"/>
      <c r="AL548" s="55" t="n"/>
      <c r="AM548" s="56" t="n"/>
      <c r="AN548" s="55" t="n"/>
      <c r="AO548" s="55" t="n"/>
      <c r="AP548" s="55" t="n"/>
      <c r="AQ548" s="55" t="n"/>
      <c r="AR548" s="60">
        <f>IF(AND(C548="",E548=""),"",IF(A548="","⚠ Date manquante",IF(AND(C548="",E548&lt;&gt;"Dépense"),"⚠ Prospect manquant",IF(E548="","⚠ Action manquante",IF(AND(AU548=1,D548=""),"⚠ Canal manquant",IF(AND(W548&lt;&gt;"",COUNTIFS('Saisie'!$W$5:$W$2004,W548,'Saisie'!$C$5:$C$2004,"&lt;&gt;"&amp;C548)&gt;0),"⚠ Numéro déjà utilisé par un autre prospect",IF(AND(J548&lt;&gt;"",J548&lt;A548),"⚠ Relance avant la date de l'action",IF(A548&gt;TODAY(),"⚠ Date dans le futur","✓"))))))))</f>
        <v/>
      </c>
      <c r="AS548" s="61">
        <f>IF(AND(A548="",C548="",E548=""),"",ROW())</f>
        <v/>
      </c>
      <c r="AT548" s="61">
        <f>IF(E548&amp;F548="","",MAX(IFERROR(INDEX('Paramètres'!$J$6:$J$33,MATCH(E548,'Paramètres'!$I$6:$I$33,0)),0),IFERROR(INDEX('Paramètres'!$N$6:$N$17,MATCH(F548,'Paramètres'!$M$6:$M$17,0)),0)))</f>
        <v/>
      </c>
      <c r="AU548" s="61">
        <f>IF(E548="","",IFERROR(IF(INDEX('Paramètres'!$K$6:$K$33,MATCH(E548,'Paramètres'!$I$6:$I$33,0))="Oui",1,0),0))</f>
        <v/>
      </c>
      <c r="AV548" s="61">
        <f>IF(F548="","",IFERROR(IF(INDEX('Paramètres'!$O$6:$O$17,MATCH(F548,'Paramètres'!$M$6:$M$17,0))="Oui",1,0),0))</f>
        <v/>
      </c>
      <c r="AW548" s="62">
        <f>IF(E548="","",IF(G548&lt;&gt;"",G548,IF(OR(E548="Proposition envoyée",E548="Signature"),MAX(0,N(IFERROR(INDEX('Paramètres'!$R$6:$R$15,MATCH(IF(AL548&lt;&gt;"",AL548,IFERROR(INDEX('Prospects'!$AN$5:$AN$504,MATCH(C548,'Prospects'!$C$5:$C$504,0)),"")),'Paramètres'!$Q$6:$Q$15,0)),0))-N(P548)),0)))</f>
        <v/>
      </c>
      <c r="AX548" s="61">
        <f>IF(C548="","",IF(COUNTIF($C$5:C548,C548)=1,MAX($AX$4:AX547)+1,""))</f>
        <v/>
      </c>
      <c r="AY548" s="61">
        <f>IF(B548="","",HOUR(B548))</f>
        <v/>
      </c>
      <c r="AZ548" s="61">
        <f>IF(A548="","",MOD(A548-2,7)+1)</f>
        <v/>
      </c>
      <c r="BA548" s="60">
        <f>IF(C548="","",IFERROR(INDEX('Prospects'!$N$5:$N$504,MATCH(C548,'Prospects'!$C$5:$C$504,0)),""))</f>
        <v/>
      </c>
      <c r="BB548" s="61">
        <f>IF(AND(C548&lt;&gt;"",C548='Fiche prospect'!$C$4),COUNTIF($C$5:C548,C548),"")</f>
        <v/>
      </c>
    </row>
    <row r="549">
      <c r="A549" s="53" t="n"/>
      <c r="B549" s="54" t="n"/>
      <c r="C549" s="55" t="n"/>
      <c r="D549" s="55" t="n"/>
      <c r="E549" s="55" t="n"/>
      <c r="F549" s="55" t="n"/>
      <c r="G549" s="56" t="n"/>
      <c r="H549" s="57" t="n"/>
      <c r="I549" s="55" t="n"/>
      <c r="J549" s="53" t="n"/>
      <c r="K549" s="54" t="n"/>
      <c r="L549" s="55" t="n"/>
      <c r="M549" s="55" t="n"/>
      <c r="N549" s="57" t="n"/>
      <c r="O549" s="55" t="n"/>
      <c r="P549" s="56" t="n"/>
      <c r="Q549" s="55" t="n"/>
      <c r="R549" s="55" t="n"/>
      <c r="S549" s="55" t="n"/>
      <c r="T549" s="55" t="n"/>
      <c r="U549" s="55" t="n"/>
      <c r="V549" s="55" t="n"/>
      <c r="W549" s="58" t="n"/>
      <c r="X549" s="58" t="n"/>
      <c r="Y549" s="55" t="n"/>
      <c r="Z549" s="55" t="n"/>
      <c r="AA549" s="55" t="n"/>
      <c r="AB549" s="55" t="n"/>
      <c r="AC549" s="55" t="n"/>
      <c r="AD549" s="53" t="n"/>
      <c r="AE549" s="55" t="n"/>
      <c r="AF549" s="55" t="n"/>
      <c r="AG549" s="59" t="n"/>
      <c r="AH549" s="57" t="n"/>
      <c r="AI549" s="55" t="n"/>
      <c r="AJ549" s="55" t="n"/>
      <c r="AK549" s="55" t="n"/>
      <c r="AL549" s="55" t="n"/>
      <c r="AM549" s="56" t="n"/>
      <c r="AN549" s="55" t="n"/>
      <c r="AO549" s="55" t="n"/>
      <c r="AP549" s="55" t="n"/>
      <c r="AQ549" s="55" t="n"/>
      <c r="AR549" s="60">
        <f>IF(AND(C549="",E549=""),"",IF(A549="","⚠ Date manquante",IF(AND(C549="",E549&lt;&gt;"Dépense"),"⚠ Prospect manquant",IF(E549="","⚠ Action manquante",IF(AND(AU549=1,D549=""),"⚠ Canal manquant",IF(AND(W549&lt;&gt;"",COUNTIFS('Saisie'!$W$5:$W$2004,W549,'Saisie'!$C$5:$C$2004,"&lt;&gt;"&amp;C549)&gt;0),"⚠ Numéro déjà utilisé par un autre prospect",IF(AND(J549&lt;&gt;"",J549&lt;A549),"⚠ Relance avant la date de l'action",IF(A549&gt;TODAY(),"⚠ Date dans le futur","✓"))))))))</f>
        <v/>
      </c>
      <c r="AS549" s="61">
        <f>IF(AND(A549="",C549="",E549=""),"",ROW())</f>
        <v/>
      </c>
      <c r="AT549" s="61">
        <f>IF(E549&amp;F549="","",MAX(IFERROR(INDEX('Paramètres'!$J$6:$J$33,MATCH(E549,'Paramètres'!$I$6:$I$33,0)),0),IFERROR(INDEX('Paramètres'!$N$6:$N$17,MATCH(F549,'Paramètres'!$M$6:$M$17,0)),0)))</f>
        <v/>
      </c>
      <c r="AU549" s="61">
        <f>IF(E549="","",IFERROR(IF(INDEX('Paramètres'!$K$6:$K$33,MATCH(E549,'Paramètres'!$I$6:$I$33,0))="Oui",1,0),0))</f>
        <v/>
      </c>
      <c r="AV549" s="61">
        <f>IF(F549="","",IFERROR(IF(INDEX('Paramètres'!$O$6:$O$17,MATCH(F549,'Paramètres'!$M$6:$M$17,0))="Oui",1,0),0))</f>
        <v/>
      </c>
      <c r="AW549" s="62">
        <f>IF(E549="","",IF(G549&lt;&gt;"",G549,IF(OR(E549="Proposition envoyée",E549="Signature"),MAX(0,N(IFERROR(INDEX('Paramètres'!$R$6:$R$15,MATCH(IF(AL549&lt;&gt;"",AL549,IFERROR(INDEX('Prospects'!$AN$5:$AN$504,MATCH(C549,'Prospects'!$C$5:$C$504,0)),"")),'Paramètres'!$Q$6:$Q$15,0)),0))-N(P549)),0)))</f>
        <v/>
      </c>
      <c r="AX549" s="61">
        <f>IF(C549="","",IF(COUNTIF($C$5:C549,C549)=1,MAX($AX$4:AX548)+1,""))</f>
        <v/>
      </c>
      <c r="AY549" s="61">
        <f>IF(B549="","",HOUR(B549))</f>
        <v/>
      </c>
      <c r="AZ549" s="61">
        <f>IF(A549="","",MOD(A549-2,7)+1)</f>
        <v/>
      </c>
      <c r="BA549" s="60">
        <f>IF(C549="","",IFERROR(INDEX('Prospects'!$N$5:$N$504,MATCH(C549,'Prospects'!$C$5:$C$504,0)),""))</f>
        <v/>
      </c>
      <c r="BB549" s="61">
        <f>IF(AND(C549&lt;&gt;"",C549='Fiche prospect'!$C$4),COUNTIF($C$5:C549,C549),"")</f>
        <v/>
      </c>
    </row>
    <row r="550">
      <c r="A550" s="53" t="n"/>
      <c r="B550" s="54" t="n"/>
      <c r="C550" s="55" t="n"/>
      <c r="D550" s="55" t="n"/>
      <c r="E550" s="55" t="n"/>
      <c r="F550" s="55" t="n"/>
      <c r="G550" s="56" t="n"/>
      <c r="H550" s="57" t="n"/>
      <c r="I550" s="55" t="n"/>
      <c r="J550" s="53" t="n"/>
      <c r="K550" s="54" t="n"/>
      <c r="L550" s="55" t="n"/>
      <c r="M550" s="55" t="n"/>
      <c r="N550" s="57" t="n"/>
      <c r="O550" s="55" t="n"/>
      <c r="P550" s="56" t="n"/>
      <c r="Q550" s="55" t="n"/>
      <c r="R550" s="55" t="n"/>
      <c r="S550" s="55" t="n"/>
      <c r="T550" s="55" t="n"/>
      <c r="U550" s="55" t="n"/>
      <c r="V550" s="55" t="n"/>
      <c r="W550" s="58" t="n"/>
      <c r="X550" s="58" t="n"/>
      <c r="Y550" s="55" t="n"/>
      <c r="Z550" s="55" t="n"/>
      <c r="AA550" s="55" t="n"/>
      <c r="AB550" s="55" t="n"/>
      <c r="AC550" s="55" t="n"/>
      <c r="AD550" s="53" t="n"/>
      <c r="AE550" s="55" t="n"/>
      <c r="AF550" s="55" t="n"/>
      <c r="AG550" s="59" t="n"/>
      <c r="AH550" s="57" t="n"/>
      <c r="AI550" s="55" t="n"/>
      <c r="AJ550" s="55" t="n"/>
      <c r="AK550" s="55" t="n"/>
      <c r="AL550" s="55" t="n"/>
      <c r="AM550" s="56" t="n"/>
      <c r="AN550" s="55" t="n"/>
      <c r="AO550" s="55" t="n"/>
      <c r="AP550" s="55" t="n"/>
      <c r="AQ550" s="55" t="n"/>
      <c r="AR550" s="60">
        <f>IF(AND(C550="",E550=""),"",IF(A550="","⚠ Date manquante",IF(AND(C550="",E550&lt;&gt;"Dépense"),"⚠ Prospect manquant",IF(E550="","⚠ Action manquante",IF(AND(AU550=1,D550=""),"⚠ Canal manquant",IF(AND(W550&lt;&gt;"",COUNTIFS('Saisie'!$W$5:$W$2004,W550,'Saisie'!$C$5:$C$2004,"&lt;&gt;"&amp;C550)&gt;0),"⚠ Numéro déjà utilisé par un autre prospect",IF(AND(J550&lt;&gt;"",J550&lt;A550),"⚠ Relance avant la date de l'action",IF(A550&gt;TODAY(),"⚠ Date dans le futur","✓"))))))))</f>
        <v/>
      </c>
      <c r="AS550" s="61">
        <f>IF(AND(A550="",C550="",E550=""),"",ROW())</f>
        <v/>
      </c>
      <c r="AT550" s="61">
        <f>IF(E550&amp;F550="","",MAX(IFERROR(INDEX('Paramètres'!$J$6:$J$33,MATCH(E550,'Paramètres'!$I$6:$I$33,0)),0),IFERROR(INDEX('Paramètres'!$N$6:$N$17,MATCH(F550,'Paramètres'!$M$6:$M$17,0)),0)))</f>
        <v/>
      </c>
      <c r="AU550" s="61">
        <f>IF(E550="","",IFERROR(IF(INDEX('Paramètres'!$K$6:$K$33,MATCH(E550,'Paramètres'!$I$6:$I$33,0))="Oui",1,0),0))</f>
        <v/>
      </c>
      <c r="AV550" s="61">
        <f>IF(F550="","",IFERROR(IF(INDEX('Paramètres'!$O$6:$O$17,MATCH(F550,'Paramètres'!$M$6:$M$17,0))="Oui",1,0),0))</f>
        <v/>
      </c>
      <c r="AW550" s="62">
        <f>IF(E550="","",IF(G550&lt;&gt;"",G550,IF(OR(E550="Proposition envoyée",E550="Signature"),MAX(0,N(IFERROR(INDEX('Paramètres'!$R$6:$R$15,MATCH(IF(AL550&lt;&gt;"",AL550,IFERROR(INDEX('Prospects'!$AN$5:$AN$504,MATCH(C550,'Prospects'!$C$5:$C$504,0)),"")),'Paramètres'!$Q$6:$Q$15,0)),0))-N(P550)),0)))</f>
        <v/>
      </c>
      <c r="AX550" s="61">
        <f>IF(C550="","",IF(COUNTIF($C$5:C550,C550)=1,MAX($AX$4:AX549)+1,""))</f>
        <v/>
      </c>
      <c r="AY550" s="61">
        <f>IF(B550="","",HOUR(B550))</f>
        <v/>
      </c>
      <c r="AZ550" s="61">
        <f>IF(A550="","",MOD(A550-2,7)+1)</f>
        <v/>
      </c>
      <c r="BA550" s="60">
        <f>IF(C550="","",IFERROR(INDEX('Prospects'!$N$5:$N$504,MATCH(C550,'Prospects'!$C$5:$C$504,0)),""))</f>
        <v/>
      </c>
      <c r="BB550" s="61">
        <f>IF(AND(C550&lt;&gt;"",C550='Fiche prospect'!$C$4),COUNTIF($C$5:C550,C550),"")</f>
        <v/>
      </c>
    </row>
    <row r="551">
      <c r="A551" s="53" t="n"/>
      <c r="B551" s="54" t="n"/>
      <c r="C551" s="55" t="n"/>
      <c r="D551" s="55" t="n"/>
      <c r="E551" s="55" t="n"/>
      <c r="F551" s="55" t="n"/>
      <c r="G551" s="56" t="n"/>
      <c r="H551" s="57" t="n"/>
      <c r="I551" s="55" t="n"/>
      <c r="J551" s="53" t="n"/>
      <c r="K551" s="54" t="n"/>
      <c r="L551" s="55" t="n"/>
      <c r="M551" s="55" t="n"/>
      <c r="N551" s="57" t="n"/>
      <c r="O551" s="55" t="n"/>
      <c r="P551" s="56" t="n"/>
      <c r="Q551" s="55" t="n"/>
      <c r="R551" s="55" t="n"/>
      <c r="S551" s="55" t="n"/>
      <c r="T551" s="55" t="n"/>
      <c r="U551" s="55" t="n"/>
      <c r="V551" s="55" t="n"/>
      <c r="W551" s="58" t="n"/>
      <c r="X551" s="58" t="n"/>
      <c r="Y551" s="55" t="n"/>
      <c r="Z551" s="55" t="n"/>
      <c r="AA551" s="55" t="n"/>
      <c r="AB551" s="55" t="n"/>
      <c r="AC551" s="55" t="n"/>
      <c r="AD551" s="53" t="n"/>
      <c r="AE551" s="55" t="n"/>
      <c r="AF551" s="55" t="n"/>
      <c r="AG551" s="59" t="n"/>
      <c r="AH551" s="57" t="n"/>
      <c r="AI551" s="55" t="n"/>
      <c r="AJ551" s="55" t="n"/>
      <c r="AK551" s="55" t="n"/>
      <c r="AL551" s="55" t="n"/>
      <c r="AM551" s="56" t="n"/>
      <c r="AN551" s="55" t="n"/>
      <c r="AO551" s="55" t="n"/>
      <c r="AP551" s="55" t="n"/>
      <c r="AQ551" s="55" t="n"/>
      <c r="AR551" s="60">
        <f>IF(AND(C551="",E551=""),"",IF(A551="","⚠ Date manquante",IF(AND(C551="",E551&lt;&gt;"Dépense"),"⚠ Prospect manquant",IF(E551="","⚠ Action manquante",IF(AND(AU551=1,D551=""),"⚠ Canal manquant",IF(AND(W551&lt;&gt;"",COUNTIFS('Saisie'!$W$5:$W$2004,W551,'Saisie'!$C$5:$C$2004,"&lt;&gt;"&amp;C551)&gt;0),"⚠ Numéro déjà utilisé par un autre prospect",IF(AND(J551&lt;&gt;"",J551&lt;A551),"⚠ Relance avant la date de l'action",IF(A551&gt;TODAY(),"⚠ Date dans le futur","✓"))))))))</f>
        <v/>
      </c>
      <c r="AS551" s="61">
        <f>IF(AND(A551="",C551="",E551=""),"",ROW())</f>
        <v/>
      </c>
      <c r="AT551" s="61">
        <f>IF(E551&amp;F551="","",MAX(IFERROR(INDEX('Paramètres'!$J$6:$J$33,MATCH(E551,'Paramètres'!$I$6:$I$33,0)),0),IFERROR(INDEX('Paramètres'!$N$6:$N$17,MATCH(F551,'Paramètres'!$M$6:$M$17,0)),0)))</f>
        <v/>
      </c>
      <c r="AU551" s="61">
        <f>IF(E551="","",IFERROR(IF(INDEX('Paramètres'!$K$6:$K$33,MATCH(E551,'Paramètres'!$I$6:$I$33,0))="Oui",1,0),0))</f>
        <v/>
      </c>
      <c r="AV551" s="61">
        <f>IF(F551="","",IFERROR(IF(INDEX('Paramètres'!$O$6:$O$17,MATCH(F551,'Paramètres'!$M$6:$M$17,0))="Oui",1,0),0))</f>
        <v/>
      </c>
      <c r="AW551" s="62">
        <f>IF(E551="","",IF(G551&lt;&gt;"",G551,IF(OR(E551="Proposition envoyée",E551="Signature"),MAX(0,N(IFERROR(INDEX('Paramètres'!$R$6:$R$15,MATCH(IF(AL551&lt;&gt;"",AL551,IFERROR(INDEX('Prospects'!$AN$5:$AN$504,MATCH(C551,'Prospects'!$C$5:$C$504,0)),"")),'Paramètres'!$Q$6:$Q$15,0)),0))-N(P551)),0)))</f>
        <v/>
      </c>
      <c r="AX551" s="61">
        <f>IF(C551="","",IF(COUNTIF($C$5:C551,C551)=1,MAX($AX$4:AX550)+1,""))</f>
        <v/>
      </c>
      <c r="AY551" s="61">
        <f>IF(B551="","",HOUR(B551))</f>
        <v/>
      </c>
      <c r="AZ551" s="61">
        <f>IF(A551="","",MOD(A551-2,7)+1)</f>
        <v/>
      </c>
      <c r="BA551" s="60">
        <f>IF(C551="","",IFERROR(INDEX('Prospects'!$N$5:$N$504,MATCH(C551,'Prospects'!$C$5:$C$504,0)),""))</f>
        <v/>
      </c>
      <c r="BB551" s="61">
        <f>IF(AND(C551&lt;&gt;"",C551='Fiche prospect'!$C$4),COUNTIF($C$5:C551,C551),"")</f>
        <v/>
      </c>
    </row>
    <row r="552">
      <c r="A552" s="53" t="n"/>
      <c r="B552" s="54" t="n"/>
      <c r="C552" s="55" t="n"/>
      <c r="D552" s="55" t="n"/>
      <c r="E552" s="55" t="n"/>
      <c r="F552" s="55" t="n"/>
      <c r="G552" s="56" t="n"/>
      <c r="H552" s="57" t="n"/>
      <c r="I552" s="55" t="n"/>
      <c r="J552" s="53" t="n"/>
      <c r="K552" s="54" t="n"/>
      <c r="L552" s="55" t="n"/>
      <c r="M552" s="55" t="n"/>
      <c r="N552" s="57" t="n"/>
      <c r="O552" s="55" t="n"/>
      <c r="P552" s="56" t="n"/>
      <c r="Q552" s="55" t="n"/>
      <c r="R552" s="55" t="n"/>
      <c r="S552" s="55" t="n"/>
      <c r="T552" s="55" t="n"/>
      <c r="U552" s="55" t="n"/>
      <c r="V552" s="55" t="n"/>
      <c r="W552" s="58" t="n"/>
      <c r="X552" s="58" t="n"/>
      <c r="Y552" s="55" t="n"/>
      <c r="Z552" s="55" t="n"/>
      <c r="AA552" s="55" t="n"/>
      <c r="AB552" s="55" t="n"/>
      <c r="AC552" s="55" t="n"/>
      <c r="AD552" s="53" t="n"/>
      <c r="AE552" s="55" t="n"/>
      <c r="AF552" s="55" t="n"/>
      <c r="AG552" s="59" t="n"/>
      <c r="AH552" s="57" t="n"/>
      <c r="AI552" s="55" t="n"/>
      <c r="AJ552" s="55" t="n"/>
      <c r="AK552" s="55" t="n"/>
      <c r="AL552" s="55" t="n"/>
      <c r="AM552" s="56" t="n"/>
      <c r="AN552" s="55" t="n"/>
      <c r="AO552" s="55" t="n"/>
      <c r="AP552" s="55" t="n"/>
      <c r="AQ552" s="55" t="n"/>
      <c r="AR552" s="60">
        <f>IF(AND(C552="",E552=""),"",IF(A552="","⚠ Date manquante",IF(AND(C552="",E552&lt;&gt;"Dépense"),"⚠ Prospect manquant",IF(E552="","⚠ Action manquante",IF(AND(AU552=1,D552=""),"⚠ Canal manquant",IF(AND(W552&lt;&gt;"",COUNTIFS('Saisie'!$W$5:$W$2004,W552,'Saisie'!$C$5:$C$2004,"&lt;&gt;"&amp;C552)&gt;0),"⚠ Numéro déjà utilisé par un autre prospect",IF(AND(J552&lt;&gt;"",J552&lt;A552),"⚠ Relance avant la date de l'action",IF(A552&gt;TODAY(),"⚠ Date dans le futur","✓"))))))))</f>
        <v/>
      </c>
      <c r="AS552" s="61">
        <f>IF(AND(A552="",C552="",E552=""),"",ROW())</f>
        <v/>
      </c>
      <c r="AT552" s="61">
        <f>IF(E552&amp;F552="","",MAX(IFERROR(INDEX('Paramètres'!$J$6:$J$33,MATCH(E552,'Paramètres'!$I$6:$I$33,0)),0),IFERROR(INDEX('Paramètres'!$N$6:$N$17,MATCH(F552,'Paramètres'!$M$6:$M$17,0)),0)))</f>
        <v/>
      </c>
      <c r="AU552" s="61">
        <f>IF(E552="","",IFERROR(IF(INDEX('Paramètres'!$K$6:$K$33,MATCH(E552,'Paramètres'!$I$6:$I$33,0))="Oui",1,0),0))</f>
        <v/>
      </c>
      <c r="AV552" s="61">
        <f>IF(F552="","",IFERROR(IF(INDEX('Paramètres'!$O$6:$O$17,MATCH(F552,'Paramètres'!$M$6:$M$17,0))="Oui",1,0),0))</f>
        <v/>
      </c>
      <c r="AW552" s="62">
        <f>IF(E552="","",IF(G552&lt;&gt;"",G552,IF(OR(E552="Proposition envoyée",E552="Signature"),MAX(0,N(IFERROR(INDEX('Paramètres'!$R$6:$R$15,MATCH(IF(AL552&lt;&gt;"",AL552,IFERROR(INDEX('Prospects'!$AN$5:$AN$504,MATCH(C552,'Prospects'!$C$5:$C$504,0)),"")),'Paramètres'!$Q$6:$Q$15,0)),0))-N(P552)),0)))</f>
        <v/>
      </c>
      <c r="AX552" s="61">
        <f>IF(C552="","",IF(COUNTIF($C$5:C552,C552)=1,MAX($AX$4:AX551)+1,""))</f>
        <v/>
      </c>
      <c r="AY552" s="61">
        <f>IF(B552="","",HOUR(B552))</f>
        <v/>
      </c>
      <c r="AZ552" s="61">
        <f>IF(A552="","",MOD(A552-2,7)+1)</f>
        <v/>
      </c>
      <c r="BA552" s="60">
        <f>IF(C552="","",IFERROR(INDEX('Prospects'!$N$5:$N$504,MATCH(C552,'Prospects'!$C$5:$C$504,0)),""))</f>
        <v/>
      </c>
      <c r="BB552" s="61">
        <f>IF(AND(C552&lt;&gt;"",C552='Fiche prospect'!$C$4),COUNTIF($C$5:C552,C552),"")</f>
        <v/>
      </c>
    </row>
    <row r="553">
      <c r="A553" s="53" t="n"/>
      <c r="B553" s="54" t="n"/>
      <c r="C553" s="55" t="n"/>
      <c r="D553" s="55" t="n"/>
      <c r="E553" s="55" t="n"/>
      <c r="F553" s="55" t="n"/>
      <c r="G553" s="56" t="n"/>
      <c r="H553" s="57" t="n"/>
      <c r="I553" s="55" t="n"/>
      <c r="J553" s="53" t="n"/>
      <c r="K553" s="54" t="n"/>
      <c r="L553" s="55" t="n"/>
      <c r="M553" s="55" t="n"/>
      <c r="N553" s="57" t="n"/>
      <c r="O553" s="55" t="n"/>
      <c r="P553" s="56" t="n"/>
      <c r="Q553" s="55" t="n"/>
      <c r="R553" s="55" t="n"/>
      <c r="S553" s="55" t="n"/>
      <c r="T553" s="55" t="n"/>
      <c r="U553" s="55" t="n"/>
      <c r="V553" s="55" t="n"/>
      <c r="W553" s="58" t="n"/>
      <c r="X553" s="58" t="n"/>
      <c r="Y553" s="55" t="n"/>
      <c r="Z553" s="55" t="n"/>
      <c r="AA553" s="55" t="n"/>
      <c r="AB553" s="55" t="n"/>
      <c r="AC553" s="55" t="n"/>
      <c r="AD553" s="53" t="n"/>
      <c r="AE553" s="55" t="n"/>
      <c r="AF553" s="55" t="n"/>
      <c r="AG553" s="59" t="n"/>
      <c r="AH553" s="57" t="n"/>
      <c r="AI553" s="55" t="n"/>
      <c r="AJ553" s="55" t="n"/>
      <c r="AK553" s="55" t="n"/>
      <c r="AL553" s="55" t="n"/>
      <c r="AM553" s="56" t="n"/>
      <c r="AN553" s="55" t="n"/>
      <c r="AO553" s="55" t="n"/>
      <c r="AP553" s="55" t="n"/>
      <c r="AQ553" s="55" t="n"/>
      <c r="AR553" s="60">
        <f>IF(AND(C553="",E553=""),"",IF(A553="","⚠ Date manquante",IF(AND(C553="",E553&lt;&gt;"Dépense"),"⚠ Prospect manquant",IF(E553="","⚠ Action manquante",IF(AND(AU553=1,D553=""),"⚠ Canal manquant",IF(AND(W553&lt;&gt;"",COUNTIFS('Saisie'!$W$5:$W$2004,W553,'Saisie'!$C$5:$C$2004,"&lt;&gt;"&amp;C553)&gt;0),"⚠ Numéro déjà utilisé par un autre prospect",IF(AND(J553&lt;&gt;"",J553&lt;A553),"⚠ Relance avant la date de l'action",IF(A553&gt;TODAY(),"⚠ Date dans le futur","✓"))))))))</f>
        <v/>
      </c>
      <c r="AS553" s="61">
        <f>IF(AND(A553="",C553="",E553=""),"",ROW())</f>
        <v/>
      </c>
      <c r="AT553" s="61">
        <f>IF(E553&amp;F553="","",MAX(IFERROR(INDEX('Paramètres'!$J$6:$J$33,MATCH(E553,'Paramètres'!$I$6:$I$33,0)),0),IFERROR(INDEX('Paramètres'!$N$6:$N$17,MATCH(F553,'Paramètres'!$M$6:$M$17,0)),0)))</f>
        <v/>
      </c>
      <c r="AU553" s="61">
        <f>IF(E553="","",IFERROR(IF(INDEX('Paramètres'!$K$6:$K$33,MATCH(E553,'Paramètres'!$I$6:$I$33,0))="Oui",1,0),0))</f>
        <v/>
      </c>
      <c r="AV553" s="61">
        <f>IF(F553="","",IFERROR(IF(INDEX('Paramètres'!$O$6:$O$17,MATCH(F553,'Paramètres'!$M$6:$M$17,0))="Oui",1,0),0))</f>
        <v/>
      </c>
      <c r="AW553" s="62">
        <f>IF(E553="","",IF(G553&lt;&gt;"",G553,IF(OR(E553="Proposition envoyée",E553="Signature"),MAX(0,N(IFERROR(INDEX('Paramètres'!$R$6:$R$15,MATCH(IF(AL553&lt;&gt;"",AL553,IFERROR(INDEX('Prospects'!$AN$5:$AN$504,MATCH(C553,'Prospects'!$C$5:$C$504,0)),"")),'Paramètres'!$Q$6:$Q$15,0)),0))-N(P553)),0)))</f>
        <v/>
      </c>
      <c r="AX553" s="61">
        <f>IF(C553="","",IF(COUNTIF($C$5:C553,C553)=1,MAX($AX$4:AX552)+1,""))</f>
        <v/>
      </c>
      <c r="AY553" s="61">
        <f>IF(B553="","",HOUR(B553))</f>
        <v/>
      </c>
      <c r="AZ553" s="61">
        <f>IF(A553="","",MOD(A553-2,7)+1)</f>
        <v/>
      </c>
      <c r="BA553" s="60">
        <f>IF(C553="","",IFERROR(INDEX('Prospects'!$N$5:$N$504,MATCH(C553,'Prospects'!$C$5:$C$504,0)),""))</f>
        <v/>
      </c>
      <c r="BB553" s="61">
        <f>IF(AND(C553&lt;&gt;"",C553='Fiche prospect'!$C$4),COUNTIF($C$5:C553,C553),"")</f>
        <v/>
      </c>
    </row>
    <row r="554">
      <c r="A554" s="53" t="n"/>
      <c r="B554" s="54" t="n"/>
      <c r="C554" s="55" t="n"/>
      <c r="D554" s="55" t="n"/>
      <c r="E554" s="55" t="n"/>
      <c r="F554" s="55" t="n"/>
      <c r="G554" s="56" t="n"/>
      <c r="H554" s="57" t="n"/>
      <c r="I554" s="55" t="n"/>
      <c r="J554" s="53" t="n"/>
      <c r="K554" s="54" t="n"/>
      <c r="L554" s="55" t="n"/>
      <c r="M554" s="55" t="n"/>
      <c r="N554" s="57" t="n"/>
      <c r="O554" s="55" t="n"/>
      <c r="P554" s="56" t="n"/>
      <c r="Q554" s="55" t="n"/>
      <c r="R554" s="55" t="n"/>
      <c r="S554" s="55" t="n"/>
      <c r="T554" s="55" t="n"/>
      <c r="U554" s="55" t="n"/>
      <c r="V554" s="55" t="n"/>
      <c r="W554" s="58" t="n"/>
      <c r="X554" s="58" t="n"/>
      <c r="Y554" s="55" t="n"/>
      <c r="Z554" s="55" t="n"/>
      <c r="AA554" s="55" t="n"/>
      <c r="AB554" s="55" t="n"/>
      <c r="AC554" s="55" t="n"/>
      <c r="AD554" s="53" t="n"/>
      <c r="AE554" s="55" t="n"/>
      <c r="AF554" s="55" t="n"/>
      <c r="AG554" s="59" t="n"/>
      <c r="AH554" s="57" t="n"/>
      <c r="AI554" s="55" t="n"/>
      <c r="AJ554" s="55" t="n"/>
      <c r="AK554" s="55" t="n"/>
      <c r="AL554" s="55" t="n"/>
      <c r="AM554" s="56" t="n"/>
      <c r="AN554" s="55" t="n"/>
      <c r="AO554" s="55" t="n"/>
      <c r="AP554" s="55" t="n"/>
      <c r="AQ554" s="55" t="n"/>
      <c r="AR554" s="60">
        <f>IF(AND(C554="",E554=""),"",IF(A554="","⚠ Date manquante",IF(AND(C554="",E554&lt;&gt;"Dépense"),"⚠ Prospect manquant",IF(E554="","⚠ Action manquante",IF(AND(AU554=1,D554=""),"⚠ Canal manquant",IF(AND(W554&lt;&gt;"",COUNTIFS('Saisie'!$W$5:$W$2004,W554,'Saisie'!$C$5:$C$2004,"&lt;&gt;"&amp;C554)&gt;0),"⚠ Numéro déjà utilisé par un autre prospect",IF(AND(J554&lt;&gt;"",J554&lt;A554),"⚠ Relance avant la date de l'action",IF(A554&gt;TODAY(),"⚠ Date dans le futur","✓"))))))))</f>
        <v/>
      </c>
      <c r="AS554" s="61">
        <f>IF(AND(A554="",C554="",E554=""),"",ROW())</f>
        <v/>
      </c>
      <c r="AT554" s="61">
        <f>IF(E554&amp;F554="","",MAX(IFERROR(INDEX('Paramètres'!$J$6:$J$33,MATCH(E554,'Paramètres'!$I$6:$I$33,0)),0),IFERROR(INDEX('Paramètres'!$N$6:$N$17,MATCH(F554,'Paramètres'!$M$6:$M$17,0)),0)))</f>
        <v/>
      </c>
      <c r="AU554" s="61">
        <f>IF(E554="","",IFERROR(IF(INDEX('Paramètres'!$K$6:$K$33,MATCH(E554,'Paramètres'!$I$6:$I$33,0))="Oui",1,0),0))</f>
        <v/>
      </c>
      <c r="AV554" s="61">
        <f>IF(F554="","",IFERROR(IF(INDEX('Paramètres'!$O$6:$O$17,MATCH(F554,'Paramètres'!$M$6:$M$17,0))="Oui",1,0),0))</f>
        <v/>
      </c>
      <c r="AW554" s="62">
        <f>IF(E554="","",IF(G554&lt;&gt;"",G554,IF(OR(E554="Proposition envoyée",E554="Signature"),MAX(0,N(IFERROR(INDEX('Paramètres'!$R$6:$R$15,MATCH(IF(AL554&lt;&gt;"",AL554,IFERROR(INDEX('Prospects'!$AN$5:$AN$504,MATCH(C554,'Prospects'!$C$5:$C$504,0)),"")),'Paramètres'!$Q$6:$Q$15,0)),0))-N(P554)),0)))</f>
        <v/>
      </c>
      <c r="AX554" s="61">
        <f>IF(C554="","",IF(COUNTIF($C$5:C554,C554)=1,MAX($AX$4:AX553)+1,""))</f>
        <v/>
      </c>
      <c r="AY554" s="61">
        <f>IF(B554="","",HOUR(B554))</f>
        <v/>
      </c>
      <c r="AZ554" s="61">
        <f>IF(A554="","",MOD(A554-2,7)+1)</f>
        <v/>
      </c>
      <c r="BA554" s="60">
        <f>IF(C554="","",IFERROR(INDEX('Prospects'!$N$5:$N$504,MATCH(C554,'Prospects'!$C$5:$C$504,0)),""))</f>
        <v/>
      </c>
      <c r="BB554" s="61">
        <f>IF(AND(C554&lt;&gt;"",C554='Fiche prospect'!$C$4),COUNTIF($C$5:C554,C554),"")</f>
        <v/>
      </c>
    </row>
    <row r="555">
      <c r="A555" s="53" t="n"/>
      <c r="B555" s="54" t="n"/>
      <c r="C555" s="55" t="n"/>
      <c r="D555" s="55" t="n"/>
      <c r="E555" s="55" t="n"/>
      <c r="F555" s="55" t="n"/>
      <c r="G555" s="56" t="n"/>
      <c r="H555" s="57" t="n"/>
      <c r="I555" s="55" t="n"/>
      <c r="J555" s="53" t="n"/>
      <c r="K555" s="54" t="n"/>
      <c r="L555" s="55" t="n"/>
      <c r="M555" s="55" t="n"/>
      <c r="N555" s="57" t="n"/>
      <c r="O555" s="55" t="n"/>
      <c r="P555" s="56" t="n"/>
      <c r="Q555" s="55" t="n"/>
      <c r="R555" s="55" t="n"/>
      <c r="S555" s="55" t="n"/>
      <c r="T555" s="55" t="n"/>
      <c r="U555" s="55" t="n"/>
      <c r="V555" s="55" t="n"/>
      <c r="W555" s="58" t="n"/>
      <c r="X555" s="58" t="n"/>
      <c r="Y555" s="55" t="n"/>
      <c r="Z555" s="55" t="n"/>
      <c r="AA555" s="55" t="n"/>
      <c r="AB555" s="55" t="n"/>
      <c r="AC555" s="55" t="n"/>
      <c r="AD555" s="53" t="n"/>
      <c r="AE555" s="55" t="n"/>
      <c r="AF555" s="55" t="n"/>
      <c r="AG555" s="59" t="n"/>
      <c r="AH555" s="57" t="n"/>
      <c r="AI555" s="55" t="n"/>
      <c r="AJ555" s="55" t="n"/>
      <c r="AK555" s="55" t="n"/>
      <c r="AL555" s="55" t="n"/>
      <c r="AM555" s="56" t="n"/>
      <c r="AN555" s="55" t="n"/>
      <c r="AO555" s="55" t="n"/>
      <c r="AP555" s="55" t="n"/>
      <c r="AQ555" s="55" t="n"/>
      <c r="AR555" s="60">
        <f>IF(AND(C555="",E555=""),"",IF(A555="","⚠ Date manquante",IF(AND(C555="",E555&lt;&gt;"Dépense"),"⚠ Prospect manquant",IF(E555="","⚠ Action manquante",IF(AND(AU555=1,D555=""),"⚠ Canal manquant",IF(AND(W555&lt;&gt;"",COUNTIFS('Saisie'!$W$5:$W$2004,W555,'Saisie'!$C$5:$C$2004,"&lt;&gt;"&amp;C555)&gt;0),"⚠ Numéro déjà utilisé par un autre prospect",IF(AND(J555&lt;&gt;"",J555&lt;A555),"⚠ Relance avant la date de l'action",IF(A555&gt;TODAY(),"⚠ Date dans le futur","✓"))))))))</f>
        <v/>
      </c>
      <c r="AS555" s="61">
        <f>IF(AND(A555="",C555="",E555=""),"",ROW())</f>
        <v/>
      </c>
      <c r="AT555" s="61">
        <f>IF(E555&amp;F555="","",MAX(IFERROR(INDEX('Paramètres'!$J$6:$J$33,MATCH(E555,'Paramètres'!$I$6:$I$33,0)),0),IFERROR(INDEX('Paramètres'!$N$6:$N$17,MATCH(F555,'Paramètres'!$M$6:$M$17,0)),0)))</f>
        <v/>
      </c>
      <c r="AU555" s="61">
        <f>IF(E555="","",IFERROR(IF(INDEX('Paramètres'!$K$6:$K$33,MATCH(E555,'Paramètres'!$I$6:$I$33,0))="Oui",1,0),0))</f>
        <v/>
      </c>
      <c r="AV555" s="61">
        <f>IF(F555="","",IFERROR(IF(INDEX('Paramètres'!$O$6:$O$17,MATCH(F555,'Paramètres'!$M$6:$M$17,0))="Oui",1,0),0))</f>
        <v/>
      </c>
      <c r="AW555" s="62">
        <f>IF(E555="","",IF(G555&lt;&gt;"",G555,IF(OR(E555="Proposition envoyée",E555="Signature"),MAX(0,N(IFERROR(INDEX('Paramètres'!$R$6:$R$15,MATCH(IF(AL555&lt;&gt;"",AL555,IFERROR(INDEX('Prospects'!$AN$5:$AN$504,MATCH(C555,'Prospects'!$C$5:$C$504,0)),"")),'Paramètres'!$Q$6:$Q$15,0)),0))-N(P555)),0)))</f>
        <v/>
      </c>
      <c r="AX555" s="61">
        <f>IF(C555="","",IF(COUNTIF($C$5:C555,C555)=1,MAX($AX$4:AX554)+1,""))</f>
        <v/>
      </c>
      <c r="AY555" s="61">
        <f>IF(B555="","",HOUR(B555))</f>
        <v/>
      </c>
      <c r="AZ555" s="61">
        <f>IF(A555="","",MOD(A555-2,7)+1)</f>
        <v/>
      </c>
      <c r="BA555" s="60">
        <f>IF(C555="","",IFERROR(INDEX('Prospects'!$N$5:$N$504,MATCH(C555,'Prospects'!$C$5:$C$504,0)),""))</f>
        <v/>
      </c>
      <c r="BB555" s="61">
        <f>IF(AND(C555&lt;&gt;"",C555='Fiche prospect'!$C$4),COUNTIF($C$5:C555,C555),"")</f>
        <v/>
      </c>
    </row>
    <row r="556">
      <c r="A556" s="53" t="n"/>
      <c r="B556" s="54" t="n"/>
      <c r="C556" s="55" t="n"/>
      <c r="D556" s="55" t="n"/>
      <c r="E556" s="55" t="n"/>
      <c r="F556" s="55" t="n"/>
      <c r="G556" s="56" t="n"/>
      <c r="H556" s="57" t="n"/>
      <c r="I556" s="55" t="n"/>
      <c r="J556" s="53" t="n"/>
      <c r="K556" s="54" t="n"/>
      <c r="L556" s="55" t="n"/>
      <c r="M556" s="55" t="n"/>
      <c r="N556" s="57" t="n"/>
      <c r="O556" s="55" t="n"/>
      <c r="P556" s="56" t="n"/>
      <c r="Q556" s="55" t="n"/>
      <c r="R556" s="55" t="n"/>
      <c r="S556" s="55" t="n"/>
      <c r="T556" s="55" t="n"/>
      <c r="U556" s="55" t="n"/>
      <c r="V556" s="55" t="n"/>
      <c r="W556" s="58" t="n"/>
      <c r="X556" s="58" t="n"/>
      <c r="Y556" s="55" t="n"/>
      <c r="Z556" s="55" t="n"/>
      <c r="AA556" s="55" t="n"/>
      <c r="AB556" s="55" t="n"/>
      <c r="AC556" s="55" t="n"/>
      <c r="AD556" s="53" t="n"/>
      <c r="AE556" s="55" t="n"/>
      <c r="AF556" s="55" t="n"/>
      <c r="AG556" s="59" t="n"/>
      <c r="AH556" s="57" t="n"/>
      <c r="AI556" s="55" t="n"/>
      <c r="AJ556" s="55" t="n"/>
      <c r="AK556" s="55" t="n"/>
      <c r="AL556" s="55" t="n"/>
      <c r="AM556" s="56" t="n"/>
      <c r="AN556" s="55" t="n"/>
      <c r="AO556" s="55" t="n"/>
      <c r="AP556" s="55" t="n"/>
      <c r="AQ556" s="55" t="n"/>
      <c r="AR556" s="60">
        <f>IF(AND(C556="",E556=""),"",IF(A556="","⚠ Date manquante",IF(AND(C556="",E556&lt;&gt;"Dépense"),"⚠ Prospect manquant",IF(E556="","⚠ Action manquante",IF(AND(AU556=1,D556=""),"⚠ Canal manquant",IF(AND(W556&lt;&gt;"",COUNTIFS('Saisie'!$W$5:$W$2004,W556,'Saisie'!$C$5:$C$2004,"&lt;&gt;"&amp;C556)&gt;0),"⚠ Numéro déjà utilisé par un autre prospect",IF(AND(J556&lt;&gt;"",J556&lt;A556),"⚠ Relance avant la date de l'action",IF(A556&gt;TODAY(),"⚠ Date dans le futur","✓"))))))))</f>
        <v/>
      </c>
      <c r="AS556" s="61">
        <f>IF(AND(A556="",C556="",E556=""),"",ROW())</f>
        <v/>
      </c>
      <c r="AT556" s="61">
        <f>IF(E556&amp;F556="","",MAX(IFERROR(INDEX('Paramètres'!$J$6:$J$33,MATCH(E556,'Paramètres'!$I$6:$I$33,0)),0),IFERROR(INDEX('Paramètres'!$N$6:$N$17,MATCH(F556,'Paramètres'!$M$6:$M$17,0)),0)))</f>
        <v/>
      </c>
      <c r="AU556" s="61">
        <f>IF(E556="","",IFERROR(IF(INDEX('Paramètres'!$K$6:$K$33,MATCH(E556,'Paramètres'!$I$6:$I$33,0))="Oui",1,0),0))</f>
        <v/>
      </c>
      <c r="AV556" s="61">
        <f>IF(F556="","",IFERROR(IF(INDEX('Paramètres'!$O$6:$O$17,MATCH(F556,'Paramètres'!$M$6:$M$17,0))="Oui",1,0),0))</f>
        <v/>
      </c>
      <c r="AW556" s="62">
        <f>IF(E556="","",IF(G556&lt;&gt;"",G556,IF(OR(E556="Proposition envoyée",E556="Signature"),MAX(0,N(IFERROR(INDEX('Paramètres'!$R$6:$R$15,MATCH(IF(AL556&lt;&gt;"",AL556,IFERROR(INDEX('Prospects'!$AN$5:$AN$504,MATCH(C556,'Prospects'!$C$5:$C$504,0)),"")),'Paramètres'!$Q$6:$Q$15,0)),0))-N(P556)),0)))</f>
        <v/>
      </c>
      <c r="AX556" s="61">
        <f>IF(C556="","",IF(COUNTIF($C$5:C556,C556)=1,MAX($AX$4:AX555)+1,""))</f>
        <v/>
      </c>
      <c r="AY556" s="61">
        <f>IF(B556="","",HOUR(B556))</f>
        <v/>
      </c>
      <c r="AZ556" s="61">
        <f>IF(A556="","",MOD(A556-2,7)+1)</f>
        <v/>
      </c>
      <c r="BA556" s="60">
        <f>IF(C556="","",IFERROR(INDEX('Prospects'!$N$5:$N$504,MATCH(C556,'Prospects'!$C$5:$C$504,0)),""))</f>
        <v/>
      </c>
      <c r="BB556" s="61">
        <f>IF(AND(C556&lt;&gt;"",C556='Fiche prospect'!$C$4),COUNTIF($C$5:C556,C556),"")</f>
        <v/>
      </c>
    </row>
    <row r="557">
      <c r="A557" s="53" t="n"/>
      <c r="B557" s="54" t="n"/>
      <c r="C557" s="55" t="n"/>
      <c r="D557" s="55" t="n"/>
      <c r="E557" s="55" t="n"/>
      <c r="F557" s="55" t="n"/>
      <c r="G557" s="56" t="n"/>
      <c r="H557" s="57" t="n"/>
      <c r="I557" s="55" t="n"/>
      <c r="J557" s="53" t="n"/>
      <c r="K557" s="54" t="n"/>
      <c r="L557" s="55" t="n"/>
      <c r="M557" s="55" t="n"/>
      <c r="N557" s="57" t="n"/>
      <c r="O557" s="55" t="n"/>
      <c r="P557" s="56" t="n"/>
      <c r="Q557" s="55" t="n"/>
      <c r="R557" s="55" t="n"/>
      <c r="S557" s="55" t="n"/>
      <c r="T557" s="55" t="n"/>
      <c r="U557" s="55" t="n"/>
      <c r="V557" s="55" t="n"/>
      <c r="W557" s="58" t="n"/>
      <c r="X557" s="58" t="n"/>
      <c r="Y557" s="55" t="n"/>
      <c r="Z557" s="55" t="n"/>
      <c r="AA557" s="55" t="n"/>
      <c r="AB557" s="55" t="n"/>
      <c r="AC557" s="55" t="n"/>
      <c r="AD557" s="53" t="n"/>
      <c r="AE557" s="55" t="n"/>
      <c r="AF557" s="55" t="n"/>
      <c r="AG557" s="59" t="n"/>
      <c r="AH557" s="57" t="n"/>
      <c r="AI557" s="55" t="n"/>
      <c r="AJ557" s="55" t="n"/>
      <c r="AK557" s="55" t="n"/>
      <c r="AL557" s="55" t="n"/>
      <c r="AM557" s="56" t="n"/>
      <c r="AN557" s="55" t="n"/>
      <c r="AO557" s="55" t="n"/>
      <c r="AP557" s="55" t="n"/>
      <c r="AQ557" s="55" t="n"/>
      <c r="AR557" s="60">
        <f>IF(AND(C557="",E557=""),"",IF(A557="","⚠ Date manquante",IF(AND(C557="",E557&lt;&gt;"Dépense"),"⚠ Prospect manquant",IF(E557="","⚠ Action manquante",IF(AND(AU557=1,D557=""),"⚠ Canal manquant",IF(AND(W557&lt;&gt;"",COUNTIFS('Saisie'!$W$5:$W$2004,W557,'Saisie'!$C$5:$C$2004,"&lt;&gt;"&amp;C557)&gt;0),"⚠ Numéro déjà utilisé par un autre prospect",IF(AND(J557&lt;&gt;"",J557&lt;A557),"⚠ Relance avant la date de l'action",IF(A557&gt;TODAY(),"⚠ Date dans le futur","✓"))))))))</f>
        <v/>
      </c>
      <c r="AS557" s="61">
        <f>IF(AND(A557="",C557="",E557=""),"",ROW())</f>
        <v/>
      </c>
      <c r="AT557" s="61">
        <f>IF(E557&amp;F557="","",MAX(IFERROR(INDEX('Paramètres'!$J$6:$J$33,MATCH(E557,'Paramètres'!$I$6:$I$33,0)),0),IFERROR(INDEX('Paramètres'!$N$6:$N$17,MATCH(F557,'Paramètres'!$M$6:$M$17,0)),0)))</f>
        <v/>
      </c>
      <c r="AU557" s="61">
        <f>IF(E557="","",IFERROR(IF(INDEX('Paramètres'!$K$6:$K$33,MATCH(E557,'Paramètres'!$I$6:$I$33,0))="Oui",1,0),0))</f>
        <v/>
      </c>
      <c r="AV557" s="61">
        <f>IF(F557="","",IFERROR(IF(INDEX('Paramètres'!$O$6:$O$17,MATCH(F557,'Paramètres'!$M$6:$M$17,0))="Oui",1,0),0))</f>
        <v/>
      </c>
      <c r="AW557" s="62">
        <f>IF(E557="","",IF(G557&lt;&gt;"",G557,IF(OR(E557="Proposition envoyée",E557="Signature"),MAX(0,N(IFERROR(INDEX('Paramètres'!$R$6:$R$15,MATCH(IF(AL557&lt;&gt;"",AL557,IFERROR(INDEX('Prospects'!$AN$5:$AN$504,MATCH(C557,'Prospects'!$C$5:$C$504,0)),"")),'Paramètres'!$Q$6:$Q$15,0)),0))-N(P557)),0)))</f>
        <v/>
      </c>
      <c r="AX557" s="61">
        <f>IF(C557="","",IF(COUNTIF($C$5:C557,C557)=1,MAX($AX$4:AX556)+1,""))</f>
        <v/>
      </c>
      <c r="AY557" s="61">
        <f>IF(B557="","",HOUR(B557))</f>
        <v/>
      </c>
      <c r="AZ557" s="61">
        <f>IF(A557="","",MOD(A557-2,7)+1)</f>
        <v/>
      </c>
      <c r="BA557" s="60">
        <f>IF(C557="","",IFERROR(INDEX('Prospects'!$N$5:$N$504,MATCH(C557,'Prospects'!$C$5:$C$504,0)),""))</f>
        <v/>
      </c>
      <c r="BB557" s="61">
        <f>IF(AND(C557&lt;&gt;"",C557='Fiche prospect'!$C$4),COUNTIF($C$5:C557,C557),"")</f>
        <v/>
      </c>
    </row>
    <row r="558">
      <c r="A558" s="53" t="n"/>
      <c r="B558" s="54" t="n"/>
      <c r="C558" s="55" t="n"/>
      <c r="D558" s="55" t="n"/>
      <c r="E558" s="55" t="n"/>
      <c r="F558" s="55" t="n"/>
      <c r="G558" s="56" t="n"/>
      <c r="H558" s="57" t="n"/>
      <c r="I558" s="55" t="n"/>
      <c r="J558" s="53" t="n"/>
      <c r="K558" s="54" t="n"/>
      <c r="L558" s="55" t="n"/>
      <c r="M558" s="55" t="n"/>
      <c r="N558" s="57" t="n"/>
      <c r="O558" s="55" t="n"/>
      <c r="P558" s="56" t="n"/>
      <c r="Q558" s="55" t="n"/>
      <c r="R558" s="55" t="n"/>
      <c r="S558" s="55" t="n"/>
      <c r="T558" s="55" t="n"/>
      <c r="U558" s="55" t="n"/>
      <c r="V558" s="55" t="n"/>
      <c r="W558" s="58" t="n"/>
      <c r="X558" s="58" t="n"/>
      <c r="Y558" s="55" t="n"/>
      <c r="Z558" s="55" t="n"/>
      <c r="AA558" s="55" t="n"/>
      <c r="AB558" s="55" t="n"/>
      <c r="AC558" s="55" t="n"/>
      <c r="AD558" s="53" t="n"/>
      <c r="AE558" s="55" t="n"/>
      <c r="AF558" s="55" t="n"/>
      <c r="AG558" s="59" t="n"/>
      <c r="AH558" s="57" t="n"/>
      <c r="AI558" s="55" t="n"/>
      <c r="AJ558" s="55" t="n"/>
      <c r="AK558" s="55" t="n"/>
      <c r="AL558" s="55" t="n"/>
      <c r="AM558" s="56" t="n"/>
      <c r="AN558" s="55" t="n"/>
      <c r="AO558" s="55" t="n"/>
      <c r="AP558" s="55" t="n"/>
      <c r="AQ558" s="55" t="n"/>
      <c r="AR558" s="60">
        <f>IF(AND(C558="",E558=""),"",IF(A558="","⚠ Date manquante",IF(AND(C558="",E558&lt;&gt;"Dépense"),"⚠ Prospect manquant",IF(E558="","⚠ Action manquante",IF(AND(AU558=1,D558=""),"⚠ Canal manquant",IF(AND(W558&lt;&gt;"",COUNTIFS('Saisie'!$W$5:$W$2004,W558,'Saisie'!$C$5:$C$2004,"&lt;&gt;"&amp;C558)&gt;0),"⚠ Numéro déjà utilisé par un autre prospect",IF(AND(J558&lt;&gt;"",J558&lt;A558),"⚠ Relance avant la date de l'action",IF(A558&gt;TODAY(),"⚠ Date dans le futur","✓"))))))))</f>
        <v/>
      </c>
      <c r="AS558" s="61">
        <f>IF(AND(A558="",C558="",E558=""),"",ROW())</f>
        <v/>
      </c>
      <c r="AT558" s="61">
        <f>IF(E558&amp;F558="","",MAX(IFERROR(INDEX('Paramètres'!$J$6:$J$33,MATCH(E558,'Paramètres'!$I$6:$I$33,0)),0),IFERROR(INDEX('Paramètres'!$N$6:$N$17,MATCH(F558,'Paramètres'!$M$6:$M$17,0)),0)))</f>
        <v/>
      </c>
      <c r="AU558" s="61">
        <f>IF(E558="","",IFERROR(IF(INDEX('Paramètres'!$K$6:$K$33,MATCH(E558,'Paramètres'!$I$6:$I$33,0))="Oui",1,0),0))</f>
        <v/>
      </c>
      <c r="AV558" s="61">
        <f>IF(F558="","",IFERROR(IF(INDEX('Paramètres'!$O$6:$O$17,MATCH(F558,'Paramètres'!$M$6:$M$17,0))="Oui",1,0),0))</f>
        <v/>
      </c>
      <c r="AW558" s="62">
        <f>IF(E558="","",IF(G558&lt;&gt;"",G558,IF(OR(E558="Proposition envoyée",E558="Signature"),MAX(0,N(IFERROR(INDEX('Paramètres'!$R$6:$R$15,MATCH(IF(AL558&lt;&gt;"",AL558,IFERROR(INDEX('Prospects'!$AN$5:$AN$504,MATCH(C558,'Prospects'!$C$5:$C$504,0)),"")),'Paramètres'!$Q$6:$Q$15,0)),0))-N(P558)),0)))</f>
        <v/>
      </c>
      <c r="AX558" s="61">
        <f>IF(C558="","",IF(COUNTIF($C$5:C558,C558)=1,MAX($AX$4:AX557)+1,""))</f>
        <v/>
      </c>
      <c r="AY558" s="61">
        <f>IF(B558="","",HOUR(B558))</f>
        <v/>
      </c>
      <c r="AZ558" s="61">
        <f>IF(A558="","",MOD(A558-2,7)+1)</f>
        <v/>
      </c>
      <c r="BA558" s="60">
        <f>IF(C558="","",IFERROR(INDEX('Prospects'!$N$5:$N$504,MATCH(C558,'Prospects'!$C$5:$C$504,0)),""))</f>
        <v/>
      </c>
      <c r="BB558" s="61">
        <f>IF(AND(C558&lt;&gt;"",C558='Fiche prospect'!$C$4),COUNTIF($C$5:C558,C558),"")</f>
        <v/>
      </c>
    </row>
    <row r="559">
      <c r="A559" s="53" t="n"/>
      <c r="B559" s="54" t="n"/>
      <c r="C559" s="55" t="n"/>
      <c r="D559" s="55" t="n"/>
      <c r="E559" s="55" t="n"/>
      <c r="F559" s="55" t="n"/>
      <c r="G559" s="56" t="n"/>
      <c r="H559" s="57" t="n"/>
      <c r="I559" s="55" t="n"/>
      <c r="J559" s="53" t="n"/>
      <c r="K559" s="54" t="n"/>
      <c r="L559" s="55" t="n"/>
      <c r="M559" s="55" t="n"/>
      <c r="N559" s="57" t="n"/>
      <c r="O559" s="55" t="n"/>
      <c r="P559" s="56" t="n"/>
      <c r="Q559" s="55" t="n"/>
      <c r="R559" s="55" t="n"/>
      <c r="S559" s="55" t="n"/>
      <c r="T559" s="55" t="n"/>
      <c r="U559" s="55" t="n"/>
      <c r="V559" s="55" t="n"/>
      <c r="W559" s="58" t="n"/>
      <c r="X559" s="58" t="n"/>
      <c r="Y559" s="55" t="n"/>
      <c r="Z559" s="55" t="n"/>
      <c r="AA559" s="55" t="n"/>
      <c r="AB559" s="55" t="n"/>
      <c r="AC559" s="55" t="n"/>
      <c r="AD559" s="53" t="n"/>
      <c r="AE559" s="55" t="n"/>
      <c r="AF559" s="55" t="n"/>
      <c r="AG559" s="59" t="n"/>
      <c r="AH559" s="57" t="n"/>
      <c r="AI559" s="55" t="n"/>
      <c r="AJ559" s="55" t="n"/>
      <c r="AK559" s="55" t="n"/>
      <c r="AL559" s="55" t="n"/>
      <c r="AM559" s="56" t="n"/>
      <c r="AN559" s="55" t="n"/>
      <c r="AO559" s="55" t="n"/>
      <c r="AP559" s="55" t="n"/>
      <c r="AQ559" s="55" t="n"/>
      <c r="AR559" s="60">
        <f>IF(AND(C559="",E559=""),"",IF(A559="","⚠ Date manquante",IF(AND(C559="",E559&lt;&gt;"Dépense"),"⚠ Prospect manquant",IF(E559="","⚠ Action manquante",IF(AND(AU559=1,D559=""),"⚠ Canal manquant",IF(AND(W559&lt;&gt;"",COUNTIFS('Saisie'!$W$5:$W$2004,W559,'Saisie'!$C$5:$C$2004,"&lt;&gt;"&amp;C559)&gt;0),"⚠ Numéro déjà utilisé par un autre prospect",IF(AND(J559&lt;&gt;"",J559&lt;A559),"⚠ Relance avant la date de l'action",IF(A559&gt;TODAY(),"⚠ Date dans le futur","✓"))))))))</f>
        <v/>
      </c>
      <c r="AS559" s="61">
        <f>IF(AND(A559="",C559="",E559=""),"",ROW())</f>
        <v/>
      </c>
      <c r="AT559" s="61">
        <f>IF(E559&amp;F559="","",MAX(IFERROR(INDEX('Paramètres'!$J$6:$J$33,MATCH(E559,'Paramètres'!$I$6:$I$33,0)),0),IFERROR(INDEX('Paramètres'!$N$6:$N$17,MATCH(F559,'Paramètres'!$M$6:$M$17,0)),0)))</f>
        <v/>
      </c>
      <c r="AU559" s="61">
        <f>IF(E559="","",IFERROR(IF(INDEX('Paramètres'!$K$6:$K$33,MATCH(E559,'Paramètres'!$I$6:$I$33,0))="Oui",1,0),0))</f>
        <v/>
      </c>
      <c r="AV559" s="61">
        <f>IF(F559="","",IFERROR(IF(INDEX('Paramètres'!$O$6:$O$17,MATCH(F559,'Paramètres'!$M$6:$M$17,0))="Oui",1,0),0))</f>
        <v/>
      </c>
      <c r="AW559" s="62">
        <f>IF(E559="","",IF(G559&lt;&gt;"",G559,IF(OR(E559="Proposition envoyée",E559="Signature"),MAX(0,N(IFERROR(INDEX('Paramètres'!$R$6:$R$15,MATCH(IF(AL559&lt;&gt;"",AL559,IFERROR(INDEX('Prospects'!$AN$5:$AN$504,MATCH(C559,'Prospects'!$C$5:$C$504,0)),"")),'Paramètres'!$Q$6:$Q$15,0)),0))-N(P559)),0)))</f>
        <v/>
      </c>
      <c r="AX559" s="61">
        <f>IF(C559="","",IF(COUNTIF($C$5:C559,C559)=1,MAX($AX$4:AX558)+1,""))</f>
        <v/>
      </c>
      <c r="AY559" s="61">
        <f>IF(B559="","",HOUR(B559))</f>
        <v/>
      </c>
      <c r="AZ559" s="61">
        <f>IF(A559="","",MOD(A559-2,7)+1)</f>
        <v/>
      </c>
      <c r="BA559" s="60">
        <f>IF(C559="","",IFERROR(INDEX('Prospects'!$N$5:$N$504,MATCH(C559,'Prospects'!$C$5:$C$504,0)),""))</f>
        <v/>
      </c>
      <c r="BB559" s="61">
        <f>IF(AND(C559&lt;&gt;"",C559='Fiche prospect'!$C$4),COUNTIF($C$5:C559,C559),"")</f>
        <v/>
      </c>
    </row>
    <row r="560">
      <c r="A560" s="53" t="n"/>
      <c r="B560" s="54" t="n"/>
      <c r="C560" s="55" t="n"/>
      <c r="D560" s="55" t="n"/>
      <c r="E560" s="55" t="n"/>
      <c r="F560" s="55" t="n"/>
      <c r="G560" s="56" t="n"/>
      <c r="H560" s="57" t="n"/>
      <c r="I560" s="55" t="n"/>
      <c r="J560" s="53" t="n"/>
      <c r="K560" s="54" t="n"/>
      <c r="L560" s="55" t="n"/>
      <c r="M560" s="55" t="n"/>
      <c r="N560" s="57" t="n"/>
      <c r="O560" s="55" t="n"/>
      <c r="P560" s="56" t="n"/>
      <c r="Q560" s="55" t="n"/>
      <c r="R560" s="55" t="n"/>
      <c r="S560" s="55" t="n"/>
      <c r="T560" s="55" t="n"/>
      <c r="U560" s="55" t="n"/>
      <c r="V560" s="55" t="n"/>
      <c r="W560" s="58" t="n"/>
      <c r="X560" s="58" t="n"/>
      <c r="Y560" s="55" t="n"/>
      <c r="Z560" s="55" t="n"/>
      <c r="AA560" s="55" t="n"/>
      <c r="AB560" s="55" t="n"/>
      <c r="AC560" s="55" t="n"/>
      <c r="AD560" s="53" t="n"/>
      <c r="AE560" s="55" t="n"/>
      <c r="AF560" s="55" t="n"/>
      <c r="AG560" s="59" t="n"/>
      <c r="AH560" s="57" t="n"/>
      <c r="AI560" s="55" t="n"/>
      <c r="AJ560" s="55" t="n"/>
      <c r="AK560" s="55" t="n"/>
      <c r="AL560" s="55" t="n"/>
      <c r="AM560" s="56" t="n"/>
      <c r="AN560" s="55" t="n"/>
      <c r="AO560" s="55" t="n"/>
      <c r="AP560" s="55" t="n"/>
      <c r="AQ560" s="55" t="n"/>
      <c r="AR560" s="60">
        <f>IF(AND(C560="",E560=""),"",IF(A560="","⚠ Date manquante",IF(AND(C560="",E560&lt;&gt;"Dépense"),"⚠ Prospect manquant",IF(E560="","⚠ Action manquante",IF(AND(AU560=1,D560=""),"⚠ Canal manquant",IF(AND(W560&lt;&gt;"",COUNTIFS('Saisie'!$W$5:$W$2004,W560,'Saisie'!$C$5:$C$2004,"&lt;&gt;"&amp;C560)&gt;0),"⚠ Numéro déjà utilisé par un autre prospect",IF(AND(J560&lt;&gt;"",J560&lt;A560),"⚠ Relance avant la date de l'action",IF(A560&gt;TODAY(),"⚠ Date dans le futur","✓"))))))))</f>
        <v/>
      </c>
      <c r="AS560" s="61">
        <f>IF(AND(A560="",C560="",E560=""),"",ROW())</f>
        <v/>
      </c>
      <c r="AT560" s="61">
        <f>IF(E560&amp;F560="","",MAX(IFERROR(INDEX('Paramètres'!$J$6:$J$33,MATCH(E560,'Paramètres'!$I$6:$I$33,0)),0),IFERROR(INDEX('Paramètres'!$N$6:$N$17,MATCH(F560,'Paramètres'!$M$6:$M$17,0)),0)))</f>
        <v/>
      </c>
      <c r="AU560" s="61">
        <f>IF(E560="","",IFERROR(IF(INDEX('Paramètres'!$K$6:$K$33,MATCH(E560,'Paramètres'!$I$6:$I$33,0))="Oui",1,0),0))</f>
        <v/>
      </c>
      <c r="AV560" s="61">
        <f>IF(F560="","",IFERROR(IF(INDEX('Paramètres'!$O$6:$O$17,MATCH(F560,'Paramètres'!$M$6:$M$17,0))="Oui",1,0),0))</f>
        <v/>
      </c>
      <c r="AW560" s="62">
        <f>IF(E560="","",IF(G560&lt;&gt;"",G560,IF(OR(E560="Proposition envoyée",E560="Signature"),MAX(0,N(IFERROR(INDEX('Paramètres'!$R$6:$R$15,MATCH(IF(AL560&lt;&gt;"",AL560,IFERROR(INDEX('Prospects'!$AN$5:$AN$504,MATCH(C560,'Prospects'!$C$5:$C$504,0)),"")),'Paramètres'!$Q$6:$Q$15,0)),0))-N(P560)),0)))</f>
        <v/>
      </c>
      <c r="AX560" s="61">
        <f>IF(C560="","",IF(COUNTIF($C$5:C560,C560)=1,MAX($AX$4:AX559)+1,""))</f>
        <v/>
      </c>
      <c r="AY560" s="61">
        <f>IF(B560="","",HOUR(B560))</f>
        <v/>
      </c>
      <c r="AZ560" s="61">
        <f>IF(A560="","",MOD(A560-2,7)+1)</f>
        <v/>
      </c>
      <c r="BA560" s="60">
        <f>IF(C560="","",IFERROR(INDEX('Prospects'!$N$5:$N$504,MATCH(C560,'Prospects'!$C$5:$C$504,0)),""))</f>
        <v/>
      </c>
      <c r="BB560" s="61">
        <f>IF(AND(C560&lt;&gt;"",C560='Fiche prospect'!$C$4),COUNTIF($C$5:C560,C560),"")</f>
        <v/>
      </c>
    </row>
    <row r="561">
      <c r="A561" s="53" t="n"/>
      <c r="B561" s="54" t="n"/>
      <c r="C561" s="55" t="n"/>
      <c r="D561" s="55" t="n"/>
      <c r="E561" s="55" t="n"/>
      <c r="F561" s="55" t="n"/>
      <c r="G561" s="56" t="n"/>
      <c r="H561" s="57" t="n"/>
      <c r="I561" s="55" t="n"/>
      <c r="J561" s="53" t="n"/>
      <c r="K561" s="54" t="n"/>
      <c r="L561" s="55" t="n"/>
      <c r="M561" s="55" t="n"/>
      <c r="N561" s="57" t="n"/>
      <c r="O561" s="55" t="n"/>
      <c r="P561" s="56" t="n"/>
      <c r="Q561" s="55" t="n"/>
      <c r="R561" s="55" t="n"/>
      <c r="S561" s="55" t="n"/>
      <c r="T561" s="55" t="n"/>
      <c r="U561" s="55" t="n"/>
      <c r="V561" s="55" t="n"/>
      <c r="W561" s="58" t="n"/>
      <c r="X561" s="58" t="n"/>
      <c r="Y561" s="55" t="n"/>
      <c r="Z561" s="55" t="n"/>
      <c r="AA561" s="55" t="n"/>
      <c r="AB561" s="55" t="n"/>
      <c r="AC561" s="55" t="n"/>
      <c r="AD561" s="53" t="n"/>
      <c r="AE561" s="55" t="n"/>
      <c r="AF561" s="55" t="n"/>
      <c r="AG561" s="59" t="n"/>
      <c r="AH561" s="57" t="n"/>
      <c r="AI561" s="55" t="n"/>
      <c r="AJ561" s="55" t="n"/>
      <c r="AK561" s="55" t="n"/>
      <c r="AL561" s="55" t="n"/>
      <c r="AM561" s="56" t="n"/>
      <c r="AN561" s="55" t="n"/>
      <c r="AO561" s="55" t="n"/>
      <c r="AP561" s="55" t="n"/>
      <c r="AQ561" s="55" t="n"/>
      <c r="AR561" s="60">
        <f>IF(AND(C561="",E561=""),"",IF(A561="","⚠ Date manquante",IF(AND(C561="",E561&lt;&gt;"Dépense"),"⚠ Prospect manquant",IF(E561="","⚠ Action manquante",IF(AND(AU561=1,D561=""),"⚠ Canal manquant",IF(AND(W561&lt;&gt;"",COUNTIFS('Saisie'!$W$5:$W$2004,W561,'Saisie'!$C$5:$C$2004,"&lt;&gt;"&amp;C561)&gt;0),"⚠ Numéro déjà utilisé par un autre prospect",IF(AND(J561&lt;&gt;"",J561&lt;A561),"⚠ Relance avant la date de l'action",IF(A561&gt;TODAY(),"⚠ Date dans le futur","✓"))))))))</f>
        <v/>
      </c>
      <c r="AS561" s="61">
        <f>IF(AND(A561="",C561="",E561=""),"",ROW())</f>
        <v/>
      </c>
      <c r="AT561" s="61">
        <f>IF(E561&amp;F561="","",MAX(IFERROR(INDEX('Paramètres'!$J$6:$J$33,MATCH(E561,'Paramètres'!$I$6:$I$33,0)),0),IFERROR(INDEX('Paramètres'!$N$6:$N$17,MATCH(F561,'Paramètres'!$M$6:$M$17,0)),0)))</f>
        <v/>
      </c>
      <c r="AU561" s="61">
        <f>IF(E561="","",IFERROR(IF(INDEX('Paramètres'!$K$6:$K$33,MATCH(E561,'Paramètres'!$I$6:$I$33,0))="Oui",1,0),0))</f>
        <v/>
      </c>
      <c r="AV561" s="61">
        <f>IF(F561="","",IFERROR(IF(INDEX('Paramètres'!$O$6:$O$17,MATCH(F561,'Paramètres'!$M$6:$M$17,0))="Oui",1,0),0))</f>
        <v/>
      </c>
      <c r="AW561" s="62">
        <f>IF(E561="","",IF(G561&lt;&gt;"",G561,IF(OR(E561="Proposition envoyée",E561="Signature"),MAX(0,N(IFERROR(INDEX('Paramètres'!$R$6:$R$15,MATCH(IF(AL561&lt;&gt;"",AL561,IFERROR(INDEX('Prospects'!$AN$5:$AN$504,MATCH(C561,'Prospects'!$C$5:$C$504,0)),"")),'Paramètres'!$Q$6:$Q$15,0)),0))-N(P561)),0)))</f>
        <v/>
      </c>
      <c r="AX561" s="61">
        <f>IF(C561="","",IF(COUNTIF($C$5:C561,C561)=1,MAX($AX$4:AX560)+1,""))</f>
        <v/>
      </c>
      <c r="AY561" s="61">
        <f>IF(B561="","",HOUR(B561))</f>
        <v/>
      </c>
      <c r="AZ561" s="61">
        <f>IF(A561="","",MOD(A561-2,7)+1)</f>
        <v/>
      </c>
      <c r="BA561" s="60">
        <f>IF(C561="","",IFERROR(INDEX('Prospects'!$N$5:$N$504,MATCH(C561,'Prospects'!$C$5:$C$504,0)),""))</f>
        <v/>
      </c>
      <c r="BB561" s="61">
        <f>IF(AND(C561&lt;&gt;"",C561='Fiche prospect'!$C$4),COUNTIF($C$5:C561,C561),"")</f>
        <v/>
      </c>
    </row>
    <row r="562">
      <c r="A562" s="53" t="n"/>
      <c r="B562" s="54" t="n"/>
      <c r="C562" s="55" t="n"/>
      <c r="D562" s="55" t="n"/>
      <c r="E562" s="55" t="n"/>
      <c r="F562" s="55" t="n"/>
      <c r="G562" s="56" t="n"/>
      <c r="H562" s="57" t="n"/>
      <c r="I562" s="55" t="n"/>
      <c r="J562" s="53" t="n"/>
      <c r="K562" s="54" t="n"/>
      <c r="L562" s="55" t="n"/>
      <c r="M562" s="55" t="n"/>
      <c r="N562" s="57" t="n"/>
      <c r="O562" s="55" t="n"/>
      <c r="P562" s="56" t="n"/>
      <c r="Q562" s="55" t="n"/>
      <c r="R562" s="55" t="n"/>
      <c r="S562" s="55" t="n"/>
      <c r="T562" s="55" t="n"/>
      <c r="U562" s="55" t="n"/>
      <c r="V562" s="55" t="n"/>
      <c r="W562" s="58" t="n"/>
      <c r="X562" s="58" t="n"/>
      <c r="Y562" s="55" t="n"/>
      <c r="Z562" s="55" t="n"/>
      <c r="AA562" s="55" t="n"/>
      <c r="AB562" s="55" t="n"/>
      <c r="AC562" s="55" t="n"/>
      <c r="AD562" s="53" t="n"/>
      <c r="AE562" s="55" t="n"/>
      <c r="AF562" s="55" t="n"/>
      <c r="AG562" s="59" t="n"/>
      <c r="AH562" s="57" t="n"/>
      <c r="AI562" s="55" t="n"/>
      <c r="AJ562" s="55" t="n"/>
      <c r="AK562" s="55" t="n"/>
      <c r="AL562" s="55" t="n"/>
      <c r="AM562" s="56" t="n"/>
      <c r="AN562" s="55" t="n"/>
      <c r="AO562" s="55" t="n"/>
      <c r="AP562" s="55" t="n"/>
      <c r="AQ562" s="55" t="n"/>
      <c r="AR562" s="60">
        <f>IF(AND(C562="",E562=""),"",IF(A562="","⚠ Date manquante",IF(AND(C562="",E562&lt;&gt;"Dépense"),"⚠ Prospect manquant",IF(E562="","⚠ Action manquante",IF(AND(AU562=1,D562=""),"⚠ Canal manquant",IF(AND(W562&lt;&gt;"",COUNTIFS('Saisie'!$W$5:$W$2004,W562,'Saisie'!$C$5:$C$2004,"&lt;&gt;"&amp;C562)&gt;0),"⚠ Numéro déjà utilisé par un autre prospect",IF(AND(J562&lt;&gt;"",J562&lt;A562),"⚠ Relance avant la date de l'action",IF(A562&gt;TODAY(),"⚠ Date dans le futur","✓"))))))))</f>
        <v/>
      </c>
      <c r="AS562" s="61">
        <f>IF(AND(A562="",C562="",E562=""),"",ROW())</f>
        <v/>
      </c>
      <c r="AT562" s="61">
        <f>IF(E562&amp;F562="","",MAX(IFERROR(INDEX('Paramètres'!$J$6:$J$33,MATCH(E562,'Paramètres'!$I$6:$I$33,0)),0),IFERROR(INDEX('Paramètres'!$N$6:$N$17,MATCH(F562,'Paramètres'!$M$6:$M$17,0)),0)))</f>
        <v/>
      </c>
      <c r="AU562" s="61">
        <f>IF(E562="","",IFERROR(IF(INDEX('Paramètres'!$K$6:$K$33,MATCH(E562,'Paramètres'!$I$6:$I$33,0))="Oui",1,0),0))</f>
        <v/>
      </c>
      <c r="AV562" s="61">
        <f>IF(F562="","",IFERROR(IF(INDEX('Paramètres'!$O$6:$O$17,MATCH(F562,'Paramètres'!$M$6:$M$17,0))="Oui",1,0),0))</f>
        <v/>
      </c>
      <c r="AW562" s="62">
        <f>IF(E562="","",IF(G562&lt;&gt;"",G562,IF(OR(E562="Proposition envoyée",E562="Signature"),MAX(0,N(IFERROR(INDEX('Paramètres'!$R$6:$R$15,MATCH(IF(AL562&lt;&gt;"",AL562,IFERROR(INDEX('Prospects'!$AN$5:$AN$504,MATCH(C562,'Prospects'!$C$5:$C$504,0)),"")),'Paramètres'!$Q$6:$Q$15,0)),0))-N(P562)),0)))</f>
        <v/>
      </c>
      <c r="AX562" s="61">
        <f>IF(C562="","",IF(COUNTIF($C$5:C562,C562)=1,MAX($AX$4:AX561)+1,""))</f>
        <v/>
      </c>
      <c r="AY562" s="61">
        <f>IF(B562="","",HOUR(B562))</f>
        <v/>
      </c>
      <c r="AZ562" s="61">
        <f>IF(A562="","",MOD(A562-2,7)+1)</f>
        <v/>
      </c>
      <c r="BA562" s="60">
        <f>IF(C562="","",IFERROR(INDEX('Prospects'!$N$5:$N$504,MATCH(C562,'Prospects'!$C$5:$C$504,0)),""))</f>
        <v/>
      </c>
      <c r="BB562" s="61">
        <f>IF(AND(C562&lt;&gt;"",C562='Fiche prospect'!$C$4),COUNTIF($C$5:C562,C562),"")</f>
        <v/>
      </c>
    </row>
    <row r="563">
      <c r="A563" s="53" t="n"/>
      <c r="B563" s="54" t="n"/>
      <c r="C563" s="55" t="n"/>
      <c r="D563" s="55" t="n"/>
      <c r="E563" s="55" t="n"/>
      <c r="F563" s="55" t="n"/>
      <c r="G563" s="56" t="n"/>
      <c r="H563" s="57" t="n"/>
      <c r="I563" s="55" t="n"/>
      <c r="J563" s="53" t="n"/>
      <c r="K563" s="54" t="n"/>
      <c r="L563" s="55" t="n"/>
      <c r="M563" s="55" t="n"/>
      <c r="N563" s="57" t="n"/>
      <c r="O563" s="55" t="n"/>
      <c r="P563" s="56" t="n"/>
      <c r="Q563" s="55" t="n"/>
      <c r="R563" s="55" t="n"/>
      <c r="S563" s="55" t="n"/>
      <c r="T563" s="55" t="n"/>
      <c r="U563" s="55" t="n"/>
      <c r="V563" s="55" t="n"/>
      <c r="W563" s="58" t="n"/>
      <c r="X563" s="58" t="n"/>
      <c r="Y563" s="55" t="n"/>
      <c r="Z563" s="55" t="n"/>
      <c r="AA563" s="55" t="n"/>
      <c r="AB563" s="55" t="n"/>
      <c r="AC563" s="55" t="n"/>
      <c r="AD563" s="53" t="n"/>
      <c r="AE563" s="55" t="n"/>
      <c r="AF563" s="55" t="n"/>
      <c r="AG563" s="59" t="n"/>
      <c r="AH563" s="57" t="n"/>
      <c r="AI563" s="55" t="n"/>
      <c r="AJ563" s="55" t="n"/>
      <c r="AK563" s="55" t="n"/>
      <c r="AL563" s="55" t="n"/>
      <c r="AM563" s="56" t="n"/>
      <c r="AN563" s="55" t="n"/>
      <c r="AO563" s="55" t="n"/>
      <c r="AP563" s="55" t="n"/>
      <c r="AQ563" s="55" t="n"/>
      <c r="AR563" s="60">
        <f>IF(AND(C563="",E563=""),"",IF(A563="","⚠ Date manquante",IF(AND(C563="",E563&lt;&gt;"Dépense"),"⚠ Prospect manquant",IF(E563="","⚠ Action manquante",IF(AND(AU563=1,D563=""),"⚠ Canal manquant",IF(AND(W563&lt;&gt;"",COUNTIFS('Saisie'!$W$5:$W$2004,W563,'Saisie'!$C$5:$C$2004,"&lt;&gt;"&amp;C563)&gt;0),"⚠ Numéro déjà utilisé par un autre prospect",IF(AND(J563&lt;&gt;"",J563&lt;A563),"⚠ Relance avant la date de l'action",IF(A563&gt;TODAY(),"⚠ Date dans le futur","✓"))))))))</f>
        <v/>
      </c>
      <c r="AS563" s="61">
        <f>IF(AND(A563="",C563="",E563=""),"",ROW())</f>
        <v/>
      </c>
      <c r="AT563" s="61">
        <f>IF(E563&amp;F563="","",MAX(IFERROR(INDEX('Paramètres'!$J$6:$J$33,MATCH(E563,'Paramètres'!$I$6:$I$33,0)),0),IFERROR(INDEX('Paramètres'!$N$6:$N$17,MATCH(F563,'Paramètres'!$M$6:$M$17,0)),0)))</f>
        <v/>
      </c>
      <c r="AU563" s="61">
        <f>IF(E563="","",IFERROR(IF(INDEX('Paramètres'!$K$6:$K$33,MATCH(E563,'Paramètres'!$I$6:$I$33,0))="Oui",1,0),0))</f>
        <v/>
      </c>
      <c r="AV563" s="61">
        <f>IF(F563="","",IFERROR(IF(INDEX('Paramètres'!$O$6:$O$17,MATCH(F563,'Paramètres'!$M$6:$M$17,0))="Oui",1,0),0))</f>
        <v/>
      </c>
      <c r="AW563" s="62">
        <f>IF(E563="","",IF(G563&lt;&gt;"",G563,IF(OR(E563="Proposition envoyée",E563="Signature"),MAX(0,N(IFERROR(INDEX('Paramètres'!$R$6:$R$15,MATCH(IF(AL563&lt;&gt;"",AL563,IFERROR(INDEX('Prospects'!$AN$5:$AN$504,MATCH(C563,'Prospects'!$C$5:$C$504,0)),"")),'Paramètres'!$Q$6:$Q$15,0)),0))-N(P563)),0)))</f>
        <v/>
      </c>
      <c r="AX563" s="61">
        <f>IF(C563="","",IF(COUNTIF($C$5:C563,C563)=1,MAX($AX$4:AX562)+1,""))</f>
        <v/>
      </c>
      <c r="AY563" s="61">
        <f>IF(B563="","",HOUR(B563))</f>
        <v/>
      </c>
      <c r="AZ563" s="61">
        <f>IF(A563="","",MOD(A563-2,7)+1)</f>
        <v/>
      </c>
      <c r="BA563" s="60">
        <f>IF(C563="","",IFERROR(INDEX('Prospects'!$N$5:$N$504,MATCH(C563,'Prospects'!$C$5:$C$504,0)),""))</f>
        <v/>
      </c>
      <c r="BB563" s="61">
        <f>IF(AND(C563&lt;&gt;"",C563='Fiche prospect'!$C$4),COUNTIF($C$5:C563,C563),"")</f>
        <v/>
      </c>
    </row>
    <row r="564">
      <c r="A564" s="53" t="n"/>
      <c r="B564" s="54" t="n"/>
      <c r="C564" s="55" t="n"/>
      <c r="D564" s="55" t="n"/>
      <c r="E564" s="55" t="n"/>
      <c r="F564" s="55" t="n"/>
      <c r="G564" s="56" t="n"/>
      <c r="H564" s="57" t="n"/>
      <c r="I564" s="55" t="n"/>
      <c r="J564" s="53" t="n"/>
      <c r="K564" s="54" t="n"/>
      <c r="L564" s="55" t="n"/>
      <c r="M564" s="55" t="n"/>
      <c r="N564" s="57" t="n"/>
      <c r="O564" s="55" t="n"/>
      <c r="P564" s="56" t="n"/>
      <c r="Q564" s="55" t="n"/>
      <c r="R564" s="55" t="n"/>
      <c r="S564" s="55" t="n"/>
      <c r="T564" s="55" t="n"/>
      <c r="U564" s="55" t="n"/>
      <c r="V564" s="55" t="n"/>
      <c r="W564" s="58" t="n"/>
      <c r="X564" s="58" t="n"/>
      <c r="Y564" s="55" t="n"/>
      <c r="Z564" s="55" t="n"/>
      <c r="AA564" s="55" t="n"/>
      <c r="AB564" s="55" t="n"/>
      <c r="AC564" s="55" t="n"/>
      <c r="AD564" s="53" t="n"/>
      <c r="AE564" s="55" t="n"/>
      <c r="AF564" s="55" t="n"/>
      <c r="AG564" s="59" t="n"/>
      <c r="AH564" s="57" t="n"/>
      <c r="AI564" s="55" t="n"/>
      <c r="AJ564" s="55" t="n"/>
      <c r="AK564" s="55" t="n"/>
      <c r="AL564" s="55" t="n"/>
      <c r="AM564" s="56" t="n"/>
      <c r="AN564" s="55" t="n"/>
      <c r="AO564" s="55" t="n"/>
      <c r="AP564" s="55" t="n"/>
      <c r="AQ564" s="55" t="n"/>
      <c r="AR564" s="60">
        <f>IF(AND(C564="",E564=""),"",IF(A564="","⚠ Date manquante",IF(AND(C564="",E564&lt;&gt;"Dépense"),"⚠ Prospect manquant",IF(E564="","⚠ Action manquante",IF(AND(AU564=1,D564=""),"⚠ Canal manquant",IF(AND(W564&lt;&gt;"",COUNTIFS('Saisie'!$W$5:$W$2004,W564,'Saisie'!$C$5:$C$2004,"&lt;&gt;"&amp;C564)&gt;0),"⚠ Numéro déjà utilisé par un autre prospect",IF(AND(J564&lt;&gt;"",J564&lt;A564),"⚠ Relance avant la date de l'action",IF(A564&gt;TODAY(),"⚠ Date dans le futur","✓"))))))))</f>
        <v/>
      </c>
      <c r="AS564" s="61">
        <f>IF(AND(A564="",C564="",E564=""),"",ROW())</f>
        <v/>
      </c>
      <c r="AT564" s="61">
        <f>IF(E564&amp;F564="","",MAX(IFERROR(INDEX('Paramètres'!$J$6:$J$33,MATCH(E564,'Paramètres'!$I$6:$I$33,0)),0),IFERROR(INDEX('Paramètres'!$N$6:$N$17,MATCH(F564,'Paramètres'!$M$6:$M$17,0)),0)))</f>
        <v/>
      </c>
      <c r="AU564" s="61">
        <f>IF(E564="","",IFERROR(IF(INDEX('Paramètres'!$K$6:$K$33,MATCH(E564,'Paramètres'!$I$6:$I$33,0))="Oui",1,0),0))</f>
        <v/>
      </c>
      <c r="AV564" s="61">
        <f>IF(F564="","",IFERROR(IF(INDEX('Paramètres'!$O$6:$O$17,MATCH(F564,'Paramètres'!$M$6:$M$17,0))="Oui",1,0),0))</f>
        <v/>
      </c>
      <c r="AW564" s="62">
        <f>IF(E564="","",IF(G564&lt;&gt;"",G564,IF(OR(E564="Proposition envoyée",E564="Signature"),MAX(0,N(IFERROR(INDEX('Paramètres'!$R$6:$R$15,MATCH(IF(AL564&lt;&gt;"",AL564,IFERROR(INDEX('Prospects'!$AN$5:$AN$504,MATCH(C564,'Prospects'!$C$5:$C$504,0)),"")),'Paramètres'!$Q$6:$Q$15,0)),0))-N(P564)),0)))</f>
        <v/>
      </c>
      <c r="AX564" s="61">
        <f>IF(C564="","",IF(COUNTIF($C$5:C564,C564)=1,MAX($AX$4:AX563)+1,""))</f>
        <v/>
      </c>
      <c r="AY564" s="61">
        <f>IF(B564="","",HOUR(B564))</f>
        <v/>
      </c>
      <c r="AZ564" s="61">
        <f>IF(A564="","",MOD(A564-2,7)+1)</f>
        <v/>
      </c>
      <c r="BA564" s="60">
        <f>IF(C564="","",IFERROR(INDEX('Prospects'!$N$5:$N$504,MATCH(C564,'Prospects'!$C$5:$C$504,0)),""))</f>
        <v/>
      </c>
      <c r="BB564" s="61">
        <f>IF(AND(C564&lt;&gt;"",C564='Fiche prospect'!$C$4),COUNTIF($C$5:C564,C564),"")</f>
        <v/>
      </c>
    </row>
    <row r="565">
      <c r="A565" s="53" t="n"/>
      <c r="B565" s="54" t="n"/>
      <c r="C565" s="55" t="n"/>
      <c r="D565" s="55" t="n"/>
      <c r="E565" s="55" t="n"/>
      <c r="F565" s="55" t="n"/>
      <c r="G565" s="56" t="n"/>
      <c r="H565" s="57" t="n"/>
      <c r="I565" s="55" t="n"/>
      <c r="J565" s="53" t="n"/>
      <c r="K565" s="54" t="n"/>
      <c r="L565" s="55" t="n"/>
      <c r="M565" s="55" t="n"/>
      <c r="N565" s="57" t="n"/>
      <c r="O565" s="55" t="n"/>
      <c r="P565" s="56" t="n"/>
      <c r="Q565" s="55" t="n"/>
      <c r="R565" s="55" t="n"/>
      <c r="S565" s="55" t="n"/>
      <c r="T565" s="55" t="n"/>
      <c r="U565" s="55" t="n"/>
      <c r="V565" s="55" t="n"/>
      <c r="W565" s="58" t="n"/>
      <c r="X565" s="58" t="n"/>
      <c r="Y565" s="55" t="n"/>
      <c r="Z565" s="55" t="n"/>
      <c r="AA565" s="55" t="n"/>
      <c r="AB565" s="55" t="n"/>
      <c r="AC565" s="55" t="n"/>
      <c r="AD565" s="53" t="n"/>
      <c r="AE565" s="55" t="n"/>
      <c r="AF565" s="55" t="n"/>
      <c r="AG565" s="59" t="n"/>
      <c r="AH565" s="57" t="n"/>
      <c r="AI565" s="55" t="n"/>
      <c r="AJ565" s="55" t="n"/>
      <c r="AK565" s="55" t="n"/>
      <c r="AL565" s="55" t="n"/>
      <c r="AM565" s="56" t="n"/>
      <c r="AN565" s="55" t="n"/>
      <c r="AO565" s="55" t="n"/>
      <c r="AP565" s="55" t="n"/>
      <c r="AQ565" s="55" t="n"/>
      <c r="AR565" s="60">
        <f>IF(AND(C565="",E565=""),"",IF(A565="","⚠ Date manquante",IF(AND(C565="",E565&lt;&gt;"Dépense"),"⚠ Prospect manquant",IF(E565="","⚠ Action manquante",IF(AND(AU565=1,D565=""),"⚠ Canal manquant",IF(AND(W565&lt;&gt;"",COUNTIFS('Saisie'!$W$5:$W$2004,W565,'Saisie'!$C$5:$C$2004,"&lt;&gt;"&amp;C565)&gt;0),"⚠ Numéro déjà utilisé par un autre prospect",IF(AND(J565&lt;&gt;"",J565&lt;A565),"⚠ Relance avant la date de l'action",IF(A565&gt;TODAY(),"⚠ Date dans le futur","✓"))))))))</f>
        <v/>
      </c>
      <c r="AS565" s="61">
        <f>IF(AND(A565="",C565="",E565=""),"",ROW())</f>
        <v/>
      </c>
      <c r="AT565" s="61">
        <f>IF(E565&amp;F565="","",MAX(IFERROR(INDEX('Paramètres'!$J$6:$J$33,MATCH(E565,'Paramètres'!$I$6:$I$33,0)),0),IFERROR(INDEX('Paramètres'!$N$6:$N$17,MATCH(F565,'Paramètres'!$M$6:$M$17,0)),0)))</f>
        <v/>
      </c>
      <c r="AU565" s="61">
        <f>IF(E565="","",IFERROR(IF(INDEX('Paramètres'!$K$6:$K$33,MATCH(E565,'Paramètres'!$I$6:$I$33,0))="Oui",1,0),0))</f>
        <v/>
      </c>
      <c r="AV565" s="61">
        <f>IF(F565="","",IFERROR(IF(INDEX('Paramètres'!$O$6:$O$17,MATCH(F565,'Paramètres'!$M$6:$M$17,0))="Oui",1,0),0))</f>
        <v/>
      </c>
      <c r="AW565" s="62">
        <f>IF(E565="","",IF(G565&lt;&gt;"",G565,IF(OR(E565="Proposition envoyée",E565="Signature"),MAX(0,N(IFERROR(INDEX('Paramètres'!$R$6:$R$15,MATCH(IF(AL565&lt;&gt;"",AL565,IFERROR(INDEX('Prospects'!$AN$5:$AN$504,MATCH(C565,'Prospects'!$C$5:$C$504,0)),"")),'Paramètres'!$Q$6:$Q$15,0)),0))-N(P565)),0)))</f>
        <v/>
      </c>
      <c r="AX565" s="61">
        <f>IF(C565="","",IF(COUNTIF($C$5:C565,C565)=1,MAX($AX$4:AX564)+1,""))</f>
        <v/>
      </c>
      <c r="AY565" s="61">
        <f>IF(B565="","",HOUR(B565))</f>
        <v/>
      </c>
      <c r="AZ565" s="61">
        <f>IF(A565="","",MOD(A565-2,7)+1)</f>
        <v/>
      </c>
      <c r="BA565" s="60">
        <f>IF(C565="","",IFERROR(INDEX('Prospects'!$N$5:$N$504,MATCH(C565,'Prospects'!$C$5:$C$504,0)),""))</f>
        <v/>
      </c>
      <c r="BB565" s="61">
        <f>IF(AND(C565&lt;&gt;"",C565='Fiche prospect'!$C$4),COUNTIF($C$5:C565,C565),"")</f>
        <v/>
      </c>
    </row>
    <row r="566">
      <c r="A566" s="53" t="n"/>
      <c r="B566" s="54" t="n"/>
      <c r="C566" s="55" t="n"/>
      <c r="D566" s="55" t="n"/>
      <c r="E566" s="55" t="n"/>
      <c r="F566" s="55" t="n"/>
      <c r="G566" s="56" t="n"/>
      <c r="H566" s="57" t="n"/>
      <c r="I566" s="55" t="n"/>
      <c r="J566" s="53" t="n"/>
      <c r="K566" s="54" t="n"/>
      <c r="L566" s="55" t="n"/>
      <c r="M566" s="55" t="n"/>
      <c r="N566" s="57" t="n"/>
      <c r="O566" s="55" t="n"/>
      <c r="P566" s="56" t="n"/>
      <c r="Q566" s="55" t="n"/>
      <c r="R566" s="55" t="n"/>
      <c r="S566" s="55" t="n"/>
      <c r="T566" s="55" t="n"/>
      <c r="U566" s="55" t="n"/>
      <c r="V566" s="55" t="n"/>
      <c r="W566" s="58" t="n"/>
      <c r="X566" s="58" t="n"/>
      <c r="Y566" s="55" t="n"/>
      <c r="Z566" s="55" t="n"/>
      <c r="AA566" s="55" t="n"/>
      <c r="AB566" s="55" t="n"/>
      <c r="AC566" s="55" t="n"/>
      <c r="AD566" s="53" t="n"/>
      <c r="AE566" s="55" t="n"/>
      <c r="AF566" s="55" t="n"/>
      <c r="AG566" s="59" t="n"/>
      <c r="AH566" s="57" t="n"/>
      <c r="AI566" s="55" t="n"/>
      <c r="AJ566" s="55" t="n"/>
      <c r="AK566" s="55" t="n"/>
      <c r="AL566" s="55" t="n"/>
      <c r="AM566" s="56" t="n"/>
      <c r="AN566" s="55" t="n"/>
      <c r="AO566" s="55" t="n"/>
      <c r="AP566" s="55" t="n"/>
      <c r="AQ566" s="55" t="n"/>
      <c r="AR566" s="60">
        <f>IF(AND(C566="",E566=""),"",IF(A566="","⚠ Date manquante",IF(AND(C566="",E566&lt;&gt;"Dépense"),"⚠ Prospect manquant",IF(E566="","⚠ Action manquante",IF(AND(AU566=1,D566=""),"⚠ Canal manquant",IF(AND(W566&lt;&gt;"",COUNTIFS('Saisie'!$W$5:$W$2004,W566,'Saisie'!$C$5:$C$2004,"&lt;&gt;"&amp;C566)&gt;0),"⚠ Numéro déjà utilisé par un autre prospect",IF(AND(J566&lt;&gt;"",J566&lt;A566),"⚠ Relance avant la date de l'action",IF(A566&gt;TODAY(),"⚠ Date dans le futur","✓"))))))))</f>
        <v/>
      </c>
      <c r="AS566" s="61">
        <f>IF(AND(A566="",C566="",E566=""),"",ROW())</f>
        <v/>
      </c>
      <c r="AT566" s="61">
        <f>IF(E566&amp;F566="","",MAX(IFERROR(INDEX('Paramètres'!$J$6:$J$33,MATCH(E566,'Paramètres'!$I$6:$I$33,0)),0),IFERROR(INDEX('Paramètres'!$N$6:$N$17,MATCH(F566,'Paramètres'!$M$6:$M$17,0)),0)))</f>
        <v/>
      </c>
      <c r="AU566" s="61">
        <f>IF(E566="","",IFERROR(IF(INDEX('Paramètres'!$K$6:$K$33,MATCH(E566,'Paramètres'!$I$6:$I$33,0))="Oui",1,0),0))</f>
        <v/>
      </c>
      <c r="AV566" s="61">
        <f>IF(F566="","",IFERROR(IF(INDEX('Paramètres'!$O$6:$O$17,MATCH(F566,'Paramètres'!$M$6:$M$17,0))="Oui",1,0),0))</f>
        <v/>
      </c>
      <c r="AW566" s="62">
        <f>IF(E566="","",IF(G566&lt;&gt;"",G566,IF(OR(E566="Proposition envoyée",E566="Signature"),MAX(0,N(IFERROR(INDEX('Paramètres'!$R$6:$R$15,MATCH(IF(AL566&lt;&gt;"",AL566,IFERROR(INDEX('Prospects'!$AN$5:$AN$504,MATCH(C566,'Prospects'!$C$5:$C$504,0)),"")),'Paramètres'!$Q$6:$Q$15,0)),0))-N(P566)),0)))</f>
        <v/>
      </c>
      <c r="AX566" s="61">
        <f>IF(C566="","",IF(COUNTIF($C$5:C566,C566)=1,MAX($AX$4:AX565)+1,""))</f>
        <v/>
      </c>
      <c r="AY566" s="61">
        <f>IF(B566="","",HOUR(B566))</f>
        <v/>
      </c>
      <c r="AZ566" s="61">
        <f>IF(A566="","",MOD(A566-2,7)+1)</f>
        <v/>
      </c>
      <c r="BA566" s="60">
        <f>IF(C566="","",IFERROR(INDEX('Prospects'!$N$5:$N$504,MATCH(C566,'Prospects'!$C$5:$C$504,0)),""))</f>
        <v/>
      </c>
      <c r="BB566" s="61">
        <f>IF(AND(C566&lt;&gt;"",C566='Fiche prospect'!$C$4),COUNTIF($C$5:C566,C566),"")</f>
        <v/>
      </c>
    </row>
    <row r="567">
      <c r="A567" s="53" t="n"/>
      <c r="B567" s="54" t="n"/>
      <c r="C567" s="55" t="n"/>
      <c r="D567" s="55" t="n"/>
      <c r="E567" s="55" t="n"/>
      <c r="F567" s="55" t="n"/>
      <c r="G567" s="56" t="n"/>
      <c r="H567" s="57" t="n"/>
      <c r="I567" s="55" t="n"/>
      <c r="J567" s="53" t="n"/>
      <c r="K567" s="54" t="n"/>
      <c r="L567" s="55" t="n"/>
      <c r="M567" s="55" t="n"/>
      <c r="N567" s="57" t="n"/>
      <c r="O567" s="55" t="n"/>
      <c r="P567" s="56" t="n"/>
      <c r="Q567" s="55" t="n"/>
      <c r="R567" s="55" t="n"/>
      <c r="S567" s="55" t="n"/>
      <c r="T567" s="55" t="n"/>
      <c r="U567" s="55" t="n"/>
      <c r="V567" s="55" t="n"/>
      <c r="W567" s="58" t="n"/>
      <c r="X567" s="58" t="n"/>
      <c r="Y567" s="55" t="n"/>
      <c r="Z567" s="55" t="n"/>
      <c r="AA567" s="55" t="n"/>
      <c r="AB567" s="55" t="n"/>
      <c r="AC567" s="55" t="n"/>
      <c r="AD567" s="53" t="n"/>
      <c r="AE567" s="55" t="n"/>
      <c r="AF567" s="55" t="n"/>
      <c r="AG567" s="59" t="n"/>
      <c r="AH567" s="57" t="n"/>
      <c r="AI567" s="55" t="n"/>
      <c r="AJ567" s="55" t="n"/>
      <c r="AK567" s="55" t="n"/>
      <c r="AL567" s="55" t="n"/>
      <c r="AM567" s="56" t="n"/>
      <c r="AN567" s="55" t="n"/>
      <c r="AO567" s="55" t="n"/>
      <c r="AP567" s="55" t="n"/>
      <c r="AQ567" s="55" t="n"/>
      <c r="AR567" s="60">
        <f>IF(AND(C567="",E567=""),"",IF(A567="","⚠ Date manquante",IF(AND(C567="",E567&lt;&gt;"Dépense"),"⚠ Prospect manquant",IF(E567="","⚠ Action manquante",IF(AND(AU567=1,D567=""),"⚠ Canal manquant",IF(AND(W567&lt;&gt;"",COUNTIFS('Saisie'!$W$5:$W$2004,W567,'Saisie'!$C$5:$C$2004,"&lt;&gt;"&amp;C567)&gt;0),"⚠ Numéro déjà utilisé par un autre prospect",IF(AND(J567&lt;&gt;"",J567&lt;A567),"⚠ Relance avant la date de l'action",IF(A567&gt;TODAY(),"⚠ Date dans le futur","✓"))))))))</f>
        <v/>
      </c>
      <c r="AS567" s="61">
        <f>IF(AND(A567="",C567="",E567=""),"",ROW())</f>
        <v/>
      </c>
      <c r="AT567" s="61">
        <f>IF(E567&amp;F567="","",MAX(IFERROR(INDEX('Paramètres'!$J$6:$J$33,MATCH(E567,'Paramètres'!$I$6:$I$33,0)),0),IFERROR(INDEX('Paramètres'!$N$6:$N$17,MATCH(F567,'Paramètres'!$M$6:$M$17,0)),0)))</f>
        <v/>
      </c>
      <c r="AU567" s="61">
        <f>IF(E567="","",IFERROR(IF(INDEX('Paramètres'!$K$6:$K$33,MATCH(E567,'Paramètres'!$I$6:$I$33,0))="Oui",1,0),0))</f>
        <v/>
      </c>
      <c r="AV567" s="61">
        <f>IF(F567="","",IFERROR(IF(INDEX('Paramètres'!$O$6:$O$17,MATCH(F567,'Paramètres'!$M$6:$M$17,0))="Oui",1,0),0))</f>
        <v/>
      </c>
      <c r="AW567" s="62">
        <f>IF(E567="","",IF(G567&lt;&gt;"",G567,IF(OR(E567="Proposition envoyée",E567="Signature"),MAX(0,N(IFERROR(INDEX('Paramètres'!$R$6:$R$15,MATCH(IF(AL567&lt;&gt;"",AL567,IFERROR(INDEX('Prospects'!$AN$5:$AN$504,MATCH(C567,'Prospects'!$C$5:$C$504,0)),"")),'Paramètres'!$Q$6:$Q$15,0)),0))-N(P567)),0)))</f>
        <v/>
      </c>
      <c r="AX567" s="61">
        <f>IF(C567="","",IF(COUNTIF($C$5:C567,C567)=1,MAX($AX$4:AX566)+1,""))</f>
        <v/>
      </c>
      <c r="AY567" s="61">
        <f>IF(B567="","",HOUR(B567))</f>
        <v/>
      </c>
      <c r="AZ567" s="61">
        <f>IF(A567="","",MOD(A567-2,7)+1)</f>
        <v/>
      </c>
      <c r="BA567" s="60">
        <f>IF(C567="","",IFERROR(INDEX('Prospects'!$N$5:$N$504,MATCH(C567,'Prospects'!$C$5:$C$504,0)),""))</f>
        <v/>
      </c>
      <c r="BB567" s="61">
        <f>IF(AND(C567&lt;&gt;"",C567='Fiche prospect'!$C$4),COUNTIF($C$5:C567,C567),"")</f>
        <v/>
      </c>
    </row>
    <row r="568">
      <c r="A568" s="53" t="n"/>
      <c r="B568" s="54" t="n"/>
      <c r="C568" s="55" t="n"/>
      <c r="D568" s="55" t="n"/>
      <c r="E568" s="55" t="n"/>
      <c r="F568" s="55" t="n"/>
      <c r="G568" s="56" t="n"/>
      <c r="H568" s="57" t="n"/>
      <c r="I568" s="55" t="n"/>
      <c r="J568" s="53" t="n"/>
      <c r="K568" s="54" t="n"/>
      <c r="L568" s="55" t="n"/>
      <c r="M568" s="55" t="n"/>
      <c r="N568" s="57" t="n"/>
      <c r="O568" s="55" t="n"/>
      <c r="P568" s="56" t="n"/>
      <c r="Q568" s="55" t="n"/>
      <c r="R568" s="55" t="n"/>
      <c r="S568" s="55" t="n"/>
      <c r="T568" s="55" t="n"/>
      <c r="U568" s="55" t="n"/>
      <c r="V568" s="55" t="n"/>
      <c r="W568" s="58" t="n"/>
      <c r="X568" s="58" t="n"/>
      <c r="Y568" s="55" t="n"/>
      <c r="Z568" s="55" t="n"/>
      <c r="AA568" s="55" t="n"/>
      <c r="AB568" s="55" t="n"/>
      <c r="AC568" s="55" t="n"/>
      <c r="AD568" s="53" t="n"/>
      <c r="AE568" s="55" t="n"/>
      <c r="AF568" s="55" t="n"/>
      <c r="AG568" s="59" t="n"/>
      <c r="AH568" s="57" t="n"/>
      <c r="AI568" s="55" t="n"/>
      <c r="AJ568" s="55" t="n"/>
      <c r="AK568" s="55" t="n"/>
      <c r="AL568" s="55" t="n"/>
      <c r="AM568" s="56" t="n"/>
      <c r="AN568" s="55" t="n"/>
      <c r="AO568" s="55" t="n"/>
      <c r="AP568" s="55" t="n"/>
      <c r="AQ568" s="55" t="n"/>
      <c r="AR568" s="60">
        <f>IF(AND(C568="",E568=""),"",IF(A568="","⚠ Date manquante",IF(AND(C568="",E568&lt;&gt;"Dépense"),"⚠ Prospect manquant",IF(E568="","⚠ Action manquante",IF(AND(AU568=1,D568=""),"⚠ Canal manquant",IF(AND(W568&lt;&gt;"",COUNTIFS('Saisie'!$W$5:$W$2004,W568,'Saisie'!$C$5:$C$2004,"&lt;&gt;"&amp;C568)&gt;0),"⚠ Numéro déjà utilisé par un autre prospect",IF(AND(J568&lt;&gt;"",J568&lt;A568),"⚠ Relance avant la date de l'action",IF(A568&gt;TODAY(),"⚠ Date dans le futur","✓"))))))))</f>
        <v/>
      </c>
      <c r="AS568" s="61">
        <f>IF(AND(A568="",C568="",E568=""),"",ROW())</f>
        <v/>
      </c>
      <c r="AT568" s="61">
        <f>IF(E568&amp;F568="","",MAX(IFERROR(INDEX('Paramètres'!$J$6:$J$33,MATCH(E568,'Paramètres'!$I$6:$I$33,0)),0),IFERROR(INDEX('Paramètres'!$N$6:$N$17,MATCH(F568,'Paramètres'!$M$6:$M$17,0)),0)))</f>
        <v/>
      </c>
      <c r="AU568" s="61">
        <f>IF(E568="","",IFERROR(IF(INDEX('Paramètres'!$K$6:$K$33,MATCH(E568,'Paramètres'!$I$6:$I$33,0))="Oui",1,0),0))</f>
        <v/>
      </c>
      <c r="AV568" s="61">
        <f>IF(F568="","",IFERROR(IF(INDEX('Paramètres'!$O$6:$O$17,MATCH(F568,'Paramètres'!$M$6:$M$17,0))="Oui",1,0),0))</f>
        <v/>
      </c>
      <c r="AW568" s="62">
        <f>IF(E568="","",IF(G568&lt;&gt;"",G568,IF(OR(E568="Proposition envoyée",E568="Signature"),MAX(0,N(IFERROR(INDEX('Paramètres'!$R$6:$R$15,MATCH(IF(AL568&lt;&gt;"",AL568,IFERROR(INDEX('Prospects'!$AN$5:$AN$504,MATCH(C568,'Prospects'!$C$5:$C$504,0)),"")),'Paramètres'!$Q$6:$Q$15,0)),0))-N(P568)),0)))</f>
        <v/>
      </c>
      <c r="AX568" s="61">
        <f>IF(C568="","",IF(COUNTIF($C$5:C568,C568)=1,MAX($AX$4:AX567)+1,""))</f>
        <v/>
      </c>
      <c r="AY568" s="61">
        <f>IF(B568="","",HOUR(B568))</f>
        <v/>
      </c>
      <c r="AZ568" s="61">
        <f>IF(A568="","",MOD(A568-2,7)+1)</f>
        <v/>
      </c>
      <c r="BA568" s="60">
        <f>IF(C568="","",IFERROR(INDEX('Prospects'!$N$5:$N$504,MATCH(C568,'Prospects'!$C$5:$C$504,0)),""))</f>
        <v/>
      </c>
      <c r="BB568" s="61">
        <f>IF(AND(C568&lt;&gt;"",C568='Fiche prospect'!$C$4),COUNTIF($C$5:C568,C568),"")</f>
        <v/>
      </c>
    </row>
    <row r="569">
      <c r="A569" s="53" t="n"/>
      <c r="B569" s="54" t="n"/>
      <c r="C569" s="55" t="n"/>
      <c r="D569" s="55" t="n"/>
      <c r="E569" s="55" t="n"/>
      <c r="F569" s="55" t="n"/>
      <c r="G569" s="56" t="n"/>
      <c r="H569" s="57" t="n"/>
      <c r="I569" s="55" t="n"/>
      <c r="J569" s="53" t="n"/>
      <c r="K569" s="54" t="n"/>
      <c r="L569" s="55" t="n"/>
      <c r="M569" s="55" t="n"/>
      <c r="N569" s="57" t="n"/>
      <c r="O569" s="55" t="n"/>
      <c r="P569" s="56" t="n"/>
      <c r="Q569" s="55" t="n"/>
      <c r="R569" s="55" t="n"/>
      <c r="S569" s="55" t="n"/>
      <c r="T569" s="55" t="n"/>
      <c r="U569" s="55" t="n"/>
      <c r="V569" s="55" t="n"/>
      <c r="W569" s="58" t="n"/>
      <c r="X569" s="58" t="n"/>
      <c r="Y569" s="55" t="n"/>
      <c r="Z569" s="55" t="n"/>
      <c r="AA569" s="55" t="n"/>
      <c r="AB569" s="55" t="n"/>
      <c r="AC569" s="55" t="n"/>
      <c r="AD569" s="53" t="n"/>
      <c r="AE569" s="55" t="n"/>
      <c r="AF569" s="55" t="n"/>
      <c r="AG569" s="59" t="n"/>
      <c r="AH569" s="57" t="n"/>
      <c r="AI569" s="55" t="n"/>
      <c r="AJ569" s="55" t="n"/>
      <c r="AK569" s="55" t="n"/>
      <c r="AL569" s="55" t="n"/>
      <c r="AM569" s="56" t="n"/>
      <c r="AN569" s="55" t="n"/>
      <c r="AO569" s="55" t="n"/>
      <c r="AP569" s="55" t="n"/>
      <c r="AQ569" s="55" t="n"/>
      <c r="AR569" s="60">
        <f>IF(AND(C569="",E569=""),"",IF(A569="","⚠ Date manquante",IF(AND(C569="",E569&lt;&gt;"Dépense"),"⚠ Prospect manquant",IF(E569="","⚠ Action manquante",IF(AND(AU569=1,D569=""),"⚠ Canal manquant",IF(AND(W569&lt;&gt;"",COUNTIFS('Saisie'!$W$5:$W$2004,W569,'Saisie'!$C$5:$C$2004,"&lt;&gt;"&amp;C569)&gt;0),"⚠ Numéro déjà utilisé par un autre prospect",IF(AND(J569&lt;&gt;"",J569&lt;A569),"⚠ Relance avant la date de l'action",IF(A569&gt;TODAY(),"⚠ Date dans le futur","✓"))))))))</f>
        <v/>
      </c>
      <c r="AS569" s="61">
        <f>IF(AND(A569="",C569="",E569=""),"",ROW())</f>
        <v/>
      </c>
      <c r="AT569" s="61">
        <f>IF(E569&amp;F569="","",MAX(IFERROR(INDEX('Paramètres'!$J$6:$J$33,MATCH(E569,'Paramètres'!$I$6:$I$33,0)),0),IFERROR(INDEX('Paramètres'!$N$6:$N$17,MATCH(F569,'Paramètres'!$M$6:$M$17,0)),0)))</f>
        <v/>
      </c>
      <c r="AU569" s="61">
        <f>IF(E569="","",IFERROR(IF(INDEX('Paramètres'!$K$6:$K$33,MATCH(E569,'Paramètres'!$I$6:$I$33,0))="Oui",1,0),0))</f>
        <v/>
      </c>
      <c r="AV569" s="61">
        <f>IF(F569="","",IFERROR(IF(INDEX('Paramètres'!$O$6:$O$17,MATCH(F569,'Paramètres'!$M$6:$M$17,0))="Oui",1,0),0))</f>
        <v/>
      </c>
      <c r="AW569" s="62">
        <f>IF(E569="","",IF(G569&lt;&gt;"",G569,IF(OR(E569="Proposition envoyée",E569="Signature"),MAX(0,N(IFERROR(INDEX('Paramètres'!$R$6:$R$15,MATCH(IF(AL569&lt;&gt;"",AL569,IFERROR(INDEX('Prospects'!$AN$5:$AN$504,MATCH(C569,'Prospects'!$C$5:$C$504,0)),"")),'Paramètres'!$Q$6:$Q$15,0)),0))-N(P569)),0)))</f>
        <v/>
      </c>
      <c r="AX569" s="61">
        <f>IF(C569="","",IF(COUNTIF($C$5:C569,C569)=1,MAX($AX$4:AX568)+1,""))</f>
        <v/>
      </c>
      <c r="AY569" s="61">
        <f>IF(B569="","",HOUR(B569))</f>
        <v/>
      </c>
      <c r="AZ569" s="61">
        <f>IF(A569="","",MOD(A569-2,7)+1)</f>
        <v/>
      </c>
      <c r="BA569" s="60">
        <f>IF(C569="","",IFERROR(INDEX('Prospects'!$N$5:$N$504,MATCH(C569,'Prospects'!$C$5:$C$504,0)),""))</f>
        <v/>
      </c>
      <c r="BB569" s="61">
        <f>IF(AND(C569&lt;&gt;"",C569='Fiche prospect'!$C$4),COUNTIF($C$5:C569,C569),"")</f>
        <v/>
      </c>
    </row>
    <row r="570">
      <c r="A570" s="53" t="n"/>
      <c r="B570" s="54" t="n"/>
      <c r="C570" s="55" t="n"/>
      <c r="D570" s="55" t="n"/>
      <c r="E570" s="55" t="n"/>
      <c r="F570" s="55" t="n"/>
      <c r="G570" s="56" t="n"/>
      <c r="H570" s="57" t="n"/>
      <c r="I570" s="55" t="n"/>
      <c r="J570" s="53" t="n"/>
      <c r="K570" s="54" t="n"/>
      <c r="L570" s="55" t="n"/>
      <c r="M570" s="55" t="n"/>
      <c r="N570" s="57" t="n"/>
      <c r="O570" s="55" t="n"/>
      <c r="P570" s="56" t="n"/>
      <c r="Q570" s="55" t="n"/>
      <c r="R570" s="55" t="n"/>
      <c r="S570" s="55" t="n"/>
      <c r="T570" s="55" t="n"/>
      <c r="U570" s="55" t="n"/>
      <c r="V570" s="55" t="n"/>
      <c r="W570" s="58" t="n"/>
      <c r="X570" s="58" t="n"/>
      <c r="Y570" s="55" t="n"/>
      <c r="Z570" s="55" t="n"/>
      <c r="AA570" s="55" t="n"/>
      <c r="AB570" s="55" t="n"/>
      <c r="AC570" s="55" t="n"/>
      <c r="AD570" s="53" t="n"/>
      <c r="AE570" s="55" t="n"/>
      <c r="AF570" s="55" t="n"/>
      <c r="AG570" s="59" t="n"/>
      <c r="AH570" s="57" t="n"/>
      <c r="AI570" s="55" t="n"/>
      <c r="AJ570" s="55" t="n"/>
      <c r="AK570" s="55" t="n"/>
      <c r="AL570" s="55" t="n"/>
      <c r="AM570" s="56" t="n"/>
      <c r="AN570" s="55" t="n"/>
      <c r="AO570" s="55" t="n"/>
      <c r="AP570" s="55" t="n"/>
      <c r="AQ570" s="55" t="n"/>
      <c r="AR570" s="60">
        <f>IF(AND(C570="",E570=""),"",IF(A570="","⚠ Date manquante",IF(AND(C570="",E570&lt;&gt;"Dépense"),"⚠ Prospect manquant",IF(E570="","⚠ Action manquante",IF(AND(AU570=1,D570=""),"⚠ Canal manquant",IF(AND(W570&lt;&gt;"",COUNTIFS('Saisie'!$W$5:$W$2004,W570,'Saisie'!$C$5:$C$2004,"&lt;&gt;"&amp;C570)&gt;0),"⚠ Numéro déjà utilisé par un autre prospect",IF(AND(J570&lt;&gt;"",J570&lt;A570),"⚠ Relance avant la date de l'action",IF(A570&gt;TODAY(),"⚠ Date dans le futur","✓"))))))))</f>
        <v/>
      </c>
      <c r="AS570" s="61">
        <f>IF(AND(A570="",C570="",E570=""),"",ROW())</f>
        <v/>
      </c>
      <c r="AT570" s="61">
        <f>IF(E570&amp;F570="","",MAX(IFERROR(INDEX('Paramètres'!$J$6:$J$33,MATCH(E570,'Paramètres'!$I$6:$I$33,0)),0),IFERROR(INDEX('Paramètres'!$N$6:$N$17,MATCH(F570,'Paramètres'!$M$6:$M$17,0)),0)))</f>
        <v/>
      </c>
      <c r="AU570" s="61">
        <f>IF(E570="","",IFERROR(IF(INDEX('Paramètres'!$K$6:$K$33,MATCH(E570,'Paramètres'!$I$6:$I$33,0))="Oui",1,0),0))</f>
        <v/>
      </c>
      <c r="AV570" s="61">
        <f>IF(F570="","",IFERROR(IF(INDEX('Paramètres'!$O$6:$O$17,MATCH(F570,'Paramètres'!$M$6:$M$17,0))="Oui",1,0),0))</f>
        <v/>
      </c>
      <c r="AW570" s="62">
        <f>IF(E570="","",IF(G570&lt;&gt;"",G570,IF(OR(E570="Proposition envoyée",E570="Signature"),MAX(0,N(IFERROR(INDEX('Paramètres'!$R$6:$R$15,MATCH(IF(AL570&lt;&gt;"",AL570,IFERROR(INDEX('Prospects'!$AN$5:$AN$504,MATCH(C570,'Prospects'!$C$5:$C$504,0)),"")),'Paramètres'!$Q$6:$Q$15,0)),0))-N(P570)),0)))</f>
        <v/>
      </c>
      <c r="AX570" s="61">
        <f>IF(C570="","",IF(COUNTIF($C$5:C570,C570)=1,MAX($AX$4:AX569)+1,""))</f>
        <v/>
      </c>
      <c r="AY570" s="61">
        <f>IF(B570="","",HOUR(B570))</f>
        <v/>
      </c>
      <c r="AZ570" s="61">
        <f>IF(A570="","",MOD(A570-2,7)+1)</f>
        <v/>
      </c>
      <c r="BA570" s="60">
        <f>IF(C570="","",IFERROR(INDEX('Prospects'!$N$5:$N$504,MATCH(C570,'Prospects'!$C$5:$C$504,0)),""))</f>
        <v/>
      </c>
      <c r="BB570" s="61">
        <f>IF(AND(C570&lt;&gt;"",C570='Fiche prospect'!$C$4),COUNTIF($C$5:C570,C570),"")</f>
        <v/>
      </c>
    </row>
    <row r="571">
      <c r="A571" s="53" t="n"/>
      <c r="B571" s="54" t="n"/>
      <c r="C571" s="55" t="n"/>
      <c r="D571" s="55" t="n"/>
      <c r="E571" s="55" t="n"/>
      <c r="F571" s="55" t="n"/>
      <c r="G571" s="56" t="n"/>
      <c r="H571" s="57" t="n"/>
      <c r="I571" s="55" t="n"/>
      <c r="J571" s="53" t="n"/>
      <c r="K571" s="54" t="n"/>
      <c r="L571" s="55" t="n"/>
      <c r="M571" s="55" t="n"/>
      <c r="N571" s="57" t="n"/>
      <c r="O571" s="55" t="n"/>
      <c r="P571" s="56" t="n"/>
      <c r="Q571" s="55" t="n"/>
      <c r="R571" s="55" t="n"/>
      <c r="S571" s="55" t="n"/>
      <c r="T571" s="55" t="n"/>
      <c r="U571" s="55" t="n"/>
      <c r="V571" s="55" t="n"/>
      <c r="W571" s="58" t="n"/>
      <c r="X571" s="58" t="n"/>
      <c r="Y571" s="55" t="n"/>
      <c r="Z571" s="55" t="n"/>
      <c r="AA571" s="55" t="n"/>
      <c r="AB571" s="55" t="n"/>
      <c r="AC571" s="55" t="n"/>
      <c r="AD571" s="53" t="n"/>
      <c r="AE571" s="55" t="n"/>
      <c r="AF571" s="55" t="n"/>
      <c r="AG571" s="59" t="n"/>
      <c r="AH571" s="57" t="n"/>
      <c r="AI571" s="55" t="n"/>
      <c r="AJ571" s="55" t="n"/>
      <c r="AK571" s="55" t="n"/>
      <c r="AL571" s="55" t="n"/>
      <c r="AM571" s="56" t="n"/>
      <c r="AN571" s="55" t="n"/>
      <c r="AO571" s="55" t="n"/>
      <c r="AP571" s="55" t="n"/>
      <c r="AQ571" s="55" t="n"/>
      <c r="AR571" s="60">
        <f>IF(AND(C571="",E571=""),"",IF(A571="","⚠ Date manquante",IF(AND(C571="",E571&lt;&gt;"Dépense"),"⚠ Prospect manquant",IF(E571="","⚠ Action manquante",IF(AND(AU571=1,D571=""),"⚠ Canal manquant",IF(AND(W571&lt;&gt;"",COUNTIFS('Saisie'!$W$5:$W$2004,W571,'Saisie'!$C$5:$C$2004,"&lt;&gt;"&amp;C571)&gt;0),"⚠ Numéro déjà utilisé par un autre prospect",IF(AND(J571&lt;&gt;"",J571&lt;A571),"⚠ Relance avant la date de l'action",IF(A571&gt;TODAY(),"⚠ Date dans le futur","✓"))))))))</f>
        <v/>
      </c>
      <c r="AS571" s="61">
        <f>IF(AND(A571="",C571="",E571=""),"",ROW())</f>
        <v/>
      </c>
      <c r="AT571" s="61">
        <f>IF(E571&amp;F571="","",MAX(IFERROR(INDEX('Paramètres'!$J$6:$J$33,MATCH(E571,'Paramètres'!$I$6:$I$33,0)),0),IFERROR(INDEX('Paramètres'!$N$6:$N$17,MATCH(F571,'Paramètres'!$M$6:$M$17,0)),0)))</f>
        <v/>
      </c>
      <c r="AU571" s="61">
        <f>IF(E571="","",IFERROR(IF(INDEX('Paramètres'!$K$6:$K$33,MATCH(E571,'Paramètres'!$I$6:$I$33,0))="Oui",1,0),0))</f>
        <v/>
      </c>
      <c r="AV571" s="61">
        <f>IF(F571="","",IFERROR(IF(INDEX('Paramètres'!$O$6:$O$17,MATCH(F571,'Paramètres'!$M$6:$M$17,0))="Oui",1,0),0))</f>
        <v/>
      </c>
      <c r="AW571" s="62">
        <f>IF(E571="","",IF(G571&lt;&gt;"",G571,IF(OR(E571="Proposition envoyée",E571="Signature"),MAX(0,N(IFERROR(INDEX('Paramètres'!$R$6:$R$15,MATCH(IF(AL571&lt;&gt;"",AL571,IFERROR(INDEX('Prospects'!$AN$5:$AN$504,MATCH(C571,'Prospects'!$C$5:$C$504,0)),"")),'Paramètres'!$Q$6:$Q$15,0)),0))-N(P571)),0)))</f>
        <v/>
      </c>
      <c r="AX571" s="61">
        <f>IF(C571="","",IF(COUNTIF($C$5:C571,C571)=1,MAX($AX$4:AX570)+1,""))</f>
        <v/>
      </c>
      <c r="AY571" s="61">
        <f>IF(B571="","",HOUR(B571))</f>
        <v/>
      </c>
      <c r="AZ571" s="61">
        <f>IF(A571="","",MOD(A571-2,7)+1)</f>
        <v/>
      </c>
      <c r="BA571" s="60">
        <f>IF(C571="","",IFERROR(INDEX('Prospects'!$N$5:$N$504,MATCH(C571,'Prospects'!$C$5:$C$504,0)),""))</f>
        <v/>
      </c>
      <c r="BB571" s="61">
        <f>IF(AND(C571&lt;&gt;"",C571='Fiche prospect'!$C$4),COUNTIF($C$5:C571,C571),"")</f>
        <v/>
      </c>
    </row>
    <row r="572">
      <c r="A572" s="53" t="n"/>
      <c r="B572" s="54" t="n"/>
      <c r="C572" s="55" t="n"/>
      <c r="D572" s="55" t="n"/>
      <c r="E572" s="55" t="n"/>
      <c r="F572" s="55" t="n"/>
      <c r="G572" s="56" t="n"/>
      <c r="H572" s="57" t="n"/>
      <c r="I572" s="55" t="n"/>
      <c r="J572" s="53" t="n"/>
      <c r="K572" s="54" t="n"/>
      <c r="L572" s="55" t="n"/>
      <c r="M572" s="55" t="n"/>
      <c r="N572" s="57" t="n"/>
      <c r="O572" s="55" t="n"/>
      <c r="P572" s="56" t="n"/>
      <c r="Q572" s="55" t="n"/>
      <c r="R572" s="55" t="n"/>
      <c r="S572" s="55" t="n"/>
      <c r="T572" s="55" t="n"/>
      <c r="U572" s="55" t="n"/>
      <c r="V572" s="55" t="n"/>
      <c r="W572" s="58" t="n"/>
      <c r="X572" s="58" t="n"/>
      <c r="Y572" s="55" t="n"/>
      <c r="Z572" s="55" t="n"/>
      <c r="AA572" s="55" t="n"/>
      <c r="AB572" s="55" t="n"/>
      <c r="AC572" s="55" t="n"/>
      <c r="AD572" s="53" t="n"/>
      <c r="AE572" s="55" t="n"/>
      <c r="AF572" s="55" t="n"/>
      <c r="AG572" s="59" t="n"/>
      <c r="AH572" s="57" t="n"/>
      <c r="AI572" s="55" t="n"/>
      <c r="AJ572" s="55" t="n"/>
      <c r="AK572" s="55" t="n"/>
      <c r="AL572" s="55" t="n"/>
      <c r="AM572" s="56" t="n"/>
      <c r="AN572" s="55" t="n"/>
      <c r="AO572" s="55" t="n"/>
      <c r="AP572" s="55" t="n"/>
      <c r="AQ572" s="55" t="n"/>
      <c r="AR572" s="60">
        <f>IF(AND(C572="",E572=""),"",IF(A572="","⚠ Date manquante",IF(AND(C572="",E572&lt;&gt;"Dépense"),"⚠ Prospect manquant",IF(E572="","⚠ Action manquante",IF(AND(AU572=1,D572=""),"⚠ Canal manquant",IF(AND(W572&lt;&gt;"",COUNTIFS('Saisie'!$W$5:$W$2004,W572,'Saisie'!$C$5:$C$2004,"&lt;&gt;"&amp;C572)&gt;0),"⚠ Numéro déjà utilisé par un autre prospect",IF(AND(J572&lt;&gt;"",J572&lt;A572),"⚠ Relance avant la date de l'action",IF(A572&gt;TODAY(),"⚠ Date dans le futur","✓"))))))))</f>
        <v/>
      </c>
      <c r="AS572" s="61">
        <f>IF(AND(A572="",C572="",E572=""),"",ROW())</f>
        <v/>
      </c>
      <c r="AT572" s="61">
        <f>IF(E572&amp;F572="","",MAX(IFERROR(INDEX('Paramètres'!$J$6:$J$33,MATCH(E572,'Paramètres'!$I$6:$I$33,0)),0),IFERROR(INDEX('Paramètres'!$N$6:$N$17,MATCH(F572,'Paramètres'!$M$6:$M$17,0)),0)))</f>
        <v/>
      </c>
      <c r="AU572" s="61">
        <f>IF(E572="","",IFERROR(IF(INDEX('Paramètres'!$K$6:$K$33,MATCH(E572,'Paramètres'!$I$6:$I$33,0))="Oui",1,0),0))</f>
        <v/>
      </c>
      <c r="AV572" s="61">
        <f>IF(F572="","",IFERROR(IF(INDEX('Paramètres'!$O$6:$O$17,MATCH(F572,'Paramètres'!$M$6:$M$17,0))="Oui",1,0),0))</f>
        <v/>
      </c>
      <c r="AW572" s="62">
        <f>IF(E572="","",IF(G572&lt;&gt;"",G572,IF(OR(E572="Proposition envoyée",E572="Signature"),MAX(0,N(IFERROR(INDEX('Paramètres'!$R$6:$R$15,MATCH(IF(AL572&lt;&gt;"",AL572,IFERROR(INDEX('Prospects'!$AN$5:$AN$504,MATCH(C572,'Prospects'!$C$5:$C$504,0)),"")),'Paramètres'!$Q$6:$Q$15,0)),0))-N(P572)),0)))</f>
        <v/>
      </c>
      <c r="AX572" s="61">
        <f>IF(C572="","",IF(COUNTIF($C$5:C572,C572)=1,MAX($AX$4:AX571)+1,""))</f>
        <v/>
      </c>
      <c r="AY572" s="61">
        <f>IF(B572="","",HOUR(B572))</f>
        <v/>
      </c>
      <c r="AZ572" s="61">
        <f>IF(A572="","",MOD(A572-2,7)+1)</f>
        <v/>
      </c>
      <c r="BA572" s="60">
        <f>IF(C572="","",IFERROR(INDEX('Prospects'!$N$5:$N$504,MATCH(C572,'Prospects'!$C$5:$C$504,0)),""))</f>
        <v/>
      </c>
      <c r="BB572" s="61">
        <f>IF(AND(C572&lt;&gt;"",C572='Fiche prospect'!$C$4),COUNTIF($C$5:C572,C572),"")</f>
        <v/>
      </c>
    </row>
    <row r="573">
      <c r="A573" s="53" t="n"/>
      <c r="B573" s="54" t="n"/>
      <c r="C573" s="55" t="n"/>
      <c r="D573" s="55" t="n"/>
      <c r="E573" s="55" t="n"/>
      <c r="F573" s="55" t="n"/>
      <c r="G573" s="56" t="n"/>
      <c r="H573" s="57" t="n"/>
      <c r="I573" s="55" t="n"/>
      <c r="J573" s="53" t="n"/>
      <c r="K573" s="54" t="n"/>
      <c r="L573" s="55" t="n"/>
      <c r="M573" s="55" t="n"/>
      <c r="N573" s="57" t="n"/>
      <c r="O573" s="55" t="n"/>
      <c r="P573" s="56" t="n"/>
      <c r="Q573" s="55" t="n"/>
      <c r="R573" s="55" t="n"/>
      <c r="S573" s="55" t="n"/>
      <c r="T573" s="55" t="n"/>
      <c r="U573" s="55" t="n"/>
      <c r="V573" s="55" t="n"/>
      <c r="W573" s="58" t="n"/>
      <c r="X573" s="58" t="n"/>
      <c r="Y573" s="55" t="n"/>
      <c r="Z573" s="55" t="n"/>
      <c r="AA573" s="55" t="n"/>
      <c r="AB573" s="55" t="n"/>
      <c r="AC573" s="55" t="n"/>
      <c r="AD573" s="53" t="n"/>
      <c r="AE573" s="55" t="n"/>
      <c r="AF573" s="55" t="n"/>
      <c r="AG573" s="59" t="n"/>
      <c r="AH573" s="57" t="n"/>
      <c r="AI573" s="55" t="n"/>
      <c r="AJ573" s="55" t="n"/>
      <c r="AK573" s="55" t="n"/>
      <c r="AL573" s="55" t="n"/>
      <c r="AM573" s="56" t="n"/>
      <c r="AN573" s="55" t="n"/>
      <c r="AO573" s="55" t="n"/>
      <c r="AP573" s="55" t="n"/>
      <c r="AQ573" s="55" t="n"/>
      <c r="AR573" s="60">
        <f>IF(AND(C573="",E573=""),"",IF(A573="","⚠ Date manquante",IF(AND(C573="",E573&lt;&gt;"Dépense"),"⚠ Prospect manquant",IF(E573="","⚠ Action manquante",IF(AND(AU573=1,D573=""),"⚠ Canal manquant",IF(AND(W573&lt;&gt;"",COUNTIFS('Saisie'!$W$5:$W$2004,W573,'Saisie'!$C$5:$C$2004,"&lt;&gt;"&amp;C573)&gt;0),"⚠ Numéro déjà utilisé par un autre prospect",IF(AND(J573&lt;&gt;"",J573&lt;A573),"⚠ Relance avant la date de l'action",IF(A573&gt;TODAY(),"⚠ Date dans le futur","✓"))))))))</f>
        <v/>
      </c>
      <c r="AS573" s="61">
        <f>IF(AND(A573="",C573="",E573=""),"",ROW())</f>
        <v/>
      </c>
      <c r="AT573" s="61">
        <f>IF(E573&amp;F573="","",MAX(IFERROR(INDEX('Paramètres'!$J$6:$J$33,MATCH(E573,'Paramètres'!$I$6:$I$33,0)),0),IFERROR(INDEX('Paramètres'!$N$6:$N$17,MATCH(F573,'Paramètres'!$M$6:$M$17,0)),0)))</f>
        <v/>
      </c>
      <c r="AU573" s="61">
        <f>IF(E573="","",IFERROR(IF(INDEX('Paramètres'!$K$6:$K$33,MATCH(E573,'Paramètres'!$I$6:$I$33,0))="Oui",1,0),0))</f>
        <v/>
      </c>
      <c r="AV573" s="61">
        <f>IF(F573="","",IFERROR(IF(INDEX('Paramètres'!$O$6:$O$17,MATCH(F573,'Paramètres'!$M$6:$M$17,0))="Oui",1,0),0))</f>
        <v/>
      </c>
      <c r="AW573" s="62">
        <f>IF(E573="","",IF(G573&lt;&gt;"",G573,IF(OR(E573="Proposition envoyée",E573="Signature"),MAX(0,N(IFERROR(INDEX('Paramètres'!$R$6:$R$15,MATCH(IF(AL573&lt;&gt;"",AL573,IFERROR(INDEX('Prospects'!$AN$5:$AN$504,MATCH(C573,'Prospects'!$C$5:$C$504,0)),"")),'Paramètres'!$Q$6:$Q$15,0)),0))-N(P573)),0)))</f>
        <v/>
      </c>
      <c r="AX573" s="61">
        <f>IF(C573="","",IF(COUNTIF($C$5:C573,C573)=1,MAX($AX$4:AX572)+1,""))</f>
        <v/>
      </c>
      <c r="AY573" s="61">
        <f>IF(B573="","",HOUR(B573))</f>
        <v/>
      </c>
      <c r="AZ573" s="61">
        <f>IF(A573="","",MOD(A573-2,7)+1)</f>
        <v/>
      </c>
      <c r="BA573" s="60">
        <f>IF(C573="","",IFERROR(INDEX('Prospects'!$N$5:$N$504,MATCH(C573,'Prospects'!$C$5:$C$504,0)),""))</f>
        <v/>
      </c>
      <c r="BB573" s="61">
        <f>IF(AND(C573&lt;&gt;"",C573='Fiche prospect'!$C$4),COUNTIF($C$5:C573,C573),"")</f>
        <v/>
      </c>
    </row>
    <row r="574">
      <c r="A574" s="53" t="n"/>
      <c r="B574" s="54" t="n"/>
      <c r="C574" s="55" t="n"/>
      <c r="D574" s="55" t="n"/>
      <c r="E574" s="55" t="n"/>
      <c r="F574" s="55" t="n"/>
      <c r="G574" s="56" t="n"/>
      <c r="H574" s="57" t="n"/>
      <c r="I574" s="55" t="n"/>
      <c r="J574" s="53" t="n"/>
      <c r="K574" s="54" t="n"/>
      <c r="L574" s="55" t="n"/>
      <c r="M574" s="55" t="n"/>
      <c r="N574" s="57" t="n"/>
      <c r="O574" s="55" t="n"/>
      <c r="P574" s="56" t="n"/>
      <c r="Q574" s="55" t="n"/>
      <c r="R574" s="55" t="n"/>
      <c r="S574" s="55" t="n"/>
      <c r="T574" s="55" t="n"/>
      <c r="U574" s="55" t="n"/>
      <c r="V574" s="55" t="n"/>
      <c r="W574" s="58" t="n"/>
      <c r="X574" s="58" t="n"/>
      <c r="Y574" s="55" t="n"/>
      <c r="Z574" s="55" t="n"/>
      <c r="AA574" s="55" t="n"/>
      <c r="AB574" s="55" t="n"/>
      <c r="AC574" s="55" t="n"/>
      <c r="AD574" s="53" t="n"/>
      <c r="AE574" s="55" t="n"/>
      <c r="AF574" s="55" t="n"/>
      <c r="AG574" s="59" t="n"/>
      <c r="AH574" s="57" t="n"/>
      <c r="AI574" s="55" t="n"/>
      <c r="AJ574" s="55" t="n"/>
      <c r="AK574" s="55" t="n"/>
      <c r="AL574" s="55" t="n"/>
      <c r="AM574" s="56" t="n"/>
      <c r="AN574" s="55" t="n"/>
      <c r="AO574" s="55" t="n"/>
      <c r="AP574" s="55" t="n"/>
      <c r="AQ574" s="55" t="n"/>
      <c r="AR574" s="60">
        <f>IF(AND(C574="",E574=""),"",IF(A574="","⚠ Date manquante",IF(AND(C574="",E574&lt;&gt;"Dépense"),"⚠ Prospect manquant",IF(E574="","⚠ Action manquante",IF(AND(AU574=1,D574=""),"⚠ Canal manquant",IF(AND(W574&lt;&gt;"",COUNTIFS('Saisie'!$W$5:$W$2004,W574,'Saisie'!$C$5:$C$2004,"&lt;&gt;"&amp;C574)&gt;0),"⚠ Numéro déjà utilisé par un autre prospect",IF(AND(J574&lt;&gt;"",J574&lt;A574),"⚠ Relance avant la date de l'action",IF(A574&gt;TODAY(),"⚠ Date dans le futur","✓"))))))))</f>
        <v/>
      </c>
      <c r="AS574" s="61">
        <f>IF(AND(A574="",C574="",E574=""),"",ROW())</f>
        <v/>
      </c>
      <c r="AT574" s="61">
        <f>IF(E574&amp;F574="","",MAX(IFERROR(INDEX('Paramètres'!$J$6:$J$33,MATCH(E574,'Paramètres'!$I$6:$I$33,0)),0),IFERROR(INDEX('Paramètres'!$N$6:$N$17,MATCH(F574,'Paramètres'!$M$6:$M$17,0)),0)))</f>
        <v/>
      </c>
      <c r="AU574" s="61">
        <f>IF(E574="","",IFERROR(IF(INDEX('Paramètres'!$K$6:$K$33,MATCH(E574,'Paramètres'!$I$6:$I$33,0))="Oui",1,0),0))</f>
        <v/>
      </c>
      <c r="AV574" s="61">
        <f>IF(F574="","",IFERROR(IF(INDEX('Paramètres'!$O$6:$O$17,MATCH(F574,'Paramètres'!$M$6:$M$17,0))="Oui",1,0),0))</f>
        <v/>
      </c>
      <c r="AW574" s="62">
        <f>IF(E574="","",IF(G574&lt;&gt;"",G574,IF(OR(E574="Proposition envoyée",E574="Signature"),MAX(0,N(IFERROR(INDEX('Paramètres'!$R$6:$R$15,MATCH(IF(AL574&lt;&gt;"",AL574,IFERROR(INDEX('Prospects'!$AN$5:$AN$504,MATCH(C574,'Prospects'!$C$5:$C$504,0)),"")),'Paramètres'!$Q$6:$Q$15,0)),0))-N(P574)),0)))</f>
        <v/>
      </c>
      <c r="AX574" s="61">
        <f>IF(C574="","",IF(COUNTIF($C$5:C574,C574)=1,MAX($AX$4:AX573)+1,""))</f>
        <v/>
      </c>
      <c r="AY574" s="61">
        <f>IF(B574="","",HOUR(B574))</f>
        <v/>
      </c>
      <c r="AZ574" s="61">
        <f>IF(A574="","",MOD(A574-2,7)+1)</f>
        <v/>
      </c>
      <c r="BA574" s="60">
        <f>IF(C574="","",IFERROR(INDEX('Prospects'!$N$5:$N$504,MATCH(C574,'Prospects'!$C$5:$C$504,0)),""))</f>
        <v/>
      </c>
      <c r="BB574" s="61">
        <f>IF(AND(C574&lt;&gt;"",C574='Fiche prospect'!$C$4),COUNTIF($C$5:C574,C574),"")</f>
        <v/>
      </c>
    </row>
    <row r="575">
      <c r="A575" s="53" t="n"/>
      <c r="B575" s="54" t="n"/>
      <c r="C575" s="55" t="n"/>
      <c r="D575" s="55" t="n"/>
      <c r="E575" s="55" t="n"/>
      <c r="F575" s="55" t="n"/>
      <c r="G575" s="56" t="n"/>
      <c r="H575" s="57" t="n"/>
      <c r="I575" s="55" t="n"/>
      <c r="J575" s="53" t="n"/>
      <c r="K575" s="54" t="n"/>
      <c r="L575" s="55" t="n"/>
      <c r="M575" s="55" t="n"/>
      <c r="N575" s="57" t="n"/>
      <c r="O575" s="55" t="n"/>
      <c r="P575" s="56" t="n"/>
      <c r="Q575" s="55" t="n"/>
      <c r="R575" s="55" t="n"/>
      <c r="S575" s="55" t="n"/>
      <c r="T575" s="55" t="n"/>
      <c r="U575" s="55" t="n"/>
      <c r="V575" s="55" t="n"/>
      <c r="W575" s="58" t="n"/>
      <c r="X575" s="58" t="n"/>
      <c r="Y575" s="55" t="n"/>
      <c r="Z575" s="55" t="n"/>
      <c r="AA575" s="55" t="n"/>
      <c r="AB575" s="55" t="n"/>
      <c r="AC575" s="55" t="n"/>
      <c r="AD575" s="53" t="n"/>
      <c r="AE575" s="55" t="n"/>
      <c r="AF575" s="55" t="n"/>
      <c r="AG575" s="59" t="n"/>
      <c r="AH575" s="57" t="n"/>
      <c r="AI575" s="55" t="n"/>
      <c r="AJ575" s="55" t="n"/>
      <c r="AK575" s="55" t="n"/>
      <c r="AL575" s="55" t="n"/>
      <c r="AM575" s="56" t="n"/>
      <c r="AN575" s="55" t="n"/>
      <c r="AO575" s="55" t="n"/>
      <c r="AP575" s="55" t="n"/>
      <c r="AQ575" s="55" t="n"/>
      <c r="AR575" s="60">
        <f>IF(AND(C575="",E575=""),"",IF(A575="","⚠ Date manquante",IF(AND(C575="",E575&lt;&gt;"Dépense"),"⚠ Prospect manquant",IF(E575="","⚠ Action manquante",IF(AND(AU575=1,D575=""),"⚠ Canal manquant",IF(AND(W575&lt;&gt;"",COUNTIFS('Saisie'!$W$5:$W$2004,W575,'Saisie'!$C$5:$C$2004,"&lt;&gt;"&amp;C575)&gt;0),"⚠ Numéro déjà utilisé par un autre prospect",IF(AND(J575&lt;&gt;"",J575&lt;A575),"⚠ Relance avant la date de l'action",IF(A575&gt;TODAY(),"⚠ Date dans le futur","✓"))))))))</f>
        <v/>
      </c>
      <c r="AS575" s="61">
        <f>IF(AND(A575="",C575="",E575=""),"",ROW())</f>
        <v/>
      </c>
      <c r="AT575" s="61">
        <f>IF(E575&amp;F575="","",MAX(IFERROR(INDEX('Paramètres'!$J$6:$J$33,MATCH(E575,'Paramètres'!$I$6:$I$33,0)),0),IFERROR(INDEX('Paramètres'!$N$6:$N$17,MATCH(F575,'Paramètres'!$M$6:$M$17,0)),0)))</f>
        <v/>
      </c>
      <c r="AU575" s="61">
        <f>IF(E575="","",IFERROR(IF(INDEX('Paramètres'!$K$6:$K$33,MATCH(E575,'Paramètres'!$I$6:$I$33,0))="Oui",1,0),0))</f>
        <v/>
      </c>
      <c r="AV575" s="61">
        <f>IF(F575="","",IFERROR(IF(INDEX('Paramètres'!$O$6:$O$17,MATCH(F575,'Paramètres'!$M$6:$M$17,0))="Oui",1,0),0))</f>
        <v/>
      </c>
      <c r="AW575" s="62">
        <f>IF(E575="","",IF(G575&lt;&gt;"",G575,IF(OR(E575="Proposition envoyée",E575="Signature"),MAX(0,N(IFERROR(INDEX('Paramètres'!$R$6:$R$15,MATCH(IF(AL575&lt;&gt;"",AL575,IFERROR(INDEX('Prospects'!$AN$5:$AN$504,MATCH(C575,'Prospects'!$C$5:$C$504,0)),"")),'Paramètres'!$Q$6:$Q$15,0)),0))-N(P575)),0)))</f>
        <v/>
      </c>
      <c r="AX575" s="61">
        <f>IF(C575="","",IF(COUNTIF($C$5:C575,C575)=1,MAX($AX$4:AX574)+1,""))</f>
        <v/>
      </c>
      <c r="AY575" s="61">
        <f>IF(B575="","",HOUR(B575))</f>
        <v/>
      </c>
      <c r="AZ575" s="61">
        <f>IF(A575="","",MOD(A575-2,7)+1)</f>
        <v/>
      </c>
      <c r="BA575" s="60">
        <f>IF(C575="","",IFERROR(INDEX('Prospects'!$N$5:$N$504,MATCH(C575,'Prospects'!$C$5:$C$504,0)),""))</f>
        <v/>
      </c>
      <c r="BB575" s="61">
        <f>IF(AND(C575&lt;&gt;"",C575='Fiche prospect'!$C$4),COUNTIF($C$5:C575,C575),"")</f>
        <v/>
      </c>
    </row>
    <row r="576">
      <c r="A576" s="53" t="n"/>
      <c r="B576" s="54" t="n"/>
      <c r="C576" s="55" t="n"/>
      <c r="D576" s="55" t="n"/>
      <c r="E576" s="55" t="n"/>
      <c r="F576" s="55" t="n"/>
      <c r="G576" s="56" t="n"/>
      <c r="H576" s="57" t="n"/>
      <c r="I576" s="55" t="n"/>
      <c r="J576" s="53" t="n"/>
      <c r="K576" s="54" t="n"/>
      <c r="L576" s="55" t="n"/>
      <c r="M576" s="55" t="n"/>
      <c r="N576" s="57" t="n"/>
      <c r="O576" s="55" t="n"/>
      <c r="P576" s="56" t="n"/>
      <c r="Q576" s="55" t="n"/>
      <c r="R576" s="55" t="n"/>
      <c r="S576" s="55" t="n"/>
      <c r="T576" s="55" t="n"/>
      <c r="U576" s="55" t="n"/>
      <c r="V576" s="55" t="n"/>
      <c r="W576" s="58" t="n"/>
      <c r="X576" s="58" t="n"/>
      <c r="Y576" s="55" t="n"/>
      <c r="Z576" s="55" t="n"/>
      <c r="AA576" s="55" t="n"/>
      <c r="AB576" s="55" t="n"/>
      <c r="AC576" s="55" t="n"/>
      <c r="AD576" s="53" t="n"/>
      <c r="AE576" s="55" t="n"/>
      <c r="AF576" s="55" t="n"/>
      <c r="AG576" s="59" t="n"/>
      <c r="AH576" s="57" t="n"/>
      <c r="AI576" s="55" t="n"/>
      <c r="AJ576" s="55" t="n"/>
      <c r="AK576" s="55" t="n"/>
      <c r="AL576" s="55" t="n"/>
      <c r="AM576" s="56" t="n"/>
      <c r="AN576" s="55" t="n"/>
      <c r="AO576" s="55" t="n"/>
      <c r="AP576" s="55" t="n"/>
      <c r="AQ576" s="55" t="n"/>
      <c r="AR576" s="60">
        <f>IF(AND(C576="",E576=""),"",IF(A576="","⚠ Date manquante",IF(AND(C576="",E576&lt;&gt;"Dépense"),"⚠ Prospect manquant",IF(E576="","⚠ Action manquante",IF(AND(AU576=1,D576=""),"⚠ Canal manquant",IF(AND(W576&lt;&gt;"",COUNTIFS('Saisie'!$W$5:$W$2004,W576,'Saisie'!$C$5:$C$2004,"&lt;&gt;"&amp;C576)&gt;0),"⚠ Numéro déjà utilisé par un autre prospect",IF(AND(J576&lt;&gt;"",J576&lt;A576),"⚠ Relance avant la date de l'action",IF(A576&gt;TODAY(),"⚠ Date dans le futur","✓"))))))))</f>
        <v/>
      </c>
      <c r="AS576" s="61">
        <f>IF(AND(A576="",C576="",E576=""),"",ROW())</f>
        <v/>
      </c>
      <c r="AT576" s="61">
        <f>IF(E576&amp;F576="","",MAX(IFERROR(INDEX('Paramètres'!$J$6:$J$33,MATCH(E576,'Paramètres'!$I$6:$I$33,0)),0),IFERROR(INDEX('Paramètres'!$N$6:$N$17,MATCH(F576,'Paramètres'!$M$6:$M$17,0)),0)))</f>
        <v/>
      </c>
      <c r="AU576" s="61">
        <f>IF(E576="","",IFERROR(IF(INDEX('Paramètres'!$K$6:$K$33,MATCH(E576,'Paramètres'!$I$6:$I$33,0))="Oui",1,0),0))</f>
        <v/>
      </c>
      <c r="AV576" s="61">
        <f>IF(F576="","",IFERROR(IF(INDEX('Paramètres'!$O$6:$O$17,MATCH(F576,'Paramètres'!$M$6:$M$17,0))="Oui",1,0),0))</f>
        <v/>
      </c>
      <c r="AW576" s="62">
        <f>IF(E576="","",IF(G576&lt;&gt;"",G576,IF(OR(E576="Proposition envoyée",E576="Signature"),MAX(0,N(IFERROR(INDEX('Paramètres'!$R$6:$R$15,MATCH(IF(AL576&lt;&gt;"",AL576,IFERROR(INDEX('Prospects'!$AN$5:$AN$504,MATCH(C576,'Prospects'!$C$5:$C$504,0)),"")),'Paramètres'!$Q$6:$Q$15,0)),0))-N(P576)),0)))</f>
        <v/>
      </c>
      <c r="AX576" s="61">
        <f>IF(C576="","",IF(COUNTIF($C$5:C576,C576)=1,MAX($AX$4:AX575)+1,""))</f>
        <v/>
      </c>
      <c r="AY576" s="61">
        <f>IF(B576="","",HOUR(B576))</f>
        <v/>
      </c>
      <c r="AZ576" s="61">
        <f>IF(A576="","",MOD(A576-2,7)+1)</f>
        <v/>
      </c>
      <c r="BA576" s="60">
        <f>IF(C576="","",IFERROR(INDEX('Prospects'!$N$5:$N$504,MATCH(C576,'Prospects'!$C$5:$C$504,0)),""))</f>
        <v/>
      </c>
      <c r="BB576" s="61">
        <f>IF(AND(C576&lt;&gt;"",C576='Fiche prospect'!$C$4),COUNTIF($C$5:C576,C576),"")</f>
        <v/>
      </c>
    </row>
    <row r="577">
      <c r="A577" s="53" t="n"/>
      <c r="B577" s="54" t="n"/>
      <c r="C577" s="55" t="n"/>
      <c r="D577" s="55" t="n"/>
      <c r="E577" s="55" t="n"/>
      <c r="F577" s="55" t="n"/>
      <c r="G577" s="56" t="n"/>
      <c r="H577" s="57" t="n"/>
      <c r="I577" s="55" t="n"/>
      <c r="J577" s="53" t="n"/>
      <c r="K577" s="54" t="n"/>
      <c r="L577" s="55" t="n"/>
      <c r="M577" s="55" t="n"/>
      <c r="N577" s="57" t="n"/>
      <c r="O577" s="55" t="n"/>
      <c r="P577" s="56" t="n"/>
      <c r="Q577" s="55" t="n"/>
      <c r="R577" s="55" t="n"/>
      <c r="S577" s="55" t="n"/>
      <c r="T577" s="55" t="n"/>
      <c r="U577" s="55" t="n"/>
      <c r="V577" s="55" t="n"/>
      <c r="W577" s="58" t="n"/>
      <c r="X577" s="58" t="n"/>
      <c r="Y577" s="55" t="n"/>
      <c r="Z577" s="55" t="n"/>
      <c r="AA577" s="55" t="n"/>
      <c r="AB577" s="55" t="n"/>
      <c r="AC577" s="55" t="n"/>
      <c r="AD577" s="53" t="n"/>
      <c r="AE577" s="55" t="n"/>
      <c r="AF577" s="55" t="n"/>
      <c r="AG577" s="59" t="n"/>
      <c r="AH577" s="57" t="n"/>
      <c r="AI577" s="55" t="n"/>
      <c r="AJ577" s="55" t="n"/>
      <c r="AK577" s="55" t="n"/>
      <c r="AL577" s="55" t="n"/>
      <c r="AM577" s="56" t="n"/>
      <c r="AN577" s="55" t="n"/>
      <c r="AO577" s="55" t="n"/>
      <c r="AP577" s="55" t="n"/>
      <c r="AQ577" s="55" t="n"/>
      <c r="AR577" s="60">
        <f>IF(AND(C577="",E577=""),"",IF(A577="","⚠ Date manquante",IF(AND(C577="",E577&lt;&gt;"Dépense"),"⚠ Prospect manquant",IF(E577="","⚠ Action manquante",IF(AND(AU577=1,D577=""),"⚠ Canal manquant",IF(AND(W577&lt;&gt;"",COUNTIFS('Saisie'!$W$5:$W$2004,W577,'Saisie'!$C$5:$C$2004,"&lt;&gt;"&amp;C577)&gt;0),"⚠ Numéro déjà utilisé par un autre prospect",IF(AND(J577&lt;&gt;"",J577&lt;A577),"⚠ Relance avant la date de l'action",IF(A577&gt;TODAY(),"⚠ Date dans le futur","✓"))))))))</f>
        <v/>
      </c>
      <c r="AS577" s="61">
        <f>IF(AND(A577="",C577="",E577=""),"",ROW())</f>
        <v/>
      </c>
      <c r="AT577" s="61">
        <f>IF(E577&amp;F577="","",MAX(IFERROR(INDEX('Paramètres'!$J$6:$J$33,MATCH(E577,'Paramètres'!$I$6:$I$33,0)),0),IFERROR(INDEX('Paramètres'!$N$6:$N$17,MATCH(F577,'Paramètres'!$M$6:$M$17,0)),0)))</f>
        <v/>
      </c>
      <c r="AU577" s="61">
        <f>IF(E577="","",IFERROR(IF(INDEX('Paramètres'!$K$6:$K$33,MATCH(E577,'Paramètres'!$I$6:$I$33,0))="Oui",1,0),0))</f>
        <v/>
      </c>
      <c r="AV577" s="61">
        <f>IF(F577="","",IFERROR(IF(INDEX('Paramètres'!$O$6:$O$17,MATCH(F577,'Paramètres'!$M$6:$M$17,0))="Oui",1,0),0))</f>
        <v/>
      </c>
      <c r="AW577" s="62">
        <f>IF(E577="","",IF(G577&lt;&gt;"",G577,IF(OR(E577="Proposition envoyée",E577="Signature"),MAX(0,N(IFERROR(INDEX('Paramètres'!$R$6:$R$15,MATCH(IF(AL577&lt;&gt;"",AL577,IFERROR(INDEX('Prospects'!$AN$5:$AN$504,MATCH(C577,'Prospects'!$C$5:$C$504,0)),"")),'Paramètres'!$Q$6:$Q$15,0)),0))-N(P577)),0)))</f>
        <v/>
      </c>
      <c r="AX577" s="61">
        <f>IF(C577="","",IF(COUNTIF($C$5:C577,C577)=1,MAX($AX$4:AX576)+1,""))</f>
        <v/>
      </c>
      <c r="AY577" s="61">
        <f>IF(B577="","",HOUR(B577))</f>
        <v/>
      </c>
      <c r="AZ577" s="61">
        <f>IF(A577="","",MOD(A577-2,7)+1)</f>
        <v/>
      </c>
      <c r="BA577" s="60">
        <f>IF(C577="","",IFERROR(INDEX('Prospects'!$N$5:$N$504,MATCH(C577,'Prospects'!$C$5:$C$504,0)),""))</f>
        <v/>
      </c>
      <c r="BB577" s="61">
        <f>IF(AND(C577&lt;&gt;"",C577='Fiche prospect'!$C$4),COUNTIF($C$5:C577,C577),"")</f>
        <v/>
      </c>
    </row>
    <row r="578">
      <c r="A578" s="53" t="n"/>
      <c r="B578" s="54" t="n"/>
      <c r="C578" s="55" t="n"/>
      <c r="D578" s="55" t="n"/>
      <c r="E578" s="55" t="n"/>
      <c r="F578" s="55" t="n"/>
      <c r="G578" s="56" t="n"/>
      <c r="H578" s="57" t="n"/>
      <c r="I578" s="55" t="n"/>
      <c r="J578" s="53" t="n"/>
      <c r="K578" s="54" t="n"/>
      <c r="L578" s="55" t="n"/>
      <c r="M578" s="55" t="n"/>
      <c r="N578" s="57" t="n"/>
      <c r="O578" s="55" t="n"/>
      <c r="P578" s="56" t="n"/>
      <c r="Q578" s="55" t="n"/>
      <c r="R578" s="55" t="n"/>
      <c r="S578" s="55" t="n"/>
      <c r="T578" s="55" t="n"/>
      <c r="U578" s="55" t="n"/>
      <c r="V578" s="55" t="n"/>
      <c r="W578" s="58" t="n"/>
      <c r="X578" s="58" t="n"/>
      <c r="Y578" s="55" t="n"/>
      <c r="Z578" s="55" t="n"/>
      <c r="AA578" s="55" t="n"/>
      <c r="AB578" s="55" t="n"/>
      <c r="AC578" s="55" t="n"/>
      <c r="AD578" s="53" t="n"/>
      <c r="AE578" s="55" t="n"/>
      <c r="AF578" s="55" t="n"/>
      <c r="AG578" s="59" t="n"/>
      <c r="AH578" s="57" t="n"/>
      <c r="AI578" s="55" t="n"/>
      <c r="AJ578" s="55" t="n"/>
      <c r="AK578" s="55" t="n"/>
      <c r="AL578" s="55" t="n"/>
      <c r="AM578" s="56" t="n"/>
      <c r="AN578" s="55" t="n"/>
      <c r="AO578" s="55" t="n"/>
      <c r="AP578" s="55" t="n"/>
      <c r="AQ578" s="55" t="n"/>
      <c r="AR578" s="60">
        <f>IF(AND(C578="",E578=""),"",IF(A578="","⚠ Date manquante",IF(AND(C578="",E578&lt;&gt;"Dépense"),"⚠ Prospect manquant",IF(E578="","⚠ Action manquante",IF(AND(AU578=1,D578=""),"⚠ Canal manquant",IF(AND(W578&lt;&gt;"",COUNTIFS('Saisie'!$W$5:$W$2004,W578,'Saisie'!$C$5:$C$2004,"&lt;&gt;"&amp;C578)&gt;0),"⚠ Numéro déjà utilisé par un autre prospect",IF(AND(J578&lt;&gt;"",J578&lt;A578),"⚠ Relance avant la date de l'action",IF(A578&gt;TODAY(),"⚠ Date dans le futur","✓"))))))))</f>
        <v/>
      </c>
      <c r="AS578" s="61">
        <f>IF(AND(A578="",C578="",E578=""),"",ROW())</f>
        <v/>
      </c>
      <c r="AT578" s="61">
        <f>IF(E578&amp;F578="","",MAX(IFERROR(INDEX('Paramètres'!$J$6:$J$33,MATCH(E578,'Paramètres'!$I$6:$I$33,0)),0),IFERROR(INDEX('Paramètres'!$N$6:$N$17,MATCH(F578,'Paramètres'!$M$6:$M$17,0)),0)))</f>
        <v/>
      </c>
      <c r="AU578" s="61">
        <f>IF(E578="","",IFERROR(IF(INDEX('Paramètres'!$K$6:$K$33,MATCH(E578,'Paramètres'!$I$6:$I$33,0))="Oui",1,0),0))</f>
        <v/>
      </c>
      <c r="AV578" s="61">
        <f>IF(F578="","",IFERROR(IF(INDEX('Paramètres'!$O$6:$O$17,MATCH(F578,'Paramètres'!$M$6:$M$17,0))="Oui",1,0),0))</f>
        <v/>
      </c>
      <c r="AW578" s="62">
        <f>IF(E578="","",IF(G578&lt;&gt;"",G578,IF(OR(E578="Proposition envoyée",E578="Signature"),MAX(0,N(IFERROR(INDEX('Paramètres'!$R$6:$R$15,MATCH(IF(AL578&lt;&gt;"",AL578,IFERROR(INDEX('Prospects'!$AN$5:$AN$504,MATCH(C578,'Prospects'!$C$5:$C$504,0)),"")),'Paramètres'!$Q$6:$Q$15,0)),0))-N(P578)),0)))</f>
        <v/>
      </c>
      <c r="AX578" s="61">
        <f>IF(C578="","",IF(COUNTIF($C$5:C578,C578)=1,MAX($AX$4:AX577)+1,""))</f>
        <v/>
      </c>
      <c r="AY578" s="61">
        <f>IF(B578="","",HOUR(B578))</f>
        <v/>
      </c>
      <c r="AZ578" s="61">
        <f>IF(A578="","",MOD(A578-2,7)+1)</f>
        <v/>
      </c>
      <c r="BA578" s="60">
        <f>IF(C578="","",IFERROR(INDEX('Prospects'!$N$5:$N$504,MATCH(C578,'Prospects'!$C$5:$C$504,0)),""))</f>
        <v/>
      </c>
      <c r="BB578" s="61">
        <f>IF(AND(C578&lt;&gt;"",C578='Fiche prospect'!$C$4),COUNTIF($C$5:C578,C578),"")</f>
        <v/>
      </c>
    </row>
    <row r="579">
      <c r="A579" s="53" t="n"/>
      <c r="B579" s="54" t="n"/>
      <c r="C579" s="55" t="n"/>
      <c r="D579" s="55" t="n"/>
      <c r="E579" s="55" t="n"/>
      <c r="F579" s="55" t="n"/>
      <c r="G579" s="56" t="n"/>
      <c r="H579" s="57" t="n"/>
      <c r="I579" s="55" t="n"/>
      <c r="J579" s="53" t="n"/>
      <c r="K579" s="54" t="n"/>
      <c r="L579" s="55" t="n"/>
      <c r="M579" s="55" t="n"/>
      <c r="N579" s="57" t="n"/>
      <c r="O579" s="55" t="n"/>
      <c r="P579" s="56" t="n"/>
      <c r="Q579" s="55" t="n"/>
      <c r="R579" s="55" t="n"/>
      <c r="S579" s="55" t="n"/>
      <c r="T579" s="55" t="n"/>
      <c r="U579" s="55" t="n"/>
      <c r="V579" s="55" t="n"/>
      <c r="W579" s="58" t="n"/>
      <c r="X579" s="58" t="n"/>
      <c r="Y579" s="55" t="n"/>
      <c r="Z579" s="55" t="n"/>
      <c r="AA579" s="55" t="n"/>
      <c r="AB579" s="55" t="n"/>
      <c r="AC579" s="55" t="n"/>
      <c r="AD579" s="53" t="n"/>
      <c r="AE579" s="55" t="n"/>
      <c r="AF579" s="55" t="n"/>
      <c r="AG579" s="59" t="n"/>
      <c r="AH579" s="57" t="n"/>
      <c r="AI579" s="55" t="n"/>
      <c r="AJ579" s="55" t="n"/>
      <c r="AK579" s="55" t="n"/>
      <c r="AL579" s="55" t="n"/>
      <c r="AM579" s="56" t="n"/>
      <c r="AN579" s="55" t="n"/>
      <c r="AO579" s="55" t="n"/>
      <c r="AP579" s="55" t="n"/>
      <c r="AQ579" s="55" t="n"/>
      <c r="AR579" s="60">
        <f>IF(AND(C579="",E579=""),"",IF(A579="","⚠ Date manquante",IF(AND(C579="",E579&lt;&gt;"Dépense"),"⚠ Prospect manquant",IF(E579="","⚠ Action manquante",IF(AND(AU579=1,D579=""),"⚠ Canal manquant",IF(AND(W579&lt;&gt;"",COUNTIFS('Saisie'!$W$5:$W$2004,W579,'Saisie'!$C$5:$C$2004,"&lt;&gt;"&amp;C579)&gt;0),"⚠ Numéro déjà utilisé par un autre prospect",IF(AND(J579&lt;&gt;"",J579&lt;A579),"⚠ Relance avant la date de l'action",IF(A579&gt;TODAY(),"⚠ Date dans le futur","✓"))))))))</f>
        <v/>
      </c>
      <c r="AS579" s="61">
        <f>IF(AND(A579="",C579="",E579=""),"",ROW())</f>
        <v/>
      </c>
      <c r="AT579" s="61">
        <f>IF(E579&amp;F579="","",MAX(IFERROR(INDEX('Paramètres'!$J$6:$J$33,MATCH(E579,'Paramètres'!$I$6:$I$33,0)),0),IFERROR(INDEX('Paramètres'!$N$6:$N$17,MATCH(F579,'Paramètres'!$M$6:$M$17,0)),0)))</f>
        <v/>
      </c>
      <c r="AU579" s="61">
        <f>IF(E579="","",IFERROR(IF(INDEX('Paramètres'!$K$6:$K$33,MATCH(E579,'Paramètres'!$I$6:$I$33,0))="Oui",1,0),0))</f>
        <v/>
      </c>
      <c r="AV579" s="61">
        <f>IF(F579="","",IFERROR(IF(INDEX('Paramètres'!$O$6:$O$17,MATCH(F579,'Paramètres'!$M$6:$M$17,0))="Oui",1,0),0))</f>
        <v/>
      </c>
      <c r="AW579" s="62">
        <f>IF(E579="","",IF(G579&lt;&gt;"",G579,IF(OR(E579="Proposition envoyée",E579="Signature"),MAX(0,N(IFERROR(INDEX('Paramètres'!$R$6:$R$15,MATCH(IF(AL579&lt;&gt;"",AL579,IFERROR(INDEX('Prospects'!$AN$5:$AN$504,MATCH(C579,'Prospects'!$C$5:$C$504,0)),"")),'Paramètres'!$Q$6:$Q$15,0)),0))-N(P579)),0)))</f>
        <v/>
      </c>
      <c r="AX579" s="61">
        <f>IF(C579="","",IF(COUNTIF($C$5:C579,C579)=1,MAX($AX$4:AX578)+1,""))</f>
        <v/>
      </c>
      <c r="AY579" s="61">
        <f>IF(B579="","",HOUR(B579))</f>
        <v/>
      </c>
      <c r="AZ579" s="61">
        <f>IF(A579="","",MOD(A579-2,7)+1)</f>
        <v/>
      </c>
      <c r="BA579" s="60">
        <f>IF(C579="","",IFERROR(INDEX('Prospects'!$N$5:$N$504,MATCH(C579,'Prospects'!$C$5:$C$504,0)),""))</f>
        <v/>
      </c>
      <c r="BB579" s="61">
        <f>IF(AND(C579&lt;&gt;"",C579='Fiche prospect'!$C$4),COUNTIF($C$5:C579,C579),"")</f>
        <v/>
      </c>
    </row>
    <row r="580">
      <c r="A580" s="53" t="n"/>
      <c r="B580" s="54" t="n"/>
      <c r="C580" s="55" t="n"/>
      <c r="D580" s="55" t="n"/>
      <c r="E580" s="55" t="n"/>
      <c r="F580" s="55" t="n"/>
      <c r="G580" s="56" t="n"/>
      <c r="H580" s="57" t="n"/>
      <c r="I580" s="55" t="n"/>
      <c r="J580" s="53" t="n"/>
      <c r="K580" s="54" t="n"/>
      <c r="L580" s="55" t="n"/>
      <c r="M580" s="55" t="n"/>
      <c r="N580" s="57" t="n"/>
      <c r="O580" s="55" t="n"/>
      <c r="P580" s="56" t="n"/>
      <c r="Q580" s="55" t="n"/>
      <c r="R580" s="55" t="n"/>
      <c r="S580" s="55" t="n"/>
      <c r="T580" s="55" t="n"/>
      <c r="U580" s="55" t="n"/>
      <c r="V580" s="55" t="n"/>
      <c r="W580" s="58" t="n"/>
      <c r="X580" s="58" t="n"/>
      <c r="Y580" s="55" t="n"/>
      <c r="Z580" s="55" t="n"/>
      <c r="AA580" s="55" t="n"/>
      <c r="AB580" s="55" t="n"/>
      <c r="AC580" s="55" t="n"/>
      <c r="AD580" s="53" t="n"/>
      <c r="AE580" s="55" t="n"/>
      <c r="AF580" s="55" t="n"/>
      <c r="AG580" s="59" t="n"/>
      <c r="AH580" s="57" t="n"/>
      <c r="AI580" s="55" t="n"/>
      <c r="AJ580" s="55" t="n"/>
      <c r="AK580" s="55" t="n"/>
      <c r="AL580" s="55" t="n"/>
      <c r="AM580" s="56" t="n"/>
      <c r="AN580" s="55" t="n"/>
      <c r="AO580" s="55" t="n"/>
      <c r="AP580" s="55" t="n"/>
      <c r="AQ580" s="55" t="n"/>
      <c r="AR580" s="60">
        <f>IF(AND(C580="",E580=""),"",IF(A580="","⚠ Date manquante",IF(AND(C580="",E580&lt;&gt;"Dépense"),"⚠ Prospect manquant",IF(E580="","⚠ Action manquante",IF(AND(AU580=1,D580=""),"⚠ Canal manquant",IF(AND(W580&lt;&gt;"",COUNTIFS('Saisie'!$W$5:$W$2004,W580,'Saisie'!$C$5:$C$2004,"&lt;&gt;"&amp;C580)&gt;0),"⚠ Numéro déjà utilisé par un autre prospect",IF(AND(J580&lt;&gt;"",J580&lt;A580),"⚠ Relance avant la date de l'action",IF(A580&gt;TODAY(),"⚠ Date dans le futur","✓"))))))))</f>
        <v/>
      </c>
      <c r="AS580" s="61">
        <f>IF(AND(A580="",C580="",E580=""),"",ROW())</f>
        <v/>
      </c>
      <c r="AT580" s="61">
        <f>IF(E580&amp;F580="","",MAX(IFERROR(INDEX('Paramètres'!$J$6:$J$33,MATCH(E580,'Paramètres'!$I$6:$I$33,0)),0),IFERROR(INDEX('Paramètres'!$N$6:$N$17,MATCH(F580,'Paramètres'!$M$6:$M$17,0)),0)))</f>
        <v/>
      </c>
      <c r="AU580" s="61">
        <f>IF(E580="","",IFERROR(IF(INDEX('Paramètres'!$K$6:$K$33,MATCH(E580,'Paramètres'!$I$6:$I$33,0))="Oui",1,0),0))</f>
        <v/>
      </c>
      <c r="AV580" s="61">
        <f>IF(F580="","",IFERROR(IF(INDEX('Paramètres'!$O$6:$O$17,MATCH(F580,'Paramètres'!$M$6:$M$17,0))="Oui",1,0),0))</f>
        <v/>
      </c>
      <c r="AW580" s="62">
        <f>IF(E580="","",IF(G580&lt;&gt;"",G580,IF(OR(E580="Proposition envoyée",E580="Signature"),MAX(0,N(IFERROR(INDEX('Paramètres'!$R$6:$R$15,MATCH(IF(AL580&lt;&gt;"",AL580,IFERROR(INDEX('Prospects'!$AN$5:$AN$504,MATCH(C580,'Prospects'!$C$5:$C$504,0)),"")),'Paramètres'!$Q$6:$Q$15,0)),0))-N(P580)),0)))</f>
        <v/>
      </c>
      <c r="AX580" s="61">
        <f>IF(C580="","",IF(COUNTIF($C$5:C580,C580)=1,MAX($AX$4:AX579)+1,""))</f>
        <v/>
      </c>
      <c r="AY580" s="61">
        <f>IF(B580="","",HOUR(B580))</f>
        <v/>
      </c>
      <c r="AZ580" s="61">
        <f>IF(A580="","",MOD(A580-2,7)+1)</f>
        <v/>
      </c>
      <c r="BA580" s="60">
        <f>IF(C580="","",IFERROR(INDEX('Prospects'!$N$5:$N$504,MATCH(C580,'Prospects'!$C$5:$C$504,0)),""))</f>
        <v/>
      </c>
      <c r="BB580" s="61">
        <f>IF(AND(C580&lt;&gt;"",C580='Fiche prospect'!$C$4),COUNTIF($C$5:C580,C580),"")</f>
        <v/>
      </c>
    </row>
    <row r="581">
      <c r="A581" s="53" t="n"/>
      <c r="B581" s="54" t="n"/>
      <c r="C581" s="55" t="n"/>
      <c r="D581" s="55" t="n"/>
      <c r="E581" s="55" t="n"/>
      <c r="F581" s="55" t="n"/>
      <c r="G581" s="56" t="n"/>
      <c r="H581" s="57" t="n"/>
      <c r="I581" s="55" t="n"/>
      <c r="J581" s="53" t="n"/>
      <c r="K581" s="54" t="n"/>
      <c r="L581" s="55" t="n"/>
      <c r="M581" s="55" t="n"/>
      <c r="N581" s="57" t="n"/>
      <c r="O581" s="55" t="n"/>
      <c r="P581" s="56" t="n"/>
      <c r="Q581" s="55" t="n"/>
      <c r="R581" s="55" t="n"/>
      <c r="S581" s="55" t="n"/>
      <c r="T581" s="55" t="n"/>
      <c r="U581" s="55" t="n"/>
      <c r="V581" s="55" t="n"/>
      <c r="W581" s="58" t="n"/>
      <c r="X581" s="58" t="n"/>
      <c r="Y581" s="55" t="n"/>
      <c r="Z581" s="55" t="n"/>
      <c r="AA581" s="55" t="n"/>
      <c r="AB581" s="55" t="n"/>
      <c r="AC581" s="55" t="n"/>
      <c r="AD581" s="53" t="n"/>
      <c r="AE581" s="55" t="n"/>
      <c r="AF581" s="55" t="n"/>
      <c r="AG581" s="59" t="n"/>
      <c r="AH581" s="57" t="n"/>
      <c r="AI581" s="55" t="n"/>
      <c r="AJ581" s="55" t="n"/>
      <c r="AK581" s="55" t="n"/>
      <c r="AL581" s="55" t="n"/>
      <c r="AM581" s="56" t="n"/>
      <c r="AN581" s="55" t="n"/>
      <c r="AO581" s="55" t="n"/>
      <c r="AP581" s="55" t="n"/>
      <c r="AQ581" s="55" t="n"/>
      <c r="AR581" s="60">
        <f>IF(AND(C581="",E581=""),"",IF(A581="","⚠ Date manquante",IF(AND(C581="",E581&lt;&gt;"Dépense"),"⚠ Prospect manquant",IF(E581="","⚠ Action manquante",IF(AND(AU581=1,D581=""),"⚠ Canal manquant",IF(AND(W581&lt;&gt;"",COUNTIFS('Saisie'!$W$5:$W$2004,W581,'Saisie'!$C$5:$C$2004,"&lt;&gt;"&amp;C581)&gt;0),"⚠ Numéro déjà utilisé par un autre prospect",IF(AND(J581&lt;&gt;"",J581&lt;A581),"⚠ Relance avant la date de l'action",IF(A581&gt;TODAY(),"⚠ Date dans le futur","✓"))))))))</f>
        <v/>
      </c>
      <c r="AS581" s="61">
        <f>IF(AND(A581="",C581="",E581=""),"",ROW())</f>
        <v/>
      </c>
      <c r="AT581" s="61">
        <f>IF(E581&amp;F581="","",MAX(IFERROR(INDEX('Paramètres'!$J$6:$J$33,MATCH(E581,'Paramètres'!$I$6:$I$33,0)),0),IFERROR(INDEX('Paramètres'!$N$6:$N$17,MATCH(F581,'Paramètres'!$M$6:$M$17,0)),0)))</f>
        <v/>
      </c>
      <c r="AU581" s="61">
        <f>IF(E581="","",IFERROR(IF(INDEX('Paramètres'!$K$6:$K$33,MATCH(E581,'Paramètres'!$I$6:$I$33,0))="Oui",1,0),0))</f>
        <v/>
      </c>
      <c r="AV581" s="61">
        <f>IF(F581="","",IFERROR(IF(INDEX('Paramètres'!$O$6:$O$17,MATCH(F581,'Paramètres'!$M$6:$M$17,0))="Oui",1,0),0))</f>
        <v/>
      </c>
      <c r="AW581" s="62">
        <f>IF(E581="","",IF(G581&lt;&gt;"",G581,IF(OR(E581="Proposition envoyée",E581="Signature"),MAX(0,N(IFERROR(INDEX('Paramètres'!$R$6:$R$15,MATCH(IF(AL581&lt;&gt;"",AL581,IFERROR(INDEX('Prospects'!$AN$5:$AN$504,MATCH(C581,'Prospects'!$C$5:$C$504,0)),"")),'Paramètres'!$Q$6:$Q$15,0)),0))-N(P581)),0)))</f>
        <v/>
      </c>
      <c r="AX581" s="61">
        <f>IF(C581="","",IF(COUNTIF($C$5:C581,C581)=1,MAX($AX$4:AX580)+1,""))</f>
        <v/>
      </c>
      <c r="AY581" s="61">
        <f>IF(B581="","",HOUR(B581))</f>
        <v/>
      </c>
      <c r="AZ581" s="61">
        <f>IF(A581="","",MOD(A581-2,7)+1)</f>
        <v/>
      </c>
      <c r="BA581" s="60">
        <f>IF(C581="","",IFERROR(INDEX('Prospects'!$N$5:$N$504,MATCH(C581,'Prospects'!$C$5:$C$504,0)),""))</f>
        <v/>
      </c>
      <c r="BB581" s="61">
        <f>IF(AND(C581&lt;&gt;"",C581='Fiche prospect'!$C$4),COUNTIF($C$5:C581,C581),"")</f>
        <v/>
      </c>
    </row>
    <row r="582">
      <c r="A582" s="53" t="n"/>
      <c r="B582" s="54" t="n"/>
      <c r="C582" s="55" t="n"/>
      <c r="D582" s="55" t="n"/>
      <c r="E582" s="55" t="n"/>
      <c r="F582" s="55" t="n"/>
      <c r="G582" s="56" t="n"/>
      <c r="H582" s="57" t="n"/>
      <c r="I582" s="55" t="n"/>
      <c r="J582" s="53" t="n"/>
      <c r="K582" s="54" t="n"/>
      <c r="L582" s="55" t="n"/>
      <c r="M582" s="55" t="n"/>
      <c r="N582" s="57" t="n"/>
      <c r="O582" s="55" t="n"/>
      <c r="P582" s="56" t="n"/>
      <c r="Q582" s="55" t="n"/>
      <c r="R582" s="55" t="n"/>
      <c r="S582" s="55" t="n"/>
      <c r="T582" s="55" t="n"/>
      <c r="U582" s="55" t="n"/>
      <c r="V582" s="55" t="n"/>
      <c r="W582" s="58" t="n"/>
      <c r="X582" s="58" t="n"/>
      <c r="Y582" s="55" t="n"/>
      <c r="Z582" s="55" t="n"/>
      <c r="AA582" s="55" t="n"/>
      <c r="AB582" s="55" t="n"/>
      <c r="AC582" s="55" t="n"/>
      <c r="AD582" s="53" t="n"/>
      <c r="AE582" s="55" t="n"/>
      <c r="AF582" s="55" t="n"/>
      <c r="AG582" s="59" t="n"/>
      <c r="AH582" s="57" t="n"/>
      <c r="AI582" s="55" t="n"/>
      <c r="AJ582" s="55" t="n"/>
      <c r="AK582" s="55" t="n"/>
      <c r="AL582" s="55" t="n"/>
      <c r="AM582" s="56" t="n"/>
      <c r="AN582" s="55" t="n"/>
      <c r="AO582" s="55" t="n"/>
      <c r="AP582" s="55" t="n"/>
      <c r="AQ582" s="55" t="n"/>
      <c r="AR582" s="60">
        <f>IF(AND(C582="",E582=""),"",IF(A582="","⚠ Date manquante",IF(AND(C582="",E582&lt;&gt;"Dépense"),"⚠ Prospect manquant",IF(E582="","⚠ Action manquante",IF(AND(AU582=1,D582=""),"⚠ Canal manquant",IF(AND(W582&lt;&gt;"",COUNTIFS('Saisie'!$W$5:$W$2004,W582,'Saisie'!$C$5:$C$2004,"&lt;&gt;"&amp;C582)&gt;0),"⚠ Numéro déjà utilisé par un autre prospect",IF(AND(J582&lt;&gt;"",J582&lt;A582),"⚠ Relance avant la date de l'action",IF(A582&gt;TODAY(),"⚠ Date dans le futur","✓"))))))))</f>
        <v/>
      </c>
      <c r="AS582" s="61">
        <f>IF(AND(A582="",C582="",E582=""),"",ROW())</f>
        <v/>
      </c>
      <c r="AT582" s="61">
        <f>IF(E582&amp;F582="","",MAX(IFERROR(INDEX('Paramètres'!$J$6:$J$33,MATCH(E582,'Paramètres'!$I$6:$I$33,0)),0),IFERROR(INDEX('Paramètres'!$N$6:$N$17,MATCH(F582,'Paramètres'!$M$6:$M$17,0)),0)))</f>
        <v/>
      </c>
      <c r="AU582" s="61">
        <f>IF(E582="","",IFERROR(IF(INDEX('Paramètres'!$K$6:$K$33,MATCH(E582,'Paramètres'!$I$6:$I$33,0))="Oui",1,0),0))</f>
        <v/>
      </c>
      <c r="AV582" s="61">
        <f>IF(F582="","",IFERROR(IF(INDEX('Paramètres'!$O$6:$O$17,MATCH(F582,'Paramètres'!$M$6:$M$17,0))="Oui",1,0),0))</f>
        <v/>
      </c>
      <c r="AW582" s="62">
        <f>IF(E582="","",IF(G582&lt;&gt;"",G582,IF(OR(E582="Proposition envoyée",E582="Signature"),MAX(0,N(IFERROR(INDEX('Paramètres'!$R$6:$R$15,MATCH(IF(AL582&lt;&gt;"",AL582,IFERROR(INDEX('Prospects'!$AN$5:$AN$504,MATCH(C582,'Prospects'!$C$5:$C$504,0)),"")),'Paramètres'!$Q$6:$Q$15,0)),0))-N(P582)),0)))</f>
        <v/>
      </c>
      <c r="AX582" s="61">
        <f>IF(C582="","",IF(COUNTIF($C$5:C582,C582)=1,MAX($AX$4:AX581)+1,""))</f>
        <v/>
      </c>
      <c r="AY582" s="61">
        <f>IF(B582="","",HOUR(B582))</f>
        <v/>
      </c>
      <c r="AZ582" s="61">
        <f>IF(A582="","",MOD(A582-2,7)+1)</f>
        <v/>
      </c>
      <c r="BA582" s="60">
        <f>IF(C582="","",IFERROR(INDEX('Prospects'!$N$5:$N$504,MATCH(C582,'Prospects'!$C$5:$C$504,0)),""))</f>
        <v/>
      </c>
      <c r="BB582" s="61">
        <f>IF(AND(C582&lt;&gt;"",C582='Fiche prospect'!$C$4),COUNTIF($C$5:C582,C582),"")</f>
        <v/>
      </c>
    </row>
    <row r="583">
      <c r="A583" s="53" t="n"/>
      <c r="B583" s="54" t="n"/>
      <c r="C583" s="55" t="n"/>
      <c r="D583" s="55" t="n"/>
      <c r="E583" s="55" t="n"/>
      <c r="F583" s="55" t="n"/>
      <c r="G583" s="56" t="n"/>
      <c r="H583" s="57" t="n"/>
      <c r="I583" s="55" t="n"/>
      <c r="J583" s="53" t="n"/>
      <c r="K583" s="54" t="n"/>
      <c r="L583" s="55" t="n"/>
      <c r="M583" s="55" t="n"/>
      <c r="N583" s="57" t="n"/>
      <c r="O583" s="55" t="n"/>
      <c r="P583" s="56" t="n"/>
      <c r="Q583" s="55" t="n"/>
      <c r="R583" s="55" t="n"/>
      <c r="S583" s="55" t="n"/>
      <c r="T583" s="55" t="n"/>
      <c r="U583" s="55" t="n"/>
      <c r="V583" s="55" t="n"/>
      <c r="W583" s="58" t="n"/>
      <c r="X583" s="58" t="n"/>
      <c r="Y583" s="55" t="n"/>
      <c r="Z583" s="55" t="n"/>
      <c r="AA583" s="55" t="n"/>
      <c r="AB583" s="55" t="n"/>
      <c r="AC583" s="55" t="n"/>
      <c r="AD583" s="53" t="n"/>
      <c r="AE583" s="55" t="n"/>
      <c r="AF583" s="55" t="n"/>
      <c r="AG583" s="59" t="n"/>
      <c r="AH583" s="57" t="n"/>
      <c r="AI583" s="55" t="n"/>
      <c r="AJ583" s="55" t="n"/>
      <c r="AK583" s="55" t="n"/>
      <c r="AL583" s="55" t="n"/>
      <c r="AM583" s="56" t="n"/>
      <c r="AN583" s="55" t="n"/>
      <c r="AO583" s="55" t="n"/>
      <c r="AP583" s="55" t="n"/>
      <c r="AQ583" s="55" t="n"/>
      <c r="AR583" s="60">
        <f>IF(AND(C583="",E583=""),"",IF(A583="","⚠ Date manquante",IF(AND(C583="",E583&lt;&gt;"Dépense"),"⚠ Prospect manquant",IF(E583="","⚠ Action manquante",IF(AND(AU583=1,D583=""),"⚠ Canal manquant",IF(AND(W583&lt;&gt;"",COUNTIFS('Saisie'!$W$5:$W$2004,W583,'Saisie'!$C$5:$C$2004,"&lt;&gt;"&amp;C583)&gt;0),"⚠ Numéro déjà utilisé par un autre prospect",IF(AND(J583&lt;&gt;"",J583&lt;A583),"⚠ Relance avant la date de l'action",IF(A583&gt;TODAY(),"⚠ Date dans le futur","✓"))))))))</f>
        <v/>
      </c>
      <c r="AS583" s="61">
        <f>IF(AND(A583="",C583="",E583=""),"",ROW())</f>
        <v/>
      </c>
      <c r="AT583" s="61">
        <f>IF(E583&amp;F583="","",MAX(IFERROR(INDEX('Paramètres'!$J$6:$J$33,MATCH(E583,'Paramètres'!$I$6:$I$33,0)),0),IFERROR(INDEX('Paramètres'!$N$6:$N$17,MATCH(F583,'Paramètres'!$M$6:$M$17,0)),0)))</f>
        <v/>
      </c>
      <c r="AU583" s="61">
        <f>IF(E583="","",IFERROR(IF(INDEX('Paramètres'!$K$6:$K$33,MATCH(E583,'Paramètres'!$I$6:$I$33,0))="Oui",1,0),0))</f>
        <v/>
      </c>
      <c r="AV583" s="61">
        <f>IF(F583="","",IFERROR(IF(INDEX('Paramètres'!$O$6:$O$17,MATCH(F583,'Paramètres'!$M$6:$M$17,0))="Oui",1,0),0))</f>
        <v/>
      </c>
      <c r="AW583" s="62">
        <f>IF(E583="","",IF(G583&lt;&gt;"",G583,IF(OR(E583="Proposition envoyée",E583="Signature"),MAX(0,N(IFERROR(INDEX('Paramètres'!$R$6:$R$15,MATCH(IF(AL583&lt;&gt;"",AL583,IFERROR(INDEX('Prospects'!$AN$5:$AN$504,MATCH(C583,'Prospects'!$C$5:$C$504,0)),"")),'Paramètres'!$Q$6:$Q$15,0)),0))-N(P583)),0)))</f>
        <v/>
      </c>
      <c r="AX583" s="61">
        <f>IF(C583="","",IF(COUNTIF($C$5:C583,C583)=1,MAX($AX$4:AX582)+1,""))</f>
        <v/>
      </c>
      <c r="AY583" s="61">
        <f>IF(B583="","",HOUR(B583))</f>
        <v/>
      </c>
      <c r="AZ583" s="61">
        <f>IF(A583="","",MOD(A583-2,7)+1)</f>
        <v/>
      </c>
      <c r="BA583" s="60">
        <f>IF(C583="","",IFERROR(INDEX('Prospects'!$N$5:$N$504,MATCH(C583,'Prospects'!$C$5:$C$504,0)),""))</f>
        <v/>
      </c>
      <c r="BB583" s="61">
        <f>IF(AND(C583&lt;&gt;"",C583='Fiche prospect'!$C$4),COUNTIF($C$5:C583,C583),"")</f>
        <v/>
      </c>
    </row>
    <row r="584">
      <c r="A584" s="53" t="n"/>
      <c r="B584" s="54" t="n"/>
      <c r="C584" s="55" t="n"/>
      <c r="D584" s="55" t="n"/>
      <c r="E584" s="55" t="n"/>
      <c r="F584" s="55" t="n"/>
      <c r="G584" s="56" t="n"/>
      <c r="H584" s="57" t="n"/>
      <c r="I584" s="55" t="n"/>
      <c r="J584" s="53" t="n"/>
      <c r="K584" s="54" t="n"/>
      <c r="L584" s="55" t="n"/>
      <c r="M584" s="55" t="n"/>
      <c r="N584" s="57" t="n"/>
      <c r="O584" s="55" t="n"/>
      <c r="P584" s="56" t="n"/>
      <c r="Q584" s="55" t="n"/>
      <c r="R584" s="55" t="n"/>
      <c r="S584" s="55" t="n"/>
      <c r="T584" s="55" t="n"/>
      <c r="U584" s="55" t="n"/>
      <c r="V584" s="55" t="n"/>
      <c r="W584" s="58" t="n"/>
      <c r="X584" s="58" t="n"/>
      <c r="Y584" s="55" t="n"/>
      <c r="Z584" s="55" t="n"/>
      <c r="AA584" s="55" t="n"/>
      <c r="AB584" s="55" t="n"/>
      <c r="AC584" s="55" t="n"/>
      <c r="AD584" s="53" t="n"/>
      <c r="AE584" s="55" t="n"/>
      <c r="AF584" s="55" t="n"/>
      <c r="AG584" s="59" t="n"/>
      <c r="AH584" s="57" t="n"/>
      <c r="AI584" s="55" t="n"/>
      <c r="AJ584" s="55" t="n"/>
      <c r="AK584" s="55" t="n"/>
      <c r="AL584" s="55" t="n"/>
      <c r="AM584" s="56" t="n"/>
      <c r="AN584" s="55" t="n"/>
      <c r="AO584" s="55" t="n"/>
      <c r="AP584" s="55" t="n"/>
      <c r="AQ584" s="55" t="n"/>
      <c r="AR584" s="60">
        <f>IF(AND(C584="",E584=""),"",IF(A584="","⚠ Date manquante",IF(AND(C584="",E584&lt;&gt;"Dépense"),"⚠ Prospect manquant",IF(E584="","⚠ Action manquante",IF(AND(AU584=1,D584=""),"⚠ Canal manquant",IF(AND(W584&lt;&gt;"",COUNTIFS('Saisie'!$W$5:$W$2004,W584,'Saisie'!$C$5:$C$2004,"&lt;&gt;"&amp;C584)&gt;0),"⚠ Numéro déjà utilisé par un autre prospect",IF(AND(J584&lt;&gt;"",J584&lt;A584),"⚠ Relance avant la date de l'action",IF(A584&gt;TODAY(),"⚠ Date dans le futur","✓"))))))))</f>
        <v/>
      </c>
      <c r="AS584" s="61">
        <f>IF(AND(A584="",C584="",E584=""),"",ROW())</f>
        <v/>
      </c>
      <c r="AT584" s="61">
        <f>IF(E584&amp;F584="","",MAX(IFERROR(INDEX('Paramètres'!$J$6:$J$33,MATCH(E584,'Paramètres'!$I$6:$I$33,0)),0),IFERROR(INDEX('Paramètres'!$N$6:$N$17,MATCH(F584,'Paramètres'!$M$6:$M$17,0)),0)))</f>
        <v/>
      </c>
      <c r="AU584" s="61">
        <f>IF(E584="","",IFERROR(IF(INDEX('Paramètres'!$K$6:$K$33,MATCH(E584,'Paramètres'!$I$6:$I$33,0))="Oui",1,0),0))</f>
        <v/>
      </c>
      <c r="AV584" s="61">
        <f>IF(F584="","",IFERROR(IF(INDEX('Paramètres'!$O$6:$O$17,MATCH(F584,'Paramètres'!$M$6:$M$17,0))="Oui",1,0),0))</f>
        <v/>
      </c>
      <c r="AW584" s="62">
        <f>IF(E584="","",IF(G584&lt;&gt;"",G584,IF(OR(E584="Proposition envoyée",E584="Signature"),MAX(0,N(IFERROR(INDEX('Paramètres'!$R$6:$R$15,MATCH(IF(AL584&lt;&gt;"",AL584,IFERROR(INDEX('Prospects'!$AN$5:$AN$504,MATCH(C584,'Prospects'!$C$5:$C$504,0)),"")),'Paramètres'!$Q$6:$Q$15,0)),0))-N(P584)),0)))</f>
        <v/>
      </c>
      <c r="AX584" s="61">
        <f>IF(C584="","",IF(COUNTIF($C$5:C584,C584)=1,MAX($AX$4:AX583)+1,""))</f>
        <v/>
      </c>
      <c r="AY584" s="61">
        <f>IF(B584="","",HOUR(B584))</f>
        <v/>
      </c>
      <c r="AZ584" s="61">
        <f>IF(A584="","",MOD(A584-2,7)+1)</f>
        <v/>
      </c>
      <c r="BA584" s="60">
        <f>IF(C584="","",IFERROR(INDEX('Prospects'!$N$5:$N$504,MATCH(C584,'Prospects'!$C$5:$C$504,0)),""))</f>
        <v/>
      </c>
      <c r="BB584" s="61">
        <f>IF(AND(C584&lt;&gt;"",C584='Fiche prospect'!$C$4),COUNTIF($C$5:C584,C584),"")</f>
        <v/>
      </c>
    </row>
    <row r="585">
      <c r="A585" s="53" t="n"/>
      <c r="B585" s="54" t="n"/>
      <c r="C585" s="55" t="n"/>
      <c r="D585" s="55" t="n"/>
      <c r="E585" s="55" t="n"/>
      <c r="F585" s="55" t="n"/>
      <c r="G585" s="56" t="n"/>
      <c r="H585" s="57" t="n"/>
      <c r="I585" s="55" t="n"/>
      <c r="J585" s="53" t="n"/>
      <c r="K585" s="54" t="n"/>
      <c r="L585" s="55" t="n"/>
      <c r="M585" s="55" t="n"/>
      <c r="N585" s="57" t="n"/>
      <c r="O585" s="55" t="n"/>
      <c r="P585" s="56" t="n"/>
      <c r="Q585" s="55" t="n"/>
      <c r="R585" s="55" t="n"/>
      <c r="S585" s="55" t="n"/>
      <c r="T585" s="55" t="n"/>
      <c r="U585" s="55" t="n"/>
      <c r="V585" s="55" t="n"/>
      <c r="W585" s="58" t="n"/>
      <c r="X585" s="58" t="n"/>
      <c r="Y585" s="55" t="n"/>
      <c r="Z585" s="55" t="n"/>
      <c r="AA585" s="55" t="n"/>
      <c r="AB585" s="55" t="n"/>
      <c r="AC585" s="55" t="n"/>
      <c r="AD585" s="53" t="n"/>
      <c r="AE585" s="55" t="n"/>
      <c r="AF585" s="55" t="n"/>
      <c r="AG585" s="59" t="n"/>
      <c r="AH585" s="57" t="n"/>
      <c r="AI585" s="55" t="n"/>
      <c r="AJ585" s="55" t="n"/>
      <c r="AK585" s="55" t="n"/>
      <c r="AL585" s="55" t="n"/>
      <c r="AM585" s="56" t="n"/>
      <c r="AN585" s="55" t="n"/>
      <c r="AO585" s="55" t="n"/>
      <c r="AP585" s="55" t="n"/>
      <c r="AQ585" s="55" t="n"/>
      <c r="AR585" s="60">
        <f>IF(AND(C585="",E585=""),"",IF(A585="","⚠ Date manquante",IF(AND(C585="",E585&lt;&gt;"Dépense"),"⚠ Prospect manquant",IF(E585="","⚠ Action manquante",IF(AND(AU585=1,D585=""),"⚠ Canal manquant",IF(AND(W585&lt;&gt;"",COUNTIFS('Saisie'!$W$5:$W$2004,W585,'Saisie'!$C$5:$C$2004,"&lt;&gt;"&amp;C585)&gt;0),"⚠ Numéro déjà utilisé par un autre prospect",IF(AND(J585&lt;&gt;"",J585&lt;A585),"⚠ Relance avant la date de l'action",IF(A585&gt;TODAY(),"⚠ Date dans le futur","✓"))))))))</f>
        <v/>
      </c>
      <c r="AS585" s="61">
        <f>IF(AND(A585="",C585="",E585=""),"",ROW())</f>
        <v/>
      </c>
      <c r="AT585" s="61">
        <f>IF(E585&amp;F585="","",MAX(IFERROR(INDEX('Paramètres'!$J$6:$J$33,MATCH(E585,'Paramètres'!$I$6:$I$33,0)),0),IFERROR(INDEX('Paramètres'!$N$6:$N$17,MATCH(F585,'Paramètres'!$M$6:$M$17,0)),0)))</f>
        <v/>
      </c>
      <c r="AU585" s="61">
        <f>IF(E585="","",IFERROR(IF(INDEX('Paramètres'!$K$6:$K$33,MATCH(E585,'Paramètres'!$I$6:$I$33,0))="Oui",1,0),0))</f>
        <v/>
      </c>
      <c r="AV585" s="61">
        <f>IF(F585="","",IFERROR(IF(INDEX('Paramètres'!$O$6:$O$17,MATCH(F585,'Paramètres'!$M$6:$M$17,0))="Oui",1,0),0))</f>
        <v/>
      </c>
      <c r="AW585" s="62">
        <f>IF(E585="","",IF(G585&lt;&gt;"",G585,IF(OR(E585="Proposition envoyée",E585="Signature"),MAX(0,N(IFERROR(INDEX('Paramètres'!$R$6:$R$15,MATCH(IF(AL585&lt;&gt;"",AL585,IFERROR(INDEX('Prospects'!$AN$5:$AN$504,MATCH(C585,'Prospects'!$C$5:$C$504,0)),"")),'Paramètres'!$Q$6:$Q$15,0)),0))-N(P585)),0)))</f>
        <v/>
      </c>
      <c r="AX585" s="61">
        <f>IF(C585="","",IF(COUNTIF($C$5:C585,C585)=1,MAX($AX$4:AX584)+1,""))</f>
        <v/>
      </c>
      <c r="AY585" s="61">
        <f>IF(B585="","",HOUR(B585))</f>
        <v/>
      </c>
      <c r="AZ585" s="61">
        <f>IF(A585="","",MOD(A585-2,7)+1)</f>
        <v/>
      </c>
      <c r="BA585" s="60">
        <f>IF(C585="","",IFERROR(INDEX('Prospects'!$N$5:$N$504,MATCH(C585,'Prospects'!$C$5:$C$504,0)),""))</f>
        <v/>
      </c>
      <c r="BB585" s="61">
        <f>IF(AND(C585&lt;&gt;"",C585='Fiche prospect'!$C$4),COUNTIF($C$5:C585,C585),"")</f>
        <v/>
      </c>
    </row>
    <row r="586">
      <c r="A586" s="53" t="n"/>
      <c r="B586" s="54" t="n"/>
      <c r="C586" s="55" t="n"/>
      <c r="D586" s="55" t="n"/>
      <c r="E586" s="55" t="n"/>
      <c r="F586" s="55" t="n"/>
      <c r="G586" s="56" t="n"/>
      <c r="H586" s="57" t="n"/>
      <c r="I586" s="55" t="n"/>
      <c r="J586" s="53" t="n"/>
      <c r="K586" s="54" t="n"/>
      <c r="L586" s="55" t="n"/>
      <c r="M586" s="55" t="n"/>
      <c r="N586" s="57" t="n"/>
      <c r="O586" s="55" t="n"/>
      <c r="P586" s="56" t="n"/>
      <c r="Q586" s="55" t="n"/>
      <c r="R586" s="55" t="n"/>
      <c r="S586" s="55" t="n"/>
      <c r="T586" s="55" t="n"/>
      <c r="U586" s="55" t="n"/>
      <c r="V586" s="55" t="n"/>
      <c r="W586" s="58" t="n"/>
      <c r="X586" s="58" t="n"/>
      <c r="Y586" s="55" t="n"/>
      <c r="Z586" s="55" t="n"/>
      <c r="AA586" s="55" t="n"/>
      <c r="AB586" s="55" t="n"/>
      <c r="AC586" s="55" t="n"/>
      <c r="AD586" s="53" t="n"/>
      <c r="AE586" s="55" t="n"/>
      <c r="AF586" s="55" t="n"/>
      <c r="AG586" s="59" t="n"/>
      <c r="AH586" s="57" t="n"/>
      <c r="AI586" s="55" t="n"/>
      <c r="AJ586" s="55" t="n"/>
      <c r="AK586" s="55" t="n"/>
      <c r="AL586" s="55" t="n"/>
      <c r="AM586" s="56" t="n"/>
      <c r="AN586" s="55" t="n"/>
      <c r="AO586" s="55" t="n"/>
      <c r="AP586" s="55" t="n"/>
      <c r="AQ586" s="55" t="n"/>
      <c r="AR586" s="60">
        <f>IF(AND(C586="",E586=""),"",IF(A586="","⚠ Date manquante",IF(AND(C586="",E586&lt;&gt;"Dépense"),"⚠ Prospect manquant",IF(E586="","⚠ Action manquante",IF(AND(AU586=1,D586=""),"⚠ Canal manquant",IF(AND(W586&lt;&gt;"",COUNTIFS('Saisie'!$W$5:$W$2004,W586,'Saisie'!$C$5:$C$2004,"&lt;&gt;"&amp;C586)&gt;0),"⚠ Numéro déjà utilisé par un autre prospect",IF(AND(J586&lt;&gt;"",J586&lt;A586),"⚠ Relance avant la date de l'action",IF(A586&gt;TODAY(),"⚠ Date dans le futur","✓"))))))))</f>
        <v/>
      </c>
      <c r="AS586" s="61">
        <f>IF(AND(A586="",C586="",E586=""),"",ROW())</f>
        <v/>
      </c>
      <c r="AT586" s="61">
        <f>IF(E586&amp;F586="","",MAX(IFERROR(INDEX('Paramètres'!$J$6:$J$33,MATCH(E586,'Paramètres'!$I$6:$I$33,0)),0),IFERROR(INDEX('Paramètres'!$N$6:$N$17,MATCH(F586,'Paramètres'!$M$6:$M$17,0)),0)))</f>
        <v/>
      </c>
      <c r="AU586" s="61">
        <f>IF(E586="","",IFERROR(IF(INDEX('Paramètres'!$K$6:$K$33,MATCH(E586,'Paramètres'!$I$6:$I$33,0))="Oui",1,0),0))</f>
        <v/>
      </c>
      <c r="AV586" s="61">
        <f>IF(F586="","",IFERROR(IF(INDEX('Paramètres'!$O$6:$O$17,MATCH(F586,'Paramètres'!$M$6:$M$17,0))="Oui",1,0),0))</f>
        <v/>
      </c>
      <c r="AW586" s="62">
        <f>IF(E586="","",IF(G586&lt;&gt;"",G586,IF(OR(E586="Proposition envoyée",E586="Signature"),MAX(0,N(IFERROR(INDEX('Paramètres'!$R$6:$R$15,MATCH(IF(AL586&lt;&gt;"",AL586,IFERROR(INDEX('Prospects'!$AN$5:$AN$504,MATCH(C586,'Prospects'!$C$5:$C$504,0)),"")),'Paramètres'!$Q$6:$Q$15,0)),0))-N(P586)),0)))</f>
        <v/>
      </c>
      <c r="AX586" s="61">
        <f>IF(C586="","",IF(COUNTIF($C$5:C586,C586)=1,MAX($AX$4:AX585)+1,""))</f>
        <v/>
      </c>
      <c r="AY586" s="61">
        <f>IF(B586="","",HOUR(B586))</f>
        <v/>
      </c>
      <c r="AZ586" s="61">
        <f>IF(A586="","",MOD(A586-2,7)+1)</f>
        <v/>
      </c>
      <c r="BA586" s="60">
        <f>IF(C586="","",IFERROR(INDEX('Prospects'!$N$5:$N$504,MATCH(C586,'Prospects'!$C$5:$C$504,0)),""))</f>
        <v/>
      </c>
      <c r="BB586" s="61">
        <f>IF(AND(C586&lt;&gt;"",C586='Fiche prospect'!$C$4),COUNTIF($C$5:C586,C586),"")</f>
        <v/>
      </c>
    </row>
    <row r="587">
      <c r="A587" s="53" t="n"/>
      <c r="B587" s="54" t="n"/>
      <c r="C587" s="55" t="n"/>
      <c r="D587" s="55" t="n"/>
      <c r="E587" s="55" t="n"/>
      <c r="F587" s="55" t="n"/>
      <c r="G587" s="56" t="n"/>
      <c r="H587" s="57" t="n"/>
      <c r="I587" s="55" t="n"/>
      <c r="J587" s="53" t="n"/>
      <c r="K587" s="54" t="n"/>
      <c r="L587" s="55" t="n"/>
      <c r="M587" s="55" t="n"/>
      <c r="N587" s="57" t="n"/>
      <c r="O587" s="55" t="n"/>
      <c r="P587" s="56" t="n"/>
      <c r="Q587" s="55" t="n"/>
      <c r="R587" s="55" t="n"/>
      <c r="S587" s="55" t="n"/>
      <c r="T587" s="55" t="n"/>
      <c r="U587" s="55" t="n"/>
      <c r="V587" s="55" t="n"/>
      <c r="W587" s="58" t="n"/>
      <c r="X587" s="58" t="n"/>
      <c r="Y587" s="55" t="n"/>
      <c r="Z587" s="55" t="n"/>
      <c r="AA587" s="55" t="n"/>
      <c r="AB587" s="55" t="n"/>
      <c r="AC587" s="55" t="n"/>
      <c r="AD587" s="53" t="n"/>
      <c r="AE587" s="55" t="n"/>
      <c r="AF587" s="55" t="n"/>
      <c r="AG587" s="59" t="n"/>
      <c r="AH587" s="57" t="n"/>
      <c r="AI587" s="55" t="n"/>
      <c r="AJ587" s="55" t="n"/>
      <c r="AK587" s="55" t="n"/>
      <c r="AL587" s="55" t="n"/>
      <c r="AM587" s="56" t="n"/>
      <c r="AN587" s="55" t="n"/>
      <c r="AO587" s="55" t="n"/>
      <c r="AP587" s="55" t="n"/>
      <c r="AQ587" s="55" t="n"/>
      <c r="AR587" s="60">
        <f>IF(AND(C587="",E587=""),"",IF(A587="","⚠ Date manquante",IF(AND(C587="",E587&lt;&gt;"Dépense"),"⚠ Prospect manquant",IF(E587="","⚠ Action manquante",IF(AND(AU587=1,D587=""),"⚠ Canal manquant",IF(AND(W587&lt;&gt;"",COUNTIFS('Saisie'!$W$5:$W$2004,W587,'Saisie'!$C$5:$C$2004,"&lt;&gt;"&amp;C587)&gt;0),"⚠ Numéro déjà utilisé par un autre prospect",IF(AND(J587&lt;&gt;"",J587&lt;A587),"⚠ Relance avant la date de l'action",IF(A587&gt;TODAY(),"⚠ Date dans le futur","✓"))))))))</f>
        <v/>
      </c>
      <c r="AS587" s="61">
        <f>IF(AND(A587="",C587="",E587=""),"",ROW())</f>
        <v/>
      </c>
      <c r="AT587" s="61">
        <f>IF(E587&amp;F587="","",MAX(IFERROR(INDEX('Paramètres'!$J$6:$J$33,MATCH(E587,'Paramètres'!$I$6:$I$33,0)),0),IFERROR(INDEX('Paramètres'!$N$6:$N$17,MATCH(F587,'Paramètres'!$M$6:$M$17,0)),0)))</f>
        <v/>
      </c>
      <c r="AU587" s="61">
        <f>IF(E587="","",IFERROR(IF(INDEX('Paramètres'!$K$6:$K$33,MATCH(E587,'Paramètres'!$I$6:$I$33,0))="Oui",1,0),0))</f>
        <v/>
      </c>
      <c r="AV587" s="61">
        <f>IF(F587="","",IFERROR(IF(INDEX('Paramètres'!$O$6:$O$17,MATCH(F587,'Paramètres'!$M$6:$M$17,0))="Oui",1,0),0))</f>
        <v/>
      </c>
      <c r="AW587" s="62">
        <f>IF(E587="","",IF(G587&lt;&gt;"",G587,IF(OR(E587="Proposition envoyée",E587="Signature"),MAX(0,N(IFERROR(INDEX('Paramètres'!$R$6:$R$15,MATCH(IF(AL587&lt;&gt;"",AL587,IFERROR(INDEX('Prospects'!$AN$5:$AN$504,MATCH(C587,'Prospects'!$C$5:$C$504,0)),"")),'Paramètres'!$Q$6:$Q$15,0)),0))-N(P587)),0)))</f>
        <v/>
      </c>
      <c r="AX587" s="61">
        <f>IF(C587="","",IF(COUNTIF($C$5:C587,C587)=1,MAX($AX$4:AX586)+1,""))</f>
        <v/>
      </c>
      <c r="AY587" s="61">
        <f>IF(B587="","",HOUR(B587))</f>
        <v/>
      </c>
      <c r="AZ587" s="61">
        <f>IF(A587="","",MOD(A587-2,7)+1)</f>
        <v/>
      </c>
      <c r="BA587" s="60">
        <f>IF(C587="","",IFERROR(INDEX('Prospects'!$N$5:$N$504,MATCH(C587,'Prospects'!$C$5:$C$504,0)),""))</f>
        <v/>
      </c>
      <c r="BB587" s="61">
        <f>IF(AND(C587&lt;&gt;"",C587='Fiche prospect'!$C$4),COUNTIF($C$5:C587,C587),"")</f>
        <v/>
      </c>
    </row>
    <row r="588">
      <c r="A588" s="53" t="n"/>
      <c r="B588" s="54" t="n"/>
      <c r="C588" s="55" t="n"/>
      <c r="D588" s="55" t="n"/>
      <c r="E588" s="55" t="n"/>
      <c r="F588" s="55" t="n"/>
      <c r="G588" s="56" t="n"/>
      <c r="H588" s="57" t="n"/>
      <c r="I588" s="55" t="n"/>
      <c r="J588" s="53" t="n"/>
      <c r="K588" s="54" t="n"/>
      <c r="L588" s="55" t="n"/>
      <c r="M588" s="55" t="n"/>
      <c r="N588" s="57" t="n"/>
      <c r="O588" s="55" t="n"/>
      <c r="P588" s="56" t="n"/>
      <c r="Q588" s="55" t="n"/>
      <c r="R588" s="55" t="n"/>
      <c r="S588" s="55" t="n"/>
      <c r="T588" s="55" t="n"/>
      <c r="U588" s="55" t="n"/>
      <c r="V588" s="55" t="n"/>
      <c r="W588" s="58" t="n"/>
      <c r="X588" s="58" t="n"/>
      <c r="Y588" s="55" t="n"/>
      <c r="Z588" s="55" t="n"/>
      <c r="AA588" s="55" t="n"/>
      <c r="AB588" s="55" t="n"/>
      <c r="AC588" s="55" t="n"/>
      <c r="AD588" s="53" t="n"/>
      <c r="AE588" s="55" t="n"/>
      <c r="AF588" s="55" t="n"/>
      <c r="AG588" s="59" t="n"/>
      <c r="AH588" s="57" t="n"/>
      <c r="AI588" s="55" t="n"/>
      <c r="AJ588" s="55" t="n"/>
      <c r="AK588" s="55" t="n"/>
      <c r="AL588" s="55" t="n"/>
      <c r="AM588" s="56" t="n"/>
      <c r="AN588" s="55" t="n"/>
      <c r="AO588" s="55" t="n"/>
      <c r="AP588" s="55" t="n"/>
      <c r="AQ588" s="55" t="n"/>
      <c r="AR588" s="60">
        <f>IF(AND(C588="",E588=""),"",IF(A588="","⚠ Date manquante",IF(AND(C588="",E588&lt;&gt;"Dépense"),"⚠ Prospect manquant",IF(E588="","⚠ Action manquante",IF(AND(AU588=1,D588=""),"⚠ Canal manquant",IF(AND(W588&lt;&gt;"",COUNTIFS('Saisie'!$W$5:$W$2004,W588,'Saisie'!$C$5:$C$2004,"&lt;&gt;"&amp;C588)&gt;0),"⚠ Numéro déjà utilisé par un autre prospect",IF(AND(J588&lt;&gt;"",J588&lt;A588),"⚠ Relance avant la date de l'action",IF(A588&gt;TODAY(),"⚠ Date dans le futur","✓"))))))))</f>
        <v/>
      </c>
      <c r="AS588" s="61">
        <f>IF(AND(A588="",C588="",E588=""),"",ROW())</f>
        <v/>
      </c>
      <c r="AT588" s="61">
        <f>IF(E588&amp;F588="","",MAX(IFERROR(INDEX('Paramètres'!$J$6:$J$33,MATCH(E588,'Paramètres'!$I$6:$I$33,0)),0),IFERROR(INDEX('Paramètres'!$N$6:$N$17,MATCH(F588,'Paramètres'!$M$6:$M$17,0)),0)))</f>
        <v/>
      </c>
      <c r="AU588" s="61">
        <f>IF(E588="","",IFERROR(IF(INDEX('Paramètres'!$K$6:$K$33,MATCH(E588,'Paramètres'!$I$6:$I$33,0))="Oui",1,0),0))</f>
        <v/>
      </c>
      <c r="AV588" s="61">
        <f>IF(F588="","",IFERROR(IF(INDEX('Paramètres'!$O$6:$O$17,MATCH(F588,'Paramètres'!$M$6:$M$17,0))="Oui",1,0),0))</f>
        <v/>
      </c>
      <c r="AW588" s="62">
        <f>IF(E588="","",IF(G588&lt;&gt;"",G588,IF(OR(E588="Proposition envoyée",E588="Signature"),MAX(0,N(IFERROR(INDEX('Paramètres'!$R$6:$R$15,MATCH(IF(AL588&lt;&gt;"",AL588,IFERROR(INDEX('Prospects'!$AN$5:$AN$504,MATCH(C588,'Prospects'!$C$5:$C$504,0)),"")),'Paramètres'!$Q$6:$Q$15,0)),0))-N(P588)),0)))</f>
        <v/>
      </c>
      <c r="AX588" s="61">
        <f>IF(C588="","",IF(COUNTIF($C$5:C588,C588)=1,MAX($AX$4:AX587)+1,""))</f>
        <v/>
      </c>
      <c r="AY588" s="61">
        <f>IF(B588="","",HOUR(B588))</f>
        <v/>
      </c>
      <c r="AZ588" s="61">
        <f>IF(A588="","",MOD(A588-2,7)+1)</f>
        <v/>
      </c>
      <c r="BA588" s="60">
        <f>IF(C588="","",IFERROR(INDEX('Prospects'!$N$5:$N$504,MATCH(C588,'Prospects'!$C$5:$C$504,0)),""))</f>
        <v/>
      </c>
      <c r="BB588" s="61">
        <f>IF(AND(C588&lt;&gt;"",C588='Fiche prospect'!$C$4),COUNTIF($C$5:C588,C588),"")</f>
        <v/>
      </c>
    </row>
    <row r="589">
      <c r="A589" s="53" t="n"/>
      <c r="B589" s="54" t="n"/>
      <c r="C589" s="55" t="n"/>
      <c r="D589" s="55" t="n"/>
      <c r="E589" s="55" t="n"/>
      <c r="F589" s="55" t="n"/>
      <c r="G589" s="56" t="n"/>
      <c r="H589" s="57" t="n"/>
      <c r="I589" s="55" t="n"/>
      <c r="J589" s="53" t="n"/>
      <c r="K589" s="54" t="n"/>
      <c r="L589" s="55" t="n"/>
      <c r="M589" s="55" t="n"/>
      <c r="N589" s="57" t="n"/>
      <c r="O589" s="55" t="n"/>
      <c r="P589" s="56" t="n"/>
      <c r="Q589" s="55" t="n"/>
      <c r="R589" s="55" t="n"/>
      <c r="S589" s="55" t="n"/>
      <c r="T589" s="55" t="n"/>
      <c r="U589" s="55" t="n"/>
      <c r="V589" s="55" t="n"/>
      <c r="W589" s="58" t="n"/>
      <c r="X589" s="58" t="n"/>
      <c r="Y589" s="55" t="n"/>
      <c r="Z589" s="55" t="n"/>
      <c r="AA589" s="55" t="n"/>
      <c r="AB589" s="55" t="n"/>
      <c r="AC589" s="55" t="n"/>
      <c r="AD589" s="53" t="n"/>
      <c r="AE589" s="55" t="n"/>
      <c r="AF589" s="55" t="n"/>
      <c r="AG589" s="59" t="n"/>
      <c r="AH589" s="57" t="n"/>
      <c r="AI589" s="55" t="n"/>
      <c r="AJ589" s="55" t="n"/>
      <c r="AK589" s="55" t="n"/>
      <c r="AL589" s="55" t="n"/>
      <c r="AM589" s="56" t="n"/>
      <c r="AN589" s="55" t="n"/>
      <c r="AO589" s="55" t="n"/>
      <c r="AP589" s="55" t="n"/>
      <c r="AQ589" s="55" t="n"/>
      <c r="AR589" s="60">
        <f>IF(AND(C589="",E589=""),"",IF(A589="","⚠ Date manquante",IF(AND(C589="",E589&lt;&gt;"Dépense"),"⚠ Prospect manquant",IF(E589="","⚠ Action manquante",IF(AND(AU589=1,D589=""),"⚠ Canal manquant",IF(AND(W589&lt;&gt;"",COUNTIFS('Saisie'!$W$5:$W$2004,W589,'Saisie'!$C$5:$C$2004,"&lt;&gt;"&amp;C589)&gt;0),"⚠ Numéro déjà utilisé par un autre prospect",IF(AND(J589&lt;&gt;"",J589&lt;A589),"⚠ Relance avant la date de l'action",IF(A589&gt;TODAY(),"⚠ Date dans le futur","✓"))))))))</f>
        <v/>
      </c>
      <c r="AS589" s="61">
        <f>IF(AND(A589="",C589="",E589=""),"",ROW())</f>
        <v/>
      </c>
      <c r="AT589" s="61">
        <f>IF(E589&amp;F589="","",MAX(IFERROR(INDEX('Paramètres'!$J$6:$J$33,MATCH(E589,'Paramètres'!$I$6:$I$33,0)),0),IFERROR(INDEX('Paramètres'!$N$6:$N$17,MATCH(F589,'Paramètres'!$M$6:$M$17,0)),0)))</f>
        <v/>
      </c>
      <c r="AU589" s="61">
        <f>IF(E589="","",IFERROR(IF(INDEX('Paramètres'!$K$6:$K$33,MATCH(E589,'Paramètres'!$I$6:$I$33,0))="Oui",1,0),0))</f>
        <v/>
      </c>
      <c r="AV589" s="61">
        <f>IF(F589="","",IFERROR(IF(INDEX('Paramètres'!$O$6:$O$17,MATCH(F589,'Paramètres'!$M$6:$M$17,0))="Oui",1,0),0))</f>
        <v/>
      </c>
      <c r="AW589" s="62">
        <f>IF(E589="","",IF(G589&lt;&gt;"",G589,IF(OR(E589="Proposition envoyée",E589="Signature"),MAX(0,N(IFERROR(INDEX('Paramètres'!$R$6:$R$15,MATCH(IF(AL589&lt;&gt;"",AL589,IFERROR(INDEX('Prospects'!$AN$5:$AN$504,MATCH(C589,'Prospects'!$C$5:$C$504,0)),"")),'Paramètres'!$Q$6:$Q$15,0)),0))-N(P589)),0)))</f>
        <v/>
      </c>
      <c r="AX589" s="61">
        <f>IF(C589="","",IF(COUNTIF($C$5:C589,C589)=1,MAX($AX$4:AX588)+1,""))</f>
        <v/>
      </c>
      <c r="AY589" s="61">
        <f>IF(B589="","",HOUR(B589))</f>
        <v/>
      </c>
      <c r="AZ589" s="61">
        <f>IF(A589="","",MOD(A589-2,7)+1)</f>
        <v/>
      </c>
      <c r="BA589" s="60">
        <f>IF(C589="","",IFERROR(INDEX('Prospects'!$N$5:$N$504,MATCH(C589,'Prospects'!$C$5:$C$504,0)),""))</f>
        <v/>
      </c>
      <c r="BB589" s="61">
        <f>IF(AND(C589&lt;&gt;"",C589='Fiche prospect'!$C$4),COUNTIF($C$5:C589,C589),"")</f>
        <v/>
      </c>
    </row>
    <row r="590">
      <c r="A590" s="53" t="n"/>
      <c r="B590" s="54" t="n"/>
      <c r="C590" s="55" t="n"/>
      <c r="D590" s="55" t="n"/>
      <c r="E590" s="55" t="n"/>
      <c r="F590" s="55" t="n"/>
      <c r="G590" s="56" t="n"/>
      <c r="H590" s="57" t="n"/>
      <c r="I590" s="55" t="n"/>
      <c r="J590" s="53" t="n"/>
      <c r="K590" s="54" t="n"/>
      <c r="L590" s="55" t="n"/>
      <c r="M590" s="55" t="n"/>
      <c r="N590" s="57" t="n"/>
      <c r="O590" s="55" t="n"/>
      <c r="P590" s="56" t="n"/>
      <c r="Q590" s="55" t="n"/>
      <c r="R590" s="55" t="n"/>
      <c r="S590" s="55" t="n"/>
      <c r="T590" s="55" t="n"/>
      <c r="U590" s="55" t="n"/>
      <c r="V590" s="55" t="n"/>
      <c r="W590" s="58" t="n"/>
      <c r="X590" s="58" t="n"/>
      <c r="Y590" s="55" t="n"/>
      <c r="Z590" s="55" t="n"/>
      <c r="AA590" s="55" t="n"/>
      <c r="AB590" s="55" t="n"/>
      <c r="AC590" s="55" t="n"/>
      <c r="AD590" s="53" t="n"/>
      <c r="AE590" s="55" t="n"/>
      <c r="AF590" s="55" t="n"/>
      <c r="AG590" s="59" t="n"/>
      <c r="AH590" s="57" t="n"/>
      <c r="AI590" s="55" t="n"/>
      <c r="AJ590" s="55" t="n"/>
      <c r="AK590" s="55" t="n"/>
      <c r="AL590" s="55" t="n"/>
      <c r="AM590" s="56" t="n"/>
      <c r="AN590" s="55" t="n"/>
      <c r="AO590" s="55" t="n"/>
      <c r="AP590" s="55" t="n"/>
      <c r="AQ590" s="55" t="n"/>
      <c r="AR590" s="60">
        <f>IF(AND(C590="",E590=""),"",IF(A590="","⚠ Date manquante",IF(AND(C590="",E590&lt;&gt;"Dépense"),"⚠ Prospect manquant",IF(E590="","⚠ Action manquante",IF(AND(AU590=1,D590=""),"⚠ Canal manquant",IF(AND(W590&lt;&gt;"",COUNTIFS('Saisie'!$W$5:$W$2004,W590,'Saisie'!$C$5:$C$2004,"&lt;&gt;"&amp;C590)&gt;0),"⚠ Numéro déjà utilisé par un autre prospect",IF(AND(J590&lt;&gt;"",J590&lt;A590),"⚠ Relance avant la date de l'action",IF(A590&gt;TODAY(),"⚠ Date dans le futur","✓"))))))))</f>
        <v/>
      </c>
      <c r="AS590" s="61">
        <f>IF(AND(A590="",C590="",E590=""),"",ROW())</f>
        <v/>
      </c>
      <c r="AT590" s="61">
        <f>IF(E590&amp;F590="","",MAX(IFERROR(INDEX('Paramètres'!$J$6:$J$33,MATCH(E590,'Paramètres'!$I$6:$I$33,0)),0),IFERROR(INDEX('Paramètres'!$N$6:$N$17,MATCH(F590,'Paramètres'!$M$6:$M$17,0)),0)))</f>
        <v/>
      </c>
      <c r="AU590" s="61">
        <f>IF(E590="","",IFERROR(IF(INDEX('Paramètres'!$K$6:$K$33,MATCH(E590,'Paramètres'!$I$6:$I$33,0))="Oui",1,0),0))</f>
        <v/>
      </c>
      <c r="AV590" s="61">
        <f>IF(F590="","",IFERROR(IF(INDEX('Paramètres'!$O$6:$O$17,MATCH(F590,'Paramètres'!$M$6:$M$17,0))="Oui",1,0),0))</f>
        <v/>
      </c>
      <c r="AW590" s="62">
        <f>IF(E590="","",IF(G590&lt;&gt;"",G590,IF(OR(E590="Proposition envoyée",E590="Signature"),MAX(0,N(IFERROR(INDEX('Paramètres'!$R$6:$R$15,MATCH(IF(AL590&lt;&gt;"",AL590,IFERROR(INDEX('Prospects'!$AN$5:$AN$504,MATCH(C590,'Prospects'!$C$5:$C$504,0)),"")),'Paramètres'!$Q$6:$Q$15,0)),0))-N(P590)),0)))</f>
        <v/>
      </c>
      <c r="AX590" s="61">
        <f>IF(C590="","",IF(COUNTIF($C$5:C590,C590)=1,MAX($AX$4:AX589)+1,""))</f>
        <v/>
      </c>
      <c r="AY590" s="61">
        <f>IF(B590="","",HOUR(B590))</f>
        <v/>
      </c>
      <c r="AZ590" s="61">
        <f>IF(A590="","",MOD(A590-2,7)+1)</f>
        <v/>
      </c>
      <c r="BA590" s="60">
        <f>IF(C590="","",IFERROR(INDEX('Prospects'!$N$5:$N$504,MATCH(C590,'Prospects'!$C$5:$C$504,0)),""))</f>
        <v/>
      </c>
      <c r="BB590" s="61">
        <f>IF(AND(C590&lt;&gt;"",C590='Fiche prospect'!$C$4),COUNTIF($C$5:C590,C590),"")</f>
        <v/>
      </c>
    </row>
    <row r="591">
      <c r="A591" s="53" t="n"/>
      <c r="B591" s="54" t="n"/>
      <c r="C591" s="55" t="n"/>
      <c r="D591" s="55" t="n"/>
      <c r="E591" s="55" t="n"/>
      <c r="F591" s="55" t="n"/>
      <c r="G591" s="56" t="n"/>
      <c r="H591" s="57" t="n"/>
      <c r="I591" s="55" t="n"/>
      <c r="J591" s="53" t="n"/>
      <c r="K591" s="54" t="n"/>
      <c r="L591" s="55" t="n"/>
      <c r="M591" s="55" t="n"/>
      <c r="N591" s="57" t="n"/>
      <c r="O591" s="55" t="n"/>
      <c r="P591" s="56" t="n"/>
      <c r="Q591" s="55" t="n"/>
      <c r="R591" s="55" t="n"/>
      <c r="S591" s="55" t="n"/>
      <c r="T591" s="55" t="n"/>
      <c r="U591" s="55" t="n"/>
      <c r="V591" s="55" t="n"/>
      <c r="W591" s="58" t="n"/>
      <c r="X591" s="58" t="n"/>
      <c r="Y591" s="55" t="n"/>
      <c r="Z591" s="55" t="n"/>
      <c r="AA591" s="55" t="n"/>
      <c r="AB591" s="55" t="n"/>
      <c r="AC591" s="55" t="n"/>
      <c r="AD591" s="53" t="n"/>
      <c r="AE591" s="55" t="n"/>
      <c r="AF591" s="55" t="n"/>
      <c r="AG591" s="59" t="n"/>
      <c r="AH591" s="57" t="n"/>
      <c r="AI591" s="55" t="n"/>
      <c r="AJ591" s="55" t="n"/>
      <c r="AK591" s="55" t="n"/>
      <c r="AL591" s="55" t="n"/>
      <c r="AM591" s="56" t="n"/>
      <c r="AN591" s="55" t="n"/>
      <c r="AO591" s="55" t="n"/>
      <c r="AP591" s="55" t="n"/>
      <c r="AQ591" s="55" t="n"/>
      <c r="AR591" s="60">
        <f>IF(AND(C591="",E591=""),"",IF(A591="","⚠ Date manquante",IF(AND(C591="",E591&lt;&gt;"Dépense"),"⚠ Prospect manquant",IF(E591="","⚠ Action manquante",IF(AND(AU591=1,D591=""),"⚠ Canal manquant",IF(AND(W591&lt;&gt;"",COUNTIFS('Saisie'!$W$5:$W$2004,W591,'Saisie'!$C$5:$C$2004,"&lt;&gt;"&amp;C591)&gt;0),"⚠ Numéro déjà utilisé par un autre prospect",IF(AND(J591&lt;&gt;"",J591&lt;A591),"⚠ Relance avant la date de l'action",IF(A591&gt;TODAY(),"⚠ Date dans le futur","✓"))))))))</f>
        <v/>
      </c>
      <c r="AS591" s="61">
        <f>IF(AND(A591="",C591="",E591=""),"",ROW())</f>
        <v/>
      </c>
      <c r="AT591" s="61">
        <f>IF(E591&amp;F591="","",MAX(IFERROR(INDEX('Paramètres'!$J$6:$J$33,MATCH(E591,'Paramètres'!$I$6:$I$33,0)),0),IFERROR(INDEX('Paramètres'!$N$6:$N$17,MATCH(F591,'Paramètres'!$M$6:$M$17,0)),0)))</f>
        <v/>
      </c>
      <c r="AU591" s="61">
        <f>IF(E591="","",IFERROR(IF(INDEX('Paramètres'!$K$6:$K$33,MATCH(E591,'Paramètres'!$I$6:$I$33,0))="Oui",1,0),0))</f>
        <v/>
      </c>
      <c r="AV591" s="61">
        <f>IF(F591="","",IFERROR(IF(INDEX('Paramètres'!$O$6:$O$17,MATCH(F591,'Paramètres'!$M$6:$M$17,0))="Oui",1,0),0))</f>
        <v/>
      </c>
      <c r="AW591" s="62">
        <f>IF(E591="","",IF(G591&lt;&gt;"",G591,IF(OR(E591="Proposition envoyée",E591="Signature"),MAX(0,N(IFERROR(INDEX('Paramètres'!$R$6:$R$15,MATCH(IF(AL591&lt;&gt;"",AL591,IFERROR(INDEX('Prospects'!$AN$5:$AN$504,MATCH(C591,'Prospects'!$C$5:$C$504,0)),"")),'Paramètres'!$Q$6:$Q$15,0)),0))-N(P591)),0)))</f>
        <v/>
      </c>
      <c r="AX591" s="61">
        <f>IF(C591="","",IF(COUNTIF($C$5:C591,C591)=1,MAX($AX$4:AX590)+1,""))</f>
        <v/>
      </c>
      <c r="AY591" s="61">
        <f>IF(B591="","",HOUR(B591))</f>
        <v/>
      </c>
      <c r="AZ591" s="61">
        <f>IF(A591="","",MOD(A591-2,7)+1)</f>
        <v/>
      </c>
      <c r="BA591" s="60">
        <f>IF(C591="","",IFERROR(INDEX('Prospects'!$N$5:$N$504,MATCH(C591,'Prospects'!$C$5:$C$504,0)),""))</f>
        <v/>
      </c>
      <c r="BB591" s="61">
        <f>IF(AND(C591&lt;&gt;"",C591='Fiche prospect'!$C$4),COUNTIF($C$5:C591,C591),"")</f>
        <v/>
      </c>
    </row>
    <row r="592">
      <c r="A592" s="53" t="n"/>
      <c r="B592" s="54" t="n"/>
      <c r="C592" s="55" t="n"/>
      <c r="D592" s="55" t="n"/>
      <c r="E592" s="55" t="n"/>
      <c r="F592" s="55" t="n"/>
      <c r="G592" s="56" t="n"/>
      <c r="H592" s="57" t="n"/>
      <c r="I592" s="55" t="n"/>
      <c r="J592" s="53" t="n"/>
      <c r="K592" s="54" t="n"/>
      <c r="L592" s="55" t="n"/>
      <c r="M592" s="55" t="n"/>
      <c r="N592" s="57" t="n"/>
      <c r="O592" s="55" t="n"/>
      <c r="P592" s="56" t="n"/>
      <c r="Q592" s="55" t="n"/>
      <c r="R592" s="55" t="n"/>
      <c r="S592" s="55" t="n"/>
      <c r="T592" s="55" t="n"/>
      <c r="U592" s="55" t="n"/>
      <c r="V592" s="55" t="n"/>
      <c r="W592" s="58" t="n"/>
      <c r="X592" s="58" t="n"/>
      <c r="Y592" s="55" t="n"/>
      <c r="Z592" s="55" t="n"/>
      <c r="AA592" s="55" t="n"/>
      <c r="AB592" s="55" t="n"/>
      <c r="AC592" s="55" t="n"/>
      <c r="AD592" s="53" t="n"/>
      <c r="AE592" s="55" t="n"/>
      <c r="AF592" s="55" t="n"/>
      <c r="AG592" s="59" t="n"/>
      <c r="AH592" s="57" t="n"/>
      <c r="AI592" s="55" t="n"/>
      <c r="AJ592" s="55" t="n"/>
      <c r="AK592" s="55" t="n"/>
      <c r="AL592" s="55" t="n"/>
      <c r="AM592" s="56" t="n"/>
      <c r="AN592" s="55" t="n"/>
      <c r="AO592" s="55" t="n"/>
      <c r="AP592" s="55" t="n"/>
      <c r="AQ592" s="55" t="n"/>
      <c r="AR592" s="60">
        <f>IF(AND(C592="",E592=""),"",IF(A592="","⚠ Date manquante",IF(AND(C592="",E592&lt;&gt;"Dépense"),"⚠ Prospect manquant",IF(E592="","⚠ Action manquante",IF(AND(AU592=1,D592=""),"⚠ Canal manquant",IF(AND(W592&lt;&gt;"",COUNTIFS('Saisie'!$W$5:$W$2004,W592,'Saisie'!$C$5:$C$2004,"&lt;&gt;"&amp;C592)&gt;0),"⚠ Numéro déjà utilisé par un autre prospect",IF(AND(J592&lt;&gt;"",J592&lt;A592),"⚠ Relance avant la date de l'action",IF(A592&gt;TODAY(),"⚠ Date dans le futur","✓"))))))))</f>
        <v/>
      </c>
      <c r="AS592" s="61">
        <f>IF(AND(A592="",C592="",E592=""),"",ROW())</f>
        <v/>
      </c>
      <c r="AT592" s="61">
        <f>IF(E592&amp;F592="","",MAX(IFERROR(INDEX('Paramètres'!$J$6:$J$33,MATCH(E592,'Paramètres'!$I$6:$I$33,0)),0),IFERROR(INDEX('Paramètres'!$N$6:$N$17,MATCH(F592,'Paramètres'!$M$6:$M$17,0)),0)))</f>
        <v/>
      </c>
      <c r="AU592" s="61">
        <f>IF(E592="","",IFERROR(IF(INDEX('Paramètres'!$K$6:$K$33,MATCH(E592,'Paramètres'!$I$6:$I$33,0))="Oui",1,0),0))</f>
        <v/>
      </c>
      <c r="AV592" s="61">
        <f>IF(F592="","",IFERROR(IF(INDEX('Paramètres'!$O$6:$O$17,MATCH(F592,'Paramètres'!$M$6:$M$17,0))="Oui",1,0),0))</f>
        <v/>
      </c>
      <c r="AW592" s="62">
        <f>IF(E592="","",IF(G592&lt;&gt;"",G592,IF(OR(E592="Proposition envoyée",E592="Signature"),MAX(0,N(IFERROR(INDEX('Paramètres'!$R$6:$R$15,MATCH(IF(AL592&lt;&gt;"",AL592,IFERROR(INDEX('Prospects'!$AN$5:$AN$504,MATCH(C592,'Prospects'!$C$5:$C$504,0)),"")),'Paramètres'!$Q$6:$Q$15,0)),0))-N(P592)),0)))</f>
        <v/>
      </c>
      <c r="AX592" s="61">
        <f>IF(C592="","",IF(COUNTIF($C$5:C592,C592)=1,MAX($AX$4:AX591)+1,""))</f>
        <v/>
      </c>
      <c r="AY592" s="61">
        <f>IF(B592="","",HOUR(B592))</f>
        <v/>
      </c>
      <c r="AZ592" s="61">
        <f>IF(A592="","",MOD(A592-2,7)+1)</f>
        <v/>
      </c>
      <c r="BA592" s="60">
        <f>IF(C592="","",IFERROR(INDEX('Prospects'!$N$5:$N$504,MATCH(C592,'Prospects'!$C$5:$C$504,0)),""))</f>
        <v/>
      </c>
      <c r="BB592" s="61">
        <f>IF(AND(C592&lt;&gt;"",C592='Fiche prospect'!$C$4),COUNTIF($C$5:C592,C592),"")</f>
        <v/>
      </c>
    </row>
    <row r="593">
      <c r="A593" s="53" t="n"/>
      <c r="B593" s="54" t="n"/>
      <c r="C593" s="55" t="n"/>
      <c r="D593" s="55" t="n"/>
      <c r="E593" s="55" t="n"/>
      <c r="F593" s="55" t="n"/>
      <c r="G593" s="56" t="n"/>
      <c r="H593" s="57" t="n"/>
      <c r="I593" s="55" t="n"/>
      <c r="J593" s="53" t="n"/>
      <c r="K593" s="54" t="n"/>
      <c r="L593" s="55" t="n"/>
      <c r="M593" s="55" t="n"/>
      <c r="N593" s="57" t="n"/>
      <c r="O593" s="55" t="n"/>
      <c r="P593" s="56" t="n"/>
      <c r="Q593" s="55" t="n"/>
      <c r="R593" s="55" t="n"/>
      <c r="S593" s="55" t="n"/>
      <c r="T593" s="55" t="n"/>
      <c r="U593" s="55" t="n"/>
      <c r="V593" s="55" t="n"/>
      <c r="W593" s="58" t="n"/>
      <c r="X593" s="58" t="n"/>
      <c r="Y593" s="55" t="n"/>
      <c r="Z593" s="55" t="n"/>
      <c r="AA593" s="55" t="n"/>
      <c r="AB593" s="55" t="n"/>
      <c r="AC593" s="55" t="n"/>
      <c r="AD593" s="53" t="n"/>
      <c r="AE593" s="55" t="n"/>
      <c r="AF593" s="55" t="n"/>
      <c r="AG593" s="59" t="n"/>
      <c r="AH593" s="57" t="n"/>
      <c r="AI593" s="55" t="n"/>
      <c r="AJ593" s="55" t="n"/>
      <c r="AK593" s="55" t="n"/>
      <c r="AL593" s="55" t="n"/>
      <c r="AM593" s="56" t="n"/>
      <c r="AN593" s="55" t="n"/>
      <c r="AO593" s="55" t="n"/>
      <c r="AP593" s="55" t="n"/>
      <c r="AQ593" s="55" t="n"/>
      <c r="AR593" s="60">
        <f>IF(AND(C593="",E593=""),"",IF(A593="","⚠ Date manquante",IF(AND(C593="",E593&lt;&gt;"Dépense"),"⚠ Prospect manquant",IF(E593="","⚠ Action manquante",IF(AND(AU593=1,D593=""),"⚠ Canal manquant",IF(AND(W593&lt;&gt;"",COUNTIFS('Saisie'!$W$5:$W$2004,W593,'Saisie'!$C$5:$C$2004,"&lt;&gt;"&amp;C593)&gt;0),"⚠ Numéro déjà utilisé par un autre prospect",IF(AND(J593&lt;&gt;"",J593&lt;A593),"⚠ Relance avant la date de l'action",IF(A593&gt;TODAY(),"⚠ Date dans le futur","✓"))))))))</f>
        <v/>
      </c>
      <c r="AS593" s="61">
        <f>IF(AND(A593="",C593="",E593=""),"",ROW())</f>
        <v/>
      </c>
      <c r="AT593" s="61">
        <f>IF(E593&amp;F593="","",MAX(IFERROR(INDEX('Paramètres'!$J$6:$J$33,MATCH(E593,'Paramètres'!$I$6:$I$33,0)),0),IFERROR(INDEX('Paramètres'!$N$6:$N$17,MATCH(F593,'Paramètres'!$M$6:$M$17,0)),0)))</f>
        <v/>
      </c>
      <c r="AU593" s="61">
        <f>IF(E593="","",IFERROR(IF(INDEX('Paramètres'!$K$6:$K$33,MATCH(E593,'Paramètres'!$I$6:$I$33,0))="Oui",1,0),0))</f>
        <v/>
      </c>
      <c r="AV593" s="61">
        <f>IF(F593="","",IFERROR(IF(INDEX('Paramètres'!$O$6:$O$17,MATCH(F593,'Paramètres'!$M$6:$M$17,0))="Oui",1,0),0))</f>
        <v/>
      </c>
      <c r="AW593" s="62">
        <f>IF(E593="","",IF(G593&lt;&gt;"",G593,IF(OR(E593="Proposition envoyée",E593="Signature"),MAX(0,N(IFERROR(INDEX('Paramètres'!$R$6:$R$15,MATCH(IF(AL593&lt;&gt;"",AL593,IFERROR(INDEX('Prospects'!$AN$5:$AN$504,MATCH(C593,'Prospects'!$C$5:$C$504,0)),"")),'Paramètres'!$Q$6:$Q$15,0)),0))-N(P593)),0)))</f>
        <v/>
      </c>
      <c r="AX593" s="61">
        <f>IF(C593="","",IF(COUNTIF($C$5:C593,C593)=1,MAX($AX$4:AX592)+1,""))</f>
        <v/>
      </c>
      <c r="AY593" s="61">
        <f>IF(B593="","",HOUR(B593))</f>
        <v/>
      </c>
      <c r="AZ593" s="61">
        <f>IF(A593="","",MOD(A593-2,7)+1)</f>
        <v/>
      </c>
      <c r="BA593" s="60">
        <f>IF(C593="","",IFERROR(INDEX('Prospects'!$N$5:$N$504,MATCH(C593,'Prospects'!$C$5:$C$504,0)),""))</f>
        <v/>
      </c>
      <c r="BB593" s="61">
        <f>IF(AND(C593&lt;&gt;"",C593='Fiche prospect'!$C$4),COUNTIF($C$5:C593,C593),"")</f>
        <v/>
      </c>
    </row>
    <row r="594">
      <c r="A594" s="53" t="n"/>
      <c r="B594" s="54" t="n"/>
      <c r="C594" s="55" t="n"/>
      <c r="D594" s="55" t="n"/>
      <c r="E594" s="55" t="n"/>
      <c r="F594" s="55" t="n"/>
      <c r="G594" s="56" t="n"/>
      <c r="H594" s="57" t="n"/>
      <c r="I594" s="55" t="n"/>
      <c r="J594" s="53" t="n"/>
      <c r="K594" s="54" t="n"/>
      <c r="L594" s="55" t="n"/>
      <c r="M594" s="55" t="n"/>
      <c r="N594" s="57" t="n"/>
      <c r="O594" s="55" t="n"/>
      <c r="P594" s="56" t="n"/>
      <c r="Q594" s="55" t="n"/>
      <c r="R594" s="55" t="n"/>
      <c r="S594" s="55" t="n"/>
      <c r="T594" s="55" t="n"/>
      <c r="U594" s="55" t="n"/>
      <c r="V594" s="55" t="n"/>
      <c r="W594" s="58" t="n"/>
      <c r="X594" s="58" t="n"/>
      <c r="Y594" s="55" t="n"/>
      <c r="Z594" s="55" t="n"/>
      <c r="AA594" s="55" t="n"/>
      <c r="AB594" s="55" t="n"/>
      <c r="AC594" s="55" t="n"/>
      <c r="AD594" s="53" t="n"/>
      <c r="AE594" s="55" t="n"/>
      <c r="AF594" s="55" t="n"/>
      <c r="AG594" s="59" t="n"/>
      <c r="AH594" s="57" t="n"/>
      <c r="AI594" s="55" t="n"/>
      <c r="AJ594" s="55" t="n"/>
      <c r="AK594" s="55" t="n"/>
      <c r="AL594" s="55" t="n"/>
      <c r="AM594" s="56" t="n"/>
      <c r="AN594" s="55" t="n"/>
      <c r="AO594" s="55" t="n"/>
      <c r="AP594" s="55" t="n"/>
      <c r="AQ594" s="55" t="n"/>
      <c r="AR594" s="60">
        <f>IF(AND(C594="",E594=""),"",IF(A594="","⚠ Date manquante",IF(AND(C594="",E594&lt;&gt;"Dépense"),"⚠ Prospect manquant",IF(E594="","⚠ Action manquante",IF(AND(AU594=1,D594=""),"⚠ Canal manquant",IF(AND(W594&lt;&gt;"",COUNTIFS('Saisie'!$W$5:$W$2004,W594,'Saisie'!$C$5:$C$2004,"&lt;&gt;"&amp;C594)&gt;0),"⚠ Numéro déjà utilisé par un autre prospect",IF(AND(J594&lt;&gt;"",J594&lt;A594),"⚠ Relance avant la date de l'action",IF(A594&gt;TODAY(),"⚠ Date dans le futur","✓"))))))))</f>
        <v/>
      </c>
      <c r="AS594" s="61">
        <f>IF(AND(A594="",C594="",E594=""),"",ROW())</f>
        <v/>
      </c>
      <c r="AT594" s="61">
        <f>IF(E594&amp;F594="","",MAX(IFERROR(INDEX('Paramètres'!$J$6:$J$33,MATCH(E594,'Paramètres'!$I$6:$I$33,0)),0),IFERROR(INDEX('Paramètres'!$N$6:$N$17,MATCH(F594,'Paramètres'!$M$6:$M$17,0)),0)))</f>
        <v/>
      </c>
      <c r="AU594" s="61">
        <f>IF(E594="","",IFERROR(IF(INDEX('Paramètres'!$K$6:$K$33,MATCH(E594,'Paramètres'!$I$6:$I$33,0))="Oui",1,0),0))</f>
        <v/>
      </c>
      <c r="AV594" s="61">
        <f>IF(F594="","",IFERROR(IF(INDEX('Paramètres'!$O$6:$O$17,MATCH(F594,'Paramètres'!$M$6:$M$17,0))="Oui",1,0),0))</f>
        <v/>
      </c>
      <c r="AW594" s="62">
        <f>IF(E594="","",IF(G594&lt;&gt;"",G594,IF(OR(E594="Proposition envoyée",E594="Signature"),MAX(0,N(IFERROR(INDEX('Paramètres'!$R$6:$R$15,MATCH(IF(AL594&lt;&gt;"",AL594,IFERROR(INDEX('Prospects'!$AN$5:$AN$504,MATCH(C594,'Prospects'!$C$5:$C$504,0)),"")),'Paramètres'!$Q$6:$Q$15,0)),0))-N(P594)),0)))</f>
        <v/>
      </c>
      <c r="AX594" s="61">
        <f>IF(C594="","",IF(COUNTIF($C$5:C594,C594)=1,MAX($AX$4:AX593)+1,""))</f>
        <v/>
      </c>
      <c r="AY594" s="61">
        <f>IF(B594="","",HOUR(B594))</f>
        <v/>
      </c>
      <c r="AZ594" s="61">
        <f>IF(A594="","",MOD(A594-2,7)+1)</f>
        <v/>
      </c>
      <c r="BA594" s="60">
        <f>IF(C594="","",IFERROR(INDEX('Prospects'!$N$5:$N$504,MATCH(C594,'Prospects'!$C$5:$C$504,0)),""))</f>
        <v/>
      </c>
      <c r="BB594" s="61">
        <f>IF(AND(C594&lt;&gt;"",C594='Fiche prospect'!$C$4),COUNTIF($C$5:C594,C594),"")</f>
        <v/>
      </c>
    </row>
    <row r="595">
      <c r="A595" s="53" t="n"/>
      <c r="B595" s="54" t="n"/>
      <c r="C595" s="55" t="n"/>
      <c r="D595" s="55" t="n"/>
      <c r="E595" s="55" t="n"/>
      <c r="F595" s="55" t="n"/>
      <c r="G595" s="56" t="n"/>
      <c r="H595" s="57" t="n"/>
      <c r="I595" s="55" t="n"/>
      <c r="J595" s="53" t="n"/>
      <c r="K595" s="54" t="n"/>
      <c r="L595" s="55" t="n"/>
      <c r="M595" s="55" t="n"/>
      <c r="N595" s="57" t="n"/>
      <c r="O595" s="55" t="n"/>
      <c r="P595" s="56" t="n"/>
      <c r="Q595" s="55" t="n"/>
      <c r="R595" s="55" t="n"/>
      <c r="S595" s="55" t="n"/>
      <c r="T595" s="55" t="n"/>
      <c r="U595" s="55" t="n"/>
      <c r="V595" s="55" t="n"/>
      <c r="W595" s="58" t="n"/>
      <c r="X595" s="58" t="n"/>
      <c r="Y595" s="55" t="n"/>
      <c r="Z595" s="55" t="n"/>
      <c r="AA595" s="55" t="n"/>
      <c r="AB595" s="55" t="n"/>
      <c r="AC595" s="55" t="n"/>
      <c r="AD595" s="53" t="n"/>
      <c r="AE595" s="55" t="n"/>
      <c r="AF595" s="55" t="n"/>
      <c r="AG595" s="59" t="n"/>
      <c r="AH595" s="57" t="n"/>
      <c r="AI595" s="55" t="n"/>
      <c r="AJ595" s="55" t="n"/>
      <c r="AK595" s="55" t="n"/>
      <c r="AL595" s="55" t="n"/>
      <c r="AM595" s="56" t="n"/>
      <c r="AN595" s="55" t="n"/>
      <c r="AO595" s="55" t="n"/>
      <c r="AP595" s="55" t="n"/>
      <c r="AQ595" s="55" t="n"/>
      <c r="AR595" s="60">
        <f>IF(AND(C595="",E595=""),"",IF(A595="","⚠ Date manquante",IF(AND(C595="",E595&lt;&gt;"Dépense"),"⚠ Prospect manquant",IF(E595="","⚠ Action manquante",IF(AND(AU595=1,D595=""),"⚠ Canal manquant",IF(AND(W595&lt;&gt;"",COUNTIFS('Saisie'!$W$5:$W$2004,W595,'Saisie'!$C$5:$C$2004,"&lt;&gt;"&amp;C595)&gt;0),"⚠ Numéro déjà utilisé par un autre prospect",IF(AND(J595&lt;&gt;"",J595&lt;A595),"⚠ Relance avant la date de l'action",IF(A595&gt;TODAY(),"⚠ Date dans le futur","✓"))))))))</f>
        <v/>
      </c>
      <c r="AS595" s="61">
        <f>IF(AND(A595="",C595="",E595=""),"",ROW())</f>
        <v/>
      </c>
      <c r="AT595" s="61">
        <f>IF(E595&amp;F595="","",MAX(IFERROR(INDEX('Paramètres'!$J$6:$J$33,MATCH(E595,'Paramètres'!$I$6:$I$33,0)),0),IFERROR(INDEX('Paramètres'!$N$6:$N$17,MATCH(F595,'Paramètres'!$M$6:$M$17,0)),0)))</f>
        <v/>
      </c>
      <c r="AU595" s="61">
        <f>IF(E595="","",IFERROR(IF(INDEX('Paramètres'!$K$6:$K$33,MATCH(E595,'Paramètres'!$I$6:$I$33,0))="Oui",1,0),0))</f>
        <v/>
      </c>
      <c r="AV595" s="61">
        <f>IF(F595="","",IFERROR(IF(INDEX('Paramètres'!$O$6:$O$17,MATCH(F595,'Paramètres'!$M$6:$M$17,0))="Oui",1,0),0))</f>
        <v/>
      </c>
      <c r="AW595" s="62">
        <f>IF(E595="","",IF(G595&lt;&gt;"",G595,IF(OR(E595="Proposition envoyée",E595="Signature"),MAX(0,N(IFERROR(INDEX('Paramètres'!$R$6:$R$15,MATCH(IF(AL595&lt;&gt;"",AL595,IFERROR(INDEX('Prospects'!$AN$5:$AN$504,MATCH(C595,'Prospects'!$C$5:$C$504,0)),"")),'Paramètres'!$Q$6:$Q$15,0)),0))-N(P595)),0)))</f>
        <v/>
      </c>
      <c r="AX595" s="61">
        <f>IF(C595="","",IF(COUNTIF($C$5:C595,C595)=1,MAX($AX$4:AX594)+1,""))</f>
        <v/>
      </c>
      <c r="AY595" s="61">
        <f>IF(B595="","",HOUR(B595))</f>
        <v/>
      </c>
      <c r="AZ595" s="61">
        <f>IF(A595="","",MOD(A595-2,7)+1)</f>
        <v/>
      </c>
      <c r="BA595" s="60">
        <f>IF(C595="","",IFERROR(INDEX('Prospects'!$N$5:$N$504,MATCH(C595,'Prospects'!$C$5:$C$504,0)),""))</f>
        <v/>
      </c>
      <c r="BB595" s="61">
        <f>IF(AND(C595&lt;&gt;"",C595='Fiche prospect'!$C$4),COUNTIF($C$5:C595,C595),"")</f>
        <v/>
      </c>
    </row>
    <row r="596">
      <c r="A596" s="53" t="n"/>
      <c r="B596" s="54" t="n"/>
      <c r="C596" s="55" t="n"/>
      <c r="D596" s="55" t="n"/>
      <c r="E596" s="55" t="n"/>
      <c r="F596" s="55" t="n"/>
      <c r="G596" s="56" t="n"/>
      <c r="H596" s="57" t="n"/>
      <c r="I596" s="55" t="n"/>
      <c r="J596" s="53" t="n"/>
      <c r="K596" s="54" t="n"/>
      <c r="L596" s="55" t="n"/>
      <c r="M596" s="55" t="n"/>
      <c r="N596" s="57" t="n"/>
      <c r="O596" s="55" t="n"/>
      <c r="P596" s="56" t="n"/>
      <c r="Q596" s="55" t="n"/>
      <c r="R596" s="55" t="n"/>
      <c r="S596" s="55" t="n"/>
      <c r="T596" s="55" t="n"/>
      <c r="U596" s="55" t="n"/>
      <c r="V596" s="55" t="n"/>
      <c r="W596" s="58" t="n"/>
      <c r="X596" s="58" t="n"/>
      <c r="Y596" s="55" t="n"/>
      <c r="Z596" s="55" t="n"/>
      <c r="AA596" s="55" t="n"/>
      <c r="AB596" s="55" t="n"/>
      <c r="AC596" s="55" t="n"/>
      <c r="AD596" s="53" t="n"/>
      <c r="AE596" s="55" t="n"/>
      <c r="AF596" s="55" t="n"/>
      <c r="AG596" s="59" t="n"/>
      <c r="AH596" s="57" t="n"/>
      <c r="AI596" s="55" t="n"/>
      <c r="AJ596" s="55" t="n"/>
      <c r="AK596" s="55" t="n"/>
      <c r="AL596" s="55" t="n"/>
      <c r="AM596" s="56" t="n"/>
      <c r="AN596" s="55" t="n"/>
      <c r="AO596" s="55" t="n"/>
      <c r="AP596" s="55" t="n"/>
      <c r="AQ596" s="55" t="n"/>
      <c r="AR596" s="60">
        <f>IF(AND(C596="",E596=""),"",IF(A596="","⚠ Date manquante",IF(AND(C596="",E596&lt;&gt;"Dépense"),"⚠ Prospect manquant",IF(E596="","⚠ Action manquante",IF(AND(AU596=1,D596=""),"⚠ Canal manquant",IF(AND(W596&lt;&gt;"",COUNTIFS('Saisie'!$W$5:$W$2004,W596,'Saisie'!$C$5:$C$2004,"&lt;&gt;"&amp;C596)&gt;0),"⚠ Numéro déjà utilisé par un autre prospect",IF(AND(J596&lt;&gt;"",J596&lt;A596),"⚠ Relance avant la date de l'action",IF(A596&gt;TODAY(),"⚠ Date dans le futur","✓"))))))))</f>
        <v/>
      </c>
      <c r="AS596" s="61">
        <f>IF(AND(A596="",C596="",E596=""),"",ROW())</f>
        <v/>
      </c>
      <c r="AT596" s="61">
        <f>IF(E596&amp;F596="","",MAX(IFERROR(INDEX('Paramètres'!$J$6:$J$33,MATCH(E596,'Paramètres'!$I$6:$I$33,0)),0),IFERROR(INDEX('Paramètres'!$N$6:$N$17,MATCH(F596,'Paramètres'!$M$6:$M$17,0)),0)))</f>
        <v/>
      </c>
      <c r="AU596" s="61">
        <f>IF(E596="","",IFERROR(IF(INDEX('Paramètres'!$K$6:$K$33,MATCH(E596,'Paramètres'!$I$6:$I$33,0))="Oui",1,0),0))</f>
        <v/>
      </c>
      <c r="AV596" s="61">
        <f>IF(F596="","",IFERROR(IF(INDEX('Paramètres'!$O$6:$O$17,MATCH(F596,'Paramètres'!$M$6:$M$17,0))="Oui",1,0),0))</f>
        <v/>
      </c>
      <c r="AW596" s="62">
        <f>IF(E596="","",IF(G596&lt;&gt;"",G596,IF(OR(E596="Proposition envoyée",E596="Signature"),MAX(0,N(IFERROR(INDEX('Paramètres'!$R$6:$R$15,MATCH(IF(AL596&lt;&gt;"",AL596,IFERROR(INDEX('Prospects'!$AN$5:$AN$504,MATCH(C596,'Prospects'!$C$5:$C$504,0)),"")),'Paramètres'!$Q$6:$Q$15,0)),0))-N(P596)),0)))</f>
        <v/>
      </c>
      <c r="AX596" s="61">
        <f>IF(C596="","",IF(COUNTIF($C$5:C596,C596)=1,MAX($AX$4:AX595)+1,""))</f>
        <v/>
      </c>
      <c r="AY596" s="61">
        <f>IF(B596="","",HOUR(B596))</f>
        <v/>
      </c>
      <c r="AZ596" s="61">
        <f>IF(A596="","",MOD(A596-2,7)+1)</f>
        <v/>
      </c>
      <c r="BA596" s="60">
        <f>IF(C596="","",IFERROR(INDEX('Prospects'!$N$5:$N$504,MATCH(C596,'Prospects'!$C$5:$C$504,0)),""))</f>
        <v/>
      </c>
      <c r="BB596" s="61">
        <f>IF(AND(C596&lt;&gt;"",C596='Fiche prospect'!$C$4),COUNTIF($C$5:C596,C596),"")</f>
        <v/>
      </c>
    </row>
    <row r="597">
      <c r="A597" s="53" t="n"/>
      <c r="B597" s="54" t="n"/>
      <c r="C597" s="55" t="n"/>
      <c r="D597" s="55" t="n"/>
      <c r="E597" s="55" t="n"/>
      <c r="F597" s="55" t="n"/>
      <c r="G597" s="56" t="n"/>
      <c r="H597" s="57" t="n"/>
      <c r="I597" s="55" t="n"/>
      <c r="J597" s="53" t="n"/>
      <c r="K597" s="54" t="n"/>
      <c r="L597" s="55" t="n"/>
      <c r="M597" s="55" t="n"/>
      <c r="N597" s="57" t="n"/>
      <c r="O597" s="55" t="n"/>
      <c r="P597" s="56" t="n"/>
      <c r="Q597" s="55" t="n"/>
      <c r="R597" s="55" t="n"/>
      <c r="S597" s="55" t="n"/>
      <c r="T597" s="55" t="n"/>
      <c r="U597" s="55" t="n"/>
      <c r="V597" s="55" t="n"/>
      <c r="W597" s="58" t="n"/>
      <c r="X597" s="58" t="n"/>
      <c r="Y597" s="55" t="n"/>
      <c r="Z597" s="55" t="n"/>
      <c r="AA597" s="55" t="n"/>
      <c r="AB597" s="55" t="n"/>
      <c r="AC597" s="55" t="n"/>
      <c r="AD597" s="53" t="n"/>
      <c r="AE597" s="55" t="n"/>
      <c r="AF597" s="55" t="n"/>
      <c r="AG597" s="59" t="n"/>
      <c r="AH597" s="57" t="n"/>
      <c r="AI597" s="55" t="n"/>
      <c r="AJ597" s="55" t="n"/>
      <c r="AK597" s="55" t="n"/>
      <c r="AL597" s="55" t="n"/>
      <c r="AM597" s="56" t="n"/>
      <c r="AN597" s="55" t="n"/>
      <c r="AO597" s="55" t="n"/>
      <c r="AP597" s="55" t="n"/>
      <c r="AQ597" s="55" t="n"/>
      <c r="AR597" s="60">
        <f>IF(AND(C597="",E597=""),"",IF(A597="","⚠ Date manquante",IF(AND(C597="",E597&lt;&gt;"Dépense"),"⚠ Prospect manquant",IF(E597="","⚠ Action manquante",IF(AND(AU597=1,D597=""),"⚠ Canal manquant",IF(AND(W597&lt;&gt;"",COUNTIFS('Saisie'!$W$5:$W$2004,W597,'Saisie'!$C$5:$C$2004,"&lt;&gt;"&amp;C597)&gt;0),"⚠ Numéro déjà utilisé par un autre prospect",IF(AND(J597&lt;&gt;"",J597&lt;A597),"⚠ Relance avant la date de l'action",IF(A597&gt;TODAY(),"⚠ Date dans le futur","✓"))))))))</f>
        <v/>
      </c>
      <c r="AS597" s="61">
        <f>IF(AND(A597="",C597="",E597=""),"",ROW())</f>
        <v/>
      </c>
      <c r="AT597" s="61">
        <f>IF(E597&amp;F597="","",MAX(IFERROR(INDEX('Paramètres'!$J$6:$J$33,MATCH(E597,'Paramètres'!$I$6:$I$33,0)),0),IFERROR(INDEX('Paramètres'!$N$6:$N$17,MATCH(F597,'Paramètres'!$M$6:$M$17,0)),0)))</f>
        <v/>
      </c>
      <c r="AU597" s="61">
        <f>IF(E597="","",IFERROR(IF(INDEX('Paramètres'!$K$6:$K$33,MATCH(E597,'Paramètres'!$I$6:$I$33,0))="Oui",1,0),0))</f>
        <v/>
      </c>
      <c r="AV597" s="61">
        <f>IF(F597="","",IFERROR(IF(INDEX('Paramètres'!$O$6:$O$17,MATCH(F597,'Paramètres'!$M$6:$M$17,0))="Oui",1,0),0))</f>
        <v/>
      </c>
      <c r="AW597" s="62">
        <f>IF(E597="","",IF(G597&lt;&gt;"",G597,IF(OR(E597="Proposition envoyée",E597="Signature"),MAX(0,N(IFERROR(INDEX('Paramètres'!$R$6:$R$15,MATCH(IF(AL597&lt;&gt;"",AL597,IFERROR(INDEX('Prospects'!$AN$5:$AN$504,MATCH(C597,'Prospects'!$C$5:$C$504,0)),"")),'Paramètres'!$Q$6:$Q$15,0)),0))-N(P597)),0)))</f>
        <v/>
      </c>
      <c r="AX597" s="61">
        <f>IF(C597="","",IF(COUNTIF($C$5:C597,C597)=1,MAX($AX$4:AX596)+1,""))</f>
        <v/>
      </c>
      <c r="AY597" s="61">
        <f>IF(B597="","",HOUR(B597))</f>
        <v/>
      </c>
      <c r="AZ597" s="61">
        <f>IF(A597="","",MOD(A597-2,7)+1)</f>
        <v/>
      </c>
      <c r="BA597" s="60">
        <f>IF(C597="","",IFERROR(INDEX('Prospects'!$N$5:$N$504,MATCH(C597,'Prospects'!$C$5:$C$504,0)),""))</f>
        <v/>
      </c>
      <c r="BB597" s="61">
        <f>IF(AND(C597&lt;&gt;"",C597='Fiche prospect'!$C$4),COUNTIF($C$5:C597,C597),"")</f>
        <v/>
      </c>
    </row>
    <row r="598">
      <c r="A598" s="53" t="n"/>
      <c r="B598" s="54" t="n"/>
      <c r="C598" s="55" t="n"/>
      <c r="D598" s="55" t="n"/>
      <c r="E598" s="55" t="n"/>
      <c r="F598" s="55" t="n"/>
      <c r="G598" s="56" t="n"/>
      <c r="H598" s="57" t="n"/>
      <c r="I598" s="55" t="n"/>
      <c r="J598" s="53" t="n"/>
      <c r="K598" s="54" t="n"/>
      <c r="L598" s="55" t="n"/>
      <c r="M598" s="55" t="n"/>
      <c r="N598" s="57" t="n"/>
      <c r="O598" s="55" t="n"/>
      <c r="P598" s="56" t="n"/>
      <c r="Q598" s="55" t="n"/>
      <c r="R598" s="55" t="n"/>
      <c r="S598" s="55" t="n"/>
      <c r="T598" s="55" t="n"/>
      <c r="U598" s="55" t="n"/>
      <c r="V598" s="55" t="n"/>
      <c r="W598" s="58" t="n"/>
      <c r="X598" s="58" t="n"/>
      <c r="Y598" s="55" t="n"/>
      <c r="Z598" s="55" t="n"/>
      <c r="AA598" s="55" t="n"/>
      <c r="AB598" s="55" t="n"/>
      <c r="AC598" s="55" t="n"/>
      <c r="AD598" s="53" t="n"/>
      <c r="AE598" s="55" t="n"/>
      <c r="AF598" s="55" t="n"/>
      <c r="AG598" s="59" t="n"/>
      <c r="AH598" s="57" t="n"/>
      <c r="AI598" s="55" t="n"/>
      <c r="AJ598" s="55" t="n"/>
      <c r="AK598" s="55" t="n"/>
      <c r="AL598" s="55" t="n"/>
      <c r="AM598" s="56" t="n"/>
      <c r="AN598" s="55" t="n"/>
      <c r="AO598" s="55" t="n"/>
      <c r="AP598" s="55" t="n"/>
      <c r="AQ598" s="55" t="n"/>
      <c r="AR598" s="60">
        <f>IF(AND(C598="",E598=""),"",IF(A598="","⚠ Date manquante",IF(AND(C598="",E598&lt;&gt;"Dépense"),"⚠ Prospect manquant",IF(E598="","⚠ Action manquante",IF(AND(AU598=1,D598=""),"⚠ Canal manquant",IF(AND(W598&lt;&gt;"",COUNTIFS('Saisie'!$W$5:$W$2004,W598,'Saisie'!$C$5:$C$2004,"&lt;&gt;"&amp;C598)&gt;0),"⚠ Numéro déjà utilisé par un autre prospect",IF(AND(J598&lt;&gt;"",J598&lt;A598),"⚠ Relance avant la date de l'action",IF(A598&gt;TODAY(),"⚠ Date dans le futur","✓"))))))))</f>
        <v/>
      </c>
      <c r="AS598" s="61">
        <f>IF(AND(A598="",C598="",E598=""),"",ROW())</f>
        <v/>
      </c>
      <c r="AT598" s="61">
        <f>IF(E598&amp;F598="","",MAX(IFERROR(INDEX('Paramètres'!$J$6:$J$33,MATCH(E598,'Paramètres'!$I$6:$I$33,0)),0),IFERROR(INDEX('Paramètres'!$N$6:$N$17,MATCH(F598,'Paramètres'!$M$6:$M$17,0)),0)))</f>
        <v/>
      </c>
      <c r="AU598" s="61">
        <f>IF(E598="","",IFERROR(IF(INDEX('Paramètres'!$K$6:$K$33,MATCH(E598,'Paramètres'!$I$6:$I$33,0))="Oui",1,0),0))</f>
        <v/>
      </c>
      <c r="AV598" s="61">
        <f>IF(F598="","",IFERROR(IF(INDEX('Paramètres'!$O$6:$O$17,MATCH(F598,'Paramètres'!$M$6:$M$17,0))="Oui",1,0),0))</f>
        <v/>
      </c>
      <c r="AW598" s="62">
        <f>IF(E598="","",IF(G598&lt;&gt;"",G598,IF(OR(E598="Proposition envoyée",E598="Signature"),MAX(0,N(IFERROR(INDEX('Paramètres'!$R$6:$R$15,MATCH(IF(AL598&lt;&gt;"",AL598,IFERROR(INDEX('Prospects'!$AN$5:$AN$504,MATCH(C598,'Prospects'!$C$5:$C$504,0)),"")),'Paramètres'!$Q$6:$Q$15,0)),0))-N(P598)),0)))</f>
        <v/>
      </c>
      <c r="AX598" s="61">
        <f>IF(C598="","",IF(COUNTIF($C$5:C598,C598)=1,MAX($AX$4:AX597)+1,""))</f>
        <v/>
      </c>
      <c r="AY598" s="61">
        <f>IF(B598="","",HOUR(B598))</f>
        <v/>
      </c>
      <c r="AZ598" s="61">
        <f>IF(A598="","",MOD(A598-2,7)+1)</f>
        <v/>
      </c>
      <c r="BA598" s="60">
        <f>IF(C598="","",IFERROR(INDEX('Prospects'!$N$5:$N$504,MATCH(C598,'Prospects'!$C$5:$C$504,0)),""))</f>
        <v/>
      </c>
      <c r="BB598" s="61">
        <f>IF(AND(C598&lt;&gt;"",C598='Fiche prospect'!$C$4),COUNTIF($C$5:C598,C598),"")</f>
        <v/>
      </c>
    </row>
    <row r="599">
      <c r="A599" s="53" t="n"/>
      <c r="B599" s="54" t="n"/>
      <c r="C599" s="55" t="n"/>
      <c r="D599" s="55" t="n"/>
      <c r="E599" s="55" t="n"/>
      <c r="F599" s="55" t="n"/>
      <c r="G599" s="56" t="n"/>
      <c r="H599" s="57" t="n"/>
      <c r="I599" s="55" t="n"/>
      <c r="J599" s="53" t="n"/>
      <c r="K599" s="54" t="n"/>
      <c r="L599" s="55" t="n"/>
      <c r="M599" s="55" t="n"/>
      <c r="N599" s="57" t="n"/>
      <c r="O599" s="55" t="n"/>
      <c r="P599" s="56" t="n"/>
      <c r="Q599" s="55" t="n"/>
      <c r="R599" s="55" t="n"/>
      <c r="S599" s="55" t="n"/>
      <c r="T599" s="55" t="n"/>
      <c r="U599" s="55" t="n"/>
      <c r="V599" s="55" t="n"/>
      <c r="W599" s="58" t="n"/>
      <c r="X599" s="58" t="n"/>
      <c r="Y599" s="55" t="n"/>
      <c r="Z599" s="55" t="n"/>
      <c r="AA599" s="55" t="n"/>
      <c r="AB599" s="55" t="n"/>
      <c r="AC599" s="55" t="n"/>
      <c r="AD599" s="53" t="n"/>
      <c r="AE599" s="55" t="n"/>
      <c r="AF599" s="55" t="n"/>
      <c r="AG599" s="59" t="n"/>
      <c r="AH599" s="57" t="n"/>
      <c r="AI599" s="55" t="n"/>
      <c r="AJ599" s="55" t="n"/>
      <c r="AK599" s="55" t="n"/>
      <c r="AL599" s="55" t="n"/>
      <c r="AM599" s="56" t="n"/>
      <c r="AN599" s="55" t="n"/>
      <c r="AO599" s="55" t="n"/>
      <c r="AP599" s="55" t="n"/>
      <c r="AQ599" s="55" t="n"/>
      <c r="AR599" s="60">
        <f>IF(AND(C599="",E599=""),"",IF(A599="","⚠ Date manquante",IF(AND(C599="",E599&lt;&gt;"Dépense"),"⚠ Prospect manquant",IF(E599="","⚠ Action manquante",IF(AND(AU599=1,D599=""),"⚠ Canal manquant",IF(AND(W599&lt;&gt;"",COUNTIFS('Saisie'!$W$5:$W$2004,W599,'Saisie'!$C$5:$C$2004,"&lt;&gt;"&amp;C599)&gt;0),"⚠ Numéro déjà utilisé par un autre prospect",IF(AND(J599&lt;&gt;"",J599&lt;A599),"⚠ Relance avant la date de l'action",IF(A599&gt;TODAY(),"⚠ Date dans le futur","✓"))))))))</f>
        <v/>
      </c>
      <c r="AS599" s="61">
        <f>IF(AND(A599="",C599="",E599=""),"",ROW())</f>
        <v/>
      </c>
      <c r="AT599" s="61">
        <f>IF(E599&amp;F599="","",MAX(IFERROR(INDEX('Paramètres'!$J$6:$J$33,MATCH(E599,'Paramètres'!$I$6:$I$33,0)),0),IFERROR(INDEX('Paramètres'!$N$6:$N$17,MATCH(F599,'Paramètres'!$M$6:$M$17,0)),0)))</f>
        <v/>
      </c>
      <c r="AU599" s="61">
        <f>IF(E599="","",IFERROR(IF(INDEX('Paramètres'!$K$6:$K$33,MATCH(E599,'Paramètres'!$I$6:$I$33,0))="Oui",1,0),0))</f>
        <v/>
      </c>
      <c r="AV599" s="61">
        <f>IF(F599="","",IFERROR(IF(INDEX('Paramètres'!$O$6:$O$17,MATCH(F599,'Paramètres'!$M$6:$M$17,0))="Oui",1,0),0))</f>
        <v/>
      </c>
      <c r="AW599" s="62">
        <f>IF(E599="","",IF(G599&lt;&gt;"",G599,IF(OR(E599="Proposition envoyée",E599="Signature"),MAX(0,N(IFERROR(INDEX('Paramètres'!$R$6:$R$15,MATCH(IF(AL599&lt;&gt;"",AL599,IFERROR(INDEX('Prospects'!$AN$5:$AN$504,MATCH(C599,'Prospects'!$C$5:$C$504,0)),"")),'Paramètres'!$Q$6:$Q$15,0)),0))-N(P599)),0)))</f>
        <v/>
      </c>
      <c r="AX599" s="61">
        <f>IF(C599="","",IF(COUNTIF($C$5:C599,C599)=1,MAX($AX$4:AX598)+1,""))</f>
        <v/>
      </c>
      <c r="AY599" s="61">
        <f>IF(B599="","",HOUR(B599))</f>
        <v/>
      </c>
      <c r="AZ599" s="61">
        <f>IF(A599="","",MOD(A599-2,7)+1)</f>
        <v/>
      </c>
      <c r="BA599" s="60">
        <f>IF(C599="","",IFERROR(INDEX('Prospects'!$N$5:$N$504,MATCH(C599,'Prospects'!$C$5:$C$504,0)),""))</f>
        <v/>
      </c>
      <c r="BB599" s="61">
        <f>IF(AND(C599&lt;&gt;"",C599='Fiche prospect'!$C$4),COUNTIF($C$5:C599,C599),"")</f>
        <v/>
      </c>
    </row>
    <row r="600">
      <c r="A600" s="53" t="n"/>
      <c r="B600" s="54" t="n"/>
      <c r="C600" s="55" t="n"/>
      <c r="D600" s="55" t="n"/>
      <c r="E600" s="55" t="n"/>
      <c r="F600" s="55" t="n"/>
      <c r="G600" s="56" t="n"/>
      <c r="H600" s="57" t="n"/>
      <c r="I600" s="55" t="n"/>
      <c r="J600" s="53" t="n"/>
      <c r="K600" s="54" t="n"/>
      <c r="L600" s="55" t="n"/>
      <c r="M600" s="55" t="n"/>
      <c r="N600" s="57" t="n"/>
      <c r="O600" s="55" t="n"/>
      <c r="P600" s="56" t="n"/>
      <c r="Q600" s="55" t="n"/>
      <c r="R600" s="55" t="n"/>
      <c r="S600" s="55" t="n"/>
      <c r="T600" s="55" t="n"/>
      <c r="U600" s="55" t="n"/>
      <c r="V600" s="55" t="n"/>
      <c r="W600" s="58" t="n"/>
      <c r="X600" s="58" t="n"/>
      <c r="Y600" s="55" t="n"/>
      <c r="Z600" s="55" t="n"/>
      <c r="AA600" s="55" t="n"/>
      <c r="AB600" s="55" t="n"/>
      <c r="AC600" s="55" t="n"/>
      <c r="AD600" s="53" t="n"/>
      <c r="AE600" s="55" t="n"/>
      <c r="AF600" s="55" t="n"/>
      <c r="AG600" s="59" t="n"/>
      <c r="AH600" s="57" t="n"/>
      <c r="AI600" s="55" t="n"/>
      <c r="AJ600" s="55" t="n"/>
      <c r="AK600" s="55" t="n"/>
      <c r="AL600" s="55" t="n"/>
      <c r="AM600" s="56" t="n"/>
      <c r="AN600" s="55" t="n"/>
      <c r="AO600" s="55" t="n"/>
      <c r="AP600" s="55" t="n"/>
      <c r="AQ600" s="55" t="n"/>
      <c r="AR600" s="60">
        <f>IF(AND(C600="",E600=""),"",IF(A600="","⚠ Date manquante",IF(AND(C600="",E600&lt;&gt;"Dépense"),"⚠ Prospect manquant",IF(E600="","⚠ Action manquante",IF(AND(AU600=1,D600=""),"⚠ Canal manquant",IF(AND(W600&lt;&gt;"",COUNTIFS('Saisie'!$W$5:$W$2004,W600,'Saisie'!$C$5:$C$2004,"&lt;&gt;"&amp;C600)&gt;0),"⚠ Numéro déjà utilisé par un autre prospect",IF(AND(J600&lt;&gt;"",J600&lt;A600),"⚠ Relance avant la date de l'action",IF(A600&gt;TODAY(),"⚠ Date dans le futur","✓"))))))))</f>
        <v/>
      </c>
      <c r="AS600" s="61">
        <f>IF(AND(A600="",C600="",E600=""),"",ROW())</f>
        <v/>
      </c>
      <c r="AT600" s="61">
        <f>IF(E600&amp;F600="","",MAX(IFERROR(INDEX('Paramètres'!$J$6:$J$33,MATCH(E600,'Paramètres'!$I$6:$I$33,0)),0),IFERROR(INDEX('Paramètres'!$N$6:$N$17,MATCH(F600,'Paramètres'!$M$6:$M$17,0)),0)))</f>
        <v/>
      </c>
      <c r="AU600" s="61">
        <f>IF(E600="","",IFERROR(IF(INDEX('Paramètres'!$K$6:$K$33,MATCH(E600,'Paramètres'!$I$6:$I$33,0))="Oui",1,0),0))</f>
        <v/>
      </c>
      <c r="AV600" s="61">
        <f>IF(F600="","",IFERROR(IF(INDEX('Paramètres'!$O$6:$O$17,MATCH(F600,'Paramètres'!$M$6:$M$17,0))="Oui",1,0),0))</f>
        <v/>
      </c>
      <c r="AW600" s="62">
        <f>IF(E600="","",IF(G600&lt;&gt;"",G600,IF(OR(E600="Proposition envoyée",E600="Signature"),MAX(0,N(IFERROR(INDEX('Paramètres'!$R$6:$R$15,MATCH(IF(AL600&lt;&gt;"",AL600,IFERROR(INDEX('Prospects'!$AN$5:$AN$504,MATCH(C600,'Prospects'!$C$5:$C$504,0)),"")),'Paramètres'!$Q$6:$Q$15,0)),0))-N(P600)),0)))</f>
        <v/>
      </c>
      <c r="AX600" s="61">
        <f>IF(C600="","",IF(COUNTIF($C$5:C600,C600)=1,MAX($AX$4:AX599)+1,""))</f>
        <v/>
      </c>
      <c r="AY600" s="61">
        <f>IF(B600="","",HOUR(B600))</f>
        <v/>
      </c>
      <c r="AZ600" s="61">
        <f>IF(A600="","",MOD(A600-2,7)+1)</f>
        <v/>
      </c>
      <c r="BA600" s="60">
        <f>IF(C600="","",IFERROR(INDEX('Prospects'!$N$5:$N$504,MATCH(C600,'Prospects'!$C$5:$C$504,0)),""))</f>
        <v/>
      </c>
      <c r="BB600" s="61">
        <f>IF(AND(C600&lt;&gt;"",C600='Fiche prospect'!$C$4),COUNTIF($C$5:C600,C600),"")</f>
        <v/>
      </c>
    </row>
    <row r="601">
      <c r="A601" s="53" t="n"/>
      <c r="B601" s="54" t="n"/>
      <c r="C601" s="55" t="n"/>
      <c r="D601" s="55" t="n"/>
      <c r="E601" s="55" t="n"/>
      <c r="F601" s="55" t="n"/>
      <c r="G601" s="56" t="n"/>
      <c r="H601" s="57" t="n"/>
      <c r="I601" s="55" t="n"/>
      <c r="J601" s="53" t="n"/>
      <c r="K601" s="54" t="n"/>
      <c r="L601" s="55" t="n"/>
      <c r="M601" s="55" t="n"/>
      <c r="N601" s="57" t="n"/>
      <c r="O601" s="55" t="n"/>
      <c r="P601" s="56" t="n"/>
      <c r="Q601" s="55" t="n"/>
      <c r="R601" s="55" t="n"/>
      <c r="S601" s="55" t="n"/>
      <c r="T601" s="55" t="n"/>
      <c r="U601" s="55" t="n"/>
      <c r="V601" s="55" t="n"/>
      <c r="W601" s="58" t="n"/>
      <c r="X601" s="58" t="n"/>
      <c r="Y601" s="55" t="n"/>
      <c r="Z601" s="55" t="n"/>
      <c r="AA601" s="55" t="n"/>
      <c r="AB601" s="55" t="n"/>
      <c r="AC601" s="55" t="n"/>
      <c r="AD601" s="53" t="n"/>
      <c r="AE601" s="55" t="n"/>
      <c r="AF601" s="55" t="n"/>
      <c r="AG601" s="59" t="n"/>
      <c r="AH601" s="57" t="n"/>
      <c r="AI601" s="55" t="n"/>
      <c r="AJ601" s="55" t="n"/>
      <c r="AK601" s="55" t="n"/>
      <c r="AL601" s="55" t="n"/>
      <c r="AM601" s="56" t="n"/>
      <c r="AN601" s="55" t="n"/>
      <c r="AO601" s="55" t="n"/>
      <c r="AP601" s="55" t="n"/>
      <c r="AQ601" s="55" t="n"/>
      <c r="AR601" s="60">
        <f>IF(AND(C601="",E601=""),"",IF(A601="","⚠ Date manquante",IF(AND(C601="",E601&lt;&gt;"Dépense"),"⚠ Prospect manquant",IF(E601="","⚠ Action manquante",IF(AND(AU601=1,D601=""),"⚠ Canal manquant",IF(AND(W601&lt;&gt;"",COUNTIFS('Saisie'!$W$5:$W$2004,W601,'Saisie'!$C$5:$C$2004,"&lt;&gt;"&amp;C601)&gt;0),"⚠ Numéro déjà utilisé par un autre prospect",IF(AND(J601&lt;&gt;"",J601&lt;A601),"⚠ Relance avant la date de l'action",IF(A601&gt;TODAY(),"⚠ Date dans le futur","✓"))))))))</f>
        <v/>
      </c>
      <c r="AS601" s="61">
        <f>IF(AND(A601="",C601="",E601=""),"",ROW())</f>
        <v/>
      </c>
      <c r="AT601" s="61">
        <f>IF(E601&amp;F601="","",MAX(IFERROR(INDEX('Paramètres'!$J$6:$J$33,MATCH(E601,'Paramètres'!$I$6:$I$33,0)),0),IFERROR(INDEX('Paramètres'!$N$6:$N$17,MATCH(F601,'Paramètres'!$M$6:$M$17,0)),0)))</f>
        <v/>
      </c>
      <c r="AU601" s="61">
        <f>IF(E601="","",IFERROR(IF(INDEX('Paramètres'!$K$6:$K$33,MATCH(E601,'Paramètres'!$I$6:$I$33,0))="Oui",1,0),0))</f>
        <v/>
      </c>
      <c r="AV601" s="61">
        <f>IF(F601="","",IFERROR(IF(INDEX('Paramètres'!$O$6:$O$17,MATCH(F601,'Paramètres'!$M$6:$M$17,0))="Oui",1,0),0))</f>
        <v/>
      </c>
      <c r="AW601" s="62">
        <f>IF(E601="","",IF(G601&lt;&gt;"",G601,IF(OR(E601="Proposition envoyée",E601="Signature"),MAX(0,N(IFERROR(INDEX('Paramètres'!$R$6:$R$15,MATCH(IF(AL601&lt;&gt;"",AL601,IFERROR(INDEX('Prospects'!$AN$5:$AN$504,MATCH(C601,'Prospects'!$C$5:$C$504,0)),"")),'Paramètres'!$Q$6:$Q$15,0)),0))-N(P601)),0)))</f>
        <v/>
      </c>
      <c r="AX601" s="61">
        <f>IF(C601="","",IF(COUNTIF($C$5:C601,C601)=1,MAX($AX$4:AX600)+1,""))</f>
        <v/>
      </c>
      <c r="AY601" s="61">
        <f>IF(B601="","",HOUR(B601))</f>
        <v/>
      </c>
      <c r="AZ601" s="61">
        <f>IF(A601="","",MOD(A601-2,7)+1)</f>
        <v/>
      </c>
      <c r="BA601" s="60">
        <f>IF(C601="","",IFERROR(INDEX('Prospects'!$N$5:$N$504,MATCH(C601,'Prospects'!$C$5:$C$504,0)),""))</f>
        <v/>
      </c>
      <c r="BB601" s="61">
        <f>IF(AND(C601&lt;&gt;"",C601='Fiche prospect'!$C$4),COUNTIF($C$5:C601,C601),"")</f>
        <v/>
      </c>
    </row>
    <row r="602">
      <c r="A602" s="53" t="n"/>
      <c r="B602" s="54" t="n"/>
      <c r="C602" s="55" t="n"/>
      <c r="D602" s="55" t="n"/>
      <c r="E602" s="55" t="n"/>
      <c r="F602" s="55" t="n"/>
      <c r="G602" s="56" t="n"/>
      <c r="H602" s="57" t="n"/>
      <c r="I602" s="55" t="n"/>
      <c r="J602" s="53" t="n"/>
      <c r="K602" s="54" t="n"/>
      <c r="L602" s="55" t="n"/>
      <c r="M602" s="55" t="n"/>
      <c r="N602" s="57" t="n"/>
      <c r="O602" s="55" t="n"/>
      <c r="P602" s="56" t="n"/>
      <c r="Q602" s="55" t="n"/>
      <c r="R602" s="55" t="n"/>
      <c r="S602" s="55" t="n"/>
      <c r="T602" s="55" t="n"/>
      <c r="U602" s="55" t="n"/>
      <c r="V602" s="55" t="n"/>
      <c r="W602" s="58" t="n"/>
      <c r="X602" s="58" t="n"/>
      <c r="Y602" s="55" t="n"/>
      <c r="Z602" s="55" t="n"/>
      <c r="AA602" s="55" t="n"/>
      <c r="AB602" s="55" t="n"/>
      <c r="AC602" s="55" t="n"/>
      <c r="AD602" s="53" t="n"/>
      <c r="AE602" s="55" t="n"/>
      <c r="AF602" s="55" t="n"/>
      <c r="AG602" s="59" t="n"/>
      <c r="AH602" s="57" t="n"/>
      <c r="AI602" s="55" t="n"/>
      <c r="AJ602" s="55" t="n"/>
      <c r="AK602" s="55" t="n"/>
      <c r="AL602" s="55" t="n"/>
      <c r="AM602" s="56" t="n"/>
      <c r="AN602" s="55" t="n"/>
      <c r="AO602" s="55" t="n"/>
      <c r="AP602" s="55" t="n"/>
      <c r="AQ602" s="55" t="n"/>
      <c r="AR602" s="60">
        <f>IF(AND(C602="",E602=""),"",IF(A602="","⚠ Date manquante",IF(AND(C602="",E602&lt;&gt;"Dépense"),"⚠ Prospect manquant",IF(E602="","⚠ Action manquante",IF(AND(AU602=1,D602=""),"⚠ Canal manquant",IF(AND(W602&lt;&gt;"",COUNTIFS('Saisie'!$W$5:$W$2004,W602,'Saisie'!$C$5:$C$2004,"&lt;&gt;"&amp;C602)&gt;0),"⚠ Numéro déjà utilisé par un autre prospect",IF(AND(J602&lt;&gt;"",J602&lt;A602),"⚠ Relance avant la date de l'action",IF(A602&gt;TODAY(),"⚠ Date dans le futur","✓"))))))))</f>
        <v/>
      </c>
      <c r="AS602" s="61">
        <f>IF(AND(A602="",C602="",E602=""),"",ROW())</f>
        <v/>
      </c>
      <c r="AT602" s="61">
        <f>IF(E602&amp;F602="","",MAX(IFERROR(INDEX('Paramètres'!$J$6:$J$33,MATCH(E602,'Paramètres'!$I$6:$I$33,0)),0),IFERROR(INDEX('Paramètres'!$N$6:$N$17,MATCH(F602,'Paramètres'!$M$6:$M$17,0)),0)))</f>
        <v/>
      </c>
      <c r="AU602" s="61">
        <f>IF(E602="","",IFERROR(IF(INDEX('Paramètres'!$K$6:$K$33,MATCH(E602,'Paramètres'!$I$6:$I$33,0))="Oui",1,0),0))</f>
        <v/>
      </c>
      <c r="AV602" s="61">
        <f>IF(F602="","",IFERROR(IF(INDEX('Paramètres'!$O$6:$O$17,MATCH(F602,'Paramètres'!$M$6:$M$17,0))="Oui",1,0),0))</f>
        <v/>
      </c>
      <c r="AW602" s="62">
        <f>IF(E602="","",IF(G602&lt;&gt;"",G602,IF(OR(E602="Proposition envoyée",E602="Signature"),MAX(0,N(IFERROR(INDEX('Paramètres'!$R$6:$R$15,MATCH(IF(AL602&lt;&gt;"",AL602,IFERROR(INDEX('Prospects'!$AN$5:$AN$504,MATCH(C602,'Prospects'!$C$5:$C$504,0)),"")),'Paramètres'!$Q$6:$Q$15,0)),0))-N(P602)),0)))</f>
        <v/>
      </c>
      <c r="AX602" s="61">
        <f>IF(C602="","",IF(COUNTIF($C$5:C602,C602)=1,MAX($AX$4:AX601)+1,""))</f>
        <v/>
      </c>
      <c r="AY602" s="61">
        <f>IF(B602="","",HOUR(B602))</f>
        <v/>
      </c>
      <c r="AZ602" s="61">
        <f>IF(A602="","",MOD(A602-2,7)+1)</f>
        <v/>
      </c>
      <c r="BA602" s="60">
        <f>IF(C602="","",IFERROR(INDEX('Prospects'!$N$5:$N$504,MATCH(C602,'Prospects'!$C$5:$C$504,0)),""))</f>
        <v/>
      </c>
      <c r="BB602" s="61">
        <f>IF(AND(C602&lt;&gt;"",C602='Fiche prospect'!$C$4),COUNTIF($C$5:C602,C602),"")</f>
        <v/>
      </c>
    </row>
    <row r="603">
      <c r="A603" s="53" t="n"/>
      <c r="B603" s="54" t="n"/>
      <c r="C603" s="55" t="n"/>
      <c r="D603" s="55" t="n"/>
      <c r="E603" s="55" t="n"/>
      <c r="F603" s="55" t="n"/>
      <c r="G603" s="56" t="n"/>
      <c r="H603" s="57" t="n"/>
      <c r="I603" s="55" t="n"/>
      <c r="J603" s="53" t="n"/>
      <c r="K603" s="54" t="n"/>
      <c r="L603" s="55" t="n"/>
      <c r="M603" s="55" t="n"/>
      <c r="N603" s="57" t="n"/>
      <c r="O603" s="55" t="n"/>
      <c r="P603" s="56" t="n"/>
      <c r="Q603" s="55" t="n"/>
      <c r="R603" s="55" t="n"/>
      <c r="S603" s="55" t="n"/>
      <c r="T603" s="55" t="n"/>
      <c r="U603" s="55" t="n"/>
      <c r="V603" s="55" t="n"/>
      <c r="W603" s="58" t="n"/>
      <c r="X603" s="58" t="n"/>
      <c r="Y603" s="55" t="n"/>
      <c r="Z603" s="55" t="n"/>
      <c r="AA603" s="55" t="n"/>
      <c r="AB603" s="55" t="n"/>
      <c r="AC603" s="55" t="n"/>
      <c r="AD603" s="53" t="n"/>
      <c r="AE603" s="55" t="n"/>
      <c r="AF603" s="55" t="n"/>
      <c r="AG603" s="59" t="n"/>
      <c r="AH603" s="57" t="n"/>
      <c r="AI603" s="55" t="n"/>
      <c r="AJ603" s="55" t="n"/>
      <c r="AK603" s="55" t="n"/>
      <c r="AL603" s="55" t="n"/>
      <c r="AM603" s="56" t="n"/>
      <c r="AN603" s="55" t="n"/>
      <c r="AO603" s="55" t="n"/>
      <c r="AP603" s="55" t="n"/>
      <c r="AQ603" s="55" t="n"/>
      <c r="AR603" s="60">
        <f>IF(AND(C603="",E603=""),"",IF(A603="","⚠ Date manquante",IF(AND(C603="",E603&lt;&gt;"Dépense"),"⚠ Prospect manquant",IF(E603="","⚠ Action manquante",IF(AND(AU603=1,D603=""),"⚠ Canal manquant",IF(AND(W603&lt;&gt;"",COUNTIFS('Saisie'!$W$5:$W$2004,W603,'Saisie'!$C$5:$C$2004,"&lt;&gt;"&amp;C603)&gt;0),"⚠ Numéro déjà utilisé par un autre prospect",IF(AND(J603&lt;&gt;"",J603&lt;A603),"⚠ Relance avant la date de l'action",IF(A603&gt;TODAY(),"⚠ Date dans le futur","✓"))))))))</f>
        <v/>
      </c>
      <c r="AS603" s="61">
        <f>IF(AND(A603="",C603="",E603=""),"",ROW())</f>
        <v/>
      </c>
      <c r="AT603" s="61">
        <f>IF(E603&amp;F603="","",MAX(IFERROR(INDEX('Paramètres'!$J$6:$J$33,MATCH(E603,'Paramètres'!$I$6:$I$33,0)),0),IFERROR(INDEX('Paramètres'!$N$6:$N$17,MATCH(F603,'Paramètres'!$M$6:$M$17,0)),0)))</f>
        <v/>
      </c>
      <c r="AU603" s="61">
        <f>IF(E603="","",IFERROR(IF(INDEX('Paramètres'!$K$6:$K$33,MATCH(E603,'Paramètres'!$I$6:$I$33,0))="Oui",1,0),0))</f>
        <v/>
      </c>
      <c r="AV603" s="61">
        <f>IF(F603="","",IFERROR(IF(INDEX('Paramètres'!$O$6:$O$17,MATCH(F603,'Paramètres'!$M$6:$M$17,0))="Oui",1,0),0))</f>
        <v/>
      </c>
      <c r="AW603" s="62">
        <f>IF(E603="","",IF(G603&lt;&gt;"",G603,IF(OR(E603="Proposition envoyée",E603="Signature"),MAX(0,N(IFERROR(INDEX('Paramètres'!$R$6:$R$15,MATCH(IF(AL603&lt;&gt;"",AL603,IFERROR(INDEX('Prospects'!$AN$5:$AN$504,MATCH(C603,'Prospects'!$C$5:$C$504,0)),"")),'Paramètres'!$Q$6:$Q$15,0)),0))-N(P603)),0)))</f>
        <v/>
      </c>
      <c r="AX603" s="61">
        <f>IF(C603="","",IF(COUNTIF($C$5:C603,C603)=1,MAX($AX$4:AX602)+1,""))</f>
        <v/>
      </c>
      <c r="AY603" s="61">
        <f>IF(B603="","",HOUR(B603))</f>
        <v/>
      </c>
      <c r="AZ603" s="61">
        <f>IF(A603="","",MOD(A603-2,7)+1)</f>
        <v/>
      </c>
      <c r="BA603" s="60">
        <f>IF(C603="","",IFERROR(INDEX('Prospects'!$N$5:$N$504,MATCH(C603,'Prospects'!$C$5:$C$504,0)),""))</f>
        <v/>
      </c>
      <c r="BB603" s="61">
        <f>IF(AND(C603&lt;&gt;"",C603='Fiche prospect'!$C$4),COUNTIF($C$5:C603,C603),"")</f>
        <v/>
      </c>
    </row>
    <row r="604">
      <c r="A604" s="53" t="n"/>
      <c r="B604" s="54" t="n"/>
      <c r="C604" s="55" t="n"/>
      <c r="D604" s="55" t="n"/>
      <c r="E604" s="55" t="n"/>
      <c r="F604" s="55" t="n"/>
      <c r="G604" s="56" t="n"/>
      <c r="H604" s="57" t="n"/>
      <c r="I604" s="55" t="n"/>
      <c r="J604" s="53" t="n"/>
      <c r="K604" s="54" t="n"/>
      <c r="L604" s="55" t="n"/>
      <c r="M604" s="55" t="n"/>
      <c r="N604" s="57" t="n"/>
      <c r="O604" s="55" t="n"/>
      <c r="P604" s="56" t="n"/>
      <c r="Q604" s="55" t="n"/>
      <c r="R604" s="55" t="n"/>
      <c r="S604" s="55" t="n"/>
      <c r="T604" s="55" t="n"/>
      <c r="U604" s="55" t="n"/>
      <c r="V604" s="55" t="n"/>
      <c r="W604" s="58" t="n"/>
      <c r="X604" s="58" t="n"/>
      <c r="Y604" s="55" t="n"/>
      <c r="Z604" s="55" t="n"/>
      <c r="AA604" s="55" t="n"/>
      <c r="AB604" s="55" t="n"/>
      <c r="AC604" s="55" t="n"/>
      <c r="AD604" s="53" t="n"/>
      <c r="AE604" s="55" t="n"/>
      <c r="AF604" s="55" t="n"/>
      <c r="AG604" s="59" t="n"/>
      <c r="AH604" s="57" t="n"/>
      <c r="AI604" s="55" t="n"/>
      <c r="AJ604" s="55" t="n"/>
      <c r="AK604" s="55" t="n"/>
      <c r="AL604" s="55" t="n"/>
      <c r="AM604" s="56" t="n"/>
      <c r="AN604" s="55" t="n"/>
      <c r="AO604" s="55" t="n"/>
      <c r="AP604" s="55" t="n"/>
      <c r="AQ604" s="55" t="n"/>
      <c r="AR604" s="60">
        <f>IF(AND(C604="",E604=""),"",IF(A604="","⚠ Date manquante",IF(AND(C604="",E604&lt;&gt;"Dépense"),"⚠ Prospect manquant",IF(E604="","⚠ Action manquante",IF(AND(AU604=1,D604=""),"⚠ Canal manquant",IF(AND(W604&lt;&gt;"",COUNTIFS('Saisie'!$W$5:$W$2004,W604,'Saisie'!$C$5:$C$2004,"&lt;&gt;"&amp;C604)&gt;0),"⚠ Numéro déjà utilisé par un autre prospect",IF(AND(J604&lt;&gt;"",J604&lt;A604),"⚠ Relance avant la date de l'action",IF(A604&gt;TODAY(),"⚠ Date dans le futur","✓"))))))))</f>
        <v/>
      </c>
      <c r="AS604" s="61">
        <f>IF(AND(A604="",C604="",E604=""),"",ROW())</f>
        <v/>
      </c>
      <c r="AT604" s="61">
        <f>IF(E604&amp;F604="","",MAX(IFERROR(INDEX('Paramètres'!$J$6:$J$33,MATCH(E604,'Paramètres'!$I$6:$I$33,0)),0),IFERROR(INDEX('Paramètres'!$N$6:$N$17,MATCH(F604,'Paramètres'!$M$6:$M$17,0)),0)))</f>
        <v/>
      </c>
      <c r="AU604" s="61">
        <f>IF(E604="","",IFERROR(IF(INDEX('Paramètres'!$K$6:$K$33,MATCH(E604,'Paramètres'!$I$6:$I$33,0))="Oui",1,0),0))</f>
        <v/>
      </c>
      <c r="AV604" s="61">
        <f>IF(F604="","",IFERROR(IF(INDEX('Paramètres'!$O$6:$O$17,MATCH(F604,'Paramètres'!$M$6:$M$17,0))="Oui",1,0),0))</f>
        <v/>
      </c>
      <c r="AW604" s="62">
        <f>IF(E604="","",IF(G604&lt;&gt;"",G604,IF(OR(E604="Proposition envoyée",E604="Signature"),MAX(0,N(IFERROR(INDEX('Paramètres'!$R$6:$R$15,MATCH(IF(AL604&lt;&gt;"",AL604,IFERROR(INDEX('Prospects'!$AN$5:$AN$504,MATCH(C604,'Prospects'!$C$5:$C$504,0)),"")),'Paramètres'!$Q$6:$Q$15,0)),0))-N(P604)),0)))</f>
        <v/>
      </c>
      <c r="AX604" s="61">
        <f>IF(C604="","",IF(COUNTIF($C$5:C604,C604)=1,MAX($AX$4:AX603)+1,""))</f>
        <v/>
      </c>
      <c r="AY604" s="61">
        <f>IF(B604="","",HOUR(B604))</f>
        <v/>
      </c>
      <c r="AZ604" s="61">
        <f>IF(A604="","",MOD(A604-2,7)+1)</f>
        <v/>
      </c>
      <c r="BA604" s="60">
        <f>IF(C604="","",IFERROR(INDEX('Prospects'!$N$5:$N$504,MATCH(C604,'Prospects'!$C$5:$C$504,0)),""))</f>
        <v/>
      </c>
      <c r="BB604" s="61">
        <f>IF(AND(C604&lt;&gt;"",C604='Fiche prospect'!$C$4),COUNTIF($C$5:C604,C604),"")</f>
        <v/>
      </c>
    </row>
    <row r="605">
      <c r="A605" s="53" t="n"/>
      <c r="B605" s="54" t="n"/>
      <c r="C605" s="55" t="n"/>
      <c r="D605" s="55" t="n"/>
      <c r="E605" s="55" t="n"/>
      <c r="F605" s="55" t="n"/>
      <c r="G605" s="56" t="n"/>
      <c r="H605" s="57" t="n"/>
      <c r="I605" s="55" t="n"/>
      <c r="J605" s="53" t="n"/>
      <c r="K605" s="54" t="n"/>
      <c r="L605" s="55" t="n"/>
      <c r="M605" s="55" t="n"/>
      <c r="N605" s="57" t="n"/>
      <c r="O605" s="55" t="n"/>
      <c r="P605" s="56" t="n"/>
      <c r="Q605" s="55" t="n"/>
      <c r="R605" s="55" t="n"/>
      <c r="S605" s="55" t="n"/>
      <c r="T605" s="55" t="n"/>
      <c r="U605" s="55" t="n"/>
      <c r="V605" s="55" t="n"/>
      <c r="W605" s="58" t="n"/>
      <c r="X605" s="58" t="n"/>
      <c r="Y605" s="55" t="n"/>
      <c r="Z605" s="55" t="n"/>
      <c r="AA605" s="55" t="n"/>
      <c r="AB605" s="55" t="n"/>
      <c r="AC605" s="55" t="n"/>
      <c r="AD605" s="53" t="n"/>
      <c r="AE605" s="55" t="n"/>
      <c r="AF605" s="55" t="n"/>
      <c r="AG605" s="59" t="n"/>
      <c r="AH605" s="57" t="n"/>
      <c r="AI605" s="55" t="n"/>
      <c r="AJ605" s="55" t="n"/>
      <c r="AK605" s="55" t="n"/>
      <c r="AL605" s="55" t="n"/>
      <c r="AM605" s="56" t="n"/>
      <c r="AN605" s="55" t="n"/>
      <c r="AO605" s="55" t="n"/>
      <c r="AP605" s="55" t="n"/>
      <c r="AQ605" s="55" t="n"/>
      <c r="AR605" s="60">
        <f>IF(AND(C605="",E605=""),"",IF(A605="","⚠ Date manquante",IF(AND(C605="",E605&lt;&gt;"Dépense"),"⚠ Prospect manquant",IF(E605="","⚠ Action manquante",IF(AND(AU605=1,D605=""),"⚠ Canal manquant",IF(AND(W605&lt;&gt;"",COUNTIFS('Saisie'!$W$5:$W$2004,W605,'Saisie'!$C$5:$C$2004,"&lt;&gt;"&amp;C605)&gt;0),"⚠ Numéro déjà utilisé par un autre prospect",IF(AND(J605&lt;&gt;"",J605&lt;A605),"⚠ Relance avant la date de l'action",IF(A605&gt;TODAY(),"⚠ Date dans le futur","✓"))))))))</f>
        <v/>
      </c>
      <c r="AS605" s="61">
        <f>IF(AND(A605="",C605="",E605=""),"",ROW())</f>
        <v/>
      </c>
      <c r="AT605" s="61">
        <f>IF(E605&amp;F605="","",MAX(IFERROR(INDEX('Paramètres'!$J$6:$J$33,MATCH(E605,'Paramètres'!$I$6:$I$33,0)),0),IFERROR(INDEX('Paramètres'!$N$6:$N$17,MATCH(F605,'Paramètres'!$M$6:$M$17,0)),0)))</f>
        <v/>
      </c>
      <c r="AU605" s="61">
        <f>IF(E605="","",IFERROR(IF(INDEX('Paramètres'!$K$6:$K$33,MATCH(E605,'Paramètres'!$I$6:$I$33,0))="Oui",1,0),0))</f>
        <v/>
      </c>
      <c r="AV605" s="61">
        <f>IF(F605="","",IFERROR(IF(INDEX('Paramètres'!$O$6:$O$17,MATCH(F605,'Paramètres'!$M$6:$M$17,0))="Oui",1,0),0))</f>
        <v/>
      </c>
      <c r="AW605" s="62">
        <f>IF(E605="","",IF(G605&lt;&gt;"",G605,IF(OR(E605="Proposition envoyée",E605="Signature"),MAX(0,N(IFERROR(INDEX('Paramètres'!$R$6:$R$15,MATCH(IF(AL605&lt;&gt;"",AL605,IFERROR(INDEX('Prospects'!$AN$5:$AN$504,MATCH(C605,'Prospects'!$C$5:$C$504,0)),"")),'Paramètres'!$Q$6:$Q$15,0)),0))-N(P605)),0)))</f>
        <v/>
      </c>
      <c r="AX605" s="61">
        <f>IF(C605="","",IF(COUNTIF($C$5:C605,C605)=1,MAX($AX$4:AX604)+1,""))</f>
        <v/>
      </c>
      <c r="AY605" s="61">
        <f>IF(B605="","",HOUR(B605))</f>
        <v/>
      </c>
      <c r="AZ605" s="61">
        <f>IF(A605="","",MOD(A605-2,7)+1)</f>
        <v/>
      </c>
      <c r="BA605" s="60">
        <f>IF(C605="","",IFERROR(INDEX('Prospects'!$N$5:$N$504,MATCH(C605,'Prospects'!$C$5:$C$504,0)),""))</f>
        <v/>
      </c>
      <c r="BB605" s="61">
        <f>IF(AND(C605&lt;&gt;"",C605='Fiche prospect'!$C$4),COUNTIF($C$5:C605,C605),"")</f>
        <v/>
      </c>
    </row>
    <row r="606">
      <c r="A606" s="53" t="n"/>
      <c r="B606" s="54" t="n"/>
      <c r="C606" s="55" t="n"/>
      <c r="D606" s="55" t="n"/>
      <c r="E606" s="55" t="n"/>
      <c r="F606" s="55" t="n"/>
      <c r="G606" s="56" t="n"/>
      <c r="H606" s="57" t="n"/>
      <c r="I606" s="55" t="n"/>
      <c r="J606" s="53" t="n"/>
      <c r="K606" s="54" t="n"/>
      <c r="L606" s="55" t="n"/>
      <c r="M606" s="55" t="n"/>
      <c r="N606" s="57" t="n"/>
      <c r="O606" s="55" t="n"/>
      <c r="P606" s="56" t="n"/>
      <c r="Q606" s="55" t="n"/>
      <c r="R606" s="55" t="n"/>
      <c r="S606" s="55" t="n"/>
      <c r="T606" s="55" t="n"/>
      <c r="U606" s="55" t="n"/>
      <c r="V606" s="55" t="n"/>
      <c r="W606" s="58" t="n"/>
      <c r="X606" s="58" t="n"/>
      <c r="Y606" s="55" t="n"/>
      <c r="Z606" s="55" t="n"/>
      <c r="AA606" s="55" t="n"/>
      <c r="AB606" s="55" t="n"/>
      <c r="AC606" s="55" t="n"/>
      <c r="AD606" s="53" t="n"/>
      <c r="AE606" s="55" t="n"/>
      <c r="AF606" s="55" t="n"/>
      <c r="AG606" s="59" t="n"/>
      <c r="AH606" s="57" t="n"/>
      <c r="AI606" s="55" t="n"/>
      <c r="AJ606" s="55" t="n"/>
      <c r="AK606" s="55" t="n"/>
      <c r="AL606" s="55" t="n"/>
      <c r="AM606" s="56" t="n"/>
      <c r="AN606" s="55" t="n"/>
      <c r="AO606" s="55" t="n"/>
      <c r="AP606" s="55" t="n"/>
      <c r="AQ606" s="55" t="n"/>
      <c r="AR606" s="60">
        <f>IF(AND(C606="",E606=""),"",IF(A606="","⚠ Date manquante",IF(AND(C606="",E606&lt;&gt;"Dépense"),"⚠ Prospect manquant",IF(E606="","⚠ Action manquante",IF(AND(AU606=1,D606=""),"⚠ Canal manquant",IF(AND(W606&lt;&gt;"",COUNTIFS('Saisie'!$W$5:$W$2004,W606,'Saisie'!$C$5:$C$2004,"&lt;&gt;"&amp;C606)&gt;0),"⚠ Numéro déjà utilisé par un autre prospect",IF(AND(J606&lt;&gt;"",J606&lt;A606),"⚠ Relance avant la date de l'action",IF(A606&gt;TODAY(),"⚠ Date dans le futur","✓"))))))))</f>
        <v/>
      </c>
      <c r="AS606" s="61">
        <f>IF(AND(A606="",C606="",E606=""),"",ROW())</f>
        <v/>
      </c>
      <c r="AT606" s="61">
        <f>IF(E606&amp;F606="","",MAX(IFERROR(INDEX('Paramètres'!$J$6:$J$33,MATCH(E606,'Paramètres'!$I$6:$I$33,0)),0),IFERROR(INDEX('Paramètres'!$N$6:$N$17,MATCH(F606,'Paramètres'!$M$6:$M$17,0)),0)))</f>
        <v/>
      </c>
      <c r="AU606" s="61">
        <f>IF(E606="","",IFERROR(IF(INDEX('Paramètres'!$K$6:$K$33,MATCH(E606,'Paramètres'!$I$6:$I$33,0))="Oui",1,0),0))</f>
        <v/>
      </c>
      <c r="AV606" s="61">
        <f>IF(F606="","",IFERROR(IF(INDEX('Paramètres'!$O$6:$O$17,MATCH(F606,'Paramètres'!$M$6:$M$17,0))="Oui",1,0),0))</f>
        <v/>
      </c>
      <c r="AW606" s="62">
        <f>IF(E606="","",IF(G606&lt;&gt;"",G606,IF(OR(E606="Proposition envoyée",E606="Signature"),MAX(0,N(IFERROR(INDEX('Paramètres'!$R$6:$R$15,MATCH(IF(AL606&lt;&gt;"",AL606,IFERROR(INDEX('Prospects'!$AN$5:$AN$504,MATCH(C606,'Prospects'!$C$5:$C$504,0)),"")),'Paramètres'!$Q$6:$Q$15,0)),0))-N(P606)),0)))</f>
        <v/>
      </c>
      <c r="AX606" s="61">
        <f>IF(C606="","",IF(COUNTIF($C$5:C606,C606)=1,MAX($AX$4:AX605)+1,""))</f>
        <v/>
      </c>
      <c r="AY606" s="61">
        <f>IF(B606="","",HOUR(B606))</f>
        <v/>
      </c>
      <c r="AZ606" s="61">
        <f>IF(A606="","",MOD(A606-2,7)+1)</f>
        <v/>
      </c>
      <c r="BA606" s="60">
        <f>IF(C606="","",IFERROR(INDEX('Prospects'!$N$5:$N$504,MATCH(C606,'Prospects'!$C$5:$C$504,0)),""))</f>
        <v/>
      </c>
      <c r="BB606" s="61">
        <f>IF(AND(C606&lt;&gt;"",C606='Fiche prospect'!$C$4),COUNTIF($C$5:C606,C606),"")</f>
        <v/>
      </c>
    </row>
    <row r="607">
      <c r="A607" s="53" t="n"/>
      <c r="B607" s="54" t="n"/>
      <c r="C607" s="55" t="n"/>
      <c r="D607" s="55" t="n"/>
      <c r="E607" s="55" t="n"/>
      <c r="F607" s="55" t="n"/>
      <c r="G607" s="56" t="n"/>
      <c r="H607" s="57" t="n"/>
      <c r="I607" s="55" t="n"/>
      <c r="J607" s="53" t="n"/>
      <c r="K607" s="54" t="n"/>
      <c r="L607" s="55" t="n"/>
      <c r="M607" s="55" t="n"/>
      <c r="N607" s="57" t="n"/>
      <c r="O607" s="55" t="n"/>
      <c r="P607" s="56" t="n"/>
      <c r="Q607" s="55" t="n"/>
      <c r="R607" s="55" t="n"/>
      <c r="S607" s="55" t="n"/>
      <c r="T607" s="55" t="n"/>
      <c r="U607" s="55" t="n"/>
      <c r="V607" s="55" t="n"/>
      <c r="W607" s="58" t="n"/>
      <c r="X607" s="58" t="n"/>
      <c r="Y607" s="55" t="n"/>
      <c r="Z607" s="55" t="n"/>
      <c r="AA607" s="55" t="n"/>
      <c r="AB607" s="55" t="n"/>
      <c r="AC607" s="55" t="n"/>
      <c r="AD607" s="53" t="n"/>
      <c r="AE607" s="55" t="n"/>
      <c r="AF607" s="55" t="n"/>
      <c r="AG607" s="59" t="n"/>
      <c r="AH607" s="57" t="n"/>
      <c r="AI607" s="55" t="n"/>
      <c r="AJ607" s="55" t="n"/>
      <c r="AK607" s="55" t="n"/>
      <c r="AL607" s="55" t="n"/>
      <c r="AM607" s="56" t="n"/>
      <c r="AN607" s="55" t="n"/>
      <c r="AO607" s="55" t="n"/>
      <c r="AP607" s="55" t="n"/>
      <c r="AQ607" s="55" t="n"/>
      <c r="AR607" s="60">
        <f>IF(AND(C607="",E607=""),"",IF(A607="","⚠ Date manquante",IF(AND(C607="",E607&lt;&gt;"Dépense"),"⚠ Prospect manquant",IF(E607="","⚠ Action manquante",IF(AND(AU607=1,D607=""),"⚠ Canal manquant",IF(AND(W607&lt;&gt;"",COUNTIFS('Saisie'!$W$5:$W$2004,W607,'Saisie'!$C$5:$C$2004,"&lt;&gt;"&amp;C607)&gt;0),"⚠ Numéro déjà utilisé par un autre prospect",IF(AND(J607&lt;&gt;"",J607&lt;A607),"⚠ Relance avant la date de l'action",IF(A607&gt;TODAY(),"⚠ Date dans le futur","✓"))))))))</f>
        <v/>
      </c>
      <c r="AS607" s="61">
        <f>IF(AND(A607="",C607="",E607=""),"",ROW())</f>
        <v/>
      </c>
      <c r="AT607" s="61">
        <f>IF(E607&amp;F607="","",MAX(IFERROR(INDEX('Paramètres'!$J$6:$J$33,MATCH(E607,'Paramètres'!$I$6:$I$33,0)),0),IFERROR(INDEX('Paramètres'!$N$6:$N$17,MATCH(F607,'Paramètres'!$M$6:$M$17,0)),0)))</f>
        <v/>
      </c>
      <c r="AU607" s="61">
        <f>IF(E607="","",IFERROR(IF(INDEX('Paramètres'!$K$6:$K$33,MATCH(E607,'Paramètres'!$I$6:$I$33,0))="Oui",1,0),0))</f>
        <v/>
      </c>
      <c r="AV607" s="61">
        <f>IF(F607="","",IFERROR(IF(INDEX('Paramètres'!$O$6:$O$17,MATCH(F607,'Paramètres'!$M$6:$M$17,0))="Oui",1,0),0))</f>
        <v/>
      </c>
      <c r="AW607" s="62">
        <f>IF(E607="","",IF(G607&lt;&gt;"",G607,IF(OR(E607="Proposition envoyée",E607="Signature"),MAX(0,N(IFERROR(INDEX('Paramètres'!$R$6:$R$15,MATCH(IF(AL607&lt;&gt;"",AL607,IFERROR(INDEX('Prospects'!$AN$5:$AN$504,MATCH(C607,'Prospects'!$C$5:$C$504,0)),"")),'Paramètres'!$Q$6:$Q$15,0)),0))-N(P607)),0)))</f>
        <v/>
      </c>
      <c r="AX607" s="61">
        <f>IF(C607="","",IF(COUNTIF($C$5:C607,C607)=1,MAX($AX$4:AX606)+1,""))</f>
        <v/>
      </c>
      <c r="AY607" s="61">
        <f>IF(B607="","",HOUR(B607))</f>
        <v/>
      </c>
      <c r="AZ607" s="61">
        <f>IF(A607="","",MOD(A607-2,7)+1)</f>
        <v/>
      </c>
      <c r="BA607" s="60">
        <f>IF(C607="","",IFERROR(INDEX('Prospects'!$N$5:$N$504,MATCH(C607,'Prospects'!$C$5:$C$504,0)),""))</f>
        <v/>
      </c>
      <c r="BB607" s="61">
        <f>IF(AND(C607&lt;&gt;"",C607='Fiche prospect'!$C$4),COUNTIF($C$5:C607,C607),"")</f>
        <v/>
      </c>
    </row>
    <row r="608">
      <c r="A608" s="53" t="n"/>
      <c r="B608" s="54" t="n"/>
      <c r="C608" s="55" t="n"/>
      <c r="D608" s="55" t="n"/>
      <c r="E608" s="55" t="n"/>
      <c r="F608" s="55" t="n"/>
      <c r="G608" s="56" t="n"/>
      <c r="H608" s="57" t="n"/>
      <c r="I608" s="55" t="n"/>
      <c r="J608" s="53" t="n"/>
      <c r="K608" s="54" t="n"/>
      <c r="L608" s="55" t="n"/>
      <c r="M608" s="55" t="n"/>
      <c r="N608" s="57" t="n"/>
      <c r="O608" s="55" t="n"/>
      <c r="P608" s="56" t="n"/>
      <c r="Q608" s="55" t="n"/>
      <c r="R608" s="55" t="n"/>
      <c r="S608" s="55" t="n"/>
      <c r="T608" s="55" t="n"/>
      <c r="U608" s="55" t="n"/>
      <c r="V608" s="55" t="n"/>
      <c r="W608" s="58" t="n"/>
      <c r="X608" s="58" t="n"/>
      <c r="Y608" s="55" t="n"/>
      <c r="Z608" s="55" t="n"/>
      <c r="AA608" s="55" t="n"/>
      <c r="AB608" s="55" t="n"/>
      <c r="AC608" s="55" t="n"/>
      <c r="AD608" s="53" t="n"/>
      <c r="AE608" s="55" t="n"/>
      <c r="AF608" s="55" t="n"/>
      <c r="AG608" s="59" t="n"/>
      <c r="AH608" s="57" t="n"/>
      <c r="AI608" s="55" t="n"/>
      <c r="AJ608" s="55" t="n"/>
      <c r="AK608" s="55" t="n"/>
      <c r="AL608" s="55" t="n"/>
      <c r="AM608" s="56" t="n"/>
      <c r="AN608" s="55" t="n"/>
      <c r="AO608" s="55" t="n"/>
      <c r="AP608" s="55" t="n"/>
      <c r="AQ608" s="55" t="n"/>
      <c r="AR608" s="60">
        <f>IF(AND(C608="",E608=""),"",IF(A608="","⚠ Date manquante",IF(AND(C608="",E608&lt;&gt;"Dépense"),"⚠ Prospect manquant",IF(E608="","⚠ Action manquante",IF(AND(AU608=1,D608=""),"⚠ Canal manquant",IF(AND(W608&lt;&gt;"",COUNTIFS('Saisie'!$W$5:$W$2004,W608,'Saisie'!$C$5:$C$2004,"&lt;&gt;"&amp;C608)&gt;0),"⚠ Numéro déjà utilisé par un autre prospect",IF(AND(J608&lt;&gt;"",J608&lt;A608),"⚠ Relance avant la date de l'action",IF(A608&gt;TODAY(),"⚠ Date dans le futur","✓"))))))))</f>
        <v/>
      </c>
      <c r="AS608" s="61">
        <f>IF(AND(A608="",C608="",E608=""),"",ROW())</f>
        <v/>
      </c>
      <c r="AT608" s="61">
        <f>IF(E608&amp;F608="","",MAX(IFERROR(INDEX('Paramètres'!$J$6:$J$33,MATCH(E608,'Paramètres'!$I$6:$I$33,0)),0),IFERROR(INDEX('Paramètres'!$N$6:$N$17,MATCH(F608,'Paramètres'!$M$6:$M$17,0)),0)))</f>
        <v/>
      </c>
      <c r="AU608" s="61">
        <f>IF(E608="","",IFERROR(IF(INDEX('Paramètres'!$K$6:$K$33,MATCH(E608,'Paramètres'!$I$6:$I$33,0))="Oui",1,0),0))</f>
        <v/>
      </c>
      <c r="AV608" s="61">
        <f>IF(F608="","",IFERROR(IF(INDEX('Paramètres'!$O$6:$O$17,MATCH(F608,'Paramètres'!$M$6:$M$17,0))="Oui",1,0),0))</f>
        <v/>
      </c>
      <c r="AW608" s="62">
        <f>IF(E608="","",IF(G608&lt;&gt;"",G608,IF(OR(E608="Proposition envoyée",E608="Signature"),MAX(0,N(IFERROR(INDEX('Paramètres'!$R$6:$R$15,MATCH(IF(AL608&lt;&gt;"",AL608,IFERROR(INDEX('Prospects'!$AN$5:$AN$504,MATCH(C608,'Prospects'!$C$5:$C$504,0)),"")),'Paramètres'!$Q$6:$Q$15,0)),0))-N(P608)),0)))</f>
        <v/>
      </c>
      <c r="AX608" s="61">
        <f>IF(C608="","",IF(COUNTIF($C$5:C608,C608)=1,MAX($AX$4:AX607)+1,""))</f>
        <v/>
      </c>
      <c r="AY608" s="61">
        <f>IF(B608="","",HOUR(B608))</f>
        <v/>
      </c>
      <c r="AZ608" s="61">
        <f>IF(A608="","",MOD(A608-2,7)+1)</f>
        <v/>
      </c>
      <c r="BA608" s="60">
        <f>IF(C608="","",IFERROR(INDEX('Prospects'!$N$5:$N$504,MATCH(C608,'Prospects'!$C$5:$C$504,0)),""))</f>
        <v/>
      </c>
      <c r="BB608" s="61">
        <f>IF(AND(C608&lt;&gt;"",C608='Fiche prospect'!$C$4),COUNTIF($C$5:C608,C608),"")</f>
        <v/>
      </c>
    </row>
    <row r="609">
      <c r="A609" s="53" t="n"/>
      <c r="B609" s="54" t="n"/>
      <c r="C609" s="55" t="n"/>
      <c r="D609" s="55" t="n"/>
      <c r="E609" s="55" t="n"/>
      <c r="F609" s="55" t="n"/>
      <c r="G609" s="56" t="n"/>
      <c r="H609" s="57" t="n"/>
      <c r="I609" s="55" t="n"/>
      <c r="J609" s="53" t="n"/>
      <c r="K609" s="54" t="n"/>
      <c r="L609" s="55" t="n"/>
      <c r="M609" s="55" t="n"/>
      <c r="N609" s="57" t="n"/>
      <c r="O609" s="55" t="n"/>
      <c r="P609" s="56" t="n"/>
      <c r="Q609" s="55" t="n"/>
      <c r="R609" s="55" t="n"/>
      <c r="S609" s="55" t="n"/>
      <c r="T609" s="55" t="n"/>
      <c r="U609" s="55" t="n"/>
      <c r="V609" s="55" t="n"/>
      <c r="W609" s="58" t="n"/>
      <c r="X609" s="58" t="n"/>
      <c r="Y609" s="55" t="n"/>
      <c r="Z609" s="55" t="n"/>
      <c r="AA609" s="55" t="n"/>
      <c r="AB609" s="55" t="n"/>
      <c r="AC609" s="55" t="n"/>
      <c r="AD609" s="53" t="n"/>
      <c r="AE609" s="55" t="n"/>
      <c r="AF609" s="55" t="n"/>
      <c r="AG609" s="59" t="n"/>
      <c r="AH609" s="57" t="n"/>
      <c r="AI609" s="55" t="n"/>
      <c r="AJ609" s="55" t="n"/>
      <c r="AK609" s="55" t="n"/>
      <c r="AL609" s="55" t="n"/>
      <c r="AM609" s="56" t="n"/>
      <c r="AN609" s="55" t="n"/>
      <c r="AO609" s="55" t="n"/>
      <c r="AP609" s="55" t="n"/>
      <c r="AQ609" s="55" t="n"/>
      <c r="AR609" s="60">
        <f>IF(AND(C609="",E609=""),"",IF(A609="","⚠ Date manquante",IF(AND(C609="",E609&lt;&gt;"Dépense"),"⚠ Prospect manquant",IF(E609="","⚠ Action manquante",IF(AND(AU609=1,D609=""),"⚠ Canal manquant",IF(AND(W609&lt;&gt;"",COUNTIFS('Saisie'!$W$5:$W$2004,W609,'Saisie'!$C$5:$C$2004,"&lt;&gt;"&amp;C609)&gt;0),"⚠ Numéro déjà utilisé par un autre prospect",IF(AND(J609&lt;&gt;"",J609&lt;A609),"⚠ Relance avant la date de l'action",IF(A609&gt;TODAY(),"⚠ Date dans le futur","✓"))))))))</f>
        <v/>
      </c>
      <c r="AS609" s="61">
        <f>IF(AND(A609="",C609="",E609=""),"",ROW())</f>
        <v/>
      </c>
      <c r="AT609" s="61">
        <f>IF(E609&amp;F609="","",MAX(IFERROR(INDEX('Paramètres'!$J$6:$J$33,MATCH(E609,'Paramètres'!$I$6:$I$33,0)),0),IFERROR(INDEX('Paramètres'!$N$6:$N$17,MATCH(F609,'Paramètres'!$M$6:$M$17,0)),0)))</f>
        <v/>
      </c>
      <c r="AU609" s="61">
        <f>IF(E609="","",IFERROR(IF(INDEX('Paramètres'!$K$6:$K$33,MATCH(E609,'Paramètres'!$I$6:$I$33,0))="Oui",1,0),0))</f>
        <v/>
      </c>
      <c r="AV609" s="61">
        <f>IF(F609="","",IFERROR(IF(INDEX('Paramètres'!$O$6:$O$17,MATCH(F609,'Paramètres'!$M$6:$M$17,0))="Oui",1,0),0))</f>
        <v/>
      </c>
      <c r="AW609" s="62">
        <f>IF(E609="","",IF(G609&lt;&gt;"",G609,IF(OR(E609="Proposition envoyée",E609="Signature"),MAX(0,N(IFERROR(INDEX('Paramètres'!$R$6:$R$15,MATCH(IF(AL609&lt;&gt;"",AL609,IFERROR(INDEX('Prospects'!$AN$5:$AN$504,MATCH(C609,'Prospects'!$C$5:$C$504,0)),"")),'Paramètres'!$Q$6:$Q$15,0)),0))-N(P609)),0)))</f>
        <v/>
      </c>
      <c r="AX609" s="61">
        <f>IF(C609="","",IF(COUNTIF($C$5:C609,C609)=1,MAX($AX$4:AX608)+1,""))</f>
        <v/>
      </c>
      <c r="AY609" s="61">
        <f>IF(B609="","",HOUR(B609))</f>
        <v/>
      </c>
      <c r="AZ609" s="61">
        <f>IF(A609="","",MOD(A609-2,7)+1)</f>
        <v/>
      </c>
      <c r="BA609" s="60">
        <f>IF(C609="","",IFERROR(INDEX('Prospects'!$N$5:$N$504,MATCH(C609,'Prospects'!$C$5:$C$504,0)),""))</f>
        <v/>
      </c>
      <c r="BB609" s="61">
        <f>IF(AND(C609&lt;&gt;"",C609='Fiche prospect'!$C$4),COUNTIF($C$5:C609,C609),"")</f>
        <v/>
      </c>
    </row>
    <row r="610">
      <c r="A610" s="53" t="n"/>
      <c r="B610" s="54" t="n"/>
      <c r="C610" s="55" t="n"/>
      <c r="D610" s="55" t="n"/>
      <c r="E610" s="55" t="n"/>
      <c r="F610" s="55" t="n"/>
      <c r="G610" s="56" t="n"/>
      <c r="H610" s="57" t="n"/>
      <c r="I610" s="55" t="n"/>
      <c r="J610" s="53" t="n"/>
      <c r="K610" s="54" t="n"/>
      <c r="L610" s="55" t="n"/>
      <c r="M610" s="55" t="n"/>
      <c r="N610" s="57" t="n"/>
      <c r="O610" s="55" t="n"/>
      <c r="P610" s="56" t="n"/>
      <c r="Q610" s="55" t="n"/>
      <c r="R610" s="55" t="n"/>
      <c r="S610" s="55" t="n"/>
      <c r="T610" s="55" t="n"/>
      <c r="U610" s="55" t="n"/>
      <c r="V610" s="55" t="n"/>
      <c r="W610" s="58" t="n"/>
      <c r="X610" s="58" t="n"/>
      <c r="Y610" s="55" t="n"/>
      <c r="Z610" s="55" t="n"/>
      <c r="AA610" s="55" t="n"/>
      <c r="AB610" s="55" t="n"/>
      <c r="AC610" s="55" t="n"/>
      <c r="AD610" s="53" t="n"/>
      <c r="AE610" s="55" t="n"/>
      <c r="AF610" s="55" t="n"/>
      <c r="AG610" s="59" t="n"/>
      <c r="AH610" s="57" t="n"/>
      <c r="AI610" s="55" t="n"/>
      <c r="AJ610" s="55" t="n"/>
      <c r="AK610" s="55" t="n"/>
      <c r="AL610" s="55" t="n"/>
      <c r="AM610" s="56" t="n"/>
      <c r="AN610" s="55" t="n"/>
      <c r="AO610" s="55" t="n"/>
      <c r="AP610" s="55" t="n"/>
      <c r="AQ610" s="55" t="n"/>
      <c r="AR610" s="60">
        <f>IF(AND(C610="",E610=""),"",IF(A610="","⚠ Date manquante",IF(AND(C610="",E610&lt;&gt;"Dépense"),"⚠ Prospect manquant",IF(E610="","⚠ Action manquante",IF(AND(AU610=1,D610=""),"⚠ Canal manquant",IF(AND(W610&lt;&gt;"",COUNTIFS('Saisie'!$W$5:$W$2004,W610,'Saisie'!$C$5:$C$2004,"&lt;&gt;"&amp;C610)&gt;0),"⚠ Numéro déjà utilisé par un autre prospect",IF(AND(J610&lt;&gt;"",J610&lt;A610),"⚠ Relance avant la date de l'action",IF(A610&gt;TODAY(),"⚠ Date dans le futur","✓"))))))))</f>
        <v/>
      </c>
      <c r="AS610" s="61">
        <f>IF(AND(A610="",C610="",E610=""),"",ROW())</f>
        <v/>
      </c>
      <c r="AT610" s="61">
        <f>IF(E610&amp;F610="","",MAX(IFERROR(INDEX('Paramètres'!$J$6:$J$33,MATCH(E610,'Paramètres'!$I$6:$I$33,0)),0),IFERROR(INDEX('Paramètres'!$N$6:$N$17,MATCH(F610,'Paramètres'!$M$6:$M$17,0)),0)))</f>
        <v/>
      </c>
      <c r="AU610" s="61">
        <f>IF(E610="","",IFERROR(IF(INDEX('Paramètres'!$K$6:$K$33,MATCH(E610,'Paramètres'!$I$6:$I$33,0))="Oui",1,0),0))</f>
        <v/>
      </c>
      <c r="AV610" s="61">
        <f>IF(F610="","",IFERROR(IF(INDEX('Paramètres'!$O$6:$O$17,MATCH(F610,'Paramètres'!$M$6:$M$17,0))="Oui",1,0),0))</f>
        <v/>
      </c>
      <c r="AW610" s="62">
        <f>IF(E610="","",IF(G610&lt;&gt;"",G610,IF(OR(E610="Proposition envoyée",E610="Signature"),MAX(0,N(IFERROR(INDEX('Paramètres'!$R$6:$R$15,MATCH(IF(AL610&lt;&gt;"",AL610,IFERROR(INDEX('Prospects'!$AN$5:$AN$504,MATCH(C610,'Prospects'!$C$5:$C$504,0)),"")),'Paramètres'!$Q$6:$Q$15,0)),0))-N(P610)),0)))</f>
        <v/>
      </c>
      <c r="AX610" s="61">
        <f>IF(C610="","",IF(COUNTIF($C$5:C610,C610)=1,MAX($AX$4:AX609)+1,""))</f>
        <v/>
      </c>
      <c r="AY610" s="61">
        <f>IF(B610="","",HOUR(B610))</f>
        <v/>
      </c>
      <c r="AZ610" s="61">
        <f>IF(A610="","",MOD(A610-2,7)+1)</f>
        <v/>
      </c>
      <c r="BA610" s="60">
        <f>IF(C610="","",IFERROR(INDEX('Prospects'!$N$5:$N$504,MATCH(C610,'Prospects'!$C$5:$C$504,0)),""))</f>
        <v/>
      </c>
      <c r="BB610" s="61">
        <f>IF(AND(C610&lt;&gt;"",C610='Fiche prospect'!$C$4),COUNTIF($C$5:C610,C610),"")</f>
        <v/>
      </c>
    </row>
    <row r="611">
      <c r="A611" s="53" t="n"/>
      <c r="B611" s="54" t="n"/>
      <c r="C611" s="55" t="n"/>
      <c r="D611" s="55" t="n"/>
      <c r="E611" s="55" t="n"/>
      <c r="F611" s="55" t="n"/>
      <c r="G611" s="56" t="n"/>
      <c r="H611" s="57" t="n"/>
      <c r="I611" s="55" t="n"/>
      <c r="J611" s="53" t="n"/>
      <c r="K611" s="54" t="n"/>
      <c r="L611" s="55" t="n"/>
      <c r="M611" s="55" t="n"/>
      <c r="N611" s="57" t="n"/>
      <c r="O611" s="55" t="n"/>
      <c r="P611" s="56" t="n"/>
      <c r="Q611" s="55" t="n"/>
      <c r="R611" s="55" t="n"/>
      <c r="S611" s="55" t="n"/>
      <c r="T611" s="55" t="n"/>
      <c r="U611" s="55" t="n"/>
      <c r="V611" s="55" t="n"/>
      <c r="W611" s="58" t="n"/>
      <c r="X611" s="58" t="n"/>
      <c r="Y611" s="55" t="n"/>
      <c r="Z611" s="55" t="n"/>
      <c r="AA611" s="55" t="n"/>
      <c r="AB611" s="55" t="n"/>
      <c r="AC611" s="55" t="n"/>
      <c r="AD611" s="53" t="n"/>
      <c r="AE611" s="55" t="n"/>
      <c r="AF611" s="55" t="n"/>
      <c r="AG611" s="59" t="n"/>
      <c r="AH611" s="57" t="n"/>
      <c r="AI611" s="55" t="n"/>
      <c r="AJ611" s="55" t="n"/>
      <c r="AK611" s="55" t="n"/>
      <c r="AL611" s="55" t="n"/>
      <c r="AM611" s="56" t="n"/>
      <c r="AN611" s="55" t="n"/>
      <c r="AO611" s="55" t="n"/>
      <c r="AP611" s="55" t="n"/>
      <c r="AQ611" s="55" t="n"/>
      <c r="AR611" s="60">
        <f>IF(AND(C611="",E611=""),"",IF(A611="","⚠ Date manquante",IF(AND(C611="",E611&lt;&gt;"Dépense"),"⚠ Prospect manquant",IF(E611="","⚠ Action manquante",IF(AND(AU611=1,D611=""),"⚠ Canal manquant",IF(AND(W611&lt;&gt;"",COUNTIFS('Saisie'!$W$5:$W$2004,W611,'Saisie'!$C$5:$C$2004,"&lt;&gt;"&amp;C611)&gt;0),"⚠ Numéro déjà utilisé par un autre prospect",IF(AND(J611&lt;&gt;"",J611&lt;A611),"⚠ Relance avant la date de l'action",IF(A611&gt;TODAY(),"⚠ Date dans le futur","✓"))))))))</f>
        <v/>
      </c>
      <c r="AS611" s="61">
        <f>IF(AND(A611="",C611="",E611=""),"",ROW())</f>
        <v/>
      </c>
      <c r="AT611" s="61">
        <f>IF(E611&amp;F611="","",MAX(IFERROR(INDEX('Paramètres'!$J$6:$J$33,MATCH(E611,'Paramètres'!$I$6:$I$33,0)),0),IFERROR(INDEX('Paramètres'!$N$6:$N$17,MATCH(F611,'Paramètres'!$M$6:$M$17,0)),0)))</f>
        <v/>
      </c>
      <c r="AU611" s="61">
        <f>IF(E611="","",IFERROR(IF(INDEX('Paramètres'!$K$6:$K$33,MATCH(E611,'Paramètres'!$I$6:$I$33,0))="Oui",1,0),0))</f>
        <v/>
      </c>
      <c r="AV611" s="61">
        <f>IF(F611="","",IFERROR(IF(INDEX('Paramètres'!$O$6:$O$17,MATCH(F611,'Paramètres'!$M$6:$M$17,0))="Oui",1,0),0))</f>
        <v/>
      </c>
      <c r="AW611" s="62">
        <f>IF(E611="","",IF(G611&lt;&gt;"",G611,IF(OR(E611="Proposition envoyée",E611="Signature"),MAX(0,N(IFERROR(INDEX('Paramètres'!$R$6:$R$15,MATCH(IF(AL611&lt;&gt;"",AL611,IFERROR(INDEX('Prospects'!$AN$5:$AN$504,MATCH(C611,'Prospects'!$C$5:$C$504,0)),"")),'Paramètres'!$Q$6:$Q$15,0)),0))-N(P611)),0)))</f>
        <v/>
      </c>
      <c r="AX611" s="61">
        <f>IF(C611="","",IF(COUNTIF($C$5:C611,C611)=1,MAX($AX$4:AX610)+1,""))</f>
        <v/>
      </c>
      <c r="AY611" s="61">
        <f>IF(B611="","",HOUR(B611))</f>
        <v/>
      </c>
      <c r="AZ611" s="61">
        <f>IF(A611="","",MOD(A611-2,7)+1)</f>
        <v/>
      </c>
      <c r="BA611" s="60">
        <f>IF(C611="","",IFERROR(INDEX('Prospects'!$N$5:$N$504,MATCH(C611,'Prospects'!$C$5:$C$504,0)),""))</f>
        <v/>
      </c>
      <c r="BB611" s="61">
        <f>IF(AND(C611&lt;&gt;"",C611='Fiche prospect'!$C$4),COUNTIF($C$5:C611,C611),"")</f>
        <v/>
      </c>
    </row>
    <row r="612">
      <c r="A612" s="53" t="n"/>
      <c r="B612" s="54" t="n"/>
      <c r="C612" s="55" t="n"/>
      <c r="D612" s="55" t="n"/>
      <c r="E612" s="55" t="n"/>
      <c r="F612" s="55" t="n"/>
      <c r="G612" s="56" t="n"/>
      <c r="H612" s="57" t="n"/>
      <c r="I612" s="55" t="n"/>
      <c r="J612" s="53" t="n"/>
      <c r="K612" s="54" t="n"/>
      <c r="L612" s="55" t="n"/>
      <c r="M612" s="55" t="n"/>
      <c r="N612" s="57" t="n"/>
      <c r="O612" s="55" t="n"/>
      <c r="P612" s="56" t="n"/>
      <c r="Q612" s="55" t="n"/>
      <c r="R612" s="55" t="n"/>
      <c r="S612" s="55" t="n"/>
      <c r="T612" s="55" t="n"/>
      <c r="U612" s="55" t="n"/>
      <c r="V612" s="55" t="n"/>
      <c r="W612" s="58" t="n"/>
      <c r="X612" s="58" t="n"/>
      <c r="Y612" s="55" t="n"/>
      <c r="Z612" s="55" t="n"/>
      <c r="AA612" s="55" t="n"/>
      <c r="AB612" s="55" t="n"/>
      <c r="AC612" s="55" t="n"/>
      <c r="AD612" s="53" t="n"/>
      <c r="AE612" s="55" t="n"/>
      <c r="AF612" s="55" t="n"/>
      <c r="AG612" s="59" t="n"/>
      <c r="AH612" s="57" t="n"/>
      <c r="AI612" s="55" t="n"/>
      <c r="AJ612" s="55" t="n"/>
      <c r="AK612" s="55" t="n"/>
      <c r="AL612" s="55" t="n"/>
      <c r="AM612" s="56" t="n"/>
      <c r="AN612" s="55" t="n"/>
      <c r="AO612" s="55" t="n"/>
      <c r="AP612" s="55" t="n"/>
      <c r="AQ612" s="55" t="n"/>
      <c r="AR612" s="60">
        <f>IF(AND(C612="",E612=""),"",IF(A612="","⚠ Date manquante",IF(AND(C612="",E612&lt;&gt;"Dépense"),"⚠ Prospect manquant",IF(E612="","⚠ Action manquante",IF(AND(AU612=1,D612=""),"⚠ Canal manquant",IF(AND(W612&lt;&gt;"",COUNTIFS('Saisie'!$W$5:$W$2004,W612,'Saisie'!$C$5:$C$2004,"&lt;&gt;"&amp;C612)&gt;0),"⚠ Numéro déjà utilisé par un autre prospect",IF(AND(J612&lt;&gt;"",J612&lt;A612),"⚠ Relance avant la date de l'action",IF(A612&gt;TODAY(),"⚠ Date dans le futur","✓"))))))))</f>
        <v/>
      </c>
      <c r="AS612" s="61">
        <f>IF(AND(A612="",C612="",E612=""),"",ROW())</f>
        <v/>
      </c>
      <c r="AT612" s="61">
        <f>IF(E612&amp;F612="","",MAX(IFERROR(INDEX('Paramètres'!$J$6:$J$33,MATCH(E612,'Paramètres'!$I$6:$I$33,0)),0),IFERROR(INDEX('Paramètres'!$N$6:$N$17,MATCH(F612,'Paramètres'!$M$6:$M$17,0)),0)))</f>
        <v/>
      </c>
      <c r="AU612" s="61">
        <f>IF(E612="","",IFERROR(IF(INDEX('Paramètres'!$K$6:$K$33,MATCH(E612,'Paramètres'!$I$6:$I$33,0))="Oui",1,0),0))</f>
        <v/>
      </c>
      <c r="AV612" s="61">
        <f>IF(F612="","",IFERROR(IF(INDEX('Paramètres'!$O$6:$O$17,MATCH(F612,'Paramètres'!$M$6:$M$17,0))="Oui",1,0),0))</f>
        <v/>
      </c>
      <c r="AW612" s="62">
        <f>IF(E612="","",IF(G612&lt;&gt;"",G612,IF(OR(E612="Proposition envoyée",E612="Signature"),MAX(0,N(IFERROR(INDEX('Paramètres'!$R$6:$R$15,MATCH(IF(AL612&lt;&gt;"",AL612,IFERROR(INDEX('Prospects'!$AN$5:$AN$504,MATCH(C612,'Prospects'!$C$5:$C$504,0)),"")),'Paramètres'!$Q$6:$Q$15,0)),0))-N(P612)),0)))</f>
        <v/>
      </c>
      <c r="AX612" s="61">
        <f>IF(C612="","",IF(COUNTIF($C$5:C612,C612)=1,MAX($AX$4:AX611)+1,""))</f>
        <v/>
      </c>
      <c r="AY612" s="61">
        <f>IF(B612="","",HOUR(B612))</f>
        <v/>
      </c>
      <c r="AZ612" s="61">
        <f>IF(A612="","",MOD(A612-2,7)+1)</f>
        <v/>
      </c>
      <c r="BA612" s="60">
        <f>IF(C612="","",IFERROR(INDEX('Prospects'!$N$5:$N$504,MATCH(C612,'Prospects'!$C$5:$C$504,0)),""))</f>
        <v/>
      </c>
      <c r="BB612" s="61">
        <f>IF(AND(C612&lt;&gt;"",C612='Fiche prospect'!$C$4),COUNTIF($C$5:C612,C612),"")</f>
        <v/>
      </c>
    </row>
    <row r="613">
      <c r="A613" s="53" t="n"/>
      <c r="B613" s="54" t="n"/>
      <c r="C613" s="55" t="n"/>
      <c r="D613" s="55" t="n"/>
      <c r="E613" s="55" t="n"/>
      <c r="F613" s="55" t="n"/>
      <c r="G613" s="56" t="n"/>
      <c r="H613" s="57" t="n"/>
      <c r="I613" s="55" t="n"/>
      <c r="J613" s="53" t="n"/>
      <c r="K613" s="54" t="n"/>
      <c r="L613" s="55" t="n"/>
      <c r="M613" s="55" t="n"/>
      <c r="N613" s="57" t="n"/>
      <c r="O613" s="55" t="n"/>
      <c r="P613" s="56" t="n"/>
      <c r="Q613" s="55" t="n"/>
      <c r="R613" s="55" t="n"/>
      <c r="S613" s="55" t="n"/>
      <c r="T613" s="55" t="n"/>
      <c r="U613" s="55" t="n"/>
      <c r="V613" s="55" t="n"/>
      <c r="W613" s="58" t="n"/>
      <c r="X613" s="58" t="n"/>
      <c r="Y613" s="55" t="n"/>
      <c r="Z613" s="55" t="n"/>
      <c r="AA613" s="55" t="n"/>
      <c r="AB613" s="55" t="n"/>
      <c r="AC613" s="55" t="n"/>
      <c r="AD613" s="53" t="n"/>
      <c r="AE613" s="55" t="n"/>
      <c r="AF613" s="55" t="n"/>
      <c r="AG613" s="59" t="n"/>
      <c r="AH613" s="57" t="n"/>
      <c r="AI613" s="55" t="n"/>
      <c r="AJ613" s="55" t="n"/>
      <c r="AK613" s="55" t="n"/>
      <c r="AL613" s="55" t="n"/>
      <c r="AM613" s="56" t="n"/>
      <c r="AN613" s="55" t="n"/>
      <c r="AO613" s="55" t="n"/>
      <c r="AP613" s="55" t="n"/>
      <c r="AQ613" s="55" t="n"/>
      <c r="AR613" s="60">
        <f>IF(AND(C613="",E613=""),"",IF(A613="","⚠ Date manquante",IF(AND(C613="",E613&lt;&gt;"Dépense"),"⚠ Prospect manquant",IF(E613="","⚠ Action manquante",IF(AND(AU613=1,D613=""),"⚠ Canal manquant",IF(AND(W613&lt;&gt;"",COUNTIFS('Saisie'!$W$5:$W$2004,W613,'Saisie'!$C$5:$C$2004,"&lt;&gt;"&amp;C613)&gt;0),"⚠ Numéro déjà utilisé par un autre prospect",IF(AND(J613&lt;&gt;"",J613&lt;A613),"⚠ Relance avant la date de l'action",IF(A613&gt;TODAY(),"⚠ Date dans le futur","✓"))))))))</f>
        <v/>
      </c>
      <c r="AS613" s="61">
        <f>IF(AND(A613="",C613="",E613=""),"",ROW())</f>
        <v/>
      </c>
      <c r="AT613" s="61">
        <f>IF(E613&amp;F613="","",MAX(IFERROR(INDEX('Paramètres'!$J$6:$J$33,MATCH(E613,'Paramètres'!$I$6:$I$33,0)),0),IFERROR(INDEX('Paramètres'!$N$6:$N$17,MATCH(F613,'Paramètres'!$M$6:$M$17,0)),0)))</f>
        <v/>
      </c>
      <c r="AU613" s="61">
        <f>IF(E613="","",IFERROR(IF(INDEX('Paramètres'!$K$6:$K$33,MATCH(E613,'Paramètres'!$I$6:$I$33,0))="Oui",1,0),0))</f>
        <v/>
      </c>
      <c r="AV613" s="61">
        <f>IF(F613="","",IFERROR(IF(INDEX('Paramètres'!$O$6:$O$17,MATCH(F613,'Paramètres'!$M$6:$M$17,0))="Oui",1,0),0))</f>
        <v/>
      </c>
      <c r="AW613" s="62">
        <f>IF(E613="","",IF(G613&lt;&gt;"",G613,IF(OR(E613="Proposition envoyée",E613="Signature"),MAX(0,N(IFERROR(INDEX('Paramètres'!$R$6:$R$15,MATCH(IF(AL613&lt;&gt;"",AL613,IFERROR(INDEX('Prospects'!$AN$5:$AN$504,MATCH(C613,'Prospects'!$C$5:$C$504,0)),"")),'Paramètres'!$Q$6:$Q$15,0)),0))-N(P613)),0)))</f>
        <v/>
      </c>
      <c r="AX613" s="61">
        <f>IF(C613="","",IF(COUNTIF($C$5:C613,C613)=1,MAX($AX$4:AX612)+1,""))</f>
        <v/>
      </c>
      <c r="AY613" s="61">
        <f>IF(B613="","",HOUR(B613))</f>
        <v/>
      </c>
      <c r="AZ613" s="61">
        <f>IF(A613="","",MOD(A613-2,7)+1)</f>
        <v/>
      </c>
      <c r="BA613" s="60">
        <f>IF(C613="","",IFERROR(INDEX('Prospects'!$N$5:$N$504,MATCH(C613,'Prospects'!$C$5:$C$504,0)),""))</f>
        <v/>
      </c>
      <c r="BB613" s="61">
        <f>IF(AND(C613&lt;&gt;"",C613='Fiche prospect'!$C$4),COUNTIF($C$5:C613,C613),"")</f>
        <v/>
      </c>
    </row>
    <row r="614">
      <c r="A614" s="53" t="n"/>
      <c r="B614" s="54" t="n"/>
      <c r="C614" s="55" t="n"/>
      <c r="D614" s="55" t="n"/>
      <c r="E614" s="55" t="n"/>
      <c r="F614" s="55" t="n"/>
      <c r="G614" s="56" t="n"/>
      <c r="H614" s="57" t="n"/>
      <c r="I614" s="55" t="n"/>
      <c r="J614" s="53" t="n"/>
      <c r="K614" s="54" t="n"/>
      <c r="L614" s="55" t="n"/>
      <c r="M614" s="55" t="n"/>
      <c r="N614" s="57" t="n"/>
      <c r="O614" s="55" t="n"/>
      <c r="P614" s="56" t="n"/>
      <c r="Q614" s="55" t="n"/>
      <c r="R614" s="55" t="n"/>
      <c r="S614" s="55" t="n"/>
      <c r="T614" s="55" t="n"/>
      <c r="U614" s="55" t="n"/>
      <c r="V614" s="55" t="n"/>
      <c r="W614" s="58" t="n"/>
      <c r="X614" s="58" t="n"/>
      <c r="Y614" s="55" t="n"/>
      <c r="Z614" s="55" t="n"/>
      <c r="AA614" s="55" t="n"/>
      <c r="AB614" s="55" t="n"/>
      <c r="AC614" s="55" t="n"/>
      <c r="AD614" s="53" t="n"/>
      <c r="AE614" s="55" t="n"/>
      <c r="AF614" s="55" t="n"/>
      <c r="AG614" s="59" t="n"/>
      <c r="AH614" s="57" t="n"/>
      <c r="AI614" s="55" t="n"/>
      <c r="AJ614" s="55" t="n"/>
      <c r="AK614" s="55" t="n"/>
      <c r="AL614" s="55" t="n"/>
      <c r="AM614" s="56" t="n"/>
      <c r="AN614" s="55" t="n"/>
      <c r="AO614" s="55" t="n"/>
      <c r="AP614" s="55" t="n"/>
      <c r="AQ614" s="55" t="n"/>
      <c r="AR614" s="60">
        <f>IF(AND(C614="",E614=""),"",IF(A614="","⚠ Date manquante",IF(AND(C614="",E614&lt;&gt;"Dépense"),"⚠ Prospect manquant",IF(E614="","⚠ Action manquante",IF(AND(AU614=1,D614=""),"⚠ Canal manquant",IF(AND(W614&lt;&gt;"",COUNTIFS('Saisie'!$W$5:$W$2004,W614,'Saisie'!$C$5:$C$2004,"&lt;&gt;"&amp;C614)&gt;0),"⚠ Numéro déjà utilisé par un autre prospect",IF(AND(J614&lt;&gt;"",J614&lt;A614),"⚠ Relance avant la date de l'action",IF(A614&gt;TODAY(),"⚠ Date dans le futur","✓"))))))))</f>
        <v/>
      </c>
      <c r="AS614" s="61">
        <f>IF(AND(A614="",C614="",E614=""),"",ROW())</f>
        <v/>
      </c>
      <c r="AT614" s="61">
        <f>IF(E614&amp;F614="","",MAX(IFERROR(INDEX('Paramètres'!$J$6:$J$33,MATCH(E614,'Paramètres'!$I$6:$I$33,0)),0),IFERROR(INDEX('Paramètres'!$N$6:$N$17,MATCH(F614,'Paramètres'!$M$6:$M$17,0)),0)))</f>
        <v/>
      </c>
      <c r="AU614" s="61">
        <f>IF(E614="","",IFERROR(IF(INDEX('Paramètres'!$K$6:$K$33,MATCH(E614,'Paramètres'!$I$6:$I$33,0))="Oui",1,0),0))</f>
        <v/>
      </c>
      <c r="AV614" s="61">
        <f>IF(F614="","",IFERROR(IF(INDEX('Paramètres'!$O$6:$O$17,MATCH(F614,'Paramètres'!$M$6:$M$17,0))="Oui",1,0),0))</f>
        <v/>
      </c>
      <c r="AW614" s="62">
        <f>IF(E614="","",IF(G614&lt;&gt;"",G614,IF(OR(E614="Proposition envoyée",E614="Signature"),MAX(0,N(IFERROR(INDEX('Paramètres'!$R$6:$R$15,MATCH(IF(AL614&lt;&gt;"",AL614,IFERROR(INDEX('Prospects'!$AN$5:$AN$504,MATCH(C614,'Prospects'!$C$5:$C$504,0)),"")),'Paramètres'!$Q$6:$Q$15,0)),0))-N(P614)),0)))</f>
        <v/>
      </c>
      <c r="AX614" s="61">
        <f>IF(C614="","",IF(COUNTIF($C$5:C614,C614)=1,MAX($AX$4:AX613)+1,""))</f>
        <v/>
      </c>
      <c r="AY614" s="61">
        <f>IF(B614="","",HOUR(B614))</f>
        <v/>
      </c>
      <c r="AZ614" s="61">
        <f>IF(A614="","",MOD(A614-2,7)+1)</f>
        <v/>
      </c>
      <c r="BA614" s="60">
        <f>IF(C614="","",IFERROR(INDEX('Prospects'!$N$5:$N$504,MATCH(C614,'Prospects'!$C$5:$C$504,0)),""))</f>
        <v/>
      </c>
      <c r="BB614" s="61">
        <f>IF(AND(C614&lt;&gt;"",C614='Fiche prospect'!$C$4),COUNTIF($C$5:C614,C614),"")</f>
        <v/>
      </c>
    </row>
    <row r="615">
      <c r="A615" s="53" t="n"/>
      <c r="B615" s="54" t="n"/>
      <c r="C615" s="55" t="n"/>
      <c r="D615" s="55" t="n"/>
      <c r="E615" s="55" t="n"/>
      <c r="F615" s="55" t="n"/>
      <c r="G615" s="56" t="n"/>
      <c r="H615" s="57" t="n"/>
      <c r="I615" s="55" t="n"/>
      <c r="J615" s="53" t="n"/>
      <c r="K615" s="54" t="n"/>
      <c r="L615" s="55" t="n"/>
      <c r="M615" s="55" t="n"/>
      <c r="N615" s="57" t="n"/>
      <c r="O615" s="55" t="n"/>
      <c r="P615" s="56" t="n"/>
      <c r="Q615" s="55" t="n"/>
      <c r="R615" s="55" t="n"/>
      <c r="S615" s="55" t="n"/>
      <c r="T615" s="55" t="n"/>
      <c r="U615" s="55" t="n"/>
      <c r="V615" s="55" t="n"/>
      <c r="W615" s="58" t="n"/>
      <c r="X615" s="58" t="n"/>
      <c r="Y615" s="55" t="n"/>
      <c r="Z615" s="55" t="n"/>
      <c r="AA615" s="55" t="n"/>
      <c r="AB615" s="55" t="n"/>
      <c r="AC615" s="55" t="n"/>
      <c r="AD615" s="53" t="n"/>
      <c r="AE615" s="55" t="n"/>
      <c r="AF615" s="55" t="n"/>
      <c r="AG615" s="59" t="n"/>
      <c r="AH615" s="57" t="n"/>
      <c r="AI615" s="55" t="n"/>
      <c r="AJ615" s="55" t="n"/>
      <c r="AK615" s="55" t="n"/>
      <c r="AL615" s="55" t="n"/>
      <c r="AM615" s="56" t="n"/>
      <c r="AN615" s="55" t="n"/>
      <c r="AO615" s="55" t="n"/>
      <c r="AP615" s="55" t="n"/>
      <c r="AQ615" s="55" t="n"/>
      <c r="AR615" s="60">
        <f>IF(AND(C615="",E615=""),"",IF(A615="","⚠ Date manquante",IF(AND(C615="",E615&lt;&gt;"Dépense"),"⚠ Prospect manquant",IF(E615="","⚠ Action manquante",IF(AND(AU615=1,D615=""),"⚠ Canal manquant",IF(AND(W615&lt;&gt;"",COUNTIFS('Saisie'!$W$5:$W$2004,W615,'Saisie'!$C$5:$C$2004,"&lt;&gt;"&amp;C615)&gt;0),"⚠ Numéro déjà utilisé par un autre prospect",IF(AND(J615&lt;&gt;"",J615&lt;A615),"⚠ Relance avant la date de l'action",IF(A615&gt;TODAY(),"⚠ Date dans le futur","✓"))))))))</f>
        <v/>
      </c>
      <c r="AS615" s="61">
        <f>IF(AND(A615="",C615="",E615=""),"",ROW())</f>
        <v/>
      </c>
      <c r="AT615" s="61">
        <f>IF(E615&amp;F615="","",MAX(IFERROR(INDEX('Paramètres'!$J$6:$J$33,MATCH(E615,'Paramètres'!$I$6:$I$33,0)),0),IFERROR(INDEX('Paramètres'!$N$6:$N$17,MATCH(F615,'Paramètres'!$M$6:$M$17,0)),0)))</f>
        <v/>
      </c>
      <c r="AU615" s="61">
        <f>IF(E615="","",IFERROR(IF(INDEX('Paramètres'!$K$6:$K$33,MATCH(E615,'Paramètres'!$I$6:$I$33,0))="Oui",1,0),0))</f>
        <v/>
      </c>
      <c r="AV615" s="61">
        <f>IF(F615="","",IFERROR(IF(INDEX('Paramètres'!$O$6:$O$17,MATCH(F615,'Paramètres'!$M$6:$M$17,0))="Oui",1,0),0))</f>
        <v/>
      </c>
      <c r="AW615" s="62">
        <f>IF(E615="","",IF(G615&lt;&gt;"",G615,IF(OR(E615="Proposition envoyée",E615="Signature"),MAX(0,N(IFERROR(INDEX('Paramètres'!$R$6:$R$15,MATCH(IF(AL615&lt;&gt;"",AL615,IFERROR(INDEX('Prospects'!$AN$5:$AN$504,MATCH(C615,'Prospects'!$C$5:$C$504,0)),"")),'Paramètres'!$Q$6:$Q$15,0)),0))-N(P615)),0)))</f>
        <v/>
      </c>
      <c r="AX615" s="61">
        <f>IF(C615="","",IF(COUNTIF($C$5:C615,C615)=1,MAX($AX$4:AX614)+1,""))</f>
        <v/>
      </c>
      <c r="AY615" s="61">
        <f>IF(B615="","",HOUR(B615))</f>
        <v/>
      </c>
      <c r="AZ615" s="61">
        <f>IF(A615="","",MOD(A615-2,7)+1)</f>
        <v/>
      </c>
      <c r="BA615" s="60">
        <f>IF(C615="","",IFERROR(INDEX('Prospects'!$N$5:$N$504,MATCH(C615,'Prospects'!$C$5:$C$504,0)),""))</f>
        <v/>
      </c>
      <c r="BB615" s="61">
        <f>IF(AND(C615&lt;&gt;"",C615='Fiche prospect'!$C$4),COUNTIF($C$5:C615,C615),"")</f>
        <v/>
      </c>
    </row>
    <row r="616">
      <c r="A616" s="53" t="n"/>
      <c r="B616" s="54" t="n"/>
      <c r="C616" s="55" t="n"/>
      <c r="D616" s="55" t="n"/>
      <c r="E616" s="55" t="n"/>
      <c r="F616" s="55" t="n"/>
      <c r="G616" s="56" t="n"/>
      <c r="H616" s="57" t="n"/>
      <c r="I616" s="55" t="n"/>
      <c r="J616" s="53" t="n"/>
      <c r="K616" s="54" t="n"/>
      <c r="L616" s="55" t="n"/>
      <c r="M616" s="55" t="n"/>
      <c r="N616" s="57" t="n"/>
      <c r="O616" s="55" t="n"/>
      <c r="P616" s="56" t="n"/>
      <c r="Q616" s="55" t="n"/>
      <c r="R616" s="55" t="n"/>
      <c r="S616" s="55" t="n"/>
      <c r="T616" s="55" t="n"/>
      <c r="U616" s="55" t="n"/>
      <c r="V616" s="55" t="n"/>
      <c r="W616" s="58" t="n"/>
      <c r="X616" s="58" t="n"/>
      <c r="Y616" s="55" t="n"/>
      <c r="Z616" s="55" t="n"/>
      <c r="AA616" s="55" t="n"/>
      <c r="AB616" s="55" t="n"/>
      <c r="AC616" s="55" t="n"/>
      <c r="AD616" s="53" t="n"/>
      <c r="AE616" s="55" t="n"/>
      <c r="AF616" s="55" t="n"/>
      <c r="AG616" s="59" t="n"/>
      <c r="AH616" s="57" t="n"/>
      <c r="AI616" s="55" t="n"/>
      <c r="AJ616" s="55" t="n"/>
      <c r="AK616" s="55" t="n"/>
      <c r="AL616" s="55" t="n"/>
      <c r="AM616" s="56" t="n"/>
      <c r="AN616" s="55" t="n"/>
      <c r="AO616" s="55" t="n"/>
      <c r="AP616" s="55" t="n"/>
      <c r="AQ616" s="55" t="n"/>
      <c r="AR616" s="60">
        <f>IF(AND(C616="",E616=""),"",IF(A616="","⚠ Date manquante",IF(AND(C616="",E616&lt;&gt;"Dépense"),"⚠ Prospect manquant",IF(E616="","⚠ Action manquante",IF(AND(AU616=1,D616=""),"⚠ Canal manquant",IF(AND(W616&lt;&gt;"",COUNTIFS('Saisie'!$W$5:$W$2004,W616,'Saisie'!$C$5:$C$2004,"&lt;&gt;"&amp;C616)&gt;0),"⚠ Numéro déjà utilisé par un autre prospect",IF(AND(J616&lt;&gt;"",J616&lt;A616),"⚠ Relance avant la date de l'action",IF(A616&gt;TODAY(),"⚠ Date dans le futur","✓"))))))))</f>
        <v/>
      </c>
      <c r="AS616" s="61">
        <f>IF(AND(A616="",C616="",E616=""),"",ROW())</f>
        <v/>
      </c>
      <c r="AT616" s="61">
        <f>IF(E616&amp;F616="","",MAX(IFERROR(INDEX('Paramètres'!$J$6:$J$33,MATCH(E616,'Paramètres'!$I$6:$I$33,0)),0),IFERROR(INDEX('Paramètres'!$N$6:$N$17,MATCH(F616,'Paramètres'!$M$6:$M$17,0)),0)))</f>
        <v/>
      </c>
      <c r="AU616" s="61">
        <f>IF(E616="","",IFERROR(IF(INDEX('Paramètres'!$K$6:$K$33,MATCH(E616,'Paramètres'!$I$6:$I$33,0))="Oui",1,0),0))</f>
        <v/>
      </c>
      <c r="AV616" s="61">
        <f>IF(F616="","",IFERROR(IF(INDEX('Paramètres'!$O$6:$O$17,MATCH(F616,'Paramètres'!$M$6:$M$17,0))="Oui",1,0),0))</f>
        <v/>
      </c>
      <c r="AW616" s="62">
        <f>IF(E616="","",IF(G616&lt;&gt;"",G616,IF(OR(E616="Proposition envoyée",E616="Signature"),MAX(0,N(IFERROR(INDEX('Paramètres'!$R$6:$R$15,MATCH(IF(AL616&lt;&gt;"",AL616,IFERROR(INDEX('Prospects'!$AN$5:$AN$504,MATCH(C616,'Prospects'!$C$5:$C$504,0)),"")),'Paramètres'!$Q$6:$Q$15,0)),0))-N(P616)),0)))</f>
        <v/>
      </c>
      <c r="AX616" s="61">
        <f>IF(C616="","",IF(COUNTIF($C$5:C616,C616)=1,MAX($AX$4:AX615)+1,""))</f>
        <v/>
      </c>
      <c r="AY616" s="61">
        <f>IF(B616="","",HOUR(B616))</f>
        <v/>
      </c>
      <c r="AZ616" s="61">
        <f>IF(A616="","",MOD(A616-2,7)+1)</f>
        <v/>
      </c>
      <c r="BA616" s="60">
        <f>IF(C616="","",IFERROR(INDEX('Prospects'!$N$5:$N$504,MATCH(C616,'Prospects'!$C$5:$C$504,0)),""))</f>
        <v/>
      </c>
      <c r="BB616" s="61">
        <f>IF(AND(C616&lt;&gt;"",C616='Fiche prospect'!$C$4),COUNTIF($C$5:C616,C616),"")</f>
        <v/>
      </c>
    </row>
    <row r="617">
      <c r="A617" s="53" t="n"/>
      <c r="B617" s="54" t="n"/>
      <c r="C617" s="55" t="n"/>
      <c r="D617" s="55" t="n"/>
      <c r="E617" s="55" t="n"/>
      <c r="F617" s="55" t="n"/>
      <c r="G617" s="56" t="n"/>
      <c r="H617" s="57" t="n"/>
      <c r="I617" s="55" t="n"/>
      <c r="J617" s="53" t="n"/>
      <c r="K617" s="54" t="n"/>
      <c r="L617" s="55" t="n"/>
      <c r="M617" s="55" t="n"/>
      <c r="N617" s="57" t="n"/>
      <c r="O617" s="55" t="n"/>
      <c r="P617" s="56" t="n"/>
      <c r="Q617" s="55" t="n"/>
      <c r="R617" s="55" t="n"/>
      <c r="S617" s="55" t="n"/>
      <c r="T617" s="55" t="n"/>
      <c r="U617" s="55" t="n"/>
      <c r="V617" s="55" t="n"/>
      <c r="W617" s="58" t="n"/>
      <c r="X617" s="58" t="n"/>
      <c r="Y617" s="55" t="n"/>
      <c r="Z617" s="55" t="n"/>
      <c r="AA617" s="55" t="n"/>
      <c r="AB617" s="55" t="n"/>
      <c r="AC617" s="55" t="n"/>
      <c r="AD617" s="53" t="n"/>
      <c r="AE617" s="55" t="n"/>
      <c r="AF617" s="55" t="n"/>
      <c r="AG617" s="59" t="n"/>
      <c r="AH617" s="57" t="n"/>
      <c r="AI617" s="55" t="n"/>
      <c r="AJ617" s="55" t="n"/>
      <c r="AK617" s="55" t="n"/>
      <c r="AL617" s="55" t="n"/>
      <c r="AM617" s="56" t="n"/>
      <c r="AN617" s="55" t="n"/>
      <c r="AO617" s="55" t="n"/>
      <c r="AP617" s="55" t="n"/>
      <c r="AQ617" s="55" t="n"/>
      <c r="AR617" s="60">
        <f>IF(AND(C617="",E617=""),"",IF(A617="","⚠ Date manquante",IF(AND(C617="",E617&lt;&gt;"Dépense"),"⚠ Prospect manquant",IF(E617="","⚠ Action manquante",IF(AND(AU617=1,D617=""),"⚠ Canal manquant",IF(AND(W617&lt;&gt;"",COUNTIFS('Saisie'!$W$5:$W$2004,W617,'Saisie'!$C$5:$C$2004,"&lt;&gt;"&amp;C617)&gt;0),"⚠ Numéro déjà utilisé par un autre prospect",IF(AND(J617&lt;&gt;"",J617&lt;A617),"⚠ Relance avant la date de l'action",IF(A617&gt;TODAY(),"⚠ Date dans le futur","✓"))))))))</f>
        <v/>
      </c>
      <c r="AS617" s="61">
        <f>IF(AND(A617="",C617="",E617=""),"",ROW())</f>
        <v/>
      </c>
      <c r="AT617" s="61">
        <f>IF(E617&amp;F617="","",MAX(IFERROR(INDEX('Paramètres'!$J$6:$J$33,MATCH(E617,'Paramètres'!$I$6:$I$33,0)),0),IFERROR(INDEX('Paramètres'!$N$6:$N$17,MATCH(F617,'Paramètres'!$M$6:$M$17,0)),0)))</f>
        <v/>
      </c>
      <c r="AU617" s="61">
        <f>IF(E617="","",IFERROR(IF(INDEX('Paramètres'!$K$6:$K$33,MATCH(E617,'Paramètres'!$I$6:$I$33,0))="Oui",1,0),0))</f>
        <v/>
      </c>
      <c r="AV617" s="61">
        <f>IF(F617="","",IFERROR(IF(INDEX('Paramètres'!$O$6:$O$17,MATCH(F617,'Paramètres'!$M$6:$M$17,0))="Oui",1,0),0))</f>
        <v/>
      </c>
      <c r="AW617" s="62">
        <f>IF(E617="","",IF(G617&lt;&gt;"",G617,IF(OR(E617="Proposition envoyée",E617="Signature"),MAX(0,N(IFERROR(INDEX('Paramètres'!$R$6:$R$15,MATCH(IF(AL617&lt;&gt;"",AL617,IFERROR(INDEX('Prospects'!$AN$5:$AN$504,MATCH(C617,'Prospects'!$C$5:$C$504,0)),"")),'Paramètres'!$Q$6:$Q$15,0)),0))-N(P617)),0)))</f>
        <v/>
      </c>
      <c r="AX617" s="61">
        <f>IF(C617="","",IF(COUNTIF($C$5:C617,C617)=1,MAX($AX$4:AX616)+1,""))</f>
        <v/>
      </c>
      <c r="AY617" s="61">
        <f>IF(B617="","",HOUR(B617))</f>
        <v/>
      </c>
      <c r="AZ617" s="61">
        <f>IF(A617="","",MOD(A617-2,7)+1)</f>
        <v/>
      </c>
      <c r="BA617" s="60">
        <f>IF(C617="","",IFERROR(INDEX('Prospects'!$N$5:$N$504,MATCH(C617,'Prospects'!$C$5:$C$504,0)),""))</f>
        <v/>
      </c>
      <c r="BB617" s="61">
        <f>IF(AND(C617&lt;&gt;"",C617='Fiche prospect'!$C$4),COUNTIF($C$5:C617,C617),"")</f>
        <v/>
      </c>
    </row>
    <row r="618">
      <c r="A618" s="53" t="n"/>
      <c r="B618" s="54" t="n"/>
      <c r="C618" s="55" t="n"/>
      <c r="D618" s="55" t="n"/>
      <c r="E618" s="55" t="n"/>
      <c r="F618" s="55" t="n"/>
      <c r="G618" s="56" t="n"/>
      <c r="H618" s="57" t="n"/>
      <c r="I618" s="55" t="n"/>
      <c r="J618" s="53" t="n"/>
      <c r="K618" s="54" t="n"/>
      <c r="L618" s="55" t="n"/>
      <c r="M618" s="55" t="n"/>
      <c r="N618" s="57" t="n"/>
      <c r="O618" s="55" t="n"/>
      <c r="P618" s="56" t="n"/>
      <c r="Q618" s="55" t="n"/>
      <c r="R618" s="55" t="n"/>
      <c r="S618" s="55" t="n"/>
      <c r="T618" s="55" t="n"/>
      <c r="U618" s="55" t="n"/>
      <c r="V618" s="55" t="n"/>
      <c r="W618" s="58" t="n"/>
      <c r="X618" s="58" t="n"/>
      <c r="Y618" s="55" t="n"/>
      <c r="Z618" s="55" t="n"/>
      <c r="AA618" s="55" t="n"/>
      <c r="AB618" s="55" t="n"/>
      <c r="AC618" s="55" t="n"/>
      <c r="AD618" s="53" t="n"/>
      <c r="AE618" s="55" t="n"/>
      <c r="AF618" s="55" t="n"/>
      <c r="AG618" s="59" t="n"/>
      <c r="AH618" s="57" t="n"/>
      <c r="AI618" s="55" t="n"/>
      <c r="AJ618" s="55" t="n"/>
      <c r="AK618" s="55" t="n"/>
      <c r="AL618" s="55" t="n"/>
      <c r="AM618" s="56" t="n"/>
      <c r="AN618" s="55" t="n"/>
      <c r="AO618" s="55" t="n"/>
      <c r="AP618" s="55" t="n"/>
      <c r="AQ618" s="55" t="n"/>
      <c r="AR618" s="60">
        <f>IF(AND(C618="",E618=""),"",IF(A618="","⚠ Date manquante",IF(AND(C618="",E618&lt;&gt;"Dépense"),"⚠ Prospect manquant",IF(E618="","⚠ Action manquante",IF(AND(AU618=1,D618=""),"⚠ Canal manquant",IF(AND(W618&lt;&gt;"",COUNTIFS('Saisie'!$W$5:$W$2004,W618,'Saisie'!$C$5:$C$2004,"&lt;&gt;"&amp;C618)&gt;0),"⚠ Numéro déjà utilisé par un autre prospect",IF(AND(J618&lt;&gt;"",J618&lt;A618),"⚠ Relance avant la date de l'action",IF(A618&gt;TODAY(),"⚠ Date dans le futur","✓"))))))))</f>
        <v/>
      </c>
      <c r="AS618" s="61">
        <f>IF(AND(A618="",C618="",E618=""),"",ROW())</f>
        <v/>
      </c>
      <c r="AT618" s="61">
        <f>IF(E618&amp;F618="","",MAX(IFERROR(INDEX('Paramètres'!$J$6:$J$33,MATCH(E618,'Paramètres'!$I$6:$I$33,0)),0),IFERROR(INDEX('Paramètres'!$N$6:$N$17,MATCH(F618,'Paramètres'!$M$6:$M$17,0)),0)))</f>
        <v/>
      </c>
      <c r="AU618" s="61">
        <f>IF(E618="","",IFERROR(IF(INDEX('Paramètres'!$K$6:$K$33,MATCH(E618,'Paramètres'!$I$6:$I$33,0))="Oui",1,0),0))</f>
        <v/>
      </c>
      <c r="AV618" s="61">
        <f>IF(F618="","",IFERROR(IF(INDEX('Paramètres'!$O$6:$O$17,MATCH(F618,'Paramètres'!$M$6:$M$17,0))="Oui",1,0),0))</f>
        <v/>
      </c>
      <c r="AW618" s="62">
        <f>IF(E618="","",IF(G618&lt;&gt;"",G618,IF(OR(E618="Proposition envoyée",E618="Signature"),MAX(0,N(IFERROR(INDEX('Paramètres'!$R$6:$R$15,MATCH(IF(AL618&lt;&gt;"",AL618,IFERROR(INDEX('Prospects'!$AN$5:$AN$504,MATCH(C618,'Prospects'!$C$5:$C$504,0)),"")),'Paramètres'!$Q$6:$Q$15,0)),0))-N(P618)),0)))</f>
        <v/>
      </c>
      <c r="AX618" s="61">
        <f>IF(C618="","",IF(COUNTIF($C$5:C618,C618)=1,MAX($AX$4:AX617)+1,""))</f>
        <v/>
      </c>
      <c r="AY618" s="61">
        <f>IF(B618="","",HOUR(B618))</f>
        <v/>
      </c>
      <c r="AZ618" s="61">
        <f>IF(A618="","",MOD(A618-2,7)+1)</f>
        <v/>
      </c>
      <c r="BA618" s="60">
        <f>IF(C618="","",IFERROR(INDEX('Prospects'!$N$5:$N$504,MATCH(C618,'Prospects'!$C$5:$C$504,0)),""))</f>
        <v/>
      </c>
      <c r="BB618" s="61">
        <f>IF(AND(C618&lt;&gt;"",C618='Fiche prospect'!$C$4),COUNTIF($C$5:C618,C618),"")</f>
        <v/>
      </c>
    </row>
    <row r="619">
      <c r="A619" s="53" t="n"/>
      <c r="B619" s="54" t="n"/>
      <c r="C619" s="55" t="n"/>
      <c r="D619" s="55" t="n"/>
      <c r="E619" s="55" t="n"/>
      <c r="F619" s="55" t="n"/>
      <c r="G619" s="56" t="n"/>
      <c r="H619" s="57" t="n"/>
      <c r="I619" s="55" t="n"/>
      <c r="J619" s="53" t="n"/>
      <c r="K619" s="54" t="n"/>
      <c r="L619" s="55" t="n"/>
      <c r="M619" s="55" t="n"/>
      <c r="N619" s="57" t="n"/>
      <c r="O619" s="55" t="n"/>
      <c r="P619" s="56" t="n"/>
      <c r="Q619" s="55" t="n"/>
      <c r="R619" s="55" t="n"/>
      <c r="S619" s="55" t="n"/>
      <c r="T619" s="55" t="n"/>
      <c r="U619" s="55" t="n"/>
      <c r="V619" s="55" t="n"/>
      <c r="W619" s="58" t="n"/>
      <c r="X619" s="58" t="n"/>
      <c r="Y619" s="55" t="n"/>
      <c r="Z619" s="55" t="n"/>
      <c r="AA619" s="55" t="n"/>
      <c r="AB619" s="55" t="n"/>
      <c r="AC619" s="55" t="n"/>
      <c r="AD619" s="53" t="n"/>
      <c r="AE619" s="55" t="n"/>
      <c r="AF619" s="55" t="n"/>
      <c r="AG619" s="59" t="n"/>
      <c r="AH619" s="57" t="n"/>
      <c r="AI619" s="55" t="n"/>
      <c r="AJ619" s="55" t="n"/>
      <c r="AK619" s="55" t="n"/>
      <c r="AL619" s="55" t="n"/>
      <c r="AM619" s="56" t="n"/>
      <c r="AN619" s="55" t="n"/>
      <c r="AO619" s="55" t="n"/>
      <c r="AP619" s="55" t="n"/>
      <c r="AQ619" s="55" t="n"/>
      <c r="AR619" s="60">
        <f>IF(AND(C619="",E619=""),"",IF(A619="","⚠ Date manquante",IF(AND(C619="",E619&lt;&gt;"Dépense"),"⚠ Prospect manquant",IF(E619="","⚠ Action manquante",IF(AND(AU619=1,D619=""),"⚠ Canal manquant",IF(AND(W619&lt;&gt;"",COUNTIFS('Saisie'!$W$5:$W$2004,W619,'Saisie'!$C$5:$C$2004,"&lt;&gt;"&amp;C619)&gt;0),"⚠ Numéro déjà utilisé par un autre prospect",IF(AND(J619&lt;&gt;"",J619&lt;A619),"⚠ Relance avant la date de l'action",IF(A619&gt;TODAY(),"⚠ Date dans le futur","✓"))))))))</f>
        <v/>
      </c>
      <c r="AS619" s="61">
        <f>IF(AND(A619="",C619="",E619=""),"",ROW())</f>
        <v/>
      </c>
      <c r="AT619" s="61">
        <f>IF(E619&amp;F619="","",MAX(IFERROR(INDEX('Paramètres'!$J$6:$J$33,MATCH(E619,'Paramètres'!$I$6:$I$33,0)),0),IFERROR(INDEX('Paramètres'!$N$6:$N$17,MATCH(F619,'Paramètres'!$M$6:$M$17,0)),0)))</f>
        <v/>
      </c>
      <c r="AU619" s="61">
        <f>IF(E619="","",IFERROR(IF(INDEX('Paramètres'!$K$6:$K$33,MATCH(E619,'Paramètres'!$I$6:$I$33,0))="Oui",1,0),0))</f>
        <v/>
      </c>
      <c r="AV619" s="61">
        <f>IF(F619="","",IFERROR(IF(INDEX('Paramètres'!$O$6:$O$17,MATCH(F619,'Paramètres'!$M$6:$M$17,0))="Oui",1,0),0))</f>
        <v/>
      </c>
      <c r="AW619" s="62">
        <f>IF(E619="","",IF(G619&lt;&gt;"",G619,IF(OR(E619="Proposition envoyée",E619="Signature"),MAX(0,N(IFERROR(INDEX('Paramètres'!$R$6:$R$15,MATCH(IF(AL619&lt;&gt;"",AL619,IFERROR(INDEX('Prospects'!$AN$5:$AN$504,MATCH(C619,'Prospects'!$C$5:$C$504,0)),"")),'Paramètres'!$Q$6:$Q$15,0)),0))-N(P619)),0)))</f>
        <v/>
      </c>
      <c r="AX619" s="61">
        <f>IF(C619="","",IF(COUNTIF($C$5:C619,C619)=1,MAX($AX$4:AX618)+1,""))</f>
        <v/>
      </c>
      <c r="AY619" s="61">
        <f>IF(B619="","",HOUR(B619))</f>
        <v/>
      </c>
      <c r="AZ619" s="61">
        <f>IF(A619="","",MOD(A619-2,7)+1)</f>
        <v/>
      </c>
      <c r="BA619" s="60">
        <f>IF(C619="","",IFERROR(INDEX('Prospects'!$N$5:$N$504,MATCH(C619,'Prospects'!$C$5:$C$504,0)),""))</f>
        <v/>
      </c>
      <c r="BB619" s="61">
        <f>IF(AND(C619&lt;&gt;"",C619='Fiche prospect'!$C$4),COUNTIF($C$5:C619,C619),"")</f>
        <v/>
      </c>
    </row>
    <row r="620">
      <c r="A620" s="53" t="n"/>
      <c r="B620" s="54" t="n"/>
      <c r="C620" s="55" t="n"/>
      <c r="D620" s="55" t="n"/>
      <c r="E620" s="55" t="n"/>
      <c r="F620" s="55" t="n"/>
      <c r="G620" s="56" t="n"/>
      <c r="H620" s="57" t="n"/>
      <c r="I620" s="55" t="n"/>
      <c r="J620" s="53" t="n"/>
      <c r="K620" s="54" t="n"/>
      <c r="L620" s="55" t="n"/>
      <c r="M620" s="55" t="n"/>
      <c r="N620" s="57" t="n"/>
      <c r="O620" s="55" t="n"/>
      <c r="P620" s="56" t="n"/>
      <c r="Q620" s="55" t="n"/>
      <c r="R620" s="55" t="n"/>
      <c r="S620" s="55" t="n"/>
      <c r="T620" s="55" t="n"/>
      <c r="U620" s="55" t="n"/>
      <c r="V620" s="55" t="n"/>
      <c r="W620" s="58" t="n"/>
      <c r="X620" s="58" t="n"/>
      <c r="Y620" s="55" t="n"/>
      <c r="Z620" s="55" t="n"/>
      <c r="AA620" s="55" t="n"/>
      <c r="AB620" s="55" t="n"/>
      <c r="AC620" s="55" t="n"/>
      <c r="AD620" s="53" t="n"/>
      <c r="AE620" s="55" t="n"/>
      <c r="AF620" s="55" t="n"/>
      <c r="AG620" s="59" t="n"/>
      <c r="AH620" s="57" t="n"/>
      <c r="AI620" s="55" t="n"/>
      <c r="AJ620" s="55" t="n"/>
      <c r="AK620" s="55" t="n"/>
      <c r="AL620" s="55" t="n"/>
      <c r="AM620" s="56" t="n"/>
      <c r="AN620" s="55" t="n"/>
      <c r="AO620" s="55" t="n"/>
      <c r="AP620" s="55" t="n"/>
      <c r="AQ620" s="55" t="n"/>
      <c r="AR620" s="60">
        <f>IF(AND(C620="",E620=""),"",IF(A620="","⚠ Date manquante",IF(AND(C620="",E620&lt;&gt;"Dépense"),"⚠ Prospect manquant",IF(E620="","⚠ Action manquante",IF(AND(AU620=1,D620=""),"⚠ Canal manquant",IF(AND(W620&lt;&gt;"",COUNTIFS('Saisie'!$W$5:$W$2004,W620,'Saisie'!$C$5:$C$2004,"&lt;&gt;"&amp;C620)&gt;0),"⚠ Numéro déjà utilisé par un autre prospect",IF(AND(J620&lt;&gt;"",J620&lt;A620),"⚠ Relance avant la date de l'action",IF(A620&gt;TODAY(),"⚠ Date dans le futur","✓"))))))))</f>
        <v/>
      </c>
      <c r="AS620" s="61">
        <f>IF(AND(A620="",C620="",E620=""),"",ROW())</f>
        <v/>
      </c>
      <c r="AT620" s="61">
        <f>IF(E620&amp;F620="","",MAX(IFERROR(INDEX('Paramètres'!$J$6:$J$33,MATCH(E620,'Paramètres'!$I$6:$I$33,0)),0),IFERROR(INDEX('Paramètres'!$N$6:$N$17,MATCH(F620,'Paramètres'!$M$6:$M$17,0)),0)))</f>
        <v/>
      </c>
      <c r="AU620" s="61">
        <f>IF(E620="","",IFERROR(IF(INDEX('Paramètres'!$K$6:$K$33,MATCH(E620,'Paramètres'!$I$6:$I$33,0))="Oui",1,0),0))</f>
        <v/>
      </c>
      <c r="AV620" s="61">
        <f>IF(F620="","",IFERROR(IF(INDEX('Paramètres'!$O$6:$O$17,MATCH(F620,'Paramètres'!$M$6:$M$17,0))="Oui",1,0),0))</f>
        <v/>
      </c>
      <c r="AW620" s="62">
        <f>IF(E620="","",IF(G620&lt;&gt;"",G620,IF(OR(E620="Proposition envoyée",E620="Signature"),MAX(0,N(IFERROR(INDEX('Paramètres'!$R$6:$R$15,MATCH(IF(AL620&lt;&gt;"",AL620,IFERROR(INDEX('Prospects'!$AN$5:$AN$504,MATCH(C620,'Prospects'!$C$5:$C$504,0)),"")),'Paramètres'!$Q$6:$Q$15,0)),0))-N(P620)),0)))</f>
        <v/>
      </c>
      <c r="AX620" s="61">
        <f>IF(C620="","",IF(COUNTIF($C$5:C620,C620)=1,MAX($AX$4:AX619)+1,""))</f>
        <v/>
      </c>
      <c r="AY620" s="61">
        <f>IF(B620="","",HOUR(B620))</f>
        <v/>
      </c>
      <c r="AZ620" s="61">
        <f>IF(A620="","",MOD(A620-2,7)+1)</f>
        <v/>
      </c>
      <c r="BA620" s="60">
        <f>IF(C620="","",IFERROR(INDEX('Prospects'!$N$5:$N$504,MATCH(C620,'Prospects'!$C$5:$C$504,0)),""))</f>
        <v/>
      </c>
      <c r="BB620" s="61">
        <f>IF(AND(C620&lt;&gt;"",C620='Fiche prospect'!$C$4),COUNTIF($C$5:C620,C620),"")</f>
        <v/>
      </c>
    </row>
    <row r="621">
      <c r="A621" s="53" t="n"/>
      <c r="B621" s="54" t="n"/>
      <c r="C621" s="55" t="n"/>
      <c r="D621" s="55" t="n"/>
      <c r="E621" s="55" t="n"/>
      <c r="F621" s="55" t="n"/>
      <c r="G621" s="56" t="n"/>
      <c r="H621" s="57" t="n"/>
      <c r="I621" s="55" t="n"/>
      <c r="J621" s="53" t="n"/>
      <c r="K621" s="54" t="n"/>
      <c r="L621" s="55" t="n"/>
      <c r="M621" s="55" t="n"/>
      <c r="N621" s="57" t="n"/>
      <c r="O621" s="55" t="n"/>
      <c r="P621" s="56" t="n"/>
      <c r="Q621" s="55" t="n"/>
      <c r="R621" s="55" t="n"/>
      <c r="S621" s="55" t="n"/>
      <c r="T621" s="55" t="n"/>
      <c r="U621" s="55" t="n"/>
      <c r="V621" s="55" t="n"/>
      <c r="W621" s="58" t="n"/>
      <c r="X621" s="58" t="n"/>
      <c r="Y621" s="55" t="n"/>
      <c r="Z621" s="55" t="n"/>
      <c r="AA621" s="55" t="n"/>
      <c r="AB621" s="55" t="n"/>
      <c r="AC621" s="55" t="n"/>
      <c r="AD621" s="53" t="n"/>
      <c r="AE621" s="55" t="n"/>
      <c r="AF621" s="55" t="n"/>
      <c r="AG621" s="59" t="n"/>
      <c r="AH621" s="57" t="n"/>
      <c r="AI621" s="55" t="n"/>
      <c r="AJ621" s="55" t="n"/>
      <c r="AK621" s="55" t="n"/>
      <c r="AL621" s="55" t="n"/>
      <c r="AM621" s="56" t="n"/>
      <c r="AN621" s="55" t="n"/>
      <c r="AO621" s="55" t="n"/>
      <c r="AP621" s="55" t="n"/>
      <c r="AQ621" s="55" t="n"/>
      <c r="AR621" s="60">
        <f>IF(AND(C621="",E621=""),"",IF(A621="","⚠ Date manquante",IF(AND(C621="",E621&lt;&gt;"Dépense"),"⚠ Prospect manquant",IF(E621="","⚠ Action manquante",IF(AND(AU621=1,D621=""),"⚠ Canal manquant",IF(AND(W621&lt;&gt;"",COUNTIFS('Saisie'!$W$5:$W$2004,W621,'Saisie'!$C$5:$C$2004,"&lt;&gt;"&amp;C621)&gt;0),"⚠ Numéro déjà utilisé par un autre prospect",IF(AND(J621&lt;&gt;"",J621&lt;A621),"⚠ Relance avant la date de l'action",IF(A621&gt;TODAY(),"⚠ Date dans le futur","✓"))))))))</f>
        <v/>
      </c>
      <c r="AS621" s="61">
        <f>IF(AND(A621="",C621="",E621=""),"",ROW())</f>
        <v/>
      </c>
      <c r="AT621" s="61">
        <f>IF(E621&amp;F621="","",MAX(IFERROR(INDEX('Paramètres'!$J$6:$J$33,MATCH(E621,'Paramètres'!$I$6:$I$33,0)),0),IFERROR(INDEX('Paramètres'!$N$6:$N$17,MATCH(F621,'Paramètres'!$M$6:$M$17,0)),0)))</f>
        <v/>
      </c>
      <c r="AU621" s="61">
        <f>IF(E621="","",IFERROR(IF(INDEX('Paramètres'!$K$6:$K$33,MATCH(E621,'Paramètres'!$I$6:$I$33,0))="Oui",1,0),0))</f>
        <v/>
      </c>
      <c r="AV621" s="61">
        <f>IF(F621="","",IFERROR(IF(INDEX('Paramètres'!$O$6:$O$17,MATCH(F621,'Paramètres'!$M$6:$M$17,0))="Oui",1,0),0))</f>
        <v/>
      </c>
      <c r="AW621" s="62">
        <f>IF(E621="","",IF(G621&lt;&gt;"",G621,IF(OR(E621="Proposition envoyée",E621="Signature"),MAX(0,N(IFERROR(INDEX('Paramètres'!$R$6:$R$15,MATCH(IF(AL621&lt;&gt;"",AL621,IFERROR(INDEX('Prospects'!$AN$5:$AN$504,MATCH(C621,'Prospects'!$C$5:$C$504,0)),"")),'Paramètres'!$Q$6:$Q$15,0)),0))-N(P621)),0)))</f>
        <v/>
      </c>
      <c r="AX621" s="61">
        <f>IF(C621="","",IF(COUNTIF($C$5:C621,C621)=1,MAX($AX$4:AX620)+1,""))</f>
        <v/>
      </c>
      <c r="AY621" s="61">
        <f>IF(B621="","",HOUR(B621))</f>
        <v/>
      </c>
      <c r="AZ621" s="61">
        <f>IF(A621="","",MOD(A621-2,7)+1)</f>
        <v/>
      </c>
      <c r="BA621" s="60">
        <f>IF(C621="","",IFERROR(INDEX('Prospects'!$N$5:$N$504,MATCH(C621,'Prospects'!$C$5:$C$504,0)),""))</f>
        <v/>
      </c>
      <c r="BB621" s="61">
        <f>IF(AND(C621&lt;&gt;"",C621='Fiche prospect'!$C$4),COUNTIF($C$5:C621,C621),"")</f>
        <v/>
      </c>
    </row>
    <row r="622">
      <c r="A622" s="53" t="n"/>
      <c r="B622" s="54" t="n"/>
      <c r="C622" s="55" t="n"/>
      <c r="D622" s="55" t="n"/>
      <c r="E622" s="55" t="n"/>
      <c r="F622" s="55" t="n"/>
      <c r="G622" s="56" t="n"/>
      <c r="H622" s="57" t="n"/>
      <c r="I622" s="55" t="n"/>
      <c r="J622" s="53" t="n"/>
      <c r="K622" s="54" t="n"/>
      <c r="L622" s="55" t="n"/>
      <c r="M622" s="55" t="n"/>
      <c r="N622" s="57" t="n"/>
      <c r="O622" s="55" t="n"/>
      <c r="P622" s="56" t="n"/>
      <c r="Q622" s="55" t="n"/>
      <c r="R622" s="55" t="n"/>
      <c r="S622" s="55" t="n"/>
      <c r="T622" s="55" t="n"/>
      <c r="U622" s="55" t="n"/>
      <c r="V622" s="55" t="n"/>
      <c r="W622" s="58" t="n"/>
      <c r="X622" s="58" t="n"/>
      <c r="Y622" s="55" t="n"/>
      <c r="Z622" s="55" t="n"/>
      <c r="AA622" s="55" t="n"/>
      <c r="AB622" s="55" t="n"/>
      <c r="AC622" s="55" t="n"/>
      <c r="AD622" s="53" t="n"/>
      <c r="AE622" s="55" t="n"/>
      <c r="AF622" s="55" t="n"/>
      <c r="AG622" s="59" t="n"/>
      <c r="AH622" s="57" t="n"/>
      <c r="AI622" s="55" t="n"/>
      <c r="AJ622" s="55" t="n"/>
      <c r="AK622" s="55" t="n"/>
      <c r="AL622" s="55" t="n"/>
      <c r="AM622" s="56" t="n"/>
      <c r="AN622" s="55" t="n"/>
      <c r="AO622" s="55" t="n"/>
      <c r="AP622" s="55" t="n"/>
      <c r="AQ622" s="55" t="n"/>
      <c r="AR622" s="60">
        <f>IF(AND(C622="",E622=""),"",IF(A622="","⚠ Date manquante",IF(AND(C622="",E622&lt;&gt;"Dépense"),"⚠ Prospect manquant",IF(E622="","⚠ Action manquante",IF(AND(AU622=1,D622=""),"⚠ Canal manquant",IF(AND(W622&lt;&gt;"",COUNTIFS('Saisie'!$W$5:$W$2004,W622,'Saisie'!$C$5:$C$2004,"&lt;&gt;"&amp;C622)&gt;0),"⚠ Numéro déjà utilisé par un autre prospect",IF(AND(J622&lt;&gt;"",J622&lt;A622),"⚠ Relance avant la date de l'action",IF(A622&gt;TODAY(),"⚠ Date dans le futur","✓"))))))))</f>
        <v/>
      </c>
      <c r="AS622" s="61">
        <f>IF(AND(A622="",C622="",E622=""),"",ROW())</f>
        <v/>
      </c>
      <c r="AT622" s="61">
        <f>IF(E622&amp;F622="","",MAX(IFERROR(INDEX('Paramètres'!$J$6:$J$33,MATCH(E622,'Paramètres'!$I$6:$I$33,0)),0),IFERROR(INDEX('Paramètres'!$N$6:$N$17,MATCH(F622,'Paramètres'!$M$6:$M$17,0)),0)))</f>
        <v/>
      </c>
      <c r="AU622" s="61">
        <f>IF(E622="","",IFERROR(IF(INDEX('Paramètres'!$K$6:$K$33,MATCH(E622,'Paramètres'!$I$6:$I$33,0))="Oui",1,0),0))</f>
        <v/>
      </c>
      <c r="AV622" s="61">
        <f>IF(F622="","",IFERROR(IF(INDEX('Paramètres'!$O$6:$O$17,MATCH(F622,'Paramètres'!$M$6:$M$17,0))="Oui",1,0),0))</f>
        <v/>
      </c>
      <c r="AW622" s="62">
        <f>IF(E622="","",IF(G622&lt;&gt;"",G622,IF(OR(E622="Proposition envoyée",E622="Signature"),MAX(0,N(IFERROR(INDEX('Paramètres'!$R$6:$R$15,MATCH(IF(AL622&lt;&gt;"",AL622,IFERROR(INDEX('Prospects'!$AN$5:$AN$504,MATCH(C622,'Prospects'!$C$5:$C$504,0)),"")),'Paramètres'!$Q$6:$Q$15,0)),0))-N(P622)),0)))</f>
        <v/>
      </c>
      <c r="AX622" s="61">
        <f>IF(C622="","",IF(COUNTIF($C$5:C622,C622)=1,MAX($AX$4:AX621)+1,""))</f>
        <v/>
      </c>
      <c r="AY622" s="61">
        <f>IF(B622="","",HOUR(B622))</f>
        <v/>
      </c>
      <c r="AZ622" s="61">
        <f>IF(A622="","",MOD(A622-2,7)+1)</f>
        <v/>
      </c>
      <c r="BA622" s="60">
        <f>IF(C622="","",IFERROR(INDEX('Prospects'!$N$5:$N$504,MATCH(C622,'Prospects'!$C$5:$C$504,0)),""))</f>
        <v/>
      </c>
      <c r="BB622" s="61">
        <f>IF(AND(C622&lt;&gt;"",C622='Fiche prospect'!$C$4),COUNTIF($C$5:C622,C622),"")</f>
        <v/>
      </c>
    </row>
    <row r="623">
      <c r="A623" s="53" t="n"/>
      <c r="B623" s="54" t="n"/>
      <c r="C623" s="55" t="n"/>
      <c r="D623" s="55" t="n"/>
      <c r="E623" s="55" t="n"/>
      <c r="F623" s="55" t="n"/>
      <c r="G623" s="56" t="n"/>
      <c r="H623" s="57" t="n"/>
      <c r="I623" s="55" t="n"/>
      <c r="J623" s="53" t="n"/>
      <c r="K623" s="54" t="n"/>
      <c r="L623" s="55" t="n"/>
      <c r="M623" s="55" t="n"/>
      <c r="N623" s="57" t="n"/>
      <c r="O623" s="55" t="n"/>
      <c r="P623" s="56" t="n"/>
      <c r="Q623" s="55" t="n"/>
      <c r="R623" s="55" t="n"/>
      <c r="S623" s="55" t="n"/>
      <c r="T623" s="55" t="n"/>
      <c r="U623" s="55" t="n"/>
      <c r="V623" s="55" t="n"/>
      <c r="W623" s="58" t="n"/>
      <c r="X623" s="58" t="n"/>
      <c r="Y623" s="55" t="n"/>
      <c r="Z623" s="55" t="n"/>
      <c r="AA623" s="55" t="n"/>
      <c r="AB623" s="55" t="n"/>
      <c r="AC623" s="55" t="n"/>
      <c r="AD623" s="53" t="n"/>
      <c r="AE623" s="55" t="n"/>
      <c r="AF623" s="55" t="n"/>
      <c r="AG623" s="59" t="n"/>
      <c r="AH623" s="57" t="n"/>
      <c r="AI623" s="55" t="n"/>
      <c r="AJ623" s="55" t="n"/>
      <c r="AK623" s="55" t="n"/>
      <c r="AL623" s="55" t="n"/>
      <c r="AM623" s="56" t="n"/>
      <c r="AN623" s="55" t="n"/>
      <c r="AO623" s="55" t="n"/>
      <c r="AP623" s="55" t="n"/>
      <c r="AQ623" s="55" t="n"/>
      <c r="AR623" s="60">
        <f>IF(AND(C623="",E623=""),"",IF(A623="","⚠ Date manquante",IF(AND(C623="",E623&lt;&gt;"Dépense"),"⚠ Prospect manquant",IF(E623="","⚠ Action manquante",IF(AND(AU623=1,D623=""),"⚠ Canal manquant",IF(AND(W623&lt;&gt;"",COUNTIFS('Saisie'!$W$5:$W$2004,W623,'Saisie'!$C$5:$C$2004,"&lt;&gt;"&amp;C623)&gt;0),"⚠ Numéro déjà utilisé par un autre prospect",IF(AND(J623&lt;&gt;"",J623&lt;A623),"⚠ Relance avant la date de l'action",IF(A623&gt;TODAY(),"⚠ Date dans le futur","✓"))))))))</f>
        <v/>
      </c>
      <c r="AS623" s="61">
        <f>IF(AND(A623="",C623="",E623=""),"",ROW())</f>
        <v/>
      </c>
      <c r="AT623" s="61">
        <f>IF(E623&amp;F623="","",MAX(IFERROR(INDEX('Paramètres'!$J$6:$J$33,MATCH(E623,'Paramètres'!$I$6:$I$33,0)),0),IFERROR(INDEX('Paramètres'!$N$6:$N$17,MATCH(F623,'Paramètres'!$M$6:$M$17,0)),0)))</f>
        <v/>
      </c>
      <c r="AU623" s="61">
        <f>IF(E623="","",IFERROR(IF(INDEX('Paramètres'!$K$6:$K$33,MATCH(E623,'Paramètres'!$I$6:$I$33,0))="Oui",1,0),0))</f>
        <v/>
      </c>
      <c r="AV623" s="61">
        <f>IF(F623="","",IFERROR(IF(INDEX('Paramètres'!$O$6:$O$17,MATCH(F623,'Paramètres'!$M$6:$M$17,0))="Oui",1,0),0))</f>
        <v/>
      </c>
      <c r="AW623" s="62">
        <f>IF(E623="","",IF(G623&lt;&gt;"",G623,IF(OR(E623="Proposition envoyée",E623="Signature"),MAX(0,N(IFERROR(INDEX('Paramètres'!$R$6:$R$15,MATCH(IF(AL623&lt;&gt;"",AL623,IFERROR(INDEX('Prospects'!$AN$5:$AN$504,MATCH(C623,'Prospects'!$C$5:$C$504,0)),"")),'Paramètres'!$Q$6:$Q$15,0)),0))-N(P623)),0)))</f>
        <v/>
      </c>
      <c r="AX623" s="61">
        <f>IF(C623="","",IF(COUNTIF($C$5:C623,C623)=1,MAX($AX$4:AX622)+1,""))</f>
        <v/>
      </c>
      <c r="AY623" s="61">
        <f>IF(B623="","",HOUR(B623))</f>
        <v/>
      </c>
      <c r="AZ623" s="61">
        <f>IF(A623="","",MOD(A623-2,7)+1)</f>
        <v/>
      </c>
      <c r="BA623" s="60">
        <f>IF(C623="","",IFERROR(INDEX('Prospects'!$N$5:$N$504,MATCH(C623,'Prospects'!$C$5:$C$504,0)),""))</f>
        <v/>
      </c>
      <c r="BB623" s="61">
        <f>IF(AND(C623&lt;&gt;"",C623='Fiche prospect'!$C$4),COUNTIF($C$5:C623,C623),"")</f>
        <v/>
      </c>
    </row>
    <row r="624">
      <c r="A624" s="53" t="n"/>
      <c r="B624" s="54" t="n"/>
      <c r="C624" s="55" t="n"/>
      <c r="D624" s="55" t="n"/>
      <c r="E624" s="55" t="n"/>
      <c r="F624" s="55" t="n"/>
      <c r="G624" s="56" t="n"/>
      <c r="H624" s="57" t="n"/>
      <c r="I624" s="55" t="n"/>
      <c r="J624" s="53" t="n"/>
      <c r="K624" s="54" t="n"/>
      <c r="L624" s="55" t="n"/>
      <c r="M624" s="55" t="n"/>
      <c r="N624" s="57" t="n"/>
      <c r="O624" s="55" t="n"/>
      <c r="P624" s="56" t="n"/>
      <c r="Q624" s="55" t="n"/>
      <c r="R624" s="55" t="n"/>
      <c r="S624" s="55" t="n"/>
      <c r="T624" s="55" t="n"/>
      <c r="U624" s="55" t="n"/>
      <c r="V624" s="55" t="n"/>
      <c r="W624" s="58" t="n"/>
      <c r="X624" s="58" t="n"/>
      <c r="Y624" s="55" t="n"/>
      <c r="Z624" s="55" t="n"/>
      <c r="AA624" s="55" t="n"/>
      <c r="AB624" s="55" t="n"/>
      <c r="AC624" s="55" t="n"/>
      <c r="AD624" s="53" t="n"/>
      <c r="AE624" s="55" t="n"/>
      <c r="AF624" s="55" t="n"/>
      <c r="AG624" s="59" t="n"/>
      <c r="AH624" s="57" t="n"/>
      <c r="AI624" s="55" t="n"/>
      <c r="AJ624" s="55" t="n"/>
      <c r="AK624" s="55" t="n"/>
      <c r="AL624" s="55" t="n"/>
      <c r="AM624" s="56" t="n"/>
      <c r="AN624" s="55" t="n"/>
      <c r="AO624" s="55" t="n"/>
      <c r="AP624" s="55" t="n"/>
      <c r="AQ624" s="55" t="n"/>
      <c r="AR624" s="60">
        <f>IF(AND(C624="",E624=""),"",IF(A624="","⚠ Date manquante",IF(AND(C624="",E624&lt;&gt;"Dépense"),"⚠ Prospect manquant",IF(E624="","⚠ Action manquante",IF(AND(AU624=1,D624=""),"⚠ Canal manquant",IF(AND(W624&lt;&gt;"",COUNTIFS('Saisie'!$W$5:$W$2004,W624,'Saisie'!$C$5:$C$2004,"&lt;&gt;"&amp;C624)&gt;0),"⚠ Numéro déjà utilisé par un autre prospect",IF(AND(J624&lt;&gt;"",J624&lt;A624),"⚠ Relance avant la date de l'action",IF(A624&gt;TODAY(),"⚠ Date dans le futur","✓"))))))))</f>
        <v/>
      </c>
      <c r="AS624" s="61">
        <f>IF(AND(A624="",C624="",E624=""),"",ROW())</f>
        <v/>
      </c>
      <c r="AT624" s="61">
        <f>IF(E624&amp;F624="","",MAX(IFERROR(INDEX('Paramètres'!$J$6:$J$33,MATCH(E624,'Paramètres'!$I$6:$I$33,0)),0),IFERROR(INDEX('Paramètres'!$N$6:$N$17,MATCH(F624,'Paramètres'!$M$6:$M$17,0)),0)))</f>
        <v/>
      </c>
      <c r="AU624" s="61">
        <f>IF(E624="","",IFERROR(IF(INDEX('Paramètres'!$K$6:$K$33,MATCH(E624,'Paramètres'!$I$6:$I$33,0))="Oui",1,0),0))</f>
        <v/>
      </c>
      <c r="AV624" s="61">
        <f>IF(F624="","",IFERROR(IF(INDEX('Paramètres'!$O$6:$O$17,MATCH(F624,'Paramètres'!$M$6:$M$17,0))="Oui",1,0),0))</f>
        <v/>
      </c>
      <c r="AW624" s="62">
        <f>IF(E624="","",IF(G624&lt;&gt;"",G624,IF(OR(E624="Proposition envoyée",E624="Signature"),MAX(0,N(IFERROR(INDEX('Paramètres'!$R$6:$R$15,MATCH(IF(AL624&lt;&gt;"",AL624,IFERROR(INDEX('Prospects'!$AN$5:$AN$504,MATCH(C624,'Prospects'!$C$5:$C$504,0)),"")),'Paramètres'!$Q$6:$Q$15,0)),0))-N(P624)),0)))</f>
        <v/>
      </c>
      <c r="AX624" s="61">
        <f>IF(C624="","",IF(COUNTIF($C$5:C624,C624)=1,MAX($AX$4:AX623)+1,""))</f>
        <v/>
      </c>
      <c r="AY624" s="61">
        <f>IF(B624="","",HOUR(B624))</f>
        <v/>
      </c>
      <c r="AZ624" s="61">
        <f>IF(A624="","",MOD(A624-2,7)+1)</f>
        <v/>
      </c>
      <c r="BA624" s="60">
        <f>IF(C624="","",IFERROR(INDEX('Prospects'!$N$5:$N$504,MATCH(C624,'Prospects'!$C$5:$C$504,0)),""))</f>
        <v/>
      </c>
      <c r="BB624" s="61">
        <f>IF(AND(C624&lt;&gt;"",C624='Fiche prospect'!$C$4),COUNTIF($C$5:C624,C624),"")</f>
        <v/>
      </c>
    </row>
    <row r="625">
      <c r="A625" s="53" t="n"/>
      <c r="B625" s="54" t="n"/>
      <c r="C625" s="55" t="n"/>
      <c r="D625" s="55" t="n"/>
      <c r="E625" s="55" t="n"/>
      <c r="F625" s="55" t="n"/>
      <c r="G625" s="56" t="n"/>
      <c r="H625" s="57" t="n"/>
      <c r="I625" s="55" t="n"/>
      <c r="J625" s="53" t="n"/>
      <c r="K625" s="54" t="n"/>
      <c r="L625" s="55" t="n"/>
      <c r="M625" s="55" t="n"/>
      <c r="N625" s="57" t="n"/>
      <c r="O625" s="55" t="n"/>
      <c r="P625" s="56" t="n"/>
      <c r="Q625" s="55" t="n"/>
      <c r="R625" s="55" t="n"/>
      <c r="S625" s="55" t="n"/>
      <c r="T625" s="55" t="n"/>
      <c r="U625" s="55" t="n"/>
      <c r="V625" s="55" t="n"/>
      <c r="W625" s="58" t="n"/>
      <c r="X625" s="58" t="n"/>
      <c r="Y625" s="55" t="n"/>
      <c r="Z625" s="55" t="n"/>
      <c r="AA625" s="55" t="n"/>
      <c r="AB625" s="55" t="n"/>
      <c r="AC625" s="55" t="n"/>
      <c r="AD625" s="53" t="n"/>
      <c r="AE625" s="55" t="n"/>
      <c r="AF625" s="55" t="n"/>
      <c r="AG625" s="59" t="n"/>
      <c r="AH625" s="57" t="n"/>
      <c r="AI625" s="55" t="n"/>
      <c r="AJ625" s="55" t="n"/>
      <c r="AK625" s="55" t="n"/>
      <c r="AL625" s="55" t="n"/>
      <c r="AM625" s="56" t="n"/>
      <c r="AN625" s="55" t="n"/>
      <c r="AO625" s="55" t="n"/>
      <c r="AP625" s="55" t="n"/>
      <c r="AQ625" s="55" t="n"/>
      <c r="AR625" s="60">
        <f>IF(AND(C625="",E625=""),"",IF(A625="","⚠ Date manquante",IF(AND(C625="",E625&lt;&gt;"Dépense"),"⚠ Prospect manquant",IF(E625="","⚠ Action manquante",IF(AND(AU625=1,D625=""),"⚠ Canal manquant",IF(AND(W625&lt;&gt;"",COUNTIFS('Saisie'!$W$5:$W$2004,W625,'Saisie'!$C$5:$C$2004,"&lt;&gt;"&amp;C625)&gt;0),"⚠ Numéro déjà utilisé par un autre prospect",IF(AND(J625&lt;&gt;"",J625&lt;A625),"⚠ Relance avant la date de l'action",IF(A625&gt;TODAY(),"⚠ Date dans le futur","✓"))))))))</f>
        <v/>
      </c>
      <c r="AS625" s="61">
        <f>IF(AND(A625="",C625="",E625=""),"",ROW())</f>
        <v/>
      </c>
      <c r="AT625" s="61">
        <f>IF(E625&amp;F625="","",MAX(IFERROR(INDEX('Paramètres'!$J$6:$J$33,MATCH(E625,'Paramètres'!$I$6:$I$33,0)),0),IFERROR(INDEX('Paramètres'!$N$6:$N$17,MATCH(F625,'Paramètres'!$M$6:$M$17,0)),0)))</f>
        <v/>
      </c>
      <c r="AU625" s="61">
        <f>IF(E625="","",IFERROR(IF(INDEX('Paramètres'!$K$6:$K$33,MATCH(E625,'Paramètres'!$I$6:$I$33,0))="Oui",1,0),0))</f>
        <v/>
      </c>
      <c r="AV625" s="61">
        <f>IF(F625="","",IFERROR(IF(INDEX('Paramètres'!$O$6:$O$17,MATCH(F625,'Paramètres'!$M$6:$M$17,0))="Oui",1,0),0))</f>
        <v/>
      </c>
      <c r="AW625" s="62">
        <f>IF(E625="","",IF(G625&lt;&gt;"",G625,IF(OR(E625="Proposition envoyée",E625="Signature"),MAX(0,N(IFERROR(INDEX('Paramètres'!$R$6:$R$15,MATCH(IF(AL625&lt;&gt;"",AL625,IFERROR(INDEX('Prospects'!$AN$5:$AN$504,MATCH(C625,'Prospects'!$C$5:$C$504,0)),"")),'Paramètres'!$Q$6:$Q$15,0)),0))-N(P625)),0)))</f>
        <v/>
      </c>
      <c r="AX625" s="61">
        <f>IF(C625="","",IF(COUNTIF($C$5:C625,C625)=1,MAX($AX$4:AX624)+1,""))</f>
        <v/>
      </c>
      <c r="AY625" s="61">
        <f>IF(B625="","",HOUR(B625))</f>
        <v/>
      </c>
      <c r="AZ625" s="61">
        <f>IF(A625="","",MOD(A625-2,7)+1)</f>
        <v/>
      </c>
      <c r="BA625" s="60">
        <f>IF(C625="","",IFERROR(INDEX('Prospects'!$N$5:$N$504,MATCH(C625,'Prospects'!$C$5:$C$504,0)),""))</f>
        <v/>
      </c>
      <c r="BB625" s="61">
        <f>IF(AND(C625&lt;&gt;"",C625='Fiche prospect'!$C$4),COUNTIF($C$5:C625,C625),"")</f>
        <v/>
      </c>
    </row>
    <row r="626">
      <c r="A626" s="53" t="n"/>
      <c r="B626" s="54" t="n"/>
      <c r="C626" s="55" t="n"/>
      <c r="D626" s="55" t="n"/>
      <c r="E626" s="55" t="n"/>
      <c r="F626" s="55" t="n"/>
      <c r="G626" s="56" t="n"/>
      <c r="H626" s="57" t="n"/>
      <c r="I626" s="55" t="n"/>
      <c r="J626" s="53" t="n"/>
      <c r="K626" s="54" t="n"/>
      <c r="L626" s="55" t="n"/>
      <c r="M626" s="55" t="n"/>
      <c r="N626" s="57" t="n"/>
      <c r="O626" s="55" t="n"/>
      <c r="P626" s="56" t="n"/>
      <c r="Q626" s="55" t="n"/>
      <c r="R626" s="55" t="n"/>
      <c r="S626" s="55" t="n"/>
      <c r="T626" s="55" t="n"/>
      <c r="U626" s="55" t="n"/>
      <c r="V626" s="55" t="n"/>
      <c r="W626" s="58" t="n"/>
      <c r="X626" s="58" t="n"/>
      <c r="Y626" s="55" t="n"/>
      <c r="Z626" s="55" t="n"/>
      <c r="AA626" s="55" t="n"/>
      <c r="AB626" s="55" t="n"/>
      <c r="AC626" s="55" t="n"/>
      <c r="AD626" s="53" t="n"/>
      <c r="AE626" s="55" t="n"/>
      <c r="AF626" s="55" t="n"/>
      <c r="AG626" s="59" t="n"/>
      <c r="AH626" s="57" t="n"/>
      <c r="AI626" s="55" t="n"/>
      <c r="AJ626" s="55" t="n"/>
      <c r="AK626" s="55" t="n"/>
      <c r="AL626" s="55" t="n"/>
      <c r="AM626" s="56" t="n"/>
      <c r="AN626" s="55" t="n"/>
      <c r="AO626" s="55" t="n"/>
      <c r="AP626" s="55" t="n"/>
      <c r="AQ626" s="55" t="n"/>
      <c r="AR626" s="60">
        <f>IF(AND(C626="",E626=""),"",IF(A626="","⚠ Date manquante",IF(AND(C626="",E626&lt;&gt;"Dépense"),"⚠ Prospect manquant",IF(E626="","⚠ Action manquante",IF(AND(AU626=1,D626=""),"⚠ Canal manquant",IF(AND(W626&lt;&gt;"",COUNTIFS('Saisie'!$W$5:$W$2004,W626,'Saisie'!$C$5:$C$2004,"&lt;&gt;"&amp;C626)&gt;0),"⚠ Numéro déjà utilisé par un autre prospect",IF(AND(J626&lt;&gt;"",J626&lt;A626),"⚠ Relance avant la date de l'action",IF(A626&gt;TODAY(),"⚠ Date dans le futur","✓"))))))))</f>
        <v/>
      </c>
      <c r="AS626" s="61">
        <f>IF(AND(A626="",C626="",E626=""),"",ROW())</f>
        <v/>
      </c>
      <c r="AT626" s="61">
        <f>IF(E626&amp;F626="","",MAX(IFERROR(INDEX('Paramètres'!$J$6:$J$33,MATCH(E626,'Paramètres'!$I$6:$I$33,0)),0),IFERROR(INDEX('Paramètres'!$N$6:$N$17,MATCH(F626,'Paramètres'!$M$6:$M$17,0)),0)))</f>
        <v/>
      </c>
      <c r="AU626" s="61">
        <f>IF(E626="","",IFERROR(IF(INDEX('Paramètres'!$K$6:$K$33,MATCH(E626,'Paramètres'!$I$6:$I$33,0))="Oui",1,0),0))</f>
        <v/>
      </c>
      <c r="AV626" s="61">
        <f>IF(F626="","",IFERROR(IF(INDEX('Paramètres'!$O$6:$O$17,MATCH(F626,'Paramètres'!$M$6:$M$17,0))="Oui",1,0),0))</f>
        <v/>
      </c>
      <c r="AW626" s="62">
        <f>IF(E626="","",IF(G626&lt;&gt;"",G626,IF(OR(E626="Proposition envoyée",E626="Signature"),MAX(0,N(IFERROR(INDEX('Paramètres'!$R$6:$R$15,MATCH(IF(AL626&lt;&gt;"",AL626,IFERROR(INDEX('Prospects'!$AN$5:$AN$504,MATCH(C626,'Prospects'!$C$5:$C$504,0)),"")),'Paramètres'!$Q$6:$Q$15,0)),0))-N(P626)),0)))</f>
        <v/>
      </c>
      <c r="AX626" s="61">
        <f>IF(C626="","",IF(COUNTIF($C$5:C626,C626)=1,MAX($AX$4:AX625)+1,""))</f>
        <v/>
      </c>
      <c r="AY626" s="61">
        <f>IF(B626="","",HOUR(B626))</f>
        <v/>
      </c>
      <c r="AZ626" s="61">
        <f>IF(A626="","",MOD(A626-2,7)+1)</f>
        <v/>
      </c>
      <c r="BA626" s="60">
        <f>IF(C626="","",IFERROR(INDEX('Prospects'!$N$5:$N$504,MATCH(C626,'Prospects'!$C$5:$C$504,0)),""))</f>
        <v/>
      </c>
      <c r="BB626" s="61">
        <f>IF(AND(C626&lt;&gt;"",C626='Fiche prospect'!$C$4),COUNTIF($C$5:C626,C626),"")</f>
        <v/>
      </c>
    </row>
    <row r="627">
      <c r="A627" s="53" t="n"/>
      <c r="B627" s="54" t="n"/>
      <c r="C627" s="55" t="n"/>
      <c r="D627" s="55" t="n"/>
      <c r="E627" s="55" t="n"/>
      <c r="F627" s="55" t="n"/>
      <c r="G627" s="56" t="n"/>
      <c r="H627" s="57" t="n"/>
      <c r="I627" s="55" t="n"/>
      <c r="J627" s="53" t="n"/>
      <c r="K627" s="54" t="n"/>
      <c r="L627" s="55" t="n"/>
      <c r="M627" s="55" t="n"/>
      <c r="N627" s="57" t="n"/>
      <c r="O627" s="55" t="n"/>
      <c r="P627" s="56" t="n"/>
      <c r="Q627" s="55" t="n"/>
      <c r="R627" s="55" t="n"/>
      <c r="S627" s="55" t="n"/>
      <c r="T627" s="55" t="n"/>
      <c r="U627" s="55" t="n"/>
      <c r="V627" s="55" t="n"/>
      <c r="W627" s="58" t="n"/>
      <c r="X627" s="58" t="n"/>
      <c r="Y627" s="55" t="n"/>
      <c r="Z627" s="55" t="n"/>
      <c r="AA627" s="55" t="n"/>
      <c r="AB627" s="55" t="n"/>
      <c r="AC627" s="55" t="n"/>
      <c r="AD627" s="53" t="n"/>
      <c r="AE627" s="55" t="n"/>
      <c r="AF627" s="55" t="n"/>
      <c r="AG627" s="59" t="n"/>
      <c r="AH627" s="57" t="n"/>
      <c r="AI627" s="55" t="n"/>
      <c r="AJ627" s="55" t="n"/>
      <c r="AK627" s="55" t="n"/>
      <c r="AL627" s="55" t="n"/>
      <c r="AM627" s="56" t="n"/>
      <c r="AN627" s="55" t="n"/>
      <c r="AO627" s="55" t="n"/>
      <c r="AP627" s="55" t="n"/>
      <c r="AQ627" s="55" t="n"/>
      <c r="AR627" s="60">
        <f>IF(AND(C627="",E627=""),"",IF(A627="","⚠ Date manquante",IF(AND(C627="",E627&lt;&gt;"Dépense"),"⚠ Prospect manquant",IF(E627="","⚠ Action manquante",IF(AND(AU627=1,D627=""),"⚠ Canal manquant",IF(AND(W627&lt;&gt;"",COUNTIFS('Saisie'!$W$5:$W$2004,W627,'Saisie'!$C$5:$C$2004,"&lt;&gt;"&amp;C627)&gt;0),"⚠ Numéro déjà utilisé par un autre prospect",IF(AND(J627&lt;&gt;"",J627&lt;A627),"⚠ Relance avant la date de l'action",IF(A627&gt;TODAY(),"⚠ Date dans le futur","✓"))))))))</f>
        <v/>
      </c>
      <c r="AS627" s="61">
        <f>IF(AND(A627="",C627="",E627=""),"",ROW())</f>
        <v/>
      </c>
      <c r="AT627" s="61">
        <f>IF(E627&amp;F627="","",MAX(IFERROR(INDEX('Paramètres'!$J$6:$J$33,MATCH(E627,'Paramètres'!$I$6:$I$33,0)),0),IFERROR(INDEX('Paramètres'!$N$6:$N$17,MATCH(F627,'Paramètres'!$M$6:$M$17,0)),0)))</f>
        <v/>
      </c>
      <c r="AU627" s="61">
        <f>IF(E627="","",IFERROR(IF(INDEX('Paramètres'!$K$6:$K$33,MATCH(E627,'Paramètres'!$I$6:$I$33,0))="Oui",1,0),0))</f>
        <v/>
      </c>
      <c r="AV627" s="61">
        <f>IF(F627="","",IFERROR(IF(INDEX('Paramètres'!$O$6:$O$17,MATCH(F627,'Paramètres'!$M$6:$M$17,0))="Oui",1,0),0))</f>
        <v/>
      </c>
      <c r="AW627" s="62">
        <f>IF(E627="","",IF(G627&lt;&gt;"",G627,IF(OR(E627="Proposition envoyée",E627="Signature"),MAX(0,N(IFERROR(INDEX('Paramètres'!$R$6:$R$15,MATCH(IF(AL627&lt;&gt;"",AL627,IFERROR(INDEX('Prospects'!$AN$5:$AN$504,MATCH(C627,'Prospects'!$C$5:$C$504,0)),"")),'Paramètres'!$Q$6:$Q$15,0)),0))-N(P627)),0)))</f>
        <v/>
      </c>
      <c r="AX627" s="61">
        <f>IF(C627="","",IF(COUNTIF($C$5:C627,C627)=1,MAX($AX$4:AX626)+1,""))</f>
        <v/>
      </c>
      <c r="AY627" s="61">
        <f>IF(B627="","",HOUR(B627))</f>
        <v/>
      </c>
      <c r="AZ627" s="61">
        <f>IF(A627="","",MOD(A627-2,7)+1)</f>
        <v/>
      </c>
      <c r="BA627" s="60">
        <f>IF(C627="","",IFERROR(INDEX('Prospects'!$N$5:$N$504,MATCH(C627,'Prospects'!$C$5:$C$504,0)),""))</f>
        <v/>
      </c>
      <c r="BB627" s="61">
        <f>IF(AND(C627&lt;&gt;"",C627='Fiche prospect'!$C$4),COUNTIF($C$5:C627,C627),"")</f>
        <v/>
      </c>
    </row>
    <row r="628">
      <c r="A628" s="53" t="n"/>
      <c r="B628" s="54" t="n"/>
      <c r="C628" s="55" t="n"/>
      <c r="D628" s="55" t="n"/>
      <c r="E628" s="55" t="n"/>
      <c r="F628" s="55" t="n"/>
      <c r="G628" s="56" t="n"/>
      <c r="H628" s="57" t="n"/>
      <c r="I628" s="55" t="n"/>
      <c r="J628" s="53" t="n"/>
      <c r="K628" s="54" t="n"/>
      <c r="L628" s="55" t="n"/>
      <c r="M628" s="55" t="n"/>
      <c r="N628" s="57" t="n"/>
      <c r="O628" s="55" t="n"/>
      <c r="P628" s="56" t="n"/>
      <c r="Q628" s="55" t="n"/>
      <c r="R628" s="55" t="n"/>
      <c r="S628" s="55" t="n"/>
      <c r="T628" s="55" t="n"/>
      <c r="U628" s="55" t="n"/>
      <c r="V628" s="55" t="n"/>
      <c r="W628" s="58" t="n"/>
      <c r="X628" s="58" t="n"/>
      <c r="Y628" s="55" t="n"/>
      <c r="Z628" s="55" t="n"/>
      <c r="AA628" s="55" t="n"/>
      <c r="AB628" s="55" t="n"/>
      <c r="AC628" s="55" t="n"/>
      <c r="AD628" s="53" t="n"/>
      <c r="AE628" s="55" t="n"/>
      <c r="AF628" s="55" t="n"/>
      <c r="AG628" s="59" t="n"/>
      <c r="AH628" s="57" t="n"/>
      <c r="AI628" s="55" t="n"/>
      <c r="AJ628" s="55" t="n"/>
      <c r="AK628" s="55" t="n"/>
      <c r="AL628" s="55" t="n"/>
      <c r="AM628" s="56" t="n"/>
      <c r="AN628" s="55" t="n"/>
      <c r="AO628" s="55" t="n"/>
      <c r="AP628" s="55" t="n"/>
      <c r="AQ628" s="55" t="n"/>
      <c r="AR628" s="60">
        <f>IF(AND(C628="",E628=""),"",IF(A628="","⚠ Date manquante",IF(AND(C628="",E628&lt;&gt;"Dépense"),"⚠ Prospect manquant",IF(E628="","⚠ Action manquante",IF(AND(AU628=1,D628=""),"⚠ Canal manquant",IF(AND(W628&lt;&gt;"",COUNTIFS('Saisie'!$W$5:$W$2004,W628,'Saisie'!$C$5:$C$2004,"&lt;&gt;"&amp;C628)&gt;0),"⚠ Numéro déjà utilisé par un autre prospect",IF(AND(J628&lt;&gt;"",J628&lt;A628),"⚠ Relance avant la date de l'action",IF(A628&gt;TODAY(),"⚠ Date dans le futur","✓"))))))))</f>
        <v/>
      </c>
      <c r="AS628" s="61">
        <f>IF(AND(A628="",C628="",E628=""),"",ROW())</f>
        <v/>
      </c>
      <c r="AT628" s="61">
        <f>IF(E628&amp;F628="","",MAX(IFERROR(INDEX('Paramètres'!$J$6:$J$33,MATCH(E628,'Paramètres'!$I$6:$I$33,0)),0),IFERROR(INDEX('Paramètres'!$N$6:$N$17,MATCH(F628,'Paramètres'!$M$6:$M$17,0)),0)))</f>
        <v/>
      </c>
      <c r="AU628" s="61">
        <f>IF(E628="","",IFERROR(IF(INDEX('Paramètres'!$K$6:$K$33,MATCH(E628,'Paramètres'!$I$6:$I$33,0))="Oui",1,0),0))</f>
        <v/>
      </c>
      <c r="AV628" s="61">
        <f>IF(F628="","",IFERROR(IF(INDEX('Paramètres'!$O$6:$O$17,MATCH(F628,'Paramètres'!$M$6:$M$17,0))="Oui",1,0),0))</f>
        <v/>
      </c>
      <c r="AW628" s="62">
        <f>IF(E628="","",IF(G628&lt;&gt;"",G628,IF(OR(E628="Proposition envoyée",E628="Signature"),MAX(0,N(IFERROR(INDEX('Paramètres'!$R$6:$R$15,MATCH(IF(AL628&lt;&gt;"",AL628,IFERROR(INDEX('Prospects'!$AN$5:$AN$504,MATCH(C628,'Prospects'!$C$5:$C$504,0)),"")),'Paramètres'!$Q$6:$Q$15,0)),0))-N(P628)),0)))</f>
        <v/>
      </c>
      <c r="AX628" s="61">
        <f>IF(C628="","",IF(COUNTIF($C$5:C628,C628)=1,MAX($AX$4:AX627)+1,""))</f>
        <v/>
      </c>
      <c r="AY628" s="61">
        <f>IF(B628="","",HOUR(B628))</f>
        <v/>
      </c>
      <c r="AZ628" s="61">
        <f>IF(A628="","",MOD(A628-2,7)+1)</f>
        <v/>
      </c>
      <c r="BA628" s="60">
        <f>IF(C628="","",IFERROR(INDEX('Prospects'!$N$5:$N$504,MATCH(C628,'Prospects'!$C$5:$C$504,0)),""))</f>
        <v/>
      </c>
      <c r="BB628" s="61">
        <f>IF(AND(C628&lt;&gt;"",C628='Fiche prospect'!$C$4),COUNTIF($C$5:C628,C628),"")</f>
        <v/>
      </c>
    </row>
    <row r="629">
      <c r="A629" s="53" t="n"/>
      <c r="B629" s="54" t="n"/>
      <c r="C629" s="55" t="n"/>
      <c r="D629" s="55" t="n"/>
      <c r="E629" s="55" t="n"/>
      <c r="F629" s="55" t="n"/>
      <c r="G629" s="56" t="n"/>
      <c r="H629" s="57" t="n"/>
      <c r="I629" s="55" t="n"/>
      <c r="J629" s="53" t="n"/>
      <c r="K629" s="54" t="n"/>
      <c r="L629" s="55" t="n"/>
      <c r="M629" s="55" t="n"/>
      <c r="N629" s="57" t="n"/>
      <c r="O629" s="55" t="n"/>
      <c r="P629" s="56" t="n"/>
      <c r="Q629" s="55" t="n"/>
      <c r="R629" s="55" t="n"/>
      <c r="S629" s="55" t="n"/>
      <c r="T629" s="55" t="n"/>
      <c r="U629" s="55" t="n"/>
      <c r="V629" s="55" t="n"/>
      <c r="W629" s="58" t="n"/>
      <c r="X629" s="58" t="n"/>
      <c r="Y629" s="55" t="n"/>
      <c r="Z629" s="55" t="n"/>
      <c r="AA629" s="55" t="n"/>
      <c r="AB629" s="55" t="n"/>
      <c r="AC629" s="55" t="n"/>
      <c r="AD629" s="53" t="n"/>
      <c r="AE629" s="55" t="n"/>
      <c r="AF629" s="55" t="n"/>
      <c r="AG629" s="59" t="n"/>
      <c r="AH629" s="57" t="n"/>
      <c r="AI629" s="55" t="n"/>
      <c r="AJ629" s="55" t="n"/>
      <c r="AK629" s="55" t="n"/>
      <c r="AL629" s="55" t="n"/>
      <c r="AM629" s="56" t="n"/>
      <c r="AN629" s="55" t="n"/>
      <c r="AO629" s="55" t="n"/>
      <c r="AP629" s="55" t="n"/>
      <c r="AQ629" s="55" t="n"/>
      <c r="AR629" s="60">
        <f>IF(AND(C629="",E629=""),"",IF(A629="","⚠ Date manquante",IF(AND(C629="",E629&lt;&gt;"Dépense"),"⚠ Prospect manquant",IF(E629="","⚠ Action manquante",IF(AND(AU629=1,D629=""),"⚠ Canal manquant",IF(AND(W629&lt;&gt;"",COUNTIFS('Saisie'!$W$5:$W$2004,W629,'Saisie'!$C$5:$C$2004,"&lt;&gt;"&amp;C629)&gt;0),"⚠ Numéro déjà utilisé par un autre prospect",IF(AND(J629&lt;&gt;"",J629&lt;A629),"⚠ Relance avant la date de l'action",IF(A629&gt;TODAY(),"⚠ Date dans le futur","✓"))))))))</f>
        <v/>
      </c>
      <c r="AS629" s="61">
        <f>IF(AND(A629="",C629="",E629=""),"",ROW())</f>
        <v/>
      </c>
      <c r="AT629" s="61">
        <f>IF(E629&amp;F629="","",MAX(IFERROR(INDEX('Paramètres'!$J$6:$J$33,MATCH(E629,'Paramètres'!$I$6:$I$33,0)),0),IFERROR(INDEX('Paramètres'!$N$6:$N$17,MATCH(F629,'Paramètres'!$M$6:$M$17,0)),0)))</f>
        <v/>
      </c>
      <c r="AU629" s="61">
        <f>IF(E629="","",IFERROR(IF(INDEX('Paramètres'!$K$6:$K$33,MATCH(E629,'Paramètres'!$I$6:$I$33,0))="Oui",1,0),0))</f>
        <v/>
      </c>
      <c r="AV629" s="61">
        <f>IF(F629="","",IFERROR(IF(INDEX('Paramètres'!$O$6:$O$17,MATCH(F629,'Paramètres'!$M$6:$M$17,0))="Oui",1,0),0))</f>
        <v/>
      </c>
      <c r="AW629" s="62">
        <f>IF(E629="","",IF(G629&lt;&gt;"",G629,IF(OR(E629="Proposition envoyée",E629="Signature"),MAX(0,N(IFERROR(INDEX('Paramètres'!$R$6:$R$15,MATCH(IF(AL629&lt;&gt;"",AL629,IFERROR(INDEX('Prospects'!$AN$5:$AN$504,MATCH(C629,'Prospects'!$C$5:$C$504,0)),"")),'Paramètres'!$Q$6:$Q$15,0)),0))-N(P629)),0)))</f>
        <v/>
      </c>
      <c r="AX629" s="61">
        <f>IF(C629="","",IF(COUNTIF($C$5:C629,C629)=1,MAX($AX$4:AX628)+1,""))</f>
        <v/>
      </c>
      <c r="AY629" s="61">
        <f>IF(B629="","",HOUR(B629))</f>
        <v/>
      </c>
      <c r="AZ629" s="61">
        <f>IF(A629="","",MOD(A629-2,7)+1)</f>
        <v/>
      </c>
      <c r="BA629" s="60">
        <f>IF(C629="","",IFERROR(INDEX('Prospects'!$N$5:$N$504,MATCH(C629,'Prospects'!$C$5:$C$504,0)),""))</f>
        <v/>
      </c>
      <c r="BB629" s="61">
        <f>IF(AND(C629&lt;&gt;"",C629='Fiche prospect'!$C$4),COUNTIF($C$5:C629,C629),"")</f>
        <v/>
      </c>
    </row>
    <row r="630">
      <c r="A630" s="53" t="n"/>
      <c r="B630" s="54" t="n"/>
      <c r="C630" s="55" t="n"/>
      <c r="D630" s="55" t="n"/>
      <c r="E630" s="55" t="n"/>
      <c r="F630" s="55" t="n"/>
      <c r="G630" s="56" t="n"/>
      <c r="H630" s="57" t="n"/>
      <c r="I630" s="55" t="n"/>
      <c r="J630" s="53" t="n"/>
      <c r="K630" s="54" t="n"/>
      <c r="L630" s="55" t="n"/>
      <c r="M630" s="55" t="n"/>
      <c r="N630" s="57" t="n"/>
      <c r="O630" s="55" t="n"/>
      <c r="P630" s="56" t="n"/>
      <c r="Q630" s="55" t="n"/>
      <c r="R630" s="55" t="n"/>
      <c r="S630" s="55" t="n"/>
      <c r="T630" s="55" t="n"/>
      <c r="U630" s="55" t="n"/>
      <c r="V630" s="55" t="n"/>
      <c r="W630" s="58" t="n"/>
      <c r="X630" s="58" t="n"/>
      <c r="Y630" s="55" t="n"/>
      <c r="Z630" s="55" t="n"/>
      <c r="AA630" s="55" t="n"/>
      <c r="AB630" s="55" t="n"/>
      <c r="AC630" s="55" t="n"/>
      <c r="AD630" s="53" t="n"/>
      <c r="AE630" s="55" t="n"/>
      <c r="AF630" s="55" t="n"/>
      <c r="AG630" s="59" t="n"/>
      <c r="AH630" s="57" t="n"/>
      <c r="AI630" s="55" t="n"/>
      <c r="AJ630" s="55" t="n"/>
      <c r="AK630" s="55" t="n"/>
      <c r="AL630" s="55" t="n"/>
      <c r="AM630" s="56" t="n"/>
      <c r="AN630" s="55" t="n"/>
      <c r="AO630" s="55" t="n"/>
      <c r="AP630" s="55" t="n"/>
      <c r="AQ630" s="55" t="n"/>
      <c r="AR630" s="60">
        <f>IF(AND(C630="",E630=""),"",IF(A630="","⚠ Date manquante",IF(AND(C630="",E630&lt;&gt;"Dépense"),"⚠ Prospect manquant",IF(E630="","⚠ Action manquante",IF(AND(AU630=1,D630=""),"⚠ Canal manquant",IF(AND(W630&lt;&gt;"",COUNTIFS('Saisie'!$W$5:$W$2004,W630,'Saisie'!$C$5:$C$2004,"&lt;&gt;"&amp;C630)&gt;0),"⚠ Numéro déjà utilisé par un autre prospect",IF(AND(J630&lt;&gt;"",J630&lt;A630),"⚠ Relance avant la date de l'action",IF(A630&gt;TODAY(),"⚠ Date dans le futur","✓"))))))))</f>
        <v/>
      </c>
      <c r="AS630" s="61">
        <f>IF(AND(A630="",C630="",E630=""),"",ROW())</f>
        <v/>
      </c>
      <c r="AT630" s="61">
        <f>IF(E630&amp;F630="","",MAX(IFERROR(INDEX('Paramètres'!$J$6:$J$33,MATCH(E630,'Paramètres'!$I$6:$I$33,0)),0),IFERROR(INDEX('Paramètres'!$N$6:$N$17,MATCH(F630,'Paramètres'!$M$6:$M$17,0)),0)))</f>
        <v/>
      </c>
      <c r="AU630" s="61">
        <f>IF(E630="","",IFERROR(IF(INDEX('Paramètres'!$K$6:$K$33,MATCH(E630,'Paramètres'!$I$6:$I$33,0))="Oui",1,0),0))</f>
        <v/>
      </c>
      <c r="AV630" s="61">
        <f>IF(F630="","",IFERROR(IF(INDEX('Paramètres'!$O$6:$O$17,MATCH(F630,'Paramètres'!$M$6:$M$17,0))="Oui",1,0),0))</f>
        <v/>
      </c>
      <c r="AW630" s="62">
        <f>IF(E630="","",IF(G630&lt;&gt;"",G630,IF(OR(E630="Proposition envoyée",E630="Signature"),MAX(0,N(IFERROR(INDEX('Paramètres'!$R$6:$R$15,MATCH(IF(AL630&lt;&gt;"",AL630,IFERROR(INDEX('Prospects'!$AN$5:$AN$504,MATCH(C630,'Prospects'!$C$5:$C$504,0)),"")),'Paramètres'!$Q$6:$Q$15,0)),0))-N(P630)),0)))</f>
        <v/>
      </c>
      <c r="AX630" s="61">
        <f>IF(C630="","",IF(COUNTIF($C$5:C630,C630)=1,MAX($AX$4:AX629)+1,""))</f>
        <v/>
      </c>
      <c r="AY630" s="61">
        <f>IF(B630="","",HOUR(B630))</f>
        <v/>
      </c>
      <c r="AZ630" s="61">
        <f>IF(A630="","",MOD(A630-2,7)+1)</f>
        <v/>
      </c>
      <c r="BA630" s="60">
        <f>IF(C630="","",IFERROR(INDEX('Prospects'!$N$5:$N$504,MATCH(C630,'Prospects'!$C$5:$C$504,0)),""))</f>
        <v/>
      </c>
      <c r="BB630" s="61">
        <f>IF(AND(C630&lt;&gt;"",C630='Fiche prospect'!$C$4),COUNTIF($C$5:C630,C630),"")</f>
        <v/>
      </c>
    </row>
    <row r="631">
      <c r="A631" s="53" t="n"/>
      <c r="B631" s="54" t="n"/>
      <c r="C631" s="55" t="n"/>
      <c r="D631" s="55" t="n"/>
      <c r="E631" s="55" t="n"/>
      <c r="F631" s="55" t="n"/>
      <c r="G631" s="56" t="n"/>
      <c r="H631" s="57" t="n"/>
      <c r="I631" s="55" t="n"/>
      <c r="J631" s="53" t="n"/>
      <c r="K631" s="54" t="n"/>
      <c r="L631" s="55" t="n"/>
      <c r="M631" s="55" t="n"/>
      <c r="N631" s="57" t="n"/>
      <c r="O631" s="55" t="n"/>
      <c r="P631" s="56" t="n"/>
      <c r="Q631" s="55" t="n"/>
      <c r="R631" s="55" t="n"/>
      <c r="S631" s="55" t="n"/>
      <c r="T631" s="55" t="n"/>
      <c r="U631" s="55" t="n"/>
      <c r="V631" s="55" t="n"/>
      <c r="W631" s="58" t="n"/>
      <c r="X631" s="58" t="n"/>
      <c r="Y631" s="55" t="n"/>
      <c r="Z631" s="55" t="n"/>
      <c r="AA631" s="55" t="n"/>
      <c r="AB631" s="55" t="n"/>
      <c r="AC631" s="55" t="n"/>
      <c r="AD631" s="53" t="n"/>
      <c r="AE631" s="55" t="n"/>
      <c r="AF631" s="55" t="n"/>
      <c r="AG631" s="59" t="n"/>
      <c r="AH631" s="57" t="n"/>
      <c r="AI631" s="55" t="n"/>
      <c r="AJ631" s="55" t="n"/>
      <c r="AK631" s="55" t="n"/>
      <c r="AL631" s="55" t="n"/>
      <c r="AM631" s="56" t="n"/>
      <c r="AN631" s="55" t="n"/>
      <c r="AO631" s="55" t="n"/>
      <c r="AP631" s="55" t="n"/>
      <c r="AQ631" s="55" t="n"/>
      <c r="AR631" s="60">
        <f>IF(AND(C631="",E631=""),"",IF(A631="","⚠ Date manquante",IF(AND(C631="",E631&lt;&gt;"Dépense"),"⚠ Prospect manquant",IF(E631="","⚠ Action manquante",IF(AND(AU631=1,D631=""),"⚠ Canal manquant",IF(AND(W631&lt;&gt;"",COUNTIFS('Saisie'!$W$5:$W$2004,W631,'Saisie'!$C$5:$C$2004,"&lt;&gt;"&amp;C631)&gt;0),"⚠ Numéro déjà utilisé par un autre prospect",IF(AND(J631&lt;&gt;"",J631&lt;A631),"⚠ Relance avant la date de l'action",IF(A631&gt;TODAY(),"⚠ Date dans le futur","✓"))))))))</f>
        <v/>
      </c>
      <c r="AS631" s="61">
        <f>IF(AND(A631="",C631="",E631=""),"",ROW())</f>
        <v/>
      </c>
      <c r="AT631" s="61">
        <f>IF(E631&amp;F631="","",MAX(IFERROR(INDEX('Paramètres'!$J$6:$J$33,MATCH(E631,'Paramètres'!$I$6:$I$33,0)),0),IFERROR(INDEX('Paramètres'!$N$6:$N$17,MATCH(F631,'Paramètres'!$M$6:$M$17,0)),0)))</f>
        <v/>
      </c>
      <c r="AU631" s="61">
        <f>IF(E631="","",IFERROR(IF(INDEX('Paramètres'!$K$6:$K$33,MATCH(E631,'Paramètres'!$I$6:$I$33,0))="Oui",1,0),0))</f>
        <v/>
      </c>
      <c r="AV631" s="61">
        <f>IF(F631="","",IFERROR(IF(INDEX('Paramètres'!$O$6:$O$17,MATCH(F631,'Paramètres'!$M$6:$M$17,0))="Oui",1,0),0))</f>
        <v/>
      </c>
      <c r="AW631" s="62">
        <f>IF(E631="","",IF(G631&lt;&gt;"",G631,IF(OR(E631="Proposition envoyée",E631="Signature"),MAX(0,N(IFERROR(INDEX('Paramètres'!$R$6:$R$15,MATCH(IF(AL631&lt;&gt;"",AL631,IFERROR(INDEX('Prospects'!$AN$5:$AN$504,MATCH(C631,'Prospects'!$C$5:$C$504,0)),"")),'Paramètres'!$Q$6:$Q$15,0)),0))-N(P631)),0)))</f>
        <v/>
      </c>
      <c r="AX631" s="61">
        <f>IF(C631="","",IF(COUNTIF($C$5:C631,C631)=1,MAX($AX$4:AX630)+1,""))</f>
        <v/>
      </c>
      <c r="AY631" s="61">
        <f>IF(B631="","",HOUR(B631))</f>
        <v/>
      </c>
      <c r="AZ631" s="61">
        <f>IF(A631="","",MOD(A631-2,7)+1)</f>
        <v/>
      </c>
      <c r="BA631" s="60">
        <f>IF(C631="","",IFERROR(INDEX('Prospects'!$N$5:$N$504,MATCH(C631,'Prospects'!$C$5:$C$504,0)),""))</f>
        <v/>
      </c>
      <c r="BB631" s="61">
        <f>IF(AND(C631&lt;&gt;"",C631='Fiche prospect'!$C$4),COUNTIF($C$5:C631,C631),"")</f>
        <v/>
      </c>
    </row>
    <row r="632">
      <c r="A632" s="53" t="n"/>
      <c r="B632" s="54" t="n"/>
      <c r="C632" s="55" t="n"/>
      <c r="D632" s="55" t="n"/>
      <c r="E632" s="55" t="n"/>
      <c r="F632" s="55" t="n"/>
      <c r="G632" s="56" t="n"/>
      <c r="H632" s="57" t="n"/>
      <c r="I632" s="55" t="n"/>
      <c r="J632" s="53" t="n"/>
      <c r="K632" s="54" t="n"/>
      <c r="L632" s="55" t="n"/>
      <c r="M632" s="55" t="n"/>
      <c r="N632" s="57" t="n"/>
      <c r="O632" s="55" t="n"/>
      <c r="P632" s="56" t="n"/>
      <c r="Q632" s="55" t="n"/>
      <c r="R632" s="55" t="n"/>
      <c r="S632" s="55" t="n"/>
      <c r="T632" s="55" t="n"/>
      <c r="U632" s="55" t="n"/>
      <c r="V632" s="55" t="n"/>
      <c r="W632" s="58" t="n"/>
      <c r="X632" s="58" t="n"/>
      <c r="Y632" s="55" t="n"/>
      <c r="Z632" s="55" t="n"/>
      <c r="AA632" s="55" t="n"/>
      <c r="AB632" s="55" t="n"/>
      <c r="AC632" s="55" t="n"/>
      <c r="AD632" s="53" t="n"/>
      <c r="AE632" s="55" t="n"/>
      <c r="AF632" s="55" t="n"/>
      <c r="AG632" s="59" t="n"/>
      <c r="AH632" s="57" t="n"/>
      <c r="AI632" s="55" t="n"/>
      <c r="AJ632" s="55" t="n"/>
      <c r="AK632" s="55" t="n"/>
      <c r="AL632" s="55" t="n"/>
      <c r="AM632" s="56" t="n"/>
      <c r="AN632" s="55" t="n"/>
      <c r="AO632" s="55" t="n"/>
      <c r="AP632" s="55" t="n"/>
      <c r="AQ632" s="55" t="n"/>
      <c r="AR632" s="60">
        <f>IF(AND(C632="",E632=""),"",IF(A632="","⚠ Date manquante",IF(AND(C632="",E632&lt;&gt;"Dépense"),"⚠ Prospect manquant",IF(E632="","⚠ Action manquante",IF(AND(AU632=1,D632=""),"⚠ Canal manquant",IF(AND(W632&lt;&gt;"",COUNTIFS('Saisie'!$W$5:$W$2004,W632,'Saisie'!$C$5:$C$2004,"&lt;&gt;"&amp;C632)&gt;0),"⚠ Numéro déjà utilisé par un autre prospect",IF(AND(J632&lt;&gt;"",J632&lt;A632),"⚠ Relance avant la date de l'action",IF(A632&gt;TODAY(),"⚠ Date dans le futur","✓"))))))))</f>
        <v/>
      </c>
      <c r="AS632" s="61">
        <f>IF(AND(A632="",C632="",E632=""),"",ROW())</f>
        <v/>
      </c>
      <c r="AT632" s="61">
        <f>IF(E632&amp;F632="","",MAX(IFERROR(INDEX('Paramètres'!$J$6:$J$33,MATCH(E632,'Paramètres'!$I$6:$I$33,0)),0),IFERROR(INDEX('Paramètres'!$N$6:$N$17,MATCH(F632,'Paramètres'!$M$6:$M$17,0)),0)))</f>
        <v/>
      </c>
      <c r="AU632" s="61">
        <f>IF(E632="","",IFERROR(IF(INDEX('Paramètres'!$K$6:$K$33,MATCH(E632,'Paramètres'!$I$6:$I$33,0))="Oui",1,0),0))</f>
        <v/>
      </c>
      <c r="AV632" s="61">
        <f>IF(F632="","",IFERROR(IF(INDEX('Paramètres'!$O$6:$O$17,MATCH(F632,'Paramètres'!$M$6:$M$17,0))="Oui",1,0),0))</f>
        <v/>
      </c>
      <c r="AW632" s="62">
        <f>IF(E632="","",IF(G632&lt;&gt;"",G632,IF(OR(E632="Proposition envoyée",E632="Signature"),MAX(0,N(IFERROR(INDEX('Paramètres'!$R$6:$R$15,MATCH(IF(AL632&lt;&gt;"",AL632,IFERROR(INDEX('Prospects'!$AN$5:$AN$504,MATCH(C632,'Prospects'!$C$5:$C$504,0)),"")),'Paramètres'!$Q$6:$Q$15,0)),0))-N(P632)),0)))</f>
        <v/>
      </c>
      <c r="AX632" s="61">
        <f>IF(C632="","",IF(COUNTIF($C$5:C632,C632)=1,MAX($AX$4:AX631)+1,""))</f>
        <v/>
      </c>
      <c r="AY632" s="61">
        <f>IF(B632="","",HOUR(B632))</f>
        <v/>
      </c>
      <c r="AZ632" s="61">
        <f>IF(A632="","",MOD(A632-2,7)+1)</f>
        <v/>
      </c>
      <c r="BA632" s="60">
        <f>IF(C632="","",IFERROR(INDEX('Prospects'!$N$5:$N$504,MATCH(C632,'Prospects'!$C$5:$C$504,0)),""))</f>
        <v/>
      </c>
      <c r="BB632" s="61">
        <f>IF(AND(C632&lt;&gt;"",C632='Fiche prospect'!$C$4),COUNTIF($C$5:C632,C632),"")</f>
        <v/>
      </c>
    </row>
    <row r="633">
      <c r="A633" s="53" t="n"/>
      <c r="B633" s="54" t="n"/>
      <c r="C633" s="55" t="n"/>
      <c r="D633" s="55" t="n"/>
      <c r="E633" s="55" t="n"/>
      <c r="F633" s="55" t="n"/>
      <c r="G633" s="56" t="n"/>
      <c r="H633" s="57" t="n"/>
      <c r="I633" s="55" t="n"/>
      <c r="J633" s="53" t="n"/>
      <c r="K633" s="54" t="n"/>
      <c r="L633" s="55" t="n"/>
      <c r="M633" s="55" t="n"/>
      <c r="N633" s="57" t="n"/>
      <c r="O633" s="55" t="n"/>
      <c r="P633" s="56" t="n"/>
      <c r="Q633" s="55" t="n"/>
      <c r="R633" s="55" t="n"/>
      <c r="S633" s="55" t="n"/>
      <c r="T633" s="55" t="n"/>
      <c r="U633" s="55" t="n"/>
      <c r="V633" s="55" t="n"/>
      <c r="W633" s="58" t="n"/>
      <c r="X633" s="58" t="n"/>
      <c r="Y633" s="55" t="n"/>
      <c r="Z633" s="55" t="n"/>
      <c r="AA633" s="55" t="n"/>
      <c r="AB633" s="55" t="n"/>
      <c r="AC633" s="55" t="n"/>
      <c r="AD633" s="53" t="n"/>
      <c r="AE633" s="55" t="n"/>
      <c r="AF633" s="55" t="n"/>
      <c r="AG633" s="59" t="n"/>
      <c r="AH633" s="57" t="n"/>
      <c r="AI633" s="55" t="n"/>
      <c r="AJ633" s="55" t="n"/>
      <c r="AK633" s="55" t="n"/>
      <c r="AL633" s="55" t="n"/>
      <c r="AM633" s="56" t="n"/>
      <c r="AN633" s="55" t="n"/>
      <c r="AO633" s="55" t="n"/>
      <c r="AP633" s="55" t="n"/>
      <c r="AQ633" s="55" t="n"/>
      <c r="AR633" s="60">
        <f>IF(AND(C633="",E633=""),"",IF(A633="","⚠ Date manquante",IF(AND(C633="",E633&lt;&gt;"Dépense"),"⚠ Prospect manquant",IF(E633="","⚠ Action manquante",IF(AND(AU633=1,D633=""),"⚠ Canal manquant",IF(AND(W633&lt;&gt;"",COUNTIFS('Saisie'!$W$5:$W$2004,W633,'Saisie'!$C$5:$C$2004,"&lt;&gt;"&amp;C633)&gt;0),"⚠ Numéro déjà utilisé par un autre prospect",IF(AND(J633&lt;&gt;"",J633&lt;A633),"⚠ Relance avant la date de l'action",IF(A633&gt;TODAY(),"⚠ Date dans le futur","✓"))))))))</f>
        <v/>
      </c>
      <c r="AS633" s="61">
        <f>IF(AND(A633="",C633="",E633=""),"",ROW())</f>
        <v/>
      </c>
      <c r="AT633" s="61">
        <f>IF(E633&amp;F633="","",MAX(IFERROR(INDEX('Paramètres'!$J$6:$J$33,MATCH(E633,'Paramètres'!$I$6:$I$33,0)),0),IFERROR(INDEX('Paramètres'!$N$6:$N$17,MATCH(F633,'Paramètres'!$M$6:$M$17,0)),0)))</f>
        <v/>
      </c>
      <c r="AU633" s="61">
        <f>IF(E633="","",IFERROR(IF(INDEX('Paramètres'!$K$6:$K$33,MATCH(E633,'Paramètres'!$I$6:$I$33,0))="Oui",1,0),0))</f>
        <v/>
      </c>
      <c r="AV633" s="61">
        <f>IF(F633="","",IFERROR(IF(INDEX('Paramètres'!$O$6:$O$17,MATCH(F633,'Paramètres'!$M$6:$M$17,0))="Oui",1,0),0))</f>
        <v/>
      </c>
      <c r="AW633" s="62">
        <f>IF(E633="","",IF(G633&lt;&gt;"",G633,IF(OR(E633="Proposition envoyée",E633="Signature"),MAX(0,N(IFERROR(INDEX('Paramètres'!$R$6:$R$15,MATCH(IF(AL633&lt;&gt;"",AL633,IFERROR(INDEX('Prospects'!$AN$5:$AN$504,MATCH(C633,'Prospects'!$C$5:$C$504,0)),"")),'Paramètres'!$Q$6:$Q$15,0)),0))-N(P633)),0)))</f>
        <v/>
      </c>
      <c r="AX633" s="61">
        <f>IF(C633="","",IF(COUNTIF($C$5:C633,C633)=1,MAX($AX$4:AX632)+1,""))</f>
        <v/>
      </c>
      <c r="AY633" s="61">
        <f>IF(B633="","",HOUR(B633))</f>
        <v/>
      </c>
      <c r="AZ633" s="61">
        <f>IF(A633="","",MOD(A633-2,7)+1)</f>
        <v/>
      </c>
      <c r="BA633" s="60">
        <f>IF(C633="","",IFERROR(INDEX('Prospects'!$N$5:$N$504,MATCH(C633,'Prospects'!$C$5:$C$504,0)),""))</f>
        <v/>
      </c>
      <c r="BB633" s="61">
        <f>IF(AND(C633&lt;&gt;"",C633='Fiche prospect'!$C$4),COUNTIF($C$5:C633,C633),"")</f>
        <v/>
      </c>
    </row>
    <row r="634">
      <c r="A634" s="53" t="n"/>
      <c r="B634" s="54" t="n"/>
      <c r="C634" s="55" t="n"/>
      <c r="D634" s="55" t="n"/>
      <c r="E634" s="55" t="n"/>
      <c r="F634" s="55" t="n"/>
      <c r="G634" s="56" t="n"/>
      <c r="H634" s="57" t="n"/>
      <c r="I634" s="55" t="n"/>
      <c r="J634" s="53" t="n"/>
      <c r="K634" s="54" t="n"/>
      <c r="L634" s="55" t="n"/>
      <c r="M634" s="55" t="n"/>
      <c r="N634" s="57" t="n"/>
      <c r="O634" s="55" t="n"/>
      <c r="P634" s="56" t="n"/>
      <c r="Q634" s="55" t="n"/>
      <c r="R634" s="55" t="n"/>
      <c r="S634" s="55" t="n"/>
      <c r="T634" s="55" t="n"/>
      <c r="U634" s="55" t="n"/>
      <c r="V634" s="55" t="n"/>
      <c r="W634" s="58" t="n"/>
      <c r="X634" s="58" t="n"/>
      <c r="Y634" s="55" t="n"/>
      <c r="Z634" s="55" t="n"/>
      <c r="AA634" s="55" t="n"/>
      <c r="AB634" s="55" t="n"/>
      <c r="AC634" s="55" t="n"/>
      <c r="AD634" s="53" t="n"/>
      <c r="AE634" s="55" t="n"/>
      <c r="AF634" s="55" t="n"/>
      <c r="AG634" s="59" t="n"/>
      <c r="AH634" s="57" t="n"/>
      <c r="AI634" s="55" t="n"/>
      <c r="AJ634" s="55" t="n"/>
      <c r="AK634" s="55" t="n"/>
      <c r="AL634" s="55" t="n"/>
      <c r="AM634" s="56" t="n"/>
      <c r="AN634" s="55" t="n"/>
      <c r="AO634" s="55" t="n"/>
      <c r="AP634" s="55" t="n"/>
      <c r="AQ634" s="55" t="n"/>
      <c r="AR634" s="60">
        <f>IF(AND(C634="",E634=""),"",IF(A634="","⚠ Date manquante",IF(AND(C634="",E634&lt;&gt;"Dépense"),"⚠ Prospect manquant",IF(E634="","⚠ Action manquante",IF(AND(AU634=1,D634=""),"⚠ Canal manquant",IF(AND(W634&lt;&gt;"",COUNTIFS('Saisie'!$W$5:$W$2004,W634,'Saisie'!$C$5:$C$2004,"&lt;&gt;"&amp;C634)&gt;0),"⚠ Numéro déjà utilisé par un autre prospect",IF(AND(J634&lt;&gt;"",J634&lt;A634),"⚠ Relance avant la date de l'action",IF(A634&gt;TODAY(),"⚠ Date dans le futur","✓"))))))))</f>
        <v/>
      </c>
      <c r="AS634" s="61">
        <f>IF(AND(A634="",C634="",E634=""),"",ROW())</f>
        <v/>
      </c>
      <c r="AT634" s="61">
        <f>IF(E634&amp;F634="","",MAX(IFERROR(INDEX('Paramètres'!$J$6:$J$33,MATCH(E634,'Paramètres'!$I$6:$I$33,0)),0),IFERROR(INDEX('Paramètres'!$N$6:$N$17,MATCH(F634,'Paramètres'!$M$6:$M$17,0)),0)))</f>
        <v/>
      </c>
      <c r="AU634" s="61">
        <f>IF(E634="","",IFERROR(IF(INDEX('Paramètres'!$K$6:$K$33,MATCH(E634,'Paramètres'!$I$6:$I$33,0))="Oui",1,0),0))</f>
        <v/>
      </c>
      <c r="AV634" s="61">
        <f>IF(F634="","",IFERROR(IF(INDEX('Paramètres'!$O$6:$O$17,MATCH(F634,'Paramètres'!$M$6:$M$17,0))="Oui",1,0),0))</f>
        <v/>
      </c>
      <c r="AW634" s="62">
        <f>IF(E634="","",IF(G634&lt;&gt;"",G634,IF(OR(E634="Proposition envoyée",E634="Signature"),MAX(0,N(IFERROR(INDEX('Paramètres'!$R$6:$R$15,MATCH(IF(AL634&lt;&gt;"",AL634,IFERROR(INDEX('Prospects'!$AN$5:$AN$504,MATCH(C634,'Prospects'!$C$5:$C$504,0)),"")),'Paramètres'!$Q$6:$Q$15,0)),0))-N(P634)),0)))</f>
        <v/>
      </c>
      <c r="AX634" s="61">
        <f>IF(C634="","",IF(COUNTIF($C$5:C634,C634)=1,MAX($AX$4:AX633)+1,""))</f>
        <v/>
      </c>
      <c r="AY634" s="61">
        <f>IF(B634="","",HOUR(B634))</f>
        <v/>
      </c>
      <c r="AZ634" s="61">
        <f>IF(A634="","",MOD(A634-2,7)+1)</f>
        <v/>
      </c>
      <c r="BA634" s="60">
        <f>IF(C634="","",IFERROR(INDEX('Prospects'!$N$5:$N$504,MATCH(C634,'Prospects'!$C$5:$C$504,0)),""))</f>
        <v/>
      </c>
      <c r="BB634" s="61">
        <f>IF(AND(C634&lt;&gt;"",C634='Fiche prospect'!$C$4),COUNTIF($C$5:C634,C634),"")</f>
        <v/>
      </c>
    </row>
    <row r="635">
      <c r="A635" s="53" t="n"/>
      <c r="B635" s="54" t="n"/>
      <c r="C635" s="55" t="n"/>
      <c r="D635" s="55" t="n"/>
      <c r="E635" s="55" t="n"/>
      <c r="F635" s="55" t="n"/>
      <c r="G635" s="56" t="n"/>
      <c r="H635" s="57" t="n"/>
      <c r="I635" s="55" t="n"/>
      <c r="J635" s="53" t="n"/>
      <c r="K635" s="54" t="n"/>
      <c r="L635" s="55" t="n"/>
      <c r="M635" s="55" t="n"/>
      <c r="N635" s="57" t="n"/>
      <c r="O635" s="55" t="n"/>
      <c r="P635" s="56" t="n"/>
      <c r="Q635" s="55" t="n"/>
      <c r="R635" s="55" t="n"/>
      <c r="S635" s="55" t="n"/>
      <c r="T635" s="55" t="n"/>
      <c r="U635" s="55" t="n"/>
      <c r="V635" s="55" t="n"/>
      <c r="W635" s="58" t="n"/>
      <c r="X635" s="58" t="n"/>
      <c r="Y635" s="55" t="n"/>
      <c r="Z635" s="55" t="n"/>
      <c r="AA635" s="55" t="n"/>
      <c r="AB635" s="55" t="n"/>
      <c r="AC635" s="55" t="n"/>
      <c r="AD635" s="53" t="n"/>
      <c r="AE635" s="55" t="n"/>
      <c r="AF635" s="55" t="n"/>
      <c r="AG635" s="59" t="n"/>
      <c r="AH635" s="57" t="n"/>
      <c r="AI635" s="55" t="n"/>
      <c r="AJ635" s="55" t="n"/>
      <c r="AK635" s="55" t="n"/>
      <c r="AL635" s="55" t="n"/>
      <c r="AM635" s="56" t="n"/>
      <c r="AN635" s="55" t="n"/>
      <c r="AO635" s="55" t="n"/>
      <c r="AP635" s="55" t="n"/>
      <c r="AQ635" s="55" t="n"/>
      <c r="AR635" s="60">
        <f>IF(AND(C635="",E635=""),"",IF(A635="","⚠ Date manquante",IF(AND(C635="",E635&lt;&gt;"Dépense"),"⚠ Prospect manquant",IF(E635="","⚠ Action manquante",IF(AND(AU635=1,D635=""),"⚠ Canal manquant",IF(AND(W635&lt;&gt;"",COUNTIFS('Saisie'!$W$5:$W$2004,W635,'Saisie'!$C$5:$C$2004,"&lt;&gt;"&amp;C635)&gt;0),"⚠ Numéro déjà utilisé par un autre prospect",IF(AND(J635&lt;&gt;"",J635&lt;A635),"⚠ Relance avant la date de l'action",IF(A635&gt;TODAY(),"⚠ Date dans le futur","✓"))))))))</f>
        <v/>
      </c>
      <c r="AS635" s="61">
        <f>IF(AND(A635="",C635="",E635=""),"",ROW())</f>
        <v/>
      </c>
      <c r="AT635" s="61">
        <f>IF(E635&amp;F635="","",MAX(IFERROR(INDEX('Paramètres'!$J$6:$J$33,MATCH(E635,'Paramètres'!$I$6:$I$33,0)),0),IFERROR(INDEX('Paramètres'!$N$6:$N$17,MATCH(F635,'Paramètres'!$M$6:$M$17,0)),0)))</f>
        <v/>
      </c>
      <c r="AU635" s="61">
        <f>IF(E635="","",IFERROR(IF(INDEX('Paramètres'!$K$6:$K$33,MATCH(E635,'Paramètres'!$I$6:$I$33,0))="Oui",1,0),0))</f>
        <v/>
      </c>
      <c r="AV635" s="61">
        <f>IF(F635="","",IFERROR(IF(INDEX('Paramètres'!$O$6:$O$17,MATCH(F635,'Paramètres'!$M$6:$M$17,0))="Oui",1,0),0))</f>
        <v/>
      </c>
      <c r="AW635" s="62">
        <f>IF(E635="","",IF(G635&lt;&gt;"",G635,IF(OR(E635="Proposition envoyée",E635="Signature"),MAX(0,N(IFERROR(INDEX('Paramètres'!$R$6:$R$15,MATCH(IF(AL635&lt;&gt;"",AL635,IFERROR(INDEX('Prospects'!$AN$5:$AN$504,MATCH(C635,'Prospects'!$C$5:$C$504,0)),"")),'Paramètres'!$Q$6:$Q$15,0)),0))-N(P635)),0)))</f>
        <v/>
      </c>
      <c r="AX635" s="61">
        <f>IF(C635="","",IF(COUNTIF($C$5:C635,C635)=1,MAX($AX$4:AX634)+1,""))</f>
        <v/>
      </c>
      <c r="AY635" s="61">
        <f>IF(B635="","",HOUR(B635))</f>
        <v/>
      </c>
      <c r="AZ635" s="61">
        <f>IF(A635="","",MOD(A635-2,7)+1)</f>
        <v/>
      </c>
      <c r="BA635" s="60">
        <f>IF(C635="","",IFERROR(INDEX('Prospects'!$N$5:$N$504,MATCH(C635,'Prospects'!$C$5:$C$504,0)),""))</f>
        <v/>
      </c>
      <c r="BB635" s="61">
        <f>IF(AND(C635&lt;&gt;"",C635='Fiche prospect'!$C$4),COUNTIF($C$5:C635,C635),"")</f>
        <v/>
      </c>
    </row>
    <row r="636">
      <c r="A636" s="53" t="n"/>
      <c r="B636" s="54" t="n"/>
      <c r="C636" s="55" t="n"/>
      <c r="D636" s="55" t="n"/>
      <c r="E636" s="55" t="n"/>
      <c r="F636" s="55" t="n"/>
      <c r="G636" s="56" t="n"/>
      <c r="H636" s="57" t="n"/>
      <c r="I636" s="55" t="n"/>
      <c r="J636" s="53" t="n"/>
      <c r="K636" s="54" t="n"/>
      <c r="L636" s="55" t="n"/>
      <c r="M636" s="55" t="n"/>
      <c r="N636" s="57" t="n"/>
      <c r="O636" s="55" t="n"/>
      <c r="P636" s="56" t="n"/>
      <c r="Q636" s="55" t="n"/>
      <c r="R636" s="55" t="n"/>
      <c r="S636" s="55" t="n"/>
      <c r="T636" s="55" t="n"/>
      <c r="U636" s="55" t="n"/>
      <c r="V636" s="55" t="n"/>
      <c r="W636" s="58" t="n"/>
      <c r="X636" s="58" t="n"/>
      <c r="Y636" s="55" t="n"/>
      <c r="Z636" s="55" t="n"/>
      <c r="AA636" s="55" t="n"/>
      <c r="AB636" s="55" t="n"/>
      <c r="AC636" s="55" t="n"/>
      <c r="AD636" s="53" t="n"/>
      <c r="AE636" s="55" t="n"/>
      <c r="AF636" s="55" t="n"/>
      <c r="AG636" s="59" t="n"/>
      <c r="AH636" s="57" t="n"/>
      <c r="AI636" s="55" t="n"/>
      <c r="AJ636" s="55" t="n"/>
      <c r="AK636" s="55" t="n"/>
      <c r="AL636" s="55" t="n"/>
      <c r="AM636" s="56" t="n"/>
      <c r="AN636" s="55" t="n"/>
      <c r="AO636" s="55" t="n"/>
      <c r="AP636" s="55" t="n"/>
      <c r="AQ636" s="55" t="n"/>
      <c r="AR636" s="60">
        <f>IF(AND(C636="",E636=""),"",IF(A636="","⚠ Date manquante",IF(AND(C636="",E636&lt;&gt;"Dépense"),"⚠ Prospect manquant",IF(E636="","⚠ Action manquante",IF(AND(AU636=1,D636=""),"⚠ Canal manquant",IF(AND(W636&lt;&gt;"",COUNTIFS('Saisie'!$W$5:$W$2004,W636,'Saisie'!$C$5:$C$2004,"&lt;&gt;"&amp;C636)&gt;0),"⚠ Numéro déjà utilisé par un autre prospect",IF(AND(J636&lt;&gt;"",J636&lt;A636),"⚠ Relance avant la date de l'action",IF(A636&gt;TODAY(),"⚠ Date dans le futur","✓"))))))))</f>
        <v/>
      </c>
      <c r="AS636" s="61">
        <f>IF(AND(A636="",C636="",E636=""),"",ROW())</f>
        <v/>
      </c>
      <c r="AT636" s="61">
        <f>IF(E636&amp;F636="","",MAX(IFERROR(INDEX('Paramètres'!$J$6:$J$33,MATCH(E636,'Paramètres'!$I$6:$I$33,0)),0),IFERROR(INDEX('Paramètres'!$N$6:$N$17,MATCH(F636,'Paramètres'!$M$6:$M$17,0)),0)))</f>
        <v/>
      </c>
      <c r="AU636" s="61">
        <f>IF(E636="","",IFERROR(IF(INDEX('Paramètres'!$K$6:$K$33,MATCH(E636,'Paramètres'!$I$6:$I$33,0))="Oui",1,0),0))</f>
        <v/>
      </c>
      <c r="AV636" s="61">
        <f>IF(F636="","",IFERROR(IF(INDEX('Paramètres'!$O$6:$O$17,MATCH(F636,'Paramètres'!$M$6:$M$17,0))="Oui",1,0),0))</f>
        <v/>
      </c>
      <c r="AW636" s="62">
        <f>IF(E636="","",IF(G636&lt;&gt;"",G636,IF(OR(E636="Proposition envoyée",E636="Signature"),MAX(0,N(IFERROR(INDEX('Paramètres'!$R$6:$R$15,MATCH(IF(AL636&lt;&gt;"",AL636,IFERROR(INDEX('Prospects'!$AN$5:$AN$504,MATCH(C636,'Prospects'!$C$5:$C$504,0)),"")),'Paramètres'!$Q$6:$Q$15,0)),0))-N(P636)),0)))</f>
        <v/>
      </c>
      <c r="AX636" s="61">
        <f>IF(C636="","",IF(COUNTIF($C$5:C636,C636)=1,MAX($AX$4:AX635)+1,""))</f>
        <v/>
      </c>
      <c r="AY636" s="61">
        <f>IF(B636="","",HOUR(B636))</f>
        <v/>
      </c>
      <c r="AZ636" s="61">
        <f>IF(A636="","",MOD(A636-2,7)+1)</f>
        <v/>
      </c>
      <c r="BA636" s="60">
        <f>IF(C636="","",IFERROR(INDEX('Prospects'!$N$5:$N$504,MATCH(C636,'Prospects'!$C$5:$C$504,0)),""))</f>
        <v/>
      </c>
      <c r="BB636" s="61">
        <f>IF(AND(C636&lt;&gt;"",C636='Fiche prospect'!$C$4),COUNTIF($C$5:C636,C636),"")</f>
        <v/>
      </c>
    </row>
    <row r="637">
      <c r="A637" s="53" t="n"/>
      <c r="B637" s="54" t="n"/>
      <c r="C637" s="55" t="n"/>
      <c r="D637" s="55" t="n"/>
      <c r="E637" s="55" t="n"/>
      <c r="F637" s="55" t="n"/>
      <c r="G637" s="56" t="n"/>
      <c r="H637" s="57" t="n"/>
      <c r="I637" s="55" t="n"/>
      <c r="J637" s="53" t="n"/>
      <c r="K637" s="54" t="n"/>
      <c r="L637" s="55" t="n"/>
      <c r="M637" s="55" t="n"/>
      <c r="N637" s="57" t="n"/>
      <c r="O637" s="55" t="n"/>
      <c r="P637" s="56" t="n"/>
      <c r="Q637" s="55" t="n"/>
      <c r="R637" s="55" t="n"/>
      <c r="S637" s="55" t="n"/>
      <c r="T637" s="55" t="n"/>
      <c r="U637" s="55" t="n"/>
      <c r="V637" s="55" t="n"/>
      <c r="W637" s="58" t="n"/>
      <c r="X637" s="58" t="n"/>
      <c r="Y637" s="55" t="n"/>
      <c r="Z637" s="55" t="n"/>
      <c r="AA637" s="55" t="n"/>
      <c r="AB637" s="55" t="n"/>
      <c r="AC637" s="55" t="n"/>
      <c r="AD637" s="53" t="n"/>
      <c r="AE637" s="55" t="n"/>
      <c r="AF637" s="55" t="n"/>
      <c r="AG637" s="59" t="n"/>
      <c r="AH637" s="57" t="n"/>
      <c r="AI637" s="55" t="n"/>
      <c r="AJ637" s="55" t="n"/>
      <c r="AK637" s="55" t="n"/>
      <c r="AL637" s="55" t="n"/>
      <c r="AM637" s="56" t="n"/>
      <c r="AN637" s="55" t="n"/>
      <c r="AO637" s="55" t="n"/>
      <c r="AP637" s="55" t="n"/>
      <c r="AQ637" s="55" t="n"/>
      <c r="AR637" s="60">
        <f>IF(AND(C637="",E637=""),"",IF(A637="","⚠ Date manquante",IF(AND(C637="",E637&lt;&gt;"Dépense"),"⚠ Prospect manquant",IF(E637="","⚠ Action manquante",IF(AND(AU637=1,D637=""),"⚠ Canal manquant",IF(AND(W637&lt;&gt;"",COUNTIFS('Saisie'!$W$5:$W$2004,W637,'Saisie'!$C$5:$C$2004,"&lt;&gt;"&amp;C637)&gt;0),"⚠ Numéro déjà utilisé par un autre prospect",IF(AND(J637&lt;&gt;"",J637&lt;A637),"⚠ Relance avant la date de l'action",IF(A637&gt;TODAY(),"⚠ Date dans le futur","✓"))))))))</f>
        <v/>
      </c>
      <c r="AS637" s="61">
        <f>IF(AND(A637="",C637="",E637=""),"",ROW())</f>
        <v/>
      </c>
      <c r="AT637" s="61">
        <f>IF(E637&amp;F637="","",MAX(IFERROR(INDEX('Paramètres'!$J$6:$J$33,MATCH(E637,'Paramètres'!$I$6:$I$33,0)),0),IFERROR(INDEX('Paramètres'!$N$6:$N$17,MATCH(F637,'Paramètres'!$M$6:$M$17,0)),0)))</f>
        <v/>
      </c>
      <c r="AU637" s="61">
        <f>IF(E637="","",IFERROR(IF(INDEX('Paramètres'!$K$6:$K$33,MATCH(E637,'Paramètres'!$I$6:$I$33,0))="Oui",1,0),0))</f>
        <v/>
      </c>
      <c r="AV637" s="61">
        <f>IF(F637="","",IFERROR(IF(INDEX('Paramètres'!$O$6:$O$17,MATCH(F637,'Paramètres'!$M$6:$M$17,0))="Oui",1,0),0))</f>
        <v/>
      </c>
      <c r="AW637" s="62">
        <f>IF(E637="","",IF(G637&lt;&gt;"",G637,IF(OR(E637="Proposition envoyée",E637="Signature"),MAX(0,N(IFERROR(INDEX('Paramètres'!$R$6:$R$15,MATCH(IF(AL637&lt;&gt;"",AL637,IFERROR(INDEX('Prospects'!$AN$5:$AN$504,MATCH(C637,'Prospects'!$C$5:$C$504,0)),"")),'Paramètres'!$Q$6:$Q$15,0)),0))-N(P637)),0)))</f>
        <v/>
      </c>
      <c r="AX637" s="61">
        <f>IF(C637="","",IF(COUNTIF($C$5:C637,C637)=1,MAX($AX$4:AX636)+1,""))</f>
        <v/>
      </c>
      <c r="AY637" s="61">
        <f>IF(B637="","",HOUR(B637))</f>
        <v/>
      </c>
      <c r="AZ637" s="61">
        <f>IF(A637="","",MOD(A637-2,7)+1)</f>
        <v/>
      </c>
      <c r="BA637" s="60">
        <f>IF(C637="","",IFERROR(INDEX('Prospects'!$N$5:$N$504,MATCH(C637,'Prospects'!$C$5:$C$504,0)),""))</f>
        <v/>
      </c>
      <c r="BB637" s="61">
        <f>IF(AND(C637&lt;&gt;"",C637='Fiche prospect'!$C$4),COUNTIF($C$5:C637,C637),"")</f>
        <v/>
      </c>
    </row>
    <row r="638">
      <c r="A638" s="53" t="n"/>
      <c r="B638" s="54" t="n"/>
      <c r="C638" s="55" t="n"/>
      <c r="D638" s="55" t="n"/>
      <c r="E638" s="55" t="n"/>
      <c r="F638" s="55" t="n"/>
      <c r="G638" s="56" t="n"/>
      <c r="H638" s="57" t="n"/>
      <c r="I638" s="55" t="n"/>
      <c r="J638" s="53" t="n"/>
      <c r="K638" s="54" t="n"/>
      <c r="L638" s="55" t="n"/>
      <c r="M638" s="55" t="n"/>
      <c r="N638" s="57" t="n"/>
      <c r="O638" s="55" t="n"/>
      <c r="P638" s="56" t="n"/>
      <c r="Q638" s="55" t="n"/>
      <c r="R638" s="55" t="n"/>
      <c r="S638" s="55" t="n"/>
      <c r="T638" s="55" t="n"/>
      <c r="U638" s="55" t="n"/>
      <c r="V638" s="55" t="n"/>
      <c r="W638" s="58" t="n"/>
      <c r="X638" s="58" t="n"/>
      <c r="Y638" s="55" t="n"/>
      <c r="Z638" s="55" t="n"/>
      <c r="AA638" s="55" t="n"/>
      <c r="AB638" s="55" t="n"/>
      <c r="AC638" s="55" t="n"/>
      <c r="AD638" s="53" t="n"/>
      <c r="AE638" s="55" t="n"/>
      <c r="AF638" s="55" t="n"/>
      <c r="AG638" s="59" t="n"/>
      <c r="AH638" s="57" t="n"/>
      <c r="AI638" s="55" t="n"/>
      <c r="AJ638" s="55" t="n"/>
      <c r="AK638" s="55" t="n"/>
      <c r="AL638" s="55" t="n"/>
      <c r="AM638" s="56" t="n"/>
      <c r="AN638" s="55" t="n"/>
      <c r="AO638" s="55" t="n"/>
      <c r="AP638" s="55" t="n"/>
      <c r="AQ638" s="55" t="n"/>
      <c r="AR638" s="60">
        <f>IF(AND(C638="",E638=""),"",IF(A638="","⚠ Date manquante",IF(AND(C638="",E638&lt;&gt;"Dépense"),"⚠ Prospect manquant",IF(E638="","⚠ Action manquante",IF(AND(AU638=1,D638=""),"⚠ Canal manquant",IF(AND(W638&lt;&gt;"",COUNTIFS('Saisie'!$W$5:$W$2004,W638,'Saisie'!$C$5:$C$2004,"&lt;&gt;"&amp;C638)&gt;0),"⚠ Numéro déjà utilisé par un autre prospect",IF(AND(J638&lt;&gt;"",J638&lt;A638),"⚠ Relance avant la date de l'action",IF(A638&gt;TODAY(),"⚠ Date dans le futur","✓"))))))))</f>
        <v/>
      </c>
      <c r="AS638" s="61">
        <f>IF(AND(A638="",C638="",E638=""),"",ROW())</f>
        <v/>
      </c>
      <c r="AT638" s="61">
        <f>IF(E638&amp;F638="","",MAX(IFERROR(INDEX('Paramètres'!$J$6:$J$33,MATCH(E638,'Paramètres'!$I$6:$I$33,0)),0),IFERROR(INDEX('Paramètres'!$N$6:$N$17,MATCH(F638,'Paramètres'!$M$6:$M$17,0)),0)))</f>
        <v/>
      </c>
      <c r="AU638" s="61">
        <f>IF(E638="","",IFERROR(IF(INDEX('Paramètres'!$K$6:$K$33,MATCH(E638,'Paramètres'!$I$6:$I$33,0))="Oui",1,0),0))</f>
        <v/>
      </c>
      <c r="AV638" s="61">
        <f>IF(F638="","",IFERROR(IF(INDEX('Paramètres'!$O$6:$O$17,MATCH(F638,'Paramètres'!$M$6:$M$17,0))="Oui",1,0),0))</f>
        <v/>
      </c>
      <c r="AW638" s="62">
        <f>IF(E638="","",IF(G638&lt;&gt;"",G638,IF(OR(E638="Proposition envoyée",E638="Signature"),MAX(0,N(IFERROR(INDEX('Paramètres'!$R$6:$R$15,MATCH(IF(AL638&lt;&gt;"",AL638,IFERROR(INDEX('Prospects'!$AN$5:$AN$504,MATCH(C638,'Prospects'!$C$5:$C$504,0)),"")),'Paramètres'!$Q$6:$Q$15,0)),0))-N(P638)),0)))</f>
        <v/>
      </c>
      <c r="AX638" s="61">
        <f>IF(C638="","",IF(COUNTIF($C$5:C638,C638)=1,MAX($AX$4:AX637)+1,""))</f>
        <v/>
      </c>
      <c r="AY638" s="61">
        <f>IF(B638="","",HOUR(B638))</f>
        <v/>
      </c>
      <c r="AZ638" s="61">
        <f>IF(A638="","",MOD(A638-2,7)+1)</f>
        <v/>
      </c>
      <c r="BA638" s="60">
        <f>IF(C638="","",IFERROR(INDEX('Prospects'!$N$5:$N$504,MATCH(C638,'Prospects'!$C$5:$C$504,0)),""))</f>
        <v/>
      </c>
      <c r="BB638" s="61">
        <f>IF(AND(C638&lt;&gt;"",C638='Fiche prospect'!$C$4),COUNTIF($C$5:C638,C638),"")</f>
        <v/>
      </c>
    </row>
    <row r="639">
      <c r="A639" s="53" t="n"/>
      <c r="B639" s="54" t="n"/>
      <c r="C639" s="55" t="n"/>
      <c r="D639" s="55" t="n"/>
      <c r="E639" s="55" t="n"/>
      <c r="F639" s="55" t="n"/>
      <c r="G639" s="56" t="n"/>
      <c r="H639" s="57" t="n"/>
      <c r="I639" s="55" t="n"/>
      <c r="J639" s="53" t="n"/>
      <c r="K639" s="54" t="n"/>
      <c r="L639" s="55" t="n"/>
      <c r="M639" s="55" t="n"/>
      <c r="N639" s="57" t="n"/>
      <c r="O639" s="55" t="n"/>
      <c r="P639" s="56" t="n"/>
      <c r="Q639" s="55" t="n"/>
      <c r="R639" s="55" t="n"/>
      <c r="S639" s="55" t="n"/>
      <c r="T639" s="55" t="n"/>
      <c r="U639" s="55" t="n"/>
      <c r="V639" s="55" t="n"/>
      <c r="W639" s="58" t="n"/>
      <c r="X639" s="58" t="n"/>
      <c r="Y639" s="55" t="n"/>
      <c r="Z639" s="55" t="n"/>
      <c r="AA639" s="55" t="n"/>
      <c r="AB639" s="55" t="n"/>
      <c r="AC639" s="55" t="n"/>
      <c r="AD639" s="53" t="n"/>
      <c r="AE639" s="55" t="n"/>
      <c r="AF639" s="55" t="n"/>
      <c r="AG639" s="59" t="n"/>
      <c r="AH639" s="57" t="n"/>
      <c r="AI639" s="55" t="n"/>
      <c r="AJ639" s="55" t="n"/>
      <c r="AK639" s="55" t="n"/>
      <c r="AL639" s="55" t="n"/>
      <c r="AM639" s="56" t="n"/>
      <c r="AN639" s="55" t="n"/>
      <c r="AO639" s="55" t="n"/>
      <c r="AP639" s="55" t="n"/>
      <c r="AQ639" s="55" t="n"/>
      <c r="AR639" s="60">
        <f>IF(AND(C639="",E639=""),"",IF(A639="","⚠ Date manquante",IF(AND(C639="",E639&lt;&gt;"Dépense"),"⚠ Prospect manquant",IF(E639="","⚠ Action manquante",IF(AND(AU639=1,D639=""),"⚠ Canal manquant",IF(AND(W639&lt;&gt;"",COUNTIFS('Saisie'!$W$5:$W$2004,W639,'Saisie'!$C$5:$C$2004,"&lt;&gt;"&amp;C639)&gt;0),"⚠ Numéro déjà utilisé par un autre prospect",IF(AND(J639&lt;&gt;"",J639&lt;A639),"⚠ Relance avant la date de l'action",IF(A639&gt;TODAY(),"⚠ Date dans le futur","✓"))))))))</f>
        <v/>
      </c>
      <c r="AS639" s="61">
        <f>IF(AND(A639="",C639="",E639=""),"",ROW())</f>
        <v/>
      </c>
      <c r="AT639" s="61">
        <f>IF(E639&amp;F639="","",MAX(IFERROR(INDEX('Paramètres'!$J$6:$J$33,MATCH(E639,'Paramètres'!$I$6:$I$33,0)),0),IFERROR(INDEX('Paramètres'!$N$6:$N$17,MATCH(F639,'Paramètres'!$M$6:$M$17,0)),0)))</f>
        <v/>
      </c>
      <c r="AU639" s="61">
        <f>IF(E639="","",IFERROR(IF(INDEX('Paramètres'!$K$6:$K$33,MATCH(E639,'Paramètres'!$I$6:$I$33,0))="Oui",1,0),0))</f>
        <v/>
      </c>
      <c r="AV639" s="61">
        <f>IF(F639="","",IFERROR(IF(INDEX('Paramètres'!$O$6:$O$17,MATCH(F639,'Paramètres'!$M$6:$M$17,0))="Oui",1,0),0))</f>
        <v/>
      </c>
      <c r="AW639" s="62">
        <f>IF(E639="","",IF(G639&lt;&gt;"",G639,IF(OR(E639="Proposition envoyée",E639="Signature"),MAX(0,N(IFERROR(INDEX('Paramètres'!$R$6:$R$15,MATCH(IF(AL639&lt;&gt;"",AL639,IFERROR(INDEX('Prospects'!$AN$5:$AN$504,MATCH(C639,'Prospects'!$C$5:$C$504,0)),"")),'Paramètres'!$Q$6:$Q$15,0)),0))-N(P639)),0)))</f>
        <v/>
      </c>
      <c r="AX639" s="61">
        <f>IF(C639="","",IF(COUNTIF($C$5:C639,C639)=1,MAX($AX$4:AX638)+1,""))</f>
        <v/>
      </c>
      <c r="AY639" s="61">
        <f>IF(B639="","",HOUR(B639))</f>
        <v/>
      </c>
      <c r="AZ639" s="61">
        <f>IF(A639="","",MOD(A639-2,7)+1)</f>
        <v/>
      </c>
      <c r="BA639" s="60">
        <f>IF(C639="","",IFERROR(INDEX('Prospects'!$N$5:$N$504,MATCH(C639,'Prospects'!$C$5:$C$504,0)),""))</f>
        <v/>
      </c>
      <c r="BB639" s="61">
        <f>IF(AND(C639&lt;&gt;"",C639='Fiche prospect'!$C$4),COUNTIF($C$5:C639,C639),"")</f>
        <v/>
      </c>
    </row>
    <row r="640">
      <c r="A640" s="53" t="n"/>
      <c r="B640" s="54" t="n"/>
      <c r="C640" s="55" t="n"/>
      <c r="D640" s="55" t="n"/>
      <c r="E640" s="55" t="n"/>
      <c r="F640" s="55" t="n"/>
      <c r="G640" s="56" t="n"/>
      <c r="H640" s="57" t="n"/>
      <c r="I640" s="55" t="n"/>
      <c r="J640" s="53" t="n"/>
      <c r="K640" s="54" t="n"/>
      <c r="L640" s="55" t="n"/>
      <c r="M640" s="55" t="n"/>
      <c r="N640" s="57" t="n"/>
      <c r="O640" s="55" t="n"/>
      <c r="P640" s="56" t="n"/>
      <c r="Q640" s="55" t="n"/>
      <c r="R640" s="55" t="n"/>
      <c r="S640" s="55" t="n"/>
      <c r="T640" s="55" t="n"/>
      <c r="U640" s="55" t="n"/>
      <c r="V640" s="55" t="n"/>
      <c r="W640" s="58" t="n"/>
      <c r="X640" s="58" t="n"/>
      <c r="Y640" s="55" t="n"/>
      <c r="Z640" s="55" t="n"/>
      <c r="AA640" s="55" t="n"/>
      <c r="AB640" s="55" t="n"/>
      <c r="AC640" s="55" t="n"/>
      <c r="AD640" s="53" t="n"/>
      <c r="AE640" s="55" t="n"/>
      <c r="AF640" s="55" t="n"/>
      <c r="AG640" s="59" t="n"/>
      <c r="AH640" s="57" t="n"/>
      <c r="AI640" s="55" t="n"/>
      <c r="AJ640" s="55" t="n"/>
      <c r="AK640" s="55" t="n"/>
      <c r="AL640" s="55" t="n"/>
      <c r="AM640" s="56" t="n"/>
      <c r="AN640" s="55" t="n"/>
      <c r="AO640" s="55" t="n"/>
      <c r="AP640" s="55" t="n"/>
      <c r="AQ640" s="55" t="n"/>
      <c r="AR640" s="60">
        <f>IF(AND(C640="",E640=""),"",IF(A640="","⚠ Date manquante",IF(AND(C640="",E640&lt;&gt;"Dépense"),"⚠ Prospect manquant",IF(E640="","⚠ Action manquante",IF(AND(AU640=1,D640=""),"⚠ Canal manquant",IF(AND(W640&lt;&gt;"",COUNTIFS('Saisie'!$W$5:$W$2004,W640,'Saisie'!$C$5:$C$2004,"&lt;&gt;"&amp;C640)&gt;0),"⚠ Numéro déjà utilisé par un autre prospect",IF(AND(J640&lt;&gt;"",J640&lt;A640),"⚠ Relance avant la date de l'action",IF(A640&gt;TODAY(),"⚠ Date dans le futur","✓"))))))))</f>
        <v/>
      </c>
      <c r="AS640" s="61">
        <f>IF(AND(A640="",C640="",E640=""),"",ROW())</f>
        <v/>
      </c>
      <c r="AT640" s="61">
        <f>IF(E640&amp;F640="","",MAX(IFERROR(INDEX('Paramètres'!$J$6:$J$33,MATCH(E640,'Paramètres'!$I$6:$I$33,0)),0),IFERROR(INDEX('Paramètres'!$N$6:$N$17,MATCH(F640,'Paramètres'!$M$6:$M$17,0)),0)))</f>
        <v/>
      </c>
      <c r="AU640" s="61">
        <f>IF(E640="","",IFERROR(IF(INDEX('Paramètres'!$K$6:$K$33,MATCH(E640,'Paramètres'!$I$6:$I$33,0))="Oui",1,0),0))</f>
        <v/>
      </c>
      <c r="AV640" s="61">
        <f>IF(F640="","",IFERROR(IF(INDEX('Paramètres'!$O$6:$O$17,MATCH(F640,'Paramètres'!$M$6:$M$17,0))="Oui",1,0),0))</f>
        <v/>
      </c>
      <c r="AW640" s="62">
        <f>IF(E640="","",IF(G640&lt;&gt;"",G640,IF(OR(E640="Proposition envoyée",E640="Signature"),MAX(0,N(IFERROR(INDEX('Paramètres'!$R$6:$R$15,MATCH(IF(AL640&lt;&gt;"",AL640,IFERROR(INDEX('Prospects'!$AN$5:$AN$504,MATCH(C640,'Prospects'!$C$5:$C$504,0)),"")),'Paramètres'!$Q$6:$Q$15,0)),0))-N(P640)),0)))</f>
        <v/>
      </c>
      <c r="AX640" s="61">
        <f>IF(C640="","",IF(COUNTIF($C$5:C640,C640)=1,MAX($AX$4:AX639)+1,""))</f>
        <v/>
      </c>
      <c r="AY640" s="61">
        <f>IF(B640="","",HOUR(B640))</f>
        <v/>
      </c>
      <c r="AZ640" s="61">
        <f>IF(A640="","",MOD(A640-2,7)+1)</f>
        <v/>
      </c>
      <c r="BA640" s="60">
        <f>IF(C640="","",IFERROR(INDEX('Prospects'!$N$5:$N$504,MATCH(C640,'Prospects'!$C$5:$C$504,0)),""))</f>
        <v/>
      </c>
      <c r="BB640" s="61">
        <f>IF(AND(C640&lt;&gt;"",C640='Fiche prospect'!$C$4),COUNTIF($C$5:C640,C640),"")</f>
        <v/>
      </c>
    </row>
    <row r="641">
      <c r="A641" s="53" t="n"/>
      <c r="B641" s="54" t="n"/>
      <c r="C641" s="55" t="n"/>
      <c r="D641" s="55" t="n"/>
      <c r="E641" s="55" t="n"/>
      <c r="F641" s="55" t="n"/>
      <c r="G641" s="56" t="n"/>
      <c r="H641" s="57" t="n"/>
      <c r="I641" s="55" t="n"/>
      <c r="J641" s="53" t="n"/>
      <c r="K641" s="54" t="n"/>
      <c r="L641" s="55" t="n"/>
      <c r="M641" s="55" t="n"/>
      <c r="N641" s="57" t="n"/>
      <c r="O641" s="55" t="n"/>
      <c r="P641" s="56" t="n"/>
      <c r="Q641" s="55" t="n"/>
      <c r="R641" s="55" t="n"/>
      <c r="S641" s="55" t="n"/>
      <c r="T641" s="55" t="n"/>
      <c r="U641" s="55" t="n"/>
      <c r="V641" s="55" t="n"/>
      <c r="W641" s="58" t="n"/>
      <c r="X641" s="58" t="n"/>
      <c r="Y641" s="55" t="n"/>
      <c r="Z641" s="55" t="n"/>
      <c r="AA641" s="55" t="n"/>
      <c r="AB641" s="55" t="n"/>
      <c r="AC641" s="55" t="n"/>
      <c r="AD641" s="53" t="n"/>
      <c r="AE641" s="55" t="n"/>
      <c r="AF641" s="55" t="n"/>
      <c r="AG641" s="59" t="n"/>
      <c r="AH641" s="57" t="n"/>
      <c r="AI641" s="55" t="n"/>
      <c r="AJ641" s="55" t="n"/>
      <c r="AK641" s="55" t="n"/>
      <c r="AL641" s="55" t="n"/>
      <c r="AM641" s="56" t="n"/>
      <c r="AN641" s="55" t="n"/>
      <c r="AO641" s="55" t="n"/>
      <c r="AP641" s="55" t="n"/>
      <c r="AQ641" s="55" t="n"/>
      <c r="AR641" s="60">
        <f>IF(AND(C641="",E641=""),"",IF(A641="","⚠ Date manquante",IF(AND(C641="",E641&lt;&gt;"Dépense"),"⚠ Prospect manquant",IF(E641="","⚠ Action manquante",IF(AND(AU641=1,D641=""),"⚠ Canal manquant",IF(AND(W641&lt;&gt;"",COUNTIFS('Saisie'!$W$5:$W$2004,W641,'Saisie'!$C$5:$C$2004,"&lt;&gt;"&amp;C641)&gt;0),"⚠ Numéro déjà utilisé par un autre prospect",IF(AND(J641&lt;&gt;"",J641&lt;A641),"⚠ Relance avant la date de l'action",IF(A641&gt;TODAY(),"⚠ Date dans le futur","✓"))))))))</f>
        <v/>
      </c>
      <c r="AS641" s="61">
        <f>IF(AND(A641="",C641="",E641=""),"",ROW())</f>
        <v/>
      </c>
      <c r="AT641" s="61">
        <f>IF(E641&amp;F641="","",MAX(IFERROR(INDEX('Paramètres'!$J$6:$J$33,MATCH(E641,'Paramètres'!$I$6:$I$33,0)),0),IFERROR(INDEX('Paramètres'!$N$6:$N$17,MATCH(F641,'Paramètres'!$M$6:$M$17,0)),0)))</f>
        <v/>
      </c>
      <c r="AU641" s="61">
        <f>IF(E641="","",IFERROR(IF(INDEX('Paramètres'!$K$6:$K$33,MATCH(E641,'Paramètres'!$I$6:$I$33,0))="Oui",1,0),0))</f>
        <v/>
      </c>
      <c r="AV641" s="61">
        <f>IF(F641="","",IFERROR(IF(INDEX('Paramètres'!$O$6:$O$17,MATCH(F641,'Paramètres'!$M$6:$M$17,0))="Oui",1,0),0))</f>
        <v/>
      </c>
      <c r="AW641" s="62">
        <f>IF(E641="","",IF(G641&lt;&gt;"",G641,IF(OR(E641="Proposition envoyée",E641="Signature"),MAX(0,N(IFERROR(INDEX('Paramètres'!$R$6:$R$15,MATCH(IF(AL641&lt;&gt;"",AL641,IFERROR(INDEX('Prospects'!$AN$5:$AN$504,MATCH(C641,'Prospects'!$C$5:$C$504,0)),"")),'Paramètres'!$Q$6:$Q$15,0)),0))-N(P641)),0)))</f>
        <v/>
      </c>
      <c r="AX641" s="61">
        <f>IF(C641="","",IF(COUNTIF($C$5:C641,C641)=1,MAX($AX$4:AX640)+1,""))</f>
        <v/>
      </c>
      <c r="AY641" s="61">
        <f>IF(B641="","",HOUR(B641))</f>
        <v/>
      </c>
      <c r="AZ641" s="61">
        <f>IF(A641="","",MOD(A641-2,7)+1)</f>
        <v/>
      </c>
      <c r="BA641" s="60">
        <f>IF(C641="","",IFERROR(INDEX('Prospects'!$N$5:$N$504,MATCH(C641,'Prospects'!$C$5:$C$504,0)),""))</f>
        <v/>
      </c>
      <c r="BB641" s="61">
        <f>IF(AND(C641&lt;&gt;"",C641='Fiche prospect'!$C$4),COUNTIF($C$5:C641,C641),"")</f>
        <v/>
      </c>
    </row>
    <row r="642">
      <c r="A642" s="53" t="n"/>
      <c r="B642" s="54" t="n"/>
      <c r="C642" s="55" t="n"/>
      <c r="D642" s="55" t="n"/>
      <c r="E642" s="55" t="n"/>
      <c r="F642" s="55" t="n"/>
      <c r="G642" s="56" t="n"/>
      <c r="H642" s="57" t="n"/>
      <c r="I642" s="55" t="n"/>
      <c r="J642" s="53" t="n"/>
      <c r="K642" s="54" t="n"/>
      <c r="L642" s="55" t="n"/>
      <c r="M642" s="55" t="n"/>
      <c r="N642" s="57" t="n"/>
      <c r="O642" s="55" t="n"/>
      <c r="P642" s="56" t="n"/>
      <c r="Q642" s="55" t="n"/>
      <c r="R642" s="55" t="n"/>
      <c r="S642" s="55" t="n"/>
      <c r="T642" s="55" t="n"/>
      <c r="U642" s="55" t="n"/>
      <c r="V642" s="55" t="n"/>
      <c r="W642" s="58" t="n"/>
      <c r="X642" s="58" t="n"/>
      <c r="Y642" s="55" t="n"/>
      <c r="Z642" s="55" t="n"/>
      <c r="AA642" s="55" t="n"/>
      <c r="AB642" s="55" t="n"/>
      <c r="AC642" s="55" t="n"/>
      <c r="AD642" s="53" t="n"/>
      <c r="AE642" s="55" t="n"/>
      <c r="AF642" s="55" t="n"/>
      <c r="AG642" s="59" t="n"/>
      <c r="AH642" s="57" t="n"/>
      <c r="AI642" s="55" t="n"/>
      <c r="AJ642" s="55" t="n"/>
      <c r="AK642" s="55" t="n"/>
      <c r="AL642" s="55" t="n"/>
      <c r="AM642" s="56" t="n"/>
      <c r="AN642" s="55" t="n"/>
      <c r="AO642" s="55" t="n"/>
      <c r="AP642" s="55" t="n"/>
      <c r="AQ642" s="55" t="n"/>
      <c r="AR642" s="60">
        <f>IF(AND(C642="",E642=""),"",IF(A642="","⚠ Date manquante",IF(AND(C642="",E642&lt;&gt;"Dépense"),"⚠ Prospect manquant",IF(E642="","⚠ Action manquante",IF(AND(AU642=1,D642=""),"⚠ Canal manquant",IF(AND(W642&lt;&gt;"",COUNTIFS('Saisie'!$W$5:$W$2004,W642,'Saisie'!$C$5:$C$2004,"&lt;&gt;"&amp;C642)&gt;0),"⚠ Numéro déjà utilisé par un autre prospect",IF(AND(J642&lt;&gt;"",J642&lt;A642),"⚠ Relance avant la date de l'action",IF(A642&gt;TODAY(),"⚠ Date dans le futur","✓"))))))))</f>
        <v/>
      </c>
      <c r="AS642" s="61">
        <f>IF(AND(A642="",C642="",E642=""),"",ROW())</f>
        <v/>
      </c>
      <c r="AT642" s="61">
        <f>IF(E642&amp;F642="","",MAX(IFERROR(INDEX('Paramètres'!$J$6:$J$33,MATCH(E642,'Paramètres'!$I$6:$I$33,0)),0),IFERROR(INDEX('Paramètres'!$N$6:$N$17,MATCH(F642,'Paramètres'!$M$6:$M$17,0)),0)))</f>
        <v/>
      </c>
      <c r="AU642" s="61">
        <f>IF(E642="","",IFERROR(IF(INDEX('Paramètres'!$K$6:$K$33,MATCH(E642,'Paramètres'!$I$6:$I$33,0))="Oui",1,0),0))</f>
        <v/>
      </c>
      <c r="AV642" s="61">
        <f>IF(F642="","",IFERROR(IF(INDEX('Paramètres'!$O$6:$O$17,MATCH(F642,'Paramètres'!$M$6:$M$17,0))="Oui",1,0),0))</f>
        <v/>
      </c>
      <c r="AW642" s="62">
        <f>IF(E642="","",IF(G642&lt;&gt;"",G642,IF(OR(E642="Proposition envoyée",E642="Signature"),MAX(0,N(IFERROR(INDEX('Paramètres'!$R$6:$R$15,MATCH(IF(AL642&lt;&gt;"",AL642,IFERROR(INDEX('Prospects'!$AN$5:$AN$504,MATCH(C642,'Prospects'!$C$5:$C$504,0)),"")),'Paramètres'!$Q$6:$Q$15,0)),0))-N(P642)),0)))</f>
        <v/>
      </c>
      <c r="AX642" s="61">
        <f>IF(C642="","",IF(COUNTIF($C$5:C642,C642)=1,MAX($AX$4:AX641)+1,""))</f>
        <v/>
      </c>
      <c r="AY642" s="61">
        <f>IF(B642="","",HOUR(B642))</f>
        <v/>
      </c>
      <c r="AZ642" s="61">
        <f>IF(A642="","",MOD(A642-2,7)+1)</f>
        <v/>
      </c>
      <c r="BA642" s="60">
        <f>IF(C642="","",IFERROR(INDEX('Prospects'!$N$5:$N$504,MATCH(C642,'Prospects'!$C$5:$C$504,0)),""))</f>
        <v/>
      </c>
      <c r="BB642" s="61">
        <f>IF(AND(C642&lt;&gt;"",C642='Fiche prospect'!$C$4),COUNTIF($C$5:C642,C642),"")</f>
        <v/>
      </c>
    </row>
    <row r="643">
      <c r="A643" s="53" t="n"/>
      <c r="B643" s="54" t="n"/>
      <c r="C643" s="55" t="n"/>
      <c r="D643" s="55" t="n"/>
      <c r="E643" s="55" t="n"/>
      <c r="F643" s="55" t="n"/>
      <c r="G643" s="56" t="n"/>
      <c r="H643" s="57" t="n"/>
      <c r="I643" s="55" t="n"/>
      <c r="J643" s="53" t="n"/>
      <c r="K643" s="54" t="n"/>
      <c r="L643" s="55" t="n"/>
      <c r="M643" s="55" t="n"/>
      <c r="N643" s="57" t="n"/>
      <c r="O643" s="55" t="n"/>
      <c r="P643" s="56" t="n"/>
      <c r="Q643" s="55" t="n"/>
      <c r="R643" s="55" t="n"/>
      <c r="S643" s="55" t="n"/>
      <c r="T643" s="55" t="n"/>
      <c r="U643" s="55" t="n"/>
      <c r="V643" s="55" t="n"/>
      <c r="W643" s="58" t="n"/>
      <c r="X643" s="58" t="n"/>
      <c r="Y643" s="55" t="n"/>
      <c r="Z643" s="55" t="n"/>
      <c r="AA643" s="55" t="n"/>
      <c r="AB643" s="55" t="n"/>
      <c r="AC643" s="55" t="n"/>
      <c r="AD643" s="53" t="n"/>
      <c r="AE643" s="55" t="n"/>
      <c r="AF643" s="55" t="n"/>
      <c r="AG643" s="59" t="n"/>
      <c r="AH643" s="57" t="n"/>
      <c r="AI643" s="55" t="n"/>
      <c r="AJ643" s="55" t="n"/>
      <c r="AK643" s="55" t="n"/>
      <c r="AL643" s="55" t="n"/>
      <c r="AM643" s="56" t="n"/>
      <c r="AN643" s="55" t="n"/>
      <c r="AO643" s="55" t="n"/>
      <c r="AP643" s="55" t="n"/>
      <c r="AQ643" s="55" t="n"/>
      <c r="AR643" s="60">
        <f>IF(AND(C643="",E643=""),"",IF(A643="","⚠ Date manquante",IF(AND(C643="",E643&lt;&gt;"Dépense"),"⚠ Prospect manquant",IF(E643="","⚠ Action manquante",IF(AND(AU643=1,D643=""),"⚠ Canal manquant",IF(AND(W643&lt;&gt;"",COUNTIFS('Saisie'!$W$5:$W$2004,W643,'Saisie'!$C$5:$C$2004,"&lt;&gt;"&amp;C643)&gt;0),"⚠ Numéro déjà utilisé par un autre prospect",IF(AND(J643&lt;&gt;"",J643&lt;A643),"⚠ Relance avant la date de l'action",IF(A643&gt;TODAY(),"⚠ Date dans le futur","✓"))))))))</f>
        <v/>
      </c>
      <c r="AS643" s="61">
        <f>IF(AND(A643="",C643="",E643=""),"",ROW())</f>
        <v/>
      </c>
      <c r="AT643" s="61">
        <f>IF(E643&amp;F643="","",MAX(IFERROR(INDEX('Paramètres'!$J$6:$J$33,MATCH(E643,'Paramètres'!$I$6:$I$33,0)),0),IFERROR(INDEX('Paramètres'!$N$6:$N$17,MATCH(F643,'Paramètres'!$M$6:$M$17,0)),0)))</f>
        <v/>
      </c>
      <c r="AU643" s="61">
        <f>IF(E643="","",IFERROR(IF(INDEX('Paramètres'!$K$6:$K$33,MATCH(E643,'Paramètres'!$I$6:$I$33,0))="Oui",1,0),0))</f>
        <v/>
      </c>
      <c r="AV643" s="61">
        <f>IF(F643="","",IFERROR(IF(INDEX('Paramètres'!$O$6:$O$17,MATCH(F643,'Paramètres'!$M$6:$M$17,0))="Oui",1,0),0))</f>
        <v/>
      </c>
      <c r="AW643" s="62">
        <f>IF(E643="","",IF(G643&lt;&gt;"",G643,IF(OR(E643="Proposition envoyée",E643="Signature"),MAX(0,N(IFERROR(INDEX('Paramètres'!$R$6:$R$15,MATCH(IF(AL643&lt;&gt;"",AL643,IFERROR(INDEX('Prospects'!$AN$5:$AN$504,MATCH(C643,'Prospects'!$C$5:$C$504,0)),"")),'Paramètres'!$Q$6:$Q$15,0)),0))-N(P643)),0)))</f>
        <v/>
      </c>
      <c r="AX643" s="61">
        <f>IF(C643="","",IF(COUNTIF($C$5:C643,C643)=1,MAX($AX$4:AX642)+1,""))</f>
        <v/>
      </c>
      <c r="AY643" s="61">
        <f>IF(B643="","",HOUR(B643))</f>
        <v/>
      </c>
      <c r="AZ643" s="61">
        <f>IF(A643="","",MOD(A643-2,7)+1)</f>
        <v/>
      </c>
      <c r="BA643" s="60">
        <f>IF(C643="","",IFERROR(INDEX('Prospects'!$N$5:$N$504,MATCH(C643,'Prospects'!$C$5:$C$504,0)),""))</f>
        <v/>
      </c>
      <c r="BB643" s="61">
        <f>IF(AND(C643&lt;&gt;"",C643='Fiche prospect'!$C$4),COUNTIF($C$5:C643,C643),"")</f>
        <v/>
      </c>
    </row>
    <row r="644">
      <c r="A644" s="53" t="n"/>
      <c r="B644" s="54" t="n"/>
      <c r="C644" s="55" t="n"/>
      <c r="D644" s="55" t="n"/>
      <c r="E644" s="55" t="n"/>
      <c r="F644" s="55" t="n"/>
      <c r="G644" s="56" t="n"/>
      <c r="H644" s="57" t="n"/>
      <c r="I644" s="55" t="n"/>
      <c r="J644" s="53" t="n"/>
      <c r="K644" s="54" t="n"/>
      <c r="L644" s="55" t="n"/>
      <c r="M644" s="55" t="n"/>
      <c r="N644" s="57" t="n"/>
      <c r="O644" s="55" t="n"/>
      <c r="P644" s="56" t="n"/>
      <c r="Q644" s="55" t="n"/>
      <c r="R644" s="55" t="n"/>
      <c r="S644" s="55" t="n"/>
      <c r="T644" s="55" t="n"/>
      <c r="U644" s="55" t="n"/>
      <c r="V644" s="55" t="n"/>
      <c r="W644" s="58" t="n"/>
      <c r="X644" s="58" t="n"/>
      <c r="Y644" s="55" t="n"/>
      <c r="Z644" s="55" t="n"/>
      <c r="AA644" s="55" t="n"/>
      <c r="AB644" s="55" t="n"/>
      <c r="AC644" s="55" t="n"/>
      <c r="AD644" s="53" t="n"/>
      <c r="AE644" s="55" t="n"/>
      <c r="AF644" s="55" t="n"/>
      <c r="AG644" s="59" t="n"/>
      <c r="AH644" s="57" t="n"/>
      <c r="AI644" s="55" t="n"/>
      <c r="AJ644" s="55" t="n"/>
      <c r="AK644" s="55" t="n"/>
      <c r="AL644" s="55" t="n"/>
      <c r="AM644" s="56" t="n"/>
      <c r="AN644" s="55" t="n"/>
      <c r="AO644" s="55" t="n"/>
      <c r="AP644" s="55" t="n"/>
      <c r="AQ644" s="55" t="n"/>
      <c r="AR644" s="60">
        <f>IF(AND(C644="",E644=""),"",IF(A644="","⚠ Date manquante",IF(AND(C644="",E644&lt;&gt;"Dépense"),"⚠ Prospect manquant",IF(E644="","⚠ Action manquante",IF(AND(AU644=1,D644=""),"⚠ Canal manquant",IF(AND(W644&lt;&gt;"",COUNTIFS('Saisie'!$W$5:$W$2004,W644,'Saisie'!$C$5:$C$2004,"&lt;&gt;"&amp;C644)&gt;0),"⚠ Numéro déjà utilisé par un autre prospect",IF(AND(J644&lt;&gt;"",J644&lt;A644),"⚠ Relance avant la date de l'action",IF(A644&gt;TODAY(),"⚠ Date dans le futur","✓"))))))))</f>
        <v/>
      </c>
      <c r="AS644" s="61">
        <f>IF(AND(A644="",C644="",E644=""),"",ROW())</f>
        <v/>
      </c>
      <c r="AT644" s="61">
        <f>IF(E644&amp;F644="","",MAX(IFERROR(INDEX('Paramètres'!$J$6:$J$33,MATCH(E644,'Paramètres'!$I$6:$I$33,0)),0),IFERROR(INDEX('Paramètres'!$N$6:$N$17,MATCH(F644,'Paramètres'!$M$6:$M$17,0)),0)))</f>
        <v/>
      </c>
      <c r="AU644" s="61">
        <f>IF(E644="","",IFERROR(IF(INDEX('Paramètres'!$K$6:$K$33,MATCH(E644,'Paramètres'!$I$6:$I$33,0))="Oui",1,0),0))</f>
        <v/>
      </c>
      <c r="AV644" s="61">
        <f>IF(F644="","",IFERROR(IF(INDEX('Paramètres'!$O$6:$O$17,MATCH(F644,'Paramètres'!$M$6:$M$17,0))="Oui",1,0),0))</f>
        <v/>
      </c>
      <c r="AW644" s="62">
        <f>IF(E644="","",IF(G644&lt;&gt;"",G644,IF(OR(E644="Proposition envoyée",E644="Signature"),MAX(0,N(IFERROR(INDEX('Paramètres'!$R$6:$R$15,MATCH(IF(AL644&lt;&gt;"",AL644,IFERROR(INDEX('Prospects'!$AN$5:$AN$504,MATCH(C644,'Prospects'!$C$5:$C$504,0)),"")),'Paramètres'!$Q$6:$Q$15,0)),0))-N(P644)),0)))</f>
        <v/>
      </c>
      <c r="AX644" s="61">
        <f>IF(C644="","",IF(COUNTIF($C$5:C644,C644)=1,MAX($AX$4:AX643)+1,""))</f>
        <v/>
      </c>
      <c r="AY644" s="61">
        <f>IF(B644="","",HOUR(B644))</f>
        <v/>
      </c>
      <c r="AZ644" s="61">
        <f>IF(A644="","",MOD(A644-2,7)+1)</f>
        <v/>
      </c>
      <c r="BA644" s="60">
        <f>IF(C644="","",IFERROR(INDEX('Prospects'!$N$5:$N$504,MATCH(C644,'Prospects'!$C$5:$C$504,0)),""))</f>
        <v/>
      </c>
      <c r="BB644" s="61">
        <f>IF(AND(C644&lt;&gt;"",C644='Fiche prospect'!$C$4),COUNTIF($C$5:C644,C644),"")</f>
        <v/>
      </c>
    </row>
    <row r="645">
      <c r="A645" s="53" t="n"/>
      <c r="B645" s="54" t="n"/>
      <c r="C645" s="55" t="n"/>
      <c r="D645" s="55" t="n"/>
      <c r="E645" s="55" t="n"/>
      <c r="F645" s="55" t="n"/>
      <c r="G645" s="56" t="n"/>
      <c r="H645" s="57" t="n"/>
      <c r="I645" s="55" t="n"/>
      <c r="J645" s="53" t="n"/>
      <c r="K645" s="54" t="n"/>
      <c r="L645" s="55" t="n"/>
      <c r="M645" s="55" t="n"/>
      <c r="N645" s="57" t="n"/>
      <c r="O645" s="55" t="n"/>
      <c r="P645" s="56" t="n"/>
      <c r="Q645" s="55" t="n"/>
      <c r="R645" s="55" t="n"/>
      <c r="S645" s="55" t="n"/>
      <c r="T645" s="55" t="n"/>
      <c r="U645" s="55" t="n"/>
      <c r="V645" s="55" t="n"/>
      <c r="W645" s="58" t="n"/>
      <c r="X645" s="58" t="n"/>
      <c r="Y645" s="55" t="n"/>
      <c r="Z645" s="55" t="n"/>
      <c r="AA645" s="55" t="n"/>
      <c r="AB645" s="55" t="n"/>
      <c r="AC645" s="55" t="n"/>
      <c r="AD645" s="53" t="n"/>
      <c r="AE645" s="55" t="n"/>
      <c r="AF645" s="55" t="n"/>
      <c r="AG645" s="59" t="n"/>
      <c r="AH645" s="57" t="n"/>
      <c r="AI645" s="55" t="n"/>
      <c r="AJ645" s="55" t="n"/>
      <c r="AK645" s="55" t="n"/>
      <c r="AL645" s="55" t="n"/>
      <c r="AM645" s="56" t="n"/>
      <c r="AN645" s="55" t="n"/>
      <c r="AO645" s="55" t="n"/>
      <c r="AP645" s="55" t="n"/>
      <c r="AQ645" s="55" t="n"/>
      <c r="AR645" s="60">
        <f>IF(AND(C645="",E645=""),"",IF(A645="","⚠ Date manquante",IF(AND(C645="",E645&lt;&gt;"Dépense"),"⚠ Prospect manquant",IF(E645="","⚠ Action manquante",IF(AND(AU645=1,D645=""),"⚠ Canal manquant",IF(AND(W645&lt;&gt;"",COUNTIFS('Saisie'!$W$5:$W$2004,W645,'Saisie'!$C$5:$C$2004,"&lt;&gt;"&amp;C645)&gt;0),"⚠ Numéro déjà utilisé par un autre prospect",IF(AND(J645&lt;&gt;"",J645&lt;A645),"⚠ Relance avant la date de l'action",IF(A645&gt;TODAY(),"⚠ Date dans le futur","✓"))))))))</f>
        <v/>
      </c>
      <c r="AS645" s="61">
        <f>IF(AND(A645="",C645="",E645=""),"",ROW())</f>
        <v/>
      </c>
      <c r="AT645" s="61">
        <f>IF(E645&amp;F645="","",MAX(IFERROR(INDEX('Paramètres'!$J$6:$J$33,MATCH(E645,'Paramètres'!$I$6:$I$33,0)),0),IFERROR(INDEX('Paramètres'!$N$6:$N$17,MATCH(F645,'Paramètres'!$M$6:$M$17,0)),0)))</f>
        <v/>
      </c>
      <c r="AU645" s="61">
        <f>IF(E645="","",IFERROR(IF(INDEX('Paramètres'!$K$6:$K$33,MATCH(E645,'Paramètres'!$I$6:$I$33,0))="Oui",1,0),0))</f>
        <v/>
      </c>
      <c r="AV645" s="61">
        <f>IF(F645="","",IFERROR(IF(INDEX('Paramètres'!$O$6:$O$17,MATCH(F645,'Paramètres'!$M$6:$M$17,0))="Oui",1,0),0))</f>
        <v/>
      </c>
      <c r="AW645" s="62">
        <f>IF(E645="","",IF(G645&lt;&gt;"",G645,IF(OR(E645="Proposition envoyée",E645="Signature"),MAX(0,N(IFERROR(INDEX('Paramètres'!$R$6:$R$15,MATCH(IF(AL645&lt;&gt;"",AL645,IFERROR(INDEX('Prospects'!$AN$5:$AN$504,MATCH(C645,'Prospects'!$C$5:$C$504,0)),"")),'Paramètres'!$Q$6:$Q$15,0)),0))-N(P645)),0)))</f>
        <v/>
      </c>
      <c r="AX645" s="61">
        <f>IF(C645="","",IF(COUNTIF($C$5:C645,C645)=1,MAX($AX$4:AX644)+1,""))</f>
        <v/>
      </c>
      <c r="AY645" s="61">
        <f>IF(B645="","",HOUR(B645))</f>
        <v/>
      </c>
      <c r="AZ645" s="61">
        <f>IF(A645="","",MOD(A645-2,7)+1)</f>
        <v/>
      </c>
      <c r="BA645" s="60">
        <f>IF(C645="","",IFERROR(INDEX('Prospects'!$N$5:$N$504,MATCH(C645,'Prospects'!$C$5:$C$504,0)),""))</f>
        <v/>
      </c>
      <c r="BB645" s="61">
        <f>IF(AND(C645&lt;&gt;"",C645='Fiche prospect'!$C$4),COUNTIF($C$5:C645,C645),"")</f>
        <v/>
      </c>
    </row>
    <row r="646">
      <c r="A646" s="53" t="n"/>
      <c r="B646" s="54" t="n"/>
      <c r="C646" s="55" t="n"/>
      <c r="D646" s="55" t="n"/>
      <c r="E646" s="55" t="n"/>
      <c r="F646" s="55" t="n"/>
      <c r="G646" s="56" t="n"/>
      <c r="H646" s="57" t="n"/>
      <c r="I646" s="55" t="n"/>
      <c r="J646" s="53" t="n"/>
      <c r="K646" s="54" t="n"/>
      <c r="L646" s="55" t="n"/>
      <c r="M646" s="55" t="n"/>
      <c r="N646" s="57" t="n"/>
      <c r="O646" s="55" t="n"/>
      <c r="P646" s="56" t="n"/>
      <c r="Q646" s="55" t="n"/>
      <c r="R646" s="55" t="n"/>
      <c r="S646" s="55" t="n"/>
      <c r="T646" s="55" t="n"/>
      <c r="U646" s="55" t="n"/>
      <c r="V646" s="55" t="n"/>
      <c r="W646" s="58" t="n"/>
      <c r="X646" s="58" t="n"/>
      <c r="Y646" s="55" t="n"/>
      <c r="Z646" s="55" t="n"/>
      <c r="AA646" s="55" t="n"/>
      <c r="AB646" s="55" t="n"/>
      <c r="AC646" s="55" t="n"/>
      <c r="AD646" s="53" t="n"/>
      <c r="AE646" s="55" t="n"/>
      <c r="AF646" s="55" t="n"/>
      <c r="AG646" s="59" t="n"/>
      <c r="AH646" s="57" t="n"/>
      <c r="AI646" s="55" t="n"/>
      <c r="AJ646" s="55" t="n"/>
      <c r="AK646" s="55" t="n"/>
      <c r="AL646" s="55" t="n"/>
      <c r="AM646" s="56" t="n"/>
      <c r="AN646" s="55" t="n"/>
      <c r="AO646" s="55" t="n"/>
      <c r="AP646" s="55" t="n"/>
      <c r="AQ646" s="55" t="n"/>
      <c r="AR646" s="60">
        <f>IF(AND(C646="",E646=""),"",IF(A646="","⚠ Date manquante",IF(AND(C646="",E646&lt;&gt;"Dépense"),"⚠ Prospect manquant",IF(E646="","⚠ Action manquante",IF(AND(AU646=1,D646=""),"⚠ Canal manquant",IF(AND(W646&lt;&gt;"",COUNTIFS('Saisie'!$W$5:$W$2004,W646,'Saisie'!$C$5:$C$2004,"&lt;&gt;"&amp;C646)&gt;0),"⚠ Numéro déjà utilisé par un autre prospect",IF(AND(J646&lt;&gt;"",J646&lt;A646),"⚠ Relance avant la date de l'action",IF(A646&gt;TODAY(),"⚠ Date dans le futur","✓"))))))))</f>
        <v/>
      </c>
      <c r="AS646" s="61">
        <f>IF(AND(A646="",C646="",E646=""),"",ROW())</f>
        <v/>
      </c>
      <c r="AT646" s="61">
        <f>IF(E646&amp;F646="","",MAX(IFERROR(INDEX('Paramètres'!$J$6:$J$33,MATCH(E646,'Paramètres'!$I$6:$I$33,0)),0),IFERROR(INDEX('Paramètres'!$N$6:$N$17,MATCH(F646,'Paramètres'!$M$6:$M$17,0)),0)))</f>
        <v/>
      </c>
      <c r="AU646" s="61">
        <f>IF(E646="","",IFERROR(IF(INDEX('Paramètres'!$K$6:$K$33,MATCH(E646,'Paramètres'!$I$6:$I$33,0))="Oui",1,0),0))</f>
        <v/>
      </c>
      <c r="AV646" s="61">
        <f>IF(F646="","",IFERROR(IF(INDEX('Paramètres'!$O$6:$O$17,MATCH(F646,'Paramètres'!$M$6:$M$17,0))="Oui",1,0),0))</f>
        <v/>
      </c>
      <c r="AW646" s="62">
        <f>IF(E646="","",IF(G646&lt;&gt;"",G646,IF(OR(E646="Proposition envoyée",E646="Signature"),MAX(0,N(IFERROR(INDEX('Paramètres'!$R$6:$R$15,MATCH(IF(AL646&lt;&gt;"",AL646,IFERROR(INDEX('Prospects'!$AN$5:$AN$504,MATCH(C646,'Prospects'!$C$5:$C$504,0)),"")),'Paramètres'!$Q$6:$Q$15,0)),0))-N(P646)),0)))</f>
        <v/>
      </c>
      <c r="AX646" s="61">
        <f>IF(C646="","",IF(COUNTIF($C$5:C646,C646)=1,MAX($AX$4:AX645)+1,""))</f>
        <v/>
      </c>
      <c r="AY646" s="61">
        <f>IF(B646="","",HOUR(B646))</f>
        <v/>
      </c>
      <c r="AZ646" s="61">
        <f>IF(A646="","",MOD(A646-2,7)+1)</f>
        <v/>
      </c>
      <c r="BA646" s="60">
        <f>IF(C646="","",IFERROR(INDEX('Prospects'!$N$5:$N$504,MATCH(C646,'Prospects'!$C$5:$C$504,0)),""))</f>
        <v/>
      </c>
      <c r="BB646" s="61">
        <f>IF(AND(C646&lt;&gt;"",C646='Fiche prospect'!$C$4),COUNTIF($C$5:C646,C646),"")</f>
        <v/>
      </c>
    </row>
    <row r="647">
      <c r="A647" s="53" t="n"/>
      <c r="B647" s="54" t="n"/>
      <c r="C647" s="55" t="n"/>
      <c r="D647" s="55" t="n"/>
      <c r="E647" s="55" t="n"/>
      <c r="F647" s="55" t="n"/>
      <c r="G647" s="56" t="n"/>
      <c r="H647" s="57" t="n"/>
      <c r="I647" s="55" t="n"/>
      <c r="J647" s="53" t="n"/>
      <c r="K647" s="54" t="n"/>
      <c r="L647" s="55" t="n"/>
      <c r="M647" s="55" t="n"/>
      <c r="N647" s="57" t="n"/>
      <c r="O647" s="55" t="n"/>
      <c r="P647" s="56" t="n"/>
      <c r="Q647" s="55" t="n"/>
      <c r="R647" s="55" t="n"/>
      <c r="S647" s="55" t="n"/>
      <c r="T647" s="55" t="n"/>
      <c r="U647" s="55" t="n"/>
      <c r="V647" s="55" t="n"/>
      <c r="W647" s="58" t="n"/>
      <c r="X647" s="58" t="n"/>
      <c r="Y647" s="55" t="n"/>
      <c r="Z647" s="55" t="n"/>
      <c r="AA647" s="55" t="n"/>
      <c r="AB647" s="55" t="n"/>
      <c r="AC647" s="55" t="n"/>
      <c r="AD647" s="53" t="n"/>
      <c r="AE647" s="55" t="n"/>
      <c r="AF647" s="55" t="n"/>
      <c r="AG647" s="59" t="n"/>
      <c r="AH647" s="57" t="n"/>
      <c r="AI647" s="55" t="n"/>
      <c r="AJ647" s="55" t="n"/>
      <c r="AK647" s="55" t="n"/>
      <c r="AL647" s="55" t="n"/>
      <c r="AM647" s="56" t="n"/>
      <c r="AN647" s="55" t="n"/>
      <c r="AO647" s="55" t="n"/>
      <c r="AP647" s="55" t="n"/>
      <c r="AQ647" s="55" t="n"/>
      <c r="AR647" s="60">
        <f>IF(AND(C647="",E647=""),"",IF(A647="","⚠ Date manquante",IF(AND(C647="",E647&lt;&gt;"Dépense"),"⚠ Prospect manquant",IF(E647="","⚠ Action manquante",IF(AND(AU647=1,D647=""),"⚠ Canal manquant",IF(AND(W647&lt;&gt;"",COUNTIFS('Saisie'!$W$5:$W$2004,W647,'Saisie'!$C$5:$C$2004,"&lt;&gt;"&amp;C647)&gt;0),"⚠ Numéro déjà utilisé par un autre prospect",IF(AND(J647&lt;&gt;"",J647&lt;A647),"⚠ Relance avant la date de l'action",IF(A647&gt;TODAY(),"⚠ Date dans le futur","✓"))))))))</f>
        <v/>
      </c>
      <c r="AS647" s="61">
        <f>IF(AND(A647="",C647="",E647=""),"",ROW())</f>
        <v/>
      </c>
      <c r="AT647" s="61">
        <f>IF(E647&amp;F647="","",MAX(IFERROR(INDEX('Paramètres'!$J$6:$J$33,MATCH(E647,'Paramètres'!$I$6:$I$33,0)),0),IFERROR(INDEX('Paramètres'!$N$6:$N$17,MATCH(F647,'Paramètres'!$M$6:$M$17,0)),0)))</f>
        <v/>
      </c>
      <c r="AU647" s="61">
        <f>IF(E647="","",IFERROR(IF(INDEX('Paramètres'!$K$6:$K$33,MATCH(E647,'Paramètres'!$I$6:$I$33,0))="Oui",1,0),0))</f>
        <v/>
      </c>
      <c r="AV647" s="61">
        <f>IF(F647="","",IFERROR(IF(INDEX('Paramètres'!$O$6:$O$17,MATCH(F647,'Paramètres'!$M$6:$M$17,0))="Oui",1,0),0))</f>
        <v/>
      </c>
      <c r="AW647" s="62">
        <f>IF(E647="","",IF(G647&lt;&gt;"",G647,IF(OR(E647="Proposition envoyée",E647="Signature"),MAX(0,N(IFERROR(INDEX('Paramètres'!$R$6:$R$15,MATCH(IF(AL647&lt;&gt;"",AL647,IFERROR(INDEX('Prospects'!$AN$5:$AN$504,MATCH(C647,'Prospects'!$C$5:$C$504,0)),"")),'Paramètres'!$Q$6:$Q$15,0)),0))-N(P647)),0)))</f>
        <v/>
      </c>
      <c r="AX647" s="61">
        <f>IF(C647="","",IF(COUNTIF($C$5:C647,C647)=1,MAX($AX$4:AX646)+1,""))</f>
        <v/>
      </c>
      <c r="AY647" s="61">
        <f>IF(B647="","",HOUR(B647))</f>
        <v/>
      </c>
      <c r="AZ647" s="61">
        <f>IF(A647="","",MOD(A647-2,7)+1)</f>
        <v/>
      </c>
      <c r="BA647" s="60">
        <f>IF(C647="","",IFERROR(INDEX('Prospects'!$N$5:$N$504,MATCH(C647,'Prospects'!$C$5:$C$504,0)),""))</f>
        <v/>
      </c>
      <c r="BB647" s="61">
        <f>IF(AND(C647&lt;&gt;"",C647='Fiche prospect'!$C$4),COUNTIF($C$5:C647,C647),"")</f>
        <v/>
      </c>
    </row>
    <row r="648">
      <c r="A648" s="53" t="n"/>
      <c r="B648" s="54" t="n"/>
      <c r="C648" s="55" t="n"/>
      <c r="D648" s="55" t="n"/>
      <c r="E648" s="55" t="n"/>
      <c r="F648" s="55" t="n"/>
      <c r="G648" s="56" t="n"/>
      <c r="H648" s="57" t="n"/>
      <c r="I648" s="55" t="n"/>
      <c r="J648" s="53" t="n"/>
      <c r="K648" s="54" t="n"/>
      <c r="L648" s="55" t="n"/>
      <c r="M648" s="55" t="n"/>
      <c r="N648" s="57" t="n"/>
      <c r="O648" s="55" t="n"/>
      <c r="P648" s="56" t="n"/>
      <c r="Q648" s="55" t="n"/>
      <c r="R648" s="55" t="n"/>
      <c r="S648" s="55" t="n"/>
      <c r="T648" s="55" t="n"/>
      <c r="U648" s="55" t="n"/>
      <c r="V648" s="55" t="n"/>
      <c r="W648" s="58" t="n"/>
      <c r="X648" s="58" t="n"/>
      <c r="Y648" s="55" t="n"/>
      <c r="Z648" s="55" t="n"/>
      <c r="AA648" s="55" t="n"/>
      <c r="AB648" s="55" t="n"/>
      <c r="AC648" s="55" t="n"/>
      <c r="AD648" s="53" t="n"/>
      <c r="AE648" s="55" t="n"/>
      <c r="AF648" s="55" t="n"/>
      <c r="AG648" s="59" t="n"/>
      <c r="AH648" s="57" t="n"/>
      <c r="AI648" s="55" t="n"/>
      <c r="AJ648" s="55" t="n"/>
      <c r="AK648" s="55" t="n"/>
      <c r="AL648" s="55" t="n"/>
      <c r="AM648" s="56" t="n"/>
      <c r="AN648" s="55" t="n"/>
      <c r="AO648" s="55" t="n"/>
      <c r="AP648" s="55" t="n"/>
      <c r="AQ648" s="55" t="n"/>
      <c r="AR648" s="60">
        <f>IF(AND(C648="",E648=""),"",IF(A648="","⚠ Date manquante",IF(AND(C648="",E648&lt;&gt;"Dépense"),"⚠ Prospect manquant",IF(E648="","⚠ Action manquante",IF(AND(AU648=1,D648=""),"⚠ Canal manquant",IF(AND(W648&lt;&gt;"",COUNTIFS('Saisie'!$W$5:$W$2004,W648,'Saisie'!$C$5:$C$2004,"&lt;&gt;"&amp;C648)&gt;0),"⚠ Numéro déjà utilisé par un autre prospect",IF(AND(J648&lt;&gt;"",J648&lt;A648),"⚠ Relance avant la date de l'action",IF(A648&gt;TODAY(),"⚠ Date dans le futur","✓"))))))))</f>
        <v/>
      </c>
      <c r="AS648" s="61">
        <f>IF(AND(A648="",C648="",E648=""),"",ROW())</f>
        <v/>
      </c>
      <c r="AT648" s="61">
        <f>IF(E648&amp;F648="","",MAX(IFERROR(INDEX('Paramètres'!$J$6:$J$33,MATCH(E648,'Paramètres'!$I$6:$I$33,0)),0),IFERROR(INDEX('Paramètres'!$N$6:$N$17,MATCH(F648,'Paramètres'!$M$6:$M$17,0)),0)))</f>
        <v/>
      </c>
      <c r="AU648" s="61">
        <f>IF(E648="","",IFERROR(IF(INDEX('Paramètres'!$K$6:$K$33,MATCH(E648,'Paramètres'!$I$6:$I$33,0))="Oui",1,0),0))</f>
        <v/>
      </c>
      <c r="AV648" s="61">
        <f>IF(F648="","",IFERROR(IF(INDEX('Paramètres'!$O$6:$O$17,MATCH(F648,'Paramètres'!$M$6:$M$17,0))="Oui",1,0),0))</f>
        <v/>
      </c>
      <c r="AW648" s="62">
        <f>IF(E648="","",IF(G648&lt;&gt;"",G648,IF(OR(E648="Proposition envoyée",E648="Signature"),MAX(0,N(IFERROR(INDEX('Paramètres'!$R$6:$R$15,MATCH(IF(AL648&lt;&gt;"",AL648,IFERROR(INDEX('Prospects'!$AN$5:$AN$504,MATCH(C648,'Prospects'!$C$5:$C$504,0)),"")),'Paramètres'!$Q$6:$Q$15,0)),0))-N(P648)),0)))</f>
        <v/>
      </c>
      <c r="AX648" s="61">
        <f>IF(C648="","",IF(COUNTIF($C$5:C648,C648)=1,MAX($AX$4:AX647)+1,""))</f>
        <v/>
      </c>
      <c r="AY648" s="61">
        <f>IF(B648="","",HOUR(B648))</f>
        <v/>
      </c>
      <c r="AZ648" s="61">
        <f>IF(A648="","",MOD(A648-2,7)+1)</f>
        <v/>
      </c>
      <c r="BA648" s="60">
        <f>IF(C648="","",IFERROR(INDEX('Prospects'!$N$5:$N$504,MATCH(C648,'Prospects'!$C$5:$C$504,0)),""))</f>
        <v/>
      </c>
      <c r="BB648" s="61">
        <f>IF(AND(C648&lt;&gt;"",C648='Fiche prospect'!$C$4),COUNTIF($C$5:C648,C648),"")</f>
        <v/>
      </c>
    </row>
    <row r="649">
      <c r="A649" s="53" t="n"/>
      <c r="B649" s="54" t="n"/>
      <c r="C649" s="55" t="n"/>
      <c r="D649" s="55" t="n"/>
      <c r="E649" s="55" t="n"/>
      <c r="F649" s="55" t="n"/>
      <c r="G649" s="56" t="n"/>
      <c r="H649" s="57" t="n"/>
      <c r="I649" s="55" t="n"/>
      <c r="J649" s="53" t="n"/>
      <c r="K649" s="54" t="n"/>
      <c r="L649" s="55" t="n"/>
      <c r="M649" s="55" t="n"/>
      <c r="N649" s="57" t="n"/>
      <c r="O649" s="55" t="n"/>
      <c r="P649" s="56" t="n"/>
      <c r="Q649" s="55" t="n"/>
      <c r="R649" s="55" t="n"/>
      <c r="S649" s="55" t="n"/>
      <c r="T649" s="55" t="n"/>
      <c r="U649" s="55" t="n"/>
      <c r="V649" s="55" t="n"/>
      <c r="W649" s="58" t="n"/>
      <c r="X649" s="58" t="n"/>
      <c r="Y649" s="55" t="n"/>
      <c r="Z649" s="55" t="n"/>
      <c r="AA649" s="55" t="n"/>
      <c r="AB649" s="55" t="n"/>
      <c r="AC649" s="55" t="n"/>
      <c r="AD649" s="53" t="n"/>
      <c r="AE649" s="55" t="n"/>
      <c r="AF649" s="55" t="n"/>
      <c r="AG649" s="59" t="n"/>
      <c r="AH649" s="57" t="n"/>
      <c r="AI649" s="55" t="n"/>
      <c r="AJ649" s="55" t="n"/>
      <c r="AK649" s="55" t="n"/>
      <c r="AL649" s="55" t="n"/>
      <c r="AM649" s="56" t="n"/>
      <c r="AN649" s="55" t="n"/>
      <c r="AO649" s="55" t="n"/>
      <c r="AP649" s="55" t="n"/>
      <c r="AQ649" s="55" t="n"/>
      <c r="AR649" s="60">
        <f>IF(AND(C649="",E649=""),"",IF(A649="","⚠ Date manquante",IF(AND(C649="",E649&lt;&gt;"Dépense"),"⚠ Prospect manquant",IF(E649="","⚠ Action manquante",IF(AND(AU649=1,D649=""),"⚠ Canal manquant",IF(AND(W649&lt;&gt;"",COUNTIFS('Saisie'!$W$5:$W$2004,W649,'Saisie'!$C$5:$C$2004,"&lt;&gt;"&amp;C649)&gt;0),"⚠ Numéro déjà utilisé par un autre prospect",IF(AND(J649&lt;&gt;"",J649&lt;A649),"⚠ Relance avant la date de l'action",IF(A649&gt;TODAY(),"⚠ Date dans le futur","✓"))))))))</f>
        <v/>
      </c>
      <c r="AS649" s="61">
        <f>IF(AND(A649="",C649="",E649=""),"",ROW())</f>
        <v/>
      </c>
      <c r="AT649" s="61">
        <f>IF(E649&amp;F649="","",MAX(IFERROR(INDEX('Paramètres'!$J$6:$J$33,MATCH(E649,'Paramètres'!$I$6:$I$33,0)),0),IFERROR(INDEX('Paramètres'!$N$6:$N$17,MATCH(F649,'Paramètres'!$M$6:$M$17,0)),0)))</f>
        <v/>
      </c>
      <c r="AU649" s="61">
        <f>IF(E649="","",IFERROR(IF(INDEX('Paramètres'!$K$6:$K$33,MATCH(E649,'Paramètres'!$I$6:$I$33,0))="Oui",1,0),0))</f>
        <v/>
      </c>
      <c r="AV649" s="61">
        <f>IF(F649="","",IFERROR(IF(INDEX('Paramètres'!$O$6:$O$17,MATCH(F649,'Paramètres'!$M$6:$M$17,0))="Oui",1,0),0))</f>
        <v/>
      </c>
      <c r="AW649" s="62">
        <f>IF(E649="","",IF(G649&lt;&gt;"",G649,IF(OR(E649="Proposition envoyée",E649="Signature"),MAX(0,N(IFERROR(INDEX('Paramètres'!$R$6:$R$15,MATCH(IF(AL649&lt;&gt;"",AL649,IFERROR(INDEX('Prospects'!$AN$5:$AN$504,MATCH(C649,'Prospects'!$C$5:$C$504,0)),"")),'Paramètres'!$Q$6:$Q$15,0)),0))-N(P649)),0)))</f>
        <v/>
      </c>
      <c r="AX649" s="61">
        <f>IF(C649="","",IF(COUNTIF($C$5:C649,C649)=1,MAX($AX$4:AX648)+1,""))</f>
        <v/>
      </c>
      <c r="AY649" s="61">
        <f>IF(B649="","",HOUR(B649))</f>
        <v/>
      </c>
      <c r="AZ649" s="61">
        <f>IF(A649="","",MOD(A649-2,7)+1)</f>
        <v/>
      </c>
      <c r="BA649" s="60">
        <f>IF(C649="","",IFERROR(INDEX('Prospects'!$N$5:$N$504,MATCH(C649,'Prospects'!$C$5:$C$504,0)),""))</f>
        <v/>
      </c>
      <c r="BB649" s="61">
        <f>IF(AND(C649&lt;&gt;"",C649='Fiche prospect'!$C$4),COUNTIF($C$5:C649,C649),"")</f>
        <v/>
      </c>
    </row>
    <row r="650">
      <c r="A650" s="53" t="n"/>
      <c r="B650" s="54" t="n"/>
      <c r="C650" s="55" t="n"/>
      <c r="D650" s="55" t="n"/>
      <c r="E650" s="55" t="n"/>
      <c r="F650" s="55" t="n"/>
      <c r="G650" s="56" t="n"/>
      <c r="H650" s="57" t="n"/>
      <c r="I650" s="55" t="n"/>
      <c r="J650" s="53" t="n"/>
      <c r="K650" s="54" t="n"/>
      <c r="L650" s="55" t="n"/>
      <c r="M650" s="55" t="n"/>
      <c r="N650" s="57" t="n"/>
      <c r="O650" s="55" t="n"/>
      <c r="P650" s="56" t="n"/>
      <c r="Q650" s="55" t="n"/>
      <c r="R650" s="55" t="n"/>
      <c r="S650" s="55" t="n"/>
      <c r="T650" s="55" t="n"/>
      <c r="U650" s="55" t="n"/>
      <c r="V650" s="55" t="n"/>
      <c r="W650" s="58" t="n"/>
      <c r="X650" s="58" t="n"/>
      <c r="Y650" s="55" t="n"/>
      <c r="Z650" s="55" t="n"/>
      <c r="AA650" s="55" t="n"/>
      <c r="AB650" s="55" t="n"/>
      <c r="AC650" s="55" t="n"/>
      <c r="AD650" s="53" t="n"/>
      <c r="AE650" s="55" t="n"/>
      <c r="AF650" s="55" t="n"/>
      <c r="AG650" s="59" t="n"/>
      <c r="AH650" s="57" t="n"/>
      <c r="AI650" s="55" t="n"/>
      <c r="AJ650" s="55" t="n"/>
      <c r="AK650" s="55" t="n"/>
      <c r="AL650" s="55" t="n"/>
      <c r="AM650" s="56" t="n"/>
      <c r="AN650" s="55" t="n"/>
      <c r="AO650" s="55" t="n"/>
      <c r="AP650" s="55" t="n"/>
      <c r="AQ650" s="55" t="n"/>
      <c r="AR650" s="60">
        <f>IF(AND(C650="",E650=""),"",IF(A650="","⚠ Date manquante",IF(AND(C650="",E650&lt;&gt;"Dépense"),"⚠ Prospect manquant",IF(E650="","⚠ Action manquante",IF(AND(AU650=1,D650=""),"⚠ Canal manquant",IF(AND(W650&lt;&gt;"",COUNTIFS('Saisie'!$W$5:$W$2004,W650,'Saisie'!$C$5:$C$2004,"&lt;&gt;"&amp;C650)&gt;0),"⚠ Numéro déjà utilisé par un autre prospect",IF(AND(J650&lt;&gt;"",J650&lt;A650),"⚠ Relance avant la date de l'action",IF(A650&gt;TODAY(),"⚠ Date dans le futur","✓"))))))))</f>
        <v/>
      </c>
      <c r="AS650" s="61">
        <f>IF(AND(A650="",C650="",E650=""),"",ROW())</f>
        <v/>
      </c>
      <c r="AT650" s="61">
        <f>IF(E650&amp;F650="","",MAX(IFERROR(INDEX('Paramètres'!$J$6:$J$33,MATCH(E650,'Paramètres'!$I$6:$I$33,0)),0),IFERROR(INDEX('Paramètres'!$N$6:$N$17,MATCH(F650,'Paramètres'!$M$6:$M$17,0)),0)))</f>
        <v/>
      </c>
      <c r="AU650" s="61">
        <f>IF(E650="","",IFERROR(IF(INDEX('Paramètres'!$K$6:$K$33,MATCH(E650,'Paramètres'!$I$6:$I$33,0))="Oui",1,0),0))</f>
        <v/>
      </c>
      <c r="AV650" s="61">
        <f>IF(F650="","",IFERROR(IF(INDEX('Paramètres'!$O$6:$O$17,MATCH(F650,'Paramètres'!$M$6:$M$17,0))="Oui",1,0),0))</f>
        <v/>
      </c>
      <c r="AW650" s="62">
        <f>IF(E650="","",IF(G650&lt;&gt;"",G650,IF(OR(E650="Proposition envoyée",E650="Signature"),MAX(0,N(IFERROR(INDEX('Paramètres'!$R$6:$R$15,MATCH(IF(AL650&lt;&gt;"",AL650,IFERROR(INDEX('Prospects'!$AN$5:$AN$504,MATCH(C650,'Prospects'!$C$5:$C$504,0)),"")),'Paramètres'!$Q$6:$Q$15,0)),0))-N(P650)),0)))</f>
        <v/>
      </c>
      <c r="AX650" s="61">
        <f>IF(C650="","",IF(COUNTIF($C$5:C650,C650)=1,MAX($AX$4:AX649)+1,""))</f>
        <v/>
      </c>
      <c r="AY650" s="61">
        <f>IF(B650="","",HOUR(B650))</f>
        <v/>
      </c>
      <c r="AZ650" s="61">
        <f>IF(A650="","",MOD(A650-2,7)+1)</f>
        <v/>
      </c>
      <c r="BA650" s="60">
        <f>IF(C650="","",IFERROR(INDEX('Prospects'!$N$5:$N$504,MATCH(C650,'Prospects'!$C$5:$C$504,0)),""))</f>
        <v/>
      </c>
      <c r="BB650" s="61">
        <f>IF(AND(C650&lt;&gt;"",C650='Fiche prospect'!$C$4),COUNTIF($C$5:C650,C650),"")</f>
        <v/>
      </c>
    </row>
    <row r="651">
      <c r="A651" s="53" t="n"/>
      <c r="B651" s="54" t="n"/>
      <c r="C651" s="55" t="n"/>
      <c r="D651" s="55" t="n"/>
      <c r="E651" s="55" t="n"/>
      <c r="F651" s="55" t="n"/>
      <c r="G651" s="56" t="n"/>
      <c r="H651" s="57" t="n"/>
      <c r="I651" s="55" t="n"/>
      <c r="J651" s="53" t="n"/>
      <c r="K651" s="54" t="n"/>
      <c r="L651" s="55" t="n"/>
      <c r="M651" s="55" t="n"/>
      <c r="N651" s="57" t="n"/>
      <c r="O651" s="55" t="n"/>
      <c r="P651" s="56" t="n"/>
      <c r="Q651" s="55" t="n"/>
      <c r="R651" s="55" t="n"/>
      <c r="S651" s="55" t="n"/>
      <c r="T651" s="55" t="n"/>
      <c r="U651" s="55" t="n"/>
      <c r="V651" s="55" t="n"/>
      <c r="W651" s="58" t="n"/>
      <c r="X651" s="58" t="n"/>
      <c r="Y651" s="55" t="n"/>
      <c r="Z651" s="55" t="n"/>
      <c r="AA651" s="55" t="n"/>
      <c r="AB651" s="55" t="n"/>
      <c r="AC651" s="55" t="n"/>
      <c r="AD651" s="53" t="n"/>
      <c r="AE651" s="55" t="n"/>
      <c r="AF651" s="55" t="n"/>
      <c r="AG651" s="59" t="n"/>
      <c r="AH651" s="57" t="n"/>
      <c r="AI651" s="55" t="n"/>
      <c r="AJ651" s="55" t="n"/>
      <c r="AK651" s="55" t="n"/>
      <c r="AL651" s="55" t="n"/>
      <c r="AM651" s="56" t="n"/>
      <c r="AN651" s="55" t="n"/>
      <c r="AO651" s="55" t="n"/>
      <c r="AP651" s="55" t="n"/>
      <c r="AQ651" s="55" t="n"/>
      <c r="AR651" s="60">
        <f>IF(AND(C651="",E651=""),"",IF(A651="","⚠ Date manquante",IF(AND(C651="",E651&lt;&gt;"Dépense"),"⚠ Prospect manquant",IF(E651="","⚠ Action manquante",IF(AND(AU651=1,D651=""),"⚠ Canal manquant",IF(AND(W651&lt;&gt;"",COUNTIFS('Saisie'!$W$5:$W$2004,W651,'Saisie'!$C$5:$C$2004,"&lt;&gt;"&amp;C651)&gt;0),"⚠ Numéro déjà utilisé par un autre prospect",IF(AND(J651&lt;&gt;"",J651&lt;A651),"⚠ Relance avant la date de l'action",IF(A651&gt;TODAY(),"⚠ Date dans le futur","✓"))))))))</f>
        <v/>
      </c>
      <c r="AS651" s="61">
        <f>IF(AND(A651="",C651="",E651=""),"",ROW())</f>
        <v/>
      </c>
      <c r="AT651" s="61">
        <f>IF(E651&amp;F651="","",MAX(IFERROR(INDEX('Paramètres'!$J$6:$J$33,MATCH(E651,'Paramètres'!$I$6:$I$33,0)),0),IFERROR(INDEX('Paramètres'!$N$6:$N$17,MATCH(F651,'Paramètres'!$M$6:$M$17,0)),0)))</f>
        <v/>
      </c>
      <c r="AU651" s="61">
        <f>IF(E651="","",IFERROR(IF(INDEX('Paramètres'!$K$6:$K$33,MATCH(E651,'Paramètres'!$I$6:$I$33,0))="Oui",1,0),0))</f>
        <v/>
      </c>
      <c r="AV651" s="61">
        <f>IF(F651="","",IFERROR(IF(INDEX('Paramètres'!$O$6:$O$17,MATCH(F651,'Paramètres'!$M$6:$M$17,0))="Oui",1,0),0))</f>
        <v/>
      </c>
      <c r="AW651" s="62">
        <f>IF(E651="","",IF(G651&lt;&gt;"",G651,IF(OR(E651="Proposition envoyée",E651="Signature"),MAX(0,N(IFERROR(INDEX('Paramètres'!$R$6:$R$15,MATCH(IF(AL651&lt;&gt;"",AL651,IFERROR(INDEX('Prospects'!$AN$5:$AN$504,MATCH(C651,'Prospects'!$C$5:$C$504,0)),"")),'Paramètres'!$Q$6:$Q$15,0)),0))-N(P651)),0)))</f>
        <v/>
      </c>
      <c r="AX651" s="61">
        <f>IF(C651="","",IF(COUNTIF($C$5:C651,C651)=1,MAX($AX$4:AX650)+1,""))</f>
        <v/>
      </c>
      <c r="AY651" s="61">
        <f>IF(B651="","",HOUR(B651))</f>
        <v/>
      </c>
      <c r="AZ651" s="61">
        <f>IF(A651="","",MOD(A651-2,7)+1)</f>
        <v/>
      </c>
      <c r="BA651" s="60">
        <f>IF(C651="","",IFERROR(INDEX('Prospects'!$N$5:$N$504,MATCH(C651,'Prospects'!$C$5:$C$504,0)),""))</f>
        <v/>
      </c>
      <c r="BB651" s="61">
        <f>IF(AND(C651&lt;&gt;"",C651='Fiche prospect'!$C$4),COUNTIF($C$5:C651,C651),"")</f>
        <v/>
      </c>
    </row>
    <row r="652">
      <c r="A652" s="53" t="n"/>
      <c r="B652" s="54" t="n"/>
      <c r="C652" s="55" t="n"/>
      <c r="D652" s="55" t="n"/>
      <c r="E652" s="55" t="n"/>
      <c r="F652" s="55" t="n"/>
      <c r="G652" s="56" t="n"/>
      <c r="H652" s="57" t="n"/>
      <c r="I652" s="55" t="n"/>
      <c r="J652" s="53" t="n"/>
      <c r="K652" s="54" t="n"/>
      <c r="L652" s="55" t="n"/>
      <c r="M652" s="55" t="n"/>
      <c r="N652" s="57" t="n"/>
      <c r="O652" s="55" t="n"/>
      <c r="P652" s="56" t="n"/>
      <c r="Q652" s="55" t="n"/>
      <c r="R652" s="55" t="n"/>
      <c r="S652" s="55" t="n"/>
      <c r="T652" s="55" t="n"/>
      <c r="U652" s="55" t="n"/>
      <c r="V652" s="55" t="n"/>
      <c r="W652" s="58" t="n"/>
      <c r="X652" s="58" t="n"/>
      <c r="Y652" s="55" t="n"/>
      <c r="Z652" s="55" t="n"/>
      <c r="AA652" s="55" t="n"/>
      <c r="AB652" s="55" t="n"/>
      <c r="AC652" s="55" t="n"/>
      <c r="AD652" s="53" t="n"/>
      <c r="AE652" s="55" t="n"/>
      <c r="AF652" s="55" t="n"/>
      <c r="AG652" s="59" t="n"/>
      <c r="AH652" s="57" t="n"/>
      <c r="AI652" s="55" t="n"/>
      <c r="AJ652" s="55" t="n"/>
      <c r="AK652" s="55" t="n"/>
      <c r="AL652" s="55" t="n"/>
      <c r="AM652" s="56" t="n"/>
      <c r="AN652" s="55" t="n"/>
      <c r="AO652" s="55" t="n"/>
      <c r="AP652" s="55" t="n"/>
      <c r="AQ652" s="55" t="n"/>
      <c r="AR652" s="60">
        <f>IF(AND(C652="",E652=""),"",IF(A652="","⚠ Date manquante",IF(AND(C652="",E652&lt;&gt;"Dépense"),"⚠ Prospect manquant",IF(E652="","⚠ Action manquante",IF(AND(AU652=1,D652=""),"⚠ Canal manquant",IF(AND(W652&lt;&gt;"",COUNTIFS('Saisie'!$W$5:$W$2004,W652,'Saisie'!$C$5:$C$2004,"&lt;&gt;"&amp;C652)&gt;0),"⚠ Numéro déjà utilisé par un autre prospect",IF(AND(J652&lt;&gt;"",J652&lt;A652),"⚠ Relance avant la date de l'action",IF(A652&gt;TODAY(),"⚠ Date dans le futur","✓"))))))))</f>
        <v/>
      </c>
      <c r="AS652" s="61">
        <f>IF(AND(A652="",C652="",E652=""),"",ROW())</f>
        <v/>
      </c>
      <c r="AT652" s="61">
        <f>IF(E652&amp;F652="","",MAX(IFERROR(INDEX('Paramètres'!$J$6:$J$33,MATCH(E652,'Paramètres'!$I$6:$I$33,0)),0),IFERROR(INDEX('Paramètres'!$N$6:$N$17,MATCH(F652,'Paramètres'!$M$6:$M$17,0)),0)))</f>
        <v/>
      </c>
      <c r="AU652" s="61">
        <f>IF(E652="","",IFERROR(IF(INDEX('Paramètres'!$K$6:$K$33,MATCH(E652,'Paramètres'!$I$6:$I$33,0))="Oui",1,0),0))</f>
        <v/>
      </c>
      <c r="AV652" s="61">
        <f>IF(F652="","",IFERROR(IF(INDEX('Paramètres'!$O$6:$O$17,MATCH(F652,'Paramètres'!$M$6:$M$17,0))="Oui",1,0),0))</f>
        <v/>
      </c>
      <c r="AW652" s="62">
        <f>IF(E652="","",IF(G652&lt;&gt;"",G652,IF(OR(E652="Proposition envoyée",E652="Signature"),MAX(0,N(IFERROR(INDEX('Paramètres'!$R$6:$R$15,MATCH(IF(AL652&lt;&gt;"",AL652,IFERROR(INDEX('Prospects'!$AN$5:$AN$504,MATCH(C652,'Prospects'!$C$5:$C$504,0)),"")),'Paramètres'!$Q$6:$Q$15,0)),0))-N(P652)),0)))</f>
        <v/>
      </c>
      <c r="AX652" s="61">
        <f>IF(C652="","",IF(COUNTIF($C$5:C652,C652)=1,MAX($AX$4:AX651)+1,""))</f>
        <v/>
      </c>
      <c r="AY652" s="61">
        <f>IF(B652="","",HOUR(B652))</f>
        <v/>
      </c>
      <c r="AZ652" s="61">
        <f>IF(A652="","",MOD(A652-2,7)+1)</f>
        <v/>
      </c>
      <c r="BA652" s="60">
        <f>IF(C652="","",IFERROR(INDEX('Prospects'!$N$5:$N$504,MATCH(C652,'Prospects'!$C$5:$C$504,0)),""))</f>
        <v/>
      </c>
      <c r="BB652" s="61">
        <f>IF(AND(C652&lt;&gt;"",C652='Fiche prospect'!$C$4),COUNTIF($C$5:C652,C652),"")</f>
        <v/>
      </c>
    </row>
    <row r="653">
      <c r="A653" s="53" t="n"/>
      <c r="B653" s="54" t="n"/>
      <c r="C653" s="55" t="n"/>
      <c r="D653" s="55" t="n"/>
      <c r="E653" s="55" t="n"/>
      <c r="F653" s="55" t="n"/>
      <c r="G653" s="56" t="n"/>
      <c r="H653" s="57" t="n"/>
      <c r="I653" s="55" t="n"/>
      <c r="J653" s="53" t="n"/>
      <c r="K653" s="54" t="n"/>
      <c r="L653" s="55" t="n"/>
      <c r="M653" s="55" t="n"/>
      <c r="N653" s="57" t="n"/>
      <c r="O653" s="55" t="n"/>
      <c r="P653" s="56" t="n"/>
      <c r="Q653" s="55" t="n"/>
      <c r="R653" s="55" t="n"/>
      <c r="S653" s="55" t="n"/>
      <c r="T653" s="55" t="n"/>
      <c r="U653" s="55" t="n"/>
      <c r="V653" s="55" t="n"/>
      <c r="W653" s="58" t="n"/>
      <c r="X653" s="58" t="n"/>
      <c r="Y653" s="55" t="n"/>
      <c r="Z653" s="55" t="n"/>
      <c r="AA653" s="55" t="n"/>
      <c r="AB653" s="55" t="n"/>
      <c r="AC653" s="55" t="n"/>
      <c r="AD653" s="53" t="n"/>
      <c r="AE653" s="55" t="n"/>
      <c r="AF653" s="55" t="n"/>
      <c r="AG653" s="59" t="n"/>
      <c r="AH653" s="57" t="n"/>
      <c r="AI653" s="55" t="n"/>
      <c r="AJ653" s="55" t="n"/>
      <c r="AK653" s="55" t="n"/>
      <c r="AL653" s="55" t="n"/>
      <c r="AM653" s="56" t="n"/>
      <c r="AN653" s="55" t="n"/>
      <c r="AO653" s="55" t="n"/>
      <c r="AP653" s="55" t="n"/>
      <c r="AQ653" s="55" t="n"/>
      <c r="AR653" s="60">
        <f>IF(AND(C653="",E653=""),"",IF(A653="","⚠ Date manquante",IF(AND(C653="",E653&lt;&gt;"Dépense"),"⚠ Prospect manquant",IF(E653="","⚠ Action manquante",IF(AND(AU653=1,D653=""),"⚠ Canal manquant",IF(AND(W653&lt;&gt;"",COUNTIFS('Saisie'!$W$5:$W$2004,W653,'Saisie'!$C$5:$C$2004,"&lt;&gt;"&amp;C653)&gt;0),"⚠ Numéro déjà utilisé par un autre prospect",IF(AND(J653&lt;&gt;"",J653&lt;A653),"⚠ Relance avant la date de l'action",IF(A653&gt;TODAY(),"⚠ Date dans le futur","✓"))))))))</f>
        <v/>
      </c>
      <c r="AS653" s="61">
        <f>IF(AND(A653="",C653="",E653=""),"",ROW())</f>
        <v/>
      </c>
      <c r="AT653" s="61">
        <f>IF(E653&amp;F653="","",MAX(IFERROR(INDEX('Paramètres'!$J$6:$J$33,MATCH(E653,'Paramètres'!$I$6:$I$33,0)),0),IFERROR(INDEX('Paramètres'!$N$6:$N$17,MATCH(F653,'Paramètres'!$M$6:$M$17,0)),0)))</f>
        <v/>
      </c>
      <c r="AU653" s="61">
        <f>IF(E653="","",IFERROR(IF(INDEX('Paramètres'!$K$6:$K$33,MATCH(E653,'Paramètres'!$I$6:$I$33,0))="Oui",1,0),0))</f>
        <v/>
      </c>
      <c r="AV653" s="61">
        <f>IF(F653="","",IFERROR(IF(INDEX('Paramètres'!$O$6:$O$17,MATCH(F653,'Paramètres'!$M$6:$M$17,0))="Oui",1,0),0))</f>
        <v/>
      </c>
      <c r="AW653" s="62">
        <f>IF(E653="","",IF(G653&lt;&gt;"",G653,IF(OR(E653="Proposition envoyée",E653="Signature"),MAX(0,N(IFERROR(INDEX('Paramètres'!$R$6:$R$15,MATCH(IF(AL653&lt;&gt;"",AL653,IFERROR(INDEX('Prospects'!$AN$5:$AN$504,MATCH(C653,'Prospects'!$C$5:$C$504,0)),"")),'Paramètres'!$Q$6:$Q$15,0)),0))-N(P653)),0)))</f>
        <v/>
      </c>
      <c r="AX653" s="61">
        <f>IF(C653="","",IF(COUNTIF($C$5:C653,C653)=1,MAX($AX$4:AX652)+1,""))</f>
        <v/>
      </c>
      <c r="AY653" s="61">
        <f>IF(B653="","",HOUR(B653))</f>
        <v/>
      </c>
      <c r="AZ653" s="61">
        <f>IF(A653="","",MOD(A653-2,7)+1)</f>
        <v/>
      </c>
      <c r="BA653" s="60">
        <f>IF(C653="","",IFERROR(INDEX('Prospects'!$N$5:$N$504,MATCH(C653,'Prospects'!$C$5:$C$504,0)),""))</f>
        <v/>
      </c>
      <c r="BB653" s="61">
        <f>IF(AND(C653&lt;&gt;"",C653='Fiche prospect'!$C$4),COUNTIF($C$5:C653,C653),"")</f>
        <v/>
      </c>
    </row>
    <row r="654">
      <c r="A654" s="53" t="n"/>
      <c r="B654" s="54" t="n"/>
      <c r="C654" s="55" t="n"/>
      <c r="D654" s="55" t="n"/>
      <c r="E654" s="55" t="n"/>
      <c r="F654" s="55" t="n"/>
      <c r="G654" s="56" t="n"/>
      <c r="H654" s="57" t="n"/>
      <c r="I654" s="55" t="n"/>
      <c r="J654" s="53" t="n"/>
      <c r="K654" s="54" t="n"/>
      <c r="L654" s="55" t="n"/>
      <c r="M654" s="55" t="n"/>
      <c r="N654" s="57" t="n"/>
      <c r="O654" s="55" t="n"/>
      <c r="P654" s="56" t="n"/>
      <c r="Q654" s="55" t="n"/>
      <c r="R654" s="55" t="n"/>
      <c r="S654" s="55" t="n"/>
      <c r="T654" s="55" t="n"/>
      <c r="U654" s="55" t="n"/>
      <c r="V654" s="55" t="n"/>
      <c r="W654" s="58" t="n"/>
      <c r="X654" s="58" t="n"/>
      <c r="Y654" s="55" t="n"/>
      <c r="Z654" s="55" t="n"/>
      <c r="AA654" s="55" t="n"/>
      <c r="AB654" s="55" t="n"/>
      <c r="AC654" s="55" t="n"/>
      <c r="AD654" s="53" t="n"/>
      <c r="AE654" s="55" t="n"/>
      <c r="AF654" s="55" t="n"/>
      <c r="AG654" s="59" t="n"/>
      <c r="AH654" s="57" t="n"/>
      <c r="AI654" s="55" t="n"/>
      <c r="AJ654" s="55" t="n"/>
      <c r="AK654" s="55" t="n"/>
      <c r="AL654" s="55" t="n"/>
      <c r="AM654" s="56" t="n"/>
      <c r="AN654" s="55" t="n"/>
      <c r="AO654" s="55" t="n"/>
      <c r="AP654" s="55" t="n"/>
      <c r="AQ654" s="55" t="n"/>
      <c r="AR654" s="60">
        <f>IF(AND(C654="",E654=""),"",IF(A654="","⚠ Date manquante",IF(AND(C654="",E654&lt;&gt;"Dépense"),"⚠ Prospect manquant",IF(E654="","⚠ Action manquante",IF(AND(AU654=1,D654=""),"⚠ Canal manquant",IF(AND(W654&lt;&gt;"",COUNTIFS('Saisie'!$W$5:$W$2004,W654,'Saisie'!$C$5:$C$2004,"&lt;&gt;"&amp;C654)&gt;0),"⚠ Numéro déjà utilisé par un autre prospect",IF(AND(J654&lt;&gt;"",J654&lt;A654),"⚠ Relance avant la date de l'action",IF(A654&gt;TODAY(),"⚠ Date dans le futur","✓"))))))))</f>
        <v/>
      </c>
      <c r="AS654" s="61">
        <f>IF(AND(A654="",C654="",E654=""),"",ROW())</f>
        <v/>
      </c>
      <c r="AT654" s="61">
        <f>IF(E654&amp;F654="","",MAX(IFERROR(INDEX('Paramètres'!$J$6:$J$33,MATCH(E654,'Paramètres'!$I$6:$I$33,0)),0),IFERROR(INDEX('Paramètres'!$N$6:$N$17,MATCH(F654,'Paramètres'!$M$6:$M$17,0)),0)))</f>
        <v/>
      </c>
      <c r="AU654" s="61">
        <f>IF(E654="","",IFERROR(IF(INDEX('Paramètres'!$K$6:$K$33,MATCH(E654,'Paramètres'!$I$6:$I$33,0))="Oui",1,0),0))</f>
        <v/>
      </c>
      <c r="AV654" s="61">
        <f>IF(F654="","",IFERROR(IF(INDEX('Paramètres'!$O$6:$O$17,MATCH(F654,'Paramètres'!$M$6:$M$17,0))="Oui",1,0),0))</f>
        <v/>
      </c>
      <c r="AW654" s="62">
        <f>IF(E654="","",IF(G654&lt;&gt;"",G654,IF(OR(E654="Proposition envoyée",E654="Signature"),MAX(0,N(IFERROR(INDEX('Paramètres'!$R$6:$R$15,MATCH(IF(AL654&lt;&gt;"",AL654,IFERROR(INDEX('Prospects'!$AN$5:$AN$504,MATCH(C654,'Prospects'!$C$5:$C$504,0)),"")),'Paramètres'!$Q$6:$Q$15,0)),0))-N(P654)),0)))</f>
        <v/>
      </c>
      <c r="AX654" s="61">
        <f>IF(C654="","",IF(COUNTIF($C$5:C654,C654)=1,MAX($AX$4:AX653)+1,""))</f>
        <v/>
      </c>
      <c r="AY654" s="61">
        <f>IF(B654="","",HOUR(B654))</f>
        <v/>
      </c>
      <c r="AZ654" s="61">
        <f>IF(A654="","",MOD(A654-2,7)+1)</f>
        <v/>
      </c>
      <c r="BA654" s="60">
        <f>IF(C654="","",IFERROR(INDEX('Prospects'!$N$5:$N$504,MATCH(C654,'Prospects'!$C$5:$C$504,0)),""))</f>
        <v/>
      </c>
      <c r="BB654" s="61">
        <f>IF(AND(C654&lt;&gt;"",C654='Fiche prospect'!$C$4),COUNTIF($C$5:C654,C654),"")</f>
        <v/>
      </c>
    </row>
    <row r="655">
      <c r="A655" s="53" t="n"/>
      <c r="B655" s="54" t="n"/>
      <c r="C655" s="55" t="n"/>
      <c r="D655" s="55" t="n"/>
      <c r="E655" s="55" t="n"/>
      <c r="F655" s="55" t="n"/>
      <c r="G655" s="56" t="n"/>
      <c r="H655" s="57" t="n"/>
      <c r="I655" s="55" t="n"/>
      <c r="J655" s="53" t="n"/>
      <c r="K655" s="54" t="n"/>
      <c r="L655" s="55" t="n"/>
      <c r="M655" s="55" t="n"/>
      <c r="N655" s="57" t="n"/>
      <c r="O655" s="55" t="n"/>
      <c r="P655" s="56" t="n"/>
      <c r="Q655" s="55" t="n"/>
      <c r="R655" s="55" t="n"/>
      <c r="S655" s="55" t="n"/>
      <c r="T655" s="55" t="n"/>
      <c r="U655" s="55" t="n"/>
      <c r="V655" s="55" t="n"/>
      <c r="W655" s="58" t="n"/>
      <c r="X655" s="58" t="n"/>
      <c r="Y655" s="55" t="n"/>
      <c r="Z655" s="55" t="n"/>
      <c r="AA655" s="55" t="n"/>
      <c r="AB655" s="55" t="n"/>
      <c r="AC655" s="55" t="n"/>
      <c r="AD655" s="53" t="n"/>
      <c r="AE655" s="55" t="n"/>
      <c r="AF655" s="55" t="n"/>
      <c r="AG655" s="59" t="n"/>
      <c r="AH655" s="57" t="n"/>
      <c r="AI655" s="55" t="n"/>
      <c r="AJ655" s="55" t="n"/>
      <c r="AK655" s="55" t="n"/>
      <c r="AL655" s="55" t="n"/>
      <c r="AM655" s="56" t="n"/>
      <c r="AN655" s="55" t="n"/>
      <c r="AO655" s="55" t="n"/>
      <c r="AP655" s="55" t="n"/>
      <c r="AQ655" s="55" t="n"/>
      <c r="AR655" s="60">
        <f>IF(AND(C655="",E655=""),"",IF(A655="","⚠ Date manquante",IF(AND(C655="",E655&lt;&gt;"Dépense"),"⚠ Prospect manquant",IF(E655="","⚠ Action manquante",IF(AND(AU655=1,D655=""),"⚠ Canal manquant",IF(AND(W655&lt;&gt;"",COUNTIFS('Saisie'!$W$5:$W$2004,W655,'Saisie'!$C$5:$C$2004,"&lt;&gt;"&amp;C655)&gt;0),"⚠ Numéro déjà utilisé par un autre prospect",IF(AND(J655&lt;&gt;"",J655&lt;A655),"⚠ Relance avant la date de l'action",IF(A655&gt;TODAY(),"⚠ Date dans le futur","✓"))))))))</f>
        <v/>
      </c>
      <c r="AS655" s="61">
        <f>IF(AND(A655="",C655="",E655=""),"",ROW())</f>
        <v/>
      </c>
      <c r="AT655" s="61">
        <f>IF(E655&amp;F655="","",MAX(IFERROR(INDEX('Paramètres'!$J$6:$J$33,MATCH(E655,'Paramètres'!$I$6:$I$33,0)),0),IFERROR(INDEX('Paramètres'!$N$6:$N$17,MATCH(F655,'Paramètres'!$M$6:$M$17,0)),0)))</f>
        <v/>
      </c>
      <c r="AU655" s="61">
        <f>IF(E655="","",IFERROR(IF(INDEX('Paramètres'!$K$6:$K$33,MATCH(E655,'Paramètres'!$I$6:$I$33,0))="Oui",1,0),0))</f>
        <v/>
      </c>
      <c r="AV655" s="61">
        <f>IF(F655="","",IFERROR(IF(INDEX('Paramètres'!$O$6:$O$17,MATCH(F655,'Paramètres'!$M$6:$M$17,0))="Oui",1,0),0))</f>
        <v/>
      </c>
      <c r="AW655" s="62">
        <f>IF(E655="","",IF(G655&lt;&gt;"",G655,IF(OR(E655="Proposition envoyée",E655="Signature"),MAX(0,N(IFERROR(INDEX('Paramètres'!$R$6:$R$15,MATCH(IF(AL655&lt;&gt;"",AL655,IFERROR(INDEX('Prospects'!$AN$5:$AN$504,MATCH(C655,'Prospects'!$C$5:$C$504,0)),"")),'Paramètres'!$Q$6:$Q$15,0)),0))-N(P655)),0)))</f>
        <v/>
      </c>
      <c r="AX655" s="61">
        <f>IF(C655="","",IF(COUNTIF($C$5:C655,C655)=1,MAX($AX$4:AX654)+1,""))</f>
        <v/>
      </c>
      <c r="AY655" s="61">
        <f>IF(B655="","",HOUR(B655))</f>
        <v/>
      </c>
      <c r="AZ655" s="61">
        <f>IF(A655="","",MOD(A655-2,7)+1)</f>
        <v/>
      </c>
      <c r="BA655" s="60">
        <f>IF(C655="","",IFERROR(INDEX('Prospects'!$N$5:$N$504,MATCH(C655,'Prospects'!$C$5:$C$504,0)),""))</f>
        <v/>
      </c>
      <c r="BB655" s="61">
        <f>IF(AND(C655&lt;&gt;"",C655='Fiche prospect'!$C$4),COUNTIF($C$5:C655,C655),"")</f>
        <v/>
      </c>
    </row>
    <row r="656">
      <c r="A656" s="53" t="n"/>
      <c r="B656" s="54" t="n"/>
      <c r="C656" s="55" t="n"/>
      <c r="D656" s="55" t="n"/>
      <c r="E656" s="55" t="n"/>
      <c r="F656" s="55" t="n"/>
      <c r="G656" s="56" t="n"/>
      <c r="H656" s="57" t="n"/>
      <c r="I656" s="55" t="n"/>
      <c r="J656" s="53" t="n"/>
      <c r="K656" s="54" t="n"/>
      <c r="L656" s="55" t="n"/>
      <c r="M656" s="55" t="n"/>
      <c r="N656" s="57" t="n"/>
      <c r="O656" s="55" t="n"/>
      <c r="P656" s="56" t="n"/>
      <c r="Q656" s="55" t="n"/>
      <c r="R656" s="55" t="n"/>
      <c r="S656" s="55" t="n"/>
      <c r="T656" s="55" t="n"/>
      <c r="U656" s="55" t="n"/>
      <c r="V656" s="55" t="n"/>
      <c r="W656" s="58" t="n"/>
      <c r="X656" s="58" t="n"/>
      <c r="Y656" s="55" t="n"/>
      <c r="Z656" s="55" t="n"/>
      <c r="AA656" s="55" t="n"/>
      <c r="AB656" s="55" t="n"/>
      <c r="AC656" s="55" t="n"/>
      <c r="AD656" s="53" t="n"/>
      <c r="AE656" s="55" t="n"/>
      <c r="AF656" s="55" t="n"/>
      <c r="AG656" s="59" t="n"/>
      <c r="AH656" s="57" t="n"/>
      <c r="AI656" s="55" t="n"/>
      <c r="AJ656" s="55" t="n"/>
      <c r="AK656" s="55" t="n"/>
      <c r="AL656" s="55" t="n"/>
      <c r="AM656" s="56" t="n"/>
      <c r="AN656" s="55" t="n"/>
      <c r="AO656" s="55" t="n"/>
      <c r="AP656" s="55" t="n"/>
      <c r="AQ656" s="55" t="n"/>
      <c r="AR656" s="60">
        <f>IF(AND(C656="",E656=""),"",IF(A656="","⚠ Date manquante",IF(AND(C656="",E656&lt;&gt;"Dépense"),"⚠ Prospect manquant",IF(E656="","⚠ Action manquante",IF(AND(AU656=1,D656=""),"⚠ Canal manquant",IF(AND(W656&lt;&gt;"",COUNTIFS('Saisie'!$W$5:$W$2004,W656,'Saisie'!$C$5:$C$2004,"&lt;&gt;"&amp;C656)&gt;0),"⚠ Numéro déjà utilisé par un autre prospect",IF(AND(J656&lt;&gt;"",J656&lt;A656),"⚠ Relance avant la date de l'action",IF(A656&gt;TODAY(),"⚠ Date dans le futur","✓"))))))))</f>
        <v/>
      </c>
      <c r="AS656" s="61">
        <f>IF(AND(A656="",C656="",E656=""),"",ROW())</f>
        <v/>
      </c>
      <c r="AT656" s="61">
        <f>IF(E656&amp;F656="","",MAX(IFERROR(INDEX('Paramètres'!$J$6:$J$33,MATCH(E656,'Paramètres'!$I$6:$I$33,0)),0),IFERROR(INDEX('Paramètres'!$N$6:$N$17,MATCH(F656,'Paramètres'!$M$6:$M$17,0)),0)))</f>
        <v/>
      </c>
      <c r="AU656" s="61">
        <f>IF(E656="","",IFERROR(IF(INDEX('Paramètres'!$K$6:$K$33,MATCH(E656,'Paramètres'!$I$6:$I$33,0))="Oui",1,0),0))</f>
        <v/>
      </c>
      <c r="AV656" s="61">
        <f>IF(F656="","",IFERROR(IF(INDEX('Paramètres'!$O$6:$O$17,MATCH(F656,'Paramètres'!$M$6:$M$17,0))="Oui",1,0),0))</f>
        <v/>
      </c>
      <c r="AW656" s="62">
        <f>IF(E656="","",IF(G656&lt;&gt;"",G656,IF(OR(E656="Proposition envoyée",E656="Signature"),MAX(0,N(IFERROR(INDEX('Paramètres'!$R$6:$R$15,MATCH(IF(AL656&lt;&gt;"",AL656,IFERROR(INDEX('Prospects'!$AN$5:$AN$504,MATCH(C656,'Prospects'!$C$5:$C$504,0)),"")),'Paramètres'!$Q$6:$Q$15,0)),0))-N(P656)),0)))</f>
        <v/>
      </c>
      <c r="AX656" s="61">
        <f>IF(C656="","",IF(COUNTIF($C$5:C656,C656)=1,MAX($AX$4:AX655)+1,""))</f>
        <v/>
      </c>
      <c r="AY656" s="61">
        <f>IF(B656="","",HOUR(B656))</f>
        <v/>
      </c>
      <c r="AZ656" s="61">
        <f>IF(A656="","",MOD(A656-2,7)+1)</f>
        <v/>
      </c>
      <c r="BA656" s="60">
        <f>IF(C656="","",IFERROR(INDEX('Prospects'!$N$5:$N$504,MATCH(C656,'Prospects'!$C$5:$C$504,0)),""))</f>
        <v/>
      </c>
      <c r="BB656" s="61">
        <f>IF(AND(C656&lt;&gt;"",C656='Fiche prospect'!$C$4),COUNTIF($C$5:C656,C656),"")</f>
        <v/>
      </c>
    </row>
    <row r="657">
      <c r="A657" s="53" t="n"/>
      <c r="B657" s="54" t="n"/>
      <c r="C657" s="55" t="n"/>
      <c r="D657" s="55" t="n"/>
      <c r="E657" s="55" t="n"/>
      <c r="F657" s="55" t="n"/>
      <c r="G657" s="56" t="n"/>
      <c r="H657" s="57" t="n"/>
      <c r="I657" s="55" t="n"/>
      <c r="J657" s="53" t="n"/>
      <c r="K657" s="54" t="n"/>
      <c r="L657" s="55" t="n"/>
      <c r="M657" s="55" t="n"/>
      <c r="N657" s="57" t="n"/>
      <c r="O657" s="55" t="n"/>
      <c r="P657" s="56" t="n"/>
      <c r="Q657" s="55" t="n"/>
      <c r="R657" s="55" t="n"/>
      <c r="S657" s="55" t="n"/>
      <c r="T657" s="55" t="n"/>
      <c r="U657" s="55" t="n"/>
      <c r="V657" s="55" t="n"/>
      <c r="W657" s="58" t="n"/>
      <c r="X657" s="58" t="n"/>
      <c r="Y657" s="55" t="n"/>
      <c r="Z657" s="55" t="n"/>
      <c r="AA657" s="55" t="n"/>
      <c r="AB657" s="55" t="n"/>
      <c r="AC657" s="55" t="n"/>
      <c r="AD657" s="53" t="n"/>
      <c r="AE657" s="55" t="n"/>
      <c r="AF657" s="55" t="n"/>
      <c r="AG657" s="59" t="n"/>
      <c r="AH657" s="57" t="n"/>
      <c r="AI657" s="55" t="n"/>
      <c r="AJ657" s="55" t="n"/>
      <c r="AK657" s="55" t="n"/>
      <c r="AL657" s="55" t="n"/>
      <c r="AM657" s="56" t="n"/>
      <c r="AN657" s="55" t="n"/>
      <c r="AO657" s="55" t="n"/>
      <c r="AP657" s="55" t="n"/>
      <c r="AQ657" s="55" t="n"/>
      <c r="AR657" s="60">
        <f>IF(AND(C657="",E657=""),"",IF(A657="","⚠ Date manquante",IF(AND(C657="",E657&lt;&gt;"Dépense"),"⚠ Prospect manquant",IF(E657="","⚠ Action manquante",IF(AND(AU657=1,D657=""),"⚠ Canal manquant",IF(AND(W657&lt;&gt;"",COUNTIFS('Saisie'!$W$5:$W$2004,W657,'Saisie'!$C$5:$C$2004,"&lt;&gt;"&amp;C657)&gt;0),"⚠ Numéro déjà utilisé par un autre prospect",IF(AND(J657&lt;&gt;"",J657&lt;A657),"⚠ Relance avant la date de l'action",IF(A657&gt;TODAY(),"⚠ Date dans le futur","✓"))))))))</f>
        <v/>
      </c>
      <c r="AS657" s="61">
        <f>IF(AND(A657="",C657="",E657=""),"",ROW())</f>
        <v/>
      </c>
      <c r="AT657" s="61">
        <f>IF(E657&amp;F657="","",MAX(IFERROR(INDEX('Paramètres'!$J$6:$J$33,MATCH(E657,'Paramètres'!$I$6:$I$33,0)),0),IFERROR(INDEX('Paramètres'!$N$6:$N$17,MATCH(F657,'Paramètres'!$M$6:$M$17,0)),0)))</f>
        <v/>
      </c>
      <c r="AU657" s="61">
        <f>IF(E657="","",IFERROR(IF(INDEX('Paramètres'!$K$6:$K$33,MATCH(E657,'Paramètres'!$I$6:$I$33,0))="Oui",1,0),0))</f>
        <v/>
      </c>
      <c r="AV657" s="61">
        <f>IF(F657="","",IFERROR(IF(INDEX('Paramètres'!$O$6:$O$17,MATCH(F657,'Paramètres'!$M$6:$M$17,0))="Oui",1,0),0))</f>
        <v/>
      </c>
      <c r="AW657" s="62">
        <f>IF(E657="","",IF(G657&lt;&gt;"",G657,IF(OR(E657="Proposition envoyée",E657="Signature"),MAX(0,N(IFERROR(INDEX('Paramètres'!$R$6:$R$15,MATCH(IF(AL657&lt;&gt;"",AL657,IFERROR(INDEX('Prospects'!$AN$5:$AN$504,MATCH(C657,'Prospects'!$C$5:$C$504,0)),"")),'Paramètres'!$Q$6:$Q$15,0)),0))-N(P657)),0)))</f>
        <v/>
      </c>
      <c r="AX657" s="61">
        <f>IF(C657="","",IF(COUNTIF($C$5:C657,C657)=1,MAX($AX$4:AX656)+1,""))</f>
        <v/>
      </c>
      <c r="AY657" s="61">
        <f>IF(B657="","",HOUR(B657))</f>
        <v/>
      </c>
      <c r="AZ657" s="61">
        <f>IF(A657="","",MOD(A657-2,7)+1)</f>
        <v/>
      </c>
      <c r="BA657" s="60">
        <f>IF(C657="","",IFERROR(INDEX('Prospects'!$N$5:$N$504,MATCH(C657,'Prospects'!$C$5:$C$504,0)),""))</f>
        <v/>
      </c>
      <c r="BB657" s="61">
        <f>IF(AND(C657&lt;&gt;"",C657='Fiche prospect'!$C$4),COUNTIF($C$5:C657,C657),"")</f>
        <v/>
      </c>
    </row>
    <row r="658">
      <c r="A658" s="53" t="n"/>
      <c r="B658" s="54" t="n"/>
      <c r="C658" s="55" t="n"/>
      <c r="D658" s="55" t="n"/>
      <c r="E658" s="55" t="n"/>
      <c r="F658" s="55" t="n"/>
      <c r="G658" s="56" t="n"/>
      <c r="H658" s="57" t="n"/>
      <c r="I658" s="55" t="n"/>
      <c r="J658" s="53" t="n"/>
      <c r="K658" s="54" t="n"/>
      <c r="L658" s="55" t="n"/>
      <c r="M658" s="55" t="n"/>
      <c r="N658" s="57" t="n"/>
      <c r="O658" s="55" t="n"/>
      <c r="P658" s="56" t="n"/>
      <c r="Q658" s="55" t="n"/>
      <c r="R658" s="55" t="n"/>
      <c r="S658" s="55" t="n"/>
      <c r="T658" s="55" t="n"/>
      <c r="U658" s="55" t="n"/>
      <c r="V658" s="55" t="n"/>
      <c r="W658" s="58" t="n"/>
      <c r="X658" s="58" t="n"/>
      <c r="Y658" s="55" t="n"/>
      <c r="Z658" s="55" t="n"/>
      <c r="AA658" s="55" t="n"/>
      <c r="AB658" s="55" t="n"/>
      <c r="AC658" s="55" t="n"/>
      <c r="AD658" s="53" t="n"/>
      <c r="AE658" s="55" t="n"/>
      <c r="AF658" s="55" t="n"/>
      <c r="AG658" s="59" t="n"/>
      <c r="AH658" s="57" t="n"/>
      <c r="AI658" s="55" t="n"/>
      <c r="AJ658" s="55" t="n"/>
      <c r="AK658" s="55" t="n"/>
      <c r="AL658" s="55" t="n"/>
      <c r="AM658" s="56" t="n"/>
      <c r="AN658" s="55" t="n"/>
      <c r="AO658" s="55" t="n"/>
      <c r="AP658" s="55" t="n"/>
      <c r="AQ658" s="55" t="n"/>
      <c r="AR658" s="60">
        <f>IF(AND(C658="",E658=""),"",IF(A658="","⚠ Date manquante",IF(AND(C658="",E658&lt;&gt;"Dépense"),"⚠ Prospect manquant",IF(E658="","⚠ Action manquante",IF(AND(AU658=1,D658=""),"⚠ Canal manquant",IF(AND(W658&lt;&gt;"",COUNTIFS('Saisie'!$W$5:$W$2004,W658,'Saisie'!$C$5:$C$2004,"&lt;&gt;"&amp;C658)&gt;0),"⚠ Numéro déjà utilisé par un autre prospect",IF(AND(J658&lt;&gt;"",J658&lt;A658),"⚠ Relance avant la date de l'action",IF(A658&gt;TODAY(),"⚠ Date dans le futur","✓"))))))))</f>
        <v/>
      </c>
      <c r="AS658" s="61">
        <f>IF(AND(A658="",C658="",E658=""),"",ROW())</f>
        <v/>
      </c>
      <c r="AT658" s="61">
        <f>IF(E658&amp;F658="","",MAX(IFERROR(INDEX('Paramètres'!$J$6:$J$33,MATCH(E658,'Paramètres'!$I$6:$I$33,0)),0),IFERROR(INDEX('Paramètres'!$N$6:$N$17,MATCH(F658,'Paramètres'!$M$6:$M$17,0)),0)))</f>
        <v/>
      </c>
      <c r="AU658" s="61">
        <f>IF(E658="","",IFERROR(IF(INDEX('Paramètres'!$K$6:$K$33,MATCH(E658,'Paramètres'!$I$6:$I$33,0))="Oui",1,0),0))</f>
        <v/>
      </c>
      <c r="AV658" s="61">
        <f>IF(F658="","",IFERROR(IF(INDEX('Paramètres'!$O$6:$O$17,MATCH(F658,'Paramètres'!$M$6:$M$17,0))="Oui",1,0),0))</f>
        <v/>
      </c>
      <c r="AW658" s="62">
        <f>IF(E658="","",IF(G658&lt;&gt;"",G658,IF(OR(E658="Proposition envoyée",E658="Signature"),MAX(0,N(IFERROR(INDEX('Paramètres'!$R$6:$R$15,MATCH(IF(AL658&lt;&gt;"",AL658,IFERROR(INDEX('Prospects'!$AN$5:$AN$504,MATCH(C658,'Prospects'!$C$5:$C$504,0)),"")),'Paramètres'!$Q$6:$Q$15,0)),0))-N(P658)),0)))</f>
        <v/>
      </c>
      <c r="AX658" s="61">
        <f>IF(C658="","",IF(COUNTIF($C$5:C658,C658)=1,MAX($AX$4:AX657)+1,""))</f>
        <v/>
      </c>
      <c r="AY658" s="61">
        <f>IF(B658="","",HOUR(B658))</f>
        <v/>
      </c>
      <c r="AZ658" s="61">
        <f>IF(A658="","",MOD(A658-2,7)+1)</f>
        <v/>
      </c>
      <c r="BA658" s="60">
        <f>IF(C658="","",IFERROR(INDEX('Prospects'!$N$5:$N$504,MATCH(C658,'Prospects'!$C$5:$C$504,0)),""))</f>
        <v/>
      </c>
      <c r="BB658" s="61">
        <f>IF(AND(C658&lt;&gt;"",C658='Fiche prospect'!$C$4),COUNTIF($C$5:C658,C658),"")</f>
        <v/>
      </c>
    </row>
    <row r="659">
      <c r="A659" s="53" t="n"/>
      <c r="B659" s="54" t="n"/>
      <c r="C659" s="55" t="n"/>
      <c r="D659" s="55" t="n"/>
      <c r="E659" s="55" t="n"/>
      <c r="F659" s="55" t="n"/>
      <c r="G659" s="56" t="n"/>
      <c r="H659" s="57" t="n"/>
      <c r="I659" s="55" t="n"/>
      <c r="J659" s="53" t="n"/>
      <c r="K659" s="54" t="n"/>
      <c r="L659" s="55" t="n"/>
      <c r="M659" s="55" t="n"/>
      <c r="N659" s="57" t="n"/>
      <c r="O659" s="55" t="n"/>
      <c r="P659" s="56" t="n"/>
      <c r="Q659" s="55" t="n"/>
      <c r="R659" s="55" t="n"/>
      <c r="S659" s="55" t="n"/>
      <c r="T659" s="55" t="n"/>
      <c r="U659" s="55" t="n"/>
      <c r="V659" s="55" t="n"/>
      <c r="W659" s="58" t="n"/>
      <c r="X659" s="58" t="n"/>
      <c r="Y659" s="55" t="n"/>
      <c r="Z659" s="55" t="n"/>
      <c r="AA659" s="55" t="n"/>
      <c r="AB659" s="55" t="n"/>
      <c r="AC659" s="55" t="n"/>
      <c r="AD659" s="53" t="n"/>
      <c r="AE659" s="55" t="n"/>
      <c r="AF659" s="55" t="n"/>
      <c r="AG659" s="59" t="n"/>
      <c r="AH659" s="57" t="n"/>
      <c r="AI659" s="55" t="n"/>
      <c r="AJ659" s="55" t="n"/>
      <c r="AK659" s="55" t="n"/>
      <c r="AL659" s="55" t="n"/>
      <c r="AM659" s="56" t="n"/>
      <c r="AN659" s="55" t="n"/>
      <c r="AO659" s="55" t="n"/>
      <c r="AP659" s="55" t="n"/>
      <c r="AQ659" s="55" t="n"/>
      <c r="AR659" s="60">
        <f>IF(AND(C659="",E659=""),"",IF(A659="","⚠ Date manquante",IF(AND(C659="",E659&lt;&gt;"Dépense"),"⚠ Prospect manquant",IF(E659="","⚠ Action manquante",IF(AND(AU659=1,D659=""),"⚠ Canal manquant",IF(AND(W659&lt;&gt;"",COUNTIFS('Saisie'!$W$5:$W$2004,W659,'Saisie'!$C$5:$C$2004,"&lt;&gt;"&amp;C659)&gt;0),"⚠ Numéro déjà utilisé par un autre prospect",IF(AND(J659&lt;&gt;"",J659&lt;A659),"⚠ Relance avant la date de l'action",IF(A659&gt;TODAY(),"⚠ Date dans le futur","✓"))))))))</f>
        <v/>
      </c>
      <c r="AS659" s="61">
        <f>IF(AND(A659="",C659="",E659=""),"",ROW())</f>
        <v/>
      </c>
      <c r="AT659" s="61">
        <f>IF(E659&amp;F659="","",MAX(IFERROR(INDEX('Paramètres'!$J$6:$J$33,MATCH(E659,'Paramètres'!$I$6:$I$33,0)),0),IFERROR(INDEX('Paramètres'!$N$6:$N$17,MATCH(F659,'Paramètres'!$M$6:$M$17,0)),0)))</f>
        <v/>
      </c>
      <c r="AU659" s="61">
        <f>IF(E659="","",IFERROR(IF(INDEX('Paramètres'!$K$6:$K$33,MATCH(E659,'Paramètres'!$I$6:$I$33,0))="Oui",1,0),0))</f>
        <v/>
      </c>
      <c r="AV659" s="61">
        <f>IF(F659="","",IFERROR(IF(INDEX('Paramètres'!$O$6:$O$17,MATCH(F659,'Paramètres'!$M$6:$M$17,0))="Oui",1,0),0))</f>
        <v/>
      </c>
      <c r="AW659" s="62">
        <f>IF(E659="","",IF(G659&lt;&gt;"",G659,IF(OR(E659="Proposition envoyée",E659="Signature"),MAX(0,N(IFERROR(INDEX('Paramètres'!$R$6:$R$15,MATCH(IF(AL659&lt;&gt;"",AL659,IFERROR(INDEX('Prospects'!$AN$5:$AN$504,MATCH(C659,'Prospects'!$C$5:$C$504,0)),"")),'Paramètres'!$Q$6:$Q$15,0)),0))-N(P659)),0)))</f>
        <v/>
      </c>
      <c r="AX659" s="61">
        <f>IF(C659="","",IF(COUNTIF($C$5:C659,C659)=1,MAX($AX$4:AX658)+1,""))</f>
        <v/>
      </c>
      <c r="AY659" s="61">
        <f>IF(B659="","",HOUR(B659))</f>
        <v/>
      </c>
      <c r="AZ659" s="61">
        <f>IF(A659="","",MOD(A659-2,7)+1)</f>
        <v/>
      </c>
      <c r="BA659" s="60">
        <f>IF(C659="","",IFERROR(INDEX('Prospects'!$N$5:$N$504,MATCH(C659,'Prospects'!$C$5:$C$504,0)),""))</f>
        <v/>
      </c>
      <c r="BB659" s="61">
        <f>IF(AND(C659&lt;&gt;"",C659='Fiche prospect'!$C$4),COUNTIF($C$5:C659,C659),"")</f>
        <v/>
      </c>
    </row>
    <row r="660">
      <c r="A660" s="53" t="n"/>
      <c r="B660" s="54" t="n"/>
      <c r="C660" s="55" t="n"/>
      <c r="D660" s="55" t="n"/>
      <c r="E660" s="55" t="n"/>
      <c r="F660" s="55" t="n"/>
      <c r="G660" s="56" t="n"/>
      <c r="H660" s="57" t="n"/>
      <c r="I660" s="55" t="n"/>
      <c r="J660" s="53" t="n"/>
      <c r="K660" s="54" t="n"/>
      <c r="L660" s="55" t="n"/>
      <c r="M660" s="55" t="n"/>
      <c r="N660" s="57" t="n"/>
      <c r="O660" s="55" t="n"/>
      <c r="P660" s="56" t="n"/>
      <c r="Q660" s="55" t="n"/>
      <c r="R660" s="55" t="n"/>
      <c r="S660" s="55" t="n"/>
      <c r="T660" s="55" t="n"/>
      <c r="U660" s="55" t="n"/>
      <c r="V660" s="55" t="n"/>
      <c r="W660" s="58" t="n"/>
      <c r="X660" s="58" t="n"/>
      <c r="Y660" s="55" t="n"/>
      <c r="Z660" s="55" t="n"/>
      <c r="AA660" s="55" t="n"/>
      <c r="AB660" s="55" t="n"/>
      <c r="AC660" s="55" t="n"/>
      <c r="AD660" s="53" t="n"/>
      <c r="AE660" s="55" t="n"/>
      <c r="AF660" s="55" t="n"/>
      <c r="AG660" s="59" t="n"/>
      <c r="AH660" s="57" t="n"/>
      <c r="AI660" s="55" t="n"/>
      <c r="AJ660" s="55" t="n"/>
      <c r="AK660" s="55" t="n"/>
      <c r="AL660" s="55" t="n"/>
      <c r="AM660" s="56" t="n"/>
      <c r="AN660" s="55" t="n"/>
      <c r="AO660" s="55" t="n"/>
      <c r="AP660" s="55" t="n"/>
      <c r="AQ660" s="55" t="n"/>
      <c r="AR660" s="60">
        <f>IF(AND(C660="",E660=""),"",IF(A660="","⚠ Date manquante",IF(AND(C660="",E660&lt;&gt;"Dépense"),"⚠ Prospect manquant",IF(E660="","⚠ Action manquante",IF(AND(AU660=1,D660=""),"⚠ Canal manquant",IF(AND(W660&lt;&gt;"",COUNTIFS('Saisie'!$W$5:$W$2004,W660,'Saisie'!$C$5:$C$2004,"&lt;&gt;"&amp;C660)&gt;0),"⚠ Numéro déjà utilisé par un autre prospect",IF(AND(J660&lt;&gt;"",J660&lt;A660),"⚠ Relance avant la date de l'action",IF(A660&gt;TODAY(),"⚠ Date dans le futur","✓"))))))))</f>
        <v/>
      </c>
      <c r="AS660" s="61">
        <f>IF(AND(A660="",C660="",E660=""),"",ROW())</f>
        <v/>
      </c>
      <c r="AT660" s="61">
        <f>IF(E660&amp;F660="","",MAX(IFERROR(INDEX('Paramètres'!$J$6:$J$33,MATCH(E660,'Paramètres'!$I$6:$I$33,0)),0),IFERROR(INDEX('Paramètres'!$N$6:$N$17,MATCH(F660,'Paramètres'!$M$6:$M$17,0)),0)))</f>
        <v/>
      </c>
      <c r="AU660" s="61">
        <f>IF(E660="","",IFERROR(IF(INDEX('Paramètres'!$K$6:$K$33,MATCH(E660,'Paramètres'!$I$6:$I$33,0))="Oui",1,0),0))</f>
        <v/>
      </c>
      <c r="AV660" s="61">
        <f>IF(F660="","",IFERROR(IF(INDEX('Paramètres'!$O$6:$O$17,MATCH(F660,'Paramètres'!$M$6:$M$17,0))="Oui",1,0),0))</f>
        <v/>
      </c>
      <c r="AW660" s="62">
        <f>IF(E660="","",IF(G660&lt;&gt;"",G660,IF(OR(E660="Proposition envoyée",E660="Signature"),MAX(0,N(IFERROR(INDEX('Paramètres'!$R$6:$R$15,MATCH(IF(AL660&lt;&gt;"",AL660,IFERROR(INDEX('Prospects'!$AN$5:$AN$504,MATCH(C660,'Prospects'!$C$5:$C$504,0)),"")),'Paramètres'!$Q$6:$Q$15,0)),0))-N(P660)),0)))</f>
        <v/>
      </c>
      <c r="AX660" s="61">
        <f>IF(C660="","",IF(COUNTIF($C$5:C660,C660)=1,MAX($AX$4:AX659)+1,""))</f>
        <v/>
      </c>
      <c r="AY660" s="61">
        <f>IF(B660="","",HOUR(B660))</f>
        <v/>
      </c>
      <c r="AZ660" s="61">
        <f>IF(A660="","",MOD(A660-2,7)+1)</f>
        <v/>
      </c>
      <c r="BA660" s="60">
        <f>IF(C660="","",IFERROR(INDEX('Prospects'!$N$5:$N$504,MATCH(C660,'Prospects'!$C$5:$C$504,0)),""))</f>
        <v/>
      </c>
      <c r="BB660" s="61">
        <f>IF(AND(C660&lt;&gt;"",C660='Fiche prospect'!$C$4),COUNTIF($C$5:C660,C660),"")</f>
        <v/>
      </c>
    </row>
    <row r="661">
      <c r="A661" s="53" t="n"/>
      <c r="B661" s="54" t="n"/>
      <c r="C661" s="55" t="n"/>
      <c r="D661" s="55" t="n"/>
      <c r="E661" s="55" t="n"/>
      <c r="F661" s="55" t="n"/>
      <c r="G661" s="56" t="n"/>
      <c r="H661" s="57" t="n"/>
      <c r="I661" s="55" t="n"/>
      <c r="J661" s="53" t="n"/>
      <c r="K661" s="54" t="n"/>
      <c r="L661" s="55" t="n"/>
      <c r="M661" s="55" t="n"/>
      <c r="N661" s="57" t="n"/>
      <c r="O661" s="55" t="n"/>
      <c r="P661" s="56" t="n"/>
      <c r="Q661" s="55" t="n"/>
      <c r="R661" s="55" t="n"/>
      <c r="S661" s="55" t="n"/>
      <c r="T661" s="55" t="n"/>
      <c r="U661" s="55" t="n"/>
      <c r="V661" s="55" t="n"/>
      <c r="W661" s="58" t="n"/>
      <c r="X661" s="58" t="n"/>
      <c r="Y661" s="55" t="n"/>
      <c r="Z661" s="55" t="n"/>
      <c r="AA661" s="55" t="n"/>
      <c r="AB661" s="55" t="n"/>
      <c r="AC661" s="55" t="n"/>
      <c r="AD661" s="53" t="n"/>
      <c r="AE661" s="55" t="n"/>
      <c r="AF661" s="55" t="n"/>
      <c r="AG661" s="59" t="n"/>
      <c r="AH661" s="57" t="n"/>
      <c r="AI661" s="55" t="n"/>
      <c r="AJ661" s="55" t="n"/>
      <c r="AK661" s="55" t="n"/>
      <c r="AL661" s="55" t="n"/>
      <c r="AM661" s="56" t="n"/>
      <c r="AN661" s="55" t="n"/>
      <c r="AO661" s="55" t="n"/>
      <c r="AP661" s="55" t="n"/>
      <c r="AQ661" s="55" t="n"/>
      <c r="AR661" s="60">
        <f>IF(AND(C661="",E661=""),"",IF(A661="","⚠ Date manquante",IF(AND(C661="",E661&lt;&gt;"Dépense"),"⚠ Prospect manquant",IF(E661="","⚠ Action manquante",IF(AND(AU661=1,D661=""),"⚠ Canal manquant",IF(AND(W661&lt;&gt;"",COUNTIFS('Saisie'!$W$5:$W$2004,W661,'Saisie'!$C$5:$C$2004,"&lt;&gt;"&amp;C661)&gt;0),"⚠ Numéro déjà utilisé par un autre prospect",IF(AND(J661&lt;&gt;"",J661&lt;A661),"⚠ Relance avant la date de l'action",IF(A661&gt;TODAY(),"⚠ Date dans le futur","✓"))))))))</f>
        <v/>
      </c>
      <c r="AS661" s="61">
        <f>IF(AND(A661="",C661="",E661=""),"",ROW())</f>
        <v/>
      </c>
      <c r="AT661" s="61">
        <f>IF(E661&amp;F661="","",MAX(IFERROR(INDEX('Paramètres'!$J$6:$J$33,MATCH(E661,'Paramètres'!$I$6:$I$33,0)),0),IFERROR(INDEX('Paramètres'!$N$6:$N$17,MATCH(F661,'Paramètres'!$M$6:$M$17,0)),0)))</f>
        <v/>
      </c>
      <c r="AU661" s="61">
        <f>IF(E661="","",IFERROR(IF(INDEX('Paramètres'!$K$6:$K$33,MATCH(E661,'Paramètres'!$I$6:$I$33,0))="Oui",1,0),0))</f>
        <v/>
      </c>
      <c r="AV661" s="61">
        <f>IF(F661="","",IFERROR(IF(INDEX('Paramètres'!$O$6:$O$17,MATCH(F661,'Paramètres'!$M$6:$M$17,0))="Oui",1,0),0))</f>
        <v/>
      </c>
      <c r="AW661" s="62">
        <f>IF(E661="","",IF(G661&lt;&gt;"",G661,IF(OR(E661="Proposition envoyée",E661="Signature"),MAX(0,N(IFERROR(INDEX('Paramètres'!$R$6:$R$15,MATCH(IF(AL661&lt;&gt;"",AL661,IFERROR(INDEX('Prospects'!$AN$5:$AN$504,MATCH(C661,'Prospects'!$C$5:$C$504,0)),"")),'Paramètres'!$Q$6:$Q$15,0)),0))-N(P661)),0)))</f>
        <v/>
      </c>
      <c r="AX661" s="61">
        <f>IF(C661="","",IF(COUNTIF($C$5:C661,C661)=1,MAX($AX$4:AX660)+1,""))</f>
        <v/>
      </c>
      <c r="AY661" s="61">
        <f>IF(B661="","",HOUR(B661))</f>
        <v/>
      </c>
      <c r="AZ661" s="61">
        <f>IF(A661="","",MOD(A661-2,7)+1)</f>
        <v/>
      </c>
      <c r="BA661" s="60">
        <f>IF(C661="","",IFERROR(INDEX('Prospects'!$N$5:$N$504,MATCH(C661,'Prospects'!$C$5:$C$504,0)),""))</f>
        <v/>
      </c>
      <c r="BB661" s="61">
        <f>IF(AND(C661&lt;&gt;"",C661='Fiche prospect'!$C$4),COUNTIF($C$5:C661,C661),"")</f>
        <v/>
      </c>
    </row>
    <row r="662">
      <c r="A662" s="53" t="n"/>
      <c r="B662" s="54" t="n"/>
      <c r="C662" s="55" t="n"/>
      <c r="D662" s="55" t="n"/>
      <c r="E662" s="55" t="n"/>
      <c r="F662" s="55" t="n"/>
      <c r="G662" s="56" t="n"/>
      <c r="H662" s="57" t="n"/>
      <c r="I662" s="55" t="n"/>
      <c r="J662" s="53" t="n"/>
      <c r="K662" s="54" t="n"/>
      <c r="L662" s="55" t="n"/>
      <c r="M662" s="55" t="n"/>
      <c r="N662" s="57" t="n"/>
      <c r="O662" s="55" t="n"/>
      <c r="P662" s="56" t="n"/>
      <c r="Q662" s="55" t="n"/>
      <c r="R662" s="55" t="n"/>
      <c r="S662" s="55" t="n"/>
      <c r="T662" s="55" t="n"/>
      <c r="U662" s="55" t="n"/>
      <c r="V662" s="55" t="n"/>
      <c r="W662" s="58" t="n"/>
      <c r="X662" s="58" t="n"/>
      <c r="Y662" s="55" t="n"/>
      <c r="Z662" s="55" t="n"/>
      <c r="AA662" s="55" t="n"/>
      <c r="AB662" s="55" t="n"/>
      <c r="AC662" s="55" t="n"/>
      <c r="AD662" s="53" t="n"/>
      <c r="AE662" s="55" t="n"/>
      <c r="AF662" s="55" t="n"/>
      <c r="AG662" s="59" t="n"/>
      <c r="AH662" s="57" t="n"/>
      <c r="AI662" s="55" t="n"/>
      <c r="AJ662" s="55" t="n"/>
      <c r="AK662" s="55" t="n"/>
      <c r="AL662" s="55" t="n"/>
      <c r="AM662" s="56" t="n"/>
      <c r="AN662" s="55" t="n"/>
      <c r="AO662" s="55" t="n"/>
      <c r="AP662" s="55" t="n"/>
      <c r="AQ662" s="55" t="n"/>
      <c r="AR662" s="60">
        <f>IF(AND(C662="",E662=""),"",IF(A662="","⚠ Date manquante",IF(AND(C662="",E662&lt;&gt;"Dépense"),"⚠ Prospect manquant",IF(E662="","⚠ Action manquante",IF(AND(AU662=1,D662=""),"⚠ Canal manquant",IF(AND(W662&lt;&gt;"",COUNTIFS('Saisie'!$W$5:$W$2004,W662,'Saisie'!$C$5:$C$2004,"&lt;&gt;"&amp;C662)&gt;0),"⚠ Numéro déjà utilisé par un autre prospect",IF(AND(J662&lt;&gt;"",J662&lt;A662),"⚠ Relance avant la date de l'action",IF(A662&gt;TODAY(),"⚠ Date dans le futur","✓"))))))))</f>
        <v/>
      </c>
      <c r="AS662" s="61">
        <f>IF(AND(A662="",C662="",E662=""),"",ROW())</f>
        <v/>
      </c>
      <c r="AT662" s="61">
        <f>IF(E662&amp;F662="","",MAX(IFERROR(INDEX('Paramètres'!$J$6:$J$33,MATCH(E662,'Paramètres'!$I$6:$I$33,0)),0),IFERROR(INDEX('Paramètres'!$N$6:$N$17,MATCH(F662,'Paramètres'!$M$6:$M$17,0)),0)))</f>
        <v/>
      </c>
      <c r="AU662" s="61">
        <f>IF(E662="","",IFERROR(IF(INDEX('Paramètres'!$K$6:$K$33,MATCH(E662,'Paramètres'!$I$6:$I$33,0))="Oui",1,0),0))</f>
        <v/>
      </c>
      <c r="AV662" s="61">
        <f>IF(F662="","",IFERROR(IF(INDEX('Paramètres'!$O$6:$O$17,MATCH(F662,'Paramètres'!$M$6:$M$17,0))="Oui",1,0),0))</f>
        <v/>
      </c>
      <c r="AW662" s="62">
        <f>IF(E662="","",IF(G662&lt;&gt;"",G662,IF(OR(E662="Proposition envoyée",E662="Signature"),MAX(0,N(IFERROR(INDEX('Paramètres'!$R$6:$R$15,MATCH(IF(AL662&lt;&gt;"",AL662,IFERROR(INDEX('Prospects'!$AN$5:$AN$504,MATCH(C662,'Prospects'!$C$5:$C$504,0)),"")),'Paramètres'!$Q$6:$Q$15,0)),0))-N(P662)),0)))</f>
        <v/>
      </c>
      <c r="AX662" s="61">
        <f>IF(C662="","",IF(COUNTIF($C$5:C662,C662)=1,MAX($AX$4:AX661)+1,""))</f>
        <v/>
      </c>
      <c r="AY662" s="61">
        <f>IF(B662="","",HOUR(B662))</f>
        <v/>
      </c>
      <c r="AZ662" s="61">
        <f>IF(A662="","",MOD(A662-2,7)+1)</f>
        <v/>
      </c>
      <c r="BA662" s="60">
        <f>IF(C662="","",IFERROR(INDEX('Prospects'!$N$5:$N$504,MATCH(C662,'Prospects'!$C$5:$C$504,0)),""))</f>
        <v/>
      </c>
      <c r="BB662" s="61">
        <f>IF(AND(C662&lt;&gt;"",C662='Fiche prospect'!$C$4),COUNTIF($C$5:C662,C662),"")</f>
        <v/>
      </c>
    </row>
    <row r="663">
      <c r="A663" s="53" t="n"/>
      <c r="B663" s="54" t="n"/>
      <c r="C663" s="55" t="n"/>
      <c r="D663" s="55" t="n"/>
      <c r="E663" s="55" t="n"/>
      <c r="F663" s="55" t="n"/>
      <c r="G663" s="56" t="n"/>
      <c r="H663" s="57" t="n"/>
      <c r="I663" s="55" t="n"/>
      <c r="J663" s="53" t="n"/>
      <c r="K663" s="54" t="n"/>
      <c r="L663" s="55" t="n"/>
      <c r="M663" s="55" t="n"/>
      <c r="N663" s="57" t="n"/>
      <c r="O663" s="55" t="n"/>
      <c r="P663" s="56" t="n"/>
      <c r="Q663" s="55" t="n"/>
      <c r="R663" s="55" t="n"/>
      <c r="S663" s="55" t="n"/>
      <c r="T663" s="55" t="n"/>
      <c r="U663" s="55" t="n"/>
      <c r="V663" s="55" t="n"/>
      <c r="W663" s="58" t="n"/>
      <c r="X663" s="58" t="n"/>
      <c r="Y663" s="55" t="n"/>
      <c r="Z663" s="55" t="n"/>
      <c r="AA663" s="55" t="n"/>
      <c r="AB663" s="55" t="n"/>
      <c r="AC663" s="55" t="n"/>
      <c r="AD663" s="53" t="n"/>
      <c r="AE663" s="55" t="n"/>
      <c r="AF663" s="55" t="n"/>
      <c r="AG663" s="59" t="n"/>
      <c r="AH663" s="57" t="n"/>
      <c r="AI663" s="55" t="n"/>
      <c r="AJ663" s="55" t="n"/>
      <c r="AK663" s="55" t="n"/>
      <c r="AL663" s="55" t="n"/>
      <c r="AM663" s="56" t="n"/>
      <c r="AN663" s="55" t="n"/>
      <c r="AO663" s="55" t="n"/>
      <c r="AP663" s="55" t="n"/>
      <c r="AQ663" s="55" t="n"/>
      <c r="AR663" s="60">
        <f>IF(AND(C663="",E663=""),"",IF(A663="","⚠ Date manquante",IF(AND(C663="",E663&lt;&gt;"Dépense"),"⚠ Prospect manquant",IF(E663="","⚠ Action manquante",IF(AND(AU663=1,D663=""),"⚠ Canal manquant",IF(AND(W663&lt;&gt;"",COUNTIFS('Saisie'!$W$5:$W$2004,W663,'Saisie'!$C$5:$C$2004,"&lt;&gt;"&amp;C663)&gt;0),"⚠ Numéro déjà utilisé par un autre prospect",IF(AND(J663&lt;&gt;"",J663&lt;A663),"⚠ Relance avant la date de l'action",IF(A663&gt;TODAY(),"⚠ Date dans le futur","✓"))))))))</f>
        <v/>
      </c>
      <c r="AS663" s="61">
        <f>IF(AND(A663="",C663="",E663=""),"",ROW())</f>
        <v/>
      </c>
      <c r="AT663" s="61">
        <f>IF(E663&amp;F663="","",MAX(IFERROR(INDEX('Paramètres'!$J$6:$J$33,MATCH(E663,'Paramètres'!$I$6:$I$33,0)),0),IFERROR(INDEX('Paramètres'!$N$6:$N$17,MATCH(F663,'Paramètres'!$M$6:$M$17,0)),0)))</f>
        <v/>
      </c>
      <c r="AU663" s="61">
        <f>IF(E663="","",IFERROR(IF(INDEX('Paramètres'!$K$6:$K$33,MATCH(E663,'Paramètres'!$I$6:$I$33,0))="Oui",1,0),0))</f>
        <v/>
      </c>
      <c r="AV663" s="61">
        <f>IF(F663="","",IFERROR(IF(INDEX('Paramètres'!$O$6:$O$17,MATCH(F663,'Paramètres'!$M$6:$M$17,0))="Oui",1,0),0))</f>
        <v/>
      </c>
      <c r="AW663" s="62">
        <f>IF(E663="","",IF(G663&lt;&gt;"",G663,IF(OR(E663="Proposition envoyée",E663="Signature"),MAX(0,N(IFERROR(INDEX('Paramètres'!$R$6:$R$15,MATCH(IF(AL663&lt;&gt;"",AL663,IFERROR(INDEX('Prospects'!$AN$5:$AN$504,MATCH(C663,'Prospects'!$C$5:$C$504,0)),"")),'Paramètres'!$Q$6:$Q$15,0)),0))-N(P663)),0)))</f>
        <v/>
      </c>
      <c r="AX663" s="61">
        <f>IF(C663="","",IF(COUNTIF($C$5:C663,C663)=1,MAX($AX$4:AX662)+1,""))</f>
        <v/>
      </c>
      <c r="AY663" s="61">
        <f>IF(B663="","",HOUR(B663))</f>
        <v/>
      </c>
      <c r="AZ663" s="61">
        <f>IF(A663="","",MOD(A663-2,7)+1)</f>
        <v/>
      </c>
      <c r="BA663" s="60">
        <f>IF(C663="","",IFERROR(INDEX('Prospects'!$N$5:$N$504,MATCH(C663,'Prospects'!$C$5:$C$504,0)),""))</f>
        <v/>
      </c>
      <c r="BB663" s="61">
        <f>IF(AND(C663&lt;&gt;"",C663='Fiche prospect'!$C$4),COUNTIF($C$5:C663,C663),"")</f>
        <v/>
      </c>
    </row>
    <row r="664">
      <c r="A664" s="53" t="n"/>
      <c r="B664" s="54" t="n"/>
      <c r="C664" s="55" t="n"/>
      <c r="D664" s="55" t="n"/>
      <c r="E664" s="55" t="n"/>
      <c r="F664" s="55" t="n"/>
      <c r="G664" s="56" t="n"/>
      <c r="H664" s="57" t="n"/>
      <c r="I664" s="55" t="n"/>
      <c r="J664" s="53" t="n"/>
      <c r="K664" s="54" t="n"/>
      <c r="L664" s="55" t="n"/>
      <c r="M664" s="55" t="n"/>
      <c r="N664" s="57" t="n"/>
      <c r="O664" s="55" t="n"/>
      <c r="P664" s="56" t="n"/>
      <c r="Q664" s="55" t="n"/>
      <c r="R664" s="55" t="n"/>
      <c r="S664" s="55" t="n"/>
      <c r="T664" s="55" t="n"/>
      <c r="U664" s="55" t="n"/>
      <c r="V664" s="55" t="n"/>
      <c r="W664" s="58" t="n"/>
      <c r="X664" s="58" t="n"/>
      <c r="Y664" s="55" t="n"/>
      <c r="Z664" s="55" t="n"/>
      <c r="AA664" s="55" t="n"/>
      <c r="AB664" s="55" t="n"/>
      <c r="AC664" s="55" t="n"/>
      <c r="AD664" s="53" t="n"/>
      <c r="AE664" s="55" t="n"/>
      <c r="AF664" s="55" t="n"/>
      <c r="AG664" s="59" t="n"/>
      <c r="AH664" s="57" t="n"/>
      <c r="AI664" s="55" t="n"/>
      <c r="AJ664" s="55" t="n"/>
      <c r="AK664" s="55" t="n"/>
      <c r="AL664" s="55" t="n"/>
      <c r="AM664" s="56" t="n"/>
      <c r="AN664" s="55" t="n"/>
      <c r="AO664" s="55" t="n"/>
      <c r="AP664" s="55" t="n"/>
      <c r="AQ664" s="55" t="n"/>
      <c r="AR664" s="60">
        <f>IF(AND(C664="",E664=""),"",IF(A664="","⚠ Date manquante",IF(AND(C664="",E664&lt;&gt;"Dépense"),"⚠ Prospect manquant",IF(E664="","⚠ Action manquante",IF(AND(AU664=1,D664=""),"⚠ Canal manquant",IF(AND(W664&lt;&gt;"",COUNTIFS('Saisie'!$W$5:$W$2004,W664,'Saisie'!$C$5:$C$2004,"&lt;&gt;"&amp;C664)&gt;0),"⚠ Numéro déjà utilisé par un autre prospect",IF(AND(J664&lt;&gt;"",J664&lt;A664),"⚠ Relance avant la date de l'action",IF(A664&gt;TODAY(),"⚠ Date dans le futur","✓"))))))))</f>
        <v/>
      </c>
      <c r="AS664" s="61">
        <f>IF(AND(A664="",C664="",E664=""),"",ROW())</f>
        <v/>
      </c>
      <c r="AT664" s="61">
        <f>IF(E664&amp;F664="","",MAX(IFERROR(INDEX('Paramètres'!$J$6:$J$33,MATCH(E664,'Paramètres'!$I$6:$I$33,0)),0),IFERROR(INDEX('Paramètres'!$N$6:$N$17,MATCH(F664,'Paramètres'!$M$6:$M$17,0)),0)))</f>
        <v/>
      </c>
      <c r="AU664" s="61">
        <f>IF(E664="","",IFERROR(IF(INDEX('Paramètres'!$K$6:$K$33,MATCH(E664,'Paramètres'!$I$6:$I$33,0))="Oui",1,0),0))</f>
        <v/>
      </c>
      <c r="AV664" s="61">
        <f>IF(F664="","",IFERROR(IF(INDEX('Paramètres'!$O$6:$O$17,MATCH(F664,'Paramètres'!$M$6:$M$17,0))="Oui",1,0),0))</f>
        <v/>
      </c>
      <c r="AW664" s="62">
        <f>IF(E664="","",IF(G664&lt;&gt;"",G664,IF(OR(E664="Proposition envoyée",E664="Signature"),MAX(0,N(IFERROR(INDEX('Paramètres'!$R$6:$R$15,MATCH(IF(AL664&lt;&gt;"",AL664,IFERROR(INDEX('Prospects'!$AN$5:$AN$504,MATCH(C664,'Prospects'!$C$5:$C$504,0)),"")),'Paramètres'!$Q$6:$Q$15,0)),0))-N(P664)),0)))</f>
        <v/>
      </c>
      <c r="AX664" s="61">
        <f>IF(C664="","",IF(COUNTIF($C$5:C664,C664)=1,MAX($AX$4:AX663)+1,""))</f>
        <v/>
      </c>
      <c r="AY664" s="61">
        <f>IF(B664="","",HOUR(B664))</f>
        <v/>
      </c>
      <c r="AZ664" s="61">
        <f>IF(A664="","",MOD(A664-2,7)+1)</f>
        <v/>
      </c>
      <c r="BA664" s="60">
        <f>IF(C664="","",IFERROR(INDEX('Prospects'!$N$5:$N$504,MATCH(C664,'Prospects'!$C$5:$C$504,0)),""))</f>
        <v/>
      </c>
      <c r="BB664" s="61">
        <f>IF(AND(C664&lt;&gt;"",C664='Fiche prospect'!$C$4),COUNTIF($C$5:C664,C664),"")</f>
        <v/>
      </c>
    </row>
    <row r="665">
      <c r="A665" s="53" t="n"/>
      <c r="B665" s="54" t="n"/>
      <c r="C665" s="55" t="n"/>
      <c r="D665" s="55" t="n"/>
      <c r="E665" s="55" t="n"/>
      <c r="F665" s="55" t="n"/>
      <c r="G665" s="56" t="n"/>
      <c r="H665" s="57" t="n"/>
      <c r="I665" s="55" t="n"/>
      <c r="J665" s="53" t="n"/>
      <c r="K665" s="54" t="n"/>
      <c r="L665" s="55" t="n"/>
      <c r="M665" s="55" t="n"/>
      <c r="N665" s="57" t="n"/>
      <c r="O665" s="55" t="n"/>
      <c r="P665" s="56" t="n"/>
      <c r="Q665" s="55" t="n"/>
      <c r="R665" s="55" t="n"/>
      <c r="S665" s="55" t="n"/>
      <c r="T665" s="55" t="n"/>
      <c r="U665" s="55" t="n"/>
      <c r="V665" s="55" t="n"/>
      <c r="W665" s="58" t="n"/>
      <c r="X665" s="58" t="n"/>
      <c r="Y665" s="55" t="n"/>
      <c r="Z665" s="55" t="n"/>
      <c r="AA665" s="55" t="n"/>
      <c r="AB665" s="55" t="n"/>
      <c r="AC665" s="55" t="n"/>
      <c r="AD665" s="53" t="n"/>
      <c r="AE665" s="55" t="n"/>
      <c r="AF665" s="55" t="n"/>
      <c r="AG665" s="59" t="n"/>
      <c r="AH665" s="57" t="n"/>
      <c r="AI665" s="55" t="n"/>
      <c r="AJ665" s="55" t="n"/>
      <c r="AK665" s="55" t="n"/>
      <c r="AL665" s="55" t="n"/>
      <c r="AM665" s="56" t="n"/>
      <c r="AN665" s="55" t="n"/>
      <c r="AO665" s="55" t="n"/>
      <c r="AP665" s="55" t="n"/>
      <c r="AQ665" s="55" t="n"/>
      <c r="AR665" s="60">
        <f>IF(AND(C665="",E665=""),"",IF(A665="","⚠ Date manquante",IF(AND(C665="",E665&lt;&gt;"Dépense"),"⚠ Prospect manquant",IF(E665="","⚠ Action manquante",IF(AND(AU665=1,D665=""),"⚠ Canal manquant",IF(AND(W665&lt;&gt;"",COUNTIFS('Saisie'!$W$5:$W$2004,W665,'Saisie'!$C$5:$C$2004,"&lt;&gt;"&amp;C665)&gt;0),"⚠ Numéro déjà utilisé par un autre prospect",IF(AND(J665&lt;&gt;"",J665&lt;A665),"⚠ Relance avant la date de l'action",IF(A665&gt;TODAY(),"⚠ Date dans le futur","✓"))))))))</f>
        <v/>
      </c>
      <c r="AS665" s="61">
        <f>IF(AND(A665="",C665="",E665=""),"",ROW())</f>
        <v/>
      </c>
      <c r="AT665" s="61">
        <f>IF(E665&amp;F665="","",MAX(IFERROR(INDEX('Paramètres'!$J$6:$J$33,MATCH(E665,'Paramètres'!$I$6:$I$33,0)),0),IFERROR(INDEX('Paramètres'!$N$6:$N$17,MATCH(F665,'Paramètres'!$M$6:$M$17,0)),0)))</f>
        <v/>
      </c>
      <c r="AU665" s="61">
        <f>IF(E665="","",IFERROR(IF(INDEX('Paramètres'!$K$6:$K$33,MATCH(E665,'Paramètres'!$I$6:$I$33,0))="Oui",1,0),0))</f>
        <v/>
      </c>
      <c r="AV665" s="61">
        <f>IF(F665="","",IFERROR(IF(INDEX('Paramètres'!$O$6:$O$17,MATCH(F665,'Paramètres'!$M$6:$M$17,0))="Oui",1,0),0))</f>
        <v/>
      </c>
      <c r="AW665" s="62">
        <f>IF(E665="","",IF(G665&lt;&gt;"",G665,IF(OR(E665="Proposition envoyée",E665="Signature"),MAX(0,N(IFERROR(INDEX('Paramètres'!$R$6:$R$15,MATCH(IF(AL665&lt;&gt;"",AL665,IFERROR(INDEX('Prospects'!$AN$5:$AN$504,MATCH(C665,'Prospects'!$C$5:$C$504,0)),"")),'Paramètres'!$Q$6:$Q$15,0)),0))-N(P665)),0)))</f>
        <v/>
      </c>
      <c r="AX665" s="61">
        <f>IF(C665="","",IF(COUNTIF($C$5:C665,C665)=1,MAX($AX$4:AX664)+1,""))</f>
        <v/>
      </c>
      <c r="AY665" s="61">
        <f>IF(B665="","",HOUR(B665))</f>
        <v/>
      </c>
      <c r="AZ665" s="61">
        <f>IF(A665="","",MOD(A665-2,7)+1)</f>
        <v/>
      </c>
      <c r="BA665" s="60">
        <f>IF(C665="","",IFERROR(INDEX('Prospects'!$N$5:$N$504,MATCH(C665,'Prospects'!$C$5:$C$504,0)),""))</f>
        <v/>
      </c>
      <c r="BB665" s="61">
        <f>IF(AND(C665&lt;&gt;"",C665='Fiche prospect'!$C$4),COUNTIF($C$5:C665,C665),"")</f>
        <v/>
      </c>
    </row>
    <row r="666">
      <c r="A666" s="53" t="n"/>
      <c r="B666" s="54" t="n"/>
      <c r="C666" s="55" t="n"/>
      <c r="D666" s="55" t="n"/>
      <c r="E666" s="55" t="n"/>
      <c r="F666" s="55" t="n"/>
      <c r="G666" s="56" t="n"/>
      <c r="H666" s="57" t="n"/>
      <c r="I666" s="55" t="n"/>
      <c r="J666" s="53" t="n"/>
      <c r="K666" s="54" t="n"/>
      <c r="L666" s="55" t="n"/>
      <c r="M666" s="55" t="n"/>
      <c r="N666" s="57" t="n"/>
      <c r="O666" s="55" t="n"/>
      <c r="P666" s="56" t="n"/>
      <c r="Q666" s="55" t="n"/>
      <c r="R666" s="55" t="n"/>
      <c r="S666" s="55" t="n"/>
      <c r="T666" s="55" t="n"/>
      <c r="U666" s="55" t="n"/>
      <c r="V666" s="55" t="n"/>
      <c r="W666" s="58" t="n"/>
      <c r="X666" s="58" t="n"/>
      <c r="Y666" s="55" t="n"/>
      <c r="Z666" s="55" t="n"/>
      <c r="AA666" s="55" t="n"/>
      <c r="AB666" s="55" t="n"/>
      <c r="AC666" s="55" t="n"/>
      <c r="AD666" s="53" t="n"/>
      <c r="AE666" s="55" t="n"/>
      <c r="AF666" s="55" t="n"/>
      <c r="AG666" s="59" t="n"/>
      <c r="AH666" s="57" t="n"/>
      <c r="AI666" s="55" t="n"/>
      <c r="AJ666" s="55" t="n"/>
      <c r="AK666" s="55" t="n"/>
      <c r="AL666" s="55" t="n"/>
      <c r="AM666" s="56" t="n"/>
      <c r="AN666" s="55" t="n"/>
      <c r="AO666" s="55" t="n"/>
      <c r="AP666" s="55" t="n"/>
      <c r="AQ666" s="55" t="n"/>
      <c r="AR666" s="60">
        <f>IF(AND(C666="",E666=""),"",IF(A666="","⚠ Date manquante",IF(AND(C666="",E666&lt;&gt;"Dépense"),"⚠ Prospect manquant",IF(E666="","⚠ Action manquante",IF(AND(AU666=1,D666=""),"⚠ Canal manquant",IF(AND(W666&lt;&gt;"",COUNTIFS('Saisie'!$W$5:$W$2004,W666,'Saisie'!$C$5:$C$2004,"&lt;&gt;"&amp;C666)&gt;0),"⚠ Numéro déjà utilisé par un autre prospect",IF(AND(J666&lt;&gt;"",J666&lt;A666),"⚠ Relance avant la date de l'action",IF(A666&gt;TODAY(),"⚠ Date dans le futur","✓"))))))))</f>
        <v/>
      </c>
      <c r="AS666" s="61">
        <f>IF(AND(A666="",C666="",E666=""),"",ROW())</f>
        <v/>
      </c>
      <c r="AT666" s="61">
        <f>IF(E666&amp;F666="","",MAX(IFERROR(INDEX('Paramètres'!$J$6:$J$33,MATCH(E666,'Paramètres'!$I$6:$I$33,0)),0),IFERROR(INDEX('Paramètres'!$N$6:$N$17,MATCH(F666,'Paramètres'!$M$6:$M$17,0)),0)))</f>
        <v/>
      </c>
      <c r="AU666" s="61">
        <f>IF(E666="","",IFERROR(IF(INDEX('Paramètres'!$K$6:$K$33,MATCH(E666,'Paramètres'!$I$6:$I$33,0))="Oui",1,0),0))</f>
        <v/>
      </c>
      <c r="AV666" s="61">
        <f>IF(F666="","",IFERROR(IF(INDEX('Paramètres'!$O$6:$O$17,MATCH(F666,'Paramètres'!$M$6:$M$17,0))="Oui",1,0),0))</f>
        <v/>
      </c>
      <c r="AW666" s="62">
        <f>IF(E666="","",IF(G666&lt;&gt;"",G666,IF(OR(E666="Proposition envoyée",E666="Signature"),MAX(0,N(IFERROR(INDEX('Paramètres'!$R$6:$R$15,MATCH(IF(AL666&lt;&gt;"",AL666,IFERROR(INDEX('Prospects'!$AN$5:$AN$504,MATCH(C666,'Prospects'!$C$5:$C$504,0)),"")),'Paramètres'!$Q$6:$Q$15,0)),0))-N(P666)),0)))</f>
        <v/>
      </c>
      <c r="AX666" s="61">
        <f>IF(C666="","",IF(COUNTIF($C$5:C666,C666)=1,MAX($AX$4:AX665)+1,""))</f>
        <v/>
      </c>
      <c r="AY666" s="61">
        <f>IF(B666="","",HOUR(B666))</f>
        <v/>
      </c>
      <c r="AZ666" s="61">
        <f>IF(A666="","",MOD(A666-2,7)+1)</f>
        <v/>
      </c>
      <c r="BA666" s="60">
        <f>IF(C666="","",IFERROR(INDEX('Prospects'!$N$5:$N$504,MATCH(C666,'Prospects'!$C$5:$C$504,0)),""))</f>
        <v/>
      </c>
      <c r="BB666" s="61">
        <f>IF(AND(C666&lt;&gt;"",C666='Fiche prospect'!$C$4),COUNTIF($C$5:C666,C666),"")</f>
        <v/>
      </c>
    </row>
    <row r="667">
      <c r="A667" s="53" t="n"/>
      <c r="B667" s="54" t="n"/>
      <c r="C667" s="55" t="n"/>
      <c r="D667" s="55" t="n"/>
      <c r="E667" s="55" t="n"/>
      <c r="F667" s="55" t="n"/>
      <c r="G667" s="56" t="n"/>
      <c r="H667" s="57" t="n"/>
      <c r="I667" s="55" t="n"/>
      <c r="J667" s="53" t="n"/>
      <c r="K667" s="54" t="n"/>
      <c r="L667" s="55" t="n"/>
      <c r="M667" s="55" t="n"/>
      <c r="N667" s="57" t="n"/>
      <c r="O667" s="55" t="n"/>
      <c r="P667" s="56" t="n"/>
      <c r="Q667" s="55" t="n"/>
      <c r="R667" s="55" t="n"/>
      <c r="S667" s="55" t="n"/>
      <c r="T667" s="55" t="n"/>
      <c r="U667" s="55" t="n"/>
      <c r="V667" s="55" t="n"/>
      <c r="W667" s="58" t="n"/>
      <c r="X667" s="58" t="n"/>
      <c r="Y667" s="55" t="n"/>
      <c r="Z667" s="55" t="n"/>
      <c r="AA667" s="55" t="n"/>
      <c r="AB667" s="55" t="n"/>
      <c r="AC667" s="55" t="n"/>
      <c r="AD667" s="53" t="n"/>
      <c r="AE667" s="55" t="n"/>
      <c r="AF667" s="55" t="n"/>
      <c r="AG667" s="59" t="n"/>
      <c r="AH667" s="57" t="n"/>
      <c r="AI667" s="55" t="n"/>
      <c r="AJ667" s="55" t="n"/>
      <c r="AK667" s="55" t="n"/>
      <c r="AL667" s="55" t="n"/>
      <c r="AM667" s="56" t="n"/>
      <c r="AN667" s="55" t="n"/>
      <c r="AO667" s="55" t="n"/>
      <c r="AP667" s="55" t="n"/>
      <c r="AQ667" s="55" t="n"/>
      <c r="AR667" s="60">
        <f>IF(AND(C667="",E667=""),"",IF(A667="","⚠ Date manquante",IF(AND(C667="",E667&lt;&gt;"Dépense"),"⚠ Prospect manquant",IF(E667="","⚠ Action manquante",IF(AND(AU667=1,D667=""),"⚠ Canal manquant",IF(AND(W667&lt;&gt;"",COUNTIFS('Saisie'!$W$5:$W$2004,W667,'Saisie'!$C$5:$C$2004,"&lt;&gt;"&amp;C667)&gt;0),"⚠ Numéro déjà utilisé par un autre prospect",IF(AND(J667&lt;&gt;"",J667&lt;A667),"⚠ Relance avant la date de l'action",IF(A667&gt;TODAY(),"⚠ Date dans le futur","✓"))))))))</f>
        <v/>
      </c>
      <c r="AS667" s="61">
        <f>IF(AND(A667="",C667="",E667=""),"",ROW())</f>
        <v/>
      </c>
      <c r="AT667" s="61">
        <f>IF(E667&amp;F667="","",MAX(IFERROR(INDEX('Paramètres'!$J$6:$J$33,MATCH(E667,'Paramètres'!$I$6:$I$33,0)),0),IFERROR(INDEX('Paramètres'!$N$6:$N$17,MATCH(F667,'Paramètres'!$M$6:$M$17,0)),0)))</f>
        <v/>
      </c>
      <c r="AU667" s="61">
        <f>IF(E667="","",IFERROR(IF(INDEX('Paramètres'!$K$6:$K$33,MATCH(E667,'Paramètres'!$I$6:$I$33,0))="Oui",1,0),0))</f>
        <v/>
      </c>
      <c r="AV667" s="61">
        <f>IF(F667="","",IFERROR(IF(INDEX('Paramètres'!$O$6:$O$17,MATCH(F667,'Paramètres'!$M$6:$M$17,0))="Oui",1,0),0))</f>
        <v/>
      </c>
      <c r="AW667" s="62">
        <f>IF(E667="","",IF(G667&lt;&gt;"",G667,IF(OR(E667="Proposition envoyée",E667="Signature"),MAX(0,N(IFERROR(INDEX('Paramètres'!$R$6:$R$15,MATCH(IF(AL667&lt;&gt;"",AL667,IFERROR(INDEX('Prospects'!$AN$5:$AN$504,MATCH(C667,'Prospects'!$C$5:$C$504,0)),"")),'Paramètres'!$Q$6:$Q$15,0)),0))-N(P667)),0)))</f>
        <v/>
      </c>
      <c r="AX667" s="61">
        <f>IF(C667="","",IF(COUNTIF($C$5:C667,C667)=1,MAX($AX$4:AX666)+1,""))</f>
        <v/>
      </c>
      <c r="AY667" s="61">
        <f>IF(B667="","",HOUR(B667))</f>
        <v/>
      </c>
      <c r="AZ667" s="61">
        <f>IF(A667="","",MOD(A667-2,7)+1)</f>
        <v/>
      </c>
      <c r="BA667" s="60">
        <f>IF(C667="","",IFERROR(INDEX('Prospects'!$N$5:$N$504,MATCH(C667,'Prospects'!$C$5:$C$504,0)),""))</f>
        <v/>
      </c>
      <c r="BB667" s="61">
        <f>IF(AND(C667&lt;&gt;"",C667='Fiche prospect'!$C$4),COUNTIF($C$5:C667,C667),"")</f>
        <v/>
      </c>
    </row>
    <row r="668">
      <c r="A668" s="53" t="n"/>
      <c r="B668" s="54" t="n"/>
      <c r="C668" s="55" t="n"/>
      <c r="D668" s="55" t="n"/>
      <c r="E668" s="55" t="n"/>
      <c r="F668" s="55" t="n"/>
      <c r="G668" s="56" t="n"/>
      <c r="H668" s="57" t="n"/>
      <c r="I668" s="55" t="n"/>
      <c r="J668" s="53" t="n"/>
      <c r="K668" s="54" t="n"/>
      <c r="L668" s="55" t="n"/>
      <c r="M668" s="55" t="n"/>
      <c r="N668" s="57" t="n"/>
      <c r="O668" s="55" t="n"/>
      <c r="P668" s="56" t="n"/>
      <c r="Q668" s="55" t="n"/>
      <c r="R668" s="55" t="n"/>
      <c r="S668" s="55" t="n"/>
      <c r="T668" s="55" t="n"/>
      <c r="U668" s="55" t="n"/>
      <c r="V668" s="55" t="n"/>
      <c r="W668" s="58" t="n"/>
      <c r="X668" s="58" t="n"/>
      <c r="Y668" s="55" t="n"/>
      <c r="Z668" s="55" t="n"/>
      <c r="AA668" s="55" t="n"/>
      <c r="AB668" s="55" t="n"/>
      <c r="AC668" s="55" t="n"/>
      <c r="AD668" s="53" t="n"/>
      <c r="AE668" s="55" t="n"/>
      <c r="AF668" s="55" t="n"/>
      <c r="AG668" s="59" t="n"/>
      <c r="AH668" s="57" t="n"/>
      <c r="AI668" s="55" t="n"/>
      <c r="AJ668" s="55" t="n"/>
      <c r="AK668" s="55" t="n"/>
      <c r="AL668" s="55" t="n"/>
      <c r="AM668" s="56" t="n"/>
      <c r="AN668" s="55" t="n"/>
      <c r="AO668" s="55" t="n"/>
      <c r="AP668" s="55" t="n"/>
      <c r="AQ668" s="55" t="n"/>
      <c r="AR668" s="60">
        <f>IF(AND(C668="",E668=""),"",IF(A668="","⚠ Date manquante",IF(AND(C668="",E668&lt;&gt;"Dépense"),"⚠ Prospect manquant",IF(E668="","⚠ Action manquante",IF(AND(AU668=1,D668=""),"⚠ Canal manquant",IF(AND(W668&lt;&gt;"",COUNTIFS('Saisie'!$W$5:$W$2004,W668,'Saisie'!$C$5:$C$2004,"&lt;&gt;"&amp;C668)&gt;0),"⚠ Numéro déjà utilisé par un autre prospect",IF(AND(J668&lt;&gt;"",J668&lt;A668),"⚠ Relance avant la date de l'action",IF(A668&gt;TODAY(),"⚠ Date dans le futur","✓"))))))))</f>
        <v/>
      </c>
      <c r="AS668" s="61">
        <f>IF(AND(A668="",C668="",E668=""),"",ROW())</f>
        <v/>
      </c>
      <c r="AT668" s="61">
        <f>IF(E668&amp;F668="","",MAX(IFERROR(INDEX('Paramètres'!$J$6:$J$33,MATCH(E668,'Paramètres'!$I$6:$I$33,0)),0),IFERROR(INDEX('Paramètres'!$N$6:$N$17,MATCH(F668,'Paramètres'!$M$6:$M$17,0)),0)))</f>
        <v/>
      </c>
      <c r="AU668" s="61">
        <f>IF(E668="","",IFERROR(IF(INDEX('Paramètres'!$K$6:$K$33,MATCH(E668,'Paramètres'!$I$6:$I$33,0))="Oui",1,0),0))</f>
        <v/>
      </c>
      <c r="AV668" s="61">
        <f>IF(F668="","",IFERROR(IF(INDEX('Paramètres'!$O$6:$O$17,MATCH(F668,'Paramètres'!$M$6:$M$17,0))="Oui",1,0),0))</f>
        <v/>
      </c>
      <c r="AW668" s="62">
        <f>IF(E668="","",IF(G668&lt;&gt;"",G668,IF(OR(E668="Proposition envoyée",E668="Signature"),MAX(0,N(IFERROR(INDEX('Paramètres'!$R$6:$R$15,MATCH(IF(AL668&lt;&gt;"",AL668,IFERROR(INDEX('Prospects'!$AN$5:$AN$504,MATCH(C668,'Prospects'!$C$5:$C$504,0)),"")),'Paramètres'!$Q$6:$Q$15,0)),0))-N(P668)),0)))</f>
        <v/>
      </c>
      <c r="AX668" s="61">
        <f>IF(C668="","",IF(COUNTIF($C$5:C668,C668)=1,MAX($AX$4:AX667)+1,""))</f>
        <v/>
      </c>
      <c r="AY668" s="61">
        <f>IF(B668="","",HOUR(B668))</f>
        <v/>
      </c>
      <c r="AZ668" s="61">
        <f>IF(A668="","",MOD(A668-2,7)+1)</f>
        <v/>
      </c>
      <c r="BA668" s="60">
        <f>IF(C668="","",IFERROR(INDEX('Prospects'!$N$5:$N$504,MATCH(C668,'Prospects'!$C$5:$C$504,0)),""))</f>
        <v/>
      </c>
      <c r="BB668" s="61">
        <f>IF(AND(C668&lt;&gt;"",C668='Fiche prospect'!$C$4),COUNTIF($C$5:C668,C668),"")</f>
        <v/>
      </c>
    </row>
    <row r="669">
      <c r="A669" s="53" t="n"/>
      <c r="B669" s="54" t="n"/>
      <c r="C669" s="55" t="n"/>
      <c r="D669" s="55" t="n"/>
      <c r="E669" s="55" t="n"/>
      <c r="F669" s="55" t="n"/>
      <c r="G669" s="56" t="n"/>
      <c r="H669" s="57" t="n"/>
      <c r="I669" s="55" t="n"/>
      <c r="J669" s="53" t="n"/>
      <c r="K669" s="54" t="n"/>
      <c r="L669" s="55" t="n"/>
      <c r="M669" s="55" t="n"/>
      <c r="N669" s="57" t="n"/>
      <c r="O669" s="55" t="n"/>
      <c r="P669" s="56" t="n"/>
      <c r="Q669" s="55" t="n"/>
      <c r="R669" s="55" t="n"/>
      <c r="S669" s="55" t="n"/>
      <c r="T669" s="55" t="n"/>
      <c r="U669" s="55" t="n"/>
      <c r="V669" s="55" t="n"/>
      <c r="W669" s="58" t="n"/>
      <c r="X669" s="58" t="n"/>
      <c r="Y669" s="55" t="n"/>
      <c r="Z669" s="55" t="n"/>
      <c r="AA669" s="55" t="n"/>
      <c r="AB669" s="55" t="n"/>
      <c r="AC669" s="55" t="n"/>
      <c r="AD669" s="53" t="n"/>
      <c r="AE669" s="55" t="n"/>
      <c r="AF669" s="55" t="n"/>
      <c r="AG669" s="59" t="n"/>
      <c r="AH669" s="57" t="n"/>
      <c r="AI669" s="55" t="n"/>
      <c r="AJ669" s="55" t="n"/>
      <c r="AK669" s="55" t="n"/>
      <c r="AL669" s="55" t="n"/>
      <c r="AM669" s="56" t="n"/>
      <c r="AN669" s="55" t="n"/>
      <c r="AO669" s="55" t="n"/>
      <c r="AP669" s="55" t="n"/>
      <c r="AQ669" s="55" t="n"/>
      <c r="AR669" s="60">
        <f>IF(AND(C669="",E669=""),"",IF(A669="","⚠ Date manquante",IF(AND(C669="",E669&lt;&gt;"Dépense"),"⚠ Prospect manquant",IF(E669="","⚠ Action manquante",IF(AND(AU669=1,D669=""),"⚠ Canal manquant",IF(AND(W669&lt;&gt;"",COUNTIFS('Saisie'!$W$5:$W$2004,W669,'Saisie'!$C$5:$C$2004,"&lt;&gt;"&amp;C669)&gt;0),"⚠ Numéro déjà utilisé par un autre prospect",IF(AND(J669&lt;&gt;"",J669&lt;A669),"⚠ Relance avant la date de l'action",IF(A669&gt;TODAY(),"⚠ Date dans le futur","✓"))))))))</f>
        <v/>
      </c>
      <c r="AS669" s="61">
        <f>IF(AND(A669="",C669="",E669=""),"",ROW())</f>
        <v/>
      </c>
      <c r="AT669" s="61">
        <f>IF(E669&amp;F669="","",MAX(IFERROR(INDEX('Paramètres'!$J$6:$J$33,MATCH(E669,'Paramètres'!$I$6:$I$33,0)),0),IFERROR(INDEX('Paramètres'!$N$6:$N$17,MATCH(F669,'Paramètres'!$M$6:$M$17,0)),0)))</f>
        <v/>
      </c>
      <c r="AU669" s="61">
        <f>IF(E669="","",IFERROR(IF(INDEX('Paramètres'!$K$6:$K$33,MATCH(E669,'Paramètres'!$I$6:$I$33,0))="Oui",1,0),0))</f>
        <v/>
      </c>
      <c r="AV669" s="61">
        <f>IF(F669="","",IFERROR(IF(INDEX('Paramètres'!$O$6:$O$17,MATCH(F669,'Paramètres'!$M$6:$M$17,0))="Oui",1,0),0))</f>
        <v/>
      </c>
      <c r="AW669" s="62">
        <f>IF(E669="","",IF(G669&lt;&gt;"",G669,IF(OR(E669="Proposition envoyée",E669="Signature"),MAX(0,N(IFERROR(INDEX('Paramètres'!$R$6:$R$15,MATCH(IF(AL669&lt;&gt;"",AL669,IFERROR(INDEX('Prospects'!$AN$5:$AN$504,MATCH(C669,'Prospects'!$C$5:$C$504,0)),"")),'Paramètres'!$Q$6:$Q$15,0)),0))-N(P669)),0)))</f>
        <v/>
      </c>
      <c r="AX669" s="61">
        <f>IF(C669="","",IF(COUNTIF($C$5:C669,C669)=1,MAX($AX$4:AX668)+1,""))</f>
        <v/>
      </c>
      <c r="AY669" s="61">
        <f>IF(B669="","",HOUR(B669))</f>
        <v/>
      </c>
      <c r="AZ669" s="61">
        <f>IF(A669="","",MOD(A669-2,7)+1)</f>
        <v/>
      </c>
      <c r="BA669" s="60">
        <f>IF(C669="","",IFERROR(INDEX('Prospects'!$N$5:$N$504,MATCH(C669,'Prospects'!$C$5:$C$504,0)),""))</f>
        <v/>
      </c>
      <c r="BB669" s="61">
        <f>IF(AND(C669&lt;&gt;"",C669='Fiche prospect'!$C$4),COUNTIF($C$5:C669,C669),"")</f>
        <v/>
      </c>
    </row>
    <row r="670">
      <c r="A670" s="53" t="n"/>
      <c r="B670" s="54" t="n"/>
      <c r="C670" s="55" t="n"/>
      <c r="D670" s="55" t="n"/>
      <c r="E670" s="55" t="n"/>
      <c r="F670" s="55" t="n"/>
      <c r="G670" s="56" t="n"/>
      <c r="H670" s="57" t="n"/>
      <c r="I670" s="55" t="n"/>
      <c r="J670" s="53" t="n"/>
      <c r="K670" s="54" t="n"/>
      <c r="L670" s="55" t="n"/>
      <c r="M670" s="55" t="n"/>
      <c r="N670" s="57" t="n"/>
      <c r="O670" s="55" t="n"/>
      <c r="P670" s="56" t="n"/>
      <c r="Q670" s="55" t="n"/>
      <c r="R670" s="55" t="n"/>
      <c r="S670" s="55" t="n"/>
      <c r="T670" s="55" t="n"/>
      <c r="U670" s="55" t="n"/>
      <c r="V670" s="55" t="n"/>
      <c r="W670" s="58" t="n"/>
      <c r="X670" s="58" t="n"/>
      <c r="Y670" s="55" t="n"/>
      <c r="Z670" s="55" t="n"/>
      <c r="AA670" s="55" t="n"/>
      <c r="AB670" s="55" t="n"/>
      <c r="AC670" s="55" t="n"/>
      <c r="AD670" s="53" t="n"/>
      <c r="AE670" s="55" t="n"/>
      <c r="AF670" s="55" t="n"/>
      <c r="AG670" s="59" t="n"/>
      <c r="AH670" s="57" t="n"/>
      <c r="AI670" s="55" t="n"/>
      <c r="AJ670" s="55" t="n"/>
      <c r="AK670" s="55" t="n"/>
      <c r="AL670" s="55" t="n"/>
      <c r="AM670" s="56" t="n"/>
      <c r="AN670" s="55" t="n"/>
      <c r="AO670" s="55" t="n"/>
      <c r="AP670" s="55" t="n"/>
      <c r="AQ670" s="55" t="n"/>
      <c r="AR670" s="60">
        <f>IF(AND(C670="",E670=""),"",IF(A670="","⚠ Date manquante",IF(AND(C670="",E670&lt;&gt;"Dépense"),"⚠ Prospect manquant",IF(E670="","⚠ Action manquante",IF(AND(AU670=1,D670=""),"⚠ Canal manquant",IF(AND(W670&lt;&gt;"",COUNTIFS('Saisie'!$W$5:$W$2004,W670,'Saisie'!$C$5:$C$2004,"&lt;&gt;"&amp;C670)&gt;0),"⚠ Numéro déjà utilisé par un autre prospect",IF(AND(J670&lt;&gt;"",J670&lt;A670),"⚠ Relance avant la date de l'action",IF(A670&gt;TODAY(),"⚠ Date dans le futur","✓"))))))))</f>
        <v/>
      </c>
      <c r="AS670" s="61">
        <f>IF(AND(A670="",C670="",E670=""),"",ROW())</f>
        <v/>
      </c>
      <c r="AT670" s="61">
        <f>IF(E670&amp;F670="","",MAX(IFERROR(INDEX('Paramètres'!$J$6:$J$33,MATCH(E670,'Paramètres'!$I$6:$I$33,0)),0),IFERROR(INDEX('Paramètres'!$N$6:$N$17,MATCH(F670,'Paramètres'!$M$6:$M$17,0)),0)))</f>
        <v/>
      </c>
      <c r="AU670" s="61">
        <f>IF(E670="","",IFERROR(IF(INDEX('Paramètres'!$K$6:$K$33,MATCH(E670,'Paramètres'!$I$6:$I$33,0))="Oui",1,0),0))</f>
        <v/>
      </c>
      <c r="AV670" s="61">
        <f>IF(F670="","",IFERROR(IF(INDEX('Paramètres'!$O$6:$O$17,MATCH(F670,'Paramètres'!$M$6:$M$17,0))="Oui",1,0),0))</f>
        <v/>
      </c>
      <c r="AW670" s="62">
        <f>IF(E670="","",IF(G670&lt;&gt;"",G670,IF(OR(E670="Proposition envoyée",E670="Signature"),MAX(0,N(IFERROR(INDEX('Paramètres'!$R$6:$R$15,MATCH(IF(AL670&lt;&gt;"",AL670,IFERROR(INDEX('Prospects'!$AN$5:$AN$504,MATCH(C670,'Prospects'!$C$5:$C$504,0)),"")),'Paramètres'!$Q$6:$Q$15,0)),0))-N(P670)),0)))</f>
        <v/>
      </c>
      <c r="AX670" s="61">
        <f>IF(C670="","",IF(COUNTIF($C$5:C670,C670)=1,MAX($AX$4:AX669)+1,""))</f>
        <v/>
      </c>
      <c r="AY670" s="61">
        <f>IF(B670="","",HOUR(B670))</f>
        <v/>
      </c>
      <c r="AZ670" s="61">
        <f>IF(A670="","",MOD(A670-2,7)+1)</f>
        <v/>
      </c>
      <c r="BA670" s="60">
        <f>IF(C670="","",IFERROR(INDEX('Prospects'!$N$5:$N$504,MATCH(C670,'Prospects'!$C$5:$C$504,0)),""))</f>
        <v/>
      </c>
      <c r="BB670" s="61">
        <f>IF(AND(C670&lt;&gt;"",C670='Fiche prospect'!$C$4),COUNTIF($C$5:C670,C670),"")</f>
        <v/>
      </c>
    </row>
    <row r="671">
      <c r="A671" s="53" t="n"/>
      <c r="B671" s="54" t="n"/>
      <c r="C671" s="55" t="n"/>
      <c r="D671" s="55" t="n"/>
      <c r="E671" s="55" t="n"/>
      <c r="F671" s="55" t="n"/>
      <c r="G671" s="56" t="n"/>
      <c r="H671" s="57" t="n"/>
      <c r="I671" s="55" t="n"/>
      <c r="J671" s="53" t="n"/>
      <c r="K671" s="54" t="n"/>
      <c r="L671" s="55" t="n"/>
      <c r="M671" s="55" t="n"/>
      <c r="N671" s="57" t="n"/>
      <c r="O671" s="55" t="n"/>
      <c r="P671" s="56" t="n"/>
      <c r="Q671" s="55" t="n"/>
      <c r="R671" s="55" t="n"/>
      <c r="S671" s="55" t="n"/>
      <c r="T671" s="55" t="n"/>
      <c r="U671" s="55" t="n"/>
      <c r="V671" s="55" t="n"/>
      <c r="W671" s="58" t="n"/>
      <c r="X671" s="58" t="n"/>
      <c r="Y671" s="55" t="n"/>
      <c r="Z671" s="55" t="n"/>
      <c r="AA671" s="55" t="n"/>
      <c r="AB671" s="55" t="n"/>
      <c r="AC671" s="55" t="n"/>
      <c r="AD671" s="53" t="n"/>
      <c r="AE671" s="55" t="n"/>
      <c r="AF671" s="55" t="n"/>
      <c r="AG671" s="59" t="n"/>
      <c r="AH671" s="57" t="n"/>
      <c r="AI671" s="55" t="n"/>
      <c r="AJ671" s="55" t="n"/>
      <c r="AK671" s="55" t="n"/>
      <c r="AL671" s="55" t="n"/>
      <c r="AM671" s="56" t="n"/>
      <c r="AN671" s="55" t="n"/>
      <c r="AO671" s="55" t="n"/>
      <c r="AP671" s="55" t="n"/>
      <c r="AQ671" s="55" t="n"/>
      <c r="AR671" s="60">
        <f>IF(AND(C671="",E671=""),"",IF(A671="","⚠ Date manquante",IF(AND(C671="",E671&lt;&gt;"Dépense"),"⚠ Prospect manquant",IF(E671="","⚠ Action manquante",IF(AND(AU671=1,D671=""),"⚠ Canal manquant",IF(AND(W671&lt;&gt;"",COUNTIFS('Saisie'!$W$5:$W$2004,W671,'Saisie'!$C$5:$C$2004,"&lt;&gt;"&amp;C671)&gt;0),"⚠ Numéro déjà utilisé par un autre prospect",IF(AND(J671&lt;&gt;"",J671&lt;A671),"⚠ Relance avant la date de l'action",IF(A671&gt;TODAY(),"⚠ Date dans le futur","✓"))))))))</f>
        <v/>
      </c>
      <c r="AS671" s="61">
        <f>IF(AND(A671="",C671="",E671=""),"",ROW())</f>
        <v/>
      </c>
      <c r="AT671" s="61">
        <f>IF(E671&amp;F671="","",MAX(IFERROR(INDEX('Paramètres'!$J$6:$J$33,MATCH(E671,'Paramètres'!$I$6:$I$33,0)),0),IFERROR(INDEX('Paramètres'!$N$6:$N$17,MATCH(F671,'Paramètres'!$M$6:$M$17,0)),0)))</f>
        <v/>
      </c>
      <c r="AU671" s="61">
        <f>IF(E671="","",IFERROR(IF(INDEX('Paramètres'!$K$6:$K$33,MATCH(E671,'Paramètres'!$I$6:$I$33,0))="Oui",1,0),0))</f>
        <v/>
      </c>
      <c r="AV671" s="61">
        <f>IF(F671="","",IFERROR(IF(INDEX('Paramètres'!$O$6:$O$17,MATCH(F671,'Paramètres'!$M$6:$M$17,0))="Oui",1,0),0))</f>
        <v/>
      </c>
      <c r="AW671" s="62">
        <f>IF(E671="","",IF(G671&lt;&gt;"",G671,IF(OR(E671="Proposition envoyée",E671="Signature"),MAX(0,N(IFERROR(INDEX('Paramètres'!$R$6:$R$15,MATCH(IF(AL671&lt;&gt;"",AL671,IFERROR(INDEX('Prospects'!$AN$5:$AN$504,MATCH(C671,'Prospects'!$C$5:$C$504,0)),"")),'Paramètres'!$Q$6:$Q$15,0)),0))-N(P671)),0)))</f>
        <v/>
      </c>
      <c r="AX671" s="61">
        <f>IF(C671="","",IF(COUNTIF($C$5:C671,C671)=1,MAX($AX$4:AX670)+1,""))</f>
        <v/>
      </c>
      <c r="AY671" s="61">
        <f>IF(B671="","",HOUR(B671))</f>
        <v/>
      </c>
      <c r="AZ671" s="61">
        <f>IF(A671="","",MOD(A671-2,7)+1)</f>
        <v/>
      </c>
      <c r="BA671" s="60">
        <f>IF(C671="","",IFERROR(INDEX('Prospects'!$N$5:$N$504,MATCH(C671,'Prospects'!$C$5:$C$504,0)),""))</f>
        <v/>
      </c>
      <c r="BB671" s="61">
        <f>IF(AND(C671&lt;&gt;"",C671='Fiche prospect'!$C$4),COUNTIF($C$5:C671,C671),"")</f>
        <v/>
      </c>
    </row>
    <row r="672">
      <c r="A672" s="53" t="n"/>
      <c r="B672" s="54" t="n"/>
      <c r="C672" s="55" t="n"/>
      <c r="D672" s="55" t="n"/>
      <c r="E672" s="55" t="n"/>
      <c r="F672" s="55" t="n"/>
      <c r="G672" s="56" t="n"/>
      <c r="H672" s="57" t="n"/>
      <c r="I672" s="55" t="n"/>
      <c r="J672" s="53" t="n"/>
      <c r="K672" s="54" t="n"/>
      <c r="L672" s="55" t="n"/>
      <c r="M672" s="55" t="n"/>
      <c r="N672" s="57" t="n"/>
      <c r="O672" s="55" t="n"/>
      <c r="P672" s="56" t="n"/>
      <c r="Q672" s="55" t="n"/>
      <c r="R672" s="55" t="n"/>
      <c r="S672" s="55" t="n"/>
      <c r="T672" s="55" t="n"/>
      <c r="U672" s="55" t="n"/>
      <c r="V672" s="55" t="n"/>
      <c r="W672" s="58" t="n"/>
      <c r="X672" s="58" t="n"/>
      <c r="Y672" s="55" t="n"/>
      <c r="Z672" s="55" t="n"/>
      <c r="AA672" s="55" t="n"/>
      <c r="AB672" s="55" t="n"/>
      <c r="AC672" s="55" t="n"/>
      <c r="AD672" s="53" t="n"/>
      <c r="AE672" s="55" t="n"/>
      <c r="AF672" s="55" t="n"/>
      <c r="AG672" s="59" t="n"/>
      <c r="AH672" s="57" t="n"/>
      <c r="AI672" s="55" t="n"/>
      <c r="AJ672" s="55" t="n"/>
      <c r="AK672" s="55" t="n"/>
      <c r="AL672" s="55" t="n"/>
      <c r="AM672" s="56" t="n"/>
      <c r="AN672" s="55" t="n"/>
      <c r="AO672" s="55" t="n"/>
      <c r="AP672" s="55" t="n"/>
      <c r="AQ672" s="55" t="n"/>
      <c r="AR672" s="60">
        <f>IF(AND(C672="",E672=""),"",IF(A672="","⚠ Date manquante",IF(AND(C672="",E672&lt;&gt;"Dépense"),"⚠ Prospect manquant",IF(E672="","⚠ Action manquante",IF(AND(AU672=1,D672=""),"⚠ Canal manquant",IF(AND(W672&lt;&gt;"",COUNTIFS('Saisie'!$W$5:$W$2004,W672,'Saisie'!$C$5:$C$2004,"&lt;&gt;"&amp;C672)&gt;0),"⚠ Numéro déjà utilisé par un autre prospect",IF(AND(J672&lt;&gt;"",J672&lt;A672),"⚠ Relance avant la date de l'action",IF(A672&gt;TODAY(),"⚠ Date dans le futur","✓"))))))))</f>
        <v/>
      </c>
      <c r="AS672" s="61">
        <f>IF(AND(A672="",C672="",E672=""),"",ROW())</f>
        <v/>
      </c>
      <c r="AT672" s="61">
        <f>IF(E672&amp;F672="","",MAX(IFERROR(INDEX('Paramètres'!$J$6:$J$33,MATCH(E672,'Paramètres'!$I$6:$I$33,0)),0),IFERROR(INDEX('Paramètres'!$N$6:$N$17,MATCH(F672,'Paramètres'!$M$6:$M$17,0)),0)))</f>
        <v/>
      </c>
      <c r="AU672" s="61">
        <f>IF(E672="","",IFERROR(IF(INDEX('Paramètres'!$K$6:$K$33,MATCH(E672,'Paramètres'!$I$6:$I$33,0))="Oui",1,0),0))</f>
        <v/>
      </c>
      <c r="AV672" s="61">
        <f>IF(F672="","",IFERROR(IF(INDEX('Paramètres'!$O$6:$O$17,MATCH(F672,'Paramètres'!$M$6:$M$17,0))="Oui",1,0),0))</f>
        <v/>
      </c>
      <c r="AW672" s="62">
        <f>IF(E672="","",IF(G672&lt;&gt;"",G672,IF(OR(E672="Proposition envoyée",E672="Signature"),MAX(0,N(IFERROR(INDEX('Paramètres'!$R$6:$R$15,MATCH(IF(AL672&lt;&gt;"",AL672,IFERROR(INDEX('Prospects'!$AN$5:$AN$504,MATCH(C672,'Prospects'!$C$5:$C$504,0)),"")),'Paramètres'!$Q$6:$Q$15,0)),0))-N(P672)),0)))</f>
        <v/>
      </c>
      <c r="AX672" s="61">
        <f>IF(C672="","",IF(COUNTIF($C$5:C672,C672)=1,MAX($AX$4:AX671)+1,""))</f>
        <v/>
      </c>
      <c r="AY672" s="61">
        <f>IF(B672="","",HOUR(B672))</f>
        <v/>
      </c>
      <c r="AZ672" s="61">
        <f>IF(A672="","",MOD(A672-2,7)+1)</f>
        <v/>
      </c>
      <c r="BA672" s="60">
        <f>IF(C672="","",IFERROR(INDEX('Prospects'!$N$5:$N$504,MATCH(C672,'Prospects'!$C$5:$C$504,0)),""))</f>
        <v/>
      </c>
      <c r="BB672" s="61">
        <f>IF(AND(C672&lt;&gt;"",C672='Fiche prospect'!$C$4),COUNTIF($C$5:C672,C672),"")</f>
        <v/>
      </c>
    </row>
    <row r="673">
      <c r="A673" s="53" t="n"/>
      <c r="B673" s="54" t="n"/>
      <c r="C673" s="55" t="n"/>
      <c r="D673" s="55" t="n"/>
      <c r="E673" s="55" t="n"/>
      <c r="F673" s="55" t="n"/>
      <c r="G673" s="56" t="n"/>
      <c r="H673" s="57" t="n"/>
      <c r="I673" s="55" t="n"/>
      <c r="J673" s="53" t="n"/>
      <c r="K673" s="54" t="n"/>
      <c r="L673" s="55" t="n"/>
      <c r="M673" s="55" t="n"/>
      <c r="N673" s="57" t="n"/>
      <c r="O673" s="55" t="n"/>
      <c r="P673" s="56" t="n"/>
      <c r="Q673" s="55" t="n"/>
      <c r="R673" s="55" t="n"/>
      <c r="S673" s="55" t="n"/>
      <c r="T673" s="55" t="n"/>
      <c r="U673" s="55" t="n"/>
      <c r="V673" s="55" t="n"/>
      <c r="W673" s="58" t="n"/>
      <c r="X673" s="58" t="n"/>
      <c r="Y673" s="55" t="n"/>
      <c r="Z673" s="55" t="n"/>
      <c r="AA673" s="55" t="n"/>
      <c r="AB673" s="55" t="n"/>
      <c r="AC673" s="55" t="n"/>
      <c r="AD673" s="53" t="n"/>
      <c r="AE673" s="55" t="n"/>
      <c r="AF673" s="55" t="n"/>
      <c r="AG673" s="59" t="n"/>
      <c r="AH673" s="57" t="n"/>
      <c r="AI673" s="55" t="n"/>
      <c r="AJ673" s="55" t="n"/>
      <c r="AK673" s="55" t="n"/>
      <c r="AL673" s="55" t="n"/>
      <c r="AM673" s="56" t="n"/>
      <c r="AN673" s="55" t="n"/>
      <c r="AO673" s="55" t="n"/>
      <c r="AP673" s="55" t="n"/>
      <c r="AQ673" s="55" t="n"/>
      <c r="AR673" s="60">
        <f>IF(AND(C673="",E673=""),"",IF(A673="","⚠ Date manquante",IF(AND(C673="",E673&lt;&gt;"Dépense"),"⚠ Prospect manquant",IF(E673="","⚠ Action manquante",IF(AND(AU673=1,D673=""),"⚠ Canal manquant",IF(AND(W673&lt;&gt;"",COUNTIFS('Saisie'!$W$5:$W$2004,W673,'Saisie'!$C$5:$C$2004,"&lt;&gt;"&amp;C673)&gt;0),"⚠ Numéro déjà utilisé par un autre prospect",IF(AND(J673&lt;&gt;"",J673&lt;A673),"⚠ Relance avant la date de l'action",IF(A673&gt;TODAY(),"⚠ Date dans le futur","✓"))))))))</f>
        <v/>
      </c>
      <c r="AS673" s="61">
        <f>IF(AND(A673="",C673="",E673=""),"",ROW())</f>
        <v/>
      </c>
      <c r="AT673" s="61">
        <f>IF(E673&amp;F673="","",MAX(IFERROR(INDEX('Paramètres'!$J$6:$J$33,MATCH(E673,'Paramètres'!$I$6:$I$33,0)),0),IFERROR(INDEX('Paramètres'!$N$6:$N$17,MATCH(F673,'Paramètres'!$M$6:$M$17,0)),0)))</f>
        <v/>
      </c>
      <c r="AU673" s="61">
        <f>IF(E673="","",IFERROR(IF(INDEX('Paramètres'!$K$6:$K$33,MATCH(E673,'Paramètres'!$I$6:$I$33,0))="Oui",1,0),0))</f>
        <v/>
      </c>
      <c r="AV673" s="61">
        <f>IF(F673="","",IFERROR(IF(INDEX('Paramètres'!$O$6:$O$17,MATCH(F673,'Paramètres'!$M$6:$M$17,0))="Oui",1,0),0))</f>
        <v/>
      </c>
      <c r="AW673" s="62">
        <f>IF(E673="","",IF(G673&lt;&gt;"",G673,IF(OR(E673="Proposition envoyée",E673="Signature"),MAX(0,N(IFERROR(INDEX('Paramètres'!$R$6:$R$15,MATCH(IF(AL673&lt;&gt;"",AL673,IFERROR(INDEX('Prospects'!$AN$5:$AN$504,MATCH(C673,'Prospects'!$C$5:$C$504,0)),"")),'Paramètres'!$Q$6:$Q$15,0)),0))-N(P673)),0)))</f>
        <v/>
      </c>
      <c r="AX673" s="61">
        <f>IF(C673="","",IF(COUNTIF($C$5:C673,C673)=1,MAX($AX$4:AX672)+1,""))</f>
        <v/>
      </c>
      <c r="AY673" s="61">
        <f>IF(B673="","",HOUR(B673))</f>
        <v/>
      </c>
      <c r="AZ673" s="61">
        <f>IF(A673="","",MOD(A673-2,7)+1)</f>
        <v/>
      </c>
      <c r="BA673" s="60">
        <f>IF(C673="","",IFERROR(INDEX('Prospects'!$N$5:$N$504,MATCH(C673,'Prospects'!$C$5:$C$504,0)),""))</f>
        <v/>
      </c>
      <c r="BB673" s="61">
        <f>IF(AND(C673&lt;&gt;"",C673='Fiche prospect'!$C$4),COUNTIF($C$5:C673,C673),"")</f>
        <v/>
      </c>
    </row>
    <row r="674">
      <c r="A674" s="53" t="n"/>
      <c r="B674" s="54" t="n"/>
      <c r="C674" s="55" t="n"/>
      <c r="D674" s="55" t="n"/>
      <c r="E674" s="55" t="n"/>
      <c r="F674" s="55" t="n"/>
      <c r="G674" s="56" t="n"/>
      <c r="H674" s="57" t="n"/>
      <c r="I674" s="55" t="n"/>
      <c r="J674" s="53" t="n"/>
      <c r="K674" s="54" t="n"/>
      <c r="L674" s="55" t="n"/>
      <c r="M674" s="55" t="n"/>
      <c r="N674" s="57" t="n"/>
      <c r="O674" s="55" t="n"/>
      <c r="P674" s="56" t="n"/>
      <c r="Q674" s="55" t="n"/>
      <c r="R674" s="55" t="n"/>
      <c r="S674" s="55" t="n"/>
      <c r="T674" s="55" t="n"/>
      <c r="U674" s="55" t="n"/>
      <c r="V674" s="55" t="n"/>
      <c r="W674" s="58" t="n"/>
      <c r="X674" s="58" t="n"/>
      <c r="Y674" s="55" t="n"/>
      <c r="Z674" s="55" t="n"/>
      <c r="AA674" s="55" t="n"/>
      <c r="AB674" s="55" t="n"/>
      <c r="AC674" s="55" t="n"/>
      <c r="AD674" s="53" t="n"/>
      <c r="AE674" s="55" t="n"/>
      <c r="AF674" s="55" t="n"/>
      <c r="AG674" s="59" t="n"/>
      <c r="AH674" s="57" t="n"/>
      <c r="AI674" s="55" t="n"/>
      <c r="AJ674" s="55" t="n"/>
      <c r="AK674" s="55" t="n"/>
      <c r="AL674" s="55" t="n"/>
      <c r="AM674" s="56" t="n"/>
      <c r="AN674" s="55" t="n"/>
      <c r="AO674" s="55" t="n"/>
      <c r="AP674" s="55" t="n"/>
      <c r="AQ674" s="55" t="n"/>
      <c r="AR674" s="60">
        <f>IF(AND(C674="",E674=""),"",IF(A674="","⚠ Date manquante",IF(AND(C674="",E674&lt;&gt;"Dépense"),"⚠ Prospect manquant",IF(E674="","⚠ Action manquante",IF(AND(AU674=1,D674=""),"⚠ Canal manquant",IF(AND(W674&lt;&gt;"",COUNTIFS('Saisie'!$W$5:$W$2004,W674,'Saisie'!$C$5:$C$2004,"&lt;&gt;"&amp;C674)&gt;0),"⚠ Numéro déjà utilisé par un autre prospect",IF(AND(J674&lt;&gt;"",J674&lt;A674),"⚠ Relance avant la date de l'action",IF(A674&gt;TODAY(),"⚠ Date dans le futur","✓"))))))))</f>
        <v/>
      </c>
      <c r="AS674" s="61">
        <f>IF(AND(A674="",C674="",E674=""),"",ROW())</f>
        <v/>
      </c>
      <c r="AT674" s="61">
        <f>IF(E674&amp;F674="","",MAX(IFERROR(INDEX('Paramètres'!$J$6:$J$33,MATCH(E674,'Paramètres'!$I$6:$I$33,0)),0),IFERROR(INDEX('Paramètres'!$N$6:$N$17,MATCH(F674,'Paramètres'!$M$6:$M$17,0)),0)))</f>
        <v/>
      </c>
      <c r="AU674" s="61">
        <f>IF(E674="","",IFERROR(IF(INDEX('Paramètres'!$K$6:$K$33,MATCH(E674,'Paramètres'!$I$6:$I$33,0))="Oui",1,0),0))</f>
        <v/>
      </c>
      <c r="AV674" s="61">
        <f>IF(F674="","",IFERROR(IF(INDEX('Paramètres'!$O$6:$O$17,MATCH(F674,'Paramètres'!$M$6:$M$17,0))="Oui",1,0),0))</f>
        <v/>
      </c>
      <c r="AW674" s="62">
        <f>IF(E674="","",IF(G674&lt;&gt;"",G674,IF(OR(E674="Proposition envoyée",E674="Signature"),MAX(0,N(IFERROR(INDEX('Paramètres'!$R$6:$R$15,MATCH(IF(AL674&lt;&gt;"",AL674,IFERROR(INDEX('Prospects'!$AN$5:$AN$504,MATCH(C674,'Prospects'!$C$5:$C$504,0)),"")),'Paramètres'!$Q$6:$Q$15,0)),0))-N(P674)),0)))</f>
        <v/>
      </c>
      <c r="AX674" s="61">
        <f>IF(C674="","",IF(COUNTIF($C$5:C674,C674)=1,MAX($AX$4:AX673)+1,""))</f>
        <v/>
      </c>
      <c r="AY674" s="61">
        <f>IF(B674="","",HOUR(B674))</f>
        <v/>
      </c>
      <c r="AZ674" s="61">
        <f>IF(A674="","",MOD(A674-2,7)+1)</f>
        <v/>
      </c>
      <c r="BA674" s="60">
        <f>IF(C674="","",IFERROR(INDEX('Prospects'!$N$5:$N$504,MATCH(C674,'Prospects'!$C$5:$C$504,0)),""))</f>
        <v/>
      </c>
      <c r="BB674" s="61">
        <f>IF(AND(C674&lt;&gt;"",C674='Fiche prospect'!$C$4),COUNTIF($C$5:C674,C674),"")</f>
        <v/>
      </c>
    </row>
    <row r="675">
      <c r="A675" s="53" t="n"/>
      <c r="B675" s="54" t="n"/>
      <c r="C675" s="55" t="n"/>
      <c r="D675" s="55" t="n"/>
      <c r="E675" s="55" t="n"/>
      <c r="F675" s="55" t="n"/>
      <c r="G675" s="56" t="n"/>
      <c r="H675" s="57" t="n"/>
      <c r="I675" s="55" t="n"/>
      <c r="J675" s="53" t="n"/>
      <c r="K675" s="54" t="n"/>
      <c r="L675" s="55" t="n"/>
      <c r="M675" s="55" t="n"/>
      <c r="N675" s="57" t="n"/>
      <c r="O675" s="55" t="n"/>
      <c r="P675" s="56" t="n"/>
      <c r="Q675" s="55" t="n"/>
      <c r="R675" s="55" t="n"/>
      <c r="S675" s="55" t="n"/>
      <c r="T675" s="55" t="n"/>
      <c r="U675" s="55" t="n"/>
      <c r="V675" s="55" t="n"/>
      <c r="W675" s="58" t="n"/>
      <c r="X675" s="58" t="n"/>
      <c r="Y675" s="55" t="n"/>
      <c r="Z675" s="55" t="n"/>
      <c r="AA675" s="55" t="n"/>
      <c r="AB675" s="55" t="n"/>
      <c r="AC675" s="55" t="n"/>
      <c r="AD675" s="53" t="n"/>
      <c r="AE675" s="55" t="n"/>
      <c r="AF675" s="55" t="n"/>
      <c r="AG675" s="59" t="n"/>
      <c r="AH675" s="57" t="n"/>
      <c r="AI675" s="55" t="n"/>
      <c r="AJ675" s="55" t="n"/>
      <c r="AK675" s="55" t="n"/>
      <c r="AL675" s="55" t="n"/>
      <c r="AM675" s="56" t="n"/>
      <c r="AN675" s="55" t="n"/>
      <c r="AO675" s="55" t="n"/>
      <c r="AP675" s="55" t="n"/>
      <c r="AQ675" s="55" t="n"/>
      <c r="AR675" s="60">
        <f>IF(AND(C675="",E675=""),"",IF(A675="","⚠ Date manquante",IF(AND(C675="",E675&lt;&gt;"Dépense"),"⚠ Prospect manquant",IF(E675="","⚠ Action manquante",IF(AND(AU675=1,D675=""),"⚠ Canal manquant",IF(AND(W675&lt;&gt;"",COUNTIFS('Saisie'!$W$5:$W$2004,W675,'Saisie'!$C$5:$C$2004,"&lt;&gt;"&amp;C675)&gt;0),"⚠ Numéro déjà utilisé par un autre prospect",IF(AND(J675&lt;&gt;"",J675&lt;A675),"⚠ Relance avant la date de l'action",IF(A675&gt;TODAY(),"⚠ Date dans le futur","✓"))))))))</f>
        <v/>
      </c>
      <c r="AS675" s="61">
        <f>IF(AND(A675="",C675="",E675=""),"",ROW())</f>
        <v/>
      </c>
      <c r="AT675" s="61">
        <f>IF(E675&amp;F675="","",MAX(IFERROR(INDEX('Paramètres'!$J$6:$J$33,MATCH(E675,'Paramètres'!$I$6:$I$33,0)),0),IFERROR(INDEX('Paramètres'!$N$6:$N$17,MATCH(F675,'Paramètres'!$M$6:$M$17,0)),0)))</f>
        <v/>
      </c>
      <c r="AU675" s="61">
        <f>IF(E675="","",IFERROR(IF(INDEX('Paramètres'!$K$6:$K$33,MATCH(E675,'Paramètres'!$I$6:$I$33,0))="Oui",1,0),0))</f>
        <v/>
      </c>
      <c r="AV675" s="61">
        <f>IF(F675="","",IFERROR(IF(INDEX('Paramètres'!$O$6:$O$17,MATCH(F675,'Paramètres'!$M$6:$M$17,0))="Oui",1,0),0))</f>
        <v/>
      </c>
      <c r="AW675" s="62">
        <f>IF(E675="","",IF(G675&lt;&gt;"",G675,IF(OR(E675="Proposition envoyée",E675="Signature"),MAX(0,N(IFERROR(INDEX('Paramètres'!$R$6:$R$15,MATCH(IF(AL675&lt;&gt;"",AL675,IFERROR(INDEX('Prospects'!$AN$5:$AN$504,MATCH(C675,'Prospects'!$C$5:$C$504,0)),"")),'Paramètres'!$Q$6:$Q$15,0)),0))-N(P675)),0)))</f>
        <v/>
      </c>
      <c r="AX675" s="61">
        <f>IF(C675="","",IF(COUNTIF($C$5:C675,C675)=1,MAX($AX$4:AX674)+1,""))</f>
        <v/>
      </c>
      <c r="AY675" s="61">
        <f>IF(B675="","",HOUR(B675))</f>
        <v/>
      </c>
      <c r="AZ675" s="61">
        <f>IF(A675="","",MOD(A675-2,7)+1)</f>
        <v/>
      </c>
      <c r="BA675" s="60">
        <f>IF(C675="","",IFERROR(INDEX('Prospects'!$N$5:$N$504,MATCH(C675,'Prospects'!$C$5:$C$504,0)),""))</f>
        <v/>
      </c>
      <c r="BB675" s="61">
        <f>IF(AND(C675&lt;&gt;"",C675='Fiche prospect'!$C$4),COUNTIF($C$5:C675,C675),"")</f>
        <v/>
      </c>
    </row>
    <row r="676">
      <c r="A676" s="53" t="n"/>
      <c r="B676" s="54" t="n"/>
      <c r="C676" s="55" t="n"/>
      <c r="D676" s="55" t="n"/>
      <c r="E676" s="55" t="n"/>
      <c r="F676" s="55" t="n"/>
      <c r="G676" s="56" t="n"/>
      <c r="H676" s="57" t="n"/>
      <c r="I676" s="55" t="n"/>
      <c r="J676" s="53" t="n"/>
      <c r="K676" s="54" t="n"/>
      <c r="L676" s="55" t="n"/>
      <c r="M676" s="55" t="n"/>
      <c r="N676" s="57" t="n"/>
      <c r="O676" s="55" t="n"/>
      <c r="P676" s="56" t="n"/>
      <c r="Q676" s="55" t="n"/>
      <c r="R676" s="55" t="n"/>
      <c r="S676" s="55" t="n"/>
      <c r="T676" s="55" t="n"/>
      <c r="U676" s="55" t="n"/>
      <c r="V676" s="55" t="n"/>
      <c r="W676" s="58" t="n"/>
      <c r="X676" s="58" t="n"/>
      <c r="Y676" s="55" t="n"/>
      <c r="Z676" s="55" t="n"/>
      <c r="AA676" s="55" t="n"/>
      <c r="AB676" s="55" t="n"/>
      <c r="AC676" s="55" t="n"/>
      <c r="AD676" s="53" t="n"/>
      <c r="AE676" s="55" t="n"/>
      <c r="AF676" s="55" t="n"/>
      <c r="AG676" s="59" t="n"/>
      <c r="AH676" s="57" t="n"/>
      <c r="AI676" s="55" t="n"/>
      <c r="AJ676" s="55" t="n"/>
      <c r="AK676" s="55" t="n"/>
      <c r="AL676" s="55" t="n"/>
      <c r="AM676" s="56" t="n"/>
      <c r="AN676" s="55" t="n"/>
      <c r="AO676" s="55" t="n"/>
      <c r="AP676" s="55" t="n"/>
      <c r="AQ676" s="55" t="n"/>
      <c r="AR676" s="60">
        <f>IF(AND(C676="",E676=""),"",IF(A676="","⚠ Date manquante",IF(AND(C676="",E676&lt;&gt;"Dépense"),"⚠ Prospect manquant",IF(E676="","⚠ Action manquante",IF(AND(AU676=1,D676=""),"⚠ Canal manquant",IF(AND(W676&lt;&gt;"",COUNTIFS('Saisie'!$W$5:$W$2004,W676,'Saisie'!$C$5:$C$2004,"&lt;&gt;"&amp;C676)&gt;0),"⚠ Numéro déjà utilisé par un autre prospect",IF(AND(J676&lt;&gt;"",J676&lt;A676),"⚠ Relance avant la date de l'action",IF(A676&gt;TODAY(),"⚠ Date dans le futur","✓"))))))))</f>
        <v/>
      </c>
      <c r="AS676" s="61">
        <f>IF(AND(A676="",C676="",E676=""),"",ROW())</f>
        <v/>
      </c>
      <c r="AT676" s="61">
        <f>IF(E676&amp;F676="","",MAX(IFERROR(INDEX('Paramètres'!$J$6:$J$33,MATCH(E676,'Paramètres'!$I$6:$I$33,0)),0),IFERROR(INDEX('Paramètres'!$N$6:$N$17,MATCH(F676,'Paramètres'!$M$6:$M$17,0)),0)))</f>
        <v/>
      </c>
      <c r="AU676" s="61">
        <f>IF(E676="","",IFERROR(IF(INDEX('Paramètres'!$K$6:$K$33,MATCH(E676,'Paramètres'!$I$6:$I$33,0))="Oui",1,0),0))</f>
        <v/>
      </c>
      <c r="AV676" s="61">
        <f>IF(F676="","",IFERROR(IF(INDEX('Paramètres'!$O$6:$O$17,MATCH(F676,'Paramètres'!$M$6:$M$17,0))="Oui",1,0),0))</f>
        <v/>
      </c>
      <c r="AW676" s="62">
        <f>IF(E676="","",IF(G676&lt;&gt;"",G676,IF(OR(E676="Proposition envoyée",E676="Signature"),MAX(0,N(IFERROR(INDEX('Paramètres'!$R$6:$R$15,MATCH(IF(AL676&lt;&gt;"",AL676,IFERROR(INDEX('Prospects'!$AN$5:$AN$504,MATCH(C676,'Prospects'!$C$5:$C$504,0)),"")),'Paramètres'!$Q$6:$Q$15,0)),0))-N(P676)),0)))</f>
        <v/>
      </c>
      <c r="AX676" s="61">
        <f>IF(C676="","",IF(COUNTIF($C$5:C676,C676)=1,MAX($AX$4:AX675)+1,""))</f>
        <v/>
      </c>
      <c r="AY676" s="61">
        <f>IF(B676="","",HOUR(B676))</f>
        <v/>
      </c>
      <c r="AZ676" s="61">
        <f>IF(A676="","",MOD(A676-2,7)+1)</f>
        <v/>
      </c>
      <c r="BA676" s="60">
        <f>IF(C676="","",IFERROR(INDEX('Prospects'!$N$5:$N$504,MATCH(C676,'Prospects'!$C$5:$C$504,0)),""))</f>
        <v/>
      </c>
      <c r="BB676" s="61">
        <f>IF(AND(C676&lt;&gt;"",C676='Fiche prospect'!$C$4),COUNTIF($C$5:C676,C676),"")</f>
        <v/>
      </c>
    </row>
    <row r="677">
      <c r="A677" s="53" t="n"/>
      <c r="B677" s="54" t="n"/>
      <c r="C677" s="55" t="n"/>
      <c r="D677" s="55" t="n"/>
      <c r="E677" s="55" t="n"/>
      <c r="F677" s="55" t="n"/>
      <c r="G677" s="56" t="n"/>
      <c r="H677" s="57" t="n"/>
      <c r="I677" s="55" t="n"/>
      <c r="J677" s="53" t="n"/>
      <c r="K677" s="54" t="n"/>
      <c r="L677" s="55" t="n"/>
      <c r="M677" s="55" t="n"/>
      <c r="N677" s="57" t="n"/>
      <c r="O677" s="55" t="n"/>
      <c r="P677" s="56" t="n"/>
      <c r="Q677" s="55" t="n"/>
      <c r="R677" s="55" t="n"/>
      <c r="S677" s="55" t="n"/>
      <c r="T677" s="55" t="n"/>
      <c r="U677" s="55" t="n"/>
      <c r="V677" s="55" t="n"/>
      <c r="W677" s="58" t="n"/>
      <c r="X677" s="58" t="n"/>
      <c r="Y677" s="55" t="n"/>
      <c r="Z677" s="55" t="n"/>
      <c r="AA677" s="55" t="n"/>
      <c r="AB677" s="55" t="n"/>
      <c r="AC677" s="55" t="n"/>
      <c r="AD677" s="53" t="n"/>
      <c r="AE677" s="55" t="n"/>
      <c r="AF677" s="55" t="n"/>
      <c r="AG677" s="59" t="n"/>
      <c r="AH677" s="57" t="n"/>
      <c r="AI677" s="55" t="n"/>
      <c r="AJ677" s="55" t="n"/>
      <c r="AK677" s="55" t="n"/>
      <c r="AL677" s="55" t="n"/>
      <c r="AM677" s="56" t="n"/>
      <c r="AN677" s="55" t="n"/>
      <c r="AO677" s="55" t="n"/>
      <c r="AP677" s="55" t="n"/>
      <c r="AQ677" s="55" t="n"/>
      <c r="AR677" s="60">
        <f>IF(AND(C677="",E677=""),"",IF(A677="","⚠ Date manquante",IF(AND(C677="",E677&lt;&gt;"Dépense"),"⚠ Prospect manquant",IF(E677="","⚠ Action manquante",IF(AND(AU677=1,D677=""),"⚠ Canal manquant",IF(AND(W677&lt;&gt;"",COUNTIFS('Saisie'!$W$5:$W$2004,W677,'Saisie'!$C$5:$C$2004,"&lt;&gt;"&amp;C677)&gt;0),"⚠ Numéro déjà utilisé par un autre prospect",IF(AND(J677&lt;&gt;"",J677&lt;A677),"⚠ Relance avant la date de l'action",IF(A677&gt;TODAY(),"⚠ Date dans le futur","✓"))))))))</f>
        <v/>
      </c>
      <c r="AS677" s="61">
        <f>IF(AND(A677="",C677="",E677=""),"",ROW())</f>
        <v/>
      </c>
      <c r="AT677" s="61">
        <f>IF(E677&amp;F677="","",MAX(IFERROR(INDEX('Paramètres'!$J$6:$J$33,MATCH(E677,'Paramètres'!$I$6:$I$33,0)),0),IFERROR(INDEX('Paramètres'!$N$6:$N$17,MATCH(F677,'Paramètres'!$M$6:$M$17,0)),0)))</f>
        <v/>
      </c>
      <c r="AU677" s="61">
        <f>IF(E677="","",IFERROR(IF(INDEX('Paramètres'!$K$6:$K$33,MATCH(E677,'Paramètres'!$I$6:$I$33,0))="Oui",1,0),0))</f>
        <v/>
      </c>
      <c r="AV677" s="61">
        <f>IF(F677="","",IFERROR(IF(INDEX('Paramètres'!$O$6:$O$17,MATCH(F677,'Paramètres'!$M$6:$M$17,0))="Oui",1,0),0))</f>
        <v/>
      </c>
      <c r="AW677" s="62">
        <f>IF(E677="","",IF(G677&lt;&gt;"",G677,IF(OR(E677="Proposition envoyée",E677="Signature"),MAX(0,N(IFERROR(INDEX('Paramètres'!$R$6:$R$15,MATCH(IF(AL677&lt;&gt;"",AL677,IFERROR(INDEX('Prospects'!$AN$5:$AN$504,MATCH(C677,'Prospects'!$C$5:$C$504,0)),"")),'Paramètres'!$Q$6:$Q$15,0)),0))-N(P677)),0)))</f>
        <v/>
      </c>
      <c r="AX677" s="61">
        <f>IF(C677="","",IF(COUNTIF($C$5:C677,C677)=1,MAX($AX$4:AX676)+1,""))</f>
        <v/>
      </c>
      <c r="AY677" s="61">
        <f>IF(B677="","",HOUR(B677))</f>
        <v/>
      </c>
      <c r="AZ677" s="61">
        <f>IF(A677="","",MOD(A677-2,7)+1)</f>
        <v/>
      </c>
      <c r="BA677" s="60">
        <f>IF(C677="","",IFERROR(INDEX('Prospects'!$N$5:$N$504,MATCH(C677,'Prospects'!$C$5:$C$504,0)),""))</f>
        <v/>
      </c>
      <c r="BB677" s="61">
        <f>IF(AND(C677&lt;&gt;"",C677='Fiche prospect'!$C$4),COUNTIF($C$5:C677,C677),"")</f>
        <v/>
      </c>
    </row>
    <row r="678">
      <c r="A678" s="53" t="n"/>
      <c r="B678" s="54" t="n"/>
      <c r="C678" s="55" t="n"/>
      <c r="D678" s="55" t="n"/>
      <c r="E678" s="55" t="n"/>
      <c r="F678" s="55" t="n"/>
      <c r="G678" s="56" t="n"/>
      <c r="H678" s="57" t="n"/>
      <c r="I678" s="55" t="n"/>
      <c r="J678" s="53" t="n"/>
      <c r="K678" s="54" t="n"/>
      <c r="L678" s="55" t="n"/>
      <c r="M678" s="55" t="n"/>
      <c r="N678" s="57" t="n"/>
      <c r="O678" s="55" t="n"/>
      <c r="P678" s="56" t="n"/>
      <c r="Q678" s="55" t="n"/>
      <c r="R678" s="55" t="n"/>
      <c r="S678" s="55" t="n"/>
      <c r="T678" s="55" t="n"/>
      <c r="U678" s="55" t="n"/>
      <c r="V678" s="55" t="n"/>
      <c r="W678" s="58" t="n"/>
      <c r="X678" s="58" t="n"/>
      <c r="Y678" s="55" t="n"/>
      <c r="Z678" s="55" t="n"/>
      <c r="AA678" s="55" t="n"/>
      <c r="AB678" s="55" t="n"/>
      <c r="AC678" s="55" t="n"/>
      <c r="AD678" s="53" t="n"/>
      <c r="AE678" s="55" t="n"/>
      <c r="AF678" s="55" t="n"/>
      <c r="AG678" s="59" t="n"/>
      <c r="AH678" s="57" t="n"/>
      <c r="AI678" s="55" t="n"/>
      <c r="AJ678" s="55" t="n"/>
      <c r="AK678" s="55" t="n"/>
      <c r="AL678" s="55" t="n"/>
      <c r="AM678" s="56" t="n"/>
      <c r="AN678" s="55" t="n"/>
      <c r="AO678" s="55" t="n"/>
      <c r="AP678" s="55" t="n"/>
      <c r="AQ678" s="55" t="n"/>
      <c r="AR678" s="60">
        <f>IF(AND(C678="",E678=""),"",IF(A678="","⚠ Date manquante",IF(AND(C678="",E678&lt;&gt;"Dépense"),"⚠ Prospect manquant",IF(E678="","⚠ Action manquante",IF(AND(AU678=1,D678=""),"⚠ Canal manquant",IF(AND(W678&lt;&gt;"",COUNTIFS('Saisie'!$W$5:$W$2004,W678,'Saisie'!$C$5:$C$2004,"&lt;&gt;"&amp;C678)&gt;0),"⚠ Numéro déjà utilisé par un autre prospect",IF(AND(J678&lt;&gt;"",J678&lt;A678),"⚠ Relance avant la date de l'action",IF(A678&gt;TODAY(),"⚠ Date dans le futur","✓"))))))))</f>
        <v/>
      </c>
      <c r="AS678" s="61">
        <f>IF(AND(A678="",C678="",E678=""),"",ROW())</f>
        <v/>
      </c>
      <c r="AT678" s="61">
        <f>IF(E678&amp;F678="","",MAX(IFERROR(INDEX('Paramètres'!$J$6:$J$33,MATCH(E678,'Paramètres'!$I$6:$I$33,0)),0),IFERROR(INDEX('Paramètres'!$N$6:$N$17,MATCH(F678,'Paramètres'!$M$6:$M$17,0)),0)))</f>
        <v/>
      </c>
      <c r="AU678" s="61">
        <f>IF(E678="","",IFERROR(IF(INDEX('Paramètres'!$K$6:$K$33,MATCH(E678,'Paramètres'!$I$6:$I$33,0))="Oui",1,0),0))</f>
        <v/>
      </c>
      <c r="AV678" s="61">
        <f>IF(F678="","",IFERROR(IF(INDEX('Paramètres'!$O$6:$O$17,MATCH(F678,'Paramètres'!$M$6:$M$17,0))="Oui",1,0),0))</f>
        <v/>
      </c>
      <c r="AW678" s="62">
        <f>IF(E678="","",IF(G678&lt;&gt;"",G678,IF(OR(E678="Proposition envoyée",E678="Signature"),MAX(0,N(IFERROR(INDEX('Paramètres'!$R$6:$R$15,MATCH(IF(AL678&lt;&gt;"",AL678,IFERROR(INDEX('Prospects'!$AN$5:$AN$504,MATCH(C678,'Prospects'!$C$5:$C$504,0)),"")),'Paramètres'!$Q$6:$Q$15,0)),0))-N(P678)),0)))</f>
        <v/>
      </c>
      <c r="AX678" s="61">
        <f>IF(C678="","",IF(COUNTIF($C$5:C678,C678)=1,MAX($AX$4:AX677)+1,""))</f>
        <v/>
      </c>
      <c r="AY678" s="61">
        <f>IF(B678="","",HOUR(B678))</f>
        <v/>
      </c>
      <c r="AZ678" s="61">
        <f>IF(A678="","",MOD(A678-2,7)+1)</f>
        <v/>
      </c>
      <c r="BA678" s="60">
        <f>IF(C678="","",IFERROR(INDEX('Prospects'!$N$5:$N$504,MATCH(C678,'Prospects'!$C$5:$C$504,0)),""))</f>
        <v/>
      </c>
      <c r="BB678" s="61">
        <f>IF(AND(C678&lt;&gt;"",C678='Fiche prospect'!$C$4),COUNTIF($C$5:C678,C678),"")</f>
        <v/>
      </c>
    </row>
    <row r="679">
      <c r="A679" s="53" t="n"/>
      <c r="B679" s="54" t="n"/>
      <c r="C679" s="55" t="n"/>
      <c r="D679" s="55" t="n"/>
      <c r="E679" s="55" t="n"/>
      <c r="F679" s="55" t="n"/>
      <c r="G679" s="56" t="n"/>
      <c r="H679" s="57" t="n"/>
      <c r="I679" s="55" t="n"/>
      <c r="J679" s="53" t="n"/>
      <c r="K679" s="54" t="n"/>
      <c r="L679" s="55" t="n"/>
      <c r="M679" s="55" t="n"/>
      <c r="N679" s="57" t="n"/>
      <c r="O679" s="55" t="n"/>
      <c r="P679" s="56" t="n"/>
      <c r="Q679" s="55" t="n"/>
      <c r="R679" s="55" t="n"/>
      <c r="S679" s="55" t="n"/>
      <c r="T679" s="55" t="n"/>
      <c r="U679" s="55" t="n"/>
      <c r="V679" s="55" t="n"/>
      <c r="W679" s="58" t="n"/>
      <c r="X679" s="58" t="n"/>
      <c r="Y679" s="55" t="n"/>
      <c r="Z679" s="55" t="n"/>
      <c r="AA679" s="55" t="n"/>
      <c r="AB679" s="55" t="n"/>
      <c r="AC679" s="55" t="n"/>
      <c r="AD679" s="53" t="n"/>
      <c r="AE679" s="55" t="n"/>
      <c r="AF679" s="55" t="n"/>
      <c r="AG679" s="59" t="n"/>
      <c r="AH679" s="57" t="n"/>
      <c r="AI679" s="55" t="n"/>
      <c r="AJ679" s="55" t="n"/>
      <c r="AK679" s="55" t="n"/>
      <c r="AL679" s="55" t="n"/>
      <c r="AM679" s="56" t="n"/>
      <c r="AN679" s="55" t="n"/>
      <c r="AO679" s="55" t="n"/>
      <c r="AP679" s="55" t="n"/>
      <c r="AQ679" s="55" t="n"/>
      <c r="AR679" s="60">
        <f>IF(AND(C679="",E679=""),"",IF(A679="","⚠ Date manquante",IF(AND(C679="",E679&lt;&gt;"Dépense"),"⚠ Prospect manquant",IF(E679="","⚠ Action manquante",IF(AND(AU679=1,D679=""),"⚠ Canal manquant",IF(AND(W679&lt;&gt;"",COUNTIFS('Saisie'!$W$5:$W$2004,W679,'Saisie'!$C$5:$C$2004,"&lt;&gt;"&amp;C679)&gt;0),"⚠ Numéro déjà utilisé par un autre prospect",IF(AND(J679&lt;&gt;"",J679&lt;A679),"⚠ Relance avant la date de l'action",IF(A679&gt;TODAY(),"⚠ Date dans le futur","✓"))))))))</f>
        <v/>
      </c>
      <c r="AS679" s="61">
        <f>IF(AND(A679="",C679="",E679=""),"",ROW())</f>
        <v/>
      </c>
      <c r="AT679" s="61">
        <f>IF(E679&amp;F679="","",MAX(IFERROR(INDEX('Paramètres'!$J$6:$J$33,MATCH(E679,'Paramètres'!$I$6:$I$33,0)),0),IFERROR(INDEX('Paramètres'!$N$6:$N$17,MATCH(F679,'Paramètres'!$M$6:$M$17,0)),0)))</f>
        <v/>
      </c>
      <c r="AU679" s="61">
        <f>IF(E679="","",IFERROR(IF(INDEX('Paramètres'!$K$6:$K$33,MATCH(E679,'Paramètres'!$I$6:$I$33,0))="Oui",1,0),0))</f>
        <v/>
      </c>
      <c r="AV679" s="61">
        <f>IF(F679="","",IFERROR(IF(INDEX('Paramètres'!$O$6:$O$17,MATCH(F679,'Paramètres'!$M$6:$M$17,0))="Oui",1,0),0))</f>
        <v/>
      </c>
      <c r="AW679" s="62">
        <f>IF(E679="","",IF(G679&lt;&gt;"",G679,IF(OR(E679="Proposition envoyée",E679="Signature"),MAX(0,N(IFERROR(INDEX('Paramètres'!$R$6:$R$15,MATCH(IF(AL679&lt;&gt;"",AL679,IFERROR(INDEX('Prospects'!$AN$5:$AN$504,MATCH(C679,'Prospects'!$C$5:$C$504,0)),"")),'Paramètres'!$Q$6:$Q$15,0)),0))-N(P679)),0)))</f>
        <v/>
      </c>
      <c r="AX679" s="61">
        <f>IF(C679="","",IF(COUNTIF($C$5:C679,C679)=1,MAX($AX$4:AX678)+1,""))</f>
        <v/>
      </c>
      <c r="AY679" s="61">
        <f>IF(B679="","",HOUR(B679))</f>
        <v/>
      </c>
      <c r="AZ679" s="61">
        <f>IF(A679="","",MOD(A679-2,7)+1)</f>
        <v/>
      </c>
      <c r="BA679" s="60">
        <f>IF(C679="","",IFERROR(INDEX('Prospects'!$N$5:$N$504,MATCH(C679,'Prospects'!$C$5:$C$504,0)),""))</f>
        <v/>
      </c>
      <c r="BB679" s="61">
        <f>IF(AND(C679&lt;&gt;"",C679='Fiche prospect'!$C$4),COUNTIF($C$5:C679,C679),"")</f>
        <v/>
      </c>
    </row>
    <row r="680">
      <c r="A680" s="53" t="n"/>
      <c r="B680" s="54" t="n"/>
      <c r="C680" s="55" t="n"/>
      <c r="D680" s="55" t="n"/>
      <c r="E680" s="55" t="n"/>
      <c r="F680" s="55" t="n"/>
      <c r="G680" s="56" t="n"/>
      <c r="H680" s="57" t="n"/>
      <c r="I680" s="55" t="n"/>
      <c r="J680" s="53" t="n"/>
      <c r="K680" s="54" t="n"/>
      <c r="L680" s="55" t="n"/>
      <c r="M680" s="55" t="n"/>
      <c r="N680" s="57" t="n"/>
      <c r="O680" s="55" t="n"/>
      <c r="P680" s="56" t="n"/>
      <c r="Q680" s="55" t="n"/>
      <c r="R680" s="55" t="n"/>
      <c r="S680" s="55" t="n"/>
      <c r="T680" s="55" t="n"/>
      <c r="U680" s="55" t="n"/>
      <c r="V680" s="55" t="n"/>
      <c r="W680" s="58" t="n"/>
      <c r="X680" s="58" t="n"/>
      <c r="Y680" s="55" t="n"/>
      <c r="Z680" s="55" t="n"/>
      <c r="AA680" s="55" t="n"/>
      <c r="AB680" s="55" t="n"/>
      <c r="AC680" s="55" t="n"/>
      <c r="AD680" s="53" t="n"/>
      <c r="AE680" s="55" t="n"/>
      <c r="AF680" s="55" t="n"/>
      <c r="AG680" s="59" t="n"/>
      <c r="AH680" s="57" t="n"/>
      <c r="AI680" s="55" t="n"/>
      <c r="AJ680" s="55" t="n"/>
      <c r="AK680" s="55" t="n"/>
      <c r="AL680" s="55" t="n"/>
      <c r="AM680" s="56" t="n"/>
      <c r="AN680" s="55" t="n"/>
      <c r="AO680" s="55" t="n"/>
      <c r="AP680" s="55" t="n"/>
      <c r="AQ680" s="55" t="n"/>
      <c r="AR680" s="60">
        <f>IF(AND(C680="",E680=""),"",IF(A680="","⚠ Date manquante",IF(AND(C680="",E680&lt;&gt;"Dépense"),"⚠ Prospect manquant",IF(E680="","⚠ Action manquante",IF(AND(AU680=1,D680=""),"⚠ Canal manquant",IF(AND(W680&lt;&gt;"",COUNTIFS('Saisie'!$W$5:$W$2004,W680,'Saisie'!$C$5:$C$2004,"&lt;&gt;"&amp;C680)&gt;0),"⚠ Numéro déjà utilisé par un autre prospect",IF(AND(J680&lt;&gt;"",J680&lt;A680),"⚠ Relance avant la date de l'action",IF(A680&gt;TODAY(),"⚠ Date dans le futur","✓"))))))))</f>
        <v/>
      </c>
      <c r="AS680" s="61">
        <f>IF(AND(A680="",C680="",E680=""),"",ROW())</f>
        <v/>
      </c>
      <c r="AT680" s="61">
        <f>IF(E680&amp;F680="","",MAX(IFERROR(INDEX('Paramètres'!$J$6:$J$33,MATCH(E680,'Paramètres'!$I$6:$I$33,0)),0),IFERROR(INDEX('Paramètres'!$N$6:$N$17,MATCH(F680,'Paramètres'!$M$6:$M$17,0)),0)))</f>
        <v/>
      </c>
      <c r="AU680" s="61">
        <f>IF(E680="","",IFERROR(IF(INDEX('Paramètres'!$K$6:$K$33,MATCH(E680,'Paramètres'!$I$6:$I$33,0))="Oui",1,0),0))</f>
        <v/>
      </c>
      <c r="AV680" s="61">
        <f>IF(F680="","",IFERROR(IF(INDEX('Paramètres'!$O$6:$O$17,MATCH(F680,'Paramètres'!$M$6:$M$17,0))="Oui",1,0),0))</f>
        <v/>
      </c>
      <c r="AW680" s="62">
        <f>IF(E680="","",IF(G680&lt;&gt;"",G680,IF(OR(E680="Proposition envoyée",E680="Signature"),MAX(0,N(IFERROR(INDEX('Paramètres'!$R$6:$R$15,MATCH(IF(AL680&lt;&gt;"",AL680,IFERROR(INDEX('Prospects'!$AN$5:$AN$504,MATCH(C680,'Prospects'!$C$5:$C$504,0)),"")),'Paramètres'!$Q$6:$Q$15,0)),0))-N(P680)),0)))</f>
        <v/>
      </c>
      <c r="AX680" s="61">
        <f>IF(C680="","",IF(COUNTIF($C$5:C680,C680)=1,MAX($AX$4:AX679)+1,""))</f>
        <v/>
      </c>
      <c r="AY680" s="61">
        <f>IF(B680="","",HOUR(B680))</f>
        <v/>
      </c>
      <c r="AZ680" s="61">
        <f>IF(A680="","",MOD(A680-2,7)+1)</f>
        <v/>
      </c>
      <c r="BA680" s="60">
        <f>IF(C680="","",IFERROR(INDEX('Prospects'!$N$5:$N$504,MATCH(C680,'Prospects'!$C$5:$C$504,0)),""))</f>
        <v/>
      </c>
      <c r="BB680" s="61">
        <f>IF(AND(C680&lt;&gt;"",C680='Fiche prospect'!$C$4),COUNTIF($C$5:C680,C680),"")</f>
        <v/>
      </c>
    </row>
    <row r="681">
      <c r="A681" s="53" t="n"/>
      <c r="B681" s="54" t="n"/>
      <c r="C681" s="55" t="n"/>
      <c r="D681" s="55" t="n"/>
      <c r="E681" s="55" t="n"/>
      <c r="F681" s="55" t="n"/>
      <c r="G681" s="56" t="n"/>
      <c r="H681" s="57" t="n"/>
      <c r="I681" s="55" t="n"/>
      <c r="J681" s="53" t="n"/>
      <c r="K681" s="54" t="n"/>
      <c r="L681" s="55" t="n"/>
      <c r="M681" s="55" t="n"/>
      <c r="N681" s="57" t="n"/>
      <c r="O681" s="55" t="n"/>
      <c r="P681" s="56" t="n"/>
      <c r="Q681" s="55" t="n"/>
      <c r="R681" s="55" t="n"/>
      <c r="S681" s="55" t="n"/>
      <c r="T681" s="55" t="n"/>
      <c r="U681" s="55" t="n"/>
      <c r="V681" s="55" t="n"/>
      <c r="W681" s="58" t="n"/>
      <c r="X681" s="58" t="n"/>
      <c r="Y681" s="55" t="n"/>
      <c r="Z681" s="55" t="n"/>
      <c r="AA681" s="55" t="n"/>
      <c r="AB681" s="55" t="n"/>
      <c r="AC681" s="55" t="n"/>
      <c r="AD681" s="53" t="n"/>
      <c r="AE681" s="55" t="n"/>
      <c r="AF681" s="55" t="n"/>
      <c r="AG681" s="59" t="n"/>
      <c r="AH681" s="57" t="n"/>
      <c r="AI681" s="55" t="n"/>
      <c r="AJ681" s="55" t="n"/>
      <c r="AK681" s="55" t="n"/>
      <c r="AL681" s="55" t="n"/>
      <c r="AM681" s="56" t="n"/>
      <c r="AN681" s="55" t="n"/>
      <c r="AO681" s="55" t="n"/>
      <c r="AP681" s="55" t="n"/>
      <c r="AQ681" s="55" t="n"/>
      <c r="AR681" s="60">
        <f>IF(AND(C681="",E681=""),"",IF(A681="","⚠ Date manquante",IF(AND(C681="",E681&lt;&gt;"Dépense"),"⚠ Prospect manquant",IF(E681="","⚠ Action manquante",IF(AND(AU681=1,D681=""),"⚠ Canal manquant",IF(AND(W681&lt;&gt;"",COUNTIFS('Saisie'!$W$5:$W$2004,W681,'Saisie'!$C$5:$C$2004,"&lt;&gt;"&amp;C681)&gt;0),"⚠ Numéro déjà utilisé par un autre prospect",IF(AND(J681&lt;&gt;"",J681&lt;A681),"⚠ Relance avant la date de l'action",IF(A681&gt;TODAY(),"⚠ Date dans le futur","✓"))))))))</f>
        <v/>
      </c>
      <c r="AS681" s="61">
        <f>IF(AND(A681="",C681="",E681=""),"",ROW())</f>
        <v/>
      </c>
      <c r="AT681" s="61">
        <f>IF(E681&amp;F681="","",MAX(IFERROR(INDEX('Paramètres'!$J$6:$J$33,MATCH(E681,'Paramètres'!$I$6:$I$33,0)),0),IFERROR(INDEX('Paramètres'!$N$6:$N$17,MATCH(F681,'Paramètres'!$M$6:$M$17,0)),0)))</f>
        <v/>
      </c>
      <c r="AU681" s="61">
        <f>IF(E681="","",IFERROR(IF(INDEX('Paramètres'!$K$6:$K$33,MATCH(E681,'Paramètres'!$I$6:$I$33,0))="Oui",1,0),0))</f>
        <v/>
      </c>
      <c r="AV681" s="61">
        <f>IF(F681="","",IFERROR(IF(INDEX('Paramètres'!$O$6:$O$17,MATCH(F681,'Paramètres'!$M$6:$M$17,0))="Oui",1,0),0))</f>
        <v/>
      </c>
      <c r="AW681" s="62">
        <f>IF(E681="","",IF(G681&lt;&gt;"",G681,IF(OR(E681="Proposition envoyée",E681="Signature"),MAX(0,N(IFERROR(INDEX('Paramètres'!$R$6:$R$15,MATCH(IF(AL681&lt;&gt;"",AL681,IFERROR(INDEX('Prospects'!$AN$5:$AN$504,MATCH(C681,'Prospects'!$C$5:$C$504,0)),"")),'Paramètres'!$Q$6:$Q$15,0)),0))-N(P681)),0)))</f>
        <v/>
      </c>
      <c r="AX681" s="61">
        <f>IF(C681="","",IF(COUNTIF($C$5:C681,C681)=1,MAX($AX$4:AX680)+1,""))</f>
        <v/>
      </c>
      <c r="AY681" s="61">
        <f>IF(B681="","",HOUR(B681))</f>
        <v/>
      </c>
      <c r="AZ681" s="61">
        <f>IF(A681="","",MOD(A681-2,7)+1)</f>
        <v/>
      </c>
      <c r="BA681" s="60">
        <f>IF(C681="","",IFERROR(INDEX('Prospects'!$N$5:$N$504,MATCH(C681,'Prospects'!$C$5:$C$504,0)),""))</f>
        <v/>
      </c>
      <c r="BB681" s="61">
        <f>IF(AND(C681&lt;&gt;"",C681='Fiche prospect'!$C$4),COUNTIF($C$5:C681,C681),"")</f>
        <v/>
      </c>
    </row>
    <row r="682">
      <c r="A682" s="53" t="n"/>
      <c r="B682" s="54" t="n"/>
      <c r="C682" s="55" t="n"/>
      <c r="D682" s="55" t="n"/>
      <c r="E682" s="55" t="n"/>
      <c r="F682" s="55" t="n"/>
      <c r="G682" s="56" t="n"/>
      <c r="H682" s="57" t="n"/>
      <c r="I682" s="55" t="n"/>
      <c r="J682" s="53" t="n"/>
      <c r="K682" s="54" t="n"/>
      <c r="L682" s="55" t="n"/>
      <c r="M682" s="55" t="n"/>
      <c r="N682" s="57" t="n"/>
      <c r="O682" s="55" t="n"/>
      <c r="P682" s="56" t="n"/>
      <c r="Q682" s="55" t="n"/>
      <c r="R682" s="55" t="n"/>
      <c r="S682" s="55" t="n"/>
      <c r="T682" s="55" t="n"/>
      <c r="U682" s="55" t="n"/>
      <c r="V682" s="55" t="n"/>
      <c r="W682" s="58" t="n"/>
      <c r="X682" s="58" t="n"/>
      <c r="Y682" s="55" t="n"/>
      <c r="Z682" s="55" t="n"/>
      <c r="AA682" s="55" t="n"/>
      <c r="AB682" s="55" t="n"/>
      <c r="AC682" s="55" t="n"/>
      <c r="AD682" s="53" t="n"/>
      <c r="AE682" s="55" t="n"/>
      <c r="AF682" s="55" t="n"/>
      <c r="AG682" s="59" t="n"/>
      <c r="AH682" s="57" t="n"/>
      <c r="AI682" s="55" t="n"/>
      <c r="AJ682" s="55" t="n"/>
      <c r="AK682" s="55" t="n"/>
      <c r="AL682" s="55" t="n"/>
      <c r="AM682" s="56" t="n"/>
      <c r="AN682" s="55" t="n"/>
      <c r="AO682" s="55" t="n"/>
      <c r="AP682" s="55" t="n"/>
      <c r="AQ682" s="55" t="n"/>
      <c r="AR682" s="60">
        <f>IF(AND(C682="",E682=""),"",IF(A682="","⚠ Date manquante",IF(AND(C682="",E682&lt;&gt;"Dépense"),"⚠ Prospect manquant",IF(E682="","⚠ Action manquante",IF(AND(AU682=1,D682=""),"⚠ Canal manquant",IF(AND(W682&lt;&gt;"",COUNTIFS('Saisie'!$W$5:$W$2004,W682,'Saisie'!$C$5:$C$2004,"&lt;&gt;"&amp;C682)&gt;0),"⚠ Numéro déjà utilisé par un autre prospect",IF(AND(J682&lt;&gt;"",J682&lt;A682),"⚠ Relance avant la date de l'action",IF(A682&gt;TODAY(),"⚠ Date dans le futur","✓"))))))))</f>
        <v/>
      </c>
      <c r="AS682" s="61">
        <f>IF(AND(A682="",C682="",E682=""),"",ROW())</f>
        <v/>
      </c>
      <c r="AT682" s="61">
        <f>IF(E682&amp;F682="","",MAX(IFERROR(INDEX('Paramètres'!$J$6:$J$33,MATCH(E682,'Paramètres'!$I$6:$I$33,0)),0),IFERROR(INDEX('Paramètres'!$N$6:$N$17,MATCH(F682,'Paramètres'!$M$6:$M$17,0)),0)))</f>
        <v/>
      </c>
      <c r="AU682" s="61">
        <f>IF(E682="","",IFERROR(IF(INDEX('Paramètres'!$K$6:$K$33,MATCH(E682,'Paramètres'!$I$6:$I$33,0))="Oui",1,0),0))</f>
        <v/>
      </c>
      <c r="AV682" s="61">
        <f>IF(F682="","",IFERROR(IF(INDEX('Paramètres'!$O$6:$O$17,MATCH(F682,'Paramètres'!$M$6:$M$17,0))="Oui",1,0),0))</f>
        <v/>
      </c>
      <c r="AW682" s="62">
        <f>IF(E682="","",IF(G682&lt;&gt;"",G682,IF(OR(E682="Proposition envoyée",E682="Signature"),MAX(0,N(IFERROR(INDEX('Paramètres'!$R$6:$R$15,MATCH(IF(AL682&lt;&gt;"",AL682,IFERROR(INDEX('Prospects'!$AN$5:$AN$504,MATCH(C682,'Prospects'!$C$5:$C$504,0)),"")),'Paramètres'!$Q$6:$Q$15,0)),0))-N(P682)),0)))</f>
        <v/>
      </c>
      <c r="AX682" s="61">
        <f>IF(C682="","",IF(COUNTIF($C$5:C682,C682)=1,MAX($AX$4:AX681)+1,""))</f>
        <v/>
      </c>
      <c r="AY682" s="61">
        <f>IF(B682="","",HOUR(B682))</f>
        <v/>
      </c>
      <c r="AZ682" s="61">
        <f>IF(A682="","",MOD(A682-2,7)+1)</f>
        <v/>
      </c>
      <c r="BA682" s="60">
        <f>IF(C682="","",IFERROR(INDEX('Prospects'!$N$5:$N$504,MATCH(C682,'Prospects'!$C$5:$C$504,0)),""))</f>
        <v/>
      </c>
      <c r="BB682" s="61">
        <f>IF(AND(C682&lt;&gt;"",C682='Fiche prospect'!$C$4),COUNTIF($C$5:C682,C682),"")</f>
        <v/>
      </c>
    </row>
    <row r="683">
      <c r="A683" s="53" t="n"/>
      <c r="B683" s="54" t="n"/>
      <c r="C683" s="55" t="n"/>
      <c r="D683" s="55" t="n"/>
      <c r="E683" s="55" t="n"/>
      <c r="F683" s="55" t="n"/>
      <c r="G683" s="56" t="n"/>
      <c r="H683" s="57" t="n"/>
      <c r="I683" s="55" t="n"/>
      <c r="J683" s="53" t="n"/>
      <c r="K683" s="54" t="n"/>
      <c r="L683" s="55" t="n"/>
      <c r="M683" s="55" t="n"/>
      <c r="N683" s="57" t="n"/>
      <c r="O683" s="55" t="n"/>
      <c r="P683" s="56" t="n"/>
      <c r="Q683" s="55" t="n"/>
      <c r="R683" s="55" t="n"/>
      <c r="S683" s="55" t="n"/>
      <c r="T683" s="55" t="n"/>
      <c r="U683" s="55" t="n"/>
      <c r="V683" s="55" t="n"/>
      <c r="W683" s="58" t="n"/>
      <c r="X683" s="58" t="n"/>
      <c r="Y683" s="55" t="n"/>
      <c r="Z683" s="55" t="n"/>
      <c r="AA683" s="55" t="n"/>
      <c r="AB683" s="55" t="n"/>
      <c r="AC683" s="55" t="n"/>
      <c r="AD683" s="53" t="n"/>
      <c r="AE683" s="55" t="n"/>
      <c r="AF683" s="55" t="n"/>
      <c r="AG683" s="59" t="n"/>
      <c r="AH683" s="57" t="n"/>
      <c r="AI683" s="55" t="n"/>
      <c r="AJ683" s="55" t="n"/>
      <c r="AK683" s="55" t="n"/>
      <c r="AL683" s="55" t="n"/>
      <c r="AM683" s="56" t="n"/>
      <c r="AN683" s="55" t="n"/>
      <c r="AO683" s="55" t="n"/>
      <c r="AP683" s="55" t="n"/>
      <c r="AQ683" s="55" t="n"/>
      <c r="AR683" s="60">
        <f>IF(AND(C683="",E683=""),"",IF(A683="","⚠ Date manquante",IF(AND(C683="",E683&lt;&gt;"Dépense"),"⚠ Prospect manquant",IF(E683="","⚠ Action manquante",IF(AND(AU683=1,D683=""),"⚠ Canal manquant",IF(AND(W683&lt;&gt;"",COUNTIFS('Saisie'!$W$5:$W$2004,W683,'Saisie'!$C$5:$C$2004,"&lt;&gt;"&amp;C683)&gt;0),"⚠ Numéro déjà utilisé par un autre prospect",IF(AND(J683&lt;&gt;"",J683&lt;A683),"⚠ Relance avant la date de l'action",IF(A683&gt;TODAY(),"⚠ Date dans le futur","✓"))))))))</f>
        <v/>
      </c>
      <c r="AS683" s="61">
        <f>IF(AND(A683="",C683="",E683=""),"",ROW())</f>
        <v/>
      </c>
      <c r="AT683" s="61">
        <f>IF(E683&amp;F683="","",MAX(IFERROR(INDEX('Paramètres'!$J$6:$J$33,MATCH(E683,'Paramètres'!$I$6:$I$33,0)),0),IFERROR(INDEX('Paramètres'!$N$6:$N$17,MATCH(F683,'Paramètres'!$M$6:$M$17,0)),0)))</f>
        <v/>
      </c>
      <c r="AU683" s="61">
        <f>IF(E683="","",IFERROR(IF(INDEX('Paramètres'!$K$6:$K$33,MATCH(E683,'Paramètres'!$I$6:$I$33,0))="Oui",1,0),0))</f>
        <v/>
      </c>
      <c r="AV683" s="61">
        <f>IF(F683="","",IFERROR(IF(INDEX('Paramètres'!$O$6:$O$17,MATCH(F683,'Paramètres'!$M$6:$M$17,0))="Oui",1,0),0))</f>
        <v/>
      </c>
      <c r="AW683" s="62">
        <f>IF(E683="","",IF(G683&lt;&gt;"",G683,IF(OR(E683="Proposition envoyée",E683="Signature"),MAX(0,N(IFERROR(INDEX('Paramètres'!$R$6:$R$15,MATCH(IF(AL683&lt;&gt;"",AL683,IFERROR(INDEX('Prospects'!$AN$5:$AN$504,MATCH(C683,'Prospects'!$C$5:$C$504,0)),"")),'Paramètres'!$Q$6:$Q$15,0)),0))-N(P683)),0)))</f>
        <v/>
      </c>
      <c r="AX683" s="61">
        <f>IF(C683="","",IF(COUNTIF($C$5:C683,C683)=1,MAX($AX$4:AX682)+1,""))</f>
        <v/>
      </c>
      <c r="AY683" s="61">
        <f>IF(B683="","",HOUR(B683))</f>
        <v/>
      </c>
      <c r="AZ683" s="61">
        <f>IF(A683="","",MOD(A683-2,7)+1)</f>
        <v/>
      </c>
      <c r="BA683" s="60">
        <f>IF(C683="","",IFERROR(INDEX('Prospects'!$N$5:$N$504,MATCH(C683,'Prospects'!$C$5:$C$504,0)),""))</f>
        <v/>
      </c>
      <c r="BB683" s="61">
        <f>IF(AND(C683&lt;&gt;"",C683='Fiche prospect'!$C$4),COUNTIF($C$5:C683,C683),"")</f>
        <v/>
      </c>
    </row>
    <row r="684">
      <c r="A684" s="53" t="n"/>
      <c r="B684" s="54" t="n"/>
      <c r="C684" s="55" t="n"/>
      <c r="D684" s="55" t="n"/>
      <c r="E684" s="55" t="n"/>
      <c r="F684" s="55" t="n"/>
      <c r="G684" s="56" t="n"/>
      <c r="H684" s="57" t="n"/>
      <c r="I684" s="55" t="n"/>
      <c r="J684" s="53" t="n"/>
      <c r="K684" s="54" t="n"/>
      <c r="L684" s="55" t="n"/>
      <c r="M684" s="55" t="n"/>
      <c r="N684" s="57" t="n"/>
      <c r="O684" s="55" t="n"/>
      <c r="P684" s="56" t="n"/>
      <c r="Q684" s="55" t="n"/>
      <c r="R684" s="55" t="n"/>
      <c r="S684" s="55" t="n"/>
      <c r="T684" s="55" t="n"/>
      <c r="U684" s="55" t="n"/>
      <c r="V684" s="55" t="n"/>
      <c r="W684" s="58" t="n"/>
      <c r="X684" s="58" t="n"/>
      <c r="Y684" s="55" t="n"/>
      <c r="Z684" s="55" t="n"/>
      <c r="AA684" s="55" t="n"/>
      <c r="AB684" s="55" t="n"/>
      <c r="AC684" s="55" t="n"/>
      <c r="AD684" s="53" t="n"/>
      <c r="AE684" s="55" t="n"/>
      <c r="AF684" s="55" t="n"/>
      <c r="AG684" s="59" t="n"/>
      <c r="AH684" s="57" t="n"/>
      <c r="AI684" s="55" t="n"/>
      <c r="AJ684" s="55" t="n"/>
      <c r="AK684" s="55" t="n"/>
      <c r="AL684" s="55" t="n"/>
      <c r="AM684" s="56" t="n"/>
      <c r="AN684" s="55" t="n"/>
      <c r="AO684" s="55" t="n"/>
      <c r="AP684" s="55" t="n"/>
      <c r="AQ684" s="55" t="n"/>
      <c r="AR684" s="60">
        <f>IF(AND(C684="",E684=""),"",IF(A684="","⚠ Date manquante",IF(AND(C684="",E684&lt;&gt;"Dépense"),"⚠ Prospect manquant",IF(E684="","⚠ Action manquante",IF(AND(AU684=1,D684=""),"⚠ Canal manquant",IF(AND(W684&lt;&gt;"",COUNTIFS('Saisie'!$W$5:$W$2004,W684,'Saisie'!$C$5:$C$2004,"&lt;&gt;"&amp;C684)&gt;0),"⚠ Numéro déjà utilisé par un autre prospect",IF(AND(J684&lt;&gt;"",J684&lt;A684),"⚠ Relance avant la date de l'action",IF(A684&gt;TODAY(),"⚠ Date dans le futur","✓"))))))))</f>
        <v/>
      </c>
      <c r="AS684" s="61">
        <f>IF(AND(A684="",C684="",E684=""),"",ROW())</f>
        <v/>
      </c>
      <c r="AT684" s="61">
        <f>IF(E684&amp;F684="","",MAX(IFERROR(INDEX('Paramètres'!$J$6:$J$33,MATCH(E684,'Paramètres'!$I$6:$I$33,0)),0),IFERROR(INDEX('Paramètres'!$N$6:$N$17,MATCH(F684,'Paramètres'!$M$6:$M$17,0)),0)))</f>
        <v/>
      </c>
      <c r="AU684" s="61">
        <f>IF(E684="","",IFERROR(IF(INDEX('Paramètres'!$K$6:$K$33,MATCH(E684,'Paramètres'!$I$6:$I$33,0))="Oui",1,0),0))</f>
        <v/>
      </c>
      <c r="AV684" s="61">
        <f>IF(F684="","",IFERROR(IF(INDEX('Paramètres'!$O$6:$O$17,MATCH(F684,'Paramètres'!$M$6:$M$17,0))="Oui",1,0),0))</f>
        <v/>
      </c>
      <c r="AW684" s="62">
        <f>IF(E684="","",IF(G684&lt;&gt;"",G684,IF(OR(E684="Proposition envoyée",E684="Signature"),MAX(0,N(IFERROR(INDEX('Paramètres'!$R$6:$R$15,MATCH(IF(AL684&lt;&gt;"",AL684,IFERROR(INDEX('Prospects'!$AN$5:$AN$504,MATCH(C684,'Prospects'!$C$5:$C$504,0)),"")),'Paramètres'!$Q$6:$Q$15,0)),0))-N(P684)),0)))</f>
        <v/>
      </c>
      <c r="AX684" s="61">
        <f>IF(C684="","",IF(COUNTIF($C$5:C684,C684)=1,MAX($AX$4:AX683)+1,""))</f>
        <v/>
      </c>
      <c r="AY684" s="61">
        <f>IF(B684="","",HOUR(B684))</f>
        <v/>
      </c>
      <c r="AZ684" s="61">
        <f>IF(A684="","",MOD(A684-2,7)+1)</f>
        <v/>
      </c>
      <c r="BA684" s="60">
        <f>IF(C684="","",IFERROR(INDEX('Prospects'!$N$5:$N$504,MATCH(C684,'Prospects'!$C$5:$C$504,0)),""))</f>
        <v/>
      </c>
      <c r="BB684" s="61">
        <f>IF(AND(C684&lt;&gt;"",C684='Fiche prospect'!$C$4),COUNTIF($C$5:C684,C684),"")</f>
        <v/>
      </c>
    </row>
    <row r="685">
      <c r="A685" s="53" t="n"/>
      <c r="B685" s="54" t="n"/>
      <c r="C685" s="55" t="n"/>
      <c r="D685" s="55" t="n"/>
      <c r="E685" s="55" t="n"/>
      <c r="F685" s="55" t="n"/>
      <c r="G685" s="56" t="n"/>
      <c r="H685" s="57" t="n"/>
      <c r="I685" s="55" t="n"/>
      <c r="J685" s="53" t="n"/>
      <c r="K685" s="54" t="n"/>
      <c r="L685" s="55" t="n"/>
      <c r="M685" s="55" t="n"/>
      <c r="N685" s="57" t="n"/>
      <c r="O685" s="55" t="n"/>
      <c r="P685" s="56" t="n"/>
      <c r="Q685" s="55" t="n"/>
      <c r="R685" s="55" t="n"/>
      <c r="S685" s="55" t="n"/>
      <c r="T685" s="55" t="n"/>
      <c r="U685" s="55" t="n"/>
      <c r="V685" s="55" t="n"/>
      <c r="W685" s="58" t="n"/>
      <c r="X685" s="58" t="n"/>
      <c r="Y685" s="55" t="n"/>
      <c r="Z685" s="55" t="n"/>
      <c r="AA685" s="55" t="n"/>
      <c r="AB685" s="55" t="n"/>
      <c r="AC685" s="55" t="n"/>
      <c r="AD685" s="53" t="n"/>
      <c r="AE685" s="55" t="n"/>
      <c r="AF685" s="55" t="n"/>
      <c r="AG685" s="59" t="n"/>
      <c r="AH685" s="57" t="n"/>
      <c r="AI685" s="55" t="n"/>
      <c r="AJ685" s="55" t="n"/>
      <c r="AK685" s="55" t="n"/>
      <c r="AL685" s="55" t="n"/>
      <c r="AM685" s="56" t="n"/>
      <c r="AN685" s="55" t="n"/>
      <c r="AO685" s="55" t="n"/>
      <c r="AP685" s="55" t="n"/>
      <c r="AQ685" s="55" t="n"/>
      <c r="AR685" s="60">
        <f>IF(AND(C685="",E685=""),"",IF(A685="","⚠ Date manquante",IF(AND(C685="",E685&lt;&gt;"Dépense"),"⚠ Prospect manquant",IF(E685="","⚠ Action manquante",IF(AND(AU685=1,D685=""),"⚠ Canal manquant",IF(AND(W685&lt;&gt;"",COUNTIFS('Saisie'!$W$5:$W$2004,W685,'Saisie'!$C$5:$C$2004,"&lt;&gt;"&amp;C685)&gt;0),"⚠ Numéro déjà utilisé par un autre prospect",IF(AND(J685&lt;&gt;"",J685&lt;A685),"⚠ Relance avant la date de l'action",IF(A685&gt;TODAY(),"⚠ Date dans le futur","✓"))))))))</f>
        <v/>
      </c>
      <c r="AS685" s="61">
        <f>IF(AND(A685="",C685="",E685=""),"",ROW())</f>
        <v/>
      </c>
      <c r="AT685" s="61">
        <f>IF(E685&amp;F685="","",MAX(IFERROR(INDEX('Paramètres'!$J$6:$J$33,MATCH(E685,'Paramètres'!$I$6:$I$33,0)),0),IFERROR(INDEX('Paramètres'!$N$6:$N$17,MATCH(F685,'Paramètres'!$M$6:$M$17,0)),0)))</f>
        <v/>
      </c>
      <c r="AU685" s="61">
        <f>IF(E685="","",IFERROR(IF(INDEX('Paramètres'!$K$6:$K$33,MATCH(E685,'Paramètres'!$I$6:$I$33,0))="Oui",1,0),0))</f>
        <v/>
      </c>
      <c r="AV685" s="61">
        <f>IF(F685="","",IFERROR(IF(INDEX('Paramètres'!$O$6:$O$17,MATCH(F685,'Paramètres'!$M$6:$M$17,0))="Oui",1,0),0))</f>
        <v/>
      </c>
      <c r="AW685" s="62">
        <f>IF(E685="","",IF(G685&lt;&gt;"",G685,IF(OR(E685="Proposition envoyée",E685="Signature"),MAX(0,N(IFERROR(INDEX('Paramètres'!$R$6:$R$15,MATCH(IF(AL685&lt;&gt;"",AL685,IFERROR(INDEX('Prospects'!$AN$5:$AN$504,MATCH(C685,'Prospects'!$C$5:$C$504,0)),"")),'Paramètres'!$Q$6:$Q$15,0)),0))-N(P685)),0)))</f>
        <v/>
      </c>
      <c r="AX685" s="61">
        <f>IF(C685="","",IF(COUNTIF($C$5:C685,C685)=1,MAX($AX$4:AX684)+1,""))</f>
        <v/>
      </c>
      <c r="AY685" s="61">
        <f>IF(B685="","",HOUR(B685))</f>
        <v/>
      </c>
      <c r="AZ685" s="61">
        <f>IF(A685="","",MOD(A685-2,7)+1)</f>
        <v/>
      </c>
      <c r="BA685" s="60">
        <f>IF(C685="","",IFERROR(INDEX('Prospects'!$N$5:$N$504,MATCH(C685,'Prospects'!$C$5:$C$504,0)),""))</f>
        <v/>
      </c>
      <c r="BB685" s="61">
        <f>IF(AND(C685&lt;&gt;"",C685='Fiche prospect'!$C$4),COUNTIF($C$5:C685,C685),"")</f>
        <v/>
      </c>
    </row>
    <row r="686">
      <c r="A686" s="53" t="n"/>
      <c r="B686" s="54" t="n"/>
      <c r="C686" s="55" t="n"/>
      <c r="D686" s="55" t="n"/>
      <c r="E686" s="55" t="n"/>
      <c r="F686" s="55" t="n"/>
      <c r="G686" s="56" t="n"/>
      <c r="H686" s="57" t="n"/>
      <c r="I686" s="55" t="n"/>
      <c r="J686" s="53" t="n"/>
      <c r="K686" s="54" t="n"/>
      <c r="L686" s="55" t="n"/>
      <c r="M686" s="55" t="n"/>
      <c r="N686" s="57" t="n"/>
      <c r="O686" s="55" t="n"/>
      <c r="P686" s="56" t="n"/>
      <c r="Q686" s="55" t="n"/>
      <c r="R686" s="55" t="n"/>
      <c r="S686" s="55" t="n"/>
      <c r="T686" s="55" t="n"/>
      <c r="U686" s="55" t="n"/>
      <c r="V686" s="55" t="n"/>
      <c r="W686" s="58" t="n"/>
      <c r="X686" s="58" t="n"/>
      <c r="Y686" s="55" t="n"/>
      <c r="Z686" s="55" t="n"/>
      <c r="AA686" s="55" t="n"/>
      <c r="AB686" s="55" t="n"/>
      <c r="AC686" s="55" t="n"/>
      <c r="AD686" s="53" t="n"/>
      <c r="AE686" s="55" t="n"/>
      <c r="AF686" s="55" t="n"/>
      <c r="AG686" s="59" t="n"/>
      <c r="AH686" s="57" t="n"/>
      <c r="AI686" s="55" t="n"/>
      <c r="AJ686" s="55" t="n"/>
      <c r="AK686" s="55" t="n"/>
      <c r="AL686" s="55" t="n"/>
      <c r="AM686" s="56" t="n"/>
      <c r="AN686" s="55" t="n"/>
      <c r="AO686" s="55" t="n"/>
      <c r="AP686" s="55" t="n"/>
      <c r="AQ686" s="55" t="n"/>
      <c r="AR686" s="60">
        <f>IF(AND(C686="",E686=""),"",IF(A686="","⚠ Date manquante",IF(AND(C686="",E686&lt;&gt;"Dépense"),"⚠ Prospect manquant",IF(E686="","⚠ Action manquante",IF(AND(AU686=1,D686=""),"⚠ Canal manquant",IF(AND(W686&lt;&gt;"",COUNTIFS('Saisie'!$W$5:$W$2004,W686,'Saisie'!$C$5:$C$2004,"&lt;&gt;"&amp;C686)&gt;0),"⚠ Numéro déjà utilisé par un autre prospect",IF(AND(J686&lt;&gt;"",J686&lt;A686),"⚠ Relance avant la date de l'action",IF(A686&gt;TODAY(),"⚠ Date dans le futur","✓"))))))))</f>
        <v/>
      </c>
      <c r="AS686" s="61">
        <f>IF(AND(A686="",C686="",E686=""),"",ROW())</f>
        <v/>
      </c>
      <c r="AT686" s="61">
        <f>IF(E686&amp;F686="","",MAX(IFERROR(INDEX('Paramètres'!$J$6:$J$33,MATCH(E686,'Paramètres'!$I$6:$I$33,0)),0),IFERROR(INDEX('Paramètres'!$N$6:$N$17,MATCH(F686,'Paramètres'!$M$6:$M$17,0)),0)))</f>
        <v/>
      </c>
      <c r="AU686" s="61">
        <f>IF(E686="","",IFERROR(IF(INDEX('Paramètres'!$K$6:$K$33,MATCH(E686,'Paramètres'!$I$6:$I$33,0))="Oui",1,0),0))</f>
        <v/>
      </c>
      <c r="AV686" s="61">
        <f>IF(F686="","",IFERROR(IF(INDEX('Paramètres'!$O$6:$O$17,MATCH(F686,'Paramètres'!$M$6:$M$17,0))="Oui",1,0),0))</f>
        <v/>
      </c>
      <c r="AW686" s="62">
        <f>IF(E686="","",IF(G686&lt;&gt;"",G686,IF(OR(E686="Proposition envoyée",E686="Signature"),MAX(0,N(IFERROR(INDEX('Paramètres'!$R$6:$R$15,MATCH(IF(AL686&lt;&gt;"",AL686,IFERROR(INDEX('Prospects'!$AN$5:$AN$504,MATCH(C686,'Prospects'!$C$5:$C$504,0)),"")),'Paramètres'!$Q$6:$Q$15,0)),0))-N(P686)),0)))</f>
        <v/>
      </c>
      <c r="AX686" s="61">
        <f>IF(C686="","",IF(COUNTIF($C$5:C686,C686)=1,MAX($AX$4:AX685)+1,""))</f>
        <v/>
      </c>
      <c r="AY686" s="61">
        <f>IF(B686="","",HOUR(B686))</f>
        <v/>
      </c>
      <c r="AZ686" s="61">
        <f>IF(A686="","",MOD(A686-2,7)+1)</f>
        <v/>
      </c>
      <c r="BA686" s="60">
        <f>IF(C686="","",IFERROR(INDEX('Prospects'!$N$5:$N$504,MATCH(C686,'Prospects'!$C$5:$C$504,0)),""))</f>
        <v/>
      </c>
      <c r="BB686" s="61">
        <f>IF(AND(C686&lt;&gt;"",C686='Fiche prospect'!$C$4),COUNTIF($C$5:C686,C686),"")</f>
        <v/>
      </c>
    </row>
    <row r="687">
      <c r="A687" s="53" t="n"/>
      <c r="B687" s="54" t="n"/>
      <c r="C687" s="55" t="n"/>
      <c r="D687" s="55" t="n"/>
      <c r="E687" s="55" t="n"/>
      <c r="F687" s="55" t="n"/>
      <c r="G687" s="56" t="n"/>
      <c r="H687" s="57" t="n"/>
      <c r="I687" s="55" t="n"/>
      <c r="J687" s="53" t="n"/>
      <c r="K687" s="54" t="n"/>
      <c r="L687" s="55" t="n"/>
      <c r="M687" s="55" t="n"/>
      <c r="N687" s="57" t="n"/>
      <c r="O687" s="55" t="n"/>
      <c r="P687" s="56" t="n"/>
      <c r="Q687" s="55" t="n"/>
      <c r="R687" s="55" t="n"/>
      <c r="S687" s="55" t="n"/>
      <c r="T687" s="55" t="n"/>
      <c r="U687" s="55" t="n"/>
      <c r="V687" s="55" t="n"/>
      <c r="W687" s="58" t="n"/>
      <c r="X687" s="58" t="n"/>
      <c r="Y687" s="55" t="n"/>
      <c r="Z687" s="55" t="n"/>
      <c r="AA687" s="55" t="n"/>
      <c r="AB687" s="55" t="n"/>
      <c r="AC687" s="55" t="n"/>
      <c r="AD687" s="53" t="n"/>
      <c r="AE687" s="55" t="n"/>
      <c r="AF687" s="55" t="n"/>
      <c r="AG687" s="59" t="n"/>
      <c r="AH687" s="57" t="n"/>
      <c r="AI687" s="55" t="n"/>
      <c r="AJ687" s="55" t="n"/>
      <c r="AK687" s="55" t="n"/>
      <c r="AL687" s="55" t="n"/>
      <c r="AM687" s="56" t="n"/>
      <c r="AN687" s="55" t="n"/>
      <c r="AO687" s="55" t="n"/>
      <c r="AP687" s="55" t="n"/>
      <c r="AQ687" s="55" t="n"/>
      <c r="AR687" s="60">
        <f>IF(AND(C687="",E687=""),"",IF(A687="","⚠ Date manquante",IF(AND(C687="",E687&lt;&gt;"Dépense"),"⚠ Prospect manquant",IF(E687="","⚠ Action manquante",IF(AND(AU687=1,D687=""),"⚠ Canal manquant",IF(AND(W687&lt;&gt;"",COUNTIFS('Saisie'!$W$5:$W$2004,W687,'Saisie'!$C$5:$C$2004,"&lt;&gt;"&amp;C687)&gt;0),"⚠ Numéro déjà utilisé par un autre prospect",IF(AND(J687&lt;&gt;"",J687&lt;A687),"⚠ Relance avant la date de l'action",IF(A687&gt;TODAY(),"⚠ Date dans le futur","✓"))))))))</f>
        <v/>
      </c>
      <c r="AS687" s="61">
        <f>IF(AND(A687="",C687="",E687=""),"",ROW())</f>
        <v/>
      </c>
      <c r="AT687" s="61">
        <f>IF(E687&amp;F687="","",MAX(IFERROR(INDEX('Paramètres'!$J$6:$J$33,MATCH(E687,'Paramètres'!$I$6:$I$33,0)),0),IFERROR(INDEX('Paramètres'!$N$6:$N$17,MATCH(F687,'Paramètres'!$M$6:$M$17,0)),0)))</f>
        <v/>
      </c>
      <c r="AU687" s="61">
        <f>IF(E687="","",IFERROR(IF(INDEX('Paramètres'!$K$6:$K$33,MATCH(E687,'Paramètres'!$I$6:$I$33,0))="Oui",1,0),0))</f>
        <v/>
      </c>
      <c r="AV687" s="61">
        <f>IF(F687="","",IFERROR(IF(INDEX('Paramètres'!$O$6:$O$17,MATCH(F687,'Paramètres'!$M$6:$M$17,0))="Oui",1,0),0))</f>
        <v/>
      </c>
      <c r="AW687" s="62">
        <f>IF(E687="","",IF(G687&lt;&gt;"",G687,IF(OR(E687="Proposition envoyée",E687="Signature"),MAX(0,N(IFERROR(INDEX('Paramètres'!$R$6:$R$15,MATCH(IF(AL687&lt;&gt;"",AL687,IFERROR(INDEX('Prospects'!$AN$5:$AN$504,MATCH(C687,'Prospects'!$C$5:$C$504,0)),"")),'Paramètres'!$Q$6:$Q$15,0)),0))-N(P687)),0)))</f>
        <v/>
      </c>
      <c r="AX687" s="61">
        <f>IF(C687="","",IF(COUNTIF($C$5:C687,C687)=1,MAX($AX$4:AX686)+1,""))</f>
        <v/>
      </c>
      <c r="AY687" s="61">
        <f>IF(B687="","",HOUR(B687))</f>
        <v/>
      </c>
      <c r="AZ687" s="61">
        <f>IF(A687="","",MOD(A687-2,7)+1)</f>
        <v/>
      </c>
      <c r="BA687" s="60">
        <f>IF(C687="","",IFERROR(INDEX('Prospects'!$N$5:$N$504,MATCH(C687,'Prospects'!$C$5:$C$504,0)),""))</f>
        <v/>
      </c>
      <c r="BB687" s="61">
        <f>IF(AND(C687&lt;&gt;"",C687='Fiche prospect'!$C$4),COUNTIF($C$5:C687,C687),"")</f>
        <v/>
      </c>
    </row>
    <row r="688">
      <c r="A688" s="53" t="n"/>
      <c r="B688" s="54" t="n"/>
      <c r="C688" s="55" t="n"/>
      <c r="D688" s="55" t="n"/>
      <c r="E688" s="55" t="n"/>
      <c r="F688" s="55" t="n"/>
      <c r="G688" s="56" t="n"/>
      <c r="H688" s="57" t="n"/>
      <c r="I688" s="55" t="n"/>
      <c r="J688" s="53" t="n"/>
      <c r="K688" s="54" t="n"/>
      <c r="L688" s="55" t="n"/>
      <c r="M688" s="55" t="n"/>
      <c r="N688" s="57" t="n"/>
      <c r="O688" s="55" t="n"/>
      <c r="P688" s="56" t="n"/>
      <c r="Q688" s="55" t="n"/>
      <c r="R688" s="55" t="n"/>
      <c r="S688" s="55" t="n"/>
      <c r="T688" s="55" t="n"/>
      <c r="U688" s="55" t="n"/>
      <c r="V688" s="55" t="n"/>
      <c r="W688" s="58" t="n"/>
      <c r="X688" s="58" t="n"/>
      <c r="Y688" s="55" t="n"/>
      <c r="Z688" s="55" t="n"/>
      <c r="AA688" s="55" t="n"/>
      <c r="AB688" s="55" t="n"/>
      <c r="AC688" s="55" t="n"/>
      <c r="AD688" s="53" t="n"/>
      <c r="AE688" s="55" t="n"/>
      <c r="AF688" s="55" t="n"/>
      <c r="AG688" s="59" t="n"/>
      <c r="AH688" s="57" t="n"/>
      <c r="AI688" s="55" t="n"/>
      <c r="AJ688" s="55" t="n"/>
      <c r="AK688" s="55" t="n"/>
      <c r="AL688" s="55" t="n"/>
      <c r="AM688" s="56" t="n"/>
      <c r="AN688" s="55" t="n"/>
      <c r="AO688" s="55" t="n"/>
      <c r="AP688" s="55" t="n"/>
      <c r="AQ688" s="55" t="n"/>
      <c r="AR688" s="60">
        <f>IF(AND(C688="",E688=""),"",IF(A688="","⚠ Date manquante",IF(AND(C688="",E688&lt;&gt;"Dépense"),"⚠ Prospect manquant",IF(E688="","⚠ Action manquante",IF(AND(AU688=1,D688=""),"⚠ Canal manquant",IF(AND(W688&lt;&gt;"",COUNTIFS('Saisie'!$W$5:$W$2004,W688,'Saisie'!$C$5:$C$2004,"&lt;&gt;"&amp;C688)&gt;0),"⚠ Numéro déjà utilisé par un autre prospect",IF(AND(J688&lt;&gt;"",J688&lt;A688),"⚠ Relance avant la date de l'action",IF(A688&gt;TODAY(),"⚠ Date dans le futur","✓"))))))))</f>
        <v/>
      </c>
      <c r="AS688" s="61">
        <f>IF(AND(A688="",C688="",E688=""),"",ROW())</f>
        <v/>
      </c>
      <c r="AT688" s="61">
        <f>IF(E688&amp;F688="","",MAX(IFERROR(INDEX('Paramètres'!$J$6:$J$33,MATCH(E688,'Paramètres'!$I$6:$I$33,0)),0),IFERROR(INDEX('Paramètres'!$N$6:$N$17,MATCH(F688,'Paramètres'!$M$6:$M$17,0)),0)))</f>
        <v/>
      </c>
      <c r="AU688" s="61">
        <f>IF(E688="","",IFERROR(IF(INDEX('Paramètres'!$K$6:$K$33,MATCH(E688,'Paramètres'!$I$6:$I$33,0))="Oui",1,0),0))</f>
        <v/>
      </c>
      <c r="AV688" s="61">
        <f>IF(F688="","",IFERROR(IF(INDEX('Paramètres'!$O$6:$O$17,MATCH(F688,'Paramètres'!$M$6:$M$17,0))="Oui",1,0),0))</f>
        <v/>
      </c>
      <c r="AW688" s="62">
        <f>IF(E688="","",IF(G688&lt;&gt;"",G688,IF(OR(E688="Proposition envoyée",E688="Signature"),MAX(0,N(IFERROR(INDEX('Paramètres'!$R$6:$R$15,MATCH(IF(AL688&lt;&gt;"",AL688,IFERROR(INDEX('Prospects'!$AN$5:$AN$504,MATCH(C688,'Prospects'!$C$5:$C$504,0)),"")),'Paramètres'!$Q$6:$Q$15,0)),0))-N(P688)),0)))</f>
        <v/>
      </c>
      <c r="AX688" s="61">
        <f>IF(C688="","",IF(COUNTIF($C$5:C688,C688)=1,MAX($AX$4:AX687)+1,""))</f>
        <v/>
      </c>
      <c r="AY688" s="61">
        <f>IF(B688="","",HOUR(B688))</f>
        <v/>
      </c>
      <c r="AZ688" s="61">
        <f>IF(A688="","",MOD(A688-2,7)+1)</f>
        <v/>
      </c>
      <c r="BA688" s="60">
        <f>IF(C688="","",IFERROR(INDEX('Prospects'!$N$5:$N$504,MATCH(C688,'Prospects'!$C$5:$C$504,0)),""))</f>
        <v/>
      </c>
      <c r="BB688" s="61">
        <f>IF(AND(C688&lt;&gt;"",C688='Fiche prospect'!$C$4),COUNTIF($C$5:C688,C688),"")</f>
        <v/>
      </c>
    </row>
    <row r="689">
      <c r="A689" s="53" t="n"/>
      <c r="B689" s="54" t="n"/>
      <c r="C689" s="55" t="n"/>
      <c r="D689" s="55" t="n"/>
      <c r="E689" s="55" t="n"/>
      <c r="F689" s="55" t="n"/>
      <c r="G689" s="56" t="n"/>
      <c r="H689" s="57" t="n"/>
      <c r="I689" s="55" t="n"/>
      <c r="J689" s="53" t="n"/>
      <c r="K689" s="54" t="n"/>
      <c r="L689" s="55" t="n"/>
      <c r="M689" s="55" t="n"/>
      <c r="N689" s="57" t="n"/>
      <c r="O689" s="55" t="n"/>
      <c r="P689" s="56" t="n"/>
      <c r="Q689" s="55" t="n"/>
      <c r="R689" s="55" t="n"/>
      <c r="S689" s="55" t="n"/>
      <c r="T689" s="55" t="n"/>
      <c r="U689" s="55" t="n"/>
      <c r="V689" s="55" t="n"/>
      <c r="W689" s="58" t="n"/>
      <c r="X689" s="58" t="n"/>
      <c r="Y689" s="55" t="n"/>
      <c r="Z689" s="55" t="n"/>
      <c r="AA689" s="55" t="n"/>
      <c r="AB689" s="55" t="n"/>
      <c r="AC689" s="55" t="n"/>
      <c r="AD689" s="53" t="n"/>
      <c r="AE689" s="55" t="n"/>
      <c r="AF689" s="55" t="n"/>
      <c r="AG689" s="59" t="n"/>
      <c r="AH689" s="57" t="n"/>
      <c r="AI689" s="55" t="n"/>
      <c r="AJ689" s="55" t="n"/>
      <c r="AK689" s="55" t="n"/>
      <c r="AL689" s="55" t="n"/>
      <c r="AM689" s="56" t="n"/>
      <c r="AN689" s="55" t="n"/>
      <c r="AO689" s="55" t="n"/>
      <c r="AP689" s="55" t="n"/>
      <c r="AQ689" s="55" t="n"/>
      <c r="AR689" s="60">
        <f>IF(AND(C689="",E689=""),"",IF(A689="","⚠ Date manquante",IF(AND(C689="",E689&lt;&gt;"Dépense"),"⚠ Prospect manquant",IF(E689="","⚠ Action manquante",IF(AND(AU689=1,D689=""),"⚠ Canal manquant",IF(AND(W689&lt;&gt;"",COUNTIFS('Saisie'!$W$5:$W$2004,W689,'Saisie'!$C$5:$C$2004,"&lt;&gt;"&amp;C689)&gt;0),"⚠ Numéro déjà utilisé par un autre prospect",IF(AND(J689&lt;&gt;"",J689&lt;A689),"⚠ Relance avant la date de l'action",IF(A689&gt;TODAY(),"⚠ Date dans le futur","✓"))))))))</f>
        <v/>
      </c>
      <c r="AS689" s="61">
        <f>IF(AND(A689="",C689="",E689=""),"",ROW())</f>
        <v/>
      </c>
      <c r="AT689" s="61">
        <f>IF(E689&amp;F689="","",MAX(IFERROR(INDEX('Paramètres'!$J$6:$J$33,MATCH(E689,'Paramètres'!$I$6:$I$33,0)),0),IFERROR(INDEX('Paramètres'!$N$6:$N$17,MATCH(F689,'Paramètres'!$M$6:$M$17,0)),0)))</f>
        <v/>
      </c>
      <c r="AU689" s="61">
        <f>IF(E689="","",IFERROR(IF(INDEX('Paramètres'!$K$6:$K$33,MATCH(E689,'Paramètres'!$I$6:$I$33,0))="Oui",1,0),0))</f>
        <v/>
      </c>
      <c r="AV689" s="61">
        <f>IF(F689="","",IFERROR(IF(INDEX('Paramètres'!$O$6:$O$17,MATCH(F689,'Paramètres'!$M$6:$M$17,0))="Oui",1,0),0))</f>
        <v/>
      </c>
      <c r="AW689" s="62">
        <f>IF(E689="","",IF(G689&lt;&gt;"",G689,IF(OR(E689="Proposition envoyée",E689="Signature"),MAX(0,N(IFERROR(INDEX('Paramètres'!$R$6:$R$15,MATCH(IF(AL689&lt;&gt;"",AL689,IFERROR(INDEX('Prospects'!$AN$5:$AN$504,MATCH(C689,'Prospects'!$C$5:$C$504,0)),"")),'Paramètres'!$Q$6:$Q$15,0)),0))-N(P689)),0)))</f>
        <v/>
      </c>
      <c r="AX689" s="61">
        <f>IF(C689="","",IF(COUNTIF($C$5:C689,C689)=1,MAX($AX$4:AX688)+1,""))</f>
        <v/>
      </c>
      <c r="AY689" s="61">
        <f>IF(B689="","",HOUR(B689))</f>
        <v/>
      </c>
      <c r="AZ689" s="61">
        <f>IF(A689="","",MOD(A689-2,7)+1)</f>
        <v/>
      </c>
      <c r="BA689" s="60">
        <f>IF(C689="","",IFERROR(INDEX('Prospects'!$N$5:$N$504,MATCH(C689,'Prospects'!$C$5:$C$504,0)),""))</f>
        <v/>
      </c>
      <c r="BB689" s="61">
        <f>IF(AND(C689&lt;&gt;"",C689='Fiche prospect'!$C$4),COUNTIF($C$5:C689,C689),"")</f>
        <v/>
      </c>
    </row>
    <row r="690">
      <c r="A690" s="53" t="n"/>
      <c r="B690" s="54" t="n"/>
      <c r="C690" s="55" t="n"/>
      <c r="D690" s="55" t="n"/>
      <c r="E690" s="55" t="n"/>
      <c r="F690" s="55" t="n"/>
      <c r="G690" s="56" t="n"/>
      <c r="H690" s="57" t="n"/>
      <c r="I690" s="55" t="n"/>
      <c r="J690" s="53" t="n"/>
      <c r="K690" s="54" t="n"/>
      <c r="L690" s="55" t="n"/>
      <c r="M690" s="55" t="n"/>
      <c r="N690" s="57" t="n"/>
      <c r="O690" s="55" t="n"/>
      <c r="P690" s="56" t="n"/>
      <c r="Q690" s="55" t="n"/>
      <c r="R690" s="55" t="n"/>
      <c r="S690" s="55" t="n"/>
      <c r="T690" s="55" t="n"/>
      <c r="U690" s="55" t="n"/>
      <c r="V690" s="55" t="n"/>
      <c r="W690" s="58" t="n"/>
      <c r="X690" s="58" t="n"/>
      <c r="Y690" s="55" t="n"/>
      <c r="Z690" s="55" t="n"/>
      <c r="AA690" s="55" t="n"/>
      <c r="AB690" s="55" t="n"/>
      <c r="AC690" s="55" t="n"/>
      <c r="AD690" s="53" t="n"/>
      <c r="AE690" s="55" t="n"/>
      <c r="AF690" s="55" t="n"/>
      <c r="AG690" s="59" t="n"/>
      <c r="AH690" s="57" t="n"/>
      <c r="AI690" s="55" t="n"/>
      <c r="AJ690" s="55" t="n"/>
      <c r="AK690" s="55" t="n"/>
      <c r="AL690" s="55" t="n"/>
      <c r="AM690" s="56" t="n"/>
      <c r="AN690" s="55" t="n"/>
      <c r="AO690" s="55" t="n"/>
      <c r="AP690" s="55" t="n"/>
      <c r="AQ690" s="55" t="n"/>
      <c r="AR690" s="60">
        <f>IF(AND(C690="",E690=""),"",IF(A690="","⚠ Date manquante",IF(AND(C690="",E690&lt;&gt;"Dépense"),"⚠ Prospect manquant",IF(E690="","⚠ Action manquante",IF(AND(AU690=1,D690=""),"⚠ Canal manquant",IF(AND(W690&lt;&gt;"",COUNTIFS('Saisie'!$W$5:$W$2004,W690,'Saisie'!$C$5:$C$2004,"&lt;&gt;"&amp;C690)&gt;0),"⚠ Numéro déjà utilisé par un autre prospect",IF(AND(J690&lt;&gt;"",J690&lt;A690),"⚠ Relance avant la date de l'action",IF(A690&gt;TODAY(),"⚠ Date dans le futur","✓"))))))))</f>
        <v/>
      </c>
      <c r="AS690" s="61">
        <f>IF(AND(A690="",C690="",E690=""),"",ROW())</f>
        <v/>
      </c>
      <c r="AT690" s="61">
        <f>IF(E690&amp;F690="","",MAX(IFERROR(INDEX('Paramètres'!$J$6:$J$33,MATCH(E690,'Paramètres'!$I$6:$I$33,0)),0),IFERROR(INDEX('Paramètres'!$N$6:$N$17,MATCH(F690,'Paramètres'!$M$6:$M$17,0)),0)))</f>
        <v/>
      </c>
      <c r="AU690" s="61">
        <f>IF(E690="","",IFERROR(IF(INDEX('Paramètres'!$K$6:$K$33,MATCH(E690,'Paramètres'!$I$6:$I$33,0))="Oui",1,0),0))</f>
        <v/>
      </c>
      <c r="AV690" s="61">
        <f>IF(F690="","",IFERROR(IF(INDEX('Paramètres'!$O$6:$O$17,MATCH(F690,'Paramètres'!$M$6:$M$17,0))="Oui",1,0),0))</f>
        <v/>
      </c>
      <c r="AW690" s="62">
        <f>IF(E690="","",IF(G690&lt;&gt;"",G690,IF(OR(E690="Proposition envoyée",E690="Signature"),MAX(0,N(IFERROR(INDEX('Paramètres'!$R$6:$R$15,MATCH(IF(AL690&lt;&gt;"",AL690,IFERROR(INDEX('Prospects'!$AN$5:$AN$504,MATCH(C690,'Prospects'!$C$5:$C$504,0)),"")),'Paramètres'!$Q$6:$Q$15,0)),0))-N(P690)),0)))</f>
        <v/>
      </c>
      <c r="AX690" s="61">
        <f>IF(C690="","",IF(COUNTIF($C$5:C690,C690)=1,MAX($AX$4:AX689)+1,""))</f>
        <v/>
      </c>
      <c r="AY690" s="61">
        <f>IF(B690="","",HOUR(B690))</f>
        <v/>
      </c>
      <c r="AZ690" s="61">
        <f>IF(A690="","",MOD(A690-2,7)+1)</f>
        <v/>
      </c>
      <c r="BA690" s="60">
        <f>IF(C690="","",IFERROR(INDEX('Prospects'!$N$5:$N$504,MATCH(C690,'Prospects'!$C$5:$C$504,0)),""))</f>
        <v/>
      </c>
      <c r="BB690" s="61">
        <f>IF(AND(C690&lt;&gt;"",C690='Fiche prospect'!$C$4),COUNTIF($C$5:C690,C690),"")</f>
        <v/>
      </c>
    </row>
    <row r="691">
      <c r="A691" s="53" t="n"/>
      <c r="B691" s="54" t="n"/>
      <c r="C691" s="55" t="n"/>
      <c r="D691" s="55" t="n"/>
      <c r="E691" s="55" t="n"/>
      <c r="F691" s="55" t="n"/>
      <c r="G691" s="56" t="n"/>
      <c r="H691" s="57" t="n"/>
      <c r="I691" s="55" t="n"/>
      <c r="J691" s="53" t="n"/>
      <c r="K691" s="54" t="n"/>
      <c r="L691" s="55" t="n"/>
      <c r="M691" s="55" t="n"/>
      <c r="N691" s="57" t="n"/>
      <c r="O691" s="55" t="n"/>
      <c r="P691" s="56" t="n"/>
      <c r="Q691" s="55" t="n"/>
      <c r="R691" s="55" t="n"/>
      <c r="S691" s="55" t="n"/>
      <c r="T691" s="55" t="n"/>
      <c r="U691" s="55" t="n"/>
      <c r="V691" s="55" t="n"/>
      <c r="W691" s="58" t="n"/>
      <c r="X691" s="58" t="n"/>
      <c r="Y691" s="55" t="n"/>
      <c r="Z691" s="55" t="n"/>
      <c r="AA691" s="55" t="n"/>
      <c r="AB691" s="55" t="n"/>
      <c r="AC691" s="55" t="n"/>
      <c r="AD691" s="53" t="n"/>
      <c r="AE691" s="55" t="n"/>
      <c r="AF691" s="55" t="n"/>
      <c r="AG691" s="59" t="n"/>
      <c r="AH691" s="57" t="n"/>
      <c r="AI691" s="55" t="n"/>
      <c r="AJ691" s="55" t="n"/>
      <c r="AK691" s="55" t="n"/>
      <c r="AL691" s="55" t="n"/>
      <c r="AM691" s="56" t="n"/>
      <c r="AN691" s="55" t="n"/>
      <c r="AO691" s="55" t="n"/>
      <c r="AP691" s="55" t="n"/>
      <c r="AQ691" s="55" t="n"/>
      <c r="AR691" s="60">
        <f>IF(AND(C691="",E691=""),"",IF(A691="","⚠ Date manquante",IF(AND(C691="",E691&lt;&gt;"Dépense"),"⚠ Prospect manquant",IF(E691="","⚠ Action manquante",IF(AND(AU691=1,D691=""),"⚠ Canal manquant",IF(AND(W691&lt;&gt;"",COUNTIFS('Saisie'!$W$5:$W$2004,W691,'Saisie'!$C$5:$C$2004,"&lt;&gt;"&amp;C691)&gt;0),"⚠ Numéro déjà utilisé par un autre prospect",IF(AND(J691&lt;&gt;"",J691&lt;A691),"⚠ Relance avant la date de l'action",IF(A691&gt;TODAY(),"⚠ Date dans le futur","✓"))))))))</f>
        <v/>
      </c>
      <c r="AS691" s="61">
        <f>IF(AND(A691="",C691="",E691=""),"",ROW())</f>
        <v/>
      </c>
      <c r="AT691" s="61">
        <f>IF(E691&amp;F691="","",MAX(IFERROR(INDEX('Paramètres'!$J$6:$J$33,MATCH(E691,'Paramètres'!$I$6:$I$33,0)),0),IFERROR(INDEX('Paramètres'!$N$6:$N$17,MATCH(F691,'Paramètres'!$M$6:$M$17,0)),0)))</f>
        <v/>
      </c>
      <c r="AU691" s="61">
        <f>IF(E691="","",IFERROR(IF(INDEX('Paramètres'!$K$6:$K$33,MATCH(E691,'Paramètres'!$I$6:$I$33,0))="Oui",1,0),0))</f>
        <v/>
      </c>
      <c r="AV691" s="61">
        <f>IF(F691="","",IFERROR(IF(INDEX('Paramètres'!$O$6:$O$17,MATCH(F691,'Paramètres'!$M$6:$M$17,0))="Oui",1,0),0))</f>
        <v/>
      </c>
      <c r="AW691" s="62">
        <f>IF(E691="","",IF(G691&lt;&gt;"",G691,IF(OR(E691="Proposition envoyée",E691="Signature"),MAX(0,N(IFERROR(INDEX('Paramètres'!$R$6:$R$15,MATCH(IF(AL691&lt;&gt;"",AL691,IFERROR(INDEX('Prospects'!$AN$5:$AN$504,MATCH(C691,'Prospects'!$C$5:$C$504,0)),"")),'Paramètres'!$Q$6:$Q$15,0)),0))-N(P691)),0)))</f>
        <v/>
      </c>
      <c r="AX691" s="61">
        <f>IF(C691="","",IF(COUNTIF($C$5:C691,C691)=1,MAX($AX$4:AX690)+1,""))</f>
        <v/>
      </c>
      <c r="AY691" s="61">
        <f>IF(B691="","",HOUR(B691))</f>
        <v/>
      </c>
      <c r="AZ691" s="61">
        <f>IF(A691="","",MOD(A691-2,7)+1)</f>
        <v/>
      </c>
      <c r="BA691" s="60">
        <f>IF(C691="","",IFERROR(INDEX('Prospects'!$N$5:$N$504,MATCH(C691,'Prospects'!$C$5:$C$504,0)),""))</f>
        <v/>
      </c>
      <c r="BB691" s="61">
        <f>IF(AND(C691&lt;&gt;"",C691='Fiche prospect'!$C$4),COUNTIF($C$5:C691,C691),"")</f>
        <v/>
      </c>
    </row>
    <row r="692">
      <c r="A692" s="53" t="n"/>
      <c r="B692" s="54" t="n"/>
      <c r="C692" s="55" t="n"/>
      <c r="D692" s="55" t="n"/>
      <c r="E692" s="55" t="n"/>
      <c r="F692" s="55" t="n"/>
      <c r="G692" s="56" t="n"/>
      <c r="H692" s="57" t="n"/>
      <c r="I692" s="55" t="n"/>
      <c r="J692" s="53" t="n"/>
      <c r="K692" s="54" t="n"/>
      <c r="L692" s="55" t="n"/>
      <c r="M692" s="55" t="n"/>
      <c r="N692" s="57" t="n"/>
      <c r="O692" s="55" t="n"/>
      <c r="P692" s="56" t="n"/>
      <c r="Q692" s="55" t="n"/>
      <c r="R692" s="55" t="n"/>
      <c r="S692" s="55" t="n"/>
      <c r="T692" s="55" t="n"/>
      <c r="U692" s="55" t="n"/>
      <c r="V692" s="55" t="n"/>
      <c r="W692" s="58" t="n"/>
      <c r="X692" s="58" t="n"/>
      <c r="Y692" s="55" t="n"/>
      <c r="Z692" s="55" t="n"/>
      <c r="AA692" s="55" t="n"/>
      <c r="AB692" s="55" t="n"/>
      <c r="AC692" s="55" t="n"/>
      <c r="AD692" s="53" t="n"/>
      <c r="AE692" s="55" t="n"/>
      <c r="AF692" s="55" t="n"/>
      <c r="AG692" s="59" t="n"/>
      <c r="AH692" s="57" t="n"/>
      <c r="AI692" s="55" t="n"/>
      <c r="AJ692" s="55" t="n"/>
      <c r="AK692" s="55" t="n"/>
      <c r="AL692" s="55" t="n"/>
      <c r="AM692" s="56" t="n"/>
      <c r="AN692" s="55" t="n"/>
      <c r="AO692" s="55" t="n"/>
      <c r="AP692" s="55" t="n"/>
      <c r="AQ692" s="55" t="n"/>
      <c r="AR692" s="60">
        <f>IF(AND(C692="",E692=""),"",IF(A692="","⚠ Date manquante",IF(AND(C692="",E692&lt;&gt;"Dépense"),"⚠ Prospect manquant",IF(E692="","⚠ Action manquante",IF(AND(AU692=1,D692=""),"⚠ Canal manquant",IF(AND(W692&lt;&gt;"",COUNTIFS('Saisie'!$W$5:$W$2004,W692,'Saisie'!$C$5:$C$2004,"&lt;&gt;"&amp;C692)&gt;0),"⚠ Numéro déjà utilisé par un autre prospect",IF(AND(J692&lt;&gt;"",J692&lt;A692),"⚠ Relance avant la date de l'action",IF(A692&gt;TODAY(),"⚠ Date dans le futur","✓"))))))))</f>
        <v/>
      </c>
      <c r="AS692" s="61">
        <f>IF(AND(A692="",C692="",E692=""),"",ROW())</f>
        <v/>
      </c>
      <c r="AT692" s="61">
        <f>IF(E692&amp;F692="","",MAX(IFERROR(INDEX('Paramètres'!$J$6:$J$33,MATCH(E692,'Paramètres'!$I$6:$I$33,0)),0),IFERROR(INDEX('Paramètres'!$N$6:$N$17,MATCH(F692,'Paramètres'!$M$6:$M$17,0)),0)))</f>
        <v/>
      </c>
      <c r="AU692" s="61">
        <f>IF(E692="","",IFERROR(IF(INDEX('Paramètres'!$K$6:$K$33,MATCH(E692,'Paramètres'!$I$6:$I$33,0))="Oui",1,0),0))</f>
        <v/>
      </c>
      <c r="AV692" s="61">
        <f>IF(F692="","",IFERROR(IF(INDEX('Paramètres'!$O$6:$O$17,MATCH(F692,'Paramètres'!$M$6:$M$17,0))="Oui",1,0),0))</f>
        <v/>
      </c>
      <c r="AW692" s="62">
        <f>IF(E692="","",IF(G692&lt;&gt;"",G692,IF(OR(E692="Proposition envoyée",E692="Signature"),MAX(0,N(IFERROR(INDEX('Paramètres'!$R$6:$R$15,MATCH(IF(AL692&lt;&gt;"",AL692,IFERROR(INDEX('Prospects'!$AN$5:$AN$504,MATCH(C692,'Prospects'!$C$5:$C$504,0)),"")),'Paramètres'!$Q$6:$Q$15,0)),0))-N(P692)),0)))</f>
        <v/>
      </c>
      <c r="AX692" s="61">
        <f>IF(C692="","",IF(COUNTIF($C$5:C692,C692)=1,MAX($AX$4:AX691)+1,""))</f>
        <v/>
      </c>
      <c r="AY692" s="61">
        <f>IF(B692="","",HOUR(B692))</f>
        <v/>
      </c>
      <c r="AZ692" s="61">
        <f>IF(A692="","",MOD(A692-2,7)+1)</f>
        <v/>
      </c>
      <c r="BA692" s="60">
        <f>IF(C692="","",IFERROR(INDEX('Prospects'!$N$5:$N$504,MATCH(C692,'Prospects'!$C$5:$C$504,0)),""))</f>
        <v/>
      </c>
      <c r="BB692" s="61">
        <f>IF(AND(C692&lt;&gt;"",C692='Fiche prospect'!$C$4),COUNTIF($C$5:C692,C692),"")</f>
        <v/>
      </c>
    </row>
    <row r="693">
      <c r="A693" s="53" t="n"/>
      <c r="B693" s="54" t="n"/>
      <c r="C693" s="55" t="n"/>
      <c r="D693" s="55" t="n"/>
      <c r="E693" s="55" t="n"/>
      <c r="F693" s="55" t="n"/>
      <c r="G693" s="56" t="n"/>
      <c r="H693" s="57" t="n"/>
      <c r="I693" s="55" t="n"/>
      <c r="J693" s="53" t="n"/>
      <c r="K693" s="54" t="n"/>
      <c r="L693" s="55" t="n"/>
      <c r="M693" s="55" t="n"/>
      <c r="N693" s="57" t="n"/>
      <c r="O693" s="55" t="n"/>
      <c r="P693" s="56" t="n"/>
      <c r="Q693" s="55" t="n"/>
      <c r="R693" s="55" t="n"/>
      <c r="S693" s="55" t="n"/>
      <c r="T693" s="55" t="n"/>
      <c r="U693" s="55" t="n"/>
      <c r="V693" s="55" t="n"/>
      <c r="W693" s="58" t="n"/>
      <c r="X693" s="58" t="n"/>
      <c r="Y693" s="55" t="n"/>
      <c r="Z693" s="55" t="n"/>
      <c r="AA693" s="55" t="n"/>
      <c r="AB693" s="55" t="n"/>
      <c r="AC693" s="55" t="n"/>
      <c r="AD693" s="53" t="n"/>
      <c r="AE693" s="55" t="n"/>
      <c r="AF693" s="55" t="n"/>
      <c r="AG693" s="59" t="n"/>
      <c r="AH693" s="57" t="n"/>
      <c r="AI693" s="55" t="n"/>
      <c r="AJ693" s="55" t="n"/>
      <c r="AK693" s="55" t="n"/>
      <c r="AL693" s="55" t="n"/>
      <c r="AM693" s="56" t="n"/>
      <c r="AN693" s="55" t="n"/>
      <c r="AO693" s="55" t="n"/>
      <c r="AP693" s="55" t="n"/>
      <c r="AQ693" s="55" t="n"/>
      <c r="AR693" s="60">
        <f>IF(AND(C693="",E693=""),"",IF(A693="","⚠ Date manquante",IF(AND(C693="",E693&lt;&gt;"Dépense"),"⚠ Prospect manquant",IF(E693="","⚠ Action manquante",IF(AND(AU693=1,D693=""),"⚠ Canal manquant",IF(AND(W693&lt;&gt;"",COUNTIFS('Saisie'!$W$5:$W$2004,W693,'Saisie'!$C$5:$C$2004,"&lt;&gt;"&amp;C693)&gt;0),"⚠ Numéro déjà utilisé par un autre prospect",IF(AND(J693&lt;&gt;"",J693&lt;A693),"⚠ Relance avant la date de l'action",IF(A693&gt;TODAY(),"⚠ Date dans le futur","✓"))))))))</f>
        <v/>
      </c>
      <c r="AS693" s="61">
        <f>IF(AND(A693="",C693="",E693=""),"",ROW())</f>
        <v/>
      </c>
      <c r="AT693" s="61">
        <f>IF(E693&amp;F693="","",MAX(IFERROR(INDEX('Paramètres'!$J$6:$J$33,MATCH(E693,'Paramètres'!$I$6:$I$33,0)),0),IFERROR(INDEX('Paramètres'!$N$6:$N$17,MATCH(F693,'Paramètres'!$M$6:$M$17,0)),0)))</f>
        <v/>
      </c>
      <c r="AU693" s="61">
        <f>IF(E693="","",IFERROR(IF(INDEX('Paramètres'!$K$6:$K$33,MATCH(E693,'Paramètres'!$I$6:$I$33,0))="Oui",1,0),0))</f>
        <v/>
      </c>
      <c r="AV693" s="61">
        <f>IF(F693="","",IFERROR(IF(INDEX('Paramètres'!$O$6:$O$17,MATCH(F693,'Paramètres'!$M$6:$M$17,0))="Oui",1,0),0))</f>
        <v/>
      </c>
      <c r="AW693" s="62">
        <f>IF(E693="","",IF(G693&lt;&gt;"",G693,IF(OR(E693="Proposition envoyée",E693="Signature"),MAX(0,N(IFERROR(INDEX('Paramètres'!$R$6:$R$15,MATCH(IF(AL693&lt;&gt;"",AL693,IFERROR(INDEX('Prospects'!$AN$5:$AN$504,MATCH(C693,'Prospects'!$C$5:$C$504,0)),"")),'Paramètres'!$Q$6:$Q$15,0)),0))-N(P693)),0)))</f>
        <v/>
      </c>
      <c r="AX693" s="61">
        <f>IF(C693="","",IF(COUNTIF($C$5:C693,C693)=1,MAX($AX$4:AX692)+1,""))</f>
        <v/>
      </c>
      <c r="AY693" s="61">
        <f>IF(B693="","",HOUR(B693))</f>
        <v/>
      </c>
      <c r="AZ693" s="61">
        <f>IF(A693="","",MOD(A693-2,7)+1)</f>
        <v/>
      </c>
      <c r="BA693" s="60">
        <f>IF(C693="","",IFERROR(INDEX('Prospects'!$N$5:$N$504,MATCH(C693,'Prospects'!$C$5:$C$504,0)),""))</f>
        <v/>
      </c>
      <c r="BB693" s="61">
        <f>IF(AND(C693&lt;&gt;"",C693='Fiche prospect'!$C$4),COUNTIF($C$5:C693,C693),"")</f>
        <v/>
      </c>
    </row>
    <row r="694">
      <c r="A694" s="53" t="n"/>
      <c r="B694" s="54" t="n"/>
      <c r="C694" s="55" t="n"/>
      <c r="D694" s="55" t="n"/>
      <c r="E694" s="55" t="n"/>
      <c r="F694" s="55" t="n"/>
      <c r="G694" s="56" t="n"/>
      <c r="H694" s="57" t="n"/>
      <c r="I694" s="55" t="n"/>
      <c r="J694" s="53" t="n"/>
      <c r="K694" s="54" t="n"/>
      <c r="L694" s="55" t="n"/>
      <c r="M694" s="55" t="n"/>
      <c r="N694" s="57" t="n"/>
      <c r="O694" s="55" t="n"/>
      <c r="P694" s="56" t="n"/>
      <c r="Q694" s="55" t="n"/>
      <c r="R694" s="55" t="n"/>
      <c r="S694" s="55" t="n"/>
      <c r="T694" s="55" t="n"/>
      <c r="U694" s="55" t="n"/>
      <c r="V694" s="55" t="n"/>
      <c r="W694" s="58" t="n"/>
      <c r="X694" s="58" t="n"/>
      <c r="Y694" s="55" t="n"/>
      <c r="Z694" s="55" t="n"/>
      <c r="AA694" s="55" t="n"/>
      <c r="AB694" s="55" t="n"/>
      <c r="AC694" s="55" t="n"/>
      <c r="AD694" s="53" t="n"/>
      <c r="AE694" s="55" t="n"/>
      <c r="AF694" s="55" t="n"/>
      <c r="AG694" s="59" t="n"/>
      <c r="AH694" s="57" t="n"/>
      <c r="AI694" s="55" t="n"/>
      <c r="AJ694" s="55" t="n"/>
      <c r="AK694" s="55" t="n"/>
      <c r="AL694" s="55" t="n"/>
      <c r="AM694" s="56" t="n"/>
      <c r="AN694" s="55" t="n"/>
      <c r="AO694" s="55" t="n"/>
      <c r="AP694" s="55" t="n"/>
      <c r="AQ694" s="55" t="n"/>
      <c r="AR694" s="60">
        <f>IF(AND(C694="",E694=""),"",IF(A694="","⚠ Date manquante",IF(AND(C694="",E694&lt;&gt;"Dépense"),"⚠ Prospect manquant",IF(E694="","⚠ Action manquante",IF(AND(AU694=1,D694=""),"⚠ Canal manquant",IF(AND(W694&lt;&gt;"",COUNTIFS('Saisie'!$W$5:$W$2004,W694,'Saisie'!$C$5:$C$2004,"&lt;&gt;"&amp;C694)&gt;0),"⚠ Numéro déjà utilisé par un autre prospect",IF(AND(J694&lt;&gt;"",J694&lt;A694),"⚠ Relance avant la date de l'action",IF(A694&gt;TODAY(),"⚠ Date dans le futur","✓"))))))))</f>
        <v/>
      </c>
      <c r="AS694" s="61">
        <f>IF(AND(A694="",C694="",E694=""),"",ROW())</f>
        <v/>
      </c>
      <c r="AT694" s="61">
        <f>IF(E694&amp;F694="","",MAX(IFERROR(INDEX('Paramètres'!$J$6:$J$33,MATCH(E694,'Paramètres'!$I$6:$I$33,0)),0),IFERROR(INDEX('Paramètres'!$N$6:$N$17,MATCH(F694,'Paramètres'!$M$6:$M$17,0)),0)))</f>
        <v/>
      </c>
      <c r="AU694" s="61">
        <f>IF(E694="","",IFERROR(IF(INDEX('Paramètres'!$K$6:$K$33,MATCH(E694,'Paramètres'!$I$6:$I$33,0))="Oui",1,0),0))</f>
        <v/>
      </c>
      <c r="AV694" s="61">
        <f>IF(F694="","",IFERROR(IF(INDEX('Paramètres'!$O$6:$O$17,MATCH(F694,'Paramètres'!$M$6:$M$17,0))="Oui",1,0),0))</f>
        <v/>
      </c>
      <c r="AW694" s="62">
        <f>IF(E694="","",IF(G694&lt;&gt;"",G694,IF(OR(E694="Proposition envoyée",E694="Signature"),MAX(0,N(IFERROR(INDEX('Paramètres'!$R$6:$R$15,MATCH(IF(AL694&lt;&gt;"",AL694,IFERROR(INDEX('Prospects'!$AN$5:$AN$504,MATCH(C694,'Prospects'!$C$5:$C$504,0)),"")),'Paramètres'!$Q$6:$Q$15,0)),0))-N(P694)),0)))</f>
        <v/>
      </c>
      <c r="AX694" s="61">
        <f>IF(C694="","",IF(COUNTIF($C$5:C694,C694)=1,MAX($AX$4:AX693)+1,""))</f>
        <v/>
      </c>
      <c r="AY694" s="61">
        <f>IF(B694="","",HOUR(B694))</f>
        <v/>
      </c>
      <c r="AZ694" s="61">
        <f>IF(A694="","",MOD(A694-2,7)+1)</f>
        <v/>
      </c>
      <c r="BA694" s="60">
        <f>IF(C694="","",IFERROR(INDEX('Prospects'!$N$5:$N$504,MATCH(C694,'Prospects'!$C$5:$C$504,0)),""))</f>
        <v/>
      </c>
      <c r="BB694" s="61">
        <f>IF(AND(C694&lt;&gt;"",C694='Fiche prospect'!$C$4),COUNTIF($C$5:C694,C694),"")</f>
        <v/>
      </c>
    </row>
    <row r="695">
      <c r="A695" s="53" t="n"/>
      <c r="B695" s="54" t="n"/>
      <c r="C695" s="55" t="n"/>
      <c r="D695" s="55" t="n"/>
      <c r="E695" s="55" t="n"/>
      <c r="F695" s="55" t="n"/>
      <c r="G695" s="56" t="n"/>
      <c r="H695" s="57" t="n"/>
      <c r="I695" s="55" t="n"/>
      <c r="J695" s="53" t="n"/>
      <c r="K695" s="54" t="n"/>
      <c r="L695" s="55" t="n"/>
      <c r="M695" s="55" t="n"/>
      <c r="N695" s="57" t="n"/>
      <c r="O695" s="55" t="n"/>
      <c r="P695" s="56" t="n"/>
      <c r="Q695" s="55" t="n"/>
      <c r="R695" s="55" t="n"/>
      <c r="S695" s="55" t="n"/>
      <c r="T695" s="55" t="n"/>
      <c r="U695" s="55" t="n"/>
      <c r="V695" s="55" t="n"/>
      <c r="W695" s="58" t="n"/>
      <c r="X695" s="58" t="n"/>
      <c r="Y695" s="55" t="n"/>
      <c r="Z695" s="55" t="n"/>
      <c r="AA695" s="55" t="n"/>
      <c r="AB695" s="55" t="n"/>
      <c r="AC695" s="55" t="n"/>
      <c r="AD695" s="53" t="n"/>
      <c r="AE695" s="55" t="n"/>
      <c r="AF695" s="55" t="n"/>
      <c r="AG695" s="59" t="n"/>
      <c r="AH695" s="57" t="n"/>
      <c r="AI695" s="55" t="n"/>
      <c r="AJ695" s="55" t="n"/>
      <c r="AK695" s="55" t="n"/>
      <c r="AL695" s="55" t="n"/>
      <c r="AM695" s="56" t="n"/>
      <c r="AN695" s="55" t="n"/>
      <c r="AO695" s="55" t="n"/>
      <c r="AP695" s="55" t="n"/>
      <c r="AQ695" s="55" t="n"/>
      <c r="AR695" s="60">
        <f>IF(AND(C695="",E695=""),"",IF(A695="","⚠ Date manquante",IF(AND(C695="",E695&lt;&gt;"Dépense"),"⚠ Prospect manquant",IF(E695="","⚠ Action manquante",IF(AND(AU695=1,D695=""),"⚠ Canal manquant",IF(AND(W695&lt;&gt;"",COUNTIFS('Saisie'!$W$5:$W$2004,W695,'Saisie'!$C$5:$C$2004,"&lt;&gt;"&amp;C695)&gt;0),"⚠ Numéro déjà utilisé par un autre prospect",IF(AND(J695&lt;&gt;"",J695&lt;A695),"⚠ Relance avant la date de l'action",IF(A695&gt;TODAY(),"⚠ Date dans le futur","✓"))))))))</f>
        <v/>
      </c>
      <c r="AS695" s="61">
        <f>IF(AND(A695="",C695="",E695=""),"",ROW())</f>
        <v/>
      </c>
      <c r="AT695" s="61">
        <f>IF(E695&amp;F695="","",MAX(IFERROR(INDEX('Paramètres'!$J$6:$J$33,MATCH(E695,'Paramètres'!$I$6:$I$33,0)),0),IFERROR(INDEX('Paramètres'!$N$6:$N$17,MATCH(F695,'Paramètres'!$M$6:$M$17,0)),0)))</f>
        <v/>
      </c>
      <c r="AU695" s="61">
        <f>IF(E695="","",IFERROR(IF(INDEX('Paramètres'!$K$6:$K$33,MATCH(E695,'Paramètres'!$I$6:$I$33,0))="Oui",1,0),0))</f>
        <v/>
      </c>
      <c r="AV695" s="61">
        <f>IF(F695="","",IFERROR(IF(INDEX('Paramètres'!$O$6:$O$17,MATCH(F695,'Paramètres'!$M$6:$M$17,0))="Oui",1,0),0))</f>
        <v/>
      </c>
      <c r="AW695" s="62">
        <f>IF(E695="","",IF(G695&lt;&gt;"",G695,IF(OR(E695="Proposition envoyée",E695="Signature"),MAX(0,N(IFERROR(INDEX('Paramètres'!$R$6:$R$15,MATCH(IF(AL695&lt;&gt;"",AL695,IFERROR(INDEX('Prospects'!$AN$5:$AN$504,MATCH(C695,'Prospects'!$C$5:$C$504,0)),"")),'Paramètres'!$Q$6:$Q$15,0)),0))-N(P695)),0)))</f>
        <v/>
      </c>
      <c r="AX695" s="61">
        <f>IF(C695="","",IF(COUNTIF($C$5:C695,C695)=1,MAX($AX$4:AX694)+1,""))</f>
        <v/>
      </c>
      <c r="AY695" s="61">
        <f>IF(B695="","",HOUR(B695))</f>
        <v/>
      </c>
      <c r="AZ695" s="61">
        <f>IF(A695="","",MOD(A695-2,7)+1)</f>
        <v/>
      </c>
      <c r="BA695" s="60">
        <f>IF(C695="","",IFERROR(INDEX('Prospects'!$N$5:$N$504,MATCH(C695,'Prospects'!$C$5:$C$504,0)),""))</f>
        <v/>
      </c>
      <c r="BB695" s="61">
        <f>IF(AND(C695&lt;&gt;"",C695='Fiche prospect'!$C$4),COUNTIF($C$5:C695,C695),"")</f>
        <v/>
      </c>
    </row>
    <row r="696">
      <c r="A696" s="53" t="n"/>
      <c r="B696" s="54" t="n"/>
      <c r="C696" s="55" t="n"/>
      <c r="D696" s="55" t="n"/>
      <c r="E696" s="55" t="n"/>
      <c r="F696" s="55" t="n"/>
      <c r="G696" s="56" t="n"/>
      <c r="H696" s="57" t="n"/>
      <c r="I696" s="55" t="n"/>
      <c r="J696" s="53" t="n"/>
      <c r="K696" s="54" t="n"/>
      <c r="L696" s="55" t="n"/>
      <c r="M696" s="55" t="n"/>
      <c r="N696" s="57" t="n"/>
      <c r="O696" s="55" t="n"/>
      <c r="P696" s="56" t="n"/>
      <c r="Q696" s="55" t="n"/>
      <c r="R696" s="55" t="n"/>
      <c r="S696" s="55" t="n"/>
      <c r="T696" s="55" t="n"/>
      <c r="U696" s="55" t="n"/>
      <c r="V696" s="55" t="n"/>
      <c r="W696" s="58" t="n"/>
      <c r="X696" s="58" t="n"/>
      <c r="Y696" s="55" t="n"/>
      <c r="Z696" s="55" t="n"/>
      <c r="AA696" s="55" t="n"/>
      <c r="AB696" s="55" t="n"/>
      <c r="AC696" s="55" t="n"/>
      <c r="AD696" s="53" t="n"/>
      <c r="AE696" s="55" t="n"/>
      <c r="AF696" s="55" t="n"/>
      <c r="AG696" s="59" t="n"/>
      <c r="AH696" s="57" t="n"/>
      <c r="AI696" s="55" t="n"/>
      <c r="AJ696" s="55" t="n"/>
      <c r="AK696" s="55" t="n"/>
      <c r="AL696" s="55" t="n"/>
      <c r="AM696" s="56" t="n"/>
      <c r="AN696" s="55" t="n"/>
      <c r="AO696" s="55" t="n"/>
      <c r="AP696" s="55" t="n"/>
      <c r="AQ696" s="55" t="n"/>
      <c r="AR696" s="60">
        <f>IF(AND(C696="",E696=""),"",IF(A696="","⚠ Date manquante",IF(AND(C696="",E696&lt;&gt;"Dépense"),"⚠ Prospect manquant",IF(E696="","⚠ Action manquante",IF(AND(AU696=1,D696=""),"⚠ Canal manquant",IF(AND(W696&lt;&gt;"",COUNTIFS('Saisie'!$W$5:$W$2004,W696,'Saisie'!$C$5:$C$2004,"&lt;&gt;"&amp;C696)&gt;0),"⚠ Numéro déjà utilisé par un autre prospect",IF(AND(J696&lt;&gt;"",J696&lt;A696),"⚠ Relance avant la date de l'action",IF(A696&gt;TODAY(),"⚠ Date dans le futur","✓"))))))))</f>
        <v/>
      </c>
      <c r="AS696" s="61">
        <f>IF(AND(A696="",C696="",E696=""),"",ROW())</f>
        <v/>
      </c>
      <c r="AT696" s="61">
        <f>IF(E696&amp;F696="","",MAX(IFERROR(INDEX('Paramètres'!$J$6:$J$33,MATCH(E696,'Paramètres'!$I$6:$I$33,0)),0),IFERROR(INDEX('Paramètres'!$N$6:$N$17,MATCH(F696,'Paramètres'!$M$6:$M$17,0)),0)))</f>
        <v/>
      </c>
      <c r="AU696" s="61">
        <f>IF(E696="","",IFERROR(IF(INDEX('Paramètres'!$K$6:$K$33,MATCH(E696,'Paramètres'!$I$6:$I$33,0))="Oui",1,0),0))</f>
        <v/>
      </c>
      <c r="AV696" s="61">
        <f>IF(F696="","",IFERROR(IF(INDEX('Paramètres'!$O$6:$O$17,MATCH(F696,'Paramètres'!$M$6:$M$17,0))="Oui",1,0),0))</f>
        <v/>
      </c>
      <c r="AW696" s="62">
        <f>IF(E696="","",IF(G696&lt;&gt;"",G696,IF(OR(E696="Proposition envoyée",E696="Signature"),MAX(0,N(IFERROR(INDEX('Paramètres'!$R$6:$R$15,MATCH(IF(AL696&lt;&gt;"",AL696,IFERROR(INDEX('Prospects'!$AN$5:$AN$504,MATCH(C696,'Prospects'!$C$5:$C$504,0)),"")),'Paramètres'!$Q$6:$Q$15,0)),0))-N(P696)),0)))</f>
        <v/>
      </c>
      <c r="AX696" s="61">
        <f>IF(C696="","",IF(COUNTIF($C$5:C696,C696)=1,MAX($AX$4:AX695)+1,""))</f>
        <v/>
      </c>
      <c r="AY696" s="61">
        <f>IF(B696="","",HOUR(B696))</f>
        <v/>
      </c>
      <c r="AZ696" s="61">
        <f>IF(A696="","",MOD(A696-2,7)+1)</f>
        <v/>
      </c>
      <c r="BA696" s="60">
        <f>IF(C696="","",IFERROR(INDEX('Prospects'!$N$5:$N$504,MATCH(C696,'Prospects'!$C$5:$C$504,0)),""))</f>
        <v/>
      </c>
      <c r="BB696" s="61">
        <f>IF(AND(C696&lt;&gt;"",C696='Fiche prospect'!$C$4),COUNTIF($C$5:C696,C696),"")</f>
        <v/>
      </c>
    </row>
    <row r="697">
      <c r="A697" s="53" t="n"/>
      <c r="B697" s="54" t="n"/>
      <c r="C697" s="55" t="n"/>
      <c r="D697" s="55" t="n"/>
      <c r="E697" s="55" t="n"/>
      <c r="F697" s="55" t="n"/>
      <c r="G697" s="56" t="n"/>
      <c r="H697" s="57" t="n"/>
      <c r="I697" s="55" t="n"/>
      <c r="J697" s="53" t="n"/>
      <c r="K697" s="54" t="n"/>
      <c r="L697" s="55" t="n"/>
      <c r="M697" s="55" t="n"/>
      <c r="N697" s="57" t="n"/>
      <c r="O697" s="55" t="n"/>
      <c r="P697" s="56" t="n"/>
      <c r="Q697" s="55" t="n"/>
      <c r="R697" s="55" t="n"/>
      <c r="S697" s="55" t="n"/>
      <c r="T697" s="55" t="n"/>
      <c r="U697" s="55" t="n"/>
      <c r="V697" s="55" t="n"/>
      <c r="W697" s="58" t="n"/>
      <c r="X697" s="58" t="n"/>
      <c r="Y697" s="55" t="n"/>
      <c r="Z697" s="55" t="n"/>
      <c r="AA697" s="55" t="n"/>
      <c r="AB697" s="55" t="n"/>
      <c r="AC697" s="55" t="n"/>
      <c r="AD697" s="53" t="n"/>
      <c r="AE697" s="55" t="n"/>
      <c r="AF697" s="55" t="n"/>
      <c r="AG697" s="59" t="n"/>
      <c r="AH697" s="57" t="n"/>
      <c r="AI697" s="55" t="n"/>
      <c r="AJ697" s="55" t="n"/>
      <c r="AK697" s="55" t="n"/>
      <c r="AL697" s="55" t="n"/>
      <c r="AM697" s="56" t="n"/>
      <c r="AN697" s="55" t="n"/>
      <c r="AO697" s="55" t="n"/>
      <c r="AP697" s="55" t="n"/>
      <c r="AQ697" s="55" t="n"/>
      <c r="AR697" s="60">
        <f>IF(AND(C697="",E697=""),"",IF(A697="","⚠ Date manquante",IF(AND(C697="",E697&lt;&gt;"Dépense"),"⚠ Prospect manquant",IF(E697="","⚠ Action manquante",IF(AND(AU697=1,D697=""),"⚠ Canal manquant",IF(AND(W697&lt;&gt;"",COUNTIFS('Saisie'!$W$5:$W$2004,W697,'Saisie'!$C$5:$C$2004,"&lt;&gt;"&amp;C697)&gt;0),"⚠ Numéro déjà utilisé par un autre prospect",IF(AND(J697&lt;&gt;"",J697&lt;A697),"⚠ Relance avant la date de l'action",IF(A697&gt;TODAY(),"⚠ Date dans le futur","✓"))))))))</f>
        <v/>
      </c>
      <c r="AS697" s="61">
        <f>IF(AND(A697="",C697="",E697=""),"",ROW())</f>
        <v/>
      </c>
      <c r="AT697" s="61">
        <f>IF(E697&amp;F697="","",MAX(IFERROR(INDEX('Paramètres'!$J$6:$J$33,MATCH(E697,'Paramètres'!$I$6:$I$33,0)),0),IFERROR(INDEX('Paramètres'!$N$6:$N$17,MATCH(F697,'Paramètres'!$M$6:$M$17,0)),0)))</f>
        <v/>
      </c>
      <c r="AU697" s="61">
        <f>IF(E697="","",IFERROR(IF(INDEX('Paramètres'!$K$6:$K$33,MATCH(E697,'Paramètres'!$I$6:$I$33,0))="Oui",1,0),0))</f>
        <v/>
      </c>
      <c r="AV697" s="61">
        <f>IF(F697="","",IFERROR(IF(INDEX('Paramètres'!$O$6:$O$17,MATCH(F697,'Paramètres'!$M$6:$M$17,0))="Oui",1,0),0))</f>
        <v/>
      </c>
      <c r="AW697" s="62">
        <f>IF(E697="","",IF(G697&lt;&gt;"",G697,IF(OR(E697="Proposition envoyée",E697="Signature"),MAX(0,N(IFERROR(INDEX('Paramètres'!$R$6:$R$15,MATCH(IF(AL697&lt;&gt;"",AL697,IFERROR(INDEX('Prospects'!$AN$5:$AN$504,MATCH(C697,'Prospects'!$C$5:$C$504,0)),"")),'Paramètres'!$Q$6:$Q$15,0)),0))-N(P697)),0)))</f>
        <v/>
      </c>
      <c r="AX697" s="61">
        <f>IF(C697="","",IF(COUNTIF($C$5:C697,C697)=1,MAX($AX$4:AX696)+1,""))</f>
        <v/>
      </c>
      <c r="AY697" s="61">
        <f>IF(B697="","",HOUR(B697))</f>
        <v/>
      </c>
      <c r="AZ697" s="61">
        <f>IF(A697="","",MOD(A697-2,7)+1)</f>
        <v/>
      </c>
      <c r="BA697" s="60">
        <f>IF(C697="","",IFERROR(INDEX('Prospects'!$N$5:$N$504,MATCH(C697,'Prospects'!$C$5:$C$504,0)),""))</f>
        <v/>
      </c>
      <c r="BB697" s="61">
        <f>IF(AND(C697&lt;&gt;"",C697='Fiche prospect'!$C$4),COUNTIF($C$5:C697,C697),"")</f>
        <v/>
      </c>
    </row>
    <row r="698">
      <c r="A698" s="53" t="n"/>
      <c r="B698" s="54" t="n"/>
      <c r="C698" s="55" t="n"/>
      <c r="D698" s="55" t="n"/>
      <c r="E698" s="55" t="n"/>
      <c r="F698" s="55" t="n"/>
      <c r="G698" s="56" t="n"/>
      <c r="H698" s="57" t="n"/>
      <c r="I698" s="55" t="n"/>
      <c r="J698" s="53" t="n"/>
      <c r="K698" s="54" t="n"/>
      <c r="L698" s="55" t="n"/>
      <c r="M698" s="55" t="n"/>
      <c r="N698" s="57" t="n"/>
      <c r="O698" s="55" t="n"/>
      <c r="P698" s="56" t="n"/>
      <c r="Q698" s="55" t="n"/>
      <c r="R698" s="55" t="n"/>
      <c r="S698" s="55" t="n"/>
      <c r="T698" s="55" t="n"/>
      <c r="U698" s="55" t="n"/>
      <c r="V698" s="55" t="n"/>
      <c r="W698" s="58" t="n"/>
      <c r="X698" s="58" t="n"/>
      <c r="Y698" s="55" t="n"/>
      <c r="Z698" s="55" t="n"/>
      <c r="AA698" s="55" t="n"/>
      <c r="AB698" s="55" t="n"/>
      <c r="AC698" s="55" t="n"/>
      <c r="AD698" s="53" t="n"/>
      <c r="AE698" s="55" t="n"/>
      <c r="AF698" s="55" t="n"/>
      <c r="AG698" s="59" t="n"/>
      <c r="AH698" s="57" t="n"/>
      <c r="AI698" s="55" t="n"/>
      <c r="AJ698" s="55" t="n"/>
      <c r="AK698" s="55" t="n"/>
      <c r="AL698" s="55" t="n"/>
      <c r="AM698" s="56" t="n"/>
      <c r="AN698" s="55" t="n"/>
      <c r="AO698" s="55" t="n"/>
      <c r="AP698" s="55" t="n"/>
      <c r="AQ698" s="55" t="n"/>
      <c r="AR698" s="60">
        <f>IF(AND(C698="",E698=""),"",IF(A698="","⚠ Date manquante",IF(AND(C698="",E698&lt;&gt;"Dépense"),"⚠ Prospect manquant",IF(E698="","⚠ Action manquante",IF(AND(AU698=1,D698=""),"⚠ Canal manquant",IF(AND(W698&lt;&gt;"",COUNTIFS('Saisie'!$W$5:$W$2004,W698,'Saisie'!$C$5:$C$2004,"&lt;&gt;"&amp;C698)&gt;0),"⚠ Numéro déjà utilisé par un autre prospect",IF(AND(J698&lt;&gt;"",J698&lt;A698),"⚠ Relance avant la date de l'action",IF(A698&gt;TODAY(),"⚠ Date dans le futur","✓"))))))))</f>
        <v/>
      </c>
      <c r="AS698" s="61">
        <f>IF(AND(A698="",C698="",E698=""),"",ROW())</f>
        <v/>
      </c>
      <c r="AT698" s="61">
        <f>IF(E698&amp;F698="","",MAX(IFERROR(INDEX('Paramètres'!$J$6:$J$33,MATCH(E698,'Paramètres'!$I$6:$I$33,0)),0),IFERROR(INDEX('Paramètres'!$N$6:$N$17,MATCH(F698,'Paramètres'!$M$6:$M$17,0)),0)))</f>
        <v/>
      </c>
      <c r="AU698" s="61">
        <f>IF(E698="","",IFERROR(IF(INDEX('Paramètres'!$K$6:$K$33,MATCH(E698,'Paramètres'!$I$6:$I$33,0))="Oui",1,0),0))</f>
        <v/>
      </c>
      <c r="AV698" s="61">
        <f>IF(F698="","",IFERROR(IF(INDEX('Paramètres'!$O$6:$O$17,MATCH(F698,'Paramètres'!$M$6:$M$17,0))="Oui",1,0),0))</f>
        <v/>
      </c>
      <c r="AW698" s="62">
        <f>IF(E698="","",IF(G698&lt;&gt;"",G698,IF(OR(E698="Proposition envoyée",E698="Signature"),MAX(0,N(IFERROR(INDEX('Paramètres'!$R$6:$R$15,MATCH(IF(AL698&lt;&gt;"",AL698,IFERROR(INDEX('Prospects'!$AN$5:$AN$504,MATCH(C698,'Prospects'!$C$5:$C$504,0)),"")),'Paramètres'!$Q$6:$Q$15,0)),0))-N(P698)),0)))</f>
        <v/>
      </c>
      <c r="AX698" s="61">
        <f>IF(C698="","",IF(COUNTIF($C$5:C698,C698)=1,MAX($AX$4:AX697)+1,""))</f>
        <v/>
      </c>
      <c r="AY698" s="61">
        <f>IF(B698="","",HOUR(B698))</f>
        <v/>
      </c>
      <c r="AZ698" s="61">
        <f>IF(A698="","",MOD(A698-2,7)+1)</f>
        <v/>
      </c>
      <c r="BA698" s="60">
        <f>IF(C698="","",IFERROR(INDEX('Prospects'!$N$5:$N$504,MATCH(C698,'Prospects'!$C$5:$C$504,0)),""))</f>
        <v/>
      </c>
      <c r="BB698" s="61">
        <f>IF(AND(C698&lt;&gt;"",C698='Fiche prospect'!$C$4),COUNTIF($C$5:C698,C698),"")</f>
        <v/>
      </c>
    </row>
    <row r="699">
      <c r="A699" s="53" t="n"/>
      <c r="B699" s="54" t="n"/>
      <c r="C699" s="55" t="n"/>
      <c r="D699" s="55" t="n"/>
      <c r="E699" s="55" t="n"/>
      <c r="F699" s="55" t="n"/>
      <c r="G699" s="56" t="n"/>
      <c r="H699" s="57" t="n"/>
      <c r="I699" s="55" t="n"/>
      <c r="J699" s="53" t="n"/>
      <c r="K699" s="54" t="n"/>
      <c r="L699" s="55" t="n"/>
      <c r="M699" s="55" t="n"/>
      <c r="N699" s="57" t="n"/>
      <c r="O699" s="55" t="n"/>
      <c r="P699" s="56" t="n"/>
      <c r="Q699" s="55" t="n"/>
      <c r="R699" s="55" t="n"/>
      <c r="S699" s="55" t="n"/>
      <c r="T699" s="55" t="n"/>
      <c r="U699" s="55" t="n"/>
      <c r="V699" s="55" t="n"/>
      <c r="W699" s="58" t="n"/>
      <c r="X699" s="58" t="n"/>
      <c r="Y699" s="55" t="n"/>
      <c r="Z699" s="55" t="n"/>
      <c r="AA699" s="55" t="n"/>
      <c r="AB699" s="55" t="n"/>
      <c r="AC699" s="55" t="n"/>
      <c r="AD699" s="53" t="n"/>
      <c r="AE699" s="55" t="n"/>
      <c r="AF699" s="55" t="n"/>
      <c r="AG699" s="59" t="n"/>
      <c r="AH699" s="57" t="n"/>
      <c r="AI699" s="55" t="n"/>
      <c r="AJ699" s="55" t="n"/>
      <c r="AK699" s="55" t="n"/>
      <c r="AL699" s="55" t="n"/>
      <c r="AM699" s="56" t="n"/>
      <c r="AN699" s="55" t="n"/>
      <c r="AO699" s="55" t="n"/>
      <c r="AP699" s="55" t="n"/>
      <c r="AQ699" s="55" t="n"/>
      <c r="AR699" s="60">
        <f>IF(AND(C699="",E699=""),"",IF(A699="","⚠ Date manquante",IF(AND(C699="",E699&lt;&gt;"Dépense"),"⚠ Prospect manquant",IF(E699="","⚠ Action manquante",IF(AND(AU699=1,D699=""),"⚠ Canal manquant",IF(AND(W699&lt;&gt;"",COUNTIFS('Saisie'!$W$5:$W$2004,W699,'Saisie'!$C$5:$C$2004,"&lt;&gt;"&amp;C699)&gt;0),"⚠ Numéro déjà utilisé par un autre prospect",IF(AND(J699&lt;&gt;"",J699&lt;A699),"⚠ Relance avant la date de l'action",IF(A699&gt;TODAY(),"⚠ Date dans le futur","✓"))))))))</f>
        <v/>
      </c>
      <c r="AS699" s="61">
        <f>IF(AND(A699="",C699="",E699=""),"",ROW())</f>
        <v/>
      </c>
      <c r="AT699" s="61">
        <f>IF(E699&amp;F699="","",MAX(IFERROR(INDEX('Paramètres'!$J$6:$J$33,MATCH(E699,'Paramètres'!$I$6:$I$33,0)),0),IFERROR(INDEX('Paramètres'!$N$6:$N$17,MATCH(F699,'Paramètres'!$M$6:$M$17,0)),0)))</f>
        <v/>
      </c>
      <c r="AU699" s="61">
        <f>IF(E699="","",IFERROR(IF(INDEX('Paramètres'!$K$6:$K$33,MATCH(E699,'Paramètres'!$I$6:$I$33,0))="Oui",1,0),0))</f>
        <v/>
      </c>
      <c r="AV699" s="61">
        <f>IF(F699="","",IFERROR(IF(INDEX('Paramètres'!$O$6:$O$17,MATCH(F699,'Paramètres'!$M$6:$M$17,0))="Oui",1,0),0))</f>
        <v/>
      </c>
      <c r="AW699" s="62">
        <f>IF(E699="","",IF(G699&lt;&gt;"",G699,IF(OR(E699="Proposition envoyée",E699="Signature"),MAX(0,N(IFERROR(INDEX('Paramètres'!$R$6:$R$15,MATCH(IF(AL699&lt;&gt;"",AL699,IFERROR(INDEX('Prospects'!$AN$5:$AN$504,MATCH(C699,'Prospects'!$C$5:$C$504,0)),"")),'Paramètres'!$Q$6:$Q$15,0)),0))-N(P699)),0)))</f>
        <v/>
      </c>
      <c r="AX699" s="61">
        <f>IF(C699="","",IF(COUNTIF($C$5:C699,C699)=1,MAX($AX$4:AX698)+1,""))</f>
        <v/>
      </c>
      <c r="AY699" s="61">
        <f>IF(B699="","",HOUR(B699))</f>
        <v/>
      </c>
      <c r="AZ699" s="61">
        <f>IF(A699="","",MOD(A699-2,7)+1)</f>
        <v/>
      </c>
      <c r="BA699" s="60">
        <f>IF(C699="","",IFERROR(INDEX('Prospects'!$N$5:$N$504,MATCH(C699,'Prospects'!$C$5:$C$504,0)),""))</f>
        <v/>
      </c>
      <c r="BB699" s="61">
        <f>IF(AND(C699&lt;&gt;"",C699='Fiche prospect'!$C$4),COUNTIF($C$5:C699,C699),"")</f>
        <v/>
      </c>
    </row>
    <row r="700">
      <c r="A700" s="53" t="n"/>
      <c r="B700" s="54" t="n"/>
      <c r="C700" s="55" t="n"/>
      <c r="D700" s="55" t="n"/>
      <c r="E700" s="55" t="n"/>
      <c r="F700" s="55" t="n"/>
      <c r="G700" s="56" t="n"/>
      <c r="H700" s="57" t="n"/>
      <c r="I700" s="55" t="n"/>
      <c r="J700" s="53" t="n"/>
      <c r="K700" s="54" t="n"/>
      <c r="L700" s="55" t="n"/>
      <c r="M700" s="55" t="n"/>
      <c r="N700" s="57" t="n"/>
      <c r="O700" s="55" t="n"/>
      <c r="P700" s="56" t="n"/>
      <c r="Q700" s="55" t="n"/>
      <c r="R700" s="55" t="n"/>
      <c r="S700" s="55" t="n"/>
      <c r="T700" s="55" t="n"/>
      <c r="U700" s="55" t="n"/>
      <c r="V700" s="55" t="n"/>
      <c r="W700" s="58" t="n"/>
      <c r="X700" s="58" t="n"/>
      <c r="Y700" s="55" t="n"/>
      <c r="Z700" s="55" t="n"/>
      <c r="AA700" s="55" t="n"/>
      <c r="AB700" s="55" t="n"/>
      <c r="AC700" s="55" t="n"/>
      <c r="AD700" s="53" t="n"/>
      <c r="AE700" s="55" t="n"/>
      <c r="AF700" s="55" t="n"/>
      <c r="AG700" s="59" t="n"/>
      <c r="AH700" s="57" t="n"/>
      <c r="AI700" s="55" t="n"/>
      <c r="AJ700" s="55" t="n"/>
      <c r="AK700" s="55" t="n"/>
      <c r="AL700" s="55" t="n"/>
      <c r="AM700" s="56" t="n"/>
      <c r="AN700" s="55" t="n"/>
      <c r="AO700" s="55" t="n"/>
      <c r="AP700" s="55" t="n"/>
      <c r="AQ700" s="55" t="n"/>
      <c r="AR700" s="60">
        <f>IF(AND(C700="",E700=""),"",IF(A700="","⚠ Date manquante",IF(AND(C700="",E700&lt;&gt;"Dépense"),"⚠ Prospect manquant",IF(E700="","⚠ Action manquante",IF(AND(AU700=1,D700=""),"⚠ Canal manquant",IF(AND(W700&lt;&gt;"",COUNTIFS('Saisie'!$W$5:$W$2004,W700,'Saisie'!$C$5:$C$2004,"&lt;&gt;"&amp;C700)&gt;0),"⚠ Numéro déjà utilisé par un autre prospect",IF(AND(J700&lt;&gt;"",J700&lt;A700),"⚠ Relance avant la date de l'action",IF(A700&gt;TODAY(),"⚠ Date dans le futur","✓"))))))))</f>
        <v/>
      </c>
      <c r="AS700" s="61">
        <f>IF(AND(A700="",C700="",E700=""),"",ROW())</f>
        <v/>
      </c>
      <c r="AT700" s="61">
        <f>IF(E700&amp;F700="","",MAX(IFERROR(INDEX('Paramètres'!$J$6:$J$33,MATCH(E700,'Paramètres'!$I$6:$I$33,0)),0),IFERROR(INDEX('Paramètres'!$N$6:$N$17,MATCH(F700,'Paramètres'!$M$6:$M$17,0)),0)))</f>
        <v/>
      </c>
      <c r="AU700" s="61">
        <f>IF(E700="","",IFERROR(IF(INDEX('Paramètres'!$K$6:$K$33,MATCH(E700,'Paramètres'!$I$6:$I$33,0))="Oui",1,0),0))</f>
        <v/>
      </c>
      <c r="AV700" s="61">
        <f>IF(F700="","",IFERROR(IF(INDEX('Paramètres'!$O$6:$O$17,MATCH(F700,'Paramètres'!$M$6:$M$17,0))="Oui",1,0),0))</f>
        <v/>
      </c>
      <c r="AW700" s="62">
        <f>IF(E700="","",IF(G700&lt;&gt;"",G700,IF(OR(E700="Proposition envoyée",E700="Signature"),MAX(0,N(IFERROR(INDEX('Paramètres'!$R$6:$R$15,MATCH(IF(AL700&lt;&gt;"",AL700,IFERROR(INDEX('Prospects'!$AN$5:$AN$504,MATCH(C700,'Prospects'!$C$5:$C$504,0)),"")),'Paramètres'!$Q$6:$Q$15,0)),0))-N(P700)),0)))</f>
        <v/>
      </c>
      <c r="AX700" s="61">
        <f>IF(C700="","",IF(COUNTIF($C$5:C700,C700)=1,MAX($AX$4:AX699)+1,""))</f>
        <v/>
      </c>
      <c r="AY700" s="61">
        <f>IF(B700="","",HOUR(B700))</f>
        <v/>
      </c>
      <c r="AZ700" s="61">
        <f>IF(A700="","",MOD(A700-2,7)+1)</f>
        <v/>
      </c>
      <c r="BA700" s="60">
        <f>IF(C700="","",IFERROR(INDEX('Prospects'!$N$5:$N$504,MATCH(C700,'Prospects'!$C$5:$C$504,0)),""))</f>
        <v/>
      </c>
      <c r="BB700" s="61">
        <f>IF(AND(C700&lt;&gt;"",C700='Fiche prospect'!$C$4),COUNTIF($C$5:C700,C700),"")</f>
        <v/>
      </c>
    </row>
    <row r="701">
      <c r="A701" s="53" t="n"/>
      <c r="B701" s="54" t="n"/>
      <c r="C701" s="55" t="n"/>
      <c r="D701" s="55" t="n"/>
      <c r="E701" s="55" t="n"/>
      <c r="F701" s="55" t="n"/>
      <c r="G701" s="56" t="n"/>
      <c r="H701" s="57" t="n"/>
      <c r="I701" s="55" t="n"/>
      <c r="J701" s="53" t="n"/>
      <c r="K701" s="54" t="n"/>
      <c r="L701" s="55" t="n"/>
      <c r="M701" s="55" t="n"/>
      <c r="N701" s="57" t="n"/>
      <c r="O701" s="55" t="n"/>
      <c r="P701" s="56" t="n"/>
      <c r="Q701" s="55" t="n"/>
      <c r="R701" s="55" t="n"/>
      <c r="S701" s="55" t="n"/>
      <c r="T701" s="55" t="n"/>
      <c r="U701" s="55" t="n"/>
      <c r="V701" s="55" t="n"/>
      <c r="W701" s="58" t="n"/>
      <c r="X701" s="58" t="n"/>
      <c r="Y701" s="55" t="n"/>
      <c r="Z701" s="55" t="n"/>
      <c r="AA701" s="55" t="n"/>
      <c r="AB701" s="55" t="n"/>
      <c r="AC701" s="55" t="n"/>
      <c r="AD701" s="53" t="n"/>
      <c r="AE701" s="55" t="n"/>
      <c r="AF701" s="55" t="n"/>
      <c r="AG701" s="59" t="n"/>
      <c r="AH701" s="57" t="n"/>
      <c r="AI701" s="55" t="n"/>
      <c r="AJ701" s="55" t="n"/>
      <c r="AK701" s="55" t="n"/>
      <c r="AL701" s="55" t="n"/>
      <c r="AM701" s="56" t="n"/>
      <c r="AN701" s="55" t="n"/>
      <c r="AO701" s="55" t="n"/>
      <c r="AP701" s="55" t="n"/>
      <c r="AQ701" s="55" t="n"/>
      <c r="AR701" s="60">
        <f>IF(AND(C701="",E701=""),"",IF(A701="","⚠ Date manquante",IF(AND(C701="",E701&lt;&gt;"Dépense"),"⚠ Prospect manquant",IF(E701="","⚠ Action manquante",IF(AND(AU701=1,D701=""),"⚠ Canal manquant",IF(AND(W701&lt;&gt;"",COUNTIFS('Saisie'!$W$5:$W$2004,W701,'Saisie'!$C$5:$C$2004,"&lt;&gt;"&amp;C701)&gt;0),"⚠ Numéro déjà utilisé par un autre prospect",IF(AND(J701&lt;&gt;"",J701&lt;A701),"⚠ Relance avant la date de l'action",IF(A701&gt;TODAY(),"⚠ Date dans le futur","✓"))))))))</f>
        <v/>
      </c>
      <c r="AS701" s="61">
        <f>IF(AND(A701="",C701="",E701=""),"",ROW())</f>
        <v/>
      </c>
      <c r="AT701" s="61">
        <f>IF(E701&amp;F701="","",MAX(IFERROR(INDEX('Paramètres'!$J$6:$J$33,MATCH(E701,'Paramètres'!$I$6:$I$33,0)),0),IFERROR(INDEX('Paramètres'!$N$6:$N$17,MATCH(F701,'Paramètres'!$M$6:$M$17,0)),0)))</f>
        <v/>
      </c>
      <c r="AU701" s="61">
        <f>IF(E701="","",IFERROR(IF(INDEX('Paramètres'!$K$6:$K$33,MATCH(E701,'Paramètres'!$I$6:$I$33,0))="Oui",1,0),0))</f>
        <v/>
      </c>
      <c r="AV701" s="61">
        <f>IF(F701="","",IFERROR(IF(INDEX('Paramètres'!$O$6:$O$17,MATCH(F701,'Paramètres'!$M$6:$M$17,0))="Oui",1,0),0))</f>
        <v/>
      </c>
      <c r="AW701" s="62">
        <f>IF(E701="","",IF(G701&lt;&gt;"",G701,IF(OR(E701="Proposition envoyée",E701="Signature"),MAX(0,N(IFERROR(INDEX('Paramètres'!$R$6:$R$15,MATCH(IF(AL701&lt;&gt;"",AL701,IFERROR(INDEX('Prospects'!$AN$5:$AN$504,MATCH(C701,'Prospects'!$C$5:$C$504,0)),"")),'Paramètres'!$Q$6:$Q$15,0)),0))-N(P701)),0)))</f>
        <v/>
      </c>
      <c r="AX701" s="61">
        <f>IF(C701="","",IF(COUNTIF($C$5:C701,C701)=1,MAX($AX$4:AX700)+1,""))</f>
        <v/>
      </c>
      <c r="AY701" s="61">
        <f>IF(B701="","",HOUR(B701))</f>
        <v/>
      </c>
      <c r="AZ701" s="61">
        <f>IF(A701="","",MOD(A701-2,7)+1)</f>
        <v/>
      </c>
      <c r="BA701" s="60">
        <f>IF(C701="","",IFERROR(INDEX('Prospects'!$N$5:$N$504,MATCH(C701,'Prospects'!$C$5:$C$504,0)),""))</f>
        <v/>
      </c>
      <c r="BB701" s="61">
        <f>IF(AND(C701&lt;&gt;"",C701='Fiche prospect'!$C$4),COUNTIF($C$5:C701,C701),"")</f>
        <v/>
      </c>
    </row>
    <row r="702">
      <c r="A702" s="53" t="n"/>
      <c r="B702" s="54" t="n"/>
      <c r="C702" s="55" t="n"/>
      <c r="D702" s="55" t="n"/>
      <c r="E702" s="55" t="n"/>
      <c r="F702" s="55" t="n"/>
      <c r="G702" s="56" t="n"/>
      <c r="H702" s="57" t="n"/>
      <c r="I702" s="55" t="n"/>
      <c r="J702" s="53" t="n"/>
      <c r="K702" s="54" t="n"/>
      <c r="L702" s="55" t="n"/>
      <c r="M702" s="55" t="n"/>
      <c r="N702" s="57" t="n"/>
      <c r="O702" s="55" t="n"/>
      <c r="P702" s="56" t="n"/>
      <c r="Q702" s="55" t="n"/>
      <c r="R702" s="55" t="n"/>
      <c r="S702" s="55" t="n"/>
      <c r="T702" s="55" t="n"/>
      <c r="U702" s="55" t="n"/>
      <c r="V702" s="55" t="n"/>
      <c r="W702" s="58" t="n"/>
      <c r="X702" s="58" t="n"/>
      <c r="Y702" s="55" t="n"/>
      <c r="Z702" s="55" t="n"/>
      <c r="AA702" s="55" t="n"/>
      <c r="AB702" s="55" t="n"/>
      <c r="AC702" s="55" t="n"/>
      <c r="AD702" s="53" t="n"/>
      <c r="AE702" s="55" t="n"/>
      <c r="AF702" s="55" t="n"/>
      <c r="AG702" s="59" t="n"/>
      <c r="AH702" s="57" t="n"/>
      <c r="AI702" s="55" t="n"/>
      <c r="AJ702" s="55" t="n"/>
      <c r="AK702" s="55" t="n"/>
      <c r="AL702" s="55" t="n"/>
      <c r="AM702" s="56" t="n"/>
      <c r="AN702" s="55" t="n"/>
      <c r="AO702" s="55" t="n"/>
      <c r="AP702" s="55" t="n"/>
      <c r="AQ702" s="55" t="n"/>
      <c r="AR702" s="60">
        <f>IF(AND(C702="",E702=""),"",IF(A702="","⚠ Date manquante",IF(AND(C702="",E702&lt;&gt;"Dépense"),"⚠ Prospect manquant",IF(E702="","⚠ Action manquante",IF(AND(AU702=1,D702=""),"⚠ Canal manquant",IF(AND(W702&lt;&gt;"",COUNTIFS('Saisie'!$W$5:$W$2004,W702,'Saisie'!$C$5:$C$2004,"&lt;&gt;"&amp;C702)&gt;0),"⚠ Numéro déjà utilisé par un autre prospect",IF(AND(J702&lt;&gt;"",J702&lt;A702),"⚠ Relance avant la date de l'action",IF(A702&gt;TODAY(),"⚠ Date dans le futur","✓"))))))))</f>
        <v/>
      </c>
      <c r="AS702" s="61">
        <f>IF(AND(A702="",C702="",E702=""),"",ROW())</f>
        <v/>
      </c>
      <c r="AT702" s="61">
        <f>IF(E702&amp;F702="","",MAX(IFERROR(INDEX('Paramètres'!$J$6:$J$33,MATCH(E702,'Paramètres'!$I$6:$I$33,0)),0),IFERROR(INDEX('Paramètres'!$N$6:$N$17,MATCH(F702,'Paramètres'!$M$6:$M$17,0)),0)))</f>
        <v/>
      </c>
      <c r="AU702" s="61">
        <f>IF(E702="","",IFERROR(IF(INDEX('Paramètres'!$K$6:$K$33,MATCH(E702,'Paramètres'!$I$6:$I$33,0))="Oui",1,0),0))</f>
        <v/>
      </c>
      <c r="AV702" s="61">
        <f>IF(F702="","",IFERROR(IF(INDEX('Paramètres'!$O$6:$O$17,MATCH(F702,'Paramètres'!$M$6:$M$17,0))="Oui",1,0),0))</f>
        <v/>
      </c>
      <c r="AW702" s="62">
        <f>IF(E702="","",IF(G702&lt;&gt;"",G702,IF(OR(E702="Proposition envoyée",E702="Signature"),MAX(0,N(IFERROR(INDEX('Paramètres'!$R$6:$R$15,MATCH(IF(AL702&lt;&gt;"",AL702,IFERROR(INDEX('Prospects'!$AN$5:$AN$504,MATCH(C702,'Prospects'!$C$5:$C$504,0)),"")),'Paramètres'!$Q$6:$Q$15,0)),0))-N(P702)),0)))</f>
        <v/>
      </c>
      <c r="AX702" s="61">
        <f>IF(C702="","",IF(COUNTIF($C$5:C702,C702)=1,MAX($AX$4:AX701)+1,""))</f>
        <v/>
      </c>
      <c r="AY702" s="61">
        <f>IF(B702="","",HOUR(B702))</f>
        <v/>
      </c>
      <c r="AZ702" s="61">
        <f>IF(A702="","",MOD(A702-2,7)+1)</f>
        <v/>
      </c>
      <c r="BA702" s="60">
        <f>IF(C702="","",IFERROR(INDEX('Prospects'!$N$5:$N$504,MATCH(C702,'Prospects'!$C$5:$C$504,0)),""))</f>
        <v/>
      </c>
      <c r="BB702" s="61">
        <f>IF(AND(C702&lt;&gt;"",C702='Fiche prospect'!$C$4),COUNTIF($C$5:C702,C702),"")</f>
        <v/>
      </c>
    </row>
    <row r="703">
      <c r="A703" s="53" t="n"/>
      <c r="B703" s="54" t="n"/>
      <c r="C703" s="55" t="n"/>
      <c r="D703" s="55" t="n"/>
      <c r="E703" s="55" t="n"/>
      <c r="F703" s="55" t="n"/>
      <c r="G703" s="56" t="n"/>
      <c r="H703" s="57" t="n"/>
      <c r="I703" s="55" t="n"/>
      <c r="J703" s="53" t="n"/>
      <c r="K703" s="54" t="n"/>
      <c r="L703" s="55" t="n"/>
      <c r="M703" s="55" t="n"/>
      <c r="N703" s="57" t="n"/>
      <c r="O703" s="55" t="n"/>
      <c r="P703" s="56" t="n"/>
      <c r="Q703" s="55" t="n"/>
      <c r="R703" s="55" t="n"/>
      <c r="S703" s="55" t="n"/>
      <c r="T703" s="55" t="n"/>
      <c r="U703" s="55" t="n"/>
      <c r="V703" s="55" t="n"/>
      <c r="W703" s="58" t="n"/>
      <c r="X703" s="58" t="n"/>
      <c r="Y703" s="55" t="n"/>
      <c r="Z703" s="55" t="n"/>
      <c r="AA703" s="55" t="n"/>
      <c r="AB703" s="55" t="n"/>
      <c r="AC703" s="55" t="n"/>
      <c r="AD703" s="53" t="n"/>
      <c r="AE703" s="55" t="n"/>
      <c r="AF703" s="55" t="n"/>
      <c r="AG703" s="59" t="n"/>
      <c r="AH703" s="57" t="n"/>
      <c r="AI703" s="55" t="n"/>
      <c r="AJ703" s="55" t="n"/>
      <c r="AK703" s="55" t="n"/>
      <c r="AL703" s="55" t="n"/>
      <c r="AM703" s="56" t="n"/>
      <c r="AN703" s="55" t="n"/>
      <c r="AO703" s="55" t="n"/>
      <c r="AP703" s="55" t="n"/>
      <c r="AQ703" s="55" t="n"/>
      <c r="AR703" s="60">
        <f>IF(AND(C703="",E703=""),"",IF(A703="","⚠ Date manquante",IF(AND(C703="",E703&lt;&gt;"Dépense"),"⚠ Prospect manquant",IF(E703="","⚠ Action manquante",IF(AND(AU703=1,D703=""),"⚠ Canal manquant",IF(AND(W703&lt;&gt;"",COUNTIFS('Saisie'!$W$5:$W$2004,W703,'Saisie'!$C$5:$C$2004,"&lt;&gt;"&amp;C703)&gt;0),"⚠ Numéro déjà utilisé par un autre prospect",IF(AND(J703&lt;&gt;"",J703&lt;A703),"⚠ Relance avant la date de l'action",IF(A703&gt;TODAY(),"⚠ Date dans le futur","✓"))))))))</f>
        <v/>
      </c>
      <c r="AS703" s="61">
        <f>IF(AND(A703="",C703="",E703=""),"",ROW())</f>
        <v/>
      </c>
      <c r="AT703" s="61">
        <f>IF(E703&amp;F703="","",MAX(IFERROR(INDEX('Paramètres'!$J$6:$J$33,MATCH(E703,'Paramètres'!$I$6:$I$33,0)),0),IFERROR(INDEX('Paramètres'!$N$6:$N$17,MATCH(F703,'Paramètres'!$M$6:$M$17,0)),0)))</f>
        <v/>
      </c>
      <c r="AU703" s="61">
        <f>IF(E703="","",IFERROR(IF(INDEX('Paramètres'!$K$6:$K$33,MATCH(E703,'Paramètres'!$I$6:$I$33,0))="Oui",1,0),0))</f>
        <v/>
      </c>
      <c r="AV703" s="61">
        <f>IF(F703="","",IFERROR(IF(INDEX('Paramètres'!$O$6:$O$17,MATCH(F703,'Paramètres'!$M$6:$M$17,0))="Oui",1,0),0))</f>
        <v/>
      </c>
      <c r="AW703" s="62">
        <f>IF(E703="","",IF(G703&lt;&gt;"",G703,IF(OR(E703="Proposition envoyée",E703="Signature"),MAX(0,N(IFERROR(INDEX('Paramètres'!$R$6:$R$15,MATCH(IF(AL703&lt;&gt;"",AL703,IFERROR(INDEX('Prospects'!$AN$5:$AN$504,MATCH(C703,'Prospects'!$C$5:$C$504,0)),"")),'Paramètres'!$Q$6:$Q$15,0)),0))-N(P703)),0)))</f>
        <v/>
      </c>
      <c r="AX703" s="61">
        <f>IF(C703="","",IF(COUNTIF($C$5:C703,C703)=1,MAX($AX$4:AX702)+1,""))</f>
        <v/>
      </c>
      <c r="AY703" s="61">
        <f>IF(B703="","",HOUR(B703))</f>
        <v/>
      </c>
      <c r="AZ703" s="61">
        <f>IF(A703="","",MOD(A703-2,7)+1)</f>
        <v/>
      </c>
      <c r="BA703" s="60">
        <f>IF(C703="","",IFERROR(INDEX('Prospects'!$N$5:$N$504,MATCH(C703,'Prospects'!$C$5:$C$504,0)),""))</f>
        <v/>
      </c>
      <c r="BB703" s="61">
        <f>IF(AND(C703&lt;&gt;"",C703='Fiche prospect'!$C$4),COUNTIF($C$5:C703,C703),"")</f>
        <v/>
      </c>
    </row>
    <row r="704">
      <c r="A704" s="53" t="n"/>
      <c r="B704" s="54" t="n"/>
      <c r="C704" s="55" t="n"/>
      <c r="D704" s="55" t="n"/>
      <c r="E704" s="55" t="n"/>
      <c r="F704" s="55" t="n"/>
      <c r="G704" s="56" t="n"/>
      <c r="H704" s="57" t="n"/>
      <c r="I704" s="55" t="n"/>
      <c r="J704" s="53" t="n"/>
      <c r="K704" s="54" t="n"/>
      <c r="L704" s="55" t="n"/>
      <c r="M704" s="55" t="n"/>
      <c r="N704" s="57" t="n"/>
      <c r="O704" s="55" t="n"/>
      <c r="P704" s="56" t="n"/>
      <c r="Q704" s="55" t="n"/>
      <c r="R704" s="55" t="n"/>
      <c r="S704" s="55" t="n"/>
      <c r="T704" s="55" t="n"/>
      <c r="U704" s="55" t="n"/>
      <c r="V704" s="55" t="n"/>
      <c r="W704" s="58" t="n"/>
      <c r="X704" s="58" t="n"/>
      <c r="Y704" s="55" t="n"/>
      <c r="Z704" s="55" t="n"/>
      <c r="AA704" s="55" t="n"/>
      <c r="AB704" s="55" t="n"/>
      <c r="AC704" s="55" t="n"/>
      <c r="AD704" s="53" t="n"/>
      <c r="AE704" s="55" t="n"/>
      <c r="AF704" s="55" t="n"/>
      <c r="AG704" s="59" t="n"/>
      <c r="AH704" s="57" t="n"/>
      <c r="AI704" s="55" t="n"/>
      <c r="AJ704" s="55" t="n"/>
      <c r="AK704" s="55" t="n"/>
      <c r="AL704" s="55" t="n"/>
      <c r="AM704" s="56" t="n"/>
      <c r="AN704" s="55" t="n"/>
      <c r="AO704" s="55" t="n"/>
      <c r="AP704" s="55" t="n"/>
      <c r="AQ704" s="55" t="n"/>
      <c r="AR704" s="60">
        <f>IF(AND(C704="",E704=""),"",IF(A704="","⚠ Date manquante",IF(AND(C704="",E704&lt;&gt;"Dépense"),"⚠ Prospect manquant",IF(E704="","⚠ Action manquante",IF(AND(AU704=1,D704=""),"⚠ Canal manquant",IF(AND(W704&lt;&gt;"",COUNTIFS('Saisie'!$W$5:$W$2004,W704,'Saisie'!$C$5:$C$2004,"&lt;&gt;"&amp;C704)&gt;0),"⚠ Numéro déjà utilisé par un autre prospect",IF(AND(J704&lt;&gt;"",J704&lt;A704),"⚠ Relance avant la date de l'action",IF(A704&gt;TODAY(),"⚠ Date dans le futur","✓"))))))))</f>
        <v/>
      </c>
      <c r="AS704" s="61">
        <f>IF(AND(A704="",C704="",E704=""),"",ROW())</f>
        <v/>
      </c>
      <c r="AT704" s="61">
        <f>IF(E704&amp;F704="","",MAX(IFERROR(INDEX('Paramètres'!$J$6:$J$33,MATCH(E704,'Paramètres'!$I$6:$I$33,0)),0),IFERROR(INDEX('Paramètres'!$N$6:$N$17,MATCH(F704,'Paramètres'!$M$6:$M$17,0)),0)))</f>
        <v/>
      </c>
      <c r="AU704" s="61">
        <f>IF(E704="","",IFERROR(IF(INDEX('Paramètres'!$K$6:$K$33,MATCH(E704,'Paramètres'!$I$6:$I$33,0))="Oui",1,0),0))</f>
        <v/>
      </c>
      <c r="AV704" s="61">
        <f>IF(F704="","",IFERROR(IF(INDEX('Paramètres'!$O$6:$O$17,MATCH(F704,'Paramètres'!$M$6:$M$17,0))="Oui",1,0),0))</f>
        <v/>
      </c>
      <c r="AW704" s="62">
        <f>IF(E704="","",IF(G704&lt;&gt;"",G704,IF(OR(E704="Proposition envoyée",E704="Signature"),MAX(0,N(IFERROR(INDEX('Paramètres'!$R$6:$R$15,MATCH(IF(AL704&lt;&gt;"",AL704,IFERROR(INDEX('Prospects'!$AN$5:$AN$504,MATCH(C704,'Prospects'!$C$5:$C$504,0)),"")),'Paramètres'!$Q$6:$Q$15,0)),0))-N(P704)),0)))</f>
        <v/>
      </c>
      <c r="AX704" s="61">
        <f>IF(C704="","",IF(COUNTIF($C$5:C704,C704)=1,MAX($AX$4:AX703)+1,""))</f>
        <v/>
      </c>
      <c r="AY704" s="61">
        <f>IF(B704="","",HOUR(B704))</f>
        <v/>
      </c>
      <c r="AZ704" s="61">
        <f>IF(A704="","",MOD(A704-2,7)+1)</f>
        <v/>
      </c>
      <c r="BA704" s="60">
        <f>IF(C704="","",IFERROR(INDEX('Prospects'!$N$5:$N$504,MATCH(C704,'Prospects'!$C$5:$C$504,0)),""))</f>
        <v/>
      </c>
      <c r="BB704" s="61">
        <f>IF(AND(C704&lt;&gt;"",C704='Fiche prospect'!$C$4),COUNTIF($C$5:C704,C704),"")</f>
        <v/>
      </c>
    </row>
    <row r="705">
      <c r="A705" s="53" t="n"/>
      <c r="B705" s="54" t="n"/>
      <c r="C705" s="55" t="n"/>
      <c r="D705" s="55" t="n"/>
      <c r="E705" s="55" t="n"/>
      <c r="F705" s="55" t="n"/>
      <c r="G705" s="56" t="n"/>
      <c r="H705" s="57" t="n"/>
      <c r="I705" s="55" t="n"/>
      <c r="J705" s="53" t="n"/>
      <c r="K705" s="54" t="n"/>
      <c r="L705" s="55" t="n"/>
      <c r="M705" s="55" t="n"/>
      <c r="N705" s="57" t="n"/>
      <c r="O705" s="55" t="n"/>
      <c r="P705" s="56" t="n"/>
      <c r="Q705" s="55" t="n"/>
      <c r="R705" s="55" t="n"/>
      <c r="S705" s="55" t="n"/>
      <c r="T705" s="55" t="n"/>
      <c r="U705" s="55" t="n"/>
      <c r="V705" s="55" t="n"/>
      <c r="W705" s="58" t="n"/>
      <c r="X705" s="58" t="n"/>
      <c r="Y705" s="55" t="n"/>
      <c r="Z705" s="55" t="n"/>
      <c r="AA705" s="55" t="n"/>
      <c r="AB705" s="55" t="n"/>
      <c r="AC705" s="55" t="n"/>
      <c r="AD705" s="53" t="n"/>
      <c r="AE705" s="55" t="n"/>
      <c r="AF705" s="55" t="n"/>
      <c r="AG705" s="59" t="n"/>
      <c r="AH705" s="57" t="n"/>
      <c r="AI705" s="55" t="n"/>
      <c r="AJ705" s="55" t="n"/>
      <c r="AK705" s="55" t="n"/>
      <c r="AL705" s="55" t="n"/>
      <c r="AM705" s="56" t="n"/>
      <c r="AN705" s="55" t="n"/>
      <c r="AO705" s="55" t="n"/>
      <c r="AP705" s="55" t="n"/>
      <c r="AQ705" s="55" t="n"/>
      <c r="AR705" s="60">
        <f>IF(AND(C705="",E705=""),"",IF(A705="","⚠ Date manquante",IF(AND(C705="",E705&lt;&gt;"Dépense"),"⚠ Prospect manquant",IF(E705="","⚠ Action manquante",IF(AND(AU705=1,D705=""),"⚠ Canal manquant",IF(AND(W705&lt;&gt;"",COUNTIFS('Saisie'!$W$5:$W$2004,W705,'Saisie'!$C$5:$C$2004,"&lt;&gt;"&amp;C705)&gt;0),"⚠ Numéro déjà utilisé par un autre prospect",IF(AND(J705&lt;&gt;"",J705&lt;A705),"⚠ Relance avant la date de l'action",IF(A705&gt;TODAY(),"⚠ Date dans le futur","✓"))))))))</f>
        <v/>
      </c>
      <c r="AS705" s="61">
        <f>IF(AND(A705="",C705="",E705=""),"",ROW())</f>
        <v/>
      </c>
      <c r="AT705" s="61">
        <f>IF(E705&amp;F705="","",MAX(IFERROR(INDEX('Paramètres'!$J$6:$J$33,MATCH(E705,'Paramètres'!$I$6:$I$33,0)),0),IFERROR(INDEX('Paramètres'!$N$6:$N$17,MATCH(F705,'Paramètres'!$M$6:$M$17,0)),0)))</f>
        <v/>
      </c>
      <c r="AU705" s="61">
        <f>IF(E705="","",IFERROR(IF(INDEX('Paramètres'!$K$6:$K$33,MATCH(E705,'Paramètres'!$I$6:$I$33,0))="Oui",1,0),0))</f>
        <v/>
      </c>
      <c r="AV705" s="61">
        <f>IF(F705="","",IFERROR(IF(INDEX('Paramètres'!$O$6:$O$17,MATCH(F705,'Paramètres'!$M$6:$M$17,0))="Oui",1,0),0))</f>
        <v/>
      </c>
      <c r="AW705" s="62">
        <f>IF(E705="","",IF(G705&lt;&gt;"",G705,IF(OR(E705="Proposition envoyée",E705="Signature"),MAX(0,N(IFERROR(INDEX('Paramètres'!$R$6:$R$15,MATCH(IF(AL705&lt;&gt;"",AL705,IFERROR(INDEX('Prospects'!$AN$5:$AN$504,MATCH(C705,'Prospects'!$C$5:$C$504,0)),"")),'Paramètres'!$Q$6:$Q$15,0)),0))-N(P705)),0)))</f>
        <v/>
      </c>
      <c r="AX705" s="61">
        <f>IF(C705="","",IF(COUNTIF($C$5:C705,C705)=1,MAX($AX$4:AX704)+1,""))</f>
        <v/>
      </c>
      <c r="AY705" s="61">
        <f>IF(B705="","",HOUR(B705))</f>
        <v/>
      </c>
      <c r="AZ705" s="61">
        <f>IF(A705="","",MOD(A705-2,7)+1)</f>
        <v/>
      </c>
      <c r="BA705" s="60">
        <f>IF(C705="","",IFERROR(INDEX('Prospects'!$N$5:$N$504,MATCH(C705,'Prospects'!$C$5:$C$504,0)),""))</f>
        <v/>
      </c>
      <c r="BB705" s="61">
        <f>IF(AND(C705&lt;&gt;"",C705='Fiche prospect'!$C$4),COUNTIF($C$5:C705,C705),"")</f>
        <v/>
      </c>
    </row>
    <row r="706">
      <c r="A706" s="53" t="n"/>
      <c r="B706" s="54" t="n"/>
      <c r="C706" s="55" t="n"/>
      <c r="D706" s="55" t="n"/>
      <c r="E706" s="55" t="n"/>
      <c r="F706" s="55" t="n"/>
      <c r="G706" s="56" t="n"/>
      <c r="H706" s="57" t="n"/>
      <c r="I706" s="55" t="n"/>
      <c r="J706" s="53" t="n"/>
      <c r="K706" s="54" t="n"/>
      <c r="L706" s="55" t="n"/>
      <c r="M706" s="55" t="n"/>
      <c r="N706" s="57" t="n"/>
      <c r="O706" s="55" t="n"/>
      <c r="P706" s="56" t="n"/>
      <c r="Q706" s="55" t="n"/>
      <c r="R706" s="55" t="n"/>
      <c r="S706" s="55" t="n"/>
      <c r="T706" s="55" t="n"/>
      <c r="U706" s="55" t="n"/>
      <c r="V706" s="55" t="n"/>
      <c r="W706" s="58" t="n"/>
      <c r="X706" s="58" t="n"/>
      <c r="Y706" s="55" t="n"/>
      <c r="Z706" s="55" t="n"/>
      <c r="AA706" s="55" t="n"/>
      <c r="AB706" s="55" t="n"/>
      <c r="AC706" s="55" t="n"/>
      <c r="AD706" s="53" t="n"/>
      <c r="AE706" s="55" t="n"/>
      <c r="AF706" s="55" t="n"/>
      <c r="AG706" s="59" t="n"/>
      <c r="AH706" s="57" t="n"/>
      <c r="AI706" s="55" t="n"/>
      <c r="AJ706" s="55" t="n"/>
      <c r="AK706" s="55" t="n"/>
      <c r="AL706" s="55" t="n"/>
      <c r="AM706" s="56" t="n"/>
      <c r="AN706" s="55" t="n"/>
      <c r="AO706" s="55" t="n"/>
      <c r="AP706" s="55" t="n"/>
      <c r="AQ706" s="55" t="n"/>
      <c r="AR706" s="60">
        <f>IF(AND(C706="",E706=""),"",IF(A706="","⚠ Date manquante",IF(AND(C706="",E706&lt;&gt;"Dépense"),"⚠ Prospect manquant",IF(E706="","⚠ Action manquante",IF(AND(AU706=1,D706=""),"⚠ Canal manquant",IF(AND(W706&lt;&gt;"",COUNTIFS('Saisie'!$W$5:$W$2004,W706,'Saisie'!$C$5:$C$2004,"&lt;&gt;"&amp;C706)&gt;0),"⚠ Numéro déjà utilisé par un autre prospect",IF(AND(J706&lt;&gt;"",J706&lt;A706),"⚠ Relance avant la date de l'action",IF(A706&gt;TODAY(),"⚠ Date dans le futur","✓"))))))))</f>
        <v/>
      </c>
      <c r="AS706" s="61">
        <f>IF(AND(A706="",C706="",E706=""),"",ROW())</f>
        <v/>
      </c>
      <c r="AT706" s="61">
        <f>IF(E706&amp;F706="","",MAX(IFERROR(INDEX('Paramètres'!$J$6:$J$33,MATCH(E706,'Paramètres'!$I$6:$I$33,0)),0),IFERROR(INDEX('Paramètres'!$N$6:$N$17,MATCH(F706,'Paramètres'!$M$6:$M$17,0)),0)))</f>
        <v/>
      </c>
      <c r="AU706" s="61">
        <f>IF(E706="","",IFERROR(IF(INDEX('Paramètres'!$K$6:$K$33,MATCH(E706,'Paramètres'!$I$6:$I$33,0))="Oui",1,0),0))</f>
        <v/>
      </c>
      <c r="AV706" s="61">
        <f>IF(F706="","",IFERROR(IF(INDEX('Paramètres'!$O$6:$O$17,MATCH(F706,'Paramètres'!$M$6:$M$17,0))="Oui",1,0),0))</f>
        <v/>
      </c>
      <c r="AW706" s="62">
        <f>IF(E706="","",IF(G706&lt;&gt;"",G706,IF(OR(E706="Proposition envoyée",E706="Signature"),MAX(0,N(IFERROR(INDEX('Paramètres'!$R$6:$R$15,MATCH(IF(AL706&lt;&gt;"",AL706,IFERROR(INDEX('Prospects'!$AN$5:$AN$504,MATCH(C706,'Prospects'!$C$5:$C$504,0)),"")),'Paramètres'!$Q$6:$Q$15,0)),0))-N(P706)),0)))</f>
        <v/>
      </c>
      <c r="AX706" s="61">
        <f>IF(C706="","",IF(COUNTIF($C$5:C706,C706)=1,MAX($AX$4:AX705)+1,""))</f>
        <v/>
      </c>
      <c r="AY706" s="61">
        <f>IF(B706="","",HOUR(B706))</f>
        <v/>
      </c>
      <c r="AZ706" s="61">
        <f>IF(A706="","",MOD(A706-2,7)+1)</f>
        <v/>
      </c>
      <c r="BA706" s="60">
        <f>IF(C706="","",IFERROR(INDEX('Prospects'!$N$5:$N$504,MATCH(C706,'Prospects'!$C$5:$C$504,0)),""))</f>
        <v/>
      </c>
      <c r="BB706" s="61">
        <f>IF(AND(C706&lt;&gt;"",C706='Fiche prospect'!$C$4),COUNTIF($C$5:C706,C706),"")</f>
        <v/>
      </c>
    </row>
    <row r="707">
      <c r="A707" s="53" t="n"/>
      <c r="B707" s="54" t="n"/>
      <c r="C707" s="55" t="n"/>
      <c r="D707" s="55" t="n"/>
      <c r="E707" s="55" t="n"/>
      <c r="F707" s="55" t="n"/>
      <c r="G707" s="56" t="n"/>
      <c r="H707" s="57" t="n"/>
      <c r="I707" s="55" t="n"/>
      <c r="J707" s="53" t="n"/>
      <c r="K707" s="54" t="n"/>
      <c r="L707" s="55" t="n"/>
      <c r="M707" s="55" t="n"/>
      <c r="N707" s="57" t="n"/>
      <c r="O707" s="55" t="n"/>
      <c r="P707" s="56" t="n"/>
      <c r="Q707" s="55" t="n"/>
      <c r="R707" s="55" t="n"/>
      <c r="S707" s="55" t="n"/>
      <c r="T707" s="55" t="n"/>
      <c r="U707" s="55" t="n"/>
      <c r="V707" s="55" t="n"/>
      <c r="W707" s="58" t="n"/>
      <c r="X707" s="58" t="n"/>
      <c r="Y707" s="55" t="n"/>
      <c r="Z707" s="55" t="n"/>
      <c r="AA707" s="55" t="n"/>
      <c r="AB707" s="55" t="n"/>
      <c r="AC707" s="55" t="n"/>
      <c r="AD707" s="53" t="n"/>
      <c r="AE707" s="55" t="n"/>
      <c r="AF707" s="55" t="n"/>
      <c r="AG707" s="59" t="n"/>
      <c r="AH707" s="57" t="n"/>
      <c r="AI707" s="55" t="n"/>
      <c r="AJ707" s="55" t="n"/>
      <c r="AK707" s="55" t="n"/>
      <c r="AL707" s="55" t="n"/>
      <c r="AM707" s="56" t="n"/>
      <c r="AN707" s="55" t="n"/>
      <c r="AO707" s="55" t="n"/>
      <c r="AP707" s="55" t="n"/>
      <c r="AQ707" s="55" t="n"/>
      <c r="AR707" s="60">
        <f>IF(AND(C707="",E707=""),"",IF(A707="","⚠ Date manquante",IF(AND(C707="",E707&lt;&gt;"Dépense"),"⚠ Prospect manquant",IF(E707="","⚠ Action manquante",IF(AND(AU707=1,D707=""),"⚠ Canal manquant",IF(AND(W707&lt;&gt;"",COUNTIFS('Saisie'!$W$5:$W$2004,W707,'Saisie'!$C$5:$C$2004,"&lt;&gt;"&amp;C707)&gt;0),"⚠ Numéro déjà utilisé par un autre prospect",IF(AND(J707&lt;&gt;"",J707&lt;A707),"⚠ Relance avant la date de l'action",IF(A707&gt;TODAY(),"⚠ Date dans le futur","✓"))))))))</f>
        <v/>
      </c>
      <c r="AS707" s="61">
        <f>IF(AND(A707="",C707="",E707=""),"",ROW())</f>
        <v/>
      </c>
      <c r="AT707" s="61">
        <f>IF(E707&amp;F707="","",MAX(IFERROR(INDEX('Paramètres'!$J$6:$J$33,MATCH(E707,'Paramètres'!$I$6:$I$33,0)),0),IFERROR(INDEX('Paramètres'!$N$6:$N$17,MATCH(F707,'Paramètres'!$M$6:$M$17,0)),0)))</f>
        <v/>
      </c>
      <c r="AU707" s="61">
        <f>IF(E707="","",IFERROR(IF(INDEX('Paramètres'!$K$6:$K$33,MATCH(E707,'Paramètres'!$I$6:$I$33,0))="Oui",1,0),0))</f>
        <v/>
      </c>
      <c r="AV707" s="61">
        <f>IF(F707="","",IFERROR(IF(INDEX('Paramètres'!$O$6:$O$17,MATCH(F707,'Paramètres'!$M$6:$M$17,0))="Oui",1,0),0))</f>
        <v/>
      </c>
      <c r="AW707" s="62">
        <f>IF(E707="","",IF(G707&lt;&gt;"",G707,IF(OR(E707="Proposition envoyée",E707="Signature"),MAX(0,N(IFERROR(INDEX('Paramètres'!$R$6:$R$15,MATCH(IF(AL707&lt;&gt;"",AL707,IFERROR(INDEX('Prospects'!$AN$5:$AN$504,MATCH(C707,'Prospects'!$C$5:$C$504,0)),"")),'Paramètres'!$Q$6:$Q$15,0)),0))-N(P707)),0)))</f>
        <v/>
      </c>
      <c r="AX707" s="61">
        <f>IF(C707="","",IF(COUNTIF($C$5:C707,C707)=1,MAX($AX$4:AX706)+1,""))</f>
        <v/>
      </c>
      <c r="AY707" s="61">
        <f>IF(B707="","",HOUR(B707))</f>
        <v/>
      </c>
      <c r="AZ707" s="61">
        <f>IF(A707="","",MOD(A707-2,7)+1)</f>
        <v/>
      </c>
      <c r="BA707" s="60">
        <f>IF(C707="","",IFERROR(INDEX('Prospects'!$N$5:$N$504,MATCH(C707,'Prospects'!$C$5:$C$504,0)),""))</f>
        <v/>
      </c>
      <c r="BB707" s="61">
        <f>IF(AND(C707&lt;&gt;"",C707='Fiche prospect'!$C$4),COUNTIF($C$5:C707,C707),"")</f>
        <v/>
      </c>
    </row>
    <row r="708">
      <c r="A708" s="53" t="n"/>
      <c r="B708" s="54" t="n"/>
      <c r="C708" s="55" t="n"/>
      <c r="D708" s="55" t="n"/>
      <c r="E708" s="55" t="n"/>
      <c r="F708" s="55" t="n"/>
      <c r="G708" s="56" t="n"/>
      <c r="H708" s="57" t="n"/>
      <c r="I708" s="55" t="n"/>
      <c r="J708" s="53" t="n"/>
      <c r="K708" s="54" t="n"/>
      <c r="L708" s="55" t="n"/>
      <c r="M708" s="55" t="n"/>
      <c r="N708" s="57" t="n"/>
      <c r="O708" s="55" t="n"/>
      <c r="P708" s="56" t="n"/>
      <c r="Q708" s="55" t="n"/>
      <c r="R708" s="55" t="n"/>
      <c r="S708" s="55" t="n"/>
      <c r="T708" s="55" t="n"/>
      <c r="U708" s="55" t="n"/>
      <c r="V708" s="55" t="n"/>
      <c r="W708" s="58" t="n"/>
      <c r="X708" s="58" t="n"/>
      <c r="Y708" s="55" t="n"/>
      <c r="Z708" s="55" t="n"/>
      <c r="AA708" s="55" t="n"/>
      <c r="AB708" s="55" t="n"/>
      <c r="AC708" s="55" t="n"/>
      <c r="AD708" s="53" t="n"/>
      <c r="AE708" s="55" t="n"/>
      <c r="AF708" s="55" t="n"/>
      <c r="AG708" s="59" t="n"/>
      <c r="AH708" s="57" t="n"/>
      <c r="AI708" s="55" t="n"/>
      <c r="AJ708" s="55" t="n"/>
      <c r="AK708" s="55" t="n"/>
      <c r="AL708" s="55" t="n"/>
      <c r="AM708" s="56" t="n"/>
      <c r="AN708" s="55" t="n"/>
      <c r="AO708" s="55" t="n"/>
      <c r="AP708" s="55" t="n"/>
      <c r="AQ708" s="55" t="n"/>
      <c r="AR708" s="60">
        <f>IF(AND(C708="",E708=""),"",IF(A708="","⚠ Date manquante",IF(AND(C708="",E708&lt;&gt;"Dépense"),"⚠ Prospect manquant",IF(E708="","⚠ Action manquante",IF(AND(AU708=1,D708=""),"⚠ Canal manquant",IF(AND(W708&lt;&gt;"",COUNTIFS('Saisie'!$W$5:$W$2004,W708,'Saisie'!$C$5:$C$2004,"&lt;&gt;"&amp;C708)&gt;0),"⚠ Numéro déjà utilisé par un autre prospect",IF(AND(J708&lt;&gt;"",J708&lt;A708),"⚠ Relance avant la date de l'action",IF(A708&gt;TODAY(),"⚠ Date dans le futur","✓"))))))))</f>
        <v/>
      </c>
      <c r="AS708" s="61">
        <f>IF(AND(A708="",C708="",E708=""),"",ROW())</f>
        <v/>
      </c>
      <c r="AT708" s="61">
        <f>IF(E708&amp;F708="","",MAX(IFERROR(INDEX('Paramètres'!$J$6:$J$33,MATCH(E708,'Paramètres'!$I$6:$I$33,0)),0),IFERROR(INDEX('Paramètres'!$N$6:$N$17,MATCH(F708,'Paramètres'!$M$6:$M$17,0)),0)))</f>
        <v/>
      </c>
      <c r="AU708" s="61">
        <f>IF(E708="","",IFERROR(IF(INDEX('Paramètres'!$K$6:$K$33,MATCH(E708,'Paramètres'!$I$6:$I$33,0))="Oui",1,0),0))</f>
        <v/>
      </c>
      <c r="AV708" s="61">
        <f>IF(F708="","",IFERROR(IF(INDEX('Paramètres'!$O$6:$O$17,MATCH(F708,'Paramètres'!$M$6:$M$17,0))="Oui",1,0),0))</f>
        <v/>
      </c>
      <c r="AW708" s="62">
        <f>IF(E708="","",IF(G708&lt;&gt;"",G708,IF(OR(E708="Proposition envoyée",E708="Signature"),MAX(0,N(IFERROR(INDEX('Paramètres'!$R$6:$R$15,MATCH(IF(AL708&lt;&gt;"",AL708,IFERROR(INDEX('Prospects'!$AN$5:$AN$504,MATCH(C708,'Prospects'!$C$5:$C$504,0)),"")),'Paramètres'!$Q$6:$Q$15,0)),0))-N(P708)),0)))</f>
        <v/>
      </c>
      <c r="AX708" s="61">
        <f>IF(C708="","",IF(COUNTIF($C$5:C708,C708)=1,MAX($AX$4:AX707)+1,""))</f>
        <v/>
      </c>
      <c r="AY708" s="61">
        <f>IF(B708="","",HOUR(B708))</f>
        <v/>
      </c>
      <c r="AZ708" s="61">
        <f>IF(A708="","",MOD(A708-2,7)+1)</f>
        <v/>
      </c>
      <c r="BA708" s="60">
        <f>IF(C708="","",IFERROR(INDEX('Prospects'!$N$5:$N$504,MATCH(C708,'Prospects'!$C$5:$C$504,0)),""))</f>
        <v/>
      </c>
      <c r="BB708" s="61">
        <f>IF(AND(C708&lt;&gt;"",C708='Fiche prospect'!$C$4),COUNTIF($C$5:C708,C708),"")</f>
        <v/>
      </c>
    </row>
    <row r="709">
      <c r="A709" s="53" t="n"/>
      <c r="B709" s="54" t="n"/>
      <c r="C709" s="55" t="n"/>
      <c r="D709" s="55" t="n"/>
      <c r="E709" s="55" t="n"/>
      <c r="F709" s="55" t="n"/>
      <c r="G709" s="56" t="n"/>
      <c r="H709" s="57" t="n"/>
      <c r="I709" s="55" t="n"/>
      <c r="J709" s="53" t="n"/>
      <c r="K709" s="54" t="n"/>
      <c r="L709" s="55" t="n"/>
      <c r="M709" s="55" t="n"/>
      <c r="N709" s="57" t="n"/>
      <c r="O709" s="55" t="n"/>
      <c r="P709" s="56" t="n"/>
      <c r="Q709" s="55" t="n"/>
      <c r="R709" s="55" t="n"/>
      <c r="S709" s="55" t="n"/>
      <c r="T709" s="55" t="n"/>
      <c r="U709" s="55" t="n"/>
      <c r="V709" s="55" t="n"/>
      <c r="W709" s="58" t="n"/>
      <c r="X709" s="58" t="n"/>
      <c r="Y709" s="55" t="n"/>
      <c r="Z709" s="55" t="n"/>
      <c r="AA709" s="55" t="n"/>
      <c r="AB709" s="55" t="n"/>
      <c r="AC709" s="55" t="n"/>
      <c r="AD709" s="53" t="n"/>
      <c r="AE709" s="55" t="n"/>
      <c r="AF709" s="55" t="n"/>
      <c r="AG709" s="59" t="n"/>
      <c r="AH709" s="57" t="n"/>
      <c r="AI709" s="55" t="n"/>
      <c r="AJ709" s="55" t="n"/>
      <c r="AK709" s="55" t="n"/>
      <c r="AL709" s="55" t="n"/>
      <c r="AM709" s="56" t="n"/>
      <c r="AN709" s="55" t="n"/>
      <c r="AO709" s="55" t="n"/>
      <c r="AP709" s="55" t="n"/>
      <c r="AQ709" s="55" t="n"/>
      <c r="AR709" s="60">
        <f>IF(AND(C709="",E709=""),"",IF(A709="","⚠ Date manquante",IF(AND(C709="",E709&lt;&gt;"Dépense"),"⚠ Prospect manquant",IF(E709="","⚠ Action manquante",IF(AND(AU709=1,D709=""),"⚠ Canal manquant",IF(AND(W709&lt;&gt;"",COUNTIFS('Saisie'!$W$5:$W$2004,W709,'Saisie'!$C$5:$C$2004,"&lt;&gt;"&amp;C709)&gt;0),"⚠ Numéro déjà utilisé par un autre prospect",IF(AND(J709&lt;&gt;"",J709&lt;A709),"⚠ Relance avant la date de l'action",IF(A709&gt;TODAY(),"⚠ Date dans le futur","✓"))))))))</f>
        <v/>
      </c>
      <c r="AS709" s="61">
        <f>IF(AND(A709="",C709="",E709=""),"",ROW())</f>
        <v/>
      </c>
      <c r="AT709" s="61">
        <f>IF(E709&amp;F709="","",MAX(IFERROR(INDEX('Paramètres'!$J$6:$J$33,MATCH(E709,'Paramètres'!$I$6:$I$33,0)),0),IFERROR(INDEX('Paramètres'!$N$6:$N$17,MATCH(F709,'Paramètres'!$M$6:$M$17,0)),0)))</f>
        <v/>
      </c>
      <c r="AU709" s="61">
        <f>IF(E709="","",IFERROR(IF(INDEX('Paramètres'!$K$6:$K$33,MATCH(E709,'Paramètres'!$I$6:$I$33,0))="Oui",1,0),0))</f>
        <v/>
      </c>
      <c r="AV709" s="61">
        <f>IF(F709="","",IFERROR(IF(INDEX('Paramètres'!$O$6:$O$17,MATCH(F709,'Paramètres'!$M$6:$M$17,0))="Oui",1,0),0))</f>
        <v/>
      </c>
      <c r="AW709" s="62">
        <f>IF(E709="","",IF(G709&lt;&gt;"",G709,IF(OR(E709="Proposition envoyée",E709="Signature"),MAX(0,N(IFERROR(INDEX('Paramètres'!$R$6:$R$15,MATCH(IF(AL709&lt;&gt;"",AL709,IFERROR(INDEX('Prospects'!$AN$5:$AN$504,MATCH(C709,'Prospects'!$C$5:$C$504,0)),"")),'Paramètres'!$Q$6:$Q$15,0)),0))-N(P709)),0)))</f>
        <v/>
      </c>
      <c r="AX709" s="61">
        <f>IF(C709="","",IF(COUNTIF($C$5:C709,C709)=1,MAX($AX$4:AX708)+1,""))</f>
        <v/>
      </c>
      <c r="AY709" s="61">
        <f>IF(B709="","",HOUR(B709))</f>
        <v/>
      </c>
      <c r="AZ709" s="61">
        <f>IF(A709="","",MOD(A709-2,7)+1)</f>
        <v/>
      </c>
      <c r="BA709" s="60">
        <f>IF(C709="","",IFERROR(INDEX('Prospects'!$N$5:$N$504,MATCH(C709,'Prospects'!$C$5:$C$504,0)),""))</f>
        <v/>
      </c>
      <c r="BB709" s="61">
        <f>IF(AND(C709&lt;&gt;"",C709='Fiche prospect'!$C$4),COUNTIF($C$5:C709,C709),"")</f>
        <v/>
      </c>
    </row>
    <row r="710">
      <c r="A710" s="53" t="n"/>
      <c r="B710" s="54" t="n"/>
      <c r="C710" s="55" t="n"/>
      <c r="D710" s="55" t="n"/>
      <c r="E710" s="55" t="n"/>
      <c r="F710" s="55" t="n"/>
      <c r="G710" s="56" t="n"/>
      <c r="H710" s="57" t="n"/>
      <c r="I710" s="55" t="n"/>
      <c r="J710" s="53" t="n"/>
      <c r="K710" s="54" t="n"/>
      <c r="L710" s="55" t="n"/>
      <c r="M710" s="55" t="n"/>
      <c r="N710" s="57" t="n"/>
      <c r="O710" s="55" t="n"/>
      <c r="P710" s="56" t="n"/>
      <c r="Q710" s="55" t="n"/>
      <c r="R710" s="55" t="n"/>
      <c r="S710" s="55" t="n"/>
      <c r="T710" s="55" t="n"/>
      <c r="U710" s="55" t="n"/>
      <c r="V710" s="55" t="n"/>
      <c r="W710" s="58" t="n"/>
      <c r="X710" s="58" t="n"/>
      <c r="Y710" s="55" t="n"/>
      <c r="Z710" s="55" t="n"/>
      <c r="AA710" s="55" t="n"/>
      <c r="AB710" s="55" t="n"/>
      <c r="AC710" s="55" t="n"/>
      <c r="AD710" s="53" t="n"/>
      <c r="AE710" s="55" t="n"/>
      <c r="AF710" s="55" t="n"/>
      <c r="AG710" s="59" t="n"/>
      <c r="AH710" s="57" t="n"/>
      <c r="AI710" s="55" t="n"/>
      <c r="AJ710" s="55" t="n"/>
      <c r="AK710" s="55" t="n"/>
      <c r="AL710" s="55" t="n"/>
      <c r="AM710" s="56" t="n"/>
      <c r="AN710" s="55" t="n"/>
      <c r="AO710" s="55" t="n"/>
      <c r="AP710" s="55" t="n"/>
      <c r="AQ710" s="55" t="n"/>
      <c r="AR710" s="60">
        <f>IF(AND(C710="",E710=""),"",IF(A710="","⚠ Date manquante",IF(AND(C710="",E710&lt;&gt;"Dépense"),"⚠ Prospect manquant",IF(E710="","⚠ Action manquante",IF(AND(AU710=1,D710=""),"⚠ Canal manquant",IF(AND(W710&lt;&gt;"",COUNTIFS('Saisie'!$W$5:$W$2004,W710,'Saisie'!$C$5:$C$2004,"&lt;&gt;"&amp;C710)&gt;0),"⚠ Numéro déjà utilisé par un autre prospect",IF(AND(J710&lt;&gt;"",J710&lt;A710),"⚠ Relance avant la date de l'action",IF(A710&gt;TODAY(),"⚠ Date dans le futur","✓"))))))))</f>
        <v/>
      </c>
      <c r="AS710" s="61">
        <f>IF(AND(A710="",C710="",E710=""),"",ROW())</f>
        <v/>
      </c>
      <c r="AT710" s="61">
        <f>IF(E710&amp;F710="","",MAX(IFERROR(INDEX('Paramètres'!$J$6:$J$33,MATCH(E710,'Paramètres'!$I$6:$I$33,0)),0),IFERROR(INDEX('Paramètres'!$N$6:$N$17,MATCH(F710,'Paramètres'!$M$6:$M$17,0)),0)))</f>
        <v/>
      </c>
      <c r="AU710" s="61">
        <f>IF(E710="","",IFERROR(IF(INDEX('Paramètres'!$K$6:$K$33,MATCH(E710,'Paramètres'!$I$6:$I$33,0))="Oui",1,0),0))</f>
        <v/>
      </c>
      <c r="AV710" s="61">
        <f>IF(F710="","",IFERROR(IF(INDEX('Paramètres'!$O$6:$O$17,MATCH(F710,'Paramètres'!$M$6:$M$17,0))="Oui",1,0),0))</f>
        <v/>
      </c>
      <c r="AW710" s="62">
        <f>IF(E710="","",IF(G710&lt;&gt;"",G710,IF(OR(E710="Proposition envoyée",E710="Signature"),MAX(0,N(IFERROR(INDEX('Paramètres'!$R$6:$R$15,MATCH(IF(AL710&lt;&gt;"",AL710,IFERROR(INDEX('Prospects'!$AN$5:$AN$504,MATCH(C710,'Prospects'!$C$5:$C$504,0)),"")),'Paramètres'!$Q$6:$Q$15,0)),0))-N(P710)),0)))</f>
        <v/>
      </c>
      <c r="AX710" s="61">
        <f>IF(C710="","",IF(COUNTIF($C$5:C710,C710)=1,MAX($AX$4:AX709)+1,""))</f>
        <v/>
      </c>
      <c r="AY710" s="61">
        <f>IF(B710="","",HOUR(B710))</f>
        <v/>
      </c>
      <c r="AZ710" s="61">
        <f>IF(A710="","",MOD(A710-2,7)+1)</f>
        <v/>
      </c>
      <c r="BA710" s="60">
        <f>IF(C710="","",IFERROR(INDEX('Prospects'!$N$5:$N$504,MATCH(C710,'Prospects'!$C$5:$C$504,0)),""))</f>
        <v/>
      </c>
      <c r="BB710" s="61">
        <f>IF(AND(C710&lt;&gt;"",C710='Fiche prospect'!$C$4),COUNTIF($C$5:C710,C710),"")</f>
        <v/>
      </c>
    </row>
    <row r="711">
      <c r="A711" s="53" t="n"/>
      <c r="B711" s="54" t="n"/>
      <c r="C711" s="55" t="n"/>
      <c r="D711" s="55" t="n"/>
      <c r="E711" s="55" t="n"/>
      <c r="F711" s="55" t="n"/>
      <c r="G711" s="56" t="n"/>
      <c r="H711" s="57" t="n"/>
      <c r="I711" s="55" t="n"/>
      <c r="J711" s="53" t="n"/>
      <c r="K711" s="54" t="n"/>
      <c r="L711" s="55" t="n"/>
      <c r="M711" s="55" t="n"/>
      <c r="N711" s="57" t="n"/>
      <c r="O711" s="55" t="n"/>
      <c r="P711" s="56" t="n"/>
      <c r="Q711" s="55" t="n"/>
      <c r="R711" s="55" t="n"/>
      <c r="S711" s="55" t="n"/>
      <c r="T711" s="55" t="n"/>
      <c r="U711" s="55" t="n"/>
      <c r="V711" s="55" t="n"/>
      <c r="W711" s="58" t="n"/>
      <c r="X711" s="58" t="n"/>
      <c r="Y711" s="55" t="n"/>
      <c r="Z711" s="55" t="n"/>
      <c r="AA711" s="55" t="n"/>
      <c r="AB711" s="55" t="n"/>
      <c r="AC711" s="55" t="n"/>
      <c r="AD711" s="53" t="n"/>
      <c r="AE711" s="55" t="n"/>
      <c r="AF711" s="55" t="n"/>
      <c r="AG711" s="59" t="n"/>
      <c r="AH711" s="57" t="n"/>
      <c r="AI711" s="55" t="n"/>
      <c r="AJ711" s="55" t="n"/>
      <c r="AK711" s="55" t="n"/>
      <c r="AL711" s="55" t="n"/>
      <c r="AM711" s="56" t="n"/>
      <c r="AN711" s="55" t="n"/>
      <c r="AO711" s="55" t="n"/>
      <c r="AP711" s="55" t="n"/>
      <c r="AQ711" s="55" t="n"/>
      <c r="AR711" s="60">
        <f>IF(AND(C711="",E711=""),"",IF(A711="","⚠ Date manquante",IF(AND(C711="",E711&lt;&gt;"Dépense"),"⚠ Prospect manquant",IF(E711="","⚠ Action manquante",IF(AND(AU711=1,D711=""),"⚠ Canal manquant",IF(AND(W711&lt;&gt;"",COUNTIFS('Saisie'!$W$5:$W$2004,W711,'Saisie'!$C$5:$C$2004,"&lt;&gt;"&amp;C711)&gt;0),"⚠ Numéro déjà utilisé par un autre prospect",IF(AND(J711&lt;&gt;"",J711&lt;A711),"⚠ Relance avant la date de l'action",IF(A711&gt;TODAY(),"⚠ Date dans le futur","✓"))))))))</f>
        <v/>
      </c>
      <c r="AS711" s="61">
        <f>IF(AND(A711="",C711="",E711=""),"",ROW())</f>
        <v/>
      </c>
      <c r="AT711" s="61">
        <f>IF(E711&amp;F711="","",MAX(IFERROR(INDEX('Paramètres'!$J$6:$J$33,MATCH(E711,'Paramètres'!$I$6:$I$33,0)),0),IFERROR(INDEX('Paramètres'!$N$6:$N$17,MATCH(F711,'Paramètres'!$M$6:$M$17,0)),0)))</f>
        <v/>
      </c>
      <c r="AU711" s="61">
        <f>IF(E711="","",IFERROR(IF(INDEX('Paramètres'!$K$6:$K$33,MATCH(E711,'Paramètres'!$I$6:$I$33,0))="Oui",1,0),0))</f>
        <v/>
      </c>
      <c r="AV711" s="61">
        <f>IF(F711="","",IFERROR(IF(INDEX('Paramètres'!$O$6:$O$17,MATCH(F711,'Paramètres'!$M$6:$M$17,0))="Oui",1,0),0))</f>
        <v/>
      </c>
      <c r="AW711" s="62">
        <f>IF(E711="","",IF(G711&lt;&gt;"",G711,IF(OR(E711="Proposition envoyée",E711="Signature"),MAX(0,N(IFERROR(INDEX('Paramètres'!$R$6:$R$15,MATCH(IF(AL711&lt;&gt;"",AL711,IFERROR(INDEX('Prospects'!$AN$5:$AN$504,MATCH(C711,'Prospects'!$C$5:$C$504,0)),"")),'Paramètres'!$Q$6:$Q$15,0)),0))-N(P711)),0)))</f>
        <v/>
      </c>
      <c r="AX711" s="61">
        <f>IF(C711="","",IF(COUNTIF($C$5:C711,C711)=1,MAX($AX$4:AX710)+1,""))</f>
        <v/>
      </c>
      <c r="AY711" s="61">
        <f>IF(B711="","",HOUR(B711))</f>
        <v/>
      </c>
      <c r="AZ711" s="61">
        <f>IF(A711="","",MOD(A711-2,7)+1)</f>
        <v/>
      </c>
      <c r="BA711" s="60">
        <f>IF(C711="","",IFERROR(INDEX('Prospects'!$N$5:$N$504,MATCH(C711,'Prospects'!$C$5:$C$504,0)),""))</f>
        <v/>
      </c>
      <c r="BB711" s="61">
        <f>IF(AND(C711&lt;&gt;"",C711='Fiche prospect'!$C$4),COUNTIF($C$5:C711,C711),"")</f>
        <v/>
      </c>
    </row>
    <row r="712">
      <c r="A712" s="53" t="n"/>
      <c r="B712" s="54" t="n"/>
      <c r="C712" s="55" t="n"/>
      <c r="D712" s="55" t="n"/>
      <c r="E712" s="55" t="n"/>
      <c r="F712" s="55" t="n"/>
      <c r="G712" s="56" t="n"/>
      <c r="H712" s="57" t="n"/>
      <c r="I712" s="55" t="n"/>
      <c r="J712" s="53" t="n"/>
      <c r="K712" s="54" t="n"/>
      <c r="L712" s="55" t="n"/>
      <c r="M712" s="55" t="n"/>
      <c r="N712" s="57" t="n"/>
      <c r="O712" s="55" t="n"/>
      <c r="P712" s="56" t="n"/>
      <c r="Q712" s="55" t="n"/>
      <c r="R712" s="55" t="n"/>
      <c r="S712" s="55" t="n"/>
      <c r="T712" s="55" t="n"/>
      <c r="U712" s="55" t="n"/>
      <c r="V712" s="55" t="n"/>
      <c r="W712" s="58" t="n"/>
      <c r="X712" s="58" t="n"/>
      <c r="Y712" s="55" t="n"/>
      <c r="Z712" s="55" t="n"/>
      <c r="AA712" s="55" t="n"/>
      <c r="AB712" s="55" t="n"/>
      <c r="AC712" s="55" t="n"/>
      <c r="AD712" s="53" t="n"/>
      <c r="AE712" s="55" t="n"/>
      <c r="AF712" s="55" t="n"/>
      <c r="AG712" s="59" t="n"/>
      <c r="AH712" s="57" t="n"/>
      <c r="AI712" s="55" t="n"/>
      <c r="AJ712" s="55" t="n"/>
      <c r="AK712" s="55" t="n"/>
      <c r="AL712" s="55" t="n"/>
      <c r="AM712" s="56" t="n"/>
      <c r="AN712" s="55" t="n"/>
      <c r="AO712" s="55" t="n"/>
      <c r="AP712" s="55" t="n"/>
      <c r="AQ712" s="55" t="n"/>
      <c r="AR712" s="60">
        <f>IF(AND(C712="",E712=""),"",IF(A712="","⚠ Date manquante",IF(AND(C712="",E712&lt;&gt;"Dépense"),"⚠ Prospect manquant",IF(E712="","⚠ Action manquante",IF(AND(AU712=1,D712=""),"⚠ Canal manquant",IF(AND(W712&lt;&gt;"",COUNTIFS('Saisie'!$W$5:$W$2004,W712,'Saisie'!$C$5:$C$2004,"&lt;&gt;"&amp;C712)&gt;0),"⚠ Numéro déjà utilisé par un autre prospect",IF(AND(J712&lt;&gt;"",J712&lt;A712),"⚠ Relance avant la date de l'action",IF(A712&gt;TODAY(),"⚠ Date dans le futur","✓"))))))))</f>
        <v/>
      </c>
      <c r="AS712" s="61">
        <f>IF(AND(A712="",C712="",E712=""),"",ROW())</f>
        <v/>
      </c>
      <c r="AT712" s="61">
        <f>IF(E712&amp;F712="","",MAX(IFERROR(INDEX('Paramètres'!$J$6:$J$33,MATCH(E712,'Paramètres'!$I$6:$I$33,0)),0),IFERROR(INDEX('Paramètres'!$N$6:$N$17,MATCH(F712,'Paramètres'!$M$6:$M$17,0)),0)))</f>
        <v/>
      </c>
      <c r="AU712" s="61">
        <f>IF(E712="","",IFERROR(IF(INDEX('Paramètres'!$K$6:$K$33,MATCH(E712,'Paramètres'!$I$6:$I$33,0))="Oui",1,0),0))</f>
        <v/>
      </c>
      <c r="AV712" s="61">
        <f>IF(F712="","",IFERROR(IF(INDEX('Paramètres'!$O$6:$O$17,MATCH(F712,'Paramètres'!$M$6:$M$17,0))="Oui",1,0),0))</f>
        <v/>
      </c>
      <c r="AW712" s="62">
        <f>IF(E712="","",IF(G712&lt;&gt;"",G712,IF(OR(E712="Proposition envoyée",E712="Signature"),MAX(0,N(IFERROR(INDEX('Paramètres'!$R$6:$R$15,MATCH(IF(AL712&lt;&gt;"",AL712,IFERROR(INDEX('Prospects'!$AN$5:$AN$504,MATCH(C712,'Prospects'!$C$5:$C$504,0)),"")),'Paramètres'!$Q$6:$Q$15,0)),0))-N(P712)),0)))</f>
        <v/>
      </c>
      <c r="AX712" s="61">
        <f>IF(C712="","",IF(COUNTIF($C$5:C712,C712)=1,MAX($AX$4:AX711)+1,""))</f>
        <v/>
      </c>
      <c r="AY712" s="61">
        <f>IF(B712="","",HOUR(B712))</f>
        <v/>
      </c>
      <c r="AZ712" s="61">
        <f>IF(A712="","",MOD(A712-2,7)+1)</f>
        <v/>
      </c>
      <c r="BA712" s="60">
        <f>IF(C712="","",IFERROR(INDEX('Prospects'!$N$5:$N$504,MATCH(C712,'Prospects'!$C$5:$C$504,0)),""))</f>
        <v/>
      </c>
      <c r="BB712" s="61">
        <f>IF(AND(C712&lt;&gt;"",C712='Fiche prospect'!$C$4),COUNTIF($C$5:C712,C712),"")</f>
        <v/>
      </c>
    </row>
    <row r="713">
      <c r="A713" s="53" t="n"/>
      <c r="B713" s="54" t="n"/>
      <c r="C713" s="55" t="n"/>
      <c r="D713" s="55" t="n"/>
      <c r="E713" s="55" t="n"/>
      <c r="F713" s="55" t="n"/>
      <c r="G713" s="56" t="n"/>
      <c r="H713" s="57" t="n"/>
      <c r="I713" s="55" t="n"/>
      <c r="J713" s="53" t="n"/>
      <c r="K713" s="54" t="n"/>
      <c r="L713" s="55" t="n"/>
      <c r="M713" s="55" t="n"/>
      <c r="N713" s="57" t="n"/>
      <c r="O713" s="55" t="n"/>
      <c r="P713" s="56" t="n"/>
      <c r="Q713" s="55" t="n"/>
      <c r="R713" s="55" t="n"/>
      <c r="S713" s="55" t="n"/>
      <c r="T713" s="55" t="n"/>
      <c r="U713" s="55" t="n"/>
      <c r="V713" s="55" t="n"/>
      <c r="W713" s="58" t="n"/>
      <c r="X713" s="58" t="n"/>
      <c r="Y713" s="55" t="n"/>
      <c r="Z713" s="55" t="n"/>
      <c r="AA713" s="55" t="n"/>
      <c r="AB713" s="55" t="n"/>
      <c r="AC713" s="55" t="n"/>
      <c r="AD713" s="53" t="n"/>
      <c r="AE713" s="55" t="n"/>
      <c r="AF713" s="55" t="n"/>
      <c r="AG713" s="59" t="n"/>
      <c r="AH713" s="57" t="n"/>
      <c r="AI713" s="55" t="n"/>
      <c r="AJ713" s="55" t="n"/>
      <c r="AK713" s="55" t="n"/>
      <c r="AL713" s="55" t="n"/>
      <c r="AM713" s="56" t="n"/>
      <c r="AN713" s="55" t="n"/>
      <c r="AO713" s="55" t="n"/>
      <c r="AP713" s="55" t="n"/>
      <c r="AQ713" s="55" t="n"/>
      <c r="AR713" s="60">
        <f>IF(AND(C713="",E713=""),"",IF(A713="","⚠ Date manquante",IF(AND(C713="",E713&lt;&gt;"Dépense"),"⚠ Prospect manquant",IF(E713="","⚠ Action manquante",IF(AND(AU713=1,D713=""),"⚠ Canal manquant",IF(AND(W713&lt;&gt;"",COUNTIFS('Saisie'!$W$5:$W$2004,W713,'Saisie'!$C$5:$C$2004,"&lt;&gt;"&amp;C713)&gt;0),"⚠ Numéro déjà utilisé par un autre prospect",IF(AND(J713&lt;&gt;"",J713&lt;A713),"⚠ Relance avant la date de l'action",IF(A713&gt;TODAY(),"⚠ Date dans le futur","✓"))))))))</f>
        <v/>
      </c>
      <c r="AS713" s="61">
        <f>IF(AND(A713="",C713="",E713=""),"",ROW())</f>
        <v/>
      </c>
      <c r="AT713" s="61">
        <f>IF(E713&amp;F713="","",MAX(IFERROR(INDEX('Paramètres'!$J$6:$J$33,MATCH(E713,'Paramètres'!$I$6:$I$33,0)),0),IFERROR(INDEX('Paramètres'!$N$6:$N$17,MATCH(F713,'Paramètres'!$M$6:$M$17,0)),0)))</f>
        <v/>
      </c>
      <c r="AU713" s="61">
        <f>IF(E713="","",IFERROR(IF(INDEX('Paramètres'!$K$6:$K$33,MATCH(E713,'Paramètres'!$I$6:$I$33,0))="Oui",1,0),0))</f>
        <v/>
      </c>
      <c r="AV713" s="61">
        <f>IF(F713="","",IFERROR(IF(INDEX('Paramètres'!$O$6:$O$17,MATCH(F713,'Paramètres'!$M$6:$M$17,0))="Oui",1,0),0))</f>
        <v/>
      </c>
      <c r="AW713" s="62">
        <f>IF(E713="","",IF(G713&lt;&gt;"",G713,IF(OR(E713="Proposition envoyée",E713="Signature"),MAX(0,N(IFERROR(INDEX('Paramètres'!$R$6:$R$15,MATCH(IF(AL713&lt;&gt;"",AL713,IFERROR(INDEX('Prospects'!$AN$5:$AN$504,MATCH(C713,'Prospects'!$C$5:$C$504,0)),"")),'Paramètres'!$Q$6:$Q$15,0)),0))-N(P713)),0)))</f>
        <v/>
      </c>
      <c r="AX713" s="61">
        <f>IF(C713="","",IF(COUNTIF($C$5:C713,C713)=1,MAX($AX$4:AX712)+1,""))</f>
        <v/>
      </c>
      <c r="AY713" s="61">
        <f>IF(B713="","",HOUR(B713))</f>
        <v/>
      </c>
      <c r="AZ713" s="61">
        <f>IF(A713="","",MOD(A713-2,7)+1)</f>
        <v/>
      </c>
      <c r="BA713" s="60">
        <f>IF(C713="","",IFERROR(INDEX('Prospects'!$N$5:$N$504,MATCH(C713,'Prospects'!$C$5:$C$504,0)),""))</f>
        <v/>
      </c>
      <c r="BB713" s="61">
        <f>IF(AND(C713&lt;&gt;"",C713='Fiche prospect'!$C$4),COUNTIF($C$5:C713,C713),"")</f>
        <v/>
      </c>
    </row>
    <row r="714">
      <c r="A714" s="53" t="n"/>
      <c r="B714" s="54" t="n"/>
      <c r="C714" s="55" t="n"/>
      <c r="D714" s="55" t="n"/>
      <c r="E714" s="55" t="n"/>
      <c r="F714" s="55" t="n"/>
      <c r="G714" s="56" t="n"/>
      <c r="H714" s="57" t="n"/>
      <c r="I714" s="55" t="n"/>
      <c r="J714" s="53" t="n"/>
      <c r="K714" s="54" t="n"/>
      <c r="L714" s="55" t="n"/>
      <c r="M714" s="55" t="n"/>
      <c r="N714" s="57" t="n"/>
      <c r="O714" s="55" t="n"/>
      <c r="P714" s="56" t="n"/>
      <c r="Q714" s="55" t="n"/>
      <c r="R714" s="55" t="n"/>
      <c r="S714" s="55" t="n"/>
      <c r="T714" s="55" t="n"/>
      <c r="U714" s="55" t="n"/>
      <c r="V714" s="55" t="n"/>
      <c r="W714" s="58" t="n"/>
      <c r="X714" s="58" t="n"/>
      <c r="Y714" s="55" t="n"/>
      <c r="Z714" s="55" t="n"/>
      <c r="AA714" s="55" t="n"/>
      <c r="AB714" s="55" t="n"/>
      <c r="AC714" s="55" t="n"/>
      <c r="AD714" s="53" t="n"/>
      <c r="AE714" s="55" t="n"/>
      <c r="AF714" s="55" t="n"/>
      <c r="AG714" s="59" t="n"/>
      <c r="AH714" s="57" t="n"/>
      <c r="AI714" s="55" t="n"/>
      <c r="AJ714" s="55" t="n"/>
      <c r="AK714" s="55" t="n"/>
      <c r="AL714" s="55" t="n"/>
      <c r="AM714" s="56" t="n"/>
      <c r="AN714" s="55" t="n"/>
      <c r="AO714" s="55" t="n"/>
      <c r="AP714" s="55" t="n"/>
      <c r="AQ714" s="55" t="n"/>
      <c r="AR714" s="60">
        <f>IF(AND(C714="",E714=""),"",IF(A714="","⚠ Date manquante",IF(AND(C714="",E714&lt;&gt;"Dépense"),"⚠ Prospect manquant",IF(E714="","⚠ Action manquante",IF(AND(AU714=1,D714=""),"⚠ Canal manquant",IF(AND(W714&lt;&gt;"",COUNTIFS('Saisie'!$W$5:$W$2004,W714,'Saisie'!$C$5:$C$2004,"&lt;&gt;"&amp;C714)&gt;0),"⚠ Numéro déjà utilisé par un autre prospect",IF(AND(J714&lt;&gt;"",J714&lt;A714),"⚠ Relance avant la date de l'action",IF(A714&gt;TODAY(),"⚠ Date dans le futur","✓"))))))))</f>
        <v/>
      </c>
      <c r="AS714" s="61">
        <f>IF(AND(A714="",C714="",E714=""),"",ROW())</f>
        <v/>
      </c>
      <c r="AT714" s="61">
        <f>IF(E714&amp;F714="","",MAX(IFERROR(INDEX('Paramètres'!$J$6:$J$33,MATCH(E714,'Paramètres'!$I$6:$I$33,0)),0),IFERROR(INDEX('Paramètres'!$N$6:$N$17,MATCH(F714,'Paramètres'!$M$6:$M$17,0)),0)))</f>
        <v/>
      </c>
      <c r="AU714" s="61">
        <f>IF(E714="","",IFERROR(IF(INDEX('Paramètres'!$K$6:$K$33,MATCH(E714,'Paramètres'!$I$6:$I$33,0))="Oui",1,0),0))</f>
        <v/>
      </c>
      <c r="AV714" s="61">
        <f>IF(F714="","",IFERROR(IF(INDEX('Paramètres'!$O$6:$O$17,MATCH(F714,'Paramètres'!$M$6:$M$17,0))="Oui",1,0),0))</f>
        <v/>
      </c>
      <c r="AW714" s="62">
        <f>IF(E714="","",IF(G714&lt;&gt;"",G714,IF(OR(E714="Proposition envoyée",E714="Signature"),MAX(0,N(IFERROR(INDEX('Paramètres'!$R$6:$R$15,MATCH(IF(AL714&lt;&gt;"",AL714,IFERROR(INDEX('Prospects'!$AN$5:$AN$504,MATCH(C714,'Prospects'!$C$5:$C$504,0)),"")),'Paramètres'!$Q$6:$Q$15,0)),0))-N(P714)),0)))</f>
        <v/>
      </c>
      <c r="AX714" s="61">
        <f>IF(C714="","",IF(COUNTIF($C$5:C714,C714)=1,MAX($AX$4:AX713)+1,""))</f>
        <v/>
      </c>
      <c r="AY714" s="61">
        <f>IF(B714="","",HOUR(B714))</f>
        <v/>
      </c>
      <c r="AZ714" s="61">
        <f>IF(A714="","",MOD(A714-2,7)+1)</f>
        <v/>
      </c>
      <c r="BA714" s="60">
        <f>IF(C714="","",IFERROR(INDEX('Prospects'!$N$5:$N$504,MATCH(C714,'Prospects'!$C$5:$C$504,0)),""))</f>
        <v/>
      </c>
      <c r="BB714" s="61">
        <f>IF(AND(C714&lt;&gt;"",C714='Fiche prospect'!$C$4),COUNTIF($C$5:C714,C714),"")</f>
        <v/>
      </c>
    </row>
    <row r="715">
      <c r="A715" s="53" t="n"/>
      <c r="B715" s="54" t="n"/>
      <c r="C715" s="55" t="n"/>
      <c r="D715" s="55" t="n"/>
      <c r="E715" s="55" t="n"/>
      <c r="F715" s="55" t="n"/>
      <c r="G715" s="56" t="n"/>
      <c r="H715" s="57" t="n"/>
      <c r="I715" s="55" t="n"/>
      <c r="J715" s="53" t="n"/>
      <c r="K715" s="54" t="n"/>
      <c r="L715" s="55" t="n"/>
      <c r="M715" s="55" t="n"/>
      <c r="N715" s="57" t="n"/>
      <c r="O715" s="55" t="n"/>
      <c r="P715" s="56" t="n"/>
      <c r="Q715" s="55" t="n"/>
      <c r="R715" s="55" t="n"/>
      <c r="S715" s="55" t="n"/>
      <c r="T715" s="55" t="n"/>
      <c r="U715" s="55" t="n"/>
      <c r="V715" s="55" t="n"/>
      <c r="W715" s="58" t="n"/>
      <c r="X715" s="58" t="n"/>
      <c r="Y715" s="55" t="n"/>
      <c r="Z715" s="55" t="n"/>
      <c r="AA715" s="55" t="n"/>
      <c r="AB715" s="55" t="n"/>
      <c r="AC715" s="55" t="n"/>
      <c r="AD715" s="53" t="n"/>
      <c r="AE715" s="55" t="n"/>
      <c r="AF715" s="55" t="n"/>
      <c r="AG715" s="59" t="n"/>
      <c r="AH715" s="57" t="n"/>
      <c r="AI715" s="55" t="n"/>
      <c r="AJ715" s="55" t="n"/>
      <c r="AK715" s="55" t="n"/>
      <c r="AL715" s="55" t="n"/>
      <c r="AM715" s="56" t="n"/>
      <c r="AN715" s="55" t="n"/>
      <c r="AO715" s="55" t="n"/>
      <c r="AP715" s="55" t="n"/>
      <c r="AQ715" s="55" t="n"/>
      <c r="AR715" s="60">
        <f>IF(AND(C715="",E715=""),"",IF(A715="","⚠ Date manquante",IF(AND(C715="",E715&lt;&gt;"Dépense"),"⚠ Prospect manquant",IF(E715="","⚠ Action manquante",IF(AND(AU715=1,D715=""),"⚠ Canal manquant",IF(AND(W715&lt;&gt;"",COUNTIFS('Saisie'!$W$5:$W$2004,W715,'Saisie'!$C$5:$C$2004,"&lt;&gt;"&amp;C715)&gt;0),"⚠ Numéro déjà utilisé par un autre prospect",IF(AND(J715&lt;&gt;"",J715&lt;A715),"⚠ Relance avant la date de l'action",IF(A715&gt;TODAY(),"⚠ Date dans le futur","✓"))))))))</f>
        <v/>
      </c>
      <c r="AS715" s="61">
        <f>IF(AND(A715="",C715="",E715=""),"",ROW())</f>
        <v/>
      </c>
      <c r="AT715" s="61">
        <f>IF(E715&amp;F715="","",MAX(IFERROR(INDEX('Paramètres'!$J$6:$J$33,MATCH(E715,'Paramètres'!$I$6:$I$33,0)),0),IFERROR(INDEX('Paramètres'!$N$6:$N$17,MATCH(F715,'Paramètres'!$M$6:$M$17,0)),0)))</f>
        <v/>
      </c>
      <c r="AU715" s="61">
        <f>IF(E715="","",IFERROR(IF(INDEX('Paramètres'!$K$6:$K$33,MATCH(E715,'Paramètres'!$I$6:$I$33,0))="Oui",1,0),0))</f>
        <v/>
      </c>
      <c r="AV715" s="61">
        <f>IF(F715="","",IFERROR(IF(INDEX('Paramètres'!$O$6:$O$17,MATCH(F715,'Paramètres'!$M$6:$M$17,0))="Oui",1,0),0))</f>
        <v/>
      </c>
      <c r="AW715" s="62">
        <f>IF(E715="","",IF(G715&lt;&gt;"",G715,IF(OR(E715="Proposition envoyée",E715="Signature"),MAX(0,N(IFERROR(INDEX('Paramètres'!$R$6:$R$15,MATCH(IF(AL715&lt;&gt;"",AL715,IFERROR(INDEX('Prospects'!$AN$5:$AN$504,MATCH(C715,'Prospects'!$C$5:$C$504,0)),"")),'Paramètres'!$Q$6:$Q$15,0)),0))-N(P715)),0)))</f>
        <v/>
      </c>
      <c r="AX715" s="61">
        <f>IF(C715="","",IF(COUNTIF($C$5:C715,C715)=1,MAX($AX$4:AX714)+1,""))</f>
        <v/>
      </c>
      <c r="AY715" s="61">
        <f>IF(B715="","",HOUR(B715))</f>
        <v/>
      </c>
      <c r="AZ715" s="61">
        <f>IF(A715="","",MOD(A715-2,7)+1)</f>
        <v/>
      </c>
      <c r="BA715" s="60">
        <f>IF(C715="","",IFERROR(INDEX('Prospects'!$N$5:$N$504,MATCH(C715,'Prospects'!$C$5:$C$504,0)),""))</f>
        <v/>
      </c>
      <c r="BB715" s="61">
        <f>IF(AND(C715&lt;&gt;"",C715='Fiche prospect'!$C$4),COUNTIF($C$5:C715,C715),"")</f>
        <v/>
      </c>
    </row>
    <row r="716">
      <c r="A716" s="53" t="n"/>
      <c r="B716" s="54" t="n"/>
      <c r="C716" s="55" t="n"/>
      <c r="D716" s="55" t="n"/>
      <c r="E716" s="55" t="n"/>
      <c r="F716" s="55" t="n"/>
      <c r="G716" s="56" t="n"/>
      <c r="H716" s="57" t="n"/>
      <c r="I716" s="55" t="n"/>
      <c r="J716" s="53" t="n"/>
      <c r="K716" s="54" t="n"/>
      <c r="L716" s="55" t="n"/>
      <c r="M716" s="55" t="n"/>
      <c r="N716" s="57" t="n"/>
      <c r="O716" s="55" t="n"/>
      <c r="P716" s="56" t="n"/>
      <c r="Q716" s="55" t="n"/>
      <c r="R716" s="55" t="n"/>
      <c r="S716" s="55" t="n"/>
      <c r="T716" s="55" t="n"/>
      <c r="U716" s="55" t="n"/>
      <c r="V716" s="55" t="n"/>
      <c r="W716" s="58" t="n"/>
      <c r="X716" s="58" t="n"/>
      <c r="Y716" s="55" t="n"/>
      <c r="Z716" s="55" t="n"/>
      <c r="AA716" s="55" t="n"/>
      <c r="AB716" s="55" t="n"/>
      <c r="AC716" s="55" t="n"/>
      <c r="AD716" s="53" t="n"/>
      <c r="AE716" s="55" t="n"/>
      <c r="AF716" s="55" t="n"/>
      <c r="AG716" s="59" t="n"/>
      <c r="AH716" s="57" t="n"/>
      <c r="AI716" s="55" t="n"/>
      <c r="AJ716" s="55" t="n"/>
      <c r="AK716" s="55" t="n"/>
      <c r="AL716" s="55" t="n"/>
      <c r="AM716" s="56" t="n"/>
      <c r="AN716" s="55" t="n"/>
      <c r="AO716" s="55" t="n"/>
      <c r="AP716" s="55" t="n"/>
      <c r="AQ716" s="55" t="n"/>
      <c r="AR716" s="60">
        <f>IF(AND(C716="",E716=""),"",IF(A716="","⚠ Date manquante",IF(AND(C716="",E716&lt;&gt;"Dépense"),"⚠ Prospect manquant",IF(E716="","⚠ Action manquante",IF(AND(AU716=1,D716=""),"⚠ Canal manquant",IF(AND(W716&lt;&gt;"",COUNTIFS('Saisie'!$W$5:$W$2004,W716,'Saisie'!$C$5:$C$2004,"&lt;&gt;"&amp;C716)&gt;0),"⚠ Numéro déjà utilisé par un autre prospect",IF(AND(J716&lt;&gt;"",J716&lt;A716),"⚠ Relance avant la date de l'action",IF(A716&gt;TODAY(),"⚠ Date dans le futur","✓"))))))))</f>
        <v/>
      </c>
      <c r="AS716" s="61">
        <f>IF(AND(A716="",C716="",E716=""),"",ROW())</f>
        <v/>
      </c>
      <c r="AT716" s="61">
        <f>IF(E716&amp;F716="","",MAX(IFERROR(INDEX('Paramètres'!$J$6:$J$33,MATCH(E716,'Paramètres'!$I$6:$I$33,0)),0),IFERROR(INDEX('Paramètres'!$N$6:$N$17,MATCH(F716,'Paramètres'!$M$6:$M$17,0)),0)))</f>
        <v/>
      </c>
      <c r="AU716" s="61">
        <f>IF(E716="","",IFERROR(IF(INDEX('Paramètres'!$K$6:$K$33,MATCH(E716,'Paramètres'!$I$6:$I$33,0))="Oui",1,0),0))</f>
        <v/>
      </c>
      <c r="AV716" s="61">
        <f>IF(F716="","",IFERROR(IF(INDEX('Paramètres'!$O$6:$O$17,MATCH(F716,'Paramètres'!$M$6:$M$17,0))="Oui",1,0),0))</f>
        <v/>
      </c>
      <c r="AW716" s="62">
        <f>IF(E716="","",IF(G716&lt;&gt;"",G716,IF(OR(E716="Proposition envoyée",E716="Signature"),MAX(0,N(IFERROR(INDEX('Paramètres'!$R$6:$R$15,MATCH(IF(AL716&lt;&gt;"",AL716,IFERROR(INDEX('Prospects'!$AN$5:$AN$504,MATCH(C716,'Prospects'!$C$5:$C$504,0)),"")),'Paramètres'!$Q$6:$Q$15,0)),0))-N(P716)),0)))</f>
        <v/>
      </c>
      <c r="AX716" s="61">
        <f>IF(C716="","",IF(COUNTIF($C$5:C716,C716)=1,MAX($AX$4:AX715)+1,""))</f>
        <v/>
      </c>
      <c r="AY716" s="61">
        <f>IF(B716="","",HOUR(B716))</f>
        <v/>
      </c>
      <c r="AZ716" s="61">
        <f>IF(A716="","",MOD(A716-2,7)+1)</f>
        <v/>
      </c>
      <c r="BA716" s="60">
        <f>IF(C716="","",IFERROR(INDEX('Prospects'!$N$5:$N$504,MATCH(C716,'Prospects'!$C$5:$C$504,0)),""))</f>
        <v/>
      </c>
      <c r="BB716" s="61">
        <f>IF(AND(C716&lt;&gt;"",C716='Fiche prospect'!$C$4),COUNTIF($C$5:C716,C716),"")</f>
        <v/>
      </c>
    </row>
    <row r="717">
      <c r="A717" s="53" t="n"/>
      <c r="B717" s="54" t="n"/>
      <c r="C717" s="55" t="n"/>
      <c r="D717" s="55" t="n"/>
      <c r="E717" s="55" t="n"/>
      <c r="F717" s="55" t="n"/>
      <c r="G717" s="56" t="n"/>
      <c r="H717" s="57" t="n"/>
      <c r="I717" s="55" t="n"/>
      <c r="J717" s="53" t="n"/>
      <c r="K717" s="54" t="n"/>
      <c r="L717" s="55" t="n"/>
      <c r="M717" s="55" t="n"/>
      <c r="N717" s="57" t="n"/>
      <c r="O717" s="55" t="n"/>
      <c r="P717" s="56" t="n"/>
      <c r="Q717" s="55" t="n"/>
      <c r="R717" s="55" t="n"/>
      <c r="S717" s="55" t="n"/>
      <c r="T717" s="55" t="n"/>
      <c r="U717" s="55" t="n"/>
      <c r="V717" s="55" t="n"/>
      <c r="W717" s="58" t="n"/>
      <c r="X717" s="58" t="n"/>
      <c r="Y717" s="55" t="n"/>
      <c r="Z717" s="55" t="n"/>
      <c r="AA717" s="55" t="n"/>
      <c r="AB717" s="55" t="n"/>
      <c r="AC717" s="55" t="n"/>
      <c r="AD717" s="53" t="n"/>
      <c r="AE717" s="55" t="n"/>
      <c r="AF717" s="55" t="n"/>
      <c r="AG717" s="59" t="n"/>
      <c r="AH717" s="57" t="n"/>
      <c r="AI717" s="55" t="n"/>
      <c r="AJ717" s="55" t="n"/>
      <c r="AK717" s="55" t="n"/>
      <c r="AL717" s="55" t="n"/>
      <c r="AM717" s="56" t="n"/>
      <c r="AN717" s="55" t="n"/>
      <c r="AO717" s="55" t="n"/>
      <c r="AP717" s="55" t="n"/>
      <c r="AQ717" s="55" t="n"/>
      <c r="AR717" s="60">
        <f>IF(AND(C717="",E717=""),"",IF(A717="","⚠ Date manquante",IF(AND(C717="",E717&lt;&gt;"Dépense"),"⚠ Prospect manquant",IF(E717="","⚠ Action manquante",IF(AND(AU717=1,D717=""),"⚠ Canal manquant",IF(AND(W717&lt;&gt;"",COUNTIFS('Saisie'!$W$5:$W$2004,W717,'Saisie'!$C$5:$C$2004,"&lt;&gt;"&amp;C717)&gt;0),"⚠ Numéro déjà utilisé par un autre prospect",IF(AND(J717&lt;&gt;"",J717&lt;A717),"⚠ Relance avant la date de l'action",IF(A717&gt;TODAY(),"⚠ Date dans le futur","✓"))))))))</f>
        <v/>
      </c>
      <c r="AS717" s="61">
        <f>IF(AND(A717="",C717="",E717=""),"",ROW())</f>
        <v/>
      </c>
      <c r="AT717" s="61">
        <f>IF(E717&amp;F717="","",MAX(IFERROR(INDEX('Paramètres'!$J$6:$J$33,MATCH(E717,'Paramètres'!$I$6:$I$33,0)),0),IFERROR(INDEX('Paramètres'!$N$6:$N$17,MATCH(F717,'Paramètres'!$M$6:$M$17,0)),0)))</f>
        <v/>
      </c>
      <c r="AU717" s="61">
        <f>IF(E717="","",IFERROR(IF(INDEX('Paramètres'!$K$6:$K$33,MATCH(E717,'Paramètres'!$I$6:$I$33,0))="Oui",1,0),0))</f>
        <v/>
      </c>
      <c r="AV717" s="61">
        <f>IF(F717="","",IFERROR(IF(INDEX('Paramètres'!$O$6:$O$17,MATCH(F717,'Paramètres'!$M$6:$M$17,0))="Oui",1,0),0))</f>
        <v/>
      </c>
      <c r="AW717" s="62">
        <f>IF(E717="","",IF(G717&lt;&gt;"",G717,IF(OR(E717="Proposition envoyée",E717="Signature"),MAX(0,N(IFERROR(INDEX('Paramètres'!$R$6:$R$15,MATCH(IF(AL717&lt;&gt;"",AL717,IFERROR(INDEX('Prospects'!$AN$5:$AN$504,MATCH(C717,'Prospects'!$C$5:$C$504,0)),"")),'Paramètres'!$Q$6:$Q$15,0)),0))-N(P717)),0)))</f>
        <v/>
      </c>
      <c r="AX717" s="61">
        <f>IF(C717="","",IF(COUNTIF($C$5:C717,C717)=1,MAX($AX$4:AX716)+1,""))</f>
        <v/>
      </c>
      <c r="AY717" s="61">
        <f>IF(B717="","",HOUR(B717))</f>
        <v/>
      </c>
      <c r="AZ717" s="61">
        <f>IF(A717="","",MOD(A717-2,7)+1)</f>
        <v/>
      </c>
      <c r="BA717" s="60">
        <f>IF(C717="","",IFERROR(INDEX('Prospects'!$N$5:$N$504,MATCH(C717,'Prospects'!$C$5:$C$504,0)),""))</f>
        <v/>
      </c>
      <c r="BB717" s="61">
        <f>IF(AND(C717&lt;&gt;"",C717='Fiche prospect'!$C$4),COUNTIF($C$5:C717,C717),"")</f>
        <v/>
      </c>
    </row>
    <row r="718">
      <c r="A718" s="53" t="n"/>
      <c r="B718" s="54" t="n"/>
      <c r="C718" s="55" t="n"/>
      <c r="D718" s="55" t="n"/>
      <c r="E718" s="55" t="n"/>
      <c r="F718" s="55" t="n"/>
      <c r="G718" s="56" t="n"/>
      <c r="H718" s="57" t="n"/>
      <c r="I718" s="55" t="n"/>
      <c r="J718" s="53" t="n"/>
      <c r="K718" s="54" t="n"/>
      <c r="L718" s="55" t="n"/>
      <c r="M718" s="55" t="n"/>
      <c r="N718" s="57" t="n"/>
      <c r="O718" s="55" t="n"/>
      <c r="P718" s="56" t="n"/>
      <c r="Q718" s="55" t="n"/>
      <c r="R718" s="55" t="n"/>
      <c r="S718" s="55" t="n"/>
      <c r="T718" s="55" t="n"/>
      <c r="U718" s="55" t="n"/>
      <c r="V718" s="55" t="n"/>
      <c r="W718" s="58" t="n"/>
      <c r="X718" s="58" t="n"/>
      <c r="Y718" s="55" t="n"/>
      <c r="Z718" s="55" t="n"/>
      <c r="AA718" s="55" t="n"/>
      <c r="AB718" s="55" t="n"/>
      <c r="AC718" s="55" t="n"/>
      <c r="AD718" s="53" t="n"/>
      <c r="AE718" s="55" t="n"/>
      <c r="AF718" s="55" t="n"/>
      <c r="AG718" s="59" t="n"/>
      <c r="AH718" s="57" t="n"/>
      <c r="AI718" s="55" t="n"/>
      <c r="AJ718" s="55" t="n"/>
      <c r="AK718" s="55" t="n"/>
      <c r="AL718" s="55" t="n"/>
      <c r="AM718" s="56" t="n"/>
      <c r="AN718" s="55" t="n"/>
      <c r="AO718" s="55" t="n"/>
      <c r="AP718" s="55" t="n"/>
      <c r="AQ718" s="55" t="n"/>
      <c r="AR718" s="60">
        <f>IF(AND(C718="",E718=""),"",IF(A718="","⚠ Date manquante",IF(AND(C718="",E718&lt;&gt;"Dépense"),"⚠ Prospect manquant",IF(E718="","⚠ Action manquante",IF(AND(AU718=1,D718=""),"⚠ Canal manquant",IF(AND(W718&lt;&gt;"",COUNTIFS('Saisie'!$W$5:$W$2004,W718,'Saisie'!$C$5:$C$2004,"&lt;&gt;"&amp;C718)&gt;0),"⚠ Numéro déjà utilisé par un autre prospect",IF(AND(J718&lt;&gt;"",J718&lt;A718),"⚠ Relance avant la date de l'action",IF(A718&gt;TODAY(),"⚠ Date dans le futur","✓"))))))))</f>
        <v/>
      </c>
      <c r="AS718" s="61">
        <f>IF(AND(A718="",C718="",E718=""),"",ROW())</f>
        <v/>
      </c>
      <c r="AT718" s="61">
        <f>IF(E718&amp;F718="","",MAX(IFERROR(INDEX('Paramètres'!$J$6:$J$33,MATCH(E718,'Paramètres'!$I$6:$I$33,0)),0),IFERROR(INDEX('Paramètres'!$N$6:$N$17,MATCH(F718,'Paramètres'!$M$6:$M$17,0)),0)))</f>
        <v/>
      </c>
      <c r="AU718" s="61">
        <f>IF(E718="","",IFERROR(IF(INDEX('Paramètres'!$K$6:$K$33,MATCH(E718,'Paramètres'!$I$6:$I$33,0))="Oui",1,0),0))</f>
        <v/>
      </c>
      <c r="AV718" s="61">
        <f>IF(F718="","",IFERROR(IF(INDEX('Paramètres'!$O$6:$O$17,MATCH(F718,'Paramètres'!$M$6:$M$17,0))="Oui",1,0),0))</f>
        <v/>
      </c>
      <c r="AW718" s="62">
        <f>IF(E718="","",IF(G718&lt;&gt;"",G718,IF(OR(E718="Proposition envoyée",E718="Signature"),MAX(0,N(IFERROR(INDEX('Paramètres'!$R$6:$R$15,MATCH(IF(AL718&lt;&gt;"",AL718,IFERROR(INDEX('Prospects'!$AN$5:$AN$504,MATCH(C718,'Prospects'!$C$5:$C$504,0)),"")),'Paramètres'!$Q$6:$Q$15,0)),0))-N(P718)),0)))</f>
        <v/>
      </c>
      <c r="AX718" s="61">
        <f>IF(C718="","",IF(COUNTIF($C$5:C718,C718)=1,MAX($AX$4:AX717)+1,""))</f>
        <v/>
      </c>
      <c r="AY718" s="61">
        <f>IF(B718="","",HOUR(B718))</f>
        <v/>
      </c>
      <c r="AZ718" s="61">
        <f>IF(A718="","",MOD(A718-2,7)+1)</f>
        <v/>
      </c>
      <c r="BA718" s="60">
        <f>IF(C718="","",IFERROR(INDEX('Prospects'!$N$5:$N$504,MATCH(C718,'Prospects'!$C$5:$C$504,0)),""))</f>
        <v/>
      </c>
      <c r="BB718" s="61">
        <f>IF(AND(C718&lt;&gt;"",C718='Fiche prospect'!$C$4),COUNTIF($C$5:C718,C718),"")</f>
        <v/>
      </c>
    </row>
    <row r="719">
      <c r="A719" s="53" t="n"/>
      <c r="B719" s="54" t="n"/>
      <c r="C719" s="55" t="n"/>
      <c r="D719" s="55" t="n"/>
      <c r="E719" s="55" t="n"/>
      <c r="F719" s="55" t="n"/>
      <c r="G719" s="56" t="n"/>
      <c r="H719" s="57" t="n"/>
      <c r="I719" s="55" t="n"/>
      <c r="J719" s="53" t="n"/>
      <c r="K719" s="54" t="n"/>
      <c r="L719" s="55" t="n"/>
      <c r="M719" s="55" t="n"/>
      <c r="N719" s="57" t="n"/>
      <c r="O719" s="55" t="n"/>
      <c r="P719" s="56" t="n"/>
      <c r="Q719" s="55" t="n"/>
      <c r="R719" s="55" t="n"/>
      <c r="S719" s="55" t="n"/>
      <c r="T719" s="55" t="n"/>
      <c r="U719" s="55" t="n"/>
      <c r="V719" s="55" t="n"/>
      <c r="W719" s="58" t="n"/>
      <c r="X719" s="58" t="n"/>
      <c r="Y719" s="55" t="n"/>
      <c r="Z719" s="55" t="n"/>
      <c r="AA719" s="55" t="n"/>
      <c r="AB719" s="55" t="n"/>
      <c r="AC719" s="55" t="n"/>
      <c r="AD719" s="53" t="n"/>
      <c r="AE719" s="55" t="n"/>
      <c r="AF719" s="55" t="n"/>
      <c r="AG719" s="59" t="n"/>
      <c r="AH719" s="57" t="n"/>
      <c r="AI719" s="55" t="n"/>
      <c r="AJ719" s="55" t="n"/>
      <c r="AK719" s="55" t="n"/>
      <c r="AL719" s="55" t="n"/>
      <c r="AM719" s="56" t="n"/>
      <c r="AN719" s="55" t="n"/>
      <c r="AO719" s="55" t="n"/>
      <c r="AP719" s="55" t="n"/>
      <c r="AQ719" s="55" t="n"/>
      <c r="AR719" s="60">
        <f>IF(AND(C719="",E719=""),"",IF(A719="","⚠ Date manquante",IF(AND(C719="",E719&lt;&gt;"Dépense"),"⚠ Prospect manquant",IF(E719="","⚠ Action manquante",IF(AND(AU719=1,D719=""),"⚠ Canal manquant",IF(AND(W719&lt;&gt;"",COUNTIFS('Saisie'!$W$5:$W$2004,W719,'Saisie'!$C$5:$C$2004,"&lt;&gt;"&amp;C719)&gt;0),"⚠ Numéro déjà utilisé par un autre prospect",IF(AND(J719&lt;&gt;"",J719&lt;A719),"⚠ Relance avant la date de l'action",IF(A719&gt;TODAY(),"⚠ Date dans le futur","✓"))))))))</f>
        <v/>
      </c>
      <c r="AS719" s="61">
        <f>IF(AND(A719="",C719="",E719=""),"",ROW())</f>
        <v/>
      </c>
      <c r="AT719" s="61">
        <f>IF(E719&amp;F719="","",MAX(IFERROR(INDEX('Paramètres'!$J$6:$J$33,MATCH(E719,'Paramètres'!$I$6:$I$33,0)),0),IFERROR(INDEX('Paramètres'!$N$6:$N$17,MATCH(F719,'Paramètres'!$M$6:$M$17,0)),0)))</f>
        <v/>
      </c>
      <c r="AU719" s="61">
        <f>IF(E719="","",IFERROR(IF(INDEX('Paramètres'!$K$6:$K$33,MATCH(E719,'Paramètres'!$I$6:$I$33,0))="Oui",1,0),0))</f>
        <v/>
      </c>
      <c r="AV719" s="61">
        <f>IF(F719="","",IFERROR(IF(INDEX('Paramètres'!$O$6:$O$17,MATCH(F719,'Paramètres'!$M$6:$M$17,0))="Oui",1,0),0))</f>
        <v/>
      </c>
      <c r="AW719" s="62">
        <f>IF(E719="","",IF(G719&lt;&gt;"",G719,IF(OR(E719="Proposition envoyée",E719="Signature"),MAX(0,N(IFERROR(INDEX('Paramètres'!$R$6:$R$15,MATCH(IF(AL719&lt;&gt;"",AL719,IFERROR(INDEX('Prospects'!$AN$5:$AN$504,MATCH(C719,'Prospects'!$C$5:$C$504,0)),"")),'Paramètres'!$Q$6:$Q$15,0)),0))-N(P719)),0)))</f>
        <v/>
      </c>
      <c r="AX719" s="61">
        <f>IF(C719="","",IF(COUNTIF($C$5:C719,C719)=1,MAX($AX$4:AX718)+1,""))</f>
        <v/>
      </c>
      <c r="AY719" s="61">
        <f>IF(B719="","",HOUR(B719))</f>
        <v/>
      </c>
      <c r="AZ719" s="61">
        <f>IF(A719="","",MOD(A719-2,7)+1)</f>
        <v/>
      </c>
      <c r="BA719" s="60">
        <f>IF(C719="","",IFERROR(INDEX('Prospects'!$N$5:$N$504,MATCH(C719,'Prospects'!$C$5:$C$504,0)),""))</f>
        <v/>
      </c>
      <c r="BB719" s="61">
        <f>IF(AND(C719&lt;&gt;"",C719='Fiche prospect'!$C$4),COUNTIF($C$5:C719,C719),"")</f>
        <v/>
      </c>
    </row>
    <row r="720">
      <c r="A720" s="53" t="n"/>
      <c r="B720" s="54" t="n"/>
      <c r="C720" s="55" t="n"/>
      <c r="D720" s="55" t="n"/>
      <c r="E720" s="55" t="n"/>
      <c r="F720" s="55" t="n"/>
      <c r="G720" s="56" t="n"/>
      <c r="H720" s="57" t="n"/>
      <c r="I720" s="55" t="n"/>
      <c r="J720" s="53" t="n"/>
      <c r="K720" s="54" t="n"/>
      <c r="L720" s="55" t="n"/>
      <c r="M720" s="55" t="n"/>
      <c r="N720" s="57" t="n"/>
      <c r="O720" s="55" t="n"/>
      <c r="P720" s="56" t="n"/>
      <c r="Q720" s="55" t="n"/>
      <c r="R720" s="55" t="n"/>
      <c r="S720" s="55" t="n"/>
      <c r="T720" s="55" t="n"/>
      <c r="U720" s="55" t="n"/>
      <c r="V720" s="55" t="n"/>
      <c r="W720" s="58" t="n"/>
      <c r="X720" s="58" t="n"/>
      <c r="Y720" s="55" t="n"/>
      <c r="Z720" s="55" t="n"/>
      <c r="AA720" s="55" t="n"/>
      <c r="AB720" s="55" t="n"/>
      <c r="AC720" s="55" t="n"/>
      <c r="AD720" s="53" t="n"/>
      <c r="AE720" s="55" t="n"/>
      <c r="AF720" s="55" t="n"/>
      <c r="AG720" s="59" t="n"/>
      <c r="AH720" s="57" t="n"/>
      <c r="AI720" s="55" t="n"/>
      <c r="AJ720" s="55" t="n"/>
      <c r="AK720" s="55" t="n"/>
      <c r="AL720" s="55" t="n"/>
      <c r="AM720" s="56" t="n"/>
      <c r="AN720" s="55" t="n"/>
      <c r="AO720" s="55" t="n"/>
      <c r="AP720" s="55" t="n"/>
      <c r="AQ720" s="55" t="n"/>
      <c r="AR720" s="60">
        <f>IF(AND(C720="",E720=""),"",IF(A720="","⚠ Date manquante",IF(AND(C720="",E720&lt;&gt;"Dépense"),"⚠ Prospect manquant",IF(E720="","⚠ Action manquante",IF(AND(AU720=1,D720=""),"⚠ Canal manquant",IF(AND(W720&lt;&gt;"",COUNTIFS('Saisie'!$W$5:$W$2004,W720,'Saisie'!$C$5:$C$2004,"&lt;&gt;"&amp;C720)&gt;0),"⚠ Numéro déjà utilisé par un autre prospect",IF(AND(J720&lt;&gt;"",J720&lt;A720),"⚠ Relance avant la date de l'action",IF(A720&gt;TODAY(),"⚠ Date dans le futur","✓"))))))))</f>
        <v/>
      </c>
      <c r="AS720" s="61">
        <f>IF(AND(A720="",C720="",E720=""),"",ROW())</f>
        <v/>
      </c>
      <c r="AT720" s="61">
        <f>IF(E720&amp;F720="","",MAX(IFERROR(INDEX('Paramètres'!$J$6:$J$33,MATCH(E720,'Paramètres'!$I$6:$I$33,0)),0),IFERROR(INDEX('Paramètres'!$N$6:$N$17,MATCH(F720,'Paramètres'!$M$6:$M$17,0)),0)))</f>
        <v/>
      </c>
      <c r="AU720" s="61">
        <f>IF(E720="","",IFERROR(IF(INDEX('Paramètres'!$K$6:$K$33,MATCH(E720,'Paramètres'!$I$6:$I$33,0))="Oui",1,0),0))</f>
        <v/>
      </c>
      <c r="AV720" s="61">
        <f>IF(F720="","",IFERROR(IF(INDEX('Paramètres'!$O$6:$O$17,MATCH(F720,'Paramètres'!$M$6:$M$17,0))="Oui",1,0),0))</f>
        <v/>
      </c>
      <c r="AW720" s="62">
        <f>IF(E720="","",IF(G720&lt;&gt;"",G720,IF(OR(E720="Proposition envoyée",E720="Signature"),MAX(0,N(IFERROR(INDEX('Paramètres'!$R$6:$R$15,MATCH(IF(AL720&lt;&gt;"",AL720,IFERROR(INDEX('Prospects'!$AN$5:$AN$504,MATCH(C720,'Prospects'!$C$5:$C$504,0)),"")),'Paramètres'!$Q$6:$Q$15,0)),0))-N(P720)),0)))</f>
        <v/>
      </c>
      <c r="AX720" s="61">
        <f>IF(C720="","",IF(COUNTIF($C$5:C720,C720)=1,MAX($AX$4:AX719)+1,""))</f>
        <v/>
      </c>
      <c r="AY720" s="61">
        <f>IF(B720="","",HOUR(B720))</f>
        <v/>
      </c>
      <c r="AZ720" s="61">
        <f>IF(A720="","",MOD(A720-2,7)+1)</f>
        <v/>
      </c>
      <c r="BA720" s="60">
        <f>IF(C720="","",IFERROR(INDEX('Prospects'!$N$5:$N$504,MATCH(C720,'Prospects'!$C$5:$C$504,0)),""))</f>
        <v/>
      </c>
      <c r="BB720" s="61">
        <f>IF(AND(C720&lt;&gt;"",C720='Fiche prospect'!$C$4),COUNTIF($C$5:C720,C720),"")</f>
        <v/>
      </c>
    </row>
    <row r="721">
      <c r="A721" s="53" t="n"/>
      <c r="B721" s="54" t="n"/>
      <c r="C721" s="55" t="n"/>
      <c r="D721" s="55" t="n"/>
      <c r="E721" s="55" t="n"/>
      <c r="F721" s="55" t="n"/>
      <c r="G721" s="56" t="n"/>
      <c r="H721" s="57" t="n"/>
      <c r="I721" s="55" t="n"/>
      <c r="J721" s="53" t="n"/>
      <c r="K721" s="54" t="n"/>
      <c r="L721" s="55" t="n"/>
      <c r="M721" s="55" t="n"/>
      <c r="N721" s="57" t="n"/>
      <c r="O721" s="55" t="n"/>
      <c r="P721" s="56" t="n"/>
      <c r="Q721" s="55" t="n"/>
      <c r="R721" s="55" t="n"/>
      <c r="S721" s="55" t="n"/>
      <c r="T721" s="55" t="n"/>
      <c r="U721" s="55" t="n"/>
      <c r="V721" s="55" t="n"/>
      <c r="W721" s="58" t="n"/>
      <c r="X721" s="58" t="n"/>
      <c r="Y721" s="55" t="n"/>
      <c r="Z721" s="55" t="n"/>
      <c r="AA721" s="55" t="n"/>
      <c r="AB721" s="55" t="n"/>
      <c r="AC721" s="55" t="n"/>
      <c r="AD721" s="53" t="n"/>
      <c r="AE721" s="55" t="n"/>
      <c r="AF721" s="55" t="n"/>
      <c r="AG721" s="59" t="n"/>
      <c r="AH721" s="57" t="n"/>
      <c r="AI721" s="55" t="n"/>
      <c r="AJ721" s="55" t="n"/>
      <c r="AK721" s="55" t="n"/>
      <c r="AL721" s="55" t="n"/>
      <c r="AM721" s="56" t="n"/>
      <c r="AN721" s="55" t="n"/>
      <c r="AO721" s="55" t="n"/>
      <c r="AP721" s="55" t="n"/>
      <c r="AQ721" s="55" t="n"/>
      <c r="AR721" s="60">
        <f>IF(AND(C721="",E721=""),"",IF(A721="","⚠ Date manquante",IF(AND(C721="",E721&lt;&gt;"Dépense"),"⚠ Prospect manquant",IF(E721="","⚠ Action manquante",IF(AND(AU721=1,D721=""),"⚠ Canal manquant",IF(AND(W721&lt;&gt;"",COUNTIFS('Saisie'!$W$5:$W$2004,W721,'Saisie'!$C$5:$C$2004,"&lt;&gt;"&amp;C721)&gt;0),"⚠ Numéro déjà utilisé par un autre prospect",IF(AND(J721&lt;&gt;"",J721&lt;A721),"⚠ Relance avant la date de l'action",IF(A721&gt;TODAY(),"⚠ Date dans le futur","✓"))))))))</f>
        <v/>
      </c>
      <c r="AS721" s="61">
        <f>IF(AND(A721="",C721="",E721=""),"",ROW())</f>
        <v/>
      </c>
      <c r="AT721" s="61">
        <f>IF(E721&amp;F721="","",MAX(IFERROR(INDEX('Paramètres'!$J$6:$J$33,MATCH(E721,'Paramètres'!$I$6:$I$33,0)),0),IFERROR(INDEX('Paramètres'!$N$6:$N$17,MATCH(F721,'Paramètres'!$M$6:$M$17,0)),0)))</f>
        <v/>
      </c>
      <c r="AU721" s="61">
        <f>IF(E721="","",IFERROR(IF(INDEX('Paramètres'!$K$6:$K$33,MATCH(E721,'Paramètres'!$I$6:$I$33,0))="Oui",1,0),0))</f>
        <v/>
      </c>
      <c r="AV721" s="61">
        <f>IF(F721="","",IFERROR(IF(INDEX('Paramètres'!$O$6:$O$17,MATCH(F721,'Paramètres'!$M$6:$M$17,0))="Oui",1,0),0))</f>
        <v/>
      </c>
      <c r="AW721" s="62">
        <f>IF(E721="","",IF(G721&lt;&gt;"",G721,IF(OR(E721="Proposition envoyée",E721="Signature"),MAX(0,N(IFERROR(INDEX('Paramètres'!$R$6:$R$15,MATCH(IF(AL721&lt;&gt;"",AL721,IFERROR(INDEX('Prospects'!$AN$5:$AN$504,MATCH(C721,'Prospects'!$C$5:$C$504,0)),"")),'Paramètres'!$Q$6:$Q$15,0)),0))-N(P721)),0)))</f>
        <v/>
      </c>
      <c r="AX721" s="61">
        <f>IF(C721="","",IF(COUNTIF($C$5:C721,C721)=1,MAX($AX$4:AX720)+1,""))</f>
        <v/>
      </c>
      <c r="AY721" s="61">
        <f>IF(B721="","",HOUR(B721))</f>
        <v/>
      </c>
      <c r="AZ721" s="61">
        <f>IF(A721="","",MOD(A721-2,7)+1)</f>
        <v/>
      </c>
      <c r="BA721" s="60">
        <f>IF(C721="","",IFERROR(INDEX('Prospects'!$N$5:$N$504,MATCH(C721,'Prospects'!$C$5:$C$504,0)),""))</f>
        <v/>
      </c>
      <c r="BB721" s="61">
        <f>IF(AND(C721&lt;&gt;"",C721='Fiche prospect'!$C$4),COUNTIF($C$5:C721,C721),"")</f>
        <v/>
      </c>
    </row>
    <row r="722">
      <c r="A722" s="53" t="n"/>
      <c r="B722" s="54" t="n"/>
      <c r="C722" s="55" t="n"/>
      <c r="D722" s="55" t="n"/>
      <c r="E722" s="55" t="n"/>
      <c r="F722" s="55" t="n"/>
      <c r="G722" s="56" t="n"/>
      <c r="H722" s="57" t="n"/>
      <c r="I722" s="55" t="n"/>
      <c r="J722" s="53" t="n"/>
      <c r="K722" s="54" t="n"/>
      <c r="L722" s="55" t="n"/>
      <c r="M722" s="55" t="n"/>
      <c r="N722" s="57" t="n"/>
      <c r="O722" s="55" t="n"/>
      <c r="P722" s="56" t="n"/>
      <c r="Q722" s="55" t="n"/>
      <c r="R722" s="55" t="n"/>
      <c r="S722" s="55" t="n"/>
      <c r="T722" s="55" t="n"/>
      <c r="U722" s="55" t="n"/>
      <c r="V722" s="55" t="n"/>
      <c r="W722" s="58" t="n"/>
      <c r="X722" s="58" t="n"/>
      <c r="Y722" s="55" t="n"/>
      <c r="Z722" s="55" t="n"/>
      <c r="AA722" s="55" t="n"/>
      <c r="AB722" s="55" t="n"/>
      <c r="AC722" s="55" t="n"/>
      <c r="AD722" s="53" t="n"/>
      <c r="AE722" s="55" t="n"/>
      <c r="AF722" s="55" t="n"/>
      <c r="AG722" s="59" t="n"/>
      <c r="AH722" s="57" t="n"/>
      <c r="AI722" s="55" t="n"/>
      <c r="AJ722" s="55" t="n"/>
      <c r="AK722" s="55" t="n"/>
      <c r="AL722" s="55" t="n"/>
      <c r="AM722" s="56" t="n"/>
      <c r="AN722" s="55" t="n"/>
      <c r="AO722" s="55" t="n"/>
      <c r="AP722" s="55" t="n"/>
      <c r="AQ722" s="55" t="n"/>
      <c r="AR722" s="60">
        <f>IF(AND(C722="",E722=""),"",IF(A722="","⚠ Date manquante",IF(AND(C722="",E722&lt;&gt;"Dépense"),"⚠ Prospect manquant",IF(E722="","⚠ Action manquante",IF(AND(AU722=1,D722=""),"⚠ Canal manquant",IF(AND(W722&lt;&gt;"",COUNTIFS('Saisie'!$W$5:$W$2004,W722,'Saisie'!$C$5:$C$2004,"&lt;&gt;"&amp;C722)&gt;0),"⚠ Numéro déjà utilisé par un autre prospect",IF(AND(J722&lt;&gt;"",J722&lt;A722),"⚠ Relance avant la date de l'action",IF(A722&gt;TODAY(),"⚠ Date dans le futur","✓"))))))))</f>
        <v/>
      </c>
      <c r="AS722" s="61">
        <f>IF(AND(A722="",C722="",E722=""),"",ROW())</f>
        <v/>
      </c>
      <c r="AT722" s="61">
        <f>IF(E722&amp;F722="","",MAX(IFERROR(INDEX('Paramètres'!$J$6:$J$33,MATCH(E722,'Paramètres'!$I$6:$I$33,0)),0),IFERROR(INDEX('Paramètres'!$N$6:$N$17,MATCH(F722,'Paramètres'!$M$6:$M$17,0)),0)))</f>
        <v/>
      </c>
      <c r="AU722" s="61">
        <f>IF(E722="","",IFERROR(IF(INDEX('Paramètres'!$K$6:$K$33,MATCH(E722,'Paramètres'!$I$6:$I$33,0))="Oui",1,0),0))</f>
        <v/>
      </c>
      <c r="AV722" s="61">
        <f>IF(F722="","",IFERROR(IF(INDEX('Paramètres'!$O$6:$O$17,MATCH(F722,'Paramètres'!$M$6:$M$17,0))="Oui",1,0),0))</f>
        <v/>
      </c>
      <c r="AW722" s="62">
        <f>IF(E722="","",IF(G722&lt;&gt;"",G722,IF(OR(E722="Proposition envoyée",E722="Signature"),MAX(0,N(IFERROR(INDEX('Paramètres'!$R$6:$R$15,MATCH(IF(AL722&lt;&gt;"",AL722,IFERROR(INDEX('Prospects'!$AN$5:$AN$504,MATCH(C722,'Prospects'!$C$5:$C$504,0)),"")),'Paramètres'!$Q$6:$Q$15,0)),0))-N(P722)),0)))</f>
        <v/>
      </c>
      <c r="AX722" s="61">
        <f>IF(C722="","",IF(COUNTIF($C$5:C722,C722)=1,MAX($AX$4:AX721)+1,""))</f>
        <v/>
      </c>
      <c r="AY722" s="61">
        <f>IF(B722="","",HOUR(B722))</f>
        <v/>
      </c>
      <c r="AZ722" s="61">
        <f>IF(A722="","",MOD(A722-2,7)+1)</f>
        <v/>
      </c>
      <c r="BA722" s="60">
        <f>IF(C722="","",IFERROR(INDEX('Prospects'!$N$5:$N$504,MATCH(C722,'Prospects'!$C$5:$C$504,0)),""))</f>
        <v/>
      </c>
      <c r="BB722" s="61">
        <f>IF(AND(C722&lt;&gt;"",C722='Fiche prospect'!$C$4),COUNTIF($C$5:C722,C722),"")</f>
        <v/>
      </c>
    </row>
    <row r="723">
      <c r="A723" s="53" t="n"/>
      <c r="B723" s="54" t="n"/>
      <c r="C723" s="55" t="n"/>
      <c r="D723" s="55" t="n"/>
      <c r="E723" s="55" t="n"/>
      <c r="F723" s="55" t="n"/>
      <c r="G723" s="56" t="n"/>
      <c r="H723" s="57" t="n"/>
      <c r="I723" s="55" t="n"/>
      <c r="J723" s="53" t="n"/>
      <c r="K723" s="54" t="n"/>
      <c r="L723" s="55" t="n"/>
      <c r="M723" s="55" t="n"/>
      <c r="N723" s="57" t="n"/>
      <c r="O723" s="55" t="n"/>
      <c r="P723" s="56" t="n"/>
      <c r="Q723" s="55" t="n"/>
      <c r="R723" s="55" t="n"/>
      <c r="S723" s="55" t="n"/>
      <c r="T723" s="55" t="n"/>
      <c r="U723" s="55" t="n"/>
      <c r="V723" s="55" t="n"/>
      <c r="W723" s="58" t="n"/>
      <c r="X723" s="58" t="n"/>
      <c r="Y723" s="55" t="n"/>
      <c r="Z723" s="55" t="n"/>
      <c r="AA723" s="55" t="n"/>
      <c r="AB723" s="55" t="n"/>
      <c r="AC723" s="55" t="n"/>
      <c r="AD723" s="53" t="n"/>
      <c r="AE723" s="55" t="n"/>
      <c r="AF723" s="55" t="n"/>
      <c r="AG723" s="59" t="n"/>
      <c r="AH723" s="57" t="n"/>
      <c r="AI723" s="55" t="n"/>
      <c r="AJ723" s="55" t="n"/>
      <c r="AK723" s="55" t="n"/>
      <c r="AL723" s="55" t="n"/>
      <c r="AM723" s="56" t="n"/>
      <c r="AN723" s="55" t="n"/>
      <c r="AO723" s="55" t="n"/>
      <c r="AP723" s="55" t="n"/>
      <c r="AQ723" s="55" t="n"/>
      <c r="AR723" s="60">
        <f>IF(AND(C723="",E723=""),"",IF(A723="","⚠ Date manquante",IF(AND(C723="",E723&lt;&gt;"Dépense"),"⚠ Prospect manquant",IF(E723="","⚠ Action manquante",IF(AND(AU723=1,D723=""),"⚠ Canal manquant",IF(AND(W723&lt;&gt;"",COUNTIFS('Saisie'!$W$5:$W$2004,W723,'Saisie'!$C$5:$C$2004,"&lt;&gt;"&amp;C723)&gt;0),"⚠ Numéro déjà utilisé par un autre prospect",IF(AND(J723&lt;&gt;"",J723&lt;A723),"⚠ Relance avant la date de l'action",IF(A723&gt;TODAY(),"⚠ Date dans le futur","✓"))))))))</f>
        <v/>
      </c>
      <c r="AS723" s="61">
        <f>IF(AND(A723="",C723="",E723=""),"",ROW())</f>
        <v/>
      </c>
      <c r="AT723" s="61">
        <f>IF(E723&amp;F723="","",MAX(IFERROR(INDEX('Paramètres'!$J$6:$J$33,MATCH(E723,'Paramètres'!$I$6:$I$33,0)),0),IFERROR(INDEX('Paramètres'!$N$6:$N$17,MATCH(F723,'Paramètres'!$M$6:$M$17,0)),0)))</f>
        <v/>
      </c>
      <c r="AU723" s="61">
        <f>IF(E723="","",IFERROR(IF(INDEX('Paramètres'!$K$6:$K$33,MATCH(E723,'Paramètres'!$I$6:$I$33,0))="Oui",1,0),0))</f>
        <v/>
      </c>
      <c r="AV723" s="61">
        <f>IF(F723="","",IFERROR(IF(INDEX('Paramètres'!$O$6:$O$17,MATCH(F723,'Paramètres'!$M$6:$M$17,0))="Oui",1,0),0))</f>
        <v/>
      </c>
      <c r="AW723" s="62">
        <f>IF(E723="","",IF(G723&lt;&gt;"",G723,IF(OR(E723="Proposition envoyée",E723="Signature"),MAX(0,N(IFERROR(INDEX('Paramètres'!$R$6:$R$15,MATCH(IF(AL723&lt;&gt;"",AL723,IFERROR(INDEX('Prospects'!$AN$5:$AN$504,MATCH(C723,'Prospects'!$C$5:$C$504,0)),"")),'Paramètres'!$Q$6:$Q$15,0)),0))-N(P723)),0)))</f>
        <v/>
      </c>
      <c r="AX723" s="61">
        <f>IF(C723="","",IF(COUNTIF($C$5:C723,C723)=1,MAX($AX$4:AX722)+1,""))</f>
        <v/>
      </c>
      <c r="AY723" s="61">
        <f>IF(B723="","",HOUR(B723))</f>
        <v/>
      </c>
      <c r="AZ723" s="61">
        <f>IF(A723="","",MOD(A723-2,7)+1)</f>
        <v/>
      </c>
      <c r="BA723" s="60">
        <f>IF(C723="","",IFERROR(INDEX('Prospects'!$N$5:$N$504,MATCH(C723,'Prospects'!$C$5:$C$504,0)),""))</f>
        <v/>
      </c>
      <c r="BB723" s="61">
        <f>IF(AND(C723&lt;&gt;"",C723='Fiche prospect'!$C$4),COUNTIF($C$5:C723,C723),"")</f>
        <v/>
      </c>
    </row>
    <row r="724">
      <c r="A724" s="53" t="n"/>
      <c r="B724" s="54" t="n"/>
      <c r="C724" s="55" t="n"/>
      <c r="D724" s="55" t="n"/>
      <c r="E724" s="55" t="n"/>
      <c r="F724" s="55" t="n"/>
      <c r="G724" s="56" t="n"/>
      <c r="H724" s="57" t="n"/>
      <c r="I724" s="55" t="n"/>
      <c r="J724" s="53" t="n"/>
      <c r="K724" s="54" t="n"/>
      <c r="L724" s="55" t="n"/>
      <c r="M724" s="55" t="n"/>
      <c r="N724" s="57" t="n"/>
      <c r="O724" s="55" t="n"/>
      <c r="P724" s="56" t="n"/>
      <c r="Q724" s="55" t="n"/>
      <c r="R724" s="55" t="n"/>
      <c r="S724" s="55" t="n"/>
      <c r="T724" s="55" t="n"/>
      <c r="U724" s="55" t="n"/>
      <c r="V724" s="55" t="n"/>
      <c r="W724" s="58" t="n"/>
      <c r="X724" s="58" t="n"/>
      <c r="Y724" s="55" t="n"/>
      <c r="Z724" s="55" t="n"/>
      <c r="AA724" s="55" t="n"/>
      <c r="AB724" s="55" t="n"/>
      <c r="AC724" s="55" t="n"/>
      <c r="AD724" s="53" t="n"/>
      <c r="AE724" s="55" t="n"/>
      <c r="AF724" s="55" t="n"/>
      <c r="AG724" s="59" t="n"/>
      <c r="AH724" s="57" t="n"/>
      <c r="AI724" s="55" t="n"/>
      <c r="AJ724" s="55" t="n"/>
      <c r="AK724" s="55" t="n"/>
      <c r="AL724" s="55" t="n"/>
      <c r="AM724" s="56" t="n"/>
      <c r="AN724" s="55" t="n"/>
      <c r="AO724" s="55" t="n"/>
      <c r="AP724" s="55" t="n"/>
      <c r="AQ724" s="55" t="n"/>
      <c r="AR724" s="60">
        <f>IF(AND(C724="",E724=""),"",IF(A724="","⚠ Date manquante",IF(AND(C724="",E724&lt;&gt;"Dépense"),"⚠ Prospect manquant",IF(E724="","⚠ Action manquante",IF(AND(AU724=1,D724=""),"⚠ Canal manquant",IF(AND(W724&lt;&gt;"",COUNTIFS('Saisie'!$W$5:$W$2004,W724,'Saisie'!$C$5:$C$2004,"&lt;&gt;"&amp;C724)&gt;0),"⚠ Numéro déjà utilisé par un autre prospect",IF(AND(J724&lt;&gt;"",J724&lt;A724),"⚠ Relance avant la date de l'action",IF(A724&gt;TODAY(),"⚠ Date dans le futur","✓"))))))))</f>
        <v/>
      </c>
      <c r="AS724" s="61">
        <f>IF(AND(A724="",C724="",E724=""),"",ROW())</f>
        <v/>
      </c>
      <c r="AT724" s="61">
        <f>IF(E724&amp;F724="","",MAX(IFERROR(INDEX('Paramètres'!$J$6:$J$33,MATCH(E724,'Paramètres'!$I$6:$I$33,0)),0),IFERROR(INDEX('Paramètres'!$N$6:$N$17,MATCH(F724,'Paramètres'!$M$6:$M$17,0)),0)))</f>
        <v/>
      </c>
      <c r="AU724" s="61">
        <f>IF(E724="","",IFERROR(IF(INDEX('Paramètres'!$K$6:$K$33,MATCH(E724,'Paramètres'!$I$6:$I$33,0))="Oui",1,0),0))</f>
        <v/>
      </c>
      <c r="AV724" s="61">
        <f>IF(F724="","",IFERROR(IF(INDEX('Paramètres'!$O$6:$O$17,MATCH(F724,'Paramètres'!$M$6:$M$17,0))="Oui",1,0),0))</f>
        <v/>
      </c>
      <c r="AW724" s="62">
        <f>IF(E724="","",IF(G724&lt;&gt;"",G724,IF(OR(E724="Proposition envoyée",E724="Signature"),MAX(0,N(IFERROR(INDEX('Paramètres'!$R$6:$R$15,MATCH(IF(AL724&lt;&gt;"",AL724,IFERROR(INDEX('Prospects'!$AN$5:$AN$504,MATCH(C724,'Prospects'!$C$5:$C$504,0)),"")),'Paramètres'!$Q$6:$Q$15,0)),0))-N(P724)),0)))</f>
        <v/>
      </c>
      <c r="AX724" s="61">
        <f>IF(C724="","",IF(COUNTIF($C$5:C724,C724)=1,MAX($AX$4:AX723)+1,""))</f>
        <v/>
      </c>
      <c r="AY724" s="61">
        <f>IF(B724="","",HOUR(B724))</f>
        <v/>
      </c>
      <c r="AZ724" s="61">
        <f>IF(A724="","",MOD(A724-2,7)+1)</f>
        <v/>
      </c>
      <c r="BA724" s="60">
        <f>IF(C724="","",IFERROR(INDEX('Prospects'!$N$5:$N$504,MATCH(C724,'Prospects'!$C$5:$C$504,0)),""))</f>
        <v/>
      </c>
      <c r="BB724" s="61">
        <f>IF(AND(C724&lt;&gt;"",C724='Fiche prospect'!$C$4),COUNTIF($C$5:C724,C724),"")</f>
        <v/>
      </c>
    </row>
    <row r="725">
      <c r="A725" s="53" t="n"/>
      <c r="B725" s="54" t="n"/>
      <c r="C725" s="55" t="n"/>
      <c r="D725" s="55" t="n"/>
      <c r="E725" s="55" t="n"/>
      <c r="F725" s="55" t="n"/>
      <c r="G725" s="56" t="n"/>
      <c r="H725" s="57" t="n"/>
      <c r="I725" s="55" t="n"/>
      <c r="J725" s="53" t="n"/>
      <c r="K725" s="54" t="n"/>
      <c r="L725" s="55" t="n"/>
      <c r="M725" s="55" t="n"/>
      <c r="N725" s="57" t="n"/>
      <c r="O725" s="55" t="n"/>
      <c r="P725" s="56" t="n"/>
      <c r="Q725" s="55" t="n"/>
      <c r="R725" s="55" t="n"/>
      <c r="S725" s="55" t="n"/>
      <c r="T725" s="55" t="n"/>
      <c r="U725" s="55" t="n"/>
      <c r="V725" s="55" t="n"/>
      <c r="W725" s="58" t="n"/>
      <c r="X725" s="58" t="n"/>
      <c r="Y725" s="55" t="n"/>
      <c r="Z725" s="55" t="n"/>
      <c r="AA725" s="55" t="n"/>
      <c r="AB725" s="55" t="n"/>
      <c r="AC725" s="55" t="n"/>
      <c r="AD725" s="53" t="n"/>
      <c r="AE725" s="55" t="n"/>
      <c r="AF725" s="55" t="n"/>
      <c r="AG725" s="59" t="n"/>
      <c r="AH725" s="57" t="n"/>
      <c r="AI725" s="55" t="n"/>
      <c r="AJ725" s="55" t="n"/>
      <c r="AK725" s="55" t="n"/>
      <c r="AL725" s="55" t="n"/>
      <c r="AM725" s="56" t="n"/>
      <c r="AN725" s="55" t="n"/>
      <c r="AO725" s="55" t="n"/>
      <c r="AP725" s="55" t="n"/>
      <c r="AQ725" s="55" t="n"/>
      <c r="AR725" s="60">
        <f>IF(AND(C725="",E725=""),"",IF(A725="","⚠ Date manquante",IF(AND(C725="",E725&lt;&gt;"Dépense"),"⚠ Prospect manquant",IF(E725="","⚠ Action manquante",IF(AND(AU725=1,D725=""),"⚠ Canal manquant",IF(AND(W725&lt;&gt;"",COUNTIFS('Saisie'!$W$5:$W$2004,W725,'Saisie'!$C$5:$C$2004,"&lt;&gt;"&amp;C725)&gt;0),"⚠ Numéro déjà utilisé par un autre prospect",IF(AND(J725&lt;&gt;"",J725&lt;A725),"⚠ Relance avant la date de l'action",IF(A725&gt;TODAY(),"⚠ Date dans le futur","✓"))))))))</f>
        <v/>
      </c>
      <c r="AS725" s="61">
        <f>IF(AND(A725="",C725="",E725=""),"",ROW())</f>
        <v/>
      </c>
      <c r="AT725" s="61">
        <f>IF(E725&amp;F725="","",MAX(IFERROR(INDEX('Paramètres'!$J$6:$J$33,MATCH(E725,'Paramètres'!$I$6:$I$33,0)),0),IFERROR(INDEX('Paramètres'!$N$6:$N$17,MATCH(F725,'Paramètres'!$M$6:$M$17,0)),0)))</f>
        <v/>
      </c>
      <c r="AU725" s="61">
        <f>IF(E725="","",IFERROR(IF(INDEX('Paramètres'!$K$6:$K$33,MATCH(E725,'Paramètres'!$I$6:$I$33,0))="Oui",1,0),0))</f>
        <v/>
      </c>
      <c r="AV725" s="61">
        <f>IF(F725="","",IFERROR(IF(INDEX('Paramètres'!$O$6:$O$17,MATCH(F725,'Paramètres'!$M$6:$M$17,0))="Oui",1,0),0))</f>
        <v/>
      </c>
      <c r="AW725" s="62">
        <f>IF(E725="","",IF(G725&lt;&gt;"",G725,IF(OR(E725="Proposition envoyée",E725="Signature"),MAX(0,N(IFERROR(INDEX('Paramètres'!$R$6:$R$15,MATCH(IF(AL725&lt;&gt;"",AL725,IFERROR(INDEX('Prospects'!$AN$5:$AN$504,MATCH(C725,'Prospects'!$C$5:$C$504,0)),"")),'Paramètres'!$Q$6:$Q$15,0)),0))-N(P725)),0)))</f>
        <v/>
      </c>
      <c r="AX725" s="61">
        <f>IF(C725="","",IF(COUNTIF($C$5:C725,C725)=1,MAX($AX$4:AX724)+1,""))</f>
        <v/>
      </c>
      <c r="AY725" s="61">
        <f>IF(B725="","",HOUR(B725))</f>
        <v/>
      </c>
      <c r="AZ725" s="61">
        <f>IF(A725="","",MOD(A725-2,7)+1)</f>
        <v/>
      </c>
      <c r="BA725" s="60">
        <f>IF(C725="","",IFERROR(INDEX('Prospects'!$N$5:$N$504,MATCH(C725,'Prospects'!$C$5:$C$504,0)),""))</f>
        <v/>
      </c>
      <c r="BB725" s="61">
        <f>IF(AND(C725&lt;&gt;"",C725='Fiche prospect'!$C$4),COUNTIF($C$5:C725,C725),"")</f>
        <v/>
      </c>
    </row>
    <row r="726">
      <c r="A726" s="53" t="n"/>
      <c r="B726" s="54" t="n"/>
      <c r="C726" s="55" t="n"/>
      <c r="D726" s="55" t="n"/>
      <c r="E726" s="55" t="n"/>
      <c r="F726" s="55" t="n"/>
      <c r="G726" s="56" t="n"/>
      <c r="H726" s="57" t="n"/>
      <c r="I726" s="55" t="n"/>
      <c r="J726" s="53" t="n"/>
      <c r="K726" s="54" t="n"/>
      <c r="L726" s="55" t="n"/>
      <c r="M726" s="55" t="n"/>
      <c r="N726" s="57" t="n"/>
      <c r="O726" s="55" t="n"/>
      <c r="P726" s="56" t="n"/>
      <c r="Q726" s="55" t="n"/>
      <c r="R726" s="55" t="n"/>
      <c r="S726" s="55" t="n"/>
      <c r="T726" s="55" t="n"/>
      <c r="U726" s="55" t="n"/>
      <c r="V726" s="55" t="n"/>
      <c r="W726" s="58" t="n"/>
      <c r="X726" s="58" t="n"/>
      <c r="Y726" s="55" t="n"/>
      <c r="Z726" s="55" t="n"/>
      <c r="AA726" s="55" t="n"/>
      <c r="AB726" s="55" t="n"/>
      <c r="AC726" s="55" t="n"/>
      <c r="AD726" s="53" t="n"/>
      <c r="AE726" s="55" t="n"/>
      <c r="AF726" s="55" t="n"/>
      <c r="AG726" s="59" t="n"/>
      <c r="AH726" s="57" t="n"/>
      <c r="AI726" s="55" t="n"/>
      <c r="AJ726" s="55" t="n"/>
      <c r="AK726" s="55" t="n"/>
      <c r="AL726" s="55" t="n"/>
      <c r="AM726" s="56" t="n"/>
      <c r="AN726" s="55" t="n"/>
      <c r="AO726" s="55" t="n"/>
      <c r="AP726" s="55" t="n"/>
      <c r="AQ726" s="55" t="n"/>
      <c r="AR726" s="60">
        <f>IF(AND(C726="",E726=""),"",IF(A726="","⚠ Date manquante",IF(AND(C726="",E726&lt;&gt;"Dépense"),"⚠ Prospect manquant",IF(E726="","⚠ Action manquante",IF(AND(AU726=1,D726=""),"⚠ Canal manquant",IF(AND(W726&lt;&gt;"",COUNTIFS('Saisie'!$W$5:$W$2004,W726,'Saisie'!$C$5:$C$2004,"&lt;&gt;"&amp;C726)&gt;0),"⚠ Numéro déjà utilisé par un autre prospect",IF(AND(J726&lt;&gt;"",J726&lt;A726),"⚠ Relance avant la date de l'action",IF(A726&gt;TODAY(),"⚠ Date dans le futur","✓"))))))))</f>
        <v/>
      </c>
      <c r="AS726" s="61">
        <f>IF(AND(A726="",C726="",E726=""),"",ROW())</f>
        <v/>
      </c>
      <c r="AT726" s="61">
        <f>IF(E726&amp;F726="","",MAX(IFERROR(INDEX('Paramètres'!$J$6:$J$33,MATCH(E726,'Paramètres'!$I$6:$I$33,0)),0),IFERROR(INDEX('Paramètres'!$N$6:$N$17,MATCH(F726,'Paramètres'!$M$6:$M$17,0)),0)))</f>
        <v/>
      </c>
      <c r="AU726" s="61">
        <f>IF(E726="","",IFERROR(IF(INDEX('Paramètres'!$K$6:$K$33,MATCH(E726,'Paramètres'!$I$6:$I$33,0))="Oui",1,0),0))</f>
        <v/>
      </c>
      <c r="AV726" s="61">
        <f>IF(F726="","",IFERROR(IF(INDEX('Paramètres'!$O$6:$O$17,MATCH(F726,'Paramètres'!$M$6:$M$17,0))="Oui",1,0),0))</f>
        <v/>
      </c>
      <c r="AW726" s="62">
        <f>IF(E726="","",IF(G726&lt;&gt;"",G726,IF(OR(E726="Proposition envoyée",E726="Signature"),MAX(0,N(IFERROR(INDEX('Paramètres'!$R$6:$R$15,MATCH(IF(AL726&lt;&gt;"",AL726,IFERROR(INDEX('Prospects'!$AN$5:$AN$504,MATCH(C726,'Prospects'!$C$5:$C$504,0)),"")),'Paramètres'!$Q$6:$Q$15,0)),0))-N(P726)),0)))</f>
        <v/>
      </c>
      <c r="AX726" s="61">
        <f>IF(C726="","",IF(COUNTIF($C$5:C726,C726)=1,MAX($AX$4:AX725)+1,""))</f>
        <v/>
      </c>
      <c r="AY726" s="61">
        <f>IF(B726="","",HOUR(B726))</f>
        <v/>
      </c>
      <c r="AZ726" s="61">
        <f>IF(A726="","",MOD(A726-2,7)+1)</f>
        <v/>
      </c>
      <c r="BA726" s="60">
        <f>IF(C726="","",IFERROR(INDEX('Prospects'!$N$5:$N$504,MATCH(C726,'Prospects'!$C$5:$C$504,0)),""))</f>
        <v/>
      </c>
      <c r="BB726" s="61">
        <f>IF(AND(C726&lt;&gt;"",C726='Fiche prospect'!$C$4),COUNTIF($C$5:C726,C726),"")</f>
        <v/>
      </c>
    </row>
    <row r="727">
      <c r="A727" s="53" t="n"/>
      <c r="B727" s="54" t="n"/>
      <c r="C727" s="55" t="n"/>
      <c r="D727" s="55" t="n"/>
      <c r="E727" s="55" t="n"/>
      <c r="F727" s="55" t="n"/>
      <c r="G727" s="56" t="n"/>
      <c r="H727" s="57" t="n"/>
      <c r="I727" s="55" t="n"/>
      <c r="J727" s="53" t="n"/>
      <c r="K727" s="54" t="n"/>
      <c r="L727" s="55" t="n"/>
      <c r="M727" s="55" t="n"/>
      <c r="N727" s="57" t="n"/>
      <c r="O727" s="55" t="n"/>
      <c r="P727" s="56" t="n"/>
      <c r="Q727" s="55" t="n"/>
      <c r="R727" s="55" t="n"/>
      <c r="S727" s="55" t="n"/>
      <c r="T727" s="55" t="n"/>
      <c r="U727" s="55" t="n"/>
      <c r="V727" s="55" t="n"/>
      <c r="W727" s="58" t="n"/>
      <c r="X727" s="58" t="n"/>
      <c r="Y727" s="55" t="n"/>
      <c r="Z727" s="55" t="n"/>
      <c r="AA727" s="55" t="n"/>
      <c r="AB727" s="55" t="n"/>
      <c r="AC727" s="55" t="n"/>
      <c r="AD727" s="53" t="n"/>
      <c r="AE727" s="55" t="n"/>
      <c r="AF727" s="55" t="n"/>
      <c r="AG727" s="59" t="n"/>
      <c r="AH727" s="57" t="n"/>
      <c r="AI727" s="55" t="n"/>
      <c r="AJ727" s="55" t="n"/>
      <c r="AK727" s="55" t="n"/>
      <c r="AL727" s="55" t="n"/>
      <c r="AM727" s="56" t="n"/>
      <c r="AN727" s="55" t="n"/>
      <c r="AO727" s="55" t="n"/>
      <c r="AP727" s="55" t="n"/>
      <c r="AQ727" s="55" t="n"/>
      <c r="AR727" s="60">
        <f>IF(AND(C727="",E727=""),"",IF(A727="","⚠ Date manquante",IF(AND(C727="",E727&lt;&gt;"Dépense"),"⚠ Prospect manquant",IF(E727="","⚠ Action manquante",IF(AND(AU727=1,D727=""),"⚠ Canal manquant",IF(AND(W727&lt;&gt;"",COUNTIFS('Saisie'!$W$5:$W$2004,W727,'Saisie'!$C$5:$C$2004,"&lt;&gt;"&amp;C727)&gt;0),"⚠ Numéro déjà utilisé par un autre prospect",IF(AND(J727&lt;&gt;"",J727&lt;A727),"⚠ Relance avant la date de l'action",IF(A727&gt;TODAY(),"⚠ Date dans le futur","✓"))))))))</f>
        <v/>
      </c>
      <c r="AS727" s="61">
        <f>IF(AND(A727="",C727="",E727=""),"",ROW())</f>
        <v/>
      </c>
      <c r="AT727" s="61">
        <f>IF(E727&amp;F727="","",MAX(IFERROR(INDEX('Paramètres'!$J$6:$J$33,MATCH(E727,'Paramètres'!$I$6:$I$33,0)),0),IFERROR(INDEX('Paramètres'!$N$6:$N$17,MATCH(F727,'Paramètres'!$M$6:$M$17,0)),0)))</f>
        <v/>
      </c>
      <c r="AU727" s="61">
        <f>IF(E727="","",IFERROR(IF(INDEX('Paramètres'!$K$6:$K$33,MATCH(E727,'Paramètres'!$I$6:$I$33,0))="Oui",1,0),0))</f>
        <v/>
      </c>
      <c r="AV727" s="61">
        <f>IF(F727="","",IFERROR(IF(INDEX('Paramètres'!$O$6:$O$17,MATCH(F727,'Paramètres'!$M$6:$M$17,0))="Oui",1,0),0))</f>
        <v/>
      </c>
      <c r="AW727" s="62">
        <f>IF(E727="","",IF(G727&lt;&gt;"",G727,IF(OR(E727="Proposition envoyée",E727="Signature"),MAX(0,N(IFERROR(INDEX('Paramètres'!$R$6:$R$15,MATCH(IF(AL727&lt;&gt;"",AL727,IFERROR(INDEX('Prospects'!$AN$5:$AN$504,MATCH(C727,'Prospects'!$C$5:$C$504,0)),"")),'Paramètres'!$Q$6:$Q$15,0)),0))-N(P727)),0)))</f>
        <v/>
      </c>
      <c r="AX727" s="61">
        <f>IF(C727="","",IF(COUNTIF($C$5:C727,C727)=1,MAX($AX$4:AX726)+1,""))</f>
        <v/>
      </c>
      <c r="AY727" s="61">
        <f>IF(B727="","",HOUR(B727))</f>
        <v/>
      </c>
      <c r="AZ727" s="61">
        <f>IF(A727="","",MOD(A727-2,7)+1)</f>
        <v/>
      </c>
      <c r="BA727" s="60">
        <f>IF(C727="","",IFERROR(INDEX('Prospects'!$N$5:$N$504,MATCH(C727,'Prospects'!$C$5:$C$504,0)),""))</f>
        <v/>
      </c>
      <c r="BB727" s="61">
        <f>IF(AND(C727&lt;&gt;"",C727='Fiche prospect'!$C$4),COUNTIF($C$5:C727,C727),"")</f>
        <v/>
      </c>
    </row>
    <row r="728">
      <c r="A728" s="53" t="n"/>
      <c r="B728" s="54" t="n"/>
      <c r="C728" s="55" t="n"/>
      <c r="D728" s="55" t="n"/>
      <c r="E728" s="55" t="n"/>
      <c r="F728" s="55" t="n"/>
      <c r="G728" s="56" t="n"/>
      <c r="H728" s="57" t="n"/>
      <c r="I728" s="55" t="n"/>
      <c r="J728" s="53" t="n"/>
      <c r="K728" s="54" t="n"/>
      <c r="L728" s="55" t="n"/>
      <c r="M728" s="55" t="n"/>
      <c r="N728" s="57" t="n"/>
      <c r="O728" s="55" t="n"/>
      <c r="P728" s="56" t="n"/>
      <c r="Q728" s="55" t="n"/>
      <c r="R728" s="55" t="n"/>
      <c r="S728" s="55" t="n"/>
      <c r="T728" s="55" t="n"/>
      <c r="U728" s="55" t="n"/>
      <c r="V728" s="55" t="n"/>
      <c r="W728" s="58" t="n"/>
      <c r="X728" s="58" t="n"/>
      <c r="Y728" s="55" t="n"/>
      <c r="Z728" s="55" t="n"/>
      <c r="AA728" s="55" t="n"/>
      <c r="AB728" s="55" t="n"/>
      <c r="AC728" s="55" t="n"/>
      <c r="AD728" s="53" t="n"/>
      <c r="AE728" s="55" t="n"/>
      <c r="AF728" s="55" t="n"/>
      <c r="AG728" s="59" t="n"/>
      <c r="AH728" s="57" t="n"/>
      <c r="AI728" s="55" t="n"/>
      <c r="AJ728" s="55" t="n"/>
      <c r="AK728" s="55" t="n"/>
      <c r="AL728" s="55" t="n"/>
      <c r="AM728" s="56" t="n"/>
      <c r="AN728" s="55" t="n"/>
      <c r="AO728" s="55" t="n"/>
      <c r="AP728" s="55" t="n"/>
      <c r="AQ728" s="55" t="n"/>
      <c r="AR728" s="60">
        <f>IF(AND(C728="",E728=""),"",IF(A728="","⚠ Date manquante",IF(AND(C728="",E728&lt;&gt;"Dépense"),"⚠ Prospect manquant",IF(E728="","⚠ Action manquante",IF(AND(AU728=1,D728=""),"⚠ Canal manquant",IF(AND(W728&lt;&gt;"",COUNTIFS('Saisie'!$W$5:$W$2004,W728,'Saisie'!$C$5:$C$2004,"&lt;&gt;"&amp;C728)&gt;0),"⚠ Numéro déjà utilisé par un autre prospect",IF(AND(J728&lt;&gt;"",J728&lt;A728),"⚠ Relance avant la date de l'action",IF(A728&gt;TODAY(),"⚠ Date dans le futur","✓"))))))))</f>
        <v/>
      </c>
      <c r="AS728" s="61">
        <f>IF(AND(A728="",C728="",E728=""),"",ROW())</f>
        <v/>
      </c>
      <c r="AT728" s="61">
        <f>IF(E728&amp;F728="","",MAX(IFERROR(INDEX('Paramètres'!$J$6:$J$33,MATCH(E728,'Paramètres'!$I$6:$I$33,0)),0),IFERROR(INDEX('Paramètres'!$N$6:$N$17,MATCH(F728,'Paramètres'!$M$6:$M$17,0)),0)))</f>
        <v/>
      </c>
      <c r="AU728" s="61">
        <f>IF(E728="","",IFERROR(IF(INDEX('Paramètres'!$K$6:$K$33,MATCH(E728,'Paramètres'!$I$6:$I$33,0))="Oui",1,0),0))</f>
        <v/>
      </c>
      <c r="AV728" s="61">
        <f>IF(F728="","",IFERROR(IF(INDEX('Paramètres'!$O$6:$O$17,MATCH(F728,'Paramètres'!$M$6:$M$17,0))="Oui",1,0),0))</f>
        <v/>
      </c>
      <c r="AW728" s="62">
        <f>IF(E728="","",IF(G728&lt;&gt;"",G728,IF(OR(E728="Proposition envoyée",E728="Signature"),MAX(0,N(IFERROR(INDEX('Paramètres'!$R$6:$R$15,MATCH(IF(AL728&lt;&gt;"",AL728,IFERROR(INDEX('Prospects'!$AN$5:$AN$504,MATCH(C728,'Prospects'!$C$5:$C$504,0)),"")),'Paramètres'!$Q$6:$Q$15,0)),0))-N(P728)),0)))</f>
        <v/>
      </c>
      <c r="AX728" s="61">
        <f>IF(C728="","",IF(COUNTIF($C$5:C728,C728)=1,MAX($AX$4:AX727)+1,""))</f>
        <v/>
      </c>
      <c r="AY728" s="61">
        <f>IF(B728="","",HOUR(B728))</f>
        <v/>
      </c>
      <c r="AZ728" s="61">
        <f>IF(A728="","",MOD(A728-2,7)+1)</f>
        <v/>
      </c>
      <c r="BA728" s="60">
        <f>IF(C728="","",IFERROR(INDEX('Prospects'!$N$5:$N$504,MATCH(C728,'Prospects'!$C$5:$C$504,0)),""))</f>
        <v/>
      </c>
      <c r="BB728" s="61">
        <f>IF(AND(C728&lt;&gt;"",C728='Fiche prospect'!$C$4),COUNTIF($C$5:C728,C728),"")</f>
        <v/>
      </c>
    </row>
    <row r="729">
      <c r="A729" s="53" t="n"/>
      <c r="B729" s="54" t="n"/>
      <c r="C729" s="55" t="n"/>
      <c r="D729" s="55" t="n"/>
      <c r="E729" s="55" t="n"/>
      <c r="F729" s="55" t="n"/>
      <c r="G729" s="56" t="n"/>
      <c r="H729" s="57" t="n"/>
      <c r="I729" s="55" t="n"/>
      <c r="J729" s="53" t="n"/>
      <c r="K729" s="54" t="n"/>
      <c r="L729" s="55" t="n"/>
      <c r="M729" s="55" t="n"/>
      <c r="N729" s="57" t="n"/>
      <c r="O729" s="55" t="n"/>
      <c r="P729" s="56" t="n"/>
      <c r="Q729" s="55" t="n"/>
      <c r="R729" s="55" t="n"/>
      <c r="S729" s="55" t="n"/>
      <c r="T729" s="55" t="n"/>
      <c r="U729" s="55" t="n"/>
      <c r="V729" s="55" t="n"/>
      <c r="W729" s="58" t="n"/>
      <c r="X729" s="58" t="n"/>
      <c r="Y729" s="55" t="n"/>
      <c r="Z729" s="55" t="n"/>
      <c r="AA729" s="55" t="n"/>
      <c r="AB729" s="55" t="n"/>
      <c r="AC729" s="55" t="n"/>
      <c r="AD729" s="53" t="n"/>
      <c r="AE729" s="55" t="n"/>
      <c r="AF729" s="55" t="n"/>
      <c r="AG729" s="59" t="n"/>
      <c r="AH729" s="57" t="n"/>
      <c r="AI729" s="55" t="n"/>
      <c r="AJ729" s="55" t="n"/>
      <c r="AK729" s="55" t="n"/>
      <c r="AL729" s="55" t="n"/>
      <c r="AM729" s="56" t="n"/>
      <c r="AN729" s="55" t="n"/>
      <c r="AO729" s="55" t="n"/>
      <c r="AP729" s="55" t="n"/>
      <c r="AQ729" s="55" t="n"/>
      <c r="AR729" s="60">
        <f>IF(AND(C729="",E729=""),"",IF(A729="","⚠ Date manquante",IF(AND(C729="",E729&lt;&gt;"Dépense"),"⚠ Prospect manquant",IF(E729="","⚠ Action manquante",IF(AND(AU729=1,D729=""),"⚠ Canal manquant",IF(AND(W729&lt;&gt;"",COUNTIFS('Saisie'!$W$5:$W$2004,W729,'Saisie'!$C$5:$C$2004,"&lt;&gt;"&amp;C729)&gt;0),"⚠ Numéro déjà utilisé par un autre prospect",IF(AND(J729&lt;&gt;"",J729&lt;A729),"⚠ Relance avant la date de l'action",IF(A729&gt;TODAY(),"⚠ Date dans le futur","✓"))))))))</f>
        <v/>
      </c>
      <c r="AS729" s="61">
        <f>IF(AND(A729="",C729="",E729=""),"",ROW())</f>
        <v/>
      </c>
      <c r="AT729" s="61">
        <f>IF(E729&amp;F729="","",MAX(IFERROR(INDEX('Paramètres'!$J$6:$J$33,MATCH(E729,'Paramètres'!$I$6:$I$33,0)),0),IFERROR(INDEX('Paramètres'!$N$6:$N$17,MATCH(F729,'Paramètres'!$M$6:$M$17,0)),0)))</f>
        <v/>
      </c>
      <c r="AU729" s="61">
        <f>IF(E729="","",IFERROR(IF(INDEX('Paramètres'!$K$6:$K$33,MATCH(E729,'Paramètres'!$I$6:$I$33,0))="Oui",1,0),0))</f>
        <v/>
      </c>
      <c r="AV729" s="61">
        <f>IF(F729="","",IFERROR(IF(INDEX('Paramètres'!$O$6:$O$17,MATCH(F729,'Paramètres'!$M$6:$M$17,0))="Oui",1,0),0))</f>
        <v/>
      </c>
      <c r="AW729" s="62">
        <f>IF(E729="","",IF(G729&lt;&gt;"",G729,IF(OR(E729="Proposition envoyée",E729="Signature"),MAX(0,N(IFERROR(INDEX('Paramètres'!$R$6:$R$15,MATCH(IF(AL729&lt;&gt;"",AL729,IFERROR(INDEX('Prospects'!$AN$5:$AN$504,MATCH(C729,'Prospects'!$C$5:$C$504,0)),"")),'Paramètres'!$Q$6:$Q$15,0)),0))-N(P729)),0)))</f>
        <v/>
      </c>
      <c r="AX729" s="61">
        <f>IF(C729="","",IF(COUNTIF($C$5:C729,C729)=1,MAX($AX$4:AX728)+1,""))</f>
        <v/>
      </c>
      <c r="AY729" s="61">
        <f>IF(B729="","",HOUR(B729))</f>
        <v/>
      </c>
      <c r="AZ729" s="61">
        <f>IF(A729="","",MOD(A729-2,7)+1)</f>
        <v/>
      </c>
      <c r="BA729" s="60">
        <f>IF(C729="","",IFERROR(INDEX('Prospects'!$N$5:$N$504,MATCH(C729,'Prospects'!$C$5:$C$504,0)),""))</f>
        <v/>
      </c>
      <c r="BB729" s="61">
        <f>IF(AND(C729&lt;&gt;"",C729='Fiche prospect'!$C$4),COUNTIF($C$5:C729,C729),"")</f>
        <v/>
      </c>
    </row>
    <row r="730">
      <c r="A730" s="53" t="n"/>
      <c r="B730" s="54" t="n"/>
      <c r="C730" s="55" t="n"/>
      <c r="D730" s="55" t="n"/>
      <c r="E730" s="55" t="n"/>
      <c r="F730" s="55" t="n"/>
      <c r="G730" s="56" t="n"/>
      <c r="H730" s="57" t="n"/>
      <c r="I730" s="55" t="n"/>
      <c r="J730" s="53" t="n"/>
      <c r="K730" s="54" t="n"/>
      <c r="L730" s="55" t="n"/>
      <c r="M730" s="55" t="n"/>
      <c r="N730" s="57" t="n"/>
      <c r="O730" s="55" t="n"/>
      <c r="P730" s="56" t="n"/>
      <c r="Q730" s="55" t="n"/>
      <c r="R730" s="55" t="n"/>
      <c r="S730" s="55" t="n"/>
      <c r="T730" s="55" t="n"/>
      <c r="U730" s="55" t="n"/>
      <c r="V730" s="55" t="n"/>
      <c r="W730" s="58" t="n"/>
      <c r="X730" s="58" t="n"/>
      <c r="Y730" s="55" t="n"/>
      <c r="Z730" s="55" t="n"/>
      <c r="AA730" s="55" t="n"/>
      <c r="AB730" s="55" t="n"/>
      <c r="AC730" s="55" t="n"/>
      <c r="AD730" s="53" t="n"/>
      <c r="AE730" s="55" t="n"/>
      <c r="AF730" s="55" t="n"/>
      <c r="AG730" s="59" t="n"/>
      <c r="AH730" s="57" t="n"/>
      <c r="AI730" s="55" t="n"/>
      <c r="AJ730" s="55" t="n"/>
      <c r="AK730" s="55" t="n"/>
      <c r="AL730" s="55" t="n"/>
      <c r="AM730" s="56" t="n"/>
      <c r="AN730" s="55" t="n"/>
      <c r="AO730" s="55" t="n"/>
      <c r="AP730" s="55" t="n"/>
      <c r="AQ730" s="55" t="n"/>
      <c r="AR730" s="60">
        <f>IF(AND(C730="",E730=""),"",IF(A730="","⚠ Date manquante",IF(AND(C730="",E730&lt;&gt;"Dépense"),"⚠ Prospect manquant",IF(E730="","⚠ Action manquante",IF(AND(AU730=1,D730=""),"⚠ Canal manquant",IF(AND(W730&lt;&gt;"",COUNTIFS('Saisie'!$W$5:$W$2004,W730,'Saisie'!$C$5:$C$2004,"&lt;&gt;"&amp;C730)&gt;0),"⚠ Numéro déjà utilisé par un autre prospect",IF(AND(J730&lt;&gt;"",J730&lt;A730),"⚠ Relance avant la date de l'action",IF(A730&gt;TODAY(),"⚠ Date dans le futur","✓"))))))))</f>
        <v/>
      </c>
      <c r="AS730" s="61">
        <f>IF(AND(A730="",C730="",E730=""),"",ROW())</f>
        <v/>
      </c>
      <c r="AT730" s="61">
        <f>IF(E730&amp;F730="","",MAX(IFERROR(INDEX('Paramètres'!$J$6:$J$33,MATCH(E730,'Paramètres'!$I$6:$I$33,0)),0),IFERROR(INDEX('Paramètres'!$N$6:$N$17,MATCH(F730,'Paramètres'!$M$6:$M$17,0)),0)))</f>
        <v/>
      </c>
      <c r="AU730" s="61">
        <f>IF(E730="","",IFERROR(IF(INDEX('Paramètres'!$K$6:$K$33,MATCH(E730,'Paramètres'!$I$6:$I$33,0))="Oui",1,0),0))</f>
        <v/>
      </c>
      <c r="AV730" s="61">
        <f>IF(F730="","",IFERROR(IF(INDEX('Paramètres'!$O$6:$O$17,MATCH(F730,'Paramètres'!$M$6:$M$17,0))="Oui",1,0),0))</f>
        <v/>
      </c>
      <c r="AW730" s="62">
        <f>IF(E730="","",IF(G730&lt;&gt;"",G730,IF(OR(E730="Proposition envoyée",E730="Signature"),MAX(0,N(IFERROR(INDEX('Paramètres'!$R$6:$R$15,MATCH(IF(AL730&lt;&gt;"",AL730,IFERROR(INDEX('Prospects'!$AN$5:$AN$504,MATCH(C730,'Prospects'!$C$5:$C$504,0)),"")),'Paramètres'!$Q$6:$Q$15,0)),0))-N(P730)),0)))</f>
        <v/>
      </c>
      <c r="AX730" s="61">
        <f>IF(C730="","",IF(COUNTIF($C$5:C730,C730)=1,MAX($AX$4:AX729)+1,""))</f>
        <v/>
      </c>
      <c r="AY730" s="61">
        <f>IF(B730="","",HOUR(B730))</f>
        <v/>
      </c>
      <c r="AZ730" s="61">
        <f>IF(A730="","",MOD(A730-2,7)+1)</f>
        <v/>
      </c>
      <c r="BA730" s="60">
        <f>IF(C730="","",IFERROR(INDEX('Prospects'!$N$5:$N$504,MATCH(C730,'Prospects'!$C$5:$C$504,0)),""))</f>
        <v/>
      </c>
      <c r="BB730" s="61">
        <f>IF(AND(C730&lt;&gt;"",C730='Fiche prospect'!$C$4),COUNTIF($C$5:C730,C730),"")</f>
        <v/>
      </c>
    </row>
    <row r="731">
      <c r="A731" s="53" t="n"/>
      <c r="B731" s="54" t="n"/>
      <c r="C731" s="55" t="n"/>
      <c r="D731" s="55" t="n"/>
      <c r="E731" s="55" t="n"/>
      <c r="F731" s="55" t="n"/>
      <c r="G731" s="56" t="n"/>
      <c r="H731" s="57" t="n"/>
      <c r="I731" s="55" t="n"/>
      <c r="J731" s="53" t="n"/>
      <c r="K731" s="54" t="n"/>
      <c r="L731" s="55" t="n"/>
      <c r="M731" s="55" t="n"/>
      <c r="N731" s="57" t="n"/>
      <c r="O731" s="55" t="n"/>
      <c r="P731" s="56" t="n"/>
      <c r="Q731" s="55" t="n"/>
      <c r="R731" s="55" t="n"/>
      <c r="S731" s="55" t="n"/>
      <c r="T731" s="55" t="n"/>
      <c r="U731" s="55" t="n"/>
      <c r="V731" s="55" t="n"/>
      <c r="W731" s="58" t="n"/>
      <c r="X731" s="58" t="n"/>
      <c r="Y731" s="55" t="n"/>
      <c r="Z731" s="55" t="n"/>
      <c r="AA731" s="55" t="n"/>
      <c r="AB731" s="55" t="n"/>
      <c r="AC731" s="55" t="n"/>
      <c r="AD731" s="53" t="n"/>
      <c r="AE731" s="55" t="n"/>
      <c r="AF731" s="55" t="n"/>
      <c r="AG731" s="59" t="n"/>
      <c r="AH731" s="57" t="n"/>
      <c r="AI731" s="55" t="n"/>
      <c r="AJ731" s="55" t="n"/>
      <c r="AK731" s="55" t="n"/>
      <c r="AL731" s="55" t="n"/>
      <c r="AM731" s="56" t="n"/>
      <c r="AN731" s="55" t="n"/>
      <c r="AO731" s="55" t="n"/>
      <c r="AP731" s="55" t="n"/>
      <c r="AQ731" s="55" t="n"/>
      <c r="AR731" s="60">
        <f>IF(AND(C731="",E731=""),"",IF(A731="","⚠ Date manquante",IF(AND(C731="",E731&lt;&gt;"Dépense"),"⚠ Prospect manquant",IF(E731="","⚠ Action manquante",IF(AND(AU731=1,D731=""),"⚠ Canal manquant",IF(AND(W731&lt;&gt;"",COUNTIFS('Saisie'!$W$5:$W$2004,W731,'Saisie'!$C$5:$C$2004,"&lt;&gt;"&amp;C731)&gt;0),"⚠ Numéro déjà utilisé par un autre prospect",IF(AND(J731&lt;&gt;"",J731&lt;A731),"⚠ Relance avant la date de l'action",IF(A731&gt;TODAY(),"⚠ Date dans le futur","✓"))))))))</f>
        <v/>
      </c>
      <c r="AS731" s="61">
        <f>IF(AND(A731="",C731="",E731=""),"",ROW())</f>
        <v/>
      </c>
      <c r="AT731" s="61">
        <f>IF(E731&amp;F731="","",MAX(IFERROR(INDEX('Paramètres'!$J$6:$J$33,MATCH(E731,'Paramètres'!$I$6:$I$33,0)),0),IFERROR(INDEX('Paramètres'!$N$6:$N$17,MATCH(F731,'Paramètres'!$M$6:$M$17,0)),0)))</f>
        <v/>
      </c>
      <c r="AU731" s="61">
        <f>IF(E731="","",IFERROR(IF(INDEX('Paramètres'!$K$6:$K$33,MATCH(E731,'Paramètres'!$I$6:$I$33,0))="Oui",1,0),0))</f>
        <v/>
      </c>
      <c r="AV731" s="61">
        <f>IF(F731="","",IFERROR(IF(INDEX('Paramètres'!$O$6:$O$17,MATCH(F731,'Paramètres'!$M$6:$M$17,0))="Oui",1,0),0))</f>
        <v/>
      </c>
      <c r="AW731" s="62">
        <f>IF(E731="","",IF(G731&lt;&gt;"",G731,IF(OR(E731="Proposition envoyée",E731="Signature"),MAX(0,N(IFERROR(INDEX('Paramètres'!$R$6:$R$15,MATCH(IF(AL731&lt;&gt;"",AL731,IFERROR(INDEX('Prospects'!$AN$5:$AN$504,MATCH(C731,'Prospects'!$C$5:$C$504,0)),"")),'Paramètres'!$Q$6:$Q$15,0)),0))-N(P731)),0)))</f>
        <v/>
      </c>
      <c r="AX731" s="61">
        <f>IF(C731="","",IF(COUNTIF($C$5:C731,C731)=1,MAX($AX$4:AX730)+1,""))</f>
        <v/>
      </c>
      <c r="AY731" s="61">
        <f>IF(B731="","",HOUR(B731))</f>
        <v/>
      </c>
      <c r="AZ731" s="61">
        <f>IF(A731="","",MOD(A731-2,7)+1)</f>
        <v/>
      </c>
      <c r="BA731" s="60">
        <f>IF(C731="","",IFERROR(INDEX('Prospects'!$N$5:$N$504,MATCH(C731,'Prospects'!$C$5:$C$504,0)),""))</f>
        <v/>
      </c>
      <c r="BB731" s="61">
        <f>IF(AND(C731&lt;&gt;"",C731='Fiche prospect'!$C$4),COUNTIF($C$5:C731,C731),"")</f>
        <v/>
      </c>
    </row>
    <row r="732">
      <c r="A732" s="53" t="n"/>
      <c r="B732" s="54" t="n"/>
      <c r="C732" s="55" t="n"/>
      <c r="D732" s="55" t="n"/>
      <c r="E732" s="55" t="n"/>
      <c r="F732" s="55" t="n"/>
      <c r="G732" s="56" t="n"/>
      <c r="H732" s="57" t="n"/>
      <c r="I732" s="55" t="n"/>
      <c r="J732" s="53" t="n"/>
      <c r="K732" s="54" t="n"/>
      <c r="L732" s="55" t="n"/>
      <c r="M732" s="55" t="n"/>
      <c r="N732" s="57" t="n"/>
      <c r="O732" s="55" t="n"/>
      <c r="P732" s="56" t="n"/>
      <c r="Q732" s="55" t="n"/>
      <c r="R732" s="55" t="n"/>
      <c r="S732" s="55" t="n"/>
      <c r="T732" s="55" t="n"/>
      <c r="U732" s="55" t="n"/>
      <c r="V732" s="55" t="n"/>
      <c r="W732" s="58" t="n"/>
      <c r="X732" s="58" t="n"/>
      <c r="Y732" s="55" t="n"/>
      <c r="Z732" s="55" t="n"/>
      <c r="AA732" s="55" t="n"/>
      <c r="AB732" s="55" t="n"/>
      <c r="AC732" s="55" t="n"/>
      <c r="AD732" s="53" t="n"/>
      <c r="AE732" s="55" t="n"/>
      <c r="AF732" s="55" t="n"/>
      <c r="AG732" s="59" t="n"/>
      <c r="AH732" s="57" t="n"/>
      <c r="AI732" s="55" t="n"/>
      <c r="AJ732" s="55" t="n"/>
      <c r="AK732" s="55" t="n"/>
      <c r="AL732" s="55" t="n"/>
      <c r="AM732" s="56" t="n"/>
      <c r="AN732" s="55" t="n"/>
      <c r="AO732" s="55" t="n"/>
      <c r="AP732" s="55" t="n"/>
      <c r="AQ732" s="55" t="n"/>
      <c r="AR732" s="60">
        <f>IF(AND(C732="",E732=""),"",IF(A732="","⚠ Date manquante",IF(AND(C732="",E732&lt;&gt;"Dépense"),"⚠ Prospect manquant",IF(E732="","⚠ Action manquante",IF(AND(AU732=1,D732=""),"⚠ Canal manquant",IF(AND(W732&lt;&gt;"",COUNTIFS('Saisie'!$W$5:$W$2004,W732,'Saisie'!$C$5:$C$2004,"&lt;&gt;"&amp;C732)&gt;0),"⚠ Numéro déjà utilisé par un autre prospect",IF(AND(J732&lt;&gt;"",J732&lt;A732),"⚠ Relance avant la date de l'action",IF(A732&gt;TODAY(),"⚠ Date dans le futur","✓"))))))))</f>
        <v/>
      </c>
      <c r="AS732" s="61">
        <f>IF(AND(A732="",C732="",E732=""),"",ROW())</f>
        <v/>
      </c>
      <c r="AT732" s="61">
        <f>IF(E732&amp;F732="","",MAX(IFERROR(INDEX('Paramètres'!$J$6:$J$33,MATCH(E732,'Paramètres'!$I$6:$I$33,0)),0),IFERROR(INDEX('Paramètres'!$N$6:$N$17,MATCH(F732,'Paramètres'!$M$6:$M$17,0)),0)))</f>
        <v/>
      </c>
      <c r="AU732" s="61">
        <f>IF(E732="","",IFERROR(IF(INDEX('Paramètres'!$K$6:$K$33,MATCH(E732,'Paramètres'!$I$6:$I$33,0))="Oui",1,0),0))</f>
        <v/>
      </c>
      <c r="AV732" s="61">
        <f>IF(F732="","",IFERROR(IF(INDEX('Paramètres'!$O$6:$O$17,MATCH(F732,'Paramètres'!$M$6:$M$17,0))="Oui",1,0),0))</f>
        <v/>
      </c>
      <c r="AW732" s="62">
        <f>IF(E732="","",IF(G732&lt;&gt;"",G732,IF(OR(E732="Proposition envoyée",E732="Signature"),MAX(0,N(IFERROR(INDEX('Paramètres'!$R$6:$R$15,MATCH(IF(AL732&lt;&gt;"",AL732,IFERROR(INDEX('Prospects'!$AN$5:$AN$504,MATCH(C732,'Prospects'!$C$5:$C$504,0)),"")),'Paramètres'!$Q$6:$Q$15,0)),0))-N(P732)),0)))</f>
        <v/>
      </c>
      <c r="AX732" s="61">
        <f>IF(C732="","",IF(COUNTIF($C$5:C732,C732)=1,MAX($AX$4:AX731)+1,""))</f>
        <v/>
      </c>
      <c r="AY732" s="61">
        <f>IF(B732="","",HOUR(B732))</f>
        <v/>
      </c>
      <c r="AZ732" s="61">
        <f>IF(A732="","",MOD(A732-2,7)+1)</f>
        <v/>
      </c>
      <c r="BA732" s="60">
        <f>IF(C732="","",IFERROR(INDEX('Prospects'!$N$5:$N$504,MATCH(C732,'Prospects'!$C$5:$C$504,0)),""))</f>
        <v/>
      </c>
      <c r="BB732" s="61">
        <f>IF(AND(C732&lt;&gt;"",C732='Fiche prospect'!$C$4),COUNTIF($C$5:C732,C732),"")</f>
        <v/>
      </c>
    </row>
    <row r="733">
      <c r="A733" s="53" t="n"/>
      <c r="B733" s="54" t="n"/>
      <c r="C733" s="55" t="n"/>
      <c r="D733" s="55" t="n"/>
      <c r="E733" s="55" t="n"/>
      <c r="F733" s="55" t="n"/>
      <c r="G733" s="56" t="n"/>
      <c r="H733" s="57" t="n"/>
      <c r="I733" s="55" t="n"/>
      <c r="J733" s="53" t="n"/>
      <c r="K733" s="54" t="n"/>
      <c r="L733" s="55" t="n"/>
      <c r="M733" s="55" t="n"/>
      <c r="N733" s="57" t="n"/>
      <c r="O733" s="55" t="n"/>
      <c r="P733" s="56" t="n"/>
      <c r="Q733" s="55" t="n"/>
      <c r="R733" s="55" t="n"/>
      <c r="S733" s="55" t="n"/>
      <c r="T733" s="55" t="n"/>
      <c r="U733" s="55" t="n"/>
      <c r="V733" s="55" t="n"/>
      <c r="W733" s="58" t="n"/>
      <c r="X733" s="58" t="n"/>
      <c r="Y733" s="55" t="n"/>
      <c r="Z733" s="55" t="n"/>
      <c r="AA733" s="55" t="n"/>
      <c r="AB733" s="55" t="n"/>
      <c r="AC733" s="55" t="n"/>
      <c r="AD733" s="53" t="n"/>
      <c r="AE733" s="55" t="n"/>
      <c r="AF733" s="55" t="n"/>
      <c r="AG733" s="59" t="n"/>
      <c r="AH733" s="57" t="n"/>
      <c r="AI733" s="55" t="n"/>
      <c r="AJ733" s="55" t="n"/>
      <c r="AK733" s="55" t="n"/>
      <c r="AL733" s="55" t="n"/>
      <c r="AM733" s="56" t="n"/>
      <c r="AN733" s="55" t="n"/>
      <c r="AO733" s="55" t="n"/>
      <c r="AP733" s="55" t="n"/>
      <c r="AQ733" s="55" t="n"/>
      <c r="AR733" s="60">
        <f>IF(AND(C733="",E733=""),"",IF(A733="","⚠ Date manquante",IF(AND(C733="",E733&lt;&gt;"Dépense"),"⚠ Prospect manquant",IF(E733="","⚠ Action manquante",IF(AND(AU733=1,D733=""),"⚠ Canal manquant",IF(AND(W733&lt;&gt;"",COUNTIFS('Saisie'!$W$5:$W$2004,W733,'Saisie'!$C$5:$C$2004,"&lt;&gt;"&amp;C733)&gt;0),"⚠ Numéro déjà utilisé par un autre prospect",IF(AND(J733&lt;&gt;"",J733&lt;A733),"⚠ Relance avant la date de l'action",IF(A733&gt;TODAY(),"⚠ Date dans le futur","✓"))))))))</f>
        <v/>
      </c>
      <c r="AS733" s="61">
        <f>IF(AND(A733="",C733="",E733=""),"",ROW())</f>
        <v/>
      </c>
      <c r="AT733" s="61">
        <f>IF(E733&amp;F733="","",MAX(IFERROR(INDEX('Paramètres'!$J$6:$J$33,MATCH(E733,'Paramètres'!$I$6:$I$33,0)),0),IFERROR(INDEX('Paramètres'!$N$6:$N$17,MATCH(F733,'Paramètres'!$M$6:$M$17,0)),0)))</f>
        <v/>
      </c>
      <c r="AU733" s="61">
        <f>IF(E733="","",IFERROR(IF(INDEX('Paramètres'!$K$6:$K$33,MATCH(E733,'Paramètres'!$I$6:$I$33,0))="Oui",1,0),0))</f>
        <v/>
      </c>
      <c r="AV733" s="61">
        <f>IF(F733="","",IFERROR(IF(INDEX('Paramètres'!$O$6:$O$17,MATCH(F733,'Paramètres'!$M$6:$M$17,0))="Oui",1,0),0))</f>
        <v/>
      </c>
      <c r="AW733" s="62">
        <f>IF(E733="","",IF(G733&lt;&gt;"",G733,IF(OR(E733="Proposition envoyée",E733="Signature"),MAX(0,N(IFERROR(INDEX('Paramètres'!$R$6:$R$15,MATCH(IF(AL733&lt;&gt;"",AL733,IFERROR(INDEX('Prospects'!$AN$5:$AN$504,MATCH(C733,'Prospects'!$C$5:$C$504,0)),"")),'Paramètres'!$Q$6:$Q$15,0)),0))-N(P733)),0)))</f>
        <v/>
      </c>
      <c r="AX733" s="61">
        <f>IF(C733="","",IF(COUNTIF($C$5:C733,C733)=1,MAX($AX$4:AX732)+1,""))</f>
        <v/>
      </c>
      <c r="AY733" s="61">
        <f>IF(B733="","",HOUR(B733))</f>
        <v/>
      </c>
      <c r="AZ733" s="61">
        <f>IF(A733="","",MOD(A733-2,7)+1)</f>
        <v/>
      </c>
      <c r="BA733" s="60">
        <f>IF(C733="","",IFERROR(INDEX('Prospects'!$N$5:$N$504,MATCH(C733,'Prospects'!$C$5:$C$504,0)),""))</f>
        <v/>
      </c>
      <c r="BB733" s="61">
        <f>IF(AND(C733&lt;&gt;"",C733='Fiche prospect'!$C$4),COUNTIF($C$5:C733,C733),"")</f>
        <v/>
      </c>
    </row>
    <row r="734">
      <c r="A734" s="53" t="n"/>
      <c r="B734" s="54" t="n"/>
      <c r="C734" s="55" t="n"/>
      <c r="D734" s="55" t="n"/>
      <c r="E734" s="55" t="n"/>
      <c r="F734" s="55" t="n"/>
      <c r="G734" s="56" t="n"/>
      <c r="H734" s="57" t="n"/>
      <c r="I734" s="55" t="n"/>
      <c r="J734" s="53" t="n"/>
      <c r="K734" s="54" t="n"/>
      <c r="L734" s="55" t="n"/>
      <c r="M734" s="55" t="n"/>
      <c r="N734" s="57" t="n"/>
      <c r="O734" s="55" t="n"/>
      <c r="P734" s="56" t="n"/>
      <c r="Q734" s="55" t="n"/>
      <c r="R734" s="55" t="n"/>
      <c r="S734" s="55" t="n"/>
      <c r="T734" s="55" t="n"/>
      <c r="U734" s="55" t="n"/>
      <c r="V734" s="55" t="n"/>
      <c r="W734" s="58" t="n"/>
      <c r="X734" s="58" t="n"/>
      <c r="Y734" s="55" t="n"/>
      <c r="Z734" s="55" t="n"/>
      <c r="AA734" s="55" t="n"/>
      <c r="AB734" s="55" t="n"/>
      <c r="AC734" s="55" t="n"/>
      <c r="AD734" s="53" t="n"/>
      <c r="AE734" s="55" t="n"/>
      <c r="AF734" s="55" t="n"/>
      <c r="AG734" s="59" t="n"/>
      <c r="AH734" s="57" t="n"/>
      <c r="AI734" s="55" t="n"/>
      <c r="AJ734" s="55" t="n"/>
      <c r="AK734" s="55" t="n"/>
      <c r="AL734" s="55" t="n"/>
      <c r="AM734" s="56" t="n"/>
      <c r="AN734" s="55" t="n"/>
      <c r="AO734" s="55" t="n"/>
      <c r="AP734" s="55" t="n"/>
      <c r="AQ734" s="55" t="n"/>
      <c r="AR734" s="60">
        <f>IF(AND(C734="",E734=""),"",IF(A734="","⚠ Date manquante",IF(AND(C734="",E734&lt;&gt;"Dépense"),"⚠ Prospect manquant",IF(E734="","⚠ Action manquante",IF(AND(AU734=1,D734=""),"⚠ Canal manquant",IF(AND(W734&lt;&gt;"",COUNTIFS('Saisie'!$W$5:$W$2004,W734,'Saisie'!$C$5:$C$2004,"&lt;&gt;"&amp;C734)&gt;0),"⚠ Numéro déjà utilisé par un autre prospect",IF(AND(J734&lt;&gt;"",J734&lt;A734),"⚠ Relance avant la date de l'action",IF(A734&gt;TODAY(),"⚠ Date dans le futur","✓"))))))))</f>
        <v/>
      </c>
      <c r="AS734" s="61">
        <f>IF(AND(A734="",C734="",E734=""),"",ROW())</f>
        <v/>
      </c>
      <c r="AT734" s="61">
        <f>IF(E734&amp;F734="","",MAX(IFERROR(INDEX('Paramètres'!$J$6:$J$33,MATCH(E734,'Paramètres'!$I$6:$I$33,0)),0),IFERROR(INDEX('Paramètres'!$N$6:$N$17,MATCH(F734,'Paramètres'!$M$6:$M$17,0)),0)))</f>
        <v/>
      </c>
      <c r="AU734" s="61">
        <f>IF(E734="","",IFERROR(IF(INDEX('Paramètres'!$K$6:$K$33,MATCH(E734,'Paramètres'!$I$6:$I$33,0))="Oui",1,0),0))</f>
        <v/>
      </c>
      <c r="AV734" s="61">
        <f>IF(F734="","",IFERROR(IF(INDEX('Paramètres'!$O$6:$O$17,MATCH(F734,'Paramètres'!$M$6:$M$17,0))="Oui",1,0),0))</f>
        <v/>
      </c>
      <c r="AW734" s="62">
        <f>IF(E734="","",IF(G734&lt;&gt;"",G734,IF(OR(E734="Proposition envoyée",E734="Signature"),MAX(0,N(IFERROR(INDEX('Paramètres'!$R$6:$R$15,MATCH(IF(AL734&lt;&gt;"",AL734,IFERROR(INDEX('Prospects'!$AN$5:$AN$504,MATCH(C734,'Prospects'!$C$5:$C$504,0)),"")),'Paramètres'!$Q$6:$Q$15,0)),0))-N(P734)),0)))</f>
        <v/>
      </c>
      <c r="AX734" s="61">
        <f>IF(C734="","",IF(COUNTIF($C$5:C734,C734)=1,MAX($AX$4:AX733)+1,""))</f>
        <v/>
      </c>
      <c r="AY734" s="61">
        <f>IF(B734="","",HOUR(B734))</f>
        <v/>
      </c>
      <c r="AZ734" s="61">
        <f>IF(A734="","",MOD(A734-2,7)+1)</f>
        <v/>
      </c>
      <c r="BA734" s="60">
        <f>IF(C734="","",IFERROR(INDEX('Prospects'!$N$5:$N$504,MATCH(C734,'Prospects'!$C$5:$C$504,0)),""))</f>
        <v/>
      </c>
      <c r="BB734" s="61">
        <f>IF(AND(C734&lt;&gt;"",C734='Fiche prospect'!$C$4),COUNTIF($C$5:C734,C734),"")</f>
        <v/>
      </c>
    </row>
    <row r="735">
      <c r="A735" s="53" t="n"/>
      <c r="B735" s="54" t="n"/>
      <c r="C735" s="55" t="n"/>
      <c r="D735" s="55" t="n"/>
      <c r="E735" s="55" t="n"/>
      <c r="F735" s="55" t="n"/>
      <c r="G735" s="56" t="n"/>
      <c r="H735" s="57" t="n"/>
      <c r="I735" s="55" t="n"/>
      <c r="J735" s="53" t="n"/>
      <c r="K735" s="54" t="n"/>
      <c r="L735" s="55" t="n"/>
      <c r="M735" s="55" t="n"/>
      <c r="N735" s="57" t="n"/>
      <c r="O735" s="55" t="n"/>
      <c r="P735" s="56" t="n"/>
      <c r="Q735" s="55" t="n"/>
      <c r="R735" s="55" t="n"/>
      <c r="S735" s="55" t="n"/>
      <c r="T735" s="55" t="n"/>
      <c r="U735" s="55" t="n"/>
      <c r="V735" s="55" t="n"/>
      <c r="W735" s="58" t="n"/>
      <c r="X735" s="58" t="n"/>
      <c r="Y735" s="55" t="n"/>
      <c r="Z735" s="55" t="n"/>
      <c r="AA735" s="55" t="n"/>
      <c r="AB735" s="55" t="n"/>
      <c r="AC735" s="55" t="n"/>
      <c r="AD735" s="53" t="n"/>
      <c r="AE735" s="55" t="n"/>
      <c r="AF735" s="55" t="n"/>
      <c r="AG735" s="59" t="n"/>
      <c r="AH735" s="57" t="n"/>
      <c r="AI735" s="55" t="n"/>
      <c r="AJ735" s="55" t="n"/>
      <c r="AK735" s="55" t="n"/>
      <c r="AL735" s="55" t="n"/>
      <c r="AM735" s="56" t="n"/>
      <c r="AN735" s="55" t="n"/>
      <c r="AO735" s="55" t="n"/>
      <c r="AP735" s="55" t="n"/>
      <c r="AQ735" s="55" t="n"/>
      <c r="AR735" s="60">
        <f>IF(AND(C735="",E735=""),"",IF(A735="","⚠ Date manquante",IF(AND(C735="",E735&lt;&gt;"Dépense"),"⚠ Prospect manquant",IF(E735="","⚠ Action manquante",IF(AND(AU735=1,D735=""),"⚠ Canal manquant",IF(AND(W735&lt;&gt;"",COUNTIFS('Saisie'!$W$5:$W$2004,W735,'Saisie'!$C$5:$C$2004,"&lt;&gt;"&amp;C735)&gt;0),"⚠ Numéro déjà utilisé par un autre prospect",IF(AND(J735&lt;&gt;"",J735&lt;A735),"⚠ Relance avant la date de l'action",IF(A735&gt;TODAY(),"⚠ Date dans le futur","✓"))))))))</f>
        <v/>
      </c>
      <c r="AS735" s="61">
        <f>IF(AND(A735="",C735="",E735=""),"",ROW())</f>
        <v/>
      </c>
      <c r="AT735" s="61">
        <f>IF(E735&amp;F735="","",MAX(IFERROR(INDEX('Paramètres'!$J$6:$J$33,MATCH(E735,'Paramètres'!$I$6:$I$33,0)),0),IFERROR(INDEX('Paramètres'!$N$6:$N$17,MATCH(F735,'Paramètres'!$M$6:$M$17,0)),0)))</f>
        <v/>
      </c>
      <c r="AU735" s="61">
        <f>IF(E735="","",IFERROR(IF(INDEX('Paramètres'!$K$6:$K$33,MATCH(E735,'Paramètres'!$I$6:$I$33,0))="Oui",1,0),0))</f>
        <v/>
      </c>
      <c r="AV735" s="61">
        <f>IF(F735="","",IFERROR(IF(INDEX('Paramètres'!$O$6:$O$17,MATCH(F735,'Paramètres'!$M$6:$M$17,0))="Oui",1,0),0))</f>
        <v/>
      </c>
      <c r="AW735" s="62">
        <f>IF(E735="","",IF(G735&lt;&gt;"",G735,IF(OR(E735="Proposition envoyée",E735="Signature"),MAX(0,N(IFERROR(INDEX('Paramètres'!$R$6:$R$15,MATCH(IF(AL735&lt;&gt;"",AL735,IFERROR(INDEX('Prospects'!$AN$5:$AN$504,MATCH(C735,'Prospects'!$C$5:$C$504,0)),"")),'Paramètres'!$Q$6:$Q$15,0)),0))-N(P735)),0)))</f>
        <v/>
      </c>
      <c r="AX735" s="61">
        <f>IF(C735="","",IF(COUNTIF($C$5:C735,C735)=1,MAX($AX$4:AX734)+1,""))</f>
        <v/>
      </c>
      <c r="AY735" s="61">
        <f>IF(B735="","",HOUR(B735))</f>
        <v/>
      </c>
      <c r="AZ735" s="61">
        <f>IF(A735="","",MOD(A735-2,7)+1)</f>
        <v/>
      </c>
      <c r="BA735" s="60">
        <f>IF(C735="","",IFERROR(INDEX('Prospects'!$N$5:$N$504,MATCH(C735,'Prospects'!$C$5:$C$504,0)),""))</f>
        <v/>
      </c>
      <c r="BB735" s="61">
        <f>IF(AND(C735&lt;&gt;"",C735='Fiche prospect'!$C$4),COUNTIF($C$5:C735,C735),"")</f>
        <v/>
      </c>
    </row>
    <row r="736">
      <c r="A736" s="53" t="n"/>
      <c r="B736" s="54" t="n"/>
      <c r="C736" s="55" t="n"/>
      <c r="D736" s="55" t="n"/>
      <c r="E736" s="55" t="n"/>
      <c r="F736" s="55" t="n"/>
      <c r="G736" s="56" t="n"/>
      <c r="H736" s="57" t="n"/>
      <c r="I736" s="55" t="n"/>
      <c r="J736" s="53" t="n"/>
      <c r="K736" s="54" t="n"/>
      <c r="L736" s="55" t="n"/>
      <c r="M736" s="55" t="n"/>
      <c r="N736" s="57" t="n"/>
      <c r="O736" s="55" t="n"/>
      <c r="P736" s="56" t="n"/>
      <c r="Q736" s="55" t="n"/>
      <c r="R736" s="55" t="n"/>
      <c r="S736" s="55" t="n"/>
      <c r="T736" s="55" t="n"/>
      <c r="U736" s="55" t="n"/>
      <c r="V736" s="55" t="n"/>
      <c r="W736" s="58" t="n"/>
      <c r="X736" s="58" t="n"/>
      <c r="Y736" s="55" t="n"/>
      <c r="Z736" s="55" t="n"/>
      <c r="AA736" s="55" t="n"/>
      <c r="AB736" s="55" t="n"/>
      <c r="AC736" s="55" t="n"/>
      <c r="AD736" s="53" t="n"/>
      <c r="AE736" s="55" t="n"/>
      <c r="AF736" s="55" t="n"/>
      <c r="AG736" s="59" t="n"/>
      <c r="AH736" s="57" t="n"/>
      <c r="AI736" s="55" t="n"/>
      <c r="AJ736" s="55" t="n"/>
      <c r="AK736" s="55" t="n"/>
      <c r="AL736" s="55" t="n"/>
      <c r="AM736" s="56" t="n"/>
      <c r="AN736" s="55" t="n"/>
      <c r="AO736" s="55" t="n"/>
      <c r="AP736" s="55" t="n"/>
      <c r="AQ736" s="55" t="n"/>
      <c r="AR736" s="60">
        <f>IF(AND(C736="",E736=""),"",IF(A736="","⚠ Date manquante",IF(AND(C736="",E736&lt;&gt;"Dépense"),"⚠ Prospect manquant",IF(E736="","⚠ Action manquante",IF(AND(AU736=1,D736=""),"⚠ Canal manquant",IF(AND(W736&lt;&gt;"",COUNTIFS('Saisie'!$W$5:$W$2004,W736,'Saisie'!$C$5:$C$2004,"&lt;&gt;"&amp;C736)&gt;0),"⚠ Numéro déjà utilisé par un autre prospect",IF(AND(J736&lt;&gt;"",J736&lt;A736),"⚠ Relance avant la date de l'action",IF(A736&gt;TODAY(),"⚠ Date dans le futur","✓"))))))))</f>
        <v/>
      </c>
      <c r="AS736" s="61">
        <f>IF(AND(A736="",C736="",E736=""),"",ROW())</f>
        <v/>
      </c>
      <c r="AT736" s="61">
        <f>IF(E736&amp;F736="","",MAX(IFERROR(INDEX('Paramètres'!$J$6:$J$33,MATCH(E736,'Paramètres'!$I$6:$I$33,0)),0),IFERROR(INDEX('Paramètres'!$N$6:$N$17,MATCH(F736,'Paramètres'!$M$6:$M$17,0)),0)))</f>
        <v/>
      </c>
      <c r="AU736" s="61">
        <f>IF(E736="","",IFERROR(IF(INDEX('Paramètres'!$K$6:$K$33,MATCH(E736,'Paramètres'!$I$6:$I$33,0))="Oui",1,0),0))</f>
        <v/>
      </c>
      <c r="AV736" s="61">
        <f>IF(F736="","",IFERROR(IF(INDEX('Paramètres'!$O$6:$O$17,MATCH(F736,'Paramètres'!$M$6:$M$17,0))="Oui",1,0),0))</f>
        <v/>
      </c>
      <c r="AW736" s="62">
        <f>IF(E736="","",IF(G736&lt;&gt;"",G736,IF(OR(E736="Proposition envoyée",E736="Signature"),MAX(0,N(IFERROR(INDEX('Paramètres'!$R$6:$R$15,MATCH(IF(AL736&lt;&gt;"",AL736,IFERROR(INDEX('Prospects'!$AN$5:$AN$504,MATCH(C736,'Prospects'!$C$5:$C$504,0)),"")),'Paramètres'!$Q$6:$Q$15,0)),0))-N(P736)),0)))</f>
        <v/>
      </c>
      <c r="AX736" s="61">
        <f>IF(C736="","",IF(COUNTIF($C$5:C736,C736)=1,MAX($AX$4:AX735)+1,""))</f>
        <v/>
      </c>
      <c r="AY736" s="61">
        <f>IF(B736="","",HOUR(B736))</f>
        <v/>
      </c>
      <c r="AZ736" s="61">
        <f>IF(A736="","",MOD(A736-2,7)+1)</f>
        <v/>
      </c>
      <c r="BA736" s="60">
        <f>IF(C736="","",IFERROR(INDEX('Prospects'!$N$5:$N$504,MATCH(C736,'Prospects'!$C$5:$C$504,0)),""))</f>
        <v/>
      </c>
      <c r="BB736" s="61">
        <f>IF(AND(C736&lt;&gt;"",C736='Fiche prospect'!$C$4),COUNTIF($C$5:C736,C736),"")</f>
        <v/>
      </c>
    </row>
    <row r="737">
      <c r="A737" s="53" t="n"/>
      <c r="B737" s="54" t="n"/>
      <c r="C737" s="55" t="n"/>
      <c r="D737" s="55" t="n"/>
      <c r="E737" s="55" t="n"/>
      <c r="F737" s="55" t="n"/>
      <c r="G737" s="56" t="n"/>
      <c r="H737" s="57" t="n"/>
      <c r="I737" s="55" t="n"/>
      <c r="J737" s="53" t="n"/>
      <c r="K737" s="54" t="n"/>
      <c r="L737" s="55" t="n"/>
      <c r="M737" s="55" t="n"/>
      <c r="N737" s="57" t="n"/>
      <c r="O737" s="55" t="n"/>
      <c r="P737" s="56" t="n"/>
      <c r="Q737" s="55" t="n"/>
      <c r="R737" s="55" t="n"/>
      <c r="S737" s="55" t="n"/>
      <c r="T737" s="55" t="n"/>
      <c r="U737" s="55" t="n"/>
      <c r="V737" s="55" t="n"/>
      <c r="W737" s="58" t="n"/>
      <c r="X737" s="58" t="n"/>
      <c r="Y737" s="55" t="n"/>
      <c r="Z737" s="55" t="n"/>
      <c r="AA737" s="55" t="n"/>
      <c r="AB737" s="55" t="n"/>
      <c r="AC737" s="55" t="n"/>
      <c r="AD737" s="53" t="n"/>
      <c r="AE737" s="55" t="n"/>
      <c r="AF737" s="55" t="n"/>
      <c r="AG737" s="59" t="n"/>
      <c r="AH737" s="57" t="n"/>
      <c r="AI737" s="55" t="n"/>
      <c r="AJ737" s="55" t="n"/>
      <c r="AK737" s="55" t="n"/>
      <c r="AL737" s="55" t="n"/>
      <c r="AM737" s="56" t="n"/>
      <c r="AN737" s="55" t="n"/>
      <c r="AO737" s="55" t="n"/>
      <c r="AP737" s="55" t="n"/>
      <c r="AQ737" s="55" t="n"/>
      <c r="AR737" s="60">
        <f>IF(AND(C737="",E737=""),"",IF(A737="","⚠ Date manquante",IF(AND(C737="",E737&lt;&gt;"Dépense"),"⚠ Prospect manquant",IF(E737="","⚠ Action manquante",IF(AND(AU737=1,D737=""),"⚠ Canal manquant",IF(AND(W737&lt;&gt;"",COUNTIFS('Saisie'!$W$5:$W$2004,W737,'Saisie'!$C$5:$C$2004,"&lt;&gt;"&amp;C737)&gt;0),"⚠ Numéro déjà utilisé par un autre prospect",IF(AND(J737&lt;&gt;"",J737&lt;A737),"⚠ Relance avant la date de l'action",IF(A737&gt;TODAY(),"⚠ Date dans le futur","✓"))))))))</f>
        <v/>
      </c>
      <c r="AS737" s="61">
        <f>IF(AND(A737="",C737="",E737=""),"",ROW())</f>
        <v/>
      </c>
      <c r="AT737" s="61">
        <f>IF(E737&amp;F737="","",MAX(IFERROR(INDEX('Paramètres'!$J$6:$J$33,MATCH(E737,'Paramètres'!$I$6:$I$33,0)),0),IFERROR(INDEX('Paramètres'!$N$6:$N$17,MATCH(F737,'Paramètres'!$M$6:$M$17,0)),0)))</f>
        <v/>
      </c>
      <c r="AU737" s="61">
        <f>IF(E737="","",IFERROR(IF(INDEX('Paramètres'!$K$6:$K$33,MATCH(E737,'Paramètres'!$I$6:$I$33,0))="Oui",1,0),0))</f>
        <v/>
      </c>
      <c r="AV737" s="61">
        <f>IF(F737="","",IFERROR(IF(INDEX('Paramètres'!$O$6:$O$17,MATCH(F737,'Paramètres'!$M$6:$M$17,0))="Oui",1,0),0))</f>
        <v/>
      </c>
      <c r="AW737" s="62">
        <f>IF(E737="","",IF(G737&lt;&gt;"",G737,IF(OR(E737="Proposition envoyée",E737="Signature"),MAX(0,N(IFERROR(INDEX('Paramètres'!$R$6:$R$15,MATCH(IF(AL737&lt;&gt;"",AL737,IFERROR(INDEX('Prospects'!$AN$5:$AN$504,MATCH(C737,'Prospects'!$C$5:$C$504,0)),"")),'Paramètres'!$Q$6:$Q$15,0)),0))-N(P737)),0)))</f>
        <v/>
      </c>
      <c r="AX737" s="61">
        <f>IF(C737="","",IF(COUNTIF($C$5:C737,C737)=1,MAX($AX$4:AX736)+1,""))</f>
        <v/>
      </c>
      <c r="AY737" s="61">
        <f>IF(B737="","",HOUR(B737))</f>
        <v/>
      </c>
      <c r="AZ737" s="61">
        <f>IF(A737="","",MOD(A737-2,7)+1)</f>
        <v/>
      </c>
      <c r="BA737" s="60">
        <f>IF(C737="","",IFERROR(INDEX('Prospects'!$N$5:$N$504,MATCH(C737,'Prospects'!$C$5:$C$504,0)),""))</f>
        <v/>
      </c>
      <c r="BB737" s="61">
        <f>IF(AND(C737&lt;&gt;"",C737='Fiche prospect'!$C$4),COUNTIF($C$5:C737,C737),"")</f>
        <v/>
      </c>
    </row>
    <row r="738">
      <c r="A738" s="53" t="n"/>
      <c r="B738" s="54" t="n"/>
      <c r="C738" s="55" t="n"/>
      <c r="D738" s="55" t="n"/>
      <c r="E738" s="55" t="n"/>
      <c r="F738" s="55" t="n"/>
      <c r="G738" s="56" t="n"/>
      <c r="H738" s="57" t="n"/>
      <c r="I738" s="55" t="n"/>
      <c r="J738" s="53" t="n"/>
      <c r="K738" s="54" t="n"/>
      <c r="L738" s="55" t="n"/>
      <c r="M738" s="55" t="n"/>
      <c r="N738" s="57" t="n"/>
      <c r="O738" s="55" t="n"/>
      <c r="P738" s="56" t="n"/>
      <c r="Q738" s="55" t="n"/>
      <c r="R738" s="55" t="n"/>
      <c r="S738" s="55" t="n"/>
      <c r="T738" s="55" t="n"/>
      <c r="U738" s="55" t="n"/>
      <c r="V738" s="55" t="n"/>
      <c r="W738" s="58" t="n"/>
      <c r="X738" s="58" t="n"/>
      <c r="Y738" s="55" t="n"/>
      <c r="Z738" s="55" t="n"/>
      <c r="AA738" s="55" t="n"/>
      <c r="AB738" s="55" t="n"/>
      <c r="AC738" s="55" t="n"/>
      <c r="AD738" s="53" t="n"/>
      <c r="AE738" s="55" t="n"/>
      <c r="AF738" s="55" t="n"/>
      <c r="AG738" s="59" t="n"/>
      <c r="AH738" s="57" t="n"/>
      <c r="AI738" s="55" t="n"/>
      <c r="AJ738" s="55" t="n"/>
      <c r="AK738" s="55" t="n"/>
      <c r="AL738" s="55" t="n"/>
      <c r="AM738" s="56" t="n"/>
      <c r="AN738" s="55" t="n"/>
      <c r="AO738" s="55" t="n"/>
      <c r="AP738" s="55" t="n"/>
      <c r="AQ738" s="55" t="n"/>
      <c r="AR738" s="60">
        <f>IF(AND(C738="",E738=""),"",IF(A738="","⚠ Date manquante",IF(AND(C738="",E738&lt;&gt;"Dépense"),"⚠ Prospect manquant",IF(E738="","⚠ Action manquante",IF(AND(AU738=1,D738=""),"⚠ Canal manquant",IF(AND(W738&lt;&gt;"",COUNTIFS('Saisie'!$W$5:$W$2004,W738,'Saisie'!$C$5:$C$2004,"&lt;&gt;"&amp;C738)&gt;0),"⚠ Numéro déjà utilisé par un autre prospect",IF(AND(J738&lt;&gt;"",J738&lt;A738),"⚠ Relance avant la date de l'action",IF(A738&gt;TODAY(),"⚠ Date dans le futur","✓"))))))))</f>
        <v/>
      </c>
      <c r="AS738" s="61">
        <f>IF(AND(A738="",C738="",E738=""),"",ROW())</f>
        <v/>
      </c>
      <c r="AT738" s="61">
        <f>IF(E738&amp;F738="","",MAX(IFERROR(INDEX('Paramètres'!$J$6:$J$33,MATCH(E738,'Paramètres'!$I$6:$I$33,0)),0),IFERROR(INDEX('Paramètres'!$N$6:$N$17,MATCH(F738,'Paramètres'!$M$6:$M$17,0)),0)))</f>
        <v/>
      </c>
      <c r="AU738" s="61">
        <f>IF(E738="","",IFERROR(IF(INDEX('Paramètres'!$K$6:$K$33,MATCH(E738,'Paramètres'!$I$6:$I$33,0))="Oui",1,0),0))</f>
        <v/>
      </c>
      <c r="AV738" s="61">
        <f>IF(F738="","",IFERROR(IF(INDEX('Paramètres'!$O$6:$O$17,MATCH(F738,'Paramètres'!$M$6:$M$17,0))="Oui",1,0),0))</f>
        <v/>
      </c>
      <c r="AW738" s="62">
        <f>IF(E738="","",IF(G738&lt;&gt;"",G738,IF(OR(E738="Proposition envoyée",E738="Signature"),MAX(0,N(IFERROR(INDEX('Paramètres'!$R$6:$R$15,MATCH(IF(AL738&lt;&gt;"",AL738,IFERROR(INDEX('Prospects'!$AN$5:$AN$504,MATCH(C738,'Prospects'!$C$5:$C$504,0)),"")),'Paramètres'!$Q$6:$Q$15,0)),0))-N(P738)),0)))</f>
        <v/>
      </c>
      <c r="AX738" s="61">
        <f>IF(C738="","",IF(COUNTIF($C$5:C738,C738)=1,MAX($AX$4:AX737)+1,""))</f>
        <v/>
      </c>
      <c r="AY738" s="61">
        <f>IF(B738="","",HOUR(B738))</f>
        <v/>
      </c>
      <c r="AZ738" s="61">
        <f>IF(A738="","",MOD(A738-2,7)+1)</f>
        <v/>
      </c>
      <c r="BA738" s="60">
        <f>IF(C738="","",IFERROR(INDEX('Prospects'!$N$5:$N$504,MATCH(C738,'Prospects'!$C$5:$C$504,0)),""))</f>
        <v/>
      </c>
      <c r="BB738" s="61">
        <f>IF(AND(C738&lt;&gt;"",C738='Fiche prospect'!$C$4),COUNTIF($C$5:C738,C738),"")</f>
        <v/>
      </c>
    </row>
    <row r="739">
      <c r="A739" s="53" t="n"/>
      <c r="B739" s="54" t="n"/>
      <c r="C739" s="55" t="n"/>
      <c r="D739" s="55" t="n"/>
      <c r="E739" s="55" t="n"/>
      <c r="F739" s="55" t="n"/>
      <c r="G739" s="56" t="n"/>
      <c r="H739" s="57" t="n"/>
      <c r="I739" s="55" t="n"/>
      <c r="J739" s="53" t="n"/>
      <c r="K739" s="54" t="n"/>
      <c r="L739" s="55" t="n"/>
      <c r="M739" s="55" t="n"/>
      <c r="N739" s="57" t="n"/>
      <c r="O739" s="55" t="n"/>
      <c r="P739" s="56" t="n"/>
      <c r="Q739" s="55" t="n"/>
      <c r="R739" s="55" t="n"/>
      <c r="S739" s="55" t="n"/>
      <c r="T739" s="55" t="n"/>
      <c r="U739" s="55" t="n"/>
      <c r="V739" s="55" t="n"/>
      <c r="W739" s="58" t="n"/>
      <c r="X739" s="58" t="n"/>
      <c r="Y739" s="55" t="n"/>
      <c r="Z739" s="55" t="n"/>
      <c r="AA739" s="55" t="n"/>
      <c r="AB739" s="55" t="n"/>
      <c r="AC739" s="55" t="n"/>
      <c r="AD739" s="53" t="n"/>
      <c r="AE739" s="55" t="n"/>
      <c r="AF739" s="55" t="n"/>
      <c r="AG739" s="59" t="n"/>
      <c r="AH739" s="57" t="n"/>
      <c r="AI739" s="55" t="n"/>
      <c r="AJ739" s="55" t="n"/>
      <c r="AK739" s="55" t="n"/>
      <c r="AL739" s="55" t="n"/>
      <c r="AM739" s="56" t="n"/>
      <c r="AN739" s="55" t="n"/>
      <c r="AO739" s="55" t="n"/>
      <c r="AP739" s="55" t="n"/>
      <c r="AQ739" s="55" t="n"/>
      <c r="AR739" s="60">
        <f>IF(AND(C739="",E739=""),"",IF(A739="","⚠ Date manquante",IF(AND(C739="",E739&lt;&gt;"Dépense"),"⚠ Prospect manquant",IF(E739="","⚠ Action manquante",IF(AND(AU739=1,D739=""),"⚠ Canal manquant",IF(AND(W739&lt;&gt;"",COUNTIFS('Saisie'!$W$5:$W$2004,W739,'Saisie'!$C$5:$C$2004,"&lt;&gt;"&amp;C739)&gt;0),"⚠ Numéro déjà utilisé par un autre prospect",IF(AND(J739&lt;&gt;"",J739&lt;A739),"⚠ Relance avant la date de l'action",IF(A739&gt;TODAY(),"⚠ Date dans le futur","✓"))))))))</f>
        <v/>
      </c>
      <c r="AS739" s="61">
        <f>IF(AND(A739="",C739="",E739=""),"",ROW())</f>
        <v/>
      </c>
      <c r="AT739" s="61">
        <f>IF(E739&amp;F739="","",MAX(IFERROR(INDEX('Paramètres'!$J$6:$J$33,MATCH(E739,'Paramètres'!$I$6:$I$33,0)),0),IFERROR(INDEX('Paramètres'!$N$6:$N$17,MATCH(F739,'Paramètres'!$M$6:$M$17,0)),0)))</f>
        <v/>
      </c>
      <c r="AU739" s="61">
        <f>IF(E739="","",IFERROR(IF(INDEX('Paramètres'!$K$6:$K$33,MATCH(E739,'Paramètres'!$I$6:$I$33,0))="Oui",1,0),0))</f>
        <v/>
      </c>
      <c r="AV739" s="61">
        <f>IF(F739="","",IFERROR(IF(INDEX('Paramètres'!$O$6:$O$17,MATCH(F739,'Paramètres'!$M$6:$M$17,0))="Oui",1,0),0))</f>
        <v/>
      </c>
      <c r="AW739" s="62">
        <f>IF(E739="","",IF(G739&lt;&gt;"",G739,IF(OR(E739="Proposition envoyée",E739="Signature"),MAX(0,N(IFERROR(INDEX('Paramètres'!$R$6:$R$15,MATCH(IF(AL739&lt;&gt;"",AL739,IFERROR(INDEX('Prospects'!$AN$5:$AN$504,MATCH(C739,'Prospects'!$C$5:$C$504,0)),"")),'Paramètres'!$Q$6:$Q$15,0)),0))-N(P739)),0)))</f>
        <v/>
      </c>
      <c r="AX739" s="61">
        <f>IF(C739="","",IF(COUNTIF($C$5:C739,C739)=1,MAX($AX$4:AX738)+1,""))</f>
        <v/>
      </c>
      <c r="AY739" s="61">
        <f>IF(B739="","",HOUR(B739))</f>
        <v/>
      </c>
      <c r="AZ739" s="61">
        <f>IF(A739="","",MOD(A739-2,7)+1)</f>
        <v/>
      </c>
      <c r="BA739" s="60">
        <f>IF(C739="","",IFERROR(INDEX('Prospects'!$N$5:$N$504,MATCH(C739,'Prospects'!$C$5:$C$504,0)),""))</f>
        <v/>
      </c>
      <c r="BB739" s="61">
        <f>IF(AND(C739&lt;&gt;"",C739='Fiche prospect'!$C$4),COUNTIF($C$5:C739,C739),"")</f>
        <v/>
      </c>
    </row>
    <row r="740">
      <c r="A740" s="53" t="n"/>
      <c r="B740" s="54" t="n"/>
      <c r="C740" s="55" t="n"/>
      <c r="D740" s="55" t="n"/>
      <c r="E740" s="55" t="n"/>
      <c r="F740" s="55" t="n"/>
      <c r="G740" s="56" t="n"/>
      <c r="H740" s="57" t="n"/>
      <c r="I740" s="55" t="n"/>
      <c r="J740" s="53" t="n"/>
      <c r="K740" s="54" t="n"/>
      <c r="L740" s="55" t="n"/>
      <c r="M740" s="55" t="n"/>
      <c r="N740" s="57" t="n"/>
      <c r="O740" s="55" t="n"/>
      <c r="P740" s="56" t="n"/>
      <c r="Q740" s="55" t="n"/>
      <c r="R740" s="55" t="n"/>
      <c r="S740" s="55" t="n"/>
      <c r="T740" s="55" t="n"/>
      <c r="U740" s="55" t="n"/>
      <c r="V740" s="55" t="n"/>
      <c r="W740" s="58" t="n"/>
      <c r="X740" s="58" t="n"/>
      <c r="Y740" s="55" t="n"/>
      <c r="Z740" s="55" t="n"/>
      <c r="AA740" s="55" t="n"/>
      <c r="AB740" s="55" t="n"/>
      <c r="AC740" s="55" t="n"/>
      <c r="AD740" s="53" t="n"/>
      <c r="AE740" s="55" t="n"/>
      <c r="AF740" s="55" t="n"/>
      <c r="AG740" s="59" t="n"/>
      <c r="AH740" s="57" t="n"/>
      <c r="AI740" s="55" t="n"/>
      <c r="AJ740" s="55" t="n"/>
      <c r="AK740" s="55" t="n"/>
      <c r="AL740" s="55" t="n"/>
      <c r="AM740" s="56" t="n"/>
      <c r="AN740" s="55" t="n"/>
      <c r="AO740" s="55" t="n"/>
      <c r="AP740" s="55" t="n"/>
      <c r="AQ740" s="55" t="n"/>
      <c r="AR740" s="60">
        <f>IF(AND(C740="",E740=""),"",IF(A740="","⚠ Date manquante",IF(AND(C740="",E740&lt;&gt;"Dépense"),"⚠ Prospect manquant",IF(E740="","⚠ Action manquante",IF(AND(AU740=1,D740=""),"⚠ Canal manquant",IF(AND(W740&lt;&gt;"",COUNTIFS('Saisie'!$W$5:$W$2004,W740,'Saisie'!$C$5:$C$2004,"&lt;&gt;"&amp;C740)&gt;0),"⚠ Numéro déjà utilisé par un autre prospect",IF(AND(J740&lt;&gt;"",J740&lt;A740),"⚠ Relance avant la date de l'action",IF(A740&gt;TODAY(),"⚠ Date dans le futur","✓"))))))))</f>
        <v/>
      </c>
      <c r="AS740" s="61">
        <f>IF(AND(A740="",C740="",E740=""),"",ROW())</f>
        <v/>
      </c>
      <c r="AT740" s="61">
        <f>IF(E740&amp;F740="","",MAX(IFERROR(INDEX('Paramètres'!$J$6:$J$33,MATCH(E740,'Paramètres'!$I$6:$I$33,0)),0),IFERROR(INDEX('Paramètres'!$N$6:$N$17,MATCH(F740,'Paramètres'!$M$6:$M$17,0)),0)))</f>
        <v/>
      </c>
      <c r="AU740" s="61">
        <f>IF(E740="","",IFERROR(IF(INDEX('Paramètres'!$K$6:$K$33,MATCH(E740,'Paramètres'!$I$6:$I$33,0))="Oui",1,0),0))</f>
        <v/>
      </c>
      <c r="AV740" s="61">
        <f>IF(F740="","",IFERROR(IF(INDEX('Paramètres'!$O$6:$O$17,MATCH(F740,'Paramètres'!$M$6:$M$17,0))="Oui",1,0),0))</f>
        <v/>
      </c>
      <c r="AW740" s="62">
        <f>IF(E740="","",IF(G740&lt;&gt;"",G740,IF(OR(E740="Proposition envoyée",E740="Signature"),MAX(0,N(IFERROR(INDEX('Paramètres'!$R$6:$R$15,MATCH(IF(AL740&lt;&gt;"",AL740,IFERROR(INDEX('Prospects'!$AN$5:$AN$504,MATCH(C740,'Prospects'!$C$5:$C$504,0)),"")),'Paramètres'!$Q$6:$Q$15,0)),0))-N(P740)),0)))</f>
        <v/>
      </c>
      <c r="AX740" s="61">
        <f>IF(C740="","",IF(COUNTIF($C$5:C740,C740)=1,MAX($AX$4:AX739)+1,""))</f>
        <v/>
      </c>
      <c r="AY740" s="61">
        <f>IF(B740="","",HOUR(B740))</f>
        <v/>
      </c>
      <c r="AZ740" s="61">
        <f>IF(A740="","",MOD(A740-2,7)+1)</f>
        <v/>
      </c>
      <c r="BA740" s="60">
        <f>IF(C740="","",IFERROR(INDEX('Prospects'!$N$5:$N$504,MATCH(C740,'Prospects'!$C$5:$C$504,0)),""))</f>
        <v/>
      </c>
      <c r="BB740" s="61">
        <f>IF(AND(C740&lt;&gt;"",C740='Fiche prospect'!$C$4),COUNTIF($C$5:C740,C740),"")</f>
        <v/>
      </c>
    </row>
    <row r="741">
      <c r="A741" s="53" t="n"/>
      <c r="B741" s="54" t="n"/>
      <c r="C741" s="55" t="n"/>
      <c r="D741" s="55" t="n"/>
      <c r="E741" s="55" t="n"/>
      <c r="F741" s="55" t="n"/>
      <c r="G741" s="56" t="n"/>
      <c r="H741" s="57" t="n"/>
      <c r="I741" s="55" t="n"/>
      <c r="J741" s="53" t="n"/>
      <c r="K741" s="54" t="n"/>
      <c r="L741" s="55" t="n"/>
      <c r="M741" s="55" t="n"/>
      <c r="N741" s="57" t="n"/>
      <c r="O741" s="55" t="n"/>
      <c r="P741" s="56" t="n"/>
      <c r="Q741" s="55" t="n"/>
      <c r="R741" s="55" t="n"/>
      <c r="S741" s="55" t="n"/>
      <c r="T741" s="55" t="n"/>
      <c r="U741" s="55" t="n"/>
      <c r="V741" s="55" t="n"/>
      <c r="W741" s="58" t="n"/>
      <c r="X741" s="58" t="n"/>
      <c r="Y741" s="55" t="n"/>
      <c r="Z741" s="55" t="n"/>
      <c r="AA741" s="55" t="n"/>
      <c r="AB741" s="55" t="n"/>
      <c r="AC741" s="55" t="n"/>
      <c r="AD741" s="53" t="n"/>
      <c r="AE741" s="55" t="n"/>
      <c r="AF741" s="55" t="n"/>
      <c r="AG741" s="59" t="n"/>
      <c r="AH741" s="57" t="n"/>
      <c r="AI741" s="55" t="n"/>
      <c r="AJ741" s="55" t="n"/>
      <c r="AK741" s="55" t="n"/>
      <c r="AL741" s="55" t="n"/>
      <c r="AM741" s="56" t="n"/>
      <c r="AN741" s="55" t="n"/>
      <c r="AO741" s="55" t="n"/>
      <c r="AP741" s="55" t="n"/>
      <c r="AQ741" s="55" t="n"/>
      <c r="AR741" s="60">
        <f>IF(AND(C741="",E741=""),"",IF(A741="","⚠ Date manquante",IF(AND(C741="",E741&lt;&gt;"Dépense"),"⚠ Prospect manquant",IF(E741="","⚠ Action manquante",IF(AND(AU741=1,D741=""),"⚠ Canal manquant",IF(AND(W741&lt;&gt;"",COUNTIFS('Saisie'!$W$5:$W$2004,W741,'Saisie'!$C$5:$C$2004,"&lt;&gt;"&amp;C741)&gt;0),"⚠ Numéro déjà utilisé par un autre prospect",IF(AND(J741&lt;&gt;"",J741&lt;A741),"⚠ Relance avant la date de l'action",IF(A741&gt;TODAY(),"⚠ Date dans le futur","✓"))))))))</f>
        <v/>
      </c>
      <c r="AS741" s="61">
        <f>IF(AND(A741="",C741="",E741=""),"",ROW())</f>
        <v/>
      </c>
      <c r="AT741" s="61">
        <f>IF(E741&amp;F741="","",MAX(IFERROR(INDEX('Paramètres'!$J$6:$J$33,MATCH(E741,'Paramètres'!$I$6:$I$33,0)),0),IFERROR(INDEX('Paramètres'!$N$6:$N$17,MATCH(F741,'Paramètres'!$M$6:$M$17,0)),0)))</f>
        <v/>
      </c>
      <c r="AU741" s="61">
        <f>IF(E741="","",IFERROR(IF(INDEX('Paramètres'!$K$6:$K$33,MATCH(E741,'Paramètres'!$I$6:$I$33,0))="Oui",1,0),0))</f>
        <v/>
      </c>
      <c r="AV741" s="61">
        <f>IF(F741="","",IFERROR(IF(INDEX('Paramètres'!$O$6:$O$17,MATCH(F741,'Paramètres'!$M$6:$M$17,0))="Oui",1,0),0))</f>
        <v/>
      </c>
      <c r="AW741" s="62">
        <f>IF(E741="","",IF(G741&lt;&gt;"",G741,IF(OR(E741="Proposition envoyée",E741="Signature"),MAX(0,N(IFERROR(INDEX('Paramètres'!$R$6:$R$15,MATCH(IF(AL741&lt;&gt;"",AL741,IFERROR(INDEX('Prospects'!$AN$5:$AN$504,MATCH(C741,'Prospects'!$C$5:$C$504,0)),"")),'Paramètres'!$Q$6:$Q$15,0)),0))-N(P741)),0)))</f>
        <v/>
      </c>
      <c r="AX741" s="61">
        <f>IF(C741="","",IF(COUNTIF($C$5:C741,C741)=1,MAX($AX$4:AX740)+1,""))</f>
        <v/>
      </c>
      <c r="AY741" s="61">
        <f>IF(B741="","",HOUR(B741))</f>
        <v/>
      </c>
      <c r="AZ741" s="61">
        <f>IF(A741="","",MOD(A741-2,7)+1)</f>
        <v/>
      </c>
      <c r="BA741" s="60">
        <f>IF(C741="","",IFERROR(INDEX('Prospects'!$N$5:$N$504,MATCH(C741,'Prospects'!$C$5:$C$504,0)),""))</f>
        <v/>
      </c>
      <c r="BB741" s="61">
        <f>IF(AND(C741&lt;&gt;"",C741='Fiche prospect'!$C$4),COUNTIF($C$5:C741,C741),"")</f>
        <v/>
      </c>
    </row>
    <row r="742">
      <c r="A742" s="53" t="n"/>
      <c r="B742" s="54" t="n"/>
      <c r="C742" s="55" t="n"/>
      <c r="D742" s="55" t="n"/>
      <c r="E742" s="55" t="n"/>
      <c r="F742" s="55" t="n"/>
      <c r="G742" s="56" t="n"/>
      <c r="H742" s="57" t="n"/>
      <c r="I742" s="55" t="n"/>
      <c r="J742" s="53" t="n"/>
      <c r="K742" s="54" t="n"/>
      <c r="L742" s="55" t="n"/>
      <c r="M742" s="55" t="n"/>
      <c r="N742" s="57" t="n"/>
      <c r="O742" s="55" t="n"/>
      <c r="P742" s="56" t="n"/>
      <c r="Q742" s="55" t="n"/>
      <c r="R742" s="55" t="n"/>
      <c r="S742" s="55" t="n"/>
      <c r="T742" s="55" t="n"/>
      <c r="U742" s="55" t="n"/>
      <c r="V742" s="55" t="n"/>
      <c r="W742" s="58" t="n"/>
      <c r="X742" s="58" t="n"/>
      <c r="Y742" s="55" t="n"/>
      <c r="Z742" s="55" t="n"/>
      <c r="AA742" s="55" t="n"/>
      <c r="AB742" s="55" t="n"/>
      <c r="AC742" s="55" t="n"/>
      <c r="AD742" s="53" t="n"/>
      <c r="AE742" s="55" t="n"/>
      <c r="AF742" s="55" t="n"/>
      <c r="AG742" s="59" t="n"/>
      <c r="AH742" s="57" t="n"/>
      <c r="AI742" s="55" t="n"/>
      <c r="AJ742" s="55" t="n"/>
      <c r="AK742" s="55" t="n"/>
      <c r="AL742" s="55" t="n"/>
      <c r="AM742" s="56" t="n"/>
      <c r="AN742" s="55" t="n"/>
      <c r="AO742" s="55" t="n"/>
      <c r="AP742" s="55" t="n"/>
      <c r="AQ742" s="55" t="n"/>
      <c r="AR742" s="60">
        <f>IF(AND(C742="",E742=""),"",IF(A742="","⚠ Date manquante",IF(AND(C742="",E742&lt;&gt;"Dépense"),"⚠ Prospect manquant",IF(E742="","⚠ Action manquante",IF(AND(AU742=1,D742=""),"⚠ Canal manquant",IF(AND(W742&lt;&gt;"",COUNTIFS('Saisie'!$W$5:$W$2004,W742,'Saisie'!$C$5:$C$2004,"&lt;&gt;"&amp;C742)&gt;0),"⚠ Numéro déjà utilisé par un autre prospect",IF(AND(J742&lt;&gt;"",J742&lt;A742),"⚠ Relance avant la date de l'action",IF(A742&gt;TODAY(),"⚠ Date dans le futur","✓"))))))))</f>
        <v/>
      </c>
      <c r="AS742" s="61">
        <f>IF(AND(A742="",C742="",E742=""),"",ROW())</f>
        <v/>
      </c>
      <c r="AT742" s="61">
        <f>IF(E742&amp;F742="","",MAX(IFERROR(INDEX('Paramètres'!$J$6:$J$33,MATCH(E742,'Paramètres'!$I$6:$I$33,0)),0),IFERROR(INDEX('Paramètres'!$N$6:$N$17,MATCH(F742,'Paramètres'!$M$6:$M$17,0)),0)))</f>
        <v/>
      </c>
      <c r="AU742" s="61">
        <f>IF(E742="","",IFERROR(IF(INDEX('Paramètres'!$K$6:$K$33,MATCH(E742,'Paramètres'!$I$6:$I$33,0))="Oui",1,0),0))</f>
        <v/>
      </c>
      <c r="AV742" s="61">
        <f>IF(F742="","",IFERROR(IF(INDEX('Paramètres'!$O$6:$O$17,MATCH(F742,'Paramètres'!$M$6:$M$17,0))="Oui",1,0),0))</f>
        <v/>
      </c>
      <c r="AW742" s="62">
        <f>IF(E742="","",IF(G742&lt;&gt;"",G742,IF(OR(E742="Proposition envoyée",E742="Signature"),MAX(0,N(IFERROR(INDEX('Paramètres'!$R$6:$R$15,MATCH(IF(AL742&lt;&gt;"",AL742,IFERROR(INDEX('Prospects'!$AN$5:$AN$504,MATCH(C742,'Prospects'!$C$5:$C$504,0)),"")),'Paramètres'!$Q$6:$Q$15,0)),0))-N(P742)),0)))</f>
        <v/>
      </c>
      <c r="AX742" s="61">
        <f>IF(C742="","",IF(COUNTIF($C$5:C742,C742)=1,MAX($AX$4:AX741)+1,""))</f>
        <v/>
      </c>
      <c r="AY742" s="61">
        <f>IF(B742="","",HOUR(B742))</f>
        <v/>
      </c>
      <c r="AZ742" s="61">
        <f>IF(A742="","",MOD(A742-2,7)+1)</f>
        <v/>
      </c>
      <c r="BA742" s="60">
        <f>IF(C742="","",IFERROR(INDEX('Prospects'!$N$5:$N$504,MATCH(C742,'Prospects'!$C$5:$C$504,0)),""))</f>
        <v/>
      </c>
      <c r="BB742" s="61">
        <f>IF(AND(C742&lt;&gt;"",C742='Fiche prospect'!$C$4),COUNTIF($C$5:C742,C742),"")</f>
        <v/>
      </c>
    </row>
    <row r="743">
      <c r="A743" s="53" t="n"/>
      <c r="B743" s="54" t="n"/>
      <c r="C743" s="55" t="n"/>
      <c r="D743" s="55" t="n"/>
      <c r="E743" s="55" t="n"/>
      <c r="F743" s="55" t="n"/>
      <c r="G743" s="56" t="n"/>
      <c r="H743" s="57" t="n"/>
      <c r="I743" s="55" t="n"/>
      <c r="J743" s="53" t="n"/>
      <c r="K743" s="54" t="n"/>
      <c r="L743" s="55" t="n"/>
      <c r="M743" s="55" t="n"/>
      <c r="N743" s="57" t="n"/>
      <c r="O743" s="55" t="n"/>
      <c r="P743" s="56" t="n"/>
      <c r="Q743" s="55" t="n"/>
      <c r="R743" s="55" t="n"/>
      <c r="S743" s="55" t="n"/>
      <c r="T743" s="55" t="n"/>
      <c r="U743" s="55" t="n"/>
      <c r="V743" s="55" t="n"/>
      <c r="W743" s="58" t="n"/>
      <c r="X743" s="58" t="n"/>
      <c r="Y743" s="55" t="n"/>
      <c r="Z743" s="55" t="n"/>
      <c r="AA743" s="55" t="n"/>
      <c r="AB743" s="55" t="n"/>
      <c r="AC743" s="55" t="n"/>
      <c r="AD743" s="53" t="n"/>
      <c r="AE743" s="55" t="n"/>
      <c r="AF743" s="55" t="n"/>
      <c r="AG743" s="59" t="n"/>
      <c r="AH743" s="57" t="n"/>
      <c r="AI743" s="55" t="n"/>
      <c r="AJ743" s="55" t="n"/>
      <c r="AK743" s="55" t="n"/>
      <c r="AL743" s="55" t="n"/>
      <c r="AM743" s="56" t="n"/>
      <c r="AN743" s="55" t="n"/>
      <c r="AO743" s="55" t="n"/>
      <c r="AP743" s="55" t="n"/>
      <c r="AQ743" s="55" t="n"/>
      <c r="AR743" s="60">
        <f>IF(AND(C743="",E743=""),"",IF(A743="","⚠ Date manquante",IF(AND(C743="",E743&lt;&gt;"Dépense"),"⚠ Prospect manquant",IF(E743="","⚠ Action manquante",IF(AND(AU743=1,D743=""),"⚠ Canal manquant",IF(AND(W743&lt;&gt;"",COUNTIFS('Saisie'!$W$5:$W$2004,W743,'Saisie'!$C$5:$C$2004,"&lt;&gt;"&amp;C743)&gt;0),"⚠ Numéro déjà utilisé par un autre prospect",IF(AND(J743&lt;&gt;"",J743&lt;A743),"⚠ Relance avant la date de l'action",IF(A743&gt;TODAY(),"⚠ Date dans le futur","✓"))))))))</f>
        <v/>
      </c>
      <c r="AS743" s="61">
        <f>IF(AND(A743="",C743="",E743=""),"",ROW())</f>
        <v/>
      </c>
      <c r="AT743" s="61">
        <f>IF(E743&amp;F743="","",MAX(IFERROR(INDEX('Paramètres'!$J$6:$J$33,MATCH(E743,'Paramètres'!$I$6:$I$33,0)),0),IFERROR(INDEX('Paramètres'!$N$6:$N$17,MATCH(F743,'Paramètres'!$M$6:$M$17,0)),0)))</f>
        <v/>
      </c>
      <c r="AU743" s="61">
        <f>IF(E743="","",IFERROR(IF(INDEX('Paramètres'!$K$6:$K$33,MATCH(E743,'Paramètres'!$I$6:$I$33,0))="Oui",1,0),0))</f>
        <v/>
      </c>
      <c r="AV743" s="61">
        <f>IF(F743="","",IFERROR(IF(INDEX('Paramètres'!$O$6:$O$17,MATCH(F743,'Paramètres'!$M$6:$M$17,0))="Oui",1,0),0))</f>
        <v/>
      </c>
      <c r="AW743" s="62">
        <f>IF(E743="","",IF(G743&lt;&gt;"",G743,IF(OR(E743="Proposition envoyée",E743="Signature"),MAX(0,N(IFERROR(INDEX('Paramètres'!$R$6:$R$15,MATCH(IF(AL743&lt;&gt;"",AL743,IFERROR(INDEX('Prospects'!$AN$5:$AN$504,MATCH(C743,'Prospects'!$C$5:$C$504,0)),"")),'Paramètres'!$Q$6:$Q$15,0)),0))-N(P743)),0)))</f>
        <v/>
      </c>
      <c r="AX743" s="61">
        <f>IF(C743="","",IF(COUNTIF($C$5:C743,C743)=1,MAX($AX$4:AX742)+1,""))</f>
        <v/>
      </c>
      <c r="AY743" s="61">
        <f>IF(B743="","",HOUR(B743))</f>
        <v/>
      </c>
      <c r="AZ743" s="61">
        <f>IF(A743="","",MOD(A743-2,7)+1)</f>
        <v/>
      </c>
      <c r="BA743" s="60">
        <f>IF(C743="","",IFERROR(INDEX('Prospects'!$N$5:$N$504,MATCH(C743,'Prospects'!$C$5:$C$504,0)),""))</f>
        <v/>
      </c>
      <c r="BB743" s="61">
        <f>IF(AND(C743&lt;&gt;"",C743='Fiche prospect'!$C$4),COUNTIF($C$5:C743,C743),"")</f>
        <v/>
      </c>
    </row>
    <row r="744">
      <c r="A744" s="53" t="n"/>
      <c r="B744" s="54" t="n"/>
      <c r="C744" s="55" t="n"/>
      <c r="D744" s="55" t="n"/>
      <c r="E744" s="55" t="n"/>
      <c r="F744" s="55" t="n"/>
      <c r="G744" s="56" t="n"/>
      <c r="H744" s="57" t="n"/>
      <c r="I744" s="55" t="n"/>
      <c r="J744" s="53" t="n"/>
      <c r="K744" s="54" t="n"/>
      <c r="L744" s="55" t="n"/>
      <c r="M744" s="55" t="n"/>
      <c r="N744" s="57" t="n"/>
      <c r="O744" s="55" t="n"/>
      <c r="P744" s="56" t="n"/>
      <c r="Q744" s="55" t="n"/>
      <c r="R744" s="55" t="n"/>
      <c r="S744" s="55" t="n"/>
      <c r="T744" s="55" t="n"/>
      <c r="U744" s="55" t="n"/>
      <c r="V744" s="55" t="n"/>
      <c r="W744" s="58" t="n"/>
      <c r="X744" s="58" t="n"/>
      <c r="Y744" s="55" t="n"/>
      <c r="Z744" s="55" t="n"/>
      <c r="AA744" s="55" t="n"/>
      <c r="AB744" s="55" t="n"/>
      <c r="AC744" s="55" t="n"/>
      <c r="AD744" s="53" t="n"/>
      <c r="AE744" s="55" t="n"/>
      <c r="AF744" s="55" t="n"/>
      <c r="AG744" s="59" t="n"/>
      <c r="AH744" s="57" t="n"/>
      <c r="AI744" s="55" t="n"/>
      <c r="AJ744" s="55" t="n"/>
      <c r="AK744" s="55" t="n"/>
      <c r="AL744" s="55" t="n"/>
      <c r="AM744" s="56" t="n"/>
      <c r="AN744" s="55" t="n"/>
      <c r="AO744" s="55" t="n"/>
      <c r="AP744" s="55" t="n"/>
      <c r="AQ744" s="55" t="n"/>
      <c r="AR744" s="60">
        <f>IF(AND(C744="",E744=""),"",IF(A744="","⚠ Date manquante",IF(AND(C744="",E744&lt;&gt;"Dépense"),"⚠ Prospect manquant",IF(E744="","⚠ Action manquante",IF(AND(AU744=1,D744=""),"⚠ Canal manquant",IF(AND(W744&lt;&gt;"",COUNTIFS('Saisie'!$W$5:$W$2004,W744,'Saisie'!$C$5:$C$2004,"&lt;&gt;"&amp;C744)&gt;0),"⚠ Numéro déjà utilisé par un autre prospect",IF(AND(J744&lt;&gt;"",J744&lt;A744),"⚠ Relance avant la date de l'action",IF(A744&gt;TODAY(),"⚠ Date dans le futur","✓"))))))))</f>
        <v/>
      </c>
      <c r="AS744" s="61">
        <f>IF(AND(A744="",C744="",E744=""),"",ROW())</f>
        <v/>
      </c>
      <c r="AT744" s="61">
        <f>IF(E744&amp;F744="","",MAX(IFERROR(INDEX('Paramètres'!$J$6:$J$33,MATCH(E744,'Paramètres'!$I$6:$I$33,0)),0),IFERROR(INDEX('Paramètres'!$N$6:$N$17,MATCH(F744,'Paramètres'!$M$6:$M$17,0)),0)))</f>
        <v/>
      </c>
      <c r="AU744" s="61">
        <f>IF(E744="","",IFERROR(IF(INDEX('Paramètres'!$K$6:$K$33,MATCH(E744,'Paramètres'!$I$6:$I$33,0))="Oui",1,0),0))</f>
        <v/>
      </c>
      <c r="AV744" s="61">
        <f>IF(F744="","",IFERROR(IF(INDEX('Paramètres'!$O$6:$O$17,MATCH(F744,'Paramètres'!$M$6:$M$17,0))="Oui",1,0),0))</f>
        <v/>
      </c>
      <c r="AW744" s="62">
        <f>IF(E744="","",IF(G744&lt;&gt;"",G744,IF(OR(E744="Proposition envoyée",E744="Signature"),MAX(0,N(IFERROR(INDEX('Paramètres'!$R$6:$R$15,MATCH(IF(AL744&lt;&gt;"",AL744,IFERROR(INDEX('Prospects'!$AN$5:$AN$504,MATCH(C744,'Prospects'!$C$5:$C$504,0)),"")),'Paramètres'!$Q$6:$Q$15,0)),0))-N(P744)),0)))</f>
        <v/>
      </c>
      <c r="AX744" s="61">
        <f>IF(C744="","",IF(COUNTIF($C$5:C744,C744)=1,MAX($AX$4:AX743)+1,""))</f>
        <v/>
      </c>
      <c r="AY744" s="61">
        <f>IF(B744="","",HOUR(B744))</f>
        <v/>
      </c>
      <c r="AZ744" s="61">
        <f>IF(A744="","",MOD(A744-2,7)+1)</f>
        <v/>
      </c>
      <c r="BA744" s="60">
        <f>IF(C744="","",IFERROR(INDEX('Prospects'!$N$5:$N$504,MATCH(C744,'Prospects'!$C$5:$C$504,0)),""))</f>
        <v/>
      </c>
      <c r="BB744" s="61">
        <f>IF(AND(C744&lt;&gt;"",C744='Fiche prospect'!$C$4),COUNTIF($C$5:C744,C744),"")</f>
        <v/>
      </c>
    </row>
    <row r="745">
      <c r="A745" s="53" t="n"/>
      <c r="B745" s="54" t="n"/>
      <c r="C745" s="55" t="n"/>
      <c r="D745" s="55" t="n"/>
      <c r="E745" s="55" t="n"/>
      <c r="F745" s="55" t="n"/>
      <c r="G745" s="56" t="n"/>
      <c r="H745" s="57" t="n"/>
      <c r="I745" s="55" t="n"/>
      <c r="J745" s="53" t="n"/>
      <c r="K745" s="54" t="n"/>
      <c r="L745" s="55" t="n"/>
      <c r="M745" s="55" t="n"/>
      <c r="N745" s="57" t="n"/>
      <c r="O745" s="55" t="n"/>
      <c r="P745" s="56" t="n"/>
      <c r="Q745" s="55" t="n"/>
      <c r="R745" s="55" t="n"/>
      <c r="S745" s="55" t="n"/>
      <c r="T745" s="55" t="n"/>
      <c r="U745" s="55" t="n"/>
      <c r="V745" s="55" t="n"/>
      <c r="W745" s="58" t="n"/>
      <c r="X745" s="58" t="n"/>
      <c r="Y745" s="55" t="n"/>
      <c r="Z745" s="55" t="n"/>
      <c r="AA745" s="55" t="n"/>
      <c r="AB745" s="55" t="n"/>
      <c r="AC745" s="55" t="n"/>
      <c r="AD745" s="53" t="n"/>
      <c r="AE745" s="55" t="n"/>
      <c r="AF745" s="55" t="n"/>
      <c r="AG745" s="59" t="n"/>
      <c r="AH745" s="57" t="n"/>
      <c r="AI745" s="55" t="n"/>
      <c r="AJ745" s="55" t="n"/>
      <c r="AK745" s="55" t="n"/>
      <c r="AL745" s="55" t="n"/>
      <c r="AM745" s="56" t="n"/>
      <c r="AN745" s="55" t="n"/>
      <c r="AO745" s="55" t="n"/>
      <c r="AP745" s="55" t="n"/>
      <c r="AQ745" s="55" t="n"/>
      <c r="AR745" s="60">
        <f>IF(AND(C745="",E745=""),"",IF(A745="","⚠ Date manquante",IF(AND(C745="",E745&lt;&gt;"Dépense"),"⚠ Prospect manquant",IF(E745="","⚠ Action manquante",IF(AND(AU745=1,D745=""),"⚠ Canal manquant",IF(AND(W745&lt;&gt;"",COUNTIFS('Saisie'!$W$5:$W$2004,W745,'Saisie'!$C$5:$C$2004,"&lt;&gt;"&amp;C745)&gt;0),"⚠ Numéro déjà utilisé par un autre prospect",IF(AND(J745&lt;&gt;"",J745&lt;A745),"⚠ Relance avant la date de l'action",IF(A745&gt;TODAY(),"⚠ Date dans le futur","✓"))))))))</f>
        <v/>
      </c>
      <c r="AS745" s="61">
        <f>IF(AND(A745="",C745="",E745=""),"",ROW())</f>
        <v/>
      </c>
      <c r="AT745" s="61">
        <f>IF(E745&amp;F745="","",MAX(IFERROR(INDEX('Paramètres'!$J$6:$J$33,MATCH(E745,'Paramètres'!$I$6:$I$33,0)),0),IFERROR(INDEX('Paramètres'!$N$6:$N$17,MATCH(F745,'Paramètres'!$M$6:$M$17,0)),0)))</f>
        <v/>
      </c>
      <c r="AU745" s="61">
        <f>IF(E745="","",IFERROR(IF(INDEX('Paramètres'!$K$6:$K$33,MATCH(E745,'Paramètres'!$I$6:$I$33,0))="Oui",1,0),0))</f>
        <v/>
      </c>
      <c r="AV745" s="61">
        <f>IF(F745="","",IFERROR(IF(INDEX('Paramètres'!$O$6:$O$17,MATCH(F745,'Paramètres'!$M$6:$M$17,0))="Oui",1,0),0))</f>
        <v/>
      </c>
      <c r="AW745" s="62">
        <f>IF(E745="","",IF(G745&lt;&gt;"",G745,IF(OR(E745="Proposition envoyée",E745="Signature"),MAX(0,N(IFERROR(INDEX('Paramètres'!$R$6:$R$15,MATCH(IF(AL745&lt;&gt;"",AL745,IFERROR(INDEX('Prospects'!$AN$5:$AN$504,MATCH(C745,'Prospects'!$C$5:$C$504,0)),"")),'Paramètres'!$Q$6:$Q$15,0)),0))-N(P745)),0)))</f>
        <v/>
      </c>
      <c r="AX745" s="61">
        <f>IF(C745="","",IF(COUNTIF($C$5:C745,C745)=1,MAX($AX$4:AX744)+1,""))</f>
        <v/>
      </c>
      <c r="AY745" s="61">
        <f>IF(B745="","",HOUR(B745))</f>
        <v/>
      </c>
      <c r="AZ745" s="61">
        <f>IF(A745="","",MOD(A745-2,7)+1)</f>
        <v/>
      </c>
      <c r="BA745" s="60">
        <f>IF(C745="","",IFERROR(INDEX('Prospects'!$N$5:$N$504,MATCH(C745,'Prospects'!$C$5:$C$504,0)),""))</f>
        <v/>
      </c>
      <c r="BB745" s="61">
        <f>IF(AND(C745&lt;&gt;"",C745='Fiche prospect'!$C$4),COUNTIF($C$5:C745,C745),"")</f>
        <v/>
      </c>
    </row>
    <row r="746">
      <c r="A746" s="53" t="n"/>
      <c r="B746" s="54" t="n"/>
      <c r="C746" s="55" t="n"/>
      <c r="D746" s="55" t="n"/>
      <c r="E746" s="55" t="n"/>
      <c r="F746" s="55" t="n"/>
      <c r="G746" s="56" t="n"/>
      <c r="H746" s="57" t="n"/>
      <c r="I746" s="55" t="n"/>
      <c r="J746" s="53" t="n"/>
      <c r="K746" s="54" t="n"/>
      <c r="L746" s="55" t="n"/>
      <c r="M746" s="55" t="n"/>
      <c r="N746" s="57" t="n"/>
      <c r="O746" s="55" t="n"/>
      <c r="P746" s="56" t="n"/>
      <c r="Q746" s="55" t="n"/>
      <c r="R746" s="55" t="n"/>
      <c r="S746" s="55" t="n"/>
      <c r="T746" s="55" t="n"/>
      <c r="U746" s="55" t="n"/>
      <c r="V746" s="55" t="n"/>
      <c r="W746" s="58" t="n"/>
      <c r="X746" s="58" t="n"/>
      <c r="Y746" s="55" t="n"/>
      <c r="Z746" s="55" t="n"/>
      <c r="AA746" s="55" t="n"/>
      <c r="AB746" s="55" t="n"/>
      <c r="AC746" s="55" t="n"/>
      <c r="AD746" s="53" t="n"/>
      <c r="AE746" s="55" t="n"/>
      <c r="AF746" s="55" t="n"/>
      <c r="AG746" s="59" t="n"/>
      <c r="AH746" s="57" t="n"/>
      <c r="AI746" s="55" t="n"/>
      <c r="AJ746" s="55" t="n"/>
      <c r="AK746" s="55" t="n"/>
      <c r="AL746" s="55" t="n"/>
      <c r="AM746" s="56" t="n"/>
      <c r="AN746" s="55" t="n"/>
      <c r="AO746" s="55" t="n"/>
      <c r="AP746" s="55" t="n"/>
      <c r="AQ746" s="55" t="n"/>
      <c r="AR746" s="60">
        <f>IF(AND(C746="",E746=""),"",IF(A746="","⚠ Date manquante",IF(AND(C746="",E746&lt;&gt;"Dépense"),"⚠ Prospect manquant",IF(E746="","⚠ Action manquante",IF(AND(AU746=1,D746=""),"⚠ Canal manquant",IF(AND(W746&lt;&gt;"",COUNTIFS('Saisie'!$W$5:$W$2004,W746,'Saisie'!$C$5:$C$2004,"&lt;&gt;"&amp;C746)&gt;0),"⚠ Numéro déjà utilisé par un autre prospect",IF(AND(J746&lt;&gt;"",J746&lt;A746),"⚠ Relance avant la date de l'action",IF(A746&gt;TODAY(),"⚠ Date dans le futur","✓"))))))))</f>
        <v/>
      </c>
      <c r="AS746" s="61">
        <f>IF(AND(A746="",C746="",E746=""),"",ROW())</f>
        <v/>
      </c>
      <c r="AT746" s="61">
        <f>IF(E746&amp;F746="","",MAX(IFERROR(INDEX('Paramètres'!$J$6:$J$33,MATCH(E746,'Paramètres'!$I$6:$I$33,0)),0),IFERROR(INDEX('Paramètres'!$N$6:$N$17,MATCH(F746,'Paramètres'!$M$6:$M$17,0)),0)))</f>
        <v/>
      </c>
      <c r="AU746" s="61">
        <f>IF(E746="","",IFERROR(IF(INDEX('Paramètres'!$K$6:$K$33,MATCH(E746,'Paramètres'!$I$6:$I$33,0))="Oui",1,0),0))</f>
        <v/>
      </c>
      <c r="AV746" s="61">
        <f>IF(F746="","",IFERROR(IF(INDEX('Paramètres'!$O$6:$O$17,MATCH(F746,'Paramètres'!$M$6:$M$17,0))="Oui",1,0),0))</f>
        <v/>
      </c>
      <c r="AW746" s="62">
        <f>IF(E746="","",IF(G746&lt;&gt;"",G746,IF(OR(E746="Proposition envoyée",E746="Signature"),MAX(0,N(IFERROR(INDEX('Paramètres'!$R$6:$R$15,MATCH(IF(AL746&lt;&gt;"",AL746,IFERROR(INDEX('Prospects'!$AN$5:$AN$504,MATCH(C746,'Prospects'!$C$5:$C$504,0)),"")),'Paramètres'!$Q$6:$Q$15,0)),0))-N(P746)),0)))</f>
        <v/>
      </c>
      <c r="AX746" s="61">
        <f>IF(C746="","",IF(COUNTIF($C$5:C746,C746)=1,MAX($AX$4:AX745)+1,""))</f>
        <v/>
      </c>
      <c r="AY746" s="61">
        <f>IF(B746="","",HOUR(B746))</f>
        <v/>
      </c>
      <c r="AZ746" s="61">
        <f>IF(A746="","",MOD(A746-2,7)+1)</f>
        <v/>
      </c>
      <c r="BA746" s="60">
        <f>IF(C746="","",IFERROR(INDEX('Prospects'!$N$5:$N$504,MATCH(C746,'Prospects'!$C$5:$C$504,0)),""))</f>
        <v/>
      </c>
      <c r="BB746" s="61">
        <f>IF(AND(C746&lt;&gt;"",C746='Fiche prospect'!$C$4),COUNTIF($C$5:C746,C746),"")</f>
        <v/>
      </c>
    </row>
    <row r="747">
      <c r="A747" s="53" t="n"/>
      <c r="B747" s="54" t="n"/>
      <c r="C747" s="55" t="n"/>
      <c r="D747" s="55" t="n"/>
      <c r="E747" s="55" t="n"/>
      <c r="F747" s="55" t="n"/>
      <c r="G747" s="56" t="n"/>
      <c r="H747" s="57" t="n"/>
      <c r="I747" s="55" t="n"/>
      <c r="J747" s="53" t="n"/>
      <c r="K747" s="54" t="n"/>
      <c r="L747" s="55" t="n"/>
      <c r="M747" s="55" t="n"/>
      <c r="N747" s="57" t="n"/>
      <c r="O747" s="55" t="n"/>
      <c r="P747" s="56" t="n"/>
      <c r="Q747" s="55" t="n"/>
      <c r="R747" s="55" t="n"/>
      <c r="S747" s="55" t="n"/>
      <c r="T747" s="55" t="n"/>
      <c r="U747" s="55" t="n"/>
      <c r="V747" s="55" t="n"/>
      <c r="W747" s="58" t="n"/>
      <c r="X747" s="58" t="n"/>
      <c r="Y747" s="55" t="n"/>
      <c r="Z747" s="55" t="n"/>
      <c r="AA747" s="55" t="n"/>
      <c r="AB747" s="55" t="n"/>
      <c r="AC747" s="55" t="n"/>
      <c r="AD747" s="53" t="n"/>
      <c r="AE747" s="55" t="n"/>
      <c r="AF747" s="55" t="n"/>
      <c r="AG747" s="59" t="n"/>
      <c r="AH747" s="57" t="n"/>
      <c r="AI747" s="55" t="n"/>
      <c r="AJ747" s="55" t="n"/>
      <c r="AK747" s="55" t="n"/>
      <c r="AL747" s="55" t="n"/>
      <c r="AM747" s="56" t="n"/>
      <c r="AN747" s="55" t="n"/>
      <c r="AO747" s="55" t="n"/>
      <c r="AP747" s="55" t="n"/>
      <c r="AQ747" s="55" t="n"/>
      <c r="AR747" s="60">
        <f>IF(AND(C747="",E747=""),"",IF(A747="","⚠ Date manquante",IF(AND(C747="",E747&lt;&gt;"Dépense"),"⚠ Prospect manquant",IF(E747="","⚠ Action manquante",IF(AND(AU747=1,D747=""),"⚠ Canal manquant",IF(AND(W747&lt;&gt;"",COUNTIFS('Saisie'!$W$5:$W$2004,W747,'Saisie'!$C$5:$C$2004,"&lt;&gt;"&amp;C747)&gt;0),"⚠ Numéro déjà utilisé par un autre prospect",IF(AND(J747&lt;&gt;"",J747&lt;A747),"⚠ Relance avant la date de l'action",IF(A747&gt;TODAY(),"⚠ Date dans le futur","✓"))))))))</f>
        <v/>
      </c>
      <c r="AS747" s="61">
        <f>IF(AND(A747="",C747="",E747=""),"",ROW())</f>
        <v/>
      </c>
      <c r="AT747" s="61">
        <f>IF(E747&amp;F747="","",MAX(IFERROR(INDEX('Paramètres'!$J$6:$J$33,MATCH(E747,'Paramètres'!$I$6:$I$33,0)),0),IFERROR(INDEX('Paramètres'!$N$6:$N$17,MATCH(F747,'Paramètres'!$M$6:$M$17,0)),0)))</f>
        <v/>
      </c>
      <c r="AU747" s="61">
        <f>IF(E747="","",IFERROR(IF(INDEX('Paramètres'!$K$6:$K$33,MATCH(E747,'Paramètres'!$I$6:$I$33,0))="Oui",1,0),0))</f>
        <v/>
      </c>
      <c r="AV747" s="61">
        <f>IF(F747="","",IFERROR(IF(INDEX('Paramètres'!$O$6:$O$17,MATCH(F747,'Paramètres'!$M$6:$M$17,0))="Oui",1,0),0))</f>
        <v/>
      </c>
      <c r="AW747" s="62">
        <f>IF(E747="","",IF(G747&lt;&gt;"",G747,IF(OR(E747="Proposition envoyée",E747="Signature"),MAX(0,N(IFERROR(INDEX('Paramètres'!$R$6:$R$15,MATCH(IF(AL747&lt;&gt;"",AL747,IFERROR(INDEX('Prospects'!$AN$5:$AN$504,MATCH(C747,'Prospects'!$C$5:$C$504,0)),"")),'Paramètres'!$Q$6:$Q$15,0)),0))-N(P747)),0)))</f>
        <v/>
      </c>
      <c r="AX747" s="61">
        <f>IF(C747="","",IF(COUNTIF($C$5:C747,C747)=1,MAX($AX$4:AX746)+1,""))</f>
        <v/>
      </c>
      <c r="AY747" s="61">
        <f>IF(B747="","",HOUR(B747))</f>
        <v/>
      </c>
      <c r="AZ747" s="61">
        <f>IF(A747="","",MOD(A747-2,7)+1)</f>
        <v/>
      </c>
      <c r="BA747" s="60">
        <f>IF(C747="","",IFERROR(INDEX('Prospects'!$N$5:$N$504,MATCH(C747,'Prospects'!$C$5:$C$504,0)),""))</f>
        <v/>
      </c>
      <c r="BB747" s="61">
        <f>IF(AND(C747&lt;&gt;"",C747='Fiche prospect'!$C$4),COUNTIF($C$5:C747,C747),"")</f>
        <v/>
      </c>
    </row>
    <row r="748">
      <c r="A748" s="53" t="n"/>
      <c r="B748" s="54" t="n"/>
      <c r="C748" s="55" t="n"/>
      <c r="D748" s="55" t="n"/>
      <c r="E748" s="55" t="n"/>
      <c r="F748" s="55" t="n"/>
      <c r="G748" s="56" t="n"/>
      <c r="H748" s="57" t="n"/>
      <c r="I748" s="55" t="n"/>
      <c r="J748" s="53" t="n"/>
      <c r="K748" s="54" t="n"/>
      <c r="L748" s="55" t="n"/>
      <c r="M748" s="55" t="n"/>
      <c r="N748" s="57" t="n"/>
      <c r="O748" s="55" t="n"/>
      <c r="P748" s="56" t="n"/>
      <c r="Q748" s="55" t="n"/>
      <c r="R748" s="55" t="n"/>
      <c r="S748" s="55" t="n"/>
      <c r="T748" s="55" t="n"/>
      <c r="U748" s="55" t="n"/>
      <c r="V748" s="55" t="n"/>
      <c r="W748" s="58" t="n"/>
      <c r="X748" s="58" t="n"/>
      <c r="Y748" s="55" t="n"/>
      <c r="Z748" s="55" t="n"/>
      <c r="AA748" s="55" t="n"/>
      <c r="AB748" s="55" t="n"/>
      <c r="AC748" s="55" t="n"/>
      <c r="AD748" s="53" t="n"/>
      <c r="AE748" s="55" t="n"/>
      <c r="AF748" s="55" t="n"/>
      <c r="AG748" s="59" t="n"/>
      <c r="AH748" s="57" t="n"/>
      <c r="AI748" s="55" t="n"/>
      <c r="AJ748" s="55" t="n"/>
      <c r="AK748" s="55" t="n"/>
      <c r="AL748" s="55" t="n"/>
      <c r="AM748" s="56" t="n"/>
      <c r="AN748" s="55" t="n"/>
      <c r="AO748" s="55" t="n"/>
      <c r="AP748" s="55" t="n"/>
      <c r="AQ748" s="55" t="n"/>
      <c r="AR748" s="60">
        <f>IF(AND(C748="",E748=""),"",IF(A748="","⚠ Date manquante",IF(AND(C748="",E748&lt;&gt;"Dépense"),"⚠ Prospect manquant",IF(E748="","⚠ Action manquante",IF(AND(AU748=1,D748=""),"⚠ Canal manquant",IF(AND(W748&lt;&gt;"",COUNTIFS('Saisie'!$W$5:$W$2004,W748,'Saisie'!$C$5:$C$2004,"&lt;&gt;"&amp;C748)&gt;0),"⚠ Numéro déjà utilisé par un autre prospect",IF(AND(J748&lt;&gt;"",J748&lt;A748),"⚠ Relance avant la date de l'action",IF(A748&gt;TODAY(),"⚠ Date dans le futur","✓"))))))))</f>
        <v/>
      </c>
      <c r="AS748" s="61">
        <f>IF(AND(A748="",C748="",E748=""),"",ROW())</f>
        <v/>
      </c>
      <c r="AT748" s="61">
        <f>IF(E748&amp;F748="","",MAX(IFERROR(INDEX('Paramètres'!$J$6:$J$33,MATCH(E748,'Paramètres'!$I$6:$I$33,0)),0),IFERROR(INDEX('Paramètres'!$N$6:$N$17,MATCH(F748,'Paramètres'!$M$6:$M$17,0)),0)))</f>
        <v/>
      </c>
      <c r="AU748" s="61">
        <f>IF(E748="","",IFERROR(IF(INDEX('Paramètres'!$K$6:$K$33,MATCH(E748,'Paramètres'!$I$6:$I$33,0))="Oui",1,0),0))</f>
        <v/>
      </c>
      <c r="AV748" s="61">
        <f>IF(F748="","",IFERROR(IF(INDEX('Paramètres'!$O$6:$O$17,MATCH(F748,'Paramètres'!$M$6:$M$17,0))="Oui",1,0),0))</f>
        <v/>
      </c>
      <c r="AW748" s="62">
        <f>IF(E748="","",IF(G748&lt;&gt;"",G748,IF(OR(E748="Proposition envoyée",E748="Signature"),MAX(0,N(IFERROR(INDEX('Paramètres'!$R$6:$R$15,MATCH(IF(AL748&lt;&gt;"",AL748,IFERROR(INDEX('Prospects'!$AN$5:$AN$504,MATCH(C748,'Prospects'!$C$5:$C$504,0)),"")),'Paramètres'!$Q$6:$Q$15,0)),0))-N(P748)),0)))</f>
        <v/>
      </c>
      <c r="AX748" s="61">
        <f>IF(C748="","",IF(COUNTIF($C$5:C748,C748)=1,MAX($AX$4:AX747)+1,""))</f>
        <v/>
      </c>
      <c r="AY748" s="61">
        <f>IF(B748="","",HOUR(B748))</f>
        <v/>
      </c>
      <c r="AZ748" s="61">
        <f>IF(A748="","",MOD(A748-2,7)+1)</f>
        <v/>
      </c>
      <c r="BA748" s="60">
        <f>IF(C748="","",IFERROR(INDEX('Prospects'!$N$5:$N$504,MATCH(C748,'Prospects'!$C$5:$C$504,0)),""))</f>
        <v/>
      </c>
      <c r="BB748" s="61">
        <f>IF(AND(C748&lt;&gt;"",C748='Fiche prospect'!$C$4),COUNTIF($C$5:C748,C748),"")</f>
        <v/>
      </c>
    </row>
    <row r="749">
      <c r="A749" s="53" t="n"/>
      <c r="B749" s="54" t="n"/>
      <c r="C749" s="55" t="n"/>
      <c r="D749" s="55" t="n"/>
      <c r="E749" s="55" t="n"/>
      <c r="F749" s="55" t="n"/>
      <c r="G749" s="56" t="n"/>
      <c r="H749" s="57" t="n"/>
      <c r="I749" s="55" t="n"/>
      <c r="J749" s="53" t="n"/>
      <c r="K749" s="54" t="n"/>
      <c r="L749" s="55" t="n"/>
      <c r="M749" s="55" t="n"/>
      <c r="N749" s="57" t="n"/>
      <c r="O749" s="55" t="n"/>
      <c r="P749" s="56" t="n"/>
      <c r="Q749" s="55" t="n"/>
      <c r="R749" s="55" t="n"/>
      <c r="S749" s="55" t="n"/>
      <c r="T749" s="55" t="n"/>
      <c r="U749" s="55" t="n"/>
      <c r="V749" s="55" t="n"/>
      <c r="W749" s="58" t="n"/>
      <c r="X749" s="58" t="n"/>
      <c r="Y749" s="55" t="n"/>
      <c r="Z749" s="55" t="n"/>
      <c r="AA749" s="55" t="n"/>
      <c r="AB749" s="55" t="n"/>
      <c r="AC749" s="55" t="n"/>
      <c r="AD749" s="53" t="n"/>
      <c r="AE749" s="55" t="n"/>
      <c r="AF749" s="55" t="n"/>
      <c r="AG749" s="59" t="n"/>
      <c r="AH749" s="57" t="n"/>
      <c r="AI749" s="55" t="n"/>
      <c r="AJ749" s="55" t="n"/>
      <c r="AK749" s="55" t="n"/>
      <c r="AL749" s="55" t="n"/>
      <c r="AM749" s="56" t="n"/>
      <c r="AN749" s="55" t="n"/>
      <c r="AO749" s="55" t="n"/>
      <c r="AP749" s="55" t="n"/>
      <c r="AQ749" s="55" t="n"/>
      <c r="AR749" s="60">
        <f>IF(AND(C749="",E749=""),"",IF(A749="","⚠ Date manquante",IF(AND(C749="",E749&lt;&gt;"Dépense"),"⚠ Prospect manquant",IF(E749="","⚠ Action manquante",IF(AND(AU749=1,D749=""),"⚠ Canal manquant",IF(AND(W749&lt;&gt;"",COUNTIFS('Saisie'!$W$5:$W$2004,W749,'Saisie'!$C$5:$C$2004,"&lt;&gt;"&amp;C749)&gt;0),"⚠ Numéro déjà utilisé par un autre prospect",IF(AND(J749&lt;&gt;"",J749&lt;A749),"⚠ Relance avant la date de l'action",IF(A749&gt;TODAY(),"⚠ Date dans le futur","✓"))))))))</f>
        <v/>
      </c>
      <c r="AS749" s="61">
        <f>IF(AND(A749="",C749="",E749=""),"",ROW())</f>
        <v/>
      </c>
      <c r="AT749" s="61">
        <f>IF(E749&amp;F749="","",MAX(IFERROR(INDEX('Paramètres'!$J$6:$J$33,MATCH(E749,'Paramètres'!$I$6:$I$33,0)),0),IFERROR(INDEX('Paramètres'!$N$6:$N$17,MATCH(F749,'Paramètres'!$M$6:$M$17,0)),0)))</f>
        <v/>
      </c>
      <c r="AU749" s="61">
        <f>IF(E749="","",IFERROR(IF(INDEX('Paramètres'!$K$6:$K$33,MATCH(E749,'Paramètres'!$I$6:$I$33,0))="Oui",1,0),0))</f>
        <v/>
      </c>
      <c r="AV749" s="61">
        <f>IF(F749="","",IFERROR(IF(INDEX('Paramètres'!$O$6:$O$17,MATCH(F749,'Paramètres'!$M$6:$M$17,0))="Oui",1,0),0))</f>
        <v/>
      </c>
      <c r="AW749" s="62">
        <f>IF(E749="","",IF(G749&lt;&gt;"",G749,IF(OR(E749="Proposition envoyée",E749="Signature"),MAX(0,N(IFERROR(INDEX('Paramètres'!$R$6:$R$15,MATCH(IF(AL749&lt;&gt;"",AL749,IFERROR(INDEX('Prospects'!$AN$5:$AN$504,MATCH(C749,'Prospects'!$C$5:$C$504,0)),"")),'Paramètres'!$Q$6:$Q$15,0)),0))-N(P749)),0)))</f>
        <v/>
      </c>
      <c r="AX749" s="61">
        <f>IF(C749="","",IF(COUNTIF($C$5:C749,C749)=1,MAX($AX$4:AX748)+1,""))</f>
        <v/>
      </c>
      <c r="AY749" s="61">
        <f>IF(B749="","",HOUR(B749))</f>
        <v/>
      </c>
      <c r="AZ749" s="61">
        <f>IF(A749="","",MOD(A749-2,7)+1)</f>
        <v/>
      </c>
      <c r="BA749" s="60">
        <f>IF(C749="","",IFERROR(INDEX('Prospects'!$N$5:$N$504,MATCH(C749,'Prospects'!$C$5:$C$504,0)),""))</f>
        <v/>
      </c>
      <c r="BB749" s="61">
        <f>IF(AND(C749&lt;&gt;"",C749='Fiche prospect'!$C$4),COUNTIF($C$5:C749,C749),"")</f>
        <v/>
      </c>
    </row>
    <row r="750">
      <c r="A750" s="53" t="n"/>
      <c r="B750" s="54" t="n"/>
      <c r="C750" s="55" t="n"/>
      <c r="D750" s="55" t="n"/>
      <c r="E750" s="55" t="n"/>
      <c r="F750" s="55" t="n"/>
      <c r="G750" s="56" t="n"/>
      <c r="H750" s="57" t="n"/>
      <c r="I750" s="55" t="n"/>
      <c r="J750" s="53" t="n"/>
      <c r="K750" s="54" t="n"/>
      <c r="L750" s="55" t="n"/>
      <c r="M750" s="55" t="n"/>
      <c r="N750" s="57" t="n"/>
      <c r="O750" s="55" t="n"/>
      <c r="P750" s="56" t="n"/>
      <c r="Q750" s="55" t="n"/>
      <c r="R750" s="55" t="n"/>
      <c r="S750" s="55" t="n"/>
      <c r="T750" s="55" t="n"/>
      <c r="U750" s="55" t="n"/>
      <c r="V750" s="55" t="n"/>
      <c r="W750" s="58" t="n"/>
      <c r="X750" s="58" t="n"/>
      <c r="Y750" s="55" t="n"/>
      <c r="Z750" s="55" t="n"/>
      <c r="AA750" s="55" t="n"/>
      <c r="AB750" s="55" t="n"/>
      <c r="AC750" s="55" t="n"/>
      <c r="AD750" s="53" t="n"/>
      <c r="AE750" s="55" t="n"/>
      <c r="AF750" s="55" t="n"/>
      <c r="AG750" s="59" t="n"/>
      <c r="AH750" s="57" t="n"/>
      <c r="AI750" s="55" t="n"/>
      <c r="AJ750" s="55" t="n"/>
      <c r="AK750" s="55" t="n"/>
      <c r="AL750" s="55" t="n"/>
      <c r="AM750" s="56" t="n"/>
      <c r="AN750" s="55" t="n"/>
      <c r="AO750" s="55" t="n"/>
      <c r="AP750" s="55" t="n"/>
      <c r="AQ750" s="55" t="n"/>
      <c r="AR750" s="60">
        <f>IF(AND(C750="",E750=""),"",IF(A750="","⚠ Date manquante",IF(AND(C750="",E750&lt;&gt;"Dépense"),"⚠ Prospect manquant",IF(E750="","⚠ Action manquante",IF(AND(AU750=1,D750=""),"⚠ Canal manquant",IF(AND(W750&lt;&gt;"",COUNTIFS('Saisie'!$W$5:$W$2004,W750,'Saisie'!$C$5:$C$2004,"&lt;&gt;"&amp;C750)&gt;0),"⚠ Numéro déjà utilisé par un autre prospect",IF(AND(J750&lt;&gt;"",J750&lt;A750),"⚠ Relance avant la date de l'action",IF(A750&gt;TODAY(),"⚠ Date dans le futur","✓"))))))))</f>
        <v/>
      </c>
      <c r="AS750" s="61">
        <f>IF(AND(A750="",C750="",E750=""),"",ROW())</f>
        <v/>
      </c>
      <c r="AT750" s="61">
        <f>IF(E750&amp;F750="","",MAX(IFERROR(INDEX('Paramètres'!$J$6:$J$33,MATCH(E750,'Paramètres'!$I$6:$I$33,0)),0),IFERROR(INDEX('Paramètres'!$N$6:$N$17,MATCH(F750,'Paramètres'!$M$6:$M$17,0)),0)))</f>
        <v/>
      </c>
      <c r="AU750" s="61">
        <f>IF(E750="","",IFERROR(IF(INDEX('Paramètres'!$K$6:$K$33,MATCH(E750,'Paramètres'!$I$6:$I$33,0))="Oui",1,0),0))</f>
        <v/>
      </c>
      <c r="AV750" s="61">
        <f>IF(F750="","",IFERROR(IF(INDEX('Paramètres'!$O$6:$O$17,MATCH(F750,'Paramètres'!$M$6:$M$17,0))="Oui",1,0),0))</f>
        <v/>
      </c>
      <c r="AW750" s="62">
        <f>IF(E750="","",IF(G750&lt;&gt;"",G750,IF(OR(E750="Proposition envoyée",E750="Signature"),MAX(0,N(IFERROR(INDEX('Paramètres'!$R$6:$R$15,MATCH(IF(AL750&lt;&gt;"",AL750,IFERROR(INDEX('Prospects'!$AN$5:$AN$504,MATCH(C750,'Prospects'!$C$5:$C$504,0)),"")),'Paramètres'!$Q$6:$Q$15,0)),0))-N(P750)),0)))</f>
        <v/>
      </c>
      <c r="AX750" s="61">
        <f>IF(C750="","",IF(COUNTIF($C$5:C750,C750)=1,MAX($AX$4:AX749)+1,""))</f>
        <v/>
      </c>
      <c r="AY750" s="61">
        <f>IF(B750="","",HOUR(B750))</f>
        <v/>
      </c>
      <c r="AZ750" s="61">
        <f>IF(A750="","",MOD(A750-2,7)+1)</f>
        <v/>
      </c>
      <c r="BA750" s="60">
        <f>IF(C750="","",IFERROR(INDEX('Prospects'!$N$5:$N$504,MATCH(C750,'Prospects'!$C$5:$C$504,0)),""))</f>
        <v/>
      </c>
      <c r="BB750" s="61">
        <f>IF(AND(C750&lt;&gt;"",C750='Fiche prospect'!$C$4),COUNTIF($C$5:C750,C750),"")</f>
        <v/>
      </c>
    </row>
    <row r="751">
      <c r="A751" s="53" t="n"/>
      <c r="B751" s="54" t="n"/>
      <c r="C751" s="55" t="n"/>
      <c r="D751" s="55" t="n"/>
      <c r="E751" s="55" t="n"/>
      <c r="F751" s="55" t="n"/>
      <c r="G751" s="56" t="n"/>
      <c r="H751" s="57" t="n"/>
      <c r="I751" s="55" t="n"/>
      <c r="J751" s="53" t="n"/>
      <c r="K751" s="54" t="n"/>
      <c r="L751" s="55" t="n"/>
      <c r="M751" s="55" t="n"/>
      <c r="N751" s="57" t="n"/>
      <c r="O751" s="55" t="n"/>
      <c r="P751" s="56" t="n"/>
      <c r="Q751" s="55" t="n"/>
      <c r="R751" s="55" t="n"/>
      <c r="S751" s="55" t="n"/>
      <c r="T751" s="55" t="n"/>
      <c r="U751" s="55" t="n"/>
      <c r="V751" s="55" t="n"/>
      <c r="W751" s="58" t="n"/>
      <c r="X751" s="58" t="n"/>
      <c r="Y751" s="55" t="n"/>
      <c r="Z751" s="55" t="n"/>
      <c r="AA751" s="55" t="n"/>
      <c r="AB751" s="55" t="n"/>
      <c r="AC751" s="55" t="n"/>
      <c r="AD751" s="53" t="n"/>
      <c r="AE751" s="55" t="n"/>
      <c r="AF751" s="55" t="n"/>
      <c r="AG751" s="59" t="n"/>
      <c r="AH751" s="57" t="n"/>
      <c r="AI751" s="55" t="n"/>
      <c r="AJ751" s="55" t="n"/>
      <c r="AK751" s="55" t="n"/>
      <c r="AL751" s="55" t="n"/>
      <c r="AM751" s="56" t="n"/>
      <c r="AN751" s="55" t="n"/>
      <c r="AO751" s="55" t="n"/>
      <c r="AP751" s="55" t="n"/>
      <c r="AQ751" s="55" t="n"/>
      <c r="AR751" s="60">
        <f>IF(AND(C751="",E751=""),"",IF(A751="","⚠ Date manquante",IF(AND(C751="",E751&lt;&gt;"Dépense"),"⚠ Prospect manquant",IF(E751="","⚠ Action manquante",IF(AND(AU751=1,D751=""),"⚠ Canal manquant",IF(AND(W751&lt;&gt;"",COUNTIFS('Saisie'!$W$5:$W$2004,W751,'Saisie'!$C$5:$C$2004,"&lt;&gt;"&amp;C751)&gt;0),"⚠ Numéro déjà utilisé par un autre prospect",IF(AND(J751&lt;&gt;"",J751&lt;A751),"⚠ Relance avant la date de l'action",IF(A751&gt;TODAY(),"⚠ Date dans le futur","✓"))))))))</f>
        <v/>
      </c>
      <c r="AS751" s="61">
        <f>IF(AND(A751="",C751="",E751=""),"",ROW())</f>
        <v/>
      </c>
      <c r="AT751" s="61">
        <f>IF(E751&amp;F751="","",MAX(IFERROR(INDEX('Paramètres'!$J$6:$J$33,MATCH(E751,'Paramètres'!$I$6:$I$33,0)),0),IFERROR(INDEX('Paramètres'!$N$6:$N$17,MATCH(F751,'Paramètres'!$M$6:$M$17,0)),0)))</f>
        <v/>
      </c>
      <c r="AU751" s="61">
        <f>IF(E751="","",IFERROR(IF(INDEX('Paramètres'!$K$6:$K$33,MATCH(E751,'Paramètres'!$I$6:$I$33,0))="Oui",1,0),0))</f>
        <v/>
      </c>
      <c r="AV751" s="61">
        <f>IF(F751="","",IFERROR(IF(INDEX('Paramètres'!$O$6:$O$17,MATCH(F751,'Paramètres'!$M$6:$M$17,0))="Oui",1,0),0))</f>
        <v/>
      </c>
      <c r="AW751" s="62">
        <f>IF(E751="","",IF(G751&lt;&gt;"",G751,IF(OR(E751="Proposition envoyée",E751="Signature"),MAX(0,N(IFERROR(INDEX('Paramètres'!$R$6:$R$15,MATCH(IF(AL751&lt;&gt;"",AL751,IFERROR(INDEX('Prospects'!$AN$5:$AN$504,MATCH(C751,'Prospects'!$C$5:$C$504,0)),"")),'Paramètres'!$Q$6:$Q$15,0)),0))-N(P751)),0)))</f>
        <v/>
      </c>
      <c r="AX751" s="61">
        <f>IF(C751="","",IF(COUNTIF($C$5:C751,C751)=1,MAX($AX$4:AX750)+1,""))</f>
        <v/>
      </c>
      <c r="AY751" s="61">
        <f>IF(B751="","",HOUR(B751))</f>
        <v/>
      </c>
      <c r="AZ751" s="61">
        <f>IF(A751="","",MOD(A751-2,7)+1)</f>
        <v/>
      </c>
      <c r="BA751" s="60">
        <f>IF(C751="","",IFERROR(INDEX('Prospects'!$N$5:$N$504,MATCH(C751,'Prospects'!$C$5:$C$504,0)),""))</f>
        <v/>
      </c>
      <c r="BB751" s="61">
        <f>IF(AND(C751&lt;&gt;"",C751='Fiche prospect'!$C$4),COUNTIF($C$5:C751,C751),"")</f>
        <v/>
      </c>
    </row>
    <row r="752">
      <c r="A752" s="53" t="n"/>
      <c r="B752" s="54" t="n"/>
      <c r="C752" s="55" t="n"/>
      <c r="D752" s="55" t="n"/>
      <c r="E752" s="55" t="n"/>
      <c r="F752" s="55" t="n"/>
      <c r="G752" s="56" t="n"/>
      <c r="H752" s="57" t="n"/>
      <c r="I752" s="55" t="n"/>
      <c r="J752" s="53" t="n"/>
      <c r="K752" s="54" t="n"/>
      <c r="L752" s="55" t="n"/>
      <c r="M752" s="55" t="n"/>
      <c r="N752" s="57" t="n"/>
      <c r="O752" s="55" t="n"/>
      <c r="P752" s="56" t="n"/>
      <c r="Q752" s="55" t="n"/>
      <c r="R752" s="55" t="n"/>
      <c r="S752" s="55" t="n"/>
      <c r="T752" s="55" t="n"/>
      <c r="U752" s="55" t="n"/>
      <c r="V752" s="55" t="n"/>
      <c r="W752" s="58" t="n"/>
      <c r="X752" s="58" t="n"/>
      <c r="Y752" s="55" t="n"/>
      <c r="Z752" s="55" t="n"/>
      <c r="AA752" s="55" t="n"/>
      <c r="AB752" s="55" t="n"/>
      <c r="AC752" s="55" t="n"/>
      <c r="AD752" s="53" t="n"/>
      <c r="AE752" s="55" t="n"/>
      <c r="AF752" s="55" t="n"/>
      <c r="AG752" s="59" t="n"/>
      <c r="AH752" s="57" t="n"/>
      <c r="AI752" s="55" t="n"/>
      <c r="AJ752" s="55" t="n"/>
      <c r="AK752" s="55" t="n"/>
      <c r="AL752" s="55" t="n"/>
      <c r="AM752" s="56" t="n"/>
      <c r="AN752" s="55" t="n"/>
      <c r="AO752" s="55" t="n"/>
      <c r="AP752" s="55" t="n"/>
      <c r="AQ752" s="55" t="n"/>
      <c r="AR752" s="60">
        <f>IF(AND(C752="",E752=""),"",IF(A752="","⚠ Date manquante",IF(AND(C752="",E752&lt;&gt;"Dépense"),"⚠ Prospect manquant",IF(E752="","⚠ Action manquante",IF(AND(AU752=1,D752=""),"⚠ Canal manquant",IF(AND(W752&lt;&gt;"",COUNTIFS('Saisie'!$W$5:$W$2004,W752,'Saisie'!$C$5:$C$2004,"&lt;&gt;"&amp;C752)&gt;0),"⚠ Numéro déjà utilisé par un autre prospect",IF(AND(J752&lt;&gt;"",J752&lt;A752),"⚠ Relance avant la date de l'action",IF(A752&gt;TODAY(),"⚠ Date dans le futur","✓"))))))))</f>
        <v/>
      </c>
      <c r="AS752" s="61">
        <f>IF(AND(A752="",C752="",E752=""),"",ROW())</f>
        <v/>
      </c>
      <c r="AT752" s="61">
        <f>IF(E752&amp;F752="","",MAX(IFERROR(INDEX('Paramètres'!$J$6:$J$33,MATCH(E752,'Paramètres'!$I$6:$I$33,0)),0),IFERROR(INDEX('Paramètres'!$N$6:$N$17,MATCH(F752,'Paramètres'!$M$6:$M$17,0)),0)))</f>
        <v/>
      </c>
      <c r="AU752" s="61">
        <f>IF(E752="","",IFERROR(IF(INDEX('Paramètres'!$K$6:$K$33,MATCH(E752,'Paramètres'!$I$6:$I$33,0))="Oui",1,0),0))</f>
        <v/>
      </c>
      <c r="AV752" s="61">
        <f>IF(F752="","",IFERROR(IF(INDEX('Paramètres'!$O$6:$O$17,MATCH(F752,'Paramètres'!$M$6:$M$17,0))="Oui",1,0),0))</f>
        <v/>
      </c>
      <c r="AW752" s="62">
        <f>IF(E752="","",IF(G752&lt;&gt;"",G752,IF(OR(E752="Proposition envoyée",E752="Signature"),MAX(0,N(IFERROR(INDEX('Paramètres'!$R$6:$R$15,MATCH(IF(AL752&lt;&gt;"",AL752,IFERROR(INDEX('Prospects'!$AN$5:$AN$504,MATCH(C752,'Prospects'!$C$5:$C$504,0)),"")),'Paramètres'!$Q$6:$Q$15,0)),0))-N(P752)),0)))</f>
        <v/>
      </c>
      <c r="AX752" s="61">
        <f>IF(C752="","",IF(COUNTIF($C$5:C752,C752)=1,MAX($AX$4:AX751)+1,""))</f>
        <v/>
      </c>
      <c r="AY752" s="61">
        <f>IF(B752="","",HOUR(B752))</f>
        <v/>
      </c>
      <c r="AZ752" s="61">
        <f>IF(A752="","",MOD(A752-2,7)+1)</f>
        <v/>
      </c>
      <c r="BA752" s="60">
        <f>IF(C752="","",IFERROR(INDEX('Prospects'!$N$5:$N$504,MATCH(C752,'Prospects'!$C$5:$C$504,0)),""))</f>
        <v/>
      </c>
      <c r="BB752" s="61">
        <f>IF(AND(C752&lt;&gt;"",C752='Fiche prospect'!$C$4),COUNTIF($C$5:C752,C752),"")</f>
        <v/>
      </c>
    </row>
    <row r="753">
      <c r="A753" s="53" t="n"/>
      <c r="B753" s="54" t="n"/>
      <c r="C753" s="55" t="n"/>
      <c r="D753" s="55" t="n"/>
      <c r="E753" s="55" t="n"/>
      <c r="F753" s="55" t="n"/>
      <c r="G753" s="56" t="n"/>
      <c r="H753" s="57" t="n"/>
      <c r="I753" s="55" t="n"/>
      <c r="J753" s="53" t="n"/>
      <c r="K753" s="54" t="n"/>
      <c r="L753" s="55" t="n"/>
      <c r="M753" s="55" t="n"/>
      <c r="N753" s="57" t="n"/>
      <c r="O753" s="55" t="n"/>
      <c r="P753" s="56" t="n"/>
      <c r="Q753" s="55" t="n"/>
      <c r="R753" s="55" t="n"/>
      <c r="S753" s="55" t="n"/>
      <c r="T753" s="55" t="n"/>
      <c r="U753" s="55" t="n"/>
      <c r="V753" s="55" t="n"/>
      <c r="W753" s="58" t="n"/>
      <c r="X753" s="58" t="n"/>
      <c r="Y753" s="55" t="n"/>
      <c r="Z753" s="55" t="n"/>
      <c r="AA753" s="55" t="n"/>
      <c r="AB753" s="55" t="n"/>
      <c r="AC753" s="55" t="n"/>
      <c r="AD753" s="53" t="n"/>
      <c r="AE753" s="55" t="n"/>
      <c r="AF753" s="55" t="n"/>
      <c r="AG753" s="59" t="n"/>
      <c r="AH753" s="57" t="n"/>
      <c r="AI753" s="55" t="n"/>
      <c r="AJ753" s="55" t="n"/>
      <c r="AK753" s="55" t="n"/>
      <c r="AL753" s="55" t="n"/>
      <c r="AM753" s="56" t="n"/>
      <c r="AN753" s="55" t="n"/>
      <c r="AO753" s="55" t="n"/>
      <c r="AP753" s="55" t="n"/>
      <c r="AQ753" s="55" t="n"/>
      <c r="AR753" s="60">
        <f>IF(AND(C753="",E753=""),"",IF(A753="","⚠ Date manquante",IF(AND(C753="",E753&lt;&gt;"Dépense"),"⚠ Prospect manquant",IF(E753="","⚠ Action manquante",IF(AND(AU753=1,D753=""),"⚠ Canal manquant",IF(AND(W753&lt;&gt;"",COUNTIFS('Saisie'!$W$5:$W$2004,W753,'Saisie'!$C$5:$C$2004,"&lt;&gt;"&amp;C753)&gt;0),"⚠ Numéro déjà utilisé par un autre prospect",IF(AND(J753&lt;&gt;"",J753&lt;A753),"⚠ Relance avant la date de l'action",IF(A753&gt;TODAY(),"⚠ Date dans le futur","✓"))))))))</f>
        <v/>
      </c>
      <c r="AS753" s="61">
        <f>IF(AND(A753="",C753="",E753=""),"",ROW())</f>
        <v/>
      </c>
      <c r="AT753" s="61">
        <f>IF(E753&amp;F753="","",MAX(IFERROR(INDEX('Paramètres'!$J$6:$J$33,MATCH(E753,'Paramètres'!$I$6:$I$33,0)),0),IFERROR(INDEX('Paramètres'!$N$6:$N$17,MATCH(F753,'Paramètres'!$M$6:$M$17,0)),0)))</f>
        <v/>
      </c>
      <c r="AU753" s="61">
        <f>IF(E753="","",IFERROR(IF(INDEX('Paramètres'!$K$6:$K$33,MATCH(E753,'Paramètres'!$I$6:$I$33,0))="Oui",1,0),0))</f>
        <v/>
      </c>
      <c r="AV753" s="61">
        <f>IF(F753="","",IFERROR(IF(INDEX('Paramètres'!$O$6:$O$17,MATCH(F753,'Paramètres'!$M$6:$M$17,0))="Oui",1,0),0))</f>
        <v/>
      </c>
      <c r="AW753" s="62">
        <f>IF(E753="","",IF(G753&lt;&gt;"",G753,IF(OR(E753="Proposition envoyée",E753="Signature"),MAX(0,N(IFERROR(INDEX('Paramètres'!$R$6:$R$15,MATCH(IF(AL753&lt;&gt;"",AL753,IFERROR(INDEX('Prospects'!$AN$5:$AN$504,MATCH(C753,'Prospects'!$C$5:$C$504,0)),"")),'Paramètres'!$Q$6:$Q$15,0)),0))-N(P753)),0)))</f>
        <v/>
      </c>
      <c r="AX753" s="61">
        <f>IF(C753="","",IF(COUNTIF($C$5:C753,C753)=1,MAX($AX$4:AX752)+1,""))</f>
        <v/>
      </c>
      <c r="AY753" s="61">
        <f>IF(B753="","",HOUR(B753))</f>
        <v/>
      </c>
      <c r="AZ753" s="61">
        <f>IF(A753="","",MOD(A753-2,7)+1)</f>
        <v/>
      </c>
      <c r="BA753" s="60">
        <f>IF(C753="","",IFERROR(INDEX('Prospects'!$N$5:$N$504,MATCH(C753,'Prospects'!$C$5:$C$504,0)),""))</f>
        <v/>
      </c>
      <c r="BB753" s="61">
        <f>IF(AND(C753&lt;&gt;"",C753='Fiche prospect'!$C$4),COUNTIF($C$5:C753,C753),"")</f>
        <v/>
      </c>
    </row>
    <row r="754">
      <c r="A754" s="53" t="n"/>
      <c r="B754" s="54" t="n"/>
      <c r="C754" s="55" t="n"/>
      <c r="D754" s="55" t="n"/>
      <c r="E754" s="55" t="n"/>
      <c r="F754" s="55" t="n"/>
      <c r="G754" s="56" t="n"/>
      <c r="H754" s="57" t="n"/>
      <c r="I754" s="55" t="n"/>
      <c r="J754" s="53" t="n"/>
      <c r="K754" s="54" t="n"/>
      <c r="L754" s="55" t="n"/>
      <c r="M754" s="55" t="n"/>
      <c r="N754" s="57" t="n"/>
      <c r="O754" s="55" t="n"/>
      <c r="P754" s="56" t="n"/>
      <c r="Q754" s="55" t="n"/>
      <c r="R754" s="55" t="n"/>
      <c r="S754" s="55" t="n"/>
      <c r="T754" s="55" t="n"/>
      <c r="U754" s="55" t="n"/>
      <c r="V754" s="55" t="n"/>
      <c r="W754" s="58" t="n"/>
      <c r="X754" s="58" t="n"/>
      <c r="Y754" s="55" t="n"/>
      <c r="Z754" s="55" t="n"/>
      <c r="AA754" s="55" t="n"/>
      <c r="AB754" s="55" t="n"/>
      <c r="AC754" s="55" t="n"/>
      <c r="AD754" s="53" t="n"/>
      <c r="AE754" s="55" t="n"/>
      <c r="AF754" s="55" t="n"/>
      <c r="AG754" s="59" t="n"/>
      <c r="AH754" s="57" t="n"/>
      <c r="AI754" s="55" t="n"/>
      <c r="AJ754" s="55" t="n"/>
      <c r="AK754" s="55" t="n"/>
      <c r="AL754" s="55" t="n"/>
      <c r="AM754" s="56" t="n"/>
      <c r="AN754" s="55" t="n"/>
      <c r="AO754" s="55" t="n"/>
      <c r="AP754" s="55" t="n"/>
      <c r="AQ754" s="55" t="n"/>
      <c r="AR754" s="60">
        <f>IF(AND(C754="",E754=""),"",IF(A754="","⚠ Date manquante",IF(AND(C754="",E754&lt;&gt;"Dépense"),"⚠ Prospect manquant",IF(E754="","⚠ Action manquante",IF(AND(AU754=1,D754=""),"⚠ Canal manquant",IF(AND(W754&lt;&gt;"",COUNTIFS('Saisie'!$W$5:$W$2004,W754,'Saisie'!$C$5:$C$2004,"&lt;&gt;"&amp;C754)&gt;0),"⚠ Numéro déjà utilisé par un autre prospect",IF(AND(J754&lt;&gt;"",J754&lt;A754),"⚠ Relance avant la date de l'action",IF(A754&gt;TODAY(),"⚠ Date dans le futur","✓"))))))))</f>
        <v/>
      </c>
      <c r="AS754" s="61">
        <f>IF(AND(A754="",C754="",E754=""),"",ROW())</f>
        <v/>
      </c>
      <c r="AT754" s="61">
        <f>IF(E754&amp;F754="","",MAX(IFERROR(INDEX('Paramètres'!$J$6:$J$33,MATCH(E754,'Paramètres'!$I$6:$I$33,0)),0),IFERROR(INDEX('Paramètres'!$N$6:$N$17,MATCH(F754,'Paramètres'!$M$6:$M$17,0)),0)))</f>
        <v/>
      </c>
      <c r="AU754" s="61">
        <f>IF(E754="","",IFERROR(IF(INDEX('Paramètres'!$K$6:$K$33,MATCH(E754,'Paramètres'!$I$6:$I$33,0))="Oui",1,0),0))</f>
        <v/>
      </c>
      <c r="AV754" s="61">
        <f>IF(F754="","",IFERROR(IF(INDEX('Paramètres'!$O$6:$O$17,MATCH(F754,'Paramètres'!$M$6:$M$17,0))="Oui",1,0),0))</f>
        <v/>
      </c>
      <c r="AW754" s="62">
        <f>IF(E754="","",IF(G754&lt;&gt;"",G754,IF(OR(E754="Proposition envoyée",E754="Signature"),MAX(0,N(IFERROR(INDEX('Paramètres'!$R$6:$R$15,MATCH(IF(AL754&lt;&gt;"",AL754,IFERROR(INDEX('Prospects'!$AN$5:$AN$504,MATCH(C754,'Prospects'!$C$5:$C$504,0)),"")),'Paramètres'!$Q$6:$Q$15,0)),0))-N(P754)),0)))</f>
        <v/>
      </c>
      <c r="AX754" s="61">
        <f>IF(C754="","",IF(COUNTIF($C$5:C754,C754)=1,MAX($AX$4:AX753)+1,""))</f>
        <v/>
      </c>
      <c r="AY754" s="61">
        <f>IF(B754="","",HOUR(B754))</f>
        <v/>
      </c>
      <c r="AZ754" s="61">
        <f>IF(A754="","",MOD(A754-2,7)+1)</f>
        <v/>
      </c>
      <c r="BA754" s="60">
        <f>IF(C754="","",IFERROR(INDEX('Prospects'!$N$5:$N$504,MATCH(C754,'Prospects'!$C$5:$C$504,0)),""))</f>
        <v/>
      </c>
      <c r="BB754" s="61">
        <f>IF(AND(C754&lt;&gt;"",C754='Fiche prospect'!$C$4),COUNTIF($C$5:C754,C754),"")</f>
        <v/>
      </c>
    </row>
    <row r="755">
      <c r="A755" s="53" t="n"/>
      <c r="B755" s="54" t="n"/>
      <c r="C755" s="55" t="n"/>
      <c r="D755" s="55" t="n"/>
      <c r="E755" s="55" t="n"/>
      <c r="F755" s="55" t="n"/>
      <c r="G755" s="56" t="n"/>
      <c r="H755" s="57" t="n"/>
      <c r="I755" s="55" t="n"/>
      <c r="J755" s="53" t="n"/>
      <c r="K755" s="54" t="n"/>
      <c r="L755" s="55" t="n"/>
      <c r="M755" s="55" t="n"/>
      <c r="N755" s="57" t="n"/>
      <c r="O755" s="55" t="n"/>
      <c r="P755" s="56" t="n"/>
      <c r="Q755" s="55" t="n"/>
      <c r="R755" s="55" t="n"/>
      <c r="S755" s="55" t="n"/>
      <c r="T755" s="55" t="n"/>
      <c r="U755" s="55" t="n"/>
      <c r="V755" s="55" t="n"/>
      <c r="W755" s="58" t="n"/>
      <c r="X755" s="58" t="n"/>
      <c r="Y755" s="55" t="n"/>
      <c r="Z755" s="55" t="n"/>
      <c r="AA755" s="55" t="n"/>
      <c r="AB755" s="55" t="n"/>
      <c r="AC755" s="55" t="n"/>
      <c r="AD755" s="53" t="n"/>
      <c r="AE755" s="55" t="n"/>
      <c r="AF755" s="55" t="n"/>
      <c r="AG755" s="59" t="n"/>
      <c r="AH755" s="57" t="n"/>
      <c r="AI755" s="55" t="n"/>
      <c r="AJ755" s="55" t="n"/>
      <c r="AK755" s="55" t="n"/>
      <c r="AL755" s="55" t="n"/>
      <c r="AM755" s="56" t="n"/>
      <c r="AN755" s="55" t="n"/>
      <c r="AO755" s="55" t="n"/>
      <c r="AP755" s="55" t="n"/>
      <c r="AQ755" s="55" t="n"/>
      <c r="AR755" s="60">
        <f>IF(AND(C755="",E755=""),"",IF(A755="","⚠ Date manquante",IF(AND(C755="",E755&lt;&gt;"Dépense"),"⚠ Prospect manquant",IF(E755="","⚠ Action manquante",IF(AND(AU755=1,D755=""),"⚠ Canal manquant",IF(AND(W755&lt;&gt;"",COUNTIFS('Saisie'!$W$5:$W$2004,W755,'Saisie'!$C$5:$C$2004,"&lt;&gt;"&amp;C755)&gt;0),"⚠ Numéro déjà utilisé par un autre prospect",IF(AND(J755&lt;&gt;"",J755&lt;A755),"⚠ Relance avant la date de l'action",IF(A755&gt;TODAY(),"⚠ Date dans le futur","✓"))))))))</f>
        <v/>
      </c>
      <c r="AS755" s="61">
        <f>IF(AND(A755="",C755="",E755=""),"",ROW())</f>
        <v/>
      </c>
      <c r="AT755" s="61">
        <f>IF(E755&amp;F755="","",MAX(IFERROR(INDEX('Paramètres'!$J$6:$J$33,MATCH(E755,'Paramètres'!$I$6:$I$33,0)),0),IFERROR(INDEX('Paramètres'!$N$6:$N$17,MATCH(F755,'Paramètres'!$M$6:$M$17,0)),0)))</f>
        <v/>
      </c>
      <c r="AU755" s="61">
        <f>IF(E755="","",IFERROR(IF(INDEX('Paramètres'!$K$6:$K$33,MATCH(E755,'Paramètres'!$I$6:$I$33,0))="Oui",1,0),0))</f>
        <v/>
      </c>
      <c r="AV755" s="61">
        <f>IF(F755="","",IFERROR(IF(INDEX('Paramètres'!$O$6:$O$17,MATCH(F755,'Paramètres'!$M$6:$M$17,0))="Oui",1,0),0))</f>
        <v/>
      </c>
      <c r="AW755" s="62">
        <f>IF(E755="","",IF(G755&lt;&gt;"",G755,IF(OR(E755="Proposition envoyée",E755="Signature"),MAX(0,N(IFERROR(INDEX('Paramètres'!$R$6:$R$15,MATCH(IF(AL755&lt;&gt;"",AL755,IFERROR(INDEX('Prospects'!$AN$5:$AN$504,MATCH(C755,'Prospects'!$C$5:$C$504,0)),"")),'Paramètres'!$Q$6:$Q$15,0)),0))-N(P755)),0)))</f>
        <v/>
      </c>
      <c r="AX755" s="61">
        <f>IF(C755="","",IF(COUNTIF($C$5:C755,C755)=1,MAX($AX$4:AX754)+1,""))</f>
        <v/>
      </c>
      <c r="AY755" s="61">
        <f>IF(B755="","",HOUR(B755))</f>
        <v/>
      </c>
      <c r="AZ755" s="61">
        <f>IF(A755="","",MOD(A755-2,7)+1)</f>
        <v/>
      </c>
      <c r="BA755" s="60">
        <f>IF(C755="","",IFERROR(INDEX('Prospects'!$N$5:$N$504,MATCH(C755,'Prospects'!$C$5:$C$504,0)),""))</f>
        <v/>
      </c>
      <c r="BB755" s="61">
        <f>IF(AND(C755&lt;&gt;"",C755='Fiche prospect'!$C$4),COUNTIF($C$5:C755,C755),"")</f>
        <v/>
      </c>
    </row>
    <row r="756">
      <c r="A756" s="53" t="n"/>
      <c r="B756" s="54" t="n"/>
      <c r="C756" s="55" t="n"/>
      <c r="D756" s="55" t="n"/>
      <c r="E756" s="55" t="n"/>
      <c r="F756" s="55" t="n"/>
      <c r="G756" s="56" t="n"/>
      <c r="H756" s="57" t="n"/>
      <c r="I756" s="55" t="n"/>
      <c r="J756" s="53" t="n"/>
      <c r="K756" s="54" t="n"/>
      <c r="L756" s="55" t="n"/>
      <c r="M756" s="55" t="n"/>
      <c r="N756" s="57" t="n"/>
      <c r="O756" s="55" t="n"/>
      <c r="P756" s="56" t="n"/>
      <c r="Q756" s="55" t="n"/>
      <c r="R756" s="55" t="n"/>
      <c r="S756" s="55" t="n"/>
      <c r="T756" s="55" t="n"/>
      <c r="U756" s="55" t="n"/>
      <c r="V756" s="55" t="n"/>
      <c r="W756" s="58" t="n"/>
      <c r="X756" s="58" t="n"/>
      <c r="Y756" s="55" t="n"/>
      <c r="Z756" s="55" t="n"/>
      <c r="AA756" s="55" t="n"/>
      <c r="AB756" s="55" t="n"/>
      <c r="AC756" s="55" t="n"/>
      <c r="AD756" s="53" t="n"/>
      <c r="AE756" s="55" t="n"/>
      <c r="AF756" s="55" t="n"/>
      <c r="AG756" s="59" t="n"/>
      <c r="AH756" s="57" t="n"/>
      <c r="AI756" s="55" t="n"/>
      <c r="AJ756" s="55" t="n"/>
      <c r="AK756" s="55" t="n"/>
      <c r="AL756" s="55" t="n"/>
      <c r="AM756" s="56" t="n"/>
      <c r="AN756" s="55" t="n"/>
      <c r="AO756" s="55" t="n"/>
      <c r="AP756" s="55" t="n"/>
      <c r="AQ756" s="55" t="n"/>
      <c r="AR756" s="60">
        <f>IF(AND(C756="",E756=""),"",IF(A756="","⚠ Date manquante",IF(AND(C756="",E756&lt;&gt;"Dépense"),"⚠ Prospect manquant",IF(E756="","⚠ Action manquante",IF(AND(AU756=1,D756=""),"⚠ Canal manquant",IF(AND(W756&lt;&gt;"",COUNTIFS('Saisie'!$W$5:$W$2004,W756,'Saisie'!$C$5:$C$2004,"&lt;&gt;"&amp;C756)&gt;0),"⚠ Numéro déjà utilisé par un autre prospect",IF(AND(J756&lt;&gt;"",J756&lt;A756),"⚠ Relance avant la date de l'action",IF(A756&gt;TODAY(),"⚠ Date dans le futur","✓"))))))))</f>
        <v/>
      </c>
      <c r="AS756" s="61">
        <f>IF(AND(A756="",C756="",E756=""),"",ROW())</f>
        <v/>
      </c>
      <c r="AT756" s="61">
        <f>IF(E756&amp;F756="","",MAX(IFERROR(INDEX('Paramètres'!$J$6:$J$33,MATCH(E756,'Paramètres'!$I$6:$I$33,0)),0),IFERROR(INDEX('Paramètres'!$N$6:$N$17,MATCH(F756,'Paramètres'!$M$6:$M$17,0)),0)))</f>
        <v/>
      </c>
      <c r="AU756" s="61">
        <f>IF(E756="","",IFERROR(IF(INDEX('Paramètres'!$K$6:$K$33,MATCH(E756,'Paramètres'!$I$6:$I$33,0))="Oui",1,0),0))</f>
        <v/>
      </c>
      <c r="AV756" s="61">
        <f>IF(F756="","",IFERROR(IF(INDEX('Paramètres'!$O$6:$O$17,MATCH(F756,'Paramètres'!$M$6:$M$17,0))="Oui",1,0),0))</f>
        <v/>
      </c>
      <c r="AW756" s="62">
        <f>IF(E756="","",IF(G756&lt;&gt;"",G756,IF(OR(E756="Proposition envoyée",E756="Signature"),MAX(0,N(IFERROR(INDEX('Paramètres'!$R$6:$R$15,MATCH(IF(AL756&lt;&gt;"",AL756,IFERROR(INDEX('Prospects'!$AN$5:$AN$504,MATCH(C756,'Prospects'!$C$5:$C$504,0)),"")),'Paramètres'!$Q$6:$Q$15,0)),0))-N(P756)),0)))</f>
        <v/>
      </c>
      <c r="AX756" s="61">
        <f>IF(C756="","",IF(COUNTIF($C$5:C756,C756)=1,MAX($AX$4:AX755)+1,""))</f>
        <v/>
      </c>
      <c r="AY756" s="61">
        <f>IF(B756="","",HOUR(B756))</f>
        <v/>
      </c>
      <c r="AZ756" s="61">
        <f>IF(A756="","",MOD(A756-2,7)+1)</f>
        <v/>
      </c>
      <c r="BA756" s="60">
        <f>IF(C756="","",IFERROR(INDEX('Prospects'!$N$5:$N$504,MATCH(C756,'Prospects'!$C$5:$C$504,0)),""))</f>
        <v/>
      </c>
      <c r="BB756" s="61">
        <f>IF(AND(C756&lt;&gt;"",C756='Fiche prospect'!$C$4),COUNTIF($C$5:C756,C756),"")</f>
        <v/>
      </c>
    </row>
    <row r="757">
      <c r="A757" s="53" t="n"/>
      <c r="B757" s="54" t="n"/>
      <c r="C757" s="55" t="n"/>
      <c r="D757" s="55" t="n"/>
      <c r="E757" s="55" t="n"/>
      <c r="F757" s="55" t="n"/>
      <c r="G757" s="56" t="n"/>
      <c r="H757" s="57" t="n"/>
      <c r="I757" s="55" t="n"/>
      <c r="J757" s="53" t="n"/>
      <c r="K757" s="54" t="n"/>
      <c r="L757" s="55" t="n"/>
      <c r="M757" s="55" t="n"/>
      <c r="N757" s="57" t="n"/>
      <c r="O757" s="55" t="n"/>
      <c r="P757" s="56" t="n"/>
      <c r="Q757" s="55" t="n"/>
      <c r="R757" s="55" t="n"/>
      <c r="S757" s="55" t="n"/>
      <c r="T757" s="55" t="n"/>
      <c r="U757" s="55" t="n"/>
      <c r="V757" s="55" t="n"/>
      <c r="W757" s="58" t="n"/>
      <c r="X757" s="58" t="n"/>
      <c r="Y757" s="55" t="n"/>
      <c r="Z757" s="55" t="n"/>
      <c r="AA757" s="55" t="n"/>
      <c r="AB757" s="55" t="n"/>
      <c r="AC757" s="55" t="n"/>
      <c r="AD757" s="53" t="n"/>
      <c r="AE757" s="55" t="n"/>
      <c r="AF757" s="55" t="n"/>
      <c r="AG757" s="59" t="n"/>
      <c r="AH757" s="57" t="n"/>
      <c r="AI757" s="55" t="n"/>
      <c r="AJ757" s="55" t="n"/>
      <c r="AK757" s="55" t="n"/>
      <c r="AL757" s="55" t="n"/>
      <c r="AM757" s="56" t="n"/>
      <c r="AN757" s="55" t="n"/>
      <c r="AO757" s="55" t="n"/>
      <c r="AP757" s="55" t="n"/>
      <c r="AQ757" s="55" t="n"/>
      <c r="AR757" s="60">
        <f>IF(AND(C757="",E757=""),"",IF(A757="","⚠ Date manquante",IF(AND(C757="",E757&lt;&gt;"Dépense"),"⚠ Prospect manquant",IF(E757="","⚠ Action manquante",IF(AND(AU757=1,D757=""),"⚠ Canal manquant",IF(AND(W757&lt;&gt;"",COUNTIFS('Saisie'!$W$5:$W$2004,W757,'Saisie'!$C$5:$C$2004,"&lt;&gt;"&amp;C757)&gt;0),"⚠ Numéro déjà utilisé par un autre prospect",IF(AND(J757&lt;&gt;"",J757&lt;A757),"⚠ Relance avant la date de l'action",IF(A757&gt;TODAY(),"⚠ Date dans le futur","✓"))))))))</f>
        <v/>
      </c>
      <c r="AS757" s="61">
        <f>IF(AND(A757="",C757="",E757=""),"",ROW())</f>
        <v/>
      </c>
      <c r="AT757" s="61">
        <f>IF(E757&amp;F757="","",MAX(IFERROR(INDEX('Paramètres'!$J$6:$J$33,MATCH(E757,'Paramètres'!$I$6:$I$33,0)),0),IFERROR(INDEX('Paramètres'!$N$6:$N$17,MATCH(F757,'Paramètres'!$M$6:$M$17,0)),0)))</f>
        <v/>
      </c>
      <c r="AU757" s="61">
        <f>IF(E757="","",IFERROR(IF(INDEX('Paramètres'!$K$6:$K$33,MATCH(E757,'Paramètres'!$I$6:$I$33,0))="Oui",1,0),0))</f>
        <v/>
      </c>
      <c r="AV757" s="61">
        <f>IF(F757="","",IFERROR(IF(INDEX('Paramètres'!$O$6:$O$17,MATCH(F757,'Paramètres'!$M$6:$M$17,0))="Oui",1,0),0))</f>
        <v/>
      </c>
      <c r="AW757" s="62">
        <f>IF(E757="","",IF(G757&lt;&gt;"",G757,IF(OR(E757="Proposition envoyée",E757="Signature"),MAX(0,N(IFERROR(INDEX('Paramètres'!$R$6:$R$15,MATCH(IF(AL757&lt;&gt;"",AL757,IFERROR(INDEX('Prospects'!$AN$5:$AN$504,MATCH(C757,'Prospects'!$C$5:$C$504,0)),"")),'Paramètres'!$Q$6:$Q$15,0)),0))-N(P757)),0)))</f>
        <v/>
      </c>
      <c r="AX757" s="61">
        <f>IF(C757="","",IF(COUNTIF($C$5:C757,C757)=1,MAX($AX$4:AX756)+1,""))</f>
        <v/>
      </c>
      <c r="AY757" s="61">
        <f>IF(B757="","",HOUR(B757))</f>
        <v/>
      </c>
      <c r="AZ757" s="61">
        <f>IF(A757="","",MOD(A757-2,7)+1)</f>
        <v/>
      </c>
      <c r="BA757" s="60">
        <f>IF(C757="","",IFERROR(INDEX('Prospects'!$N$5:$N$504,MATCH(C757,'Prospects'!$C$5:$C$504,0)),""))</f>
        <v/>
      </c>
      <c r="BB757" s="61">
        <f>IF(AND(C757&lt;&gt;"",C757='Fiche prospect'!$C$4),COUNTIF($C$5:C757,C757),"")</f>
        <v/>
      </c>
    </row>
    <row r="758">
      <c r="A758" s="53" t="n"/>
      <c r="B758" s="54" t="n"/>
      <c r="C758" s="55" t="n"/>
      <c r="D758" s="55" t="n"/>
      <c r="E758" s="55" t="n"/>
      <c r="F758" s="55" t="n"/>
      <c r="G758" s="56" t="n"/>
      <c r="H758" s="57" t="n"/>
      <c r="I758" s="55" t="n"/>
      <c r="J758" s="53" t="n"/>
      <c r="K758" s="54" t="n"/>
      <c r="L758" s="55" t="n"/>
      <c r="M758" s="55" t="n"/>
      <c r="N758" s="57" t="n"/>
      <c r="O758" s="55" t="n"/>
      <c r="P758" s="56" t="n"/>
      <c r="Q758" s="55" t="n"/>
      <c r="R758" s="55" t="n"/>
      <c r="S758" s="55" t="n"/>
      <c r="T758" s="55" t="n"/>
      <c r="U758" s="55" t="n"/>
      <c r="V758" s="55" t="n"/>
      <c r="W758" s="58" t="n"/>
      <c r="X758" s="58" t="n"/>
      <c r="Y758" s="55" t="n"/>
      <c r="Z758" s="55" t="n"/>
      <c r="AA758" s="55" t="n"/>
      <c r="AB758" s="55" t="n"/>
      <c r="AC758" s="55" t="n"/>
      <c r="AD758" s="53" t="n"/>
      <c r="AE758" s="55" t="n"/>
      <c r="AF758" s="55" t="n"/>
      <c r="AG758" s="59" t="n"/>
      <c r="AH758" s="57" t="n"/>
      <c r="AI758" s="55" t="n"/>
      <c r="AJ758" s="55" t="n"/>
      <c r="AK758" s="55" t="n"/>
      <c r="AL758" s="55" t="n"/>
      <c r="AM758" s="56" t="n"/>
      <c r="AN758" s="55" t="n"/>
      <c r="AO758" s="55" t="n"/>
      <c r="AP758" s="55" t="n"/>
      <c r="AQ758" s="55" t="n"/>
      <c r="AR758" s="60">
        <f>IF(AND(C758="",E758=""),"",IF(A758="","⚠ Date manquante",IF(AND(C758="",E758&lt;&gt;"Dépense"),"⚠ Prospect manquant",IF(E758="","⚠ Action manquante",IF(AND(AU758=1,D758=""),"⚠ Canal manquant",IF(AND(W758&lt;&gt;"",COUNTIFS('Saisie'!$W$5:$W$2004,W758,'Saisie'!$C$5:$C$2004,"&lt;&gt;"&amp;C758)&gt;0),"⚠ Numéro déjà utilisé par un autre prospect",IF(AND(J758&lt;&gt;"",J758&lt;A758),"⚠ Relance avant la date de l'action",IF(A758&gt;TODAY(),"⚠ Date dans le futur","✓"))))))))</f>
        <v/>
      </c>
      <c r="AS758" s="61">
        <f>IF(AND(A758="",C758="",E758=""),"",ROW())</f>
        <v/>
      </c>
      <c r="AT758" s="61">
        <f>IF(E758&amp;F758="","",MAX(IFERROR(INDEX('Paramètres'!$J$6:$J$33,MATCH(E758,'Paramètres'!$I$6:$I$33,0)),0),IFERROR(INDEX('Paramètres'!$N$6:$N$17,MATCH(F758,'Paramètres'!$M$6:$M$17,0)),0)))</f>
        <v/>
      </c>
      <c r="AU758" s="61">
        <f>IF(E758="","",IFERROR(IF(INDEX('Paramètres'!$K$6:$K$33,MATCH(E758,'Paramètres'!$I$6:$I$33,0))="Oui",1,0),0))</f>
        <v/>
      </c>
      <c r="AV758" s="61">
        <f>IF(F758="","",IFERROR(IF(INDEX('Paramètres'!$O$6:$O$17,MATCH(F758,'Paramètres'!$M$6:$M$17,0))="Oui",1,0),0))</f>
        <v/>
      </c>
      <c r="AW758" s="62">
        <f>IF(E758="","",IF(G758&lt;&gt;"",G758,IF(OR(E758="Proposition envoyée",E758="Signature"),MAX(0,N(IFERROR(INDEX('Paramètres'!$R$6:$R$15,MATCH(IF(AL758&lt;&gt;"",AL758,IFERROR(INDEX('Prospects'!$AN$5:$AN$504,MATCH(C758,'Prospects'!$C$5:$C$504,0)),"")),'Paramètres'!$Q$6:$Q$15,0)),0))-N(P758)),0)))</f>
        <v/>
      </c>
      <c r="AX758" s="61">
        <f>IF(C758="","",IF(COUNTIF($C$5:C758,C758)=1,MAX($AX$4:AX757)+1,""))</f>
        <v/>
      </c>
      <c r="AY758" s="61">
        <f>IF(B758="","",HOUR(B758))</f>
        <v/>
      </c>
      <c r="AZ758" s="61">
        <f>IF(A758="","",MOD(A758-2,7)+1)</f>
        <v/>
      </c>
      <c r="BA758" s="60">
        <f>IF(C758="","",IFERROR(INDEX('Prospects'!$N$5:$N$504,MATCH(C758,'Prospects'!$C$5:$C$504,0)),""))</f>
        <v/>
      </c>
      <c r="BB758" s="61">
        <f>IF(AND(C758&lt;&gt;"",C758='Fiche prospect'!$C$4),COUNTIF($C$5:C758,C758),"")</f>
        <v/>
      </c>
    </row>
    <row r="759">
      <c r="A759" s="53" t="n"/>
      <c r="B759" s="54" t="n"/>
      <c r="C759" s="55" t="n"/>
      <c r="D759" s="55" t="n"/>
      <c r="E759" s="55" t="n"/>
      <c r="F759" s="55" t="n"/>
      <c r="G759" s="56" t="n"/>
      <c r="H759" s="57" t="n"/>
      <c r="I759" s="55" t="n"/>
      <c r="J759" s="53" t="n"/>
      <c r="K759" s="54" t="n"/>
      <c r="L759" s="55" t="n"/>
      <c r="M759" s="55" t="n"/>
      <c r="N759" s="57" t="n"/>
      <c r="O759" s="55" t="n"/>
      <c r="P759" s="56" t="n"/>
      <c r="Q759" s="55" t="n"/>
      <c r="R759" s="55" t="n"/>
      <c r="S759" s="55" t="n"/>
      <c r="T759" s="55" t="n"/>
      <c r="U759" s="55" t="n"/>
      <c r="V759" s="55" t="n"/>
      <c r="W759" s="58" t="n"/>
      <c r="X759" s="58" t="n"/>
      <c r="Y759" s="55" t="n"/>
      <c r="Z759" s="55" t="n"/>
      <c r="AA759" s="55" t="n"/>
      <c r="AB759" s="55" t="n"/>
      <c r="AC759" s="55" t="n"/>
      <c r="AD759" s="53" t="n"/>
      <c r="AE759" s="55" t="n"/>
      <c r="AF759" s="55" t="n"/>
      <c r="AG759" s="59" t="n"/>
      <c r="AH759" s="57" t="n"/>
      <c r="AI759" s="55" t="n"/>
      <c r="AJ759" s="55" t="n"/>
      <c r="AK759" s="55" t="n"/>
      <c r="AL759" s="55" t="n"/>
      <c r="AM759" s="56" t="n"/>
      <c r="AN759" s="55" t="n"/>
      <c r="AO759" s="55" t="n"/>
      <c r="AP759" s="55" t="n"/>
      <c r="AQ759" s="55" t="n"/>
      <c r="AR759" s="60">
        <f>IF(AND(C759="",E759=""),"",IF(A759="","⚠ Date manquante",IF(AND(C759="",E759&lt;&gt;"Dépense"),"⚠ Prospect manquant",IF(E759="","⚠ Action manquante",IF(AND(AU759=1,D759=""),"⚠ Canal manquant",IF(AND(W759&lt;&gt;"",COUNTIFS('Saisie'!$W$5:$W$2004,W759,'Saisie'!$C$5:$C$2004,"&lt;&gt;"&amp;C759)&gt;0),"⚠ Numéro déjà utilisé par un autre prospect",IF(AND(J759&lt;&gt;"",J759&lt;A759),"⚠ Relance avant la date de l'action",IF(A759&gt;TODAY(),"⚠ Date dans le futur","✓"))))))))</f>
        <v/>
      </c>
      <c r="AS759" s="61">
        <f>IF(AND(A759="",C759="",E759=""),"",ROW())</f>
        <v/>
      </c>
      <c r="AT759" s="61">
        <f>IF(E759&amp;F759="","",MAX(IFERROR(INDEX('Paramètres'!$J$6:$J$33,MATCH(E759,'Paramètres'!$I$6:$I$33,0)),0),IFERROR(INDEX('Paramètres'!$N$6:$N$17,MATCH(F759,'Paramètres'!$M$6:$M$17,0)),0)))</f>
        <v/>
      </c>
      <c r="AU759" s="61">
        <f>IF(E759="","",IFERROR(IF(INDEX('Paramètres'!$K$6:$K$33,MATCH(E759,'Paramètres'!$I$6:$I$33,0))="Oui",1,0),0))</f>
        <v/>
      </c>
      <c r="AV759" s="61">
        <f>IF(F759="","",IFERROR(IF(INDEX('Paramètres'!$O$6:$O$17,MATCH(F759,'Paramètres'!$M$6:$M$17,0))="Oui",1,0),0))</f>
        <v/>
      </c>
      <c r="AW759" s="62">
        <f>IF(E759="","",IF(G759&lt;&gt;"",G759,IF(OR(E759="Proposition envoyée",E759="Signature"),MAX(0,N(IFERROR(INDEX('Paramètres'!$R$6:$R$15,MATCH(IF(AL759&lt;&gt;"",AL759,IFERROR(INDEX('Prospects'!$AN$5:$AN$504,MATCH(C759,'Prospects'!$C$5:$C$504,0)),"")),'Paramètres'!$Q$6:$Q$15,0)),0))-N(P759)),0)))</f>
        <v/>
      </c>
      <c r="AX759" s="61">
        <f>IF(C759="","",IF(COUNTIF($C$5:C759,C759)=1,MAX($AX$4:AX758)+1,""))</f>
        <v/>
      </c>
      <c r="AY759" s="61">
        <f>IF(B759="","",HOUR(B759))</f>
        <v/>
      </c>
      <c r="AZ759" s="61">
        <f>IF(A759="","",MOD(A759-2,7)+1)</f>
        <v/>
      </c>
      <c r="BA759" s="60">
        <f>IF(C759="","",IFERROR(INDEX('Prospects'!$N$5:$N$504,MATCH(C759,'Prospects'!$C$5:$C$504,0)),""))</f>
        <v/>
      </c>
      <c r="BB759" s="61">
        <f>IF(AND(C759&lt;&gt;"",C759='Fiche prospect'!$C$4),COUNTIF($C$5:C759,C759),"")</f>
        <v/>
      </c>
    </row>
    <row r="760">
      <c r="A760" s="53" t="n"/>
      <c r="B760" s="54" t="n"/>
      <c r="C760" s="55" t="n"/>
      <c r="D760" s="55" t="n"/>
      <c r="E760" s="55" t="n"/>
      <c r="F760" s="55" t="n"/>
      <c r="G760" s="56" t="n"/>
      <c r="H760" s="57" t="n"/>
      <c r="I760" s="55" t="n"/>
      <c r="J760" s="53" t="n"/>
      <c r="K760" s="54" t="n"/>
      <c r="L760" s="55" t="n"/>
      <c r="M760" s="55" t="n"/>
      <c r="N760" s="57" t="n"/>
      <c r="O760" s="55" t="n"/>
      <c r="P760" s="56" t="n"/>
      <c r="Q760" s="55" t="n"/>
      <c r="R760" s="55" t="n"/>
      <c r="S760" s="55" t="n"/>
      <c r="T760" s="55" t="n"/>
      <c r="U760" s="55" t="n"/>
      <c r="V760" s="55" t="n"/>
      <c r="W760" s="58" t="n"/>
      <c r="X760" s="58" t="n"/>
      <c r="Y760" s="55" t="n"/>
      <c r="Z760" s="55" t="n"/>
      <c r="AA760" s="55" t="n"/>
      <c r="AB760" s="55" t="n"/>
      <c r="AC760" s="55" t="n"/>
      <c r="AD760" s="53" t="n"/>
      <c r="AE760" s="55" t="n"/>
      <c r="AF760" s="55" t="n"/>
      <c r="AG760" s="59" t="n"/>
      <c r="AH760" s="57" t="n"/>
      <c r="AI760" s="55" t="n"/>
      <c r="AJ760" s="55" t="n"/>
      <c r="AK760" s="55" t="n"/>
      <c r="AL760" s="55" t="n"/>
      <c r="AM760" s="56" t="n"/>
      <c r="AN760" s="55" t="n"/>
      <c r="AO760" s="55" t="n"/>
      <c r="AP760" s="55" t="n"/>
      <c r="AQ760" s="55" t="n"/>
      <c r="AR760" s="60">
        <f>IF(AND(C760="",E760=""),"",IF(A760="","⚠ Date manquante",IF(AND(C760="",E760&lt;&gt;"Dépense"),"⚠ Prospect manquant",IF(E760="","⚠ Action manquante",IF(AND(AU760=1,D760=""),"⚠ Canal manquant",IF(AND(W760&lt;&gt;"",COUNTIFS('Saisie'!$W$5:$W$2004,W760,'Saisie'!$C$5:$C$2004,"&lt;&gt;"&amp;C760)&gt;0),"⚠ Numéro déjà utilisé par un autre prospect",IF(AND(J760&lt;&gt;"",J760&lt;A760),"⚠ Relance avant la date de l'action",IF(A760&gt;TODAY(),"⚠ Date dans le futur","✓"))))))))</f>
        <v/>
      </c>
      <c r="AS760" s="61">
        <f>IF(AND(A760="",C760="",E760=""),"",ROW())</f>
        <v/>
      </c>
      <c r="AT760" s="61">
        <f>IF(E760&amp;F760="","",MAX(IFERROR(INDEX('Paramètres'!$J$6:$J$33,MATCH(E760,'Paramètres'!$I$6:$I$33,0)),0),IFERROR(INDEX('Paramètres'!$N$6:$N$17,MATCH(F760,'Paramètres'!$M$6:$M$17,0)),0)))</f>
        <v/>
      </c>
      <c r="AU760" s="61">
        <f>IF(E760="","",IFERROR(IF(INDEX('Paramètres'!$K$6:$K$33,MATCH(E760,'Paramètres'!$I$6:$I$33,0))="Oui",1,0),0))</f>
        <v/>
      </c>
      <c r="AV760" s="61">
        <f>IF(F760="","",IFERROR(IF(INDEX('Paramètres'!$O$6:$O$17,MATCH(F760,'Paramètres'!$M$6:$M$17,0))="Oui",1,0),0))</f>
        <v/>
      </c>
      <c r="AW760" s="62">
        <f>IF(E760="","",IF(G760&lt;&gt;"",G760,IF(OR(E760="Proposition envoyée",E760="Signature"),MAX(0,N(IFERROR(INDEX('Paramètres'!$R$6:$R$15,MATCH(IF(AL760&lt;&gt;"",AL760,IFERROR(INDEX('Prospects'!$AN$5:$AN$504,MATCH(C760,'Prospects'!$C$5:$C$504,0)),"")),'Paramètres'!$Q$6:$Q$15,0)),0))-N(P760)),0)))</f>
        <v/>
      </c>
      <c r="AX760" s="61">
        <f>IF(C760="","",IF(COUNTIF($C$5:C760,C760)=1,MAX($AX$4:AX759)+1,""))</f>
        <v/>
      </c>
      <c r="AY760" s="61">
        <f>IF(B760="","",HOUR(B760))</f>
        <v/>
      </c>
      <c r="AZ760" s="61">
        <f>IF(A760="","",MOD(A760-2,7)+1)</f>
        <v/>
      </c>
      <c r="BA760" s="60">
        <f>IF(C760="","",IFERROR(INDEX('Prospects'!$N$5:$N$504,MATCH(C760,'Prospects'!$C$5:$C$504,0)),""))</f>
        <v/>
      </c>
      <c r="BB760" s="61">
        <f>IF(AND(C760&lt;&gt;"",C760='Fiche prospect'!$C$4),COUNTIF($C$5:C760,C760),"")</f>
        <v/>
      </c>
    </row>
    <row r="761">
      <c r="A761" s="53" t="n"/>
      <c r="B761" s="54" t="n"/>
      <c r="C761" s="55" t="n"/>
      <c r="D761" s="55" t="n"/>
      <c r="E761" s="55" t="n"/>
      <c r="F761" s="55" t="n"/>
      <c r="G761" s="56" t="n"/>
      <c r="H761" s="57" t="n"/>
      <c r="I761" s="55" t="n"/>
      <c r="J761" s="53" t="n"/>
      <c r="K761" s="54" t="n"/>
      <c r="L761" s="55" t="n"/>
      <c r="M761" s="55" t="n"/>
      <c r="N761" s="57" t="n"/>
      <c r="O761" s="55" t="n"/>
      <c r="P761" s="56" t="n"/>
      <c r="Q761" s="55" t="n"/>
      <c r="R761" s="55" t="n"/>
      <c r="S761" s="55" t="n"/>
      <c r="T761" s="55" t="n"/>
      <c r="U761" s="55" t="n"/>
      <c r="V761" s="55" t="n"/>
      <c r="W761" s="58" t="n"/>
      <c r="X761" s="58" t="n"/>
      <c r="Y761" s="55" t="n"/>
      <c r="Z761" s="55" t="n"/>
      <c r="AA761" s="55" t="n"/>
      <c r="AB761" s="55" t="n"/>
      <c r="AC761" s="55" t="n"/>
      <c r="AD761" s="53" t="n"/>
      <c r="AE761" s="55" t="n"/>
      <c r="AF761" s="55" t="n"/>
      <c r="AG761" s="59" t="n"/>
      <c r="AH761" s="57" t="n"/>
      <c r="AI761" s="55" t="n"/>
      <c r="AJ761" s="55" t="n"/>
      <c r="AK761" s="55" t="n"/>
      <c r="AL761" s="55" t="n"/>
      <c r="AM761" s="56" t="n"/>
      <c r="AN761" s="55" t="n"/>
      <c r="AO761" s="55" t="n"/>
      <c r="AP761" s="55" t="n"/>
      <c r="AQ761" s="55" t="n"/>
      <c r="AR761" s="60">
        <f>IF(AND(C761="",E761=""),"",IF(A761="","⚠ Date manquante",IF(AND(C761="",E761&lt;&gt;"Dépense"),"⚠ Prospect manquant",IF(E761="","⚠ Action manquante",IF(AND(AU761=1,D761=""),"⚠ Canal manquant",IF(AND(W761&lt;&gt;"",COUNTIFS('Saisie'!$W$5:$W$2004,W761,'Saisie'!$C$5:$C$2004,"&lt;&gt;"&amp;C761)&gt;0),"⚠ Numéro déjà utilisé par un autre prospect",IF(AND(J761&lt;&gt;"",J761&lt;A761),"⚠ Relance avant la date de l'action",IF(A761&gt;TODAY(),"⚠ Date dans le futur","✓"))))))))</f>
        <v/>
      </c>
      <c r="AS761" s="61">
        <f>IF(AND(A761="",C761="",E761=""),"",ROW())</f>
        <v/>
      </c>
      <c r="AT761" s="61">
        <f>IF(E761&amp;F761="","",MAX(IFERROR(INDEX('Paramètres'!$J$6:$J$33,MATCH(E761,'Paramètres'!$I$6:$I$33,0)),0),IFERROR(INDEX('Paramètres'!$N$6:$N$17,MATCH(F761,'Paramètres'!$M$6:$M$17,0)),0)))</f>
        <v/>
      </c>
      <c r="AU761" s="61">
        <f>IF(E761="","",IFERROR(IF(INDEX('Paramètres'!$K$6:$K$33,MATCH(E761,'Paramètres'!$I$6:$I$33,0))="Oui",1,0),0))</f>
        <v/>
      </c>
      <c r="AV761" s="61">
        <f>IF(F761="","",IFERROR(IF(INDEX('Paramètres'!$O$6:$O$17,MATCH(F761,'Paramètres'!$M$6:$M$17,0))="Oui",1,0),0))</f>
        <v/>
      </c>
      <c r="AW761" s="62">
        <f>IF(E761="","",IF(G761&lt;&gt;"",G761,IF(OR(E761="Proposition envoyée",E761="Signature"),MAX(0,N(IFERROR(INDEX('Paramètres'!$R$6:$R$15,MATCH(IF(AL761&lt;&gt;"",AL761,IFERROR(INDEX('Prospects'!$AN$5:$AN$504,MATCH(C761,'Prospects'!$C$5:$C$504,0)),"")),'Paramètres'!$Q$6:$Q$15,0)),0))-N(P761)),0)))</f>
        <v/>
      </c>
      <c r="AX761" s="61">
        <f>IF(C761="","",IF(COUNTIF($C$5:C761,C761)=1,MAX($AX$4:AX760)+1,""))</f>
        <v/>
      </c>
      <c r="AY761" s="61">
        <f>IF(B761="","",HOUR(B761))</f>
        <v/>
      </c>
      <c r="AZ761" s="61">
        <f>IF(A761="","",MOD(A761-2,7)+1)</f>
        <v/>
      </c>
      <c r="BA761" s="60">
        <f>IF(C761="","",IFERROR(INDEX('Prospects'!$N$5:$N$504,MATCH(C761,'Prospects'!$C$5:$C$504,0)),""))</f>
        <v/>
      </c>
      <c r="BB761" s="61">
        <f>IF(AND(C761&lt;&gt;"",C761='Fiche prospect'!$C$4),COUNTIF($C$5:C761,C761),"")</f>
        <v/>
      </c>
    </row>
    <row r="762">
      <c r="A762" s="53" t="n"/>
      <c r="B762" s="54" t="n"/>
      <c r="C762" s="55" t="n"/>
      <c r="D762" s="55" t="n"/>
      <c r="E762" s="55" t="n"/>
      <c r="F762" s="55" t="n"/>
      <c r="G762" s="56" t="n"/>
      <c r="H762" s="57" t="n"/>
      <c r="I762" s="55" t="n"/>
      <c r="J762" s="53" t="n"/>
      <c r="K762" s="54" t="n"/>
      <c r="L762" s="55" t="n"/>
      <c r="M762" s="55" t="n"/>
      <c r="N762" s="57" t="n"/>
      <c r="O762" s="55" t="n"/>
      <c r="P762" s="56" t="n"/>
      <c r="Q762" s="55" t="n"/>
      <c r="R762" s="55" t="n"/>
      <c r="S762" s="55" t="n"/>
      <c r="T762" s="55" t="n"/>
      <c r="U762" s="55" t="n"/>
      <c r="V762" s="55" t="n"/>
      <c r="W762" s="58" t="n"/>
      <c r="X762" s="58" t="n"/>
      <c r="Y762" s="55" t="n"/>
      <c r="Z762" s="55" t="n"/>
      <c r="AA762" s="55" t="n"/>
      <c r="AB762" s="55" t="n"/>
      <c r="AC762" s="55" t="n"/>
      <c r="AD762" s="53" t="n"/>
      <c r="AE762" s="55" t="n"/>
      <c r="AF762" s="55" t="n"/>
      <c r="AG762" s="59" t="n"/>
      <c r="AH762" s="57" t="n"/>
      <c r="AI762" s="55" t="n"/>
      <c r="AJ762" s="55" t="n"/>
      <c r="AK762" s="55" t="n"/>
      <c r="AL762" s="55" t="n"/>
      <c r="AM762" s="56" t="n"/>
      <c r="AN762" s="55" t="n"/>
      <c r="AO762" s="55" t="n"/>
      <c r="AP762" s="55" t="n"/>
      <c r="AQ762" s="55" t="n"/>
      <c r="AR762" s="60">
        <f>IF(AND(C762="",E762=""),"",IF(A762="","⚠ Date manquante",IF(AND(C762="",E762&lt;&gt;"Dépense"),"⚠ Prospect manquant",IF(E762="","⚠ Action manquante",IF(AND(AU762=1,D762=""),"⚠ Canal manquant",IF(AND(W762&lt;&gt;"",COUNTIFS('Saisie'!$W$5:$W$2004,W762,'Saisie'!$C$5:$C$2004,"&lt;&gt;"&amp;C762)&gt;0),"⚠ Numéro déjà utilisé par un autre prospect",IF(AND(J762&lt;&gt;"",J762&lt;A762),"⚠ Relance avant la date de l'action",IF(A762&gt;TODAY(),"⚠ Date dans le futur","✓"))))))))</f>
        <v/>
      </c>
      <c r="AS762" s="61">
        <f>IF(AND(A762="",C762="",E762=""),"",ROW())</f>
        <v/>
      </c>
      <c r="AT762" s="61">
        <f>IF(E762&amp;F762="","",MAX(IFERROR(INDEX('Paramètres'!$J$6:$J$33,MATCH(E762,'Paramètres'!$I$6:$I$33,0)),0),IFERROR(INDEX('Paramètres'!$N$6:$N$17,MATCH(F762,'Paramètres'!$M$6:$M$17,0)),0)))</f>
        <v/>
      </c>
      <c r="AU762" s="61">
        <f>IF(E762="","",IFERROR(IF(INDEX('Paramètres'!$K$6:$K$33,MATCH(E762,'Paramètres'!$I$6:$I$33,0))="Oui",1,0),0))</f>
        <v/>
      </c>
      <c r="AV762" s="61">
        <f>IF(F762="","",IFERROR(IF(INDEX('Paramètres'!$O$6:$O$17,MATCH(F762,'Paramètres'!$M$6:$M$17,0))="Oui",1,0),0))</f>
        <v/>
      </c>
      <c r="AW762" s="62">
        <f>IF(E762="","",IF(G762&lt;&gt;"",G762,IF(OR(E762="Proposition envoyée",E762="Signature"),MAX(0,N(IFERROR(INDEX('Paramètres'!$R$6:$R$15,MATCH(IF(AL762&lt;&gt;"",AL762,IFERROR(INDEX('Prospects'!$AN$5:$AN$504,MATCH(C762,'Prospects'!$C$5:$C$504,0)),"")),'Paramètres'!$Q$6:$Q$15,0)),0))-N(P762)),0)))</f>
        <v/>
      </c>
      <c r="AX762" s="61">
        <f>IF(C762="","",IF(COUNTIF($C$5:C762,C762)=1,MAX($AX$4:AX761)+1,""))</f>
        <v/>
      </c>
      <c r="AY762" s="61">
        <f>IF(B762="","",HOUR(B762))</f>
        <v/>
      </c>
      <c r="AZ762" s="61">
        <f>IF(A762="","",MOD(A762-2,7)+1)</f>
        <v/>
      </c>
      <c r="BA762" s="60">
        <f>IF(C762="","",IFERROR(INDEX('Prospects'!$N$5:$N$504,MATCH(C762,'Prospects'!$C$5:$C$504,0)),""))</f>
        <v/>
      </c>
      <c r="BB762" s="61">
        <f>IF(AND(C762&lt;&gt;"",C762='Fiche prospect'!$C$4),COUNTIF($C$5:C762,C762),"")</f>
        <v/>
      </c>
    </row>
    <row r="763">
      <c r="A763" s="53" t="n"/>
      <c r="B763" s="54" t="n"/>
      <c r="C763" s="55" t="n"/>
      <c r="D763" s="55" t="n"/>
      <c r="E763" s="55" t="n"/>
      <c r="F763" s="55" t="n"/>
      <c r="G763" s="56" t="n"/>
      <c r="H763" s="57" t="n"/>
      <c r="I763" s="55" t="n"/>
      <c r="J763" s="53" t="n"/>
      <c r="K763" s="54" t="n"/>
      <c r="L763" s="55" t="n"/>
      <c r="M763" s="55" t="n"/>
      <c r="N763" s="57" t="n"/>
      <c r="O763" s="55" t="n"/>
      <c r="P763" s="56" t="n"/>
      <c r="Q763" s="55" t="n"/>
      <c r="R763" s="55" t="n"/>
      <c r="S763" s="55" t="n"/>
      <c r="T763" s="55" t="n"/>
      <c r="U763" s="55" t="n"/>
      <c r="V763" s="55" t="n"/>
      <c r="W763" s="58" t="n"/>
      <c r="X763" s="58" t="n"/>
      <c r="Y763" s="55" t="n"/>
      <c r="Z763" s="55" t="n"/>
      <c r="AA763" s="55" t="n"/>
      <c r="AB763" s="55" t="n"/>
      <c r="AC763" s="55" t="n"/>
      <c r="AD763" s="53" t="n"/>
      <c r="AE763" s="55" t="n"/>
      <c r="AF763" s="55" t="n"/>
      <c r="AG763" s="59" t="n"/>
      <c r="AH763" s="57" t="n"/>
      <c r="AI763" s="55" t="n"/>
      <c r="AJ763" s="55" t="n"/>
      <c r="AK763" s="55" t="n"/>
      <c r="AL763" s="55" t="n"/>
      <c r="AM763" s="56" t="n"/>
      <c r="AN763" s="55" t="n"/>
      <c r="AO763" s="55" t="n"/>
      <c r="AP763" s="55" t="n"/>
      <c r="AQ763" s="55" t="n"/>
      <c r="AR763" s="60">
        <f>IF(AND(C763="",E763=""),"",IF(A763="","⚠ Date manquante",IF(AND(C763="",E763&lt;&gt;"Dépense"),"⚠ Prospect manquant",IF(E763="","⚠ Action manquante",IF(AND(AU763=1,D763=""),"⚠ Canal manquant",IF(AND(W763&lt;&gt;"",COUNTIFS('Saisie'!$W$5:$W$2004,W763,'Saisie'!$C$5:$C$2004,"&lt;&gt;"&amp;C763)&gt;0),"⚠ Numéro déjà utilisé par un autre prospect",IF(AND(J763&lt;&gt;"",J763&lt;A763),"⚠ Relance avant la date de l'action",IF(A763&gt;TODAY(),"⚠ Date dans le futur","✓"))))))))</f>
        <v/>
      </c>
      <c r="AS763" s="61">
        <f>IF(AND(A763="",C763="",E763=""),"",ROW())</f>
        <v/>
      </c>
      <c r="AT763" s="61">
        <f>IF(E763&amp;F763="","",MAX(IFERROR(INDEX('Paramètres'!$J$6:$J$33,MATCH(E763,'Paramètres'!$I$6:$I$33,0)),0),IFERROR(INDEX('Paramètres'!$N$6:$N$17,MATCH(F763,'Paramètres'!$M$6:$M$17,0)),0)))</f>
        <v/>
      </c>
      <c r="AU763" s="61">
        <f>IF(E763="","",IFERROR(IF(INDEX('Paramètres'!$K$6:$K$33,MATCH(E763,'Paramètres'!$I$6:$I$33,0))="Oui",1,0),0))</f>
        <v/>
      </c>
      <c r="AV763" s="61">
        <f>IF(F763="","",IFERROR(IF(INDEX('Paramètres'!$O$6:$O$17,MATCH(F763,'Paramètres'!$M$6:$M$17,0))="Oui",1,0),0))</f>
        <v/>
      </c>
      <c r="AW763" s="62">
        <f>IF(E763="","",IF(G763&lt;&gt;"",G763,IF(OR(E763="Proposition envoyée",E763="Signature"),MAX(0,N(IFERROR(INDEX('Paramètres'!$R$6:$R$15,MATCH(IF(AL763&lt;&gt;"",AL763,IFERROR(INDEX('Prospects'!$AN$5:$AN$504,MATCH(C763,'Prospects'!$C$5:$C$504,0)),"")),'Paramètres'!$Q$6:$Q$15,0)),0))-N(P763)),0)))</f>
        <v/>
      </c>
      <c r="AX763" s="61">
        <f>IF(C763="","",IF(COUNTIF($C$5:C763,C763)=1,MAX($AX$4:AX762)+1,""))</f>
        <v/>
      </c>
      <c r="AY763" s="61">
        <f>IF(B763="","",HOUR(B763))</f>
        <v/>
      </c>
      <c r="AZ763" s="61">
        <f>IF(A763="","",MOD(A763-2,7)+1)</f>
        <v/>
      </c>
      <c r="BA763" s="60">
        <f>IF(C763="","",IFERROR(INDEX('Prospects'!$N$5:$N$504,MATCH(C763,'Prospects'!$C$5:$C$504,0)),""))</f>
        <v/>
      </c>
      <c r="BB763" s="61">
        <f>IF(AND(C763&lt;&gt;"",C763='Fiche prospect'!$C$4),COUNTIF($C$5:C763,C763),"")</f>
        <v/>
      </c>
    </row>
    <row r="764">
      <c r="A764" s="53" t="n"/>
      <c r="B764" s="54" t="n"/>
      <c r="C764" s="55" t="n"/>
      <c r="D764" s="55" t="n"/>
      <c r="E764" s="55" t="n"/>
      <c r="F764" s="55" t="n"/>
      <c r="G764" s="56" t="n"/>
      <c r="H764" s="57" t="n"/>
      <c r="I764" s="55" t="n"/>
      <c r="J764" s="53" t="n"/>
      <c r="K764" s="54" t="n"/>
      <c r="L764" s="55" t="n"/>
      <c r="M764" s="55" t="n"/>
      <c r="N764" s="57" t="n"/>
      <c r="O764" s="55" t="n"/>
      <c r="P764" s="56" t="n"/>
      <c r="Q764" s="55" t="n"/>
      <c r="R764" s="55" t="n"/>
      <c r="S764" s="55" t="n"/>
      <c r="T764" s="55" t="n"/>
      <c r="U764" s="55" t="n"/>
      <c r="V764" s="55" t="n"/>
      <c r="W764" s="58" t="n"/>
      <c r="X764" s="58" t="n"/>
      <c r="Y764" s="55" t="n"/>
      <c r="Z764" s="55" t="n"/>
      <c r="AA764" s="55" t="n"/>
      <c r="AB764" s="55" t="n"/>
      <c r="AC764" s="55" t="n"/>
      <c r="AD764" s="53" t="n"/>
      <c r="AE764" s="55" t="n"/>
      <c r="AF764" s="55" t="n"/>
      <c r="AG764" s="59" t="n"/>
      <c r="AH764" s="57" t="n"/>
      <c r="AI764" s="55" t="n"/>
      <c r="AJ764" s="55" t="n"/>
      <c r="AK764" s="55" t="n"/>
      <c r="AL764" s="55" t="n"/>
      <c r="AM764" s="56" t="n"/>
      <c r="AN764" s="55" t="n"/>
      <c r="AO764" s="55" t="n"/>
      <c r="AP764" s="55" t="n"/>
      <c r="AQ764" s="55" t="n"/>
      <c r="AR764" s="60">
        <f>IF(AND(C764="",E764=""),"",IF(A764="","⚠ Date manquante",IF(AND(C764="",E764&lt;&gt;"Dépense"),"⚠ Prospect manquant",IF(E764="","⚠ Action manquante",IF(AND(AU764=1,D764=""),"⚠ Canal manquant",IF(AND(W764&lt;&gt;"",COUNTIFS('Saisie'!$W$5:$W$2004,W764,'Saisie'!$C$5:$C$2004,"&lt;&gt;"&amp;C764)&gt;0),"⚠ Numéro déjà utilisé par un autre prospect",IF(AND(J764&lt;&gt;"",J764&lt;A764),"⚠ Relance avant la date de l'action",IF(A764&gt;TODAY(),"⚠ Date dans le futur","✓"))))))))</f>
        <v/>
      </c>
      <c r="AS764" s="61">
        <f>IF(AND(A764="",C764="",E764=""),"",ROW())</f>
        <v/>
      </c>
      <c r="AT764" s="61">
        <f>IF(E764&amp;F764="","",MAX(IFERROR(INDEX('Paramètres'!$J$6:$J$33,MATCH(E764,'Paramètres'!$I$6:$I$33,0)),0),IFERROR(INDEX('Paramètres'!$N$6:$N$17,MATCH(F764,'Paramètres'!$M$6:$M$17,0)),0)))</f>
        <v/>
      </c>
      <c r="AU764" s="61">
        <f>IF(E764="","",IFERROR(IF(INDEX('Paramètres'!$K$6:$K$33,MATCH(E764,'Paramètres'!$I$6:$I$33,0))="Oui",1,0),0))</f>
        <v/>
      </c>
      <c r="AV764" s="61">
        <f>IF(F764="","",IFERROR(IF(INDEX('Paramètres'!$O$6:$O$17,MATCH(F764,'Paramètres'!$M$6:$M$17,0))="Oui",1,0),0))</f>
        <v/>
      </c>
      <c r="AW764" s="62">
        <f>IF(E764="","",IF(G764&lt;&gt;"",G764,IF(OR(E764="Proposition envoyée",E764="Signature"),MAX(0,N(IFERROR(INDEX('Paramètres'!$R$6:$R$15,MATCH(IF(AL764&lt;&gt;"",AL764,IFERROR(INDEX('Prospects'!$AN$5:$AN$504,MATCH(C764,'Prospects'!$C$5:$C$504,0)),"")),'Paramètres'!$Q$6:$Q$15,0)),0))-N(P764)),0)))</f>
        <v/>
      </c>
      <c r="AX764" s="61">
        <f>IF(C764="","",IF(COUNTIF($C$5:C764,C764)=1,MAX($AX$4:AX763)+1,""))</f>
        <v/>
      </c>
      <c r="AY764" s="61">
        <f>IF(B764="","",HOUR(B764))</f>
        <v/>
      </c>
      <c r="AZ764" s="61">
        <f>IF(A764="","",MOD(A764-2,7)+1)</f>
        <v/>
      </c>
      <c r="BA764" s="60">
        <f>IF(C764="","",IFERROR(INDEX('Prospects'!$N$5:$N$504,MATCH(C764,'Prospects'!$C$5:$C$504,0)),""))</f>
        <v/>
      </c>
      <c r="BB764" s="61">
        <f>IF(AND(C764&lt;&gt;"",C764='Fiche prospect'!$C$4),COUNTIF($C$5:C764,C764),"")</f>
        <v/>
      </c>
    </row>
    <row r="765">
      <c r="A765" s="53" t="n"/>
      <c r="B765" s="54" t="n"/>
      <c r="C765" s="55" t="n"/>
      <c r="D765" s="55" t="n"/>
      <c r="E765" s="55" t="n"/>
      <c r="F765" s="55" t="n"/>
      <c r="G765" s="56" t="n"/>
      <c r="H765" s="57" t="n"/>
      <c r="I765" s="55" t="n"/>
      <c r="J765" s="53" t="n"/>
      <c r="K765" s="54" t="n"/>
      <c r="L765" s="55" t="n"/>
      <c r="M765" s="55" t="n"/>
      <c r="N765" s="57" t="n"/>
      <c r="O765" s="55" t="n"/>
      <c r="P765" s="56" t="n"/>
      <c r="Q765" s="55" t="n"/>
      <c r="R765" s="55" t="n"/>
      <c r="S765" s="55" t="n"/>
      <c r="T765" s="55" t="n"/>
      <c r="U765" s="55" t="n"/>
      <c r="V765" s="55" t="n"/>
      <c r="W765" s="58" t="n"/>
      <c r="X765" s="58" t="n"/>
      <c r="Y765" s="55" t="n"/>
      <c r="Z765" s="55" t="n"/>
      <c r="AA765" s="55" t="n"/>
      <c r="AB765" s="55" t="n"/>
      <c r="AC765" s="55" t="n"/>
      <c r="AD765" s="53" t="n"/>
      <c r="AE765" s="55" t="n"/>
      <c r="AF765" s="55" t="n"/>
      <c r="AG765" s="59" t="n"/>
      <c r="AH765" s="57" t="n"/>
      <c r="AI765" s="55" t="n"/>
      <c r="AJ765" s="55" t="n"/>
      <c r="AK765" s="55" t="n"/>
      <c r="AL765" s="55" t="n"/>
      <c r="AM765" s="56" t="n"/>
      <c r="AN765" s="55" t="n"/>
      <c r="AO765" s="55" t="n"/>
      <c r="AP765" s="55" t="n"/>
      <c r="AQ765" s="55" t="n"/>
      <c r="AR765" s="60">
        <f>IF(AND(C765="",E765=""),"",IF(A765="","⚠ Date manquante",IF(AND(C765="",E765&lt;&gt;"Dépense"),"⚠ Prospect manquant",IF(E765="","⚠ Action manquante",IF(AND(AU765=1,D765=""),"⚠ Canal manquant",IF(AND(W765&lt;&gt;"",COUNTIFS('Saisie'!$W$5:$W$2004,W765,'Saisie'!$C$5:$C$2004,"&lt;&gt;"&amp;C765)&gt;0),"⚠ Numéro déjà utilisé par un autre prospect",IF(AND(J765&lt;&gt;"",J765&lt;A765),"⚠ Relance avant la date de l'action",IF(A765&gt;TODAY(),"⚠ Date dans le futur","✓"))))))))</f>
        <v/>
      </c>
      <c r="AS765" s="61">
        <f>IF(AND(A765="",C765="",E765=""),"",ROW())</f>
        <v/>
      </c>
      <c r="AT765" s="61">
        <f>IF(E765&amp;F765="","",MAX(IFERROR(INDEX('Paramètres'!$J$6:$J$33,MATCH(E765,'Paramètres'!$I$6:$I$33,0)),0),IFERROR(INDEX('Paramètres'!$N$6:$N$17,MATCH(F765,'Paramètres'!$M$6:$M$17,0)),0)))</f>
        <v/>
      </c>
      <c r="AU765" s="61">
        <f>IF(E765="","",IFERROR(IF(INDEX('Paramètres'!$K$6:$K$33,MATCH(E765,'Paramètres'!$I$6:$I$33,0))="Oui",1,0),0))</f>
        <v/>
      </c>
      <c r="AV765" s="61">
        <f>IF(F765="","",IFERROR(IF(INDEX('Paramètres'!$O$6:$O$17,MATCH(F765,'Paramètres'!$M$6:$M$17,0))="Oui",1,0),0))</f>
        <v/>
      </c>
      <c r="AW765" s="62">
        <f>IF(E765="","",IF(G765&lt;&gt;"",G765,IF(OR(E765="Proposition envoyée",E765="Signature"),MAX(0,N(IFERROR(INDEX('Paramètres'!$R$6:$R$15,MATCH(IF(AL765&lt;&gt;"",AL765,IFERROR(INDEX('Prospects'!$AN$5:$AN$504,MATCH(C765,'Prospects'!$C$5:$C$504,0)),"")),'Paramètres'!$Q$6:$Q$15,0)),0))-N(P765)),0)))</f>
        <v/>
      </c>
      <c r="AX765" s="61">
        <f>IF(C765="","",IF(COUNTIF($C$5:C765,C765)=1,MAX($AX$4:AX764)+1,""))</f>
        <v/>
      </c>
      <c r="AY765" s="61">
        <f>IF(B765="","",HOUR(B765))</f>
        <v/>
      </c>
      <c r="AZ765" s="61">
        <f>IF(A765="","",MOD(A765-2,7)+1)</f>
        <v/>
      </c>
      <c r="BA765" s="60">
        <f>IF(C765="","",IFERROR(INDEX('Prospects'!$N$5:$N$504,MATCH(C765,'Prospects'!$C$5:$C$504,0)),""))</f>
        <v/>
      </c>
      <c r="BB765" s="61">
        <f>IF(AND(C765&lt;&gt;"",C765='Fiche prospect'!$C$4),COUNTIF($C$5:C765,C765),"")</f>
        <v/>
      </c>
    </row>
    <row r="766">
      <c r="A766" s="53" t="n"/>
      <c r="B766" s="54" t="n"/>
      <c r="C766" s="55" t="n"/>
      <c r="D766" s="55" t="n"/>
      <c r="E766" s="55" t="n"/>
      <c r="F766" s="55" t="n"/>
      <c r="G766" s="56" t="n"/>
      <c r="H766" s="57" t="n"/>
      <c r="I766" s="55" t="n"/>
      <c r="J766" s="53" t="n"/>
      <c r="K766" s="54" t="n"/>
      <c r="L766" s="55" t="n"/>
      <c r="M766" s="55" t="n"/>
      <c r="N766" s="57" t="n"/>
      <c r="O766" s="55" t="n"/>
      <c r="P766" s="56" t="n"/>
      <c r="Q766" s="55" t="n"/>
      <c r="R766" s="55" t="n"/>
      <c r="S766" s="55" t="n"/>
      <c r="T766" s="55" t="n"/>
      <c r="U766" s="55" t="n"/>
      <c r="V766" s="55" t="n"/>
      <c r="W766" s="58" t="n"/>
      <c r="X766" s="58" t="n"/>
      <c r="Y766" s="55" t="n"/>
      <c r="Z766" s="55" t="n"/>
      <c r="AA766" s="55" t="n"/>
      <c r="AB766" s="55" t="n"/>
      <c r="AC766" s="55" t="n"/>
      <c r="AD766" s="53" t="n"/>
      <c r="AE766" s="55" t="n"/>
      <c r="AF766" s="55" t="n"/>
      <c r="AG766" s="59" t="n"/>
      <c r="AH766" s="57" t="n"/>
      <c r="AI766" s="55" t="n"/>
      <c r="AJ766" s="55" t="n"/>
      <c r="AK766" s="55" t="n"/>
      <c r="AL766" s="55" t="n"/>
      <c r="AM766" s="56" t="n"/>
      <c r="AN766" s="55" t="n"/>
      <c r="AO766" s="55" t="n"/>
      <c r="AP766" s="55" t="n"/>
      <c r="AQ766" s="55" t="n"/>
      <c r="AR766" s="60">
        <f>IF(AND(C766="",E766=""),"",IF(A766="","⚠ Date manquante",IF(AND(C766="",E766&lt;&gt;"Dépense"),"⚠ Prospect manquant",IF(E766="","⚠ Action manquante",IF(AND(AU766=1,D766=""),"⚠ Canal manquant",IF(AND(W766&lt;&gt;"",COUNTIFS('Saisie'!$W$5:$W$2004,W766,'Saisie'!$C$5:$C$2004,"&lt;&gt;"&amp;C766)&gt;0),"⚠ Numéro déjà utilisé par un autre prospect",IF(AND(J766&lt;&gt;"",J766&lt;A766),"⚠ Relance avant la date de l'action",IF(A766&gt;TODAY(),"⚠ Date dans le futur","✓"))))))))</f>
        <v/>
      </c>
      <c r="AS766" s="61">
        <f>IF(AND(A766="",C766="",E766=""),"",ROW())</f>
        <v/>
      </c>
      <c r="AT766" s="61">
        <f>IF(E766&amp;F766="","",MAX(IFERROR(INDEX('Paramètres'!$J$6:$J$33,MATCH(E766,'Paramètres'!$I$6:$I$33,0)),0),IFERROR(INDEX('Paramètres'!$N$6:$N$17,MATCH(F766,'Paramètres'!$M$6:$M$17,0)),0)))</f>
        <v/>
      </c>
      <c r="AU766" s="61">
        <f>IF(E766="","",IFERROR(IF(INDEX('Paramètres'!$K$6:$K$33,MATCH(E766,'Paramètres'!$I$6:$I$33,0))="Oui",1,0),0))</f>
        <v/>
      </c>
      <c r="AV766" s="61">
        <f>IF(F766="","",IFERROR(IF(INDEX('Paramètres'!$O$6:$O$17,MATCH(F766,'Paramètres'!$M$6:$M$17,0))="Oui",1,0),0))</f>
        <v/>
      </c>
      <c r="AW766" s="62">
        <f>IF(E766="","",IF(G766&lt;&gt;"",G766,IF(OR(E766="Proposition envoyée",E766="Signature"),MAX(0,N(IFERROR(INDEX('Paramètres'!$R$6:$R$15,MATCH(IF(AL766&lt;&gt;"",AL766,IFERROR(INDEX('Prospects'!$AN$5:$AN$504,MATCH(C766,'Prospects'!$C$5:$C$504,0)),"")),'Paramètres'!$Q$6:$Q$15,0)),0))-N(P766)),0)))</f>
        <v/>
      </c>
      <c r="AX766" s="61">
        <f>IF(C766="","",IF(COUNTIF($C$5:C766,C766)=1,MAX($AX$4:AX765)+1,""))</f>
        <v/>
      </c>
      <c r="AY766" s="61">
        <f>IF(B766="","",HOUR(B766))</f>
        <v/>
      </c>
      <c r="AZ766" s="61">
        <f>IF(A766="","",MOD(A766-2,7)+1)</f>
        <v/>
      </c>
      <c r="BA766" s="60">
        <f>IF(C766="","",IFERROR(INDEX('Prospects'!$N$5:$N$504,MATCH(C766,'Prospects'!$C$5:$C$504,0)),""))</f>
        <v/>
      </c>
      <c r="BB766" s="61">
        <f>IF(AND(C766&lt;&gt;"",C766='Fiche prospect'!$C$4),COUNTIF($C$5:C766,C766),"")</f>
        <v/>
      </c>
    </row>
    <row r="767">
      <c r="A767" s="53" t="n"/>
      <c r="B767" s="54" t="n"/>
      <c r="C767" s="55" t="n"/>
      <c r="D767" s="55" t="n"/>
      <c r="E767" s="55" t="n"/>
      <c r="F767" s="55" t="n"/>
      <c r="G767" s="56" t="n"/>
      <c r="H767" s="57" t="n"/>
      <c r="I767" s="55" t="n"/>
      <c r="J767" s="53" t="n"/>
      <c r="K767" s="54" t="n"/>
      <c r="L767" s="55" t="n"/>
      <c r="M767" s="55" t="n"/>
      <c r="N767" s="57" t="n"/>
      <c r="O767" s="55" t="n"/>
      <c r="P767" s="56" t="n"/>
      <c r="Q767" s="55" t="n"/>
      <c r="R767" s="55" t="n"/>
      <c r="S767" s="55" t="n"/>
      <c r="T767" s="55" t="n"/>
      <c r="U767" s="55" t="n"/>
      <c r="V767" s="55" t="n"/>
      <c r="W767" s="58" t="n"/>
      <c r="X767" s="58" t="n"/>
      <c r="Y767" s="55" t="n"/>
      <c r="Z767" s="55" t="n"/>
      <c r="AA767" s="55" t="n"/>
      <c r="AB767" s="55" t="n"/>
      <c r="AC767" s="55" t="n"/>
      <c r="AD767" s="53" t="n"/>
      <c r="AE767" s="55" t="n"/>
      <c r="AF767" s="55" t="n"/>
      <c r="AG767" s="59" t="n"/>
      <c r="AH767" s="57" t="n"/>
      <c r="AI767" s="55" t="n"/>
      <c r="AJ767" s="55" t="n"/>
      <c r="AK767" s="55" t="n"/>
      <c r="AL767" s="55" t="n"/>
      <c r="AM767" s="56" t="n"/>
      <c r="AN767" s="55" t="n"/>
      <c r="AO767" s="55" t="n"/>
      <c r="AP767" s="55" t="n"/>
      <c r="AQ767" s="55" t="n"/>
      <c r="AR767" s="60">
        <f>IF(AND(C767="",E767=""),"",IF(A767="","⚠ Date manquante",IF(AND(C767="",E767&lt;&gt;"Dépense"),"⚠ Prospect manquant",IF(E767="","⚠ Action manquante",IF(AND(AU767=1,D767=""),"⚠ Canal manquant",IF(AND(W767&lt;&gt;"",COUNTIFS('Saisie'!$W$5:$W$2004,W767,'Saisie'!$C$5:$C$2004,"&lt;&gt;"&amp;C767)&gt;0),"⚠ Numéro déjà utilisé par un autre prospect",IF(AND(J767&lt;&gt;"",J767&lt;A767),"⚠ Relance avant la date de l'action",IF(A767&gt;TODAY(),"⚠ Date dans le futur","✓"))))))))</f>
        <v/>
      </c>
      <c r="AS767" s="61">
        <f>IF(AND(A767="",C767="",E767=""),"",ROW())</f>
        <v/>
      </c>
      <c r="AT767" s="61">
        <f>IF(E767&amp;F767="","",MAX(IFERROR(INDEX('Paramètres'!$J$6:$J$33,MATCH(E767,'Paramètres'!$I$6:$I$33,0)),0),IFERROR(INDEX('Paramètres'!$N$6:$N$17,MATCH(F767,'Paramètres'!$M$6:$M$17,0)),0)))</f>
        <v/>
      </c>
      <c r="AU767" s="61">
        <f>IF(E767="","",IFERROR(IF(INDEX('Paramètres'!$K$6:$K$33,MATCH(E767,'Paramètres'!$I$6:$I$33,0))="Oui",1,0),0))</f>
        <v/>
      </c>
      <c r="AV767" s="61">
        <f>IF(F767="","",IFERROR(IF(INDEX('Paramètres'!$O$6:$O$17,MATCH(F767,'Paramètres'!$M$6:$M$17,0))="Oui",1,0),0))</f>
        <v/>
      </c>
      <c r="AW767" s="62">
        <f>IF(E767="","",IF(G767&lt;&gt;"",G767,IF(OR(E767="Proposition envoyée",E767="Signature"),MAX(0,N(IFERROR(INDEX('Paramètres'!$R$6:$R$15,MATCH(IF(AL767&lt;&gt;"",AL767,IFERROR(INDEX('Prospects'!$AN$5:$AN$504,MATCH(C767,'Prospects'!$C$5:$C$504,0)),"")),'Paramètres'!$Q$6:$Q$15,0)),0))-N(P767)),0)))</f>
        <v/>
      </c>
      <c r="AX767" s="61">
        <f>IF(C767="","",IF(COUNTIF($C$5:C767,C767)=1,MAX($AX$4:AX766)+1,""))</f>
        <v/>
      </c>
      <c r="AY767" s="61">
        <f>IF(B767="","",HOUR(B767))</f>
        <v/>
      </c>
      <c r="AZ767" s="61">
        <f>IF(A767="","",MOD(A767-2,7)+1)</f>
        <v/>
      </c>
      <c r="BA767" s="60">
        <f>IF(C767="","",IFERROR(INDEX('Prospects'!$N$5:$N$504,MATCH(C767,'Prospects'!$C$5:$C$504,0)),""))</f>
        <v/>
      </c>
      <c r="BB767" s="61">
        <f>IF(AND(C767&lt;&gt;"",C767='Fiche prospect'!$C$4),COUNTIF($C$5:C767,C767),"")</f>
        <v/>
      </c>
    </row>
    <row r="768">
      <c r="A768" s="53" t="n"/>
      <c r="B768" s="54" t="n"/>
      <c r="C768" s="55" t="n"/>
      <c r="D768" s="55" t="n"/>
      <c r="E768" s="55" t="n"/>
      <c r="F768" s="55" t="n"/>
      <c r="G768" s="56" t="n"/>
      <c r="H768" s="57" t="n"/>
      <c r="I768" s="55" t="n"/>
      <c r="J768" s="53" t="n"/>
      <c r="K768" s="54" t="n"/>
      <c r="L768" s="55" t="n"/>
      <c r="M768" s="55" t="n"/>
      <c r="N768" s="57" t="n"/>
      <c r="O768" s="55" t="n"/>
      <c r="P768" s="56" t="n"/>
      <c r="Q768" s="55" t="n"/>
      <c r="R768" s="55" t="n"/>
      <c r="S768" s="55" t="n"/>
      <c r="T768" s="55" t="n"/>
      <c r="U768" s="55" t="n"/>
      <c r="V768" s="55" t="n"/>
      <c r="W768" s="58" t="n"/>
      <c r="X768" s="58" t="n"/>
      <c r="Y768" s="55" t="n"/>
      <c r="Z768" s="55" t="n"/>
      <c r="AA768" s="55" t="n"/>
      <c r="AB768" s="55" t="n"/>
      <c r="AC768" s="55" t="n"/>
      <c r="AD768" s="53" t="n"/>
      <c r="AE768" s="55" t="n"/>
      <c r="AF768" s="55" t="n"/>
      <c r="AG768" s="59" t="n"/>
      <c r="AH768" s="57" t="n"/>
      <c r="AI768" s="55" t="n"/>
      <c r="AJ768" s="55" t="n"/>
      <c r="AK768" s="55" t="n"/>
      <c r="AL768" s="55" t="n"/>
      <c r="AM768" s="56" t="n"/>
      <c r="AN768" s="55" t="n"/>
      <c r="AO768" s="55" t="n"/>
      <c r="AP768" s="55" t="n"/>
      <c r="AQ768" s="55" t="n"/>
      <c r="AR768" s="60">
        <f>IF(AND(C768="",E768=""),"",IF(A768="","⚠ Date manquante",IF(AND(C768="",E768&lt;&gt;"Dépense"),"⚠ Prospect manquant",IF(E768="","⚠ Action manquante",IF(AND(AU768=1,D768=""),"⚠ Canal manquant",IF(AND(W768&lt;&gt;"",COUNTIFS('Saisie'!$W$5:$W$2004,W768,'Saisie'!$C$5:$C$2004,"&lt;&gt;"&amp;C768)&gt;0),"⚠ Numéro déjà utilisé par un autre prospect",IF(AND(J768&lt;&gt;"",J768&lt;A768),"⚠ Relance avant la date de l'action",IF(A768&gt;TODAY(),"⚠ Date dans le futur","✓"))))))))</f>
        <v/>
      </c>
      <c r="AS768" s="61">
        <f>IF(AND(A768="",C768="",E768=""),"",ROW())</f>
        <v/>
      </c>
      <c r="AT768" s="61">
        <f>IF(E768&amp;F768="","",MAX(IFERROR(INDEX('Paramètres'!$J$6:$J$33,MATCH(E768,'Paramètres'!$I$6:$I$33,0)),0),IFERROR(INDEX('Paramètres'!$N$6:$N$17,MATCH(F768,'Paramètres'!$M$6:$M$17,0)),0)))</f>
        <v/>
      </c>
      <c r="AU768" s="61">
        <f>IF(E768="","",IFERROR(IF(INDEX('Paramètres'!$K$6:$K$33,MATCH(E768,'Paramètres'!$I$6:$I$33,0))="Oui",1,0),0))</f>
        <v/>
      </c>
      <c r="AV768" s="61">
        <f>IF(F768="","",IFERROR(IF(INDEX('Paramètres'!$O$6:$O$17,MATCH(F768,'Paramètres'!$M$6:$M$17,0))="Oui",1,0),0))</f>
        <v/>
      </c>
      <c r="AW768" s="62">
        <f>IF(E768="","",IF(G768&lt;&gt;"",G768,IF(OR(E768="Proposition envoyée",E768="Signature"),MAX(0,N(IFERROR(INDEX('Paramètres'!$R$6:$R$15,MATCH(IF(AL768&lt;&gt;"",AL768,IFERROR(INDEX('Prospects'!$AN$5:$AN$504,MATCH(C768,'Prospects'!$C$5:$C$504,0)),"")),'Paramètres'!$Q$6:$Q$15,0)),0))-N(P768)),0)))</f>
        <v/>
      </c>
      <c r="AX768" s="61">
        <f>IF(C768="","",IF(COUNTIF($C$5:C768,C768)=1,MAX($AX$4:AX767)+1,""))</f>
        <v/>
      </c>
      <c r="AY768" s="61">
        <f>IF(B768="","",HOUR(B768))</f>
        <v/>
      </c>
      <c r="AZ768" s="61">
        <f>IF(A768="","",MOD(A768-2,7)+1)</f>
        <v/>
      </c>
      <c r="BA768" s="60">
        <f>IF(C768="","",IFERROR(INDEX('Prospects'!$N$5:$N$504,MATCH(C768,'Prospects'!$C$5:$C$504,0)),""))</f>
        <v/>
      </c>
      <c r="BB768" s="61">
        <f>IF(AND(C768&lt;&gt;"",C768='Fiche prospect'!$C$4),COUNTIF($C$5:C768,C768),"")</f>
        <v/>
      </c>
    </row>
    <row r="769">
      <c r="A769" s="53" t="n"/>
      <c r="B769" s="54" t="n"/>
      <c r="C769" s="55" t="n"/>
      <c r="D769" s="55" t="n"/>
      <c r="E769" s="55" t="n"/>
      <c r="F769" s="55" t="n"/>
      <c r="G769" s="56" t="n"/>
      <c r="H769" s="57" t="n"/>
      <c r="I769" s="55" t="n"/>
      <c r="J769" s="53" t="n"/>
      <c r="K769" s="54" t="n"/>
      <c r="L769" s="55" t="n"/>
      <c r="M769" s="55" t="n"/>
      <c r="N769" s="57" t="n"/>
      <c r="O769" s="55" t="n"/>
      <c r="P769" s="56" t="n"/>
      <c r="Q769" s="55" t="n"/>
      <c r="R769" s="55" t="n"/>
      <c r="S769" s="55" t="n"/>
      <c r="T769" s="55" t="n"/>
      <c r="U769" s="55" t="n"/>
      <c r="V769" s="55" t="n"/>
      <c r="W769" s="58" t="n"/>
      <c r="X769" s="58" t="n"/>
      <c r="Y769" s="55" t="n"/>
      <c r="Z769" s="55" t="n"/>
      <c r="AA769" s="55" t="n"/>
      <c r="AB769" s="55" t="n"/>
      <c r="AC769" s="55" t="n"/>
      <c r="AD769" s="53" t="n"/>
      <c r="AE769" s="55" t="n"/>
      <c r="AF769" s="55" t="n"/>
      <c r="AG769" s="59" t="n"/>
      <c r="AH769" s="57" t="n"/>
      <c r="AI769" s="55" t="n"/>
      <c r="AJ769" s="55" t="n"/>
      <c r="AK769" s="55" t="n"/>
      <c r="AL769" s="55" t="n"/>
      <c r="AM769" s="56" t="n"/>
      <c r="AN769" s="55" t="n"/>
      <c r="AO769" s="55" t="n"/>
      <c r="AP769" s="55" t="n"/>
      <c r="AQ769" s="55" t="n"/>
      <c r="AR769" s="60">
        <f>IF(AND(C769="",E769=""),"",IF(A769="","⚠ Date manquante",IF(AND(C769="",E769&lt;&gt;"Dépense"),"⚠ Prospect manquant",IF(E769="","⚠ Action manquante",IF(AND(AU769=1,D769=""),"⚠ Canal manquant",IF(AND(W769&lt;&gt;"",COUNTIFS('Saisie'!$W$5:$W$2004,W769,'Saisie'!$C$5:$C$2004,"&lt;&gt;"&amp;C769)&gt;0),"⚠ Numéro déjà utilisé par un autre prospect",IF(AND(J769&lt;&gt;"",J769&lt;A769),"⚠ Relance avant la date de l'action",IF(A769&gt;TODAY(),"⚠ Date dans le futur","✓"))))))))</f>
        <v/>
      </c>
      <c r="AS769" s="61">
        <f>IF(AND(A769="",C769="",E769=""),"",ROW())</f>
        <v/>
      </c>
      <c r="AT769" s="61">
        <f>IF(E769&amp;F769="","",MAX(IFERROR(INDEX('Paramètres'!$J$6:$J$33,MATCH(E769,'Paramètres'!$I$6:$I$33,0)),0),IFERROR(INDEX('Paramètres'!$N$6:$N$17,MATCH(F769,'Paramètres'!$M$6:$M$17,0)),0)))</f>
        <v/>
      </c>
      <c r="AU769" s="61">
        <f>IF(E769="","",IFERROR(IF(INDEX('Paramètres'!$K$6:$K$33,MATCH(E769,'Paramètres'!$I$6:$I$33,0))="Oui",1,0),0))</f>
        <v/>
      </c>
      <c r="AV769" s="61">
        <f>IF(F769="","",IFERROR(IF(INDEX('Paramètres'!$O$6:$O$17,MATCH(F769,'Paramètres'!$M$6:$M$17,0))="Oui",1,0),0))</f>
        <v/>
      </c>
      <c r="AW769" s="62">
        <f>IF(E769="","",IF(G769&lt;&gt;"",G769,IF(OR(E769="Proposition envoyée",E769="Signature"),MAX(0,N(IFERROR(INDEX('Paramètres'!$R$6:$R$15,MATCH(IF(AL769&lt;&gt;"",AL769,IFERROR(INDEX('Prospects'!$AN$5:$AN$504,MATCH(C769,'Prospects'!$C$5:$C$504,0)),"")),'Paramètres'!$Q$6:$Q$15,0)),0))-N(P769)),0)))</f>
        <v/>
      </c>
      <c r="AX769" s="61">
        <f>IF(C769="","",IF(COUNTIF($C$5:C769,C769)=1,MAX($AX$4:AX768)+1,""))</f>
        <v/>
      </c>
      <c r="AY769" s="61">
        <f>IF(B769="","",HOUR(B769))</f>
        <v/>
      </c>
      <c r="AZ769" s="61">
        <f>IF(A769="","",MOD(A769-2,7)+1)</f>
        <v/>
      </c>
      <c r="BA769" s="60">
        <f>IF(C769="","",IFERROR(INDEX('Prospects'!$N$5:$N$504,MATCH(C769,'Prospects'!$C$5:$C$504,0)),""))</f>
        <v/>
      </c>
      <c r="BB769" s="61">
        <f>IF(AND(C769&lt;&gt;"",C769='Fiche prospect'!$C$4),COUNTIF($C$5:C769,C769),"")</f>
        <v/>
      </c>
    </row>
    <row r="770">
      <c r="A770" s="53" t="n"/>
      <c r="B770" s="54" t="n"/>
      <c r="C770" s="55" t="n"/>
      <c r="D770" s="55" t="n"/>
      <c r="E770" s="55" t="n"/>
      <c r="F770" s="55" t="n"/>
      <c r="G770" s="56" t="n"/>
      <c r="H770" s="57" t="n"/>
      <c r="I770" s="55" t="n"/>
      <c r="J770" s="53" t="n"/>
      <c r="K770" s="54" t="n"/>
      <c r="L770" s="55" t="n"/>
      <c r="M770" s="55" t="n"/>
      <c r="N770" s="57" t="n"/>
      <c r="O770" s="55" t="n"/>
      <c r="P770" s="56" t="n"/>
      <c r="Q770" s="55" t="n"/>
      <c r="R770" s="55" t="n"/>
      <c r="S770" s="55" t="n"/>
      <c r="T770" s="55" t="n"/>
      <c r="U770" s="55" t="n"/>
      <c r="V770" s="55" t="n"/>
      <c r="W770" s="58" t="n"/>
      <c r="X770" s="58" t="n"/>
      <c r="Y770" s="55" t="n"/>
      <c r="Z770" s="55" t="n"/>
      <c r="AA770" s="55" t="n"/>
      <c r="AB770" s="55" t="n"/>
      <c r="AC770" s="55" t="n"/>
      <c r="AD770" s="53" t="n"/>
      <c r="AE770" s="55" t="n"/>
      <c r="AF770" s="55" t="n"/>
      <c r="AG770" s="59" t="n"/>
      <c r="AH770" s="57" t="n"/>
      <c r="AI770" s="55" t="n"/>
      <c r="AJ770" s="55" t="n"/>
      <c r="AK770" s="55" t="n"/>
      <c r="AL770" s="55" t="n"/>
      <c r="AM770" s="56" t="n"/>
      <c r="AN770" s="55" t="n"/>
      <c r="AO770" s="55" t="n"/>
      <c r="AP770" s="55" t="n"/>
      <c r="AQ770" s="55" t="n"/>
      <c r="AR770" s="60">
        <f>IF(AND(C770="",E770=""),"",IF(A770="","⚠ Date manquante",IF(AND(C770="",E770&lt;&gt;"Dépense"),"⚠ Prospect manquant",IF(E770="","⚠ Action manquante",IF(AND(AU770=1,D770=""),"⚠ Canal manquant",IF(AND(W770&lt;&gt;"",COUNTIFS('Saisie'!$W$5:$W$2004,W770,'Saisie'!$C$5:$C$2004,"&lt;&gt;"&amp;C770)&gt;0),"⚠ Numéro déjà utilisé par un autre prospect",IF(AND(J770&lt;&gt;"",J770&lt;A770),"⚠ Relance avant la date de l'action",IF(A770&gt;TODAY(),"⚠ Date dans le futur","✓"))))))))</f>
        <v/>
      </c>
      <c r="AS770" s="61">
        <f>IF(AND(A770="",C770="",E770=""),"",ROW())</f>
        <v/>
      </c>
      <c r="AT770" s="61">
        <f>IF(E770&amp;F770="","",MAX(IFERROR(INDEX('Paramètres'!$J$6:$J$33,MATCH(E770,'Paramètres'!$I$6:$I$33,0)),0),IFERROR(INDEX('Paramètres'!$N$6:$N$17,MATCH(F770,'Paramètres'!$M$6:$M$17,0)),0)))</f>
        <v/>
      </c>
      <c r="AU770" s="61">
        <f>IF(E770="","",IFERROR(IF(INDEX('Paramètres'!$K$6:$K$33,MATCH(E770,'Paramètres'!$I$6:$I$33,0))="Oui",1,0),0))</f>
        <v/>
      </c>
      <c r="AV770" s="61">
        <f>IF(F770="","",IFERROR(IF(INDEX('Paramètres'!$O$6:$O$17,MATCH(F770,'Paramètres'!$M$6:$M$17,0))="Oui",1,0),0))</f>
        <v/>
      </c>
      <c r="AW770" s="62">
        <f>IF(E770="","",IF(G770&lt;&gt;"",G770,IF(OR(E770="Proposition envoyée",E770="Signature"),MAX(0,N(IFERROR(INDEX('Paramètres'!$R$6:$R$15,MATCH(IF(AL770&lt;&gt;"",AL770,IFERROR(INDEX('Prospects'!$AN$5:$AN$504,MATCH(C770,'Prospects'!$C$5:$C$504,0)),"")),'Paramètres'!$Q$6:$Q$15,0)),0))-N(P770)),0)))</f>
        <v/>
      </c>
      <c r="AX770" s="61">
        <f>IF(C770="","",IF(COUNTIF($C$5:C770,C770)=1,MAX($AX$4:AX769)+1,""))</f>
        <v/>
      </c>
      <c r="AY770" s="61">
        <f>IF(B770="","",HOUR(B770))</f>
        <v/>
      </c>
      <c r="AZ770" s="61">
        <f>IF(A770="","",MOD(A770-2,7)+1)</f>
        <v/>
      </c>
      <c r="BA770" s="60">
        <f>IF(C770="","",IFERROR(INDEX('Prospects'!$N$5:$N$504,MATCH(C770,'Prospects'!$C$5:$C$504,0)),""))</f>
        <v/>
      </c>
      <c r="BB770" s="61">
        <f>IF(AND(C770&lt;&gt;"",C770='Fiche prospect'!$C$4),COUNTIF($C$5:C770,C770),"")</f>
        <v/>
      </c>
    </row>
    <row r="771">
      <c r="A771" s="53" t="n"/>
      <c r="B771" s="54" t="n"/>
      <c r="C771" s="55" t="n"/>
      <c r="D771" s="55" t="n"/>
      <c r="E771" s="55" t="n"/>
      <c r="F771" s="55" t="n"/>
      <c r="G771" s="56" t="n"/>
      <c r="H771" s="57" t="n"/>
      <c r="I771" s="55" t="n"/>
      <c r="J771" s="53" t="n"/>
      <c r="K771" s="54" t="n"/>
      <c r="L771" s="55" t="n"/>
      <c r="M771" s="55" t="n"/>
      <c r="N771" s="57" t="n"/>
      <c r="O771" s="55" t="n"/>
      <c r="P771" s="56" t="n"/>
      <c r="Q771" s="55" t="n"/>
      <c r="R771" s="55" t="n"/>
      <c r="S771" s="55" t="n"/>
      <c r="T771" s="55" t="n"/>
      <c r="U771" s="55" t="n"/>
      <c r="V771" s="55" t="n"/>
      <c r="W771" s="58" t="n"/>
      <c r="X771" s="58" t="n"/>
      <c r="Y771" s="55" t="n"/>
      <c r="Z771" s="55" t="n"/>
      <c r="AA771" s="55" t="n"/>
      <c r="AB771" s="55" t="n"/>
      <c r="AC771" s="55" t="n"/>
      <c r="AD771" s="53" t="n"/>
      <c r="AE771" s="55" t="n"/>
      <c r="AF771" s="55" t="n"/>
      <c r="AG771" s="59" t="n"/>
      <c r="AH771" s="57" t="n"/>
      <c r="AI771" s="55" t="n"/>
      <c r="AJ771" s="55" t="n"/>
      <c r="AK771" s="55" t="n"/>
      <c r="AL771" s="55" t="n"/>
      <c r="AM771" s="56" t="n"/>
      <c r="AN771" s="55" t="n"/>
      <c r="AO771" s="55" t="n"/>
      <c r="AP771" s="55" t="n"/>
      <c r="AQ771" s="55" t="n"/>
      <c r="AR771" s="60">
        <f>IF(AND(C771="",E771=""),"",IF(A771="","⚠ Date manquante",IF(AND(C771="",E771&lt;&gt;"Dépense"),"⚠ Prospect manquant",IF(E771="","⚠ Action manquante",IF(AND(AU771=1,D771=""),"⚠ Canal manquant",IF(AND(W771&lt;&gt;"",COUNTIFS('Saisie'!$W$5:$W$2004,W771,'Saisie'!$C$5:$C$2004,"&lt;&gt;"&amp;C771)&gt;0),"⚠ Numéro déjà utilisé par un autre prospect",IF(AND(J771&lt;&gt;"",J771&lt;A771),"⚠ Relance avant la date de l'action",IF(A771&gt;TODAY(),"⚠ Date dans le futur","✓"))))))))</f>
        <v/>
      </c>
      <c r="AS771" s="61">
        <f>IF(AND(A771="",C771="",E771=""),"",ROW())</f>
        <v/>
      </c>
      <c r="AT771" s="61">
        <f>IF(E771&amp;F771="","",MAX(IFERROR(INDEX('Paramètres'!$J$6:$J$33,MATCH(E771,'Paramètres'!$I$6:$I$33,0)),0),IFERROR(INDEX('Paramètres'!$N$6:$N$17,MATCH(F771,'Paramètres'!$M$6:$M$17,0)),0)))</f>
        <v/>
      </c>
      <c r="AU771" s="61">
        <f>IF(E771="","",IFERROR(IF(INDEX('Paramètres'!$K$6:$K$33,MATCH(E771,'Paramètres'!$I$6:$I$33,0))="Oui",1,0),0))</f>
        <v/>
      </c>
      <c r="AV771" s="61">
        <f>IF(F771="","",IFERROR(IF(INDEX('Paramètres'!$O$6:$O$17,MATCH(F771,'Paramètres'!$M$6:$M$17,0))="Oui",1,0),0))</f>
        <v/>
      </c>
      <c r="AW771" s="62">
        <f>IF(E771="","",IF(G771&lt;&gt;"",G771,IF(OR(E771="Proposition envoyée",E771="Signature"),MAX(0,N(IFERROR(INDEX('Paramètres'!$R$6:$R$15,MATCH(IF(AL771&lt;&gt;"",AL771,IFERROR(INDEX('Prospects'!$AN$5:$AN$504,MATCH(C771,'Prospects'!$C$5:$C$504,0)),"")),'Paramètres'!$Q$6:$Q$15,0)),0))-N(P771)),0)))</f>
        <v/>
      </c>
      <c r="AX771" s="61">
        <f>IF(C771="","",IF(COUNTIF($C$5:C771,C771)=1,MAX($AX$4:AX770)+1,""))</f>
        <v/>
      </c>
      <c r="AY771" s="61">
        <f>IF(B771="","",HOUR(B771))</f>
        <v/>
      </c>
      <c r="AZ771" s="61">
        <f>IF(A771="","",MOD(A771-2,7)+1)</f>
        <v/>
      </c>
      <c r="BA771" s="60">
        <f>IF(C771="","",IFERROR(INDEX('Prospects'!$N$5:$N$504,MATCH(C771,'Prospects'!$C$5:$C$504,0)),""))</f>
        <v/>
      </c>
      <c r="BB771" s="61">
        <f>IF(AND(C771&lt;&gt;"",C771='Fiche prospect'!$C$4),COUNTIF($C$5:C771,C771),"")</f>
        <v/>
      </c>
    </row>
    <row r="772">
      <c r="A772" s="53" t="n"/>
      <c r="B772" s="54" t="n"/>
      <c r="C772" s="55" t="n"/>
      <c r="D772" s="55" t="n"/>
      <c r="E772" s="55" t="n"/>
      <c r="F772" s="55" t="n"/>
      <c r="G772" s="56" t="n"/>
      <c r="H772" s="57" t="n"/>
      <c r="I772" s="55" t="n"/>
      <c r="J772" s="53" t="n"/>
      <c r="K772" s="54" t="n"/>
      <c r="L772" s="55" t="n"/>
      <c r="M772" s="55" t="n"/>
      <c r="N772" s="57" t="n"/>
      <c r="O772" s="55" t="n"/>
      <c r="P772" s="56" t="n"/>
      <c r="Q772" s="55" t="n"/>
      <c r="R772" s="55" t="n"/>
      <c r="S772" s="55" t="n"/>
      <c r="T772" s="55" t="n"/>
      <c r="U772" s="55" t="n"/>
      <c r="V772" s="55" t="n"/>
      <c r="W772" s="58" t="n"/>
      <c r="X772" s="58" t="n"/>
      <c r="Y772" s="55" t="n"/>
      <c r="Z772" s="55" t="n"/>
      <c r="AA772" s="55" t="n"/>
      <c r="AB772" s="55" t="n"/>
      <c r="AC772" s="55" t="n"/>
      <c r="AD772" s="53" t="n"/>
      <c r="AE772" s="55" t="n"/>
      <c r="AF772" s="55" t="n"/>
      <c r="AG772" s="59" t="n"/>
      <c r="AH772" s="57" t="n"/>
      <c r="AI772" s="55" t="n"/>
      <c r="AJ772" s="55" t="n"/>
      <c r="AK772" s="55" t="n"/>
      <c r="AL772" s="55" t="n"/>
      <c r="AM772" s="56" t="n"/>
      <c r="AN772" s="55" t="n"/>
      <c r="AO772" s="55" t="n"/>
      <c r="AP772" s="55" t="n"/>
      <c r="AQ772" s="55" t="n"/>
      <c r="AR772" s="60">
        <f>IF(AND(C772="",E772=""),"",IF(A772="","⚠ Date manquante",IF(AND(C772="",E772&lt;&gt;"Dépense"),"⚠ Prospect manquant",IF(E772="","⚠ Action manquante",IF(AND(AU772=1,D772=""),"⚠ Canal manquant",IF(AND(W772&lt;&gt;"",COUNTIFS('Saisie'!$W$5:$W$2004,W772,'Saisie'!$C$5:$C$2004,"&lt;&gt;"&amp;C772)&gt;0),"⚠ Numéro déjà utilisé par un autre prospect",IF(AND(J772&lt;&gt;"",J772&lt;A772),"⚠ Relance avant la date de l'action",IF(A772&gt;TODAY(),"⚠ Date dans le futur","✓"))))))))</f>
        <v/>
      </c>
      <c r="AS772" s="61">
        <f>IF(AND(A772="",C772="",E772=""),"",ROW())</f>
        <v/>
      </c>
      <c r="AT772" s="61">
        <f>IF(E772&amp;F772="","",MAX(IFERROR(INDEX('Paramètres'!$J$6:$J$33,MATCH(E772,'Paramètres'!$I$6:$I$33,0)),0),IFERROR(INDEX('Paramètres'!$N$6:$N$17,MATCH(F772,'Paramètres'!$M$6:$M$17,0)),0)))</f>
        <v/>
      </c>
      <c r="AU772" s="61">
        <f>IF(E772="","",IFERROR(IF(INDEX('Paramètres'!$K$6:$K$33,MATCH(E772,'Paramètres'!$I$6:$I$33,0))="Oui",1,0),0))</f>
        <v/>
      </c>
      <c r="AV772" s="61">
        <f>IF(F772="","",IFERROR(IF(INDEX('Paramètres'!$O$6:$O$17,MATCH(F772,'Paramètres'!$M$6:$M$17,0))="Oui",1,0),0))</f>
        <v/>
      </c>
      <c r="AW772" s="62">
        <f>IF(E772="","",IF(G772&lt;&gt;"",G772,IF(OR(E772="Proposition envoyée",E772="Signature"),MAX(0,N(IFERROR(INDEX('Paramètres'!$R$6:$R$15,MATCH(IF(AL772&lt;&gt;"",AL772,IFERROR(INDEX('Prospects'!$AN$5:$AN$504,MATCH(C772,'Prospects'!$C$5:$C$504,0)),"")),'Paramètres'!$Q$6:$Q$15,0)),0))-N(P772)),0)))</f>
        <v/>
      </c>
      <c r="AX772" s="61">
        <f>IF(C772="","",IF(COUNTIF($C$5:C772,C772)=1,MAX($AX$4:AX771)+1,""))</f>
        <v/>
      </c>
      <c r="AY772" s="61">
        <f>IF(B772="","",HOUR(B772))</f>
        <v/>
      </c>
      <c r="AZ772" s="61">
        <f>IF(A772="","",MOD(A772-2,7)+1)</f>
        <v/>
      </c>
      <c r="BA772" s="60">
        <f>IF(C772="","",IFERROR(INDEX('Prospects'!$N$5:$N$504,MATCH(C772,'Prospects'!$C$5:$C$504,0)),""))</f>
        <v/>
      </c>
      <c r="BB772" s="61">
        <f>IF(AND(C772&lt;&gt;"",C772='Fiche prospect'!$C$4),COUNTIF($C$5:C772,C772),"")</f>
        <v/>
      </c>
    </row>
    <row r="773">
      <c r="A773" s="53" t="n"/>
      <c r="B773" s="54" t="n"/>
      <c r="C773" s="55" t="n"/>
      <c r="D773" s="55" t="n"/>
      <c r="E773" s="55" t="n"/>
      <c r="F773" s="55" t="n"/>
      <c r="G773" s="56" t="n"/>
      <c r="H773" s="57" t="n"/>
      <c r="I773" s="55" t="n"/>
      <c r="J773" s="53" t="n"/>
      <c r="K773" s="54" t="n"/>
      <c r="L773" s="55" t="n"/>
      <c r="M773" s="55" t="n"/>
      <c r="N773" s="57" t="n"/>
      <c r="O773" s="55" t="n"/>
      <c r="P773" s="56" t="n"/>
      <c r="Q773" s="55" t="n"/>
      <c r="R773" s="55" t="n"/>
      <c r="S773" s="55" t="n"/>
      <c r="T773" s="55" t="n"/>
      <c r="U773" s="55" t="n"/>
      <c r="V773" s="55" t="n"/>
      <c r="W773" s="58" t="n"/>
      <c r="X773" s="58" t="n"/>
      <c r="Y773" s="55" t="n"/>
      <c r="Z773" s="55" t="n"/>
      <c r="AA773" s="55" t="n"/>
      <c r="AB773" s="55" t="n"/>
      <c r="AC773" s="55" t="n"/>
      <c r="AD773" s="53" t="n"/>
      <c r="AE773" s="55" t="n"/>
      <c r="AF773" s="55" t="n"/>
      <c r="AG773" s="59" t="n"/>
      <c r="AH773" s="57" t="n"/>
      <c r="AI773" s="55" t="n"/>
      <c r="AJ773" s="55" t="n"/>
      <c r="AK773" s="55" t="n"/>
      <c r="AL773" s="55" t="n"/>
      <c r="AM773" s="56" t="n"/>
      <c r="AN773" s="55" t="n"/>
      <c r="AO773" s="55" t="n"/>
      <c r="AP773" s="55" t="n"/>
      <c r="AQ773" s="55" t="n"/>
      <c r="AR773" s="60">
        <f>IF(AND(C773="",E773=""),"",IF(A773="","⚠ Date manquante",IF(AND(C773="",E773&lt;&gt;"Dépense"),"⚠ Prospect manquant",IF(E773="","⚠ Action manquante",IF(AND(AU773=1,D773=""),"⚠ Canal manquant",IF(AND(W773&lt;&gt;"",COUNTIFS('Saisie'!$W$5:$W$2004,W773,'Saisie'!$C$5:$C$2004,"&lt;&gt;"&amp;C773)&gt;0),"⚠ Numéro déjà utilisé par un autre prospect",IF(AND(J773&lt;&gt;"",J773&lt;A773),"⚠ Relance avant la date de l'action",IF(A773&gt;TODAY(),"⚠ Date dans le futur","✓"))))))))</f>
        <v/>
      </c>
      <c r="AS773" s="61">
        <f>IF(AND(A773="",C773="",E773=""),"",ROW())</f>
        <v/>
      </c>
      <c r="AT773" s="61">
        <f>IF(E773&amp;F773="","",MAX(IFERROR(INDEX('Paramètres'!$J$6:$J$33,MATCH(E773,'Paramètres'!$I$6:$I$33,0)),0),IFERROR(INDEX('Paramètres'!$N$6:$N$17,MATCH(F773,'Paramètres'!$M$6:$M$17,0)),0)))</f>
        <v/>
      </c>
      <c r="AU773" s="61">
        <f>IF(E773="","",IFERROR(IF(INDEX('Paramètres'!$K$6:$K$33,MATCH(E773,'Paramètres'!$I$6:$I$33,0))="Oui",1,0),0))</f>
        <v/>
      </c>
      <c r="AV773" s="61">
        <f>IF(F773="","",IFERROR(IF(INDEX('Paramètres'!$O$6:$O$17,MATCH(F773,'Paramètres'!$M$6:$M$17,0))="Oui",1,0),0))</f>
        <v/>
      </c>
      <c r="AW773" s="62">
        <f>IF(E773="","",IF(G773&lt;&gt;"",G773,IF(OR(E773="Proposition envoyée",E773="Signature"),MAX(0,N(IFERROR(INDEX('Paramètres'!$R$6:$R$15,MATCH(IF(AL773&lt;&gt;"",AL773,IFERROR(INDEX('Prospects'!$AN$5:$AN$504,MATCH(C773,'Prospects'!$C$5:$C$504,0)),"")),'Paramètres'!$Q$6:$Q$15,0)),0))-N(P773)),0)))</f>
        <v/>
      </c>
      <c r="AX773" s="61">
        <f>IF(C773="","",IF(COUNTIF($C$5:C773,C773)=1,MAX($AX$4:AX772)+1,""))</f>
        <v/>
      </c>
      <c r="AY773" s="61">
        <f>IF(B773="","",HOUR(B773))</f>
        <v/>
      </c>
      <c r="AZ773" s="61">
        <f>IF(A773="","",MOD(A773-2,7)+1)</f>
        <v/>
      </c>
      <c r="BA773" s="60">
        <f>IF(C773="","",IFERROR(INDEX('Prospects'!$N$5:$N$504,MATCH(C773,'Prospects'!$C$5:$C$504,0)),""))</f>
        <v/>
      </c>
      <c r="BB773" s="61">
        <f>IF(AND(C773&lt;&gt;"",C773='Fiche prospect'!$C$4),COUNTIF($C$5:C773,C773),"")</f>
        <v/>
      </c>
    </row>
    <row r="774">
      <c r="A774" s="53" t="n"/>
      <c r="B774" s="54" t="n"/>
      <c r="C774" s="55" t="n"/>
      <c r="D774" s="55" t="n"/>
      <c r="E774" s="55" t="n"/>
      <c r="F774" s="55" t="n"/>
      <c r="G774" s="56" t="n"/>
      <c r="H774" s="57" t="n"/>
      <c r="I774" s="55" t="n"/>
      <c r="J774" s="53" t="n"/>
      <c r="K774" s="54" t="n"/>
      <c r="L774" s="55" t="n"/>
      <c r="M774" s="55" t="n"/>
      <c r="N774" s="57" t="n"/>
      <c r="O774" s="55" t="n"/>
      <c r="P774" s="56" t="n"/>
      <c r="Q774" s="55" t="n"/>
      <c r="R774" s="55" t="n"/>
      <c r="S774" s="55" t="n"/>
      <c r="T774" s="55" t="n"/>
      <c r="U774" s="55" t="n"/>
      <c r="V774" s="55" t="n"/>
      <c r="W774" s="58" t="n"/>
      <c r="X774" s="58" t="n"/>
      <c r="Y774" s="55" t="n"/>
      <c r="Z774" s="55" t="n"/>
      <c r="AA774" s="55" t="n"/>
      <c r="AB774" s="55" t="n"/>
      <c r="AC774" s="55" t="n"/>
      <c r="AD774" s="53" t="n"/>
      <c r="AE774" s="55" t="n"/>
      <c r="AF774" s="55" t="n"/>
      <c r="AG774" s="59" t="n"/>
      <c r="AH774" s="57" t="n"/>
      <c r="AI774" s="55" t="n"/>
      <c r="AJ774" s="55" t="n"/>
      <c r="AK774" s="55" t="n"/>
      <c r="AL774" s="55" t="n"/>
      <c r="AM774" s="56" t="n"/>
      <c r="AN774" s="55" t="n"/>
      <c r="AO774" s="55" t="n"/>
      <c r="AP774" s="55" t="n"/>
      <c r="AQ774" s="55" t="n"/>
      <c r="AR774" s="60">
        <f>IF(AND(C774="",E774=""),"",IF(A774="","⚠ Date manquante",IF(AND(C774="",E774&lt;&gt;"Dépense"),"⚠ Prospect manquant",IF(E774="","⚠ Action manquante",IF(AND(AU774=1,D774=""),"⚠ Canal manquant",IF(AND(W774&lt;&gt;"",COUNTIFS('Saisie'!$W$5:$W$2004,W774,'Saisie'!$C$5:$C$2004,"&lt;&gt;"&amp;C774)&gt;0),"⚠ Numéro déjà utilisé par un autre prospect",IF(AND(J774&lt;&gt;"",J774&lt;A774),"⚠ Relance avant la date de l'action",IF(A774&gt;TODAY(),"⚠ Date dans le futur","✓"))))))))</f>
        <v/>
      </c>
      <c r="AS774" s="61">
        <f>IF(AND(A774="",C774="",E774=""),"",ROW())</f>
        <v/>
      </c>
      <c r="AT774" s="61">
        <f>IF(E774&amp;F774="","",MAX(IFERROR(INDEX('Paramètres'!$J$6:$J$33,MATCH(E774,'Paramètres'!$I$6:$I$33,0)),0),IFERROR(INDEX('Paramètres'!$N$6:$N$17,MATCH(F774,'Paramètres'!$M$6:$M$17,0)),0)))</f>
        <v/>
      </c>
      <c r="AU774" s="61">
        <f>IF(E774="","",IFERROR(IF(INDEX('Paramètres'!$K$6:$K$33,MATCH(E774,'Paramètres'!$I$6:$I$33,0))="Oui",1,0),0))</f>
        <v/>
      </c>
      <c r="AV774" s="61">
        <f>IF(F774="","",IFERROR(IF(INDEX('Paramètres'!$O$6:$O$17,MATCH(F774,'Paramètres'!$M$6:$M$17,0))="Oui",1,0),0))</f>
        <v/>
      </c>
      <c r="AW774" s="62">
        <f>IF(E774="","",IF(G774&lt;&gt;"",G774,IF(OR(E774="Proposition envoyée",E774="Signature"),MAX(0,N(IFERROR(INDEX('Paramètres'!$R$6:$R$15,MATCH(IF(AL774&lt;&gt;"",AL774,IFERROR(INDEX('Prospects'!$AN$5:$AN$504,MATCH(C774,'Prospects'!$C$5:$C$504,0)),"")),'Paramètres'!$Q$6:$Q$15,0)),0))-N(P774)),0)))</f>
        <v/>
      </c>
      <c r="AX774" s="61">
        <f>IF(C774="","",IF(COUNTIF($C$5:C774,C774)=1,MAX($AX$4:AX773)+1,""))</f>
        <v/>
      </c>
      <c r="AY774" s="61">
        <f>IF(B774="","",HOUR(B774))</f>
        <v/>
      </c>
      <c r="AZ774" s="61">
        <f>IF(A774="","",MOD(A774-2,7)+1)</f>
        <v/>
      </c>
      <c r="BA774" s="60">
        <f>IF(C774="","",IFERROR(INDEX('Prospects'!$N$5:$N$504,MATCH(C774,'Prospects'!$C$5:$C$504,0)),""))</f>
        <v/>
      </c>
      <c r="BB774" s="61">
        <f>IF(AND(C774&lt;&gt;"",C774='Fiche prospect'!$C$4),COUNTIF($C$5:C774,C774),"")</f>
        <v/>
      </c>
    </row>
    <row r="775">
      <c r="A775" s="53" t="n"/>
      <c r="B775" s="54" t="n"/>
      <c r="C775" s="55" t="n"/>
      <c r="D775" s="55" t="n"/>
      <c r="E775" s="55" t="n"/>
      <c r="F775" s="55" t="n"/>
      <c r="G775" s="56" t="n"/>
      <c r="H775" s="57" t="n"/>
      <c r="I775" s="55" t="n"/>
      <c r="J775" s="53" t="n"/>
      <c r="K775" s="54" t="n"/>
      <c r="L775" s="55" t="n"/>
      <c r="M775" s="55" t="n"/>
      <c r="N775" s="57" t="n"/>
      <c r="O775" s="55" t="n"/>
      <c r="P775" s="56" t="n"/>
      <c r="Q775" s="55" t="n"/>
      <c r="R775" s="55" t="n"/>
      <c r="S775" s="55" t="n"/>
      <c r="T775" s="55" t="n"/>
      <c r="U775" s="55" t="n"/>
      <c r="V775" s="55" t="n"/>
      <c r="W775" s="58" t="n"/>
      <c r="X775" s="58" t="n"/>
      <c r="Y775" s="55" t="n"/>
      <c r="Z775" s="55" t="n"/>
      <c r="AA775" s="55" t="n"/>
      <c r="AB775" s="55" t="n"/>
      <c r="AC775" s="55" t="n"/>
      <c r="AD775" s="53" t="n"/>
      <c r="AE775" s="55" t="n"/>
      <c r="AF775" s="55" t="n"/>
      <c r="AG775" s="59" t="n"/>
      <c r="AH775" s="57" t="n"/>
      <c r="AI775" s="55" t="n"/>
      <c r="AJ775" s="55" t="n"/>
      <c r="AK775" s="55" t="n"/>
      <c r="AL775" s="55" t="n"/>
      <c r="AM775" s="56" t="n"/>
      <c r="AN775" s="55" t="n"/>
      <c r="AO775" s="55" t="n"/>
      <c r="AP775" s="55" t="n"/>
      <c r="AQ775" s="55" t="n"/>
      <c r="AR775" s="60">
        <f>IF(AND(C775="",E775=""),"",IF(A775="","⚠ Date manquante",IF(AND(C775="",E775&lt;&gt;"Dépense"),"⚠ Prospect manquant",IF(E775="","⚠ Action manquante",IF(AND(AU775=1,D775=""),"⚠ Canal manquant",IF(AND(W775&lt;&gt;"",COUNTIFS('Saisie'!$W$5:$W$2004,W775,'Saisie'!$C$5:$C$2004,"&lt;&gt;"&amp;C775)&gt;0),"⚠ Numéro déjà utilisé par un autre prospect",IF(AND(J775&lt;&gt;"",J775&lt;A775),"⚠ Relance avant la date de l'action",IF(A775&gt;TODAY(),"⚠ Date dans le futur","✓"))))))))</f>
        <v/>
      </c>
      <c r="AS775" s="61">
        <f>IF(AND(A775="",C775="",E775=""),"",ROW())</f>
        <v/>
      </c>
      <c r="AT775" s="61">
        <f>IF(E775&amp;F775="","",MAX(IFERROR(INDEX('Paramètres'!$J$6:$J$33,MATCH(E775,'Paramètres'!$I$6:$I$33,0)),0),IFERROR(INDEX('Paramètres'!$N$6:$N$17,MATCH(F775,'Paramètres'!$M$6:$M$17,0)),0)))</f>
        <v/>
      </c>
      <c r="AU775" s="61">
        <f>IF(E775="","",IFERROR(IF(INDEX('Paramètres'!$K$6:$K$33,MATCH(E775,'Paramètres'!$I$6:$I$33,0))="Oui",1,0),0))</f>
        <v/>
      </c>
      <c r="AV775" s="61">
        <f>IF(F775="","",IFERROR(IF(INDEX('Paramètres'!$O$6:$O$17,MATCH(F775,'Paramètres'!$M$6:$M$17,0))="Oui",1,0),0))</f>
        <v/>
      </c>
      <c r="AW775" s="62">
        <f>IF(E775="","",IF(G775&lt;&gt;"",G775,IF(OR(E775="Proposition envoyée",E775="Signature"),MAX(0,N(IFERROR(INDEX('Paramètres'!$R$6:$R$15,MATCH(IF(AL775&lt;&gt;"",AL775,IFERROR(INDEX('Prospects'!$AN$5:$AN$504,MATCH(C775,'Prospects'!$C$5:$C$504,0)),"")),'Paramètres'!$Q$6:$Q$15,0)),0))-N(P775)),0)))</f>
        <v/>
      </c>
      <c r="AX775" s="61">
        <f>IF(C775="","",IF(COUNTIF($C$5:C775,C775)=1,MAX($AX$4:AX774)+1,""))</f>
        <v/>
      </c>
      <c r="AY775" s="61">
        <f>IF(B775="","",HOUR(B775))</f>
        <v/>
      </c>
      <c r="AZ775" s="61">
        <f>IF(A775="","",MOD(A775-2,7)+1)</f>
        <v/>
      </c>
      <c r="BA775" s="60">
        <f>IF(C775="","",IFERROR(INDEX('Prospects'!$N$5:$N$504,MATCH(C775,'Prospects'!$C$5:$C$504,0)),""))</f>
        <v/>
      </c>
      <c r="BB775" s="61">
        <f>IF(AND(C775&lt;&gt;"",C775='Fiche prospect'!$C$4),COUNTIF($C$5:C775,C775),"")</f>
        <v/>
      </c>
    </row>
    <row r="776">
      <c r="A776" s="53" t="n"/>
      <c r="B776" s="54" t="n"/>
      <c r="C776" s="55" t="n"/>
      <c r="D776" s="55" t="n"/>
      <c r="E776" s="55" t="n"/>
      <c r="F776" s="55" t="n"/>
      <c r="G776" s="56" t="n"/>
      <c r="H776" s="57" t="n"/>
      <c r="I776" s="55" t="n"/>
      <c r="J776" s="53" t="n"/>
      <c r="K776" s="54" t="n"/>
      <c r="L776" s="55" t="n"/>
      <c r="M776" s="55" t="n"/>
      <c r="N776" s="57" t="n"/>
      <c r="O776" s="55" t="n"/>
      <c r="P776" s="56" t="n"/>
      <c r="Q776" s="55" t="n"/>
      <c r="R776" s="55" t="n"/>
      <c r="S776" s="55" t="n"/>
      <c r="T776" s="55" t="n"/>
      <c r="U776" s="55" t="n"/>
      <c r="V776" s="55" t="n"/>
      <c r="W776" s="58" t="n"/>
      <c r="X776" s="58" t="n"/>
      <c r="Y776" s="55" t="n"/>
      <c r="Z776" s="55" t="n"/>
      <c r="AA776" s="55" t="n"/>
      <c r="AB776" s="55" t="n"/>
      <c r="AC776" s="55" t="n"/>
      <c r="AD776" s="53" t="n"/>
      <c r="AE776" s="55" t="n"/>
      <c r="AF776" s="55" t="n"/>
      <c r="AG776" s="59" t="n"/>
      <c r="AH776" s="57" t="n"/>
      <c r="AI776" s="55" t="n"/>
      <c r="AJ776" s="55" t="n"/>
      <c r="AK776" s="55" t="n"/>
      <c r="AL776" s="55" t="n"/>
      <c r="AM776" s="56" t="n"/>
      <c r="AN776" s="55" t="n"/>
      <c r="AO776" s="55" t="n"/>
      <c r="AP776" s="55" t="n"/>
      <c r="AQ776" s="55" t="n"/>
      <c r="AR776" s="60">
        <f>IF(AND(C776="",E776=""),"",IF(A776="","⚠ Date manquante",IF(AND(C776="",E776&lt;&gt;"Dépense"),"⚠ Prospect manquant",IF(E776="","⚠ Action manquante",IF(AND(AU776=1,D776=""),"⚠ Canal manquant",IF(AND(W776&lt;&gt;"",COUNTIFS('Saisie'!$W$5:$W$2004,W776,'Saisie'!$C$5:$C$2004,"&lt;&gt;"&amp;C776)&gt;0),"⚠ Numéro déjà utilisé par un autre prospect",IF(AND(J776&lt;&gt;"",J776&lt;A776),"⚠ Relance avant la date de l'action",IF(A776&gt;TODAY(),"⚠ Date dans le futur","✓"))))))))</f>
        <v/>
      </c>
      <c r="AS776" s="61">
        <f>IF(AND(A776="",C776="",E776=""),"",ROW())</f>
        <v/>
      </c>
      <c r="AT776" s="61">
        <f>IF(E776&amp;F776="","",MAX(IFERROR(INDEX('Paramètres'!$J$6:$J$33,MATCH(E776,'Paramètres'!$I$6:$I$33,0)),0),IFERROR(INDEX('Paramètres'!$N$6:$N$17,MATCH(F776,'Paramètres'!$M$6:$M$17,0)),0)))</f>
        <v/>
      </c>
      <c r="AU776" s="61">
        <f>IF(E776="","",IFERROR(IF(INDEX('Paramètres'!$K$6:$K$33,MATCH(E776,'Paramètres'!$I$6:$I$33,0))="Oui",1,0),0))</f>
        <v/>
      </c>
      <c r="AV776" s="61">
        <f>IF(F776="","",IFERROR(IF(INDEX('Paramètres'!$O$6:$O$17,MATCH(F776,'Paramètres'!$M$6:$M$17,0))="Oui",1,0),0))</f>
        <v/>
      </c>
      <c r="AW776" s="62">
        <f>IF(E776="","",IF(G776&lt;&gt;"",G776,IF(OR(E776="Proposition envoyée",E776="Signature"),MAX(0,N(IFERROR(INDEX('Paramètres'!$R$6:$R$15,MATCH(IF(AL776&lt;&gt;"",AL776,IFERROR(INDEX('Prospects'!$AN$5:$AN$504,MATCH(C776,'Prospects'!$C$5:$C$504,0)),"")),'Paramètres'!$Q$6:$Q$15,0)),0))-N(P776)),0)))</f>
        <v/>
      </c>
      <c r="AX776" s="61">
        <f>IF(C776="","",IF(COUNTIF($C$5:C776,C776)=1,MAX($AX$4:AX775)+1,""))</f>
        <v/>
      </c>
      <c r="AY776" s="61">
        <f>IF(B776="","",HOUR(B776))</f>
        <v/>
      </c>
      <c r="AZ776" s="61">
        <f>IF(A776="","",MOD(A776-2,7)+1)</f>
        <v/>
      </c>
      <c r="BA776" s="60">
        <f>IF(C776="","",IFERROR(INDEX('Prospects'!$N$5:$N$504,MATCH(C776,'Prospects'!$C$5:$C$504,0)),""))</f>
        <v/>
      </c>
      <c r="BB776" s="61">
        <f>IF(AND(C776&lt;&gt;"",C776='Fiche prospect'!$C$4),COUNTIF($C$5:C776,C776),"")</f>
        <v/>
      </c>
    </row>
    <row r="777">
      <c r="A777" s="53" t="n"/>
      <c r="B777" s="54" t="n"/>
      <c r="C777" s="55" t="n"/>
      <c r="D777" s="55" t="n"/>
      <c r="E777" s="55" t="n"/>
      <c r="F777" s="55" t="n"/>
      <c r="G777" s="56" t="n"/>
      <c r="H777" s="57" t="n"/>
      <c r="I777" s="55" t="n"/>
      <c r="J777" s="53" t="n"/>
      <c r="K777" s="54" t="n"/>
      <c r="L777" s="55" t="n"/>
      <c r="M777" s="55" t="n"/>
      <c r="N777" s="57" t="n"/>
      <c r="O777" s="55" t="n"/>
      <c r="P777" s="56" t="n"/>
      <c r="Q777" s="55" t="n"/>
      <c r="R777" s="55" t="n"/>
      <c r="S777" s="55" t="n"/>
      <c r="T777" s="55" t="n"/>
      <c r="U777" s="55" t="n"/>
      <c r="V777" s="55" t="n"/>
      <c r="W777" s="58" t="n"/>
      <c r="X777" s="58" t="n"/>
      <c r="Y777" s="55" t="n"/>
      <c r="Z777" s="55" t="n"/>
      <c r="AA777" s="55" t="n"/>
      <c r="AB777" s="55" t="n"/>
      <c r="AC777" s="55" t="n"/>
      <c r="AD777" s="53" t="n"/>
      <c r="AE777" s="55" t="n"/>
      <c r="AF777" s="55" t="n"/>
      <c r="AG777" s="59" t="n"/>
      <c r="AH777" s="57" t="n"/>
      <c r="AI777" s="55" t="n"/>
      <c r="AJ777" s="55" t="n"/>
      <c r="AK777" s="55" t="n"/>
      <c r="AL777" s="55" t="n"/>
      <c r="AM777" s="56" t="n"/>
      <c r="AN777" s="55" t="n"/>
      <c r="AO777" s="55" t="n"/>
      <c r="AP777" s="55" t="n"/>
      <c r="AQ777" s="55" t="n"/>
      <c r="AR777" s="60">
        <f>IF(AND(C777="",E777=""),"",IF(A777="","⚠ Date manquante",IF(AND(C777="",E777&lt;&gt;"Dépense"),"⚠ Prospect manquant",IF(E777="","⚠ Action manquante",IF(AND(AU777=1,D777=""),"⚠ Canal manquant",IF(AND(W777&lt;&gt;"",COUNTIFS('Saisie'!$W$5:$W$2004,W777,'Saisie'!$C$5:$C$2004,"&lt;&gt;"&amp;C777)&gt;0),"⚠ Numéro déjà utilisé par un autre prospect",IF(AND(J777&lt;&gt;"",J777&lt;A777),"⚠ Relance avant la date de l'action",IF(A777&gt;TODAY(),"⚠ Date dans le futur","✓"))))))))</f>
        <v/>
      </c>
      <c r="AS777" s="61">
        <f>IF(AND(A777="",C777="",E777=""),"",ROW())</f>
        <v/>
      </c>
      <c r="AT777" s="61">
        <f>IF(E777&amp;F777="","",MAX(IFERROR(INDEX('Paramètres'!$J$6:$J$33,MATCH(E777,'Paramètres'!$I$6:$I$33,0)),0),IFERROR(INDEX('Paramètres'!$N$6:$N$17,MATCH(F777,'Paramètres'!$M$6:$M$17,0)),0)))</f>
        <v/>
      </c>
      <c r="AU777" s="61">
        <f>IF(E777="","",IFERROR(IF(INDEX('Paramètres'!$K$6:$K$33,MATCH(E777,'Paramètres'!$I$6:$I$33,0))="Oui",1,0),0))</f>
        <v/>
      </c>
      <c r="AV777" s="61">
        <f>IF(F777="","",IFERROR(IF(INDEX('Paramètres'!$O$6:$O$17,MATCH(F777,'Paramètres'!$M$6:$M$17,0))="Oui",1,0),0))</f>
        <v/>
      </c>
      <c r="AW777" s="62">
        <f>IF(E777="","",IF(G777&lt;&gt;"",G777,IF(OR(E777="Proposition envoyée",E777="Signature"),MAX(0,N(IFERROR(INDEX('Paramètres'!$R$6:$R$15,MATCH(IF(AL777&lt;&gt;"",AL777,IFERROR(INDEX('Prospects'!$AN$5:$AN$504,MATCH(C777,'Prospects'!$C$5:$C$504,0)),"")),'Paramètres'!$Q$6:$Q$15,0)),0))-N(P777)),0)))</f>
        <v/>
      </c>
      <c r="AX777" s="61">
        <f>IF(C777="","",IF(COUNTIF($C$5:C777,C777)=1,MAX($AX$4:AX776)+1,""))</f>
        <v/>
      </c>
      <c r="AY777" s="61">
        <f>IF(B777="","",HOUR(B777))</f>
        <v/>
      </c>
      <c r="AZ777" s="61">
        <f>IF(A777="","",MOD(A777-2,7)+1)</f>
        <v/>
      </c>
      <c r="BA777" s="60">
        <f>IF(C777="","",IFERROR(INDEX('Prospects'!$N$5:$N$504,MATCH(C777,'Prospects'!$C$5:$C$504,0)),""))</f>
        <v/>
      </c>
      <c r="BB777" s="61">
        <f>IF(AND(C777&lt;&gt;"",C777='Fiche prospect'!$C$4),COUNTIF($C$5:C777,C777),"")</f>
        <v/>
      </c>
    </row>
    <row r="778">
      <c r="A778" s="53" t="n"/>
      <c r="B778" s="54" t="n"/>
      <c r="C778" s="55" t="n"/>
      <c r="D778" s="55" t="n"/>
      <c r="E778" s="55" t="n"/>
      <c r="F778" s="55" t="n"/>
      <c r="G778" s="56" t="n"/>
      <c r="H778" s="57" t="n"/>
      <c r="I778" s="55" t="n"/>
      <c r="J778" s="53" t="n"/>
      <c r="K778" s="54" t="n"/>
      <c r="L778" s="55" t="n"/>
      <c r="M778" s="55" t="n"/>
      <c r="N778" s="57" t="n"/>
      <c r="O778" s="55" t="n"/>
      <c r="P778" s="56" t="n"/>
      <c r="Q778" s="55" t="n"/>
      <c r="R778" s="55" t="n"/>
      <c r="S778" s="55" t="n"/>
      <c r="T778" s="55" t="n"/>
      <c r="U778" s="55" t="n"/>
      <c r="V778" s="55" t="n"/>
      <c r="W778" s="58" t="n"/>
      <c r="X778" s="58" t="n"/>
      <c r="Y778" s="55" t="n"/>
      <c r="Z778" s="55" t="n"/>
      <c r="AA778" s="55" t="n"/>
      <c r="AB778" s="55" t="n"/>
      <c r="AC778" s="55" t="n"/>
      <c r="AD778" s="53" t="n"/>
      <c r="AE778" s="55" t="n"/>
      <c r="AF778" s="55" t="n"/>
      <c r="AG778" s="59" t="n"/>
      <c r="AH778" s="57" t="n"/>
      <c r="AI778" s="55" t="n"/>
      <c r="AJ778" s="55" t="n"/>
      <c r="AK778" s="55" t="n"/>
      <c r="AL778" s="55" t="n"/>
      <c r="AM778" s="56" t="n"/>
      <c r="AN778" s="55" t="n"/>
      <c r="AO778" s="55" t="n"/>
      <c r="AP778" s="55" t="n"/>
      <c r="AQ778" s="55" t="n"/>
      <c r="AR778" s="60">
        <f>IF(AND(C778="",E778=""),"",IF(A778="","⚠ Date manquante",IF(AND(C778="",E778&lt;&gt;"Dépense"),"⚠ Prospect manquant",IF(E778="","⚠ Action manquante",IF(AND(AU778=1,D778=""),"⚠ Canal manquant",IF(AND(W778&lt;&gt;"",COUNTIFS('Saisie'!$W$5:$W$2004,W778,'Saisie'!$C$5:$C$2004,"&lt;&gt;"&amp;C778)&gt;0),"⚠ Numéro déjà utilisé par un autre prospect",IF(AND(J778&lt;&gt;"",J778&lt;A778),"⚠ Relance avant la date de l'action",IF(A778&gt;TODAY(),"⚠ Date dans le futur","✓"))))))))</f>
        <v/>
      </c>
      <c r="AS778" s="61">
        <f>IF(AND(A778="",C778="",E778=""),"",ROW())</f>
        <v/>
      </c>
      <c r="AT778" s="61">
        <f>IF(E778&amp;F778="","",MAX(IFERROR(INDEX('Paramètres'!$J$6:$J$33,MATCH(E778,'Paramètres'!$I$6:$I$33,0)),0),IFERROR(INDEX('Paramètres'!$N$6:$N$17,MATCH(F778,'Paramètres'!$M$6:$M$17,0)),0)))</f>
        <v/>
      </c>
      <c r="AU778" s="61">
        <f>IF(E778="","",IFERROR(IF(INDEX('Paramètres'!$K$6:$K$33,MATCH(E778,'Paramètres'!$I$6:$I$33,0))="Oui",1,0),0))</f>
        <v/>
      </c>
      <c r="AV778" s="61">
        <f>IF(F778="","",IFERROR(IF(INDEX('Paramètres'!$O$6:$O$17,MATCH(F778,'Paramètres'!$M$6:$M$17,0))="Oui",1,0),0))</f>
        <v/>
      </c>
      <c r="AW778" s="62">
        <f>IF(E778="","",IF(G778&lt;&gt;"",G778,IF(OR(E778="Proposition envoyée",E778="Signature"),MAX(0,N(IFERROR(INDEX('Paramètres'!$R$6:$R$15,MATCH(IF(AL778&lt;&gt;"",AL778,IFERROR(INDEX('Prospects'!$AN$5:$AN$504,MATCH(C778,'Prospects'!$C$5:$C$504,0)),"")),'Paramètres'!$Q$6:$Q$15,0)),0))-N(P778)),0)))</f>
        <v/>
      </c>
      <c r="AX778" s="61">
        <f>IF(C778="","",IF(COUNTIF($C$5:C778,C778)=1,MAX($AX$4:AX777)+1,""))</f>
        <v/>
      </c>
      <c r="AY778" s="61">
        <f>IF(B778="","",HOUR(B778))</f>
        <v/>
      </c>
      <c r="AZ778" s="61">
        <f>IF(A778="","",MOD(A778-2,7)+1)</f>
        <v/>
      </c>
      <c r="BA778" s="60">
        <f>IF(C778="","",IFERROR(INDEX('Prospects'!$N$5:$N$504,MATCH(C778,'Prospects'!$C$5:$C$504,0)),""))</f>
        <v/>
      </c>
      <c r="BB778" s="61">
        <f>IF(AND(C778&lt;&gt;"",C778='Fiche prospect'!$C$4),COUNTIF($C$5:C778,C778),"")</f>
        <v/>
      </c>
    </row>
    <row r="779">
      <c r="A779" s="53" t="n"/>
      <c r="B779" s="54" t="n"/>
      <c r="C779" s="55" t="n"/>
      <c r="D779" s="55" t="n"/>
      <c r="E779" s="55" t="n"/>
      <c r="F779" s="55" t="n"/>
      <c r="G779" s="56" t="n"/>
      <c r="H779" s="57" t="n"/>
      <c r="I779" s="55" t="n"/>
      <c r="J779" s="53" t="n"/>
      <c r="K779" s="54" t="n"/>
      <c r="L779" s="55" t="n"/>
      <c r="M779" s="55" t="n"/>
      <c r="N779" s="57" t="n"/>
      <c r="O779" s="55" t="n"/>
      <c r="P779" s="56" t="n"/>
      <c r="Q779" s="55" t="n"/>
      <c r="R779" s="55" t="n"/>
      <c r="S779" s="55" t="n"/>
      <c r="T779" s="55" t="n"/>
      <c r="U779" s="55" t="n"/>
      <c r="V779" s="55" t="n"/>
      <c r="W779" s="58" t="n"/>
      <c r="X779" s="58" t="n"/>
      <c r="Y779" s="55" t="n"/>
      <c r="Z779" s="55" t="n"/>
      <c r="AA779" s="55" t="n"/>
      <c r="AB779" s="55" t="n"/>
      <c r="AC779" s="55" t="n"/>
      <c r="AD779" s="53" t="n"/>
      <c r="AE779" s="55" t="n"/>
      <c r="AF779" s="55" t="n"/>
      <c r="AG779" s="59" t="n"/>
      <c r="AH779" s="57" t="n"/>
      <c r="AI779" s="55" t="n"/>
      <c r="AJ779" s="55" t="n"/>
      <c r="AK779" s="55" t="n"/>
      <c r="AL779" s="55" t="n"/>
      <c r="AM779" s="56" t="n"/>
      <c r="AN779" s="55" t="n"/>
      <c r="AO779" s="55" t="n"/>
      <c r="AP779" s="55" t="n"/>
      <c r="AQ779" s="55" t="n"/>
      <c r="AR779" s="60">
        <f>IF(AND(C779="",E779=""),"",IF(A779="","⚠ Date manquante",IF(AND(C779="",E779&lt;&gt;"Dépense"),"⚠ Prospect manquant",IF(E779="","⚠ Action manquante",IF(AND(AU779=1,D779=""),"⚠ Canal manquant",IF(AND(W779&lt;&gt;"",COUNTIFS('Saisie'!$W$5:$W$2004,W779,'Saisie'!$C$5:$C$2004,"&lt;&gt;"&amp;C779)&gt;0),"⚠ Numéro déjà utilisé par un autre prospect",IF(AND(J779&lt;&gt;"",J779&lt;A779),"⚠ Relance avant la date de l'action",IF(A779&gt;TODAY(),"⚠ Date dans le futur","✓"))))))))</f>
        <v/>
      </c>
      <c r="AS779" s="61">
        <f>IF(AND(A779="",C779="",E779=""),"",ROW())</f>
        <v/>
      </c>
      <c r="AT779" s="61">
        <f>IF(E779&amp;F779="","",MAX(IFERROR(INDEX('Paramètres'!$J$6:$J$33,MATCH(E779,'Paramètres'!$I$6:$I$33,0)),0),IFERROR(INDEX('Paramètres'!$N$6:$N$17,MATCH(F779,'Paramètres'!$M$6:$M$17,0)),0)))</f>
        <v/>
      </c>
      <c r="AU779" s="61">
        <f>IF(E779="","",IFERROR(IF(INDEX('Paramètres'!$K$6:$K$33,MATCH(E779,'Paramètres'!$I$6:$I$33,0))="Oui",1,0),0))</f>
        <v/>
      </c>
      <c r="AV779" s="61">
        <f>IF(F779="","",IFERROR(IF(INDEX('Paramètres'!$O$6:$O$17,MATCH(F779,'Paramètres'!$M$6:$M$17,0))="Oui",1,0),0))</f>
        <v/>
      </c>
      <c r="AW779" s="62">
        <f>IF(E779="","",IF(G779&lt;&gt;"",G779,IF(OR(E779="Proposition envoyée",E779="Signature"),MAX(0,N(IFERROR(INDEX('Paramètres'!$R$6:$R$15,MATCH(IF(AL779&lt;&gt;"",AL779,IFERROR(INDEX('Prospects'!$AN$5:$AN$504,MATCH(C779,'Prospects'!$C$5:$C$504,0)),"")),'Paramètres'!$Q$6:$Q$15,0)),0))-N(P779)),0)))</f>
        <v/>
      </c>
      <c r="AX779" s="61">
        <f>IF(C779="","",IF(COUNTIF($C$5:C779,C779)=1,MAX($AX$4:AX778)+1,""))</f>
        <v/>
      </c>
      <c r="AY779" s="61">
        <f>IF(B779="","",HOUR(B779))</f>
        <v/>
      </c>
      <c r="AZ779" s="61">
        <f>IF(A779="","",MOD(A779-2,7)+1)</f>
        <v/>
      </c>
      <c r="BA779" s="60">
        <f>IF(C779="","",IFERROR(INDEX('Prospects'!$N$5:$N$504,MATCH(C779,'Prospects'!$C$5:$C$504,0)),""))</f>
        <v/>
      </c>
      <c r="BB779" s="61">
        <f>IF(AND(C779&lt;&gt;"",C779='Fiche prospect'!$C$4),COUNTIF($C$5:C779,C779),"")</f>
        <v/>
      </c>
    </row>
    <row r="780">
      <c r="A780" s="53" t="n"/>
      <c r="B780" s="54" t="n"/>
      <c r="C780" s="55" t="n"/>
      <c r="D780" s="55" t="n"/>
      <c r="E780" s="55" t="n"/>
      <c r="F780" s="55" t="n"/>
      <c r="G780" s="56" t="n"/>
      <c r="H780" s="57" t="n"/>
      <c r="I780" s="55" t="n"/>
      <c r="J780" s="53" t="n"/>
      <c r="K780" s="54" t="n"/>
      <c r="L780" s="55" t="n"/>
      <c r="M780" s="55" t="n"/>
      <c r="N780" s="57" t="n"/>
      <c r="O780" s="55" t="n"/>
      <c r="P780" s="56" t="n"/>
      <c r="Q780" s="55" t="n"/>
      <c r="R780" s="55" t="n"/>
      <c r="S780" s="55" t="n"/>
      <c r="T780" s="55" t="n"/>
      <c r="U780" s="55" t="n"/>
      <c r="V780" s="55" t="n"/>
      <c r="W780" s="58" t="n"/>
      <c r="X780" s="58" t="n"/>
      <c r="Y780" s="55" t="n"/>
      <c r="Z780" s="55" t="n"/>
      <c r="AA780" s="55" t="n"/>
      <c r="AB780" s="55" t="n"/>
      <c r="AC780" s="55" t="n"/>
      <c r="AD780" s="53" t="n"/>
      <c r="AE780" s="55" t="n"/>
      <c r="AF780" s="55" t="n"/>
      <c r="AG780" s="59" t="n"/>
      <c r="AH780" s="57" t="n"/>
      <c r="AI780" s="55" t="n"/>
      <c r="AJ780" s="55" t="n"/>
      <c r="AK780" s="55" t="n"/>
      <c r="AL780" s="55" t="n"/>
      <c r="AM780" s="56" t="n"/>
      <c r="AN780" s="55" t="n"/>
      <c r="AO780" s="55" t="n"/>
      <c r="AP780" s="55" t="n"/>
      <c r="AQ780" s="55" t="n"/>
      <c r="AR780" s="60">
        <f>IF(AND(C780="",E780=""),"",IF(A780="","⚠ Date manquante",IF(AND(C780="",E780&lt;&gt;"Dépense"),"⚠ Prospect manquant",IF(E780="","⚠ Action manquante",IF(AND(AU780=1,D780=""),"⚠ Canal manquant",IF(AND(W780&lt;&gt;"",COUNTIFS('Saisie'!$W$5:$W$2004,W780,'Saisie'!$C$5:$C$2004,"&lt;&gt;"&amp;C780)&gt;0),"⚠ Numéro déjà utilisé par un autre prospect",IF(AND(J780&lt;&gt;"",J780&lt;A780),"⚠ Relance avant la date de l'action",IF(A780&gt;TODAY(),"⚠ Date dans le futur","✓"))))))))</f>
        <v/>
      </c>
      <c r="AS780" s="61">
        <f>IF(AND(A780="",C780="",E780=""),"",ROW())</f>
        <v/>
      </c>
      <c r="AT780" s="61">
        <f>IF(E780&amp;F780="","",MAX(IFERROR(INDEX('Paramètres'!$J$6:$J$33,MATCH(E780,'Paramètres'!$I$6:$I$33,0)),0),IFERROR(INDEX('Paramètres'!$N$6:$N$17,MATCH(F780,'Paramètres'!$M$6:$M$17,0)),0)))</f>
        <v/>
      </c>
      <c r="AU780" s="61">
        <f>IF(E780="","",IFERROR(IF(INDEX('Paramètres'!$K$6:$K$33,MATCH(E780,'Paramètres'!$I$6:$I$33,0))="Oui",1,0),0))</f>
        <v/>
      </c>
      <c r="AV780" s="61">
        <f>IF(F780="","",IFERROR(IF(INDEX('Paramètres'!$O$6:$O$17,MATCH(F780,'Paramètres'!$M$6:$M$17,0))="Oui",1,0),0))</f>
        <v/>
      </c>
      <c r="AW780" s="62">
        <f>IF(E780="","",IF(G780&lt;&gt;"",G780,IF(OR(E780="Proposition envoyée",E780="Signature"),MAX(0,N(IFERROR(INDEX('Paramètres'!$R$6:$R$15,MATCH(IF(AL780&lt;&gt;"",AL780,IFERROR(INDEX('Prospects'!$AN$5:$AN$504,MATCH(C780,'Prospects'!$C$5:$C$504,0)),"")),'Paramètres'!$Q$6:$Q$15,0)),0))-N(P780)),0)))</f>
        <v/>
      </c>
      <c r="AX780" s="61">
        <f>IF(C780="","",IF(COUNTIF($C$5:C780,C780)=1,MAX($AX$4:AX779)+1,""))</f>
        <v/>
      </c>
      <c r="AY780" s="61">
        <f>IF(B780="","",HOUR(B780))</f>
        <v/>
      </c>
      <c r="AZ780" s="61">
        <f>IF(A780="","",MOD(A780-2,7)+1)</f>
        <v/>
      </c>
      <c r="BA780" s="60">
        <f>IF(C780="","",IFERROR(INDEX('Prospects'!$N$5:$N$504,MATCH(C780,'Prospects'!$C$5:$C$504,0)),""))</f>
        <v/>
      </c>
      <c r="BB780" s="61">
        <f>IF(AND(C780&lt;&gt;"",C780='Fiche prospect'!$C$4),COUNTIF($C$5:C780,C780),"")</f>
        <v/>
      </c>
    </row>
    <row r="781">
      <c r="A781" s="53" t="n"/>
      <c r="B781" s="54" t="n"/>
      <c r="C781" s="55" t="n"/>
      <c r="D781" s="55" t="n"/>
      <c r="E781" s="55" t="n"/>
      <c r="F781" s="55" t="n"/>
      <c r="G781" s="56" t="n"/>
      <c r="H781" s="57" t="n"/>
      <c r="I781" s="55" t="n"/>
      <c r="J781" s="53" t="n"/>
      <c r="K781" s="54" t="n"/>
      <c r="L781" s="55" t="n"/>
      <c r="M781" s="55" t="n"/>
      <c r="N781" s="57" t="n"/>
      <c r="O781" s="55" t="n"/>
      <c r="P781" s="56" t="n"/>
      <c r="Q781" s="55" t="n"/>
      <c r="R781" s="55" t="n"/>
      <c r="S781" s="55" t="n"/>
      <c r="T781" s="55" t="n"/>
      <c r="U781" s="55" t="n"/>
      <c r="V781" s="55" t="n"/>
      <c r="W781" s="58" t="n"/>
      <c r="X781" s="58" t="n"/>
      <c r="Y781" s="55" t="n"/>
      <c r="Z781" s="55" t="n"/>
      <c r="AA781" s="55" t="n"/>
      <c r="AB781" s="55" t="n"/>
      <c r="AC781" s="55" t="n"/>
      <c r="AD781" s="53" t="n"/>
      <c r="AE781" s="55" t="n"/>
      <c r="AF781" s="55" t="n"/>
      <c r="AG781" s="59" t="n"/>
      <c r="AH781" s="57" t="n"/>
      <c r="AI781" s="55" t="n"/>
      <c r="AJ781" s="55" t="n"/>
      <c r="AK781" s="55" t="n"/>
      <c r="AL781" s="55" t="n"/>
      <c r="AM781" s="56" t="n"/>
      <c r="AN781" s="55" t="n"/>
      <c r="AO781" s="55" t="n"/>
      <c r="AP781" s="55" t="n"/>
      <c r="AQ781" s="55" t="n"/>
      <c r="AR781" s="60">
        <f>IF(AND(C781="",E781=""),"",IF(A781="","⚠ Date manquante",IF(AND(C781="",E781&lt;&gt;"Dépense"),"⚠ Prospect manquant",IF(E781="","⚠ Action manquante",IF(AND(AU781=1,D781=""),"⚠ Canal manquant",IF(AND(W781&lt;&gt;"",COUNTIFS('Saisie'!$W$5:$W$2004,W781,'Saisie'!$C$5:$C$2004,"&lt;&gt;"&amp;C781)&gt;0),"⚠ Numéro déjà utilisé par un autre prospect",IF(AND(J781&lt;&gt;"",J781&lt;A781),"⚠ Relance avant la date de l'action",IF(A781&gt;TODAY(),"⚠ Date dans le futur","✓"))))))))</f>
        <v/>
      </c>
      <c r="AS781" s="61">
        <f>IF(AND(A781="",C781="",E781=""),"",ROW())</f>
        <v/>
      </c>
      <c r="AT781" s="61">
        <f>IF(E781&amp;F781="","",MAX(IFERROR(INDEX('Paramètres'!$J$6:$J$33,MATCH(E781,'Paramètres'!$I$6:$I$33,0)),0),IFERROR(INDEX('Paramètres'!$N$6:$N$17,MATCH(F781,'Paramètres'!$M$6:$M$17,0)),0)))</f>
        <v/>
      </c>
      <c r="AU781" s="61">
        <f>IF(E781="","",IFERROR(IF(INDEX('Paramètres'!$K$6:$K$33,MATCH(E781,'Paramètres'!$I$6:$I$33,0))="Oui",1,0),0))</f>
        <v/>
      </c>
      <c r="AV781" s="61">
        <f>IF(F781="","",IFERROR(IF(INDEX('Paramètres'!$O$6:$O$17,MATCH(F781,'Paramètres'!$M$6:$M$17,0))="Oui",1,0),0))</f>
        <v/>
      </c>
      <c r="AW781" s="62">
        <f>IF(E781="","",IF(G781&lt;&gt;"",G781,IF(OR(E781="Proposition envoyée",E781="Signature"),MAX(0,N(IFERROR(INDEX('Paramètres'!$R$6:$R$15,MATCH(IF(AL781&lt;&gt;"",AL781,IFERROR(INDEX('Prospects'!$AN$5:$AN$504,MATCH(C781,'Prospects'!$C$5:$C$504,0)),"")),'Paramètres'!$Q$6:$Q$15,0)),0))-N(P781)),0)))</f>
        <v/>
      </c>
      <c r="AX781" s="61">
        <f>IF(C781="","",IF(COUNTIF($C$5:C781,C781)=1,MAX($AX$4:AX780)+1,""))</f>
        <v/>
      </c>
      <c r="AY781" s="61">
        <f>IF(B781="","",HOUR(B781))</f>
        <v/>
      </c>
      <c r="AZ781" s="61">
        <f>IF(A781="","",MOD(A781-2,7)+1)</f>
        <v/>
      </c>
      <c r="BA781" s="60">
        <f>IF(C781="","",IFERROR(INDEX('Prospects'!$N$5:$N$504,MATCH(C781,'Prospects'!$C$5:$C$504,0)),""))</f>
        <v/>
      </c>
      <c r="BB781" s="61">
        <f>IF(AND(C781&lt;&gt;"",C781='Fiche prospect'!$C$4),COUNTIF($C$5:C781,C781),"")</f>
        <v/>
      </c>
    </row>
    <row r="782">
      <c r="A782" s="53" t="n"/>
      <c r="B782" s="54" t="n"/>
      <c r="C782" s="55" t="n"/>
      <c r="D782" s="55" t="n"/>
      <c r="E782" s="55" t="n"/>
      <c r="F782" s="55" t="n"/>
      <c r="G782" s="56" t="n"/>
      <c r="H782" s="57" t="n"/>
      <c r="I782" s="55" t="n"/>
      <c r="J782" s="53" t="n"/>
      <c r="K782" s="54" t="n"/>
      <c r="L782" s="55" t="n"/>
      <c r="M782" s="55" t="n"/>
      <c r="N782" s="57" t="n"/>
      <c r="O782" s="55" t="n"/>
      <c r="P782" s="56" t="n"/>
      <c r="Q782" s="55" t="n"/>
      <c r="R782" s="55" t="n"/>
      <c r="S782" s="55" t="n"/>
      <c r="T782" s="55" t="n"/>
      <c r="U782" s="55" t="n"/>
      <c r="V782" s="55" t="n"/>
      <c r="W782" s="58" t="n"/>
      <c r="X782" s="58" t="n"/>
      <c r="Y782" s="55" t="n"/>
      <c r="Z782" s="55" t="n"/>
      <c r="AA782" s="55" t="n"/>
      <c r="AB782" s="55" t="n"/>
      <c r="AC782" s="55" t="n"/>
      <c r="AD782" s="53" t="n"/>
      <c r="AE782" s="55" t="n"/>
      <c r="AF782" s="55" t="n"/>
      <c r="AG782" s="59" t="n"/>
      <c r="AH782" s="57" t="n"/>
      <c r="AI782" s="55" t="n"/>
      <c r="AJ782" s="55" t="n"/>
      <c r="AK782" s="55" t="n"/>
      <c r="AL782" s="55" t="n"/>
      <c r="AM782" s="56" t="n"/>
      <c r="AN782" s="55" t="n"/>
      <c r="AO782" s="55" t="n"/>
      <c r="AP782" s="55" t="n"/>
      <c r="AQ782" s="55" t="n"/>
      <c r="AR782" s="60">
        <f>IF(AND(C782="",E782=""),"",IF(A782="","⚠ Date manquante",IF(AND(C782="",E782&lt;&gt;"Dépense"),"⚠ Prospect manquant",IF(E782="","⚠ Action manquante",IF(AND(AU782=1,D782=""),"⚠ Canal manquant",IF(AND(W782&lt;&gt;"",COUNTIFS('Saisie'!$W$5:$W$2004,W782,'Saisie'!$C$5:$C$2004,"&lt;&gt;"&amp;C782)&gt;0),"⚠ Numéro déjà utilisé par un autre prospect",IF(AND(J782&lt;&gt;"",J782&lt;A782),"⚠ Relance avant la date de l'action",IF(A782&gt;TODAY(),"⚠ Date dans le futur","✓"))))))))</f>
        <v/>
      </c>
      <c r="AS782" s="61">
        <f>IF(AND(A782="",C782="",E782=""),"",ROW())</f>
        <v/>
      </c>
      <c r="AT782" s="61">
        <f>IF(E782&amp;F782="","",MAX(IFERROR(INDEX('Paramètres'!$J$6:$J$33,MATCH(E782,'Paramètres'!$I$6:$I$33,0)),0),IFERROR(INDEX('Paramètres'!$N$6:$N$17,MATCH(F782,'Paramètres'!$M$6:$M$17,0)),0)))</f>
        <v/>
      </c>
      <c r="AU782" s="61">
        <f>IF(E782="","",IFERROR(IF(INDEX('Paramètres'!$K$6:$K$33,MATCH(E782,'Paramètres'!$I$6:$I$33,0))="Oui",1,0),0))</f>
        <v/>
      </c>
      <c r="AV782" s="61">
        <f>IF(F782="","",IFERROR(IF(INDEX('Paramètres'!$O$6:$O$17,MATCH(F782,'Paramètres'!$M$6:$M$17,0))="Oui",1,0),0))</f>
        <v/>
      </c>
      <c r="AW782" s="62">
        <f>IF(E782="","",IF(G782&lt;&gt;"",G782,IF(OR(E782="Proposition envoyée",E782="Signature"),MAX(0,N(IFERROR(INDEX('Paramètres'!$R$6:$R$15,MATCH(IF(AL782&lt;&gt;"",AL782,IFERROR(INDEX('Prospects'!$AN$5:$AN$504,MATCH(C782,'Prospects'!$C$5:$C$504,0)),"")),'Paramètres'!$Q$6:$Q$15,0)),0))-N(P782)),0)))</f>
        <v/>
      </c>
      <c r="AX782" s="61">
        <f>IF(C782="","",IF(COUNTIF($C$5:C782,C782)=1,MAX($AX$4:AX781)+1,""))</f>
        <v/>
      </c>
      <c r="AY782" s="61">
        <f>IF(B782="","",HOUR(B782))</f>
        <v/>
      </c>
      <c r="AZ782" s="61">
        <f>IF(A782="","",MOD(A782-2,7)+1)</f>
        <v/>
      </c>
      <c r="BA782" s="60">
        <f>IF(C782="","",IFERROR(INDEX('Prospects'!$N$5:$N$504,MATCH(C782,'Prospects'!$C$5:$C$504,0)),""))</f>
        <v/>
      </c>
      <c r="BB782" s="61">
        <f>IF(AND(C782&lt;&gt;"",C782='Fiche prospect'!$C$4),COUNTIF($C$5:C782,C782),"")</f>
        <v/>
      </c>
    </row>
    <row r="783">
      <c r="A783" s="53" t="n"/>
      <c r="B783" s="54" t="n"/>
      <c r="C783" s="55" t="n"/>
      <c r="D783" s="55" t="n"/>
      <c r="E783" s="55" t="n"/>
      <c r="F783" s="55" t="n"/>
      <c r="G783" s="56" t="n"/>
      <c r="H783" s="57" t="n"/>
      <c r="I783" s="55" t="n"/>
      <c r="J783" s="53" t="n"/>
      <c r="K783" s="54" t="n"/>
      <c r="L783" s="55" t="n"/>
      <c r="M783" s="55" t="n"/>
      <c r="N783" s="57" t="n"/>
      <c r="O783" s="55" t="n"/>
      <c r="P783" s="56" t="n"/>
      <c r="Q783" s="55" t="n"/>
      <c r="R783" s="55" t="n"/>
      <c r="S783" s="55" t="n"/>
      <c r="T783" s="55" t="n"/>
      <c r="U783" s="55" t="n"/>
      <c r="V783" s="55" t="n"/>
      <c r="W783" s="58" t="n"/>
      <c r="X783" s="58" t="n"/>
      <c r="Y783" s="55" t="n"/>
      <c r="Z783" s="55" t="n"/>
      <c r="AA783" s="55" t="n"/>
      <c r="AB783" s="55" t="n"/>
      <c r="AC783" s="55" t="n"/>
      <c r="AD783" s="53" t="n"/>
      <c r="AE783" s="55" t="n"/>
      <c r="AF783" s="55" t="n"/>
      <c r="AG783" s="59" t="n"/>
      <c r="AH783" s="57" t="n"/>
      <c r="AI783" s="55" t="n"/>
      <c r="AJ783" s="55" t="n"/>
      <c r="AK783" s="55" t="n"/>
      <c r="AL783" s="55" t="n"/>
      <c r="AM783" s="56" t="n"/>
      <c r="AN783" s="55" t="n"/>
      <c r="AO783" s="55" t="n"/>
      <c r="AP783" s="55" t="n"/>
      <c r="AQ783" s="55" t="n"/>
      <c r="AR783" s="60">
        <f>IF(AND(C783="",E783=""),"",IF(A783="","⚠ Date manquante",IF(AND(C783="",E783&lt;&gt;"Dépense"),"⚠ Prospect manquant",IF(E783="","⚠ Action manquante",IF(AND(AU783=1,D783=""),"⚠ Canal manquant",IF(AND(W783&lt;&gt;"",COUNTIFS('Saisie'!$W$5:$W$2004,W783,'Saisie'!$C$5:$C$2004,"&lt;&gt;"&amp;C783)&gt;0),"⚠ Numéro déjà utilisé par un autre prospect",IF(AND(J783&lt;&gt;"",J783&lt;A783),"⚠ Relance avant la date de l'action",IF(A783&gt;TODAY(),"⚠ Date dans le futur","✓"))))))))</f>
        <v/>
      </c>
      <c r="AS783" s="61">
        <f>IF(AND(A783="",C783="",E783=""),"",ROW())</f>
        <v/>
      </c>
      <c r="AT783" s="61">
        <f>IF(E783&amp;F783="","",MAX(IFERROR(INDEX('Paramètres'!$J$6:$J$33,MATCH(E783,'Paramètres'!$I$6:$I$33,0)),0),IFERROR(INDEX('Paramètres'!$N$6:$N$17,MATCH(F783,'Paramètres'!$M$6:$M$17,0)),0)))</f>
        <v/>
      </c>
      <c r="AU783" s="61">
        <f>IF(E783="","",IFERROR(IF(INDEX('Paramètres'!$K$6:$K$33,MATCH(E783,'Paramètres'!$I$6:$I$33,0))="Oui",1,0),0))</f>
        <v/>
      </c>
      <c r="AV783" s="61">
        <f>IF(F783="","",IFERROR(IF(INDEX('Paramètres'!$O$6:$O$17,MATCH(F783,'Paramètres'!$M$6:$M$17,0))="Oui",1,0),0))</f>
        <v/>
      </c>
      <c r="AW783" s="62">
        <f>IF(E783="","",IF(G783&lt;&gt;"",G783,IF(OR(E783="Proposition envoyée",E783="Signature"),MAX(0,N(IFERROR(INDEX('Paramètres'!$R$6:$R$15,MATCH(IF(AL783&lt;&gt;"",AL783,IFERROR(INDEX('Prospects'!$AN$5:$AN$504,MATCH(C783,'Prospects'!$C$5:$C$504,0)),"")),'Paramètres'!$Q$6:$Q$15,0)),0))-N(P783)),0)))</f>
        <v/>
      </c>
      <c r="AX783" s="61">
        <f>IF(C783="","",IF(COUNTIF($C$5:C783,C783)=1,MAX($AX$4:AX782)+1,""))</f>
        <v/>
      </c>
      <c r="AY783" s="61">
        <f>IF(B783="","",HOUR(B783))</f>
        <v/>
      </c>
      <c r="AZ783" s="61">
        <f>IF(A783="","",MOD(A783-2,7)+1)</f>
        <v/>
      </c>
      <c r="BA783" s="60">
        <f>IF(C783="","",IFERROR(INDEX('Prospects'!$N$5:$N$504,MATCH(C783,'Prospects'!$C$5:$C$504,0)),""))</f>
        <v/>
      </c>
      <c r="BB783" s="61">
        <f>IF(AND(C783&lt;&gt;"",C783='Fiche prospect'!$C$4),COUNTIF($C$5:C783,C783),"")</f>
        <v/>
      </c>
    </row>
    <row r="784">
      <c r="A784" s="53" t="n"/>
      <c r="B784" s="54" t="n"/>
      <c r="C784" s="55" t="n"/>
      <c r="D784" s="55" t="n"/>
      <c r="E784" s="55" t="n"/>
      <c r="F784" s="55" t="n"/>
      <c r="G784" s="56" t="n"/>
      <c r="H784" s="57" t="n"/>
      <c r="I784" s="55" t="n"/>
      <c r="J784" s="53" t="n"/>
      <c r="K784" s="54" t="n"/>
      <c r="L784" s="55" t="n"/>
      <c r="M784" s="55" t="n"/>
      <c r="N784" s="57" t="n"/>
      <c r="O784" s="55" t="n"/>
      <c r="P784" s="56" t="n"/>
      <c r="Q784" s="55" t="n"/>
      <c r="R784" s="55" t="n"/>
      <c r="S784" s="55" t="n"/>
      <c r="T784" s="55" t="n"/>
      <c r="U784" s="55" t="n"/>
      <c r="V784" s="55" t="n"/>
      <c r="W784" s="58" t="n"/>
      <c r="X784" s="58" t="n"/>
      <c r="Y784" s="55" t="n"/>
      <c r="Z784" s="55" t="n"/>
      <c r="AA784" s="55" t="n"/>
      <c r="AB784" s="55" t="n"/>
      <c r="AC784" s="55" t="n"/>
      <c r="AD784" s="53" t="n"/>
      <c r="AE784" s="55" t="n"/>
      <c r="AF784" s="55" t="n"/>
      <c r="AG784" s="59" t="n"/>
      <c r="AH784" s="57" t="n"/>
      <c r="AI784" s="55" t="n"/>
      <c r="AJ784" s="55" t="n"/>
      <c r="AK784" s="55" t="n"/>
      <c r="AL784" s="55" t="n"/>
      <c r="AM784" s="56" t="n"/>
      <c r="AN784" s="55" t="n"/>
      <c r="AO784" s="55" t="n"/>
      <c r="AP784" s="55" t="n"/>
      <c r="AQ784" s="55" t="n"/>
      <c r="AR784" s="60">
        <f>IF(AND(C784="",E784=""),"",IF(A784="","⚠ Date manquante",IF(AND(C784="",E784&lt;&gt;"Dépense"),"⚠ Prospect manquant",IF(E784="","⚠ Action manquante",IF(AND(AU784=1,D784=""),"⚠ Canal manquant",IF(AND(W784&lt;&gt;"",COUNTIFS('Saisie'!$W$5:$W$2004,W784,'Saisie'!$C$5:$C$2004,"&lt;&gt;"&amp;C784)&gt;0),"⚠ Numéro déjà utilisé par un autre prospect",IF(AND(J784&lt;&gt;"",J784&lt;A784),"⚠ Relance avant la date de l'action",IF(A784&gt;TODAY(),"⚠ Date dans le futur","✓"))))))))</f>
        <v/>
      </c>
      <c r="AS784" s="61">
        <f>IF(AND(A784="",C784="",E784=""),"",ROW())</f>
        <v/>
      </c>
      <c r="AT784" s="61">
        <f>IF(E784&amp;F784="","",MAX(IFERROR(INDEX('Paramètres'!$J$6:$J$33,MATCH(E784,'Paramètres'!$I$6:$I$33,0)),0),IFERROR(INDEX('Paramètres'!$N$6:$N$17,MATCH(F784,'Paramètres'!$M$6:$M$17,0)),0)))</f>
        <v/>
      </c>
      <c r="AU784" s="61">
        <f>IF(E784="","",IFERROR(IF(INDEX('Paramètres'!$K$6:$K$33,MATCH(E784,'Paramètres'!$I$6:$I$33,0))="Oui",1,0),0))</f>
        <v/>
      </c>
      <c r="AV784" s="61">
        <f>IF(F784="","",IFERROR(IF(INDEX('Paramètres'!$O$6:$O$17,MATCH(F784,'Paramètres'!$M$6:$M$17,0))="Oui",1,0),0))</f>
        <v/>
      </c>
      <c r="AW784" s="62">
        <f>IF(E784="","",IF(G784&lt;&gt;"",G784,IF(OR(E784="Proposition envoyée",E784="Signature"),MAX(0,N(IFERROR(INDEX('Paramètres'!$R$6:$R$15,MATCH(IF(AL784&lt;&gt;"",AL784,IFERROR(INDEX('Prospects'!$AN$5:$AN$504,MATCH(C784,'Prospects'!$C$5:$C$504,0)),"")),'Paramètres'!$Q$6:$Q$15,0)),0))-N(P784)),0)))</f>
        <v/>
      </c>
      <c r="AX784" s="61">
        <f>IF(C784="","",IF(COUNTIF($C$5:C784,C784)=1,MAX($AX$4:AX783)+1,""))</f>
        <v/>
      </c>
      <c r="AY784" s="61">
        <f>IF(B784="","",HOUR(B784))</f>
        <v/>
      </c>
      <c r="AZ784" s="61">
        <f>IF(A784="","",MOD(A784-2,7)+1)</f>
        <v/>
      </c>
      <c r="BA784" s="60">
        <f>IF(C784="","",IFERROR(INDEX('Prospects'!$N$5:$N$504,MATCH(C784,'Prospects'!$C$5:$C$504,0)),""))</f>
        <v/>
      </c>
      <c r="BB784" s="61">
        <f>IF(AND(C784&lt;&gt;"",C784='Fiche prospect'!$C$4),COUNTIF($C$5:C784,C784),"")</f>
        <v/>
      </c>
    </row>
    <row r="785">
      <c r="A785" s="53" t="n"/>
      <c r="B785" s="54" t="n"/>
      <c r="C785" s="55" t="n"/>
      <c r="D785" s="55" t="n"/>
      <c r="E785" s="55" t="n"/>
      <c r="F785" s="55" t="n"/>
      <c r="G785" s="56" t="n"/>
      <c r="H785" s="57" t="n"/>
      <c r="I785" s="55" t="n"/>
      <c r="J785" s="53" t="n"/>
      <c r="K785" s="54" t="n"/>
      <c r="L785" s="55" t="n"/>
      <c r="M785" s="55" t="n"/>
      <c r="N785" s="57" t="n"/>
      <c r="O785" s="55" t="n"/>
      <c r="P785" s="56" t="n"/>
      <c r="Q785" s="55" t="n"/>
      <c r="R785" s="55" t="n"/>
      <c r="S785" s="55" t="n"/>
      <c r="T785" s="55" t="n"/>
      <c r="U785" s="55" t="n"/>
      <c r="V785" s="55" t="n"/>
      <c r="W785" s="58" t="n"/>
      <c r="X785" s="58" t="n"/>
      <c r="Y785" s="55" t="n"/>
      <c r="Z785" s="55" t="n"/>
      <c r="AA785" s="55" t="n"/>
      <c r="AB785" s="55" t="n"/>
      <c r="AC785" s="55" t="n"/>
      <c r="AD785" s="53" t="n"/>
      <c r="AE785" s="55" t="n"/>
      <c r="AF785" s="55" t="n"/>
      <c r="AG785" s="59" t="n"/>
      <c r="AH785" s="57" t="n"/>
      <c r="AI785" s="55" t="n"/>
      <c r="AJ785" s="55" t="n"/>
      <c r="AK785" s="55" t="n"/>
      <c r="AL785" s="55" t="n"/>
      <c r="AM785" s="56" t="n"/>
      <c r="AN785" s="55" t="n"/>
      <c r="AO785" s="55" t="n"/>
      <c r="AP785" s="55" t="n"/>
      <c r="AQ785" s="55" t="n"/>
      <c r="AR785" s="60">
        <f>IF(AND(C785="",E785=""),"",IF(A785="","⚠ Date manquante",IF(AND(C785="",E785&lt;&gt;"Dépense"),"⚠ Prospect manquant",IF(E785="","⚠ Action manquante",IF(AND(AU785=1,D785=""),"⚠ Canal manquant",IF(AND(W785&lt;&gt;"",COUNTIFS('Saisie'!$W$5:$W$2004,W785,'Saisie'!$C$5:$C$2004,"&lt;&gt;"&amp;C785)&gt;0),"⚠ Numéro déjà utilisé par un autre prospect",IF(AND(J785&lt;&gt;"",J785&lt;A785),"⚠ Relance avant la date de l'action",IF(A785&gt;TODAY(),"⚠ Date dans le futur","✓"))))))))</f>
        <v/>
      </c>
      <c r="AS785" s="61">
        <f>IF(AND(A785="",C785="",E785=""),"",ROW())</f>
        <v/>
      </c>
      <c r="AT785" s="61">
        <f>IF(E785&amp;F785="","",MAX(IFERROR(INDEX('Paramètres'!$J$6:$J$33,MATCH(E785,'Paramètres'!$I$6:$I$33,0)),0),IFERROR(INDEX('Paramètres'!$N$6:$N$17,MATCH(F785,'Paramètres'!$M$6:$M$17,0)),0)))</f>
        <v/>
      </c>
      <c r="AU785" s="61">
        <f>IF(E785="","",IFERROR(IF(INDEX('Paramètres'!$K$6:$K$33,MATCH(E785,'Paramètres'!$I$6:$I$33,0))="Oui",1,0),0))</f>
        <v/>
      </c>
      <c r="AV785" s="61">
        <f>IF(F785="","",IFERROR(IF(INDEX('Paramètres'!$O$6:$O$17,MATCH(F785,'Paramètres'!$M$6:$M$17,0))="Oui",1,0),0))</f>
        <v/>
      </c>
      <c r="AW785" s="62">
        <f>IF(E785="","",IF(G785&lt;&gt;"",G785,IF(OR(E785="Proposition envoyée",E785="Signature"),MAX(0,N(IFERROR(INDEX('Paramètres'!$R$6:$R$15,MATCH(IF(AL785&lt;&gt;"",AL785,IFERROR(INDEX('Prospects'!$AN$5:$AN$504,MATCH(C785,'Prospects'!$C$5:$C$504,0)),"")),'Paramètres'!$Q$6:$Q$15,0)),0))-N(P785)),0)))</f>
        <v/>
      </c>
      <c r="AX785" s="61">
        <f>IF(C785="","",IF(COUNTIF($C$5:C785,C785)=1,MAX($AX$4:AX784)+1,""))</f>
        <v/>
      </c>
      <c r="AY785" s="61">
        <f>IF(B785="","",HOUR(B785))</f>
        <v/>
      </c>
      <c r="AZ785" s="61">
        <f>IF(A785="","",MOD(A785-2,7)+1)</f>
        <v/>
      </c>
      <c r="BA785" s="60">
        <f>IF(C785="","",IFERROR(INDEX('Prospects'!$N$5:$N$504,MATCH(C785,'Prospects'!$C$5:$C$504,0)),""))</f>
        <v/>
      </c>
      <c r="BB785" s="61">
        <f>IF(AND(C785&lt;&gt;"",C785='Fiche prospect'!$C$4),COUNTIF($C$5:C785,C785),"")</f>
        <v/>
      </c>
    </row>
    <row r="786">
      <c r="A786" s="53" t="n"/>
      <c r="B786" s="54" t="n"/>
      <c r="C786" s="55" t="n"/>
      <c r="D786" s="55" t="n"/>
      <c r="E786" s="55" t="n"/>
      <c r="F786" s="55" t="n"/>
      <c r="G786" s="56" t="n"/>
      <c r="H786" s="57" t="n"/>
      <c r="I786" s="55" t="n"/>
      <c r="J786" s="53" t="n"/>
      <c r="K786" s="54" t="n"/>
      <c r="L786" s="55" t="n"/>
      <c r="M786" s="55" t="n"/>
      <c r="N786" s="57" t="n"/>
      <c r="O786" s="55" t="n"/>
      <c r="P786" s="56" t="n"/>
      <c r="Q786" s="55" t="n"/>
      <c r="R786" s="55" t="n"/>
      <c r="S786" s="55" t="n"/>
      <c r="T786" s="55" t="n"/>
      <c r="U786" s="55" t="n"/>
      <c r="V786" s="55" t="n"/>
      <c r="W786" s="58" t="n"/>
      <c r="X786" s="58" t="n"/>
      <c r="Y786" s="55" t="n"/>
      <c r="Z786" s="55" t="n"/>
      <c r="AA786" s="55" t="n"/>
      <c r="AB786" s="55" t="n"/>
      <c r="AC786" s="55" t="n"/>
      <c r="AD786" s="53" t="n"/>
      <c r="AE786" s="55" t="n"/>
      <c r="AF786" s="55" t="n"/>
      <c r="AG786" s="59" t="n"/>
      <c r="AH786" s="57" t="n"/>
      <c r="AI786" s="55" t="n"/>
      <c r="AJ786" s="55" t="n"/>
      <c r="AK786" s="55" t="n"/>
      <c r="AL786" s="55" t="n"/>
      <c r="AM786" s="56" t="n"/>
      <c r="AN786" s="55" t="n"/>
      <c r="AO786" s="55" t="n"/>
      <c r="AP786" s="55" t="n"/>
      <c r="AQ786" s="55" t="n"/>
      <c r="AR786" s="60">
        <f>IF(AND(C786="",E786=""),"",IF(A786="","⚠ Date manquante",IF(AND(C786="",E786&lt;&gt;"Dépense"),"⚠ Prospect manquant",IF(E786="","⚠ Action manquante",IF(AND(AU786=1,D786=""),"⚠ Canal manquant",IF(AND(W786&lt;&gt;"",COUNTIFS('Saisie'!$W$5:$W$2004,W786,'Saisie'!$C$5:$C$2004,"&lt;&gt;"&amp;C786)&gt;0),"⚠ Numéro déjà utilisé par un autre prospect",IF(AND(J786&lt;&gt;"",J786&lt;A786),"⚠ Relance avant la date de l'action",IF(A786&gt;TODAY(),"⚠ Date dans le futur","✓"))))))))</f>
        <v/>
      </c>
      <c r="AS786" s="61">
        <f>IF(AND(A786="",C786="",E786=""),"",ROW())</f>
        <v/>
      </c>
      <c r="AT786" s="61">
        <f>IF(E786&amp;F786="","",MAX(IFERROR(INDEX('Paramètres'!$J$6:$J$33,MATCH(E786,'Paramètres'!$I$6:$I$33,0)),0),IFERROR(INDEX('Paramètres'!$N$6:$N$17,MATCH(F786,'Paramètres'!$M$6:$M$17,0)),0)))</f>
        <v/>
      </c>
      <c r="AU786" s="61">
        <f>IF(E786="","",IFERROR(IF(INDEX('Paramètres'!$K$6:$K$33,MATCH(E786,'Paramètres'!$I$6:$I$33,0))="Oui",1,0),0))</f>
        <v/>
      </c>
      <c r="AV786" s="61">
        <f>IF(F786="","",IFERROR(IF(INDEX('Paramètres'!$O$6:$O$17,MATCH(F786,'Paramètres'!$M$6:$M$17,0))="Oui",1,0),0))</f>
        <v/>
      </c>
      <c r="AW786" s="62">
        <f>IF(E786="","",IF(G786&lt;&gt;"",G786,IF(OR(E786="Proposition envoyée",E786="Signature"),MAX(0,N(IFERROR(INDEX('Paramètres'!$R$6:$R$15,MATCH(IF(AL786&lt;&gt;"",AL786,IFERROR(INDEX('Prospects'!$AN$5:$AN$504,MATCH(C786,'Prospects'!$C$5:$C$504,0)),"")),'Paramètres'!$Q$6:$Q$15,0)),0))-N(P786)),0)))</f>
        <v/>
      </c>
      <c r="AX786" s="61">
        <f>IF(C786="","",IF(COUNTIF($C$5:C786,C786)=1,MAX($AX$4:AX785)+1,""))</f>
        <v/>
      </c>
      <c r="AY786" s="61">
        <f>IF(B786="","",HOUR(B786))</f>
        <v/>
      </c>
      <c r="AZ786" s="61">
        <f>IF(A786="","",MOD(A786-2,7)+1)</f>
        <v/>
      </c>
      <c r="BA786" s="60">
        <f>IF(C786="","",IFERROR(INDEX('Prospects'!$N$5:$N$504,MATCH(C786,'Prospects'!$C$5:$C$504,0)),""))</f>
        <v/>
      </c>
      <c r="BB786" s="61">
        <f>IF(AND(C786&lt;&gt;"",C786='Fiche prospect'!$C$4),COUNTIF($C$5:C786,C786),"")</f>
        <v/>
      </c>
    </row>
    <row r="787">
      <c r="A787" s="53" t="n"/>
      <c r="B787" s="54" t="n"/>
      <c r="C787" s="55" t="n"/>
      <c r="D787" s="55" t="n"/>
      <c r="E787" s="55" t="n"/>
      <c r="F787" s="55" t="n"/>
      <c r="G787" s="56" t="n"/>
      <c r="H787" s="57" t="n"/>
      <c r="I787" s="55" t="n"/>
      <c r="J787" s="53" t="n"/>
      <c r="K787" s="54" t="n"/>
      <c r="L787" s="55" t="n"/>
      <c r="M787" s="55" t="n"/>
      <c r="N787" s="57" t="n"/>
      <c r="O787" s="55" t="n"/>
      <c r="P787" s="56" t="n"/>
      <c r="Q787" s="55" t="n"/>
      <c r="R787" s="55" t="n"/>
      <c r="S787" s="55" t="n"/>
      <c r="T787" s="55" t="n"/>
      <c r="U787" s="55" t="n"/>
      <c r="V787" s="55" t="n"/>
      <c r="W787" s="58" t="n"/>
      <c r="X787" s="58" t="n"/>
      <c r="Y787" s="55" t="n"/>
      <c r="Z787" s="55" t="n"/>
      <c r="AA787" s="55" t="n"/>
      <c r="AB787" s="55" t="n"/>
      <c r="AC787" s="55" t="n"/>
      <c r="AD787" s="53" t="n"/>
      <c r="AE787" s="55" t="n"/>
      <c r="AF787" s="55" t="n"/>
      <c r="AG787" s="59" t="n"/>
      <c r="AH787" s="57" t="n"/>
      <c r="AI787" s="55" t="n"/>
      <c r="AJ787" s="55" t="n"/>
      <c r="AK787" s="55" t="n"/>
      <c r="AL787" s="55" t="n"/>
      <c r="AM787" s="56" t="n"/>
      <c r="AN787" s="55" t="n"/>
      <c r="AO787" s="55" t="n"/>
      <c r="AP787" s="55" t="n"/>
      <c r="AQ787" s="55" t="n"/>
      <c r="AR787" s="60">
        <f>IF(AND(C787="",E787=""),"",IF(A787="","⚠ Date manquante",IF(AND(C787="",E787&lt;&gt;"Dépense"),"⚠ Prospect manquant",IF(E787="","⚠ Action manquante",IF(AND(AU787=1,D787=""),"⚠ Canal manquant",IF(AND(W787&lt;&gt;"",COUNTIFS('Saisie'!$W$5:$W$2004,W787,'Saisie'!$C$5:$C$2004,"&lt;&gt;"&amp;C787)&gt;0),"⚠ Numéro déjà utilisé par un autre prospect",IF(AND(J787&lt;&gt;"",J787&lt;A787),"⚠ Relance avant la date de l'action",IF(A787&gt;TODAY(),"⚠ Date dans le futur","✓"))))))))</f>
        <v/>
      </c>
      <c r="AS787" s="61">
        <f>IF(AND(A787="",C787="",E787=""),"",ROW())</f>
        <v/>
      </c>
      <c r="AT787" s="61">
        <f>IF(E787&amp;F787="","",MAX(IFERROR(INDEX('Paramètres'!$J$6:$J$33,MATCH(E787,'Paramètres'!$I$6:$I$33,0)),0),IFERROR(INDEX('Paramètres'!$N$6:$N$17,MATCH(F787,'Paramètres'!$M$6:$M$17,0)),0)))</f>
        <v/>
      </c>
      <c r="AU787" s="61">
        <f>IF(E787="","",IFERROR(IF(INDEX('Paramètres'!$K$6:$K$33,MATCH(E787,'Paramètres'!$I$6:$I$33,0))="Oui",1,0),0))</f>
        <v/>
      </c>
      <c r="AV787" s="61">
        <f>IF(F787="","",IFERROR(IF(INDEX('Paramètres'!$O$6:$O$17,MATCH(F787,'Paramètres'!$M$6:$M$17,0))="Oui",1,0),0))</f>
        <v/>
      </c>
      <c r="AW787" s="62">
        <f>IF(E787="","",IF(G787&lt;&gt;"",G787,IF(OR(E787="Proposition envoyée",E787="Signature"),MAX(0,N(IFERROR(INDEX('Paramètres'!$R$6:$R$15,MATCH(IF(AL787&lt;&gt;"",AL787,IFERROR(INDEX('Prospects'!$AN$5:$AN$504,MATCH(C787,'Prospects'!$C$5:$C$504,0)),"")),'Paramètres'!$Q$6:$Q$15,0)),0))-N(P787)),0)))</f>
        <v/>
      </c>
      <c r="AX787" s="61">
        <f>IF(C787="","",IF(COUNTIF($C$5:C787,C787)=1,MAX($AX$4:AX786)+1,""))</f>
        <v/>
      </c>
      <c r="AY787" s="61">
        <f>IF(B787="","",HOUR(B787))</f>
        <v/>
      </c>
      <c r="AZ787" s="61">
        <f>IF(A787="","",MOD(A787-2,7)+1)</f>
        <v/>
      </c>
      <c r="BA787" s="60">
        <f>IF(C787="","",IFERROR(INDEX('Prospects'!$N$5:$N$504,MATCH(C787,'Prospects'!$C$5:$C$504,0)),""))</f>
        <v/>
      </c>
      <c r="BB787" s="61">
        <f>IF(AND(C787&lt;&gt;"",C787='Fiche prospect'!$C$4),COUNTIF($C$5:C787,C787),"")</f>
        <v/>
      </c>
    </row>
    <row r="788">
      <c r="A788" s="53" t="n"/>
      <c r="B788" s="54" t="n"/>
      <c r="C788" s="55" t="n"/>
      <c r="D788" s="55" t="n"/>
      <c r="E788" s="55" t="n"/>
      <c r="F788" s="55" t="n"/>
      <c r="G788" s="56" t="n"/>
      <c r="H788" s="57" t="n"/>
      <c r="I788" s="55" t="n"/>
      <c r="J788" s="53" t="n"/>
      <c r="K788" s="54" t="n"/>
      <c r="L788" s="55" t="n"/>
      <c r="M788" s="55" t="n"/>
      <c r="N788" s="57" t="n"/>
      <c r="O788" s="55" t="n"/>
      <c r="P788" s="56" t="n"/>
      <c r="Q788" s="55" t="n"/>
      <c r="R788" s="55" t="n"/>
      <c r="S788" s="55" t="n"/>
      <c r="T788" s="55" t="n"/>
      <c r="U788" s="55" t="n"/>
      <c r="V788" s="55" t="n"/>
      <c r="W788" s="58" t="n"/>
      <c r="X788" s="58" t="n"/>
      <c r="Y788" s="55" t="n"/>
      <c r="Z788" s="55" t="n"/>
      <c r="AA788" s="55" t="n"/>
      <c r="AB788" s="55" t="n"/>
      <c r="AC788" s="55" t="n"/>
      <c r="AD788" s="53" t="n"/>
      <c r="AE788" s="55" t="n"/>
      <c r="AF788" s="55" t="n"/>
      <c r="AG788" s="59" t="n"/>
      <c r="AH788" s="57" t="n"/>
      <c r="AI788" s="55" t="n"/>
      <c r="AJ788" s="55" t="n"/>
      <c r="AK788" s="55" t="n"/>
      <c r="AL788" s="55" t="n"/>
      <c r="AM788" s="56" t="n"/>
      <c r="AN788" s="55" t="n"/>
      <c r="AO788" s="55" t="n"/>
      <c r="AP788" s="55" t="n"/>
      <c r="AQ788" s="55" t="n"/>
      <c r="AR788" s="60">
        <f>IF(AND(C788="",E788=""),"",IF(A788="","⚠ Date manquante",IF(AND(C788="",E788&lt;&gt;"Dépense"),"⚠ Prospect manquant",IF(E788="","⚠ Action manquante",IF(AND(AU788=1,D788=""),"⚠ Canal manquant",IF(AND(W788&lt;&gt;"",COUNTIFS('Saisie'!$W$5:$W$2004,W788,'Saisie'!$C$5:$C$2004,"&lt;&gt;"&amp;C788)&gt;0),"⚠ Numéro déjà utilisé par un autre prospect",IF(AND(J788&lt;&gt;"",J788&lt;A788),"⚠ Relance avant la date de l'action",IF(A788&gt;TODAY(),"⚠ Date dans le futur","✓"))))))))</f>
        <v/>
      </c>
      <c r="AS788" s="61">
        <f>IF(AND(A788="",C788="",E788=""),"",ROW())</f>
        <v/>
      </c>
      <c r="AT788" s="61">
        <f>IF(E788&amp;F788="","",MAX(IFERROR(INDEX('Paramètres'!$J$6:$J$33,MATCH(E788,'Paramètres'!$I$6:$I$33,0)),0),IFERROR(INDEX('Paramètres'!$N$6:$N$17,MATCH(F788,'Paramètres'!$M$6:$M$17,0)),0)))</f>
        <v/>
      </c>
      <c r="AU788" s="61">
        <f>IF(E788="","",IFERROR(IF(INDEX('Paramètres'!$K$6:$K$33,MATCH(E788,'Paramètres'!$I$6:$I$33,0))="Oui",1,0),0))</f>
        <v/>
      </c>
      <c r="AV788" s="61">
        <f>IF(F788="","",IFERROR(IF(INDEX('Paramètres'!$O$6:$O$17,MATCH(F788,'Paramètres'!$M$6:$M$17,0))="Oui",1,0),0))</f>
        <v/>
      </c>
      <c r="AW788" s="62">
        <f>IF(E788="","",IF(G788&lt;&gt;"",G788,IF(OR(E788="Proposition envoyée",E788="Signature"),MAX(0,N(IFERROR(INDEX('Paramètres'!$R$6:$R$15,MATCH(IF(AL788&lt;&gt;"",AL788,IFERROR(INDEX('Prospects'!$AN$5:$AN$504,MATCH(C788,'Prospects'!$C$5:$C$504,0)),"")),'Paramètres'!$Q$6:$Q$15,0)),0))-N(P788)),0)))</f>
        <v/>
      </c>
      <c r="AX788" s="61">
        <f>IF(C788="","",IF(COUNTIF($C$5:C788,C788)=1,MAX($AX$4:AX787)+1,""))</f>
        <v/>
      </c>
      <c r="AY788" s="61">
        <f>IF(B788="","",HOUR(B788))</f>
        <v/>
      </c>
      <c r="AZ788" s="61">
        <f>IF(A788="","",MOD(A788-2,7)+1)</f>
        <v/>
      </c>
      <c r="BA788" s="60">
        <f>IF(C788="","",IFERROR(INDEX('Prospects'!$N$5:$N$504,MATCH(C788,'Prospects'!$C$5:$C$504,0)),""))</f>
        <v/>
      </c>
      <c r="BB788" s="61">
        <f>IF(AND(C788&lt;&gt;"",C788='Fiche prospect'!$C$4),COUNTIF($C$5:C788,C788),"")</f>
        <v/>
      </c>
    </row>
    <row r="789">
      <c r="A789" s="53" t="n"/>
      <c r="B789" s="54" t="n"/>
      <c r="C789" s="55" t="n"/>
      <c r="D789" s="55" t="n"/>
      <c r="E789" s="55" t="n"/>
      <c r="F789" s="55" t="n"/>
      <c r="G789" s="56" t="n"/>
      <c r="H789" s="57" t="n"/>
      <c r="I789" s="55" t="n"/>
      <c r="J789" s="53" t="n"/>
      <c r="K789" s="54" t="n"/>
      <c r="L789" s="55" t="n"/>
      <c r="M789" s="55" t="n"/>
      <c r="N789" s="57" t="n"/>
      <c r="O789" s="55" t="n"/>
      <c r="P789" s="56" t="n"/>
      <c r="Q789" s="55" t="n"/>
      <c r="R789" s="55" t="n"/>
      <c r="S789" s="55" t="n"/>
      <c r="T789" s="55" t="n"/>
      <c r="U789" s="55" t="n"/>
      <c r="V789" s="55" t="n"/>
      <c r="W789" s="58" t="n"/>
      <c r="X789" s="58" t="n"/>
      <c r="Y789" s="55" t="n"/>
      <c r="Z789" s="55" t="n"/>
      <c r="AA789" s="55" t="n"/>
      <c r="AB789" s="55" t="n"/>
      <c r="AC789" s="55" t="n"/>
      <c r="AD789" s="53" t="n"/>
      <c r="AE789" s="55" t="n"/>
      <c r="AF789" s="55" t="n"/>
      <c r="AG789" s="59" t="n"/>
      <c r="AH789" s="57" t="n"/>
      <c r="AI789" s="55" t="n"/>
      <c r="AJ789" s="55" t="n"/>
      <c r="AK789" s="55" t="n"/>
      <c r="AL789" s="55" t="n"/>
      <c r="AM789" s="56" t="n"/>
      <c r="AN789" s="55" t="n"/>
      <c r="AO789" s="55" t="n"/>
      <c r="AP789" s="55" t="n"/>
      <c r="AQ789" s="55" t="n"/>
      <c r="AR789" s="60">
        <f>IF(AND(C789="",E789=""),"",IF(A789="","⚠ Date manquante",IF(AND(C789="",E789&lt;&gt;"Dépense"),"⚠ Prospect manquant",IF(E789="","⚠ Action manquante",IF(AND(AU789=1,D789=""),"⚠ Canal manquant",IF(AND(W789&lt;&gt;"",COUNTIFS('Saisie'!$W$5:$W$2004,W789,'Saisie'!$C$5:$C$2004,"&lt;&gt;"&amp;C789)&gt;0),"⚠ Numéro déjà utilisé par un autre prospect",IF(AND(J789&lt;&gt;"",J789&lt;A789),"⚠ Relance avant la date de l'action",IF(A789&gt;TODAY(),"⚠ Date dans le futur","✓"))))))))</f>
        <v/>
      </c>
      <c r="AS789" s="61">
        <f>IF(AND(A789="",C789="",E789=""),"",ROW())</f>
        <v/>
      </c>
      <c r="AT789" s="61">
        <f>IF(E789&amp;F789="","",MAX(IFERROR(INDEX('Paramètres'!$J$6:$J$33,MATCH(E789,'Paramètres'!$I$6:$I$33,0)),0),IFERROR(INDEX('Paramètres'!$N$6:$N$17,MATCH(F789,'Paramètres'!$M$6:$M$17,0)),0)))</f>
        <v/>
      </c>
      <c r="AU789" s="61">
        <f>IF(E789="","",IFERROR(IF(INDEX('Paramètres'!$K$6:$K$33,MATCH(E789,'Paramètres'!$I$6:$I$33,0))="Oui",1,0),0))</f>
        <v/>
      </c>
      <c r="AV789" s="61">
        <f>IF(F789="","",IFERROR(IF(INDEX('Paramètres'!$O$6:$O$17,MATCH(F789,'Paramètres'!$M$6:$M$17,0))="Oui",1,0),0))</f>
        <v/>
      </c>
      <c r="AW789" s="62">
        <f>IF(E789="","",IF(G789&lt;&gt;"",G789,IF(OR(E789="Proposition envoyée",E789="Signature"),MAX(0,N(IFERROR(INDEX('Paramètres'!$R$6:$R$15,MATCH(IF(AL789&lt;&gt;"",AL789,IFERROR(INDEX('Prospects'!$AN$5:$AN$504,MATCH(C789,'Prospects'!$C$5:$C$504,0)),"")),'Paramètres'!$Q$6:$Q$15,0)),0))-N(P789)),0)))</f>
        <v/>
      </c>
      <c r="AX789" s="61">
        <f>IF(C789="","",IF(COUNTIF($C$5:C789,C789)=1,MAX($AX$4:AX788)+1,""))</f>
        <v/>
      </c>
      <c r="AY789" s="61">
        <f>IF(B789="","",HOUR(B789))</f>
        <v/>
      </c>
      <c r="AZ789" s="61">
        <f>IF(A789="","",MOD(A789-2,7)+1)</f>
        <v/>
      </c>
      <c r="BA789" s="60">
        <f>IF(C789="","",IFERROR(INDEX('Prospects'!$N$5:$N$504,MATCH(C789,'Prospects'!$C$5:$C$504,0)),""))</f>
        <v/>
      </c>
      <c r="BB789" s="61">
        <f>IF(AND(C789&lt;&gt;"",C789='Fiche prospect'!$C$4),COUNTIF($C$5:C789,C789),"")</f>
        <v/>
      </c>
    </row>
    <row r="790">
      <c r="A790" s="53" t="n"/>
      <c r="B790" s="54" t="n"/>
      <c r="C790" s="55" t="n"/>
      <c r="D790" s="55" t="n"/>
      <c r="E790" s="55" t="n"/>
      <c r="F790" s="55" t="n"/>
      <c r="G790" s="56" t="n"/>
      <c r="H790" s="57" t="n"/>
      <c r="I790" s="55" t="n"/>
      <c r="J790" s="53" t="n"/>
      <c r="K790" s="54" t="n"/>
      <c r="L790" s="55" t="n"/>
      <c r="M790" s="55" t="n"/>
      <c r="N790" s="57" t="n"/>
      <c r="O790" s="55" t="n"/>
      <c r="P790" s="56" t="n"/>
      <c r="Q790" s="55" t="n"/>
      <c r="R790" s="55" t="n"/>
      <c r="S790" s="55" t="n"/>
      <c r="T790" s="55" t="n"/>
      <c r="U790" s="55" t="n"/>
      <c r="V790" s="55" t="n"/>
      <c r="W790" s="58" t="n"/>
      <c r="X790" s="58" t="n"/>
      <c r="Y790" s="55" t="n"/>
      <c r="Z790" s="55" t="n"/>
      <c r="AA790" s="55" t="n"/>
      <c r="AB790" s="55" t="n"/>
      <c r="AC790" s="55" t="n"/>
      <c r="AD790" s="53" t="n"/>
      <c r="AE790" s="55" t="n"/>
      <c r="AF790" s="55" t="n"/>
      <c r="AG790" s="59" t="n"/>
      <c r="AH790" s="57" t="n"/>
      <c r="AI790" s="55" t="n"/>
      <c r="AJ790" s="55" t="n"/>
      <c r="AK790" s="55" t="n"/>
      <c r="AL790" s="55" t="n"/>
      <c r="AM790" s="56" t="n"/>
      <c r="AN790" s="55" t="n"/>
      <c r="AO790" s="55" t="n"/>
      <c r="AP790" s="55" t="n"/>
      <c r="AQ790" s="55" t="n"/>
      <c r="AR790" s="60">
        <f>IF(AND(C790="",E790=""),"",IF(A790="","⚠ Date manquante",IF(AND(C790="",E790&lt;&gt;"Dépense"),"⚠ Prospect manquant",IF(E790="","⚠ Action manquante",IF(AND(AU790=1,D790=""),"⚠ Canal manquant",IF(AND(W790&lt;&gt;"",COUNTIFS('Saisie'!$W$5:$W$2004,W790,'Saisie'!$C$5:$C$2004,"&lt;&gt;"&amp;C790)&gt;0),"⚠ Numéro déjà utilisé par un autre prospect",IF(AND(J790&lt;&gt;"",J790&lt;A790),"⚠ Relance avant la date de l'action",IF(A790&gt;TODAY(),"⚠ Date dans le futur","✓"))))))))</f>
        <v/>
      </c>
      <c r="AS790" s="61">
        <f>IF(AND(A790="",C790="",E790=""),"",ROW())</f>
        <v/>
      </c>
      <c r="AT790" s="61">
        <f>IF(E790&amp;F790="","",MAX(IFERROR(INDEX('Paramètres'!$J$6:$J$33,MATCH(E790,'Paramètres'!$I$6:$I$33,0)),0),IFERROR(INDEX('Paramètres'!$N$6:$N$17,MATCH(F790,'Paramètres'!$M$6:$M$17,0)),0)))</f>
        <v/>
      </c>
      <c r="AU790" s="61">
        <f>IF(E790="","",IFERROR(IF(INDEX('Paramètres'!$K$6:$K$33,MATCH(E790,'Paramètres'!$I$6:$I$33,0))="Oui",1,0),0))</f>
        <v/>
      </c>
      <c r="AV790" s="61">
        <f>IF(F790="","",IFERROR(IF(INDEX('Paramètres'!$O$6:$O$17,MATCH(F790,'Paramètres'!$M$6:$M$17,0))="Oui",1,0),0))</f>
        <v/>
      </c>
      <c r="AW790" s="62">
        <f>IF(E790="","",IF(G790&lt;&gt;"",G790,IF(OR(E790="Proposition envoyée",E790="Signature"),MAX(0,N(IFERROR(INDEX('Paramètres'!$R$6:$R$15,MATCH(IF(AL790&lt;&gt;"",AL790,IFERROR(INDEX('Prospects'!$AN$5:$AN$504,MATCH(C790,'Prospects'!$C$5:$C$504,0)),"")),'Paramètres'!$Q$6:$Q$15,0)),0))-N(P790)),0)))</f>
        <v/>
      </c>
      <c r="AX790" s="61">
        <f>IF(C790="","",IF(COUNTIF($C$5:C790,C790)=1,MAX($AX$4:AX789)+1,""))</f>
        <v/>
      </c>
      <c r="AY790" s="61">
        <f>IF(B790="","",HOUR(B790))</f>
        <v/>
      </c>
      <c r="AZ790" s="61">
        <f>IF(A790="","",MOD(A790-2,7)+1)</f>
        <v/>
      </c>
      <c r="BA790" s="60">
        <f>IF(C790="","",IFERROR(INDEX('Prospects'!$N$5:$N$504,MATCH(C790,'Prospects'!$C$5:$C$504,0)),""))</f>
        <v/>
      </c>
      <c r="BB790" s="61">
        <f>IF(AND(C790&lt;&gt;"",C790='Fiche prospect'!$C$4),COUNTIF($C$5:C790,C790),"")</f>
        <v/>
      </c>
    </row>
    <row r="791">
      <c r="A791" s="53" t="n"/>
      <c r="B791" s="54" t="n"/>
      <c r="C791" s="55" t="n"/>
      <c r="D791" s="55" t="n"/>
      <c r="E791" s="55" t="n"/>
      <c r="F791" s="55" t="n"/>
      <c r="G791" s="56" t="n"/>
      <c r="H791" s="57" t="n"/>
      <c r="I791" s="55" t="n"/>
      <c r="J791" s="53" t="n"/>
      <c r="K791" s="54" t="n"/>
      <c r="L791" s="55" t="n"/>
      <c r="M791" s="55" t="n"/>
      <c r="N791" s="57" t="n"/>
      <c r="O791" s="55" t="n"/>
      <c r="P791" s="56" t="n"/>
      <c r="Q791" s="55" t="n"/>
      <c r="R791" s="55" t="n"/>
      <c r="S791" s="55" t="n"/>
      <c r="T791" s="55" t="n"/>
      <c r="U791" s="55" t="n"/>
      <c r="V791" s="55" t="n"/>
      <c r="W791" s="58" t="n"/>
      <c r="X791" s="58" t="n"/>
      <c r="Y791" s="55" t="n"/>
      <c r="Z791" s="55" t="n"/>
      <c r="AA791" s="55" t="n"/>
      <c r="AB791" s="55" t="n"/>
      <c r="AC791" s="55" t="n"/>
      <c r="AD791" s="53" t="n"/>
      <c r="AE791" s="55" t="n"/>
      <c r="AF791" s="55" t="n"/>
      <c r="AG791" s="59" t="n"/>
      <c r="AH791" s="57" t="n"/>
      <c r="AI791" s="55" t="n"/>
      <c r="AJ791" s="55" t="n"/>
      <c r="AK791" s="55" t="n"/>
      <c r="AL791" s="55" t="n"/>
      <c r="AM791" s="56" t="n"/>
      <c r="AN791" s="55" t="n"/>
      <c r="AO791" s="55" t="n"/>
      <c r="AP791" s="55" t="n"/>
      <c r="AQ791" s="55" t="n"/>
      <c r="AR791" s="60">
        <f>IF(AND(C791="",E791=""),"",IF(A791="","⚠ Date manquante",IF(AND(C791="",E791&lt;&gt;"Dépense"),"⚠ Prospect manquant",IF(E791="","⚠ Action manquante",IF(AND(AU791=1,D791=""),"⚠ Canal manquant",IF(AND(W791&lt;&gt;"",COUNTIFS('Saisie'!$W$5:$W$2004,W791,'Saisie'!$C$5:$C$2004,"&lt;&gt;"&amp;C791)&gt;0),"⚠ Numéro déjà utilisé par un autre prospect",IF(AND(J791&lt;&gt;"",J791&lt;A791),"⚠ Relance avant la date de l'action",IF(A791&gt;TODAY(),"⚠ Date dans le futur","✓"))))))))</f>
        <v/>
      </c>
      <c r="AS791" s="61">
        <f>IF(AND(A791="",C791="",E791=""),"",ROW())</f>
        <v/>
      </c>
      <c r="AT791" s="61">
        <f>IF(E791&amp;F791="","",MAX(IFERROR(INDEX('Paramètres'!$J$6:$J$33,MATCH(E791,'Paramètres'!$I$6:$I$33,0)),0),IFERROR(INDEX('Paramètres'!$N$6:$N$17,MATCH(F791,'Paramètres'!$M$6:$M$17,0)),0)))</f>
        <v/>
      </c>
      <c r="AU791" s="61">
        <f>IF(E791="","",IFERROR(IF(INDEX('Paramètres'!$K$6:$K$33,MATCH(E791,'Paramètres'!$I$6:$I$33,0))="Oui",1,0),0))</f>
        <v/>
      </c>
      <c r="AV791" s="61">
        <f>IF(F791="","",IFERROR(IF(INDEX('Paramètres'!$O$6:$O$17,MATCH(F791,'Paramètres'!$M$6:$M$17,0))="Oui",1,0),0))</f>
        <v/>
      </c>
      <c r="AW791" s="62">
        <f>IF(E791="","",IF(G791&lt;&gt;"",G791,IF(OR(E791="Proposition envoyée",E791="Signature"),MAX(0,N(IFERROR(INDEX('Paramètres'!$R$6:$R$15,MATCH(IF(AL791&lt;&gt;"",AL791,IFERROR(INDEX('Prospects'!$AN$5:$AN$504,MATCH(C791,'Prospects'!$C$5:$C$504,0)),"")),'Paramètres'!$Q$6:$Q$15,0)),0))-N(P791)),0)))</f>
        <v/>
      </c>
      <c r="AX791" s="61">
        <f>IF(C791="","",IF(COUNTIF($C$5:C791,C791)=1,MAX($AX$4:AX790)+1,""))</f>
        <v/>
      </c>
      <c r="AY791" s="61">
        <f>IF(B791="","",HOUR(B791))</f>
        <v/>
      </c>
      <c r="AZ791" s="61">
        <f>IF(A791="","",MOD(A791-2,7)+1)</f>
        <v/>
      </c>
      <c r="BA791" s="60">
        <f>IF(C791="","",IFERROR(INDEX('Prospects'!$N$5:$N$504,MATCH(C791,'Prospects'!$C$5:$C$504,0)),""))</f>
        <v/>
      </c>
      <c r="BB791" s="61">
        <f>IF(AND(C791&lt;&gt;"",C791='Fiche prospect'!$C$4),COUNTIF($C$5:C791,C791),"")</f>
        <v/>
      </c>
    </row>
    <row r="792">
      <c r="A792" s="53" t="n"/>
      <c r="B792" s="54" t="n"/>
      <c r="C792" s="55" t="n"/>
      <c r="D792" s="55" t="n"/>
      <c r="E792" s="55" t="n"/>
      <c r="F792" s="55" t="n"/>
      <c r="G792" s="56" t="n"/>
      <c r="H792" s="57" t="n"/>
      <c r="I792" s="55" t="n"/>
      <c r="J792" s="53" t="n"/>
      <c r="K792" s="54" t="n"/>
      <c r="L792" s="55" t="n"/>
      <c r="M792" s="55" t="n"/>
      <c r="N792" s="57" t="n"/>
      <c r="O792" s="55" t="n"/>
      <c r="P792" s="56" t="n"/>
      <c r="Q792" s="55" t="n"/>
      <c r="R792" s="55" t="n"/>
      <c r="S792" s="55" t="n"/>
      <c r="T792" s="55" t="n"/>
      <c r="U792" s="55" t="n"/>
      <c r="V792" s="55" t="n"/>
      <c r="W792" s="58" t="n"/>
      <c r="X792" s="58" t="n"/>
      <c r="Y792" s="55" t="n"/>
      <c r="Z792" s="55" t="n"/>
      <c r="AA792" s="55" t="n"/>
      <c r="AB792" s="55" t="n"/>
      <c r="AC792" s="55" t="n"/>
      <c r="AD792" s="53" t="n"/>
      <c r="AE792" s="55" t="n"/>
      <c r="AF792" s="55" t="n"/>
      <c r="AG792" s="59" t="n"/>
      <c r="AH792" s="57" t="n"/>
      <c r="AI792" s="55" t="n"/>
      <c r="AJ792" s="55" t="n"/>
      <c r="AK792" s="55" t="n"/>
      <c r="AL792" s="55" t="n"/>
      <c r="AM792" s="56" t="n"/>
      <c r="AN792" s="55" t="n"/>
      <c r="AO792" s="55" t="n"/>
      <c r="AP792" s="55" t="n"/>
      <c r="AQ792" s="55" t="n"/>
      <c r="AR792" s="60">
        <f>IF(AND(C792="",E792=""),"",IF(A792="","⚠ Date manquante",IF(AND(C792="",E792&lt;&gt;"Dépense"),"⚠ Prospect manquant",IF(E792="","⚠ Action manquante",IF(AND(AU792=1,D792=""),"⚠ Canal manquant",IF(AND(W792&lt;&gt;"",COUNTIFS('Saisie'!$W$5:$W$2004,W792,'Saisie'!$C$5:$C$2004,"&lt;&gt;"&amp;C792)&gt;0),"⚠ Numéro déjà utilisé par un autre prospect",IF(AND(J792&lt;&gt;"",J792&lt;A792),"⚠ Relance avant la date de l'action",IF(A792&gt;TODAY(),"⚠ Date dans le futur","✓"))))))))</f>
        <v/>
      </c>
      <c r="AS792" s="61">
        <f>IF(AND(A792="",C792="",E792=""),"",ROW())</f>
        <v/>
      </c>
      <c r="AT792" s="61">
        <f>IF(E792&amp;F792="","",MAX(IFERROR(INDEX('Paramètres'!$J$6:$J$33,MATCH(E792,'Paramètres'!$I$6:$I$33,0)),0),IFERROR(INDEX('Paramètres'!$N$6:$N$17,MATCH(F792,'Paramètres'!$M$6:$M$17,0)),0)))</f>
        <v/>
      </c>
      <c r="AU792" s="61">
        <f>IF(E792="","",IFERROR(IF(INDEX('Paramètres'!$K$6:$K$33,MATCH(E792,'Paramètres'!$I$6:$I$33,0))="Oui",1,0),0))</f>
        <v/>
      </c>
      <c r="AV792" s="61">
        <f>IF(F792="","",IFERROR(IF(INDEX('Paramètres'!$O$6:$O$17,MATCH(F792,'Paramètres'!$M$6:$M$17,0))="Oui",1,0),0))</f>
        <v/>
      </c>
      <c r="AW792" s="62">
        <f>IF(E792="","",IF(G792&lt;&gt;"",G792,IF(OR(E792="Proposition envoyée",E792="Signature"),MAX(0,N(IFERROR(INDEX('Paramètres'!$R$6:$R$15,MATCH(IF(AL792&lt;&gt;"",AL792,IFERROR(INDEX('Prospects'!$AN$5:$AN$504,MATCH(C792,'Prospects'!$C$5:$C$504,0)),"")),'Paramètres'!$Q$6:$Q$15,0)),0))-N(P792)),0)))</f>
        <v/>
      </c>
      <c r="AX792" s="61">
        <f>IF(C792="","",IF(COUNTIF($C$5:C792,C792)=1,MAX($AX$4:AX791)+1,""))</f>
        <v/>
      </c>
      <c r="AY792" s="61">
        <f>IF(B792="","",HOUR(B792))</f>
        <v/>
      </c>
      <c r="AZ792" s="61">
        <f>IF(A792="","",MOD(A792-2,7)+1)</f>
        <v/>
      </c>
      <c r="BA792" s="60">
        <f>IF(C792="","",IFERROR(INDEX('Prospects'!$N$5:$N$504,MATCH(C792,'Prospects'!$C$5:$C$504,0)),""))</f>
        <v/>
      </c>
      <c r="BB792" s="61">
        <f>IF(AND(C792&lt;&gt;"",C792='Fiche prospect'!$C$4),COUNTIF($C$5:C792,C792),"")</f>
        <v/>
      </c>
    </row>
    <row r="793">
      <c r="A793" s="53" t="n"/>
      <c r="B793" s="54" t="n"/>
      <c r="C793" s="55" t="n"/>
      <c r="D793" s="55" t="n"/>
      <c r="E793" s="55" t="n"/>
      <c r="F793" s="55" t="n"/>
      <c r="G793" s="56" t="n"/>
      <c r="H793" s="57" t="n"/>
      <c r="I793" s="55" t="n"/>
      <c r="J793" s="53" t="n"/>
      <c r="K793" s="54" t="n"/>
      <c r="L793" s="55" t="n"/>
      <c r="M793" s="55" t="n"/>
      <c r="N793" s="57" t="n"/>
      <c r="O793" s="55" t="n"/>
      <c r="P793" s="56" t="n"/>
      <c r="Q793" s="55" t="n"/>
      <c r="R793" s="55" t="n"/>
      <c r="S793" s="55" t="n"/>
      <c r="T793" s="55" t="n"/>
      <c r="U793" s="55" t="n"/>
      <c r="V793" s="55" t="n"/>
      <c r="W793" s="58" t="n"/>
      <c r="X793" s="58" t="n"/>
      <c r="Y793" s="55" t="n"/>
      <c r="Z793" s="55" t="n"/>
      <c r="AA793" s="55" t="n"/>
      <c r="AB793" s="55" t="n"/>
      <c r="AC793" s="55" t="n"/>
      <c r="AD793" s="53" t="n"/>
      <c r="AE793" s="55" t="n"/>
      <c r="AF793" s="55" t="n"/>
      <c r="AG793" s="59" t="n"/>
      <c r="AH793" s="57" t="n"/>
      <c r="AI793" s="55" t="n"/>
      <c r="AJ793" s="55" t="n"/>
      <c r="AK793" s="55" t="n"/>
      <c r="AL793" s="55" t="n"/>
      <c r="AM793" s="56" t="n"/>
      <c r="AN793" s="55" t="n"/>
      <c r="AO793" s="55" t="n"/>
      <c r="AP793" s="55" t="n"/>
      <c r="AQ793" s="55" t="n"/>
      <c r="AR793" s="60">
        <f>IF(AND(C793="",E793=""),"",IF(A793="","⚠ Date manquante",IF(AND(C793="",E793&lt;&gt;"Dépense"),"⚠ Prospect manquant",IF(E793="","⚠ Action manquante",IF(AND(AU793=1,D793=""),"⚠ Canal manquant",IF(AND(W793&lt;&gt;"",COUNTIFS('Saisie'!$W$5:$W$2004,W793,'Saisie'!$C$5:$C$2004,"&lt;&gt;"&amp;C793)&gt;0),"⚠ Numéro déjà utilisé par un autre prospect",IF(AND(J793&lt;&gt;"",J793&lt;A793),"⚠ Relance avant la date de l'action",IF(A793&gt;TODAY(),"⚠ Date dans le futur","✓"))))))))</f>
        <v/>
      </c>
      <c r="AS793" s="61">
        <f>IF(AND(A793="",C793="",E793=""),"",ROW())</f>
        <v/>
      </c>
      <c r="AT793" s="61">
        <f>IF(E793&amp;F793="","",MAX(IFERROR(INDEX('Paramètres'!$J$6:$J$33,MATCH(E793,'Paramètres'!$I$6:$I$33,0)),0),IFERROR(INDEX('Paramètres'!$N$6:$N$17,MATCH(F793,'Paramètres'!$M$6:$M$17,0)),0)))</f>
        <v/>
      </c>
      <c r="AU793" s="61">
        <f>IF(E793="","",IFERROR(IF(INDEX('Paramètres'!$K$6:$K$33,MATCH(E793,'Paramètres'!$I$6:$I$33,0))="Oui",1,0),0))</f>
        <v/>
      </c>
      <c r="AV793" s="61">
        <f>IF(F793="","",IFERROR(IF(INDEX('Paramètres'!$O$6:$O$17,MATCH(F793,'Paramètres'!$M$6:$M$17,0))="Oui",1,0),0))</f>
        <v/>
      </c>
      <c r="AW793" s="62">
        <f>IF(E793="","",IF(G793&lt;&gt;"",G793,IF(OR(E793="Proposition envoyée",E793="Signature"),MAX(0,N(IFERROR(INDEX('Paramètres'!$R$6:$R$15,MATCH(IF(AL793&lt;&gt;"",AL793,IFERROR(INDEX('Prospects'!$AN$5:$AN$504,MATCH(C793,'Prospects'!$C$5:$C$504,0)),"")),'Paramètres'!$Q$6:$Q$15,0)),0))-N(P793)),0)))</f>
        <v/>
      </c>
      <c r="AX793" s="61">
        <f>IF(C793="","",IF(COUNTIF($C$5:C793,C793)=1,MAX($AX$4:AX792)+1,""))</f>
        <v/>
      </c>
      <c r="AY793" s="61">
        <f>IF(B793="","",HOUR(B793))</f>
        <v/>
      </c>
      <c r="AZ793" s="61">
        <f>IF(A793="","",MOD(A793-2,7)+1)</f>
        <v/>
      </c>
      <c r="BA793" s="60">
        <f>IF(C793="","",IFERROR(INDEX('Prospects'!$N$5:$N$504,MATCH(C793,'Prospects'!$C$5:$C$504,0)),""))</f>
        <v/>
      </c>
      <c r="BB793" s="61">
        <f>IF(AND(C793&lt;&gt;"",C793='Fiche prospect'!$C$4),COUNTIF($C$5:C793,C793),"")</f>
        <v/>
      </c>
    </row>
    <row r="794">
      <c r="A794" s="53" t="n"/>
      <c r="B794" s="54" t="n"/>
      <c r="C794" s="55" t="n"/>
      <c r="D794" s="55" t="n"/>
      <c r="E794" s="55" t="n"/>
      <c r="F794" s="55" t="n"/>
      <c r="G794" s="56" t="n"/>
      <c r="H794" s="57" t="n"/>
      <c r="I794" s="55" t="n"/>
      <c r="J794" s="53" t="n"/>
      <c r="K794" s="54" t="n"/>
      <c r="L794" s="55" t="n"/>
      <c r="M794" s="55" t="n"/>
      <c r="N794" s="57" t="n"/>
      <c r="O794" s="55" t="n"/>
      <c r="P794" s="56" t="n"/>
      <c r="Q794" s="55" t="n"/>
      <c r="R794" s="55" t="n"/>
      <c r="S794" s="55" t="n"/>
      <c r="T794" s="55" t="n"/>
      <c r="U794" s="55" t="n"/>
      <c r="V794" s="55" t="n"/>
      <c r="W794" s="58" t="n"/>
      <c r="X794" s="58" t="n"/>
      <c r="Y794" s="55" t="n"/>
      <c r="Z794" s="55" t="n"/>
      <c r="AA794" s="55" t="n"/>
      <c r="AB794" s="55" t="n"/>
      <c r="AC794" s="55" t="n"/>
      <c r="AD794" s="53" t="n"/>
      <c r="AE794" s="55" t="n"/>
      <c r="AF794" s="55" t="n"/>
      <c r="AG794" s="59" t="n"/>
      <c r="AH794" s="57" t="n"/>
      <c r="AI794" s="55" t="n"/>
      <c r="AJ794" s="55" t="n"/>
      <c r="AK794" s="55" t="n"/>
      <c r="AL794" s="55" t="n"/>
      <c r="AM794" s="56" t="n"/>
      <c r="AN794" s="55" t="n"/>
      <c r="AO794" s="55" t="n"/>
      <c r="AP794" s="55" t="n"/>
      <c r="AQ794" s="55" t="n"/>
      <c r="AR794" s="60">
        <f>IF(AND(C794="",E794=""),"",IF(A794="","⚠ Date manquante",IF(AND(C794="",E794&lt;&gt;"Dépense"),"⚠ Prospect manquant",IF(E794="","⚠ Action manquante",IF(AND(AU794=1,D794=""),"⚠ Canal manquant",IF(AND(W794&lt;&gt;"",COUNTIFS('Saisie'!$W$5:$W$2004,W794,'Saisie'!$C$5:$C$2004,"&lt;&gt;"&amp;C794)&gt;0),"⚠ Numéro déjà utilisé par un autre prospect",IF(AND(J794&lt;&gt;"",J794&lt;A794),"⚠ Relance avant la date de l'action",IF(A794&gt;TODAY(),"⚠ Date dans le futur","✓"))))))))</f>
        <v/>
      </c>
      <c r="AS794" s="61">
        <f>IF(AND(A794="",C794="",E794=""),"",ROW())</f>
        <v/>
      </c>
      <c r="AT794" s="61">
        <f>IF(E794&amp;F794="","",MAX(IFERROR(INDEX('Paramètres'!$J$6:$J$33,MATCH(E794,'Paramètres'!$I$6:$I$33,0)),0),IFERROR(INDEX('Paramètres'!$N$6:$N$17,MATCH(F794,'Paramètres'!$M$6:$M$17,0)),0)))</f>
        <v/>
      </c>
      <c r="AU794" s="61">
        <f>IF(E794="","",IFERROR(IF(INDEX('Paramètres'!$K$6:$K$33,MATCH(E794,'Paramètres'!$I$6:$I$33,0))="Oui",1,0),0))</f>
        <v/>
      </c>
      <c r="AV794" s="61">
        <f>IF(F794="","",IFERROR(IF(INDEX('Paramètres'!$O$6:$O$17,MATCH(F794,'Paramètres'!$M$6:$M$17,0))="Oui",1,0),0))</f>
        <v/>
      </c>
      <c r="AW794" s="62">
        <f>IF(E794="","",IF(G794&lt;&gt;"",G794,IF(OR(E794="Proposition envoyée",E794="Signature"),MAX(0,N(IFERROR(INDEX('Paramètres'!$R$6:$R$15,MATCH(IF(AL794&lt;&gt;"",AL794,IFERROR(INDEX('Prospects'!$AN$5:$AN$504,MATCH(C794,'Prospects'!$C$5:$C$504,0)),"")),'Paramètres'!$Q$6:$Q$15,0)),0))-N(P794)),0)))</f>
        <v/>
      </c>
      <c r="AX794" s="61">
        <f>IF(C794="","",IF(COUNTIF($C$5:C794,C794)=1,MAX($AX$4:AX793)+1,""))</f>
        <v/>
      </c>
      <c r="AY794" s="61">
        <f>IF(B794="","",HOUR(B794))</f>
        <v/>
      </c>
      <c r="AZ794" s="61">
        <f>IF(A794="","",MOD(A794-2,7)+1)</f>
        <v/>
      </c>
      <c r="BA794" s="60">
        <f>IF(C794="","",IFERROR(INDEX('Prospects'!$N$5:$N$504,MATCH(C794,'Prospects'!$C$5:$C$504,0)),""))</f>
        <v/>
      </c>
      <c r="BB794" s="61">
        <f>IF(AND(C794&lt;&gt;"",C794='Fiche prospect'!$C$4),COUNTIF($C$5:C794,C794),"")</f>
        <v/>
      </c>
    </row>
    <row r="795">
      <c r="A795" s="53" t="n"/>
      <c r="B795" s="54" t="n"/>
      <c r="C795" s="55" t="n"/>
      <c r="D795" s="55" t="n"/>
      <c r="E795" s="55" t="n"/>
      <c r="F795" s="55" t="n"/>
      <c r="G795" s="56" t="n"/>
      <c r="H795" s="57" t="n"/>
      <c r="I795" s="55" t="n"/>
      <c r="J795" s="53" t="n"/>
      <c r="K795" s="54" t="n"/>
      <c r="L795" s="55" t="n"/>
      <c r="M795" s="55" t="n"/>
      <c r="N795" s="57" t="n"/>
      <c r="O795" s="55" t="n"/>
      <c r="P795" s="56" t="n"/>
      <c r="Q795" s="55" t="n"/>
      <c r="R795" s="55" t="n"/>
      <c r="S795" s="55" t="n"/>
      <c r="T795" s="55" t="n"/>
      <c r="U795" s="55" t="n"/>
      <c r="V795" s="55" t="n"/>
      <c r="W795" s="58" t="n"/>
      <c r="X795" s="58" t="n"/>
      <c r="Y795" s="55" t="n"/>
      <c r="Z795" s="55" t="n"/>
      <c r="AA795" s="55" t="n"/>
      <c r="AB795" s="55" t="n"/>
      <c r="AC795" s="55" t="n"/>
      <c r="AD795" s="53" t="n"/>
      <c r="AE795" s="55" t="n"/>
      <c r="AF795" s="55" t="n"/>
      <c r="AG795" s="59" t="n"/>
      <c r="AH795" s="57" t="n"/>
      <c r="AI795" s="55" t="n"/>
      <c r="AJ795" s="55" t="n"/>
      <c r="AK795" s="55" t="n"/>
      <c r="AL795" s="55" t="n"/>
      <c r="AM795" s="56" t="n"/>
      <c r="AN795" s="55" t="n"/>
      <c r="AO795" s="55" t="n"/>
      <c r="AP795" s="55" t="n"/>
      <c r="AQ795" s="55" t="n"/>
      <c r="AR795" s="60">
        <f>IF(AND(C795="",E795=""),"",IF(A795="","⚠ Date manquante",IF(AND(C795="",E795&lt;&gt;"Dépense"),"⚠ Prospect manquant",IF(E795="","⚠ Action manquante",IF(AND(AU795=1,D795=""),"⚠ Canal manquant",IF(AND(W795&lt;&gt;"",COUNTIFS('Saisie'!$W$5:$W$2004,W795,'Saisie'!$C$5:$C$2004,"&lt;&gt;"&amp;C795)&gt;0),"⚠ Numéro déjà utilisé par un autre prospect",IF(AND(J795&lt;&gt;"",J795&lt;A795),"⚠ Relance avant la date de l'action",IF(A795&gt;TODAY(),"⚠ Date dans le futur","✓"))))))))</f>
        <v/>
      </c>
      <c r="AS795" s="61">
        <f>IF(AND(A795="",C795="",E795=""),"",ROW())</f>
        <v/>
      </c>
      <c r="AT795" s="61">
        <f>IF(E795&amp;F795="","",MAX(IFERROR(INDEX('Paramètres'!$J$6:$J$33,MATCH(E795,'Paramètres'!$I$6:$I$33,0)),0),IFERROR(INDEX('Paramètres'!$N$6:$N$17,MATCH(F795,'Paramètres'!$M$6:$M$17,0)),0)))</f>
        <v/>
      </c>
      <c r="AU795" s="61">
        <f>IF(E795="","",IFERROR(IF(INDEX('Paramètres'!$K$6:$K$33,MATCH(E795,'Paramètres'!$I$6:$I$33,0))="Oui",1,0),0))</f>
        <v/>
      </c>
      <c r="AV795" s="61">
        <f>IF(F795="","",IFERROR(IF(INDEX('Paramètres'!$O$6:$O$17,MATCH(F795,'Paramètres'!$M$6:$M$17,0))="Oui",1,0),0))</f>
        <v/>
      </c>
      <c r="AW795" s="62">
        <f>IF(E795="","",IF(G795&lt;&gt;"",G795,IF(OR(E795="Proposition envoyée",E795="Signature"),MAX(0,N(IFERROR(INDEX('Paramètres'!$R$6:$R$15,MATCH(IF(AL795&lt;&gt;"",AL795,IFERROR(INDEX('Prospects'!$AN$5:$AN$504,MATCH(C795,'Prospects'!$C$5:$C$504,0)),"")),'Paramètres'!$Q$6:$Q$15,0)),0))-N(P795)),0)))</f>
        <v/>
      </c>
      <c r="AX795" s="61">
        <f>IF(C795="","",IF(COUNTIF($C$5:C795,C795)=1,MAX($AX$4:AX794)+1,""))</f>
        <v/>
      </c>
      <c r="AY795" s="61">
        <f>IF(B795="","",HOUR(B795))</f>
        <v/>
      </c>
      <c r="AZ795" s="61">
        <f>IF(A795="","",MOD(A795-2,7)+1)</f>
        <v/>
      </c>
      <c r="BA795" s="60">
        <f>IF(C795="","",IFERROR(INDEX('Prospects'!$N$5:$N$504,MATCH(C795,'Prospects'!$C$5:$C$504,0)),""))</f>
        <v/>
      </c>
      <c r="BB795" s="61">
        <f>IF(AND(C795&lt;&gt;"",C795='Fiche prospect'!$C$4),COUNTIF($C$5:C795,C795),"")</f>
        <v/>
      </c>
    </row>
    <row r="796">
      <c r="A796" s="53" t="n"/>
      <c r="B796" s="54" t="n"/>
      <c r="C796" s="55" t="n"/>
      <c r="D796" s="55" t="n"/>
      <c r="E796" s="55" t="n"/>
      <c r="F796" s="55" t="n"/>
      <c r="G796" s="56" t="n"/>
      <c r="H796" s="57" t="n"/>
      <c r="I796" s="55" t="n"/>
      <c r="J796" s="53" t="n"/>
      <c r="K796" s="54" t="n"/>
      <c r="L796" s="55" t="n"/>
      <c r="M796" s="55" t="n"/>
      <c r="N796" s="57" t="n"/>
      <c r="O796" s="55" t="n"/>
      <c r="P796" s="56" t="n"/>
      <c r="Q796" s="55" t="n"/>
      <c r="R796" s="55" t="n"/>
      <c r="S796" s="55" t="n"/>
      <c r="T796" s="55" t="n"/>
      <c r="U796" s="55" t="n"/>
      <c r="V796" s="55" t="n"/>
      <c r="W796" s="58" t="n"/>
      <c r="X796" s="58" t="n"/>
      <c r="Y796" s="55" t="n"/>
      <c r="Z796" s="55" t="n"/>
      <c r="AA796" s="55" t="n"/>
      <c r="AB796" s="55" t="n"/>
      <c r="AC796" s="55" t="n"/>
      <c r="AD796" s="53" t="n"/>
      <c r="AE796" s="55" t="n"/>
      <c r="AF796" s="55" t="n"/>
      <c r="AG796" s="59" t="n"/>
      <c r="AH796" s="57" t="n"/>
      <c r="AI796" s="55" t="n"/>
      <c r="AJ796" s="55" t="n"/>
      <c r="AK796" s="55" t="n"/>
      <c r="AL796" s="55" t="n"/>
      <c r="AM796" s="56" t="n"/>
      <c r="AN796" s="55" t="n"/>
      <c r="AO796" s="55" t="n"/>
      <c r="AP796" s="55" t="n"/>
      <c r="AQ796" s="55" t="n"/>
      <c r="AR796" s="60">
        <f>IF(AND(C796="",E796=""),"",IF(A796="","⚠ Date manquante",IF(AND(C796="",E796&lt;&gt;"Dépense"),"⚠ Prospect manquant",IF(E796="","⚠ Action manquante",IF(AND(AU796=1,D796=""),"⚠ Canal manquant",IF(AND(W796&lt;&gt;"",COUNTIFS('Saisie'!$W$5:$W$2004,W796,'Saisie'!$C$5:$C$2004,"&lt;&gt;"&amp;C796)&gt;0),"⚠ Numéro déjà utilisé par un autre prospect",IF(AND(J796&lt;&gt;"",J796&lt;A796),"⚠ Relance avant la date de l'action",IF(A796&gt;TODAY(),"⚠ Date dans le futur","✓"))))))))</f>
        <v/>
      </c>
      <c r="AS796" s="61">
        <f>IF(AND(A796="",C796="",E796=""),"",ROW())</f>
        <v/>
      </c>
      <c r="AT796" s="61">
        <f>IF(E796&amp;F796="","",MAX(IFERROR(INDEX('Paramètres'!$J$6:$J$33,MATCH(E796,'Paramètres'!$I$6:$I$33,0)),0),IFERROR(INDEX('Paramètres'!$N$6:$N$17,MATCH(F796,'Paramètres'!$M$6:$M$17,0)),0)))</f>
        <v/>
      </c>
      <c r="AU796" s="61">
        <f>IF(E796="","",IFERROR(IF(INDEX('Paramètres'!$K$6:$K$33,MATCH(E796,'Paramètres'!$I$6:$I$33,0))="Oui",1,0),0))</f>
        <v/>
      </c>
      <c r="AV796" s="61">
        <f>IF(F796="","",IFERROR(IF(INDEX('Paramètres'!$O$6:$O$17,MATCH(F796,'Paramètres'!$M$6:$M$17,0))="Oui",1,0),0))</f>
        <v/>
      </c>
      <c r="AW796" s="62">
        <f>IF(E796="","",IF(G796&lt;&gt;"",G796,IF(OR(E796="Proposition envoyée",E796="Signature"),MAX(0,N(IFERROR(INDEX('Paramètres'!$R$6:$R$15,MATCH(IF(AL796&lt;&gt;"",AL796,IFERROR(INDEX('Prospects'!$AN$5:$AN$504,MATCH(C796,'Prospects'!$C$5:$C$504,0)),"")),'Paramètres'!$Q$6:$Q$15,0)),0))-N(P796)),0)))</f>
        <v/>
      </c>
      <c r="AX796" s="61">
        <f>IF(C796="","",IF(COUNTIF($C$5:C796,C796)=1,MAX($AX$4:AX795)+1,""))</f>
        <v/>
      </c>
      <c r="AY796" s="61">
        <f>IF(B796="","",HOUR(B796))</f>
        <v/>
      </c>
      <c r="AZ796" s="61">
        <f>IF(A796="","",MOD(A796-2,7)+1)</f>
        <v/>
      </c>
      <c r="BA796" s="60">
        <f>IF(C796="","",IFERROR(INDEX('Prospects'!$N$5:$N$504,MATCH(C796,'Prospects'!$C$5:$C$504,0)),""))</f>
        <v/>
      </c>
      <c r="BB796" s="61">
        <f>IF(AND(C796&lt;&gt;"",C796='Fiche prospect'!$C$4),COUNTIF($C$5:C796,C796),"")</f>
        <v/>
      </c>
    </row>
    <row r="797">
      <c r="A797" s="53" t="n"/>
      <c r="B797" s="54" t="n"/>
      <c r="C797" s="55" t="n"/>
      <c r="D797" s="55" t="n"/>
      <c r="E797" s="55" t="n"/>
      <c r="F797" s="55" t="n"/>
      <c r="G797" s="56" t="n"/>
      <c r="H797" s="57" t="n"/>
      <c r="I797" s="55" t="n"/>
      <c r="J797" s="53" t="n"/>
      <c r="K797" s="54" t="n"/>
      <c r="L797" s="55" t="n"/>
      <c r="M797" s="55" t="n"/>
      <c r="N797" s="57" t="n"/>
      <c r="O797" s="55" t="n"/>
      <c r="P797" s="56" t="n"/>
      <c r="Q797" s="55" t="n"/>
      <c r="R797" s="55" t="n"/>
      <c r="S797" s="55" t="n"/>
      <c r="T797" s="55" t="n"/>
      <c r="U797" s="55" t="n"/>
      <c r="V797" s="55" t="n"/>
      <c r="W797" s="58" t="n"/>
      <c r="X797" s="58" t="n"/>
      <c r="Y797" s="55" t="n"/>
      <c r="Z797" s="55" t="n"/>
      <c r="AA797" s="55" t="n"/>
      <c r="AB797" s="55" t="n"/>
      <c r="AC797" s="55" t="n"/>
      <c r="AD797" s="53" t="n"/>
      <c r="AE797" s="55" t="n"/>
      <c r="AF797" s="55" t="n"/>
      <c r="AG797" s="59" t="n"/>
      <c r="AH797" s="57" t="n"/>
      <c r="AI797" s="55" t="n"/>
      <c r="AJ797" s="55" t="n"/>
      <c r="AK797" s="55" t="n"/>
      <c r="AL797" s="55" t="n"/>
      <c r="AM797" s="56" t="n"/>
      <c r="AN797" s="55" t="n"/>
      <c r="AO797" s="55" t="n"/>
      <c r="AP797" s="55" t="n"/>
      <c r="AQ797" s="55" t="n"/>
      <c r="AR797" s="60">
        <f>IF(AND(C797="",E797=""),"",IF(A797="","⚠ Date manquante",IF(AND(C797="",E797&lt;&gt;"Dépense"),"⚠ Prospect manquant",IF(E797="","⚠ Action manquante",IF(AND(AU797=1,D797=""),"⚠ Canal manquant",IF(AND(W797&lt;&gt;"",COUNTIFS('Saisie'!$W$5:$W$2004,W797,'Saisie'!$C$5:$C$2004,"&lt;&gt;"&amp;C797)&gt;0),"⚠ Numéro déjà utilisé par un autre prospect",IF(AND(J797&lt;&gt;"",J797&lt;A797),"⚠ Relance avant la date de l'action",IF(A797&gt;TODAY(),"⚠ Date dans le futur","✓"))))))))</f>
        <v/>
      </c>
      <c r="AS797" s="61">
        <f>IF(AND(A797="",C797="",E797=""),"",ROW())</f>
        <v/>
      </c>
      <c r="AT797" s="61">
        <f>IF(E797&amp;F797="","",MAX(IFERROR(INDEX('Paramètres'!$J$6:$J$33,MATCH(E797,'Paramètres'!$I$6:$I$33,0)),0),IFERROR(INDEX('Paramètres'!$N$6:$N$17,MATCH(F797,'Paramètres'!$M$6:$M$17,0)),0)))</f>
        <v/>
      </c>
      <c r="AU797" s="61">
        <f>IF(E797="","",IFERROR(IF(INDEX('Paramètres'!$K$6:$K$33,MATCH(E797,'Paramètres'!$I$6:$I$33,0))="Oui",1,0),0))</f>
        <v/>
      </c>
      <c r="AV797" s="61">
        <f>IF(F797="","",IFERROR(IF(INDEX('Paramètres'!$O$6:$O$17,MATCH(F797,'Paramètres'!$M$6:$M$17,0))="Oui",1,0),0))</f>
        <v/>
      </c>
      <c r="AW797" s="62">
        <f>IF(E797="","",IF(G797&lt;&gt;"",G797,IF(OR(E797="Proposition envoyée",E797="Signature"),MAX(0,N(IFERROR(INDEX('Paramètres'!$R$6:$R$15,MATCH(IF(AL797&lt;&gt;"",AL797,IFERROR(INDEX('Prospects'!$AN$5:$AN$504,MATCH(C797,'Prospects'!$C$5:$C$504,0)),"")),'Paramètres'!$Q$6:$Q$15,0)),0))-N(P797)),0)))</f>
        <v/>
      </c>
      <c r="AX797" s="61">
        <f>IF(C797="","",IF(COUNTIF($C$5:C797,C797)=1,MAX($AX$4:AX796)+1,""))</f>
        <v/>
      </c>
      <c r="AY797" s="61">
        <f>IF(B797="","",HOUR(B797))</f>
        <v/>
      </c>
      <c r="AZ797" s="61">
        <f>IF(A797="","",MOD(A797-2,7)+1)</f>
        <v/>
      </c>
      <c r="BA797" s="60">
        <f>IF(C797="","",IFERROR(INDEX('Prospects'!$N$5:$N$504,MATCH(C797,'Prospects'!$C$5:$C$504,0)),""))</f>
        <v/>
      </c>
      <c r="BB797" s="61">
        <f>IF(AND(C797&lt;&gt;"",C797='Fiche prospect'!$C$4),COUNTIF($C$5:C797,C797),"")</f>
        <v/>
      </c>
    </row>
    <row r="798">
      <c r="A798" s="53" t="n"/>
      <c r="B798" s="54" t="n"/>
      <c r="C798" s="55" t="n"/>
      <c r="D798" s="55" t="n"/>
      <c r="E798" s="55" t="n"/>
      <c r="F798" s="55" t="n"/>
      <c r="G798" s="56" t="n"/>
      <c r="H798" s="57" t="n"/>
      <c r="I798" s="55" t="n"/>
      <c r="J798" s="53" t="n"/>
      <c r="K798" s="54" t="n"/>
      <c r="L798" s="55" t="n"/>
      <c r="M798" s="55" t="n"/>
      <c r="N798" s="57" t="n"/>
      <c r="O798" s="55" t="n"/>
      <c r="P798" s="56" t="n"/>
      <c r="Q798" s="55" t="n"/>
      <c r="R798" s="55" t="n"/>
      <c r="S798" s="55" t="n"/>
      <c r="T798" s="55" t="n"/>
      <c r="U798" s="55" t="n"/>
      <c r="V798" s="55" t="n"/>
      <c r="W798" s="58" t="n"/>
      <c r="X798" s="58" t="n"/>
      <c r="Y798" s="55" t="n"/>
      <c r="Z798" s="55" t="n"/>
      <c r="AA798" s="55" t="n"/>
      <c r="AB798" s="55" t="n"/>
      <c r="AC798" s="55" t="n"/>
      <c r="AD798" s="53" t="n"/>
      <c r="AE798" s="55" t="n"/>
      <c r="AF798" s="55" t="n"/>
      <c r="AG798" s="59" t="n"/>
      <c r="AH798" s="57" t="n"/>
      <c r="AI798" s="55" t="n"/>
      <c r="AJ798" s="55" t="n"/>
      <c r="AK798" s="55" t="n"/>
      <c r="AL798" s="55" t="n"/>
      <c r="AM798" s="56" t="n"/>
      <c r="AN798" s="55" t="n"/>
      <c r="AO798" s="55" t="n"/>
      <c r="AP798" s="55" t="n"/>
      <c r="AQ798" s="55" t="n"/>
      <c r="AR798" s="60">
        <f>IF(AND(C798="",E798=""),"",IF(A798="","⚠ Date manquante",IF(AND(C798="",E798&lt;&gt;"Dépense"),"⚠ Prospect manquant",IF(E798="","⚠ Action manquante",IF(AND(AU798=1,D798=""),"⚠ Canal manquant",IF(AND(W798&lt;&gt;"",COUNTIFS('Saisie'!$W$5:$W$2004,W798,'Saisie'!$C$5:$C$2004,"&lt;&gt;"&amp;C798)&gt;0),"⚠ Numéro déjà utilisé par un autre prospect",IF(AND(J798&lt;&gt;"",J798&lt;A798),"⚠ Relance avant la date de l'action",IF(A798&gt;TODAY(),"⚠ Date dans le futur","✓"))))))))</f>
        <v/>
      </c>
      <c r="AS798" s="61">
        <f>IF(AND(A798="",C798="",E798=""),"",ROW())</f>
        <v/>
      </c>
      <c r="AT798" s="61">
        <f>IF(E798&amp;F798="","",MAX(IFERROR(INDEX('Paramètres'!$J$6:$J$33,MATCH(E798,'Paramètres'!$I$6:$I$33,0)),0),IFERROR(INDEX('Paramètres'!$N$6:$N$17,MATCH(F798,'Paramètres'!$M$6:$M$17,0)),0)))</f>
        <v/>
      </c>
      <c r="AU798" s="61">
        <f>IF(E798="","",IFERROR(IF(INDEX('Paramètres'!$K$6:$K$33,MATCH(E798,'Paramètres'!$I$6:$I$33,0))="Oui",1,0),0))</f>
        <v/>
      </c>
      <c r="AV798" s="61">
        <f>IF(F798="","",IFERROR(IF(INDEX('Paramètres'!$O$6:$O$17,MATCH(F798,'Paramètres'!$M$6:$M$17,0))="Oui",1,0),0))</f>
        <v/>
      </c>
      <c r="AW798" s="62">
        <f>IF(E798="","",IF(G798&lt;&gt;"",G798,IF(OR(E798="Proposition envoyée",E798="Signature"),MAX(0,N(IFERROR(INDEX('Paramètres'!$R$6:$R$15,MATCH(IF(AL798&lt;&gt;"",AL798,IFERROR(INDEX('Prospects'!$AN$5:$AN$504,MATCH(C798,'Prospects'!$C$5:$C$504,0)),"")),'Paramètres'!$Q$6:$Q$15,0)),0))-N(P798)),0)))</f>
        <v/>
      </c>
      <c r="AX798" s="61">
        <f>IF(C798="","",IF(COUNTIF($C$5:C798,C798)=1,MAX($AX$4:AX797)+1,""))</f>
        <v/>
      </c>
      <c r="AY798" s="61">
        <f>IF(B798="","",HOUR(B798))</f>
        <v/>
      </c>
      <c r="AZ798" s="61">
        <f>IF(A798="","",MOD(A798-2,7)+1)</f>
        <v/>
      </c>
      <c r="BA798" s="60">
        <f>IF(C798="","",IFERROR(INDEX('Prospects'!$N$5:$N$504,MATCH(C798,'Prospects'!$C$5:$C$504,0)),""))</f>
        <v/>
      </c>
      <c r="BB798" s="61">
        <f>IF(AND(C798&lt;&gt;"",C798='Fiche prospect'!$C$4),COUNTIF($C$5:C798,C798),"")</f>
        <v/>
      </c>
    </row>
    <row r="799">
      <c r="A799" s="53" t="n"/>
      <c r="B799" s="54" t="n"/>
      <c r="C799" s="55" t="n"/>
      <c r="D799" s="55" t="n"/>
      <c r="E799" s="55" t="n"/>
      <c r="F799" s="55" t="n"/>
      <c r="G799" s="56" t="n"/>
      <c r="H799" s="57" t="n"/>
      <c r="I799" s="55" t="n"/>
      <c r="J799" s="53" t="n"/>
      <c r="K799" s="54" t="n"/>
      <c r="L799" s="55" t="n"/>
      <c r="M799" s="55" t="n"/>
      <c r="N799" s="57" t="n"/>
      <c r="O799" s="55" t="n"/>
      <c r="P799" s="56" t="n"/>
      <c r="Q799" s="55" t="n"/>
      <c r="R799" s="55" t="n"/>
      <c r="S799" s="55" t="n"/>
      <c r="T799" s="55" t="n"/>
      <c r="U799" s="55" t="n"/>
      <c r="V799" s="55" t="n"/>
      <c r="W799" s="58" t="n"/>
      <c r="X799" s="58" t="n"/>
      <c r="Y799" s="55" t="n"/>
      <c r="Z799" s="55" t="n"/>
      <c r="AA799" s="55" t="n"/>
      <c r="AB799" s="55" t="n"/>
      <c r="AC799" s="55" t="n"/>
      <c r="AD799" s="53" t="n"/>
      <c r="AE799" s="55" t="n"/>
      <c r="AF799" s="55" t="n"/>
      <c r="AG799" s="59" t="n"/>
      <c r="AH799" s="57" t="n"/>
      <c r="AI799" s="55" t="n"/>
      <c r="AJ799" s="55" t="n"/>
      <c r="AK799" s="55" t="n"/>
      <c r="AL799" s="55" t="n"/>
      <c r="AM799" s="56" t="n"/>
      <c r="AN799" s="55" t="n"/>
      <c r="AO799" s="55" t="n"/>
      <c r="AP799" s="55" t="n"/>
      <c r="AQ799" s="55" t="n"/>
      <c r="AR799" s="60">
        <f>IF(AND(C799="",E799=""),"",IF(A799="","⚠ Date manquante",IF(AND(C799="",E799&lt;&gt;"Dépense"),"⚠ Prospect manquant",IF(E799="","⚠ Action manquante",IF(AND(AU799=1,D799=""),"⚠ Canal manquant",IF(AND(W799&lt;&gt;"",COUNTIFS('Saisie'!$W$5:$W$2004,W799,'Saisie'!$C$5:$C$2004,"&lt;&gt;"&amp;C799)&gt;0),"⚠ Numéro déjà utilisé par un autre prospect",IF(AND(J799&lt;&gt;"",J799&lt;A799),"⚠ Relance avant la date de l'action",IF(A799&gt;TODAY(),"⚠ Date dans le futur","✓"))))))))</f>
        <v/>
      </c>
      <c r="AS799" s="61">
        <f>IF(AND(A799="",C799="",E799=""),"",ROW())</f>
        <v/>
      </c>
      <c r="AT799" s="61">
        <f>IF(E799&amp;F799="","",MAX(IFERROR(INDEX('Paramètres'!$J$6:$J$33,MATCH(E799,'Paramètres'!$I$6:$I$33,0)),0),IFERROR(INDEX('Paramètres'!$N$6:$N$17,MATCH(F799,'Paramètres'!$M$6:$M$17,0)),0)))</f>
        <v/>
      </c>
      <c r="AU799" s="61">
        <f>IF(E799="","",IFERROR(IF(INDEX('Paramètres'!$K$6:$K$33,MATCH(E799,'Paramètres'!$I$6:$I$33,0))="Oui",1,0),0))</f>
        <v/>
      </c>
      <c r="AV799" s="61">
        <f>IF(F799="","",IFERROR(IF(INDEX('Paramètres'!$O$6:$O$17,MATCH(F799,'Paramètres'!$M$6:$M$17,0))="Oui",1,0),0))</f>
        <v/>
      </c>
      <c r="AW799" s="62">
        <f>IF(E799="","",IF(G799&lt;&gt;"",G799,IF(OR(E799="Proposition envoyée",E799="Signature"),MAX(0,N(IFERROR(INDEX('Paramètres'!$R$6:$R$15,MATCH(IF(AL799&lt;&gt;"",AL799,IFERROR(INDEX('Prospects'!$AN$5:$AN$504,MATCH(C799,'Prospects'!$C$5:$C$504,0)),"")),'Paramètres'!$Q$6:$Q$15,0)),0))-N(P799)),0)))</f>
        <v/>
      </c>
      <c r="AX799" s="61">
        <f>IF(C799="","",IF(COUNTIF($C$5:C799,C799)=1,MAX($AX$4:AX798)+1,""))</f>
        <v/>
      </c>
      <c r="AY799" s="61">
        <f>IF(B799="","",HOUR(B799))</f>
        <v/>
      </c>
      <c r="AZ799" s="61">
        <f>IF(A799="","",MOD(A799-2,7)+1)</f>
        <v/>
      </c>
      <c r="BA799" s="60">
        <f>IF(C799="","",IFERROR(INDEX('Prospects'!$N$5:$N$504,MATCH(C799,'Prospects'!$C$5:$C$504,0)),""))</f>
        <v/>
      </c>
      <c r="BB799" s="61">
        <f>IF(AND(C799&lt;&gt;"",C799='Fiche prospect'!$C$4),COUNTIF($C$5:C799,C799),"")</f>
        <v/>
      </c>
    </row>
    <row r="800">
      <c r="A800" s="53" t="n"/>
      <c r="B800" s="54" t="n"/>
      <c r="C800" s="55" t="n"/>
      <c r="D800" s="55" t="n"/>
      <c r="E800" s="55" t="n"/>
      <c r="F800" s="55" t="n"/>
      <c r="G800" s="56" t="n"/>
      <c r="H800" s="57" t="n"/>
      <c r="I800" s="55" t="n"/>
      <c r="J800" s="53" t="n"/>
      <c r="K800" s="54" t="n"/>
      <c r="L800" s="55" t="n"/>
      <c r="M800" s="55" t="n"/>
      <c r="N800" s="57" t="n"/>
      <c r="O800" s="55" t="n"/>
      <c r="P800" s="56" t="n"/>
      <c r="Q800" s="55" t="n"/>
      <c r="R800" s="55" t="n"/>
      <c r="S800" s="55" t="n"/>
      <c r="T800" s="55" t="n"/>
      <c r="U800" s="55" t="n"/>
      <c r="V800" s="55" t="n"/>
      <c r="W800" s="58" t="n"/>
      <c r="X800" s="58" t="n"/>
      <c r="Y800" s="55" t="n"/>
      <c r="Z800" s="55" t="n"/>
      <c r="AA800" s="55" t="n"/>
      <c r="AB800" s="55" t="n"/>
      <c r="AC800" s="55" t="n"/>
      <c r="AD800" s="53" t="n"/>
      <c r="AE800" s="55" t="n"/>
      <c r="AF800" s="55" t="n"/>
      <c r="AG800" s="59" t="n"/>
      <c r="AH800" s="57" t="n"/>
      <c r="AI800" s="55" t="n"/>
      <c r="AJ800" s="55" t="n"/>
      <c r="AK800" s="55" t="n"/>
      <c r="AL800" s="55" t="n"/>
      <c r="AM800" s="56" t="n"/>
      <c r="AN800" s="55" t="n"/>
      <c r="AO800" s="55" t="n"/>
      <c r="AP800" s="55" t="n"/>
      <c r="AQ800" s="55" t="n"/>
      <c r="AR800" s="60">
        <f>IF(AND(C800="",E800=""),"",IF(A800="","⚠ Date manquante",IF(AND(C800="",E800&lt;&gt;"Dépense"),"⚠ Prospect manquant",IF(E800="","⚠ Action manquante",IF(AND(AU800=1,D800=""),"⚠ Canal manquant",IF(AND(W800&lt;&gt;"",COUNTIFS('Saisie'!$W$5:$W$2004,W800,'Saisie'!$C$5:$C$2004,"&lt;&gt;"&amp;C800)&gt;0),"⚠ Numéro déjà utilisé par un autre prospect",IF(AND(J800&lt;&gt;"",J800&lt;A800),"⚠ Relance avant la date de l'action",IF(A800&gt;TODAY(),"⚠ Date dans le futur","✓"))))))))</f>
        <v/>
      </c>
      <c r="AS800" s="61">
        <f>IF(AND(A800="",C800="",E800=""),"",ROW())</f>
        <v/>
      </c>
      <c r="AT800" s="61">
        <f>IF(E800&amp;F800="","",MAX(IFERROR(INDEX('Paramètres'!$J$6:$J$33,MATCH(E800,'Paramètres'!$I$6:$I$33,0)),0),IFERROR(INDEX('Paramètres'!$N$6:$N$17,MATCH(F800,'Paramètres'!$M$6:$M$17,0)),0)))</f>
        <v/>
      </c>
      <c r="AU800" s="61">
        <f>IF(E800="","",IFERROR(IF(INDEX('Paramètres'!$K$6:$K$33,MATCH(E800,'Paramètres'!$I$6:$I$33,0))="Oui",1,0),0))</f>
        <v/>
      </c>
      <c r="AV800" s="61">
        <f>IF(F800="","",IFERROR(IF(INDEX('Paramètres'!$O$6:$O$17,MATCH(F800,'Paramètres'!$M$6:$M$17,0))="Oui",1,0),0))</f>
        <v/>
      </c>
      <c r="AW800" s="62">
        <f>IF(E800="","",IF(G800&lt;&gt;"",G800,IF(OR(E800="Proposition envoyée",E800="Signature"),MAX(0,N(IFERROR(INDEX('Paramètres'!$R$6:$R$15,MATCH(IF(AL800&lt;&gt;"",AL800,IFERROR(INDEX('Prospects'!$AN$5:$AN$504,MATCH(C800,'Prospects'!$C$5:$C$504,0)),"")),'Paramètres'!$Q$6:$Q$15,0)),0))-N(P800)),0)))</f>
        <v/>
      </c>
      <c r="AX800" s="61">
        <f>IF(C800="","",IF(COUNTIF($C$5:C800,C800)=1,MAX($AX$4:AX799)+1,""))</f>
        <v/>
      </c>
      <c r="AY800" s="61">
        <f>IF(B800="","",HOUR(B800))</f>
        <v/>
      </c>
      <c r="AZ800" s="61">
        <f>IF(A800="","",MOD(A800-2,7)+1)</f>
        <v/>
      </c>
      <c r="BA800" s="60">
        <f>IF(C800="","",IFERROR(INDEX('Prospects'!$N$5:$N$504,MATCH(C800,'Prospects'!$C$5:$C$504,0)),""))</f>
        <v/>
      </c>
      <c r="BB800" s="61">
        <f>IF(AND(C800&lt;&gt;"",C800='Fiche prospect'!$C$4),COUNTIF($C$5:C800,C800),"")</f>
        <v/>
      </c>
    </row>
    <row r="801">
      <c r="A801" s="53" t="n"/>
      <c r="B801" s="54" t="n"/>
      <c r="C801" s="55" t="n"/>
      <c r="D801" s="55" t="n"/>
      <c r="E801" s="55" t="n"/>
      <c r="F801" s="55" t="n"/>
      <c r="G801" s="56" t="n"/>
      <c r="H801" s="57" t="n"/>
      <c r="I801" s="55" t="n"/>
      <c r="J801" s="53" t="n"/>
      <c r="K801" s="54" t="n"/>
      <c r="L801" s="55" t="n"/>
      <c r="M801" s="55" t="n"/>
      <c r="N801" s="57" t="n"/>
      <c r="O801" s="55" t="n"/>
      <c r="P801" s="56" t="n"/>
      <c r="Q801" s="55" t="n"/>
      <c r="R801" s="55" t="n"/>
      <c r="S801" s="55" t="n"/>
      <c r="T801" s="55" t="n"/>
      <c r="U801" s="55" t="n"/>
      <c r="V801" s="55" t="n"/>
      <c r="W801" s="58" t="n"/>
      <c r="X801" s="58" t="n"/>
      <c r="Y801" s="55" t="n"/>
      <c r="Z801" s="55" t="n"/>
      <c r="AA801" s="55" t="n"/>
      <c r="AB801" s="55" t="n"/>
      <c r="AC801" s="55" t="n"/>
      <c r="AD801" s="53" t="n"/>
      <c r="AE801" s="55" t="n"/>
      <c r="AF801" s="55" t="n"/>
      <c r="AG801" s="59" t="n"/>
      <c r="AH801" s="57" t="n"/>
      <c r="AI801" s="55" t="n"/>
      <c r="AJ801" s="55" t="n"/>
      <c r="AK801" s="55" t="n"/>
      <c r="AL801" s="55" t="n"/>
      <c r="AM801" s="56" t="n"/>
      <c r="AN801" s="55" t="n"/>
      <c r="AO801" s="55" t="n"/>
      <c r="AP801" s="55" t="n"/>
      <c r="AQ801" s="55" t="n"/>
      <c r="AR801" s="60">
        <f>IF(AND(C801="",E801=""),"",IF(A801="","⚠ Date manquante",IF(AND(C801="",E801&lt;&gt;"Dépense"),"⚠ Prospect manquant",IF(E801="","⚠ Action manquante",IF(AND(AU801=1,D801=""),"⚠ Canal manquant",IF(AND(W801&lt;&gt;"",COUNTIFS('Saisie'!$W$5:$W$2004,W801,'Saisie'!$C$5:$C$2004,"&lt;&gt;"&amp;C801)&gt;0),"⚠ Numéro déjà utilisé par un autre prospect",IF(AND(J801&lt;&gt;"",J801&lt;A801),"⚠ Relance avant la date de l'action",IF(A801&gt;TODAY(),"⚠ Date dans le futur","✓"))))))))</f>
        <v/>
      </c>
      <c r="AS801" s="61">
        <f>IF(AND(A801="",C801="",E801=""),"",ROW())</f>
        <v/>
      </c>
      <c r="AT801" s="61">
        <f>IF(E801&amp;F801="","",MAX(IFERROR(INDEX('Paramètres'!$J$6:$J$33,MATCH(E801,'Paramètres'!$I$6:$I$33,0)),0),IFERROR(INDEX('Paramètres'!$N$6:$N$17,MATCH(F801,'Paramètres'!$M$6:$M$17,0)),0)))</f>
        <v/>
      </c>
      <c r="AU801" s="61">
        <f>IF(E801="","",IFERROR(IF(INDEX('Paramètres'!$K$6:$K$33,MATCH(E801,'Paramètres'!$I$6:$I$33,0))="Oui",1,0),0))</f>
        <v/>
      </c>
      <c r="AV801" s="61">
        <f>IF(F801="","",IFERROR(IF(INDEX('Paramètres'!$O$6:$O$17,MATCH(F801,'Paramètres'!$M$6:$M$17,0))="Oui",1,0),0))</f>
        <v/>
      </c>
      <c r="AW801" s="62">
        <f>IF(E801="","",IF(G801&lt;&gt;"",G801,IF(OR(E801="Proposition envoyée",E801="Signature"),MAX(0,N(IFERROR(INDEX('Paramètres'!$R$6:$R$15,MATCH(IF(AL801&lt;&gt;"",AL801,IFERROR(INDEX('Prospects'!$AN$5:$AN$504,MATCH(C801,'Prospects'!$C$5:$C$504,0)),"")),'Paramètres'!$Q$6:$Q$15,0)),0))-N(P801)),0)))</f>
        <v/>
      </c>
      <c r="AX801" s="61">
        <f>IF(C801="","",IF(COUNTIF($C$5:C801,C801)=1,MAX($AX$4:AX800)+1,""))</f>
        <v/>
      </c>
      <c r="AY801" s="61">
        <f>IF(B801="","",HOUR(B801))</f>
        <v/>
      </c>
      <c r="AZ801" s="61">
        <f>IF(A801="","",MOD(A801-2,7)+1)</f>
        <v/>
      </c>
      <c r="BA801" s="60">
        <f>IF(C801="","",IFERROR(INDEX('Prospects'!$N$5:$N$504,MATCH(C801,'Prospects'!$C$5:$C$504,0)),""))</f>
        <v/>
      </c>
      <c r="BB801" s="61">
        <f>IF(AND(C801&lt;&gt;"",C801='Fiche prospect'!$C$4),COUNTIF($C$5:C801,C801),"")</f>
        <v/>
      </c>
    </row>
    <row r="802">
      <c r="A802" s="53" t="n"/>
      <c r="B802" s="54" t="n"/>
      <c r="C802" s="55" t="n"/>
      <c r="D802" s="55" t="n"/>
      <c r="E802" s="55" t="n"/>
      <c r="F802" s="55" t="n"/>
      <c r="G802" s="56" t="n"/>
      <c r="H802" s="57" t="n"/>
      <c r="I802" s="55" t="n"/>
      <c r="J802" s="53" t="n"/>
      <c r="K802" s="54" t="n"/>
      <c r="L802" s="55" t="n"/>
      <c r="M802" s="55" t="n"/>
      <c r="N802" s="57" t="n"/>
      <c r="O802" s="55" t="n"/>
      <c r="P802" s="56" t="n"/>
      <c r="Q802" s="55" t="n"/>
      <c r="R802" s="55" t="n"/>
      <c r="S802" s="55" t="n"/>
      <c r="T802" s="55" t="n"/>
      <c r="U802" s="55" t="n"/>
      <c r="V802" s="55" t="n"/>
      <c r="W802" s="58" t="n"/>
      <c r="X802" s="58" t="n"/>
      <c r="Y802" s="55" t="n"/>
      <c r="Z802" s="55" t="n"/>
      <c r="AA802" s="55" t="n"/>
      <c r="AB802" s="55" t="n"/>
      <c r="AC802" s="55" t="n"/>
      <c r="AD802" s="53" t="n"/>
      <c r="AE802" s="55" t="n"/>
      <c r="AF802" s="55" t="n"/>
      <c r="AG802" s="59" t="n"/>
      <c r="AH802" s="57" t="n"/>
      <c r="AI802" s="55" t="n"/>
      <c r="AJ802" s="55" t="n"/>
      <c r="AK802" s="55" t="n"/>
      <c r="AL802" s="55" t="n"/>
      <c r="AM802" s="56" t="n"/>
      <c r="AN802" s="55" t="n"/>
      <c r="AO802" s="55" t="n"/>
      <c r="AP802" s="55" t="n"/>
      <c r="AQ802" s="55" t="n"/>
      <c r="AR802" s="60">
        <f>IF(AND(C802="",E802=""),"",IF(A802="","⚠ Date manquante",IF(AND(C802="",E802&lt;&gt;"Dépense"),"⚠ Prospect manquant",IF(E802="","⚠ Action manquante",IF(AND(AU802=1,D802=""),"⚠ Canal manquant",IF(AND(W802&lt;&gt;"",COUNTIFS('Saisie'!$W$5:$W$2004,W802,'Saisie'!$C$5:$C$2004,"&lt;&gt;"&amp;C802)&gt;0),"⚠ Numéro déjà utilisé par un autre prospect",IF(AND(J802&lt;&gt;"",J802&lt;A802),"⚠ Relance avant la date de l'action",IF(A802&gt;TODAY(),"⚠ Date dans le futur","✓"))))))))</f>
        <v/>
      </c>
      <c r="AS802" s="61">
        <f>IF(AND(A802="",C802="",E802=""),"",ROW())</f>
        <v/>
      </c>
      <c r="AT802" s="61">
        <f>IF(E802&amp;F802="","",MAX(IFERROR(INDEX('Paramètres'!$J$6:$J$33,MATCH(E802,'Paramètres'!$I$6:$I$33,0)),0),IFERROR(INDEX('Paramètres'!$N$6:$N$17,MATCH(F802,'Paramètres'!$M$6:$M$17,0)),0)))</f>
        <v/>
      </c>
      <c r="AU802" s="61">
        <f>IF(E802="","",IFERROR(IF(INDEX('Paramètres'!$K$6:$K$33,MATCH(E802,'Paramètres'!$I$6:$I$33,0))="Oui",1,0),0))</f>
        <v/>
      </c>
      <c r="AV802" s="61">
        <f>IF(F802="","",IFERROR(IF(INDEX('Paramètres'!$O$6:$O$17,MATCH(F802,'Paramètres'!$M$6:$M$17,0))="Oui",1,0),0))</f>
        <v/>
      </c>
      <c r="AW802" s="62">
        <f>IF(E802="","",IF(G802&lt;&gt;"",G802,IF(OR(E802="Proposition envoyée",E802="Signature"),MAX(0,N(IFERROR(INDEX('Paramètres'!$R$6:$R$15,MATCH(IF(AL802&lt;&gt;"",AL802,IFERROR(INDEX('Prospects'!$AN$5:$AN$504,MATCH(C802,'Prospects'!$C$5:$C$504,0)),"")),'Paramètres'!$Q$6:$Q$15,0)),0))-N(P802)),0)))</f>
        <v/>
      </c>
      <c r="AX802" s="61">
        <f>IF(C802="","",IF(COUNTIF($C$5:C802,C802)=1,MAX($AX$4:AX801)+1,""))</f>
        <v/>
      </c>
      <c r="AY802" s="61">
        <f>IF(B802="","",HOUR(B802))</f>
        <v/>
      </c>
      <c r="AZ802" s="61">
        <f>IF(A802="","",MOD(A802-2,7)+1)</f>
        <v/>
      </c>
      <c r="BA802" s="60">
        <f>IF(C802="","",IFERROR(INDEX('Prospects'!$N$5:$N$504,MATCH(C802,'Prospects'!$C$5:$C$504,0)),""))</f>
        <v/>
      </c>
      <c r="BB802" s="61">
        <f>IF(AND(C802&lt;&gt;"",C802='Fiche prospect'!$C$4),COUNTIF($C$5:C802,C802),"")</f>
        <v/>
      </c>
    </row>
    <row r="803">
      <c r="A803" s="53" t="n"/>
      <c r="B803" s="54" t="n"/>
      <c r="C803" s="55" t="n"/>
      <c r="D803" s="55" t="n"/>
      <c r="E803" s="55" t="n"/>
      <c r="F803" s="55" t="n"/>
      <c r="G803" s="56" t="n"/>
      <c r="H803" s="57" t="n"/>
      <c r="I803" s="55" t="n"/>
      <c r="J803" s="53" t="n"/>
      <c r="K803" s="54" t="n"/>
      <c r="L803" s="55" t="n"/>
      <c r="M803" s="55" t="n"/>
      <c r="N803" s="57" t="n"/>
      <c r="O803" s="55" t="n"/>
      <c r="P803" s="56" t="n"/>
      <c r="Q803" s="55" t="n"/>
      <c r="R803" s="55" t="n"/>
      <c r="S803" s="55" t="n"/>
      <c r="T803" s="55" t="n"/>
      <c r="U803" s="55" t="n"/>
      <c r="V803" s="55" t="n"/>
      <c r="W803" s="58" t="n"/>
      <c r="X803" s="58" t="n"/>
      <c r="Y803" s="55" t="n"/>
      <c r="Z803" s="55" t="n"/>
      <c r="AA803" s="55" t="n"/>
      <c r="AB803" s="55" t="n"/>
      <c r="AC803" s="55" t="n"/>
      <c r="AD803" s="53" t="n"/>
      <c r="AE803" s="55" t="n"/>
      <c r="AF803" s="55" t="n"/>
      <c r="AG803" s="59" t="n"/>
      <c r="AH803" s="57" t="n"/>
      <c r="AI803" s="55" t="n"/>
      <c r="AJ803" s="55" t="n"/>
      <c r="AK803" s="55" t="n"/>
      <c r="AL803" s="55" t="n"/>
      <c r="AM803" s="56" t="n"/>
      <c r="AN803" s="55" t="n"/>
      <c r="AO803" s="55" t="n"/>
      <c r="AP803" s="55" t="n"/>
      <c r="AQ803" s="55" t="n"/>
      <c r="AR803" s="60">
        <f>IF(AND(C803="",E803=""),"",IF(A803="","⚠ Date manquante",IF(AND(C803="",E803&lt;&gt;"Dépense"),"⚠ Prospect manquant",IF(E803="","⚠ Action manquante",IF(AND(AU803=1,D803=""),"⚠ Canal manquant",IF(AND(W803&lt;&gt;"",COUNTIFS('Saisie'!$W$5:$W$2004,W803,'Saisie'!$C$5:$C$2004,"&lt;&gt;"&amp;C803)&gt;0),"⚠ Numéro déjà utilisé par un autre prospect",IF(AND(J803&lt;&gt;"",J803&lt;A803),"⚠ Relance avant la date de l'action",IF(A803&gt;TODAY(),"⚠ Date dans le futur","✓"))))))))</f>
        <v/>
      </c>
      <c r="AS803" s="61">
        <f>IF(AND(A803="",C803="",E803=""),"",ROW())</f>
        <v/>
      </c>
      <c r="AT803" s="61">
        <f>IF(E803&amp;F803="","",MAX(IFERROR(INDEX('Paramètres'!$J$6:$J$33,MATCH(E803,'Paramètres'!$I$6:$I$33,0)),0),IFERROR(INDEX('Paramètres'!$N$6:$N$17,MATCH(F803,'Paramètres'!$M$6:$M$17,0)),0)))</f>
        <v/>
      </c>
      <c r="AU803" s="61">
        <f>IF(E803="","",IFERROR(IF(INDEX('Paramètres'!$K$6:$K$33,MATCH(E803,'Paramètres'!$I$6:$I$33,0))="Oui",1,0),0))</f>
        <v/>
      </c>
      <c r="AV803" s="61">
        <f>IF(F803="","",IFERROR(IF(INDEX('Paramètres'!$O$6:$O$17,MATCH(F803,'Paramètres'!$M$6:$M$17,0))="Oui",1,0),0))</f>
        <v/>
      </c>
      <c r="AW803" s="62">
        <f>IF(E803="","",IF(G803&lt;&gt;"",G803,IF(OR(E803="Proposition envoyée",E803="Signature"),MAX(0,N(IFERROR(INDEX('Paramètres'!$R$6:$R$15,MATCH(IF(AL803&lt;&gt;"",AL803,IFERROR(INDEX('Prospects'!$AN$5:$AN$504,MATCH(C803,'Prospects'!$C$5:$C$504,0)),"")),'Paramètres'!$Q$6:$Q$15,0)),0))-N(P803)),0)))</f>
        <v/>
      </c>
      <c r="AX803" s="61">
        <f>IF(C803="","",IF(COUNTIF($C$5:C803,C803)=1,MAX($AX$4:AX802)+1,""))</f>
        <v/>
      </c>
      <c r="AY803" s="61">
        <f>IF(B803="","",HOUR(B803))</f>
        <v/>
      </c>
      <c r="AZ803" s="61">
        <f>IF(A803="","",MOD(A803-2,7)+1)</f>
        <v/>
      </c>
      <c r="BA803" s="60">
        <f>IF(C803="","",IFERROR(INDEX('Prospects'!$N$5:$N$504,MATCH(C803,'Prospects'!$C$5:$C$504,0)),""))</f>
        <v/>
      </c>
      <c r="BB803" s="61">
        <f>IF(AND(C803&lt;&gt;"",C803='Fiche prospect'!$C$4),COUNTIF($C$5:C803,C803),"")</f>
        <v/>
      </c>
    </row>
    <row r="804">
      <c r="A804" s="53" t="n"/>
      <c r="B804" s="54" t="n"/>
      <c r="C804" s="55" t="n"/>
      <c r="D804" s="55" t="n"/>
      <c r="E804" s="55" t="n"/>
      <c r="F804" s="55" t="n"/>
      <c r="G804" s="56" t="n"/>
      <c r="H804" s="57" t="n"/>
      <c r="I804" s="55" t="n"/>
      <c r="J804" s="53" t="n"/>
      <c r="K804" s="54" t="n"/>
      <c r="L804" s="55" t="n"/>
      <c r="M804" s="55" t="n"/>
      <c r="N804" s="57" t="n"/>
      <c r="O804" s="55" t="n"/>
      <c r="P804" s="56" t="n"/>
      <c r="Q804" s="55" t="n"/>
      <c r="R804" s="55" t="n"/>
      <c r="S804" s="55" t="n"/>
      <c r="T804" s="55" t="n"/>
      <c r="U804" s="55" t="n"/>
      <c r="V804" s="55" t="n"/>
      <c r="W804" s="58" t="n"/>
      <c r="X804" s="58" t="n"/>
      <c r="Y804" s="55" t="n"/>
      <c r="Z804" s="55" t="n"/>
      <c r="AA804" s="55" t="n"/>
      <c r="AB804" s="55" t="n"/>
      <c r="AC804" s="55" t="n"/>
      <c r="AD804" s="53" t="n"/>
      <c r="AE804" s="55" t="n"/>
      <c r="AF804" s="55" t="n"/>
      <c r="AG804" s="59" t="n"/>
      <c r="AH804" s="57" t="n"/>
      <c r="AI804" s="55" t="n"/>
      <c r="AJ804" s="55" t="n"/>
      <c r="AK804" s="55" t="n"/>
      <c r="AL804" s="55" t="n"/>
      <c r="AM804" s="56" t="n"/>
      <c r="AN804" s="55" t="n"/>
      <c r="AO804" s="55" t="n"/>
      <c r="AP804" s="55" t="n"/>
      <c r="AQ804" s="55" t="n"/>
      <c r="AR804" s="60">
        <f>IF(AND(C804="",E804=""),"",IF(A804="","⚠ Date manquante",IF(AND(C804="",E804&lt;&gt;"Dépense"),"⚠ Prospect manquant",IF(E804="","⚠ Action manquante",IF(AND(AU804=1,D804=""),"⚠ Canal manquant",IF(AND(W804&lt;&gt;"",COUNTIFS('Saisie'!$W$5:$W$2004,W804,'Saisie'!$C$5:$C$2004,"&lt;&gt;"&amp;C804)&gt;0),"⚠ Numéro déjà utilisé par un autre prospect",IF(AND(J804&lt;&gt;"",J804&lt;A804),"⚠ Relance avant la date de l'action",IF(A804&gt;TODAY(),"⚠ Date dans le futur","✓"))))))))</f>
        <v/>
      </c>
      <c r="AS804" s="61">
        <f>IF(AND(A804="",C804="",E804=""),"",ROW())</f>
        <v/>
      </c>
      <c r="AT804" s="61">
        <f>IF(E804&amp;F804="","",MAX(IFERROR(INDEX('Paramètres'!$J$6:$J$33,MATCH(E804,'Paramètres'!$I$6:$I$33,0)),0),IFERROR(INDEX('Paramètres'!$N$6:$N$17,MATCH(F804,'Paramètres'!$M$6:$M$17,0)),0)))</f>
        <v/>
      </c>
      <c r="AU804" s="61">
        <f>IF(E804="","",IFERROR(IF(INDEX('Paramètres'!$K$6:$K$33,MATCH(E804,'Paramètres'!$I$6:$I$33,0))="Oui",1,0),0))</f>
        <v/>
      </c>
      <c r="AV804" s="61">
        <f>IF(F804="","",IFERROR(IF(INDEX('Paramètres'!$O$6:$O$17,MATCH(F804,'Paramètres'!$M$6:$M$17,0))="Oui",1,0),0))</f>
        <v/>
      </c>
      <c r="AW804" s="62">
        <f>IF(E804="","",IF(G804&lt;&gt;"",G804,IF(OR(E804="Proposition envoyée",E804="Signature"),MAX(0,N(IFERROR(INDEX('Paramètres'!$R$6:$R$15,MATCH(IF(AL804&lt;&gt;"",AL804,IFERROR(INDEX('Prospects'!$AN$5:$AN$504,MATCH(C804,'Prospects'!$C$5:$C$504,0)),"")),'Paramètres'!$Q$6:$Q$15,0)),0))-N(P804)),0)))</f>
        <v/>
      </c>
      <c r="AX804" s="61">
        <f>IF(C804="","",IF(COUNTIF($C$5:C804,C804)=1,MAX($AX$4:AX803)+1,""))</f>
        <v/>
      </c>
      <c r="AY804" s="61">
        <f>IF(B804="","",HOUR(B804))</f>
        <v/>
      </c>
      <c r="AZ804" s="61">
        <f>IF(A804="","",MOD(A804-2,7)+1)</f>
        <v/>
      </c>
      <c r="BA804" s="60">
        <f>IF(C804="","",IFERROR(INDEX('Prospects'!$N$5:$N$504,MATCH(C804,'Prospects'!$C$5:$C$504,0)),""))</f>
        <v/>
      </c>
      <c r="BB804" s="61">
        <f>IF(AND(C804&lt;&gt;"",C804='Fiche prospect'!$C$4),COUNTIF($C$5:C804,C804),"")</f>
        <v/>
      </c>
    </row>
    <row r="805">
      <c r="A805" s="53" t="n"/>
      <c r="B805" s="54" t="n"/>
      <c r="C805" s="55" t="n"/>
      <c r="D805" s="55" t="n"/>
      <c r="E805" s="55" t="n"/>
      <c r="F805" s="55" t="n"/>
      <c r="G805" s="56" t="n"/>
      <c r="H805" s="57" t="n"/>
      <c r="I805" s="55" t="n"/>
      <c r="J805" s="53" t="n"/>
      <c r="K805" s="54" t="n"/>
      <c r="L805" s="55" t="n"/>
      <c r="M805" s="55" t="n"/>
      <c r="N805" s="57" t="n"/>
      <c r="O805" s="55" t="n"/>
      <c r="P805" s="56" t="n"/>
      <c r="Q805" s="55" t="n"/>
      <c r="R805" s="55" t="n"/>
      <c r="S805" s="55" t="n"/>
      <c r="T805" s="55" t="n"/>
      <c r="U805" s="55" t="n"/>
      <c r="V805" s="55" t="n"/>
      <c r="W805" s="58" t="n"/>
      <c r="X805" s="58" t="n"/>
      <c r="Y805" s="55" t="n"/>
      <c r="Z805" s="55" t="n"/>
      <c r="AA805" s="55" t="n"/>
      <c r="AB805" s="55" t="n"/>
      <c r="AC805" s="55" t="n"/>
      <c r="AD805" s="53" t="n"/>
      <c r="AE805" s="55" t="n"/>
      <c r="AF805" s="55" t="n"/>
      <c r="AG805" s="59" t="n"/>
      <c r="AH805" s="57" t="n"/>
      <c r="AI805" s="55" t="n"/>
      <c r="AJ805" s="55" t="n"/>
      <c r="AK805" s="55" t="n"/>
      <c r="AL805" s="55" t="n"/>
      <c r="AM805" s="56" t="n"/>
      <c r="AN805" s="55" t="n"/>
      <c r="AO805" s="55" t="n"/>
      <c r="AP805" s="55" t="n"/>
      <c r="AQ805" s="55" t="n"/>
      <c r="AR805" s="60">
        <f>IF(AND(C805="",E805=""),"",IF(A805="","⚠ Date manquante",IF(AND(C805="",E805&lt;&gt;"Dépense"),"⚠ Prospect manquant",IF(E805="","⚠ Action manquante",IF(AND(AU805=1,D805=""),"⚠ Canal manquant",IF(AND(W805&lt;&gt;"",COUNTIFS('Saisie'!$W$5:$W$2004,W805,'Saisie'!$C$5:$C$2004,"&lt;&gt;"&amp;C805)&gt;0),"⚠ Numéro déjà utilisé par un autre prospect",IF(AND(J805&lt;&gt;"",J805&lt;A805),"⚠ Relance avant la date de l'action",IF(A805&gt;TODAY(),"⚠ Date dans le futur","✓"))))))))</f>
        <v/>
      </c>
      <c r="AS805" s="61">
        <f>IF(AND(A805="",C805="",E805=""),"",ROW())</f>
        <v/>
      </c>
      <c r="AT805" s="61">
        <f>IF(E805&amp;F805="","",MAX(IFERROR(INDEX('Paramètres'!$J$6:$J$33,MATCH(E805,'Paramètres'!$I$6:$I$33,0)),0),IFERROR(INDEX('Paramètres'!$N$6:$N$17,MATCH(F805,'Paramètres'!$M$6:$M$17,0)),0)))</f>
        <v/>
      </c>
      <c r="AU805" s="61">
        <f>IF(E805="","",IFERROR(IF(INDEX('Paramètres'!$K$6:$K$33,MATCH(E805,'Paramètres'!$I$6:$I$33,0))="Oui",1,0),0))</f>
        <v/>
      </c>
      <c r="AV805" s="61">
        <f>IF(F805="","",IFERROR(IF(INDEX('Paramètres'!$O$6:$O$17,MATCH(F805,'Paramètres'!$M$6:$M$17,0))="Oui",1,0),0))</f>
        <v/>
      </c>
      <c r="AW805" s="62">
        <f>IF(E805="","",IF(G805&lt;&gt;"",G805,IF(OR(E805="Proposition envoyée",E805="Signature"),MAX(0,N(IFERROR(INDEX('Paramètres'!$R$6:$R$15,MATCH(IF(AL805&lt;&gt;"",AL805,IFERROR(INDEX('Prospects'!$AN$5:$AN$504,MATCH(C805,'Prospects'!$C$5:$C$504,0)),"")),'Paramètres'!$Q$6:$Q$15,0)),0))-N(P805)),0)))</f>
        <v/>
      </c>
      <c r="AX805" s="61">
        <f>IF(C805="","",IF(COUNTIF($C$5:C805,C805)=1,MAX($AX$4:AX804)+1,""))</f>
        <v/>
      </c>
      <c r="AY805" s="61">
        <f>IF(B805="","",HOUR(B805))</f>
        <v/>
      </c>
      <c r="AZ805" s="61">
        <f>IF(A805="","",MOD(A805-2,7)+1)</f>
        <v/>
      </c>
      <c r="BA805" s="60">
        <f>IF(C805="","",IFERROR(INDEX('Prospects'!$N$5:$N$504,MATCH(C805,'Prospects'!$C$5:$C$504,0)),""))</f>
        <v/>
      </c>
      <c r="BB805" s="61">
        <f>IF(AND(C805&lt;&gt;"",C805='Fiche prospect'!$C$4),COUNTIF($C$5:C805,C805),"")</f>
        <v/>
      </c>
    </row>
    <row r="806">
      <c r="A806" s="53" t="n"/>
      <c r="B806" s="54" t="n"/>
      <c r="C806" s="55" t="n"/>
      <c r="D806" s="55" t="n"/>
      <c r="E806" s="55" t="n"/>
      <c r="F806" s="55" t="n"/>
      <c r="G806" s="56" t="n"/>
      <c r="H806" s="57" t="n"/>
      <c r="I806" s="55" t="n"/>
      <c r="J806" s="53" t="n"/>
      <c r="K806" s="54" t="n"/>
      <c r="L806" s="55" t="n"/>
      <c r="M806" s="55" t="n"/>
      <c r="N806" s="57" t="n"/>
      <c r="O806" s="55" t="n"/>
      <c r="P806" s="56" t="n"/>
      <c r="Q806" s="55" t="n"/>
      <c r="R806" s="55" t="n"/>
      <c r="S806" s="55" t="n"/>
      <c r="T806" s="55" t="n"/>
      <c r="U806" s="55" t="n"/>
      <c r="V806" s="55" t="n"/>
      <c r="W806" s="58" t="n"/>
      <c r="X806" s="58" t="n"/>
      <c r="Y806" s="55" t="n"/>
      <c r="Z806" s="55" t="n"/>
      <c r="AA806" s="55" t="n"/>
      <c r="AB806" s="55" t="n"/>
      <c r="AC806" s="55" t="n"/>
      <c r="AD806" s="53" t="n"/>
      <c r="AE806" s="55" t="n"/>
      <c r="AF806" s="55" t="n"/>
      <c r="AG806" s="59" t="n"/>
      <c r="AH806" s="57" t="n"/>
      <c r="AI806" s="55" t="n"/>
      <c r="AJ806" s="55" t="n"/>
      <c r="AK806" s="55" t="n"/>
      <c r="AL806" s="55" t="n"/>
      <c r="AM806" s="56" t="n"/>
      <c r="AN806" s="55" t="n"/>
      <c r="AO806" s="55" t="n"/>
      <c r="AP806" s="55" t="n"/>
      <c r="AQ806" s="55" t="n"/>
      <c r="AR806" s="60">
        <f>IF(AND(C806="",E806=""),"",IF(A806="","⚠ Date manquante",IF(AND(C806="",E806&lt;&gt;"Dépense"),"⚠ Prospect manquant",IF(E806="","⚠ Action manquante",IF(AND(AU806=1,D806=""),"⚠ Canal manquant",IF(AND(W806&lt;&gt;"",COUNTIFS('Saisie'!$W$5:$W$2004,W806,'Saisie'!$C$5:$C$2004,"&lt;&gt;"&amp;C806)&gt;0),"⚠ Numéro déjà utilisé par un autre prospect",IF(AND(J806&lt;&gt;"",J806&lt;A806),"⚠ Relance avant la date de l'action",IF(A806&gt;TODAY(),"⚠ Date dans le futur","✓"))))))))</f>
        <v/>
      </c>
      <c r="AS806" s="61">
        <f>IF(AND(A806="",C806="",E806=""),"",ROW())</f>
        <v/>
      </c>
      <c r="AT806" s="61">
        <f>IF(E806&amp;F806="","",MAX(IFERROR(INDEX('Paramètres'!$J$6:$J$33,MATCH(E806,'Paramètres'!$I$6:$I$33,0)),0),IFERROR(INDEX('Paramètres'!$N$6:$N$17,MATCH(F806,'Paramètres'!$M$6:$M$17,0)),0)))</f>
        <v/>
      </c>
      <c r="AU806" s="61">
        <f>IF(E806="","",IFERROR(IF(INDEX('Paramètres'!$K$6:$K$33,MATCH(E806,'Paramètres'!$I$6:$I$33,0))="Oui",1,0),0))</f>
        <v/>
      </c>
      <c r="AV806" s="61">
        <f>IF(F806="","",IFERROR(IF(INDEX('Paramètres'!$O$6:$O$17,MATCH(F806,'Paramètres'!$M$6:$M$17,0))="Oui",1,0),0))</f>
        <v/>
      </c>
      <c r="AW806" s="62">
        <f>IF(E806="","",IF(G806&lt;&gt;"",G806,IF(OR(E806="Proposition envoyée",E806="Signature"),MAX(0,N(IFERROR(INDEX('Paramètres'!$R$6:$R$15,MATCH(IF(AL806&lt;&gt;"",AL806,IFERROR(INDEX('Prospects'!$AN$5:$AN$504,MATCH(C806,'Prospects'!$C$5:$C$504,0)),"")),'Paramètres'!$Q$6:$Q$15,0)),0))-N(P806)),0)))</f>
        <v/>
      </c>
      <c r="AX806" s="61">
        <f>IF(C806="","",IF(COUNTIF($C$5:C806,C806)=1,MAX($AX$4:AX805)+1,""))</f>
        <v/>
      </c>
      <c r="AY806" s="61">
        <f>IF(B806="","",HOUR(B806))</f>
        <v/>
      </c>
      <c r="AZ806" s="61">
        <f>IF(A806="","",MOD(A806-2,7)+1)</f>
        <v/>
      </c>
      <c r="BA806" s="60">
        <f>IF(C806="","",IFERROR(INDEX('Prospects'!$N$5:$N$504,MATCH(C806,'Prospects'!$C$5:$C$504,0)),""))</f>
        <v/>
      </c>
      <c r="BB806" s="61">
        <f>IF(AND(C806&lt;&gt;"",C806='Fiche prospect'!$C$4),COUNTIF($C$5:C806,C806),"")</f>
        <v/>
      </c>
    </row>
    <row r="807">
      <c r="A807" s="53" t="n"/>
      <c r="B807" s="54" t="n"/>
      <c r="C807" s="55" t="n"/>
      <c r="D807" s="55" t="n"/>
      <c r="E807" s="55" t="n"/>
      <c r="F807" s="55" t="n"/>
      <c r="G807" s="56" t="n"/>
      <c r="H807" s="57" t="n"/>
      <c r="I807" s="55" t="n"/>
      <c r="J807" s="53" t="n"/>
      <c r="K807" s="54" t="n"/>
      <c r="L807" s="55" t="n"/>
      <c r="M807" s="55" t="n"/>
      <c r="N807" s="57" t="n"/>
      <c r="O807" s="55" t="n"/>
      <c r="P807" s="56" t="n"/>
      <c r="Q807" s="55" t="n"/>
      <c r="R807" s="55" t="n"/>
      <c r="S807" s="55" t="n"/>
      <c r="T807" s="55" t="n"/>
      <c r="U807" s="55" t="n"/>
      <c r="V807" s="55" t="n"/>
      <c r="W807" s="58" t="n"/>
      <c r="X807" s="58" t="n"/>
      <c r="Y807" s="55" t="n"/>
      <c r="Z807" s="55" t="n"/>
      <c r="AA807" s="55" t="n"/>
      <c r="AB807" s="55" t="n"/>
      <c r="AC807" s="55" t="n"/>
      <c r="AD807" s="53" t="n"/>
      <c r="AE807" s="55" t="n"/>
      <c r="AF807" s="55" t="n"/>
      <c r="AG807" s="59" t="n"/>
      <c r="AH807" s="57" t="n"/>
      <c r="AI807" s="55" t="n"/>
      <c r="AJ807" s="55" t="n"/>
      <c r="AK807" s="55" t="n"/>
      <c r="AL807" s="55" t="n"/>
      <c r="AM807" s="56" t="n"/>
      <c r="AN807" s="55" t="n"/>
      <c r="AO807" s="55" t="n"/>
      <c r="AP807" s="55" t="n"/>
      <c r="AQ807" s="55" t="n"/>
      <c r="AR807" s="60">
        <f>IF(AND(C807="",E807=""),"",IF(A807="","⚠ Date manquante",IF(AND(C807="",E807&lt;&gt;"Dépense"),"⚠ Prospect manquant",IF(E807="","⚠ Action manquante",IF(AND(AU807=1,D807=""),"⚠ Canal manquant",IF(AND(W807&lt;&gt;"",COUNTIFS('Saisie'!$W$5:$W$2004,W807,'Saisie'!$C$5:$C$2004,"&lt;&gt;"&amp;C807)&gt;0),"⚠ Numéro déjà utilisé par un autre prospect",IF(AND(J807&lt;&gt;"",J807&lt;A807),"⚠ Relance avant la date de l'action",IF(A807&gt;TODAY(),"⚠ Date dans le futur","✓"))))))))</f>
        <v/>
      </c>
      <c r="AS807" s="61">
        <f>IF(AND(A807="",C807="",E807=""),"",ROW())</f>
        <v/>
      </c>
      <c r="AT807" s="61">
        <f>IF(E807&amp;F807="","",MAX(IFERROR(INDEX('Paramètres'!$J$6:$J$33,MATCH(E807,'Paramètres'!$I$6:$I$33,0)),0),IFERROR(INDEX('Paramètres'!$N$6:$N$17,MATCH(F807,'Paramètres'!$M$6:$M$17,0)),0)))</f>
        <v/>
      </c>
      <c r="AU807" s="61">
        <f>IF(E807="","",IFERROR(IF(INDEX('Paramètres'!$K$6:$K$33,MATCH(E807,'Paramètres'!$I$6:$I$33,0))="Oui",1,0),0))</f>
        <v/>
      </c>
      <c r="AV807" s="61">
        <f>IF(F807="","",IFERROR(IF(INDEX('Paramètres'!$O$6:$O$17,MATCH(F807,'Paramètres'!$M$6:$M$17,0))="Oui",1,0),0))</f>
        <v/>
      </c>
      <c r="AW807" s="62">
        <f>IF(E807="","",IF(G807&lt;&gt;"",G807,IF(OR(E807="Proposition envoyée",E807="Signature"),MAX(0,N(IFERROR(INDEX('Paramètres'!$R$6:$R$15,MATCH(IF(AL807&lt;&gt;"",AL807,IFERROR(INDEX('Prospects'!$AN$5:$AN$504,MATCH(C807,'Prospects'!$C$5:$C$504,0)),"")),'Paramètres'!$Q$6:$Q$15,0)),0))-N(P807)),0)))</f>
        <v/>
      </c>
      <c r="AX807" s="61">
        <f>IF(C807="","",IF(COUNTIF($C$5:C807,C807)=1,MAX($AX$4:AX806)+1,""))</f>
        <v/>
      </c>
      <c r="AY807" s="61">
        <f>IF(B807="","",HOUR(B807))</f>
        <v/>
      </c>
      <c r="AZ807" s="61">
        <f>IF(A807="","",MOD(A807-2,7)+1)</f>
        <v/>
      </c>
      <c r="BA807" s="60">
        <f>IF(C807="","",IFERROR(INDEX('Prospects'!$N$5:$N$504,MATCH(C807,'Prospects'!$C$5:$C$504,0)),""))</f>
        <v/>
      </c>
      <c r="BB807" s="61">
        <f>IF(AND(C807&lt;&gt;"",C807='Fiche prospect'!$C$4),COUNTIF($C$5:C807,C807),"")</f>
        <v/>
      </c>
    </row>
    <row r="808">
      <c r="A808" s="53" t="n"/>
      <c r="B808" s="54" t="n"/>
      <c r="C808" s="55" t="n"/>
      <c r="D808" s="55" t="n"/>
      <c r="E808" s="55" t="n"/>
      <c r="F808" s="55" t="n"/>
      <c r="G808" s="56" t="n"/>
      <c r="H808" s="57" t="n"/>
      <c r="I808" s="55" t="n"/>
      <c r="J808" s="53" t="n"/>
      <c r="K808" s="54" t="n"/>
      <c r="L808" s="55" t="n"/>
      <c r="M808" s="55" t="n"/>
      <c r="N808" s="57" t="n"/>
      <c r="O808" s="55" t="n"/>
      <c r="P808" s="56" t="n"/>
      <c r="Q808" s="55" t="n"/>
      <c r="R808" s="55" t="n"/>
      <c r="S808" s="55" t="n"/>
      <c r="T808" s="55" t="n"/>
      <c r="U808" s="55" t="n"/>
      <c r="V808" s="55" t="n"/>
      <c r="W808" s="58" t="n"/>
      <c r="X808" s="58" t="n"/>
      <c r="Y808" s="55" t="n"/>
      <c r="Z808" s="55" t="n"/>
      <c r="AA808" s="55" t="n"/>
      <c r="AB808" s="55" t="n"/>
      <c r="AC808" s="55" t="n"/>
      <c r="AD808" s="53" t="n"/>
      <c r="AE808" s="55" t="n"/>
      <c r="AF808" s="55" t="n"/>
      <c r="AG808" s="59" t="n"/>
      <c r="AH808" s="57" t="n"/>
      <c r="AI808" s="55" t="n"/>
      <c r="AJ808" s="55" t="n"/>
      <c r="AK808" s="55" t="n"/>
      <c r="AL808" s="55" t="n"/>
      <c r="AM808" s="56" t="n"/>
      <c r="AN808" s="55" t="n"/>
      <c r="AO808" s="55" t="n"/>
      <c r="AP808" s="55" t="n"/>
      <c r="AQ808" s="55" t="n"/>
      <c r="AR808" s="60">
        <f>IF(AND(C808="",E808=""),"",IF(A808="","⚠ Date manquante",IF(AND(C808="",E808&lt;&gt;"Dépense"),"⚠ Prospect manquant",IF(E808="","⚠ Action manquante",IF(AND(AU808=1,D808=""),"⚠ Canal manquant",IF(AND(W808&lt;&gt;"",COUNTIFS('Saisie'!$W$5:$W$2004,W808,'Saisie'!$C$5:$C$2004,"&lt;&gt;"&amp;C808)&gt;0),"⚠ Numéro déjà utilisé par un autre prospect",IF(AND(J808&lt;&gt;"",J808&lt;A808),"⚠ Relance avant la date de l'action",IF(A808&gt;TODAY(),"⚠ Date dans le futur","✓"))))))))</f>
        <v/>
      </c>
      <c r="AS808" s="61">
        <f>IF(AND(A808="",C808="",E808=""),"",ROW())</f>
        <v/>
      </c>
      <c r="AT808" s="61">
        <f>IF(E808&amp;F808="","",MAX(IFERROR(INDEX('Paramètres'!$J$6:$J$33,MATCH(E808,'Paramètres'!$I$6:$I$33,0)),0),IFERROR(INDEX('Paramètres'!$N$6:$N$17,MATCH(F808,'Paramètres'!$M$6:$M$17,0)),0)))</f>
        <v/>
      </c>
      <c r="AU808" s="61">
        <f>IF(E808="","",IFERROR(IF(INDEX('Paramètres'!$K$6:$K$33,MATCH(E808,'Paramètres'!$I$6:$I$33,0))="Oui",1,0),0))</f>
        <v/>
      </c>
      <c r="AV808" s="61">
        <f>IF(F808="","",IFERROR(IF(INDEX('Paramètres'!$O$6:$O$17,MATCH(F808,'Paramètres'!$M$6:$M$17,0))="Oui",1,0),0))</f>
        <v/>
      </c>
      <c r="AW808" s="62">
        <f>IF(E808="","",IF(G808&lt;&gt;"",G808,IF(OR(E808="Proposition envoyée",E808="Signature"),MAX(0,N(IFERROR(INDEX('Paramètres'!$R$6:$R$15,MATCH(IF(AL808&lt;&gt;"",AL808,IFERROR(INDEX('Prospects'!$AN$5:$AN$504,MATCH(C808,'Prospects'!$C$5:$C$504,0)),"")),'Paramètres'!$Q$6:$Q$15,0)),0))-N(P808)),0)))</f>
        <v/>
      </c>
      <c r="AX808" s="61">
        <f>IF(C808="","",IF(COUNTIF($C$5:C808,C808)=1,MAX($AX$4:AX807)+1,""))</f>
        <v/>
      </c>
      <c r="AY808" s="61">
        <f>IF(B808="","",HOUR(B808))</f>
        <v/>
      </c>
      <c r="AZ808" s="61">
        <f>IF(A808="","",MOD(A808-2,7)+1)</f>
        <v/>
      </c>
      <c r="BA808" s="60">
        <f>IF(C808="","",IFERROR(INDEX('Prospects'!$N$5:$N$504,MATCH(C808,'Prospects'!$C$5:$C$504,0)),""))</f>
        <v/>
      </c>
      <c r="BB808" s="61">
        <f>IF(AND(C808&lt;&gt;"",C808='Fiche prospect'!$C$4),COUNTIF($C$5:C808,C808),"")</f>
        <v/>
      </c>
    </row>
    <row r="809">
      <c r="A809" s="53" t="n"/>
      <c r="B809" s="54" t="n"/>
      <c r="C809" s="55" t="n"/>
      <c r="D809" s="55" t="n"/>
      <c r="E809" s="55" t="n"/>
      <c r="F809" s="55" t="n"/>
      <c r="G809" s="56" t="n"/>
      <c r="H809" s="57" t="n"/>
      <c r="I809" s="55" t="n"/>
      <c r="J809" s="53" t="n"/>
      <c r="K809" s="54" t="n"/>
      <c r="L809" s="55" t="n"/>
      <c r="M809" s="55" t="n"/>
      <c r="N809" s="57" t="n"/>
      <c r="O809" s="55" t="n"/>
      <c r="P809" s="56" t="n"/>
      <c r="Q809" s="55" t="n"/>
      <c r="R809" s="55" t="n"/>
      <c r="S809" s="55" t="n"/>
      <c r="T809" s="55" t="n"/>
      <c r="U809" s="55" t="n"/>
      <c r="V809" s="55" t="n"/>
      <c r="W809" s="58" t="n"/>
      <c r="X809" s="58" t="n"/>
      <c r="Y809" s="55" t="n"/>
      <c r="Z809" s="55" t="n"/>
      <c r="AA809" s="55" t="n"/>
      <c r="AB809" s="55" t="n"/>
      <c r="AC809" s="55" t="n"/>
      <c r="AD809" s="53" t="n"/>
      <c r="AE809" s="55" t="n"/>
      <c r="AF809" s="55" t="n"/>
      <c r="AG809" s="59" t="n"/>
      <c r="AH809" s="57" t="n"/>
      <c r="AI809" s="55" t="n"/>
      <c r="AJ809" s="55" t="n"/>
      <c r="AK809" s="55" t="n"/>
      <c r="AL809" s="55" t="n"/>
      <c r="AM809" s="56" t="n"/>
      <c r="AN809" s="55" t="n"/>
      <c r="AO809" s="55" t="n"/>
      <c r="AP809" s="55" t="n"/>
      <c r="AQ809" s="55" t="n"/>
      <c r="AR809" s="60">
        <f>IF(AND(C809="",E809=""),"",IF(A809="","⚠ Date manquante",IF(AND(C809="",E809&lt;&gt;"Dépense"),"⚠ Prospect manquant",IF(E809="","⚠ Action manquante",IF(AND(AU809=1,D809=""),"⚠ Canal manquant",IF(AND(W809&lt;&gt;"",COUNTIFS('Saisie'!$W$5:$W$2004,W809,'Saisie'!$C$5:$C$2004,"&lt;&gt;"&amp;C809)&gt;0),"⚠ Numéro déjà utilisé par un autre prospect",IF(AND(J809&lt;&gt;"",J809&lt;A809),"⚠ Relance avant la date de l'action",IF(A809&gt;TODAY(),"⚠ Date dans le futur","✓"))))))))</f>
        <v/>
      </c>
      <c r="AS809" s="61">
        <f>IF(AND(A809="",C809="",E809=""),"",ROW())</f>
        <v/>
      </c>
      <c r="AT809" s="61">
        <f>IF(E809&amp;F809="","",MAX(IFERROR(INDEX('Paramètres'!$J$6:$J$33,MATCH(E809,'Paramètres'!$I$6:$I$33,0)),0),IFERROR(INDEX('Paramètres'!$N$6:$N$17,MATCH(F809,'Paramètres'!$M$6:$M$17,0)),0)))</f>
        <v/>
      </c>
      <c r="AU809" s="61">
        <f>IF(E809="","",IFERROR(IF(INDEX('Paramètres'!$K$6:$K$33,MATCH(E809,'Paramètres'!$I$6:$I$33,0))="Oui",1,0),0))</f>
        <v/>
      </c>
      <c r="AV809" s="61">
        <f>IF(F809="","",IFERROR(IF(INDEX('Paramètres'!$O$6:$O$17,MATCH(F809,'Paramètres'!$M$6:$M$17,0))="Oui",1,0),0))</f>
        <v/>
      </c>
      <c r="AW809" s="62">
        <f>IF(E809="","",IF(G809&lt;&gt;"",G809,IF(OR(E809="Proposition envoyée",E809="Signature"),MAX(0,N(IFERROR(INDEX('Paramètres'!$R$6:$R$15,MATCH(IF(AL809&lt;&gt;"",AL809,IFERROR(INDEX('Prospects'!$AN$5:$AN$504,MATCH(C809,'Prospects'!$C$5:$C$504,0)),"")),'Paramètres'!$Q$6:$Q$15,0)),0))-N(P809)),0)))</f>
        <v/>
      </c>
      <c r="AX809" s="61">
        <f>IF(C809="","",IF(COUNTIF($C$5:C809,C809)=1,MAX($AX$4:AX808)+1,""))</f>
        <v/>
      </c>
      <c r="AY809" s="61">
        <f>IF(B809="","",HOUR(B809))</f>
        <v/>
      </c>
      <c r="AZ809" s="61">
        <f>IF(A809="","",MOD(A809-2,7)+1)</f>
        <v/>
      </c>
      <c r="BA809" s="60">
        <f>IF(C809="","",IFERROR(INDEX('Prospects'!$N$5:$N$504,MATCH(C809,'Prospects'!$C$5:$C$504,0)),""))</f>
        <v/>
      </c>
      <c r="BB809" s="61">
        <f>IF(AND(C809&lt;&gt;"",C809='Fiche prospect'!$C$4),COUNTIF($C$5:C809,C809),"")</f>
        <v/>
      </c>
    </row>
    <row r="810">
      <c r="A810" s="53" t="n"/>
      <c r="B810" s="54" t="n"/>
      <c r="C810" s="55" t="n"/>
      <c r="D810" s="55" t="n"/>
      <c r="E810" s="55" t="n"/>
      <c r="F810" s="55" t="n"/>
      <c r="G810" s="56" t="n"/>
      <c r="H810" s="57" t="n"/>
      <c r="I810" s="55" t="n"/>
      <c r="J810" s="53" t="n"/>
      <c r="K810" s="54" t="n"/>
      <c r="L810" s="55" t="n"/>
      <c r="M810" s="55" t="n"/>
      <c r="N810" s="57" t="n"/>
      <c r="O810" s="55" t="n"/>
      <c r="P810" s="56" t="n"/>
      <c r="Q810" s="55" t="n"/>
      <c r="R810" s="55" t="n"/>
      <c r="S810" s="55" t="n"/>
      <c r="T810" s="55" t="n"/>
      <c r="U810" s="55" t="n"/>
      <c r="V810" s="55" t="n"/>
      <c r="W810" s="58" t="n"/>
      <c r="X810" s="58" t="n"/>
      <c r="Y810" s="55" t="n"/>
      <c r="Z810" s="55" t="n"/>
      <c r="AA810" s="55" t="n"/>
      <c r="AB810" s="55" t="n"/>
      <c r="AC810" s="55" t="n"/>
      <c r="AD810" s="53" t="n"/>
      <c r="AE810" s="55" t="n"/>
      <c r="AF810" s="55" t="n"/>
      <c r="AG810" s="59" t="n"/>
      <c r="AH810" s="57" t="n"/>
      <c r="AI810" s="55" t="n"/>
      <c r="AJ810" s="55" t="n"/>
      <c r="AK810" s="55" t="n"/>
      <c r="AL810" s="55" t="n"/>
      <c r="AM810" s="56" t="n"/>
      <c r="AN810" s="55" t="n"/>
      <c r="AO810" s="55" t="n"/>
      <c r="AP810" s="55" t="n"/>
      <c r="AQ810" s="55" t="n"/>
      <c r="AR810" s="60">
        <f>IF(AND(C810="",E810=""),"",IF(A810="","⚠ Date manquante",IF(AND(C810="",E810&lt;&gt;"Dépense"),"⚠ Prospect manquant",IF(E810="","⚠ Action manquante",IF(AND(AU810=1,D810=""),"⚠ Canal manquant",IF(AND(W810&lt;&gt;"",COUNTIFS('Saisie'!$W$5:$W$2004,W810,'Saisie'!$C$5:$C$2004,"&lt;&gt;"&amp;C810)&gt;0),"⚠ Numéro déjà utilisé par un autre prospect",IF(AND(J810&lt;&gt;"",J810&lt;A810),"⚠ Relance avant la date de l'action",IF(A810&gt;TODAY(),"⚠ Date dans le futur","✓"))))))))</f>
        <v/>
      </c>
      <c r="AS810" s="61">
        <f>IF(AND(A810="",C810="",E810=""),"",ROW())</f>
        <v/>
      </c>
      <c r="AT810" s="61">
        <f>IF(E810&amp;F810="","",MAX(IFERROR(INDEX('Paramètres'!$J$6:$J$33,MATCH(E810,'Paramètres'!$I$6:$I$33,0)),0),IFERROR(INDEX('Paramètres'!$N$6:$N$17,MATCH(F810,'Paramètres'!$M$6:$M$17,0)),0)))</f>
        <v/>
      </c>
      <c r="AU810" s="61">
        <f>IF(E810="","",IFERROR(IF(INDEX('Paramètres'!$K$6:$K$33,MATCH(E810,'Paramètres'!$I$6:$I$33,0))="Oui",1,0),0))</f>
        <v/>
      </c>
      <c r="AV810" s="61">
        <f>IF(F810="","",IFERROR(IF(INDEX('Paramètres'!$O$6:$O$17,MATCH(F810,'Paramètres'!$M$6:$M$17,0))="Oui",1,0),0))</f>
        <v/>
      </c>
      <c r="AW810" s="62">
        <f>IF(E810="","",IF(G810&lt;&gt;"",G810,IF(OR(E810="Proposition envoyée",E810="Signature"),MAX(0,N(IFERROR(INDEX('Paramètres'!$R$6:$R$15,MATCH(IF(AL810&lt;&gt;"",AL810,IFERROR(INDEX('Prospects'!$AN$5:$AN$504,MATCH(C810,'Prospects'!$C$5:$C$504,0)),"")),'Paramètres'!$Q$6:$Q$15,0)),0))-N(P810)),0)))</f>
        <v/>
      </c>
      <c r="AX810" s="61">
        <f>IF(C810="","",IF(COUNTIF($C$5:C810,C810)=1,MAX($AX$4:AX809)+1,""))</f>
        <v/>
      </c>
      <c r="AY810" s="61">
        <f>IF(B810="","",HOUR(B810))</f>
        <v/>
      </c>
      <c r="AZ810" s="61">
        <f>IF(A810="","",MOD(A810-2,7)+1)</f>
        <v/>
      </c>
      <c r="BA810" s="60">
        <f>IF(C810="","",IFERROR(INDEX('Prospects'!$N$5:$N$504,MATCH(C810,'Prospects'!$C$5:$C$504,0)),""))</f>
        <v/>
      </c>
      <c r="BB810" s="61">
        <f>IF(AND(C810&lt;&gt;"",C810='Fiche prospect'!$C$4),COUNTIF($C$5:C810,C810),"")</f>
        <v/>
      </c>
    </row>
    <row r="811">
      <c r="A811" s="53" t="n"/>
      <c r="B811" s="54" t="n"/>
      <c r="C811" s="55" t="n"/>
      <c r="D811" s="55" t="n"/>
      <c r="E811" s="55" t="n"/>
      <c r="F811" s="55" t="n"/>
      <c r="G811" s="56" t="n"/>
      <c r="H811" s="57" t="n"/>
      <c r="I811" s="55" t="n"/>
      <c r="J811" s="53" t="n"/>
      <c r="K811" s="54" t="n"/>
      <c r="L811" s="55" t="n"/>
      <c r="M811" s="55" t="n"/>
      <c r="N811" s="57" t="n"/>
      <c r="O811" s="55" t="n"/>
      <c r="P811" s="56" t="n"/>
      <c r="Q811" s="55" t="n"/>
      <c r="R811" s="55" t="n"/>
      <c r="S811" s="55" t="n"/>
      <c r="T811" s="55" t="n"/>
      <c r="U811" s="55" t="n"/>
      <c r="V811" s="55" t="n"/>
      <c r="W811" s="58" t="n"/>
      <c r="X811" s="58" t="n"/>
      <c r="Y811" s="55" t="n"/>
      <c r="Z811" s="55" t="n"/>
      <c r="AA811" s="55" t="n"/>
      <c r="AB811" s="55" t="n"/>
      <c r="AC811" s="55" t="n"/>
      <c r="AD811" s="53" t="n"/>
      <c r="AE811" s="55" t="n"/>
      <c r="AF811" s="55" t="n"/>
      <c r="AG811" s="59" t="n"/>
      <c r="AH811" s="57" t="n"/>
      <c r="AI811" s="55" t="n"/>
      <c r="AJ811" s="55" t="n"/>
      <c r="AK811" s="55" t="n"/>
      <c r="AL811" s="55" t="n"/>
      <c r="AM811" s="56" t="n"/>
      <c r="AN811" s="55" t="n"/>
      <c r="AO811" s="55" t="n"/>
      <c r="AP811" s="55" t="n"/>
      <c r="AQ811" s="55" t="n"/>
      <c r="AR811" s="60">
        <f>IF(AND(C811="",E811=""),"",IF(A811="","⚠ Date manquante",IF(AND(C811="",E811&lt;&gt;"Dépense"),"⚠ Prospect manquant",IF(E811="","⚠ Action manquante",IF(AND(AU811=1,D811=""),"⚠ Canal manquant",IF(AND(W811&lt;&gt;"",COUNTIFS('Saisie'!$W$5:$W$2004,W811,'Saisie'!$C$5:$C$2004,"&lt;&gt;"&amp;C811)&gt;0),"⚠ Numéro déjà utilisé par un autre prospect",IF(AND(J811&lt;&gt;"",J811&lt;A811),"⚠ Relance avant la date de l'action",IF(A811&gt;TODAY(),"⚠ Date dans le futur","✓"))))))))</f>
        <v/>
      </c>
      <c r="AS811" s="61">
        <f>IF(AND(A811="",C811="",E811=""),"",ROW())</f>
        <v/>
      </c>
      <c r="AT811" s="61">
        <f>IF(E811&amp;F811="","",MAX(IFERROR(INDEX('Paramètres'!$J$6:$J$33,MATCH(E811,'Paramètres'!$I$6:$I$33,0)),0),IFERROR(INDEX('Paramètres'!$N$6:$N$17,MATCH(F811,'Paramètres'!$M$6:$M$17,0)),0)))</f>
        <v/>
      </c>
      <c r="AU811" s="61">
        <f>IF(E811="","",IFERROR(IF(INDEX('Paramètres'!$K$6:$K$33,MATCH(E811,'Paramètres'!$I$6:$I$33,0))="Oui",1,0),0))</f>
        <v/>
      </c>
      <c r="AV811" s="61">
        <f>IF(F811="","",IFERROR(IF(INDEX('Paramètres'!$O$6:$O$17,MATCH(F811,'Paramètres'!$M$6:$M$17,0))="Oui",1,0),0))</f>
        <v/>
      </c>
      <c r="AW811" s="62">
        <f>IF(E811="","",IF(G811&lt;&gt;"",G811,IF(OR(E811="Proposition envoyée",E811="Signature"),MAX(0,N(IFERROR(INDEX('Paramètres'!$R$6:$R$15,MATCH(IF(AL811&lt;&gt;"",AL811,IFERROR(INDEX('Prospects'!$AN$5:$AN$504,MATCH(C811,'Prospects'!$C$5:$C$504,0)),"")),'Paramètres'!$Q$6:$Q$15,0)),0))-N(P811)),0)))</f>
        <v/>
      </c>
      <c r="AX811" s="61">
        <f>IF(C811="","",IF(COUNTIF($C$5:C811,C811)=1,MAX($AX$4:AX810)+1,""))</f>
        <v/>
      </c>
      <c r="AY811" s="61">
        <f>IF(B811="","",HOUR(B811))</f>
        <v/>
      </c>
      <c r="AZ811" s="61">
        <f>IF(A811="","",MOD(A811-2,7)+1)</f>
        <v/>
      </c>
      <c r="BA811" s="60">
        <f>IF(C811="","",IFERROR(INDEX('Prospects'!$N$5:$N$504,MATCH(C811,'Prospects'!$C$5:$C$504,0)),""))</f>
        <v/>
      </c>
      <c r="BB811" s="61">
        <f>IF(AND(C811&lt;&gt;"",C811='Fiche prospect'!$C$4),COUNTIF($C$5:C811,C811),"")</f>
        <v/>
      </c>
    </row>
    <row r="812">
      <c r="A812" s="53" t="n"/>
      <c r="B812" s="54" t="n"/>
      <c r="C812" s="55" t="n"/>
      <c r="D812" s="55" t="n"/>
      <c r="E812" s="55" t="n"/>
      <c r="F812" s="55" t="n"/>
      <c r="G812" s="56" t="n"/>
      <c r="H812" s="57" t="n"/>
      <c r="I812" s="55" t="n"/>
      <c r="J812" s="53" t="n"/>
      <c r="K812" s="54" t="n"/>
      <c r="L812" s="55" t="n"/>
      <c r="M812" s="55" t="n"/>
      <c r="N812" s="57" t="n"/>
      <c r="O812" s="55" t="n"/>
      <c r="P812" s="56" t="n"/>
      <c r="Q812" s="55" t="n"/>
      <c r="R812" s="55" t="n"/>
      <c r="S812" s="55" t="n"/>
      <c r="T812" s="55" t="n"/>
      <c r="U812" s="55" t="n"/>
      <c r="V812" s="55" t="n"/>
      <c r="W812" s="58" t="n"/>
      <c r="X812" s="58" t="n"/>
      <c r="Y812" s="55" t="n"/>
      <c r="Z812" s="55" t="n"/>
      <c r="AA812" s="55" t="n"/>
      <c r="AB812" s="55" t="n"/>
      <c r="AC812" s="55" t="n"/>
      <c r="AD812" s="53" t="n"/>
      <c r="AE812" s="55" t="n"/>
      <c r="AF812" s="55" t="n"/>
      <c r="AG812" s="59" t="n"/>
      <c r="AH812" s="57" t="n"/>
      <c r="AI812" s="55" t="n"/>
      <c r="AJ812" s="55" t="n"/>
      <c r="AK812" s="55" t="n"/>
      <c r="AL812" s="55" t="n"/>
      <c r="AM812" s="56" t="n"/>
      <c r="AN812" s="55" t="n"/>
      <c r="AO812" s="55" t="n"/>
      <c r="AP812" s="55" t="n"/>
      <c r="AQ812" s="55" t="n"/>
      <c r="AR812" s="60">
        <f>IF(AND(C812="",E812=""),"",IF(A812="","⚠ Date manquante",IF(AND(C812="",E812&lt;&gt;"Dépense"),"⚠ Prospect manquant",IF(E812="","⚠ Action manquante",IF(AND(AU812=1,D812=""),"⚠ Canal manquant",IF(AND(W812&lt;&gt;"",COUNTIFS('Saisie'!$W$5:$W$2004,W812,'Saisie'!$C$5:$C$2004,"&lt;&gt;"&amp;C812)&gt;0),"⚠ Numéro déjà utilisé par un autre prospect",IF(AND(J812&lt;&gt;"",J812&lt;A812),"⚠ Relance avant la date de l'action",IF(A812&gt;TODAY(),"⚠ Date dans le futur","✓"))))))))</f>
        <v/>
      </c>
      <c r="AS812" s="61">
        <f>IF(AND(A812="",C812="",E812=""),"",ROW())</f>
        <v/>
      </c>
      <c r="AT812" s="61">
        <f>IF(E812&amp;F812="","",MAX(IFERROR(INDEX('Paramètres'!$J$6:$J$33,MATCH(E812,'Paramètres'!$I$6:$I$33,0)),0),IFERROR(INDEX('Paramètres'!$N$6:$N$17,MATCH(F812,'Paramètres'!$M$6:$M$17,0)),0)))</f>
        <v/>
      </c>
      <c r="AU812" s="61">
        <f>IF(E812="","",IFERROR(IF(INDEX('Paramètres'!$K$6:$K$33,MATCH(E812,'Paramètres'!$I$6:$I$33,0))="Oui",1,0),0))</f>
        <v/>
      </c>
      <c r="AV812" s="61">
        <f>IF(F812="","",IFERROR(IF(INDEX('Paramètres'!$O$6:$O$17,MATCH(F812,'Paramètres'!$M$6:$M$17,0))="Oui",1,0),0))</f>
        <v/>
      </c>
      <c r="AW812" s="62">
        <f>IF(E812="","",IF(G812&lt;&gt;"",G812,IF(OR(E812="Proposition envoyée",E812="Signature"),MAX(0,N(IFERROR(INDEX('Paramètres'!$R$6:$R$15,MATCH(IF(AL812&lt;&gt;"",AL812,IFERROR(INDEX('Prospects'!$AN$5:$AN$504,MATCH(C812,'Prospects'!$C$5:$C$504,0)),"")),'Paramètres'!$Q$6:$Q$15,0)),0))-N(P812)),0)))</f>
        <v/>
      </c>
      <c r="AX812" s="61">
        <f>IF(C812="","",IF(COUNTIF($C$5:C812,C812)=1,MAX($AX$4:AX811)+1,""))</f>
        <v/>
      </c>
      <c r="AY812" s="61">
        <f>IF(B812="","",HOUR(B812))</f>
        <v/>
      </c>
      <c r="AZ812" s="61">
        <f>IF(A812="","",MOD(A812-2,7)+1)</f>
        <v/>
      </c>
      <c r="BA812" s="60">
        <f>IF(C812="","",IFERROR(INDEX('Prospects'!$N$5:$N$504,MATCH(C812,'Prospects'!$C$5:$C$504,0)),""))</f>
        <v/>
      </c>
      <c r="BB812" s="61">
        <f>IF(AND(C812&lt;&gt;"",C812='Fiche prospect'!$C$4),COUNTIF($C$5:C812,C812),"")</f>
        <v/>
      </c>
    </row>
    <row r="813">
      <c r="A813" s="53" t="n"/>
      <c r="B813" s="54" t="n"/>
      <c r="C813" s="55" t="n"/>
      <c r="D813" s="55" t="n"/>
      <c r="E813" s="55" t="n"/>
      <c r="F813" s="55" t="n"/>
      <c r="G813" s="56" t="n"/>
      <c r="H813" s="57" t="n"/>
      <c r="I813" s="55" t="n"/>
      <c r="J813" s="53" t="n"/>
      <c r="K813" s="54" t="n"/>
      <c r="L813" s="55" t="n"/>
      <c r="M813" s="55" t="n"/>
      <c r="N813" s="57" t="n"/>
      <c r="O813" s="55" t="n"/>
      <c r="P813" s="56" t="n"/>
      <c r="Q813" s="55" t="n"/>
      <c r="R813" s="55" t="n"/>
      <c r="S813" s="55" t="n"/>
      <c r="T813" s="55" t="n"/>
      <c r="U813" s="55" t="n"/>
      <c r="V813" s="55" t="n"/>
      <c r="W813" s="58" t="n"/>
      <c r="X813" s="58" t="n"/>
      <c r="Y813" s="55" t="n"/>
      <c r="Z813" s="55" t="n"/>
      <c r="AA813" s="55" t="n"/>
      <c r="AB813" s="55" t="n"/>
      <c r="AC813" s="55" t="n"/>
      <c r="AD813" s="53" t="n"/>
      <c r="AE813" s="55" t="n"/>
      <c r="AF813" s="55" t="n"/>
      <c r="AG813" s="59" t="n"/>
      <c r="AH813" s="57" t="n"/>
      <c r="AI813" s="55" t="n"/>
      <c r="AJ813" s="55" t="n"/>
      <c r="AK813" s="55" t="n"/>
      <c r="AL813" s="55" t="n"/>
      <c r="AM813" s="56" t="n"/>
      <c r="AN813" s="55" t="n"/>
      <c r="AO813" s="55" t="n"/>
      <c r="AP813" s="55" t="n"/>
      <c r="AQ813" s="55" t="n"/>
      <c r="AR813" s="60">
        <f>IF(AND(C813="",E813=""),"",IF(A813="","⚠ Date manquante",IF(AND(C813="",E813&lt;&gt;"Dépense"),"⚠ Prospect manquant",IF(E813="","⚠ Action manquante",IF(AND(AU813=1,D813=""),"⚠ Canal manquant",IF(AND(W813&lt;&gt;"",COUNTIFS('Saisie'!$W$5:$W$2004,W813,'Saisie'!$C$5:$C$2004,"&lt;&gt;"&amp;C813)&gt;0),"⚠ Numéro déjà utilisé par un autre prospect",IF(AND(J813&lt;&gt;"",J813&lt;A813),"⚠ Relance avant la date de l'action",IF(A813&gt;TODAY(),"⚠ Date dans le futur","✓"))))))))</f>
        <v/>
      </c>
      <c r="AS813" s="61">
        <f>IF(AND(A813="",C813="",E813=""),"",ROW())</f>
        <v/>
      </c>
      <c r="AT813" s="61">
        <f>IF(E813&amp;F813="","",MAX(IFERROR(INDEX('Paramètres'!$J$6:$J$33,MATCH(E813,'Paramètres'!$I$6:$I$33,0)),0),IFERROR(INDEX('Paramètres'!$N$6:$N$17,MATCH(F813,'Paramètres'!$M$6:$M$17,0)),0)))</f>
        <v/>
      </c>
      <c r="AU813" s="61">
        <f>IF(E813="","",IFERROR(IF(INDEX('Paramètres'!$K$6:$K$33,MATCH(E813,'Paramètres'!$I$6:$I$33,0))="Oui",1,0),0))</f>
        <v/>
      </c>
      <c r="AV813" s="61">
        <f>IF(F813="","",IFERROR(IF(INDEX('Paramètres'!$O$6:$O$17,MATCH(F813,'Paramètres'!$M$6:$M$17,0))="Oui",1,0),0))</f>
        <v/>
      </c>
      <c r="AW813" s="62">
        <f>IF(E813="","",IF(G813&lt;&gt;"",G813,IF(OR(E813="Proposition envoyée",E813="Signature"),MAX(0,N(IFERROR(INDEX('Paramètres'!$R$6:$R$15,MATCH(IF(AL813&lt;&gt;"",AL813,IFERROR(INDEX('Prospects'!$AN$5:$AN$504,MATCH(C813,'Prospects'!$C$5:$C$504,0)),"")),'Paramètres'!$Q$6:$Q$15,0)),0))-N(P813)),0)))</f>
        <v/>
      </c>
      <c r="AX813" s="61">
        <f>IF(C813="","",IF(COUNTIF($C$5:C813,C813)=1,MAX($AX$4:AX812)+1,""))</f>
        <v/>
      </c>
      <c r="AY813" s="61">
        <f>IF(B813="","",HOUR(B813))</f>
        <v/>
      </c>
      <c r="AZ813" s="61">
        <f>IF(A813="","",MOD(A813-2,7)+1)</f>
        <v/>
      </c>
      <c r="BA813" s="60">
        <f>IF(C813="","",IFERROR(INDEX('Prospects'!$N$5:$N$504,MATCH(C813,'Prospects'!$C$5:$C$504,0)),""))</f>
        <v/>
      </c>
      <c r="BB813" s="61">
        <f>IF(AND(C813&lt;&gt;"",C813='Fiche prospect'!$C$4),COUNTIF($C$5:C813,C813),"")</f>
        <v/>
      </c>
    </row>
    <row r="814">
      <c r="A814" s="53" t="n"/>
      <c r="B814" s="54" t="n"/>
      <c r="C814" s="55" t="n"/>
      <c r="D814" s="55" t="n"/>
      <c r="E814" s="55" t="n"/>
      <c r="F814" s="55" t="n"/>
      <c r="G814" s="56" t="n"/>
      <c r="H814" s="57" t="n"/>
      <c r="I814" s="55" t="n"/>
      <c r="J814" s="53" t="n"/>
      <c r="K814" s="54" t="n"/>
      <c r="L814" s="55" t="n"/>
      <c r="M814" s="55" t="n"/>
      <c r="N814" s="57" t="n"/>
      <c r="O814" s="55" t="n"/>
      <c r="P814" s="56" t="n"/>
      <c r="Q814" s="55" t="n"/>
      <c r="R814" s="55" t="n"/>
      <c r="S814" s="55" t="n"/>
      <c r="T814" s="55" t="n"/>
      <c r="U814" s="55" t="n"/>
      <c r="V814" s="55" t="n"/>
      <c r="W814" s="58" t="n"/>
      <c r="X814" s="58" t="n"/>
      <c r="Y814" s="55" t="n"/>
      <c r="Z814" s="55" t="n"/>
      <c r="AA814" s="55" t="n"/>
      <c r="AB814" s="55" t="n"/>
      <c r="AC814" s="55" t="n"/>
      <c r="AD814" s="53" t="n"/>
      <c r="AE814" s="55" t="n"/>
      <c r="AF814" s="55" t="n"/>
      <c r="AG814" s="59" t="n"/>
      <c r="AH814" s="57" t="n"/>
      <c r="AI814" s="55" t="n"/>
      <c r="AJ814" s="55" t="n"/>
      <c r="AK814" s="55" t="n"/>
      <c r="AL814" s="55" t="n"/>
      <c r="AM814" s="56" t="n"/>
      <c r="AN814" s="55" t="n"/>
      <c r="AO814" s="55" t="n"/>
      <c r="AP814" s="55" t="n"/>
      <c r="AQ814" s="55" t="n"/>
      <c r="AR814" s="60">
        <f>IF(AND(C814="",E814=""),"",IF(A814="","⚠ Date manquante",IF(AND(C814="",E814&lt;&gt;"Dépense"),"⚠ Prospect manquant",IF(E814="","⚠ Action manquante",IF(AND(AU814=1,D814=""),"⚠ Canal manquant",IF(AND(W814&lt;&gt;"",COUNTIFS('Saisie'!$W$5:$W$2004,W814,'Saisie'!$C$5:$C$2004,"&lt;&gt;"&amp;C814)&gt;0),"⚠ Numéro déjà utilisé par un autre prospect",IF(AND(J814&lt;&gt;"",J814&lt;A814),"⚠ Relance avant la date de l'action",IF(A814&gt;TODAY(),"⚠ Date dans le futur","✓"))))))))</f>
        <v/>
      </c>
      <c r="AS814" s="61">
        <f>IF(AND(A814="",C814="",E814=""),"",ROW())</f>
        <v/>
      </c>
      <c r="AT814" s="61">
        <f>IF(E814&amp;F814="","",MAX(IFERROR(INDEX('Paramètres'!$J$6:$J$33,MATCH(E814,'Paramètres'!$I$6:$I$33,0)),0),IFERROR(INDEX('Paramètres'!$N$6:$N$17,MATCH(F814,'Paramètres'!$M$6:$M$17,0)),0)))</f>
        <v/>
      </c>
      <c r="AU814" s="61">
        <f>IF(E814="","",IFERROR(IF(INDEX('Paramètres'!$K$6:$K$33,MATCH(E814,'Paramètres'!$I$6:$I$33,0))="Oui",1,0),0))</f>
        <v/>
      </c>
      <c r="AV814" s="61">
        <f>IF(F814="","",IFERROR(IF(INDEX('Paramètres'!$O$6:$O$17,MATCH(F814,'Paramètres'!$M$6:$M$17,0))="Oui",1,0),0))</f>
        <v/>
      </c>
      <c r="AW814" s="62">
        <f>IF(E814="","",IF(G814&lt;&gt;"",G814,IF(OR(E814="Proposition envoyée",E814="Signature"),MAX(0,N(IFERROR(INDEX('Paramètres'!$R$6:$R$15,MATCH(IF(AL814&lt;&gt;"",AL814,IFERROR(INDEX('Prospects'!$AN$5:$AN$504,MATCH(C814,'Prospects'!$C$5:$C$504,0)),"")),'Paramètres'!$Q$6:$Q$15,0)),0))-N(P814)),0)))</f>
        <v/>
      </c>
      <c r="AX814" s="61">
        <f>IF(C814="","",IF(COUNTIF($C$5:C814,C814)=1,MAX($AX$4:AX813)+1,""))</f>
        <v/>
      </c>
      <c r="AY814" s="61">
        <f>IF(B814="","",HOUR(B814))</f>
        <v/>
      </c>
      <c r="AZ814" s="61">
        <f>IF(A814="","",MOD(A814-2,7)+1)</f>
        <v/>
      </c>
      <c r="BA814" s="60">
        <f>IF(C814="","",IFERROR(INDEX('Prospects'!$N$5:$N$504,MATCH(C814,'Prospects'!$C$5:$C$504,0)),""))</f>
        <v/>
      </c>
      <c r="BB814" s="61">
        <f>IF(AND(C814&lt;&gt;"",C814='Fiche prospect'!$C$4),COUNTIF($C$5:C814,C814),"")</f>
        <v/>
      </c>
    </row>
    <row r="815">
      <c r="A815" s="53" t="n"/>
      <c r="B815" s="54" t="n"/>
      <c r="C815" s="55" t="n"/>
      <c r="D815" s="55" t="n"/>
      <c r="E815" s="55" t="n"/>
      <c r="F815" s="55" t="n"/>
      <c r="G815" s="56" t="n"/>
      <c r="H815" s="57" t="n"/>
      <c r="I815" s="55" t="n"/>
      <c r="J815" s="53" t="n"/>
      <c r="K815" s="54" t="n"/>
      <c r="L815" s="55" t="n"/>
      <c r="M815" s="55" t="n"/>
      <c r="N815" s="57" t="n"/>
      <c r="O815" s="55" t="n"/>
      <c r="P815" s="56" t="n"/>
      <c r="Q815" s="55" t="n"/>
      <c r="R815" s="55" t="n"/>
      <c r="S815" s="55" t="n"/>
      <c r="T815" s="55" t="n"/>
      <c r="U815" s="55" t="n"/>
      <c r="V815" s="55" t="n"/>
      <c r="W815" s="58" t="n"/>
      <c r="X815" s="58" t="n"/>
      <c r="Y815" s="55" t="n"/>
      <c r="Z815" s="55" t="n"/>
      <c r="AA815" s="55" t="n"/>
      <c r="AB815" s="55" t="n"/>
      <c r="AC815" s="55" t="n"/>
      <c r="AD815" s="53" t="n"/>
      <c r="AE815" s="55" t="n"/>
      <c r="AF815" s="55" t="n"/>
      <c r="AG815" s="59" t="n"/>
      <c r="AH815" s="57" t="n"/>
      <c r="AI815" s="55" t="n"/>
      <c r="AJ815" s="55" t="n"/>
      <c r="AK815" s="55" t="n"/>
      <c r="AL815" s="55" t="n"/>
      <c r="AM815" s="56" t="n"/>
      <c r="AN815" s="55" t="n"/>
      <c r="AO815" s="55" t="n"/>
      <c r="AP815" s="55" t="n"/>
      <c r="AQ815" s="55" t="n"/>
      <c r="AR815" s="60">
        <f>IF(AND(C815="",E815=""),"",IF(A815="","⚠ Date manquante",IF(AND(C815="",E815&lt;&gt;"Dépense"),"⚠ Prospect manquant",IF(E815="","⚠ Action manquante",IF(AND(AU815=1,D815=""),"⚠ Canal manquant",IF(AND(W815&lt;&gt;"",COUNTIFS('Saisie'!$W$5:$W$2004,W815,'Saisie'!$C$5:$C$2004,"&lt;&gt;"&amp;C815)&gt;0),"⚠ Numéro déjà utilisé par un autre prospect",IF(AND(J815&lt;&gt;"",J815&lt;A815),"⚠ Relance avant la date de l'action",IF(A815&gt;TODAY(),"⚠ Date dans le futur","✓"))))))))</f>
        <v/>
      </c>
      <c r="AS815" s="61">
        <f>IF(AND(A815="",C815="",E815=""),"",ROW())</f>
        <v/>
      </c>
      <c r="AT815" s="61">
        <f>IF(E815&amp;F815="","",MAX(IFERROR(INDEX('Paramètres'!$J$6:$J$33,MATCH(E815,'Paramètres'!$I$6:$I$33,0)),0),IFERROR(INDEX('Paramètres'!$N$6:$N$17,MATCH(F815,'Paramètres'!$M$6:$M$17,0)),0)))</f>
        <v/>
      </c>
      <c r="AU815" s="61">
        <f>IF(E815="","",IFERROR(IF(INDEX('Paramètres'!$K$6:$K$33,MATCH(E815,'Paramètres'!$I$6:$I$33,0))="Oui",1,0),0))</f>
        <v/>
      </c>
      <c r="AV815" s="61">
        <f>IF(F815="","",IFERROR(IF(INDEX('Paramètres'!$O$6:$O$17,MATCH(F815,'Paramètres'!$M$6:$M$17,0))="Oui",1,0),0))</f>
        <v/>
      </c>
      <c r="AW815" s="62">
        <f>IF(E815="","",IF(G815&lt;&gt;"",G815,IF(OR(E815="Proposition envoyée",E815="Signature"),MAX(0,N(IFERROR(INDEX('Paramètres'!$R$6:$R$15,MATCH(IF(AL815&lt;&gt;"",AL815,IFERROR(INDEX('Prospects'!$AN$5:$AN$504,MATCH(C815,'Prospects'!$C$5:$C$504,0)),"")),'Paramètres'!$Q$6:$Q$15,0)),0))-N(P815)),0)))</f>
        <v/>
      </c>
      <c r="AX815" s="61">
        <f>IF(C815="","",IF(COUNTIF($C$5:C815,C815)=1,MAX($AX$4:AX814)+1,""))</f>
        <v/>
      </c>
      <c r="AY815" s="61">
        <f>IF(B815="","",HOUR(B815))</f>
        <v/>
      </c>
      <c r="AZ815" s="61">
        <f>IF(A815="","",MOD(A815-2,7)+1)</f>
        <v/>
      </c>
      <c r="BA815" s="60">
        <f>IF(C815="","",IFERROR(INDEX('Prospects'!$N$5:$N$504,MATCH(C815,'Prospects'!$C$5:$C$504,0)),""))</f>
        <v/>
      </c>
      <c r="BB815" s="61">
        <f>IF(AND(C815&lt;&gt;"",C815='Fiche prospect'!$C$4),COUNTIF($C$5:C815,C815),"")</f>
        <v/>
      </c>
    </row>
    <row r="816">
      <c r="A816" s="53" t="n"/>
      <c r="B816" s="54" t="n"/>
      <c r="C816" s="55" t="n"/>
      <c r="D816" s="55" t="n"/>
      <c r="E816" s="55" t="n"/>
      <c r="F816" s="55" t="n"/>
      <c r="G816" s="56" t="n"/>
      <c r="H816" s="57" t="n"/>
      <c r="I816" s="55" t="n"/>
      <c r="J816" s="53" t="n"/>
      <c r="K816" s="54" t="n"/>
      <c r="L816" s="55" t="n"/>
      <c r="M816" s="55" t="n"/>
      <c r="N816" s="57" t="n"/>
      <c r="O816" s="55" t="n"/>
      <c r="P816" s="56" t="n"/>
      <c r="Q816" s="55" t="n"/>
      <c r="R816" s="55" t="n"/>
      <c r="S816" s="55" t="n"/>
      <c r="T816" s="55" t="n"/>
      <c r="U816" s="55" t="n"/>
      <c r="V816" s="55" t="n"/>
      <c r="W816" s="58" t="n"/>
      <c r="X816" s="58" t="n"/>
      <c r="Y816" s="55" t="n"/>
      <c r="Z816" s="55" t="n"/>
      <c r="AA816" s="55" t="n"/>
      <c r="AB816" s="55" t="n"/>
      <c r="AC816" s="55" t="n"/>
      <c r="AD816" s="53" t="n"/>
      <c r="AE816" s="55" t="n"/>
      <c r="AF816" s="55" t="n"/>
      <c r="AG816" s="59" t="n"/>
      <c r="AH816" s="57" t="n"/>
      <c r="AI816" s="55" t="n"/>
      <c r="AJ816" s="55" t="n"/>
      <c r="AK816" s="55" t="n"/>
      <c r="AL816" s="55" t="n"/>
      <c r="AM816" s="56" t="n"/>
      <c r="AN816" s="55" t="n"/>
      <c r="AO816" s="55" t="n"/>
      <c r="AP816" s="55" t="n"/>
      <c r="AQ816" s="55" t="n"/>
      <c r="AR816" s="60">
        <f>IF(AND(C816="",E816=""),"",IF(A816="","⚠ Date manquante",IF(AND(C816="",E816&lt;&gt;"Dépense"),"⚠ Prospect manquant",IF(E816="","⚠ Action manquante",IF(AND(AU816=1,D816=""),"⚠ Canal manquant",IF(AND(W816&lt;&gt;"",COUNTIFS('Saisie'!$W$5:$W$2004,W816,'Saisie'!$C$5:$C$2004,"&lt;&gt;"&amp;C816)&gt;0),"⚠ Numéro déjà utilisé par un autre prospect",IF(AND(J816&lt;&gt;"",J816&lt;A816),"⚠ Relance avant la date de l'action",IF(A816&gt;TODAY(),"⚠ Date dans le futur","✓"))))))))</f>
        <v/>
      </c>
      <c r="AS816" s="61">
        <f>IF(AND(A816="",C816="",E816=""),"",ROW())</f>
        <v/>
      </c>
      <c r="AT816" s="61">
        <f>IF(E816&amp;F816="","",MAX(IFERROR(INDEX('Paramètres'!$J$6:$J$33,MATCH(E816,'Paramètres'!$I$6:$I$33,0)),0),IFERROR(INDEX('Paramètres'!$N$6:$N$17,MATCH(F816,'Paramètres'!$M$6:$M$17,0)),0)))</f>
        <v/>
      </c>
      <c r="AU816" s="61">
        <f>IF(E816="","",IFERROR(IF(INDEX('Paramètres'!$K$6:$K$33,MATCH(E816,'Paramètres'!$I$6:$I$33,0))="Oui",1,0),0))</f>
        <v/>
      </c>
      <c r="AV816" s="61">
        <f>IF(F816="","",IFERROR(IF(INDEX('Paramètres'!$O$6:$O$17,MATCH(F816,'Paramètres'!$M$6:$M$17,0))="Oui",1,0),0))</f>
        <v/>
      </c>
      <c r="AW816" s="62">
        <f>IF(E816="","",IF(G816&lt;&gt;"",G816,IF(OR(E816="Proposition envoyée",E816="Signature"),MAX(0,N(IFERROR(INDEX('Paramètres'!$R$6:$R$15,MATCH(IF(AL816&lt;&gt;"",AL816,IFERROR(INDEX('Prospects'!$AN$5:$AN$504,MATCH(C816,'Prospects'!$C$5:$C$504,0)),"")),'Paramètres'!$Q$6:$Q$15,0)),0))-N(P816)),0)))</f>
        <v/>
      </c>
      <c r="AX816" s="61">
        <f>IF(C816="","",IF(COUNTIF($C$5:C816,C816)=1,MAX($AX$4:AX815)+1,""))</f>
        <v/>
      </c>
      <c r="AY816" s="61">
        <f>IF(B816="","",HOUR(B816))</f>
        <v/>
      </c>
      <c r="AZ816" s="61">
        <f>IF(A816="","",MOD(A816-2,7)+1)</f>
        <v/>
      </c>
      <c r="BA816" s="60">
        <f>IF(C816="","",IFERROR(INDEX('Prospects'!$N$5:$N$504,MATCH(C816,'Prospects'!$C$5:$C$504,0)),""))</f>
        <v/>
      </c>
      <c r="BB816" s="61">
        <f>IF(AND(C816&lt;&gt;"",C816='Fiche prospect'!$C$4),COUNTIF($C$5:C816,C816),"")</f>
        <v/>
      </c>
    </row>
    <row r="817">
      <c r="A817" s="53" t="n"/>
      <c r="B817" s="54" t="n"/>
      <c r="C817" s="55" t="n"/>
      <c r="D817" s="55" t="n"/>
      <c r="E817" s="55" t="n"/>
      <c r="F817" s="55" t="n"/>
      <c r="G817" s="56" t="n"/>
      <c r="H817" s="57" t="n"/>
      <c r="I817" s="55" t="n"/>
      <c r="J817" s="53" t="n"/>
      <c r="K817" s="54" t="n"/>
      <c r="L817" s="55" t="n"/>
      <c r="M817" s="55" t="n"/>
      <c r="N817" s="57" t="n"/>
      <c r="O817" s="55" t="n"/>
      <c r="P817" s="56" t="n"/>
      <c r="Q817" s="55" t="n"/>
      <c r="R817" s="55" t="n"/>
      <c r="S817" s="55" t="n"/>
      <c r="T817" s="55" t="n"/>
      <c r="U817" s="55" t="n"/>
      <c r="V817" s="55" t="n"/>
      <c r="W817" s="58" t="n"/>
      <c r="X817" s="58" t="n"/>
      <c r="Y817" s="55" t="n"/>
      <c r="Z817" s="55" t="n"/>
      <c r="AA817" s="55" t="n"/>
      <c r="AB817" s="55" t="n"/>
      <c r="AC817" s="55" t="n"/>
      <c r="AD817" s="53" t="n"/>
      <c r="AE817" s="55" t="n"/>
      <c r="AF817" s="55" t="n"/>
      <c r="AG817" s="59" t="n"/>
      <c r="AH817" s="57" t="n"/>
      <c r="AI817" s="55" t="n"/>
      <c r="AJ817" s="55" t="n"/>
      <c r="AK817" s="55" t="n"/>
      <c r="AL817" s="55" t="n"/>
      <c r="AM817" s="56" t="n"/>
      <c r="AN817" s="55" t="n"/>
      <c r="AO817" s="55" t="n"/>
      <c r="AP817" s="55" t="n"/>
      <c r="AQ817" s="55" t="n"/>
      <c r="AR817" s="60">
        <f>IF(AND(C817="",E817=""),"",IF(A817="","⚠ Date manquante",IF(AND(C817="",E817&lt;&gt;"Dépense"),"⚠ Prospect manquant",IF(E817="","⚠ Action manquante",IF(AND(AU817=1,D817=""),"⚠ Canal manquant",IF(AND(W817&lt;&gt;"",COUNTIFS('Saisie'!$W$5:$W$2004,W817,'Saisie'!$C$5:$C$2004,"&lt;&gt;"&amp;C817)&gt;0),"⚠ Numéro déjà utilisé par un autre prospect",IF(AND(J817&lt;&gt;"",J817&lt;A817),"⚠ Relance avant la date de l'action",IF(A817&gt;TODAY(),"⚠ Date dans le futur","✓"))))))))</f>
        <v/>
      </c>
      <c r="AS817" s="61">
        <f>IF(AND(A817="",C817="",E817=""),"",ROW())</f>
        <v/>
      </c>
      <c r="AT817" s="61">
        <f>IF(E817&amp;F817="","",MAX(IFERROR(INDEX('Paramètres'!$J$6:$J$33,MATCH(E817,'Paramètres'!$I$6:$I$33,0)),0),IFERROR(INDEX('Paramètres'!$N$6:$N$17,MATCH(F817,'Paramètres'!$M$6:$M$17,0)),0)))</f>
        <v/>
      </c>
      <c r="AU817" s="61">
        <f>IF(E817="","",IFERROR(IF(INDEX('Paramètres'!$K$6:$K$33,MATCH(E817,'Paramètres'!$I$6:$I$33,0))="Oui",1,0),0))</f>
        <v/>
      </c>
      <c r="AV817" s="61">
        <f>IF(F817="","",IFERROR(IF(INDEX('Paramètres'!$O$6:$O$17,MATCH(F817,'Paramètres'!$M$6:$M$17,0))="Oui",1,0),0))</f>
        <v/>
      </c>
      <c r="AW817" s="62">
        <f>IF(E817="","",IF(G817&lt;&gt;"",G817,IF(OR(E817="Proposition envoyée",E817="Signature"),MAX(0,N(IFERROR(INDEX('Paramètres'!$R$6:$R$15,MATCH(IF(AL817&lt;&gt;"",AL817,IFERROR(INDEX('Prospects'!$AN$5:$AN$504,MATCH(C817,'Prospects'!$C$5:$C$504,0)),"")),'Paramètres'!$Q$6:$Q$15,0)),0))-N(P817)),0)))</f>
        <v/>
      </c>
      <c r="AX817" s="61">
        <f>IF(C817="","",IF(COUNTIF($C$5:C817,C817)=1,MAX($AX$4:AX816)+1,""))</f>
        <v/>
      </c>
      <c r="AY817" s="61">
        <f>IF(B817="","",HOUR(B817))</f>
        <v/>
      </c>
      <c r="AZ817" s="61">
        <f>IF(A817="","",MOD(A817-2,7)+1)</f>
        <v/>
      </c>
      <c r="BA817" s="60">
        <f>IF(C817="","",IFERROR(INDEX('Prospects'!$N$5:$N$504,MATCH(C817,'Prospects'!$C$5:$C$504,0)),""))</f>
        <v/>
      </c>
      <c r="BB817" s="61">
        <f>IF(AND(C817&lt;&gt;"",C817='Fiche prospect'!$C$4),COUNTIF($C$5:C817,C817),"")</f>
        <v/>
      </c>
    </row>
    <row r="818">
      <c r="A818" s="53" t="n"/>
      <c r="B818" s="54" t="n"/>
      <c r="C818" s="55" t="n"/>
      <c r="D818" s="55" t="n"/>
      <c r="E818" s="55" t="n"/>
      <c r="F818" s="55" t="n"/>
      <c r="G818" s="56" t="n"/>
      <c r="H818" s="57" t="n"/>
      <c r="I818" s="55" t="n"/>
      <c r="J818" s="53" t="n"/>
      <c r="K818" s="54" t="n"/>
      <c r="L818" s="55" t="n"/>
      <c r="M818" s="55" t="n"/>
      <c r="N818" s="57" t="n"/>
      <c r="O818" s="55" t="n"/>
      <c r="P818" s="56" t="n"/>
      <c r="Q818" s="55" t="n"/>
      <c r="R818" s="55" t="n"/>
      <c r="S818" s="55" t="n"/>
      <c r="T818" s="55" t="n"/>
      <c r="U818" s="55" t="n"/>
      <c r="V818" s="55" t="n"/>
      <c r="W818" s="58" t="n"/>
      <c r="X818" s="58" t="n"/>
      <c r="Y818" s="55" t="n"/>
      <c r="Z818" s="55" t="n"/>
      <c r="AA818" s="55" t="n"/>
      <c r="AB818" s="55" t="n"/>
      <c r="AC818" s="55" t="n"/>
      <c r="AD818" s="53" t="n"/>
      <c r="AE818" s="55" t="n"/>
      <c r="AF818" s="55" t="n"/>
      <c r="AG818" s="59" t="n"/>
      <c r="AH818" s="57" t="n"/>
      <c r="AI818" s="55" t="n"/>
      <c r="AJ818" s="55" t="n"/>
      <c r="AK818" s="55" t="n"/>
      <c r="AL818" s="55" t="n"/>
      <c r="AM818" s="56" t="n"/>
      <c r="AN818" s="55" t="n"/>
      <c r="AO818" s="55" t="n"/>
      <c r="AP818" s="55" t="n"/>
      <c r="AQ818" s="55" t="n"/>
      <c r="AR818" s="60">
        <f>IF(AND(C818="",E818=""),"",IF(A818="","⚠ Date manquante",IF(AND(C818="",E818&lt;&gt;"Dépense"),"⚠ Prospect manquant",IF(E818="","⚠ Action manquante",IF(AND(AU818=1,D818=""),"⚠ Canal manquant",IF(AND(W818&lt;&gt;"",COUNTIFS('Saisie'!$W$5:$W$2004,W818,'Saisie'!$C$5:$C$2004,"&lt;&gt;"&amp;C818)&gt;0),"⚠ Numéro déjà utilisé par un autre prospect",IF(AND(J818&lt;&gt;"",J818&lt;A818),"⚠ Relance avant la date de l'action",IF(A818&gt;TODAY(),"⚠ Date dans le futur","✓"))))))))</f>
        <v/>
      </c>
      <c r="AS818" s="61">
        <f>IF(AND(A818="",C818="",E818=""),"",ROW())</f>
        <v/>
      </c>
      <c r="AT818" s="61">
        <f>IF(E818&amp;F818="","",MAX(IFERROR(INDEX('Paramètres'!$J$6:$J$33,MATCH(E818,'Paramètres'!$I$6:$I$33,0)),0),IFERROR(INDEX('Paramètres'!$N$6:$N$17,MATCH(F818,'Paramètres'!$M$6:$M$17,0)),0)))</f>
        <v/>
      </c>
      <c r="AU818" s="61">
        <f>IF(E818="","",IFERROR(IF(INDEX('Paramètres'!$K$6:$K$33,MATCH(E818,'Paramètres'!$I$6:$I$33,0))="Oui",1,0),0))</f>
        <v/>
      </c>
      <c r="AV818" s="61">
        <f>IF(F818="","",IFERROR(IF(INDEX('Paramètres'!$O$6:$O$17,MATCH(F818,'Paramètres'!$M$6:$M$17,0))="Oui",1,0),0))</f>
        <v/>
      </c>
      <c r="AW818" s="62">
        <f>IF(E818="","",IF(G818&lt;&gt;"",G818,IF(OR(E818="Proposition envoyée",E818="Signature"),MAX(0,N(IFERROR(INDEX('Paramètres'!$R$6:$R$15,MATCH(IF(AL818&lt;&gt;"",AL818,IFERROR(INDEX('Prospects'!$AN$5:$AN$504,MATCH(C818,'Prospects'!$C$5:$C$504,0)),"")),'Paramètres'!$Q$6:$Q$15,0)),0))-N(P818)),0)))</f>
        <v/>
      </c>
      <c r="AX818" s="61">
        <f>IF(C818="","",IF(COUNTIF($C$5:C818,C818)=1,MAX($AX$4:AX817)+1,""))</f>
        <v/>
      </c>
      <c r="AY818" s="61">
        <f>IF(B818="","",HOUR(B818))</f>
        <v/>
      </c>
      <c r="AZ818" s="61">
        <f>IF(A818="","",MOD(A818-2,7)+1)</f>
        <v/>
      </c>
      <c r="BA818" s="60">
        <f>IF(C818="","",IFERROR(INDEX('Prospects'!$N$5:$N$504,MATCH(C818,'Prospects'!$C$5:$C$504,0)),""))</f>
        <v/>
      </c>
      <c r="BB818" s="61">
        <f>IF(AND(C818&lt;&gt;"",C818='Fiche prospect'!$C$4),COUNTIF($C$5:C818,C818),"")</f>
        <v/>
      </c>
    </row>
    <row r="819">
      <c r="A819" s="53" t="n"/>
      <c r="B819" s="54" t="n"/>
      <c r="C819" s="55" t="n"/>
      <c r="D819" s="55" t="n"/>
      <c r="E819" s="55" t="n"/>
      <c r="F819" s="55" t="n"/>
      <c r="G819" s="56" t="n"/>
      <c r="H819" s="57" t="n"/>
      <c r="I819" s="55" t="n"/>
      <c r="J819" s="53" t="n"/>
      <c r="K819" s="54" t="n"/>
      <c r="L819" s="55" t="n"/>
      <c r="M819" s="55" t="n"/>
      <c r="N819" s="57" t="n"/>
      <c r="O819" s="55" t="n"/>
      <c r="P819" s="56" t="n"/>
      <c r="Q819" s="55" t="n"/>
      <c r="R819" s="55" t="n"/>
      <c r="S819" s="55" t="n"/>
      <c r="T819" s="55" t="n"/>
      <c r="U819" s="55" t="n"/>
      <c r="V819" s="55" t="n"/>
      <c r="W819" s="58" t="n"/>
      <c r="X819" s="58" t="n"/>
      <c r="Y819" s="55" t="n"/>
      <c r="Z819" s="55" t="n"/>
      <c r="AA819" s="55" t="n"/>
      <c r="AB819" s="55" t="n"/>
      <c r="AC819" s="55" t="n"/>
      <c r="AD819" s="53" t="n"/>
      <c r="AE819" s="55" t="n"/>
      <c r="AF819" s="55" t="n"/>
      <c r="AG819" s="59" t="n"/>
      <c r="AH819" s="57" t="n"/>
      <c r="AI819" s="55" t="n"/>
      <c r="AJ819" s="55" t="n"/>
      <c r="AK819" s="55" t="n"/>
      <c r="AL819" s="55" t="n"/>
      <c r="AM819" s="56" t="n"/>
      <c r="AN819" s="55" t="n"/>
      <c r="AO819" s="55" t="n"/>
      <c r="AP819" s="55" t="n"/>
      <c r="AQ819" s="55" t="n"/>
      <c r="AR819" s="60">
        <f>IF(AND(C819="",E819=""),"",IF(A819="","⚠ Date manquante",IF(AND(C819="",E819&lt;&gt;"Dépense"),"⚠ Prospect manquant",IF(E819="","⚠ Action manquante",IF(AND(AU819=1,D819=""),"⚠ Canal manquant",IF(AND(W819&lt;&gt;"",COUNTIFS('Saisie'!$W$5:$W$2004,W819,'Saisie'!$C$5:$C$2004,"&lt;&gt;"&amp;C819)&gt;0),"⚠ Numéro déjà utilisé par un autre prospect",IF(AND(J819&lt;&gt;"",J819&lt;A819),"⚠ Relance avant la date de l'action",IF(A819&gt;TODAY(),"⚠ Date dans le futur","✓"))))))))</f>
        <v/>
      </c>
      <c r="AS819" s="61">
        <f>IF(AND(A819="",C819="",E819=""),"",ROW())</f>
        <v/>
      </c>
      <c r="AT819" s="61">
        <f>IF(E819&amp;F819="","",MAX(IFERROR(INDEX('Paramètres'!$J$6:$J$33,MATCH(E819,'Paramètres'!$I$6:$I$33,0)),0),IFERROR(INDEX('Paramètres'!$N$6:$N$17,MATCH(F819,'Paramètres'!$M$6:$M$17,0)),0)))</f>
        <v/>
      </c>
      <c r="AU819" s="61">
        <f>IF(E819="","",IFERROR(IF(INDEX('Paramètres'!$K$6:$K$33,MATCH(E819,'Paramètres'!$I$6:$I$33,0))="Oui",1,0),0))</f>
        <v/>
      </c>
      <c r="AV819" s="61">
        <f>IF(F819="","",IFERROR(IF(INDEX('Paramètres'!$O$6:$O$17,MATCH(F819,'Paramètres'!$M$6:$M$17,0))="Oui",1,0),0))</f>
        <v/>
      </c>
      <c r="AW819" s="62">
        <f>IF(E819="","",IF(G819&lt;&gt;"",G819,IF(OR(E819="Proposition envoyée",E819="Signature"),MAX(0,N(IFERROR(INDEX('Paramètres'!$R$6:$R$15,MATCH(IF(AL819&lt;&gt;"",AL819,IFERROR(INDEX('Prospects'!$AN$5:$AN$504,MATCH(C819,'Prospects'!$C$5:$C$504,0)),"")),'Paramètres'!$Q$6:$Q$15,0)),0))-N(P819)),0)))</f>
        <v/>
      </c>
      <c r="AX819" s="61">
        <f>IF(C819="","",IF(COUNTIF($C$5:C819,C819)=1,MAX($AX$4:AX818)+1,""))</f>
        <v/>
      </c>
      <c r="AY819" s="61">
        <f>IF(B819="","",HOUR(B819))</f>
        <v/>
      </c>
      <c r="AZ819" s="61">
        <f>IF(A819="","",MOD(A819-2,7)+1)</f>
        <v/>
      </c>
      <c r="BA819" s="60">
        <f>IF(C819="","",IFERROR(INDEX('Prospects'!$N$5:$N$504,MATCH(C819,'Prospects'!$C$5:$C$504,0)),""))</f>
        <v/>
      </c>
      <c r="BB819" s="61">
        <f>IF(AND(C819&lt;&gt;"",C819='Fiche prospect'!$C$4),COUNTIF($C$5:C819,C819),"")</f>
        <v/>
      </c>
    </row>
    <row r="820">
      <c r="A820" s="53" t="n"/>
      <c r="B820" s="54" t="n"/>
      <c r="C820" s="55" t="n"/>
      <c r="D820" s="55" t="n"/>
      <c r="E820" s="55" t="n"/>
      <c r="F820" s="55" t="n"/>
      <c r="G820" s="56" t="n"/>
      <c r="H820" s="57" t="n"/>
      <c r="I820" s="55" t="n"/>
      <c r="J820" s="53" t="n"/>
      <c r="K820" s="54" t="n"/>
      <c r="L820" s="55" t="n"/>
      <c r="M820" s="55" t="n"/>
      <c r="N820" s="57" t="n"/>
      <c r="O820" s="55" t="n"/>
      <c r="P820" s="56" t="n"/>
      <c r="Q820" s="55" t="n"/>
      <c r="R820" s="55" t="n"/>
      <c r="S820" s="55" t="n"/>
      <c r="T820" s="55" t="n"/>
      <c r="U820" s="55" t="n"/>
      <c r="V820" s="55" t="n"/>
      <c r="W820" s="58" t="n"/>
      <c r="X820" s="58" t="n"/>
      <c r="Y820" s="55" t="n"/>
      <c r="Z820" s="55" t="n"/>
      <c r="AA820" s="55" t="n"/>
      <c r="AB820" s="55" t="n"/>
      <c r="AC820" s="55" t="n"/>
      <c r="AD820" s="53" t="n"/>
      <c r="AE820" s="55" t="n"/>
      <c r="AF820" s="55" t="n"/>
      <c r="AG820" s="59" t="n"/>
      <c r="AH820" s="57" t="n"/>
      <c r="AI820" s="55" t="n"/>
      <c r="AJ820" s="55" t="n"/>
      <c r="AK820" s="55" t="n"/>
      <c r="AL820" s="55" t="n"/>
      <c r="AM820" s="56" t="n"/>
      <c r="AN820" s="55" t="n"/>
      <c r="AO820" s="55" t="n"/>
      <c r="AP820" s="55" t="n"/>
      <c r="AQ820" s="55" t="n"/>
      <c r="AR820" s="60">
        <f>IF(AND(C820="",E820=""),"",IF(A820="","⚠ Date manquante",IF(AND(C820="",E820&lt;&gt;"Dépense"),"⚠ Prospect manquant",IF(E820="","⚠ Action manquante",IF(AND(AU820=1,D820=""),"⚠ Canal manquant",IF(AND(W820&lt;&gt;"",COUNTIFS('Saisie'!$W$5:$W$2004,W820,'Saisie'!$C$5:$C$2004,"&lt;&gt;"&amp;C820)&gt;0),"⚠ Numéro déjà utilisé par un autre prospect",IF(AND(J820&lt;&gt;"",J820&lt;A820),"⚠ Relance avant la date de l'action",IF(A820&gt;TODAY(),"⚠ Date dans le futur","✓"))))))))</f>
        <v/>
      </c>
      <c r="AS820" s="61">
        <f>IF(AND(A820="",C820="",E820=""),"",ROW())</f>
        <v/>
      </c>
      <c r="AT820" s="61">
        <f>IF(E820&amp;F820="","",MAX(IFERROR(INDEX('Paramètres'!$J$6:$J$33,MATCH(E820,'Paramètres'!$I$6:$I$33,0)),0),IFERROR(INDEX('Paramètres'!$N$6:$N$17,MATCH(F820,'Paramètres'!$M$6:$M$17,0)),0)))</f>
        <v/>
      </c>
      <c r="AU820" s="61">
        <f>IF(E820="","",IFERROR(IF(INDEX('Paramètres'!$K$6:$K$33,MATCH(E820,'Paramètres'!$I$6:$I$33,0))="Oui",1,0),0))</f>
        <v/>
      </c>
      <c r="AV820" s="61">
        <f>IF(F820="","",IFERROR(IF(INDEX('Paramètres'!$O$6:$O$17,MATCH(F820,'Paramètres'!$M$6:$M$17,0))="Oui",1,0),0))</f>
        <v/>
      </c>
      <c r="AW820" s="62">
        <f>IF(E820="","",IF(G820&lt;&gt;"",G820,IF(OR(E820="Proposition envoyée",E820="Signature"),MAX(0,N(IFERROR(INDEX('Paramètres'!$R$6:$R$15,MATCH(IF(AL820&lt;&gt;"",AL820,IFERROR(INDEX('Prospects'!$AN$5:$AN$504,MATCH(C820,'Prospects'!$C$5:$C$504,0)),"")),'Paramètres'!$Q$6:$Q$15,0)),0))-N(P820)),0)))</f>
        <v/>
      </c>
      <c r="AX820" s="61">
        <f>IF(C820="","",IF(COUNTIF($C$5:C820,C820)=1,MAX($AX$4:AX819)+1,""))</f>
        <v/>
      </c>
      <c r="AY820" s="61">
        <f>IF(B820="","",HOUR(B820))</f>
        <v/>
      </c>
      <c r="AZ820" s="61">
        <f>IF(A820="","",MOD(A820-2,7)+1)</f>
        <v/>
      </c>
      <c r="BA820" s="60">
        <f>IF(C820="","",IFERROR(INDEX('Prospects'!$N$5:$N$504,MATCH(C820,'Prospects'!$C$5:$C$504,0)),""))</f>
        <v/>
      </c>
      <c r="BB820" s="61">
        <f>IF(AND(C820&lt;&gt;"",C820='Fiche prospect'!$C$4),COUNTIF($C$5:C820,C820),"")</f>
        <v/>
      </c>
    </row>
    <row r="821">
      <c r="A821" s="53" t="n"/>
      <c r="B821" s="54" t="n"/>
      <c r="C821" s="55" t="n"/>
      <c r="D821" s="55" t="n"/>
      <c r="E821" s="55" t="n"/>
      <c r="F821" s="55" t="n"/>
      <c r="G821" s="56" t="n"/>
      <c r="H821" s="57" t="n"/>
      <c r="I821" s="55" t="n"/>
      <c r="J821" s="53" t="n"/>
      <c r="K821" s="54" t="n"/>
      <c r="L821" s="55" t="n"/>
      <c r="M821" s="55" t="n"/>
      <c r="N821" s="57" t="n"/>
      <c r="O821" s="55" t="n"/>
      <c r="P821" s="56" t="n"/>
      <c r="Q821" s="55" t="n"/>
      <c r="R821" s="55" t="n"/>
      <c r="S821" s="55" t="n"/>
      <c r="T821" s="55" t="n"/>
      <c r="U821" s="55" t="n"/>
      <c r="V821" s="55" t="n"/>
      <c r="W821" s="58" t="n"/>
      <c r="X821" s="58" t="n"/>
      <c r="Y821" s="55" t="n"/>
      <c r="Z821" s="55" t="n"/>
      <c r="AA821" s="55" t="n"/>
      <c r="AB821" s="55" t="n"/>
      <c r="AC821" s="55" t="n"/>
      <c r="AD821" s="53" t="n"/>
      <c r="AE821" s="55" t="n"/>
      <c r="AF821" s="55" t="n"/>
      <c r="AG821" s="59" t="n"/>
      <c r="AH821" s="57" t="n"/>
      <c r="AI821" s="55" t="n"/>
      <c r="AJ821" s="55" t="n"/>
      <c r="AK821" s="55" t="n"/>
      <c r="AL821" s="55" t="n"/>
      <c r="AM821" s="56" t="n"/>
      <c r="AN821" s="55" t="n"/>
      <c r="AO821" s="55" t="n"/>
      <c r="AP821" s="55" t="n"/>
      <c r="AQ821" s="55" t="n"/>
      <c r="AR821" s="60">
        <f>IF(AND(C821="",E821=""),"",IF(A821="","⚠ Date manquante",IF(AND(C821="",E821&lt;&gt;"Dépense"),"⚠ Prospect manquant",IF(E821="","⚠ Action manquante",IF(AND(AU821=1,D821=""),"⚠ Canal manquant",IF(AND(W821&lt;&gt;"",COUNTIFS('Saisie'!$W$5:$W$2004,W821,'Saisie'!$C$5:$C$2004,"&lt;&gt;"&amp;C821)&gt;0),"⚠ Numéro déjà utilisé par un autre prospect",IF(AND(J821&lt;&gt;"",J821&lt;A821),"⚠ Relance avant la date de l'action",IF(A821&gt;TODAY(),"⚠ Date dans le futur","✓"))))))))</f>
        <v/>
      </c>
      <c r="AS821" s="61">
        <f>IF(AND(A821="",C821="",E821=""),"",ROW())</f>
        <v/>
      </c>
      <c r="AT821" s="61">
        <f>IF(E821&amp;F821="","",MAX(IFERROR(INDEX('Paramètres'!$J$6:$J$33,MATCH(E821,'Paramètres'!$I$6:$I$33,0)),0),IFERROR(INDEX('Paramètres'!$N$6:$N$17,MATCH(F821,'Paramètres'!$M$6:$M$17,0)),0)))</f>
        <v/>
      </c>
      <c r="AU821" s="61">
        <f>IF(E821="","",IFERROR(IF(INDEX('Paramètres'!$K$6:$K$33,MATCH(E821,'Paramètres'!$I$6:$I$33,0))="Oui",1,0),0))</f>
        <v/>
      </c>
      <c r="AV821" s="61">
        <f>IF(F821="","",IFERROR(IF(INDEX('Paramètres'!$O$6:$O$17,MATCH(F821,'Paramètres'!$M$6:$M$17,0))="Oui",1,0),0))</f>
        <v/>
      </c>
      <c r="AW821" s="62">
        <f>IF(E821="","",IF(G821&lt;&gt;"",G821,IF(OR(E821="Proposition envoyée",E821="Signature"),MAX(0,N(IFERROR(INDEX('Paramètres'!$R$6:$R$15,MATCH(IF(AL821&lt;&gt;"",AL821,IFERROR(INDEX('Prospects'!$AN$5:$AN$504,MATCH(C821,'Prospects'!$C$5:$C$504,0)),"")),'Paramètres'!$Q$6:$Q$15,0)),0))-N(P821)),0)))</f>
        <v/>
      </c>
      <c r="AX821" s="61">
        <f>IF(C821="","",IF(COUNTIF($C$5:C821,C821)=1,MAX($AX$4:AX820)+1,""))</f>
        <v/>
      </c>
      <c r="AY821" s="61">
        <f>IF(B821="","",HOUR(B821))</f>
        <v/>
      </c>
      <c r="AZ821" s="61">
        <f>IF(A821="","",MOD(A821-2,7)+1)</f>
        <v/>
      </c>
      <c r="BA821" s="60">
        <f>IF(C821="","",IFERROR(INDEX('Prospects'!$N$5:$N$504,MATCH(C821,'Prospects'!$C$5:$C$504,0)),""))</f>
        <v/>
      </c>
      <c r="BB821" s="61">
        <f>IF(AND(C821&lt;&gt;"",C821='Fiche prospect'!$C$4),COUNTIF($C$5:C821,C821),"")</f>
        <v/>
      </c>
    </row>
    <row r="822">
      <c r="A822" s="53" t="n"/>
      <c r="B822" s="54" t="n"/>
      <c r="C822" s="55" t="n"/>
      <c r="D822" s="55" t="n"/>
      <c r="E822" s="55" t="n"/>
      <c r="F822" s="55" t="n"/>
      <c r="G822" s="56" t="n"/>
      <c r="H822" s="57" t="n"/>
      <c r="I822" s="55" t="n"/>
      <c r="J822" s="53" t="n"/>
      <c r="K822" s="54" t="n"/>
      <c r="L822" s="55" t="n"/>
      <c r="M822" s="55" t="n"/>
      <c r="N822" s="57" t="n"/>
      <c r="O822" s="55" t="n"/>
      <c r="P822" s="56" t="n"/>
      <c r="Q822" s="55" t="n"/>
      <c r="R822" s="55" t="n"/>
      <c r="S822" s="55" t="n"/>
      <c r="T822" s="55" t="n"/>
      <c r="U822" s="55" t="n"/>
      <c r="V822" s="55" t="n"/>
      <c r="W822" s="58" t="n"/>
      <c r="X822" s="58" t="n"/>
      <c r="Y822" s="55" t="n"/>
      <c r="Z822" s="55" t="n"/>
      <c r="AA822" s="55" t="n"/>
      <c r="AB822" s="55" t="n"/>
      <c r="AC822" s="55" t="n"/>
      <c r="AD822" s="53" t="n"/>
      <c r="AE822" s="55" t="n"/>
      <c r="AF822" s="55" t="n"/>
      <c r="AG822" s="59" t="n"/>
      <c r="AH822" s="57" t="n"/>
      <c r="AI822" s="55" t="n"/>
      <c r="AJ822" s="55" t="n"/>
      <c r="AK822" s="55" t="n"/>
      <c r="AL822" s="55" t="n"/>
      <c r="AM822" s="56" t="n"/>
      <c r="AN822" s="55" t="n"/>
      <c r="AO822" s="55" t="n"/>
      <c r="AP822" s="55" t="n"/>
      <c r="AQ822" s="55" t="n"/>
      <c r="AR822" s="60">
        <f>IF(AND(C822="",E822=""),"",IF(A822="","⚠ Date manquante",IF(AND(C822="",E822&lt;&gt;"Dépense"),"⚠ Prospect manquant",IF(E822="","⚠ Action manquante",IF(AND(AU822=1,D822=""),"⚠ Canal manquant",IF(AND(W822&lt;&gt;"",COUNTIFS('Saisie'!$W$5:$W$2004,W822,'Saisie'!$C$5:$C$2004,"&lt;&gt;"&amp;C822)&gt;0),"⚠ Numéro déjà utilisé par un autre prospect",IF(AND(J822&lt;&gt;"",J822&lt;A822),"⚠ Relance avant la date de l'action",IF(A822&gt;TODAY(),"⚠ Date dans le futur","✓"))))))))</f>
        <v/>
      </c>
      <c r="AS822" s="61">
        <f>IF(AND(A822="",C822="",E822=""),"",ROW())</f>
        <v/>
      </c>
      <c r="AT822" s="61">
        <f>IF(E822&amp;F822="","",MAX(IFERROR(INDEX('Paramètres'!$J$6:$J$33,MATCH(E822,'Paramètres'!$I$6:$I$33,0)),0),IFERROR(INDEX('Paramètres'!$N$6:$N$17,MATCH(F822,'Paramètres'!$M$6:$M$17,0)),0)))</f>
        <v/>
      </c>
      <c r="AU822" s="61">
        <f>IF(E822="","",IFERROR(IF(INDEX('Paramètres'!$K$6:$K$33,MATCH(E822,'Paramètres'!$I$6:$I$33,0))="Oui",1,0),0))</f>
        <v/>
      </c>
      <c r="AV822" s="61">
        <f>IF(F822="","",IFERROR(IF(INDEX('Paramètres'!$O$6:$O$17,MATCH(F822,'Paramètres'!$M$6:$M$17,0))="Oui",1,0),0))</f>
        <v/>
      </c>
      <c r="AW822" s="62">
        <f>IF(E822="","",IF(G822&lt;&gt;"",G822,IF(OR(E822="Proposition envoyée",E822="Signature"),MAX(0,N(IFERROR(INDEX('Paramètres'!$R$6:$R$15,MATCH(IF(AL822&lt;&gt;"",AL822,IFERROR(INDEX('Prospects'!$AN$5:$AN$504,MATCH(C822,'Prospects'!$C$5:$C$504,0)),"")),'Paramètres'!$Q$6:$Q$15,0)),0))-N(P822)),0)))</f>
        <v/>
      </c>
      <c r="AX822" s="61">
        <f>IF(C822="","",IF(COUNTIF($C$5:C822,C822)=1,MAX($AX$4:AX821)+1,""))</f>
        <v/>
      </c>
      <c r="AY822" s="61">
        <f>IF(B822="","",HOUR(B822))</f>
        <v/>
      </c>
      <c r="AZ822" s="61">
        <f>IF(A822="","",MOD(A822-2,7)+1)</f>
        <v/>
      </c>
      <c r="BA822" s="60">
        <f>IF(C822="","",IFERROR(INDEX('Prospects'!$N$5:$N$504,MATCH(C822,'Prospects'!$C$5:$C$504,0)),""))</f>
        <v/>
      </c>
      <c r="BB822" s="61">
        <f>IF(AND(C822&lt;&gt;"",C822='Fiche prospect'!$C$4),COUNTIF($C$5:C822,C822),"")</f>
        <v/>
      </c>
    </row>
    <row r="823">
      <c r="A823" s="53" t="n"/>
      <c r="B823" s="54" t="n"/>
      <c r="C823" s="55" t="n"/>
      <c r="D823" s="55" t="n"/>
      <c r="E823" s="55" t="n"/>
      <c r="F823" s="55" t="n"/>
      <c r="G823" s="56" t="n"/>
      <c r="H823" s="57" t="n"/>
      <c r="I823" s="55" t="n"/>
      <c r="J823" s="53" t="n"/>
      <c r="K823" s="54" t="n"/>
      <c r="L823" s="55" t="n"/>
      <c r="M823" s="55" t="n"/>
      <c r="N823" s="57" t="n"/>
      <c r="O823" s="55" t="n"/>
      <c r="P823" s="56" t="n"/>
      <c r="Q823" s="55" t="n"/>
      <c r="R823" s="55" t="n"/>
      <c r="S823" s="55" t="n"/>
      <c r="T823" s="55" t="n"/>
      <c r="U823" s="55" t="n"/>
      <c r="V823" s="55" t="n"/>
      <c r="W823" s="58" t="n"/>
      <c r="X823" s="58" t="n"/>
      <c r="Y823" s="55" t="n"/>
      <c r="Z823" s="55" t="n"/>
      <c r="AA823" s="55" t="n"/>
      <c r="AB823" s="55" t="n"/>
      <c r="AC823" s="55" t="n"/>
      <c r="AD823" s="53" t="n"/>
      <c r="AE823" s="55" t="n"/>
      <c r="AF823" s="55" t="n"/>
      <c r="AG823" s="59" t="n"/>
      <c r="AH823" s="57" t="n"/>
      <c r="AI823" s="55" t="n"/>
      <c r="AJ823" s="55" t="n"/>
      <c r="AK823" s="55" t="n"/>
      <c r="AL823" s="55" t="n"/>
      <c r="AM823" s="56" t="n"/>
      <c r="AN823" s="55" t="n"/>
      <c r="AO823" s="55" t="n"/>
      <c r="AP823" s="55" t="n"/>
      <c r="AQ823" s="55" t="n"/>
      <c r="AR823" s="60">
        <f>IF(AND(C823="",E823=""),"",IF(A823="","⚠ Date manquante",IF(AND(C823="",E823&lt;&gt;"Dépense"),"⚠ Prospect manquant",IF(E823="","⚠ Action manquante",IF(AND(AU823=1,D823=""),"⚠ Canal manquant",IF(AND(W823&lt;&gt;"",COUNTIFS('Saisie'!$W$5:$W$2004,W823,'Saisie'!$C$5:$C$2004,"&lt;&gt;"&amp;C823)&gt;0),"⚠ Numéro déjà utilisé par un autre prospect",IF(AND(J823&lt;&gt;"",J823&lt;A823),"⚠ Relance avant la date de l'action",IF(A823&gt;TODAY(),"⚠ Date dans le futur","✓"))))))))</f>
        <v/>
      </c>
      <c r="AS823" s="61">
        <f>IF(AND(A823="",C823="",E823=""),"",ROW())</f>
        <v/>
      </c>
      <c r="AT823" s="61">
        <f>IF(E823&amp;F823="","",MAX(IFERROR(INDEX('Paramètres'!$J$6:$J$33,MATCH(E823,'Paramètres'!$I$6:$I$33,0)),0),IFERROR(INDEX('Paramètres'!$N$6:$N$17,MATCH(F823,'Paramètres'!$M$6:$M$17,0)),0)))</f>
        <v/>
      </c>
      <c r="AU823" s="61">
        <f>IF(E823="","",IFERROR(IF(INDEX('Paramètres'!$K$6:$K$33,MATCH(E823,'Paramètres'!$I$6:$I$33,0))="Oui",1,0),0))</f>
        <v/>
      </c>
      <c r="AV823" s="61">
        <f>IF(F823="","",IFERROR(IF(INDEX('Paramètres'!$O$6:$O$17,MATCH(F823,'Paramètres'!$M$6:$M$17,0))="Oui",1,0),0))</f>
        <v/>
      </c>
      <c r="AW823" s="62">
        <f>IF(E823="","",IF(G823&lt;&gt;"",G823,IF(OR(E823="Proposition envoyée",E823="Signature"),MAX(0,N(IFERROR(INDEX('Paramètres'!$R$6:$R$15,MATCH(IF(AL823&lt;&gt;"",AL823,IFERROR(INDEX('Prospects'!$AN$5:$AN$504,MATCH(C823,'Prospects'!$C$5:$C$504,0)),"")),'Paramètres'!$Q$6:$Q$15,0)),0))-N(P823)),0)))</f>
        <v/>
      </c>
      <c r="AX823" s="61">
        <f>IF(C823="","",IF(COUNTIF($C$5:C823,C823)=1,MAX($AX$4:AX822)+1,""))</f>
        <v/>
      </c>
      <c r="AY823" s="61">
        <f>IF(B823="","",HOUR(B823))</f>
        <v/>
      </c>
      <c r="AZ823" s="61">
        <f>IF(A823="","",MOD(A823-2,7)+1)</f>
        <v/>
      </c>
      <c r="BA823" s="60">
        <f>IF(C823="","",IFERROR(INDEX('Prospects'!$N$5:$N$504,MATCH(C823,'Prospects'!$C$5:$C$504,0)),""))</f>
        <v/>
      </c>
      <c r="BB823" s="61">
        <f>IF(AND(C823&lt;&gt;"",C823='Fiche prospect'!$C$4),COUNTIF($C$5:C823,C823),"")</f>
        <v/>
      </c>
    </row>
    <row r="824">
      <c r="A824" s="53" t="n"/>
      <c r="B824" s="54" t="n"/>
      <c r="C824" s="55" t="n"/>
      <c r="D824" s="55" t="n"/>
      <c r="E824" s="55" t="n"/>
      <c r="F824" s="55" t="n"/>
      <c r="G824" s="56" t="n"/>
      <c r="H824" s="57" t="n"/>
      <c r="I824" s="55" t="n"/>
      <c r="J824" s="53" t="n"/>
      <c r="K824" s="54" t="n"/>
      <c r="L824" s="55" t="n"/>
      <c r="M824" s="55" t="n"/>
      <c r="N824" s="57" t="n"/>
      <c r="O824" s="55" t="n"/>
      <c r="P824" s="56" t="n"/>
      <c r="Q824" s="55" t="n"/>
      <c r="R824" s="55" t="n"/>
      <c r="S824" s="55" t="n"/>
      <c r="T824" s="55" t="n"/>
      <c r="U824" s="55" t="n"/>
      <c r="V824" s="55" t="n"/>
      <c r="W824" s="58" t="n"/>
      <c r="X824" s="58" t="n"/>
      <c r="Y824" s="55" t="n"/>
      <c r="Z824" s="55" t="n"/>
      <c r="AA824" s="55" t="n"/>
      <c r="AB824" s="55" t="n"/>
      <c r="AC824" s="55" t="n"/>
      <c r="AD824" s="53" t="n"/>
      <c r="AE824" s="55" t="n"/>
      <c r="AF824" s="55" t="n"/>
      <c r="AG824" s="59" t="n"/>
      <c r="AH824" s="57" t="n"/>
      <c r="AI824" s="55" t="n"/>
      <c r="AJ824" s="55" t="n"/>
      <c r="AK824" s="55" t="n"/>
      <c r="AL824" s="55" t="n"/>
      <c r="AM824" s="56" t="n"/>
      <c r="AN824" s="55" t="n"/>
      <c r="AO824" s="55" t="n"/>
      <c r="AP824" s="55" t="n"/>
      <c r="AQ824" s="55" t="n"/>
      <c r="AR824" s="60">
        <f>IF(AND(C824="",E824=""),"",IF(A824="","⚠ Date manquante",IF(AND(C824="",E824&lt;&gt;"Dépense"),"⚠ Prospect manquant",IF(E824="","⚠ Action manquante",IF(AND(AU824=1,D824=""),"⚠ Canal manquant",IF(AND(W824&lt;&gt;"",COUNTIFS('Saisie'!$W$5:$W$2004,W824,'Saisie'!$C$5:$C$2004,"&lt;&gt;"&amp;C824)&gt;0),"⚠ Numéro déjà utilisé par un autre prospect",IF(AND(J824&lt;&gt;"",J824&lt;A824),"⚠ Relance avant la date de l'action",IF(A824&gt;TODAY(),"⚠ Date dans le futur","✓"))))))))</f>
        <v/>
      </c>
      <c r="AS824" s="61">
        <f>IF(AND(A824="",C824="",E824=""),"",ROW())</f>
        <v/>
      </c>
      <c r="AT824" s="61">
        <f>IF(E824&amp;F824="","",MAX(IFERROR(INDEX('Paramètres'!$J$6:$J$33,MATCH(E824,'Paramètres'!$I$6:$I$33,0)),0),IFERROR(INDEX('Paramètres'!$N$6:$N$17,MATCH(F824,'Paramètres'!$M$6:$M$17,0)),0)))</f>
        <v/>
      </c>
      <c r="AU824" s="61">
        <f>IF(E824="","",IFERROR(IF(INDEX('Paramètres'!$K$6:$K$33,MATCH(E824,'Paramètres'!$I$6:$I$33,0))="Oui",1,0),0))</f>
        <v/>
      </c>
      <c r="AV824" s="61">
        <f>IF(F824="","",IFERROR(IF(INDEX('Paramètres'!$O$6:$O$17,MATCH(F824,'Paramètres'!$M$6:$M$17,0))="Oui",1,0),0))</f>
        <v/>
      </c>
      <c r="AW824" s="62">
        <f>IF(E824="","",IF(G824&lt;&gt;"",G824,IF(OR(E824="Proposition envoyée",E824="Signature"),MAX(0,N(IFERROR(INDEX('Paramètres'!$R$6:$R$15,MATCH(IF(AL824&lt;&gt;"",AL824,IFERROR(INDEX('Prospects'!$AN$5:$AN$504,MATCH(C824,'Prospects'!$C$5:$C$504,0)),"")),'Paramètres'!$Q$6:$Q$15,0)),0))-N(P824)),0)))</f>
        <v/>
      </c>
      <c r="AX824" s="61">
        <f>IF(C824="","",IF(COUNTIF($C$5:C824,C824)=1,MAX($AX$4:AX823)+1,""))</f>
        <v/>
      </c>
      <c r="AY824" s="61">
        <f>IF(B824="","",HOUR(B824))</f>
        <v/>
      </c>
      <c r="AZ824" s="61">
        <f>IF(A824="","",MOD(A824-2,7)+1)</f>
        <v/>
      </c>
      <c r="BA824" s="60">
        <f>IF(C824="","",IFERROR(INDEX('Prospects'!$N$5:$N$504,MATCH(C824,'Prospects'!$C$5:$C$504,0)),""))</f>
        <v/>
      </c>
      <c r="BB824" s="61">
        <f>IF(AND(C824&lt;&gt;"",C824='Fiche prospect'!$C$4),COUNTIF($C$5:C824,C824),"")</f>
        <v/>
      </c>
    </row>
    <row r="825">
      <c r="A825" s="53" t="n"/>
      <c r="B825" s="54" t="n"/>
      <c r="C825" s="55" t="n"/>
      <c r="D825" s="55" t="n"/>
      <c r="E825" s="55" t="n"/>
      <c r="F825" s="55" t="n"/>
      <c r="G825" s="56" t="n"/>
      <c r="H825" s="57" t="n"/>
      <c r="I825" s="55" t="n"/>
      <c r="J825" s="53" t="n"/>
      <c r="K825" s="54" t="n"/>
      <c r="L825" s="55" t="n"/>
      <c r="M825" s="55" t="n"/>
      <c r="N825" s="57" t="n"/>
      <c r="O825" s="55" t="n"/>
      <c r="P825" s="56" t="n"/>
      <c r="Q825" s="55" t="n"/>
      <c r="R825" s="55" t="n"/>
      <c r="S825" s="55" t="n"/>
      <c r="T825" s="55" t="n"/>
      <c r="U825" s="55" t="n"/>
      <c r="V825" s="55" t="n"/>
      <c r="W825" s="58" t="n"/>
      <c r="X825" s="58" t="n"/>
      <c r="Y825" s="55" t="n"/>
      <c r="Z825" s="55" t="n"/>
      <c r="AA825" s="55" t="n"/>
      <c r="AB825" s="55" t="n"/>
      <c r="AC825" s="55" t="n"/>
      <c r="AD825" s="53" t="n"/>
      <c r="AE825" s="55" t="n"/>
      <c r="AF825" s="55" t="n"/>
      <c r="AG825" s="59" t="n"/>
      <c r="AH825" s="57" t="n"/>
      <c r="AI825" s="55" t="n"/>
      <c r="AJ825" s="55" t="n"/>
      <c r="AK825" s="55" t="n"/>
      <c r="AL825" s="55" t="n"/>
      <c r="AM825" s="56" t="n"/>
      <c r="AN825" s="55" t="n"/>
      <c r="AO825" s="55" t="n"/>
      <c r="AP825" s="55" t="n"/>
      <c r="AQ825" s="55" t="n"/>
      <c r="AR825" s="60">
        <f>IF(AND(C825="",E825=""),"",IF(A825="","⚠ Date manquante",IF(AND(C825="",E825&lt;&gt;"Dépense"),"⚠ Prospect manquant",IF(E825="","⚠ Action manquante",IF(AND(AU825=1,D825=""),"⚠ Canal manquant",IF(AND(W825&lt;&gt;"",COUNTIFS('Saisie'!$W$5:$W$2004,W825,'Saisie'!$C$5:$C$2004,"&lt;&gt;"&amp;C825)&gt;0),"⚠ Numéro déjà utilisé par un autre prospect",IF(AND(J825&lt;&gt;"",J825&lt;A825),"⚠ Relance avant la date de l'action",IF(A825&gt;TODAY(),"⚠ Date dans le futur","✓"))))))))</f>
        <v/>
      </c>
      <c r="AS825" s="61">
        <f>IF(AND(A825="",C825="",E825=""),"",ROW())</f>
        <v/>
      </c>
      <c r="AT825" s="61">
        <f>IF(E825&amp;F825="","",MAX(IFERROR(INDEX('Paramètres'!$J$6:$J$33,MATCH(E825,'Paramètres'!$I$6:$I$33,0)),0),IFERROR(INDEX('Paramètres'!$N$6:$N$17,MATCH(F825,'Paramètres'!$M$6:$M$17,0)),0)))</f>
        <v/>
      </c>
      <c r="AU825" s="61">
        <f>IF(E825="","",IFERROR(IF(INDEX('Paramètres'!$K$6:$K$33,MATCH(E825,'Paramètres'!$I$6:$I$33,0))="Oui",1,0),0))</f>
        <v/>
      </c>
      <c r="AV825" s="61">
        <f>IF(F825="","",IFERROR(IF(INDEX('Paramètres'!$O$6:$O$17,MATCH(F825,'Paramètres'!$M$6:$M$17,0))="Oui",1,0),0))</f>
        <v/>
      </c>
      <c r="AW825" s="62">
        <f>IF(E825="","",IF(G825&lt;&gt;"",G825,IF(OR(E825="Proposition envoyée",E825="Signature"),MAX(0,N(IFERROR(INDEX('Paramètres'!$R$6:$R$15,MATCH(IF(AL825&lt;&gt;"",AL825,IFERROR(INDEX('Prospects'!$AN$5:$AN$504,MATCH(C825,'Prospects'!$C$5:$C$504,0)),"")),'Paramètres'!$Q$6:$Q$15,0)),0))-N(P825)),0)))</f>
        <v/>
      </c>
      <c r="AX825" s="61">
        <f>IF(C825="","",IF(COUNTIF($C$5:C825,C825)=1,MAX($AX$4:AX824)+1,""))</f>
        <v/>
      </c>
      <c r="AY825" s="61">
        <f>IF(B825="","",HOUR(B825))</f>
        <v/>
      </c>
      <c r="AZ825" s="61">
        <f>IF(A825="","",MOD(A825-2,7)+1)</f>
        <v/>
      </c>
      <c r="BA825" s="60">
        <f>IF(C825="","",IFERROR(INDEX('Prospects'!$N$5:$N$504,MATCH(C825,'Prospects'!$C$5:$C$504,0)),""))</f>
        <v/>
      </c>
      <c r="BB825" s="61">
        <f>IF(AND(C825&lt;&gt;"",C825='Fiche prospect'!$C$4),COUNTIF($C$5:C825,C825),"")</f>
        <v/>
      </c>
    </row>
    <row r="826">
      <c r="A826" s="53" t="n"/>
      <c r="B826" s="54" t="n"/>
      <c r="C826" s="55" t="n"/>
      <c r="D826" s="55" t="n"/>
      <c r="E826" s="55" t="n"/>
      <c r="F826" s="55" t="n"/>
      <c r="G826" s="56" t="n"/>
      <c r="H826" s="57" t="n"/>
      <c r="I826" s="55" t="n"/>
      <c r="J826" s="53" t="n"/>
      <c r="K826" s="54" t="n"/>
      <c r="L826" s="55" t="n"/>
      <c r="M826" s="55" t="n"/>
      <c r="N826" s="57" t="n"/>
      <c r="O826" s="55" t="n"/>
      <c r="P826" s="56" t="n"/>
      <c r="Q826" s="55" t="n"/>
      <c r="R826" s="55" t="n"/>
      <c r="S826" s="55" t="n"/>
      <c r="T826" s="55" t="n"/>
      <c r="U826" s="55" t="n"/>
      <c r="V826" s="55" t="n"/>
      <c r="W826" s="58" t="n"/>
      <c r="X826" s="58" t="n"/>
      <c r="Y826" s="55" t="n"/>
      <c r="Z826" s="55" t="n"/>
      <c r="AA826" s="55" t="n"/>
      <c r="AB826" s="55" t="n"/>
      <c r="AC826" s="55" t="n"/>
      <c r="AD826" s="53" t="n"/>
      <c r="AE826" s="55" t="n"/>
      <c r="AF826" s="55" t="n"/>
      <c r="AG826" s="59" t="n"/>
      <c r="AH826" s="57" t="n"/>
      <c r="AI826" s="55" t="n"/>
      <c r="AJ826" s="55" t="n"/>
      <c r="AK826" s="55" t="n"/>
      <c r="AL826" s="55" t="n"/>
      <c r="AM826" s="56" t="n"/>
      <c r="AN826" s="55" t="n"/>
      <c r="AO826" s="55" t="n"/>
      <c r="AP826" s="55" t="n"/>
      <c r="AQ826" s="55" t="n"/>
      <c r="AR826" s="60">
        <f>IF(AND(C826="",E826=""),"",IF(A826="","⚠ Date manquante",IF(AND(C826="",E826&lt;&gt;"Dépense"),"⚠ Prospect manquant",IF(E826="","⚠ Action manquante",IF(AND(AU826=1,D826=""),"⚠ Canal manquant",IF(AND(W826&lt;&gt;"",COUNTIFS('Saisie'!$W$5:$W$2004,W826,'Saisie'!$C$5:$C$2004,"&lt;&gt;"&amp;C826)&gt;0),"⚠ Numéro déjà utilisé par un autre prospect",IF(AND(J826&lt;&gt;"",J826&lt;A826),"⚠ Relance avant la date de l'action",IF(A826&gt;TODAY(),"⚠ Date dans le futur","✓"))))))))</f>
        <v/>
      </c>
      <c r="AS826" s="61">
        <f>IF(AND(A826="",C826="",E826=""),"",ROW())</f>
        <v/>
      </c>
      <c r="AT826" s="61">
        <f>IF(E826&amp;F826="","",MAX(IFERROR(INDEX('Paramètres'!$J$6:$J$33,MATCH(E826,'Paramètres'!$I$6:$I$33,0)),0),IFERROR(INDEX('Paramètres'!$N$6:$N$17,MATCH(F826,'Paramètres'!$M$6:$M$17,0)),0)))</f>
        <v/>
      </c>
      <c r="AU826" s="61">
        <f>IF(E826="","",IFERROR(IF(INDEX('Paramètres'!$K$6:$K$33,MATCH(E826,'Paramètres'!$I$6:$I$33,0))="Oui",1,0),0))</f>
        <v/>
      </c>
      <c r="AV826" s="61">
        <f>IF(F826="","",IFERROR(IF(INDEX('Paramètres'!$O$6:$O$17,MATCH(F826,'Paramètres'!$M$6:$M$17,0))="Oui",1,0),0))</f>
        <v/>
      </c>
      <c r="AW826" s="62">
        <f>IF(E826="","",IF(G826&lt;&gt;"",G826,IF(OR(E826="Proposition envoyée",E826="Signature"),MAX(0,N(IFERROR(INDEX('Paramètres'!$R$6:$R$15,MATCH(IF(AL826&lt;&gt;"",AL826,IFERROR(INDEX('Prospects'!$AN$5:$AN$504,MATCH(C826,'Prospects'!$C$5:$C$504,0)),"")),'Paramètres'!$Q$6:$Q$15,0)),0))-N(P826)),0)))</f>
        <v/>
      </c>
      <c r="AX826" s="61">
        <f>IF(C826="","",IF(COUNTIF($C$5:C826,C826)=1,MAX($AX$4:AX825)+1,""))</f>
        <v/>
      </c>
      <c r="AY826" s="61">
        <f>IF(B826="","",HOUR(B826))</f>
        <v/>
      </c>
      <c r="AZ826" s="61">
        <f>IF(A826="","",MOD(A826-2,7)+1)</f>
        <v/>
      </c>
      <c r="BA826" s="60">
        <f>IF(C826="","",IFERROR(INDEX('Prospects'!$N$5:$N$504,MATCH(C826,'Prospects'!$C$5:$C$504,0)),""))</f>
        <v/>
      </c>
      <c r="BB826" s="61">
        <f>IF(AND(C826&lt;&gt;"",C826='Fiche prospect'!$C$4),COUNTIF($C$5:C826,C826),"")</f>
        <v/>
      </c>
    </row>
    <row r="827">
      <c r="A827" s="53" t="n"/>
      <c r="B827" s="54" t="n"/>
      <c r="C827" s="55" t="n"/>
      <c r="D827" s="55" t="n"/>
      <c r="E827" s="55" t="n"/>
      <c r="F827" s="55" t="n"/>
      <c r="G827" s="56" t="n"/>
      <c r="H827" s="57" t="n"/>
      <c r="I827" s="55" t="n"/>
      <c r="J827" s="53" t="n"/>
      <c r="K827" s="54" t="n"/>
      <c r="L827" s="55" t="n"/>
      <c r="M827" s="55" t="n"/>
      <c r="N827" s="57" t="n"/>
      <c r="O827" s="55" t="n"/>
      <c r="P827" s="56" t="n"/>
      <c r="Q827" s="55" t="n"/>
      <c r="R827" s="55" t="n"/>
      <c r="S827" s="55" t="n"/>
      <c r="T827" s="55" t="n"/>
      <c r="U827" s="55" t="n"/>
      <c r="V827" s="55" t="n"/>
      <c r="W827" s="58" t="n"/>
      <c r="X827" s="58" t="n"/>
      <c r="Y827" s="55" t="n"/>
      <c r="Z827" s="55" t="n"/>
      <c r="AA827" s="55" t="n"/>
      <c r="AB827" s="55" t="n"/>
      <c r="AC827" s="55" t="n"/>
      <c r="AD827" s="53" t="n"/>
      <c r="AE827" s="55" t="n"/>
      <c r="AF827" s="55" t="n"/>
      <c r="AG827" s="59" t="n"/>
      <c r="AH827" s="57" t="n"/>
      <c r="AI827" s="55" t="n"/>
      <c r="AJ827" s="55" t="n"/>
      <c r="AK827" s="55" t="n"/>
      <c r="AL827" s="55" t="n"/>
      <c r="AM827" s="56" t="n"/>
      <c r="AN827" s="55" t="n"/>
      <c r="AO827" s="55" t="n"/>
      <c r="AP827" s="55" t="n"/>
      <c r="AQ827" s="55" t="n"/>
      <c r="AR827" s="60">
        <f>IF(AND(C827="",E827=""),"",IF(A827="","⚠ Date manquante",IF(AND(C827="",E827&lt;&gt;"Dépense"),"⚠ Prospect manquant",IF(E827="","⚠ Action manquante",IF(AND(AU827=1,D827=""),"⚠ Canal manquant",IF(AND(W827&lt;&gt;"",COUNTIFS('Saisie'!$W$5:$W$2004,W827,'Saisie'!$C$5:$C$2004,"&lt;&gt;"&amp;C827)&gt;0),"⚠ Numéro déjà utilisé par un autre prospect",IF(AND(J827&lt;&gt;"",J827&lt;A827),"⚠ Relance avant la date de l'action",IF(A827&gt;TODAY(),"⚠ Date dans le futur","✓"))))))))</f>
        <v/>
      </c>
      <c r="AS827" s="61">
        <f>IF(AND(A827="",C827="",E827=""),"",ROW())</f>
        <v/>
      </c>
      <c r="AT827" s="61">
        <f>IF(E827&amp;F827="","",MAX(IFERROR(INDEX('Paramètres'!$J$6:$J$33,MATCH(E827,'Paramètres'!$I$6:$I$33,0)),0),IFERROR(INDEX('Paramètres'!$N$6:$N$17,MATCH(F827,'Paramètres'!$M$6:$M$17,0)),0)))</f>
        <v/>
      </c>
      <c r="AU827" s="61">
        <f>IF(E827="","",IFERROR(IF(INDEX('Paramètres'!$K$6:$K$33,MATCH(E827,'Paramètres'!$I$6:$I$33,0))="Oui",1,0),0))</f>
        <v/>
      </c>
      <c r="AV827" s="61">
        <f>IF(F827="","",IFERROR(IF(INDEX('Paramètres'!$O$6:$O$17,MATCH(F827,'Paramètres'!$M$6:$M$17,0))="Oui",1,0),0))</f>
        <v/>
      </c>
      <c r="AW827" s="62">
        <f>IF(E827="","",IF(G827&lt;&gt;"",G827,IF(OR(E827="Proposition envoyée",E827="Signature"),MAX(0,N(IFERROR(INDEX('Paramètres'!$R$6:$R$15,MATCH(IF(AL827&lt;&gt;"",AL827,IFERROR(INDEX('Prospects'!$AN$5:$AN$504,MATCH(C827,'Prospects'!$C$5:$C$504,0)),"")),'Paramètres'!$Q$6:$Q$15,0)),0))-N(P827)),0)))</f>
        <v/>
      </c>
      <c r="AX827" s="61">
        <f>IF(C827="","",IF(COUNTIF($C$5:C827,C827)=1,MAX($AX$4:AX826)+1,""))</f>
        <v/>
      </c>
      <c r="AY827" s="61">
        <f>IF(B827="","",HOUR(B827))</f>
        <v/>
      </c>
      <c r="AZ827" s="61">
        <f>IF(A827="","",MOD(A827-2,7)+1)</f>
        <v/>
      </c>
      <c r="BA827" s="60">
        <f>IF(C827="","",IFERROR(INDEX('Prospects'!$N$5:$N$504,MATCH(C827,'Prospects'!$C$5:$C$504,0)),""))</f>
        <v/>
      </c>
      <c r="BB827" s="61">
        <f>IF(AND(C827&lt;&gt;"",C827='Fiche prospect'!$C$4),COUNTIF($C$5:C827,C827),"")</f>
        <v/>
      </c>
    </row>
    <row r="828">
      <c r="A828" s="53" t="n"/>
      <c r="B828" s="54" t="n"/>
      <c r="C828" s="55" t="n"/>
      <c r="D828" s="55" t="n"/>
      <c r="E828" s="55" t="n"/>
      <c r="F828" s="55" t="n"/>
      <c r="G828" s="56" t="n"/>
      <c r="H828" s="57" t="n"/>
      <c r="I828" s="55" t="n"/>
      <c r="J828" s="53" t="n"/>
      <c r="K828" s="54" t="n"/>
      <c r="L828" s="55" t="n"/>
      <c r="M828" s="55" t="n"/>
      <c r="N828" s="57" t="n"/>
      <c r="O828" s="55" t="n"/>
      <c r="P828" s="56" t="n"/>
      <c r="Q828" s="55" t="n"/>
      <c r="R828" s="55" t="n"/>
      <c r="S828" s="55" t="n"/>
      <c r="T828" s="55" t="n"/>
      <c r="U828" s="55" t="n"/>
      <c r="V828" s="55" t="n"/>
      <c r="W828" s="58" t="n"/>
      <c r="X828" s="58" t="n"/>
      <c r="Y828" s="55" t="n"/>
      <c r="Z828" s="55" t="n"/>
      <c r="AA828" s="55" t="n"/>
      <c r="AB828" s="55" t="n"/>
      <c r="AC828" s="55" t="n"/>
      <c r="AD828" s="53" t="n"/>
      <c r="AE828" s="55" t="n"/>
      <c r="AF828" s="55" t="n"/>
      <c r="AG828" s="59" t="n"/>
      <c r="AH828" s="57" t="n"/>
      <c r="AI828" s="55" t="n"/>
      <c r="AJ828" s="55" t="n"/>
      <c r="AK828" s="55" t="n"/>
      <c r="AL828" s="55" t="n"/>
      <c r="AM828" s="56" t="n"/>
      <c r="AN828" s="55" t="n"/>
      <c r="AO828" s="55" t="n"/>
      <c r="AP828" s="55" t="n"/>
      <c r="AQ828" s="55" t="n"/>
      <c r="AR828" s="60">
        <f>IF(AND(C828="",E828=""),"",IF(A828="","⚠ Date manquante",IF(AND(C828="",E828&lt;&gt;"Dépense"),"⚠ Prospect manquant",IF(E828="","⚠ Action manquante",IF(AND(AU828=1,D828=""),"⚠ Canal manquant",IF(AND(W828&lt;&gt;"",COUNTIFS('Saisie'!$W$5:$W$2004,W828,'Saisie'!$C$5:$C$2004,"&lt;&gt;"&amp;C828)&gt;0),"⚠ Numéro déjà utilisé par un autre prospect",IF(AND(J828&lt;&gt;"",J828&lt;A828),"⚠ Relance avant la date de l'action",IF(A828&gt;TODAY(),"⚠ Date dans le futur","✓"))))))))</f>
        <v/>
      </c>
      <c r="AS828" s="61">
        <f>IF(AND(A828="",C828="",E828=""),"",ROW())</f>
        <v/>
      </c>
      <c r="AT828" s="61">
        <f>IF(E828&amp;F828="","",MAX(IFERROR(INDEX('Paramètres'!$J$6:$J$33,MATCH(E828,'Paramètres'!$I$6:$I$33,0)),0),IFERROR(INDEX('Paramètres'!$N$6:$N$17,MATCH(F828,'Paramètres'!$M$6:$M$17,0)),0)))</f>
        <v/>
      </c>
      <c r="AU828" s="61">
        <f>IF(E828="","",IFERROR(IF(INDEX('Paramètres'!$K$6:$K$33,MATCH(E828,'Paramètres'!$I$6:$I$33,0))="Oui",1,0),0))</f>
        <v/>
      </c>
      <c r="AV828" s="61">
        <f>IF(F828="","",IFERROR(IF(INDEX('Paramètres'!$O$6:$O$17,MATCH(F828,'Paramètres'!$M$6:$M$17,0))="Oui",1,0),0))</f>
        <v/>
      </c>
      <c r="AW828" s="62">
        <f>IF(E828="","",IF(G828&lt;&gt;"",G828,IF(OR(E828="Proposition envoyée",E828="Signature"),MAX(0,N(IFERROR(INDEX('Paramètres'!$R$6:$R$15,MATCH(IF(AL828&lt;&gt;"",AL828,IFERROR(INDEX('Prospects'!$AN$5:$AN$504,MATCH(C828,'Prospects'!$C$5:$C$504,0)),"")),'Paramètres'!$Q$6:$Q$15,0)),0))-N(P828)),0)))</f>
        <v/>
      </c>
      <c r="AX828" s="61">
        <f>IF(C828="","",IF(COUNTIF($C$5:C828,C828)=1,MAX($AX$4:AX827)+1,""))</f>
        <v/>
      </c>
      <c r="AY828" s="61">
        <f>IF(B828="","",HOUR(B828))</f>
        <v/>
      </c>
      <c r="AZ828" s="61">
        <f>IF(A828="","",MOD(A828-2,7)+1)</f>
        <v/>
      </c>
      <c r="BA828" s="60">
        <f>IF(C828="","",IFERROR(INDEX('Prospects'!$N$5:$N$504,MATCH(C828,'Prospects'!$C$5:$C$504,0)),""))</f>
        <v/>
      </c>
      <c r="BB828" s="61">
        <f>IF(AND(C828&lt;&gt;"",C828='Fiche prospect'!$C$4),COUNTIF($C$5:C828,C828),"")</f>
        <v/>
      </c>
    </row>
    <row r="829">
      <c r="A829" s="53" t="n"/>
      <c r="B829" s="54" t="n"/>
      <c r="C829" s="55" t="n"/>
      <c r="D829" s="55" t="n"/>
      <c r="E829" s="55" t="n"/>
      <c r="F829" s="55" t="n"/>
      <c r="G829" s="56" t="n"/>
      <c r="H829" s="57" t="n"/>
      <c r="I829" s="55" t="n"/>
      <c r="J829" s="53" t="n"/>
      <c r="K829" s="54" t="n"/>
      <c r="L829" s="55" t="n"/>
      <c r="M829" s="55" t="n"/>
      <c r="N829" s="57" t="n"/>
      <c r="O829" s="55" t="n"/>
      <c r="P829" s="56" t="n"/>
      <c r="Q829" s="55" t="n"/>
      <c r="R829" s="55" t="n"/>
      <c r="S829" s="55" t="n"/>
      <c r="T829" s="55" t="n"/>
      <c r="U829" s="55" t="n"/>
      <c r="V829" s="55" t="n"/>
      <c r="W829" s="58" t="n"/>
      <c r="X829" s="58" t="n"/>
      <c r="Y829" s="55" t="n"/>
      <c r="Z829" s="55" t="n"/>
      <c r="AA829" s="55" t="n"/>
      <c r="AB829" s="55" t="n"/>
      <c r="AC829" s="55" t="n"/>
      <c r="AD829" s="53" t="n"/>
      <c r="AE829" s="55" t="n"/>
      <c r="AF829" s="55" t="n"/>
      <c r="AG829" s="59" t="n"/>
      <c r="AH829" s="57" t="n"/>
      <c r="AI829" s="55" t="n"/>
      <c r="AJ829" s="55" t="n"/>
      <c r="AK829" s="55" t="n"/>
      <c r="AL829" s="55" t="n"/>
      <c r="AM829" s="56" t="n"/>
      <c r="AN829" s="55" t="n"/>
      <c r="AO829" s="55" t="n"/>
      <c r="AP829" s="55" t="n"/>
      <c r="AQ829" s="55" t="n"/>
      <c r="AR829" s="60">
        <f>IF(AND(C829="",E829=""),"",IF(A829="","⚠ Date manquante",IF(AND(C829="",E829&lt;&gt;"Dépense"),"⚠ Prospect manquant",IF(E829="","⚠ Action manquante",IF(AND(AU829=1,D829=""),"⚠ Canal manquant",IF(AND(W829&lt;&gt;"",COUNTIFS('Saisie'!$W$5:$W$2004,W829,'Saisie'!$C$5:$C$2004,"&lt;&gt;"&amp;C829)&gt;0),"⚠ Numéro déjà utilisé par un autre prospect",IF(AND(J829&lt;&gt;"",J829&lt;A829),"⚠ Relance avant la date de l'action",IF(A829&gt;TODAY(),"⚠ Date dans le futur","✓"))))))))</f>
        <v/>
      </c>
      <c r="AS829" s="61">
        <f>IF(AND(A829="",C829="",E829=""),"",ROW())</f>
        <v/>
      </c>
      <c r="AT829" s="61">
        <f>IF(E829&amp;F829="","",MAX(IFERROR(INDEX('Paramètres'!$J$6:$J$33,MATCH(E829,'Paramètres'!$I$6:$I$33,0)),0),IFERROR(INDEX('Paramètres'!$N$6:$N$17,MATCH(F829,'Paramètres'!$M$6:$M$17,0)),0)))</f>
        <v/>
      </c>
      <c r="AU829" s="61">
        <f>IF(E829="","",IFERROR(IF(INDEX('Paramètres'!$K$6:$K$33,MATCH(E829,'Paramètres'!$I$6:$I$33,0))="Oui",1,0),0))</f>
        <v/>
      </c>
      <c r="AV829" s="61">
        <f>IF(F829="","",IFERROR(IF(INDEX('Paramètres'!$O$6:$O$17,MATCH(F829,'Paramètres'!$M$6:$M$17,0))="Oui",1,0),0))</f>
        <v/>
      </c>
      <c r="AW829" s="62">
        <f>IF(E829="","",IF(G829&lt;&gt;"",G829,IF(OR(E829="Proposition envoyée",E829="Signature"),MAX(0,N(IFERROR(INDEX('Paramètres'!$R$6:$R$15,MATCH(IF(AL829&lt;&gt;"",AL829,IFERROR(INDEX('Prospects'!$AN$5:$AN$504,MATCH(C829,'Prospects'!$C$5:$C$504,0)),"")),'Paramètres'!$Q$6:$Q$15,0)),0))-N(P829)),0)))</f>
        <v/>
      </c>
      <c r="AX829" s="61">
        <f>IF(C829="","",IF(COUNTIF($C$5:C829,C829)=1,MAX($AX$4:AX828)+1,""))</f>
        <v/>
      </c>
      <c r="AY829" s="61">
        <f>IF(B829="","",HOUR(B829))</f>
        <v/>
      </c>
      <c r="AZ829" s="61">
        <f>IF(A829="","",MOD(A829-2,7)+1)</f>
        <v/>
      </c>
      <c r="BA829" s="60">
        <f>IF(C829="","",IFERROR(INDEX('Prospects'!$N$5:$N$504,MATCH(C829,'Prospects'!$C$5:$C$504,0)),""))</f>
        <v/>
      </c>
      <c r="BB829" s="61">
        <f>IF(AND(C829&lt;&gt;"",C829='Fiche prospect'!$C$4),COUNTIF($C$5:C829,C829),"")</f>
        <v/>
      </c>
    </row>
    <row r="830">
      <c r="A830" s="53" t="n"/>
      <c r="B830" s="54" t="n"/>
      <c r="C830" s="55" t="n"/>
      <c r="D830" s="55" t="n"/>
      <c r="E830" s="55" t="n"/>
      <c r="F830" s="55" t="n"/>
      <c r="G830" s="56" t="n"/>
      <c r="H830" s="57" t="n"/>
      <c r="I830" s="55" t="n"/>
      <c r="J830" s="53" t="n"/>
      <c r="K830" s="54" t="n"/>
      <c r="L830" s="55" t="n"/>
      <c r="M830" s="55" t="n"/>
      <c r="N830" s="57" t="n"/>
      <c r="O830" s="55" t="n"/>
      <c r="P830" s="56" t="n"/>
      <c r="Q830" s="55" t="n"/>
      <c r="R830" s="55" t="n"/>
      <c r="S830" s="55" t="n"/>
      <c r="T830" s="55" t="n"/>
      <c r="U830" s="55" t="n"/>
      <c r="V830" s="55" t="n"/>
      <c r="W830" s="58" t="n"/>
      <c r="X830" s="58" t="n"/>
      <c r="Y830" s="55" t="n"/>
      <c r="Z830" s="55" t="n"/>
      <c r="AA830" s="55" t="n"/>
      <c r="AB830" s="55" t="n"/>
      <c r="AC830" s="55" t="n"/>
      <c r="AD830" s="53" t="n"/>
      <c r="AE830" s="55" t="n"/>
      <c r="AF830" s="55" t="n"/>
      <c r="AG830" s="59" t="n"/>
      <c r="AH830" s="57" t="n"/>
      <c r="AI830" s="55" t="n"/>
      <c r="AJ830" s="55" t="n"/>
      <c r="AK830" s="55" t="n"/>
      <c r="AL830" s="55" t="n"/>
      <c r="AM830" s="56" t="n"/>
      <c r="AN830" s="55" t="n"/>
      <c r="AO830" s="55" t="n"/>
      <c r="AP830" s="55" t="n"/>
      <c r="AQ830" s="55" t="n"/>
      <c r="AR830" s="60">
        <f>IF(AND(C830="",E830=""),"",IF(A830="","⚠ Date manquante",IF(AND(C830="",E830&lt;&gt;"Dépense"),"⚠ Prospect manquant",IF(E830="","⚠ Action manquante",IF(AND(AU830=1,D830=""),"⚠ Canal manquant",IF(AND(W830&lt;&gt;"",COUNTIFS('Saisie'!$W$5:$W$2004,W830,'Saisie'!$C$5:$C$2004,"&lt;&gt;"&amp;C830)&gt;0),"⚠ Numéro déjà utilisé par un autre prospect",IF(AND(J830&lt;&gt;"",J830&lt;A830),"⚠ Relance avant la date de l'action",IF(A830&gt;TODAY(),"⚠ Date dans le futur","✓"))))))))</f>
        <v/>
      </c>
      <c r="AS830" s="61">
        <f>IF(AND(A830="",C830="",E830=""),"",ROW())</f>
        <v/>
      </c>
      <c r="AT830" s="61">
        <f>IF(E830&amp;F830="","",MAX(IFERROR(INDEX('Paramètres'!$J$6:$J$33,MATCH(E830,'Paramètres'!$I$6:$I$33,0)),0),IFERROR(INDEX('Paramètres'!$N$6:$N$17,MATCH(F830,'Paramètres'!$M$6:$M$17,0)),0)))</f>
        <v/>
      </c>
      <c r="AU830" s="61">
        <f>IF(E830="","",IFERROR(IF(INDEX('Paramètres'!$K$6:$K$33,MATCH(E830,'Paramètres'!$I$6:$I$33,0))="Oui",1,0),0))</f>
        <v/>
      </c>
      <c r="AV830" s="61">
        <f>IF(F830="","",IFERROR(IF(INDEX('Paramètres'!$O$6:$O$17,MATCH(F830,'Paramètres'!$M$6:$M$17,0))="Oui",1,0),0))</f>
        <v/>
      </c>
      <c r="AW830" s="62">
        <f>IF(E830="","",IF(G830&lt;&gt;"",G830,IF(OR(E830="Proposition envoyée",E830="Signature"),MAX(0,N(IFERROR(INDEX('Paramètres'!$R$6:$R$15,MATCH(IF(AL830&lt;&gt;"",AL830,IFERROR(INDEX('Prospects'!$AN$5:$AN$504,MATCH(C830,'Prospects'!$C$5:$C$504,0)),"")),'Paramètres'!$Q$6:$Q$15,0)),0))-N(P830)),0)))</f>
        <v/>
      </c>
      <c r="AX830" s="61">
        <f>IF(C830="","",IF(COUNTIF($C$5:C830,C830)=1,MAX($AX$4:AX829)+1,""))</f>
        <v/>
      </c>
      <c r="AY830" s="61">
        <f>IF(B830="","",HOUR(B830))</f>
        <v/>
      </c>
      <c r="AZ830" s="61">
        <f>IF(A830="","",MOD(A830-2,7)+1)</f>
        <v/>
      </c>
      <c r="BA830" s="60">
        <f>IF(C830="","",IFERROR(INDEX('Prospects'!$N$5:$N$504,MATCH(C830,'Prospects'!$C$5:$C$504,0)),""))</f>
        <v/>
      </c>
      <c r="BB830" s="61">
        <f>IF(AND(C830&lt;&gt;"",C830='Fiche prospect'!$C$4),COUNTIF($C$5:C830,C830),"")</f>
        <v/>
      </c>
    </row>
    <row r="831">
      <c r="A831" s="53" t="n"/>
      <c r="B831" s="54" t="n"/>
      <c r="C831" s="55" t="n"/>
      <c r="D831" s="55" t="n"/>
      <c r="E831" s="55" t="n"/>
      <c r="F831" s="55" t="n"/>
      <c r="G831" s="56" t="n"/>
      <c r="H831" s="57" t="n"/>
      <c r="I831" s="55" t="n"/>
      <c r="J831" s="53" t="n"/>
      <c r="K831" s="54" t="n"/>
      <c r="L831" s="55" t="n"/>
      <c r="M831" s="55" t="n"/>
      <c r="N831" s="57" t="n"/>
      <c r="O831" s="55" t="n"/>
      <c r="P831" s="56" t="n"/>
      <c r="Q831" s="55" t="n"/>
      <c r="R831" s="55" t="n"/>
      <c r="S831" s="55" t="n"/>
      <c r="T831" s="55" t="n"/>
      <c r="U831" s="55" t="n"/>
      <c r="V831" s="55" t="n"/>
      <c r="W831" s="58" t="n"/>
      <c r="X831" s="58" t="n"/>
      <c r="Y831" s="55" t="n"/>
      <c r="Z831" s="55" t="n"/>
      <c r="AA831" s="55" t="n"/>
      <c r="AB831" s="55" t="n"/>
      <c r="AC831" s="55" t="n"/>
      <c r="AD831" s="53" t="n"/>
      <c r="AE831" s="55" t="n"/>
      <c r="AF831" s="55" t="n"/>
      <c r="AG831" s="59" t="n"/>
      <c r="AH831" s="57" t="n"/>
      <c r="AI831" s="55" t="n"/>
      <c r="AJ831" s="55" t="n"/>
      <c r="AK831" s="55" t="n"/>
      <c r="AL831" s="55" t="n"/>
      <c r="AM831" s="56" t="n"/>
      <c r="AN831" s="55" t="n"/>
      <c r="AO831" s="55" t="n"/>
      <c r="AP831" s="55" t="n"/>
      <c r="AQ831" s="55" t="n"/>
      <c r="AR831" s="60">
        <f>IF(AND(C831="",E831=""),"",IF(A831="","⚠ Date manquante",IF(AND(C831="",E831&lt;&gt;"Dépense"),"⚠ Prospect manquant",IF(E831="","⚠ Action manquante",IF(AND(AU831=1,D831=""),"⚠ Canal manquant",IF(AND(W831&lt;&gt;"",COUNTIFS('Saisie'!$W$5:$W$2004,W831,'Saisie'!$C$5:$C$2004,"&lt;&gt;"&amp;C831)&gt;0),"⚠ Numéro déjà utilisé par un autre prospect",IF(AND(J831&lt;&gt;"",J831&lt;A831),"⚠ Relance avant la date de l'action",IF(A831&gt;TODAY(),"⚠ Date dans le futur","✓"))))))))</f>
        <v/>
      </c>
      <c r="AS831" s="61">
        <f>IF(AND(A831="",C831="",E831=""),"",ROW())</f>
        <v/>
      </c>
      <c r="AT831" s="61">
        <f>IF(E831&amp;F831="","",MAX(IFERROR(INDEX('Paramètres'!$J$6:$J$33,MATCH(E831,'Paramètres'!$I$6:$I$33,0)),0),IFERROR(INDEX('Paramètres'!$N$6:$N$17,MATCH(F831,'Paramètres'!$M$6:$M$17,0)),0)))</f>
        <v/>
      </c>
      <c r="AU831" s="61">
        <f>IF(E831="","",IFERROR(IF(INDEX('Paramètres'!$K$6:$K$33,MATCH(E831,'Paramètres'!$I$6:$I$33,0))="Oui",1,0),0))</f>
        <v/>
      </c>
      <c r="AV831" s="61">
        <f>IF(F831="","",IFERROR(IF(INDEX('Paramètres'!$O$6:$O$17,MATCH(F831,'Paramètres'!$M$6:$M$17,0))="Oui",1,0),0))</f>
        <v/>
      </c>
      <c r="AW831" s="62">
        <f>IF(E831="","",IF(G831&lt;&gt;"",G831,IF(OR(E831="Proposition envoyée",E831="Signature"),MAX(0,N(IFERROR(INDEX('Paramètres'!$R$6:$R$15,MATCH(IF(AL831&lt;&gt;"",AL831,IFERROR(INDEX('Prospects'!$AN$5:$AN$504,MATCH(C831,'Prospects'!$C$5:$C$504,0)),"")),'Paramètres'!$Q$6:$Q$15,0)),0))-N(P831)),0)))</f>
        <v/>
      </c>
      <c r="AX831" s="61">
        <f>IF(C831="","",IF(COUNTIF($C$5:C831,C831)=1,MAX($AX$4:AX830)+1,""))</f>
        <v/>
      </c>
      <c r="AY831" s="61">
        <f>IF(B831="","",HOUR(B831))</f>
        <v/>
      </c>
      <c r="AZ831" s="61">
        <f>IF(A831="","",MOD(A831-2,7)+1)</f>
        <v/>
      </c>
      <c r="BA831" s="60">
        <f>IF(C831="","",IFERROR(INDEX('Prospects'!$N$5:$N$504,MATCH(C831,'Prospects'!$C$5:$C$504,0)),""))</f>
        <v/>
      </c>
      <c r="BB831" s="61">
        <f>IF(AND(C831&lt;&gt;"",C831='Fiche prospect'!$C$4),COUNTIF($C$5:C831,C831),"")</f>
        <v/>
      </c>
    </row>
    <row r="832">
      <c r="A832" s="53" t="n"/>
      <c r="B832" s="54" t="n"/>
      <c r="C832" s="55" t="n"/>
      <c r="D832" s="55" t="n"/>
      <c r="E832" s="55" t="n"/>
      <c r="F832" s="55" t="n"/>
      <c r="G832" s="56" t="n"/>
      <c r="H832" s="57" t="n"/>
      <c r="I832" s="55" t="n"/>
      <c r="J832" s="53" t="n"/>
      <c r="K832" s="54" t="n"/>
      <c r="L832" s="55" t="n"/>
      <c r="M832" s="55" t="n"/>
      <c r="N832" s="57" t="n"/>
      <c r="O832" s="55" t="n"/>
      <c r="P832" s="56" t="n"/>
      <c r="Q832" s="55" t="n"/>
      <c r="R832" s="55" t="n"/>
      <c r="S832" s="55" t="n"/>
      <c r="T832" s="55" t="n"/>
      <c r="U832" s="55" t="n"/>
      <c r="V832" s="55" t="n"/>
      <c r="W832" s="58" t="n"/>
      <c r="X832" s="58" t="n"/>
      <c r="Y832" s="55" t="n"/>
      <c r="Z832" s="55" t="n"/>
      <c r="AA832" s="55" t="n"/>
      <c r="AB832" s="55" t="n"/>
      <c r="AC832" s="55" t="n"/>
      <c r="AD832" s="53" t="n"/>
      <c r="AE832" s="55" t="n"/>
      <c r="AF832" s="55" t="n"/>
      <c r="AG832" s="59" t="n"/>
      <c r="AH832" s="57" t="n"/>
      <c r="AI832" s="55" t="n"/>
      <c r="AJ832" s="55" t="n"/>
      <c r="AK832" s="55" t="n"/>
      <c r="AL832" s="55" t="n"/>
      <c r="AM832" s="56" t="n"/>
      <c r="AN832" s="55" t="n"/>
      <c r="AO832" s="55" t="n"/>
      <c r="AP832" s="55" t="n"/>
      <c r="AQ832" s="55" t="n"/>
      <c r="AR832" s="60">
        <f>IF(AND(C832="",E832=""),"",IF(A832="","⚠ Date manquante",IF(AND(C832="",E832&lt;&gt;"Dépense"),"⚠ Prospect manquant",IF(E832="","⚠ Action manquante",IF(AND(AU832=1,D832=""),"⚠ Canal manquant",IF(AND(W832&lt;&gt;"",COUNTIFS('Saisie'!$W$5:$W$2004,W832,'Saisie'!$C$5:$C$2004,"&lt;&gt;"&amp;C832)&gt;0),"⚠ Numéro déjà utilisé par un autre prospect",IF(AND(J832&lt;&gt;"",J832&lt;A832),"⚠ Relance avant la date de l'action",IF(A832&gt;TODAY(),"⚠ Date dans le futur","✓"))))))))</f>
        <v/>
      </c>
      <c r="AS832" s="61">
        <f>IF(AND(A832="",C832="",E832=""),"",ROW())</f>
        <v/>
      </c>
      <c r="AT832" s="61">
        <f>IF(E832&amp;F832="","",MAX(IFERROR(INDEX('Paramètres'!$J$6:$J$33,MATCH(E832,'Paramètres'!$I$6:$I$33,0)),0),IFERROR(INDEX('Paramètres'!$N$6:$N$17,MATCH(F832,'Paramètres'!$M$6:$M$17,0)),0)))</f>
        <v/>
      </c>
      <c r="AU832" s="61">
        <f>IF(E832="","",IFERROR(IF(INDEX('Paramètres'!$K$6:$K$33,MATCH(E832,'Paramètres'!$I$6:$I$33,0))="Oui",1,0),0))</f>
        <v/>
      </c>
      <c r="AV832" s="61">
        <f>IF(F832="","",IFERROR(IF(INDEX('Paramètres'!$O$6:$O$17,MATCH(F832,'Paramètres'!$M$6:$M$17,0))="Oui",1,0),0))</f>
        <v/>
      </c>
      <c r="AW832" s="62">
        <f>IF(E832="","",IF(G832&lt;&gt;"",G832,IF(OR(E832="Proposition envoyée",E832="Signature"),MAX(0,N(IFERROR(INDEX('Paramètres'!$R$6:$R$15,MATCH(IF(AL832&lt;&gt;"",AL832,IFERROR(INDEX('Prospects'!$AN$5:$AN$504,MATCH(C832,'Prospects'!$C$5:$C$504,0)),"")),'Paramètres'!$Q$6:$Q$15,0)),0))-N(P832)),0)))</f>
        <v/>
      </c>
      <c r="AX832" s="61">
        <f>IF(C832="","",IF(COUNTIF($C$5:C832,C832)=1,MAX($AX$4:AX831)+1,""))</f>
        <v/>
      </c>
      <c r="AY832" s="61">
        <f>IF(B832="","",HOUR(B832))</f>
        <v/>
      </c>
      <c r="AZ832" s="61">
        <f>IF(A832="","",MOD(A832-2,7)+1)</f>
        <v/>
      </c>
      <c r="BA832" s="60">
        <f>IF(C832="","",IFERROR(INDEX('Prospects'!$N$5:$N$504,MATCH(C832,'Prospects'!$C$5:$C$504,0)),""))</f>
        <v/>
      </c>
      <c r="BB832" s="61">
        <f>IF(AND(C832&lt;&gt;"",C832='Fiche prospect'!$C$4),COUNTIF($C$5:C832,C832),"")</f>
        <v/>
      </c>
    </row>
    <row r="833">
      <c r="A833" s="53" t="n"/>
      <c r="B833" s="54" t="n"/>
      <c r="C833" s="55" t="n"/>
      <c r="D833" s="55" t="n"/>
      <c r="E833" s="55" t="n"/>
      <c r="F833" s="55" t="n"/>
      <c r="G833" s="56" t="n"/>
      <c r="H833" s="57" t="n"/>
      <c r="I833" s="55" t="n"/>
      <c r="J833" s="53" t="n"/>
      <c r="K833" s="54" t="n"/>
      <c r="L833" s="55" t="n"/>
      <c r="M833" s="55" t="n"/>
      <c r="N833" s="57" t="n"/>
      <c r="O833" s="55" t="n"/>
      <c r="P833" s="56" t="n"/>
      <c r="Q833" s="55" t="n"/>
      <c r="R833" s="55" t="n"/>
      <c r="S833" s="55" t="n"/>
      <c r="T833" s="55" t="n"/>
      <c r="U833" s="55" t="n"/>
      <c r="V833" s="55" t="n"/>
      <c r="W833" s="58" t="n"/>
      <c r="X833" s="58" t="n"/>
      <c r="Y833" s="55" t="n"/>
      <c r="Z833" s="55" t="n"/>
      <c r="AA833" s="55" t="n"/>
      <c r="AB833" s="55" t="n"/>
      <c r="AC833" s="55" t="n"/>
      <c r="AD833" s="53" t="n"/>
      <c r="AE833" s="55" t="n"/>
      <c r="AF833" s="55" t="n"/>
      <c r="AG833" s="59" t="n"/>
      <c r="AH833" s="57" t="n"/>
      <c r="AI833" s="55" t="n"/>
      <c r="AJ833" s="55" t="n"/>
      <c r="AK833" s="55" t="n"/>
      <c r="AL833" s="55" t="n"/>
      <c r="AM833" s="56" t="n"/>
      <c r="AN833" s="55" t="n"/>
      <c r="AO833" s="55" t="n"/>
      <c r="AP833" s="55" t="n"/>
      <c r="AQ833" s="55" t="n"/>
      <c r="AR833" s="60">
        <f>IF(AND(C833="",E833=""),"",IF(A833="","⚠ Date manquante",IF(AND(C833="",E833&lt;&gt;"Dépense"),"⚠ Prospect manquant",IF(E833="","⚠ Action manquante",IF(AND(AU833=1,D833=""),"⚠ Canal manquant",IF(AND(W833&lt;&gt;"",COUNTIFS('Saisie'!$W$5:$W$2004,W833,'Saisie'!$C$5:$C$2004,"&lt;&gt;"&amp;C833)&gt;0),"⚠ Numéro déjà utilisé par un autre prospect",IF(AND(J833&lt;&gt;"",J833&lt;A833),"⚠ Relance avant la date de l'action",IF(A833&gt;TODAY(),"⚠ Date dans le futur","✓"))))))))</f>
        <v/>
      </c>
      <c r="AS833" s="61">
        <f>IF(AND(A833="",C833="",E833=""),"",ROW())</f>
        <v/>
      </c>
      <c r="AT833" s="61">
        <f>IF(E833&amp;F833="","",MAX(IFERROR(INDEX('Paramètres'!$J$6:$J$33,MATCH(E833,'Paramètres'!$I$6:$I$33,0)),0),IFERROR(INDEX('Paramètres'!$N$6:$N$17,MATCH(F833,'Paramètres'!$M$6:$M$17,0)),0)))</f>
        <v/>
      </c>
      <c r="AU833" s="61">
        <f>IF(E833="","",IFERROR(IF(INDEX('Paramètres'!$K$6:$K$33,MATCH(E833,'Paramètres'!$I$6:$I$33,0))="Oui",1,0),0))</f>
        <v/>
      </c>
      <c r="AV833" s="61">
        <f>IF(F833="","",IFERROR(IF(INDEX('Paramètres'!$O$6:$O$17,MATCH(F833,'Paramètres'!$M$6:$M$17,0))="Oui",1,0),0))</f>
        <v/>
      </c>
      <c r="AW833" s="62">
        <f>IF(E833="","",IF(G833&lt;&gt;"",G833,IF(OR(E833="Proposition envoyée",E833="Signature"),MAX(0,N(IFERROR(INDEX('Paramètres'!$R$6:$R$15,MATCH(IF(AL833&lt;&gt;"",AL833,IFERROR(INDEX('Prospects'!$AN$5:$AN$504,MATCH(C833,'Prospects'!$C$5:$C$504,0)),"")),'Paramètres'!$Q$6:$Q$15,0)),0))-N(P833)),0)))</f>
        <v/>
      </c>
      <c r="AX833" s="61">
        <f>IF(C833="","",IF(COUNTIF($C$5:C833,C833)=1,MAX($AX$4:AX832)+1,""))</f>
        <v/>
      </c>
      <c r="AY833" s="61">
        <f>IF(B833="","",HOUR(B833))</f>
        <v/>
      </c>
      <c r="AZ833" s="61">
        <f>IF(A833="","",MOD(A833-2,7)+1)</f>
        <v/>
      </c>
      <c r="BA833" s="60">
        <f>IF(C833="","",IFERROR(INDEX('Prospects'!$N$5:$N$504,MATCH(C833,'Prospects'!$C$5:$C$504,0)),""))</f>
        <v/>
      </c>
      <c r="BB833" s="61">
        <f>IF(AND(C833&lt;&gt;"",C833='Fiche prospect'!$C$4),COUNTIF($C$5:C833,C833),"")</f>
        <v/>
      </c>
    </row>
    <row r="834">
      <c r="A834" s="53" t="n"/>
      <c r="B834" s="54" t="n"/>
      <c r="C834" s="55" t="n"/>
      <c r="D834" s="55" t="n"/>
      <c r="E834" s="55" t="n"/>
      <c r="F834" s="55" t="n"/>
      <c r="G834" s="56" t="n"/>
      <c r="H834" s="57" t="n"/>
      <c r="I834" s="55" t="n"/>
      <c r="J834" s="53" t="n"/>
      <c r="K834" s="54" t="n"/>
      <c r="L834" s="55" t="n"/>
      <c r="M834" s="55" t="n"/>
      <c r="N834" s="57" t="n"/>
      <c r="O834" s="55" t="n"/>
      <c r="P834" s="56" t="n"/>
      <c r="Q834" s="55" t="n"/>
      <c r="R834" s="55" t="n"/>
      <c r="S834" s="55" t="n"/>
      <c r="T834" s="55" t="n"/>
      <c r="U834" s="55" t="n"/>
      <c r="V834" s="55" t="n"/>
      <c r="W834" s="58" t="n"/>
      <c r="X834" s="58" t="n"/>
      <c r="Y834" s="55" t="n"/>
      <c r="Z834" s="55" t="n"/>
      <c r="AA834" s="55" t="n"/>
      <c r="AB834" s="55" t="n"/>
      <c r="AC834" s="55" t="n"/>
      <c r="AD834" s="53" t="n"/>
      <c r="AE834" s="55" t="n"/>
      <c r="AF834" s="55" t="n"/>
      <c r="AG834" s="59" t="n"/>
      <c r="AH834" s="57" t="n"/>
      <c r="AI834" s="55" t="n"/>
      <c r="AJ834" s="55" t="n"/>
      <c r="AK834" s="55" t="n"/>
      <c r="AL834" s="55" t="n"/>
      <c r="AM834" s="56" t="n"/>
      <c r="AN834" s="55" t="n"/>
      <c r="AO834" s="55" t="n"/>
      <c r="AP834" s="55" t="n"/>
      <c r="AQ834" s="55" t="n"/>
      <c r="AR834" s="60">
        <f>IF(AND(C834="",E834=""),"",IF(A834="","⚠ Date manquante",IF(AND(C834="",E834&lt;&gt;"Dépense"),"⚠ Prospect manquant",IF(E834="","⚠ Action manquante",IF(AND(AU834=1,D834=""),"⚠ Canal manquant",IF(AND(W834&lt;&gt;"",COUNTIFS('Saisie'!$W$5:$W$2004,W834,'Saisie'!$C$5:$C$2004,"&lt;&gt;"&amp;C834)&gt;0),"⚠ Numéro déjà utilisé par un autre prospect",IF(AND(J834&lt;&gt;"",J834&lt;A834),"⚠ Relance avant la date de l'action",IF(A834&gt;TODAY(),"⚠ Date dans le futur","✓"))))))))</f>
        <v/>
      </c>
      <c r="AS834" s="61">
        <f>IF(AND(A834="",C834="",E834=""),"",ROW())</f>
        <v/>
      </c>
      <c r="AT834" s="61">
        <f>IF(E834&amp;F834="","",MAX(IFERROR(INDEX('Paramètres'!$J$6:$J$33,MATCH(E834,'Paramètres'!$I$6:$I$33,0)),0),IFERROR(INDEX('Paramètres'!$N$6:$N$17,MATCH(F834,'Paramètres'!$M$6:$M$17,0)),0)))</f>
        <v/>
      </c>
      <c r="AU834" s="61">
        <f>IF(E834="","",IFERROR(IF(INDEX('Paramètres'!$K$6:$K$33,MATCH(E834,'Paramètres'!$I$6:$I$33,0))="Oui",1,0),0))</f>
        <v/>
      </c>
      <c r="AV834" s="61">
        <f>IF(F834="","",IFERROR(IF(INDEX('Paramètres'!$O$6:$O$17,MATCH(F834,'Paramètres'!$M$6:$M$17,0))="Oui",1,0),0))</f>
        <v/>
      </c>
      <c r="AW834" s="62">
        <f>IF(E834="","",IF(G834&lt;&gt;"",G834,IF(OR(E834="Proposition envoyée",E834="Signature"),MAX(0,N(IFERROR(INDEX('Paramètres'!$R$6:$R$15,MATCH(IF(AL834&lt;&gt;"",AL834,IFERROR(INDEX('Prospects'!$AN$5:$AN$504,MATCH(C834,'Prospects'!$C$5:$C$504,0)),"")),'Paramètres'!$Q$6:$Q$15,0)),0))-N(P834)),0)))</f>
        <v/>
      </c>
      <c r="AX834" s="61">
        <f>IF(C834="","",IF(COUNTIF($C$5:C834,C834)=1,MAX($AX$4:AX833)+1,""))</f>
        <v/>
      </c>
      <c r="AY834" s="61">
        <f>IF(B834="","",HOUR(B834))</f>
        <v/>
      </c>
      <c r="AZ834" s="61">
        <f>IF(A834="","",MOD(A834-2,7)+1)</f>
        <v/>
      </c>
      <c r="BA834" s="60">
        <f>IF(C834="","",IFERROR(INDEX('Prospects'!$N$5:$N$504,MATCH(C834,'Prospects'!$C$5:$C$504,0)),""))</f>
        <v/>
      </c>
      <c r="BB834" s="61">
        <f>IF(AND(C834&lt;&gt;"",C834='Fiche prospect'!$C$4),COUNTIF($C$5:C834,C834),"")</f>
        <v/>
      </c>
    </row>
    <row r="835">
      <c r="A835" s="53" t="n"/>
      <c r="B835" s="54" t="n"/>
      <c r="C835" s="55" t="n"/>
      <c r="D835" s="55" t="n"/>
      <c r="E835" s="55" t="n"/>
      <c r="F835" s="55" t="n"/>
      <c r="G835" s="56" t="n"/>
      <c r="H835" s="57" t="n"/>
      <c r="I835" s="55" t="n"/>
      <c r="J835" s="53" t="n"/>
      <c r="K835" s="54" t="n"/>
      <c r="L835" s="55" t="n"/>
      <c r="M835" s="55" t="n"/>
      <c r="N835" s="57" t="n"/>
      <c r="O835" s="55" t="n"/>
      <c r="P835" s="56" t="n"/>
      <c r="Q835" s="55" t="n"/>
      <c r="R835" s="55" t="n"/>
      <c r="S835" s="55" t="n"/>
      <c r="T835" s="55" t="n"/>
      <c r="U835" s="55" t="n"/>
      <c r="V835" s="55" t="n"/>
      <c r="W835" s="58" t="n"/>
      <c r="X835" s="58" t="n"/>
      <c r="Y835" s="55" t="n"/>
      <c r="Z835" s="55" t="n"/>
      <c r="AA835" s="55" t="n"/>
      <c r="AB835" s="55" t="n"/>
      <c r="AC835" s="55" t="n"/>
      <c r="AD835" s="53" t="n"/>
      <c r="AE835" s="55" t="n"/>
      <c r="AF835" s="55" t="n"/>
      <c r="AG835" s="59" t="n"/>
      <c r="AH835" s="57" t="n"/>
      <c r="AI835" s="55" t="n"/>
      <c r="AJ835" s="55" t="n"/>
      <c r="AK835" s="55" t="n"/>
      <c r="AL835" s="55" t="n"/>
      <c r="AM835" s="56" t="n"/>
      <c r="AN835" s="55" t="n"/>
      <c r="AO835" s="55" t="n"/>
      <c r="AP835" s="55" t="n"/>
      <c r="AQ835" s="55" t="n"/>
      <c r="AR835" s="60">
        <f>IF(AND(C835="",E835=""),"",IF(A835="","⚠ Date manquante",IF(AND(C835="",E835&lt;&gt;"Dépense"),"⚠ Prospect manquant",IF(E835="","⚠ Action manquante",IF(AND(AU835=1,D835=""),"⚠ Canal manquant",IF(AND(W835&lt;&gt;"",COUNTIFS('Saisie'!$W$5:$W$2004,W835,'Saisie'!$C$5:$C$2004,"&lt;&gt;"&amp;C835)&gt;0),"⚠ Numéro déjà utilisé par un autre prospect",IF(AND(J835&lt;&gt;"",J835&lt;A835),"⚠ Relance avant la date de l'action",IF(A835&gt;TODAY(),"⚠ Date dans le futur","✓"))))))))</f>
        <v/>
      </c>
      <c r="AS835" s="61">
        <f>IF(AND(A835="",C835="",E835=""),"",ROW())</f>
        <v/>
      </c>
      <c r="AT835" s="61">
        <f>IF(E835&amp;F835="","",MAX(IFERROR(INDEX('Paramètres'!$J$6:$J$33,MATCH(E835,'Paramètres'!$I$6:$I$33,0)),0),IFERROR(INDEX('Paramètres'!$N$6:$N$17,MATCH(F835,'Paramètres'!$M$6:$M$17,0)),0)))</f>
        <v/>
      </c>
      <c r="AU835" s="61">
        <f>IF(E835="","",IFERROR(IF(INDEX('Paramètres'!$K$6:$K$33,MATCH(E835,'Paramètres'!$I$6:$I$33,0))="Oui",1,0),0))</f>
        <v/>
      </c>
      <c r="AV835" s="61">
        <f>IF(F835="","",IFERROR(IF(INDEX('Paramètres'!$O$6:$O$17,MATCH(F835,'Paramètres'!$M$6:$M$17,0))="Oui",1,0),0))</f>
        <v/>
      </c>
      <c r="AW835" s="62">
        <f>IF(E835="","",IF(G835&lt;&gt;"",G835,IF(OR(E835="Proposition envoyée",E835="Signature"),MAX(0,N(IFERROR(INDEX('Paramètres'!$R$6:$R$15,MATCH(IF(AL835&lt;&gt;"",AL835,IFERROR(INDEX('Prospects'!$AN$5:$AN$504,MATCH(C835,'Prospects'!$C$5:$C$504,0)),"")),'Paramètres'!$Q$6:$Q$15,0)),0))-N(P835)),0)))</f>
        <v/>
      </c>
      <c r="AX835" s="61">
        <f>IF(C835="","",IF(COUNTIF($C$5:C835,C835)=1,MAX($AX$4:AX834)+1,""))</f>
        <v/>
      </c>
      <c r="AY835" s="61">
        <f>IF(B835="","",HOUR(B835))</f>
        <v/>
      </c>
      <c r="AZ835" s="61">
        <f>IF(A835="","",MOD(A835-2,7)+1)</f>
        <v/>
      </c>
      <c r="BA835" s="60">
        <f>IF(C835="","",IFERROR(INDEX('Prospects'!$N$5:$N$504,MATCH(C835,'Prospects'!$C$5:$C$504,0)),""))</f>
        <v/>
      </c>
      <c r="BB835" s="61">
        <f>IF(AND(C835&lt;&gt;"",C835='Fiche prospect'!$C$4),COUNTIF($C$5:C835,C835),"")</f>
        <v/>
      </c>
    </row>
    <row r="836">
      <c r="A836" s="53" t="n"/>
      <c r="B836" s="54" t="n"/>
      <c r="C836" s="55" t="n"/>
      <c r="D836" s="55" t="n"/>
      <c r="E836" s="55" t="n"/>
      <c r="F836" s="55" t="n"/>
      <c r="G836" s="56" t="n"/>
      <c r="H836" s="57" t="n"/>
      <c r="I836" s="55" t="n"/>
      <c r="J836" s="53" t="n"/>
      <c r="K836" s="54" t="n"/>
      <c r="L836" s="55" t="n"/>
      <c r="M836" s="55" t="n"/>
      <c r="N836" s="57" t="n"/>
      <c r="O836" s="55" t="n"/>
      <c r="P836" s="56" t="n"/>
      <c r="Q836" s="55" t="n"/>
      <c r="R836" s="55" t="n"/>
      <c r="S836" s="55" t="n"/>
      <c r="T836" s="55" t="n"/>
      <c r="U836" s="55" t="n"/>
      <c r="V836" s="55" t="n"/>
      <c r="W836" s="58" t="n"/>
      <c r="X836" s="58" t="n"/>
      <c r="Y836" s="55" t="n"/>
      <c r="Z836" s="55" t="n"/>
      <c r="AA836" s="55" t="n"/>
      <c r="AB836" s="55" t="n"/>
      <c r="AC836" s="55" t="n"/>
      <c r="AD836" s="53" t="n"/>
      <c r="AE836" s="55" t="n"/>
      <c r="AF836" s="55" t="n"/>
      <c r="AG836" s="59" t="n"/>
      <c r="AH836" s="57" t="n"/>
      <c r="AI836" s="55" t="n"/>
      <c r="AJ836" s="55" t="n"/>
      <c r="AK836" s="55" t="n"/>
      <c r="AL836" s="55" t="n"/>
      <c r="AM836" s="56" t="n"/>
      <c r="AN836" s="55" t="n"/>
      <c r="AO836" s="55" t="n"/>
      <c r="AP836" s="55" t="n"/>
      <c r="AQ836" s="55" t="n"/>
      <c r="AR836" s="60">
        <f>IF(AND(C836="",E836=""),"",IF(A836="","⚠ Date manquante",IF(AND(C836="",E836&lt;&gt;"Dépense"),"⚠ Prospect manquant",IF(E836="","⚠ Action manquante",IF(AND(AU836=1,D836=""),"⚠ Canal manquant",IF(AND(W836&lt;&gt;"",COUNTIFS('Saisie'!$W$5:$W$2004,W836,'Saisie'!$C$5:$C$2004,"&lt;&gt;"&amp;C836)&gt;0),"⚠ Numéro déjà utilisé par un autre prospect",IF(AND(J836&lt;&gt;"",J836&lt;A836),"⚠ Relance avant la date de l'action",IF(A836&gt;TODAY(),"⚠ Date dans le futur","✓"))))))))</f>
        <v/>
      </c>
      <c r="AS836" s="61">
        <f>IF(AND(A836="",C836="",E836=""),"",ROW())</f>
        <v/>
      </c>
      <c r="AT836" s="61">
        <f>IF(E836&amp;F836="","",MAX(IFERROR(INDEX('Paramètres'!$J$6:$J$33,MATCH(E836,'Paramètres'!$I$6:$I$33,0)),0),IFERROR(INDEX('Paramètres'!$N$6:$N$17,MATCH(F836,'Paramètres'!$M$6:$M$17,0)),0)))</f>
        <v/>
      </c>
      <c r="AU836" s="61">
        <f>IF(E836="","",IFERROR(IF(INDEX('Paramètres'!$K$6:$K$33,MATCH(E836,'Paramètres'!$I$6:$I$33,0))="Oui",1,0),0))</f>
        <v/>
      </c>
      <c r="AV836" s="61">
        <f>IF(F836="","",IFERROR(IF(INDEX('Paramètres'!$O$6:$O$17,MATCH(F836,'Paramètres'!$M$6:$M$17,0))="Oui",1,0),0))</f>
        <v/>
      </c>
      <c r="AW836" s="62">
        <f>IF(E836="","",IF(G836&lt;&gt;"",G836,IF(OR(E836="Proposition envoyée",E836="Signature"),MAX(0,N(IFERROR(INDEX('Paramètres'!$R$6:$R$15,MATCH(IF(AL836&lt;&gt;"",AL836,IFERROR(INDEX('Prospects'!$AN$5:$AN$504,MATCH(C836,'Prospects'!$C$5:$C$504,0)),"")),'Paramètres'!$Q$6:$Q$15,0)),0))-N(P836)),0)))</f>
        <v/>
      </c>
      <c r="AX836" s="61">
        <f>IF(C836="","",IF(COUNTIF($C$5:C836,C836)=1,MAX($AX$4:AX835)+1,""))</f>
        <v/>
      </c>
      <c r="AY836" s="61">
        <f>IF(B836="","",HOUR(B836))</f>
        <v/>
      </c>
      <c r="AZ836" s="61">
        <f>IF(A836="","",MOD(A836-2,7)+1)</f>
        <v/>
      </c>
      <c r="BA836" s="60">
        <f>IF(C836="","",IFERROR(INDEX('Prospects'!$N$5:$N$504,MATCH(C836,'Prospects'!$C$5:$C$504,0)),""))</f>
        <v/>
      </c>
      <c r="BB836" s="61">
        <f>IF(AND(C836&lt;&gt;"",C836='Fiche prospect'!$C$4),COUNTIF($C$5:C836,C836),"")</f>
        <v/>
      </c>
    </row>
    <row r="837">
      <c r="A837" s="53" t="n"/>
      <c r="B837" s="54" t="n"/>
      <c r="C837" s="55" t="n"/>
      <c r="D837" s="55" t="n"/>
      <c r="E837" s="55" t="n"/>
      <c r="F837" s="55" t="n"/>
      <c r="G837" s="56" t="n"/>
      <c r="H837" s="57" t="n"/>
      <c r="I837" s="55" t="n"/>
      <c r="J837" s="53" t="n"/>
      <c r="K837" s="54" t="n"/>
      <c r="L837" s="55" t="n"/>
      <c r="M837" s="55" t="n"/>
      <c r="N837" s="57" t="n"/>
      <c r="O837" s="55" t="n"/>
      <c r="P837" s="56" t="n"/>
      <c r="Q837" s="55" t="n"/>
      <c r="R837" s="55" t="n"/>
      <c r="S837" s="55" t="n"/>
      <c r="T837" s="55" t="n"/>
      <c r="U837" s="55" t="n"/>
      <c r="V837" s="55" t="n"/>
      <c r="W837" s="58" t="n"/>
      <c r="X837" s="58" t="n"/>
      <c r="Y837" s="55" t="n"/>
      <c r="Z837" s="55" t="n"/>
      <c r="AA837" s="55" t="n"/>
      <c r="AB837" s="55" t="n"/>
      <c r="AC837" s="55" t="n"/>
      <c r="AD837" s="53" t="n"/>
      <c r="AE837" s="55" t="n"/>
      <c r="AF837" s="55" t="n"/>
      <c r="AG837" s="59" t="n"/>
      <c r="AH837" s="57" t="n"/>
      <c r="AI837" s="55" t="n"/>
      <c r="AJ837" s="55" t="n"/>
      <c r="AK837" s="55" t="n"/>
      <c r="AL837" s="55" t="n"/>
      <c r="AM837" s="56" t="n"/>
      <c r="AN837" s="55" t="n"/>
      <c r="AO837" s="55" t="n"/>
      <c r="AP837" s="55" t="n"/>
      <c r="AQ837" s="55" t="n"/>
      <c r="AR837" s="60">
        <f>IF(AND(C837="",E837=""),"",IF(A837="","⚠ Date manquante",IF(AND(C837="",E837&lt;&gt;"Dépense"),"⚠ Prospect manquant",IF(E837="","⚠ Action manquante",IF(AND(AU837=1,D837=""),"⚠ Canal manquant",IF(AND(W837&lt;&gt;"",COUNTIFS('Saisie'!$W$5:$W$2004,W837,'Saisie'!$C$5:$C$2004,"&lt;&gt;"&amp;C837)&gt;0),"⚠ Numéro déjà utilisé par un autre prospect",IF(AND(J837&lt;&gt;"",J837&lt;A837),"⚠ Relance avant la date de l'action",IF(A837&gt;TODAY(),"⚠ Date dans le futur","✓"))))))))</f>
        <v/>
      </c>
      <c r="AS837" s="61">
        <f>IF(AND(A837="",C837="",E837=""),"",ROW())</f>
        <v/>
      </c>
      <c r="AT837" s="61">
        <f>IF(E837&amp;F837="","",MAX(IFERROR(INDEX('Paramètres'!$J$6:$J$33,MATCH(E837,'Paramètres'!$I$6:$I$33,0)),0),IFERROR(INDEX('Paramètres'!$N$6:$N$17,MATCH(F837,'Paramètres'!$M$6:$M$17,0)),0)))</f>
        <v/>
      </c>
      <c r="AU837" s="61">
        <f>IF(E837="","",IFERROR(IF(INDEX('Paramètres'!$K$6:$K$33,MATCH(E837,'Paramètres'!$I$6:$I$33,0))="Oui",1,0),0))</f>
        <v/>
      </c>
      <c r="AV837" s="61">
        <f>IF(F837="","",IFERROR(IF(INDEX('Paramètres'!$O$6:$O$17,MATCH(F837,'Paramètres'!$M$6:$M$17,0))="Oui",1,0),0))</f>
        <v/>
      </c>
      <c r="AW837" s="62">
        <f>IF(E837="","",IF(G837&lt;&gt;"",G837,IF(OR(E837="Proposition envoyée",E837="Signature"),MAX(0,N(IFERROR(INDEX('Paramètres'!$R$6:$R$15,MATCH(IF(AL837&lt;&gt;"",AL837,IFERROR(INDEX('Prospects'!$AN$5:$AN$504,MATCH(C837,'Prospects'!$C$5:$C$504,0)),"")),'Paramètres'!$Q$6:$Q$15,0)),0))-N(P837)),0)))</f>
        <v/>
      </c>
      <c r="AX837" s="61">
        <f>IF(C837="","",IF(COUNTIF($C$5:C837,C837)=1,MAX($AX$4:AX836)+1,""))</f>
        <v/>
      </c>
      <c r="AY837" s="61">
        <f>IF(B837="","",HOUR(B837))</f>
        <v/>
      </c>
      <c r="AZ837" s="61">
        <f>IF(A837="","",MOD(A837-2,7)+1)</f>
        <v/>
      </c>
      <c r="BA837" s="60">
        <f>IF(C837="","",IFERROR(INDEX('Prospects'!$N$5:$N$504,MATCH(C837,'Prospects'!$C$5:$C$504,0)),""))</f>
        <v/>
      </c>
      <c r="BB837" s="61">
        <f>IF(AND(C837&lt;&gt;"",C837='Fiche prospect'!$C$4),COUNTIF($C$5:C837,C837),"")</f>
        <v/>
      </c>
    </row>
    <row r="838">
      <c r="A838" s="53" t="n"/>
      <c r="B838" s="54" t="n"/>
      <c r="C838" s="55" t="n"/>
      <c r="D838" s="55" t="n"/>
      <c r="E838" s="55" t="n"/>
      <c r="F838" s="55" t="n"/>
      <c r="G838" s="56" t="n"/>
      <c r="H838" s="57" t="n"/>
      <c r="I838" s="55" t="n"/>
      <c r="J838" s="53" t="n"/>
      <c r="K838" s="54" t="n"/>
      <c r="L838" s="55" t="n"/>
      <c r="M838" s="55" t="n"/>
      <c r="N838" s="57" t="n"/>
      <c r="O838" s="55" t="n"/>
      <c r="P838" s="56" t="n"/>
      <c r="Q838" s="55" t="n"/>
      <c r="R838" s="55" t="n"/>
      <c r="S838" s="55" t="n"/>
      <c r="T838" s="55" t="n"/>
      <c r="U838" s="55" t="n"/>
      <c r="V838" s="55" t="n"/>
      <c r="W838" s="58" t="n"/>
      <c r="X838" s="58" t="n"/>
      <c r="Y838" s="55" t="n"/>
      <c r="Z838" s="55" t="n"/>
      <c r="AA838" s="55" t="n"/>
      <c r="AB838" s="55" t="n"/>
      <c r="AC838" s="55" t="n"/>
      <c r="AD838" s="53" t="n"/>
      <c r="AE838" s="55" t="n"/>
      <c r="AF838" s="55" t="n"/>
      <c r="AG838" s="59" t="n"/>
      <c r="AH838" s="57" t="n"/>
      <c r="AI838" s="55" t="n"/>
      <c r="AJ838" s="55" t="n"/>
      <c r="AK838" s="55" t="n"/>
      <c r="AL838" s="55" t="n"/>
      <c r="AM838" s="56" t="n"/>
      <c r="AN838" s="55" t="n"/>
      <c r="AO838" s="55" t="n"/>
      <c r="AP838" s="55" t="n"/>
      <c r="AQ838" s="55" t="n"/>
      <c r="AR838" s="60">
        <f>IF(AND(C838="",E838=""),"",IF(A838="","⚠ Date manquante",IF(AND(C838="",E838&lt;&gt;"Dépense"),"⚠ Prospect manquant",IF(E838="","⚠ Action manquante",IF(AND(AU838=1,D838=""),"⚠ Canal manquant",IF(AND(W838&lt;&gt;"",COUNTIFS('Saisie'!$W$5:$W$2004,W838,'Saisie'!$C$5:$C$2004,"&lt;&gt;"&amp;C838)&gt;0),"⚠ Numéro déjà utilisé par un autre prospect",IF(AND(J838&lt;&gt;"",J838&lt;A838),"⚠ Relance avant la date de l'action",IF(A838&gt;TODAY(),"⚠ Date dans le futur","✓"))))))))</f>
        <v/>
      </c>
      <c r="AS838" s="61">
        <f>IF(AND(A838="",C838="",E838=""),"",ROW())</f>
        <v/>
      </c>
      <c r="AT838" s="61">
        <f>IF(E838&amp;F838="","",MAX(IFERROR(INDEX('Paramètres'!$J$6:$J$33,MATCH(E838,'Paramètres'!$I$6:$I$33,0)),0),IFERROR(INDEX('Paramètres'!$N$6:$N$17,MATCH(F838,'Paramètres'!$M$6:$M$17,0)),0)))</f>
        <v/>
      </c>
      <c r="AU838" s="61">
        <f>IF(E838="","",IFERROR(IF(INDEX('Paramètres'!$K$6:$K$33,MATCH(E838,'Paramètres'!$I$6:$I$33,0))="Oui",1,0),0))</f>
        <v/>
      </c>
      <c r="AV838" s="61">
        <f>IF(F838="","",IFERROR(IF(INDEX('Paramètres'!$O$6:$O$17,MATCH(F838,'Paramètres'!$M$6:$M$17,0))="Oui",1,0),0))</f>
        <v/>
      </c>
      <c r="AW838" s="62">
        <f>IF(E838="","",IF(G838&lt;&gt;"",G838,IF(OR(E838="Proposition envoyée",E838="Signature"),MAX(0,N(IFERROR(INDEX('Paramètres'!$R$6:$R$15,MATCH(IF(AL838&lt;&gt;"",AL838,IFERROR(INDEX('Prospects'!$AN$5:$AN$504,MATCH(C838,'Prospects'!$C$5:$C$504,0)),"")),'Paramètres'!$Q$6:$Q$15,0)),0))-N(P838)),0)))</f>
        <v/>
      </c>
      <c r="AX838" s="61">
        <f>IF(C838="","",IF(COUNTIF($C$5:C838,C838)=1,MAX($AX$4:AX837)+1,""))</f>
        <v/>
      </c>
      <c r="AY838" s="61">
        <f>IF(B838="","",HOUR(B838))</f>
        <v/>
      </c>
      <c r="AZ838" s="61">
        <f>IF(A838="","",MOD(A838-2,7)+1)</f>
        <v/>
      </c>
      <c r="BA838" s="60">
        <f>IF(C838="","",IFERROR(INDEX('Prospects'!$N$5:$N$504,MATCH(C838,'Prospects'!$C$5:$C$504,0)),""))</f>
        <v/>
      </c>
      <c r="BB838" s="61">
        <f>IF(AND(C838&lt;&gt;"",C838='Fiche prospect'!$C$4),COUNTIF($C$5:C838,C838),"")</f>
        <v/>
      </c>
    </row>
    <row r="839">
      <c r="A839" s="53" t="n"/>
      <c r="B839" s="54" t="n"/>
      <c r="C839" s="55" t="n"/>
      <c r="D839" s="55" t="n"/>
      <c r="E839" s="55" t="n"/>
      <c r="F839" s="55" t="n"/>
      <c r="G839" s="56" t="n"/>
      <c r="H839" s="57" t="n"/>
      <c r="I839" s="55" t="n"/>
      <c r="J839" s="53" t="n"/>
      <c r="K839" s="54" t="n"/>
      <c r="L839" s="55" t="n"/>
      <c r="M839" s="55" t="n"/>
      <c r="N839" s="57" t="n"/>
      <c r="O839" s="55" t="n"/>
      <c r="P839" s="56" t="n"/>
      <c r="Q839" s="55" t="n"/>
      <c r="R839" s="55" t="n"/>
      <c r="S839" s="55" t="n"/>
      <c r="T839" s="55" t="n"/>
      <c r="U839" s="55" t="n"/>
      <c r="V839" s="55" t="n"/>
      <c r="W839" s="58" t="n"/>
      <c r="X839" s="58" t="n"/>
      <c r="Y839" s="55" t="n"/>
      <c r="Z839" s="55" t="n"/>
      <c r="AA839" s="55" t="n"/>
      <c r="AB839" s="55" t="n"/>
      <c r="AC839" s="55" t="n"/>
      <c r="AD839" s="53" t="n"/>
      <c r="AE839" s="55" t="n"/>
      <c r="AF839" s="55" t="n"/>
      <c r="AG839" s="59" t="n"/>
      <c r="AH839" s="57" t="n"/>
      <c r="AI839" s="55" t="n"/>
      <c r="AJ839" s="55" t="n"/>
      <c r="AK839" s="55" t="n"/>
      <c r="AL839" s="55" t="n"/>
      <c r="AM839" s="56" t="n"/>
      <c r="AN839" s="55" t="n"/>
      <c r="AO839" s="55" t="n"/>
      <c r="AP839" s="55" t="n"/>
      <c r="AQ839" s="55" t="n"/>
      <c r="AR839" s="60">
        <f>IF(AND(C839="",E839=""),"",IF(A839="","⚠ Date manquante",IF(AND(C839="",E839&lt;&gt;"Dépense"),"⚠ Prospect manquant",IF(E839="","⚠ Action manquante",IF(AND(AU839=1,D839=""),"⚠ Canal manquant",IF(AND(W839&lt;&gt;"",COUNTIFS('Saisie'!$W$5:$W$2004,W839,'Saisie'!$C$5:$C$2004,"&lt;&gt;"&amp;C839)&gt;0),"⚠ Numéro déjà utilisé par un autre prospect",IF(AND(J839&lt;&gt;"",J839&lt;A839),"⚠ Relance avant la date de l'action",IF(A839&gt;TODAY(),"⚠ Date dans le futur","✓"))))))))</f>
        <v/>
      </c>
      <c r="AS839" s="61">
        <f>IF(AND(A839="",C839="",E839=""),"",ROW())</f>
        <v/>
      </c>
      <c r="AT839" s="61">
        <f>IF(E839&amp;F839="","",MAX(IFERROR(INDEX('Paramètres'!$J$6:$J$33,MATCH(E839,'Paramètres'!$I$6:$I$33,0)),0),IFERROR(INDEX('Paramètres'!$N$6:$N$17,MATCH(F839,'Paramètres'!$M$6:$M$17,0)),0)))</f>
        <v/>
      </c>
      <c r="AU839" s="61">
        <f>IF(E839="","",IFERROR(IF(INDEX('Paramètres'!$K$6:$K$33,MATCH(E839,'Paramètres'!$I$6:$I$33,0))="Oui",1,0),0))</f>
        <v/>
      </c>
      <c r="AV839" s="61">
        <f>IF(F839="","",IFERROR(IF(INDEX('Paramètres'!$O$6:$O$17,MATCH(F839,'Paramètres'!$M$6:$M$17,0))="Oui",1,0),0))</f>
        <v/>
      </c>
      <c r="AW839" s="62">
        <f>IF(E839="","",IF(G839&lt;&gt;"",G839,IF(OR(E839="Proposition envoyée",E839="Signature"),MAX(0,N(IFERROR(INDEX('Paramètres'!$R$6:$R$15,MATCH(IF(AL839&lt;&gt;"",AL839,IFERROR(INDEX('Prospects'!$AN$5:$AN$504,MATCH(C839,'Prospects'!$C$5:$C$504,0)),"")),'Paramètres'!$Q$6:$Q$15,0)),0))-N(P839)),0)))</f>
        <v/>
      </c>
      <c r="AX839" s="61">
        <f>IF(C839="","",IF(COUNTIF($C$5:C839,C839)=1,MAX($AX$4:AX838)+1,""))</f>
        <v/>
      </c>
      <c r="AY839" s="61">
        <f>IF(B839="","",HOUR(B839))</f>
        <v/>
      </c>
      <c r="AZ839" s="61">
        <f>IF(A839="","",MOD(A839-2,7)+1)</f>
        <v/>
      </c>
      <c r="BA839" s="60">
        <f>IF(C839="","",IFERROR(INDEX('Prospects'!$N$5:$N$504,MATCH(C839,'Prospects'!$C$5:$C$504,0)),""))</f>
        <v/>
      </c>
      <c r="BB839" s="61">
        <f>IF(AND(C839&lt;&gt;"",C839='Fiche prospect'!$C$4),COUNTIF($C$5:C839,C839),"")</f>
        <v/>
      </c>
    </row>
    <row r="840">
      <c r="A840" s="53" t="n"/>
      <c r="B840" s="54" t="n"/>
      <c r="C840" s="55" t="n"/>
      <c r="D840" s="55" t="n"/>
      <c r="E840" s="55" t="n"/>
      <c r="F840" s="55" t="n"/>
      <c r="G840" s="56" t="n"/>
      <c r="H840" s="57" t="n"/>
      <c r="I840" s="55" t="n"/>
      <c r="J840" s="53" t="n"/>
      <c r="K840" s="54" t="n"/>
      <c r="L840" s="55" t="n"/>
      <c r="M840" s="55" t="n"/>
      <c r="N840" s="57" t="n"/>
      <c r="O840" s="55" t="n"/>
      <c r="P840" s="56" t="n"/>
      <c r="Q840" s="55" t="n"/>
      <c r="R840" s="55" t="n"/>
      <c r="S840" s="55" t="n"/>
      <c r="T840" s="55" t="n"/>
      <c r="U840" s="55" t="n"/>
      <c r="V840" s="55" t="n"/>
      <c r="W840" s="58" t="n"/>
      <c r="X840" s="58" t="n"/>
      <c r="Y840" s="55" t="n"/>
      <c r="Z840" s="55" t="n"/>
      <c r="AA840" s="55" t="n"/>
      <c r="AB840" s="55" t="n"/>
      <c r="AC840" s="55" t="n"/>
      <c r="AD840" s="53" t="n"/>
      <c r="AE840" s="55" t="n"/>
      <c r="AF840" s="55" t="n"/>
      <c r="AG840" s="59" t="n"/>
      <c r="AH840" s="57" t="n"/>
      <c r="AI840" s="55" t="n"/>
      <c r="AJ840" s="55" t="n"/>
      <c r="AK840" s="55" t="n"/>
      <c r="AL840" s="55" t="n"/>
      <c r="AM840" s="56" t="n"/>
      <c r="AN840" s="55" t="n"/>
      <c r="AO840" s="55" t="n"/>
      <c r="AP840" s="55" t="n"/>
      <c r="AQ840" s="55" t="n"/>
      <c r="AR840" s="60">
        <f>IF(AND(C840="",E840=""),"",IF(A840="","⚠ Date manquante",IF(AND(C840="",E840&lt;&gt;"Dépense"),"⚠ Prospect manquant",IF(E840="","⚠ Action manquante",IF(AND(AU840=1,D840=""),"⚠ Canal manquant",IF(AND(W840&lt;&gt;"",COUNTIFS('Saisie'!$W$5:$W$2004,W840,'Saisie'!$C$5:$C$2004,"&lt;&gt;"&amp;C840)&gt;0),"⚠ Numéro déjà utilisé par un autre prospect",IF(AND(J840&lt;&gt;"",J840&lt;A840),"⚠ Relance avant la date de l'action",IF(A840&gt;TODAY(),"⚠ Date dans le futur","✓"))))))))</f>
        <v/>
      </c>
      <c r="AS840" s="61">
        <f>IF(AND(A840="",C840="",E840=""),"",ROW())</f>
        <v/>
      </c>
      <c r="AT840" s="61">
        <f>IF(E840&amp;F840="","",MAX(IFERROR(INDEX('Paramètres'!$J$6:$J$33,MATCH(E840,'Paramètres'!$I$6:$I$33,0)),0),IFERROR(INDEX('Paramètres'!$N$6:$N$17,MATCH(F840,'Paramètres'!$M$6:$M$17,0)),0)))</f>
        <v/>
      </c>
      <c r="AU840" s="61">
        <f>IF(E840="","",IFERROR(IF(INDEX('Paramètres'!$K$6:$K$33,MATCH(E840,'Paramètres'!$I$6:$I$33,0))="Oui",1,0),0))</f>
        <v/>
      </c>
      <c r="AV840" s="61">
        <f>IF(F840="","",IFERROR(IF(INDEX('Paramètres'!$O$6:$O$17,MATCH(F840,'Paramètres'!$M$6:$M$17,0))="Oui",1,0),0))</f>
        <v/>
      </c>
      <c r="AW840" s="62">
        <f>IF(E840="","",IF(G840&lt;&gt;"",G840,IF(OR(E840="Proposition envoyée",E840="Signature"),MAX(0,N(IFERROR(INDEX('Paramètres'!$R$6:$R$15,MATCH(IF(AL840&lt;&gt;"",AL840,IFERROR(INDEX('Prospects'!$AN$5:$AN$504,MATCH(C840,'Prospects'!$C$5:$C$504,0)),"")),'Paramètres'!$Q$6:$Q$15,0)),0))-N(P840)),0)))</f>
        <v/>
      </c>
      <c r="AX840" s="61">
        <f>IF(C840="","",IF(COUNTIF($C$5:C840,C840)=1,MAX($AX$4:AX839)+1,""))</f>
        <v/>
      </c>
      <c r="AY840" s="61">
        <f>IF(B840="","",HOUR(B840))</f>
        <v/>
      </c>
      <c r="AZ840" s="61">
        <f>IF(A840="","",MOD(A840-2,7)+1)</f>
        <v/>
      </c>
      <c r="BA840" s="60">
        <f>IF(C840="","",IFERROR(INDEX('Prospects'!$N$5:$N$504,MATCH(C840,'Prospects'!$C$5:$C$504,0)),""))</f>
        <v/>
      </c>
      <c r="BB840" s="61">
        <f>IF(AND(C840&lt;&gt;"",C840='Fiche prospect'!$C$4),COUNTIF($C$5:C840,C840),"")</f>
        <v/>
      </c>
    </row>
    <row r="841">
      <c r="A841" s="53" t="n"/>
      <c r="B841" s="54" t="n"/>
      <c r="C841" s="55" t="n"/>
      <c r="D841" s="55" t="n"/>
      <c r="E841" s="55" t="n"/>
      <c r="F841" s="55" t="n"/>
      <c r="G841" s="56" t="n"/>
      <c r="H841" s="57" t="n"/>
      <c r="I841" s="55" t="n"/>
      <c r="J841" s="53" t="n"/>
      <c r="K841" s="54" t="n"/>
      <c r="L841" s="55" t="n"/>
      <c r="M841" s="55" t="n"/>
      <c r="N841" s="57" t="n"/>
      <c r="O841" s="55" t="n"/>
      <c r="P841" s="56" t="n"/>
      <c r="Q841" s="55" t="n"/>
      <c r="R841" s="55" t="n"/>
      <c r="S841" s="55" t="n"/>
      <c r="T841" s="55" t="n"/>
      <c r="U841" s="55" t="n"/>
      <c r="V841" s="55" t="n"/>
      <c r="W841" s="58" t="n"/>
      <c r="X841" s="58" t="n"/>
      <c r="Y841" s="55" t="n"/>
      <c r="Z841" s="55" t="n"/>
      <c r="AA841" s="55" t="n"/>
      <c r="AB841" s="55" t="n"/>
      <c r="AC841" s="55" t="n"/>
      <c r="AD841" s="53" t="n"/>
      <c r="AE841" s="55" t="n"/>
      <c r="AF841" s="55" t="n"/>
      <c r="AG841" s="59" t="n"/>
      <c r="AH841" s="57" t="n"/>
      <c r="AI841" s="55" t="n"/>
      <c r="AJ841" s="55" t="n"/>
      <c r="AK841" s="55" t="n"/>
      <c r="AL841" s="55" t="n"/>
      <c r="AM841" s="56" t="n"/>
      <c r="AN841" s="55" t="n"/>
      <c r="AO841" s="55" t="n"/>
      <c r="AP841" s="55" t="n"/>
      <c r="AQ841" s="55" t="n"/>
      <c r="AR841" s="60">
        <f>IF(AND(C841="",E841=""),"",IF(A841="","⚠ Date manquante",IF(AND(C841="",E841&lt;&gt;"Dépense"),"⚠ Prospect manquant",IF(E841="","⚠ Action manquante",IF(AND(AU841=1,D841=""),"⚠ Canal manquant",IF(AND(W841&lt;&gt;"",COUNTIFS('Saisie'!$W$5:$W$2004,W841,'Saisie'!$C$5:$C$2004,"&lt;&gt;"&amp;C841)&gt;0),"⚠ Numéro déjà utilisé par un autre prospect",IF(AND(J841&lt;&gt;"",J841&lt;A841),"⚠ Relance avant la date de l'action",IF(A841&gt;TODAY(),"⚠ Date dans le futur","✓"))))))))</f>
        <v/>
      </c>
      <c r="AS841" s="61">
        <f>IF(AND(A841="",C841="",E841=""),"",ROW())</f>
        <v/>
      </c>
      <c r="AT841" s="61">
        <f>IF(E841&amp;F841="","",MAX(IFERROR(INDEX('Paramètres'!$J$6:$J$33,MATCH(E841,'Paramètres'!$I$6:$I$33,0)),0),IFERROR(INDEX('Paramètres'!$N$6:$N$17,MATCH(F841,'Paramètres'!$M$6:$M$17,0)),0)))</f>
        <v/>
      </c>
      <c r="AU841" s="61">
        <f>IF(E841="","",IFERROR(IF(INDEX('Paramètres'!$K$6:$K$33,MATCH(E841,'Paramètres'!$I$6:$I$33,0))="Oui",1,0),0))</f>
        <v/>
      </c>
      <c r="AV841" s="61">
        <f>IF(F841="","",IFERROR(IF(INDEX('Paramètres'!$O$6:$O$17,MATCH(F841,'Paramètres'!$M$6:$M$17,0))="Oui",1,0),0))</f>
        <v/>
      </c>
      <c r="AW841" s="62">
        <f>IF(E841="","",IF(G841&lt;&gt;"",G841,IF(OR(E841="Proposition envoyée",E841="Signature"),MAX(0,N(IFERROR(INDEX('Paramètres'!$R$6:$R$15,MATCH(IF(AL841&lt;&gt;"",AL841,IFERROR(INDEX('Prospects'!$AN$5:$AN$504,MATCH(C841,'Prospects'!$C$5:$C$504,0)),"")),'Paramètres'!$Q$6:$Q$15,0)),0))-N(P841)),0)))</f>
        <v/>
      </c>
      <c r="AX841" s="61">
        <f>IF(C841="","",IF(COUNTIF($C$5:C841,C841)=1,MAX($AX$4:AX840)+1,""))</f>
        <v/>
      </c>
      <c r="AY841" s="61">
        <f>IF(B841="","",HOUR(B841))</f>
        <v/>
      </c>
      <c r="AZ841" s="61">
        <f>IF(A841="","",MOD(A841-2,7)+1)</f>
        <v/>
      </c>
      <c r="BA841" s="60">
        <f>IF(C841="","",IFERROR(INDEX('Prospects'!$N$5:$N$504,MATCH(C841,'Prospects'!$C$5:$C$504,0)),""))</f>
        <v/>
      </c>
      <c r="BB841" s="61">
        <f>IF(AND(C841&lt;&gt;"",C841='Fiche prospect'!$C$4),COUNTIF($C$5:C841,C841),"")</f>
        <v/>
      </c>
    </row>
    <row r="842">
      <c r="A842" s="53" t="n"/>
      <c r="B842" s="54" t="n"/>
      <c r="C842" s="55" t="n"/>
      <c r="D842" s="55" t="n"/>
      <c r="E842" s="55" t="n"/>
      <c r="F842" s="55" t="n"/>
      <c r="G842" s="56" t="n"/>
      <c r="H842" s="57" t="n"/>
      <c r="I842" s="55" t="n"/>
      <c r="J842" s="53" t="n"/>
      <c r="K842" s="54" t="n"/>
      <c r="L842" s="55" t="n"/>
      <c r="M842" s="55" t="n"/>
      <c r="N842" s="57" t="n"/>
      <c r="O842" s="55" t="n"/>
      <c r="P842" s="56" t="n"/>
      <c r="Q842" s="55" t="n"/>
      <c r="R842" s="55" t="n"/>
      <c r="S842" s="55" t="n"/>
      <c r="T842" s="55" t="n"/>
      <c r="U842" s="55" t="n"/>
      <c r="V842" s="55" t="n"/>
      <c r="W842" s="58" t="n"/>
      <c r="X842" s="58" t="n"/>
      <c r="Y842" s="55" t="n"/>
      <c r="Z842" s="55" t="n"/>
      <c r="AA842" s="55" t="n"/>
      <c r="AB842" s="55" t="n"/>
      <c r="AC842" s="55" t="n"/>
      <c r="AD842" s="53" t="n"/>
      <c r="AE842" s="55" t="n"/>
      <c r="AF842" s="55" t="n"/>
      <c r="AG842" s="59" t="n"/>
      <c r="AH842" s="57" t="n"/>
      <c r="AI842" s="55" t="n"/>
      <c r="AJ842" s="55" t="n"/>
      <c r="AK842" s="55" t="n"/>
      <c r="AL842" s="55" t="n"/>
      <c r="AM842" s="56" t="n"/>
      <c r="AN842" s="55" t="n"/>
      <c r="AO842" s="55" t="n"/>
      <c r="AP842" s="55" t="n"/>
      <c r="AQ842" s="55" t="n"/>
      <c r="AR842" s="60">
        <f>IF(AND(C842="",E842=""),"",IF(A842="","⚠ Date manquante",IF(AND(C842="",E842&lt;&gt;"Dépense"),"⚠ Prospect manquant",IF(E842="","⚠ Action manquante",IF(AND(AU842=1,D842=""),"⚠ Canal manquant",IF(AND(W842&lt;&gt;"",COUNTIFS('Saisie'!$W$5:$W$2004,W842,'Saisie'!$C$5:$C$2004,"&lt;&gt;"&amp;C842)&gt;0),"⚠ Numéro déjà utilisé par un autre prospect",IF(AND(J842&lt;&gt;"",J842&lt;A842),"⚠ Relance avant la date de l'action",IF(A842&gt;TODAY(),"⚠ Date dans le futur","✓"))))))))</f>
        <v/>
      </c>
      <c r="AS842" s="61">
        <f>IF(AND(A842="",C842="",E842=""),"",ROW())</f>
        <v/>
      </c>
      <c r="AT842" s="61">
        <f>IF(E842&amp;F842="","",MAX(IFERROR(INDEX('Paramètres'!$J$6:$J$33,MATCH(E842,'Paramètres'!$I$6:$I$33,0)),0),IFERROR(INDEX('Paramètres'!$N$6:$N$17,MATCH(F842,'Paramètres'!$M$6:$M$17,0)),0)))</f>
        <v/>
      </c>
      <c r="AU842" s="61">
        <f>IF(E842="","",IFERROR(IF(INDEX('Paramètres'!$K$6:$K$33,MATCH(E842,'Paramètres'!$I$6:$I$33,0))="Oui",1,0),0))</f>
        <v/>
      </c>
      <c r="AV842" s="61">
        <f>IF(F842="","",IFERROR(IF(INDEX('Paramètres'!$O$6:$O$17,MATCH(F842,'Paramètres'!$M$6:$M$17,0))="Oui",1,0),0))</f>
        <v/>
      </c>
      <c r="AW842" s="62">
        <f>IF(E842="","",IF(G842&lt;&gt;"",G842,IF(OR(E842="Proposition envoyée",E842="Signature"),MAX(0,N(IFERROR(INDEX('Paramètres'!$R$6:$R$15,MATCH(IF(AL842&lt;&gt;"",AL842,IFERROR(INDEX('Prospects'!$AN$5:$AN$504,MATCH(C842,'Prospects'!$C$5:$C$504,0)),"")),'Paramètres'!$Q$6:$Q$15,0)),0))-N(P842)),0)))</f>
        <v/>
      </c>
      <c r="AX842" s="61">
        <f>IF(C842="","",IF(COUNTIF($C$5:C842,C842)=1,MAX($AX$4:AX841)+1,""))</f>
        <v/>
      </c>
      <c r="AY842" s="61">
        <f>IF(B842="","",HOUR(B842))</f>
        <v/>
      </c>
      <c r="AZ842" s="61">
        <f>IF(A842="","",MOD(A842-2,7)+1)</f>
        <v/>
      </c>
      <c r="BA842" s="60">
        <f>IF(C842="","",IFERROR(INDEX('Prospects'!$N$5:$N$504,MATCH(C842,'Prospects'!$C$5:$C$504,0)),""))</f>
        <v/>
      </c>
      <c r="BB842" s="61">
        <f>IF(AND(C842&lt;&gt;"",C842='Fiche prospect'!$C$4),COUNTIF($C$5:C842,C842),"")</f>
        <v/>
      </c>
    </row>
    <row r="843">
      <c r="A843" s="53" t="n"/>
      <c r="B843" s="54" t="n"/>
      <c r="C843" s="55" t="n"/>
      <c r="D843" s="55" t="n"/>
      <c r="E843" s="55" t="n"/>
      <c r="F843" s="55" t="n"/>
      <c r="G843" s="56" t="n"/>
      <c r="H843" s="57" t="n"/>
      <c r="I843" s="55" t="n"/>
      <c r="J843" s="53" t="n"/>
      <c r="K843" s="54" t="n"/>
      <c r="L843" s="55" t="n"/>
      <c r="M843" s="55" t="n"/>
      <c r="N843" s="57" t="n"/>
      <c r="O843" s="55" t="n"/>
      <c r="P843" s="56" t="n"/>
      <c r="Q843" s="55" t="n"/>
      <c r="R843" s="55" t="n"/>
      <c r="S843" s="55" t="n"/>
      <c r="T843" s="55" t="n"/>
      <c r="U843" s="55" t="n"/>
      <c r="V843" s="55" t="n"/>
      <c r="W843" s="58" t="n"/>
      <c r="X843" s="58" t="n"/>
      <c r="Y843" s="55" t="n"/>
      <c r="Z843" s="55" t="n"/>
      <c r="AA843" s="55" t="n"/>
      <c r="AB843" s="55" t="n"/>
      <c r="AC843" s="55" t="n"/>
      <c r="AD843" s="53" t="n"/>
      <c r="AE843" s="55" t="n"/>
      <c r="AF843" s="55" t="n"/>
      <c r="AG843" s="59" t="n"/>
      <c r="AH843" s="57" t="n"/>
      <c r="AI843" s="55" t="n"/>
      <c r="AJ843" s="55" t="n"/>
      <c r="AK843" s="55" t="n"/>
      <c r="AL843" s="55" t="n"/>
      <c r="AM843" s="56" t="n"/>
      <c r="AN843" s="55" t="n"/>
      <c r="AO843" s="55" t="n"/>
      <c r="AP843" s="55" t="n"/>
      <c r="AQ843" s="55" t="n"/>
      <c r="AR843" s="60">
        <f>IF(AND(C843="",E843=""),"",IF(A843="","⚠ Date manquante",IF(AND(C843="",E843&lt;&gt;"Dépense"),"⚠ Prospect manquant",IF(E843="","⚠ Action manquante",IF(AND(AU843=1,D843=""),"⚠ Canal manquant",IF(AND(W843&lt;&gt;"",COUNTIFS('Saisie'!$W$5:$W$2004,W843,'Saisie'!$C$5:$C$2004,"&lt;&gt;"&amp;C843)&gt;0),"⚠ Numéro déjà utilisé par un autre prospect",IF(AND(J843&lt;&gt;"",J843&lt;A843),"⚠ Relance avant la date de l'action",IF(A843&gt;TODAY(),"⚠ Date dans le futur","✓"))))))))</f>
        <v/>
      </c>
      <c r="AS843" s="61">
        <f>IF(AND(A843="",C843="",E843=""),"",ROW())</f>
        <v/>
      </c>
      <c r="AT843" s="61">
        <f>IF(E843&amp;F843="","",MAX(IFERROR(INDEX('Paramètres'!$J$6:$J$33,MATCH(E843,'Paramètres'!$I$6:$I$33,0)),0),IFERROR(INDEX('Paramètres'!$N$6:$N$17,MATCH(F843,'Paramètres'!$M$6:$M$17,0)),0)))</f>
        <v/>
      </c>
      <c r="AU843" s="61">
        <f>IF(E843="","",IFERROR(IF(INDEX('Paramètres'!$K$6:$K$33,MATCH(E843,'Paramètres'!$I$6:$I$33,0))="Oui",1,0),0))</f>
        <v/>
      </c>
      <c r="AV843" s="61">
        <f>IF(F843="","",IFERROR(IF(INDEX('Paramètres'!$O$6:$O$17,MATCH(F843,'Paramètres'!$M$6:$M$17,0))="Oui",1,0),0))</f>
        <v/>
      </c>
      <c r="AW843" s="62">
        <f>IF(E843="","",IF(G843&lt;&gt;"",G843,IF(OR(E843="Proposition envoyée",E843="Signature"),MAX(0,N(IFERROR(INDEX('Paramètres'!$R$6:$R$15,MATCH(IF(AL843&lt;&gt;"",AL843,IFERROR(INDEX('Prospects'!$AN$5:$AN$504,MATCH(C843,'Prospects'!$C$5:$C$504,0)),"")),'Paramètres'!$Q$6:$Q$15,0)),0))-N(P843)),0)))</f>
        <v/>
      </c>
      <c r="AX843" s="61">
        <f>IF(C843="","",IF(COUNTIF($C$5:C843,C843)=1,MAX($AX$4:AX842)+1,""))</f>
        <v/>
      </c>
      <c r="AY843" s="61">
        <f>IF(B843="","",HOUR(B843))</f>
        <v/>
      </c>
      <c r="AZ843" s="61">
        <f>IF(A843="","",MOD(A843-2,7)+1)</f>
        <v/>
      </c>
      <c r="BA843" s="60">
        <f>IF(C843="","",IFERROR(INDEX('Prospects'!$N$5:$N$504,MATCH(C843,'Prospects'!$C$5:$C$504,0)),""))</f>
        <v/>
      </c>
      <c r="BB843" s="61">
        <f>IF(AND(C843&lt;&gt;"",C843='Fiche prospect'!$C$4),COUNTIF($C$5:C843,C843),"")</f>
        <v/>
      </c>
    </row>
    <row r="844">
      <c r="A844" s="53" t="n"/>
      <c r="B844" s="54" t="n"/>
      <c r="C844" s="55" t="n"/>
      <c r="D844" s="55" t="n"/>
      <c r="E844" s="55" t="n"/>
      <c r="F844" s="55" t="n"/>
      <c r="G844" s="56" t="n"/>
      <c r="H844" s="57" t="n"/>
      <c r="I844" s="55" t="n"/>
      <c r="J844" s="53" t="n"/>
      <c r="K844" s="54" t="n"/>
      <c r="L844" s="55" t="n"/>
      <c r="M844" s="55" t="n"/>
      <c r="N844" s="57" t="n"/>
      <c r="O844" s="55" t="n"/>
      <c r="P844" s="56" t="n"/>
      <c r="Q844" s="55" t="n"/>
      <c r="R844" s="55" t="n"/>
      <c r="S844" s="55" t="n"/>
      <c r="T844" s="55" t="n"/>
      <c r="U844" s="55" t="n"/>
      <c r="V844" s="55" t="n"/>
      <c r="W844" s="58" t="n"/>
      <c r="X844" s="58" t="n"/>
      <c r="Y844" s="55" t="n"/>
      <c r="Z844" s="55" t="n"/>
      <c r="AA844" s="55" t="n"/>
      <c r="AB844" s="55" t="n"/>
      <c r="AC844" s="55" t="n"/>
      <c r="AD844" s="53" t="n"/>
      <c r="AE844" s="55" t="n"/>
      <c r="AF844" s="55" t="n"/>
      <c r="AG844" s="59" t="n"/>
      <c r="AH844" s="57" t="n"/>
      <c r="AI844" s="55" t="n"/>
      <c r="AJ844" s="55" t="n"/>
      <c r="AK844" s="55" t="n"/>
      <c r="AL844" s="55" t="n"/>
      <c r="AM844" s="56" t="n"/>
      <c r="AN844" s="55" t="n"/>
      <c r="AO844" s="55" t="n"/>
      <c r="AP844" s="55" t="n"/>
      <c r="AQ844" s="55" t="n"/>
      <c r="AR844" s="60">
        <f>IF(AND(C844="",E844=""),"",IF(A844="","⚠ Date manquante",IF(AND(C844="",E844&lt;&gt;"Dépense"),"⚠ Prospect manquant",IF(E844="","⚠ Action manquante",IF(AND(AU844=1,D844=""),"⚠ Canal manquant",IF(AND(W844&lt;&gt;"",COUNTIFS('Saisie'!$W$5:$W$2004,W844,'Saisie'!$C$5:$C$2004,"&lt;&gt;"&amp;C844)&gt;0),"⚠ Numéro déjà utilisé par un autre prospect",IF(AND(J844&lt;&gt;"",J844&lt;A844),"⚠ Relance avant la date de l'action",IF(A844&gt;TODAY(),"⚠ Date dans le futur","✓"))))))))</f>
        <v/>
      </c>
      <c r="AS844" s="61">
        <f>IF(AND(A844="",C844="",E844=""),"",ROW())</f>
        <v/>
      </c>
      <c r="AT844" s="61">
        <f>IF(E844&amp;F844="","",MAX(IFERROR(INDEX('Paramètres'!$J$6:$J$33,MATCH(E844,'Paramètres'!$I$6:$I$33,0)),0),IFERROR(INDEX('Paramètres'!$N$6:$N$17,MATCH(F844,'Paramètres'!$M$6:$M$17,0)),0)))</f>
        <v/>
      </c>
      <c r="AU844" s="61">
        <f>IF(E844="","",IFERROR(IF(INDEX('Paramètres'!$K$6:$K$33,MATCH(E844,'Paramètres'!$I$6:$I$33,0))="Oui",1,0),0))</f>
        <v/>
      </c>
      <c r="AV844" s="61">
        <f>IF(F844="","",IFERROR(IF(INDEX('Paramètres'!$O$6:$O$17,MATCH(F844,'Paramètres'!$M$6:$M$17,0))="Oui",1,0),0))</f>
        <v/>
      </c>
      <c r="AW844" s="62">
        <f>IF(E844="","",IF(G844&lt;&gt;"",G844,IF(OR(E844="Proposition envoyée",E844="Signature"),MAX(0,N(IFERROR(INDEX('Paramètres'!$R$6:$R$15,MATCH(IF(AL844&lt;&gt;"",AL844,IFERROR(INDEX('Prospects'!$AN$5:$AN$504,MATCH(C844,'Prospects'!$C$5:$C$504,0)),"")),'Paramètres'!$Q$6:$Q$15,0)),0))-N(P844)),0)))</f>
        <v/>
      </c>
      <c r="AX844" s="61">
        <f>IF(C844="","",IF(COUNTIF($C$5:C844,C844)=1,MAX($AX$4:AX843)+1,""))</f>
        <v/>
      </c>
      <c r="AY844" s="61">
        <f>IF(B844="","",HOUR(B844))</f>
        <v/>
      </c>
      <c r="AZ844" s="61">
        <f>IF(A844="","",MOD(A844-2,7)+1)</f>
        <v/>
      </c>
      <c r="BA844" s="60">
        <f>IF(C844="","",IFERROR(INDEX('Prospects'!$N$5:$N$504,MATCH(C844,'Prospects'!$C$5:$C$504,0)),""))</f>
        <v/>
      </c>
      <c r="BB844" s="61">
        <f>IF(AND(C844&lt;&gt;"",C844='Fiche prospect'!$C$4),COUNTIF($C$5:C844,C844),"")</f>
        <v/>
      </c>
    </row>
    <row r="845">
      <c r="A845" s="53" t="n"/>
      <c r="B845" s="54" t="n"/>
      <c r="C845" s="55" t="n"/>
      <c r="D845" s="55" t="n"/>
      <c r="E845" s="55" t="n"/>
      <c r="F845" s="55" t="n"/>
      <c r="G845" s="56" t="n"/>
      <c r="H845" s="57" t="n"/>
      <c r="I845" s="55" t="n"/>
      <c r="J845" s="53" t="n"/>
      <c r="K845" s="54" t="n"/>
      <c r="L845" s="55" t="n"/>
      <c r="M845" s="55" t="n"/>
      <c r="N845" s="57" t="n"/>
      <c r="O845" s="55" t="n"/>
      <c r="P845" s="56" t="n"/>
      <c r="Q845" s="55" t="n"/>
      <c r="R845" s="55" t="n"/>
      <c r="S845" s="55" t="n"/>
      <c r="T845" s="55" t="n"/>
      <c r="U845" s="55" t="n"/>
      <c r="V845" s="55" t="n"/>
      <c r="W845" s="58" t="n"/>
      <c r="X845" s="58" t="n"/>
      <c r="Y845" s="55" t="n"/>
      <c r="Z845" s="55" t="n"/>
      <c r="AA845" s="55" t="n"/>
      <c r="AB845" s="55" t="n"/>
      <c r="AC845" s="55" t="n"/>
      <c r="AD845" s="53" t="n"/>
      <c r="AE845" s="55" t="n"/>
      <c r="AF845" s="55" t="n"/>
      <c r="AG845" s="59" t="n"/>
      <c r="AH845" s="57" t="n"/>
      <c r="AI845" s="55" t="n"/>
      <c r="AJ845" s="55" t="n"/>
      <c r="AK845" s="55" t="n"/>
      <c r="AL845" s="55" t="n"/>
      <c r="AM845" s="56" t="n"/>
      <c r="AN845" s="55" t="n"/>
      <c r="AO845" s="55" t="n"/>
      <c r="AP845" s="55" t="n"/>
      <c r="AQ845" s="55" t="n"/>
      <c r="AR845" s="60">
        <f>IF(AND(C845="",E845=""),"",IF(A845="","⚠ Date manquante",IF(AND(C845="",E845&lt;&gt;"Dépense"),"⚠ Prospect manquant",IF(E845="","⚠ Action manquante",IF(AND(AU845=1,D845=""),"⚠ Canal manquant",IF(AND(W845&lt;&gt;"",COUNTIFS('Saisie'!$W$5:$W$2004,W845,'Saisie'!$C$5:$C$2004,"&lt;&gt;"&amp;C845)&gt;0),"⚠ Numéro déjà utilisé par un autre prospect",IF(AND(J845&lt;&gt;"",J845&lt;A845),"⚠ Relance avant la date de l'action",IF(A845&gt;TODAY(),"⚠ Date dans le futur","✓"))))))))</f>
        <v/>
      </c>
      <c r="AS845" s="61">
        <f>IF(AND(A845="",C845="",E845=""),"",ROW())</f>
        <v/>
      </c>
      <c r="AT845" s="61">
        <f>IF(E845&amp;F845="","",MAX(IFERROR(INDEX('Paramètres'!$J$6:$J$33,MATCH(E845,'Paramètres'!$I$6:$I$33,0)),0),IFERROR(INDEX('Paramètres'!$N$6:$N$17,MATCH(F845,'Paramètres'!$M$6:$M$17,0)),0)))</f>
        <v/>
      </c>
      <c r="AU845" s="61">
        <f>IF(E845="","",IFERROR(IF(INDEX('Paramètres'!$K$6:$K$33,MATCH(E845,'Paramètres'!$I$6:$I$33,0))="Oui",1,0),0))</f>
        <v/>
      </c>
      <c r="AV845" s="61">
        <f>IF(F845="","",IFERROR(IF(INDEX('Paramètres'!$O$6:$O$17,MATCH(F845,'Paramètres'!$M$6:$M$17,0))="Oui",1,0),0))</f>
        <v/>
      </c>
      <c r="AW845" s="62">
        <f>IF(E845="","",IF(G845&lt;&gt;"",G845,IF(OR(E845="Proposition envoyée",E845="Signature"),MAX(0,N(IFERROR(INDEX('Paramètres'!$R$6:$R$15,MATCH(IF(AL845&lt;&gt;"",AL845,IFERROR(INDEX('Prospects'!$AN$5:$AN$504,MATCH(C845,'Prospects'!$C$5:$C$504,0)),"")),'Paramètres'!$Q$6:$Q$15,0)),0))-N(P845)),0)))</f>
        <v/>
      </c>
      <c r="AX845" s="61">
        <f>IF(C845="","",IF(COUNTIF($C$5:C845,C845)=1,MAX($AX$4:AX844)+1,""))</f>
        <v/>
      </c>
      <c r="AY845" s="61">
        <f>IF(B845="","",HOUR(B845))</f>
        <v/>
      </c>
      <c r="AZ845" s="61">
        <f>IF(A845="","",MOD(A845-2,7)+1)</f>
        <v/>
      </c>
      <c r="BA845" s="60">
        <f>IF(C845="","",IFERROR(INDEX('Prospects'!$N$5:$N$504,MATCH(C845,'Prospects'!$C$5:$C$504,0)),""))</f>
        <v/>
      </c>
      <c r="BB845" s="61">
        <f>IF(AND(C845&lt;&gt;"",C845='Fiche prospect'!$C$4),COUNTIF($C$5:C845,C845),"")</f>
        <v/>
      </c>
    </row>
    <row r="846">
      <c r="A846" s="53" t="n"/>
      <c r="B846" s="54" t="n"/>
      <c r="C846" s="55" t="n"/>
      <c r="D846" s="55" t="n"/>
      <c r="E846" s="55" t="n"/>
      <c r="F846" s="55" t="n"/>
      <c r="G846" s="56" t="n"/>
      <c r="H846" s="57" t="n"/>
      <c r="I846" s="55" t="n"/>
      <c r="J846" s="53" t="n"/>
      <c r="K846" s="54" t="n"/>
      <c r="L846" s="55" t="n"/>
      <c r="M846" s="55" t="n"/>
      <c r="N846" s="57" t="n"/>
      <c r="O846" s="55" t="n"/>
      <c r="P846" s="56" t="n"/>
      <c r="Q846" s="55" t="n"/>
      <c r="R846" s="55" t="n"/>
      <c r="S846" s="55" t="n"/>
      <c r="T846" s="55" t="n"/>
      <c r="U846" s="55" t="n"/>
      <c r="V846" s="55" t="n"/>
      <c r="W846" s="58" t="n"/>
      <c r="X846" s="58" t="n"/>
      <c r="Y846" s="55" t="n"/>
      <c r="Z846" s="55" t="n"/>
      <c r="AA846" s="55" t="n"/>
      <c r="AB846" s="55" t="n"/>
      <c r="AC846" s="55" t="n"/>
      <c r="AD846" s="53" t="n"/>
      <c r="AE846" s="55" t="n"/>
      <c r="AF846" s="55" t="n"/>
      <c r="AG846" s="59" t="n"/>
      <c r="AH846" s="57" t="n"/>
      <c r="AI846" s="55" t="n"/>
      <c r="AJ846" s="55" t="n"/>
      <c r="AK846" s="55" t="n"/>
      <c r="AL846" s="55" t="n"/>
      <c r="AM846" s="56" t="n"/>
      <c r="AN846" s="55" t="n"/>
      <c r="AO846" s="55" t="n"/>
      <c r="AP846" s="55" t="n"/>
      <c r="AQ846" s="55" t="n"/>
      <c r="AR846" s="60">
        <f>IF(AND(C846="",E846=""),"",IF(A846="","⚠ Date manquante",IF(AND(C846="",E846&lt;&gt;"Dépense"),"⚠ Prospect manquant",IF(E846="","⚠ Action manquante",IF(AND(AU846=1,D846=""),"⚠ Canal manquant",IF(AND(W846&lt;&gt;"",COUNTIFS('Saisie'!$W$5:$W$2004,W846,'Saisie'!$C$5:$C$2004,"&lt;&gt;"&amp;C846)&gt;0),"⚠ Numéro déjà utilisé par un autre prospect",IF(AND(J846&lt;&gt;"",J846&lt;A846),"⚠ Relance avant la date de l'action",IF(A846&gt;TODAY(),"⚠ Date dans le futur","✓"))))))))</f>
        <v/>
      </c>
      <c r="AS846" s="61">
        <f>IF(AND(A846="",C846="",E846=""),"",ROW())</f>
        <v/>
      </c>
      <c r="AT846" s="61">
        <f>IF(E846&amp;F846="","",MAX(IFERROR(INDEX('Paramètres'!$J$6:$J$33,MATCH(E846,'Paramètres'!$I$6:$I$33,0)),0),IFERROR(INDEX('Paramètres'!$N$6:$N$17,MATCH(F846,'Paramètres'!$M$6:$M$17,0)),0)))</f>
        <v/>
      </c>
      <c r="AU846" s="61">
        <f>IF(E846="","",IFERROR(IF(INDEX('Paramètres'!$K$6:$K$33,MATCH(E846,'Paramètres'!$I$6:$I$33,0))="Oui",1,0),0))</f>
        <v/>
      </c>
      <c r="AV846" s="61">
        <f>IF(F846="","",IFERROR(IF(INDEX('Paramètres'!$O$6:$O$17,MATCH(F846,'Paramètres'!$M$6:$M$17,0))="Oui",1,0),0))</f>
        <v/>
      </c>
      <c r="AW846" s="62">
        <f>IF(E846="","",IF(G846&lt;&gt;"",G846,IF(OR(E846="Proposition envoyée",E846="Signature"),MAX(0,N(IFERROR(INDEX('Paramètres'!$R$6:$R$15,MATCH(IF(AL846&lt;&gt;"",AL846,IFERROR(INDEX('Prospects'!$AN$5:$AN$504,MATCH(C846,'Prospects'!$C$5:$C$504,0)),"")),'Paramètres'!$Q$6:$Q$15,0)),0))-N(P846)),0)))</f>
        <v/>
      </c>
      <c r="AX846" s="61">
        <f>IF(C846="","",IF(COUNTIF($C$5:C846,C846)=1,MAX($AX$4:AX845)+1,""))</f>
        <v/>
      </c>
      <c r="AY846" s="61">
        <f>IF(B846="","",HOUR(B846))</f>
        <v/>
      </c>
      <c r="AZ846" s="61">
        <f>IF(A846="","",MOD(A846-2,7)+1)</f>
        <v/>
      </c>
      <c r="BA846" s="60">
        <f>IF(C846="","",IFERROR(INDEX('Prospects'!$N$5:$N$504,MATCH(C846,'Prospects'!$C$5:$C$504,0)),""))</f>
        <v/>
      </c>
      <c r="BB846" s="61">
        <f>IF(AND(C846&lt;&gt;"",C846='Fiche prospect'!$C$4),COUNTIF($C$5:C846,C846),"")</f>
        <v/>
      </c>
    </row>
    <row r="847">
      <c r="A847" s="53" t="n"/>
      <c r="B847" s="54" t="n"/>
      <c r="C847" s="55" t="n"/>
      <c r="D847" s="55" t="n"/>
      <c r="E847" s="55" t="n"/>
      <c r="F847" s="55" t="n"/>
      <c r="G847" s="56" t="n"/>
      <c r="H847" s="57" t="n"/>
      <c r="I847" s="55" t="n"/>
      <c r="J847" s="53" t="n"/>
      <c r="K847" s="54" t="n"/>
      <c r="L847" s="55" t="n"/>
      <c r="M847" s="55" t="n"/>
      <c r="N847" s="57" t="n"/>
      <c r="O847" s="55" t="n"/>
      <c r="P847" s="56" t="n"/>
      <c r="Q847" s="55" t="n"/>
      <c r="R847" s="55" t="n"/>
      <c r="S847" s="55" t="n"/>
      <c r="T847" s="55" t="n"/>
      <c r="U847" s="55" t="n"/>
      <c r="V847" s="55" t="n"/>
      <c r="W847" s="58" t="n"/>
      <c r="X847" s="58" t="n"/>
      <c r="Y847" s="55" t="n"/>
      <c r="Z847" s="55" t="n"/>
      <c r="AA847" s="55" t="n"/>
      <c r="AB847" s="55" t="n"/>
      <c r="AC847" s="55" t="n"/>
      <c r="AD847" s="53" t="n"/>
      <c r="AE847" s="55" t="n"/>
      <c r="AF847" s="55" t="n"/>
      <c r="AG847" s="59" t="n"/>
      <c r="AH847" s="57" t="n"/>
      <c r="AI847" s="55" t="n"/>
      <c r="AJ847" s="55" t="n"/>
      <c r="AK847" s="55" t="n"/>
      <c r="AL847" s="55" t="n"/>
      <c r="AM847" s="56" t="n"/>
      <c r="AN847" s="55" t="n"/>
      <c r="AO847" s="55" t="n"/>
      <c r="AP847" s="55" t="n"/>
      <c r="AQ847" s="55" t="n"/>
      <c r="AR847" s="60">
        <f>IF(AND(C847="",E847=""),"",IF(A847="","⚠ Date manquante",IF(AND(C847="",E847&lt;&gt;"Dépense"),"⚠ Prospect manquant",IF(E847="","⚠ Action manquante",IF(AND(AU847=1,D847=""),"⚠ Canal manquant",IF(AND(W847&lt;&gt;"",COUNTIFS('Saisie'!$W$5:$W$2004,W847,'Saisie'!$C$5:$C$2004,"&lt;&gt;"&amp;C847)&gt;0),"⚠ Numéro déjà utilisé par un autre prospect",IF(AND(J847&lt;&gt;"",J847&lt;A847),"⚠ Relance avant la date de l'action",IF(A847&gt;TODAY(),"⚠ Date dans le futur","✓"))))))))</f>
        <v/>
      </c>
      <c r="AS847" s="61">
        <f>IF(AND(A847="",C847="",E847=""),"",ROW())</f>
        <v/>
      </c>
      <c r="AT847" s="61">
        <f>IF(E847&amp;F847="","",MAX(IFERROR(INDEX('Paramètres'!$J$6:$J$33,MATCH(E847,'Paramètres'!$I$6:$I$33,0)),0),IFERROR(INDEX('Paramètres'!$N$6:$N$17,MATCH(F847,'Paramètres'!$M$6:$M$17,0)),0)))</f>
        <v/>
      </c>
      <c r="AU847" s="61">
        <f>IF(E847="","",IFERROR(IF(INDEX('Paramètres'!$K$6:$K$33,MATCH(E847,'Paramètres'!$I$6:$I$33,0))="Oui",1,0),0))</f>
        <v/>
      </c>
      <c r="AV847" s="61">
        <f>IF(F847="","",IFERROR(IF(INDEX('Paramètres'!$O$6:$O$17,MATCH(F847,'Paramètres'!$M$6:$M$17,0))="Oui",1,0),0))</f>
        <v/>
      </c>
      <c r="AW847" s="62">
        <f>IF(E847="","",IF(G847&lt;&gt;"",G847,IF(OR(E847="Proposition envoyée",E847="Signature"),MAX(0,N(IFERROR(INDEX('Paramètres'!$R$6:$R$15,MATCH(IF(AL847&lt;&gt;"",AL847,IFERROR(INDEX('Prospects'!$AN$5:$AN$504,MATCH(C847,'Prospects'!$C$5:$C$504,0)),"")),'Paramètres'!$Q$6:$Q$15,0)),0))-N(P847)),0)))</f>
        <v/>
      </c>
      <c r="AX847" s="61">
        <f>IF(C847="","",IF(COUNTIF($C$5:C847,C847)=1,MAX($AX$4:AX846)+1,""))</f>
        <v/>
      </c>
      <c r="AY847" s="61">
        <f>IF(B847="","",HOUR(B847))</f>
        <v/>
      </c>
      <c r="AZ847" s="61">
        <f>IF(A847="","",MOD(A847-2,7)+1)</f>
        <v/>
      </c>
      <c r="BA847" s="60">
        <f>IF(C847="","",IFERROR(INDEX('Prospects'!$N$5:$N$504,MATCH(C847,'Prospects'!$C$5:$C$504,0)),""))</f>
        <v/>
      </c>
      <c r="BB847" s="61">
        <f>IF(AND(C847&lt;&gt;"",C847='Fiche prospect'!$C$4),COUNTIF($C$5:C847,C847),"")</f>
        <v/>
      </c>
    </row>
    <row r="848">
      <c r="A848" s="53" t="n"/>
      <c r="B848" s="54" t="n"/>
      <c r="C848" s="55" t="n"/>
      <c r="D848" s="55" t="n"/>
      <c r="E848" s="55" t="n"/>
      <c r="F848" s="55" t="n"/>
      <c r="G848" s="56" t="n"/>
      <c r="H848" s="57" t="n"/>
      <c r="I848" s="55" t="n"/>
      <c r="J848" s="53" t="n"/>
      <c r="K848" s="54" t="n"/>
      <c r="L848" s="55" t="n"/>
      <c r="M848" s="55" t="n"/>
      <c r="N848" s="57" t="n"/>
      <c r="O848" s="55" t="n"/>
      <c r="P848" s="56" t="n"/>
      <c r="Q848" s="55" t="n"/>
      <c r="R848" s="55" t="n"/>
      <c r="S848" s="55" t="n"/>
      <c r="T848" s="55" t="n"/>
      <c r="U848" s="55" t="n"/>
      <c r="V848" s="55" t="n"/>
      <c r="W848" s="58" t="n"/>
      <c r="X848" s="58" t="n"/>
      <c r="Y848" s="55" t="n"/>
      <c r="Z848" s="55" t="n"/>
      <c r="AA848" s="55" t="n"/>
      <c r="AB848" s="55" t="n"/>
      <c r="AC848" s="55" t="n"/>
      <c r="AD848" s="53" t="n"/>
      <c r="AE848" s="55" t="n"/>
      <c r="AF848" s="55" t="n"/>
      <c r="AG848" s="59" t="n"/>
      <c r="AH848" s="57" t="n"/>
      <c r="AI848" s="55" t="n"/>
      <c r="AJ848" s="55" t="n"/>
      <c r="AK848" s="55" t="n"/>
      <c r="AL848" s="55" t="n"/>
      <c r="AM848" s="56" t="n"/>
      <c r="AN848" s="55" t="n"/>
      <c r="AO848" s="55" t="n"/>
      <c r="AP848" s="55" t="n"/>
      <c r="AQ848" s="55" t="n"/>
      <c r="AR848" s="60">
        <f>IF(AND(C848="",E848=""),"",IF(A848="","⚠ Date manquante",IF(AND(C848="",E848&lt;&gt;"Dépense"),"⚠ Prospect manquant",IF(E848="","⚠ Action manquante",IF(AND(AU848=1,D848=""),"⚠ Canal manquant",IF(AND(W848&lt;&gt;"",COUNTIFS('Saisie'!$W$5:$W$2004,W848,'Saisie'!$C$5:$C$2004,"&lt;&gt;"&amp;C848)&gt;0),"⚠ Numéro déjà utilisé par un autre prospect",IF(AND(J848&lt;&gt;"",J848&lt;A848),"⚠ Relance avant la date de l'action",IF(A848&gt;TODAY(),"⚠ Date dans le futur","✓"))))))))</f>
        <v/>
      </c>
      <c r="AS848" s="61">
        <f>IF(AND(A848="",C848="",E848=""),"",ROW())</f>
        <v/>
      </c>
      <c r="AT848" s="61">
        <f>IF(E848&amp;F848="","",MAX(IFERROR(INDEX('Paramètres'!$J$6:$J$33,MATCH(E848,'Paramètres'!$I$6:$I$33,0)),0),IFERROR(INDEX('Paramètres'!$N$6:$N$17,MATCH(F848,'Paramètres'!$M$6:$M$17,0)),0)))</f>
        <v/>
      </c>
      <c r="AU848" s="61">
        <f>IF(E848="","",IFERROR(IF(INDEX('Paramètres'!$K$6:$K$33,MATCH(E848,'Paramètres'!$I$6:$I$33,0))="Oui",1,0),0))</f>
        <v/>
      </c>
      <c r="AV848" s="61">
        <f>IF(F848="","",IFERROR(IF(INDEX('Paramètres'!$O$6:$O$17,MATCH(F848,'Paramètres'!$M$6:$M$17,0))="Oui",1,0),0))</f>
        <v/>
      </c>
      <c r="AW848" s="62">
        <f>IF(E848="","",IF(G848&lt;&gt;"",G848,IF(OR(E848="Proposition envoyée",E848="Signature"),MAX(0,N(IFERROR(INDEX('Paramètres'!$R$6:$R$15,MATCH(IF(AL848&lt;&gt;"",AL848,IFERROR(INDEX('Prospects'!$AN$5:$AN$504,MATCH(C848,'Prospects'!$C$5:$C$504,0)),"")),'Paramètres'!$Q$6:$Q$15,0)),0))-N(P848)),0)))</f>
        <v/>
      </c>
      <c r="AX848" s="61">
        <f>IF(C848="","",IF(COUNTIF($C$5:C848,C848)=1,MAX($AX$4:AX847)+1,""))</f>
        <v/>
      </c>
      <c r="AY848" s="61">
        <f>IF(B848="","",HOUR(B848))</f>
        <v/>
      </c>
      <c r="AZ848" s="61">
        <f>IF(A848="","",MOD(A848-2,7)+1)</f>
        <v/>
      </c>
      <c r="BA848" s="60">
        <f>IF(C848="","",IFERROR(INDEX('Prospects'!$N$5:$N$504,MATCH(C848,'Prospects'!$C$5:$C$504,0)),""))</f>
        <v/>
      </c>
      <c r="BB848" s="61">
        <f>IF(AND(C848&lt;&gt;"",C848='Fiche prospect'!$C$4),COUNTIF($C$5:C848,C848),"")</f>
        <v/>
      </c>
    </row>
    <row r="849">
      <c r="A849" s="53" t="n"/>
      <c r="B849" s="54" t="n"/>
      <c r="C849" s="55" t="n"/>
      <c r="D849" s="55" t="n"/>
      <c r="E849" s="55" t="n"/>
      <c r="F849" s="55" t="n"/>
      <c r="G849" s="56" t="n"/>
      <c r="H849" s="57" t="n"/>
      <c r="I849" s="55" t="n"/>
      <c r="J849" s="53" t="n"/>
      <c r="K849" s="54" t="n"/>
      <c r="L849" s="55" t="n"/>
      <c r="M849" s="55" t="n"/>
      <c r="N849" s="57" t="n"/>
      <c r="O849" s="55" t="n"/>
      <c r="P849" s="56" t="n"/>
      <c r="Q849" s="55" t="n"/>
      <c r="R849" s="55" t="n"/>
      <c r="S849" s="55" t="n"/>
      <c r="T849" s="55" t="n"/>
      <c r="U849" s="55" t="n"/>
      <c r="V849" s="55" t="n"/>
      <c r="W849" s="58" t="n"/>
      <c r="X849" s="58" t="n"/>
      <c r="Y849" s="55" t="n"/>
      <c r="Z849" s="55" t="n"/>
      <c r="AA849" s="55" t="n"/>
      <c r="AB849" s="55" t="n"/>
      <c r="AC849" s="55" t="n"/>
      <c r="AD849" s="53" t="n"/>
      <c r="AE849" s="55" t="n"/>
      <c r="AF849" s="55" t="n"/>
      <c r="AG849" s="59" t="n"/>
      <c r="AH849" s="57" t="n"/>
      <c r="AI849" s="55" t="n"/>
      <c r="AJ849" s="55" t="n"/>
      <c r="AK849" s="55" t="n"/>
      <c r="AL849" s="55" t="n"/>
      <c r="AM849" s="56" t="n"/>
      <c r="AN849" s="55" t="n"/>
      <c r="AO849" s="55" t="n"/>
      <c r="AP849" s="55" t="n"/>
      <c r="AQ849" s="55" t="n"/>
      <c r="AR849" s="60">
        <f>IF(AND(C849="",E849=""),"",IF(A849="","⚠ Date manquante",IF(AND(C849="",E849&lt;&gt;"Dépense"),"⚠ Prospect manquant",IF(E849="","⚠ Action manquante",IF(AND(AU849=1,D849=""),"⚠ Canal manquant",IF(AND(W849&lt;&gt;"",COUNTIFS('Saisie'!$W$5:$W$2004,W849,'Saisie'!$C$5:$C$2004,"&lt;&gt;"&amp;C849)&gt;0),"⚠ Numéro déjà utilisé par un autre prospect",IF(AND(J849&lt;&gt;"",J849&lt;A849),"⚠ Relance avant la date de l'action",IF(A849&gt;TODAY(),"⚠ Date dans le futur","✓"))))))))</f>
        <v/>
      </c>
      <c r="AS849" s="61">
        <f>IF(AND(A849="",C849="",E849=""),"",ROW())</f>
        <v/>
      </c>
      <c r="AT849" s="61">
        <f>IF(E849&amp;F849="","",MAX(IFERROR(INDEX('Paramètres'!$J$6:$J$33,MATCH(E849,'Paramètres'!$I$6:$I$33,0)),0),IFERROR(INDEX('Paramètres'!$N$6:$N$17,MATCH(F849,'Paramètres'!$M$6:$M$17,0)),0)))</f>
        <v/>
      </c>
      <c r="AU849" s="61">
        <f>IF(E849="","",IFERROR(IF(INDEX('Paramètres'!$K$6:$K$33,MATCH(E849,'Paramètres'!$I$6:$I$33,0))="Oui",1,0),0))</f>
        <v/>
      </c>
      <c r="AV849" s="61">
        <f>IF(F849="","",IFERROR(IF(INDEX('Paramètres'!$O$6:$O$17,MATCH(F849,'Paramètres'!$M$6:$M$17,0))="Oui",1,0),0))</f>
        <v/>
      </c>
      <c r="AW849" s="62">
        <f>IF(E849="","",IF(G849&lt;&gt;"",G849,IF(OR(E849="Proposition envoyée",E849="Signature"),MAX(0,N(IFERROR(INDEX('Paramètres'!$R$6:$R$15,MATCH(IF(AL849&lt;&gt;"",AL849,IFERROR(INDEX('Prospects'!$AN$5:$AN$504,MATCH(C849,'Prospects'!$C$5:$C$504,0)),"")),'Paramètres'!$Q$6:$Q$15,0)),0))-N(P849)),0)))</f>
        <v/>
      </c>
      <c r="AX849" s="61">
        <f>IF(C849="","",IF(COUNTIF($C$5:C849,C849)=1,MAX($AX$4:AX848)+1,""))</f>
        <v/>
      </c>
      <c r="AY849" s="61">
        <f>IF(B849="","",HOUR(B849))</f>
        <v/>
      </c>
      <c r="AZ849" s="61">
        <f>IF(A849="","",MOD(A849-2,7)+1)</f>
        <v/>
      </c>
      <c r="BA849" s="60">
        <f>IF(C849="","",IFERROR(INDEX('Prospects'!$N$5:$N$504,MATCH(C849,'Prospects'!$C$5:$C$504,0)),""))</f>
        <v/>
      </c>
      <c r="BB849" s="61">
        <f>IF(AND(C849&lt;&gt;"",C849='Fiche prospect'!$C$4),COUNTIF($C$5:C849,C849),"")</f>
        <v/>
      </c>
    </row>
    <row r="850">
      <c r="A850" s="53" t="n"/>
      <c r="B850" s="54" t="n"/>
      <c r="C850" s="55" t="n"/>
      <c r="D850" s="55" t="n"/>
      <c r="E850" s="55" t="n"/>
      <c r="F850" s="55" t="n"/>
      <c r="G850" s="56" t="n"/>
      <c r="H850" s="57" t="n"/>
      <c r="I850" s="55" t="n"/>
      <c r="J850" s="53" t="n"/>
      <c r="K850" s="54" t="n"/>
      <c r="L850" s="55" t="n"/>
      <c r="M850" s="55" t="n"/>
      <c r="N850" s="57" t="n"/>
      <c r="O850" s="55" t="n"/>
      <c r="P850" s="56" t="n"/>
      <c r="Q850" s="55" t="n"/>
      <c r="R850" s="55" t="n"/>
      <c r="S850" s="55" t="n"/>
      <c r="T850" s="55" t="n"/>
      <c r="U850" s="55" t="n"/>
      <c r="V850" s="55" t="n"/>
      <c r="W850" s="58" t="n"/>
      <c r="X850" s="58" t="n"/>
      <c r="Y850" s="55" t="n"/>
      <c r="Z850" s="55" t="n"/>
      <c r="AA850" s="55" t="n"/>
      <c r="AB850" s="55" t="n"/>
      <c r="AC850" s="55" t="n"/>
      <c r="AD850" s="53" t="n"/>
      <c r="AE850" s="55" t="n"/>
      <c r="AF850" s="55" t="n"/>
      <c r="AG850" s="59" t="n"/>
      <c r="AH850" s="57" t="n"/>
      <c r="AI850" s="55" t="n"/>
      <c r="AJ850" s="55" t="n"/>
      <c r="AK850" s="55" t="n"/>
      <c r="AL850" s="55" t="n"/>
      <c r="AM850" s="56" t="n"/>
      <c r="AN850" s="55" t="n"/>
      <c r="AO850" s="55" t="n"/>
      <c r="AP850" s="55" t="n"/>
      <c r="AQ850" s="55" t="n"/>
      <c r="AR850" s="60">
        <f>IF(AND(C850="",E850=""),"",IF(A850="","⚠ Date manquante",IF(AND(C850="",E850&lt;&gt;"Dépense"),"⚠ Prospect manquant",IF(E850="","⚠ Action manquante",IF(AND(AU850=1,D850=""),"⚠ Canal manquant",IF(AND(W850&lt;&gt;"",COUNTIFS('Saisie'!$W$5:$W$2004,W850,'Saisie'!$C$5:$C$2004,"&lt;&gt;"&amp;C850)&gt;0),"⚠ Numéro déjà utilisé par un autre prospect",IF(AND(J850&lt;&gt;"",J850&lt;A850),"⚠ Relance avant la date de l'action",IF(A850&gt;TODAY(),"⚠ Date dans le futur","✓"))))))))</f>
        <v/>
      </c>
      <c r="AS850" s="61">
        <f>IF(AND(A850="",C850="",E850=""),"",ROW())</f>
        <v/>
      </c>
      <c r="AT850" s="61">
        <f>IF(E850&amp;F850="","",MAX(IFERROR(INDEX('Paramètres'!$J$6:$J$33,MATCH(E850,'Paramètres'!$I$6:$I$33,0)),0),IFERROR(INDEX('Paramètres'!$N$6:$N$17,MATCH(F850,'Paramètres'!$M$6:$M$17,0)),0)))</f>
        <v/>
      </c>
      <c r="AU850" s="61">
        <f>IF(E850="","",IFERROR(IF(INDEX('Paramètres'!$K$6:$K$33,MATCH(E850,'Paramètres'!$I$6:$I$33,0))="Oui",1,0),0))</f>
        <v/>
      </c>
      <c r="AV850" s="61">
        <f>IF(F850="","",IFERROR(IF(INDEX('Paramètres'!$O$6:$O$17,MATCH(F850,'Paramètres'!$M$6:$M$17,0))="Oui",1,0),0))</f>
        <v/>
      </c>
      <c r="AW850" s="62">
        <f>IF(E850="","",IF(G850&lt;&gt;"",G850,IF(OR(E850="Proposition envoyée",E850="Signature"),MAX(0,N(IFERROR(INDEX('Paramètres'!$R$6:$R$15,MATCH(IF(AL850&lt;&gt;"",AL850,IFERROR(INDEX('Prospects'!$AN$5:$AN$504,MATCH(C850,'Prospects'!$C$5:$C$504,0)),"")),'Paramètres'!$Q$6:$Q$15,0)),0))-N(P850)),0)))</f>
        <v/>
      </c>
      <c r="AX850" s="61">
        <f>IF(C850="","",IF(COUNTIF($C$5:C850,C850)=1,MAX($AX$4:AX849)+1,""))</f>
        <v/>
      </c>
      <c r="AY850" s="61">
        <f>IF(B850="","",HOUR(B850))</f>
        <v/>
      </c>
      <c r="AZ850" s="61">
        <f>IF(A850="","",MOD(A850-2,7)+1)</f>
        <v/>
      </c>
      <c r="BA850" s="60">
        <f>IF(C850="","",IFERROR(INDEX('Prospects'!$N$5:$N$504,MATCH(C850,'Prospects'!$C$5:$C$504,0)),""))</f>
        <v/>
      </c>
      <c r="BB850" s="61">
        <f>IF(AND(C850&lt;&gt;"",C850='Fiche prospect'!$C$4),COUNTIF($C$5:C850,C850),"")</f>
        <v/>
      </c>
    </row>
    <row r="851">
      <c r="A851" s="53" t="n"/>
      <c r="B851" s="54" t="n"/>
      <c r="C851" s="55" t="n"/>
      <c r="D851" s="55" t="n"/>
      <c r="E851" s="55" t="n"/>
      <c r="F851" s="55" t="n"/>
      <c r="G851" s="56" t="n"/>
      <c r="H851" s="57" t="n"/>
      <c r="I851" s="55" t="n"/>
      <c r="J851" s="53" t="n"/>
      <c r="K851" s="54" t="n"/>
      <c r="L851" s="55" t="n"/>
      <c r="M851" s="55" t="n"/>
      <c r="N851" s="57" t="n"/>
      <c r="O851" s="55" t="n"/>
      <c r="P851" s="56" t="n"/>
      <c r="Q851" s="55" t="n"/>
      <c r="R851" s="55" t="n"/>
      <c r="S851" s="55" t="n"/>
      <c r="T851" s="55" t="n"/>
      <c r="U851" s="55" t="n"/>
      <c r="V851" s="55" t="n"/>
      <c r="W851" s="58" t="n"/>
      <c r="X851" s="58" t="n"/>
      <c r="Y851" s="55" t="n"/>
      <c r="Z851" s="55" t="n"/>
      <c r="AA851" s="55" t="n"/>
      <c r="AB851" s="55" t="n"/>
      <c r="AC851" s="55" t="n"/>
      <c r="AD851" s="53" t="n"/>
      <c r="AE851" s="55" t="n"/>
      <c r="AF851" s="55" t="n"/>
      <c r="AG851" s="59" t="n"/>
      <c r="AH851" s="57" t="n"/>
      <c r="AI851" s="55" t="n"/>
      <c r="AJ851" s="55" t="n"/>
      <c r="AK851" s="55" t="n"/>
      <c r="AL851" s="55" t="n"/>
      <c r="AM851" s="56" t="n"/>
      <c r="AN851" s="55" t="n"/>
      <c r="AO851" s="55" t="n"/>
      <c r="AP851" s="55" t="n"/>
      <c r="AQ851" s="55" t="n"/>
      <c r="AR851" s="60">
        <f>IF(AND(C851="",E851=""),"",IF(A851="","⚠ Date manquante",IF(AND(C851="",E851&lt;&gt;"Dépense"),"⚠ Prospect manquant",IF(E851="","⚠ Action manquante",IF(AND(AU851=1,D851=""),"⚠ Canal manquant",IF(AND(W851&lt;&gt;"",COUNTIFS('Saisie'!$W$5:$W$2004,W851,'Saisie'!$C$5:$C$2004,"&lt;&gt;"&amp;C851)&gt;0),"⚠ Numéro déjà utilisé par un autre prospect",IF(AND(J851&lt;&gt;"",J851&lt;A851),"⚠ Relance avant la date de l'action",IF(A851&gt;TODAY(),"⚠ Date dans le futur","✓"))))))))</f>
        <v/>
      </c>
      <c r="AS851" s="61">
        <f>IF(AND(A851="",C851="",E851=""),"",ROW())</f>
        <v/>
      </c>
      <c r="AT851" s="61">
        <f>IF(E851&amp;F851="","",MAX(IFERROR(INDEX('Paramètres'!$J$6:$J$33,MATCH(E851,'Paramètres'!$I$6:$I$33,0)),0),IFERROR(INDEX('Paramètres'!$N$6:$N$17,MATCH(F851,'Paramètres'!$M$6:$M$17,0)),0)))</f>
        <v/>
      </c>
      <c r="AU851" s="61">
        <f>IF(E851="","",IFERROR(IF(INDEX('Paramètres'!$K$6:$K$33,MATCH(E851,'Paramètres'!$I$6:$I$33,0))="Oui",1,0),0))</f>
        <v/>
      </c>
      <c r="AV851" s="61">
        <f>IF(F851="","",IFERROR(IF(INDEX('Paramètres'!$O$6:$O$17,MATCH(F851,'Paramètres'!$M$6:$M$17,0))="Oui",1,0),0))</f>
        <v/>
      </c>
      <c r="AW851" s="62">
        <f>IF(E851="","",IF(G851&lt;&gt;"",G851,IF(OR(E851="Proposition envoyée",E851="Signature"),MAX(0,N(IFERROR(INDEX('Paramètres'!$R$6:$R$15,MATCH(IF(AL851&lt;&gt;"",AL851,IFERROR(INDEX('Prospects'!$AN$5:$AN$504,MATCH(C851,'Prospects'!$C$5:$C$504,0)),"")),'Paramètres'!$Q$6:$Q$15,0)),0))-N(P851)),0)))</f>
        <v/>
      </c>
      <c r="AX851" s="61">
        <f>IF(C851="","",IF(COUNTIF($C$5:C851,C851)=1,MAX($AX$4:AX850)+1,""))</f>
        <v/>
      </c>
      <c r="AY851" s="61">
        <f>IF(B851="","",HOUR(B851))</f>
        <v/>
      </c>
      <c r="AZ851" s="61">
        <f>IF(A851="","",MOD(A851-2,7)+1)</f>
        <v/>
      </c>
      <c r="BA851" s="60">
        <f>IF(C851="","",IFERROR(INDEX('Prospects'!$N$5:$N$504,MATCH(C851,'Prospects'!$C$5:$C$504,0)),""))</f>
        <v/>
      </c>
      <c r="BB851" s="61">
        <f>IF(AND(C851&lt;&gt;"",C851='Fiche prospect'!$C$4),COUNTIF($C$5:C851,C851),"")</f>
        <v/>
      </c>
    </row>
    <row r="852">
      <c r="A852" s="53" t="n"/>
      <c r="B852" s="54" t="n"/>
      <c r="C852" s="55" t="n"/>
      <c r="D852" s="55" t="n"/>
      <c r="E852" s="55" t="n"/>
      <c r="F852" s="55" t="n"/>
      <c r="G852" s="56" t="n"/>
      <c r="H852" s="57" t="n"/>
      <c r="I852" s="55" t="n"/>
      <c r="J852" s="53" t="n"/>
      <c r="K852" s="54" t="n"/>
      <c r="L852" s="55" t="n"/>
      <c r="M852" s="55" t="n"/>
      <c r="N852" s="57" t="n"/>
      <c r="O852" s="55" t="n"/>
      <c r="P852" s="56" t="n"/>
      <c r="Q852" s="55" t="n"/>
      <c r="R852" s="55" t="n"/>
      <c r="S852" s="55" t="n"/>
      <c r="T852" s="55" t="n"/>
      <c r="U852" s="55" t="n"/>
      <c r="V852" s="55" t="n"/>
      <c r="W852" s="58" t="n"/>
      <c r="X852" s="58" t="n"/>
      <c r="Y852" s="55" t="n"/>
      <c r="Z852" s="55" t="n"/>
      <c r="AA852" s="55" t="n"/>
      <c r="AB852" s="55" t="n"/>
      <c r="AC852" s="55" t="n"/>
      <c r="AD852" s="53" t="n"/>
      <c r="AE852" s="55" t="n"/>
      <c r="AF852" s="55" t="n"/>
      <c r="AG852" s="59" t="n"/>
      <c r="AH852" s="57" t="n"/>
      <c r="AI852" s="55" t="n"/>
      <c r="AJ852" s="55" t="n"/>
      <c r="AK852" s="55" t="n"/>
      <c r="AL852" s="55" t="n"/>
      <c r="AM852" s="56" t="n"/>
      <c r="AN852" s="55" t="n"/>
      <c r="AO852" s="55" t="n"/>
      <c r="AP852" s="55" t="n"/>
      <c r="AQ852" s="55" t="n"/>
      <c r="AR852" s="60">
        <f>IF(AND(C852="",E852=""),"",IF(A852="","⚠ Date manquante",IF(AND(C852="",E852&lt;&gt;"Dépense"),"⚠ Prospect manquant",IF(E852="","⚠ Action manquante",IF(AND(AU852=1,D852=""),"⚠ Canal manquant",IF(AND(W852&lt;&gt;"",COUNTIFS('Saisie'!$W$5:$W$2004,W852,'Saisie'!$C$5:$C$2004,"&lt;&gt;"&amp;C852)&gt;0),"⚠ Numéro déjà utilisé par un autre prospect",IF(AND(J852&lt;&gt;"",J852&lt;A852),"⚠ Relance avant la date de l'action",IF(A852&gt;TODAY(),"⚠ Date dans le futur","✓"))))))))</f>
        <v/>
      </c>
      <c r="AS852" s="61">
        <f>IF(AND(A852="",C852="",E852=""),"",ROW())</f>
        <v/>
      </c>
      <c r="AT852" s="61">
        <f>IF(E852&amp;F852="","",MAX(IFERROR(INDEX('Paramètres'!$J$6:$J$33,MATCH(E852,'Paramètres'!$I$6:$I$33,0)),0),IFERROR(INDEX('Paramètres'!$N$6:$N$17,MATCH(F852,'Paramètres'!$M$6:$M$17,0)),0)))</f>
        <v/>
      </c>
      <c r="AU852" s="61">
        <f>IF(E852="","",IFERROR(IF(INDEX('Paramètres'!$K$6:$K$33,MATCH(E852,'Paramètres'!$I$6:$I$33,0))="Oui",1,0),0))</f>
        <v/>
      </c>
      <c r="AV852" s="61">
        <f>IF(F852="","",IFERROR(IF(INDEX('Paramètres'!$O$6:$O$17,MATCH(F852,'Paramètres'!$M$6:$M$17,0))="Oui",1,0),0))</f>
        <v/>
      </c>
      <c r="AW852" s="62">
        <f>IF(E852="","",IF(G852&lt;&gt;"",G852,IF(OR(E852="Proposition envoyée",E852="Signature"),MAX(0,N(IFERROR(INDEX('Paramètres'!$R$6:$R$15,MATCH(IF(AL852&lt;&gt;"",AL852,IFERROR(INDEX('Prospects'!$AN$5:$AN$504,MATCH(C852,'Prospects'!$C$5:$C$504,0)),"")),'Paramètres'!$Q$6:$Q$15,0)),0))-N(P852)),0)))</f>
        <v/>
      </c>
      <c r="AX852" s="61">
        <f>IF(C852="","",IF(COUNTIF($C$5:C852,C852)=1,MAX($AX$4:AX851)+1,""))</f>
        <v/>
      </c>
      <c r="AY852" s="61">
        <f>IF(B852="","",HOUR(B852))</f>
        <v/>
      </c>
      <c r="AZ852" s="61">
        <f>IF(A852="","",MOD(A852-2,7)+1)</f>
        <v/>
      </c>
      <c r="BA852" s="60">
        <f>IF(C852="","",IFERROR(INDEX('Prospects'!$N$5:$N$504,MATCH(C852,'Prospects'!$C$5:$C$504,0)),""))</f>
        <v/>
      </c>
      <c r="BB852" s="61">
        <f>IF(AND(C852&lt;&gt;"",C852='Fiche prospect'!$C$4),COUNTIF($C$5:C852,C852),"")</f>
        <v/>
      </c>
    </row>
    <row r="853">
      <c r="A853" s="53" t="n"/>
      <c r="B853" s="54" t="n"/>
      <c r="C853" s="55" t="n"/>
      <c r="D853" s="55" t="n"/>
      <c r="E853" s="55" t="n"/>
      <c r="F853" s="55" t="n"/>
      <c r="G853" s="56" t="n"/>
      <c r="H853" s="57" t="n"/>
      <c r="I853" s="55" t="n"/>
      <c r="J853" s="53" t="n"/>
      <c r="K853" s="54" t="n"/>
      <c r="L853" s="55" t="n"/>
      <c r="M853" s="55" t="n"/>
      <c r="N853" s="57" t="n"/>
      <c r="O853" s="55" t="n"/>
      <c r="P853" s="56" t="n"/>
      <c r="Q853" s="55" t="n"/>
      <c r="R853" s="55" t="n"/>
      <c r="S853" s="55" t="n"/>
      <c r="T853" s="55" t="n"/>
      <c r="U853" s="55" t="n"/>
      <c r="V853" s="55" t="n"/>
      <c r="W853" s="58" t="n"/>
      <c r="X853" s="58" t="n"/>
      <c r="Y853" s="55" t="n"/>
      <c r="Z853" s="55" t="n"/>
      <c r="AA853" s="55" t="n"/>
      <c r="AB853" s="55" t="n"/>
      <c r="AC853" s="55" t="n"/>
      <c r="AD853" s="53" t="n"/>
      <c r="AE853" s="55" t="n"/>
      <c r="AF853" s="55" t="n"/>
      <c r="AG853" s="59" t="n"/>
      <c r="AH853" s="57" t="n"/>
      <c r="AI853" s="55" t="n"/>
      <c r="AJ853" s="55" t="n"/>
      <c r="AK853" s="55" t="n"/>
      <c r="AL853" s="55" t="n"/>
      <c r="AM853" s="56" t="n"/>
      <c r="AN853" s="55" t="n"/>
      <c r="AO853" s="55" t="n"/>
      <c r="AP853" s="55" t="n"/>
      <c r="AQ853" s="55" t="n"/>
      <c r="AR853" s="60">
        <f>IF(AND(C853="",E853=""),"",IF(A853="","⚠ Date manquante",IF(AND(C853="",E853&lt;&gt;"Dépense"),"⚠ Prospect manquant",IF(E853="","⚠ Action manquante",IF(AND(AU853=1,D853=""),"⚠ Canal manquant",IF(AND(W853&lt;&gt;"",COUNTIFS('Saisie'!$W$5:$W$2004,W853,'Saisie'!$C$5:$C$2004,"&lt;&gt;"&amp;C853)&gt;0),"⚠ Numéro déjà utilisé par un autre prospect",IF(AND(J853&lt;&gt;"",J853&lt;A853),"⚠ Relance avant la date de l'action",IF(A853&gt;TODAY(),"⚠ Date dans le futur","✓"))))))))</f>
        <v/>
      </c>
      <c r="AS853" s="61">
        <f>IF(AND(A853="",C853="",E853=""),"",ROW())</f>
        <v/>
      </c>
      <c r="AT853" s="61">
        <f>IF(E853&amp;F853="","",MAX(IFERROR(INDEX('Paramètres'!$J$6:$J$33,MATCH(E853,'Paramètres'!$I$6:$I$33,0)),0),IFERROR(INDEX('Paramètres'!$N$6:$N$17,MATCH(F853,'Paramètres'!$M$6:$M$17,0)),0)))</f>
        <v/>
      </c>
      <c r="AU853" s="61">
        <f>IF(E853="","",IFERROR(IF(INDEX('Paramètres'!$K$6:$K$33,MATCH(E853,'Paramètres'!$I$6:$I$33,0))="Oui",1,0),0))</f>
        <v/>
      </c>
      <c r="AV853" s="61">
        <f>IF(F853="","",IFERROR(IF(INDEX('Paramètres'!$O$6:$O$17,MATCH(F853,'Paramètres'!$M$6:$M$17,0))="Oui",1,0),0))</f>
        <v/>
      </c>
      <c r="AW853" s="62">
        <f>IF(E853="","",IF(G853&lt;&gt;"",G853,IF(OR(E853="Proposition envoyée",E853="Signature"),MAX(0,N(IFERROR(INDEX('Paramètres'!$R$6:$R$15,MATCH(IF(AL853&lt;&gt;"",AL853,IFERROR(INDEX('Prospects'!$AN$5:$AN$504,MATCH(C853,'Prospects'!$C$5:$C$504,0)),"")),'Paramètres'!$Q$6:$Q$15,0)),0))-N(P853)),0)))</f>
        <v/>
      </c>
      <c r="AX853" s="61">
        <f>IF(C853="","",IF(COUNTIF($C$5:C853,C853)=1,MAX($AX$4:AX852)+1,""))</f>
        <v/>
      </c>
      <c r="AY853" s="61">
        <f>IF(B853="","",HOUR(B853))</f>
        <v/>
      </c>
      <c r="AZ853" s="61">
        <f>IF(A853="","",MOD(A853-2,7)+1)</f>
        <v/>
      </c>
      <c r="BA853" s="60">
        <f>IF(C853="","",IFERROR(INDEX('Prospects'!$N$5:$N$504,MATCH(C853,'Prospects'!$C$5:$C$504,0)),""))</f>
        <v/>
      </c>
      <c r="BB853" s="61">
        <f>IF(AND(C853&lt;&gt;"",C853='Fiche prospect'!$C$4),COUNTIF($C$5:C853,C853),"")</f>
        <v/>
      </c>
    </row>
    <row r="854">
      <c r="A854" s="53" t="n"/>
      <c r="B854" s="54" t="n"/>
      <c r="C854" s="55" t="n"/>
      <c r="D854" s="55" t="n"/>
      <c r="E854" s="55" t="n"/>
      <c r="F854" s="55" t="n"/>
      <c r="G854" s="56" t="n"/>
      <c r="H854" s="57" t="n"/>
      <c r="I854" s="55" t="n"/>
      <c r="J854" s="53" t="n"/>
      <c r="K854" s="54" t="n"/>
      <c r="L854" s="55" t="n"/>
      <c r="M854" s="55" t="n"/>
      <c r="N854" s="57" t="n"/>
      <c r="O854" s="55" t="n"/>
      <c r="P854" s="56" t="n"/>
      <c r="Q854" s="55" t="n"/>
      <c r="R854" s="55" t="n"/>
      <c r="S854" s="55" t="n"/>
      <c r="T854" s="55" t="n"/>
      <c r="U854" s="55" t="n"/>
      <c r="V854" s="55" t="n"/>
      <c r="W854" s="58" t="n"/>
      <c r="X854" s="58" t="n"/>
      <c r="Y854" s="55" t="n"/>
      <c r="Z854" s="55" t="n"/>
      <c r="AA854" s="55" t="n"/>
      <c r="AB854" s="55" t="n"/>
      <c r="AC854" s="55" t="n"/>
      <c r="AD854" s="53" t="n"/>
      <c r="AE854" s="55" t="n"/>
      <c r="AF854" s="55" t="n"/>
      <c r="AG854" s="59" t="n"/>
      <c r="AH854" s="57" t="n"/>
      <c r="AI854" s="55" t="n"/>
      <c r="AJ854" s="55" t="n"/>
      <c r="AK854" s="55" t="n"/>
      <c r="AL854" s="55" t="n"/>
      <c r="AM854" s="56" t="n"/>
      <c r="AN854" s="55" t="n"/>
      <c r="AO854" s="55" t="n"/>
      <c r="AP854" s="55" t="n"/>
      <c r="AQ854" s="55" t="n"/>
      <c r="AR854" s="60">
        <f>IF(AND(C854="",E854=""),"",IF(A854="","⚠ Date manquante",IF(AND(C854="",E854&lt;&gt;"Dépense"),"⚠ Prospect manquant",IF(E854="","⚠ Action manquante",IF(AND(AU854=1,D854=""),"⚠ Canal manquant",IF(AND(W854&lt;&gt;"",COUNTIFS('Saisie'!$W$5:$W$2004,W854,'Saisie'!$C$5:$C$2004,"&lt;&gt;"&amp;C854)&gt;0),"⚠ Numéro déjà utilisé par un autre prospect",IF(AND(J854&lt;&gt;"",J854&lt;A854),"⚠ Relance avant la date de l'action",IF(A854&gt;TODAY(),"⚠ Date dans le futur","✓"))))))))</f>
        <v/>
      </c>
      <c r="AS854" s="61">
        <f>IF(AND(A854="",C854="",E854=""),"",ROW())</f>
        <v/>
      </c>
      <c r="AT854" s="61">
        <f>IF(E854&amp;F854="","",MAX(IFERROR(INDEX('Paramètres'!$J$6:$J$33,MATCH(E854,'Paramètres'!$I$6:$I$33,0)),0),IFERROR(INDEX('Paramètres'!$N$6:$N$17,MATCH(F854,'Paramètres'!$M$6:$M$17,0)),0)))</f>
        <v/>
      </c>
      <c r="AU854" s="61">
        <f>IF(E854="","",IFERROR(IF(INDEX('Paramètres'!$K$6:$K$33,MATCH(E854,'Paramètres'!$I$6:$I$33,0))="Oui",1,0),0))</f>
        <v/>
      </c>
      <c r="AV854" s="61">
        <f>IF(F854="","",IFERROR(IF(INDEX('Paramètres'!$O$6:$O$17,MATCH(F854,'Paramètres'!$M$6:$M$17,0))="Oui",1,0),0))</f>
        <v/>
      </c>
      <c r="AW854" s="62">
        <f>IF(E854="","",IF(G854&lt;&gt;"",G854,IF(OR(E854="Proposition envoyée",E854="Signature"),MAX(0,N(IFERROR(INDEX('Paramètres'!$R$6:$R$15,MATCH(IF(AL854&lt;&gt;"",AL854,IFERROR(INDEX('Prospects'!$AN$5:$AN$504,MATCH(C854,'Prospects'!$C$5:$C$504,0)),"")),'Paramètres'!$Q$6:$Q$15,0)),0))-N(P854)),0)))</f>
        <v/>
      </c>
      <c r="AX854" s="61">
        <f>IF(C854="","",IF(COUNTIF($C$5:C854,C854)=1,MAX($AX$4:AX853)+1,""))</f>
        <v/>
      </c>
      <c r="AY854" s="61">
        <f>IF(B854="","",HOUR(B854))</f>
        <v/>
      </c>
      <c r="AZ854" s="61">
        <f>IF(A854="","",MOD(A854-2,7)+1)</f>
        <v/>
      </c>
      <c r="BA854" s="60">
        <f>IF(C854="","",IFERROR(INDEX('Prospects'!$N$5:$N$504,MATCH(C854,'Prospects'!$C$5:$C$504,0)),""))</f>
        <v/>
      </c>
      <c r="BB854" s="61">
        <f>IF(AND(C854&lt;&gt;"",C854='Fiche prospect'!$C$4),COUNTIF($C$5:C854,C854),"")</f>
        <v/>
      </c>
    </row>
    <row r="855">
      <c r="A855" s="53" t="n"/>
      <c r="B855" s="54" t="n"/>
      <c r="C855" s="55" t="n"/>
      <c r="D855" s="55" t="n"/>
      <c r="E855" s="55" t="n"/>
      <c r="F855" s="55" t="n"/>
      <c r="G855" s="56" t="n"/>
      <c r="H855" s="57" t="n"/>
      <c r="I855" s="55" t="n"/>
      <c r="J855" s="53" t="n"/>
      <c r="K855" s="54" t="n"/>
      <c r="L855" s="55" t="n"/>
      <c r="M855" s="55" t="n"/>
      <c r="N855" s="57" t="n"/>
      <c r="O855" s="55" t="n"/>
      <c r="P855" s="56" t="n"/>
      <c r="Q855" s="55" t="n"/>
      <c r="R855" s="55" t="n"/>
      <c r="S855" s="55" t="n"/>
      <c r="T855" s="55" t="n"/>
      <c r="U855" s="55" t="n"/>
      <c r="V855" s="55" t="n"/>
      <c r="W855" s="58" t="n"/>
      <c r="X855" s="58" t="n"/>
      <c r="Y855" s="55" t="n"/>
      <c r="Z855" s="55" t="n"/>
      <c r="AA855" s="55" t="n"/>
      <c r="AB855" s="55" t="n"/>
      <c r="AC855" s="55" t="n"/>
      <c r="AD855" s="53" t="n"/>
      <c r="AE855" s="55" t="n"/>
      <c r="AF855" s="55" t="n"/>
      <c r="AG855" s="59" t="n"/>
      <c r="AH855" s="57" t="n"/>
      <c r="AI855" s="55" t="n"/>
      <c r="AJ855" s="55" t="n"/>
      <c r="AK855" s="55" t="n"/>
      <c r="AL855" s="55" t="n"/>
      <c r="AM855" s="56" t="n"/>
      <c r="AN855" s="55" t="n"/>
      <c r="AO855" s="55" t="n"/>
      <c r="AP855" s="55" t="n"/>
      <c r="AQ855" s="55" t="n"/>
      <c r="AR855" s="60">
        <f>IF(AND(C855="",E855=""),"",IF(A855="","⚠ Date manquante",IF(AND(C855="",E855&lt;&gt;"Dépense"),"⚠ Prospect manquant",IF(E855="","⚠ Action manquante",IF(AND(AU855=1,D855=""),"⚠ Canal manquant",IF(AND(W855&lt;&gt;"",COUNTIFS('Saisie'!$W$5:$W$2004,W855,'Saisie'!$C$5:$C$2004,"&lt;&gt;"&amp;C855)&gt;0),"⚠ Numéro déjà utilisé par un autre prospect",IF(AND(J855&lt;&gt;"",J855&lt;A855),"⚠ Relance avant la date de l'action",IF(A855&gt;TODAY(),"⚠ Date dans le futur","✓"))))))))</f>
        <v/>
      </c>
      <c r="AS855" s="61">
        <f>IF(AND(A855="",C855="",E855=""),"",ROW())</f>
        <v/>
      </c>
      <c r="AT855" s="61">
        <f>IF(E855&amp;F855="","",MAX(IFERROR(INDEX('Paramètres'!$J$6:$J$33,MATCH(E855,'Paramètres'!$I$6:$I$33,0)),0),IFERROR(INDEX('Paramètres'!$N$6:$N$17,MATCH(F855,'Paramètres'!$M$6:$M$17,0)),0)))</f>
        <v/>
      </c>
      <c r="AU855" s="61">
        <f>IF(E855="","",IFERROR(IF(INDEX('Paramètres'!$K$6:$K$33,MATCH(E855,'Paramètres'!$I$6:$I$33,0))="Oui",1,0),0))</f>
        <v/>
      </c>
      <c r="AV855" s="61">
        <f>IF(F855="","",IFERROR(IF(INDEX('Paramètres'!$O$6:$O$17,MATCH(F855,'Paramètres'!$M$6:$M$17,0))="Oui",1,0),0))</f>
        <v/>
      </c>
      <c r="AW855" s="62">
        <f>IF(E855="","",IF(G855&lt;&gt;"",G855,IF(OR(E855="Proposition envoyée",E855="Signature"),MAX(0,N(IFERROR(INDEX('Paramètres'!$R$6:$R$15,MATCH(IF(AL855&lt;&gt;"",AL855,IFERROR(INDEX('Prospects'!$AN$5:$AN$504,MATCH(C855,'Prospects'!$C$5:$C$504,0)),"")),'Paramètres'!$Q$6:$Q$15,0)),0))-N(P855)),0)))</f>
        <v/>
      </c>
      <c r="AX855" s="61">
        <f>IF(C855="","",IF(COUNTIF($C$5:C855,C855)=1,MAX($AX$4:AX854)+1,""))</f>
        <v/>
      </c>
      <c r="AY855" s="61">
        <f>IF(B855="","",HOUR(B855))</f>
        <v/>
      </c>
      <c r="AZ855" s="61">
        <f>IF(A855="","",MOD(A855-2,7)+1)</f>
        <v/>
      </c>
      <c r="BA855" s="60">
        <f>IF(C855="","",IFERROR(INDEX('Prospects'!$N$5:$N$504,MATCH(C855,'Prospects'!$C$5:$C$504,0)),""))</f>
        <v/>
      </c>
      <c r="BB855" s="61">
        <f>IF(AND(C855&lt;&gt;"",C855='Fiche prospect'!$C$4),COUNTIF($C$5:C855,C855),"")</f>
        <v/>
      </c>
    </row>
    <row r="856">
      <c r="A856" s="53" t="n"/>
      <c r="B856" s="54" t="n"/>
      <c r="C856" s="55" t="n"/>
      <c r="D856" s="55" t="n"/>
      <c r="E856" s="55" t="n"/>
      <c r="F856" s="55" t="n"/>
      <c r="G856" s="56" t="n"/>
      <c r="H856" s="57" t="n"/>
      <c r="I856" s="55" t="n"/>
      <c r="J856" s="53" t="n"/>
      <c r="K856" s="54" t="n"/>
      <c r="L856" s="55" t="n"/>
      <c r="M856" s="55" t="n"/>
      <c r="N856" s="57" t="n"/>
      <c r="O856" s="55" t="n"/>
      <c r="P856" s="56" t="n"/>
      <c r="Q856" s="55" t="n"/>
      <c r="R856" s="55" t="n"/>
      <c r="S856" s="55" t="n"/>
      <c r="T856" s="55" t="n"/>
      <c r="U856" s="55" t="n"/>
      <c r="V856" s="55" t="n"/>
      <c r="W856" s="58" t="n"/>
      <c r="X856" s="58" t="n"/>
      <c r="Y856" s="55" t="n"/>
      <c r="Z856" s="55" t="n"/>
      <c r="AA856" s="55" t="n"/>
      <c r="AB856" s="55" t="n"/>
      <c r="AC856" s="55" t="n"/>
      <c r="AD856" s="53" t="n"/>
      <c r="AE856" s="55" t="n"/>
      <c r="AF856" s="55" t="n"/>
      <c r="AG856" s="59" t="n"/>
      <c r="AH856" s="57" t="n"/>
      <c r="AI856" s="55" t="n"/>
      <c r="AJ856" s="55" t="n"/>
      <c r="AK856" s="55" t="n"/>
      <c r="AL856" s="55" t="n"/>
      <c r="AM856" s="56" t="n"/>
      <c r="AN856" s="55" t="n"/>
      <c r="AO856" s="55" t="n"/>
      <c r="AP856" s="55" t="n"/>
      <c r="AQ856" s="55" t="n"/>
      <c r="AR856" s="60">
        <f>IF(AND(C856="",E856=""),"",IF(A856="","⚠ Date manquante",IF(AND(C856="",E856&lt;&gt;"Dépense"),"⚠ Prospect manquant",IF(E856="","⚠ Action manquante",IF(AND(AU856=1,D856=""),"⚠ Canal manquant",IF(AND(W856&lt;&gt;"",COUNTIFS('Saisie'!$W$5:$W$2004,W856,'Saisie'!$C$5:$C$2004,"&lt;&gt;"&amp;C856)&gt;0),"⚠ Numéro déjà utilisé par un autre prospect",IF(AND(J856&lt;&gt;"",J856&lt;A856),"⚠ Relance avant la date de l'action",IF(A856&gt;TODAY(),"⚠ Date dans le futur","✓"))))))))</f>
        <v/>
      </c>
      <c r="AS856" s="61">
        <f>IF(AND(A856="",C856="",E856=""),"",ROW())</f>
        <v/>
      </c>
      <c r="AT856" s="61">
        <f>IF(E856&amp;F856="","",MAX(IFERROR(INDEX('Paramètres'!$J$6:$J$33,MATCH(E856,'Paramètres'!$I$6:$I$33,0)),0),IFERROR(INDEX('Paramètres'!$N$6:$N$17,MATCH(F856,'Paramètres'!$M$6:$M$17,0)),0)))</f>
        <v/>
      </c>
      <c r="AU856" s="61">
        <f>IF(E856="","",IFERROR(IF(INDEX('Paramètres'!$K$6:$K$33,MATCH(E856,'Paramètres'!$I$6:$I$33,0))="Oui",1,0),0))</f>
        <v/>
      </c>
      <c r="AV856" s="61">
        <f>IF(F856="","",IFERROR(IF(INDEX('Paramètres'!$O$6:$O$17,MATCH(F856,'Paramètres'!$M$6:$M$17,0))="Oui",1,0),0))</f>
        <v/>
      </c>
      <c r="AW856" s="62">
        <f>IF(E856="","",IF(G856&lt;&gt;"",G856,IF(OR(E856="Proposition envoyée",E856="Signature"),MAX(0,N(IFERROR(INDEX('Paramètres'!$R$6:$R$15,MATCH(IF(AL856&lt;&gt;"",AL856,IFERROR(INDEX('Prospects'!$AN$5:$AN$504,MATCH(C856,'Prospects'!$C$5:$C$504,0)),"")),'Paramètres'!$Q$6:$Q$15,0)),0))-N(P856)),0)))</f>
        <v/>
      </c>
      <c r="AX856" s="61">
        <f>IF(C856="","",IF(COUNTIF($C$5:C856,C856)=1,MAX($AX$4:AX855)+1,""))</f>
        <v/>
      </c>
      <c r="AY856" s="61">
        <f>IF(B856="","",HOUR(B856))</f>
        <v/>
      </c>
      <c r="AZ856" s="61">
        <f>IF(A856="","",MOD(A856-2,7)+1)</f>
        <v/>
      </c>
      <c r="BA856" s="60">
        <f>IF(C856="","",IFERROR(INDEX('Prospects'!$N$5:$N$504,MATCH(C856,'Prospects'!$C$5:$C$504,0)),""))</f>
        <v/>
      </c>
      <c r="BB856" s="61">
        <f>IF(AND(C856&lt;&gt;"",C856='Fiche prospect'!$C$4),COUNTIF($C$5:C856,C856),"")</f>
        <v/>
      </c>
    </row>
    <row r="857">
      <c r="A857" s="53" t="n"/>
      <c r="B857" s="54" t="n"/>
      <c r="C857" s="55" t="n"/>
      <c r="D857" s="55" t="n"/>
      <c r="E857" s="55" t="n"/>
      <c r="F857" s="55" t="n"/>
      <c r="G857" s="56" t="n"/>
      <c r="H857" s="57" t="n"/>
      <c r="I857" s="55" t="n"/>
      <c r="J857" s="53" t="n"/>
      <c r="K857" s="54" t="n"/>
      <c r="L857" s="55" t="n"/>
      <c r="M857" s="55" t="n"/>
      <c r="N857" s="57" t="n"/>
      <c r="O857" s="55" t="n"/>
      <c r="P857" s="56" t="n"/>
      <c r="Q857" s="55" t="n"/>
      <c r="R857" s="55" t="n"/>
      <c r="S857" s="55" t="n"/>
      <c r="T857" s="55" t="n"/>
      <c r="U857" s="55" t="n"/>
      <c r="V857" s="55" t="n"/>
      <c r="W857" s="58" t="n"/>
      <c r="X857" s="58" t="n"/>
      <c r="Y857" s="55" t="n"/>
      <c r="Z857" s="55" t="n"/>
      <c r="AA857" s="55" t="n"/>
      <c r="AB857" s="55" t="n"/>
      <c r="AC857" s="55" t="n"/>
      <c r="AD857" s="53" t="n"/>
      <c r="AE857" s="55" t="n"/>
      <c r="AF857" s="55" t="n"/>
      <c r="AG857" s="59" t="n"/>
      <c r="AH857" s="57" t="n"/>
      <c r="AI857" s="55" t="n"/>
      <c r="AJ857" s="55" t="n"/>
      <c r="AK857" s="55" t="n"/>
      <c r="AL857" s="55" t="n"/>
      <c r="AM857" s="56" t="n"/>
      <c r="AN857" s="55" t="n"/>
      <c r="AO857" s="55" t="n"/>
      <c r="AP857" s="55" t="n"/>
      <c r="AQ857" s="55" t="n"/>
      <c r="AR857" s="60">
        <f>IF(AND(C857="",E857=""),"",IF(A857="","⚠ Date manquante",IF(AND(C857="",E857&lt;&gt;"Dépense"),"⚠ Prospect manquant",IF(E857="","⚠ Action manquante",IF(AND(AU857=1,D857=""),"⚠ Canal manquant",IF(AND(W857&lt;&gt;"",COUNTIFS('Saisie'!$W$5:$W$2004,W857,'Saisie'!$C$5:$C$2004,"&lt;&gt;"&amp;C857)&gt;0),"⚠ Numéro déjà utilisé par un autre prospect",IF(AND(J857&lt;&gt;"",J857&lt;A857),"⚠ Relance avant la date de l'action",IF(A857&gt;TODAY(),"⚠ Date dans le futur","✓"))))))))</f>
        <v/>
      </c>
      <c r="AS857" s="61">
        <f>IF(AND(A857="",C857="",E857=""),"",ROW())</f>
        <v/>
      </c>
      <c r="AT857" s="61">
        <f>IF(E857&amp;F857="","",MAX(IFERROR(INDEX('Paramètres'!$J$6:$J$33,MATCH(E857,'Paramètres'!$I$6:$I$33,0)),0),IFERROR(INDEX('Paramètres'!$N$6:$N$17,MATCH(F857,'Paramètres'!$M$6:$M$17,0)),0)))</f>
        <v/>
      </c>
      <c r="AU857" s="61">
        <f>IF(E857="","",IFERROR(IF(INDEX('Paramètres'!$K$6:$K$33,MATCH(E857,'Paramètres'!$I$6:$I$33,0))="Oui",1,0),0))</f>
        <v/>
      </c>
      <c r="AV857" s="61">
        <f>IF(F857="","",IFERROR(IF(INDEX('Paramètres'!$O$6:$O$17,MATCH(F857,'Paramètres'!$M$6:$M$17,0))="Oui",1,0),0))</f>
        <v/>
      </c>
      <c r="AW857" s="62">
        <f>IF(E857="","",IF(G857&lt;&gt;"",G857,IF(OR(E857="Proposition envoyée",E857="Signature"),MAX(0,N(IFERROR(INDEX('Paramètres'!$R$6:$R$15,MATCH(IF(AL857&lt;&gt;"",AL857,IFERROR(INDEX('Prospects'!$AN$5:$AN$504,MATCH(C857,'Prospects'!$C$5:$C$504,0)),"")),'Paramètres'!$Q$6:$Q$15,0)),0))-N(P857)),0)))</f>
        <v/>
      </c>
      <c r="AX857" s="61">
        <f>IF(C857="","",IF(COUNTIF($C$5:C857,C857)=1,MAX($AX$4:AX856)+1,""))</f>
        <v/>
      </c>
      <c r="AY857" s="61">
        <f>IF(B857="","",HOUR(B857))</f>
        <v/>
      </c>
      <c r="AZ857" s="61">
        <f>IF(A857="","",MOD(A857-2,7)+1)</f>
        <v/>
      </c>
      <c r="BA857" s="60">
        <f>IF(C857="","",IFERROR(INDEX('Prospects'!$N$5:$N$504,MATCH(C857,'Prospects'!$C$5:$C$504,0)),""))</f>
        <v/>
      </c>
      <c r="BB857" s="61">
        <f>IF(AND(C857&lt;&gt;"",C857='Fiche prospect'!$C$4),COUNTIF($C$5:C857,C857),"")</f>
        <v/>
      </c>
    </row>
    <row r="858">
      <c r="A858" s="53" t="n"/>
      <c r="B858" s="54" t="n"/>
      <c r="C858" s="55" t="n"/>
      <c r="D858" s="55" t="n"/>
      <c r="E858" s="55" t="n"/>
      <c r="F858" s="55" t="n"/>
      <c r="G858" s="56" t="n"/>
      <c r="H858" s="57" t="n"/>
      <c r="I858" s="55" t="n"/>
      <c r="J858" s="53" t="n"/>
      <c r="K858" s="54" t="n"/>
      <c r="L858" s="55" t="n"/>
      <c r="M858" s="55" t="n"/>
      <c r="N858" s="57" t="n"/>
      <c r="O858" s="55" t="n"/>
      <c r="P858" s="56" t="n"/>
      <c r="Q858" s="55" t="n"/>
      <c r="R858" s="55" t="n"/>
      <c r="S858" s="55" t="n"/>
      <c r="T858" s="55" t="n"/>
      <c r="U858" s="55" t="n"/>
      <c r="V858" s="55" t="n"/>
      <c r="W858" s="58" t="n"/>
      <c r="X858" s="58" t="n"/>
      <c r="Y858" s="55" t="n"/>
      <c r="Z858" s="55" t="n"/>
      <c r="AA858" s="55" t="n"/>
      <c r="AB858" s="55" t="n"/>
      <c r="AC858" s="55" t="n"/>
      <c r="AD858" s="53" t="n"/>
      <c r="AE858" s="55" t="n"/>
      <c r="AF858" s="55" t="n"/>
      <c r="AG858" s="59" t="n"/>
      <c r="AH858" s="57" t="n"/>
      <c r="AI858" s="55" t="n"/>
      <c r="AJ858" s="55" t="n"/>
      <c r="AK858" s="55" t="n"/>
      <c r="AL858" s="55" t="n"/>
      <c r="AM858" s="56" t="n"/>
      <c r="AN858" s="55" t="n"/>
      <c r="AO858" s="55" t="n"/>
      <c r="AP858" s="55" t="n"/>
      <c r="AQ858" s="55" t="n"/>
      <c r="AR858" s="60">
        <f>IF(AND(C858="",E858=""),"",IF(A858="","⚠ Date manquante",IF(AND(C858="",E858&lt;&gt;"Dépense"),"⚠ Prospect manquant",IF(E858="","⚠ Action manquante",IF(AND(AU858=1,D858=""),"⚠ Canal manquant",IF(AND(W858&lt;&gt;"",COUNTIFS('Saisie'!$W$5:$W$2004,W858,'Saisie'!$C$5:$C$2004,"&lt;&gt;"&amp;C858)&gt;0),"⚠ Numéro déjà utilisé par un autre prospect",IF(AND(J858&lt;&gt;"",J858&lt;A858),"⚠ Relance avant la date de l'action",IF(A858&gt;TODAY(),"⚠ Date dans le futur","✓"))))))))</f>
        <v/>
      </c>
      <c r="AS858" s="61">
        <f>IF(AND(A858="",C858="",E858=""),"",ROW())</f>
        <v/>
      </c>
      <c r="AT858" s="61">
        <f>IF(E858&amp;F858="","",MAX(IFERROR(INDEX('Paramètres'!$J$6:$J$33,MATCH(E858,'Paramètres'!$I$6:$I$33,0)),0),IFERROR(INDEX('Paramètres'!$N$6:$N$17,MATCH(F858,'Paramètres'!$M$6:$M$17,0)),0)))</f>
        <v/>
      </c>
      <c r="AU858" s="61">
        <f>IF(E858="","",IFERROR(IF(INDEX('Paramètres'!$K$6:$K$33,MATCH(E858,'Paramètres'!$I$6:$I$33,0))="Oui",1,0),0))</f>
        <v/>
      </c>
      <c r="AV858" s="61">
        <f>IF(F858="","",IFERROR(IF(INDEX('Paramètres'!$O$6:$O$17,MATCH(F858,'Paramètres'!$M$6:$M$17,0))="Oui",1,0),0))</f>
        <v/>
      </c>
      <c r="AW858" s="62">
        <f>IF(E858="","",IF(G858&lt;&gt;"",G858,IF(OR(E858="Proposition envoyée",E858="Signature"),MAX(0,N(IFERROR(INDEX('Paramètres'!$R$6:$R$15,MATCH(IF(AL858&lt;&gt;"",AL858,IFERROR(INDEX('Prospects'!$AN$5:$AN$504,MATCH(C858,'Prospects'!$C$5:$C$504,0)),"")),'Paramètres'!$Q$6:$Q$15,0)),0))-N(P858)),0)))</f>
        <v/>
      </c>
      <c r="AX858" s="61">
        <f>IF(C858="","",IF(COUNTIF($C$5:C858,C858)=1,MAX($AX$4:AX857)+1,""))</f>
        <v/>
      </c>
      <c r="AY858" s="61">
        <f>IF(B858="","",HOUR(B858))</f>
        <v/>
      </c>
      <c r="AZ858" s="61">
        <f>IF(A858="","",MOD(A858-2,7)+1)</f>
        <v/>
      </c>
      <c r="BA858" s="60">
        <f>IF(C858="","",IFERROR(INDEX('Prospects'!$N$5:$N$504,MATCH(C858,'Prospects'!$C$5:$C$504,0)),""))</f>
        <v/>
      </c>
      <c r="BB858" s="61">
        <f>IF(AND(C858&lt;&gt;"",C858='Fiche prospect'!$C$4),COUNTIF($C$5:C858,C858),"")</f>
        <v/>
      </c>
    </row>
    <row r="859">
      <c r="A859" s="53" t="n"/>
      <c r="B859" s="54" t="n"/>
      <c r="C859" s="55" t="n"/>
      <c r="D859" s="55" t="n"/>
      <c r="E859" s="55" t="n"/>
      <c r="F859" s="55" t="n"/>
      <c r="G859" s="56" t="n"/>
      <c r="H859" s="57" t="n"/>
      <c r="I859" s="55" t="n"/>
      <c r="J859" s="53" t="n"/>
      <c r="K859" s="54" t="n"/>
      <c r="L859" s="55" t="n"/>
      <c r="M859" s="55" t="n"/>
      <c r="N859" s="57" t="n"/>
      <c r="O859" s="55" t="n"/>
      <c r="P859" s="56" t="n"/>
      <c r="Q859" s="55" t="n"/>
      <c r="R859" s="55" t="n"/>
      <c r="S859" s="55" t="n"/>
      <c r="T859" s="55" t="n"/>
      <c r="U859" s="55" t="n"/>
      <c r="V859" s="55" t="n"/>
      <c r="W859" s="58" t="n"/>
      <c r="X859" s="58" t="n"/>
      <c r="Y859" s="55" t="n"/>
      <c r="Z859" s="55" t="n"/>
      <c r="AA859" s="55" t="n"/>
      <c r="AB859" s="55" t="n"/>
      <c r="AC859" s="55" t="n"/>
      <c r="AD859" s="53" t="n"/>
      <c r="AE859" s="55" t="n"/>
      <c r="AF859" s="55" t="n"/>
      <c r="AG859" s="59" t="n"/>
      <c r="AH859" s="57" t="n"/>
      <c r="AI859" s="55" t="n"/>
      <c r="AJ859" s="55" t="n"/>
      <c r="AK859" s="55" t="n"/>
      <c r="AL859" s="55" t="n"/>
      <c r="AM859" s="56" t="n"/>
      <c r="AN859" s="55" t="n"/>
      <c r="AO859" s="55" t="n"/>
      <c r="AP859" s="55" t="n"/>
      <c r="AQ859" s="55" t="n"/>
      <c r="AR859" s="60">
        <f>IF(AND(C859="",E859=""),"",IF(A859="","⚠ Date manquante",IF(AND(C859="",E859&lt;&gt;"Dépense"),"⚠ Prospect manquant",IF(E859="","⚠ Action manquante",IF(AND(AU859=1,D859=""),"⚠ Canal manquant",IF(AND(W859&lt;&gt;"",COUNTIFS('Saisie'!$W$5:$W$2004,W859,'Saisie'!$C$5:$C$2004,"&lt;&gt;"&amp;C859)&gt;0),"⚠ Numéro déjà utilisé par un autre prospect",IF(AND(J859&lt;&gt;"",J859&lt;A859),"⚠ Relance avant la date de l'action",IF(A859&gt;TODAY(),"⚠ Date dans le futur","✓"))))))))</f>
        <v/>
      </c>
      <c r="AS859" s="61">
        <f>IF(AND(A859="",C859="",E859=""),"",ROW())</f>
        <v/>
      </c>
      <c r="AT859" s="61">
        <f>IF(E859&amp;F859="","",MAX(IFERROR(INDEX('Paramètres'!$J$6:$J$33,MATCH(E859,'Paramètres'!$I$6:$I$33,0)),0),IFERROR(INDEX('Paramètres'!$N$6:$N$17,MATCH(F859,'Paramètres'!$M$6:$M$17,0)),0)))</f>
        <v/>
      </c>
      <c r="AU859" s="61">
        <f>IF(E859="","",IFERROR(IF(INDEX('Paramètres'!$K$6:$K$33,MATCH(E859,'Paramètres'!$I$6:$I$33,0))="Oui",1,0),0))</f>
        <v/>
      </c>
      <c r="AV859" s="61">
        <f>IF(F859="","",IFERROR(IF(INDEX('Paramètres'!$O$6:$O$17,MATCH(F859,'Paramètres'!$M$6:$M$17,0))="Oui",1,0),0))</f>
        <v/>
      </c>
      <c r="AW859" s="62">
        <f>IF(E859="","",IF(G859&lt;&gt;"",G859,IF(OR(E859="Proposition envoyée",E859="Signature"),MAX(0,N(IFERROR(INDEX('Paramètres'!$R$6:$R$15,MATCH(IF(AL859&lt;&gt;"",AL859,IFERROR(INDEX('Prospects'!$AN$5:$AN$504,MATCH(C859,'Prospects'!$C$5:$C$504,0)),"")),'Paramètres'!$Q$6:$Q$15,0)),0))-N(P859)),0)))</f>
        <v/>
      </c>
      <c r="AX859" s="61">
        <f>IF(C859="","",IF(COUNTIF($C$5:C859,C859)=1,MAX($AX$4:AX858)+1,""))</f>
        <v/>
      </c>
      <c r="AY859" s="61">
        <f>IF(B859="","",HOUR(B859))</f>
        <v/>
      </c>
      <c r="AZ859" s="61">
        <f>IF(A859="","",MOD(A859-2,7)+1)</f>
        <v/>
      </c>
      <c r="BA859" s="60">
        <f>IF(C859="","",IFERROR(INDEX('Prospects'!$N$5:$N$504,MATCH(C859,'Prospects'!$C$5:$C$504,0)),""))</f>
        <v/>
      </c>
      <c r="BB859" s="61">
        <f>IF(AND(C859&lt;&gt;"",C859='Fiche prospect'!$C$4),COUNTIF($C$5:C859,C859),"")</f>
        <v/>
      </c>
    </row>
    <row r="860">
      <c r="A860" s="53" t="n"/>
      <c r="B860" s="54" t="n"/>
      <c r="C860" s="55" t="n"/>
      <c r="D860" s="55" t="n"/>
      <c r="E860" s="55" t="n"/>
      <c r="F860" s="55" t="n"/>
      <c r="G860" s="56" t="n"/>
      <c r="H860" s="57" t="n"/>
      <c r="I860" s="55" t="n"/>
      <c r="J860" s="53" t="n"/>
      <c r="K860" s="54" t="n"/>
      <c r="L860" s="55" t="n"/>
      <c r="M860" s="55" t="n"/>
      <c r="N860" s="57" t="n"/>
      <c r="O860" s="55" t="n"/>
      <c r="P860" s="56" t="n"/>
      <c r="Q860" s="55" t="n"/>
      <c r="R860" s="55" t="n"/>
      <c r="S860" s="55" t="n"/>
      <c r="T860" s="55" t="n"/>
      <c r="U860" s="55" t="n"/>
      <c r="V860" s="55" t="n"/>
      <c r="W860" s="58" t="n"/>
      <c r="X860" s="58" t="n"/>
      <c r="Y860" s="55" t="n"/>
      <c r="Z860" s="55" t="n"/>
      <c r="AA860" s="55" t="n"/>
      <c r="AB860" s="55" t="n"/>
      <c r="AC860" s="55" t="n"/>
      <c r="AD860" s="53" t="n"/>
      <c r="AE860" s="55" t="n"/>
      <c r="AF860" s="55" t="n"/>
      <c r="AG860" s="59" t="n"/>
      <c r="AH860" s="57" t="n"/>
      <c r="AI860" s="55" t="n"/>
      <c r="AJ860" s="55" t="n"/>
      <c r="AK860" s="55" t="n"/>
      <c r="AL860" s="55" t="n"/>
      <c r="AM860" s="56" t="n"/>
      <c r="AN860" s="55" t="n"/>
      <c r="AO860" s="55" t="n"/>
      <c r="AP860" s="55" t="n"/>
      <c r="AQ860" s="55" t="n"/>
      <c r="AR860" s="60">
        <f>IF(AND(C860="",E860=""),"",IF(A860="","⚠ Date manquante",IF(AND(C860="",E860&lt;&gt;"Dépense"),"⚠ Prospect manquant",IF(E860="","⚠ Action manquante",IF(AND(AU860=1,D860=""),"⚠ Canal manquant",IF(AND(W860&lt;&gt;"",COUNTIFS('Saisie'!$W$5:$W$2004,W860,'Saisie'!$C$5:$C$2004,"&lt;&gt;"&amp;C860)&gt;0),"⚠ Numéro déjà utilisé par un autre prospect",IF(AND(J860&lt;&gt;"",J860&lt;A860),"⚠ Relance avant la date de l'action",IF(A860&gt;TODAY(),"⚠ Date dans le futur","✓"))))))))</f>
        <v/>
      </c>
      <c r="AS860" s="61">
        <f>IF(AND(A860="",C860="",E860=""),"",ROW())</f>
        <v/>
      </c>
      <c r="AT860" s="61">
        <f>IF(E860&amp;F860="","",MAX(IFERROR(INDEX('Paramètres'!$J$6:$J$33,MATCH(E860,'Paramètres'!$I$6:$I$33,0)),0),IFERROR(INDEX('Paramètres'!$N$6:$N$17,MATCH(F860,'Paramètres'!$M$6:$M$17,0)),0)))</f>
        <v/>
      </c>
      <c r="AU860" s="61">
        <f>IF(E860="","",IFERROR(IF(INDEX('Paramètres'!$K$6:$K$33,MATCH(E860,'Paramètres'!$I$6:$I$33,0))="Oui",1,0),0))</f>
        <v/>
      </c>
      <c r="AV860" s="61">
        <f>IF(F860="","",IFERROR(IF(INDEX('Paramètres'!$O$6:$O$17,MATCH(F860,'Paramètres'!$M$6:$M$17,0))="Oui",1,0),0))</f>
        <v/>
      </c>
      <c r="AW860" s="62">
        <f>IF(E860="","",IF(G860&lt;&gt;"",G860,IF(OR(E860="Proposition envoyée",E860="Signature"),MAX(0,N(IFERROR(INDEX('Paramètres'!$R$6:$R$15,MATCH(IF(AL860&lt;&gt;"",AL860,IFERROR(INDEX('Prospects'!$AN$5:$AN$504,MATCH(C860,'Prospects'!$C$5:$C$504,0)),"")),'Paramètres'!$Q$6:$Q$15,0)),0))-N(P860)),0)))</f>
        <v/>
      </c>
      <c r="AX860" s="61">
        <f>IF(C860="","",IF(COUNTIF($C$5:C860,C860)=1,MAX($AX$4:AX859)+1,""))</f>
        <v/>
      </c>
      <c r="AY860" s="61">
        <f>IF(B860="","",HOUR(B860))</f>
        <v/>
      </c>
      <c r="AZ860" s="61">
        <f>IF(A860="","",MOD(A860-2,7)+1)</f>
        <v/>
      </c>
      <c r="BA860" s="60">
        <f>IF(C860="","",IFERROR(INDEX('Prospects'!$N$5:$N$504,MATCH(C860,'Prospects'!$C$5:$C$504,0)),""))</f>
        <v/>
      </c>
      <c r="BB860" s="61">
        <f>IF(AND(C860&lt;&gt;"",C860='Fiche prospect'!$C$4),COUNTIF($C$5:C860,C860),"")</f>
        <v/>
      </c>
    </row>
    <row r="861">
      <c r="A861" s="53" t="n"/>
      <c r="B861" s="54" t="n"/>
      <c r="C861" s="55" t="n"/>
      <c r="D861" s="55" t="n"/>
      <c r="E861" s="55" t="n"/>
      <c r="F861" s="55" t="n"/>
      <c r="G861" s="56" t="n"/>
      <c r="H861" s="57" t="n"/>
      <c r="I861" s="55" t="n"/>
      <c r="J861" s="53" t="n"/>
      <c r="K861" s="54" t="n"/>
      <c r="L861" s="55" t="n"/>
      <c r="M861" s="55" t="n"/>
      <c r="N861" s="57" t="n"/>
      <c r="O861" s="55" t="n"/>
      <c r="P861" s="56" t="n"/>
      <c r="Q861" s="55" t="n"/>
      <c r="R861" s="55" t="n"/>
      <c r="S861" s="55" t="n"/>
      <c r="T861" s="55" t="n"/>
      <c r="U861" s="55" t="n"/>
      <c r="V861" s="55" t="n"/>
      <c r="W861" s="58" t="n"/>
      <c r="X861" s="58" t="n"/>
      <c r="Y861" s="55" t="n"/>
      <c r="Z861" s="55" t="n"/>
      <c r="AA861" s="55" t="n"/>
      <c r="AB861" s="55" t="n"/>
      <c r="AC861" s="55" t="n"/>
      <c r="AD861" s="53" t="n"/>
      <c r="AE861" s="55" t="n"/>
      <c r="AF861" s="55" t="n"/>
      <c r="AG861" s="59" t="n"/>
      <c r="AH861" s="57" t="n"/>
      <c r="AI861" s="55" t="n"/>
      <c r="AJ861" s="55" t="n"/>
      <c r="AK861" s="55" t="n"/>
      <c r="AL861" s="55" t="n"/>
      <c r="AM861" s="56" t="n"/>
      <c r="AN861" s="55" t="n"/>
      <c r="AO861" s="55" t="n"/>
      <c r="AP861" s="55" t="n"/>
      <c r="AQ861" s="55" t="n"/>
      <c r="AR861" s="60">
        <f>IF(AND(C861="",E861=""),"",IF(A861="","⚠ Date manquante",IF(AND(C861="",E861&lt;&gt;"Dépense"),"⚠ Prospect manquant",IF(E861="","⚠ Action manquante",IF(AND(AU861=1,D861=""),"⚠ Canal manquant",IF(AND(W861&lt;&gt;"",COUNTIFS('Saisie'!$W$5:$W$2004,W861,'Saisie'!$C$5:$C$2004,"&lt;&gt;"&amp;C861)&gt;0),"⚠ Numéro déjà utilisé par un autre prospect",IF(AND(J861&lt;&gt;"",J861&lt;A861),"⚠ Relance avant la date de l'action",IF(A861&gt;TODAY(),"⚠ Date dans le futur","✓"))))))))</f>
        <v/>
      </c>
      <c r="AS861" s="61">
        <f>IF(AND(A861="",C861="",E861=""),"",ROW())</f>
        <v/>
      </c>
      <c r="AT861" s="61">
        <f>IF(E861&amp;F861="","",MAX(IFERROR(INDEX('Paramètres'!$J$6:$J$33,MATCH(E861,'Paramètres'!$I$6:$I$33,0)),0),IFERROR(INDEX('Paramètres'!$N$6:$N$17,MATCH(F861,'Paramètres'!$M$6:$M$17,0)),0)))</f>
        <v/>
      </c>
      <c r="AU861" s="61">
        <f>IF(E861="","",IFERROR(IF(INDEX('Paramètres'!$K$6:$K$33,MATCH(E861,'Paramètres'!$I$6:$I$33,0))="Oui",1,0),0))</f>
        <v/>
      </c>
      <c r="AV861" s="61">
        <f>IF(F861="","",IFERROR(IF(INDEX('Paramètres'!$O$6:$O$17,MATCH(F861,'Paramètres'!$M$6:$M$17,0))="Oui",1,0),0))</f>
        <v/>
      </c>
      <c r="AW861" s="62">
        <f>IF(E861="","",IF(G861&lt;&gt;"",G861,IF(OR(E861="Proposition envoyée",E861="Signature"),MAX(0,N(IFERROR(INDEX('Paramètres'!$R$6:$R$15,MATCH(IF(AL861&lt;&gt;"",AL861,IFERROR(INDEX('Prospects'!$AN$5:$AN$504,MATCH(C861,'Prospects'!$C$5:$C$504,0)),"")),'Paramètres'!$Q$6:$Q$15,0)),0))-N(P861)),0)))</f>
        <v/>
      </c>
      <c r="AX861" s="61">
        <f>IF(C861="","",IF(COUNTIF($C$5:C861,C861)=1,MAX($AX$4:AX860)+1,""))</f>
        <v/>
      </c>
      <c r="AY861" s="61">
        <f>IF(B861="","",HOUR(B861))</f>
        <v/>
      </c>
      <c r="AZ861" s="61">
        <f>IF(A861="","",MOD(A861-2,7)+1)</f>
        <v/>
      </c>
      <c r="BA861" s="60">
        <f>IF(C861="","",IFERROR(INDEX('Prospects'!$N$5:$N$504,MATCH(C861,'Prospects'!$C$5:$C$504,0)),""))</f>
        <v/>
      </c>
      <c r="BB861" s="61">
        <f>IF(AND(C861&lt;&gt;"",C861='Fiche prospect'!$C$4),COUNTIF($C$5:C861,C861),"")</f>
        <v/>
      </c>
    </row>
    <row r="862">
      <c r="A862" s="53" t="n"/>
      <c r="B862" s="54" t="n"/>
      <c r="C862" s="55" t="n"/>
      <c r="D862" s="55" t="n"/>
      <c r="E862" s="55" t="n"/>
      <c r="F862" s="55" t="n"/>
      <c r="G862" s="56" t="n"/>
      <c r="H862" s="57" t="n"/>
      <c r="I862" s="55" t="n"/>
      <c r="J862" s="53" t="n"/>
      <c r="K862" s="54" t="n"/>
      <c r="L862" s="55" t="n"/>
      <c r="M862" s="55" t="n"/>
      <c r="N862" s="57" t="n"/>
      <c r="O862" s="55" t="n"/>
      <c r="P862" s="56" t="n"/>
      <c r="Q862" s="55" t="n"/>
      <c r="R862" s="55" t="n"/>
      <c r="S862" s="55" t="n"/>
      <c r="T862" s="55" t="n"/>
      <c r="U862" s="55" t="n"/>
      <c r="V862" s="55" t="n"/>
      <c r="W862" s="58" t="n"/>
      <c r="X862" s="58" t="n"/>
      <c r="Y862" s="55" t="n"/>
      <c r="Z862" s="55" t="n"/>
      <c r="AA862" s="55" t="n"/>
      <c r="AB862" s="55" t="n"/>
      <c r="AC862" s="55" t="n"/>
      <c r="AD862" s="53" t="n"/>
      <c r="AE862" s="55" t="n"/>
      <c r="AF862" s="55" t="n"/>
      <c r="AG862" s="59" t="n"/>
      <c r="AH862" s="57" t="n"/>
      <c r="AI862" s="55" t="n"/>
      <c r="AJ862" s="55" t="n"/>
      <c r="AK862" s="55" t="n"/>
      <c r="AL862" s="55" t="n"/>
      <c r="AM862" s="56" t="n"/>
      <c r="AN862" s="55" t="n"/>
      <c r="AO862" s="55" t="n"/>
      <c r="AP862" s="55" t="n"/>
      <c r="AQ862" s="55" t="n"/>
      <c r="AR862" s="60">
        <f>IF(AND(C862="",E862=""),"",IF(A862="","⚠ Date manquante",IF(AND(C862="",E862&lt;&gt;"Dépense"),"⚠ Prospect manquant",IF(E862="","⚠ Action manquante",IF(AND(AU862=1,D862=""),"⚠ Canal manquant",IF(AND(W862&lt;&gt;"",COUNTIFS('Saisie'!$W$5:$W$2004,W862,'Saisie'!$C$5:$C$2004,"&lt;&gt;"&amp;C862)&gt;0),"⚠ Numéro déjà utilisé par un autre prospect",IF(AND(J862&lt;&gt;"",J862&lt;A862),"⚠ Relance avant la date de l'action",IF(A862&gt;TODAY(),"⚠ Date dans le futur","✓"))))))))</f>
        <v/>
      </c>
      <c r="AS862" s="61">
        <f>IF(AND(A862="",C862="",E862=""),"",ROW())</f>
        <v/>
      </c>
      <c r="AT862" s="61">
        <f>IF(E862&amp;F862="","",MAX(IFERROR(INDEX('Paramètres'!$J$6:$J$33,MATCH(E862,'Paramètres'!$I$6:$I$33,0)),0),IFERROR(INDEX('Paramètres'!$N$6:$N$17,MATCH(F862,'Paramètres'!$M$6:$M$17,0)),0)))</f>
        <v/>
      </c>
      <c r="AU862" s="61">
        <f>IF(E862="","",IFERROR(IF(INDEX('Paramètres'!$K$6:$K$33,MATCH(E862,'Paramètres'!$I$6:$I$33,0))="Oui",1,0),0))</f>
        <v/>
      </c>
      <c r="AV862" s="61">
        <f>IF(F862="","",IFERROR(IF(INDEX('Paramètres'!$O$6:$O$17,MATCH(F862,'Paramètres'!$M$6:$M$17,0))="Oui",1,0),0))</f>
        <v/>
      </c>
      <c r="AW862" s="62">
        <f>IF(E862="","",IF(G862&lt;&gt;"",G862,IF(OR(E862="Proposition envoyée",E862="Signature"),MAX(0,N(IFERROR(INDEX('Paramètres'!$R$6:$R$15,MATCH(IF(AL862&lt;&gt;"",AL862,IFERROR(INDEX('Prospects'!$AN$5:$AN$504,MATCH(C862,'Prospects'!$C$5:$C$504,0)),"")),'Paramètres'!$Q$6:$Q$15,0)),0))-N(P862)),0)))</f>
        <v/>
      </c>
      <c r="AX862" s="61">
        <f>IF(C862="","",IF(COUNTIF($C$5:C862,C862)=1,MAX($AX$4:AX861)+1,""))</f>
        <v/>
      </c>
      <c r="AY862" s="61">
        <f>IF(B862="","",HOUR(B862))</f>
        <v/>
      </c>
      <c r="AZ862" s="61">
        <f>IF(A862="","",MOD(A862-2,7)+1)</f>
        <v/>
      </c>
      <c r="BA862" s="60">
        <f>IF(C862="","",IFERROR(INDEX('Prospects'!$N$5:$N$504,MATCH(C862,'Prospects'!$C$5:$C$504,0)),""))</f>
        <v/>
      </c>
      <c r="BB862" s="61">
        <f>IF(AND(C862&lt;&gt;"",C862='Fiche prospect'!$C$4),COUNTIF($C$5:C862,C862),"")</f>
        <v/>
      </c>
    </row>
    <row r="863">
      <c r="A863" s="53" t="n"/>
      <c r="B863" s="54" t="n"/>
      <c r="C863" s="55" t="n"/>
      <c r="D863" s="55" t="n"/>
      <c r="E863" s="55" t="n"/>
      <c r="F863" s="55" t="n"/>
      <c r="G863" s="56" t="n"/>
      <c r="H863" s="57" t="n"/>
      <c r="I863" s="55" t="n"/>
      <c r="J863" s="53" t="n"/>
      <c r="K863" s="54" t="n"/>
      <c r="L863" s="55" t="n"/>
      <c r="M863" s="55" t="n"/>
      <c r="N863" s="57" t="n"/>
      <c r="O863" s="55" t="n"/>
      <c r="P863" s="56" t="n"/>
      <c r="Q863" s="55" t="n"/>
      <c r="R863" s="55" t="n"/>
      <c r="S863" s="55" t="n"/>
      <c r="T863" s="55" t="n"/>
      <c r="U863" s="55" t="n"/>
      <c r="V863" s="55" t="n"/>
      <c r="W863" s="58" t="n"/>
      <c r="X863" s="58" t="n"/>
      <c r="Y863" s="55" t="n"/>
      <c r="Z863" s="55" t="n"/>
      <c r="AA863" s="55" t="n"/>
      <c r="AB863" s="55" t="n"/>
      <c r="AC863" s="55" t="n"/>
      <c r="AD863" s="53" t="n"/>
      <c r="AE863" s="55" t="n"/>
      <c r="AF863" s="55" t="n"/>
      <c r="AG863" s="59" t="n"/>
      <c r="AH863" s="57" t="n"/>
      <c r="AI863" s="55" t="n"/>
      <c r="AJ863" s="55" t="n"/>
      <c r="AK863" s="55" t="n"/>
      <c r="AL863" s="55" t="n"/>
      <c r="AM863" s="56" t="n"/>
      <c r="AN863" s="55" t="n"/>
      <c r="AO863" s="55" t="n"/>
      <c r="AP863" s="55" t="n"/>
      <c r="AQ863" s="55" t="n"/>
      <c r="AR863" s="60">
        <f>IF(AND(C863="",E863=""),"",IF(A863="","⚠ Date manquante",IF(AND(C863="",E863&lt;&gt;"Dépense"),"⚠ Prospect manquant",IF(E863="","⚠ Action manquante",IF(AND(AU863=1,D863=""),"⚠ Canal manquant",IF(AND(W863&lt;&gt;"",COUNTIFS('Saisie'!$W$5:$W$2004,W863,'Saisie'!$C$5:$C$2004,"&lt;&gt;"&amp;C863)&gt;0),"⚠ Numéro déjà utilisé par un autre prospect",IF(AND(J863&lt;&gt;"",J863&lt;A863),"⚠ Relance avant la date de l'action",IF(A863&gt;TODAY(),"⚠ Date dans le futur","✓"))))))))</f>
        <v/>
      </c>
      <c r="AS863" s="61">
        <f>IF(AND(A863="",C863="",E863=""),"",ROW())</f>
        <v/>
      </c>
      <c r="AT863" s="61">
        <f>IF(E863&amp;F863="","",MAX(IFERROR(INDEX('Paramètres'!$J$6:$J$33,MATCH(E863,'Paramètres'!$I$6:$I$33,0)),0),IFERROR(INDEX('Paramètres'!$N$6:$N$17,MATCH(F863,'Paramètres'!$M$6:$M$17,0)),0)))</f>
        <v/>
      </c>
      <c r="AU863" s="61">
        <f>IF(E863="","",IFERROR(IF(INDEX('Paramètres'!$K$6:$K$33,MATCH(E863,'Paramètres'!$I$6:$I$33,0))="Oui",1,0),0))</f>
        <v/>
      </c>
      <c r="AV863" s="61">
        <f>IF(F863="","",IFERROR(IF(INDEX('Paramètres'!$O$6:$O$17,MATCH(F863,'Paramètres'!$M$6:$M$17,0))="Oui",1,0),0))</f>
        <v/>
      </c>
      <c r="AW863" s="62">
        <f>IF(E863="","",IF(G863&lt;&gt;"",G863,IF(OR(E863="Proposition envoyée",E863="Signature"),MAX(0,N(IFERROR(INDEX('Paramètres'!$R$6:$R$15,MATCH(IF(AL863&lt;&gt;"",AL863,IFERROR(INDEX('Prospects'!$AN$5:$AN$504,MATCH(C863,'Prospects'!$C$5:$C$504,0)),"")),'Paramètres'!$Q$6:$Q$15,0)),0))-N(P863)),0)))</f>
        <v/>
      </c>
      <c r="AX863" s="61">
        <f>IF(C863="","",IF(COUNTIF($C$5:C863,C863)=1,MAX($AX$4:AX862)+1,""))</f>
        <v/>
      </c>
      <c r="AY863" s="61">
        <f>IF(B863="","",HOUR(B863))</f>
        <v/>
      </c>
      <c r="AZ863" s="61">
        <f>IF(A863="","",MOD(A863-2,7)+1)</f>
        <v/>
      </c>
      <c r="BA863" s="60">
        <f>IF(C863="","",IFERROR(INDEX('Prospects'!$N$5:$N$504,MATCH(C863,'Prospects'!$C$5:$C$504,0)),""))</f>
        <v/>
      </c>
      <c r="BB863" s="61">
        <f>IF(AND(C863&lt;&gt;"",C863='Fiche prospect'!$C$4),COUNTIF($C$5:C863,C863),"")</f>
        <v/>
      </c>
    </row>
    <row r="864">
      <c r="A864" s="53" t="n"/>
      <c r="B864" s="54" t="n"/>
      <c r="C864" s="55" t="n"/>
      <c r="D864" s="55" t="n"/>
      <c r="E864" s="55" t="n"/>
      <c r="F864" s="55" t="n"/>
      <c r="G864" s="56" t="n"/>
      <c r="H864" s="57" t="n"/>
      <c r="I864" s="55" t="n"/>
      <c r="J864" s="53" t="n"/>
      <c r="K864" s="54" t="n"/>
      <c r="L864" s="55" t="n"/>
      <c r="M864" s="55" t="n"/>
      <c r="N864" s="57" t="n"/>
      <c r="O864" s="55" t="n"/>
      <c r="P864" s="56" t="n"/>
      <c r="Q864" s="55" t="n"/>
      <c r="R864" s="55" t="n"/>
      <c r="S864" s="55" t="n"/>
      <c r="T864" s="55" t="n"/>
      <c r="U864" s="55" t="n"/>
      <c r="V864" s="55" t="n"/>
      <c r="W864" s="58" t="n"/>
      <c r="X864" s="58" t="n"/>
      <c r="Y864" s="55" t="n"/>
      <c r="Z864" s="55" t="n"/>
      <c r="AA864" s="55" t="n"/>
      <c r="AB864" s="55" t="n"/>
      <c r="AC864" s="55" t="n"/>
      <c r="AD864" s="53" t="n"/>
      <c r="AE864" s="55" t="n"/>
      <c r="AF864" s="55" t="n"/>
      <c r="AG864" s="59" t="n"/>
      <c r="AH864" s="57" t="n"/>
      <c r="AI864" s="55" t="n"/>
      <c r="AJ864" s="55" t="n"/>
      <c r="AK864" s="55" t="n"/>
      <c r="AL864" s="55" t="n"/>
      <c r="AM864" s="56" t="n"/>
      <c r="AN864" s="55" t="n"/>
      <c r="AO864" s="55" t="n"/>
      <c r="AP864" s="55" t="n"/>
      <c r="AQ864" s="55" t="n"/>
      <c r="AR864" s="60">
        <f>IF(AND(C864="",E864=""),"",IF(A864="","⚠ Date manquante",IF(AND(C864="",E864&lt;&gt;"Dépense"),"⚠ Prospect manquant",IF(E864="","⚠ Action manquante",IF(AND(AU864=1,D864=""),"⚠ Canal manquant",IF(AND(W864&lt;&gt;"",COUNTIFS('Saisie'!$W$5:$W$2004,W864,'Saisie'!$C$5:$C$2004,"&lt;&gt;"&amp;C864)&gt;0),"⚠ Numéro déjà utilisé par un autre prospect",IF(AND(J864&lt;&gt;"",J864&lt;A864),"⚠ Relance avant la date de l'action",IF(A864&gt;TODAY(),"⚠ Date dans le futur","✓"))))))))</f>
        <v/>
      </c>
      <c r="AS864" s="61">
        <f>IF(AND(A864="",C864="",E864=""),"",ROW())</f>
        <v/>
      </c>
      <c r="AT864" s="61">
        <f>IF(E864&amp;F864="","",MAX(IFERROR(INDEX('Paramètres'!$J$6:$J$33,MATCH(E864,'Paramètres'!$I$6:$I$33,0)),0),IFERROR(INDEX('Paramètres'!$N$6:$N$17,MATCH(F864,'Paramètres'!$M$6:$M$17,0)),0)))</f>
        <v/>
      </c>
      <c r="AU864" s="61">
        <f>IF(E864="","",IFERROR(IF(INDEX('Paramètres'!$K$6:$K$33,MATCH(E864,'Paramètres'!$I$6:$I$33,0))="Oui",1,0),0))</f>
        <v/>
      </c>
      <c r="AV864" s="61">
        <f>IF(F864="","",IFERROR(IF(INDEX('Paramètres'!$O$6:$O$17,MATCH(F864,'Paramètres'!$M$6:$M$17,0))="Oui",1,0),0))</f>
        <v/>
      </c>
      <c r="AW864" s="62">
        <f>IF(E864="","",IF(G864&lt;&gt;"",G864,IF(OR(E864="Proposition envoyée",E864="Signature"),MAX(0,N(IFERROR(INDEX('Paramètres'!$R$6:$R$15,MATCH(IF(AL864&lt;&gt;"",AL864,IFERROR(INDEX('Prospects'!$AN$5:$AN$504,MATCH(C864,'Prospects'!$C$5:$C$504,0)),"")),'Paramètres'!$Q$6:$Q$15,0)),0))-N(P864)),0)))</f>
        <v/>
      </c>
      <c r="AX864" s="61">
        <f>IF(C864="","",IF(COUNTIF($C$5:C864,C864)=1,MAX($AX$4:AX863)+1,""))</f>
        <v/>
      </c>
      <c r="AY864" s="61">
        <f>IF(B864="","",HOUR(B864))</f>
        <v/>
      </c>
      <c r="AZ864" s="61">
        <f>IF(A864="","",MOD(A864-2,7)+1)</f>
        <v/>
      </c>
      <c r="BA864" s="60">
        <f>IF(C864="","",IFERROR(INDEX('Prospects'!$N$5:$N$504,MATCH(C864,'Prospects'!$C$5:$C$504,0)),""))</f>
        <v/>
      </c>
      <c r="BB864" s="61">
        <f>IF(AND(C864&lt;&gt;"",C864='Fiche prospect'!$C$4),COUNTIF($C$5:C864,C864),"")</f>
        <v/>
      </c>
    </row>
    <row r="865">
      <c r="A865" s="53" t="n"/>
      <c r="B865" s="54" t="n"/>
      <c r="C865" s="55" t="n"/>
      <c r="D865" s="55" t="n"/>
      <c r="E865" s="55" t="n"/>
      <c r="F865" s="55" t="n"/>
      <c r="G865" s="56" t="n"/>
      <c r="H865" s="57" t="n"/>
      <c r="I865" s="55" t="n"/>
      <c r="J865" s="53" t="n"/>
      <c r="K865" s="54" t="n"/>
      <c r="L865" s="55" t="n"/>
      <c r="M865" s="55" t="n"/>
      <c r="N865" s="57" t="n"/>
      <c r="O865" s="55" t="n"/>
      <c r="P865" s="56" t="n"/>
      <c r="Q865" s="55" t="n"/>
      <c r="R865" s="55" t="n"/>
      <c r="S865" s="55" t="n"/>
      <c r="T865" s="55" t="n"/>
      <c r="U865" s="55" t="n"/>
      <c r="V865" s="55" t="n"/>
      <c r="W865" s="58" t="n"/>
      <c r="X865" s="58" t="n"/>
      <c r="Y865" s="55" t="n"/>
      <c r="Z865" s="55" t="n"/>
      <c r="AA865" s="55" t="n"/>
      <c r="AB865" s="55" t="n"/>
      <c r="AC865" s="55" t="n"/>
      <c r="AD865" s="53" t="n"/>
      <c r="AE865" s="55" t="n"/>
      <c r="AF865" s="55" t="n"/>
      <c r="AG865" s="59" t="n"/>
      <c r="AH865" s="57" t="n"/>
      <c r="AI865" s="55" t="n"/>
      <c r="AJ865" s="55" t="n"/>
      <c r="AK865" s="55" t="n"/>
      <c r="AL865" s="55" t="n"/>
      <c r="AM865" s="56" t="n"/>
      <c r="AN865" s="55" t="n"/>
      <c r="AO865" s="55" t="n"/>
      <c r="AP865" s="55" t="n"/>
      <c r="AQ865" s="55" t="n"/>
      <c r="AR865" s="60">
        <f>IF(AND(C865="",E865=""),"",IF(A865="","⚠ Date manquante",IF(AND(C865="",E865&lt;&gt;"Dépense"),"⚠ Prospect manquant",IF(E865="","⚠ Action manquante",IF(AND(AU865=1,D865=""),"⚠ Canal manquant",IF(AND(W865&lt;&gt;"",COUNTIFS('Saisie'!$W$5:$W$2004,W865,'Saisie'!$C$5:$C$2004,"&lt;&gt;"&amp;C865)&gt;0),"⚠ Numéro déjà utilisé par un autre prospect",IF(AND(J865&lt;&gt;"",J865&lt;A865),"⚠ Relance avant la date de l'action",IF(A865&gt;TODAY(),"⚠ Date dans le futur","✓"))))))))</f>
        <v/>
      </c>
      <c r="AS865" s="61">
        <f>IF(AND(A865="",C865="",E865=""),"",ROW())</f>
        <v/>
      </c>
      <c r="AT865" s="61">
        <f>IF(E865&amp;F865="","",MAX(IFERROR(INDEX('Paramètres'!$J$6:$J$33,MATCH(E865,'Paramètres'!$I$6:$I$33,0)),0),IFERROR(INDEX('Paramètres'!$N$6:$N$17,MATCH(F865,'Paramètres'!$M$6:$M$17,0)),0)))</f>
        <v/>
      </c>
      <c r="AU865" s="61">
        <f>IF(E865="","",IFERROR(IF(INDEX('Paramètres'!$K$6:$K$33,MATCH(E865,'Paramètres'!$I$6:$I$33,0))="Oui",1,0),0))</f>
        <v/>
      </c>
      <c r="AV865" s="61">
        <f>IF(F865="","",IFERROR(IF(INDEX('Paramètres'!$O$6:$O$17,MATCH(F865,'Paramètres'!$M$6:$M$17,0))="Oui",1,0),0))</f>
        <v/>
      </c>
      <c r="AW865" s="62">
        <f>IF(E865="","",IF(G865&lt;&gt;"",G865,IF(OR(E865="Proposition envoyée",E865="Signature"),MAX(0,N(IFERROR(INDEX('Paramètres'!$R$6:$R$15,MATCH(IF(AL865&lt;&gt;"",AL865,IFERROR(INDEX('Prospects'!$AN$5:$AN$504,MATCH(C865,'Prospects'!$C$5:$C$504,0)),"")),'Paramètres'!$Q$6:$Q$15,0)),0))-N(P865)),0)))</f>
        <v/>
      </c>
      <c r="AX865" s="61">
        <f>IF(C865="","",IF(COUNTIF($C$5:C865,C865)=1,MAX($AX$4:AX864)+1,""))</f>
        <v/>
      </c>
      <c r="AY865" s="61">
        <f>IF(B865="","",HOUR(B865))</f>
        <v/>
      </c>
      <c r="AZ865" s="61">
        <f>IF(A865="","",MOD(A865-2,7)+1)</f>
        <v/>
      </c>
      <c r="BA865" s="60">
        <f>IF(C865="","",IFERROR(INDEX('Prospects'!$N$5:$N$504,MATCH(C865,'Prospects'!$C$5:$C$504,0)),""))</f>
        <v/>
      </c>
      <c r="BB865" s="61">
        <f>IF(AND(C865&lt;&gt;"",C865='Fiche prospect'!$C$4),COUNTIF($C$5:C865,C865),"")</f>
        <v/>
      </c>
    </row>
    <row r="866">
      <c r="A866" s="53" t="n"/>
      <c r="B866" s="54" t="n"/>
      <c r="C866" s="55" t="n"/>
      <c r="D866" s="55" t="n"/>
      <c r="E866" s="55" t="n"/>
      <c r="F866" s="55" t="n"/>
      <c r="G866" s="56" t="n"/>
      <c r="H866" s="57" t="n"/>
      <c r="I866" s="55" t="n"/>
      <c r="J866" s="53" t="n"/>
      <c r="K866" s="54" t="n"/>
      <c r="L866" s="55" t="n"/>
      <c r="M866" s="55" t="n"/>
      <c r="N866" s="57" t="n"/>
      <c r="O866" s="55" t="n"/>
      <c r="P866" s="56" t="n"/>
      <c r="Q866" s="55" t="n"/>
      <c r="R866" s="55" t="n"/>
      <c r="S866" s="55" t="n"/>
      <c r="T866" s="55" t="n"/>
      <c r="U866" s="55" t="n"/>
      <c r="V866" s="55" t="n"/>
      <c r="W866" s="58" t="n"/>
      <c r="X866" s="58" t="n"/>
      <c r="Y866" s="55" t="n"/>
      <c r="Z866" s="55" t="n"/>
      <c r="AA866" s="55" t="n"/>
      <c r="AB866" s="55" t="n"/>
      <c r="AC866" s="55" t="n"/>
      <c r="AD866" s="53" t="n"/>
      <c r="AE866" s="55" t="n"/>
      <c r="AF866" s="55" t="n"/>
      <c r="AG866" s="59" t="n"/>
      <c r="AH866" s="57" t="n"/>
      <c r="AI866" s="55" t="n"/>
      <c r="AJ866" s="55" t="n"/>
      <c r="AK866" s="55" t="n"/>
      <c r="AL866" s="55" t="n"/>
      <c r="AM866" s="56" t="n"/>
      <c r="AN866" s="55" t="n"/>
      <c r="AO866" s="55" t="n"/>
      <c r="AP866" s="55" t="n"/>
      <c r="AQ866" s="55" t="n"/>
      <c r="AR866" s="60">
        <f>IF(AND(C866="",E866=""),"",IF(A866="","⚠ Date manquante",IF(AND(C866="",E866&lt;&gt;"Dépense"),"⚠ Prospect manquant",IF(E866="","⚠ Action manquante",IF(AND(AU866=1,D866=""),"⚠ Canal manquant",IF(AND(W866&lt;&gt;"",COUNTIFS('Saisie'!$W$5:$W$2004,W866,'Saisie'!$C$5:$C$2004,"&lt;&gt;"&amp;C866)&gt;0),"⚠ Numéro déjà utilisé par un autre prospect",IF(AND(J866&lt;&gt;"",J866&lt;A866),"⚠ Relance avant la date de l'action",IF(A866&gt;TODAY(),"⚠ Date dans le futur","✓"))))))))</f>
        <v/>
      </c>
      <c r="AS866" s="61">
        <f>IF(AND(A866="",C866="",E866=""),"",ROW())</f>
        <v/>
      </c>
      <c r="AT866" s="61">
        <f>IF(E866&amp;F866="","",MAX(IFERROR(INDEX('Paramètres'!$J$6:$J$33,MATCH(E866,'Paramètres'!$I$6:$I$33,0)),0),IFERROR(INDEX('Paramètres'!$N$6:$N$17,MATCH(F866,'Paramètres'!$M$6:$M$17,0)),0)))</f>
        <v/>
      </c>
      <c r="AU866" s="61">
        <f>IF(E866="","",IFERROR(IF(INDEX('Paramètres'!$K$6:$K$33,MATCH(E866,'Paramètres'!$I$6:$I$33,0))="Oui",1,0),0))</f>
        <v/>
      </c>
      <c r="AV866" s="61">
        <f>IF(F866="","",IFERROR(IF(INDEX('Paramètres'!$O$6:$O$17,MATCH(F866,'Paramètres'!$M$6:$M$17,0))="Oui",1,0),0))</f>
        <v/>
      </c>
      <c r="AW866" s="62">
        <f>IF(E866="","",IF(G866&lt;&gt;"",G866,IF(OR(E866="Proposition envoyée",E866="Signature"),MAX(0,N(IFERROR(INDEX('Paramètres'!$R$6:$R$15,MATCH(IF(AL866&lt;&gt;"",AL866,IFERROR(INDEX('Prospects'!$AN$5:$AN$504,MATCH(C866,'Prospects'!$C$5:$C$504,0)),"")),'Paramètres'!$Q$6:$Q$15,0)),0))-N(P866)),0)))</f>
        <v/>
      </c>
      <c r="AX866" s="61">
        <f>IF(C866="","",IF(COUNTIF($C$5:C866,C866)=1,MAX($AX$4:AX865)+1,""))</f>
        <v/>
      </c>
      <c r="AY866" s="61">
        <f>IF(B866="","",HOUR(B866))</f>
        <v/>
      </c>
      <c r="AZ866" s="61">
        <f>IF(A866="","",MOD(A866-2,7)+1)</f>
        <v/>
      </c>
      <c r="BA866" s="60">
        <f>IF(C866="","",IFERROR(INDEX('Prospects'!$N$5:$N$504,MATCH(C866,'Prospects'!$C$5:$C$504,0)),""))</f>
        <v/>
      </c>
      <c r="BB866" s="61">
        <f>IF(AND(C866&lt;&gt;"",C866='Fiche prospect'!$C$4),COUNTIF($C$5:C866,C866),"")</f>
        <v/>
      </c>
    </row>
    <row r="867">
      <c r="A867" s="53" t="n"/>
      <c r="B867" s="54" t="n"/>
      <c r="C867" s="55" t="n"/>
      <c r="D867" s="55" t="n"/>
      <c r="E867" s="55" t="n"/>
      <c r="F867" s="55" t="n"/>
      <c r="G867" s="56" t="n"/>
      <c r="H867" s="57" t="n"/>
      <c r="I867" s="55" t="n"/>
      <c r="J867" s="53" t="n"/>
      <c r="K867" s="54" t="n"/>
      <c r="L867" s="55" t="n"/>
      <c r="M867" s="55" t="n"/>
      <c r="N867" s="57" t="n"/>
      <c r="O867" s="55" t="n"/>
      <c r="P867" s="56" t="n"/>
      <c r="Q867" s="55" t="n"/>
      <c r="R867" s="55" t="n"/>
      <c r="S867" s="55" t="n"/>
      <c r="T867" s="55" t="n"/>
      <c r="U867" s="55" t="n"/>
      <c r="V867" s="55" t="n"/>
      <c r="W867" s="58" t="n"/>
      <c r="X867" s="58" t="n"/>
      <c r="Y867" s="55" t="n"/>
      <c r="Z867" s="55" t="n"/>
      <c r="AA867" s="55" t="n"/>
      <c r="AB867" s="55" t="n"/>
      <c r="AC867" s="55" t="n"/>
      <c r="AD867" s="53" t="n"/>
      <c r="AE867" s="55" t="n"/>
      <c r="AF867" s="55" t="n"/>
      <c r="AG867" s="59" t="n"/>
      <c r="AH867" s="57" t="n"/>
      <c r="AI867" s="55" t="n"/>
      <c r="AJ867" s="55" t="n"/>
      <c r="AK867" s="55" t="n"/>
      <c r="AL867" s="55" t="n"/>
      <c r="AM867" s="56" t="n"/>
      <c r="AN867" s="55" t="n"/>
      <c r="AO867" s="55" t="n"/>
      <c r="AP867" s="55" t="n"/>
      <c r="AQ867" s="55" t="n"/>
      <c r="AR867" s="60">
        <f>IF(AND(C867="",E867=""),"",IF(A867="","⚠ Date manquante",IF(AND(C867="",E867&lt;&gt;"Dépense"),"⚠ Prospect manquant",IF(E867="","⚠ Action manquante",IF(AND(AU867=1,D867=""),"⚠ Canal manquant",IF(AND(W867&lt;&gt;"",COUNTIFS('Saisie'!$W$5:$W$2004,W867,'Saisie'!$C$5:$C$2004,"&lt;&gt;"&amp;C867)&gt;0),"⚠ Numéro déjà utilisé par un autre prospect",IF(AND(J867&lt;&gt;"",J867&lt;A867),"⚠ Relance avant la date de l'action",IF(A867&gt;TODAY(),"⚠ Date dans le futur","✓"))))))))</f>
        <v/>
      </c>
      <c r="AS867" s="61">
        <f>IF(AND(A867="",C867="",E867=""),"",ROW())</f>
        <v/>
      </c>
      <c r="AT867" s="61">
        <f>IF(E867&amp;F867="","",MAX(IFERROR(INDEX('Paramètres'!$J$6:$J$33,MATCH(E867,'Paramètres'!$I$6:$I$33,0)),0),IFERROR(INDEX('Paramètres'!$N$6:$N$17,MATCH(F867,'Paramètres'!$M$6:$M$17,0)),0)))</f>
        <v/>
      </c>
      <c r="AU867" s="61">
        <f>IF(E867="","",IFERROR(IF(INDEX('Paramètres'!$K$6:$K$33,MATCH(E867,'Paramètres'!$I$6:$I$33,0))="Oui",1,0),0))</f>
        <v/>
      </c>
      <c r="AV867" s="61">
        <f>IF(F867="","",IFERROR(IF(INDEX('Paramètres'!$O$6:$O$17,MATCH(F867,'Paramètres'!$M$6:$M$17,0))="Oui",1,0),0))</f>
        <v/>
      </c>
      <c r="AW867" s="62">
        <f>IF(E867="","",IF(G867&lt;&gt;"",G867,IF(OR(E867="Proposition envoyée",E867="Signature"),MAX(0,N(IFERROR(INDEX('Paramètres'!$R$6:$R$15,MATCH(IF(AL867&lt;&gt;"",AL867,IFERROR(INDEX('Prospects'!$AN$5:$AN$504,MATCH(C867,'Prospects'!$C$5:$C$504,0)),"")),'Paramètres'!$Q$6:$Q$15,0)),0))-N(P867)),0)))</f>
        <v/>
      </c>
      <c r="AX867" s="61">
        <f>IF(C867="","",IF(COUNTIF($C$5:C867,C867)=1,MAX($AX$4:AX866)+1,""))</f>
        <v/>
      </c>
      <c r="AY867" s="61">
        <f>IF(B867="","",HOUR(B867))</f>
        <v/>
      </c>
      <c r="AZ867" s="61">
        <f>IF(A867="","",MOD(A867-2,7)+1)</f>
        <v/>
      </c>
      <c r="BA867" s="60">
        <f>IF(C867="","",IFERROR(INDEX('Prospects'!$N$5:$N$504,MATCH(C867,'Prospects'!$C$5:$C$504,0)),""))</f>
        <v/>
      </c>
      <c r="BB867" s="61">
        <f>IF(AND(C867&lt;&gt;"",C867='Fiche prospect'!$C$4),COUNTIF($C$5:C867,C867),"")</f>
        <v/>
      </c>
    </row>
    <row r="868">
      <c r="A868" s="53" t="n"/>
      <c r="B868" s="54" t="n"/>
      <c r="C868" s="55" t="n"/>
      <c r="D868" s="55" t="n"/>
      <c r="E868" s="55" t="n"/>
      <c r="F868" s="55" t="n"/>
      <c r="G868" s="56" t="n"/>
      <c r="H868" s="57" t="n"/>
      <c r="I868" s="55" t="n"/>
      <c r="J868" s="53" t="n"/>
      <c r="K868" s="54" t="n"/>
      <c r="L868" s="55" t="n"/>
      <c r="M868" s="55" t="n"/>
      <c r="N868" s="57" t="n"/>
      <c r="O868" s="55" t="n"/>
      <c r="P868" s="56" t="n"/>
      <c r="Q868" s="55" t="n"/>
      <c r="R868" s="55" t="n"/>
      <c r="S868" s="55" t="n"/>
      <c r="T868" s="55" t="n"/>
      <c r="U868" s="55" t="n"/>
      <c r="V868" s="55" t="n"/>
      <c r="W868" s="58" t="n"/>
      <c r="X868" s="58" t="n"/>
      <c r="Y868" s="55" t="n"/>
      <c r="Z868" s="55" t="n"/>
      <c r="AA868" s="55" t="n"/>
      <c r="AB868" s="55" t="n"/>
      <c r="AC868" s="55" t="n"/>
      <c r="AD868" s="53" t="n"/>
      <c r="AE868" s="55" t="n"/>
      <c r="AF868" s="55" t="n"/>
      <c r="AG868" s="59" t="n"/>
      <c r="AH868" s="57" t="n"/>
      <c r="AI868" s="55" t="n"/>
      <c r="AJ868" s="55" t="n"/>
      <c r="AK868" s="55" t="n"/>
      <c r="AL868" s="55" t="n"/>
      <c r="AM868" s="56" t="n"/>
      <c r="AN868" s="55" t="n"/>
      <c r="AO868" s="55" t="n"/>
      <c r="AP868" s="55" t="n"/>
      <c r="AQ868" s="55" t="n"/>
      <c r="AR868" s="60">
        <f>IF(AND(C868="",E868=""),"",IF(A868="","⚠ Date manquante",IF(AND(C868="",E868&lt;&gt;"Dépense"),"⚠ Prospect manquant",IF(E868="","⚠ Action manquante",IF(AND(AU868=1,D868=""),"⚠ Canal manquant",IF(AND(W868&lt;&gt;"",COUNTIFS('Saisie'!$W$5:$W$2004,W868,'Saisie'!$C$5:$C$2004,"&lt;&gt;"&amp;C868)&gt;0),"⚠ Numéro déjà utilisé par un autre prospect",IF(AND(J868&lt;&gt;"",J868&lt;A868),"⚠ Relance avant la date de l'action",IF(A868&gt;TODAY(),"⚠ Date dans le futur","✓"))))))))</f>
        <v/>
      </c>
      <c r="AS868" s="61">
        <f>IF(AND(A868="",C868="",E868=""),"",ROW())</f>
        <v/>
      </c>
      <c r="AT868" s="61">
        <f>IF(E868&amp;F868="","",MAX(IFERROR(INDEX('Paramètres'!$J$6:$J$33,MATCH(E868,'Paramètres'!$I$6:$I$33,0)),0),IFERROR(INDEX('Paramètres'!$N$6:$N$17,MATCH(F868,'Paramètres'!$M$6:$M$17,0)),0)))</f>
        <v/>
      </c>
      <c r="AU868" s="61">
        <f>IF(E868="","",IFERROR(IF(INDEX('Paramètres'!$K$6:$K$33,MATCH(E868,'Paramètres'!$I$6:$I$33,0))="Oui",1,0),0))</f>
        <v/>
      </c>
      <c r="AV868" s="61">
        <f>IF(F868="","",IFERROR(IF(INDEX('Paramètres'!$O$6:$O$17,MATCH(F868,'Paramètres'!$M$6:$M$17,0))="Oui",1,0),0))</f>
        <v/>
      </c>
      <c r="AW868" s="62">
        <f>IF(E868="","",IF(G868&lt;&gt;"",G868,IF(OR(E868="Proposition envoyée",E868="Signature"),MAX(0,N(IFERROR(INDEX('Paramètres'!$R$6:$R$15,MATCH(IF(AL868&lt;&gt;"",AL868,IFERROR(INDEX('Prospects'!$AN$5:$AN$504,MATCH(C868,'Prospects'!$C$5:$C$504,0)),"")),'Paramètres'!$Q$6:$Q$15,0)),0))-N(P868)),0)))</f>
        <v/>
      </c>
      <c r="AX868" s="61">
        <f>IF(C868="","",IF(COUNTIF($C$5:C868,C868)=1,MAX($AX$4:AX867)+1,""))</f>
        <v/>
      </c>
      <c r="AY868" s="61">
        <f>IF(B868="","",HOUR(B868))</f>
        <v/>
      </c>
      <c r="AZ868" s="61">
        <f>IF(A868="","",MOD(A868-2,7)+1)</f>
        <v/>
      </c>
      <c r="BA868" s="60">
        <f>IF(C868="","",IFERROR(INDEX('Prospects'!$N$5:$N$504,MATCH(C868,'Prospects'!$C$5:$C$504,0)),""))</f>
        <v/>
      </c>
      <c r="BB868" s="61">
        <f>IF(AND(C868&lt;&gt;"",C868='Fiche prospect'!$C$4),COUNTIF($C$5:C868,C868),"")</f>
        <v/>
      </c>
    </row>
    <row r="869">
      <c r="A869" s="53" t="n"/>
      <c r="B869" s="54" t="n"/>
      <c r="C869" s="55" t="n"/>
      <c r="D869" s="55" t="n"/>
      <c r="E869" s="55" t="n"/>
      <c r="F869" s="55" t="n"/>
      <c r="G869" s="56" t="n"/>
      <c r="H869" s="57" t="n"/>
      <c r="I869" s="55" t="n"/>
      <c r="J869" s="53" t="n"/>
      <c r="K869" s="54" t="n"/>
      <c r="L869" s="55" t="n"/>
      <c r="M869" s="55" t="n"/>
      <c r="N869" s="57" t="n"/>
      <c r="O869" s="55" t="n"/>
      <c r="P869" s="56" t="n"/>
      <c r="Q869" s="55" t="n"/>
      <c r="R869" s="55" t="n"/>
      <c r="S869" s="55" t="n"/>
      <c r="T869" s="55" t="n"/>
      <c r="U869" s="55" t="n"/>
      <c r="V869" s="55" t="n"/>
      <c r="W869" s="58" t="n"/>
      <c r="X869" s="58" t="n"/>
      <c r="Y869" s="55" t="n"/>
      <c r="Z869" s="55" t="n"/>
      <c r="AA869" s="55" t="n"/>
      <c r="AB869" s="55" t="n"/>
      <c r="AC869" s="55" t="n"/>
      <c r="AD869" s="53" t="n"/>
      <c r="AE869" s="55" t="n"/>
      <c r="AF869" s="55" t="n"/>
      <c r="AG869" s="59" t="n"/>
      <c r="AH869" s="57" t="n"/>
      <c r="AI869" s="55" t="n"/>
      <c r="AJ869" s="55" t="n"/>
      <c r="AK869" s="55" t="n"/>
      <c r="AL869" s="55" t="n"/>
      <c r="AM869" s="56" t="n"/>
      <c r="AN869" s="55" t="n"/>
      <c r="AO869" s="55" t="n"/>
      <c r="AP869" s="55" t="n"/>
      <c r="AQ869" s="55" t="n"/>
      <c r="AR869" s="60">
        <f>IF(AND(C869="",E869=""),"",IF(A869="","⚠ Date manquante",IF(AND(C869="",E869&lt;&gt;"Dépense"),"⚠ Prospect manquant",IF(E869="","⚠ Action manquante",IF(AND(AU869=1,D869=""),"⚠ Canal manquant",IF(AND(W869&lt;&gt;"",COUNTIFS('Saisie'!$W$5:$W$2004,W869,'Saisie'!$C$5:$C$2004,"&lt;&gt;"&amp;C869)&gt;0),"⚠ Numéro déjà utilisé par un autre prospect",IF(AND(J869&lt;&gt;"",J869&lt;A869),"⚠ Relance avant la date de l'action",IF(A869&gt;TODAY(),"⚠ Date dans le futur","✓"))))))))</f>
        <v/>
      </c>
      <c r="AS869" s="61">
        <f>IF(AND(A869="",C869="",E869=""),"",ROW())</f>
        <v/>
      </c>
      <c r="AT869" s="61">
        <f>IF(E869&amp;F869="","",MAX(IFERROR(INDEX('Paramètres'!$J$6:$J$33,MATCH(E869,'Paramètres'!$I$6:$I$33,0)),0),IFERROR(INDEX('Paramètres'!$N$6:$N$17,MATCH(F869,'Paramètres'!$M$6:$M$17,0)),0)))</f>
        <v/>
      </c>
      <c r="AU869" s="61">
        <f>IF(E869="","",IFERROR(IF(INDEX('Paramètres'!$K$6:$K$33,MATCH(E869,'Paramètres'!$I$6:$I$33,0))="Oui",1,0),0))</f>
        <v/>
      </c>
      <c r="AV869" s="61">
        <f>IF(F869="","",IFERROR(IF(INDEX('Paramètres'!$O$6:$O$17,MATCH(F869,'Paramètres'!$M$6:$M$17,0))="Oui",1,0),0))</f>
        <v/>
      </c>
      <c r="AW869" s="62">
        <f>IF(E869="","",IF(G869&lt;&gt;"",G869,IF(OR(E869="Proposition envoyée",E869="Signature"),MAX(0,N(IFERROR(INDEX('Paramètres'!$R$6:$R$15,MATCH(IF(AL869&lt;&gt;"",AL869,IFERROR(INDEX('Prospects'!$AN$5:$AN$504,MATCH(C869,'Prospects'!$C$5:$C$504,0)),"")),'Paramètres'!$Q$6:$Q$15,0)),0))-N(P869)),0)))</f>
        <v/>
      </c>
      <c r="AX869" s="61">
        <f>IF(C869="","",IF(COUNTIF($C$5:C869,C869)=1,MAX($AX$4:AX868)+1,""))</f>
        <v/>
      </c>
      <c r="AY869" s="61">
        <f>IF(B869="","",HOUR(B869))</f>
        <v/>
      </c>
      <c r="AZ869" s="61">
        <f>IF(A869="","",MOD(A869-2,7)+1)</f>
        <v/>
      </c>
      <c r="BA869" s="60">
        <f>IF(C869="","",IFERROR(INDEX('Prospects'!$N$5:$N$504,MATCH(C869,'Prospects'!$C$5:$C$504,0)),""))</f>
        <v/>
      </c>
      <c r="BB869" s="61">
        <f>IF(AND(C869&lt;&gt;"",C869='Fiche prospect'!$C$4),COUNTIF($C$5:C869,C869),"")</f>
        <v/>
      </c>
    </row>
    <row r="870">
      <c r="A870" s="53" t="n"/>
      <c r="B870" s="54" t="n"/>
      <c r="C870" s="55" t="n"/>
      <c r="D870" s="55" t="n"/>
      <c r="E870" s="55" t="n"/>
      <c r="F870" s="55" t="n"/>
      <c r="G870" s="56" t="n"/>
      <c r="H870" s="57" t="n"/>
      <c r="I870" s="55" t="n"/>
      <c r="J870" s="53" t="n"/>
      <c r="K870" s="54" t="n"/>
      <c r="L870" s="55" t="n"/>
      <c r="M870" s="55" t="n"/>
      <c r="N870" s="57" t="n"/>
      <c r="O870" s="55" t="n"/>
      <c r="P870" s="56" t="n"/>
      <c r="Q870" s="55" t="n"/>
      <c r="R870" s="55" t="n"/>
      <c r="S870" s="55" t="n"/>
      <c r="T870" s="55" t="n"/>
      <c r="U870" s="55" t="n"/>
      <c r="V870" s="55" t="n"/>
      <c r="W870" s="58" t="n"/>
      <c r="X870" s="58" t="n"/>
      <c r="Y870" s="55" t="n"/>
      <c r="Z870" s="55" t="n"/>
      <c r="AA870" s="55" t="n"/>
      <c r="AB870" s="55" t="n"/>
      <c r="AC870" s="55" t="n"/>
      <c r="AD870" s="53" t="n"/>
      <c r="AE870" s="55" t="n"/>
      <c r="AF870" s="55" t="n"/>
      <c r="AG870" s="59" t="n"/>
      <c r="AH870" s="57" t="n"/>
      <c r="AI870" s="55" t="n"/>
      <c r="AJ870" s="55" t="n"/>
      <c r="AK870" s="55" t="n"/>
      <c r="AL870" s="55" t="n"/>
      <c r="AM870" s="56" t="n"/>
      <c r="AN870" s="55" t="n"/>
      <c r="AO870" s="55" t="n"/>
      <c r="AP870" s="55" t="n"/>
      <c r="AQ870" s="55" t="n"/>
      <c r="AR870" s="60">
        <f>IF(AND(C870="",E870=""),"",IF(A870="","⚠ Date manquante",IF(AND(C870="",E870&lt;&gt;"Dépense"),"⚠ Prospect manquant",IF(E870="","⚠ Action manquante",IF(AND(AU870=1,D870=""),"⚠ Canal manquant",IF(AND(W870&lt;&gt;"",COUNTIFS('Saisie'!$W$5:$W$2004,W870,'Saisie'!$C$5:$C$2004,"&lt;&gt;"&amp;C870)&gt;0),"⚠ Numéro déjà utilisé par un autre prospect",IF(AND(J870&lt;&gt;"",J870&lt;A870),"⚠ Relance avant la date de l'action",IF(A870&gt;TODAY(),"⚠ Date dans le futur","✓"))))))))</f>
        <v/>
      </c>
      <c r="AS870" s="61">
        <f>IF(AND(A870="",C870="",E870=""),"",ROW())</f>
        <v/>
      </c>
      <c r="AT870" s="61">
        <f>IF(E870&amp;F870="","",MAX(IFERROR(INDEX('Paramètres'!$J$6:$J$33,MATCH(E870,'Paramètres'!$I$6:$I$33,0)),0),IFERROR(INDEX('Paramètres'!$N$6:$N$17,MATCH(F870,'Paramètres'!$M$6:$M$17,0)),0)))</f>
        <v/>
      </c>
      <c r="AU870" s="61">
        <f>IF(E870="","",IFERROR(IF(INDEX('Paramètres'!$K$6:$K$33,MATCH(E870,'Paramètres'!$I$6:$I$33,0))="Oui",1,0),0))</f>
        <v/>
      </c>
      <c r="AV870" s="61">
        <f>IF(F870="","",IFERROR(IF(INDEX('Paramètres'!$O$6:$O$17,MATCH(F870,'Paramètres'!$M$6:$M$17,0))="Oui",1,0),0))</f>
        <v/>
      </c>
      <c r="AW870" s="62">
        <f>IF(E870="","",IF(G870&lt;&gt;"",G870,IF(OR(E870="Proposition envoyée",E870="Signature"),MAX(0,N(IFERROR(INDEX('Paramètres'!$R$6:$R$15,MATCH(IF(AL870&lt;&gt;"",AL870,IFERROR(INDEX('Prospects'!$AN$5:$AN$504,MATCH(C870,'Prospects'!$C$5:$C$504,0)),"")),'Paramètres'!$Q$6:$Q$15,0)),0))-N(P870)),0)))</f>
        <v/>
      </c>
      <c r="AX870" s="61">
        <f>IF(C870="","",IF(COUNTIF($C$5:C870,C870)=1,MAX($AX$4:AX869)+1,""))</f>
        <v/>
      </c>
      <c r="AY870" s="61">
        <f>IF(B870="","",HOUR(B870))</f>
        <v/>
      </c>
      <c r="AZ870" s="61">
        <f>IF(A870="","",MOD(A870-2,7)+1)</f>
        <v/>
      </c>
      <c r="BA870" s="60">
        <f>IF(C870="","",IFERROR(INDEX('Prospects'!$N$5:$N$504,MATCH(C870,'Prospects'!$C$5:$C$504,0)),""))</f>
        <v/>
      </c>
      <c r="BB870" s="61">
        <f>IF(AND(C870&lt;&gt;"",C870='Fiche prospect'!$C$4),COUNTIF($C$5:C870,C870),"")</f>
        <v/>
      </c>
    </row>
    <row r="871">
      <c r="A871" s="53" t="n"/>
      <c r="B871" s="54" t="n"/>
      <c r="C871" s="55" t="n"/>
      <c r="D871" s="55" t="n"/>
      <c r="E871" s="55" t="n"/>
      <c r="F871" s="55" t="n"/>
      <c r="G871" s="56" t="n"/>
      <c r="H871" s="57" t="n"/>
      <c r="I871" s="55" t="n"/>
      <c r="J871" s="53" t="n"/>
      <c r="K871" s="54" t="n"/>
      <c r="L871" s="55" t="n"/>
      <c r="M871" s="55" t="n"/>
      <c r="N871" s="57" t="n"/>
      <c r="O871" s="55" t="n"/>
      <c r="P871" s="56" t="n"/>
      <c r="Q871" s="55" t="n"/>
      <c r="R871" s="55" t="n"/>
      <c r="S871" s="55" t="n"/>
      <c r="T871" s="55" t="n"/>
      <c r="U871" s="55" t="n"/>
      <c r="V871" s="55" t="n"/>
      <c r="W871" s="58" t="n"/>
      <c r="X871" s="58" t="n"/>
      <c r="Y871" s="55" t="n"/>
      <c r="Z871" s="55" t="n"/>
      <c r="AA871" s="55" t="n"/>
      <c r="AB871" s="55" t="n"/>
      <c r="AC871" s="55" t="n"/>
      <c r="AD871" s="53" t="n"/>
      <c r="AE871" s="55" t="n"/>
      <c r="AF871" s="55" t="n"/>
      <c r="AG871" s="59" t="n"/>
      <c r="AH871" s="57" t="n"/>
      <c r="AI871" s="55" t="n"/>
      <c r="AJ871" s="55" t="n"/>
      <c r="AK871" s="55" t="n"/>
      <c r="AL871" s="55" t="n"/>
      <c r="AM871" s="56" t="n"/>
      <c r="AN871" s="55" t="n"/>
      <c r="AO871" s="55" t="n"/>
      <c r="AP871" s="55" t="n"/>
      <c r="AQ871" s="55" t="n"/>
      <c r="AR871" s="60">
        <f>IF(AND(C871="",E871=""),"",IF(A871="","⚠ Date manquante",IF(AND(C871="",E871&lt;&gt;"Dépense"),"⚠ Prospect manquant",IF(E871="","⚠ Action manquante",IF(AND(AU871=1,D871=""),"⚠ Canal manquant",IF(AND(W871&lt;&gt;"",COUNTIFS('Saisie'!$W$5:$W$2004,W871,'Saisie'!$C$5:$C$2004,"&lt;&gt;"&amp;C871)&gt;0),"⚠ Numéro déjà utilisé par un autre prospect",IF(AND(J871&lt;&gt;"",J871&lt;A871),"⚠ Relance avant la date de l'action",IF(A871&gt;TODAY(),"⚠ Date dans le futur","✓"))))))))</f>
        <v/>
      </c>
      <c r="AS871" s="61">
        <f>IF(AND(A871="",C871="",E871=""),"",ROW())</f>
        <v/>
      </c>
      <c r="AT871" s="61">
        <f>IF(E871&amp;F871="","",MAX(IFERROR(INDEX('Paramètres'!$J$6:$J$33,MATCH(E871,'Paramètres'!$I$6:$I$33,0)),0),IFERROR(INDEX('Paramètres'!$N$6:$N$17,MATCH(F871,'Paramètres'!$M$6:$M$17,0)),0)))</f>
        <v/>
      </c>
      <c r="AU871" s="61">
        <f>IF(E871="","",IFERROR(IF(INDEX('Paramètres'!$K$6:$K$33,MATCH(E871,'Paramètres'!$I$6:$I$33,0))="Oui",1,0),0))</f>
        <v/>
      </c>
      <c r="AV871" s="61">
        <f>IF(F871="","",IFERROR(IF(INDEX('Paramètres'!$O$6:$O$17,MATCH(F871,'Paramètres'!$M$6:$M$17,0))="Oui",1,0),0))</f>
        <v/>
      </c>
      <c r="AW871" s="62">
        <f>IF(E871="","",IF(G871&lt;&gt;"",G871,IF(OR(E871="Proposition envoyée",E871="Signature"),MAX(0,N(IFERROR(INDEX('Paramètres'!$R$6:$R$15,MATCH(IF(AL871&lt;&gt;"",AL871,IFERROR(INDEX('Prospects'!$AN$5:$AN$504,MATCH(C871,'Prospects'!$C$5:$C$504,0)),"")),'Paramètres'!$Q$6:$Q$15,0)),0))-N(P871)),0)))</f>
        <v/>
      </c>
      <c r="AX871" s="61">
        <f>IF(C871="","",IF(COUNTIF($C$5:C871,C871)=1,MAX($AX$4:AX870)+1,""))</f>
        <v/>
      </c>
      <c r="AY871" s="61">
        <f>IF(B871="","",HOUR(B871))</f>
        <v/>
      </c>
      <c r="AZ871" s="61">
        <f>IF(A871="","",MOD(A871-2,7)+1)</f>
        <v/>
      </c>
      <c r="BA871" s="60">
        <f>IF(C871="","",IFERROR(INDEX('Prospects'!$N$5:$N$504,MATCH(C871,'Prospects'!$C$5:$C$504,0)),""))</f>
        <v/>
      </c>
      <c r="BB871" s="61">
        <f>IF(AND(C871&lt;&gt;"",C871='Fiche prospect'!$C$4),COUNTIF($C$5:C871,C871),"")</f>
        <v/>
      </c>
    </row>
    <row r="872">
      <c r="A872" s="53" t="n"/>
      <c r="B872" s="54" t="n"/>
      <c r="C872" s="55" t="n"/>
      <c r="D872" s="55" t="n"/>
      <c r="E872" s="55" t="n"/>
      <c r="F872" s="55" t="n"/>
      <c r="G872" s="56" t="n"/>
      <c r="H872" s="57" t="n"/>
      <c r="I872" s="55" t="n"/>
      <c r="J872" s="53" t="n"/>
      <c r="K872" s="54" t="n"/>
      <c r="L872" s="55" t="n"/>
      <c r="M872" s="55" t="n"/>
      <c r="N872" s="57" t="n"/>
      <c r="O872" s="55" t="n"/>
      <c r="P872" s="56" t="n"/>
      <c r="Q872" s="55" t="n"/>
      <c r="R872" s="55" t="n"/>
      <c r="S872" s="55" t="n"/>
      <c r="T872" s="55" t="n"/>
      <c r="U872" s="55" t="n"/>
      <c r="V872" s="55" t="n"/>
      <c r="W872" s="58" t="n"/>
      <c r="X872" s="58" t="n"/>
      <c r="Y872" s="55" t="n"/>
      <c r="Z872" s="55" t="n"/>
      <c r="AA872" s="55" t="n"/>
      <c r="AB872" s="55" t="n"/>
      <c r="AC872" s="55" t="n"/>
      <c r="AD872" s="53" t="n"/>
      <c r="AE872" s="55" t="n"/>
      <c r="AF872" s="55" t="n"/>
      <c r="AG872" s="59" t="n"/>
      <c r="AH872" s="57" t="n"/>
      <c r="AI872" s="55" t="n"/>
      <c r="AJ872" s="55" t="n"/>
      <c r="AK872" s="55" t="n"/>
      <c r="AL872" s="55" t="n"/>
      <c r="AM872" s="56" t="n"/>
      <c r="AN872" s="55" t="n"/>
      <c r="AO872" s="55" t="n"/>
      <c r="AP872" s="55" t="n"/>
      <c r="AQ872" s="55" t="n"/>
      <c r="AR872" s="60">
        <f>IF(AND(C872="",E872=""),"",IF(A872="","⚠ Date manquante",IF(AND(C872="",E872&lt;&gt;"Dépense"),"⚠ Prospect manquant",IF(E872="","⚠ Action manquante",IF(AND(AU872=1,D872=""),"⚠ Canal manquant",IF(AND(W872&lt;&gt;"",COUNTIFS('Saisie'!$W$5:$W$2004,W872,'Saisie'!$C$5:$C$2004,"&lt;&gt;"&amp;C872)&gt;0),"⚠ Numéro déjà utilisé par un autre prospect",IF(AND(J872&lt;&gt;"",J872&lt;A872),"⚠ Relance avant la date de l'action",IF(A872&gt;TODAY(),"⚠ Date dans le futur","✓"))))))))</f>
        <v/>
      </c>
      <c r="AS872" s="61">
        <f>IF(AND(A872="",C872="",E872=""),"",ROW())</f>
        <v/>
      </c>
      <c r="AT872" s="61">
        <f>IF(E872&amp;F872="","",MAX(IFERROR(INDEX('Paramètres'!$J$6:$J$33,MATCH(E872,'Paramètres'!$I$6:$I$33,0)),0),IFERROR(INDEX('Paramètres'!$N$6:$N$17,MATCH(F872,'Paramètres'!$M$6:$M$17,0)),0)))</f>
        <v/>
      </c>
      <c r="AU872" s="61">
        <f>IF(E872="","",IFERROR(IF(INDEX('Paramètres'!$K$6:$K$33,MATCH(E872,'Paramètres'!$I$6:$I$33,0))="Oui",1,0),0))</f>
        <v/>
      </c>
      <c r="AV872" s="61">
        <f>IF(F872="","",IFERROR(IF(INDEX('Paramètres'!$O$6:$O$17,MATCH(F872,'Paramètres'!$M$6:$M$17,0))="Oui",1,0),0))</f>
        <v/>
      </c>
      <c r="AW872" s="62">
        <f>IF(E872="","",IF(G872&lt;&gt;"",G872,IF(OR(E872="Proposition envoyée",E872="Signature"),MAX(0,N(IFERROR(INDEX('Paramètres'!$R$6:$R$15,MATCH(IF(AL872&lt;&gt;"",AL872,IFERROR(INDEX('Prospects'!$AN$5:$AN$504,MATCH(C872,'Prospects'!$C$5:$C$504,0)),"")),'Paramètres'!$Q$6:$Q$15,0)),0))-N(P872)),0)))</f>
        <v/>
      </c>
      <c r="AX872" s="61">
        <f>IF(C872="","",IF(COUNTIF($C$5:C872,C872)=1,MAX($AX$4:AX871)+1,""))</f>
        <v/>
      </c>
      <c r="AY872" s="61">
        <f>IF(B872="","",HOUR(B872))</f>
        <v/>
      </c>
      <c r="AZ872" s="61">
        <f>IF(A872="","",MOD(A872-2,7)+1)</f>
        <v/>
      </c>
      <c r="BA872" s="60">
        <f>IF(C872="","",IFERROR(INDEX('Prospects'!$N$5:$N$504,MATCH(C872,'Prospects'!$C$5:$C$504,0)),""))</f>
        <v/>
      </c>
      <c r="BB872" s="61">
        <f>IF(AND(C872&lt;&gt;"",C872='Fiche prospect'!$C$4),COUNTIF($C$5:C872,C872),"")</f>
        <v/>
      </c>
    </row>
    <row r="873">
      <c r="A873" s="53" t="n"/>
      <c r="B873" s="54" t="n"/>
      <c r="C873" s="55" t="n"/>
      <c r="D873" s="55" t="n"/>
      <c r="E873" s="55" t="n"/>
      <c r="F873" s="55" t="n"/>
      <c r="G873" s="56" t="n"/>
      <c r="H873" s="57" t="n"/>
      <c r="I873" s="55" t="n"/>
      <c r="J873" s="53" t="n"/>
      <c r="K873" s="54" t="n"/>
      <c r="L873" s="55" t="n"/>
      <c r="M873" s="55" t="n"/>
      <c r="N873" s="57" t="n"/>
      <c r="O873" s="55" t="n"/>
      <c r="P873" s="56" t="n"/>
      <c r="Q873" s="55" t="n"/>
      <c r="R873" s="55" t="n"/>
      <c r="S873" s="55" t="n"/>
      <c r="T873" s="55" t="n"/>
      <c r="U873" s="55" t="n"/>
      <c r="V873" s="55" t="n"/>
      <c r="W873" s="58" t="n"/>
      <c r="X873" s="58" t="n"/>
      <c r="Y873" s="55" t="n"/>
      <c r="Z873" s="55" t="n"/>
      <c r="AA873" s="55" t="n"/>
      <c r="AB873" s="55" t="n"/>
      <c r="AC873" s="55" t="n"/>
      <c r="AD873" s="53" t="n"/>
      <c r="AE873" s="55" t="n"/>
      <c r="AF873" s="55" t="n"/>
      <c r="AG873" s="59" t="n"/>
      <c r="AH873" s="57" t="n"/>
      <c r="AI873" s="55" t="n"/>
      <c r="AJ873" s="55" t="n"/>
      <c r="AK873" s="55" t="n"/>
      <c r="AL873" s="55" t="n"/>
      <c r="AM873" s="56" t="n"/>
      <c r="AN873" s="55" t="n"/>
      <c r="AO873" s="55" t="n"/>
      <c r="AP873" s="55" t="n"/>
      <c r="AQ873" s="55" t="n"/>
      <c r="AR873" s="60">
        <f>IF(AND(C873="",E873=""),"",IF(A873="","⚠ Date manquante",IF(AND(C873="",E873&lt;&gt;"Dépense"),"⚠ Prospect manquant",IF(E873="","⚠ Action manquante",IF(AND(AU873=1,D873=""),"⚠ Canal manquant",IF(AND(W873&lt;&gt;"",COUNTIFS('Saisie'!$W$5:$W$2004,W873,'Saisie'!$C$5:$C$2004,"&lt;&gt;"&amp;C873)&gt;0),"⚠ Numéro déjà utilisé par un autre prospect",IF(AND(J873&lt;&gt;"",J873&lt;A873),"⚠ Relance avant la date de l'action",IF(A873&gt;TODAY(),"⚠ Date dans le futur","✓"))))))))</f>
        <v/>
      </c>
      <c r="AS873" s="61">
        <f>IF(AND(A873="",C873="",E873=""),"",ROW())</f>
        <v/>
      </c>
      <c r="AT873" s="61">
        <f>IF(E873&amp;F873="","",MAX(IFERROR(INDEX('Paramètres'!$J$6:$J$33,MATCH(E873,'Paramètres'!$I$6:$I$33,0)),0),IFERROR(INDEX('Paramètres'!$N$6:$N$17,MATCH(F873,'Paramètres'!$M$6:$M$17,0)),0)))</f>
        <v/>
      </c>
      <c r="AU873" s="61">
        <f>IF(E873="","",IFERROR(IF(INDEX('Paramètres'!$K$6:$K$33,MATCH(E873,'Paramètres'!$I$6:$I$33,0))="Oui",1,0),0))</f>
        <v/>
      </c>
      <c r="AV873" s="61">
        <f>IF(F873="","",IFERROR(IF(INDEX('Paramètres'!$O$6:$O$17,MATCH(F873,'Paramètres'!$M$6:$M$17,0))="Oui",1,0),0))</f>
        <v/>
      </c>
      <c r="AW873" s="62">
        <f>IF(E873="","",IF(G873&lt;&gt;"",G873,IF(OR(E873="Proposition envoyée",E873="Signature"),MAX(0,N(IFERROR(INDEX('Paramètres'!$R$6:$R$15,MATCH(IF(AL873&lt;&gt;"",AL873,IFERROR(INDEX('Prospects'!$AN$5:$AN$504,MATCH(C873,'Prospects'!$C$5:$C$504,0)),"")),'Paramètres'!$Q$6:$Q$15,0)),0))-N(P873)),0)))</f>
        <v/>
      </c>
      <c r="AX873" s="61">
        <f>IF(C873="","",IF(COUNTIF($C$5:C873,C873)=1,MAX($AX$4:AX872)+1,""))</f>
        <v/>
      </c>
      <c r="AY873" s="61">
        <f>IF(B873="","",HOUR(B873))</f>
        <v/>
      </c>
      <c r="AZ873" s="61">
        <f>IF(A873="","",MOD(A873-2,7)+1)</f>
        <v/>
      </c>
      <c r="BA873" s="60">
        <f>IF(C873="","",IFERROR(INDEX('Prospects'!$N$5:$N$504,MATCH(C873,'Prospects'!$C$5:$C$504,0)),""))</f>
        <v/>
      </c>
      <c r="BB873" s="61">
        <f>IF(AND(C873&lt;&gt;"",C873='Fiche prospect'!$C$4),COUNTIF($C$5:C873,C873),"")</f>
        <v/>
      </c>
    </row>
    <row r="874">
      <c r="A874" s="53" t="n"/>
      <c r="B874" s="54" t="n"/>
      <c r="C874" s="55" t="n"/>
      <c r="D874" s="55" t="n"/>
      <c r="E874" s="55" t="n"/>
      <c r="F874" s="55" t="n"/>
      <c r="G874" s="56" t="n"/>
      <c r="H874" s="57" t="n"/>
      <c r="I874" s="55" t="n"/>
      <c r="J874" s="53" t="n"/>
      <c r="K874" s="54" t="n"/>
      <c r="L874" s="55" t="n"/>
      <c r="M874" s="55" t="n"/>
      <c r="N874" s="57" t="n"/>
      <c r="O874" s="55" t="n"/>
      <c r="P874" s="56" t="n"/>
      <c r="Q874" s="55" t="n"/>
      <c r="R874" s="55" t="n"/>
      <c r="S874" s="55" t="n"/>
      <c r="T874" s="55" t="n"/>
      <c r="U874" s="55" t="n"/>
      <c r="V874" s="55" t="n"/>
      <c r="W874" s="58" t="n"/>
      <c r="X874" s="58" t="n"/>
      <c r="Y874" s="55" t="n"/>
      <c r="Z874" s="55" t="n"/>
      <c r="AA874" s="55" t="n"/>
      <c r="AB874" s="55" t="n"/>
      <c r="AC874" s="55" t="n"/>
      <c r="AD874" s="53" t="n"/>
      <c r="AE874" s="55" t="n"/>
      <c r="AF874" s="55" t="n"/>
      <c r="AG874" s="59" t="n"/>
      <c r="AH874" s="57" t="n"/>
      <c r="AI874" s="55" t="n"/>
      <c r="AJ874" s="55" t="n"/>
      <c r="AK874" s="55" t="n"/>
      <c r="AL874" s="55" t="n"/>
      <c r="AM874" s="56" t="n"/>
      <c r="AN874" s="55" t="n"/>
      <c r="AO874" s="55" t="n"/>
      <c r="AP874" s="55" t="n"/>
      <c r="AQ874" s="55" t="n"/>
      <c r="AR874" s="60">
        <f>IF(AND(C874="",E874=""),"",IF(A874="","⚠ Date manquante",IF(AND(C874="",E874&lt;&gt;"Dépense"),"⚠ Prospect manquant",IF(E874="","⚠ Action manquante",IF(AND(AU874=1,D874=""),"⚠ Canal manquant",IF(AND(W874&lt;&gt;"",COUNTIFS('Saisie'!$W$5:$W$2004,W874,'Saisie'!$C$5:$C$2004,"&lt;&gt;"&amp;C874)&gt;0),"⚠ Numéro déjà utilisé par un autre prospect",IF(AND(J874&lt;&gt;"",J874&lt;A874),"⚠ Relance avant la date de l'action",IF(A874&gt;TODAY(),"⚠ Date dans le futur","✓"))))))))</f>
        <v/>
      </c>
      <c r="AS874" s="61">
        <f>IF(AND(A874="",C874="",E874=""),"",ROW())</f>
        <v/>
      </c>
      <c r="AT874" s="61">
        <f>IF(E874&amp;F874="","",MAX(IFERROR(INDEX('Paramètres'!$J$6:$J$33,MATCH(E874,'Paramètres'!$I$6:$I$33,0)),0),IFERROR(INDEX('Paramètres'!$N$6:$N$17,MATCH(F874,'Paramètres'!$M$6:$M$17,0)),0)))</f>
        <v/>
      </c>
      <c r="AU874" s="61">
        <f>IF(E874="","",IFERROR(IF(INDEX('Paramètres'!$K$6:$K$33,MATCH(E874,'Paramètres'!$I$6:$I$33,0))="Oui",1,0),0))</f>
        <v/>
      </c>
      <c r="AV874" s="61">
        <f>IF(F874="","",IFERROR(IF(INDEX('Paramètres'!$O$6:$O$17,MATCH(F874,'Paramètres'!$M$6:$M$17,0))="Oui",1,0),0))</f>
        <v/>
      </c>
      <c r="AW874" s="62">
        <f>IF(E874="","",IF(G874&lt;&gt;"",G874,IF(OR(E874="Proposition envoyée",E874="Signature"),MAX(0,N(IFERROR(INDEX('Paramètres'!$R$6:$R$15,MATCH(IF(AL874&lt;&gt;"",AL874,IFERROR(INDEX('Prospects'!$AN$5:$AN$504,MATCH(C874,'Prospects'!$C$5:$C$504,0)),"")),'Paramètres'!$Q$6:$Q$15,0)),0))-N(P874)),0)))</f>
        <v/>
      </c>
      <c r="AX874" s="61">
        <f>IF(C874="","",IF(COUNTIF($C$5:C874,C874)=1,MAX($AX$4:AX873)+1,""))</f>
        <v/>
      </c>
      <c r="AY874" s="61">
        <f>IF(B874="","",HOUR(B874))</f>
        <v/>
      </c>
      <c r="AZ874" s="61">
        <f>IF(A874="","",MOD(A874-2,7)+1)</f>
        <v/>
      </c>
      <c r="BA874" s="60">
        <f>IF(C874="","",IFERROR(INDEX('Prospects'!$N$5:$N$504,MATCH(C874,'Prospects'!$C$5:$C$504,0)),""))</f>
        <v/>
      </c>
      <c r="BB874" s="61">
        <f>IF(AND(C874&lt;&gt;"",C874='Fiche prospect'!$C$4),COUNTIF($C$5:C874,C874),"")</f>
        <v/>
      </c>
    </row>
    <row r="875">
      <c r="A875" s="53" t="n"/>
      <c r="B875" s="54" t="n"/>
      <c r="C875" s="55" t="n"/>
      <c r="D875" s="55" t="n"/>
      <c r="E875" s="55" t="n"/>
      <c r="F875" s="55" t="n"/>
      <c r="G875" s="56" t="n"/>
      <c r="H875" s="57" t="n"/>
      <c r="I875" s="55" t="n"/>
      <c r="J875" s="53" t="n"/>
      <c r="K875" s="54" t="n"/>
      <c r="L875" s="55" t="n"/>
      <c r="M875" s="55" t="n"/>
      <c r="N875" s="57" t="n"/>
      <c r="O875" s="55" t="n"/>
      <c r="P875" s="56" t="n"/>
      <c r="Q875" s="55" t="n"/>
      <c r="R875" s="55" t="n"/>
      <c r="S875" s="55" t="n"/>
      <c r="T875" s="55" t="n"/>
      <c r="U875" s="55" t="n"/>
      <c r="V875" s="55" t="n"/>
      <c r="W875" s="58" t="n"/>
      <c r="X875" s="58" t="n"/>
      <c r="Y875" s="55" t="n"/>
      <c r="Z875" s="55" t="n"/>
      <c r="AA875" s="55" t="n"/>
      <c r="AB875" s="55" t="n"/>
      <c r="AC875" s="55" t="n"/>
      <c r="AD875" s="53" t="n"/>
      <c r="AE875" s="55" t="n"/>
      <c r="AF875" s="55" t="n"/>
      <c r="AG875" s="59" t="n"/>
      <c r="AH875" s="57" t="n"/>
      <c r="AI875" s="55" t="n"/>
      <c r="AJ875" s="55" t="n"/>
      <c r="AK875" s="55" t="n"/>
      <c r="AL875" s="55" t="n"/>
      <c r="AM875" s="56" t="n"/>
      <c r="AN875" s="55" t="n"/>
      <c r="AO875" s="55" t="n"/>
      <c r="AP875" s="55" t="n"/>
      <c r="AQ875" s="55" t="n"/>
      <c r="AR875" s="60">
        <f>IF(AND(C875="",E875=""),"",IF(A875="","⚠ Date manquante",IF(AND(C875="",E875&lt;&gt;"Dépense"),"⚠ Prospect manquant",IF(E875="","⚠ Action manquante",IF(AND(AU875=1,D875=""),"⚠ Canal manquant",IF(AND(W875&lt;&gt;"",COUNTIFS('Saisie'!$W$5:$W$2004,W875,'Saisie'!$C$5:$C$2004,"&lt;&gt;"&amp;C875)&gt;0),"⚠ Numéro déjà utilisé par un autre prospect",IF(AND(J875&lt;&gt;"",J875&lt;A875),"⚠ Relance avant la date de l'action",IF(A875&gt;TODAY(),"⚠ Date dans le futur","✓"))))))))</f>
        <v/>
      </c>
      <c r="AS875" s="61">
        <f>IF(AND(A875="",C875="",E875=""),"",ROW())</f>
        <v/>
      </c>
      <c r="AT875" s="61">
        <f>IF(E875&amp;F875="","",MAX(IFERROR(INDEX('Paramètres'!$J$6:$J$33,MATCH(E875,'Paramètres'!$I$6:$I$33,0)),0),IFERROR(INDEX('Paramètres'!$N$6:$N$17,MATCH(F875,'Paramètres'!$M$6:$M$17,0)),0)))</f>
        <v/>
      </c>
      <c r="AU875" s="61">
        <f>IF(E875="","",IFERROR(IF(INDEX('Paramètres'!$K$6:$K$33,MATCH(E875,'Paramètres'!$I$6:$I$33,0))="Oui",1,0),0))</f>
        <v/>
      </c>
      <c r="AV875" s="61">
        <f>IF(F875="","",IFERROR(IF(INDEX('Paramètres'!$O$6:$O$17,MATCH(F875,'Paramètres'!$M$6:$M$17,0))="Oui",1,0),0))</f>
        <v/>
      </c>
      <c r="AW875" s="62">
        <f>IF(E875="","",IF(G875&lt;&gt;"",G875,IF(OR(E875="Proposition envoyée",E875="Signature"),MAX(0,N(IFERROR(INDEX('Paramètres'!$R$6:$R$15,MATCH(IF(AL875&lt;&gt;"",AL875,IFERROR(INDEX('Prospects'!$AN$5:$AN$504,MATCH(C875,'Prospects'!$C$5:$C$504,0)),"")),'Paramètres'!$Q$6:$Q$15,0)),0))-N(P875)),0)))</f>
        <v/>
      </c>
      <c r="AX875" s="61">
        <f>IF(C875="","",IF(COUNTIF($C$5:C875,C875)=1,MAX($AX$4:AX874)+1,""))</f>
        <v/>
      </c>
      <c r="AY875" s="61">
        <f>IF(B875="","",HOUR(B875))</f>
        <v/>
      </c>
      <c r="AZ875" s="61">
        <f>IF(A875="","",MOD(A875-2,7)+1)</f>
        <v/>
      </c>
      <c r="BA875" s="60">
        <f>IF(C875="","",IFERROR(INDEX('Prospects'!$N$5:$N$504,MATCH(C875,'Prospects'!$C$5:$C$504,0)),""))</f>
        <v/>
      </c>
      <c r="BB875" s="61">
        <f>IF(AND(C875&lt;&gt;"",C875='Fiche prospect'!$C$4),COUNTIF($C$5:C875,C875),"")</f>
        <v/>
      </c>
    </row>
    <row r="876">
      <c r="A876" s="53" t="n"/>
      <c r="B876" s="54" t="n"/>
      <c r="C876" s="55" t="n"/>
      <c r="D876" s="55" t="n"/>
      <c r="E876" s="55" t="n"/>
      <c r="F876" s="55" t="n"/>
      <c r="G876" s="56" t="n"/>
      <c r="H876" s="57" t="n"/>
      <c r="I876" s="55" t="n"/>
      <c r="J876" s="53" t="n"/>
      <c r="K876" s="54" t="n"/>
      <c r="L876" s="55" t="n"/>
      <c r="M876" s="55" t="n"/>
      <c r="N876" s="57" t="n"/>
      <c r="O876" s="55" t="n"/>
      <c r="P876" s="56" t="n"/>
      <c r="Q876" s="55" t="n"/>
      <c r="R876" s="55" t="n"/>
      <c r="S876" s="55" t="n"/>
      <c r="T876" s="55" t="n"/>
      <c r="U876" s="55" t="n"/>
      <c r="V876" s="55" t="n"/>
      <c r="W876" s="58" t="n"/>
      <c r="X876" s="58" t="n"/>
      <c r="Y876" s="55" t="n"/>
      <c r="Z876" s="55" t="n"/>
      <c r="AA876" s="55" t="n"/>
      <c r="AB876" s="55" t="n"/>
      <c r="AC876" s="55" t="n"/>
      <c r="AD876" s="53" t="n"/>
      <c r="AE876" s="55" t="n"/>
      <c r="AF876" s="55" t="n"/>
      <c r="AG876" s="59" t="n"/>
      <c r="AH876" s="57" t="n"/>
      <c r="AI876" s="55" t="n"/>
      <c r="AJ876" s="55" t="n"/>
      <c r="AK876" s="55" t="n"/>
      <c r="AL876" s="55" t="n"/>
      <c r="AM876" s="56" t="n"/>
      <c r="AN876" s="55" t="n"/>
      <c r="AO876" s="55" t="n"/>
      <c r="AP876" s="55" t="n"/>
      <c r="AQ876" s="55" t="n"/>
      <c r="AR876" s="60">
        <f>IF(AND(C876="",E876=""),"",IF(A876="","⚠ Date manquante",IF(AND(C876="",E876&lt;&gt;"Dépense"),"⚠ Prospect manquant",IF(E876="","⚠ Action manquante",IF(AND(AU876=1,D876=""),"⚠ Canal manquant",IF(AND(W876&lt;&gt;"",COUNTIFS('Saisie'!$W$5:$W$2004,W876,'Saisie'!$C$5:$C$2004,"&lt;&gt;"&amp;C876)&gt;0),"⚠ Numéro déjà utilisé par un autre prospect",IF(AND(J876&lt;&gt;"",J876&lt;A876),"⚠ Relance avant la date de l'action",IF(A876&gt;TODAY(),"⚠ Date dans le futur","✓"))))))))</f>
        <v/>
      </c>
      <c r="AS876" s="61">
        <f>IF(AND(A876="",C876="",E876=""),"",ROW())</f>
        <v/>
      </c>
      <c r="AT876" s="61">
        <f>IF(E876&amp;F876="","",MAX(IFERROR(INDEX('Paramètres'!$J$6:$J$33,MATCH(E876,'Paramètres'!$I$6:$I$33,0)),0),IFERROR(INDEX('Paramètres'!$N$6:$N$17,MATCH(F876,'Paramètres'!$M$6:$M$17,0)),0)))</f>
        <v/>
      </c>
      <c r="AU876" s="61">
        <f>IF(E876="","",IFERROR(IF(INDEX('Paramètres'!$K$6:$K$33,MATCH(E876,'Paramètres'!$I$6:$I$33,0))="Oui",1,0),0))</f>
        <v/>
      </c>
      <c r="AV876" s="61">
        <f>IF(F876="","",IFERROR(IF(INDEX('Paramètres'!$O$6:$O$17,MATCH(F876,'Paramètres'!$M$6:$M$17,0))="Oui",1,0),0))</f>
        <v/>
      </c>
      <c r="AW876" s="62">
        <f>IF(E876="","",IF(G876&lt;&gt;"",G876,IF(OR(E876="Proposition envoyée",E876="Signature"),MAX(0,N(IFERROR(INDEX('Paramètres'!$R$6:$R$15,MATCH(IF(AL876&lt;&gt;"",AL876,IFERROR(INDEX('Prospects'!$AN$5:$AN$504,MATCH(C876,'Prospects'!$C$5:$C$504,0)),"")),'Paramètres'!$Q$6:$Q$15,0)),0))-N(P876)),0)))</f>
        <v/>
      </c>
      <c r="AX876" s="61">
        <f>IF(C876="","",IF(COUNTIF($C$5:C876,C876)=1,MAX($AX$4:AX875)+1,""))</f>
        <v/>
      </c>
      <c r="AY876" s="61">
        <f>IF(B876="","",HOUR(B876))</f>
        <v/>
      </c>
      <c r="AZ876" s="61">
        <f>IF(A876="","",MOD(A876-2,7)+1)</f>
        <v/>
      </c>
      <c r="BA876" s="60">
        <f>IF(C876="","",IFERROR(INDEX('Prospects'!$N$5:$N$504,MATCH(C876,'Prospects'!$C$5:$C$504,0)),""))</f>
        <v/>
      </c>
      <c r="BB876" s="61">
        <f>IF(AND(C876&lt;&gt;"",C876='Fiche prospect'!$C$4),COUNTIF($C$5:C876,C876),"")</f>
        <v/>
      </c>
    </row>
    <row r="877">
      <c r="A877" s="53" t="n"/>
      <c r="B877" s="54" t="n"/>
      <c r="C877" s="55" t="n"/>
      <c r="D877" s="55" t="n"/>
      <c r="E877" s="55" t="n"/>
      <c r="F877" s="55" t="n"/>
      <c r="G877" s="56" t="n"/>
      <c r="H877" s="57" t="n"/>
      <c r="I877" s="55" t="n"/>
      <c r="J877" s="53" t="n"/>
      <c r="K877" s="54" t="n"/>
      <c r="L877" s="55" t="n"/>
      <c r="M877" s="55" t="n"/>
      <c r="N877" s="57" t="n"/>
      <c r="O877" s="55" t="n"/>
      <c r="P877" s="56" t="n"/>
      <c r="Q877" s="55" t="n"/>
      <c r="R877" s="55" t="n"/>
      <c r="S877" s="55" t="n"/>
      <c r="T877" s="55" t="n"/>
      <c r="U877" s="55" t="n"/>
      <c r="V877" s="55" t="n"/>
      <c r="W877" s="58" t="n"/>
      <c r="X877" s="58" t="n"/>
      <c r="Y877" s="55" t="n"/>
      <c r="Z877" s="55" t="n"/>
      <c r="AA877" s="55" t="n"/>
      <c r="AB877" s="55" t="n"/>
      <c r="AC877" s="55" t="n"/>
      <c r="AD877" s="53" t="n"/>
      <c r="AE877" s="55" t="n"/>
      <c r="AF877" s="55" t="n"/>
      <c r="AG877" s="59" t="n"/>
      <c r="AH877" s="57" t="n"/>
      <c r="AI877" s="55" t="n"/>
      <c r="AJ877" s="55" t="n"/>
      <c r="AK877" s="55" t="n"/>
      <c r="AL877" s="55" t="n"/>
      <c r="AM877" s="56" t="n"/>
      <c r="AN877" s="55" t="n"/>
      <c r="AO877" s="55" t="n"/>
      <c r="AP877" s="55" t="n"/>
      <c r="AQ877" s="55" t="n"/>
      <c r="AR877" s="60">
        <f>IF(AND(C877="",E877=""),"",IF(A877="","⚠ Date manquante",IF(AND(C877="",E877&lt;&gt;"Dépense"),"⚠ Prospect manquant",IF(E877="","⚠ Action manquante",IF(AND(AU877=1,D877=""),"⚠ Canal manquant",IF(AND(W877&lt;&gt;"",COUNTIFS('Saisie'!$W$5:$W$2004,W877,'Saisie'!$C$5:$C$2004,"&lt;&gt;"&amp;C877)&gt;0),"⚠ Numéro déjà utilisé par un autre prospect",IF(AND(J877&lt;&gt;"",J877&lt;A877),"⚠ Relance avant la date de l'action",IF(A877&gt;TODAY(),"⚠ Date dans le futur","✓"))))))))</f>
        <v/>
      </c>
      <c r="AS877" s="61">
        <f>IF(AND(A877="",C877="",E877=""),"",ROW())</f>
        <v/>
      </c>
      <c r="AT877" s="61">
        <f>IF(E877&amp;F877="","",MAX(IFERROR(INDEX('Paramètres'!$J$6:$J$33,MATCH(E877,'Paramètres'!$I$6:$I$33,0)),0),IFERROR(INDEX('Paramètres'!$N$6:$N$17,MATCH(F877,'Paramètres'!$M$6:$M$17,0)),0)))</f>
        <v/>
      </c>
      <c r="AU877" s="61">
        <f>IF(E877="","",IFERROR(IF(INDEX('Paramètres'!$K$6:$K$33,MATCH(E877,'Paramètres'!$I$6:$I$33,0))="Oui",1,0),0))</f>
        <v/>
      </c>
      <c r="AV877" s="61">
        <f>IF(F877="","",IFERROR(IF(INDEX('Paramètres'!$O$6:$O$17,MATCH(F877,'Paramètres'!$M$6:$M$17,0))="Oui",1,0),0))</f>
        <v/>
      </c>
      <c r="AW877" s="62">
        <f>IF(E877="","",IF(G877&lt;&gt;"",G877,IF(OR(E877="Proposition envoyée",E877="Signature"),MAX(0,N(IFERROR(INDEX('Paramètres'!$R$6:$R$15,MATCH(IF(AL877&lt;&gt;"",AL877,IFERROR(INDEX('Prospects'!$AN$5:$AN$504,MATCH(C877,'Prospects'!$C$5:$C$504,0)),"")),'Paramètres'!$Q$6:$Q$15,0)),0))-N(P877)),0)))</f>
        <v/>
      </c>
      <c r="AX877" s="61">
        <f>IF(C877="","",IF(COUNTIF($C$5:C877,C877)=1,MAX($AX$4:AX876)+1,""))</f>
        <v/>
      </c>
      <c r="AY877" s="61">
        <f>IF(B877="","",HOUR(B877))</f>
        <v/>
      </c>
      <c r="AZ877" s="61">
        <f>IF(A877="","",MOD(A877-2,7)+1)</f>
        <v/>
      </c>
      <c r="BA877" s="60">
        <f>IF(C877="","",IFERROR(INDEX('Prospects'!$N$5:$N$504,MATCH(C877,'Prospects'!$C$5:$C$504,0)),""))</f>
        <v/>
      </c>
      <c r="BB877" s="61">
        <f>IF(AND(C877&lt;&gt;"",C877='Fiche prospect'!$C$4),COUNTIF($C$5:C877,C877),"")</f>
        <v/>
      </c>
    </row>
    <row r="878">
      <c r="A878" s="53" t="n"/>
      <c r="B878" s="54" t="n"/>
      <c r="C878" s="55" t="n"/>
      <c r="D878" s="55" t="n"/>
      <c r="E878" s="55" t="n"/>
      <c r="F878" s="55" t="n"/>
      <c r="G878" s="56" t="n"/>
      <c r="H878" s="57" t="n"/>
      <c r="I878" s="55" t="n"/>
      <c r="J878" s="53" t="n"/>
      <c r="K878" s="54" t="n"/>
      <c r="L878" s="55" t="n"/>
      <c r="M878" s="55" t="n"/>
      <c r="N878" s="57" t="n"/>
      <c r="O878" s="55" t="n"/>
      <c r="P878" s="56" t="n"/>
      <c r="Q878" s="55" t="n"/>
      <c r="R878" s="55" t="n"/>
      <c r="S878" s="55" t="n"/>
      <c r="T878" s="55" t="n"/>
      <c r="U878" s="55" t="n"/>
      <c r="V878" s="55" t="n"/>
      <c r="W878" s="58" t="n"/>
      <c r="X878" s="58" t="n"/>
      <c r="Y878" s="55" t="n"/>
      <c r="Z878" s="55" t="n"/>
      <c r="AA878" s="55" t="n"/>
      <c r="AB878" s="55" t="n"/>
      <c r="AC878" s="55" t="n"/>
      <c r="AD878" s="53" t="n"/>
      <c r="AE878" s="55" t="n"/>
      <c r="AF878" s="55" t="n"/>
      <c r="AG878" s="59" t="n"/>
      <c r="AH878" s="57" t="n"/>
      <c r="AI878" s="55" t="n"/>
      <c r="AJ878" s="55" t="n"/>
      <c r="AK878" s="55" t="n"/>
      <c r="AL878" s="55" t="n"/>
      <c r="AM878" s="56" t="n"/>
      <c r="AN878" s="55" t="n"/>
      <c r="AO878" s="55" t="n"/>
      <c r="AP878" s="55" t="n"/>
      <c r="AQ878" s="55" t="n"/>
      <c r="AR878" s="60">
        <f>IF(AND(C878="",E878=""),"",IF(A878="","⚠ Date manquante",IF(AND(C878="",E878&lt;&gt;"Dépense"),"⚠ Prospect manquant",IF(E878="","⚠ Action manquante",IF(AND(AU878=1,D878=""),"⚠ Canal manquant",IF(AND(W878&lt;&gt;"",COUNTIFS('Saisie'!$W$5:$W$2004,W878,'Saisie'!$C$5:$C$2004,"&lt;&gt;"&amp;C878)&gt;0),"⚠ Numéro déjà utilisé par un autre prospect",IF(AND(J878&lt;&gt;"",J878&lt;A878),"⚠ Relance avant la date de l'action",IF(A878&gt;TODAY(),"⚠ Date dans le futur","✓"))))))))</f>
        <v/>
      </c>
      <c r="AS878" s="61">
        <f>IF(AND(A878="",C878="",E878=""),"",ROW())</f>
        <v/>
      </c>
      <c r="AT878" s="61">
        <f>IF(E878&amp;F878="","",MAX(IFERROR(INDEX('Paramètres'!$J$6:$J$33,MATCH(E878,'Paramètres'!$I$6:$I$33,0)),0),IFERROR(INDEX('Paramètres'!$N$6:$N$17,MATCH(F878,'Paramètres'!$M$6:$M$17,0)),0)))</f>
        <v/>
      </c>
      <c r="AU878" s="61">
        <f>IF(E878="","",IFERROR(IF(INDEX('Paramètres'!$K$6:$K$33,MATCH(E878,'Paramètres'!$I$6:$I$33,0))="Oui",1,0),0))</f>
        <v/>
      </c>
      <c r="AV878" s="61">
        <f>IF(F878="","",IFERROR(IF(INDEX('Paramètres'!$O$6:$O$17,MATCH(F878,'Paramètres'!$M$6:$M$17,0))="Oui",1,0),0))</f>
        <v/>
      </c>
      <c r="AW878" s="62">
        <f>IF(E878="","",IF(G878&lt;&gt;"",G878,IF(OR(E878="Proposition envoyée",E878="Signature"),MAX(0,N(IFERROR(INDEX('Paramètres'!$R$6:$R$15,MATCH(IF(AL878&lt;&gt;"",AL878,IFERROR(INDEX('Prospects'!$AN$5:$AN$504,MATCH(C878,'Prospects'!$C$5:$C$504,0)),"")),'Paramètres'!$Q$6:$Q$15,0)),0))-N(P878)),0)))</f>
        <v/>
      </c>
      <c r="AX878" s="61">
        <f>IF(C878="","",IF(COUNTIF($C$5:C878,C878)=1,MAX($AX$4:AX877)+1,""))</f>
        <v/>
      </c>
      <c r="AY878" s="61">
        <f>IF(B878="","",HOUR(B878))</f>
        <v/>
      </c>
      <c r="AZ878" s="61">
        <f>IF(A878="","",MOD(A878-2,7)+1)</f>
        <v/>
      </c>
      <c r="BA878" s="60">
        <f>IF(C878="","",IFERROR(INDEX('Prospects'!$N$5:$N$504,MATCH(C878,'Prospects'!$C$5:$C$504,0)),""))</f>
        <v/>
      </c>
      <c r="BB878" s="61">
        <f>IF(AND(C878&lt;&gt;"",C878='Fiche prospect'!$C$4),COUNTIF($C$5:C878,C878),"")</f>
        <v/>
      </c>
    </row>
    <row r="879">
      <c r="A879" s="53" t="n"/>
      <c r="B879" s="54" t="n"/>
      <c r="C879" s="55" t="n"/>
      <c r="D879" s="55" t="n"/>
      <c r="E879" s="55" t="n"/>
      <c r="F879" s="55" t="n"/>
      <c r="G879" s="56" t="n"/>
      <c r="H879" s="57" t="n"/>
      <c r="I879" s="55" t="n"/>
      <c r="J879" s="53" t="n"/>
      <c r="K879" s="54" t="n"/>
      <c r="L879" s="55" t="n"/>
      <c r="M879" s="55" t="n"/>
      <c r="N879" s="57" t="n"/>
      <c r="O879" s="55" t="n"/>
      <c r="P879" s="56" t="n"/>
      <c r="Q879" s="55" t="n"/>
      <c r="R879" s="55" t="n"/>
      <c r="S879" s="55" t="n"/>
      <c r="T879" s="55" t="n"/>
      <c r="U879" s="55" t="n"/>
      <c r="V879" s="55" t="n"/>
      <c r="W879" s="58" t="n"/>
      <c r="X879" s="58" t="n"/>
      <c r="Y879" s="55" t="n"/>
      <c r="Z879" s="55" t="n"/>
      <c r="AA879" s="55" t="n"/>
      <c r="AB879" s="55" t="n"/>
      <c r="AC879" s="55" t="n"/>
      <c r="AD879" s="53" t="n"/>
      <c r="AE879" s="55" t="n"/>
      <c r="AF879" s="55" t="n"/>
      <c r="AG879" s="59" t="n"/>
      <c r="AH879" s="57" t="n"/>
      <c r="AI879" s="55" t="n"/>
      <c r="AJ879" s="55" t="n"/>
      <c r="AK879" s="55" t="n"/>
      <c r="AL879" s="55" t="n"/>
      <c r="AM879" s="56" t="n"/>
      <c r="AN879" s="55" t="n"/>
      <c r="AO879" s="55" t="n"/>
      <c r="AP879" s="55" t="n"/>
      <c r="AQ879" s="55" t="n"/>
      <c r="AR879" s="60">
        <f>IF(AND(C879="",E879=""),"",IF(A879="","⚠ Date manquante",IF(AND(C879="",E879&lt;&gt;"Dépense"),"⚠ Prospect manquant",IF(E879="","⚠ Action manquante",IF(AND(AU879=1,D879=""),"⚠ Canal manquant",IF(AND(W879&lt;&gt;"",COUNTIFS('Saisie'!$W$5:$W$2004,W879,'Saisie'!$C$5:$C$2004,"&lt;&gt;"&amp;C879)&gt;0),"⚠ Numéro déjà utilisé par un autre prospect",IF(AND(J879&lt;&gt;"",J879&lt;A879),"⚠ Relance avant la date de l'action",IF(A879&gt;TODAY(),"⚠ Date dans le futur","✓"))))))))</f>
        <v/>
      </c>
      <c r="AS879" s="61">
        <f>IF(AND(A879="",C879="",E879=""),"",ROW())</f>
        <v/>
      </c>
      <c r="AT879" s="61">
        <f>IF(E879&amp;F879="","",MAX(IFERROR(INDEX('Paramètres'!$J$6:$J$33,MATCH(E879,'Paramètres'!$I$6:$I$33,0)),0),IFERROR(INDEX('Paramètres'!$N$6:$N$17,MATCH(F879,'Paramètres'!$M$6:$M$17,0)),0)))</f>
        <v/>
      </c>
      <c r="AU879" s="61">
        <f>IF(E879="","",IFERROR(IF(INDEX('Paramètres'!$K$6:$K$33,MATCH(E879,'Paramètres'!$I$6:$I$33,0))="Oui",1,0),0))</f>
        <v/>
      </c>
      <c r="AV879" s="61">
        <f>IF(F879="","",IFERROR(IF(INDEX('Paramètres'!$O$6:$O$17,MATCH(F879,'Paramètres'!$M$6:$M$17,0))="Oui",1,0),0))</f>
        <v/>
      </c>
      <c r="AW879" s="62">
        <f>IF(E879="","",IF(G879&lt;&gt;"",G879,IF(OR(E879="Proposition envoyée",E879="Signature"),MAX(0,N(IFERROR(INDEX('Paramètres'!$R$6:$R$15,MATCH(IF(AL879&lt;&gt;"",AL879,IFERROR(INDEX('Prospects'!$AN$5:$AN$504,MATCH(C879,'Prospects'!$C$5:$C$504,0)),"")),'Paramètres'!$Q$6:$Q$15,0)),0))-N(P879)),0)))</f>
        <v/>
      </c>
      <c r="AX879" s="61">
        <f>IF(C879="","",IF(COUNTIF($C$5:C879,C879)=1,MAX($AX$4:AX878)+1,""))</f>
        <v/>
      </c>
      <c r="AY879" s="61">
        <f>IF(B879="","",HOUR(B879))</f>
        <v/>
      </c>
      <c r="AZ879" s="61">
        <f>IF(A879="","",MOD(A879-2,7)+1)</f>
        <v/>
      </c>
      <c r="BA879" s="60">
        <f>IF(C879="","",IFERROR(INDEX('Prospects'!$N$5:$N$504,MATCH(C879,'Prospects'!$C$5:$C$504,0)),""))</f>
        <v/>
      </c>
      <c r="BB879" s="61">
        <f>IF(AND(C879&lt;&gt;"",C879='Fiche prospect'!$C$4),COUNTIF($C$5:C879,C879),"")</f>
        <v/>
      </c>
    </row>
    <row r="880">
      <c r="A880" s="53" t="n"/>
      <c r="B880" s="54" t="n"/>
      <c r="C880" s="55" t="n"/>
      <c r="D880" s="55" t="n"/>
      <c r="E880" s="55" t="n"/>
      <c r="F880" s="55" t="n"/>
      <c r="G880" s="56" t="n"/>
      <c r="H880" s="57" t="n"/>
      <c r="I880" s="55" t="n"/>
      <c r="J880" s="53" t="n"/>
      <c r="K880" s="54" t="n"/>
      <c r="L880" s="55" t="n"/>
      <c r="M880" s="55" t="n"/>
      <c r="N880" s="57" t="n"/>
      <c r="O880" s="55" t="n"/>
      <c r="P880" s="56" t="n"/>
      <c r="Q880" s="55" t="n"/>
      <c r="R880" s="55" t="n"/>
      <c r="S880" s="55" t="n"/>
      <c r="T880" s="55" t="n"/>
      <c r="U880" s="55" t="n"/>
      <c r="V880" s="55" t="n"/>
      <c r="W880" s="58" t="n"/>
      <c r="X880" s="58" t="n"/>
      <c r="Y880" s="55" t="n"/>
      <c r="Z880" s="55" t="n"/>
      <c r="AA880" s="55" t="n"/>
      <c r="AB880" s="55" t="n"/>
      <c r="AC880" s="55" t="n"/>
      <c r="AD880" s="53" t="n"/>
      <c r="AE880" s="55" t="n"/>
      <c r="AF880" s="55" t="n"/>
      <c r="AG880" s="59" t="n"/>
      <c r="AH880" s="57" t="n"/>
      <c r="AI880" s="55" t="n"/>
      <c r="AJ880" s="55" t="n"/>
      <c r="AK880" s="55" t="n"/>
      <c r="AL880" s="55" t="n"/>
      <c r="AM880" s="56" t="n"/>
      <c r="AN880" s="55" t="n"/>
      <c r="AO880" s="55" t="n"/>
      <c r="AP880" s="55" t="n"/>
      <c r="AQ880" s="55" t="n"/>
      <c r="AR880" s="60">
        <f>IF(AND(C880="",E880=""),"",IF(A880="","⚠ Date manquante",IF(AND(C880="",E880&lt;&gt;"Dépense"),"⚠ Prospect manquant",IF(E880="","⚠ Action manquante",IF(AND(AU880=1,D880=""),"⚠ Canal manquant",IF(AND(W880&lt;&gt;"",COUNTIFS('Saisie'!$W$5:$W$2004,W880,'Saisie'!$C$5:$C$2004,"&lt;&gt;"&amp;C880)&gt;0),"⚠ Numéro déjà utilisé par un autre prospect",IF(AND(J880&lt;&gt;"",J880&lt;A880),"⚠ Relance avant la date de l'action",IF(A880&gt;TODAY(),"⚠ Date dans le futur","✓"))))))))</f>
        <v/>
      </c>
      <c r="AS880" s="61">
        <f>IF(AND(A880="",C880="",E880=""),"",ROW())</f>
        <v/>
      </c>
      <c r="AT880" s="61">
        <f>IF(E880&amp;F880="","",MAX(IFERROR(INDEX('Paramètres'!$J$6:$J$33,MATCH(E880,'Paramètres'!$I$6:$I$33,0)),0),IFERROR(INDEX('Paramètres'!$N$6:$N$17,MATCH(F880,'Paramètres'!$M$6:$M$17,0)),0)))</f>
        <v/>
      </c>
      <c r="AU880" s="61">
        <f>IF(E880="","",IFERROR(IF(INDEX('Paramètres'!$K$6:$K$33,MATCH(E880,'Paramètres'!$I$6:$I$33,0))="Oui",1,0),0))</f>
        <v/>
      </c>
      <c r="AV880" s="61">
        <f>IF(F880="","",IFERROR(IF(INDEX('Paramètres'!$O$6:$O$17,MATCH(F880,'Paramètres'!$M$6:$M$17,0))="Oui",1,0),0))</f>
        <v/>
      </c>
      <c r="AW880" s="62">
        <f>IF(E880="","",IF(G880&lt;&gt;"",G880,IF(OR(E880="Proposition envoyée",E880="Signature"),MAX(0,N(IFERROR(INDEX('Paramètres'!$R$6:$R$15,MATCH(IF(AL880&lt;&gt;"",AL880,IFERROR(INDEX('Prospects'!$AN$5:$AN$504,MATCH(C880,'Prospects'!$C$5:$C$504,0)),"")),'Paramètres'!$Q$6:$Q$15,0)),0))-N(P880)),0)))</f>
        <v/>
      </c>
      <c r="AX880" s="61">
        <f>IF(C880="","",IF(COUNTIF($C$5:C880,C880)=1,MAX($AX$4:AX879)+1,""))</f>
        <v/>
      </c>
      <c r="AY880" s="61">
        <f>IF(B880="","",HOUR(B880))</f>
        <v/>
      </c>
      <c r="AZ880" s="61">
        <f>IF(A880="","",MOD(A880-2,7)+1)</f>
        <v/>
      </c>
      <c r="BA880" s="60">
        <f>IF(C880="","",IFERROR(INDEX('Prospects'!$N$5:$N$504,MATCH(C880,'Prospects'!$C$5:$C$504,0)),""))</f>
        <v/>
      </c>
      <c r="BB880" s="61">
        <f>IF(AND(C880&lt;&gt;"",C880='Fiche prospect'!$C$4),COUNTIF($C$5:C880,C880),"")</f>
        <v/>
      </c>
    </row>
    <row r="881">
      <c r="A881" s="53" t="n"/>
      <c r="B881" s="54" t="n"/>
      <c r="C881" s="55" t="n"/>
      <c r="D881" s="55" t="n"/>
      <c r="E881" s="55" t="n"/>
      <c r="F881" s="55" t="n"/>
      <c r="G881" s="56" t="n"/>
      <c r="H881" s="57" t="n"/>
      <c r="I881" s="55" t="n"/>
      <c r="J881" s="53" t="n"/>
      <c r="K881" s="54" t="n"/>
      <c r="L881" s="55" t="n"/>
      <c r="M881" s="55" t="n"/>
      <c r="N881" s="57" t="n"/>
      <c r="O881" s="55" t="n"/>
      <c r="P881" s="56" t="n"/>
      <c r="Q881" s="55" t="n"/>
      <c r="R881" s="55" t="n"/>
      <c r="S881" s="55" t="n"/>
      <c r="T881" s="55" t="n"/>
      <c r="U881" s="55" t="n"/>
      <c r="V881" s="55" t="n"/>
      <c r="W881" s="58" t="n"/>
      <c r="X881" s="58" t="n"/>
      <c r="Y881" s="55" t="n"/>
      <c r="Z881" s="55" t="n"/>
      <c r="AA881" s="55" t="n"/>
      <c r="AB881" s="55" t="n"/>
      <c r="AC881" s="55" t="n"/>
      <c r="AD881" s="53" t="n"/>
      <c r="AE881" s="55" t="n"/>
      <c r="AF881" s="55" t="n"/>
      <c r="AG881" s="59" t="n"/>
      <c r="AH881" s="57" t="n"/>
      <c r="AI881" s="55" t="n"/>
      <c r="AJ881" s="55" t="n"/>
      <c r="AK881" s="55" t="n"/>
      <c r="AL881" s="55" t="n"/>
      <c r="AM881" s="56" t="n"/>
      <c r="AN881" s="55" t="n"/>
      <c r="AO881" s="55" t="n"/>
      <c r="AP881" s="55" t="n"/>
      <c r="AQ881" s="55" t="n"/>
      <c r="AR881" s="60">
        <f>IF(AND(C881="",E881=""),"",IF(A881="","⚠ Date manquante",IF(AND(C881="",E881&lt;&gt;"Dépense"),"⚠ Prospect manquant",IF(E881="","⚠ Action manquante",IF(AND(AU881=1,D881=""),"⚠ Canal manquant",IF(AND(W881&lt;&gt;"",COUNTIFS('Saisie'!$W$5:$W$2004,W881,'Saisie'!$C$5:$C$2004,"&lt;&gt;"&amp;C881)&gt;0),"⚠ Numéro déjà utilisé par un autre prospect",IF(AND(J881&lt;&gt;"",J881&lt;A881),"⚠ Relance avant la date de l'action",IF(A881&gt;TODAY(),"⚠ Date dans le futur","✓"))))))))</f>
        <v/>
      </c>
      <c r="AS881" s="61">
        <f>IF(AND(A881="",C881="",E881=""),"",ROW())</f>
        <v/>
      </c>
      <c r="AT881" s="61">
        <f>IF(E881&amp;F881="","",MAX(IFERROR(INDEX('Paramètres'!$J$6:$J$33,MATCH(E881,'Paramètres'!$I$6:$I$33,0)),0),IFERROR(INDEX('Paramètres'!$N$6:$N$17,MATCH(F881,'Paramètres'!$M$6:$M$17,0)),0)))</f>
        <v/>
      </c>
      <c r="AU881" s="61">
        <f>IF(E881="","",IFERROR(IF(INDEX('Paramètres'!$K$6:$K$33,MATCH(E881,'Paramètres'!$I$6:$I$33,0))="Oui",1,0),0))</f>
        <v/>
      </c>
      <c r="AV881" s="61">
        <f>IF(F881="","",IFERROR(IF(INDEX('Paramètres'!$O$6:$O$17,MATCH(F881,'Paramètres'!$M$6:$M$17,0))="Oui",1,0),0))</f>
        <v/>
      </c>
      <c r="AW881" s="62">
        <f>IF(E881="","",IF(G881&lt;&gt;"",G881,IF(OR(E881="Proposition envoyée",E881="Signature"),MAX(0,N(IFERROR(INDEX('Paramètres'!$R$6:$R$15,MATCH(IF(AL881&lt;&gt;"",AL881,IFERROR(INDEX('Prospects'!$AN$5:$AN$504,MATCH(C881,'Prospects'!$C$5:$C$504,0)),"")),'Paramètres'!$Q$6:$Q$15,0)),0))-N(P881)),0)))</f>
        <v/>
      </c>
      <c r="AX881" s="61">
        <f>IF(C881="","",IF(COUNTIF($C$5:C881,C881)=1,MAX($AX$4:AX880)+1,""))</f>
        <v/>
      </c>
      <c r="AY881" s="61">
        <f>IF(B881="","",HOUR(B881))</f>
        <v/>
      </c>
      <c r="AZ881" s="61">
        <f>IF(A881="","",MOD(A881-2,7)+1)</f>
        <v/>
      </c>
      <c r="BA881" s="60">
        <f>IF(C881="","",IFERROR(INDEX('Prospects'!$N$5:$N$504,MATCH(C881,'Prospects'!$C$5:$C$504,0)),""))</f>
        <v/>
      </c>
      <c r="BB881" s="61">
        <f>IF(AND(C881&lt;&gt;"",C881='Fiche prospect'!$C$4),COUNTIF($C$5:C881,C881),"")</f>
        <v/>
      </c>
    </row>
    <row r="882">
      <c r="A882" s="53" t="n"/>
      <c r="B882" s="54" t="n"/>
      <c r="C882" s="55" t="n"/>
      <c r="D882" s="55" t="n"/>
      <c r="E882" s="55" t="n"/>
      <c r="F882" s="55" t="n"/>
      <c r="G882" s="56" t="n"/>
      <c r="H882" s="57" t="n"/>
      <c r="I882" s="55" t="n"/>
      <c r="J882" s="53" t="n"/>
      <c r="K882" s="54" t="n"/>
      <c r="L882" s="55" t="n"/>
      <c r="M882" s="55" t="n"/>
      <c r="N882" s="57" t="n"/>
      <c r="O882" s="55" t="n"/>
      <c r="P882" s="56" t="n"/>
      <c r="Q882" s="55" t="n"/>
      <c r="R882" s="55" t="n"/>
      <c r="S882" s="55" t="n"/>
      <c r="T882" s="55" t="n"/>
      <c r="U882" s="55" t="n"/>
      <c r="V882" s="55" t="n"/>
      <c r="W882" s="58" t="n"/>
      <c r="X882" s="58" t="n"/>
      <c r="Y882" s="55" t="n"/>
      <c r="Z882" s="55" t="n"/>
      <c r="AA882" s="55" t="n"/>
      <c r="AB882" s="55" t="n"/>
      <c r="AC882" s="55" t="n"/>
      <c r="AD882" s="53" t="n"/>
      <c r="AE882" s="55" t="n"/>
      <c r="AF882" s="55" t="n"/>
      <c r="AG882" s="59" t="n"/>
      <c r="AH882" s="57" t="n"/>
      <c r="AI882" s="55" t="n"/>
      <c r="AJ882" s="55" t="n"/>
      <c r="AK882" s="55" t="n"/>
      <c r="AL882" s="55" t="n"/>
      <c r="AM882" s="56" t="n"/>
      <c r="AN882" s="55" t="n"/>
      <c r="AO882" s="55" t="n"/>
      <c r="AP882" s="55" t="n"/>
      <c r="AQ882" s="55" t="n"/>
      <c r="AR882" s="60">
        <f>IF(AND(C882="",E882=""),"",IF(A882="","⚠ Date manquante",IF(AND(C882="",E882&lt;&gt;"Dépense"),"⚠ Prospect manquant",IF(E882="","⚠ Action manquante",IF(AND(AU882=1,D882=""),"⚠ Canal manquant",IF(AND(W882&lt;&gt;"",COUNTIFS('Saisie'!$W$5:$W$2004,W882,'Saisie'!$C$5:$C$2004,"&lt;&gt;"&amp;C882)&gt;0),"⚠ Numéro déjà utilisé par un autre prospect",IF(AND(J882&lt;&gt;"",J882&lt;A882),"⚠ Relance avant la date de l'action",IF(A882&gt;TODAY(),"⚠ Date dans le futur","✓"))))))))</f>
        <v/>
      </c>
      <c r="AS882" s="61">
        <f>IF(AND(A882="",C882="",E882=""),"",ROW())</f>
        <v/>
      </c>
      <c r="AT882" s="61">
        <f>IF(E882&amp;F882="","",MAX(IFERROR(INDEX('Paramètres'!$J$6:$J$33,MATCH(E882,'Paramètres'!$I$6:$I$33,0)),0),IFERROR(INDEX('Paramètres'!$N$6:$N$17,MATCH(F882,'Paramètres'!$M$6:$M$17,0)),0)))</f>
        <v/>
      </c>
      <c r="AU882" s="61">
        <f>IF(E882="","",IFERROR(IF(INDEX('Paramètres'!$K$6:$K$33,MATCH(E882,'Paramètres'!$I$6:$I$33,0))="Oui",1,0),0))</f>
        <v/>
      </c>
      <c r="AV882" s="61">
        <f>IF(F882="","",IFERROR(IF(INDEX('Paramètres'!$O$6:$O$17,MATCH(F882,'Paramètres'!$M$6:$M$17,0))="Oui",1,0),0))</f>
        <v/>
      </c>
      <c r="AW882" s="62">
        <f>IF(E882="","",IF(G882&lt;&gt;"",G882,IF(OR(E882="Proposition envoyée",E882="Signature"),MAX(0,N(IFERROR(INDEX('Paramètres'!$R$6:$R$15,MATCH(IF(AL882&lt;&gt;"",AL882,IFERROR(INDEX('Prospects'!$AN$5:$AN$504,MATCH(C882,'Prospects'!$C$5:$C$504,0)),"")),'Paramètres'!$Q$6:$Q$15,0)),0))-N(P882)),0)))</f>
        <v/>
      </c>
      <c r="AX882" s="61">
        <f>IF(C882="","",IF(COUNTIF($C$5:C882,C882)=1,MAX($AX$4:AX881)+1,""))</f>
        <v/>
      </c>
      <c r="AY882" s="61">
        <f>IF(B882="","",HOUR(B882))</f>
        <v/>
      </c>
      <c r="AZ882" s="61">
        <f>IF(A882="","",MOD(A882-2,7)+1)</f>
        <v/>
      </c>
      <c r="BA882" s="60">
        <f>IF(C882="","",IFERROR(INDEX('Prospects'!$N$5:$N$504,MATCH(C882,'Prospects'!$C$5:$C$504,0)),""))</f>
        <v/>
      </c>
      <c r="BB882" s="61">
        <f>IF(AND(C882&lt;&gt;"",C882='Fiche prospect'!$C$4),COUNTIF($C$5:C882,C882),"")</f>
        <v/>
      </c>
    </row>
    <row r="883">
      <c r="A883" s="53" t="n"/>
      <c r="B883" s="54" t="n"/>
      <c r="C883" s="55" t="n"/>
      <c r="D883" s="55" t="n"/>
      <c r="E883" s="55" t="n"/>
      <c r="F883" s="55" t="n"/>
      <c r="G883" s="56" t="n"/>
      <c r="H883" s="57" t="n"/>
      <c r="I883" s="55" t="n"/>
      <c r="J883" s="53" t="n"/>
      <c r="K883" s="54" t="n"/>
      <c r="L883" s="55" t="n"/>
      <c r="M883" s="55" t="n"/>
      <c r="N883" s="57" t="n"/>
      <c r="O883" s="55" t="n"/>
      <c r="P883" s="56" t="n"/>
      <c r="Q883" s="55" t="n"/>
      <c r="R883" s="55" t="n"/>
      <c r="S883" s="55" t="n"/>
      <c r="T883" s="55" t="n"/>
      <c r="U883" s="55" t="n"/>
      <c r="V883" s="55" t="n"/>
      <c r="W883" s="58" t="n"/>
      <c r="X883" s="58" t="n"/>
      <c r="Y883" s="55" t="n"/>
      <c r="Z883" s="55" t="n"/>
      <c r="AA883" s="55" t="n"/>
      <c r="AB883" s="55" t="n"/>
      <c r="AC883" s="55" t="n"/>
      <c r="AD883" s="53" t="n"/>
      <c r="AE883" s="55" t="n"/>
      <c r="AF883" s="55" t="n"/>
      <c r="AG883" s="59" t="n"/>
      <c r="AH883" s="57" t="n"/>
      <c r="AI883" s="55" t="n"/>
      <c r="AJ883" s="55" t="n"/>
      <c r="AK883" s="55" t="n"/>
      <c r="AL883" s="55" t="n"/>
      <c r="AM883" s="56" t="n"/>
      <c r="AN883" s="55" t="n"/>
      <c r="AO883" s="55" t="n"/>
      <c r="AP883" s="55" t="n"/>
      <c r="AQ883" s="55" t="n"/>
      <c r="AR883" s="60">
        <f>IF(AND(C883="",E883=""),"",IF(A883="","⚠ Date manquante",IF(AND(C883="",E883&lt;&gt;"Dépense"),"⚠ Prospect manquant",IF(E883="","⚠ Action manquante",IF(AND(AU883=1,D883=""),"⚠ Canal manquant",IF(AND(W883&lt;&gt;"",COUNTIFS('Saisie'!$W$5:$W$2004,W883,'Saisie'!$C$5:$C$2004,"&lt;&gt;"&amp;C883)&gt;0),"⚠ Numéro déjà utilisé par un autre prospect",IF(AND(J883&lt;&gt;"",J883&lt;A883),"⚠ Relance avant la date de l'action",IF(A883&gt;TODAY(),"⚠ Date dans le futur","✓"))))))))</f>
        <v/>
      </c>
      <c r="AS883" s="61">
        <f>IF(AND(A883="",C883="",E883=""),"",ROW())</f>
        <v/>
      </c>
      <c r="AT883" s="61">
        <f>IF(E883&amp;F883="","",MAX(IFERROR(INDEX('Paramètres'!$J$6:$J$33,MATCH(E883,'Paramètres'!$I$6:$I$33,0)),0),IFERROR(INDEX('Paramètres'!$N$6:$N$17,MATCH(F883,'Paramètres'!$M$6:$M$17,0)),0)))</f>
        <v/>
      </c>
      <c r="AU883" s="61">
        <f>IF(E883="","",IFERROR(IF(INDEX('Paramètres'!$K$6:$K$33,MATCH(E883,'Paramètres'!$I$6:$I$33,0))="Oui",1,0),0))</f>
        <v/>
      </c>
      <c r="AV883" s="61">
        <f>IF(F883="","",IFERROR(IF(INDEX('Paramètres'!$O$6:$O$17,MATCH(F883,'Paramètres'!$M$6:$M$17,0))="Oui",1,0),0))</f>
        <v/>
      </c>
      <c r="AW883" s="62">
        <f>IF(E883="","",IF(G883&lt;&gt;"",G883,IF(OR(E883="Proposition envoyée",E883="Signature"),MAX(0,N(IFERROR(INDEX('Paramètres'!$R$6:$R$15,MATCH(IF(AL883&lt;&gt;"",AL883,IFERROR(INDEX('Prospects'!$AN$5:$AN$504,MATCH(C883,'Prospects'!$C$5:$C$504,0)),"")),'Paramètres'!$Q$6:$Q$15,0)),0))-N(P883)),0)))</f>
        <v/>
      </c>
      <c r="AX883" s="61">
        <f>IF(C883="","",IF(COUNTIF($C$5:C883,C883)=1,MAX($AX$4:AX882)+1,""))</f>
        <v/>
      </c>
      <c r="AY883" s="61">
        <f>IF(B883="","",HOUR(B883))</f>
        <v/>
      </c>
      <c r="AZ883" s="61">
        <f>IF(A883="","",MOD(A883-2,7)+1)</f>
        <v/>
      </c>
      <c r="BA883" s="60">
        <f>IF(C883="","",IFERROR(INDEX('Prospects'!$N$5:$N$504,MATCH(C883,'Prospects'!$C$5:$C$504,0)),""))</f>
        <v/>
      </c>
      <c r="BB883" s="61">
        <f>IF(AND(C883&lt;&gt;"",C883='Fiche prospect'!$C$4),COUNTIF($C$5:C883,C883),"")</f>
        <v/>
      </c>
    </row>
    <row r="884">
      <c r="A884" s="53" t="n"/>
      <c r="B884" s="54" t="n"/>
      <c r="C884" s="55" t="n"/>
      <c r="D884" s="55" t="n"/>
      <c r="E884" s="55" t="n"/>
      <c r="F884" s="55" t="n"/>
      <c r="G884" s="56" t="n"/>
      <c r="H884" s="57" t="n"/>
      <c r="I884" s="55" t="n"/>
      <c r="J884" s="53" t="n"/>
      <c r="K884" s="54" t="n"/>
      <c r="L884" s="55" t="n"/>
      <c r="M884" s="55" t="n"/>
      <c r="N884" s="57" t="n"/>
      <c r="O884" s="55" t="n"/>
      <c r="P884" s="56" t="n"/>
      <c r="Q884" s="55" t="n"/>
      <c r="R884" s="55" t="n"/>
      <c r="S884" s="55" t="n"/>
      <c r="T884" s="55" t="n"/>
      <c r="U884" s="55" t="n"/>
      <c r="V884" s="55" t="n"/>
      <c r="W884" s="58" t="n"/>
      <c r="X884" s="58" t="n"/>
      <c r="Y884" s="55" t="n"/>
      <c r="Z884" s="55" t="n"/>
      <c r="AA884" s="55" t="n"/>
      <c r="AB884" s="55" t="n"/>
      <c r="AC884" s="55" t="n"/>
      <c r="AD884" s="53" t="n"/>
      <c r="AE884" s="55" t="n"/>
      <c r="AF884" s="55" t="n"/>
      <c r="AG884" s="59" t="n"/>
      <c r="AH884" s="57" t="n"/>
      <c r="AI884" s="55" t="n"/>
      <c r="AJ884" s="55" t="n"/>
      <c r="AK884" s="55" t="n"/>
      <c r="AL884" s="55" t="n"/>
      <c r="AM884" s="56" t="n"/>
      <c r="AN884" s="55" t="n"/>
      <c r="AO884" s="55" t="n"/>
      <c r="AP884" s="55" t="n"/>
      <c r="AQ884" s="55" t="n"/>
      <c r="AR884" s="60">
        <f>IF(AND(C884="",E884=""),"",IF(A884="","⚠ Date manquante",IF(AND(C884="",E884&lt;&gt;"Dépense"),"⚠ Prospect manquant",IF(E884="","⚠ Action manquante",IF(AND(AU884=1,D884=""),"⚠ Canal manquant",IF(AND(W884&lt;&gt;"",COUNTIFS('Saisie'!$W$5:$W$2004,W884,'Saisie'!$C$5:$C$2004,"&lt;&gt;"&amp;C884)&gt;0),"⚠ Numéro déjà utilisé par un autre prospect",IF(AND(J884&lt;&gt;"",J884&lt;A884),"⚠ Relance avant la date de l'action",IF(A884&gt;TODAY(),"⚠ Date dans le futur","✓"))))))))</f>
        <v/>
      </c>
      <c r="AS884" s="61">
        <f>IF(AND(A884="",C884="",E884=""),"",ROW())</f>
        <v/>
      </c>
      <c r="AT884" s="61">
        <f>IF(E884&amp;F884="","",MAX(IFERROR(INDEX('Paramètres'!$J$6:$J$33,MATCH(E884,'Paramètres'!$I$6:$I$33,0)),0),IFERROR(INDEX('Paramètres'!$N$6:$N$17,MATCH(F884,'Paramètres'!$M$6:$M$17,0)),0)))</f>
        <v/>
      </c>
      <c r="AU884" s="61">
        <f>IF(E884="","",IFERROR(IF(INDEX('Paramètres'!$K$6:$K$33,MATCH(E884,'Paramètres'!$I$6:$I$33,0))="Oui",1,0),0))</f>
        <v/>
      </c>
      <c r="AV884" s="61">
        <f>IF(F884="","",IFERROR(IF(INDEX('Paramètres'!$O$6:$O$17,MATCH(F884,'Paramètres'!$M$6:$M$17,0))="Oui",1,0),0))</f>
        <v/>
      </c>
      <c r="AW884" s="62">
        <f>IF(E884="","",IF(G884&lt;&gt;"",G884,IF(OR(E884="Proposition envoyée",E884="Signature"),MAX(0,N(IFERROR(INDEX('Paramètres'!$R$6:$R$15,MATCH(IF(AL884&lt;&gt;"",AL884,IFERROR(INDEX('Prospects'!$AN$5:$AN$504,MATCH(C884,'Prospects'!$C$5:$C$504,0)),"")),'Paramètres'!$Q$6:$Q$15,0)),0))-N(P884)),0)))</f>
        <v/>
      </c>
      <c r="AX884" s="61">
        <f>IF(C884="","",IF(COUNTIF($C$5:C884,C884)=1,MAX($AX$4:AX883)+1,""))</f>
        <v/>
      </c>
      <c r="AY884" s="61">
        <f>IF(B884="","",HOUR(B884))</f>
        <v/>
      </c>
      <c r="AZ884" s="61">
        <f>IF(A884="","",MOD(A884-2,7)+1)</f>
        <v/>
      </c>
      <c r="BA884" s="60">
        <f>IF(C884="","",IFERROR(INDEX('Prospects'!$N$5:$N$504,MATCH(C884,'Prospects'!$C$5:$C$504,0)),""))</f>
        <v/>
      </c>
      <c r="BB884" s="61">
        <f>IF(AND(C884&lt;&gt;"",C884='Fiche prospect'!$C$4),COUNTIF($C$5:C884,C884),"")</f>
        <v/>
      </c>
    </row>
    <row r="885">
      <c r="A885" s="53" t="n"/>
      <c r="B885" s="54" t="n"/>
      <c r="C885" s="55" t="n"/>
      <c r="D885" s="55" t="n"/>
      <c r="E885" s="55" t="n"/>
      <c r="F885" s="55" t="n"/>
      <c r="G885" s="56" t="n"/>
      <c r="H885" s="57" t="n"/>
      <c r="I885" s="55" t="n"/>
      <c r="J885" s="53" t="n"/>
      <c r="K885" s="54" t="n"/>
      <c r="L885" s="55" t="n"/>
      <c r="M885" s="55" t="n"/>
      <c r="N885" s="57" t="n"/>
      <c r="O885" s="55" t="n"/>
      <c r="P885" s="56" t="n"/>
      <c r="Q885" s="55" t="n"/>
      <c r="R885" s="55" t="n"/>
      <c r="S885" s="55" t="n"/>
      <c r="T885" s="55" t="n"/>
      <c r="U885" s="55" t="n"/>
      <c r="V885" s="55" t="n"/>
      <c r="W885" s="58" t="n"/>
      <c r="X885" s="58" t="n"/>
      <c r="Y885" s="55" t="n"/>
      <c r="Z885" s="55" t="n"/>
      <c r="AA885" s="55" t="n"/>
      <c r="AB885" s="55" t="n"/>
      <c r="AC885" s="55" t="n"/>
      <c r="AD885" s="53" t="n"/>
      <c r="AE885" s="55" t="n"/>
      <c r="AF885" s="55" t="n"/>
      <c r="AG885" s="59" t="n"/>
      <c r="AH885" s="57" t="n"/>
      <c r="AI885" s="55" t="n"/>
      <c r="AJ885" s="55" t="n"/>
      <c r="AK885" s="55" t="n"/>
      <c r="AL885" s="55" t="n"/>
      <c r="AM885" s="56" t="n"/>
      <c r="AN885" s="55" t="n"/>
      <c r="AO885" s="55" t="n"/>
      <c r="AP885" s="55" t="n"/>
      <c r="AQ885" s="55" t="n"/>
      <c r="AR885" s="60">
        <f>IF(AND(C885="",E885=""),"",IF(A885="","⚠ Date manquante",IF(AND(C885="",E885&lt;&gt;"Dépense"),"⚠ Prospect manquant",IF(E885="","⚠ Action manquante",IF(AND(AU885=1,D885=""),"⚠ Canal manquant",IF(AND(W885&lt;&gt;"",COUNTIFS('Saisie'!$W$5:$W$2004,W885,'Saisie'!$C$5:$C$2004,"&lt;&gt;"&amp;C885)&gt;0),"⚠ Numéro déjà utilisé par un autre prospect",IF(AND(J885&lt;&gt;"",J885&lt;A885),"⚠ Relance avant la date de l'action",IF(A885&gt;TODAY(),"⚠ Date dans le futur","✓"))))))))</f>
        <v/>
      </c>
      <c r="AS885" s="61">
        <f>IF(AND(A885="",C885="",E885=""),"",ROW())</f>
        <v/>
      </c>
      <c r="AT885" s="61">
        <f>IF(E885&amp;F885="","",MAX(IFERROR(INDEX('Paramètres'!$J$6:$J$33,MATCH(E885,'Paramètres'!$I$6:$I$33,0)),0),IFERROR(INDEX('Paramètres'!$N$6:$N$17,MATCH(F885,'Paramètres'!$M$6:$M$17,0)),0)))</f>
        <v/>
      </c>
      <c r="AU885" s="61">
        <f>IF(E885="","",IFERROR(IF(INDEX('Paramètres'!$K$6:$K$33,MATCH(E885,'Paramètres'!$I$6:$I$33,0))="Oui",1,0),0))</f>
        <v/>
      </c>
      <c r="AV885" s="61">
        <f>IF(F885="","",IFERROR(IF(INDEX('Paramètres'!$O$6:$O$17,MATCH(F885,'Paramètres'!$M$6:$M$17,0))="Oui",1,0),0))</f>
        <v/>
      </c>
      <c r="AW885" s="62">
        <f>IF(E885="","",IF(G885&lt;&gt;"",G885,IF(OR(E885="Proposition envoyée",E885="Signature"),MAX(0,N(IFERROR(INDEX('Paramètres'!$R$6:$R$15,MATCH(IF(AL885&lt;&gt;"",AL885,IFERROR(INDEX('Prospects'!$AN$5:$AN$504,MATCH(C885,'Prospects'!$C$5:$C$504,0)),"")),'Paramètres'!$Q$6:$Q$15,0)),0))-N(P885)),0)))</f>
        <v/>
      </c>
      <c r="AX885" s="61">
        <f>IF(C885="","",IF(COUNTIF($C$5:C885,C885)=1,MAX($AX$4:AX884)+1,""))</f>
        <v/>
      </c>
      <c r="AY885" s="61">
        <f>IF(B885="","",HOUR(B885))</f>
        <v/>
      </c>
      <c r="AZ885" s="61">
        <f>IF(A885="","",MOD(A885-2,7)+1)</f>
        <v/>
      </c>
      <c r="BA885" s="60">
        <f>IF(C885="","",IFERROR(INDEX('Prospects'!$N$5:$N$504,MATCH(C885,'Prospects'!$C$5:$C$504,0)),""))</f>
        <v/>
      </c>
      <c r="BB885" s="61">
        <f>IF(AND(C885&lt;&gt;"",C885='Fiche prospect'!$C$4),COUNTIF($C$5:C885,C885),"")</f>
        <v/>
      </c>
    </row>
    <row r="886">
      <c r="A886" s="53" t="n"/>
      <c r="B886" s="54" t="n"/>
      <c r="C886" s="55" t="n"/>
      <c r="D886" s="55" t="n"/>
      <c r="E886" s="55" t="n"/>
      <c r="F886" s="55" t="n"/>
      <c r="G886" s="56" t="n"/>
      <c r="H886" s="57" t="n"/>
      <c r="I886" s="55" t="n"/>
      <c r="J886" s="53" t="n"/>
      <c r="K886" s="54" t="n"/>
      <c r="L886" s="55" t="n"/>
      <c r="M886" s="55" t="n"/>
      <c r="N886" s="57" t="n"/>
      <c r="O886" s="55" t="n"/>
      <c r="P886" s="56" t="n"/>
      <c r="Q886" s="55" t="n"/>
      <c r="R886" s="55" t="n"/>
      <c r="S886" s="55" t="n"/>
      <c r="T886" s="55" t="n"/>
      <c r="U886" s="55" t="n"/>
      <c r="V886" s="55" t="n"/>
      <c r="W886" s="58" t="n"/>
      <c r="X886" s="58" t="n"/>
      <c r="Y886" s="55" t="n"/>
      <c r="Z886" s="55" t="n"/>
      <c r="AA886" s="55" t="n"/>
      <c r="AB886" s="55" t="n"/>
      <c r="AC886" s="55" t="n"/>
      <c r="AD886" s="53" t="n"/>
      <c r="AE886" s="55" t="n"/>
      <c r="AF886" s="55" t="n"/>
      <c r="AG886" s="59" t="n"/>
      <c r="AH886" s="57" t="n"/>
      <c r="AI886" s="55" t="n"/>
      <c r="AJ886" s="55" t="n"/>
      <c r="AK886" s="55" t="n"/>
      <c r="AL886" s="55" t="n"/>
      <c r="AM886" s="56" t="n"/>
      <c r="AN886" s="55" t="n"/>
      <c r="AO886" s="55" t="n"/>
      <c r="AP886" s="55" t="n"/>
      <c r="AQ886" s="55" t="n"/>
      <c r="AR886" s="60">
        <f>IF(AND(C886="",E886=""),"",IF(A886="","⚠ Date manquante",IF(AND(C886="",E886&lt;&gt;"Dépense"),"⚠ Prospect manquant",IF(E886="","⚠ Action manquante",IF(AND(AU886=1,D886=""),"⚠ Canal manquant",IF(AND(W886&lt;&gt;"",COUNTIFS('Saisie'!$W$5:$W$2004,W886,'Saisie'!$C$5:$C$2004,"&lt;&gt;"&amp;C886)&gt;0),"⚠ Numéro déjà utilisé par un autre prospect",IF(AND(J886&lt;&gt;"",J886&lt;A886),"⚠ Relance avant la date de l'action",IF(A886&gt;TODAY(),"⚠ Date dans le futur","✓"))))))))</f>
        <v/>
      </c>
      <c r="AS886" s="61">
        <f>IF(AND(A886="",C886="",E886=""),"",ROW())</f>
        <v/>
      </c>
      <c r="AT886" s="61">
        <f>IF(E886&amp;F886="","",MAX(IFERROR(INDEX('Paramètres'!$J$6:$J$33,MATCH(E886,'Paramètres'!$I$6:$I$33,0)),0),IFERROR(INDEX('Paramètres'!$N$6:$N$17,MATCH(F886,'Paramètres'!$M$6:$M$17,0)),0)))</f>
        <v/>
      </c>
      <c r="AU886" s="61">
        <f>IF(E886="","",IFERROR(IF(INDEX('Paramètres'!$K$6:$K$33,MATCH(E886,'Paramètres'!$I$6:$I$33,0))="Oui",1,0),0))</f>
        <v/>
      </c>
      <c r="AV886" s="61">
        <f>IF(F886="","",IFERROR(IF(INDEX('Paramètres'!$O$6:$O$17,MATCH(F886,'Paramètres'!$M$6:$M$17,0))="Oui",1,0),0))</f>
        <v/>
      </c>
      <c r="AW886" s="62">
        <f>IF(E886="","",IF(G886&lt;&gt;"",G886,IF(OR(E886="Proposition envoyée",E886="Signature"),MAX(0,N(IFERROR(INDEX('Paramètres'!$R$6:$R$15,MATCH(IF(AL886&lt;&gt;"",AL886,IFERROR(INDEX('Prospects'!$AN$5:$AN$504,MATCH(C886,'Prospects'!$C$5:$C$504,0)),"")),'Paramètres'!$Q$6:$Q$15,0)),0))-N(P886)),0)))</f>
        <v/>
      </c>
      <c r="AX886" s="61">
        <f>IF(C886="","",IF(COUNTIF($C$5:C886,C886)=1,MAX($AX$4:AX885)+1,""))</f>
        <v/>
      </c>
      <c r="AY886" s="61">
        <f>IF(B886="","",HOUR(B886))</f>
        <v/>
      </c>
      <c r="AZ886" s="61">
        <f>IF(A886="","",MOD(A886-2,7)+1)</f>
        <v/>
      </c>
      <c r="BA886" s="60">
        <f>IF(C886="","",IFERROR(INDEX('Prospects'!$N$5:$N$504,MATCH(C886,'Prospects'!$C$5:$C$504,0)),""))</f>
        <v/>
      </c>
      <c r="BB886" s="61">
        <f>IF(AND(C886&lt;&gt;"",C886='Fiche prospect'!$C$4),COUNTIF($C$5:C886,C886),"")</f>
        <v/>
      </c>
    </row>
    <row r="887">
      <c r="A887" s="53" t="n"/>
      <c r="B887" s="54" t="n"/>
      <c r="C887" s="55" t="n"/>
      <c r="D887" s="55" t="n"/>
      <c r="E887" s="55" t="n"/>
      <c r="F887" s="55" t="n"/>
      <c r="G887" s="56" t="n"/>
      <c r="H887" s="57" t="n"/>
      <c r="I887" s="55" t="n"/>
      <c r="J887" s="53" t="n"/>
      <c r="K887" s="54" t="n"/>
      <c r="L887" s="55" t="n"/>
      <c r="M887" s="55" t="n"/>
      <c r="N887" s="57" t="n"/>
      <c r="O887" s="55" t="n"/>
      <c r="P887" s="56" t="n"/>
      <c r="Q887" s="55" t="n"/>
      <c r="R887" s="55" t="n"/>
      <c r="S887" s="55" t="n"/>
      <c r="T887" s="55" t="n"/>
      <c r="U887" s="55" t="n"/>
      <c r="V887" s="55" t="n"/>
      <c r="W887" s="58" t="n"/>
      <c r="X887" s="58" t="n"/>
      <c r="Y887" s="55" t="n"/>
      <c r="Z887" s="55" t="n"/>
      <c r="AA887" s="55" t="n"/>
      <c r="AB887" s="55" t="n"/>
      <c r="AC887" s="55" t="n"/>
      <c r="AD887" s="53" t="n"/>
      <c r="AE887" s="55" t="n"/>
      <c r="AF887" s="55" t="n"/>
      <c r="AG887" s="59" t="n"/>
      <c r="AH887" s="57" t="n"/>
      <c r="AI887" s="55" t="n"/>
      <c r="AJ887" s="55" t="n"/>
      <c r="AK887" s="55" t="n"/>
      <c r="AL887" s="55" t="n"/>
      <c r="AM887" s="56" t="n"/>
      <c r="AN887" s="55" t="n"/>
      <c r="AO887" s="55" t="n"/>
      <c r="AP887" s="55" t="n"/>
      <c r="AQ887" s="55" t="n"/>
      <c r="AR887" s="60">
        <f>IF(AND(C887="",E887=""),"",IF(A887="","⚠ Date manquante",IF(AND(C887="",E887&lt;&gt;"Dépense"),"⚠ Prospect manquant",IF(E887="","⚠ Action manquante",IF(AND(AU887=1,D887=""),"⚠ Canal manquant",IF(AND(W887&lt;&gt;"",COUNTIFS('Saisie'!$W$5:$W$2004,W887,'Saisie'!$C$5:$C$2004,"&lt;&gt;"&amp;C887)&gt;0),"⚠ Numéro déjà utilisé par un autre prospect",IF(AND(J887&lt;&gt;"",J887&lt;A887),"⚠ Relance avant la date de l'action",IF(A887&gt;TODAY(),"⚠ Date dans le futur","✓"))))))))</f>
        <v/>
      </c>
      <c r="AS887" s="61">
        <f>IF(AND(A887="",C887="",E887=""),"",ROW())</f>
        <v/>
      </c>
      <c r="AT887" s="61">
        <f>IF(E887&amp;F887="","",MAX(IFERROR(INDEX('Paramètres'!$J$6:$J$33,MATCH(E887,'Paramètres'!$I$6:$I$33,0)),0),IFERROR(INDEX('Paramètres'!$N$6:$N$17,MATCH(F887,'Paramètres'!$M$6:$M$17,0)),0)))</f>
        <v/>
      </c>
      <c r="AU887" s="61">
        <f>IF(E887="","",IFERROR(IF(INDEX('Paramètres'!$K$6:$K$33,MATCH(E887,'Paramètres'!$I$6:$I$33,0))="Oui",1,0),0))</f>
        <v/>
      </c>
      <c r="AV887" s="61">
        <f>IF(F887="","",IFERROR(IF(INDEX('Paramètres'!$O$6:$O$17,MATCH(F887,'Paramètres'!$M$6:$M$17,0))="Oui",1,0),0))</f>
        <v/>
      </c>
      <c r="AW887" s="62">
        <f>IF(E887="","",IF(G887&lt;&gt;"",G887,IF(OR(E887="Proposition envoyée",E887="Signature"),MAX(0,N(IFERROR(INDEX('Paramètres'!$R$6:$R$15,MATCH(IF(AL887&lt;&gt;"",AL887,IFERROR(INDEX('Prospects'!$AN$5:$AN$504,MATCH(C887,'Prospects'!$C$5:$C$504,0)),"")),'Paramètres'!$Q$6:$Q$15,0)),0))-N(P887)),0)))</f>
        <v/>
      </c>
      <c r="AX887" s="61">
        <f>IF(C887="","",IF(COUNTIF($C$5:C887,C887)=1,MAX($AX$4:AX886)+1,""))</f>
        <v/>
      </c>
      <c r="AY887" s="61">
        <f>IF(B887="","",HOUR(B887))</f>
        <v/>
      </c>
      <c r="AZ887" s="61">
        <f>IF(A887="","",MOD(A887-2,7)+1)</f>
        <v/>
      </c>
      <c r="BA887" s="60">
        <f>IF(C887="","",IFERROR(INDEX('Prospects'!$N$5:$N$504,MATCH(C887,'Prospects'!$C$5:$C$504,0)),""))</f>
        <v/>
      </c>
      <c r="BB887" s="61">
        <f>IF(AND(C887&lt;&gt;"",C887='Fiche prospect'!$C$4),COUNTIF($C$5:C887,C887),"")</f>
        <v/>
      </c>
    </row>
    <row r="888">
      <c r="A888" s="53" t="n"/>
      <c r="B888" s="54" t="n"/>
      <c r="C888" s="55" t="n"/>
      <c r="D888" s="55" t="n"/>
      <c r="E888" s="55" t="n"/>
      <c r="F888" s="55" t="n"/>
      <c r="G888" s="56" t="n"/>
      <c r="H888" s="57" t="n"/>
      <c r="I888" s="55" t="n"/>
      <c r="J888" s="53" t="n"/>
      <c r="K888" s="54" t="n"/>
      <c r="L888" s="55" t="n"/>
      <c r="M888" s="55" t="n"/>
      <c r="N888" s="57" t="n"/>
      <c r="O888" s="55" t="n"/>
      <c r="P888" s="56" t="n"/>
      <c r="Q888" s="55" t="n"/>
      <c r="R888" s="55" t="n"/>
      <c r="S888" s="55" t="n"/>
      <c r="T888" s="55" t="n"/>
      <c r="U888" s="55" t="n"/>
      <c r="V888" s="55" t="n"/>
      <c r="W888" s="58" t="n"/>
      <c r="X888" s="58" t="n"/>
      <c r="Y888" s="55" t="n"/>
      <c r="Z888" s="55" t="n"/>
      <c r="AA888" s="55" t="n"/>
      <c r="AB888" s="55" t="n"/>
      <c r="AC888" s="55" t="n"/>
      <c r="AD888" s="53" t="n"/>
      <c r="AE888" s="55" t="n"/>
      <c r="AF888" s="55" t="n"/>
      <c r="AG888" s="59" t="n"/>
      <c r="AH888" s="57" t="n"/>
      <c r="AI888" s="55" t="n"/>
      <c r="AJ888" s="55" t="n"/>
      <c r="AK888" s="55" t="n"/>
      <c r="AL888" s="55" t="n"/>
      <c r="AM888" s="56" t="n"/>
      <c r="AN888" s="55" t="n"/>
      <c r="AO888" s="55" t="n"/>
      <c r="AP888" s="55" t="n"/>
      <c r="AQ888" s="55" t="n"/>
      <c r="AR888" s="60">
        <f>IF(AND(C888="",E888=""),"",IF(A888="","⚠ Date manquante",IF(AND(C888="",E888&lt;&gt;"Dépense"),"⚠ Prospect manquant",IF(E888="","⚠ Action manquante",IF(AND(AU888=1,D888=""),"⚠ Canal manquant",IF(AND(W888&lt;&gt;"",COUNTIFS('Saisie'!$W$5:$W$2004,W888,'Saisie'!$C$5:$C$2004,"&lt;&gt;"&amp;C888)&gt;0),"⚠ Numéro déjà utilisé par un autre prospect",IF(AND(J888&lt;&gt;"",J888&lt;A888),"⚠ Relance avant la date de l'action",IF(A888&gt;TODAY(),"⚠ Date dans le futur","✓"))))))))</f>
        <v/>
      </c>
      <c r="AS888" s="61">
        <f>IF(AND(A888="",C888="",E888=""),"",ROW())</f>
        <v/>
      </c>
      <c r="AT888" s="61">
        <f>IF(E888&amp;F888="","",MAX(IFERROR(INDEX('Paramètres'!$J$6:$J$33,MATCH(E888,'Paramètres'!$I$6:$I$33,0)),0),IFERROR(INDEX('Paramètres'!$N$6:$N$17,MATCH(F888,'Paramètres'!$M$6:$M$17,0)),0)))</f>
        <v/>
      </c>
      <c r="AU888" s="61">
        <f>IF(E888="","",IFERROR(IF(INDEX('Paramètres'!$K$6:$K$33,MATCH(E888,'Paramètres'!$I$6:$I$33,0))="Oui",1,0),0))</f>
        <v/>
      </c>
      <c r="AV888" s="61">
        <f>IF(F888="","",IFERROR(IF(INDEX('Paramètres'!$O$6:$O$17,MATCH(F888,'Paramètres'!$M$6:$M$17,0))="Oui",1,0),0))</f>
        <v/>
      </c>
      <c r="AW888" s="62">
        <f>IF(E888="","",IF(G888&lt;&gt;"",G888,IF(OR(E888="Proposition envoyée",E888="Signature"),MAX(0,N(IFERROR(INDEX('Paramètres'!$R$6:$R$15,MATCH(IF(AL888&lt;&gt;"",AL888,IFERROR(INDEX('Prospects'!$AN$5:$AN$504,MATCH(C888,'Prospects'!$C$5:$C$504,0)),"")),'Paramètres'!$Q$6:$Q$15,0)),0))-N(P888)),0)))</f>
        <v/>
      </c>
      <c r="AX888" s="61">
        <f>IF(C888="","",IF(COUNTIF($C$5:C888,C888)=1,MAX($AX$4:AX887)+1,""))</f>
        <v/>
      </c>
      <c r="AY888" s="61">
        <f>IF(B888="","",HOUR(B888))</f>
        <v/>
      </c>
      <c r="AZ888" s="61">
        <f>IF(A888="","",MOD(A888-2,7)+1)</f>
        <v/>
      </c>
      <c r="BA888" s="60">
        <f>IF(C888="","",IFERROR(INDEX('Prospects'!$N$5:$N$504,MATCH(C888,'Prospects'!$C$5:$C$504,0)),""))</f>
        <v/>
      </c>
      <c r="BB888" s="61">
        <f>IF(AND(C888&lt;&gt;"",C888='Fiche prospect'!$C$4),COUNTIF($C$5:C888,C888),"")</f>
        <v/>
      </c>
    </row>
    <row r="889">
      <c r="A889" s="53" t="n"/>
      <c r="B889" s="54" t="n"/>
      <c r="C889" s="55" t="n"/>
      <c r="D889" s="55" t="n"/>
      <c r="E889" s="55" t="n"/>
      <c r="F889" s="55" t="n"/>
      <c r="G889" s="56" t="n"/>
      <c r="H889" s="57" t="n"/>
      <c r="I889" s="55" t="n"/>
      <c r="J889" s="53" t="n"/>
      <c r="K889" s="54" t="n"/>
      <c r="L889" s="55" t="n"/>
      <c r="M889" s="55" t="n"/>
      <c r="N889" s="57" t="n"/>
      <c r="O889" s="55" t="n"/>
      <c r="P889" s="56" t="n"/>
      <c r="Q889" s="55" t="n"/>
      <c r="R889" s="55" t="n"/>
      <c r="S889" s="55" t="n"/>
      <c r="T889" s="55" t="n"/>
      <c r="U889" s="55" t="n"/>
      <c r="V889" s="55" t="n"/>
      <c r="W889" s="58" t="n"/>
      <c r="X889" s="58" t="n"/>
      <c r="Y889" s="55" t="n"/>
      <c r="Z889" s="55" t="n"/>
      <c r="AA889" s="55" t="n"/>
      <c r="AB889" s="55" t="n"/>
      <c r="AC889" s="55" t="n"/>
      <c r="AD889" s="53" t="n"/>
      <c r="AE889" s="55" t="n"/>
      <c r="AF889" s="55" t="n"/>
      <c r="AG889" s="59" t="n"/>
      <c r="AH889" s="57" t="n"/>
      <c r="AI889" s="55" t="n"/>
      <c r="AJ889" s="55" t="n"/>
      <c r="AK889" s="55" t="n"/>
      <c r="AL889" s="55" t="n"/>
      <c r="AM889" s="56" t="n"/>
      <c r="AN889" s="55" t="n"/>
      <c r="AO889" s="55" t="n"/>
      <c r="AP889" s="55" t="n"/>
      <c r="AQ889" s="55" t="n"/>
      <c r="AR889" s="60">
        <f>IF(AND(C889="",E889=""),"",IF(A889="","⚠ Date manquante",IF(AND(C889="",E889&lt;&gt;"Dépense"),"⚠ Prospect manquant",IF(E889="","⚠ Action manquante",IF(AND(AU889=1,D889=""),"⚠ Canal manquant",IF(AND(W889&lt;&gt;"",COUNTIFS('Saisie'!$W$5:$W$2004,W889,'Saisie'!$C$5:$C$2004,"&lt;&gt;"&amp;C889)&gt;0),"⚠ Numéro déjà utilisé par un autre prospect",IF(AND(J889&lt;&gt;"",J889&lt;A889),"⚠ Relance avant la date de l'action",IF(A889&gt;TODAY(),"⚠ Date dans le futur","✓"))))))))</f>
        <v/>
      </c>
      <c r="AS889" s="61">
        <f>IF(AND(A889="",C889="",E889=""),"",ROW())</f>
        <v/>
      </c>
      <c r="AT889" s="61">
        <f>IF(E889&amp;F889="","",MAX(IFERROR(INDEX('Paramètres'!$J$6:$J$33,MATCH(E889,'Paramètres'!$I$6:$I$33,0)),0),IFERROR(INDEX('Paramètres'!$N$6:$N$17,MATCH(F889,'Paramètres'!$M$6:$M$17,0)),0)))</f>
        <v/>
      </c>
      <c r="AU889" s="61">
        <f>IF(E889="","",IFERROR(IF(INDEX('Paramètres'!$K$6:$K$33,MATCH(E889,'Paramètres'!$I$6:$I$33,0))="Oui",1,0),0))</f>
        <v/>
      </c>
      <c r="AV889" s="61">
        <f>IF(F889="","",IFERROR(IF(INDEX('Paramètres'!$O$6:$O$17,MATCH(F889,'Paramètres'!$M$6:$M$17,0))="Oui",1,0),0))</f>
        <v/>
      </c>
      <c r="AW889" s="62">
        <f>IF(E889="","",IF(G889&lt;&gt;"",G889,IF(OR(E889="Proposition envoyée",E889="Signature"),MAX(0,N(IFERROR(INDEX('Paramètres'!$R$6:$R$15,MATCH(IF(AL889&lt;&gt;"",AL889,IFERROR(INDEX('Prospects'!$AN$5:$AN$504,MATCH(C889,'Prospects'!$C$5:$C$504,0)),"")),'Paramètres'!$Q$6:$Q$15,0)),0))-N(P889)),0)))</f>
        <v/>
      </c>
      <c r="AX889" s="61">
        <f>IF(C889="","",IF(COUNTIF($C$5:C889,C889)=1,MAX($AX$4:AX888)+1,""))</f>
        <v/>
      </c>
      <c r="AY889" s="61">
        <f>IF(B889="","",HOUR(B889))</f>
        <v/>
      </c>
      <c r="AZ889" s="61">
        <f>IF(A889="","",MOD(A889-2,7)+1)</f>
        <v/>
      </c>
      <c r="BA889" s="60">
        <f>IF(C889="","",IFERROR(INDEX('Prospects'!$N$5:$N$504,MATCH(C889,'Prospects'!$C$5:$C$504,0)),""))</f>
        <v/>
      </c>
      <c r="BB889" s="61">
        <f>IF(AND(C889&lt;&gt;"",C889='Fiche prospect'!$C$4),COUNTIF($C$5:C889,C889),"")</f>
        <v/>
      </c>
    </row>
    <row r="890">
      <c r="A890" s="53" t="n"/>
      <c r="B890" s="54" t="n"/>
      <c r="C890" s="55" t="n"/>
      <c r="D890" s="55" t="n"/>
      <c r="E890" s="55" t="n"/>
      <c r="F890" s="55" t="n"/>
      <c r="G890" s="56" t="n"/>
      <c r="H890" s="57" t="n"/>
      <c r="I890" s="55" t="n"/>
      <c r="J890" s="53" t="n"/>
      <c r="K890" s="54" t="n"/>
      <c r="L890" s="55" t="n"/>
      <c r="M890" s="55" t="n"/>
      <c r="N890" s="57" t="n"/>
      <c r="O890" s="55" t="n"/>
      <c r="P890" s="56" t="n"/>
      <c r="Q890" s="55" t="n"/>
      <c r="R890" s="55" t="n"/>
      <c r="S890" s="55" t="n"/>
      <c r="T890" s="55" t="n"/>
      <c r="U890" s="55" t="n"/>
      <c r="V890" s="55" t="n"/>
      <c r="W890" s="58" t="n"/>
      <c r="X890" s="58" t="n"/>
      <c r="Y890" s="55" t="n"/>
      <c r="Z890" s="55" t="n"/>
      <c r="AA890" s="55" t="n"/>
      <c r="AB890" s="55" t="n"/>
      <c r="AC890" s="55" t="n"/>
      <c r="AD890" s="53" t="n"/>
      <c r="AE890" s="55" t="n"/>
      <c r="AF890" s="55" t="n"/>
      <c r="AG890" s="59" t="n"/>
      <c r="AH890" s="57" t="n"/>
      <c r="AI890" s="55" t="n"/>
      <c r="AJ890" s="55" t="n"/>
      <c r="AK890" s="55" t="n"/>
      <c r="AL890" s="55" t="n"/>
      <c r="AM890" s="56" t="n"/>
      <c r="AN890" s="55" t="n"/>
      <c r="AO890" s="55" t="n"/>
      <c r="AP890" s="55" t="n"/>
      <c r="AQ890" s="55" t="n"/>
      <c r="AR890" s="60">
        <f>IF(AND(C890="",E890=""),"",IF(A890="","⚠ Date manquante",IF(AND(C890="",E890&lt;&gt;"Dépense"),"⚠ Prospect manquant",IF(E890="","⚠ Action manquante",IF(AND(AU890=1,D890=""),"⚠ Canal manquant",IF(AND(W890&lt;&gt;"",COUNTIFS('Saisie'!$W$5:$W$2004,W890,'Saisie'!$C$5:$C$2004,"&lt;&gt;"&amp;C890)&gt;0),"⚠ Numéro déjà utilisé par un autre prospect",IF(AND(J890&lt;&gt;"",J890&lt;A890),"⚠ Relance avant la date de l'action",IF(A890&gt;TODAY(),"⚠ Date dans le futur","✓"))))))))</f>
        <v/>
      </c>
      <c r="AS890" s="61">
        <f>IF(AND(A890="",C890="",E890=""),"",ROW())</f>
        <v/>
      </c>
      <c r="AT890" s="61">
        <f>IF(E890&amp;F890="","",MAX(IFERROR(INDEX('Paramètres'!$J$6:$J$33,MATCH(E890,'Paramètres'!$I$6:$I$33,0)),0),IFERROR(INDEX('Paramètres'!$N$6:$N$17,MATCH(F890,'Paramètres'!$M$6:$M$17,0)),0)))</f>
        <v/>
      </c>
      <c r="AU890" s="61">
        <f>IF(E890="","",IFERROR(IF(INDEX('Paramètres'!$K$6:$K$33,MATCH(E890,'Paramètres'!$I$6:$I$33,0))="Oui",1,0),0))</f>
        <v/>
      </c>
      <c r="AV890" s="61">
        <f>IF(F890="","",IFERROR(IF(INDEX('Paramètres'!$O$6:$O$17,MATCH(F890,'Paramètres'!$M$6:$M$17,0))="Oui",1,0),0))</f>
        <v/>
      </c>
      <c r="AW890" s="62">
        <f>IF(E890="","",IF(G890&lt;&gt;"",G890,IF(OR(E890="Proposition envoyée",E890="Signature"),MAX(0,N(IFERROR(INDEX('Paramètres'!$R$6:$R$15,MATCH(IF(AL890&lt;&gt;"",AL890,IFERROR(INDEX('Prospects'!$AN$5:$AN$504,MATCH(C890,'Prospects'!$C$5:$C$504,0)),"")),'Paramètres'!$Q$6:$Q$15,0)),0))-N(P890)),0)))</f>
        <v/>
      </c>
      <c r="AX890" s="61">
        <f>IF(C890="","",IF(COUNTIF($C$5:C890,C890)=1,MAX($AX$4:AX889)+1,""))</f>
        <v/>
      </c>
      <c r="AY890" s="61">
        <f>IF(B890="","",HOUR(B890))</f>
        <v/>
      </c>
      <c r="AZ890" s="61">
        <f>IF(A890="","",MOD(A890-2,7)+1)</f>
        <v/>
      </c>
      <c r="BA890" s="60">
        <f>IF(C890="","",IFERROR(INDEX('Prospects'!$N$5:$N$504,MATCH(C890,'Prospects'!$C$5:$C$504,0)),""))</f>
        <v/>
      </c>
      <c r="BB890" s="61">
        <f>IF(AND(C890&lt;&gt;"",C890='Fiche prospect'!$C$4),COUNTIF($C$5:C890,C890),"")</f>
        <v/>
      </c>
    </row>
    <row r="891">
      <c r="A891" s="53" t="n"/>
      <c r="B891" s="54" t="n"/>
      <c r="C891" s="55" t="n"/>
      <c r="D891" s="55" t="n"/>
      <c r="E891" s="55" t="n"/>
      <c r="F891" s="55" t="n"/>
      <c r="G891" s="56" t="n"/>
      <c r="H891" s="57" t="n"/>
      <c r="I891" s="55" t="n"/>
      <c r="J891" s="53" t="n"/>
      <c r="K891" s="54" t="n"/>
      <c r="L891" s="55" t="n"/>
      <c r="M891" s="55" t="n"/>
      <c r="N891" s="57" t="n"/>
      <c r="O891" s="55" t="n"/>
      <c r="P891" s="56" t="n"/>
      <c r="Q891" s="55" t="n"/>
      <c r="R891" s="55" t="n"/>
      <c r="S891" s="55" t="n"/>
      <c r="T891" s="55" t="n"/>
      <c r="U891" s="55" t="n"/>
      <c r="V891" s="55" t="n"/>
      <c r="W891" s="58" t="n"/>
      <c r="X891" s="58" t="n"/>
      <c r="Y891" s="55" t="n"/>
      <c r="Z891" s="55" t="n"/>
      <c r="AA891" s="55" t="n"/>
      <c r="AB891" s="55" t="n"/>
      <c r="AC891" s="55" t="n"/>
      <c r="AD891" s="53" t="n"/>
      <c r="AE891" s="55" t="n"/>
      <c r="AF891" s="55" t="n"/>
      <c r="AG891" s="59" t="n"/>
      <c r="AH891" s="57" t="n"/>
      <c r="AI891" s="55" t="n"/>
      <c r="AJ891" s="55" t="n"/>
      <c r="AK891" s="55" t="n"/>
      <c r="AL891" s="55" t="n"/>
      <c r="AM891" s="56" t="n"/>
      <c r="AN891" s="55" t="n"/>
      <c r="AO891" s="55" t="n"/>
      <c r="AP891" s="55" t="n"/>
      <c r="AQ891" s="55" t="n"/>
      <c r="AR891" s="60">
        <f>IF(AND(C891="",E891=""),"",IF(A891="","⚠ Date manquante",IF(AND(C891="",E891&lt;&gt;"Dépense"),"⚠ Prospect manquant",IF(E891="","⚠ Action manquante",IF(AND(AU891=1,D891=""),"⚠ Canal manquant",IF(AND(W891&lt;&gt;"",COUNTIFS('Saisie'!$W$5:$W$2004,W891,'Saisie'!$C$5:$C$2004,"&lt;&gt;"&amp;C891)&gt;0),"⚠ Numéro déjà utilisé par un autre prospect",IF(AND(J891&lt;&gt;"",J891&lt;A891),"⚠ Relance avant la date de l'action",IF(A891&gt;TODAY(),"⚠ Date dans le futur","✓"))))))))</f>
        <v/>
      </c>
      <c r="AS891" s="61">
        <f>IF(AND(A891="",C891="",E891=""),"",ROW())</f>
        <v/>
      </c>
      <c r="AT891" s="61">
        <f>IF(E891&amp;F891="","",MAX(IFERROR(INDEX('Paramètres'!$J$6:$J$33,MATCH(E891,'Paramètres'!$I$6:$I$33,0)),0),IFERROR(INDEX('Paramètres'!$N$6:$N$17,MATCH(F891,'Paramètres'!$M$6:$M$17,0)),0)))</f>
        <v/>
      </c>
      <c r="AU891" s="61">
        <f>IF(E891="","",IFERROR(IF(INDEX('Paramètres'!$K$6:$K$33,MATCH(E891,'Paramètres'!$I$6:$I$33,0))="Oui",1,0),0))</f>
        <v/>
      </c>
      <c r="AV891" s="61">
        <f>IF(F891="","",IFERROR(IF(INDEX('Paramètres'!$O$6:$O$17,MATCH(F891,'Paramètres'!$M$6:$M$17,0))="Oui",1,0),0))</f>
        <v/>
      </c>
      <c r="AW891" s="62">
        <f>IF(E891="","",IF(G891&lt;&gt;"",G891,IF(OR(E891="Proposition envoyée",E891="Signature"),MAX(0,N(IFERROR(INDEX('Paramètres'!$R$6:$R$15,MATCH(IF(AL891&lt;&gt;"",AL891,IFERROR(INDEX('Prospects'!$AN$5:$AN$504,MATCH(C891,'Prospects'!$C$5:$C$504,0)),"")),'Paramètres'!$Q$6:$Q$15,0)),0))-N(P891)),0)))</f>
        <v/>
      </c>
      <c r="AX891" s="61">
        <f>IF(C891="","",IF(COUNTIF($C$5:C891,C891)=1,MAX($AX$4:AX890)+1,""))</f>
        <v/>
      </c>
      <c r="AY891" s="61">
        <f>IF(B891="","",HOUR(B891))</f>
        <v/>
      </c>
      <c r="AZ891" s="61">
        <f>IF(A891="","",MOD(A891-2,7)+1)</f>
        <v/>
      </c>
      <c r="BA891" s="60">
        <f>IF(C891="","",IFERROR(INDEX('Prospects'!$N$5:$N$504,MATCH(C891,'Prospects'!$C$5:$C$504,0)),""))</f>
        <v/>
      </c>
      <c r="BB891" s="61">
        <f>IF(AND(C891&lt;&gt;"",C891='Fiche prospect'!$C$4),COUNTIF($C$5:C891,C891),"")</f>
        <v/>
      </c>
    </row>
    <row r="892">
      <c r="A892" s="53" t="n"/>
      <c r="B892" s="54" t="n"/>
      <c r="C892" s="55" t="n"/>
      <c r="D892" s="55" t="n"/>
      <c r="E892" s="55" t="n"/>
      <c r="F892" s="55" t="n"/>
      <c r="G892" s="56" t="n"/>
      <c r="H892" s="57" t="n"/>
      <c r="I892" s="55" t="n"/>
      <c r="J892" s="53" t="n"/>
      <c r="K892" s="54" t="n"/>
      <c r="L892" s="55" t="n"/>
      <c r="M892" s="55" t="n"/>
      <c r="N892" s="57" t="n"/>
      <c r="O892" s="55" t="n"/>
      <c r="P892" s="56" t="n"/>
      <c r="Q892" s="55" t="n"/>
      <c r="R892" s="55" t="n"/>
      <c r="S892" s="55" t="n"/>
      <c r="T892" s="55" t="n"/>
      <c r="U892" s="55" t="n"/>
      <c r="V892" s="55" t="n"/>
      <c r="W892" s="58" t="n"/>
      <c r="X892" s="58" t="n"/>
      <c r="Y892" s="55" t="n"/>
      <c r="Z892" s="55" t="n"/>
      <c r="AA892" s="55" t="n"/>
      <c r="AB892" s="55" t="n"/>
      <c r="AC892" s="55" t="n"/>
      <c r="AD892" s="53" t="n"/>
      <c r="AE892" s="55" t="n"/>
      <c r="AF892" s="55" t="n"/>
      <c r="AG892" s="59" t="n"/>
      <c r="AH892" s="57" t="n"/>
      <c r="AI892" s="55" t="n"/>
      <c r="AJ892" s="55" t="n"/>
      <c r="AK892" s="55" t="n"/>
      <c r="AL892" s="55" t="n"/>
      <c r="AM892" s="56" t="n"/>
      <c r="AN892" s="55" t="n"/>
      <c r="AO892" s="55" t="n"/>
      <c r="AP892" s="55" t="n"/>
      <c r="AQ892" s="55" t="n"/>
      <c r="AR892" s="60">
        <f>IF(AND(C892="",E892=""),"",IF(A892="","⚠ Date manquante",IF(AND(C892="",E892&lt;&gt;"Dépense"),"⚠ Prospect manquant",IF(E892="","⚠ Action manquante",IF(AND(AU892=1,D892=""),"⚠ Canal manquant",IF(AND(W892&lt;&gt;"",COUNTIFS('Saisie'!$W$5:$W$2004,W892,'Saisie'!$C$5:$C$2004,"&lt;&gt;"&amp;C892)&gt;0),"⚠ Numéro déjà utilisé par un autre prospect",IF(AND(J892&lt;&gt;"",J892&lt;A892),"⚠ Relance avant la date de l'action",IF(A892&gt;TODAY(),"⚠ Date dans le futur","✓"))))))))</f>
        <v/>
      </c>
      <c r="AS892" s="61">
        <f>IF(AND(A892="",C892="",E892=""),"",ROW())</f>
        <v/>
      </c>
      <c r="AT892" s="61">
        <f>IF(E892&amp;F892="","",MAX(IFERROR(INDEX('Paramètres'!$J$6:$J$33,MATCH(E892,'Paramètres'!$I$6:$I$33,0)),0),IFERROR(INDEX('Paramètres'!$N$6:$N$17,MATCH(F892,'Paramètres'!$M$6:$M$17,0)),0)))</f>
        <v/>
      </c>
      <c r="AU892" s="61">
        <f>IF(E892="","",IFERROR(IF(INDEX('Paramètres'!$K$6:$K$33,MATCH(E892,'Paramètres'!$I$6:$I$33,0))="Oui",1,0),0))</f>
        <v/>
      </c>
      <c r="AV892" s="61">
        <f>IF(F892="","",IFERROR(IF(INDEX('Paramètres'!$O$6:$O$17,MATCH(F892,'Paramètres'!$M$6:$M$17,0))="Oui",1,0),0))</f>
        <v/>
      </c>
      <c r="AW892" s="62">
        <f>IF(E892="","",IF(G892&lt;&gt;"",G892,IF(OR(E892="Proposition envoyée",E892="Signature"),MAX(0,N(IFERROR(INDEX('Paramètres'!$R$6:$R$15,MATCH(IF(AL892&lt;&gt;"",AL892,IFERROR(INDEX('Prospects'!$AN$5:$AN$504,MATCH(C892,'Prospects'!$C$5:$C$504,0)),"")),'Paramètres'!$Q$6:$Q$15,0)),0))-N(P892)),0)))</f>
        <v/>
      </c>
      <c r="AX892" s="61">
        <f>IF(C892="","",IF(COUNTIF($C$5:C892,C892)=1,MAX($AX$4:AX891)+1,""))</f>
        <v/>
      </c>
      <c r="AY892" s="61">
        <f>IF(B892="","",HOUR(B892))</f>
        <v/>
      </c>
      <c r="AZ892" s="61">
        <f>IF(A892="","",MOD(A892-2,7)+1)</f>
        <v/>
      </c>
      <c r="BA892" s="60">
        <f>IF(C892="","",IFERROR(INDEX('Prospects'!$N$5:$N$504,MATCH(C892,'Prospects'!$C$5:$C$504,0)),""))</f>
        <v/>
      </c>
      <c r="BB892" s="61">
        <f>IF(AND(C892&lt;&gt;"",C892='Fiche prospect'!$C$4),COUNTIF($C$5:C892,C892),"")</f>
        <v/>
      </c>
    </row>
    <row r="893">
      <c r="A893" s="53" t="n"/>
      <c r="B893" s="54" t="n"/>
      <c r="C893" s="55" t="n"/>
      <c r="D893" s="55" t="n"/>
      <c r="E893" s="55" t="n"/>
      <c r="F893" s="55" t="n"/>
      <c r="G893" s="56" t="n"/>
      <c r="H893" s="57" t="n"/>
      <c r="I893" s="55" t="n"/>
      <c r="J893" s="53" t="n"/>
      <c r="K893" s="54" t="n"/>
      <c r="L893" s="55" t="n"/>
      <c r="M893" s="55" t="n"/>
      <c r="N893" s="57" t="n"/>
      <c r="O893" s="55" t="n"/>
      <c r="P893" s="56" t="n"/>
      <c r="Q893" s="55" t="n"/>
      <c r="R893" s="55" t="n"/>
      <c r="S893" s="55" t="n"/>
      <c r="T893" s="55" t="n"/>
      <c r="U893" s="55" t="n"/>
      <c r="V893" s="55" t="n"/>
      <c r="W893" s="58" t="n"/>
      <c r="X893" s="58" t="n"/>
      <c r="Y893" s="55" t="n"/>
      <c r="Z893" s="55" t="n"/>
      <c r="AA893" s="55" t="n"/>
      <c r="AB893" s="55" t="n"/>
      <c r="AC893" s="55" t="n"/>
      <c r="AD893" s="53" t="n"/>
      <c r="AE893" s="55" t="n"/>
      <c r="AF893" s="55" t="n"/>
      <c r="AG893" s="59" t="n"/>
      <c r="AH893" s="57" t="n"/>
      <c r="AI893" s="55" t="n"/>
      <c r="AJ893" s="55" t="n"/>
      <c r="AK893" s="55" t="n"/>
      <c r="AL893" s="55" t="n"/>
      <c r="AM893" s="56" t="n"/>
      <c r="AN893" s="55" t="n"/>
      <c r="AO893" s="55" t="n"/>
      <c r="AP893" s="55" t="n"/>
      <c r="AQ893" s="55" t="n"/>
      <c r="AR893" s="60">
        <f>IF(AND(C893="",E893=""),"",IF(A893="","⚠ Date manquante",IF(AND(C893="",E893&lt;&gt;"Dépense"),"⚠ Prospect manquant",IF(E893="","⚠ Action manquante",IF(AND(AU893=1,D893=""),"⚠ Canal manquant",IF(AND(W893&lt;&gt;"",COUNTIFS('Saisie'!$W$5:$W$2004,W893,'Saisie'!$C$5:$C$2004,"&lt;&gt;"&amp;C893)&gt;0),"⚠ Numéro déjà utilisé par un autre prospect",IF(AND(J893&lt;&gt;"",J893&lt;A893),"⚠ Relance avant la date de l'action",IF(A893&gt;TODAY(),"⚠ Date dans le futur","✓"))))))))</f>
        <v/>
      </c>
      <c r="AS893" s="61">
        <f>IF(AND(A893="",C893="",E893=""),"",ROW())</f>
        <v/>
      </c>
      <c r="AT893" s="61">
        <f>IF(E893&amp;F893="","",MAX(IFERROR(INDEX('Paramètres'!$J$6:$J$33,MATCH(E893,'Paramètres'!$I$6:$I$33,0)),0),IFERROR(INDEX('Paramètres'!$N$6:$N$17,MATCH(F893,'Paramètres'!$M$6:$M$17,0)),0)))</f>
        <v/>
      </c>
      <c r="AU893" s="61">
        <f>IF(E893="","",IFERROR(IF(INDEX('Paramètres'!$K$6:$K$33,MATCH(E893,'Paramètres'!$I$6:$I$33,0))="Oui",1,0),0))</f>
        <v/>
      </c>
      <c r="AV893" s="61">
        <f>IF(F893="","",IFERROR(IF(INDEX('Paramètres'!$O$6:$O$17,MATCH(F893,'Paramètres'!$M$6:$M$17,0))="Oui",1,0),0))</f>
        <v/>
      </c>
      <c r="AW893" s="62">
        <f>IF(E893="","",IF(G893&lt;&gt;"",G893,IF(OR(E893="Proposition envoyée",E893="Signature"),MAX(0,N(IFERROR(INDEX('Paramètres'!$R$6:$R$15,MATCH(IF(AL893&lt;&gt;"",AL893,IFERROR(INDEX('Prospects'!$AN$5:$AN$504,MATCH(C893,'Prospects'!$C$5:$C$504,0)),"")),'Paramètres'!$Q$6:$Q$15,0)),0))-N(P893)),0)))</f>
        <v/>
      </c>
      <c r="AX893" s="61">
        <f>IF(C893="","",IF(COUNTIF($C$5:C893,C893)=1,MAX($AX$4:AX892)+1,""))</f>
        <v/>
      </c>
      <c r="AY893" s="61">
        <f>IF(B893="","",HOUR(B893))</f>
        <v/>
      </c>
      <c r="AZ893" s="61">
        <f>IF(A893="","",MOD(A893-2,7)+1)</f>
        <v/>
      </c>
      <c r="BA893" s="60">
        <f>IF(C893="","",IFERROR(INDEX('Prospects'!$N$5:$N$504,MATCH(C893,'Prospects'!$C$5:$C$504,0)),""))</f>
        <v/>
      </c>
      <c r="BB893" s="61">
        <f>IF(AND(C893&lt;&gt;"",C893='Fiche prospect'!$C$4),COUNTIF($C$5:C893,C893),"")</f>
        <v/>
      </c>
    </row>
    <row r="894">
      <c r="A894" s="53" t="n"/>
      <c r="B894" s="54" t="n"/>
      <c r="C894" s="55" t="n"/>
      <c r="D894" s="55" t="n"/>
      <c r="E894" s="55" t="n"/>
      <c r="F894" s="55" t="n"/>
      <c r="G894" s="56" t="n"/>
      <c r="H894" s="57" t="n"/>
      <c r="I894" s="55" t="n"/>
      <c r="J894" s="53" t="n"/>
      <c r="K894" s="54" t="n"/>
      <c r="L894" s="55" t="n"/>
      <c r="M894" s="55" t="n"/>
      <c r="N894" s="57" t="n"/>
      <c r="O894" s="55" t="n"/>
      <c r="P894" s="56" t="n"/>
      <c r="Q894" s="55" t="n"/>
      <c r="R894" s="55" t="n"/>
      <c r="S894" s="55" t="n"/>
      <c r="T894" s="55" t="n"/>
      <c r="U894" s="55" t="n"/>
      <c r="V894" s="55" t="n"/>
      <c r="W894" s="58" t="n"/>
      <c r="X894" s="58" t="n"/>
      <c r="Y894" s="55" t="n"/>
      <c r="Z894" s="55" t="n"/>
      <c r="AA894" s="55" t="n"/>
      <c r="AB894" s="55" t="n"/>
      <c r="AC894" s="55" t="n"/>
      <c r="AD894" s="53" t="n"/>
      <c r="AE894" s="55" t="n"/>
      <c r="AF894" s="55" t="n"/>
      <c r="AG894" s="59" t="n"/>
      <c r="AH894" s="57" t="n"/>
      <c r="AI894" s="55" t="n"/>
      <c r="AJ894" s="55" t="n"/>
      <c r="AK894" s="55" t="n"/>
      <c r="AL894" s="55" t="n"/>
      <c r="AM894" s="56" t="n"/>
      <c r="AN894" s="55" t="n"/>
      <c r="AO894" s="55" t="n"/>
      <c r="AP894" s="55" t="n"/>
      <c r="AQ894" s="55" t="n"/>
      <c r="AR894" s="60">
        <f>IF(AND(C894="",E894=""),"",IF(A894="","⚠ Date manquante",IF(AND(C894="",E894&lt;&gt;"Dépense"),"⚠ Prospect manquant",IF(E894="","⚠ Action manquante",IF(AND(AU894=1,D894=""),"⚠ Canal manquant",IF(AND(W894&lt;&gt;"",COUNTIFS('Saisie'!$W$5:$W$2004,W894,'Saisie'!$C$5:$C$2004,"&lt;&gt;"&amp;C894)&gt;0),"⚠ Numéro déjà utilisé par un autre prospect",IF(AND(J894&lt;&gt;"",J894&lt;A894),"⚠ Relance avant la date de l'action",IF(A894&gt;TODAY(),"⚠ Date dans le futur","✓"))))))))</f>
        <v/>
      </c>
      <c r="AS894" s="61">
        <f>IF(AND(A894="",C894="",E894=""),"",ROW())</f>
        <v/>
      </c>
      <c r="AT894" s="61">
        <f>IF(E894&amp;F894="","",MAX(IFERROR(INDEX('Paramètres'!$J$6:$J$33,MATCH(E894,'Paramètres'!$I$6:$I$33,0)),0),IFERROR(INDEX('Paramètres'!$N$6:$N$17,MATCH(F894,'Paramètres'!$M$6:$M$17,0)),0)))</f>
        <v/>
      </c>
      <c r="AU894" s="61">
        <f>IF(E894="","",IFERROR(IF(INDEX('Paramètres'!$K$6:$K$33,MATCH(E894,'Paramètres'!$I$6:$I$33,0))="Oui",1,0),0))</f>
        <v/>
      </c>
      <c r="AV894" s="61">
        <f>IF(F894="","",IFERROR(IF(INDEX('Paramètres'!$O$6:$O$17,MATCH(F894,'Paramètres'!$M$6:$M$17,0))="Oui",1,0),0))</f>
        <v/>
      </c>
      <c r="AW894" s="62">
        <f>IF(E894="","",IF(G894&lt;&gt;"",G894,IF(OR(E894="Proposition envoyée",E894="Signature"),MAX(0,N(IFERROR(INDEX('Paramètres'!$R$6:$R$15,MATCH(IF(AL894&lt;&gt;"",AL894,IFERROR(INDEX('Prospects'!$AN$5:$AN$504,MATCH(C894,'Prospects'!$C$5:$C$504,0)),"")),'Paramètres'!$Q$6:$Q$15,0)),0))-N(P894)),0)))</f>
        <v/>
      </c>
      <c r="AX894" s="61">
        <f>IF(C894="","",IF(COUNTIF($C$5:C894,C894)=1,MAX($AX$4:AX893)+1,""))</f>
        <v/>
      </c>
      <c r="AY894" s="61">
        <f>IF(B894="","",HOUR(B894))</f>
        <v/>
      </c>
      <c r="AZ894" s="61">
        <f>IF(A894="","",MOD(A894-2,7)+1)</f>
        <v/>
      </c>
      <c r="BA894" s="60">
        <f>IF(C894="","",IFERROR(INDEX('Prospects'!$N$5:$N$504,MATCH(C894,'Prospects'!$C$5:$C$504,0)),""))</f>
        <v/>
      </c>
      <c r="BB894" s="61">
        <f>IF(AND(C894&lt;&gt;"",C894='Fiche prospect'!$C$4),COUNTIF($C$5:C894,C894),"")</f>
        <v/>
      </c>
    </row>
    <row r="895">
      <c r="A895" s="53" t="n"/>
      <c r="B895" s="54" t="n"/>
      <c r="C895" s="55" t="n"/>
      <c r="D895" s="55" t="n"/>
      <c r="E895" s="55" t="n"/>
      <c r="F895" s="55" t="n"/>
      <c r="G895" s="56" t="n"/>
      <c r="H895" s="57" t="n"/>
      <c r="I895" s="55" t="n"/>
      <c r="J895" s="53" t="n"/>
      <c r="K895" s="54" t="n"/>
      <c r="L895" s="55" t="n"/>
      <c r="M895" s="55" t="n"/>
      <c r="N895" s="57" t="n"/>
      <c r="O895" s="55" t="n"/>
      <c r="P895" s="56" t="n"/>
      <c r="Q895" s="55" t="n"/>
      <c r="R895" s="55" t="n"/>
      <c r="S895" s="55" t="n"/>
      <c r="T895" s="55" t="n"/>
      <c r="U895" s="55" t="n"/>
      <c r="V895" s="55" t="n"/>
      <c r="W895" s="58" t="n"/>
      <c r="X895" s="58" t="n"/>
      <c r="Y895" s="55" t="n"/>
      <c r="Z895" s="55" t="n"/>
      <c r="AA895" s="55" t="n"/>
      <c r="AB895" s="55" t="n"/>
      <c r="AC895" s="55" t="n"/>
      <c r="AD895" s="53" t="n"/>
      <c r="AE895" s="55" t="n"/>
      <c r="AF895" s="55" t="n"/>
      <c r="AG895" s="59" t="n"/>
      <c r="AH895" s="57" t="n"/>
      <c r="AI895" s="55" t="n"/>
      <c r="AJ895" s="55" t="n"/>
      <c r="AK895" s="55" t="n"/>
      <c r="AL895" s="55" t="n"/>
      <c r="AM895" s="56" t="n"/>
      <c r="AN895" s="55" t="n"/>
      <c r="AO895" s="55" t="n"/>
      <c r="AP895" s="55" t="n"/>
      <c r="AQ895" s="55" t="n"/>
      <c r="AR895" s="60">
        <f>IF(AND(C895="",E895=""),"",IF(A895="","⚠ Date manquante",IF(AND(C895="",E895&lt;&gt;"Dépense"),"⚠ Prospect manquant",IF(E895="","⚠ Action manquante",IF(AND(AU895=1,D895=""),"⚠ Canal manquant",IF(AND(W895&lt;&gt;"",COUNTIFS('Saisie'!$W$5:$W$2004,W895,'Saisie'!$C$5:$C$2004,"&lt;&gt;"&amp;C895)&gt;0),"⚠ Numéro déjà utilisé par un autre prospect",IF(AND(J895&lt;&gt;"",J895&lt;A895),"⚠ Relance avant la date de l'action",IF(A895&gt;TODAY(),"⚠ Date dans le futur","✓"))))))))</f>
        <v/>
      </c>
      <c r="AS895" s="61">
        <f>IF(AND(A895="",C895="",E895=""),"",ROW())</f>
        <v/>
      </c>
      <c r="AT895" s="61">
        <f>IF(E895&amp;F895="","",MAX(IFERROR(INDEX('Paramètres'!$J$6:$J$33,MATCH(E895,'Paramètres'!$I$6:$I$33,0)),0),IFERROR(INDEX('Paramètres'!$N$6:$N$17,MATCH(F895,'Paramètres'!$M$6:$M$17,0)),0)))</f>
        <v/>
      </c>
      <c r="AU895" s="61">
        <f>IF(E895="","",IFERROR(IF(INDEX('Paramètres'!$K$6:$K$33,MATCH(E895,'Paramètres'!$I$6:$I$33,0))="Oui",1,0),0))</f>
        <v/>
      </c>
      <c r="AV895" s="61">
        <f>IF(F895="","",IFERROR(IF(INDEX('Paramètres'!$O$6:$O$17,MATCH(F895,'Paramètres'!$M$6:$M$17,0))="Oui",1,0),0))</f>
        <v/>
      </c>
      <c r="AW895" s="62">
        <f>IF(E895="","",IF(G895&lt;&gt;"",G895,IF(OR(E895="Proposition envoyée",E895="Signature"),MAX(0,N(IFERROR(INDEX('Paramètres'!$R$6:$R$15,MATCH(IF(AL895&lt;&gt;"",AL895,IFERROR(INDEX('Prospects'!$AN$5:$AN$504,MATCH(C895,'Prospects'!$C$5:$C$504,0)),"")),'Paramètres'!$Q$6:$Q$15,0)),0))-N(P895)),0)))</f>
        <v/>
      </c>
      <c r="AX895" s="61">
        <f>IF(C895="","",IF(COUNTIF($C$5:C895,C895)=1,MAX($AX$4:AX894)+1,""))</f>
        <v/>
      </c>
      <c r="AY895" s="61">
        <f>IF(B895="","",HOUR(B895))</f>
        <v/>
      </c>
      <c r="AZ895" s="61">
        <f>IF(A895="","",MOD(A895-2,7)+1)</f>
        <v/>
      </c>
      <c r="BA895" s="60">
        <f>IF(C895="","",IFERROR(INDEX('Prospects'!$N$5:$N$504,MATCH(C895,'Prospects'!$C$5:$C$504,0)),""))</f>
        <v/>
      </c>
      <c r="BB895" s="61">
        <f>IF(AND(C895&lt;&gt;"",C895='Fiche prospect'!$C$4),COUNTIF($C$5:C895,C895),"")</f>
        <v/>
      </c>
    </row>
    <row r="896">
      <c r="A896" s="53" t="n"/>
      <c r="B896" s="54" t="n"/>
      <c r="C896" s="55" t="n"/>
      <c r="D896" s="55" t="n"/>
      <c r="E896" s="55" t="n"/>
      <c r="F896" s="55" t="n"/>
      <c r="G896" s="56" t="n"/>
      <c r="H896" s="57" t="n"/>
      <c r="I896" s="55" t="n"/>
      <c r="J896" s="53" t="n"/>
      <c r="K896" s="54" t="n"/>
      <c r="L896" s="55" t="n"/>
      <c r="M896" s="55" t="n"/>
      <c r="N896" s="57" t="n"/>
      <c r="O896" s="55" t="n"/>
      <c r="P896" s="56" t="n"/>
      <c r="Q896" s="55" t="n"/>
      <c r="R896" s="55" t="n"/>
      <c r="S896" s="55" t="n"/>
      <c r="T896" s="55" t="n"/>
      <c r="U896" s="55" t="n"/>
      <c r="V896" s="55" t="n"/>
      <c r="W896" s="58" t="n"/>
      <c r="X896" s="58" t="n"/>
      <c r="Y896" s="55" t="n"/>
      <c r="Z896" s="55" t="n"/>
      <c r="AA896" s="55" t="n"/>
      <c r="AB896" s="55" t="n"/>
      <c r="AC896" s="55" t="n"/>
      <c r="AD896" s="53" t="n"/>
      <c r="AE896" s="55" t="n"/>
      <c r="AF896" s="55" t="n"/>
      <c r="AG896" s="59" t="n"/>
      <c r="AH896" s="57" t="n"/>
      <c r="AI896" s="55" t="n"/>
      <c r="AJ896" s="55" t="n"/>
      <c r="AK896" s="55" t="n"/>
      <c r="AL896" s="55" t="n"/>
      <c r="AM896" s="56" t="n"/>
      <c r="AN896" s="55" t="n"/>
      <c r="AO896" s="55" t="n"/>
      <c r="AP896" s="55" t="n"/>
      <c r="AQ896" s="55" t="n"/>
      <c r="AR896" s="60">
        <f>IF(AND(C896="",E896=""),"",IF(A896="","⚠ Date manquante",IF(AND(C896="",E896&lt;&gt;"Dépense"),"⚠ Prospect manquant",IF(E896="","⚠ Action manquante",IF(AND(AU896=1,D896=""),"⚠ Canal manquant",IF(AND(W896&lt;&gt;"",COUNTIFS('Saisie'!$W$5:$W$2004,W896,'Saisie'!$C$5:$C$2004,"&lt;&gt;"&amp;C896)&gt;0),"⚠ Numéro déjà utilisé par un autre prospect",IF(AND(J896&lt;&gt;"",J896&lt;A896),"⚠ Relance avant la date de l'action",IF(A896&gt;TODAY(),"⚠ Date dans le futur","✓"))))))))</f>
        <v/>
      </c>
      <c r="AS896" s="61">
        <f>IF(AND(A896="",C896="",E896=""),"",ROW())</f>
        <v/>
      </c>
      <c r="AT896" s="61">
        <f>IF(E896&amp;F896="","",MAX(IFERROR(INDEX('Paramètres'!$J$6:$J$33,MATCH(E896,'Paramètres'!$I$6:$I$33,0)),0),IFERROR(INDEX('Paramètres'!$N$6:$N$17,MATCH(F896,'Paramètres'!$M$6:$M$17,0)),0)))</f>
        <v/>
      </c>
      <c r="AU896" s="61">
        <f>IF(E896="","",IFERROR(IF(INDEX('Paramètres'!$K$6:$K$33,MATCH(E896,'Paramètres'!$I$6:$I$33,0))="Oui",1,0),0))</f>
        <v/>
      </c>
      <c r="AV896" s="61">
        <f>IF(F896="","",IFERROR(IF(INDEX('Paramètres'!$O$6:$O$17,MATCH(F896,'Paramètres'!$M$6:$M$17,0))="Oui",1,0),0))</f>
        <v/>
      </c>
      <c r="AW896" s="62">
        <f>IF(E896="","",IF(G896&lt;&gt;"",G896,IF(OR(E896="Proposition envoyée",E896="Signature"),MAX(0,N(IFERROR(INDEX('Paramètres'!$R$6:$R$15,MATCH(IF(AL896&lt;&gt;"",AL896,IFERROR(INDEX('Prospects'!$AN$5:$AN$504,MATCH(C896,'Prospects'!$C$5:$C$504,0)),"")),'Paramètres'!$Q$6:$Q$15,0)),0))-N(P896)),0)))</f>
        <v/>
      </c>
      <c r="AX896" s="61">
        <f>IF(C896="","",IF(COUNTIF($C$5:C896,C896)=1,MAX($AX$4:AX895)+1,""))</f>
        <v/>
      </c>
      <c r="AY896" s="61">
        <f>IF(B896="","",HOUR(B896))</f>
        <v/>
      </c>
      <c r="AZ896" s="61">
        <f>IF(A896="","",MOD(A896-2,7)+1)</f>
        <v/>
      </c>
      <c r="BA896" s="60">
        <f>IF(C896="","",IFERROR(INDEX('Prospects'!$N$5:$N$504,MATCH(C896,'Prospects'!$C$5:$C$504,0)),""))</f>
        <v/>
      </c>
      <c r="BB896" s="61">
        <f>IF(AND(C896&lt;&gt;"",C896='Fiche prospect'!$C$4),COUNTIF($C$5:C896,C896),"")</f>
        <v/>
      </c>
    </row>
    <row r="897">
      <c r="A897" s="53" t="n"/>
      <c r="B897" s="54" t="n"/>
      <c r="C897" s="55" t="n"/>
      <c r="D897" s="55" t="n"/>
      <c r="E897" s="55" t="n"/>
      <c r="F897" s="55" t="n"/>
      <c r="G897" s="56" t="n"/>
      <c r="H897" s="57" t="n"/>
      <c r="I897" s="55" t="n"/>
      <c r="J897" s="53" t="n"/>
      <c r="K897" s="54" t="n"/>
      <c r="L897" s="55" t="n"/>
      <c r="M897" s="55" t="n"/>
      <c r="N897" s="57" t="n"/>
      <c r="O897" s="55" t="n"/>
      <c r="P897" s="56" t="n"/>
      <c r="Q897" s="55" t="n"/>
      <c r="R897" s="55" t="n"/>
      <c r="S897" s="55" t="n"/>
      <c r="T897" s="55" t="n"/>
      <c r="U897" s="55" t="n"/>
      <c r="V897" s="55" t="n"/>
      <c r="W897" s="58" t="n"/>
      <c r="X897" s="58" t="n"/>
      <c r="Y897" s="55" t="n"/>
      <c r="Z897" s="55" t="n"/>
      <c r="AA897" s="55" t="n"/>
      <c r="AB897" s="55" t="n"/>
      <c r="AC897" s="55" t="n"/>
      <c r="AD897" s="53" t="n"/>
      <c r="AE897" s="55" t="n"/>
      <c r="AF897" s="55" t="n"/>
      <c r="AG897" s="59" t="n"/>
      <c r="AH897" s="57" t="n"/>
      <c r="AI897" s="55" t="n"/>
      <c r="AJ897" s="55" t="n"/>
      <c r="AK897" s="55" t="n"/>
      <c r="AL897" s="55" t="n"/>
      <c r="AM897" s="56" t="n"/>
      <c r="AN897" s="55" t="n"/>
      <c r="AO897" s="55" t="n"/>
      <c r="AP897" s="55" t="n"/>
      <c r="AQ897" s="55" t="n"/>
      <c r="AR897" s="60">
        <f>IF(AND(C897="",E897=""),"",IF(A897="","⚠ Date manquante",IF(AND(C897="",E897&lt;&gt;"Dépense"),"⚠ Prospect manquant",IF(E897="","⚠ Action manquante",IF(AND(AU897=1,D897=""),"⚠ Canal manquant",IF(AND(W897&lt;&gt;"",COUNTIFS('Saisie'!$W$5:$W$2004,W897,'Saisie'!$C$5:$C$2004,"&lt;&gt;"&amp;C897)&gt;0),"⚠ Numéro déjà utilisé par un autre prospect",IF(AND(J897&lt;&gt;"",J897&lt;A897),"⚠ Relance avant la date de l'action",IF(A897&gt;TODAY(),"⚠ Date dans le futur","✓"))))))))</f>
        <v/>
      </c>
      <c r="AS897" s="61">
        <f>IF(AND(A897="",C897="",E897=""),"",ROW())</f>
        <v/>
      </c>
      <c r="AT897" s="61">
        <f>IF(E897&amp;F897="","",MAX(IFERROR(INDEX('Paramètres'!$J$6:$J$33,MATCH(E897,'Paramètres'!$I$6:$I$33,0)),0),IFERROR(INDEX('Paramètres'!$N$6:$N$17,MATCH(F897,'Paramètres'!$M$6:$M$17,0)),0)))</f>
        <v/>
      </c>
      <c r="AU897" s="61">
        <f>IF(E897="","",IFERROR(IF(INDEX('Paramètres'!$K$6:$K$33,MATCH(E897,'Paramètres'!$I$6:$I$33,0))="Oui",1,0),0))</f>
        <v/>
      </c>
      <c r="AV897" s="61">
        <f>IF(F897="","",IFERROR(IF(INDEX('Paramètres'!$O$6:$O$17,MATCH(F897,'Paramètres'!$M$6:$M$17,0))="Oui",1,0),0))</f>
        <v/>
      </c>
      <c r="AW897" s="62">
        <f>IF(E897="","",IF(G897&lt;&gt;"",G897,IF(OR(E897="Proposition envoyée",E897="Signature"),MAX(0,N(IFERROR(INDEX('Paramètres'!$R$6:$R$15,MATCH(IF(AL897&lt;&gt;"",AL897,IFERROR(INDEX('Prospects'!$AN$5:$AN$504,MATCH(C897,'Prospects'!$C$5:$C$504,0)),"")),'Paramètres'!$Q$6:$Q$15,0)),0))-N(P897)),0)))</f>
        <v/>
      </c>
      <c r="AX897" s="61">
        <f>IF(C897="","",IF(COUNTIF($C$5:C897,C897)=1,MAX($AX$4:AX896)+1,""))</f>
        <v/>
      </c>
      <c r="AY897" s="61">
        <f>IF(B897="","",HOUR(B897))</f>
        <v/>
      </c>
      <c r="AZ897" s="61">
        <f>IF(A897="","",MOD(A897-2,7)+1)</f>
        <v/>
      </c>
      <c r="BA897" s="60">
        <f>IF(C897="","",IFERROR(INDEX('Prospects'!$N$5:$N$504,MATCH(C897,'Prospects'!$C$5:$C$504,0)),""))</f>
        <v/>
      </c>
      <c r="BB897" s="61">
        <f>IF(AND(C897&lt;&gt;"",C897='Fiche prospect'!$C$4),COUNTIF($C$5:C897,C897),"")</f>
        <v/>
      </c>
    </row>
    <row r="898">
      <c r="A898" s="53" t="n"/>
      <c r="B898" s="54" t="n"/>
      <c r="C898" s="55" t="n"/>
      <c r="D898" s="55" t="n"/>
      <c r="E898" s="55" t="n"/>
      <c r="F898" s="55" t="n"/>
      <c r="G898" s="56" t="n"/>
      <c r="H898" s="57" t="n"/>
      <c r="I898" s="55" t="n"/>
      <c r="J898" s="53" t="n"/>
      <c r="K898" s="54" t="n"/>
      <c r="L898" s="55" t="n"/>
      <c r="M898" s="55" t="n"/>
      <c r="N898" s="57" t="n"/>
      <c r="O898" s="55" t="n"/>
      <c r="P898" s="56" t="n"/>
      <c r="Q898" s="55" t="n"/>
      <c r="R898" s="55" t="n"/>
      <c r="S898" s="55" t="n"/>
      <c r="T898" s="55" t="n"/>
      <c r="U898" s="55" t="n"/>
      <c r="V898" s="55" t="n"/>
      <c r="W898" s="58" t="n"/>
      <c r="X898" s="58" t="n"/>
      <c r="Y898" s="55" t="n"/>
      <c r="Z898" s="55" t="n"/>
      <c r="AA898" s="55" t="n"/>
      <c r="AB898" s="55" t="n"/>
      <c r="AC898" s="55" t="n"/>
      <c r="AD898" s="53" t="n"/>
      <c r="AE898" s="55" t="n"/>
      <c r="AF898" s="55" t="n"/>
      <c r="AG898" s="59" t="n"/>
      <c r="AH898" s="57" t="n"/>
      <c r="AI898" s="55" t="n"/>
      <c r="AJ898" s="55" t="n"/>
      <c r="AK898" s="55" t="n"/>
      <c r="AL898" s="55" t="n"/>
      <c r="AM898" s="56" t="n"/>
      <c r="AN898" s="55" t="n"/>
      <c r="AO898" s="55" t="n"/>
      <c r="AP898" s="55" t="n"/>
      <c r="AQ898" s="55" t="n"/>
      <c r="AR898" s="60">
        <f>IF(AND(C898="",E898=""),"",IF(A898="","⚠ Date manquante",IF(AND(C898="",E898&lt;&gt;"Dépense"),"⚠ Prospect manquant",IF(E898="","⚠ Action manquante",IF(AND(AU898=1,D898=""),"⚠ Canal manquant",IF(AND(W898&lt;&gt;"",COUNTIFS('Saisie'!$W$5:$W$2004,W898,'Saisie'!$C$5:$C$2004,"&lt;&gt;"&amp;C898)&gt;0),"⚠ Numéro déjà utilisé par un autre prospect",IF(AND(J898&lt;&gt;"",J898&lt;A898),"⚠ Relance avant la date de l'action",IF(A898&gt;TODAY(),"⚠ Date dans le futur","✓"))))))))</f>
        <v/>
      </c>
      <c r="AS898" s="61">
        <f>IF(AND(A898="",C898="",E898=""),"",ROW())</f>
        <v/>
      </c>
      <c r="AT898" s="61">
        <f>IF(E898&amp;F898="","",MAX(IFERROR(INDEX('Paramètres'!$J$6:$J$33,MATCH(E898,'Paramètres'!$I$6:$I$33,0)),0),IFERROR(INDEX('Paramètres'!$N$6:$N$17,MATCH(F898,'Paramètres'!$M$6:$M$17,0)),0)))</f>
        <v/>
      </c>
      <c r="AU898" s="61">
        <f>IF(E898="","",IFERROR(IF(INDEX('Paramètres'!$K$6:$K$33,MATCH(E898,'Paramètres'!$I$6:$I$33,0))="Oui",1,0),0))</f>
        <v/>
      </c>
      <c r="AV898" s="61">
        <f>IF(F898="","",IFERROR(IF(INDEX('Paramètres'!$O$6:$O$17,MATCH(F898,'Paramètres'!$M$6:$M$17,0))="Oui",1,0),0))</f>
        <v/>
      </c>
      <c r="AW898" s="62">
        <f>IF(E898="","",IF(G898&lt;&gt;"",G898,IF(OR(E898="Proposition envoyée",E898="Signature"),MAX(0,N(IFERROR(INDEX('Paramètres'!$R$6:$R$15,MATCH(IF(AL898&lt;&gt;"",AL898,IFERROR(INDEX('Prospects'!$AN$5:$AN$504,MATCH(C898,'Prospects'!$C$5:$C$504,0)),"")),'Paramètres'!$Q$6:$Q$15,0)),0))-N(P898)),0)))</f>
        <v/>
      </c>
      <c r="AX898" s="61">
        <f>IF(C898="","",IF(COUNTIF($C$5:C898,C898)=1,MAX($AX$4:AX897)+1,""))</f>
        <v/>
      </c>
      <c r="AY898" s="61">
        <f>IF(B898="","",HOUR(B898))</f>
        <v/>
      </c>
      <c r="AZ898" s="61">
        <f>IF(A898="","",MOD(A898-2,7)+1)</f>
        <v/>
      </c>
      <c r="BA898" s="60">
        <f>IF(C898="","",IFERROR(INDEX('Prospects'!$N$5:$N$504,MATCH(C898,'Prospects'!$C$5:$C$504,0)),""))</f>
        <v/>
      </c>
      <c r="BB898" s="61">
        <f>IF(AND(C898&lt;&gt;"",C898='Fiche prospect'!$C$4),COUNTIF($C$5:C898,C898),"")</f>
        <v/>
      </c>
    </row>
    <row r="899">
      <c r="A899" s="53" t="n"/>
      <c r="B899" s="54" t="n"/>
      <c r="C899" s="55" t="n"/>
      <c r="D899" s="55" t="n"/>
      <c r="E899" s="55" t="n"/>
      <c r="F899" s="55" t="n"/>
      <c r="G899" s="56" t="n"/>
      <c r="H899" s="57" t="n"/>
      <c r="I899" s="55" t="n"/>
      <c r="J899" s="53" t="n"/>
      <c r="K899" s="54" t="n"/>
      <c r="L899" s="55" t="n"/>
      <c r="M899" s="55" t="n"/>
      <c r="N899" s="57" t="n"/>
      <c r="O899" s="55" t="n"/>
      <c r="P899" s="56" t="n"/>
      <c r="Q899" s="55" t="n"/>
      <c r="R899" s="55" t="n"/>
      <c r="S899" s="55" t="n"/>
      <c r="T899" s="55" t="n"/>
      <c r="U899" s="55" t="n"/>
      <c r="V899" s="55" t="n"/>
      <c r="W899" s="58" t="n"/>
      <c r="X899" s="58" t="n"/>
      <c r="Y899" s="55" t="n"/>
      <c r="Z899" s="55" t="n"/>
      <c r="AA899" s="55" t="n"/>
      <c r="AB899" s="55" t="n"/>
      <c r="AC899" s="55" t="n"/>
      <c r="AD899" s="53" t="n"/>
      <c r="AE899" s="55" t="n"/>
      <c r="AF899" s="55" t="n"/>
      <c r="AG899" s="59" t="n"/>
      <c r="AH899" s="57" t="n"/>
      <c r="AI899" s="55" t="n"/>
      <c r="AJ899" s="55" t="n"/>
      <c r="AK899" s="55" t="n"/>
      <c r="AL899" s="55" t="n"/>
      <c r="AM899" s="56" t="n"/>
      <c r="AN899" s="55" t="n"/>
      <c r="AO899" s="55" t="n"/>
      <c r="AP899" s="55" t="n"/>
      <c r="AQ899" s="55" t="n"/>
      <c r="AR899" s="60">
        <f>IF(AND(C899="",E899=""),"",IF(A899="","⚠ Date manquante",IF(AND(C899="",E899&lt;&gt;"Dépense"),"⚠ Prospect manquant",IF(E899="","⚠ Action manquante",IF(AND(AU899=1,D899=""),"⚠ Canal manquant",IF(AND(W899&lt;&gt;"",COUNTIFS('Saisie'!$W$5:$W$2004,W899,'Saisie'!$C$5:$C$2004,"&lt;&gt;"&amp;C899)&gt;0),"⚠ Numéro déjà utilisé par un autre prospect",IF(AND(J899&lt;&gt;"",J899&lt;A899),"⚠ Relance avant la date de l'action",IF(A899&gt;TODAY(),"⚠ Date dans le futur","✓"))))))))</f>
        <v/>
      </c>
      <c r="AS899" s="61">
        <f>IF(AND(A899="",C899="",E899=""),"",ROW())</f>
        <v/>
      </c>
      <c r="AT899" s="61">
        <f>IF(E899&amp;F899="","",MAX(IFERROR(INDEX('Paramètres'!$J$6:$J$33,MATCH(E899,'Paramètres'!$I$6:$I$33,0)),0),IFERROR(INDEX('Paramètres'!$N$6:$N$17,MATCH(F899,'Paramètres'!$M$6:$M$17,0)),0)))</f>
        <v/>
      </c>
      <c r="AU899" s="61">
        <f>IF(E899="","",IFERROR(IF(INDEX('Paramètres'!$K$6:$K$33,MATCH(E899,'Paramètres'!$I$6:$I$33,0))="Oui",1,0),0))</f>
        <v/>
      </c>
      <c r="AV899" s="61">
        <f>IF(F899="","",IFERROR(IF(INDEX('Paramètres'!$O$6:$O$17,MATCH(F899,'Paramètres'!$M$6:$M$17,0))="Oui",1,0),0))</f>
        <v/>
      </c>
      <c r="AW899" s="62">
        <f>IF(E899="","",IF(G899&lt;&gt;"",G899,IF(OR(E899="Proposition envoyée",E899="Signature"),MAX(0,N(IFERROR(INDEX('Paramètres'!$R$6:$R$15,MATCH(IF(AL899&lt;&gt;"",AL899,IFERROR(INDEX('Prospects'!$AN$5:$AN$504,MATCH(C899,'Prospects'!$C$5:$C$504,0)),"")),'Paramètres'!$Q$6:$Q$15,0)),0))-N(P899)),0)))</f>
        <v/>
      </c>
      <c r="AX899" s="61">
        <f>IF(C899="","",IF(COUNTIF($C$5:C899,C899)=1,MAX($AX$4:AX898)+1,""))</f>
        <v/>
      </c>
      <c r="AY899" s="61">
        <f>IF(B899="","",HOUR(B899))</f>
        <v/>
      </c>
      <c r="AZ899" s="61">
        <f>IF(A899="","",MOD(A899-2,7)+1)</f>
        <v/>
      </c>
      <c r="BA899" s="60">
        <f>IF(C899="","",IFERROR(INDEX('Prospects'!$N$5:$N$504,MATCH(C899,'Prospects'!$C$5:$C$504,0)),""))</f>
        <v/>
      </c>
      <c r="BB899" s="61">
        <f>IF(AND(C899&lt;&gt;"",C899='Fiche prospect'!$C$4),COUNTIF($C$5:C899,C899),"")</f>
        <v/>
      </c>
    </row>
    <row r="900">
      <c r="A900" s="53" t="n"/>
      <c r="B900" s="54" t="n"/>
      <c r="C900" s="55" t="n"/>
      <c r="D900" s="55" t="n"/>
      <c r="E900" s="55" t="n"/>
      <c r="F900" s="55" t="n"/>
      <c r="G900" s="56" t="n"/>
      <c r="H900" s="57" t="n"/>
      <c r="I900" s="55" t="n"/>
      <c r="J900" s="53" t="n"/>
      <c r="K900" s="54" t="n"/>
      <c r="L900" s="55" t="n"/>
      <c r="M900" s="55" t="n"/>
      <c r="N900" s="57" t="n"/>
      <c r="O900" s="55" t="n"/>
      <c r="P900" s="56" t="n"/>
      <c r="Q900" s="55" t="n"/>
      <c r="R900" s="55" t="n"/>
      <c r="S900" s="55" t="n"/>
      <c r="T900" s="55" t="n"/>
      <c r="U900" s="55" t="n"/>
      <c r="V900" s="55" t="n"/>
      <c r="W900" s="58" t="n"/>
      <c r="X900" s="58" t="n"/>
      <c r="Y900" s="55" t="n"/>
      <c r="Z900" s="55" t="n"/>
      <c r="AA900" s="55" t="n"/>
      <c r="AB900" s="55" t="n"/>
      <c r="AC900" s="55" t="n"/>
      <c r="AD900" s="53" t="n"/>
      <c r="AE900" s="55" t="n"/>
      <c r="AF900" s="55" t="n"/>
      <c r="AG900" s="59" t="n"/>
      <c r="AH900" s="57" t="n"/>
      <c r="AI900" s="55" t="n"/>
      <c r="AJ900" s="55" t="n"/>
      <c r="AK900" s="55" t="n"/>
      <c r="AL900" s="55" t="n"/>
      <c r="AM900" s="56" t="n"/>
      <c r="AN900" s="55" t="n"/>
      <c r="AO900" s="55" t="n"/>
      <c r="AP900" s="55" t="n"/>
      <c r="AQ900" s="55" t="n"/>
      <c r="AR900" s="60">
        <f>IF(AND(C900="",E900=""),"",IF(A900="","⚠ Date manquante",IF(AND(C900="",E900&lt;&gt;"Dépense"),"⚠ Prospect manquant",IF(E900="","⚠ Action manquante",IF(AND(AU900=1,D900=""),"⚠ Canal manquant",IF(AND(W900&lt;&gt;"",COUNTIFS('Saisie'!$W$5:$W$2004,W900,'Saisie'!$C$5:$C$2004,"&lt;&gt;"&amp;C900)&gt;0),"⚠ Numéro déjà utilisé par un autre prospect",IF(AND(J900&lt;&gt;"",J900&lt;A900),"⚠ Relance avant la date de l'action",IF(A900&gt;TODAY(),"⚠ Date dans le futur","✓"))))))))</f>
        <v/>
      </c>
      <c r="AS900" s="61">
        <f>IF(AND(A900="",C900="",E900=""),"",ROW())</f>
        <v/>
      </c>
      <c r="AT900" s="61">
        <f>IF(E900&amp;F900="","",MAX(IFERROR(INDEX('Paramètres'!$J$6:$J$33,MATCH(E900,'Paramètres'!$I$6:$I$33,0)),0),IFERROR(INDEX('Paramètres'!$N$6:$N$17,MATCH(F900,'Paramètres'!$M$6:$M$17,0)),0)))</f>
        <v/>
      </c>
      <c r="AU900" s="61">
        <f>IF(E900="","",IFERROR(IF(INDEX('Paramètres'!$K$6:$K$33,MATCH(E900,'Paramètres'!$I$6:$I$33,0))="Oui",1,0),0))</f>
        <v/>
      </c>
      <c r="AV900" s="61">
        <f>IF(F900="","",IFERROR(IF(INDEX('Paramètres'!$O$6:$O$17,MATCH(F900,'Paramètres'!$M$6:$M$17,0))="Oui",1,0),0))</f>
        <v/>
      </c>
      <c r="AW900" s="62">
        <f>IF(E900="","",IF(G900&lt;&gt;"",G900,IF(OR(E900="Proposition envoyée",E900="Signature"),MAX(0,N(IFERROR(INDEX('Paramètres'!$R$6:$R$15,MATCH(IF(AL900&lt;&gt;"",AL900,IFERROR(INDEX('Prospects'!$AN$5:$AN$504,MATCH(C900,'Prospects'!$C$5:$C$504,0)),"")),'Paramètres'!$Q$6:$Q$15,0)),0))-N(P900)),0)))</f>
        <v/>
      </c>
      <c r="AX900" s="61">
        <f>IF(C900="","",IF(COUNTIF($C$5:C900,C900)=1,MAX($AX$4:AX899)+1,""))</f>
        <v/>
      </c>
      <c r="AY900" s="61">
        <f>IF(B900="","",HOUR(B900))</f>
        <v/>
      </c>
      <c r="AZ900" s="61">
        <f>IF(A900="","",MOD(A900-2,7)+1)</f>
        <v/>
      </c>
      <c r="BA900" s="60">
        <f>IF(C900="","",IFERROR(INDEX('Prospects'!$N$5:$N$504,MATCH(C900,'Prospects'!$C$5:$C$504,0)),""))</f>
        <v/>
      </c>
      <c r="BB900" s="61">
        <f>IF(AND(C900&lt;&gt;"",C900='Fiche prospect'!$C$4),COUNTIF($C$5:C900,C900),"")</f>
        <v/>
      </c>
    </row>
    <row r="901">
      <c r="A901" s="53" t="n"/>
      <c r="B901" s="54" t="n"/>
      <c r="C901" s="55" t="n"/>
      <c r="D901" s="55" t="n"/>
      <c r="E901" s="55" t="n"/>
      <c r="F901" s="55" t="n"/>
      <c r="G901" s="56" t="n"/>
      <c r="H901" s="57" t="n"/>
      <c r="I901" s="55" t="n"/>
      <c r="J901" s="53" t="n"/>
      <c r="K901" s="54" t="n"/>
      <c r="L901" s="55" t="n"/>
      <c r="M901" s="55" t="n"/>
      <c r="N901" s="57" t="n"/>
      <c r="O901" s="55" t="n"/>
      <c r="P901" s="56" t="n"/>
      <c r="Q901" s="55" t="n"/>
      <c r="R901" s="55" t="n"/>
      <c r="S901" s="55" t="n"/>
      <c r="T901" s="55" t="n"/>
      <c r="U901" s="55" t="n"/>
      <c r="V901" s="55" t="n"/>
      <c r="W901" s="58" t="n"/>
      <c r="X901" s="58" t="n"/>
      <c r="Y901" s="55" t="n"/>
      <c r="Z901" s="55" t="n"/>
      <c r="AA901" s="55" t="n"/>
      <c r="AB901" s="55" t="n"/>
      <c r="AC901" s="55" t="n"/>
      <c r="AD901" s="53" t="n"/>
      <c r="AE901" s="55" t="n"/>
      <c r="AF901" s="55" t="n"/>
      <c r="AG901" s="59" t="n"/>
      <c r="AH901" s="57" t="n"/>
      <c r="AI901" s="55" t="n"/>
      <c r="AJ901" s="55" t="n"/>
      <c r="AK901" s="55" t="n"/>
      <c r="AL901" s="55" t="n"/>
      <c r="AM901" s="56" t="n"/>
      <c r="AN901" s="55" t="n"/>
      <c r="AO901" s="55" t="n"/>
      <c r="AP901" s="55" t="n"/>
      <c r="AQ901" s="55" t="n"/>
      <c r="AR901" s="60">
        <f>IF(AND(C901="",E901=""),"",IF(A901="","⚠ Date manquante",IF(AND(C901="",E901&lt;&gt;"Dépense"),"⚠ Prospect manquant",IF(E901="","⚠ Action manquante",IF(AND(AU901=1,D901=""),"⚠ Canal manquant",IF(AND(W901&lt;&gt;"",COUNTIFS('Saisie'!$W$5:$W$2004,W901,'Saisie'!$C$5:$C$2004,"&lt;&gt;"&amp;C901)&gt;0),"⚠ Numéro déjà utilisé par un autre prospect",IF(AND(J901&lt;&gt;"",J901&lt;A901),"⚠ Relance avant la date de l'action",IF(A901&gt;TODAY(),"⚠ Date dans le futur","✓"))))))))</f>
        <v/>
      </c>
      <c r="AS901" s="61">
        <f>IF(AND(A901="",C901="",E901=""),"",ROW())</f>
        <v/>
      </c>
      <c r="AT901" s="61">
        <f>IF(E901&amp;F901="","",MAX(IFERROR(INDEX('Paramètres'!$J$6:$J$33,MATCH(E901,'Paramètres'!$I$6:$I$33,0)),0),IFERROR(INDEX('Paramètres'!$N$6:$N$17,MATCH(F901,'Paramètres'!$M$6:$M$17,0)),0)))</f>
        <v/>
      </c>
      <c r="AU901" s="61">
        <f>IF(E901="","",IFERROR(IF(INDEX('Paramètres'!$K$6:$K$33,MATCH(E901,'Paramètres'!$I$6:$I$33,0))="Oui",1,0),0))</f>
        <v/>
      </c>
      <c r="AV901" s="61">
        <f>IF(F901="","",IFERROR(IF(INDEX('Paramètres'!$O$6:$O$17,MATCH(F901,'Paramètres'!$M$6:$M$17,0))="Oui",1,0),0))</f>
        <v/>
      </c>
      <c r="AW901" s="62">
        <f>IF(E901="","",IF(G901&lt;&gt;"",G901,IF(OR(E901="Proposition envoyée",E901="Signature"),MAX(0,N(IFERROR(INDEX('Paramètres'!$R$6:$R$15,MATCH(IF(AL901&lt;&gt;"",AL901,IFERROR(INDEX('Prospects'!$AN$5:$AN$504,MATCH(C901,'Prospects'!$C$5:$C$504,0)),"")),'Paramètres'!$Q$6:$Q$15,0)),0))-N(P901)),0)))</f>
        <v/>
      </c>
      <c r="AX901" s="61">
        <f>IF(C901="","",IF(COUNTIF($C$5:C901,C901)=1,MAX($AX$4:AX900)+1,""))</f>
        <v/>
      </c>
      <c r="AY901" s="61">
        <f>IF(B901="","",HOUR(B901))</f>
        <v/>
      </c>
      <c r="AZ901" s="61">
        <f>IF(A901="","",MOD(A901-2,7)+1)</f>
        <v/>
      </c>
      <c r="BA901" s="60">
        <f>IF(C901="","",IFERROR(INDEX('Prospects'!$N$5:$N$504,MATCH(C901,'Prospects'!$C$5:$C$504,0)),""))</f>
        <v/>
      </c>
      <c r="BB901" s="61">
        <f>IF(AND(C901&lt;&gt;"",C901='Fiche prospect'!$C$4),COUNTIF($C$5:C901,C901),"")</f>
        <v/>
      </c>
    </row>
    <row r="902">
      <c r="A902" s="53" t="n"/>
      <c r="B902" s="54" t="n"/>
      <c r="C902" s="55" t="n"/>
      <c r="D902" s="55" t="n"/>
      <c r="E902" s="55" t="n"/>
      <c r="F902" s="55" t="n"/>
      <c r="G902" s="56" t="n"/>
      <c r="H902" s="57" t="n"/>
      <c r="I902" s="55" t="n"/>
      <c r="J902" s="53" t="n"/>
      <c r="K902" s="54" t="n"/>
      <c r="L902" s="55" t="n"/>
      <c r="M902" s="55" t="n"/>
      <c r="N902" s="57" t="n"/>
      <c r="O902" s="55" t="n"/>
      <c r="P902" s="56" t="n"/>
      <c r="Q902" s="55" t="n"/>
      <c r="R902" s="55" t="n"/>
      <c r="S902" s="55" t="n"/>
      <c r="T902" s="55" t="n"/>
      <c r="U902" s="55" t="n"/>
      <c r="V902" s="55" t="n"/>
      <c r="W902" s="58" t="n"/>
      <c r="X902" s="58" t="n"/>
      <c r="Y902" s="55" t="n"/>
      <c r="Z902" s="55" t="n"/>
      <c r="AA902" s="55" t="n"/>
      <c r="AB902" s="55" t="n"/>
      <c r="AC902" s="55" t="n"/>
      <c r="AD902" s="53" t="n"/>
      <c r="AE902" s="55" t="n"/>
      <c r="AF902" s="55" t="n"/>
      <c r="AG902" s="59" t="n"/>
      <c r="AH902" s="57" t="n"/>
      <c r="AI902" s="55" t="n"/>
      <c r="AJ902" s="55" t="n"/>
      <c r="AK902" s="55" t="n"/>
      <c r="AL902" s="55" t="n"/>
      <c r="AM902" s="56" t="n"/>
      <c r="AN902" s="55" t="n"/>
      <c r="AO902" s="55" t="n"/>
      <c r="AP902" s="55" t="n"/>
      <c r="AQ902" s="55" t="n"/>
      <c r="AR902" s="60">
        <f>IF(AND(C902="",E902=""),"",IF(A902="","⚠ Date manquante",IF(AND(C902="",E902&lt;&gt;"Dépense"),"⚠ Prospect manquant",IF(E902="","⚠ Action manquante",IF(AND(AU902=1,D902=""),"⚠ Canal manquant",IF(AND(W902&lt;&gt;"",COUNTIFS('Saisie'!$W$5:$W$2004,W902,'Saisie'!$C$5:$C$2004,"&lt;&gt;"&amp;C902)&gt;0),"⚠ Numéro déjà utilisé par un autre prospect",IF(AND(J902&lt;&gt;"",J902&lt;A902),"⚠ Relance avant la date de l'action",IF(A902&gt;TODAY(),"⚠ Date dans le futur","✓"))))))))</f>
        <v/>
      </c>
      <c r="AS902" s="61">
        <f>IF(AND(A902="",C902="",E902=""),"",ROW())</f>
        <v/>
      </c>
      <c r="AT902" s="61">
        <f>IF(E902&amp;F902="","",MAX(IFERROR(INDEX('Paramètres'!$J$6:$J$33,MATCH(E902,'Paramètres'!$I$6:$I$33,0)),0),IFERROR(INDEX('Paramètres'!$N$6:$N$17,MATCH(F902,'Paramètres'!$M$6:$M$17,0)),0)))</f>
        <v/>
      </c>
      <c r="AU902" s="61">
        <f>IF(E902="","",IFERROR(IF(INDEX('Paramètres'!$K$6:$K$33,MATCH(E902,'Paramètres'!$I$6:$I$33,0))="Oui",1,0),0))</f>
        <v/>
      </c>
      <c r="AV902" s="61">
        <f>IF(F902="","",IFERROR(IF(INDEX('Paramètres'!$O$6:$O$17,MATCH(F902,'Paramètres'!$M$6:$M$17,0))="Oui",1,0),0))</f>
        <v/>
      </c>
      <c r="AW902" s="62">
        <f>IF(E902="","",IF(G902&lt;&gt;"",G902,IF(OR(E902="Proposition envoyée",E902="Signature"),MAX(0,N(IFERROR(INDEX('Paramètres'!$R$6:$R$15,MATCH(IF(AL902&lt;&gt;"",AL902,IFERROR(INDEX('Prospects'!$AN$5:$AN$504,MATCH(C902,'Prospects'!$C$5:$C$504,0)),"")),'Paramètres'!$Q$6:$Q$15,0)),0))-N(P902)),0)))</f>
        <v/>
      </c>
      <c r="AX902" s="61">
        <f>IF(C902="","",IF(COUNTIF($C$5:C902,C902)=1,MAX($AX$4:AX901)+1,""))</f>
        <v/>
      </c>
      <c r="AY902" s="61">
        <f>IF(B902="","",HOUR(B902))</f>
        <v/>
      </c>
      <c r="AZ902" s="61">
        <f>IF(A902="","",MOD(A902-2,7)+1)</f>
        <v/>
      </c>
      <c r="BA902" s="60">
        <f>IF(C902="","",IFERROR(INDEX('Prospects'!$N$5:$N$504,MATCH(C902,'Prospects'!$C$5:$C$504,0)),""))</f>
        <v/>
      </c>
      <c r="BB902" s="61">
        <f>IF(AND(C902&lt;&gt;"",C902='Fiche prospect'!$C$4),COUNTIF($C$5:C902,C902),"")</f>
        <v/>
      </c>
    </row>
    <row r="903">
      <c r="A903" s="53" t="n"/>
      <c r="B903" s="54" t="n"/>
      <c r="C903" s="55" t="n"/>
      <c r="D903" s="55" t="n"/>
      <c r="E903" s="55" t="n"/>
      <c r="F903" s="55" t="n"/>
      <c r="G903" s="56" t="n"/>
      <c r="H903" s="57" t="n"/>
      <c r="I903" s="55" t="n"/>
      <c r="J903" s="53" t="n"/>
      <c r="K903" s="54" t="n"/>
      <c r="L903" s="55" t="n"/>
      <c r="M903" s="55" t="n"/>
      <c r="N903" s="57" t="n"/>
      <c r="O903" s="55" t="n"/>
      <c r="P903" s="56" t="n"/>
      <c r="Q903" s="55" t="n"/>
      <c r="R903" s="55" t="n"/>
      <c r="S903" s="55" t="n"/>
      <c r="T903" s="55" t="n"/>
      <c r="U903" s="55" t="n"/>
      <c r="V903" s="55" t="n"/>
      <c r="W903" s="58" t="n"/>
      <c r="X903" s="58" t="n"/>
      <c r="Y903" s="55" t="n"/>
      <c r="Z903" s="55" t="n"/>
      <c r="AA903" s="55" t="n"/>
      <c r="AB903" s="55" t="n"/>
      <c r="AC903" s="55" t="n"/>
      <c r="AD903" s="53" t="n"/>
      <c r="AE903" s="55" t="n"/>
      <c r="AF903" s="55" t="n"/>
      <c r="AG903" s="59" t="n"/>
      <c r="AH903" s="57" t="n"/>
      <c r="AI903" s="55" t="n"/>
      <c r="AJ903" s="55" t="n"/>
      <c r="AK903" s="55" t="n"/>
      <c r="AL903" s="55" t="n"/>
      <c r="AM903" s="56" t="n"/>
      <c r="AN903" s="55" t="n"/>
      <c r="AO903" s="55" t="n"/>
      <c r="AP903" s="55" t="n"/>
      <c r="AQ903" s="55" t="n"/>
      <c r="AR903" s="60">
        <f>IF(AND(C903="",E903=""),"",IF(A903="","⚠ Date manquante",IF(AND(C903="",E903&lt;&gt;"Dépense"),"⚠ Prospect manquant",IF(E903="","⚠ Action manquante",IF(AND(AU903=1,D903=""),"⚠ Canal manquant",IF(AND(W903&lt;&gt;"",COUNTIFS('Saisie'!$W$5:$W$2004,W903,'Saisie'!$C$5:$C$2004,"&lt;&gt;"&amp;C903)&gt;0),"⚠ Numéro déjà utilisé par un autre prospect",IF(AND(J903&lt;&gt;"",J903&lt;A903),"⚠ Relance avant la date de l'action",IF(A903&gt;TODAY(),"⚠ Date dans le futur","✓"))))))))</f>
        <v/>
      </c>
      <c r="AS903" s="61">
        <f>IF(AND(A903="",C903="",E903=""),"",ROW())</f>
        <v/>
      </c>
      <c r="AT903" s="61">
        <f>IF(E903&amp;F903="","",MAX(IFERROR(INDEX('Paramètres'!$J$6:$J$33,MATCH(E903,'Paramètres'!$I$6:$I$33,0)),0),IFERROR(INDEX('Paramètres'!$N$6:$N$17,MATCH(F903,'Paramètres'!$M$6:$M$17,0)),0)))</f>
        <v/>
      </c>
      <c r="AU903" s="61">
        <f>IF(E903="","",IFERROR(IF(INDEX('Paramètres'!$K$6:$K$33,MATCH(E903,'Paramètres'!$I$6:$I$33,0))="Oui",1,0),0))</f>
        <v/>
      </c>
      <c r="AV903" s="61">
        <f>IF(F903="","",IFERROR(IF(INDEX('Paramètres'!$O$6:$O$17,MATCH(F903,'Paramètres'!$M$6:$M$17,0))="Oui",1,0),0))</f>
        <v/>
      </c>
      <c r="AW903" s="62">
        <f>IF(E903="","",IF(G903&lt;&gt;"",G903,IF(OR(E903="Proposition envoyée",E903="Signature"),MAX(0,N(IFERROR(INDEX('Paramètres'!$R$6:$R$15,MATCH(IF(AL903&lt;&gt;"",AL903,IFERROR(INDEX('Prospects'!$AN$5:$AN$504,MATCH(C903,'Prospects'!$C$5:$C$504,0)),"")),'Paramètres'!$Q$6:$Q$15,0)),0))-N(P903)),0)))</f>
        <v/>
      </c>
      <c r="AX903" s="61">
        <f>IF(C903="","",IF(COUNTIF($C$5:C903,C903)=1,MAX($AX$4:AX902)+1,""))</f>
        <v/>
      </c>
      <c r="AY903" s="61">
        <f>IF(B903="","",HOUR(B903))</f>
        <v/>
      </c>
      <c r="AZ903" s="61">
        <f>IF(A903="","",MOD(A903-2,7)+1)</f>
        <v/>
      </c>
      <c r="BA903" s="60">
        <f>IF(C903="","",IFERROR(INDEX('Prospects'!$N$5:$N$504,MATCH(C903,'Prospects'!$C$5:$C$504,0)),""))</f>
        <v/>
      </c>
      <c r="BB903" s="61">
        <f>IF(AND(C903&lt;&gt;"",C903='Fiche prospect'!$C$4),COUNTIF($C$5:C903,C903),"")</f>
        <v/>
      </c>
    </row>
    <row r="904">
      <c r="A904" s="53" t="n"/>
      <c r="B904" s="54" t="n"/>
      <c r="C904" s="55" t="n"/>
      <c r="D904" s="55" t="n"/>
      <c r="E904" s="55" t="n"/>
      <c r="F904" s="55" t="n"/>
      <c r="G904" s="56" t="n"/>
      <c r="H904" s="57" t="n"/>
      <c r="I904" s="55" t="n"/>
      <c r="J904" s="53" t="n"/>
      <c r="K904" s="54" t="n"/>
      <c r="L904" s="55" t="n"/>
      <c r="M904" s="55" t="n"/>
      <c r="N904" s="57" t="n"/>
      <c r="O904" s="55" t="n"/>
      <c r="P904" s="56" t="n"/>
      <c r="Q904" s="55" t="n"/>
      <c r="R904" s="55" t="n"/>
      <c r="S904" s="55" t="n"/>
      <c r="T904" s="55" t="n"/>
      <c r="U904" s="55" t="n"/>
      <c r="V904" s="55" t="n"/>
      <c r="W904" s="58" t="n"/>
      <c r="X904" s="58" t="n"/>
      <c r="Y904" s="55" t="n"/>
      <c r="Z904" s="55" t="n"/>
      <c r="AA904" s="55" t="n"/>
      <c r="AB904" s="55" t="n"/>
      <c r="AC904" s="55" t="n"/>
      <c r="AD904" s="53" t="n"/>
      <c r="AE904" s="55" t="n"/>
      <c r="AF904" s="55" t="n"/>
      <c r="AG904" s="59" t="n"/>
      <c r="AH904" s="57" t="n"/>
      <c r="AI904" s="55" t="n"/>
      <c r="AJ904" s="55" t="n"/>
      <c r="AK904" s="55" t="n"/>
      <c r="AL904" s="55" t="n"/>
      <c r="AM904" s="56" t="n"/>
      <c r="AN904" s="55" t="n"/>
      <c r="AO904" s="55" t="n"/>
      <c r="AP904" s="55" t="n"/>
      <c r="AQ904" s="55" t="n"/>
      <c r="AR904" s="60">
        <f>IF(AND(C904="",E904=""),"",IF(A904="","⚠ Date manquante",IF(AND(C904="",E904&lt;&gt;"Dépense"),"⚠ Prospect manquant",IF(E904="","⚠ Action manquante",IF(AND(AU904=1,D904=""),"⚠ Canal manquant",IF(AND(W904&lt;&gt;"",COUNTIFS('Saisie'!$W$5:$W$2004,W904,'Saisie'!$C$5:$C$2004,"&lt;&gt;"&amp;C904)&gt;0),"⚠ Numéro déjà utilisé par un autre prospect",IF(AND(J904&lt;&gt;"",J904&lt;A904),"⚠ Relance avant la date de l'action",IF(A904&gt;TODAY(),"⚠ Date dans le futur","✓"))))))))</f>
        <v/>
      </c>
      <c r="AS904" s="61">
        <f>IF(AND(A904="",C904="",E904=""),"",ROW())</f>
        <v/>
      </c>
      <c r="AT904" s="61">
        <f>IF(E904&amp;F904="","",MAX(IFERROR(INDEX('Paramètres'!$J$6:$J$33,MATCH(E904,'Paramètres'!$I$6:$I$33,0)),0),IFERROR(INDEX('Paramètres'!$N$6:$N$17,MATCH(F904,'Paramètres'!$M$6:$M$17,0)),0)))</f>
        <v/>
      </c>
      <c r="AU904" s="61">
        <f>IF(E904="","",IFERROR(IF(INDEX('Paramètres'!$K$6:$K$33,MATCH(E904,'Paramètres'!$I$6:$I$33,0))="Oui",1,0),0))</f>
        <v/>
      </c>
      <c r="AV904" s="61">
        <f>IF(F904="","",IFERROR(IF(INDEX('Paramètres'!$O$6:$O$17,MATCH(F904,'Paramètres'!$M$6:$M$17,0))="Oui",1,0),0))</f>
        <v/>
      </c>
      <c r="AW904" s="62">
        <f>IF(E904="","",IF(G904&lt;&gt;"",G904,IF(OR(E904="Proposition envoyée",E904="Signature"),MAX(0,N(IFERROR(INDEX('Paramètres'!$R$6:$R$15,MATCH(IF(AL904&lt;&gt;"",AL904,IFERROR(INDEX('Prospects'!$AN$5:$AN$504,MATCH(C904,'Prospects'!$C$5:$C$504,0)),"")),'Paramètres'!$Q$6:$Q$15,0)),0))-N(P904)),0)))</f>
        <v/>
      </c>
      <c r="AX904" s="61">
        <f>IF(C904="","",IF(COUNTIF($C$5:C904,C904)=1,MAX($AX$4:AX903)+1,""))</f>
        <v/>
      </c>
      <c r="AY904" s="61">
        <f>IF(B904="","",HOUR(B904))</f>
        <v/>
      </c>
      <c r="AZ904" s="61">
        <f>IF(A904="","",MOD(A904-2,7)+1)</f>
        <v/>
      </c>
      <c r="BA904" s="60">
        <f>IF(C904="","",IFERROR(INDEX('Prospects'!$N$5:$N$504,MATCH(C904,'Prospects'!$C$5:$C$504,0)),""))</f>
        <v/>
      </c>
      <c r="BB904" s="61">
        <f>IF(AND(C904&lt;&gt;"",C904='Fiche prospect'!$C$4),COUNTIF($C$5:C904,C904),"")</f>
        <v/>
      </c>
    </row>
    <row r="905">
      <c r="A905" s="53" t="n"/>
      <c r="B905" s="54" t="n"/>
      <c r="C905" s="55" t="n"/>
      <c r="D905" s="55" t="n"/>
      <c r="E905" s="55" t="n"/>
      <c r="F905" s="55" t="n"/>
      <c r="G905" s="56" t="n"/>
      <c r="H905" s="57" t="n"/>
      <c r="I905" s="55" t="n"/>
      <c r="J905" s="53" t="n"/>
      <c r="K905" s="54" t="n"/>
      <c r="L905" s="55" t="n"/>
      <c r="M905" s="55" t="n"/>
      <c r="N905" s="57" t="n"/>
      <c r="O905" s="55" t="n"/>
      <c r="P905" s="56" t="n"/>
      <c r="Q905" s="55" t="n"/>
      <c r="R905" s="55" t="n"/>
      <c r="S905" s="55" t="n"/>
      <c r="T905" s="55" t="n"/>
      <c r="U905" s="55" t="n"/>
      <c r="V905" s="55" t="n"/>
      <c r="W905" s="58" t="n"/>
      <c r="X905" s="58" t="n"/>
      <c r="Y905" s="55" t="n"/>
      <c r="Z905" s="55" t="n"/>
      <c r="AA905" s="55" t="n"/>
      <c r="AB905" s="55" t="n"/>
      <c r="AC905" s="55" t="n"/>
      <c r="AD905" s="53" t="n"/>
      <c r="AE905" s="55" t="n"/>
      <c r="AF905" s="55" t="n"/>
      <c r="AG905" s="59" t="n"/>
      <c r="AH905" s="57" t="n"/>
      <c r="AI905" s="55" t="n"/>
      <c r="AJ905" s="55" t="n"/>
      <c r="AK905" s="55" t="n"/>
      <c r="AL905" s="55" t="n"/>
      <c r="AM905" s="56" t="n"/>
      <c r="AN905" s="55" t="n"/>
      <c r="AO905" s="55" t="n"/>
      <c r="AP905" s="55" t="n"/>
      <c r="AQ905" s="55" t="n"/>
      <c r="AR905" s="60">
        <f>IF(AND(C905="",E905=""),"",IF(A905="","⚠ Date manquante",IF(AND(C905="",E905&lt;&gt;"Dépense"),"⚠ Prospect manquant",IF(E905="","⚠ Action manquante",IF(AND(AU905=1,D905=""),"⚠ Canal manquant",IF(AND(W905&lt;&gt;"",COUNTIFS('Saisie'!$W$5:$W$2004,W905,'Saisie'!$C$5:$C$2004,"&lt;&gt;"&amp;C905)&gt;0),"⚠ Numéro déjà utilisé par un autre prospect",IF(AND(J905&lt;&gt;"",J905&lt;A905),"⚠ Relance avant la date de l'action",IF(A905&gt;TODAY(),"⚠ Date dans le futur","✓"))))))))</f>
        <v/>
      </c>
      <c r="AS905" s="61">
        <f>IF(AND(A905="",C905="",E905=""),"",ROW())</f>
        <v/>
      </c>
      <c r="AT905" s="61">
        <f>IF(E905&amp;F905="","",MAX(IFERROR(INDEX('Paramètres'!$J$6:$J$33,MATCH(E905,'Paramètres'!$I$6:$I$33,0)),0),IFERROR(INDEX('Paramètres'!$N$6:$N$17,MATCH(F905,'Paramètres'!$M$6:$M$17,0)),0)))</f>
        <v/>
      </c>
      <c r="AU905" s="61">
        <f>IF(E905="","",IFERROR(IF(INDEX('Paramètres'!$K$6:$K$33,MATCH(E905,'Paramètres'!$I$6:$I$33,0))="Oui",1,0),0))</f>
        <v/>
      </c>
      <c r="AV905" s="61">
        <f>IF(F905="","",IFERROR(IF(INDEX('Paramètres'!$O$6:$O$17,MATCH(F905,'Paramètres'!$M$6:$M$17,0))="Oui",1,0),0))</f>
        <v/>
      </c>
      <c r="AW905" s="62">
        <f>IF(E905="","",IF(G905&lt;&gt;"",G905,IF(OR(E905="Proposition envoyée",E905="Signature"),MAX(0,N(IFERROR(INDEX('Paramètres'!$R$6:$R$15,MATCH(IF(AL905&lt;&gt;"",AL905,IFERROR(INDEX('Prospects'!$AN$5:$AN$504,MATCH(C905,'Prospects'!$C$5:$C$504,0)),"")),'Paramètres'!$Q$6:$Q$15,0)),0))-N(P905)),0)))</f>
        <v/>
      </c>
      <c r="AX905" s="61">
        <f>IF(C905="","",IF(COUNTIF($C$5:C905,C905)=1,MAX($AX$4:AX904)+1,""))</f>
        <v/>
      </c>
      <c r="AY905" s="61">
        <f>IF(B905="","",HOUR(B905))</f>
        <v/>
      </c>
      <c r="AZ905" s="61">
        <f>IF(A905="","",MOD(A905-2,7)+1)</f>
        <v/>
      </c>
      <c r="BA905" s="60">
        <f>IF(C905="","",IFERROR(INDEX('Prospects'!$N$5:$N$504,MATCH(C905,'Prospects'!$C$5:$C$504,0)),""))</f>
        <v/>
      </c>
      <c r="BB905" s="61">
        <f>IF(AND(C905&lt;&gt;"",C905='Fiche prospect'!$C$4),COUNTIF($C$5:C905,C905),"")</f>
        <v/>
      </c>
    </row>
    <row r="906">
      <c r="A906" s="53" t="n"/>
      <c r="B906" s="54" t="n"/>
      <c r="C906" s="55" t="n"/>
      <c r="D906" s="55" t="n"/>
      <c r="E906" s="55" t="n"/>
      <c r="F906" s="55" t="n"/>
      <c r="G906" s="56" t="n"/>
      <c r="H906" s="57" t="n"/>
      <c r="I906" s="55" t="n"/>
      <c r="J906" s="53" t="n"/>
      <c r="K906" s="54" t="n"/>
      <c r="L906" s="55" t="n"/>
      <c r="M906" s="55" t="n"/>
      <c r="N906" s="57" t="n"/>
      <c r="O906" s="55" t="n"/>
      <c r="P906" s="56" t="n"/>
      <c r="Q906" s="55" t="n"/>
      <c r="R906" s="55" t="n"/>
      <c r="S906" s="55" t="n"/>
      <c r="T906" s="55" t="n"/>
      <c r="U906" s="55" t="n"/>
      <c r="V906" s="55" t="n"/>
      <c r="W906" s="58" t="n"/>
      <c r="X906" s="58" t="n"/>
      <c r="Y906" s="55" t="n"/>
      <c r="Z906" s="55" t="n"/>
      <c r="AA906" s="55" t="n"/>
      <c r="AB906" s="55" t="n"/>
      <c r="AC906" s="55" t="n"/>
      <c r="AD906" s="53" t="n"/>
      <c r="AE906" s="55" t="n"/>
      <c r="AF906" s="55" t="n"/>
      <c r="AG906" s="59" t="n"/>
      <c r="AH906" s="57" t="n"/>
      <c r="AI906" s="55" t="n"/>
      <c r="AJ906" s="55" t="n"/>
      <c r="AK906" s="55" t="n"/>
      <c r="AL906" s="55" t="n"/>
      <c r="AM906" s="56" t="n"/>
      <c r="AN906" s="55" t="n"/>
      <c r="AO906" s="55" t="n"/>
      <c r="AP906" s="55" t="n"/>
      <c r="AQ906" s="55" t="n"/>
      <c r="AR906" s="60">
        <f>IF(AND(C906="",E906=""),"",IF(A906="","⚠ Date manquante",IF(AND(C906="",E906&lt;&gt;"Dépense"),"⚠ Prospect manquant",IF(E906="","⚠ Action manquante",IF(AND(AU906=1,D906=""),"⚠ Canal manquant",IF(AND(W906&lt;&gt;"",COUNTIFS('Saisie'!$W$5:$W$2004,W906,'Saisie'!$C$5:$C$2004,"&lt;&gt;"&amp;C906)&gt;0),"⚠ Numéro déjà utilisé par un autre prospect",IF(AND(J906&lt;&gt;"",J906&lt;A906),"⚠ Relance avant la date de l'action",IF(A906&gt;TODAY(),"⚠ Date dans le futur","✓"))))))))</f>
        <v/>
      </c>
      <c r="AS906" s="61">
        <f>IF(AND(A906="",C906="",E906=""),"",ROW())</f>
        <v/>
      </c>
      <c r="AT906" s="61">
        <f>IF(E906&amp;F906="","",MAX(IFERROR(INDEX('Paramètres'!$J$6:$J$33,MATCH(E906,'Paramètres'!$I$6:$I$33,0)),0),IFERROR(INDEX('Paramètres'!$N$6:$N$17,MATCH(F906,'Paramètres'!$M$6:$M$17,0)),0)))</f>
        <v/>
      </c>
      <c r="AU906" s="61">
        <f>IF(E906="","",IFERROR(IF(INDEX('Paramètres'!$K$6:$K$33,MATCH(E906,'Paramètres'!$I$6:$I$33,0))="Oui",1,0),0))</f>
        <v/>
      </c>
      <c r="AV906" s="61">
        <f>IF(F906="","",IFERROR(IF(INDEX('Paramètres'!$O$6:$O$17,MATCH(F906,'Paramètres'!$M$6:$M$17,0))="Oui",1,0),0))</f>
        <v/>
      </c>
      <c r="AW906" s="62">
        <f>IF(E906="","",IF(G906&lt;&gt;"",G906,IF(OR(E906="Proposition envoyée",E906="Signature"),MAX(0,N(IFERROR(INDEX('Paramètres'!$R$6:$R$15,MATCH(IF(AL906&lt;&gt;"",AL906,IFERROR(INDEX('Prospects'!$AN$5:$AN$504,MATCH(C906,'Prospects'!$C$5:$C$504,0)),"")),'Paramètres'!$Q$6:$Q$15,0)),0))-N(P906)),0)))</f>
        <v/>
      </c>
      <c r="AX906" s="61">
        <f>IF(C906="","",IF(COUNTIF($C$5:C906,C906)=1,MAX($AX$4:AX905)+1,""))</f>
        <v/>
      </c>
      <c r="AY906" s="61">
        <f>IF(B906="","",HOUR(B906))</f>
        <v/>
      </c>
      <c r="AZ906" s="61">
        <f>IF(A906="","",MOD(A906-2,7)+1)</f>
        <v/>
      </c>
      <c r="BA906" s="60">
        <f>IF(C906="","",IFERROR(INDEX('Prospects'!$N$5:$N$504,MATCH(C906,'Prospects'!$C$5:$C$504,0)),""))</f>
        <v/>
      </c>
      <c r="BB906" s="61">
        <f>IF(AND(C906&lt;&gt;"",C906='Fiche prospect'!$C$4),COUNTIF($C$5:C906,C906),"")</f>
        <v/>
      </c>
    </row>
    <row r="907">
      <c r="A907" s="53" t="n"/>
      <c r="B907" s="54" t="n"/>
      <c r="C907" s="55" t="n"/>
      <c r="D907" s="55" t="n"/>
      <c r="E907" s="55" t="n"/>
      <c r="F907" s="55" t="n"/>
      <c r="G907" s="56" t="n"/>
      <c r="H907" s="57" t="n"/>
      <c r="I907" s="55" t="n"/>
      <c r="J907" s="53" t="n"/>
      <c r="K907" s="54" t="n"/>
      <c r="L907" s="55" t="n"/>
      <c r="M907" s="55" t="n"/>
      <c r="N907" s="57" t="n"/>
      <c r="O907" s="55" t="n"/>
      <c r="P907" s="56" t="n"/>
      <c r="Q907" s="55" t="n"/>
      <c r="R907" s="55" t="n"/>
      <c r="S907" s="55" t="n"/>
      <c r="T907" s="55" t="n"/>
      <c r="U907" s="55" t="n"/>
      <c r="V907" s="55" t="n"/>
      <c r="W907" s="58" t="n"/>
      <c r="X907" s="58" t="n"/>
      <c r="Y907" s="55" t="n"/>
      <c r="Z907" s="55" t="n"/>
      <c r="AA907" s="55" t="n"/>
      <c r="AB907" s="55" t="n"/>
      <c r="AC907" s="55" t="n"/>
      <c r="AD907" s="53" t="n"/>
      <c r="AE907" s="55" t="n"/>
      <c r="AF907" s="55" t="n"/>
      <c r="AG907" s="59" t="n"/>
      <c r="AH907" s="57" t="n"/>
      <c r="AI907" s="55" t="n"/>
      <c r="AJ907" s="55" t="n"/>
      <c r="AK907" s="55" t="n"/>
      <c r="AL907" s="55" t="n"/>
      <c r="AM907" s="56" t="n"/>
      <c r="AN907" s="55" t="n"/>
      <c r="AO907" s="55" t="n"/>
      <c r="AP907" s="55" t="n"/>
      <c r="AQ907" s="55" t="n"/>
      <c r="AR907" s="60">
        <f>IF(AND(C907="",E907=""),"",IF(A907="","⚠ Date manquante",IF(AND(C907="",E907&lt;&gt;"Dépense"),"⚠ Prospect manquant",IF(E907="","⚠ Action manquante",IF(AND(AU907=1,D907=""),"⚠ Canal manquant",IF(AND(W907&lt;&gt;"",COUNTIFS('Saisie'!$W$5:$W$2004,W907,'Saisie'!$C$5:$C$2004,"&lt;&gt;"&amp;C907)&gt;0),"⚠ Numéro déjà utilisé par un autre prospect",IF(AND(J907&lt;&gt;"",J907&lt;A907),"⚠ Relance avant la date de l'action",IF(A907&gt;TODAY(),"⚠ Date dans le futur","✓"))))))))</f>
        <v/>
      </c>
      <c r="AS907" s="61">
        <f>IF(AND(A907="",C907="",E907=""),"",ROW())</f>
        <v/>
      </c>
      <c r="AT907" s="61">
        <f>IF(E907&amp;F907="","",MAX(IFERROR(INDEX('Paramètres'!$J$6:$J$33,MATCH(E907,'Paramètres'!$I$6:$I$33,0)),0),IFERROR(INDEX('Paramètres'!$N$6:$N$17,MATCH(F907,'Paramètres'!$M$6:$M$17,0)),0)))</f>
        <v/>
      </c>
      <c r="AU907" s="61">
        <f>IF(E907="","",IFERROR(IF(INDEX('Paramètres'!$K$6:$K$33,MATCH(E907,'Paramètres'!$I$6:$I$33,0))="Oui",1,0),0))</f>
        <v/>
      </c>
      <c r="AV907" s="61">
        <f>IF(F907="","",IFERROR(IF(INDEX('Paramètres'!$O$6:$O$17,MATCH(F907,'Paramètres'!$M$6:$M$17,0))="Oui",1,0),0))</f>
        <v/>
      </c>
      <c r="AW907" s="62">
        <f>IF(E907="","",IF(G907&lt;&gt;"",G907,IF(OR(E907="Proposition envoyée",E907="Signature"),MAX(0,N(IFERROR(INDEX('Paramètres'!$R$6:$R$15,MATCH(IF(AL907&lt;&gt;"",AL907,IFERROR(INDEX('Prospects'!$AN$5:$AN$504,MATCH(C907,'Prospects'!$C$5:$C$504,0)),"")),'Paramètres'!$Q$6:$Q$15,0)),0))-N(P907)),0)))</f>
        <v/>
      </c>
      <c r="AX907" s="61">
        <f>IF(C907="","",IF(COUNTIF($C$5:C907,C907)=1,MAX($AX$4:AX906)+1,""))</f>
        <v/>
      </c>
      <c r="AY907" s="61">
        <f>IF(B907="","",HOUR(B907))</f>
        <v/>
      </c>
      <c r="AZ907" s="61">
        <f>IF(A907="","",MOD(A907-2,7)+1)</f>
        <v/>
      </c>
      <c r="BA907" s="60">
        <f>IF(C907="","",IFERROR(INDEX('Prospects'!$N$5:$N$504,MATCH(C907,'Prospects'!$C$5:$C$504,0)),""))</f>
        <v/>
      </c>
      <c r="BB907" s="61">
        <f>IF(AND(C907&lt;&gt;"",C907='Fiche prospect'!$C$4),COUNTIF($C$5:C907,C907),"")</f>
        <v/>
      </c>
    </row>
    <row r="908">
      <c r="A908" s="53" t="n"/>
      <c r="B908" s="54" t="n"/>
      <c r="C908" s="55" t="n"/>
      <c r="D908" s="55" t="n"/>
      <c r="E908" s="55" t="n"/>
      <c r="F908" s="55" t="n"/>
      <c r="G908" s="56" t="n"/>
      <c r="H908" s="57" t="n"/>
      <c r="I908" s="55" t="n"/>
      <c r="J908" s="53" t="n"/>
      <c r="K908" s="54" t="n"/>
      <c r="L908" s="55" t="n"/>
      <c r="M908" s="55" t="n"/>
      <c r="N908" s="57" t="n"/>
      <c r="O908" s="55" t="n"/>
      <c r="P908" s="56" t="n"/>
      <c r="Q908" s="55" t="n"/>
      <c r="R908" s="55" t="n"/>
      <c r="S908" s="55" t="n"/>
      <c r="T908" s="55" t="n"/>
      <c r="U908" s="55" t="n"/>
      <c r="V908" s="55" t="n"/>
      <c r="W908" s="58" t="n"/>
      <c r="X908" s="58" t="n"/>
      <c r="Y908" s="55" t="n"/>
      <c r="Z908" s="55" t="n"/>
      <c r="AA908" s="55" t="n"/>
      <c r="AB908" s="55" t="n"/>
      <c r="AC908" s="55" t="n"/>
      <c r="AD908" s="53" t="n"/>
      <c r="AE908" s="55" t="n"/>
      <c r="AF908" s="55" t="n"/>
      <c r="AG908" s="59" t="n"/>
      <c r="AH908" s="57" t="n"/>
      <c r="AI908" s="55" t="n"/>
      <c r="AJ908" s="55" t="n"/>
      <c r="AK908" s="55" t="n"/>
      <c r="AL908" s="55" t="n"/>
      <c r="AM908" s="56" t="n"/>
      <c r="AN908" s="55" t="n"/>
      <c r="AO908" s="55" t="n"/>
      <c r="AP908" s="55" t="n"/>
      <c r="AQ908" s="55" t="n"/>
      <c r="AR908" s="60">
        <f>IF(AND(C908="",E908=""),"",IF(A908="","⚠ Date manquante",IF(AND(C908="",E908&lt;&gt;"Dépense"),"⚠ Prospect manquant",IF(E908="","⚠ Action manquante",IF(AND(AU908=1,D908=""),"⚠ Canal manquant",IF(AND(W908&lt;&gt;"",COUNTIFS('Saisie'!$W$5:$W$2004,W908,'Saisie'!$C$5:$C$2004,"&lt;&gt;"&amp;C908)&gt;0),"⚠ Numéro déjà utilisé par un autre prospect",IF(AND(J908&lt;&gt;"",J908&lt;A908),"⚠ Relance avant la date de l'action",IF(A908&gt;TODAY(),"⚠ Date dans le futur","✓"))))))))</f>
        <v/>
      </c>
      <c r="AS908" s="61">
        <f>IF(AND(A908="",C908="",E908=""),"",ROW())</f>
        <v/>
      </c>
      <c r="AT908" s="61">
        <f>IF(E908&amp;F908="","",MAX(IFERROR(INDEX('Paramètres'!$J$6:$J$33,MATCH(E908,'Paramètres'!$I$6:$I$33,0)),0),IFERROR(INDEX('Paramètres'!$N$6:$N$17,MATCH(F908,'Paramètres'!$M$6:$M$17,0)),0)))</f>
        <v/>
      </c>
      <c r="AU908" s="61">
        <f>IF(E908="","",IFERROR(IF(INDEX('Paramètres'!$K$6:$K$33,MATCH(E908,'Paramètres'!$I$6:$I$33,0))="Oui",1,0),0))</f>
        <v/>
      </c>
      <c r="AV908" s="61">
        <f>IF(F908="","",IFERROR(IF(INDEX('Paramètres'!$O$6:$O$17,MATCH(F908,'Paramètres'!$M$6:$M$17,0))="Oui",1,0),0))</f>
        <v/>
      </c>
      <c r="AW908" s="62">
        <f>IF(E908="","",IF(G908&lt;&gt;"",G908,IF(OR(E908="Proposition envoyée",E908="Signature"),MAX(0,N(IFERROR(INDEX('Paramètres'!$R$6:$R$15,MATCH(IF(AL908&lt;&gt;"",AL908,IFERROR(INDEX('Prospects'!$AN$5:$AN$504,MATCH(C908,'Prospects'!$C$5:$C$504,0)),"")),'Paramètres'!$Q$6:$Q$15,0)),0))-N(P908)),0)))</f>
        <v/>
      </c>
      <c r="AX908" s="61">
        <f>IF(C908="","",IF(COUNTIF($C$5:C908,C908)=1,MAX($AX$4:AX907)+1,""))</f>
        <v/>
      </c>
      <c r="AY908" s="61">
        <f>IF(B908="","",HOUR(B908))</f>
        <v/>
      </c>
      <c r="AZ908" s="61">
        <f>IF(A908="","",MOD(A908-2,7)+1)</f>
        <v/>
      </c>
      <c r="BA908" s="60">
        <f>IF(C908="","",IFERROR(INDEX('Prospects'!$N$5:$N$504,MATCH(C908,'Prospects'!$C$5:$C$504,0)),""))</f>
        <v/>
      </c>
      <c r="BB908" s="61">
        <f>IF(AND(C908&lt;&gt;"",C908='Fiche prospect'!$C$4),COUNTIF($C$5:C908,C908),"")</f>
        <v/>
      </c>
    </row>
    <row r="909">
      <c r="A909" s="53" t="n"/>
      <c r="B909" s="54" t="n"/>
      <c r="C909" s="55" t="n"/>
      <c r="D909" s="55" t="n"/>
      <c r="E909" s="55" t="n"/>
      <c r="F909" s="55" t="n"/>
      <c r="G909" s="56" t="n"/>
      <c r="H909" s="57" t="n"/>
      <c r="I909" s="55" t="n"/>
      <c r="J909" s="53" t="n"/>
      <c r="K909" s="54" t="n"/>
      <c r="L909" s="55" t="n"/>
      <c r="M909" s="55" t="n"/>
      <c r="N909" s="57" t="n"/>
      <c r="O909" s="55" t="n"/>
      <c r="P909" s="56" t="n"/>
      <c r="Q909" s="55" t="n"/>
      <c r="R909" s="55" t="n"/>
      <c r="S909" s="55" t="n"/>
      <c r="T909" s="55" t="n"/>
      <c r="U909" s="55" t="n"/>
      <c r="V909" s="55" t="n"/>
      <c r="W909" s="58" t="n"/>
      <c r="X909" s="58" t="n"/>
      <c r="Y909" s="55" t="n"/>
      <c r="Z909" s="55" t="n"/>
      <c r="AA909" s="55" t="n"/>
      <c r="AB909" s="55" t="n"/>
      <c r="AC909" s="55" t="n"/>
      <c r="AD909" s="53" t="n"/>
      <c r="AE909" s="55" t="n"/>
      <c r="AF909" s="55" t="n"/>
      <c r="AG909" s="59" t="n"/>
      <c r="AH909" s="57" t="n"/>
      <c r="AI909" s="55" t="n"/>
      <c r="AJ909" s="55" t="n"/>
      <c r="AK909" s="55" t="n"/>
      <c r="AL909" s="55" t="n"/>
      <c r="AM909" s="56" t="n"/>
      <c r="AN909" s="55" t="n"/>
      <c r="AO909" s="55" t="n"/>
      <c r="AP909" s="55" t="n"/>
      <c r="AQ909" s="55" t="n"/>
      <c r="AR909" s="60">
        <f>IF(AND(C909="",E909=""),"",IF(A909="","⚠ Date manquante",IF(AND(C909="",E909&lt;&gt;"Dépense"),"⚠ Prospect manquant",IF(E909="","⚠ Action manquante",IF(AND(AU909=1,D909=""),"⚠ Canal manquant",IF(AND(W909&lt;&gt;"",COUNTIFS('Saisie'!$W$5:$W$2004,W909,'Saisie'!$C$5:$C$2004,"&lt;&gt;"&amp;C909)&gt;0),"⚠ Numéro déjà utilisé par un autre prospect",IF(AND(J909&lt;&gt;"",J909&lt;A909),"⚠ Relance avant la date de l'action",IF(A909&gt;TODAY(),"⚠ Date dans le futur","✓"))))))))</f>
        <v/>
      </c>
      <c r="AS909" s="61">
        <f>IF(AND(A909="",C909="",E909=""),"",ROW())</f>
        <v/>
      </c>
      <c r="AT909" s="61">
        <f>IF(E909&amp;F909="","",MAX(IFERROR(INDEX('Paramètres'!$J$6:$J$33,MATCH(E909,'Paramètres'!$I$6:$I$33,0)),0),IFERROR(INDEX('Paramètres'!$N$6:$N$17,MATCH(F909,'Paramètres'!$M$6:$M$17,0)),0)))</f>
        <v/>
      </c>
      <c r="AU909" s="61">
        <f>IF(E909="","",IFERROR(IF(INDEX('Paramètres'!$K$6:$K$33,MATCH(E909,'Paramètres'!$I$6:$I$33,0))="Oui",1,0),0))</f>
        <v/>
      </c>
      <c r="AV909" s="61">
        <f>IF(F909="","",IFERROR(IF(INDEX('Paramètres'!$O$6:$O$17,MATCH(F909,'Paramètres'!$M$6:$M$17,0))="Oui",1,0),0))</f>
        <v/>
      </c>
      <c r="AW909" s="62">
        <f>IF(E909="","",IF(G909&lt;&gt;"",G909,IF(OR(E909="Proposition envoyée",E909="Signature"),MAX(0,N(IFERROR(INDEX('Paramètres'!$R$6:$R$15,MATCH(IF(AL909&lt;&gt;"",AL909,IFERROR(INDEX('Prospects'!$AN$5:$AN$504,MATCH(C909,'Prospects'!$C$5:$C$504,0)),"")),'Paramètres'!$Q$6:$Q$15,0)),0))-N(P909)),0)))</f>
        <v/>
      </c>
      <c r="AX909" s="61">
        <f>IF(C909="","",IF(COUNTIF($C$5:C909,C909)=1,MAX($AX$4:AX908)+1,""))</f>
        <v/>
      </c>
      <c r="AY909" s="61">
        <f>IF(B909="","",HOUR(B909))</f>
        <v/>
      </c>
      <c r="AZ909" s="61">
        <f>IF(A909="","",MOD(A909-2,7)+1)</f>
        <v/>
      </c>
      <c r="BA909" s="60">
        <f>IF(C909="","",IFERROR(INDEX('Prospects'!$N$5:$N$504,MATCH(C909,'Prospects'!$C$5:$C$504,0)),""))</f>
        <v/>
      </c>
      <c r="BB909" s="61">
        <f>IF(AND(C909&lt;&gt;"",C909='Fiche prospect'!$C$4),COUNTIF($C$5:C909,C909),"")</f>
        <v/>
      </c>
    </row>
    <row r="910">
      <c r="A910" s="53" t="n"/>
      <c r="B910" s="54" t="n"/>
      <c r="C910" s="55" t="n"/>
      <c r="D910" s="55" t="n"/>
      <c r="E910" s="55" t="n"/>
      <c r="F910" s="55" t="n"/>
      <c r="G910" s="56" t="n"/>
      <c r="H910" s="57" t="n"/>
      <c r="I910" s="55" t="n"/>
      <c r="J910" s="53" t="n"/>
      <c r="K910" s="54" t="n"/>
      <c r="L910" s="55" t="n"/>
      <c r="M910" s="55" t="n"/>
      <c r="N910" s="57" t="n"/>
      <c r="O910" s="55" t="n"/>
      <c r="P910" s="56" t="n"/>
      <c r="Q910" s="55" t="n"/>
      <c r="R910" s="55" t="n"/>
      <c r="S910" s="55" t="n"/>
      <c r="T910" s="55" t="n"/>
      <c r="U910" s="55" t="n"/>
      <c r="V910" s="55" t="n"/>
      <c r="W910" s="58" t="n"/>
      <c r="X910" s="58" t="n"/>
      <c r="Y910" s="55" t="n"/>
      <c r="Z910" s="55" t="n"/>
      <c r="AA910" s="55" t="n"/>
      <c r="AB910" s="55" t="n"/>
      <c r="AC910" s="55" t="n"/>
      <c r="AD910" s="53" t="n"/>
      <c r="AE910" s="55" t="n"/>
      <c r="AF910" s="55" t="n"/>
      <c r="AG910" s="59" t="n"/>
      <c r="AH910" s="57" t="n"/>
      <c r="AI910" s="55" t="n"/>
      <c r="AJ910" s="55" t="n"/>
      <c r="AK910" s="55" t="n"/>
      <c r="AL910" s="55" t="n"/>
      <c r="AM910" s="56" t="n"/>
      <c r="AN910" s="55" t="n"/>
      <c r="AO910" s="55" t="n"/>
      <c r="AP910" s="55" t="n"/>
      <c r="AQ910" s="55" t="n"/>
      <c r="AR910" s="60">
        <f>IF(AND(C910="",E910=""),"",IF(A910="","⚠ Date manquante",IF(AND(C910="",E910&lt;&gt;"Dépense"),"⚠ Prospect manquant",IF(E910="","⚠ Action manquante",IF(AND(AU910=1,D910=""),"⚠ Canal manquant",IF(AND(W910&lt;&gt;"",COUNTIFS('Saisie'!$W$5:$W$2004,W910,'Saisie'!$C$5:$C$2004,"&lt;&gt;"&amp;C910)&gt;0),"⚠ Numéro déjà utilisé par un autre prospect",IF(AND(J910&lt;&gt;"",J910&lt;A910),"⚠ Relance avant la date de l'action",IF(A910&gt;TODAY(),"⚠ Date dans le futur","✓"))))))))</f>
        <v/>
      </c>
      <c r="AS910" s="61">
        <f>IF(AND(A910="",C910="",E910=""),"",ROW())</f>
        <v/>
      </c>
      <c r="AT910" s="61">
        <f>IF(E910&amp;F910="","",MAX(IFERROR(INDEX('Paramètres'!$J$6:$J$33,MATCH(E910,'Paramètres'!$I$6:$I$33,0)),0),IFERROR(INDEX('Paramètres'!$N$6:$N$17,MATCH(F910,'Paramètres'!$M$6:$M$17,0)),0)))</f>
        <v/>
      </c>
      <c r="AU910" s="61">
        <f>IF(E910="","",IFERROR(IF(INDEX('Paramètres'!$K$6:$K$33,MATCH(E910,'Paramètres'!$I$6:$I$33,0))="Oui",1,0),0))</f>
        <v/>
      </c>
      <c r="AV910" s="61">
        <f>IF(F910="","",IFERROR(IF(INDEX('Paramètres'!$O$6:$O$17,MATCH(F910,'Paramètres'!$M$6:$M$17,0))="Oui",1,0),0))</f>
        <v/>
      </c>
      <c r="AW910" s="62">
        <f>IF(E910="","",IF(G910&lt;&gt;"",G910,IF(OR(E910="Proposition envoyée",E910="Signature"),MAX(0,N(IFERROR(INDEX('Paramètres'!$R$6:$R$15,MATCH(IF(AL910&lt;&gt;"",AL910,IFERROR(INDEX('Prospects'!$AN$5:$AN$504,MATCH(C910,'Prospects'!$C$5:$C$504,0)),"")),'Paramètres'!$Q$6:$Q$15,0)),0))-N(P910)),0)))</f>
        <v/>
      </c>
      <c r="AX910" s="61">
        <f>IF(C910="","",IF(COUNTIF($C$5:C910,C910)=1,MAX($AX$4:AX909)+1,""))</f>
        <v/>
      </c>
      <c r="AY910" s="61">
        <f>IF(B910="","",HOUR(B910))</f>
        <v/>
      </c>
      <c r="AZ910" s="61">
        <f>IF(A910="","",MOD(A910-2,7)+1)</f>
        <v/>
      </c>
      <c r="BA910" s="60">
        <f>IF(C910="","",IFERROR(INDEX('Prospects'!$N$5:$N$504,MATCH(C910,'Prospects'!$C$5:$C$504,0)),""))</f>
        <v/>
      </c>
      <c r="BB910" s="61">
        <f>IF(AND(C910&lt;&gt;"",C910='Fiche prospect'!$C$4),COUNTIF($C$5:C910,C910),"")</f>
        <v/>
      </c>
    </row>
    <row r="911">
      <c r="A911" s="53" t="n"/>
      <c r="B911" s="54" t="n"/>
      <c r="C911" s="55" t="n"/>
      <c r="D911" s="55" t="n"/>
      <c r="E911" s="55" t="n"/>
      <c r="F911" s="55" t="n"/>
      <c r="G911" s="56" t="n"/>
      <c r="H911" s="57" t="n"/>
      <c r="I911" s="55" t="n"/>
      <c r="J911" s="53" t="n"/>
      <c r="K911" s="54" t="n"/>
      <c r="L911" s="55" t="n"/>
      <c r="M911" s="55" t="n"/>
      <c r="N911" s="57" t="n"/>
      <c r="O911" s="55" t="n"/>
      <c r="P911" s="56" t="n"/>
      <c r="Q911" s="55" t="n"/>
      <c r="R911" s="55" t="n"/>
      <c r="S911" s="55" t="n"/>
      <c r="T911" s="55" t="n"/>
      <c r="U911" s="55" t="n"/>
      <c r="V911" s="55" t="n"/>
      <c r="W911" s="58" t="n"/>
      <c r="X911" s="58" t="n"/>
      <c r="Y911" s="55" t="n"/>
      <c r="Z911" s="55" t="n"/>
      <c r="AA911" s="55" t="n"/>
      <c r="AB911" s="55" t="n"/>
      <c r="AC911" s="55" t="n"/>
      <c r="AD911" s="53" t="n"/>
      <c r="AE911" s="55" t="n"/>
      <c r="AF911" s="55" t="n"/>
      <c r="AG911" s="59" t="n"/>
      <c r="AH911" s="57" t="n"/>
      <c r="AI911" s="55" t="n"/>
      <c r="AJ911" s="55" t="n"/>
      <c r="AK911" s="55" t="n"/>
      <c r="AL911" s="55" t="n"/>
      <c r="AM911" s="56" t="n"/>
      <c r="AN911" s="55" t="n"/>
      <c r="AO911" s="55" t="n"/>
      <c r="AP911" s="55" t="n"/>
      <c r="AQ911" s="55" t="n"/>
      <c r="AR911" s="60">
        <f>IF(AND(C911="",E911=""),"",IF(A911="","⚠ Date manquante",IF(AND(C911="",E911&lt;&gt;"Dépense"),"⚠ Prospect manquant",IF(E911="","⚠ Action manquante",IF(AND(AU911=1,D911=""),"⚠ Canal manquant",IF(AND(W911&lt;&gt;"",COUNTIFS('Saisie'!$W$5:$W$2004,W911,'Saisie'!$C$5:$C$2004,"&lt;&gt;"&amp;C911)&gt;0),"⚠ Numéro déjà utilisé par un autre prospect",IF(AND(J911&lt;&gt;"",J911&lt;A911),"⚠ Relance avant la date de l'action",IF(A911&gt;TODAY(),"⚠ Date dans le futur","✓"))))))))</f>
        <v/>
      </c>
      <c r="AS911" s="61">
        <f>IF(AND(A911="",C911="",E911=""),"",ROW())</f>
        <v/>
      </c>
      <c r="AT911" s="61">
        <f>IF(E911&amp;F911="","",MAX(IFERROR(INDEX('Paramètres'!$J$6:$J$33,MATCH(E911,'Paramètres'!$I$6:$I$33,0)),0),IFERROR(INDEX('Paramètres'!$N$6:$N$17,MATCH(F911,'Paramètres'!$M$6:$M$17,0)),0)))</f>
        <v/>
      </c>
      <c r="AU911" s="61">
        <f>IF(E911="","",IFERROR(IF(INDEX('Paramètres'!$K$6:$K$33,MATCH(E911,'Paramètres'!$I$6:$I$33,0))="Oui",1,0),0))</f>
        <v/>
      </c>
      <c r="AV911" s="61">
        <f>IF(F911="","",IFERROR(IF(INDEX('Paramètres'!$O$6:$O$17,MATCH(F911,'Paramètres'!$M$6:$M$17,0))="Oui",1,0),0))</f>
        <v/>
      </c>
      <c r="AW911" s="62">
        <f>IF(E911="","",IF(G911&lt;&gt;"",G911,IF(OR(E911="Proposition envoyée",E911="Signature"),MAX(0,N(IFERROR(INDEX('Paramètres'!$R$6:$R$15,MATCH(IF(AL911&lt;&gt;"",AL911,IFERROR(INDEX('Prospects'!$AN$5:$AN$504,MATCH(C911,'Prospects'!$C$5:$C$504,0)),"")),'Paramètres'!$Q$6:$Q$15,0)),0))-N(P911)),0)))</f>
        <v/>
      </c>
      <c r="AX911" s="61">
        <f>IF(C911="","",IF(COUNTIF($C$5:C911,C911)=1,MAX($AX$4:AX910)+1,""))</f>
        <v/>
      </c>
      <c r="AY911" s="61">
        <f>IF(B911="","",HOUR(B911))</f>
        <v/>
      </c>
      <c r="AZ911" s="61">
        <f>IF(A911="","",MOD(A911-2,7)+1)</f>
        <v/>
      </c>
      <c r="BA911" s="60">
        <f>IF(C911="","",IFERROR(INDEX('Prospects'!$N$5:$N$504,MATCH(C911,'Prospects'!$C$5:$C$504,0)),""))</f>
        <v/>
      </c>
      <c r="BB911" s="61">
        <f>IF(AND(C911&lt;&gt;"",C911='Fiche prospect'!$C$4),COUNTIF($C$5:C911,C911),"")</f>
        <v/>
      </c>
    </row>
    <row r="912">
      <c r="A912" s="53" t="n"/>
      <c r="B912" s="54" t="n"/>
      <c r="C912" s="55" t="n"/>
      <c r="D912" s="55" t="n"/>
      <c r="E912" s="55" t="n"/>
      <c r="F912" s="55" t="n"/>
      <c r="G912" s="56" t="n"/>
      <c r="H912" s="57" t="n"/>
      <c r="I912" s="55" t="n"/>
      <c r="J912" s="53" t="n"/>
      <c r="K912" s="54" t="n"/>
      <c r="L912" s="55" t="n"/>
      <c r="M912" s="55" t="n"/>
      <c r="N912" s="57" t="n"/>
      <c r="O912" s="55" t="n"/>
      <c r="P912" s="56" t="n"/>
      <c r="Q912" s="55" t="n"/>
      <c r="R912" s="55" t="n"/>
      <c r="S912" s="55" t="n"/>
      <c r="T912" s="55" t="n"/>
      <c r="U912" s="55" t="n"/>
      <c r="V912" s="55" t="n"/>
      <c r="W912" s="58" t="n"/>
      <c r="X912" s="58" t="n"/>
      <c r="Y912" s="55" t="n"/>
      <c r="Z912" s="55" t="n"/>
      <c r="AA912" s="55" t="n"/>
      <c r="AB912" s="55" t="n"/>
      <c r="AC912" s="55" t="n"/>
      <c r="AD912" s="53" t="n"/>
      <c r="AE912" s="55" t="n"/>
      <c r="AF912" s="55" t="n"/>
      <c r="AG912" s="59" t="n"/>
      <c r="AH912" s="57" t="n"/>
      <c r="AI912" s="55" t="n"/>
      <c r="AJ912" s="55" t="n"/>
      <c r="AK912" s="55" t="n"/>
      <c r="AL912" s="55" t="n"/>
      <c r="AM912" s="56" t="n"/>
      <c r="AN912" s="55" t="n"/>
      <c r="AO912" s="55" t="n"/>
      <c r="AP912" s="55" t="n"/>
      <c r="AQ912" s="55" t="n"/>
      <c r="AR912" s="60">
        <f>IF(AND(C912="",E912=""),"",IF(A912="","⚠ Date manquante",IF(AND(C912="",E912&lt;&gt;"Dépense"),"⚠ Prospect manquant",IF(E912="","⚠ Action manquante",IF(AND(AU912=1,D912=""),"⚠ Canal manquant",IF(AND(W912&lt;&gt;"",COUNTIFS('Saisie'!$W$5:$W$2004,W912,'Saisie'!$C$5:$C$2004,"&lt;&gt;"&amp;C912)&gt;0),"⚠ Numéro déjà utilisé par un autre prospect",IF(AND(J912&lt;&gt;"",J912&lt;A912),"⚠ Relance avant la date de l'action",IF(A912&gt;TODAY(),"⚠ Date dans le futur","✓"))))))))</f>
        <v/>
      </c>
      <c r="AS912" s="61">
        <f>IF(AND(A912="",C912="",E912=""),"",ROW())</f>
        <v/>
      </c>
      <c r="AT912" s="61">
        <f>IF(E912&amp;F912="","",MAX(IFERROR(INDEX('Paramètres'!$J$6:$J$33,MATCH(E912,'Paramètres'!$I$6:$I$33,0)),0),IFERROR(INDEX('Paramètres'!$N$6:$N$17,MATCH(F912,'Paramètres'!$M$6:$M$17,0)),0)))</f>
        <v/>
      </c>
      <c r="AU912" s="61">
        <f>IF(E912="","",IFERROR(IF(INDEX('Paramètres'!$K$6:$K$33,MATCH(E912,'Paramètres'!$I$6:$I$33,0))="Oui",1,0),0))</f>
        <v/>
      </c>
      <c r="AV912" s="61">
        <f>IF(F912="","",IFERROR(IF(INDEX('Paramètres'!$O$6:$O$17,MATCH(F912,'Paramètres'!$M$6:$M$17,0))="Oui",1,0),0))</f>
        <v/>
      </c>
      <c r="AW912" s="62">
        <f>IF(E912="","",IF(G912&lt;&gt;"",G912,IF(OR(E912="Proposition envoyée",E912="Signature"),MAX(0,N(IFERROR(INDEX('Paramètres'!$R$6:$R$15,MATCH(IF(AL912&lt;&gt;"",AL912,IFERROR(INDEX('Prospects'!$AN$5:$AN$504,MATCH(C912,'Prospects'!$C$5:$C$504,0)),"")),'Paramètres'!$Q$6:$Q$15,0)),0))-N(P912)),0)))</f>
        <v/>
      </c>
      <c r="AX912" s="61">
        <f>IF(C912="","",IF(COUNTIF($C$5:C912,C912)=1,MAX($AX$4:AX911)+1,""))</f>
        <v/>
      </c>
      <c r="AY912" s="61">
        <f>IF(B912="","",HOUR(B912))</f>
        <v/>
      </c>
      <c r="AZ912" s="61">
        <f>IF(A912="","",MOD(A912-2,7)+1)</f>
        <v/>
      </c>
      <c r="BA912" s="60">
        <f>IF(C912="","",IFERROR(INDEX('Prospects'!$N$5:$N$504,MATCH(C912,'Prospects'!$C$5:$C$504,0)),""))</f>
        <v/>
      </c>
      <c r="BB912" s="61">
        <f>IF(AND(C912&lt;&gt;"",C912='Fiche prospect'!$C$4),COUNTIF($C$5:C912,C912),"")</f>
        <v/>
      </c>
    </row>
    <row r="913">
      <c r="A913" s="53" t="n"/>
      <c r="B913" s="54" t="n"/>
      <c r="C913" s="55" t="n"/>
      <c r="D913" s="55" t="n"/>
      <c r="E913" s="55" t="n"/>
      <c r="F913" s="55" t="n"/>
      <c r="G913" s="56" t="n"/>
      <c r="H913" s="57" t="n"/>
      <c r="I913" s="55" t="n"/>
      <c r="J913" s="53" t="n"/>
      <c r="K913" s="54" t="n"/>
      <c r="L913" s="55" t="n"/>
      <c r="M913" s="55" t="n"/>
      <c r="N913" s="57" t="n"/>
      <c r="O913" s="55" t="n"/>
      <c r="P913" s="56" t="n"/>
      <c r="Q913" s="55" t="n"/>
      <c r="R913" s="55" t="n"/>
      <c r="S913" s="55" t="n"/>
      <c r="T913" s="55" t="n"/>
      <c r="U913" s="55" t="n"/>
      <c r="V913" s="55" t="n"/>
      <c r="W913" s="58" t="n"/>
      <c r="X913" s="58" t="n"/>
      <c r="Y913" s="55" t="n"/>
      <c r="Z913" s="55" t="n"/>
      <c r="AA913" s="55" t="n"/>
      <c r="AB913" s="55" t="n"/>
      <c r="AC913" s="55" t="n"/>
      <c r="AD913" s="53" t="n"/>
      <c r="AE913" s="55" t="n"/>
      <c r="AF913" s="55" t="n"/>
      <c r="AG913" s="59" t="n"/>
      <c r="AH913" s="57" t="n"/>
      <c r="AI913" s="55" t="n"/>
      <c r="AJ913" s="55" t="n"/>
      <c r="AK913" s="55" t="n"/>
      <c r="AL913" s="55" t="n"/>
      <c r="AM913" s="56" t="n"/>
      <c r="AN913" s="55" t="n"/>
      <c r="AO913" s="55" t="n"/>
      <c r="AP913" s="55" t="n"/>
      <c r="AQ913" s="55" t="n"/>
      <c r="AR913" s="60">
        <f>IF(AND(C913="",E913=""),"",IF(A913="","⚠ Date manquante",IF(AND(C913="",E913&lt;&gt;"Dépense"),"⚠ Prospect manquant",IF(E913="","⚠ Action manquante",IF(AND(AU913=1,D913=""),"⚠ Canal manquant",IF(AND(W913&lt;&gt;"",COUNTIFS('Saisie'!$W$5:$W$2004,W913,'Saisie'!$C$5:$C$2004,"&lt;&gt;"&amp;C913)&gt;0),"⚠ Numéro déjà utilisé par un autre prospect",IF(AND(J913&lt;&gt;"",J913&lt;A913),"⚠ Relance avant la date de l'action",IF(A913&gt;TODAY(),"⚠ Date dans le futur","✓"))))))))</f>
        <v/>
      </c>
      <c r="AS913" s="61">
        <f>IF(AND(A913="",C913="",E913=""),"",ROW())</f>
        <v/>
      </c>
      <c r="AT913" s="61">
        <f>IF(E913&amp;F913="","",MAX(IFERROR(INDEX('Paramètres'!$J$6:$J$33,MATCH(E913,'Paramètres'!$I$6:$I$33,0)),0),IFERROR(INDEX('Paramètres'!$N$6:$N$17,MATCH(F913,'Paramètres'!$M$6:$M$17,0)),0)))</f>
        <v/>
      </c>
      <c r="AU913" s="61">
        <f>IF(E913="","",IFERROR(IF(INDEX('Paramètres'!$K$6:$K$33,MATCH(E913,'Paramètres'!$I$6:$I$33,0))="Oui",1,0),0))</f>
        <v/>
      </c>
      <c r="AV913" s="61">
        <f>IF(F913="","",IFERROR(IF(INDEX('Paramètres'!$O$6:$O$17,MATCH(F913,'Paramètres'!$M$6:$M$17,0))="Oui",1,0),0))</f>
        <v/>
      </c>
      <c r="AW913" s="62">
        <f>IF(E913="","",IF(G913&lt;&gt;"",G913,IF(OR(E913="Proposition envoyée",E913="Signature"),MAX(0,N(IFERROR(INDEX('Paramètres'!$R$6:$R$15,MATCH(IF(AL913&lt;&gt;"",AL913,IFERROR(INDEX('Prospects'!$AN$5:$AN$504,MATCH(C913,'Prospects'!$C$5:$C$504,0)),"")),'Paramètres'!$Q$6:$Q$15,0)),0))-N(P913)),0)))</f>
        <v/>
      </c>
      <c r="AX913" s="61">
        <f>IF(C913="","",IF(COUNTIF($C$5:C913,C913)=1,MAX($AX$4:AX912)+1,""))</f>
        <v/>
      </c>
      <c r="AY913" s="61">
        <f>IF(B913="","",HOUR(B913))</f>
        <v/>
      </c>
      <c r="AZ913" s="61">
        <f>IF(A913="","",MOD(A913-2,7)+1)</f>
        <v/>
      </c>
      <c r="BA913" s="60">
        <f>IF(C913="","",IFERROR(INDEX('Prospects'!$N$5:$N$504,MATCH(C913,'Prospects'!$C$5:$C$504,0)),""))</f>
        <v/>
      </c>
      <c r="BB913" s="61">
        <f>IF(AND(C913&lt;&gt;"",C913='Fiche prospect'!$C$4),COUNTIF($C$5:C913,C913),"")</f>
        <v/>
      </c>
    </row>
    <row r="914">
      <c r="A914" s="53" t="n"/>
      <c r="B914" s="54" t="n"/>
      <c r="C914" s="55" t="n"/>
      <c r="D914" s="55" t="n"/>
      <c r="E914" s="55" t="n"/>
      <c r="F914" s="55" t="n"/>
      <c r="G914" s="56" t="n"/>
      <c r="H914" s="57" t="n"/>
      <c r="I914" s="55" t="n"/>
      <c r="J914" s="53" t="n"/>
      <c r="K914" s="54" t="n"/>
      <c r="L914" s="55" t="n"/>
      <c r="M914" s="55" t="n"/>
      <c r="N914" s="57" t="n"/>
      <c r="O914" s="55" t="n"/>
      <c r="P914" s="56" t="n"/>
      <c r="Q914" s="55" t="n"/>
      <c r="R914" s="55" t="n"/>
      <c r="S914" s="55" t="n"/>
      <c r="T914" s="55" t="n"/>
      <c r="U914" s="55" t="n"/>
      <c r="V914" s="55" t="n"/>
      <c r="W914" s="58" t="n"/>
      <c r="X914" s="58" t="n"/>
      <c r="Y914" s="55" t="n"/>
      <c r="Z914" s="55" t="n"/>
      <c r="AA914" s="55" t="n"/>
      <c r="AB914" s="55" t="n"/>
      <c r="AC914" s="55" t="n"/>
      <c r="AD914" s="53" t="n"/>
      <c r="AE914" s="55" t="n"/>
      <c r="AF914" s="55" t="n"/>
      <c r="AG914" s="59" t="n"/>
      <c r="AH914" s="57" t="n"/>
      <c r="AI914" s="55" t="n"/>
      <c r="AJ914" s="55" t="n"/>
      <c r="AK914" s="55" t="n"/>
      <c r="AL914" s="55" t="n"/>
      <c r="AM914" s="56" t="n"/>
      <c r="AN914" s="55" t="n"/>
      <c r="AO914" s="55" t="n"/>
      <c r="AP914" s="55" t="n"/>
      <c r="AQ914" s="55" t="n"/>
      <c r="AR914" s="60">
        <f>IF(AND(C914="",E914=""),"",IF(A914="","⚠ Date manquante",IF(AND(C914="",E914&lt;&gt;"Dépense"),"⚠ Prospect manquant",IF(E914="","⚠ Action manquante",IF(AND(AU914=1,D914=""),"⚠ Canal manquant",IF(AND(W914&lt;&gt;"",COUNTIFS('Saisie'!$W$5:$W$2004,W914,'Saisie'!$C$5:$C$2004,"&lt;&gt;"&amp;C914)&gt;0),"⚠ Numéro déjà utilisé par un autre prospect",IF(AND(J914&lt;&gt;"",J914&lt;A914),"⚠ Relance avant la date de l'action",IF(A914&gt;TODAY(),"⚠ Date dans le futur","✓"))))))))</f>
        <v/>
      </c>
      <c r="AS914" s="61">
        <f>IF(AND(A914="",C914="",E914=""),"",ROW())</f>
        <v/>
      </c>
      <c r="AT914" s="61">
        <f>IF(E914&amp;F914="","",MAX(IFERROR(INDEX('Paramètres'!$J$6:$J$33,MATCH(E914,'Paramètres'!$I$6:$I$33,0)),0),IFERROR(INDEX('Paramètres'!$N$6:$N$17,MATCH(F914,'Paramètres'!$M$6:$M$17,0)),0)))</f>
        <v/>
      </c>
      <c r="AU914" s="61">
        <f>IF(E914="","",IFERROR(IF(INDEX('Paramètres'!$K$6:$K$33,MATCH(E914,'Paramètres'!$I$6:$I$33,0))="Oui",1,0),0))</f>
        <v/>
      </c>
      <c r="AV914" s="61">
        <f>IF(F914="","",IFERROR(IF(INDEX('Paramètres'!$O$6:$O$17,MATCH(F914,'Paramètres'!$M$6:$M$17,0))="Oui",1,0),0))</f>
        <v/>
      </c>
      <c r="AW914" s="62">
        <f>IF(E914="","",IF(G914&lt;&gt;"",G914,IF(OR(E914="Proposition envoyée",E914="Signature"),MAX(0,N(IFERROR(INDEX('Paramètres'!$R$6:$R$15,MATCH(IF(AL914&lt;&gt;"",AL914,IFERROR(INDEX('Prospects'!$AN$5:$AN$504,MATCH(C914,'Prospects'!$C$5:$C$504,0)),"")),'Paramètres'!$Q$6:$Q$15,0)),0))-N(P914)),0)))</f>
        <v/>
      </c>
      <c r="AX914" s="61">
        <f>IF(C914="","",IF(COUNTIF($C$5:C914,C914)=1,MAX($AX$4:AX913)+1,""))</f>
        <v/>
      </c>
      <c r="AY914" s="61">
        <f>IF(B914="","",HOUR(B914))</f>
        <v/>
      </c>
      <c r="AZ914" s="61">
        <f>IF(A914="","",MOD(A914-2,7)+1)</f>
        <v/>
      </c>
      <c r="BA914" s="60">
        <f>IF(C914="","",IFERROR(INDEX('Prospects'!$N$5:$N$504,MATCH(C914,'Prospects'!$C$5:$C$504,0)),""))</f>
        <v/>
      </c>
      <c r="BB914" s="61">
        <f>IF(AND(C914&lt;&gt;"",C914='Fiche prospect'!$C$4),COUNTIF($C$5:C914,C914),"")</f>
        <v/>
      </c>
    </row>
    <row r="915">
      <c r="A915" s="53" t="n"/>
      <c r="B915" s="54" t="n"/>
      <c r="C915" s="55" t="n"/>
      <c r="D915" s="55" t="n"/>
      <c r="E915" s="55" t="n"/>
      <c r="F915" s="55" t="n"/>
      <c r="G915" s="56" t="n"/>
      <c r="H915" s="57" t="n"/>
      <c r="I915" s="55" t="n"/>
      <c r="J915" s="53" t="n"/>
      <c r="K915" s="54" t="n"/>
      <c r="L915" s="55" t="n"/>
      <c r="M915" s="55" t="n"/>
      <c r="N915" s="57" t="n"/>
      <c r="O915" s="55" t="n"/>
      <c r="P915" s="56" t="n"/>
      <c r="Q915" s="55" t="n"/>
      <c r="R915" s="55" t="n"/>
      <c r="S915" s="55" t="n"/>
      <c r="T915" s="55" t="n"/>
      <c r="U915" s="55" t="n"/>
      <c r="V915" s="55" t="n"/>
      <c r="W915" s="58" t="n"/>
      <c r="X915" s="58" t="n"/>
      <c r="Y915" s="55" t="n"/>
      <c r="Z915" s="55" t="n"/>
      <c r="AA915" s="55" t="n"/>
      <c r="AB915" s="55" t="n"/>
      <c r="AC915" s="55" t="n"/>
      <c r="AD915" s="53" t="n"/>
      <c r="AE915" s="55" t="n"/>
      <c r="AF915" s="55" t="n"/>
      <c r="AG915" s="59" t="n"/>
      <c r="AH915" s="57" t="n"/>
      <c r="AI915" s="55" t="n"/>
      <c r="AJ915" s="55" t="n"/>
      <c r="AK915" s="55" t="n"/>
      <c r="AL915" s="55" t="n"/>
      <c r="AM915" s="56" t="n"/>
      <c r="AN915" s="55" t="n"/>
      <c r="AO915" s="55" t="n"/>
      <c r="AP915" s="55" t="n"/>
      <c r="AQ915" s="55" t="n"/>
      <c r="AR915" s="60">
        <f>IF(AND(C915="",E915=""),"",IF(A915="","⚠ Date manquante",IF(AND(C915="",E915&lt;&gt;"Dépense"),"⚠ Prospect manquant",IF(E915="","⚠ Action manquante",IF(AND(AU915=1,D915=""),"⚠ Canal manquant",IF(AND(W915&lt;&gt;"",COUNTIFS('Saisie'!$W$5:$W$2004,W915,'Saisie'!$C$5:$C$2004,"&lt;&gt;"&amp;C915)&gt;0),"⚠ Numéro déjà utilisé par un autre prospect",IF(AND(J915&lt;&gt;"",J915&lt;A915),"⚠ Relance avant la date de l'action",IF(A915&gt;TODAY(),"⚠ Date dans le futur","✓"))))))))</f>
        <v/>
      </c>
      <c r="AS915" s="61">
        <f>IF(AND(A915="",C915="",E915=""),"",ROW())</f>
        <v/>
      </c>
      <c r="AT915" s="61">
        <f>IF(E915&amp;F915="","",MAX(IFERROR(INDEX('Paramètres'!$J$6:$J$33,MATCH(E915,'Paramètres'!$I$6:$I$33,0)),0),IFERROR(INDEX('Paramètres'!$N$6:$N$17,MATCH(F915,'Paramètres'!$M$6:$M$17,0)),0)))</f>
        <v/>
      </c>
      <c r="AU915" s="61">
        <f>IF(E915="","",IFERROR(IF(INDEX('Paramètres'!$K$6:$K$33,MATCH(E915,'Paramètres'!$I$6:$I$33,0))="Oui",1,0),0))</f>
        <v/>
      </c>
      <c r="AV915" s="61">
        <f>IF(F915="","",IFERROR(IF(INDEX('Paramètres'!$O$6:$O$17,MATCH(F915,'Paramètres'!$M$6:$M$17,0))="Oui",1,0),0))</f>
        <v/>
      </c>
      <c r="AW915" s="62">
        <f>IF(E915="","",IF(G915&lt;&gt;"",G915,IF(OR(E915="Proposition envoyée",E915="Signature"),MAX(0,N(IFERROR(INDEX('Paramètres'!$R$6:$R$15,MATCH(IF(AL915&lt;&gt;"",AL915,IFERROR(INDEX('Prospects'!$AN$5:$AN$504,MATCH(C915,'Prospects'!$C$5:$C$504,0)),"")),'Paramètres'!$Q$6:$Q$15,0)),0))-N(P915)),0)))</f>
        <v/>
      </c>
      <c r="AX915" s="61">
        <f>IF(C915="","",IF(COUNTIF($C$5:C915,C915)=1,MAX($AX$4:AX914)+1,""))</f>
        <v/>
      </c>
      <c r="AY915" s="61">
        <f>IF(B915="","",HOUR(B915))</f>
        <v/>
      </c>
      <c r="AZ915" s="61">
        <f>IF(A915="","",MOD(A915-2,7)+1)</f>
        <v/>
      </c>
      <c r="BA915" s="60">
        <f>IF(C915="","",IFERROR(INDEX('Prospects'!$N$5:$N$504,MATCH(C915,'Prospects'!$C$5:$C$504,0)),""))</f>
        <v/>
      </c>
      <c r="BB915" s="61">
        <f>IF(AND(C915&lt;&gt;"",C915='Fiche prospect'!$C$4),COUNTIF($C$5:C915,C915),"")</f>
        <v/>
      </c>
    </row>
    <row r="916">
      <c r="A916" s="53" t="n"/>
      <c r="B916" s="54" t="n"/>
      <c r="C916" s="55" t="n"/>
      <c r="D916" s="55" t="n"/>
      <c r="E916" s="55" t="n"/>
      <c r="F916" s="55" t="n"/>
      <c r="G916" s="56" t="n"/>
      <c r="H916" s="57" t="n"/>
      <c r="I916" s="55" t="n"/>
      <c r="J916" s="53" t="n"/>
      <c r="K916" s="54" t="n"/>
      <c r="L916" s="55" t="n"/>
      <c r="M916" s="55" t="n"/>
      <c r="N916" s="57" t="n"/>
      <c r="O916" s="55" t="n"/>
      <c r="P916" s="56" t="n"/>
      <c r="Q916" s="55" t="n"/>
      <c r="R916" s="55" t="n"/>
      <c r="S916" s="55" t="n"/>
      <c r="T916" s="55" t="n"/>
      <c r="U916" s="55" t="n"/>
      <c r="V916" s="55" t="n"/>
      <c r="W916" s="58" t="n"/>
      <c r="X916" s="58" t="n"/>
      <c r="Y916" s="55" t="n"/>
      <c r="Z916" s="55" t="n"/>
      <c r="AA916" s="55" t="n"/>
      <c r="AB916" s="55" t="n"/>
      <c r="AC916" s="55" t="n"/>
      <c r="AD916" s="53" t="n"/>
      <c r="AE916" s="55" t="n"/>
      <c r="AF916" s="55" t="n"/>
      <c r="AG916" s="59" t="n"/>
      <c r="AH916" s="57" t="n"/>
      <c r="AI916" s="55" t="n"/>
      <c r="AJ916" s="55" t="n"/>
      <c r="AK916" s="55" t="n"/>
      <c r="AL916" s="55" t="n"/>
      <c r="AM916" s="56" t="n"/>
      <c r="AN916" s="55" t="n"/>
      <c r="AO916" s="55" t="n"/>
      <c r="AP916" s="55" t="n"/>
      <c r="AQ916" s="55" t="n"/>
      <c r="AR916" s="60">
        <f>IF(AND(C916="",E916=""),"",IF(A916="","⚠ Date manquante",IF(AND(C916="",E916&lt;&gt;"Dépense"),"⚠ Prospect manquant",IF(E916="","⚠ Action manquante",IF(AND(AU916=1,D916=""),"⚠ Canal manquant",IF(AND(W916&lt;&gt;"",COUNTIFS('Saisie'!$W$5:$W$2004,W916,'Saisie'!$C$5:$C$2004,"&lt;&gt;"&amp;C916)&gt;0),"⚠ Numéro déjà utilisé par un autre prospect",IF(AND(J916&lt;&gt;"",J916&lt;A916),"⚠ Relance avant la date de l'action",IF(A916&gt;TODAY(),"⚠ Date dans le futur","✓"))))))))</f>
        <v/>
      </c>
      <c r="AS916" s="61">
        <f>IF(AND(A916="",C916="",E916=""),"",ROW())</f>
        <v/>
      </c>
      <c r="AT916" s="61">
        <f>IF(E916&amp;F916="","",MAX(IFERROR(INDEX('Paramètres'!$J$6:$J$33,MATCH(E916,'Paramètres'!$I$6:$I$33,0)),0),IFERROR(INDEX('Paramètres'!$N$6:$N$17,MATCH(F916,'Paramètres'!$M$6:$M$17,0)),0)))</f>
        <v/>
      </c>
      <c r="AU916" s="61">
        <f>IF(E916="","",IFERROR(IF(INDEX('Paramètres'!$K$6:$K$33,MATCH(E916,'Paramètres'!$I$6:$I$33,0))="Oui",1,0),0))</f>
        <v/>
      </c>
      <c r="AV916" s="61">
        <f>IF(F916="","",IFERROR(IF(INDEX('Paramètres'!$O$6:$O$17,MATCH(F916,'Paramètres'!$M$6:$M$17,0))="Oui",1,0),0))</f>
        <v/>
      </c>
      <c r="AW916" s="62">
        <f>IF(E916="","",IF(G916&lt;&gt;"",G916,IF(OR(E916="Proposition envoyée",E916="Signature"),MAX(0,N(IFERROR(INDEX('Paramètres'!$R$6:$R$15,MATCH(IF(AL916&lt;&gt;"",AL916,IFERROR(INDEX('Prospects'!$AN$5:$AN$504,MATCH(C916,'Prospects'!$C$5:$C$504,0)),"")),'Paramètres'!$Q$6:$Q$15,0)),0))-N(P916)),0)))</f>
        <v/>
      </c>
      <c r="AX916" s="61">
        <f>IF(C916="","",IF(COUNTIF($C$5:C916,C916)=1,MAX($AX$4:AX915)+1,""))</f>
        <v/>
      </c>
      <c r="AY916" s="61">
        <f>IF(B916="","",HOUR(B916))</f>
        <v/>
      </c>
      <c r="AZ916" s="61">
        <f>IF(A916="","",MOD(A916-2,7)+1)</f>
        <v/>
      </c>
      <c r="BA916" s="60">
        <f>IF(C916="","",IFERROR(INDEX('Prospects'!$N$5:$N$504,MATCH(C916,'Prospects'!$C$5:$C$504,0)),""))</f>
        <v/>
      </c>
      <c r="BB916" s="61">
        <f>IF(AND(C916&lt;&gt;"",C916='Fiche prospect'!$C$4),COUNTIF($C$5:C916,C916),"")</f>
        <v/>
      </c>
    </row>
    <row r="917">
      <c r="A917" s="53" t="n"/>
      <c r="B917" s="54" t="n"/>
      <c r="C917" s="55" t="n"/>
      <c r="D917" s="55" t="n"/>
      <c r="E917" s="55" t="n"/>
      <c r="F917" s="55" t="n"/>
      <c r="G917" s="56" t="n"/>
      <c r="H917" s="57" t="n"/>
      <c r="I917" s="55" t="n"/>
      <c r="J917" s="53" t="n"/>
      <c r="K917" s="54" t="n"/>
      <c r="L917" s="55" t="n"/>
      <c r="M917" s="55" t="n"/>
      <c r="N917" s="57" t="n"/>
      <c r="O917" s="55" t="n"/>
      <c r="P917" s="56" t="n"/>
      <c r="Q917" s="55" t="n"/>
      <c r="R917" s="55" t="n"/>
      <c r="S917" s="55" t="n"/>
      <c r="T917" s="55" t="n"/>
      <c r="U917" s="55" t="n"/>
      <c r="V917" s="55" t="n"/>
      <c r="W917" s="58" t="n"/>
      <c r="X917" s="58" t="n"/>
      <c r="Y917" s="55" t="n"/>
      <c r="Z917" s="55" t="n"/>
      <c r="AA917" s="55" t="n"/>
      <c r="AB917" s="55" t="n"/>
      <c r="AC917" s="55" t="n"/>
      <c r="AD917" s="53" t="n"/>
      <c r="AE917" s="55" t="n"/>
      <c r="AF917" s="55" t="n"/>
      <c r="AG917" s="59" t="n"/>
      <c r="AH917" s="57" t="n"/>
      <c r="AI917" s="55" t="n"/>
      <c r="AJ917" s="55" t="n"/>
      <c r="AK917" s="55" t="n"/>
      <c r="AL917" s="55" t="n"/>
      <c r="AM917" s="56" t="n"/>
      <c r="AN917" s="55" t="n"/>
      <c r="AO917" s="55" t="n"/>
      <c r="AP917" s="55" t="n"/>
      <c r="AQ917" s="55" t="n"/>
      <c r="AR917" s="60">
        <f>IF(AND(C917="",E917=""),"",IF(A917="","⚠ Date manquante",IF(AND(C917="",E917&lt;&gt;"Dépense"),"⚠ Prospect manquant",IF(E917="","⚠ Action manquante",IF(AND(AU917=1,D917=""),"⚠ Canal manquant",IF(AND(W917&lt;&gt;"",COUNTIFS('Saisie'!$W$5:$W$2004,W917,'Saisie'!$C$5:$C$2004,"&lt;&gt;"&amp;C917)&gt;0),"⚠ Numéro déjà utilisé par un autre prospect",IF(AND(J917&lt;&gt;"",J917&lt;A917),"⚠ Relance avant la date de l'action",IF(A917&gt;TODAY(),"⚠ Date dans le futur","✓"))))))))</f>
        <v/>
      </c>
      <c r="AS917" s="61">
        <f>IF(AND(A917="",C917="",E917=""),"",ROW())</f>
        <v/>
      </c>
      <c r="AT917" s="61">
        <f>IF(E917&amp;F917="","",MAX(IFERROR(INDEX('Paramètres'!$J$6:$J$33,MATCH(E917,'Paramètres'!$I$6:$I$33,0)),0),IFERROR(INDEX('Paramètres'!$N$6:$N$17,MATCH(F917,'Paramètres'!$M$6:$M$17,0)),0)))</f>
        <v/>
      </c>
      <c r="AU917" s="61">
        <f>IF(E917="","",IFERROR(IF(INDEX('Paramètres'!$K$6:$K$33,MATCH(E917,'Paramètres'!$I$6:$I$33,0))="Oui",1,0),0))</f>
        <v/>
      </c>
      <c r="AV917" s="61">
        <f>IF(F917="","",IFERROR(IF(INDEX('Paramètres'!$O$6:$O$17,MATCH(F917,'Paramètres'!$M$6:$M$17,0))="Oui",1,0),0))</f>
        <v/>
      </c>
      <c r="AW917" s="62">
        <f>IF(E917="","",IF(G917&lt;&gt;"",G917,IF(OR(E917="Proposition envoyée",E917="Signature"),MAX(0,N(IFERROR(INDEX('Paramètres'!$R$6:$R$15,MATCH(IF(AL917&lt;&gt;"",AL917,IFERROR(INDEX('Prospects'!$AN$5:$AN$504,MATCH(C917,'Prospects'!$C$5:$C$504,0)),"")),'Paramètres'!$Q$6:$Q$15,0)),0))-N(P917)),0)))</f>
        <v/>
      </c>
      <c r="AX917" s="61">
        <f>IF(C917="","",IF(COUNTIF($C$5:C917,C917)=1,MAX($AX$4:AX916)+1,""))</f>
        <v/>
      </c>
      <c r="AY917" s="61">
        <f>IF(B917="","",HOUR(B917))</f>
        <v/>
      </c>
      <c r="AZ917" s="61">
        <f>IF(A917="","",MOD(A917-2,7)+1)</f>
        <v/>
      </c>
      <c r="BA917" s="60">
        <f>IF(C917="","",IFERROR(INDEX('Prospects'!$N$5:$N$504,MATCH(C917,'Prospects'!$C$5:$C$504,0)),""))</f>
        <v/>
      </c>
      <c r="BB917" s="61">
        <f>IF(AND(C917&lt;&gt;"",C917='Fiche prospect'!$C$4),COUNTIF($C$5:C917,C917),"")</f>
        <v/>
      </c>
    </row>
    <row r="918">
      <c r="A918" s="53" t="n"/>
      <c r="B918" s="54" t="n"/>
      <c r="C918" s="55" t="n"/>
      <c r="D918" s="55" t="n"/>
      <c r="E918" s="55" t="n"/>
      <c r="F918" s="55" t="n"/>
      <c r="G918" s="56" t="n"/>
      <c r="H918" s="57" t="n"/>
      <c r="I918" s="55" t="n"/>
      <c r="J918" s="53" t="n"/>
      <c r="K918" s="54" t="n"/>
      <c r="L918" s="55" t="n"/>
      <c r="M918" s="55" t="n"/>
      <c r="N918" s="57" t="n"/>
      <c r="O918" s="55" t="n"/>
      <c r="P918" s="56" t="n"/>
      <c r="Q918" s="55" t="n"/>
      <c r="R918" s="55" t="n"/>
      <c r="S918" s="55" t="n"/>
      <c r="T918" s="55" t="n"/>
      <c r="U918" s="55" t="n"/>
      <c r="V918" s="55" t="n"/>
      <c r="W918" s="58" t="n"/>
      <c r="X918" s="58" t="n"/>
      <c r="Y918" s="55" t="n"/>
      <c r="Z918" s="55" t="n"/>
      <c r="AA918" s="55" t="n"/>
      <c r="AB918" s="55" t="n"/>
      <c r="AC918" s="55" t="n"/>
      <c r="AD918" s="53" t="n"/>
      <c r="AE918" s="55" t="n"/>
      <c r="AF918" s="55" t="n"/>
      <c r="AG918" s="59" t="n"/>
      <c r="AH918" s="57" t="n"/>
      <c r="AI918" s="55" t="n"/>
      <c r="AJ918" s="55" t="n"/>
      <c r="AK918" s="55" t="n"/>
      <c r="AL918" s="55" t="n"/>
      <c r="AM918" s="56" t="n"/>
      <c r="AN918" s="55" t="n"/>
      <c r="AO918" s="55" t="n"/>
      <c r="AP918" s="55" t="n"/>
      <c r="AQ918" s="55" t="n"/>
      <c r="AR918" s="60">
        <f>IF(AND(C918="",E918=""),"",IF(A918="","⚠ Date manquante",IF(AND(C918="",E918&lt;&gt;"Dépense"),"⚠ Prospect manquant",IF(E918="","⚠ Action manquante",IF(AND(AU918=1,D918=""),"⚠ Canal manquant",IF(AND(W918&lt;&gt;"",COUNTIFS('Saisie'!$W$5:$W$2004,W918,'Saisie'!$C$5:$C$2004,"&lt;&gt;"&amp;C918)&gt;0),"⚠ Numéro déjà utilisé par un autre prospect",IF(AND(J918&lt;&gt;"",J918&lt;A918),"⚠ Relance avant la date de l'action",IF(A918&gt;TODAY(),"⚠ Date dans le futur","✓"))))))))</f>
        <v/>
      </c>
      <c r="AS918" s="61">
        <f>IF(AND(A918="",C918="",E918=""),"",ROW())</f>
        <v/>
      </c>
      <c r="AT918" s="61">
        <f>IF(E918&amp;F918="","",MAX(IFERROR(INDEX('Paramètres'!$J$6:$J$33,MATCH(E918,'Paramètres'!$I$6:$I$33,0)),0),IFERROR(INDEX('Paramètres'!$N$6:$N$17,MATCH(F918,'Paramètres'!$M$6:$M$17,0)),0)))</f>
        <v/>
      </c>
      <c r="AU918" s="61">
        <f>IF(E918="","",IFERROR(IF(INDEX('Paramètres'!$K$6:$K$33,MATCH(E918,'Paramètres'!$I$6:$I$33,0))="Oui",1,0),0))</f>
        <v/>
      </c>
      <c r="AV918" s="61">
        <f>IF(F918="","",IFERROR(IF(INDEX('Paramètres'!$O$6:$O$17,MATCH(F918,'Paramètres'!$M$6:$M$17,0))="Oui",1,0),0))</f>
        <v/>
      </c>
      <c r="AW918" s="62">
        <f>IF(E918="","",IF(G918&lt;&gt;"",G918,IF(OR(E918="Proposition envoyée",E918="Signature"),MAX(0,N(IFERROR(INDEX('Paramètres'!$R$6:$R$15,MATCH(IF(AL918&lt;&gt;"",AL918,IFERROR(INDEX('Prospects'!$AN$5:$AN$504,MATCH(C918,'Prospects'!$C$5:$C$504,0)),"")),'Paramètres'!$Q$6:$Q$15,0)),0))-N(P918)),0)))</f>
        <v/>
      </c>
      <c r="AX918" s="61">
        <f>IF(C918="","",IF(COUNTIF($C$5:C918,C918)=1,MAX($AX$4:AX917)+1,""))</f>
        <v/>
      </c>
      <c r="AY918" s="61">
        <f>IF(B918="","",HOUR(B918))</f>
        <v/>
      </c>
      <c r="AZ918" s="61">
        <f>IF(A918="","",MOD(A918-2,7)+1)</f>
        <v/>
      </c>
      <c r="BA918" s="60">
        <f>IF(C918="","",IFERROR(INDEX('Prospects'!$N$5:$N$504,MATCH(C918,'Prospects'!$C$5:$C$504,0)),""))</f>
        <v/>
      </c>
      <c r="BB918" s="61">
        <f>IF(AND(C918&lt;&gt;"",C918='Fiche prospect'!$C$4),COUNTIF($C$5:C918,C918),"")</f>
        <v/>
      </c>
    </row>
    <row r="919">
      <c r="A919" s="53" t="n"/>
      <c r="B919" s="54" t="n"/>
      <c r="C919" s="55" t="n"/>
      <c r="D919" s="55" t="n"/>
      <c r="E919" s="55" t="n"/>
      <c r="F919" s="55" t="n"/>
      <c r="G919" s="56" t="n"/>
      <c r="H919" s="57" t="n"/>
      <c r="I919" s="55" t="n"/>
      <c r="J919" s="53" t="n"/>
      <c r="K919" s="54" t="n"/>
      <c r="L919" s="55" t="n"/>
      <c r="M919" s="55" t="n"/>
      <c r="N919" s="57" t="n"/>
      <c r="O919" s="55" t="n"/>
      <c r="P919" s="56" t="n"/>
      <c r="Q919" s="55" t="n"/>
      <c r="R919" s="55" t="n"/>
      <c r="S919" s="55" t="n"/>
      <c r="T919" s="55" t="n"/>
      <c r="U919" s="55" t="n"/>
      <c r="V919" s="55" t="n"/>
      <c r="W919" s="58" t="n"/>
      <c r="X919" s="58" t="n"/>
      <c r="Y919" s="55" t="n"/>
      <c r="Z919" s="55" t="n"/>
      <c r="AA919" s="55" t="n"/>
      <c r="AB919" s="55" t="n"/>
      <c r="AC919" s="55" t="n"/>
      <c r="AD919" s="53" t="n"/>
      <c r="AE919" s="55" t="n"/>
      <c r="AF919" s="55" t="n"/>
      <c r="AG919" s="59" t="n"/>
      <c r="AH919" s="57" t="n"/>
      <c r="AI919" s="55" t="n"/>
      <c r="AJ919" s="55" t="n"/>
      <c r="AK919" s="55" t="n"/>
      <c r="AL919" s="55" t="n"/>
      <c r="AM919" s="56" t="n"/>
      <c r="AN919" s="55" t="n"/>
      <c r="AO919" s="55" t="n"/>
      <c r="AP919" s="55" t="n"/>
      <c r="AQ919" s="55" t="n"/>
      <c r="AR919" s="60">
        <f>IF(AND(C919="",E919=""),"",IF(A919="","⚠ Date manquante",IF(AND(C919="",E919&lt;&gt;"Dépense"),"⚠ Prospect manquant",IF(E919="","⚠ Action manquante",IF(AND(AU919=1,D919=""),"⚠ Canal manquant",IF(AND(W919&lt;&gt;"",COUNTIFS('Saisie'!$W$5:$W$2004,W919,'Saisie'!$C$5:$C$2004,"&lt;&gt;"&amp;C919)&gt;0),"⚠ Numéro déjà utilisé par un autre prospect",IF(AND(J919&lt;&gt;"",J919&lt;A919),"⚠ Relance avant la date de l'action",IF(A919&gt;TODAY(),"⚠ Date dans le futur","✓"))))))))</f>
        <v/>
      </c>
      <c r="AS919" s="61">
        <f>IF(AND(A919="",C919="",E919=""),"",ROW())</f>
        <v/>
      </c>
      <c r="AT919" s="61">
        <f>IF(E919&amp;F919="","",MAX(IFERROR(INDEX('Paramètres'!$J$6:$J$33,MATCH(E919,'Paramètres'!$I$6:$I$33,0)),0),IFERROR(INDEX('Paramètres'!$N$6:$N$17,MATCH(F919,'Paramètres'!$M$6:$M$17,0)),0)))</f>
        <v/>
      </c>
      <c r="AU919" s="61">
        <f>IF(E919="","",IFERROR(IF(INDEX('Paramètres'!$K$6:$K$33,MATCH(E919,'Paramètres'!$I$6:$I$33,0))="Oui",1,0),0))</f>
        <v/>
      </c>
      <c r="AV919" s="61">
        <f>IF(F919="","",IFERROR(IF(INDEX('Paramètres'!$O$6:$O$17,MATCH(F919,'Paramètres'!$M$6:$M$17,0))="Oui",1,0),0))</f>
        <v/>
      </c>
      <c r="AW919" s="62">
        <f>IF(E919="","",IF(G919&lt;&gt;"",G919,IF(OR(E919="Proposition envoyée",E919="Signature"),MAX(0,N(IFERROR(INDEX('Paramètres'!$R$6:$R$15,MATCH(IF(AL919&lt;&gt;"",AL919,IFERROR(INDEX('Prospects'!$AN$5:$AN$504,MATCH(C919,'Prospects'!$C$5:$C$504,0)),"")),'Paramètres'!$Q$6:$Q$15,0)),0))-N(P919)),0)))</f>
        <v/>
      </c>
      <c r="AX919" s="61">
        <f>IF(C919="","",IF(COUNTIF($C$5:C919,C919)=1,MAX($AX$4:AX918)+1,""))</f>
        <v/>
      </c>
      <c r="AY919" s="61">
        <f>IF(B919="","",HOUR(B919))</f>
        <v/>
      </c>
      <c r="AZ919" s="61">
        <f>IF(A919="","",MOD(A919-2,7)+1)</f>
        <v/>
      </c>
      <c r="BA919" s="60">
        <f>IF(C919="","",IFERROR(INDEX('Prospects'!$N$5:$N$504,MATCH(C919,'Prospects'!$C$5:$C$504,0)),""))</f>
        <v/>
      </c>
      <c r="BB919" s="61">
        <f>IF(AND(C919&lt;&gt;"",C919='Fiche prospect'!$C$4),COUNTIF($C$5:C919,C919),"")</f>
        <v/>
      </c>
    </row>
    <row r="920">
      <c r="A920" s="53" t="n"/>
      <c r="B920" s="54" t="n"/>
      <c r="C920" s="55" t="n"/>
      <c r="D920" s="55" t="n"/>
      <c r="E920" s="55" t="n"/>
      <c r="F920" s="55" t="n"/>
      <c r="G920" s="56" t="n"/>
      <c r="H920" s="57" t="n"/>
      <c r="I920" s="55" t="n"/>
      <c r="J920" s="53" t="n"/>
      <c r="K920" s="54" t="n"/>
      <c r="L920" s="55" t="n"/>
      <c r="M920" s="55" t="n"/>
      <c r="N920" s="57" t="n"/>
      <c r="O920" s="55" t="n"/>
      <c r="P920" s="56" t="n"/>
      <c r="Q920" s="55" t="n"/>
      <c r="R920" s="55" t="n"/>
      <c r="S920" s="55" t="n"/>
      <c r="T920" s="55" t="n"/>
      <c r="U920" s="55" t="n"/>
      <c r="V920" s="55" t="n"/>
      <c r="W920" s="58" t="n"/>
      <c r="X920" s="58" t="n"/>
      <c r="Y920" s="55" t="n"/>
      <c r="Z920" s="55" t="n"/>
      <c r="AA920" s="55" t="n"/>
      <c r="AB920" s="55" t="n"/>
      <c r="AC920" s="55" t="n"/>
      <c r="AD920" s="53" t="n"/>
      <c r="AE920" s="55" t="n"/>
      <c r="AF920" s="55" t="n"/>
      <c r="AG920" s="59" t="n"/>
      <c r="AH920" s="57" t="n"/>
      <c r="AI920" s="55" t="n"/>
      <c r="AJ920" s="55" t="n"/>
      <c r="AK920" s="55" t="n"/>
      <c r="AL920" s="55" t="n"/>
      <c r="AM920" s="56" t="n"/>
      <c r="AN920" s="55" t="n"/>
      <c r="AO920" s="55" t="n"/>
      <c r="AP920" s="55" t="n"/>
      <c r="AQ920" s="55" t="n"/>
      <c r="AR920" s="60">
        <f>IF(AND(C920="",E920=""),"",IF(A920="","⚠ Date manquante",IF(AND(C920="",E920&lt;&gt;"Dépense"),"⚠ Prospect manquant",IF(E920="","⚠ Action manquante",IF(AND(AU920=1,D920=""),"⚠ Canal manquant",IF(AND(W920&lt;&gt;"",COUNTIFS('Saisie'!$W$5:$W$2004,W920,'Saisie'!$C$5:$C$2004,"&lt;&gt;"&amp;C920)&gt;0),"⚠ Numéro déjà utilisé par un autre prospect",IF(AND(J920&lt;&gt;"",J920&lt;A920),"⚠ Relance avant la date de l'action",IF(A920&gt;TODAY(),"⚠ Date dans le futur","✓"))))))))</f>
        <v/>
      </c>
      <c r="AS920" s="61">
        <f>IF(AND(A920="",C920="",E920=""),"",ROW())</f>
        <v/>
      </c>
      <c r="AT920" s="61">
        <f>IF(E920&amp;F920="","",MAX(IFERROR(INDEX('Paramètres'!$J$6:$J$33,MATCH(E920,'Paramètres'!$I$6:$I$33,0)),0),IFERROR(INDEX('Paramètres'!$N$6:$N$17,MATCH(F920,'Paramètres'!$M$6:$M$17,0)),0)))</f>
        <v/>
      </c>
      <c r="AU920" s="61">
        <f>IF(E920="","",IFERROR(IF(INDEX('Paramètres'!$K$6:$K$33,MATCH(E920,'Paramètres'!$I$6:$I$33,0))="Oui",1,0),0))</f>
        <v/>
      </c>
      <c r="AV920" s="61">
        <f>IF(F920="","",IFERROR(IF(INDEX('Paramètres'!$O$6:$O$17,MATCH(F920,'Paramètres'!$M$6:$M$17,0))="Oui",1,0),0))</f>
        <v/>
      </c>
      <c r="AW920" s="62">
        <f>IF(E920="","",IF(G920&lt;&gt;"",G920,IF(OR(E920="Proposition envoyée",E920="Signature"),MAX(0,N(IFERROR(INDEX('Paramètres'!$R$6:$R$15,MATCH(IF(AL920&lt;&gt;"",AL920,IFERROR(INDEX('Prospects'!$AN$5:$AN$504,MATCH(C920,'Prospects'!$C$5:$C$504,0)),"")),'Paramètres'!$Q$6:$Q$15,0)),0))-N(P920)),0)))</f>
        <v/>
      </c>
      <c r="AX920" s="61">
        <f>IF(C920="","",IF(COUNTIF($C$5:C920,C920)=1,MAX($AX$4:AX919)+1,""))</f>
        <v/>
      </c>
      <c r="AY920" s="61">
        <f>IF(B920="","",HOUR(B920))</f>
        <v/>
      </c>
      <c r="AZ920" s="61">
        <f>IF(A920="","",MOD(A920-2,7)+1)</f>
        <v/>
      </c>
      <c r="BA920" s="60">
        <f>IF(C920="","",IFERROR(INDEX('Prospects'!$N$5:$N$504,MATCH(C920,'Prospects'!$C$5:$C$504,0)),""))</f>
        <v/>
      </c>
      <c r="BB920" s="61">
        <f>IF(AND(C920&lt;&gt;"",C920='Fiche prospect'!$C$4),COUNTIF($C$5:C920,C920),"")</f>
        <v/>
      </c>
    </row>
    <row r="921">
      <c r="A921" s="53" t="n"/>
      <c r="B921" s="54" t="n"/>
      <c r="C921" s="55" t="n"/>
      <c r="D921" s="55" t="n"/>
      <c r="E921" s="55" t="n"/>
      <c r="F921" s="55" t="n"/>
      <c r="G921" s="56" t="n"/>
      <c r="H921" s="57" t="n"/>
      <c r="I921" s="55" t="n"/>
      <c r="J921" s="53" t="n"/>
      <c r="K921" s="54" t="n"/>
      <c r="L921" s="55" t="n"/>
      <c r="M921" s="55" t="n"/>
      <c r="N921" s="57" t="n"/>
      <c r="O921" s="55" t="n"/>
      <c r="P921" s="56" t="n"/>
      <c r="Q921" s="55" t="n"/>
      <c r="R921" s="55" t="n"/>
      <c r="S921" s="55" t="n"/>
      <c r="T921" s="55" t="n"/>
      <c r="U921" s="55" t="n"/>
      <c r="V921" s="55" t="n"/>
      <c r="W921" s="58" t="n"/>
      <c r="X921" s="58" t="n"/>
      <c r="Y921" s="55" t="n"/>
      <c r="Z921" s="55" t="n"/>
      <c r="AA921" s="55" t="n"/>
      <c r="AB921" s="55" t="n"/>
      <c r="AC921" s="55" t="n"/>
      <c r="AD921" s="53" t="n"/>
      <c r="AE921" s="55" t="n"/>
      <c r="AF921" s="55" t="n"/>
      <c r="AG921" s="59" t="n"/>
      <c r="AH921" s="57" t="n"/>
      <c r="AI921" s="55" t="n"/>
      <c r="AJ921" s="55" t="n"/>
      <c r="AK921" s="55" t="n"/>
      <c r="AL921" s="55" t="n"/>
      <c r="AM921" s="56" t="n"/>
      <c r="AN921" s="55" t="n"/>
      <c r="AO921" s="55" t="n"/>
      <c r="AP921" s="55" t="n"/>
      <c r="AQ921" s="55" t="n"/>
      <c r="AR921" s="60">
        <f>IF(AND(C921="",E921=""),"",IF(A921="","⚠ Date manquante",IF(AND(C921="",E921&lt;&gt;"Dépense"),"⚠ Prospect manquant",IF(E921="","⚠ Action manquante",IF(AND(AU921=1,D921=""),"⚠ Canal manquant",IF(AND(W921&lt;&gt;"",COUNTIFS('Saisie'!$W$5:$W$2004,W921,'Saisie'!$C$5:$C$2004,"&lt;&gt;"&amp;C921)&gt;0),"⚠ Numéro déjà utilisé par un autre prospect",IF(AND(J921&lt;&gt;"",J921&lt;A921),"⚠ Relance avant la date de l'action",IF(A921&gt;TODAY(),"⚠ Date dans le futur","✓"))))))))</f>
        <v/>
      </c>
      <c r="AS921" s="61">
        <f>IF(AND(A921="",C921="",E921=""),"",ROW())</f>
        <v/>
      </c>
      <c r="AT921" s="61">
        <f>IF(E921&amp;F921="","",MAX(IFERROR(INDEX('Paramètres'!$J$6:$J$33,MATCH(E921,'Paramètres'!$I$6:$I$33,0)),0),IFERROR(INDEX('Paramètres'!$N$6:$N$17,MATCH(F921,'Paramètres'!$M$6:$M$17,0)),0)))</f>
        <v/>
      </c>
      <c r="AU921" s="61">
        <f>IF(E921="","",IFERROR(IF(INDEX('Paramètres'!$K$6:$K$33,MATCH(E921,'Paramètres'!$I$6:$I$33,0))="Oui",1,0),0))</f>
        <v/>
      </c>
      <c r="AV921" s="61">
        <f>IF(F921="","",IFERROR(IF(INDEX('Paramètres'!$O$6:$O$17,MATCH(F921,'Paramètres'!$M$6:$M$17,0))="Oui",1,0),0))</f>
        <v/>
      </c>
      <c r="AW921" s="62">
        <f>IF(E921="","",IF(G921&lt;&gt;"",G921,IF(OR(E921="Proposition envoyée",E921="Signature"),MAX(0,N(IFERROR(INDEX('Paramètres'!$R$6:$R$15,MATCH(IF(AL921&lt;&gt;"",AL921,IFERROR(INDEX('Prospects'!$AN$5:$AN$504,MATCH(C921,'Prospects'!$C$5:$C$504,0)),"")),'Paramètres'!$Q$6:$Q$15,0)),0))-N(P921)),0)))</f>
        <v/>
      </c>
      <c r="AX921" s="61">
        <f>IF(C921="","",IF(COUNTIF($C$5:C921,C921)=1,MAX($AX$4:AX920)+1,""))</f>
        <v/>
      </c>
      <c r="AY921" s="61">
        <f>IF(B921="","",HOUR(B921))</f>
        <v/>
      </c>
      <c r="AZ921" s="61">
        <f>IF(A921="","",MOD(A921-2,7)+1)</f>
        <v/>
      </c>
      <c r="BA921" s="60">
        <f>IF(C921="","",IFERROR(INDEX('Prospects'!$N$5:$N$504,MATCH(C921,'Prospects'!$C$5:$C$504,0)),""))</f>
        <v/>
      </c>
      <c r="BB921" s="61">
        <f>IF(AND(C921&lt;&gt;"",C921='Fiche prospect'!$C$4),COUNTIF($C$5:C921,C921),"")</f>
        <v/>
      </c>
    </row>
    <row r="922">
      <c r="A922" s="53" t="n"/>
      <c r="B922" s="54" t="n"/>
      <c r="C922" s="55" t="n"/>
      <c r="D922" s="55" t="n"/>
      <c r="E922" s="55" t="n"/>
      <c r="F922" s="55" t="n"/>
      <c r="G922" s="56" t="n"/>
      <c r="H922" s="57" t="n"/>
      <c r="I922" s="55" t="n"/>
      <c r="J922" s="53" t="n"/>
      <c r="K922" s="54" t="n"/>
      <c r="L922" s="55" t="n"/>
      <c r="M922" s="55" t="n"/>
      <c r="N922" s="57" t="n"/>
      <c r="O922" s="55" t="n"/>
      <c r="P922" s="56" t="n"/>
      <c r="Q922" s="55" t="n"/>
      <c r="R922" s="55" t="n"/>
      <c r="S922" s="55" t="n"/>
      <c r="T922" s="55" t="n"/>
      <c r="U922" s="55" t="n"/>
      <c r="V922" s="55" t="n"/>
      <c r="W922" s="58" t="n"/>
      <c r="X922" s="58" t="n"/>
      <c r="Y922" s="55" t="n"/>
      <c r="Z922" s="55" t="n"/>
      <c r="AA922" s="55" t="n"/>
      <c r="AB922" s="55" t="n"/>
      <c r="AC922" s="55" t="n"/>
      <c r="AD922" s="53" t="n"/>
      <c r="AE922" s="55" t="n"/>
      <c r="AF922" s="55" t="n"/>
      <c r="AG922" s="59" t="n"/>
      <c r="AH922" s="57" t="n"/>
      <c r="AI922" s="55" t="n"/>
      <c r="AJ922" s="55" t="n"/>
      <c r="AK922" s="55" t="n"/>
      <c r="AL922" s="55" t="n"/>
      <c r="AM922" s="56" t="n"/>
      <c r="AN922" s="55" t="n"/>
      <c r="AO922" s="55" t="n"/>
      <c r="AP922" s="55" t="n"/>
      <c r="AQ922" s="55" t="n"/>
      <c r="AR922" s="60">
        <f>IF(AND(C922="",E922=""),"",IF(A922="","⚠ Date manquante",IF(AND(C922="",E922&lt;&gt;"Dépense"),"⚠ Prospect manquant",IF(E922="","⚠ Action manquante",IF(AND(AU922=1,D922=""),"⚠ Canal manquant",IF(AND(W922&lt;&gt;"",COUNTIFS('Saisie'!$W$5:$W$2004,W922,'Saisie'!$C$5:$C$2004,"&lt;&gt;"&amp;C922)&gt;0),"⚠ Numéro déjà utilisé par un autre prospect",IF(AND(J922&lt;&gt;"",J922&lt;A922),"⚠ Relance avant la date de l'action",IF(A922&gt;TODAY(),"⚠ Date dans le futur","✓"))))))))</f>
        <v/>
      </c>
      <c r="AS922" s="61">
        <f>IF(AND(A922="",C922="",E922=""),"",ROW())</f>
        <v/>
      </c>
      <c r="AT922" s="61">
        <f>IF(E922&amp;F922="","",MAX(IFERROR(INDEX('Paramètres'!$J$6:$J$33,MATCH(E922,'Paramètres'!$I$6:$I$33,0)),0),IFERROR(INDEX('Paramètres'!$N$6:$N$17,MATCH(F922,'Paramètres'!$M$6:$M$17,0)),0)))</f>
        <v/>
      </c>
      <c r="AU922" s="61">
        <f>IF(E922="","",IFERROR(IF(INDEX('Paramètres'!$K$6:$K$33,MATCH(E922,'Paramètres'!$I$6:$I$33,0))="Oui",1,0),0))</f>
        <v/>
      </c>
      <c r="AV922" s="61">
        <f>IF(F922="","",IFERROR(IF(INDEX('Paramètres'!$O$6:$O$17,MATCH(F922,'Paramètres'!$M$6:$M$17,0))="Oui",1,0),0))</f>
        <v/>
      </c>
      <c r="AW922" s="62">
        <f>IF(E922="","",IF(G922&lt;&gt;"",G922,IF(OR(E922="Proposition envoyée",E922="Signature"),MAX(0,N(IFERROR(INDEX('Paramètres'!$R$6:$R$15,MATCH(IF(AL922&lt;&gt;"",AL922,IFERROR(INDEX('Prospects'!$AN$5:$AN$504,MATCH(C922,'Prospects'!$C$5:$C$504,0)),"")),'Paramètres'!$Q$6:$Q$15,0)),0))-N(P922)),0)))</f>
        <v/>
      </c>
      <c r="AX922" s="61">
        <f>IF(C922="","",IF(COUNTIF($C$5:C922,C922)=1,MAX($AX$4:AX921)+1,""))</f>
        <v/>
      </c>
      <c r="AY922" s="61">
        <f>IF(B922="","",HOUR(B922))</f>
        <v/>
      </c>
      <c r="AZ922" s="61">
        <f>IF(A922="","",MOD(A922-2,7)+1)</f>
        <v/>
      </c>
      <c r="BA922" s="60">
        <f>IF(C922="","",IFERROR(INDEX('Prospects'!$N$5:$N$504,MATCH(C922,'Prospects'!$C$5:$C$504,0)),""))</f>
        <v/>
      </c>
      <c r="BB922" s="61">
        <f>IF(AND(C922&lt;&gt;"",C922='Fiche prospect'!$C$4),COUNTIF($C$5:C922,C922),"")</f>
        <v/>
      </c>
    </row>
    <row r="923">
      <c r="A923" s="53" t="n"/>
      <c r="B923" s="54" t="n"/>
      <c r="C923" s="55" t="n"/>
      <c r="D923" s="55" t="n"/>
      <c r="E923" s="55" t="n"/>
      <c r="F923" s="55" t="n"/>
      <c r="G923" s="56" t="n"/>
      <c r="H923" s="57" t="n"/>
      <c r="I923" s="55" t="n"/>
      <c r="J923" s="53" t="n"/>
      <c r="K923" s="54" t="n"/>
      <c r="L923" s="55" t="n"/>
      <c r="M923" s="55" t="n"/>
      <c r="N923" s="57" t="n"/>
      <c r="O923" s="55" t="n"/>
      <c r="P923" s="56" t="n"/>
      <c r="Q923" s="55" t="n"/>
      <c r="R923" s="55" t="n"/>
      <c r="S923" s="55" t="n"/>
      <c r="T923" s="55" t="n"/>
      <c r="U923" s="55" t="n"/>
      <c r="V923" s="55" t="n"/>
      <c r="W923" s="58" t="n"/>
      <c r="X923" s="58" t="n"/>
      <c r="Y923" s="55" t="n"/>
      <c r="Z923" s="55" t="n"/>
      <c r="AA923" s="55" t="n"/>
      <c r="AB923" s="55" t="n"/>
      <c r="AC923" s="55" t="n"/>
      <c r="AD923" s="53" t="n"/>
      <c r="AE923" s="55" t="n"/>
      <c r="AF923" s="55" t="n"/>
      <c r="AG923" s="59" t="n"/>
      <c r="AH923" s="57" t="n"/>
      <c r="AI923" s="55" t="n"/>
      <c r="AJ923" s="55" t="n"/>
      <c r="AK923" s="55" t="n"/>
      <c r="AL923" s="55" t="n"/>
      <c r="AM923" s="56" t="n"/>
      <c r="AN923" s="55" t="n"/>
      <c r="AO923" s="55" t="n"/>
      <c r="AP923" s="55" t="n"/>
      <c r="AQ923" s="55" t="n"/>
      <c r="AR923" s="60">
        <f>IF(AND(C923="",E923=""),"",IF(A923="","⚠ Date manquante",IF(AND(C923="",E923&lt;&gt;"Dépense"),"⚠ Prospect manquant",IF(E923="","⚠ Action manquante",IF(AND(AU923=1,D923=""),"⚠ Canal manquant",IF(AND(W923&lt;&gt;"",COUNTIFS('Saisie'!$W$5:$W$2004,W923,'Saisie'!$C$5:$C$2004,"&lt;&gt;"&amp;C923)&gt;0),"⚠ Numéro déjà utilisé par un autre prospect",IF(AND(J923&lt;&gt;"",J923&lt;A923),"⚠ Relance avant la date de l'action",IF(A923&gt;TODAY(),"⚠ Date dans le futur","✓"))))))))</f>
        <v/>
      </c>
      <c r="AS923" s="61">
        <f>IF(AND(A923="",C923="",E923=""),"",ROW())</f>
        <v/>
      </c>
      <c r="AT923" s="61">
        <f>IF(E923&amp;F923="","",MAX(IFERROR(INDEX('Paramètres'!$J$6:$J$33,MATCH(E923,'Paramètres'!$I$6:$I$33,0)),0),IFERROR(INDEX('Paramètres'!$N$6:$N$17,MATCH(F923,'Paramètres'!$M$6:$M$17,0)),0)))</f>
        <v/>
      </c>
      <c r="AU923" s="61">
        <f>IF(E923="","",IFERROR(IF(INDEX('Paramètres'!$K$6:$K$33,MATCH(E923,'Paramètres'!$I$6:$I$33,0))="Oui",1,0),0))</f>
        <v/>
      </c>
      <c r="AV923" s="61">
        <f>IF(F923="","",IFERROR(IF(INDEX('Paramètres'!$O$6:$O$17,MATCH(F923,'Paramètres'!$M$6:$M$17,0))="Oui",1,0),0))</f>
        <v/>
      </c>
      <c r="AW923" s="62">
        <f>IF(E923="","",IF(G923&lt;&gt;"",G923,IF(OR(E923="Proposition envoyée",E923="Signature"),MAX(0,N(IFERROR(INDEX('Paramètres'!$R$6:$R$15,MATCH(IF(AL923&lt;&gt;"",AL923,IFERROR(INDEX('Prospects'!$AN$5:$AN$504,MATCH(C923,'Prospects'!$C$5:$C$504,0)),"")),'Paramètres'!$Q$6:$Q$15,0)),0))-N(P923)),0)))</f>
        <v/>
      </c>
      <c r="AX923" s="61">
        <f>IF(C923="","",IF(COUNTIF($C$5:C923,C923)=1,MAX($AX$4:AX922)+1,""))</f>
        <v/>
      </c>
      <c r="AY923" s="61">
        <f>IF(B923="","",HOUR(B923))</f>
        <v/>
      </c>
      <c r="AZ923" s="61">
        <f>IF(A923="","",MOD(A923-2,7)+1)</f>
        <v/>
      </c>
      <c r="BA923" s="60">
        <f>IF(C923="","",IFERROR(INDEX('Prospects'!$N$5:$N$504,MATCH(C923,'Prospects'!$C$5:$C$504,0)),""))</f>
        <v/>
      </c>
      <c r="BB923" s="61">
        <f>IF(AND(C923&lt;&gt;"",C923='Fiche prospect'!$C$4),COUNTIF($C$5:C923,C923),"")</f>
        <v/>
      </c>
    </row>
    <row r="924">
      <c r="A924" s="53" t="n"/>
      <c r="B924" s="54" t="n"/>
      <c r="C924" s="55" t="n"/>
      <c r="D924" s="55" t="n"/>
      <c r="E924" s="55" t="n"/>
      <c r="F924" s="55" t="n"/>
      <c r="G924" s="56" t="n"/>
      <c r="H924" s="57" t="n"/>
      <c r="I924" s="55" t="n"/>
      <c r="J924" s="53" t="n"/>
      <c r="K924" s="54" t="n"/>
      <c r="L924" s="55" t="n"/>
      <c r="M924" s="55" t="n"/>
      <c r="N924" s="57" t="n"/>
      <c r="O924" s="55" t="n"/>
      <c r="P924" s="56" t="n"/>
      <c r="Q924" s="55" t="n"/>
      <c r="R924" s="55" t="n"/>
      <c r="S924" s="55" t="n"/>
      <c r="T924" s="55" t="n"/>
      <c r="U924" s="55" t="n"/>
      <c r="V924" s="55" t="n"/>
      <c r="W924" s="58" t="n"/>
      <c r="X924" s="58" t="n"/>
      <c r="Y924" s="55" t="n"/>
      <c r="Z924" s="55" t="n"/>
      <c r="AA924" s="55" t="n"/>
      <c r="AB924" s="55" t="n"/>
      <c r="AC924" s="55" t="n"/>
      <c r="AD924" s="53" t="n"/>
      <c r="AE924" s="55" t="n"/>
      <c r="AF924" s="55" t="n"/>
      <c r="AG924" s="59" t="n"/>
      <c r="AH924" s="57" t="n"/>
      <c r="AI924" s="55" t="n"/>
      <c r="AJ924" s="55" t="n"/>
      <c r="AK924" s="55" t="n"/>
      <c r="AL924" s="55" t="n"/>
      <c r="AM924" s="56" t="n"/>
      <c r="AN924" s="55" t="n"/>
      <c r="AO924" s="55" t="n"/>
      <c r="AP924" s="55" t="n"/>
      <c r="AQ924" s="55" t="n"/>
      <c r="AR924" s="60">
        <f>IF(AND(C924="",E924=""),"",IF(A924="","⚠ Date manquante",IF(AND(C924="",E924&lt;&gt;"Dépense"),"⚠ Prospect manquant",IF(E924="","⚠ Action manquante",IF(AND(AU924=1,D924=""),"⚠ Canal manquant",IF(AND(W924&lt;&gt;"",COUNTIFS('Saisie'!$W$5:$W$2004,W924,'Saisie'!$C$5:$C$2004,"&lt;&gt;"&amp;C924)&gt;0),"⚠ Numéro déjà utilisé par un autre prospect",IF(AND(J924&lt;&gt;"",J924&lt;A924),"⚠ Relance avant la date de l'action",IF(A924&gt;TODAY(),"⚠ Date dans le futur","✓"))))))))</f>
        <v/>
      </c>
      <c r="AS924" s="61">
        <f>IF(AND(A924="",C924="",E924=""),"",ROW())</f>
        <v/>
      </c>
      <c r="AT924" s="61">
        <f>IF(E924&amp;F924="","",MAX(IFERROR(INDEX('Paramètres'!$J$6:$J$33,MATCH(E924,'Paramètres'!$I$6:$I$33,0)),0),IFERROR(INDEX('Paramètres'!$N$6:$N$17,MATCH(F924,'Paramètres'!$M$6:$M$17,0)),0)))</f>
        <v/>
      </c>
      <c r="AU924" s="61">
        <f>IF(E924="","",IFERROR(IF(INDEX('Paramètres'!$K$6:$K$33,MATCH(E924,'Paramètres'!$I$6:$I$33,0))="Oui",1,0),0))</f>
        <v/>
      </c>
      <c r="AV924" s="61">
        <f>IF(F924="","",IFERROR(IF(INDEX('Paramètres'!$O$6:$O$17,MATCH(F924,'Paramètres'!$M$6:$M$17,0))="Oui",1,0),0))</f>
        <v/>
      </c>
      <c r="AW924" s="62">
        <f>IF(E924="","",IF(G924&lt;&gt;"",G924,IF(OR(E924="Proposition envoyée",E924="Signature"),MAX(0,N(IFERROR(INDEX('Paramètres'!$R$6:$R$15,MATCH(IF(AL924&lt;&gt;"",AL924,IFERROR(INDEX('Prospects'!$AN$5:$AN$504,MATCH(C924,'Prospects'!$C$5:$C$504,0)),"")),'Paramètres'!$Q$6:$Q$15,0)),0))-N(P924)),0)))</f>
        <v/>
      </c>
      <c r="AX924" s="61">
        <f>IF(C924="","",IF(COUNTIF($C$5:C924,C924)=1,MAX($AX$4:AX923)+1,""))</f>
        <v/>
      </c>
      <c r="AY924" s="61">
        <f>IF(B924="","",HOUR(B924))</f>
        <v/>
      </c>
      <c r="AZ924" s="61">
        <f>IF(A924="","",MOD(A924-2,7)+1)</f>
        <v/>
      </c>
      <c r="BA924" s="60">
        <f>IF(C924="","",IFERROR(INDEX('Prospects'!$N$5:$N$504,MATCH(C924,'Prospects'!$C$5:$C$504,0)),""))</f>
        <v/>
      </c>
      <c r="BB924" s="61">
        <f>IF(AND(C924&lt;&gt;"",C924='Fiche prospect'!$C$4),COUNTIF($C$5:C924,C924),"")</f>
        <v/>
      </c>
    </row>
    <row r="925">
      <c r="A925" s="53" t="n"/>
      <c r="B925" s="54" t="n"/>
      <c r="C925" s="55" t="n"/>
      <c r="D925" s="55" t="n"/>
      <c r="E925" s="55" t="n"/>
      <c r="F925" s="55" t="n"/>
      <c r="G925" s="56" t="n"/>
      <c r="H925" s="57" t="n"/>
      <c r="I925" s="55" t="n"/>
      <c r="J925" s="53" t="n"/>
      <c r="K925" s="54" t="n"/>
      <c r="L925" s="55" t="n"/>
      <c r="M925" s="55" t="n"/>
      <c r="N925" s="57" t="n"/>
      <c r="O925" s="55" t="n"/>
      <c r="P925" s="56" t="n"/>
      <c r="Q925" s="55" t="n"/>
      <c r="R925" s="55" t="n"/>
      <c r="S925" s="55" t="n"/>
      <c r="T925" s="55" t="n"/>
      <c r="U925" s="55" t="n"/>
      <c r="V925" s="55" t="n"/>
      <c r="W925" s="58" t="n"/>
      <c r="X925" s="58" t="n"/>
      <c r="Y925" s="55" t="n"/>
      <c r="Z925" s="55" t="n"/>
      <c r="AA925" s="55" t="n"/>
      <c r="AB925" s="55" t="n"/>
      <c r="AC925" s="55" t="n"/>
      <c r="AD925" s="53" t="n"/>
      <c r="AE925" s="55" t="n"/>
      <c r="AF925" s="55" t="n"/>
      <c r="AG925" s="59" t="n"/>
      <c r="AH925" s="57" t="n"/>
      <c r="AI925" s="55" t="n"/>
      <c r="AJ925" s="55" t="n"/>
      <c r="AK925" s="55" t="n"/>
      <c r="AL925" s="55" t="n"/>
      <c r="AM925" s="56" t="n"/>
      <c r="AN925" s="55" t="n"/>
      <c r="AO925" s="55" t="n"/>
      <c r="AP925" s="55" t="n"/>
      <c r="AQ925" s="55" t="n"/>
      <c r="AR925" s="60">
        <f>IF(AND(C925="",E925=""),"",IF(A925="","⚠ Date manquante",IF(AND(C925="",E925&lt;&gt;"Dépense"),"⚠ Prospect manquant",IF(E925="","⚠ Action manquante",IF(AND(AU925=1,D925=""),"⚠ Canal manquant",IF(AND(W925&lt;&gt;"",COUNTIFS('Saisie'!$W$5:$W$2004,W925,'Saisie'!$C$5:$C$2004,"&lt;&gt;"&amp;C925)&gt;0),"⚠ Numéro déjà utilisé par un autre prospect",IF(AND(J925&lt;&gt;"",J925&lt;A925),"⚠ Relance avant la date de l'action",IF(A925&gt;TODAY(),"⚠ Date dans le futur","✓"))))))))</f>
        <v/>
      </c>
      <c r="AS925" s="61">
        <f>IF(AND(A925="",C925="",E925=""),"",ROW())</f>
        <v/>
      </c>
      <c r="AT925" s="61">
        <f>IF(E925&amp;F925="","",MAX(IFERROR(INDEX('Paramètres'!$J$6:$J$33,MATCH(E925,'Paramètres'!$I$6:$I$33,0)),0),IFERROR(INDEX('Paramètres'!$N$6:$N$17,MATCH(F925,'Paramètres'!$M$6:$M$17,0)),0)))</f>
        <v/>
      </c>
      <c r="AU925" s="61">
        <f>IF(E925="","",IFERROR(IF(INDEX('Paramètres'!$K$6:$K$33,MATCH(E925,'Paramètres'!$I$6:$I$33,0))="Oui",1,0),0))</f>
        <v/>
      </c>
      <c r="AV925" s="61">
        <f>IF(F925="","",IFERROR(IF(INDEX('Paramètres'!$O$6:$O$17,MATCH(F925,'Paramètres'!$M$6:$M$17,0))="Oui",1,0),0))</f>
        <v/>
      </c>
      <c r="AW925" s="62">
        <f>IF(E925="","",IF(G925&lt;&gt;"",G925,IF(OR(E925="Proposition envoyée",E925="Signature"),MAX(0,N(IFERROR(INDEX('Paramètres'!$R$6:$R$15,MATCH(IF(AL925&lt;&gt;"",AL925,IFERROR(INDEX('Prospects'!$AN$5:$AN$504,MATCH(C925,'Prospects'!$C$5:$C$504,0)),"")),'Paramètres'!$Q$6:$Q$15,0)),0))-N(P925)),0)))</f>
        <v/>
      </c>
      <c r="AX925" s="61">
        <f>IF(C925="","",IF(COUNTIF($C$5:C925,C925)=1,MAX($AX$4:AX924)+1,""))</f>
        <v/>
      </c>
      <c r="AY925" s="61">
        <f>IF(B925="","",HOUR(B925))</f>
        <v/>
      </c>
      <c r="AZ925" s="61">
        <f>IF(A925="","",MOD(A925-2,7)+1)</f>
        <v/>
      </c>
      <c r="BA925" s="60">
        <f>IF(C925="","",IFERROR(INDEX('Prospects'!$N$5:$N$504,MATCH(C925,'Prospects'!$C$5:$C$504,0)),""))</f>
        <v/>
      </c>
      <c r="BB925" s="61">
        <f>IF(AND(C925&lt;&gt;"",C925='Fiche prospect'!$C$4),COUNTIF($C$5:C925,C925),"")</f>
        <v/>
      </c>
    </row>
    <row r="926">
      <c r="A926" s="53" t="n"/>
      <c r="B926" s="54" t="n"/>
      <c r="C926" s="55" t="n"/>
      <c r="D926" s="55" t="n"/>
      <c r="E926" s="55" t="n"/>
      <c r="F926" s="55" t="n"/>
      <c r="G926" s="56" t="n"/>
      <c r="H926" s="57" t="n"/>
      <c r="I926" s="55" t="n"/>
      <c r="J926" s="53" t="n"/>
      <c r="K926" s="54" t="n"/>
      <c r="L926" s="55" t="n"/>
      <c r="M926" s="55" t="n"/>
      <c r="N926" s="57" t="n"/>
      <c r="O926" s="55" t="n"/>
      <c r="P926" s="56" t="n"/>
      <c r="Q926" s="55" t="n"/>
      <c r="R926" s="55" t="n"/>
      <c r="S926" s="55" t="n"/>
      <c r="T926" s="55" t="n"/>
      <c r="U926" s="55" t="n"/>
      <c r="V926" s="55" t="n"/>
      <c r="W926" s="58" t="n"/>
      <c r="X926" s="58" t="n"/>
      <c r="Y926" s="55" t="n"/>
      <c r="Z926" s="55" t="n"/>
      <c r="AA926" s="55" t="n"/>
      <c r="AB926" s="55" t="n"/>
      <c r="AC926" s="55" t="n"/>
      <c r="AD926" s="53" t="n"/>
      <c r="AE926" s="55" t="n"/>
      <c r="AF926" s="55" t="n"/>
      <c r="AG926" s="59" t="n"/>
      <c r="AH926" s="57" t="n"/>
      <c r="AI926" s="55" t="n"/>
      <c r="AJ926" s="55" t="n"/>
      <c r="AK926" s="55" t="n"/>
      <c r="AL926" s="55" t="n"/>
      <c r="AM926" s="56" t="n"/>
      <c r="AN926" s="55" t="n"/>
      <c r="AO926" s="55" t="n"/>
      <c r="AP926" s="55" t="n"/>
      <c r="AQ926" s="55" t="n"/>
      <c r="AR926" s="60">
        <f>IF(AND(C926="",E926=""),"",IF(A926="","⚠ Date manquante",IF(AND(C926="",E926&lt;&gt;"Dépense"),"⚠ Prospect manquant",IF(E926="","⚠ Action manquante",IF(AND(AU926=1,D926=""),"⚠ Canal manquant",IF(AND(W926&lt;&gt;"",COUNTIFS('Saisie'!$W$5:$W$2004,W926,'Saisie'!$C$5:$C$2004,"&lt;&gt;"&amp;C926)&gt;0),"⚠ Numéro déjà utilisé par un autre prospect",IF(AND(J926&lt;&gt;"",J926&lt;A926),"⚠ Relance avant la date de l'action",IF(A926&gt;TODAY(),"⚠ Date dans le futur","✓"))))))))</f>
        <v/>
      </c>
      <c r="AS926" s="61">
        <f>IF(AND(A926="",C926="",E926=""),"",ROW())</f>
        <v/>
      </c>
      <c r="AT926" s="61">
        <f>IF(E926&amp;F926="","",MAX(IFERROR(INDEX('Paramètres'!$J$6:$J$33,MATCH(E926,'Paramètres'!$I$6:$I$33,0)),0),IFERROR(INDEX('Paramètres'!$N$6:$N$17,MATCH(F926,'Paramètres'!$M$6:$M$17,0)),0)))</f>
        <v/>
      </c>
      <c r="AU926" s="61">
        <f>IF(E926="","",IFERROR(IF(INDEX('Paramètres'!$K$6:$K$33,MATCH(E926,'Paramètres'!$I$6:$I$33,0))="Oui",1,0),0))</f>
        <v/>
      </c>
      <c r="AV926" s="61">
        <f>IF(F926="","",IFERROR(IF(INDEX('Paramètres'!$O$6:$O$17,MATCH(F926,'Paramètres'!$M$6:$M$17,0))="Oui",1,0),0))</f>
        <v/>
      </c>
      <c r="AW926" s="62">
        <f>IF(E926="","",IF(G926&lt;&gt;"",G926,IF(OR(E926="Proposition envoyée",E926="Signature"),MAX(0,N(IFERROR(INDEX('Paramètres'!$R$6:$R$15,MATCH(IF(AL926&lt;&gt;"",AL926,IFERROR(INDEX('Prospects'!$AN$5:$AN$504,MATCH(C926,'Prospects'!$C$5:$C$504,0)),"")),'Paramètres'!$Q$6:$Q$15,0)),0))-N(P926)),0)))</f>
        <v/>
      </c>
      <c r="AX926" s="61">
        <f>IF(C926="","",IF(COUNTIF($C$5:C926,C926)=1,MAX($AX$4:AX925)+1,""))</f>
        <v/>
      </c>
      <c r="AY926" s="61">
        <f>IF(B926="","",HOUR(B926))</f>
        <v/>
      </c>
      <c r="AZ926" s="61">
        <f>IF(A926="","",MOD(A926-2,7)+1)</f>
        <v/>
      </c>
      <c r="BA926" s="60">
        <f>IF(C926="","",IFERROR(INDEX('Prospects'!$N$5:$N$504,MATCH(C926,'Prospects'!$C$5:$C$504,0)),""))</f>
        <v/>
      </c>
      <c r="BB926" s="61">
        <f>IF(AND(C926&lt;&gt;"",C926='Fiche prospect'!$C$4),COUNTIF($C$5:C926,C926),"")</f>
        <v/>
      </c>
    </row>
    <row r="927">
      <c r="A927" s="53" t="n"/>
      <c r="B927" s="54" t="n"/>
      <c r="C927" s="55" t="n"/>
      <c r="D927" s="55" t="n"/>
      <c r="E927" s="55" t="n"/>
      <c r="F927" s="55" t="n"/>
      <c r="G927" s="56" t="n"/>
      <c r="H927" s="57" t="n"/>
      <c r="I927" s="55" t="n"/>
      <c r="J927" s="53" t="n"/>
      <c r="K927" s="54" t="n"/>
      <c r="L927" s="55" t="n"/>
      <c r="M927" s="55" t="n"/>
      <c r="N927" s="57" t="n"/>
      <c r="O927" s="55" t="n"/>
      <c r="P927" s="56" t="n"/>
      <c r="Q927" s="55" t="n"/>
      <c r="R927" s="55" t="n"/>
      <c r="S927" s="55" t="n"/>
      <c r="T927" s="55" t="n"/>
      <c r="U927" s="55" t="n"/>
      <c r="V927" s="55" t="n"/>
      <c r="W927" s="58" t="n"/>
      <c r="X927" s="58" t="n"/>
      <c r="Y927" s="55" t="n"/>
      <c r="Z927" s="55" t="n"/>
      <c r="AA927" s="55" t="n"/>
      <c r="AB927" s="55" t="n"/>
      <c r="AC927" s="55" t="n"/>
      <c r="AD927" s="53" t="n"/>
      <c r="AE927" s="55" t="n"/>
      <c r="AF927" s="55" t="n"/>
      <c r="AG927" s="59" t="n"/>
      <c r="AH927" s="57" t="n"/>
      <c r="AI927" s="55" t="n"/>
      <c r="AJ927" s="55" t="n"/>
      <c r="AK927" s="55" t="n"/>
      <c r="AL927" s="55" t="n"/>
      <c r="AM927" s="56" t="n"/>
      <c r="AN927" s="55" t="n"/>
      <c r="AO927" s="55" t="n"/>
      <c r="AP927" s="55" t="n"/>
      <c r="AQ927" s="55" t="n"/>
      <c r="AR927" s="60">
        <f>IF(AND(C927="",E927=""),"",IF(A927="","⚠ Date manquante",IF(AND(C927="",E927&lt;&gt;"Dépense"),"⚠ Prospect manquant",IF(E927="","⚠ Action manquante",IF(AND(AU927=1,D927=""),"⚠ Canal manquant",IF(AND(W927&lt;&gt;"",COUNTIFS('Saisie'!$W$5:$W$2004,W927,'Saisie'!$C$5:$C$2004,"&lt;&gt;"&amp;C927)&gt;0),"⚠ Numéro déjà utilisé par un autre prospect",IF(AND(J927&lt;&gt;"",J927&lt;A927),"⚠ Relance avant la date de l'action",IF(A927&gt;TODAY(),"⚠ Date dans le futur","✓"))))))))</f>
        <v/>
      </c>
      <c r="AS927" s="61">
        <f>IF(AND(A927="",C927="",E927=""),"",ROW())</f>
        <v/>
      </c>
      <c r="AT927" s="61">
        <f>IF(E927&amp;F927="","",MAX(IFERROR(INDEX('Paramètres'!$J$6:$J$33,MATCH(E927,'Paramètres'!$I$6:$I$33,0)),0),IFERROR(INDEX('Paramètres'!$N$6:$N$17,MATCH(F927,'Paramètres'!$M$6:$M$17,0)),0)))</f>
        <v/>
      </c>
      <c r="AU927" s="61">
        <f>IF(E927="","",IFERROR(IF(INDEX('Paramètres'!$K$6:$K$33,MATCH(E927,'Paramètres'!$I$6:$I$33,0))="Oui",1,0),0))</f>
        <v/>
      </c>
      <c r="AV927" s="61">
        <f>IF(F927="","",IFERROR(IF(INDEX('Paramètres'!$O$6:$O$17,MATCH(F927,'Paramètres'!$M$6:$M$17,0))="Oui",1,0),0))</f>
        <v/>
      </c>
      <c r="AW927" s="62">
        <f>IF(E927="","",IF(G927&lt;&gt;"",G927,IF(OR(E927="Proposition envoyée",E927="Signature"),MAX(0,N(IFERROR(INDEX('Paramètres'!$R$6:$R$15,MATCH(IF(AL927&lt;&gt;"",AL927,IFERROR(INDEX('Prospects'!$AN$5:$AN$504,MATCH(C927,'Prospects'!$C$5:$C$504,0)),"")),'Paramètres'!$Q$6:$Q$15,0)),0))-N(P927)),0)))</f>
        <v/>
      </c>
      <c r="AX927" s="61">
        <f>IF(C927="","",IF(COUNTIF($C$5:C927,C927)=1,MAX($AX$4:AX926)+1,""))</f>
        <v/>
      </c>
      <c r="AY927" s="61">
        <f>IF(B927="","",HOUR(B927))</f>
        <v/>
      </c>
      <c r="AZ927" s="61">
        <f>IF(A927="","",MOD(A927-2,7)+1)</f>
        <v/>
      </c>
      <c r="BA927" s="60">
        <f>IF(C927="","",IFERROR(INDEX('Prospects'!$N$5:$N$504,MATCH(C927,'Prospects'!$C$5:$C$504,0)),""))</f>
        <v/>
      </c>
      <c r="BB927" s="61">
        <f>IF(AND(C927&lt;&gt;"",C927='Fiche prospect'!$C$4),COUNTIF($C$5:C927,C927),"")</f>
        <v/>
      </c>
    </row>
    <row r="928">
      <c r="A928" s="53" t="n"/>
      <c r="B928" s="54" t="n"/>
      <c r="C928" s="55" t="n"/>
      <c r="D928" s="55" t="n"/>
      <c r="E928" s="55" t="n"/>
      <c r="F928" s="55" t="n"/>
      <c r="G928" s="56" t="n"/>
      <c r="H928" s="57" t="n"/>
      <c r="I928" s="55" t="n"/>
      <c r="J928" s="53" t="n"/>
      <c r="K928" s="54" t="n"/>
      <c r="L928" s="55" t="n"/>
      <c r="M928" s="55" t="n"/>
      <c r="N928" s="57" t="n"/>
      <c r="O928" s="55" t="n"/>
      <c r="P928" s="56" t="n"/>
      <c r="Q928" s="55" t="n"/>
      <c r="R928" s="55" t="n"/>
      <c r="S928" s="55" t="n"/>
      <c r="T928" s="55" t="n"/>
      <c r="U928" s="55" t="n"/>
      <c r="V928" s="55" t="n"/>
      <c r="W928" s="58" t="n"/>
      <c r="X928" s="58" t="n"/>
      <c r="Y928" s="55" t="n"/>
      <c r="Z928" s="55" t="n"/>
      <c r="AA928" s="55" t="n"/>
      <c r="AB928" s="55" t="n"/>
      <c r="AC928" s="55" t="n"/>
      <c r="AD928" s="53" t="n"/>
      <c r="AE928" s="55" t="n"/>
      <c r="AF928" s="55" t="n"/>
      <c r="AG928" s="59" t="n"/>
      <c r="AH928" s="57" t="n"/>
      <c r="AI928" s="55" t="n"/>
      <c r="AJ928" s="55" t="n"/>
      <c r="AK928" s="55" t="n"/>
      <c r="AL928" s="55" t="n"/>
      <c r="AM928" s="56" t="n"/>
      <c r="AN928" s="55" t="n"/>
      <c r="AO928" s="55" t="n"/>
      <c r="AP928" s="55" t="n"/>
      <c r="AQ928" s="55" t="n"/>
      <c r="AR928" s="60">
        <f>IF(AND(C928="",E928=""),"",IF(A928="","⚠ Date manquante",IF(AND(C928="",E928&lt;&gt;"Dépense"),"⚠ Prospect manquant",IF(E928="","⚠ Action manquante",IF(AND(AU928=1,D928=""),"⚠ Canal manquant",IF(AND(W928&lt;&gt;"",COUNTIFS('Saisie'!$W$5:$W$2004,W928,'Saisie'!$C$5:$C$2004,"&lt;&gt;"&amp;C928)&gt;0),"⚠ Numéro déjà utilisé par un autre prospect",IF(AND(J928&lt;&gt;"",J928&lt;A928),"⚠ Relance avant la date de l'action",IF(A928&gt;TODAY(),"⚠ Date dans le futur","✓"))))))))</f>
        <v/>
      </c>
      <c r="AS928" s="61">
        <f>IF(AND(A928="",C928="",E928=""),"",ROW())</f>
        <v/>
      </c>
      <c r="AT928" s="61">
        <f>IF(E928&amp;F928="","",MAX(IFERROR(INDEX('Paramètres'!$J$6:$J$33,MATCH(E928,'Paramètres'!$I$6:$I$33,0)),0),IFERROR(INDEX('Paramètres'!$N$6:$N$17,MATCH(F928,'Paramètres'!$M$6:$M$17,0)),0)))</f>
        <v/>
      </c>
      <c r="AU928" s="61">
        <f>IF(E928="","",IFERROR(IF(INDEX('Paramètres'!$K$6:$K$33,MATCH(E928,'Paramètres'!$I$6:$I$33,0))="Oui",1,0),0))</f>
        <v/>
      </c>
      <c r="AV928" s="61">
        <f>IF(F928="","",IFERROR(IF(INDEX('Paramètres'!$O$6:$O$17,MATCH(F928,'Paramètres'!$M$6:$M$17,0))="Oui",1,0),0))</f>
        <v/>
      </c>
      <c r="AW928" s="62">
        <f>IF(E928="","",IF(G928&lt;&gt;"",G928,IF(OR(E928="Proposition envoyée",E928="Signature"),MAX(0,N(IFERROR(INDEX('Paramètres'!$R$6:$R$15,MATCH(IF(AL928&lt;&gt;"",AL928,IFERROR(INDEX('Prospects'!$AN$5:$AN$504,MATCH(C928,'Prospects'!$C$5:$C$504,0)),"")),'Paramètres'!$Q$6:$Q$15,0)),0))-N(P928)),0)))</f>
        <v/>
      </c>
      <c r="AX928" s="61">
        <f>IF(C928="","",IF(COUNTIF($C$5:C928,C928)=1,MAX($AX$4:AX927)+1,""))</f>
        <v/>
      </c>
      <c r="AY928" s="61">
        <f>IF(B928="","",HOUR(B928))</f>
        <v/>
      </c>
      <c r="AZ928" s="61">
        <f>IF(A928="","",MOD(A928-2,7)+1)</f>
        <v/>
      </c>
      <c r="BA928" s="60">
        <f>IF(C928="","",IFERROR(INDEX('Prospects'!$N$5:$N$504,MATCH(C928,'Prospects'!$C$5:$C$504,0)),""))</f>
        <v/>
      </c>
      <c r="BB928" s="61">
        <f>IF(AND(C928&lt;&gt;"",C928='Fiche prospect'!$C$4),COUNTIF($C$5:C928,C928),"")</f>
        <v/>
      </c>
    </row>
    <row r="929">
      <c r="A929" s="53" t="n"/>
      <c r="B929" s="54" t="n"/>
      <c r="C929" s="55" t="n"/>
      <c r="D929" s="55" t="n"/>
      <c r="E929" s="55" t="n"/>
      <c r="F929" s="55" t="n"/>
      <c r="G929" s="56" t="n"/>
      <c r="H929" s="57" t="n"/>
      <c r="I929" s="55" t="n"/>
      <c r="J929" s="53" t="n"/>
      <c r="K929" s="54" t="n"/>
      <c r="L929" s="55" t="n"/>
      <c r="M929" s="55" t="n"/>
      <c r="N929" s="57" t="n"/>
      <c r="O929" s="55" t="n"/>
      <c r="P929" s="56" t="n"/>
      <c r="Q929" s="55" t="n"/>
      <c r="R929" s="55" t="n"/>
      <c r="S929" s="55" t="n"/>
      <c r="T929" s="55" t="n"/>
      <c r="U929" s="55" t="n"/>
      <c r="V929" s="55" t="n"/>
      <c r="W929" s="58" t="n"/>
      <c r="X929" s="58" t="n"/>
      <c r="Y929" s="55" t="n"/>
      <c r="Z929" s="55" t="n"/>
      <c r="AA929" s="55" t="n"/>
      <c r="AB929" s="55" t="n"/>
      <c r="AC929" s="55" t="n"/>
      <c r="AD929" s="53" t="n"/>
      <c r="AE929" s="55" t="n"/>
      <c r="AF929" s="55" t="n"/>
      <c r="AG929" s="59" t="n"/>
      <c r="AH929" s="57" t="n"/>
      <c r="AI929" s="55" t="n"/>
      <c r="AJ929" s="55" t="n"/>
      <c r="AK929" s="55" t="n"/>
      <c r="AL929" s="55" t="n"/>
      <c r="AM929" s="56" t="n"/>
      <c r="AN929" s="55" t="n"/>
      <c r="AO929" s="55" t="n"/>
      <c r="AP929" s="55" t="n"/>
      <c r="AQ929" s="55" t="n"/>
      <c r="AR929" s="60">
        <f>IF(AND(C929="",E929=""),"",IF(A929="","⚠ Date manquante",IF(AND(C929="",E929&lt;&gt;"Dépense"),"⚠ Prospect manquant",IF(E929="","⚠ Action manquante",IF(AND(AU929=1,D929=""),"⚠ Canal manquant",IF(AND(W929&lt;&gt;"",COUNTIFS('Saisie'!$W$5:$W$2004,W929,'Saisie'!$C$5:$C$2004,"&lt;&gt;"&amp;C929)&gt;0),"⚠ Numéro déjà utilisé par un autre prospect",IF(AND(J929&lt;&gt;"",J929&lt;A929),"⚠ Relance avant la date de l'action",IF(A929&gt;TODAY(),"⚠ Date dans le futur","✓"))))))))</f>
        <v/>
      </c>
      <c r="AS929" s="61">
        <f>IF(AND(A929="",C929="",E929=""),"",ROW())</f>
        <v/>
      </c>
      <c r="AT929" s="61">
        <f>IF(E929&amp;F929="","",MAX(IFERROR(INDEX('Paramètres'!$J$6:$J$33,MATCH(E929,'Paramètres'!$I$6:$I$33,0)),0),IFERROR(INDEX('Paramètres'!$N$6:$N$17,MATCH(F929,'Paramètres'!$M$6:$M$17,0)),0)))</f>
        <v/>
      </c>
      <c r="AU929" s="61">
        <f>IF(E929="","",IFERROR(IF(INDEX('Paramètres'!$K$6:$K$33,MATCH(E929,'Paramètres'!$I$6:$I$33,0))="Oui",1,0),0))</f>
        <v/>
      </c>
      <c r="AV929" s="61">
        <f>IF(F929="","",IFERROR(IF(INDEX('Paramètres'!$O$6:$O$17,MATCH(F929,'Paramètres'!$M$6:$M$17,0))="Oui",1,0),0))</f>
        <v/>
      </c>
      <c r="AW929" s="62">
        <f>IF(E929="","",IF(G929&lt;&gt;"",G929,IF(OR(E929="Proposition envoyée",E929="Signature"),MAX(0,N(IFERROR(INDEX('Paramètres'!$R$6:$R$15,MATCH(IF(AL929&lt;&gt;"",AL929,IFERROR(INDEX('Prospects'!$AN$5:$AN$504,MATCH(C929,'Prospects'!$C$5:$C$504,0)),"")),'Paramètres'!$Q$6:$Q$15,0)),0))-N(P929)),0)))</f>
        <v/>
      </c>
      <c r="AX929" s="61">
        <f>IF(C929="","",IF(COUNTIF($C$5:C929,C929)=1,MAX($AX$4:AX928)+1,""))</f>
        <v/>
      </c>
      <c r="AY929" s="61">
        <f>IF(B929="","",HOUR(B929))</f>
        <v/>
      </c>
      <c r="AZ929" s="61">
        <f>IF(A929="","",MOD(A929-2,7)+1)</f>
        <v/>
      </c>
      <c r="BA929" s="60">
        <f>IF(C929="","",IFERROR(INDEX('Prospects'!$N$5:$N$504,MATCH(C929,'Prospects'!$C$5:$C$504,0)),""))</f>
        <v/>
      </c>
      <c r="BB929" s="61">
        <f>IF(AND(C929&lt;&gt;"",C929='Fiche prospect'!$C$4),COUNTIF($C$5:C929,C929),"")</f>
        <v/>
      </c>
    </row>
    <row r="930">
      <c r="A930" s="53" t="n"/>
      <c r="B930" s="54" t="n"/>
      <c r="C930" s="55" t="n"/>
      <c r="D930" s="55" t="n"/>
      <c r="E930" s="55" t="n"/>
      <c r="F930" s="55" t="n"/>
      <c r="G930" s="56" t="n"/>
      <c r="H930" s="57" t="n"/>
      <c r="I930" s="55" t="n"/>
      <c r="J930" s="53" t="n"/>
      <c r="K930" s="54" t="n"/>
      <c r="L930" s="55" t="n"/>
      <c r="M930" s="55" t="n"/>
      <c r="N930" s="57" t="n"/>
      <c r="O930" s="55" t="n"/>
      <c r="P930" s="56" t="n"/>
      <c r="Q930" s="55" t="n"/>
      <c r="R930" s="55" t="n"/>
      <c r="S930" s="55" t="n"/>
      <c r="T930" s="55" t="n"/>
      <c r="U930" s="55" t="n"/>
      <c r="V930" s="55" t="n"/>
      <c r="W930" s="58" t="n"/>
      <c r="X930" s="58" t="n"/>
      <c r="Y930" s="55" t="n"/>
      <c r="Z930" s="55" t="n"/>
      <c r="AA930" s="55" t="n"/>
      <c r="AB930" s="55" t="n"/>
      <c r="AC930" s="55" t="n"/>
      <c r="AD930" s="53" t="n"/>
      <c r="AE930" s="55" t="n"/>
      <c r="AF930" s="55" t="n"/>
      <c r="AG930" s="59" t="n"/>
      <c r="AH930" s="57" t="n"/>
      <c r="AI930" s="55" t="n"/>
      <c r="AJ930" s="55" t="n"/>
      <c r="AK930" s="55" t="n"/>
      <c r="AL930" s="55" t="n"/>
      <c r="AM930" s="56" t="n"/>
      <c r="AN930" s="55" t="n"/>
      <c r="AO930" s="55" t="n"/>
      <c r="AP930" s="55" t="n"/>
      <c r="AQ930" s="55" t="n"/>
      <c r="AR930" s="60">
        <f>IF(AND(C930="",E930=""),"",IF(A930="","⚠ Date manquante",IF(AND(C930="",E930&lt;&gt;"Dépense"),"⚠ Prospect manquant",IF(E930="","⚠ Action manquante",IF(AND(AU930=1,D930=""),"⚠ Canal manquant",IF(AND(W930&lt;&gt;"",COUNTIFS('Saisie'!$W$5:$W$2004,W930,'Saisie'!$C$5:$C$2004,"&lt;&gt;"&amp;C930)&gt;0),"⚠ Numéro déjà utilisé par un autre prospect",IF(AND(J930&lt;&gt;"",J930&lt;A930),"⚠ Relance avant la date de l'action",IF(A930&gt;TODAY(),"⚠ Date dans le futur","✓"))))))))</f>
        <v/>
      </c>
      <c r="AS930" s="61">
        <f>IF(AND(A930="",C930="",E930=""),"",ROW())</f>
        <v/>
      </c>
      <c r="AT930" s="61">
        <f>IF(E930&amp;F930="","",MAX(IFERROR(INDEX('Paramètres'!$J$6:$J$33,MATCH(E930,'Paramètres'!$I$6:$I$33,0)),0),IFERROR(INDEX('Paramètres'!$N$6:$N$17,MATCH(F930,'Paramètres'!$M$6:$M$17,0)),0)))</f>
        <v/>
      </c>
      <c r="AU930" s="61">
        <f>IF(E930="","",IFERROR(IF(INDEX('Paramètres'!$K$6:$K$33,MATCH(E930,'Paramètres'!$I$6:$I$33,0))="Oui",1,0),0))</f>
        <v/>
      </c>
      <c r="AV930" s="61">
        <f>IF(F930="","",IFERROR(IF(INDEX('Paramètres'!$O$6:$O$17,MATCH(F930,'Paramètres'!$M$6:$M$17,0))="Oui",1,0),0))</f>
        <v/>
      </c>
      <c r="AW930" s="62">
        <f>IF(E930="","",IF(G930&lt;&gt;"",G930,IF(OR(E930="Proposition envoyée",E930="Signature"),MAX(0,N(IFERROR(INDEX('Paramètres'!$R$6:$R$15,MATCH(IF(AL930&lt;&gt;"",AL930,IFERROR(INDEX('Prospects'!$AN$5:$AN$504,MATCH(C930,'Prospects'!$C$5:$C$504,0)),"")),'Paramètres'!$Q$6:$Q$15,0)),0))-N(P930)),0)))</f>
        <v/>
      </c>
      <c r="AX930" s="61">
        <f>IF(C930="","",IF(COUNTIF($C$5:C930,C930)=1,MAX($AX$4:AX929)+1,""))</f>
        <v/>
      </c>
      <c r="AY930" s="61">
        <f>IF(B930="","",HOUR(B930))</f>
        <v/>
      </c>
      <c r="AZ930" s="61">
        <f>IF(A930="","",MOD(A930-2,7)+1)</f>
        <v/>
      </c>
      <c r="BA930" s="60">
        <f>IF(C930="","",IFERROR(INDEX('Prospects'!$N$5:$N$504,MATCH(C930,'Prospects'!$C$5:$C$504,0)),""))</f>
        <v/>
      </c>
      <c r="BB930" s="61">
        <f>IF(AND(C930&lt;&gt;"",C930='Fiche prospect'!$C$4),COUNTIF($C$5:C930,C930),"")</f>
        <v/>
      </c>
    </row>
    <row r="931">
      <c r="A931" s="53" t="n"/>
      <c r="B931" s="54" t="n"/>
      <c r="C931" s="55" t="n"/>
      <c r="D931" s="55" t="n"/>
      <c r="E931" s="55" t="n"/>
      <c r="F931" s="55" t="n"/>
      <c r="G931" s="56" t="n"/>
      <c r="H931" s="57" t="n"/>
      <c r="I931" s="55" t="n"/>
      <c r="J931" s="53" t="n"/>
      <c r="K931" s="54" t="n"/>
      <c r="L931" s="55" t="n"/>
      <c r="M931" s="55" t="n"/>
      <c r="N931" s="57" t="n"/>
      <c r="O931" s="55" t="n"/>
      <c r="P931" s="56" t="n"/>
      <c r="Q931" s="55" t="n"/>
      <c r="R931" s="55" t="n"/>
      <c r="S931" s="55" t="n"/>
      <c r="T931" s="55" t="n"/>
      <c r="U931" s="55" t="n"/>
      <c r="V931" s="55" t="n"/>
      <c r="W931" s="58" t="n"/>
      <c r="X931" s="58" t="n"/>
      <c r="Y931" s="55" t="n"/>
      <c r="Z931" s="55" t="n"/>
      <c r="AA931" s="55" t="n"/>
      <c r="AB931" s="55" t="n"/>
      <c r="AC931" s="55" t="n"/>
      <c r="AD931" s="53" t="n"/>
      <c r="AE931" s="55" t="n"/>
      <c r="AF931" s="55" t="n"/>
      <c r="AG931" s="59" t="n"/>
      <c r="AH931" s="57" t="n"/>
      <c r="AI931" s="55" t="n"/>
      <c r="AJ931" s="55" t="n"/>
      <c r="AK931" s="55" t="n"/>
      <c r="AL931" s="55" t="n"/>
      <c r="AM931" s="56" t="n"/>
      <c r="AN931" s="55" t="n"/>
      <c r="AO931" s="55" t="n"/>
      <c r="AP931" s="55" t="n"/>
      <c r="AQ931" s="55" t="n"/>
      <c r="AR931" s="60">
        <f>IF(AND(C931="",E931=""),"",IF(A931="","⚠ Date manquante",IF(AND(C931="",E931&lt;&gt;"Dépense"),"⚠ Prospect manquant",IF(E931="","⚠ Action manquante",IF(AND(AU931=1,D931=""),"⚠ Canal manquant",IF(AND(W931&lt;&gt;"",COUNTIFS('Saisie'!$W$5:$W$2004,W931,'Saisie'!$C$5:$C$2004,"&lt;&gt;"&amp;C931)&gt;0),"⚠ Numéro déjà utilisé par un autre prospect",IF(AND(J931&lt;&gt;"",J931&lt;A931),"⚠ Relance avant la date de l'action",IF(A931&gt;TODAY(),"⚠ Date dans le futur","✓"))))))))</f>
        <v/>
      </c>
      <c r="AS931" s="61">
        <f>IF(AND(A931="",C931="",E931=""),"",ROW())</f>
        <v/>
      </c>
      <c r="AT931" s="61">
        <f>IF(E931&amp;F931="","",MAX(IFERROR(INDEX('Paramètres'!$J$6:$J$33,MATCH(E931,'Paramètres'!$I$6:$I$33,0)),0),IFERROR(INDEX('Paramètres'!$N$6:$N$17,MATCH(F931,'Paramètres'!$M$6:$M$17,0)),0)))</f>
        <v/>
      </c>
      <c r="AU931" s="61">
        <f>IF(E931="","",IFERROR(IF(INDEX('Paramètres'!$K$6:$K$33,MATCH(E931,'Paramètres'!$I$6:$I$33,0))="Oui",1,0),0))</f>
        <v/>
      </c>
      <c r="AV931" s="61">
        <f>IF(F931="","",IFERROR(IF(INDEX('Paramètres'!$O$6:$O$17,MATCH(F931,'Paramètres'!$M$6:$M$17,0))="Oui",1,0),0))</f>
        <v/>
      </c>
      <c r="AW931" s="62">
        <f>IF(E931="","",IF(G931&lt;&gt;"",G931,IF(OR(E931="Proposition envoyée",E931="Signature"),MAX(0,N(IFERROR(INDEX('Paramètres'!$R$6:$R$15,MATCH(IF(AL931&lt;&gt;"",AL931,IFERROR(INDEX('Prospects'!$AN$5:$AN$504,MATCH(C931,'Prospects'!$C$5:$C$504,0)),"")),'Paramètres'!$Q$6:$Q$15,0)),0))-N(P931)),0)))</f>
        <v/>
      </c>
      <c r="AX931" s="61">
        <f>IF(C931="","",IF(COUNTIF($C$5:C931,C931)=1,MAX($AX$4:AX930)+1,""))</f>
        <v/>
      </c>
      <c r="AY931" s="61">
        <f>IF(B931="","",HOUR(B931))</f>
        <v/>
      </c>
      <c r="AZ931" s="61">
        <f>IF(A931="","",MOD(A931-2,7)+1)</f>
        <v/>
      </c>
      <c r="BA931" s="60">
        <f>IF(C931="","",IFERROR(INDEX('Prospects'!$N$5:$N$504,MATCH(C931,'Prospects'!$C$5:$C$504,0)),""))</f>
        <v/>
      </c>
      <c r="BB931" s="61">
        <f>IF(AND(C931&lt;&gt;"",C931='Fiche prospect'!$C$4),COUNTIF($C$5:C931,C931),"")</f>
        <v/>
      </c>
    </row>
    <row r="932">
      <c r="A932" s="53" t="n"/>
      <c r="B932" s="54" t="n"/>
      <c r="C932" s="55" t="n"/>
      <c r="D932" s="55" t="n"/>
      <c r="E932" s="55" t="n"/>
      <c r="F932" s="55" t="n"/>
      <c r="G932" s="56" t="n"/>
      <c r="H932" s="57" t="n"/>
      <c r="I932" s="55" t="n"/>
      <c r="J932" s="53" t="n"/>
      <c r="K932" s="54" t="n"/>
      <c r="L932" s="55" t="n"/>
      <c r="M932" s="55" t="n"/>
      <c r="N932" s="57" t="n"/>
      <c r="O932" s="55" t="n"/>
      <c r="P932" s="56" t="n"/>
      <c r="Q932" s="55" t="n"/>
      <c r="R932" s="55" t="n"/>
      <c r="S932" s="55" t="n"/>
      <c r="T932" s="55" t="n"/>
      <c r="U932" s="55" t="n"/>
      <c r="V932" s="55" t="n"/>
      <c r="W932" s="58" t="n"/>
      <c r="X932" s="58" t="n"/>
      <c r="Y932" s="55" t="n"/>
      <c r="Z932" s="55" t="n"/>
      <c r="AA932" s="55" t="n"/>
      <c r="AB932" s="55" t="n"/>
      <c r="AC932" s="55" t="n"/>
      <c r="AD932" s="53" t="n"/>
      <c r="AE932" s="55" t="n"/>
      <c r="AF932" s="55" t="n"/>
      <c r="AG932" s="59" t="n"/>
      <c r="AH932" s="57" t="n"/>
      <c r="AI932" s="55" t="n"/>
      <c r="AJ932" s="55" t="n"/>
      <c r="AK932" s="55" t="n"/>
      <c r="AL932" s="55" t="n"/>
      <c r="AM932" s="56" t="n"/>
      <c r="AN932" s="55" t="n"/>
      <c r="AO932" s="55" t="n"/>
      <c r="AP932" s="55" t="n"/>
      <c r="AQ932" s="55" t="n"/>
      <c r="AR932" s="60">
        <f>IF(AND(C932="",E932=""),"",IF(A932="","⚠ Date manquante",IF(AND(C932="",E932&lt;&gt;"Dépense"),"⚠ Prospect manquant",IF(E932="","⚠ Action manquante",IF(AND(AU932=1,D932=""),"⚠ Canal manquant",IF(AND(W932&lt;&gt;"",COUNTIFS('Saisie'!$W$5:$W$2004,W932,'Saisie'!$C$5:$C$2004,"&lt;&gt;"&amp;C932)&gt;0),"⚠ Numéro déjà utilisé par un autre prospect",IF(AND(J932&lt;&gt;"",J932&lt;A932),"⚠ Relance avant la date de l'action",IF(A932&gt;TODAY(),"⚠ Date dans le futur","✓"))))))))</f>
        <v/>
      </c>
      <c r="AS932" s="61">
        <f>IF(AND(A932="",C932="",E932=""),"",ROW())</f>
        <v/>
      </c>
      <c r="AT932" s="61">
        <f>IF(E932&amp;F932="","",MAX(IFERROR(INDEX('Paramètres'!$J$6:$J$33,MATCH(E932,'Paramètres'!$I$6:$I$33,0)),0),IFERROR(INDEX('Paramètres'!$N$6:$N$17,MATCH(F932,'Paramètres'!$M$6:$M$17,0)),0)))</f>
        <v/>
      </c>
      <c r="AU932" s="61">
        <f>IF(E932="","",IFERROR(IF(INDEX('Paramètres'!$K$6:$K$33,MATCH(E932,'Paramètres'!$I$6:$I$33,0))="Oui",1,0),0))</f>
        <v/>
      </c>
      <c r="AV932" s="61">
        <f>IF(F932="","",IFERROR(IF(INDEX('Paramètres'!$O$6:$O$17,MATCH(F932,'Paramètres'!$M$6:$M$17,0))="Oui",1,0),0))</f>
        <v/>
      </c>
      <c r="AW932" s="62">
        <f>IF(E932="","",IF(G932&lt;&gt;"",G932,IF(OR(E932="Proposition envoyée",E932="Signature"),MAX(0,N(IFERROR(INDEX('Paramètres'!$R$6:$R$15,MATCH(IF(AL932&lt;&gt;"",AL932,IFERROR(INDEX('Prospects'!$AN$5:$AN$504,MATCH(C932,'Prospects'!$C$5:$C$504,0)),"")),'Paramètres'!$Q$6:$Q$15,0)),0))-N(P932)),0)))</f>
        <v/>
      </c>
      <c r="AX932" s="61">
        <f>IF(C932="","",IF(COUNTIF($C$5:C932,C932)=1,MAX($AX$4:AX931)+1,""))</f>
        <v/>
      </c>
      <c r="AY932" s="61">
        <f>IF(B932="","",HOUR(B932))</f>
        <v/>
      </c>
      <c r="AZ932" s="61">
        <f>IF(A932="","",MOD(A932-2,7)+1)</f>
        <v/>
      </c>
      <c r="BA932" s="60">
        <f>IF(C932="","",IFERROR(INDEX('Prospects'!$N$5:$N$504,MATCH(C932,'Prospects'!$C$5:$C$504,0)),""))</f>
        <v/>
      </c>
      <c r="BB932" s="61">
        <f>IF(AND(C932&lt;&gt;"",C932='Fiche prospect'!$C$4),COUNTIF($C$5:C932,C932),"")</f>
        <v/>
      </c>
    </row>
    <row r="933">
      <c r="A933" s="53" t="n"/>
      <c r="B933" s="54" t="n"/>
      <c r="C933" s="55" t="n"/>
      <c r="D933" s="55" t="n"/>
      <c r="E933" s="55" t="n"/>
      <c r="F933" s="55" t="n"/>
      <c r="G933" s="56" t="n"/>
      <c r="H933" s="57" t="n"/>
      <c r="I933" s="55" t="n"/>
      <c r="J933" s="53" t="n"/>
      <c r="K933" s="54" t="n"/>
      <c r="L933" s="55" t="n"/>
      <c r="M933" s="55" t="n"/>
      <c r="N933" s="57" t="n"/>
      <c r="O933" s="55" t="n"/>
      <c r="P933" s="56" t="n"/>
      <c r="Q933" s="55" t="n"/>
      <c r="R933" s="55" t="n"/>
      <c r="S933" s="55" t="n"/>
      <c r="T933" s="55" t="n"/>
      <c r="U933" s="55" t="n"/>
      <c r="V933" s="55" t="n"/>
      <c r="W933" s="58" t="n"/>
      <c r="X933" s="58" t="n"/>
      <c r="Y933" s="55" t="n"/>
      <c r="Z933" s="55" t="n"/>
      <c r="AA933" s="55" t="n"/>
      <c r="AB933" s="55" t="n"/>
      <c r="AC933" s="55" t="n"/>
      <c r="AD933" s="53" t="n"/>
      <c r="AE933" s="55" t="n"/>
      <c r="AF933" s="55" t="n"/>
      <c r="AG933" s="59" t="n"/>
      <c r="AH933" s="57" t="n"/>
      <c r="AI933" s="55" t="n"/>
      <c r="AJ933" s="55" t="n"/>
      <c r="AK933" s="55" t="n"/>
      <c r="AL933" s="55" t="n"/>
      <c r="AM933" s="56" t="n"/>
      <c r="AN933" s="55" t="n"/>
      <c r="AO933" s="55" t="n"/>
      <c r="AP933" s="55" t="n"/>
      <c r="AQ933" s="55" t="n"/>
      <c r="AR933" s="60">
        <f>IF(AND(C933="",E933=""),"",IF(A933="","⚠ Date manquante",IF(AND(C933="",E933&lt;&gt;"Dépense"),"⚠ Prospect manquant",IF(E933="","⚠ Action manquante",IF(AND(AU933=1,D933=""),"⚠ Canal manquant",IF(AND(W933&lt;&gt;"",COUNTIFS('Saisie'!$W$5:$W$2004,W933,'Saisie'!$C$5:$C$2004,"&lt;&gt;"&amp;C933)&gt;0),"⚠ Numéro déjà utilisé par un autre prospect",IF(AND(J933&lt;&gt;"",J933&lt;A933),"⚠ Relance avant la date de l'action",IF(A933&gt;TODAY(),"⚠ Date dans le futur","✓"))))))))</f>
        <v/>
      </c>
      <c r="AS933" s="61">
        <f>IF(AND(A933="",C933="",E933=""),"",ROW())</f>
        <v/>
      </c>
      <c r="AT933" s="61">
        <f>IF(E933&amp;F933="","",MAX(IFERROR(INDEX('Paramètres'!$J$6:$J$33,MATCH(E933,'Paramètres'!$I$6:$I$33,0)),0),IFERROR(INDEX('Paramètres'!$N$6:$N$17,MATCH(F933,'Paramètres'!$M$6:$M$17,0)),0)))</f>
        <v/>
      </c>
      <c r="AU933" s="61">
        <f>IF(E933="","",IFERROR(IF(INDEX('Paramètres'!$K$6:$K$33,MATCH(E933,'Paramètres'!$I$6:$I$33,0))="Oui",1,0),0))</f>
        <v/>
      </c>
      <c r="AV933" s="61">
        <f>IF(F933="","",IFERROR(IF(INDEX('Paramètres'!$O$6:$O$17,MATCH(F933,'Paramètres'!$M$6:$M$17,0))="Oui",1,0),0))</f>
        <v/>
      </c>
      <c r="AW933" s="62">
        <f>IF(E933="","",IF(G933&lt;&gt;"",G933,IF(OR(E933="Proposition envoyée",E933="Signature"),MAX(0,N(IFERROR(INDEX('Paramètres'!$R$6:$R$15,MATCH(IF(AL933&lt;&gt;"",AL933,IFERROR(INDEX('Prospects'!$AN$5:$AN$504,MATCH(C933,'Prospects'!$C$5:$C$504,0)),"")),'Paramètres'!$Q$6:$Q$15,0)),0))-N(P933)),0)))</f>
        <v/>
      </c>
      <c r="AX933" s="61">
        <f>IF(C933="","",IF(COUNTIF($C$5:C933,C933)=1,MAX($AX$4:AX932)+1,""))</f>
        <v/>
      </c>
      <c r="AY933" s="61">
        <f>IF(B933="","",HOUR(B933))</f>
        <v/>
      </c>
      <c r="AZ933" s="61">
        <f>IF(A933="","",MOD(A933-2,7)+1)</f>
        <v/>
      </c>
      <c r="BA933" s="60">
        <f>IF(C933="","",IFERROR(INDEX('Prospects'!$N$5:$N$504,MATCH(C933,'Prospects'!$C$5:$C$504,0)),""))</f>
        <v/>
      </c>
      <c r="BB933" s="61">
        <f>IF(AND(C933&lt;&gt;"",C933='Fiche prospect'!$C$4),COUNTIF($C$5:C933,C933),"")</f>
        <v/>
      </c>
    </row>
    <row r="934">
      <c r="A934" s="53" t="n"/>
      <c r="B934" s="54" t="n"/>
      <c r="C934" s="55" t="n"/>
      <c r="D934" s="55" t="n"/>
      <c r="E934" s="55" t="n"/>
      <c r="F934" s="55" t="n"/>
      <c r="G934" s="56" t="n"/>
      <c r="H934" s="57" t="n"/>
      <c r="I934" s="55" t="n"/>
      <c r="J934" s="53" t="n"/>
      <c r="K934" s="54" t="n"/>
      <c r="L934" s="55" t="n"/>
      <c r="M934" s="55" t="n"/>
      <c r="N934" s="57" t="n"/>
      <c r="O934" s="55" t="n"/>
      <c r="P934" s="56" t="n"/>
      <c r="Q934" s="55" t="n"/>
      <c r="R934" s="55" t="n"/>
      <c r="S934" s="55" t="n"/>
      <c r="T934" s="55" t="n"/>
      <c r="U934" s="55" t="n"/>
      <c r="V934" s="55" t="n"/>
      <c r="W934" s="58" t="n"/>
      <c r="X934" s="58" t="n"/>
      <c r="Y934" s="55" t="n"/>
      <c r="Z934" s="55" t="n"/>
      <c r="AA934" s="55" t="n"/>
      <c r="AB934" s="55" t="n"/>
      <c r="AC934" s="55" t="n"/>
      <c r="AD934" s="53" t="n"/>
      <c r="AE934" s="55" t="n"/>
      <c r="AF934" s="55" t="n"/>
      <c r="AG934" s="59" t="n"/>
      <c r="AH934" s="57" t="n"/>
      <c r="AI934" s="55" t="n"/>
      <c r="AJ934" s="55" t="n"/>
      <c r="AK934" s="55" t="n"/>
      <c r="AL934" s="55" t="n"/>
      <c r="AM934" s="56" t="n"/>
      <c r="AN934" s="55" t="n"/>
      <c r="AO934" s="55" t="n"/>
      <c r="AP934" s="55" t="n"/>
      <c r="AQ934" s="55" t="n"/>
      <c r="AR934" s="60">
        <f>IF(AND(C934="",E934=""),"",IF(A934="","⚠ Date manquante",IF(AND(C934="",E934&lt;&gt;"Dépense"),"⚠ Prospect manquant",IF(E934="","⚠ Action manquante",IF(AND(AU934=1,D934=""),"⚠ Canal manquant",IF(AND(W934&lt;&gt;"",COUNTIFS('Saisie'!$W$5:$W$2004,W934,'Saisie'!$C$5:$C$2004,"&lt;&gt;"&amp;C934)&gt;0),"⚠ Numéro déjà utilisé par un autre prospect",IF(AND(J934&lt;&gt;"",J934&lt;A934),"⚠ Relance avant la date de l'action",IF(A934&gt;TODAY(),"⚠ Date dans le futur","✓"))))))))</f>
        <v/>
      </c>
      <c r="AS934" s="61">
        <f>IF(AND(A934="",C934="",E934=""),"",ROW())</f>
        <v/>
      </c>
      <c r="AT934" s="61">
        <f>IF(E934&amp;F934="","",MAX(IFERROR(INDEX('Paramètres'!$J$6:$J$33,MATCH(E934,'Paramètres'!$I$6:$I$33,0)),0),IFERROR(INDEX('Paramètres'!$N$6:$N$17,MATCH(F934,'Paramètres'!$M$6:$M$17,0)),0)))</f>
        <v/>
      </c>
      <c r="AU934" s="61">
        <f>IF(E934="","",IFERROR(IF(INDEX('Paramètres'!$K$6:$K$33,MATCH(E934,'Paramètres'!$I$6:$I$33,0))="Oui",1,0),0))</f>
        <v/>
      </c>
      <c r="AV934" s="61">
        <f>IF(F934="","",IFERROR(IF(INDEX('Paramètres'!$O$6:$O$17,MATCH(F934,'Paramètres'!$M$6:$M$17,0))="Oui",1,0),0))</f>
        <v/>
      </c>
      <c r="AW934" s="62">
        <f>IF(E934="","",IF(G934&lt;&gt;"",G934,IF(OR(E934="Proposition envoyée",E934="Signature"),MAX(0,N(IFERROR(INDEX('Paramètres'!$R$6:$R$15,MATCH(IF(AL934&lt;&gt;"",AL934,IFERROR(INDEX('Prospects'!$AN$5:$AN$504,MATCH(C934,'Prospects'!$C$5:$C$504,0)),"")),'Paramètres'!$Q$6:$Q$15,0)),0))-N(P934)),0)))</f>
        <v/>
      </c>
      <c r="AX934" s="61">
        <f>IF(C934="","",IF(COUNTIF($C$5:C934,C934)=1,MAX($AX$4:AX933)+1,""))</f>
        <v/>
      </c>
      <c r="AY934" s="61">
        <f>IF(B934="","",HOUR(B934))</f>
        <v/>
      </c>
      <c r="AZ934" s="61">
        <f>IF(A934="","",MOD(A934-2,7)+1)</f>
        <v/>
      </c>
      <c r="BA934" s="60">
        <f>IF(C934="","",IFERROR(INDEX('Prospects'!$N$5:$N$504,MATCH(C934,'Prospects'!$C$5:$C$504,0)),""))</f>
        <v/>
      </c>
      <c r="BB934" s="61">
        <f>IF(AND(C934&lt;&gt;"",C934='Fiche prospect'!$C$4),COUNTIF($C$5:C934,C934),"")</f>
        <v/>
      </c>
    </row>
    <row r="935">
      <c r="A935" s="53" t="n"/>
      <c r="B935" s="54" t="n"/>
      <c r="C935" s="55" t="n"/>
      <c r="D935" s="55" t="n"/>
      <c r="E935" s="55" t="n"/>
      <c r="F935" s="55" t="n"/>
      <c r="G935" s="56" t="n"/>
      <c r="H935" s="57" t="n"/>
      <c r="I935" s="55" t="n"/>
      <c r="J935" s="53" t="n"/>
      <c r="K935" s="54" t="n"/>
      <c r="L935" s="55" t="n"/>
      <c r="M935" s="55" t="n"/>
      <c r="N935" s="57" t="n"/>
      <c r="O935" s="55" t="n"/>
      <c r="P935" s="56" t="n"/>
      <c r="Q935" s="55" t="n"/>
      <c r="R935" s="55" t="n"/>
      <c r="S935" s="55" t="n"/>
      <c r="T935" s="55" t="n"/>
      <c r="U935" s="55" t="n"/>
      <c r="V935" s="55" t="n"/>
      <c r="W935" s="58" t="n"/>
      <c r="X935" s="58" t="n"/>
      <c r="Y935" s="55" t="n"/>
      <c r="Z935" s="55" t="n"/>
      <c r="AA935" s="55" t="n"/>
      <c r="AB935" s="55" t="n"/>
      <c r="AC935" s="55" t="n"/>
      <c r="AD935" s="53" t="n"/>
      <c r="AE935" s="55" t="n"/>
      <c r="AF935" s="55" t="n"/>
      <c r="AG935" s="59" t="n"/>
      <c r="AH935" s="57" t="n"/>
      <c r="AI935" s="55" t="n"/>
      <c r="AJ935" s="55" t="n"/>
      <c r="AK935" s="55" t="n"/>
      <c r="AL935" s="55" t="n"/>
      <c r="AM935" s="56" t="n"/>
      <c r="AN935" s="55" t="n"/>
      <c r="AO935" s="55" t="n"/>
      <c r="AP935" s="55" t="n"/>
      <c r="AQ935" s="55" t="n"/>
      <c r="AR935" s="60">
        <f>IF(AND(C935="",E935=""),"",IF(A935="","⚠ Date manquante",IF(AND(C935="",E935&lt;&gt;"Dépense"),"⚠ Prospect manquant",IF(E935="","⚠ Action manquante",IF(AND(AU935=1,D935=""),"⚠ Canal manquant",IF(AND(W935&lt;&gt;"",COUNTIFS('Saisie'!$W$5:$W$2004,W935,'Saisie'!$C$5:$C$2004,"&lt;&gt;"&amp;C935)&gt;0),"⚠ Numéro déjà utilisé par un autre prospect",IF(AND(J935&lt;&gt;"",J935&lt;A935),"⚠ Relance avant la date de l'action",IF(A935&gt;TODAY(),"⚠ Date dans le futur","✓"))))))))</f>
        <v/>
      </c>
      <c r="AS935" s="61">
        <f>IF(AND(A935="",C935="",E935=""),"",ROW())</f>
        <v/>
      </c>
      <c r="AT935" s="61">
        <f>IF(E935&amp;F935="","",MAX(IFERROR(INDEX('Paramètres'!$J$6:$J$33,MATCH(E935,'Paramètres'!$I$6:$I$33,0)),0),IFERROR(INDEX('Paramètres'!$N$6:$N$17,MATCH(F935,'Paramètres'!$M$6:$M$17,0)),0)))</f>
        <v/>
      </c>
      <c r="AU935" s="61">
        <f>IF(E935="","",IFERROR(IF(INDEX('Paramètres'!$K$6:$K$33,MATCH(E935,'Paramètres'!$I$6:$I$33,0))="Oui",1,0),0))</f>
        <v/>
      </c>
      <c r="AV935" s="61">
        <f>IF(F935="","",IFERROR(IF(INDEX('Paramètres'!$O$6:$O$17,MATCH(F935,'Paramètres'!$M$6:$M$17,0))="Oui",1,0),0))</f>
        <v/>
      </c>
      <c r="AW935" s="62">
        <f>IF(E935="","",IF(G935&lt;&gt;"",G935,IF(OR(E935="Proposition envoyée",E935="Signature"),MAX(0,N(IFERROR(INDEX('Paramètres'!$R$6:$R$15,MATCH(IF(AL935&lt;&gt;"",AL935,IFERROR(INDEX('Prospects'!$AN$5:$AN$504,MATCH(C935,'Prospects'!$C$5:$C$504,0)),"")),'Paramètres'!$Q$6:$Q$15,0)),0))-N(P935)),0)))</f>
        <v/>
      </c>
      <c r="AX935" s="61">
        <f>IF(C935="","",IF(COUNTIF($C$5:C935,C935)=1,MAX($AX$4:AX934)+1,""))</f>
        <v/>
      </c>
      <c r="AY935" s="61">
        <f>IF(B935="","",HOUR(B935))</f>
        <v/>
      </c>
      <c r="AZ935" s="61">
        <f>IF(A935="","",MOD(A935-2,7)+1)</f>
        <v/>
      </c>
      <c r="BA935" s="60">
        <f>IF(C935="","",IFERROR(INDEX('Prospects'!$N$5:$N$504,MATCH(C935,'Prospects'!$C$5:$C$504,0)),""))</f>
        <v/>
      </c>
      <c r="BB935" s="61">
        <f>IF(AND(C935&lt;&gt;"",C935='Fiche prospect'!$C$4),COUNTIF($C$5:C935,C935),"")</f>
        <v/>
      </c>
    </row>
    <row r="936">
      <c r="A936" s="53" t="n"/>
      <c r="B936" s="54" t="n"/>
      <c r="C936" s="55" t="n"/>
      <c r="D936" s="55" t="n"/>
      <c r="E936" s="55" t="n"/>
      <c r="F936" s="55" t="n"/>
      <c r="G936" s="56" t="n"/>
      <c r="H936" s="57" t="n"/>
      <c r="I936" s="55" t="n"/>
      <c r="J936" s="53" t="n"/>
      <c r="K936" s="54" t="n"/>
      <c r="L936" s="55" t="n"/>
      <c r="M936" s="55" t="n"/>
      <c r="N936" s="57" t="n"/>
      <c r="O936" s="55" t="n"/>
      <c r="P936" s="56" t="n"/>
      <c r="Q936" s="55" t="n"/>
      <c r="R936" s="55" t="n"/>
      <c r="S936" s="55" t="n"/>
      <c r="T936" s="55" t="n"/>
      <c r="U936" s="55" t="n"/>
      <c r="V936" s="55" t="n"/>
      <c r="W936" s="58" t="n"/>
      <c r="X936" s="58" t="n"/>
      <c r="Y936" s="55" t="n"/>
      <c r="Z936" s="55" t="n"/>
      <c r="AA936" s="55" t="n"/>
      <c r="AB936" s="55" t="n"/>
      <c r="AC936" s="55" t="n"/>
      <c r="AD936" s="53" t="n"/>
      <c r="AE936" s="55" t="n"/>
      <c r="AF936" s="55" t="n"/>
      <c r="AG936" s="59" t="n"/>
      <c r="AH936" s="57" t="n"/>
      <c r="AI936" s="55" t="n"/>
      <c r="AJ936" s="55" t="n"/>
      <c r="AK936" s="55" t="n"/>
      <c r="AL936" s="55" t="n"/>
      <c r="AM936" s="56" t="n"/>
      <c r="AN936" s="55" t="n"/>
      <c r="AO936" s="55" t="n"/>
      <c r="AP936" s="55" t="n"/>
      <c r="AQ936" s="55" t="n"/>
      <c r="AR936" s="60">
        <f>IF(AND(C936="",E936=""),"",IF(A936="","⚠ Date manquante",IF(AND(C936="",E936&lt;&gt;"Dépense"),"⚠ Prospect manquant",IF(E936="","⚠ Action manquante",IF(AND(AU936=1,D936=""),"⚠ Canal manquant",IF(AND(W936&lt;&gt;"",COUNTIFS('Saisie'!$W$5:$W$2004,W936,'Saisie'!$C$5:$C$2004,"&lt;&gt;"&amp;C936)&gt;0),"⚠ Numéro déjà utilisé par un autre prospect",IF(AND(J936&lt;&gt;"",J936&lt;A936),"⚠ Relance avant la date de l'action",IF(A936&gt;TODAY(),"⚠ Date dans le futur","✓"))))))))</f>
        <v/>
      </c>
      <c r="AS936" s="61">
        <f>IF(AND(A936="",C936="",E936=""),"",ROW())</f>
        <v/>
      </c>
      <c r="AT936" s="61">
        <f>IF(E936&amp;F936="","",MAX(IFERROR(INDEX('Paramètres'!$J$6:$J$33,MATCH(E936,'Paramètres'!$I$6:$I$33,0)),0),IFERROR(INDEX('Paramètres'!$N$6:$N$17,MATCH(F936,'Paramètres'!$M$6:$M$17,0)),0)))</f>
        <v/>
      </c>
      <c r="AU936" s="61">
        <f>IF(E936="","",IFERROR(IF(INDEX('Paramètres'!$K$6:$K$33,MATCH(E936,'Paramètres'!$I$6:$I$33,0))="Oui",1,0),0))</f>
        <v/>
      </c>
      <c r="AV936" s="61">
        <f>IF(F936="","",IFERROR(IF(INDEX('Paramètres'!$O$6:$O$17,MATCH(F936,'Paramètres'!$M$6:$M$17,0))="Oui",1,0),0))</f>
        <v/>
      </c>
      <c r="AW936" s="62">
        <f>IF(E936="","",IF(G936&lt;&gt;"",G936,IF(OR(E936="Proposition envoyée",E936="Signature"),MAX(0,N(IFERROR(INDEX('Paramètres'!$R$6:$R$15,MATCH(IF(AL936&lt;&gt;"",AL936,IFERROR(INDEX('Prospects'!$AN$5:$AN$504,MATCH(C936,'Prospects'!$C$5:$C$504,0)),"")),'Paramètres'!$Q$6:$Q$15,0)),0))-N(P936)),0)))</f>
        <v/>
      </c>
      <c r="AX936" s="61">
        <f>IF(C936="","",IF(COUNTIF($C$5:C936,C936)=1,MAX($AX$4:AX935)+1,""))</f>
        <v/>
      </c>
      <c r="AY936" s="61">
        <f>IF(B936="","",HOUR(B936))</f>
        <v/>
      </c>
      <c r="AZ936" s="61">
        <f>IF(A936="","",MOD(A936-2,7)+1)</f>
        <v/>
      </c>
      <c r="BA936" s="60">
        <f>IF(C936="","",IFERROR(INDEX('Prospects'!$N$5:$N$504,MATCH(C936,'Prospects'!$C$5:$C$504,0)),""))</f>
        <v/>
      </c>
      <c r="BB936" s="61">
        <f>IF(AND(C936&lt;&gt;"",C936='Fiche prospect'!$C$4),COUNTIF($C$5:C936,C936),"")</f>
        <v/>
      </c>
    </row>
    <row r="937">
      <c r="A937" s="53" t="n"/>
      <c r="B937" s="54" t="n"/>
      <c r="C937" s="55" t="n"/>
      <c r="D937" s="55" t="n"/>
      <c r="E937" s="55" t="n"/>
      <c r="F937" s="55" t="n"/>
      <c r="G937" s="56" t="n"/>
      <c r="H937" s="57" t="n"/>
      <c r="I937" s="55" t="n"/>
      <c r="J937" s="53" t="n"/>
      <c r="K937" s="54" t="n"/>
      <c r="L937" s="55" t="n"/>
      <c r="M937" s="55" t="n"/>
      <c r="N937" s="57" t="n"/>
      <c r="O937" s="55" t="n"/>
      <c r="P937" s="56" t="n"/>
      <c r="Q937" s="55" t="n"/>
      <c r="R937" s="55" t="n"/>
      <c r="S937" s="55" t="n"/>
      <c r="T937" s="55" t="n"/>
      <c r="U937" s="55" t="n"/>
      <c r="V937" s="55" t="n"/>
      <c r="W937" s="58" t="n"/>
      <c r="X937" s="58" t="n"/>
      <c r="Y937" s="55" t="n"/>
      <c r="Z937" s="55" t="n"/>
      <c r="AA937" s="55" t="n"/>
      <c r="AB937" s="55" t="n"/>
      <c r="AC937" s="55" t="n"/>
      <c r="AD937" s="53" t="n"/>
      <c r="AE937" s="55" t="n"/>
      <c r="AF937" s="55" t="n"/>
      <c r="AG937" s="59" t="n"/>
      <c r="AH937" s="57" t="n"/>
      <c r="AI937" s="55" t="n"/>
      <c r="AJ937" s="55" t="n"/>
      <c r="AK937" s="55" t="n"/>
      <c r="AL937" s="55" t="n"/>
      <c r="AM937" s="56" t="n"/>
      <c r="AN937" s="55" t="n"/>
      <c r="AO937" s="55" t="n"/>
      <c r="AP937" s="55" t="n"/>
      <c r="AQ937" s="55" t="n"/>
      <c r="AR937" s="60">
        <f>IF(AND(C937="",E937=""),"",IF(A937="","⚠ Date manquante",IF(AND(C937="",E937&lt;&gt;"Dépense"),"⚠ Prospect manquant",IF(E937="","⚠ Action manquante",IF(AND(AU937=1,D937=""),"⚠ Canal manquant",IF(AND(W937&lt;&gt;"",COUNTIFS('Saisie'!$W$5:$W$2004,W937,'Saisie'!$C$5:$C$2004,"&lt;&gt;"&amp;C937)&gt;0),"⚠ Numéro déjà utilisé par un autre prospect",IF(AND(J937&lt;&gt;"",J937&lt;A937),"⚠ Relance avant la date de l'action",IF(A937&gt;TODAY(),"⚠ Date dans le futur","✓"))))))))</f>
        <v/>
      </c>
      <c r="AS937" s="61">
        <f>IF(AND(A937="",C937="",E937=""),"",ROW())</f>
        <v/>
      </c>
      <c r="AT937" s="61">
        <f>IF(E937&amp;F937="","",MAX(IFERROR(INDEX('Paramètres'!$J$6:$J$33,MATCH(E937,'Paramètres'!$I$6:$I$33,0)),0),IFERROR(INDEX('Paramètres'!$N$6:$N$17,MATCH(F937,'Paramètres'!$M$6:$M$17,0)),0)))</f>
        <v/>
      </c>
      <c r="AU937" s="61">
        <f>IF(E937="","",IFERROR(IF(INDEX('Paramètres'!$K$6:$K$33,MATCH(E937,'Paramètres'!$I$6:$I$33,0))="Oui",1,0),0))</f>
        <v/>
      </c>
      <c r="AV937" s="61">
        <f>IF(F937="","",IFERROR(IF(INDEX('Paramètres'!$O$6:$O$17,MATCH(F937,'Paramètres'!$M$6:$M$17,0))="Oui",1,0),0))</f>
        <v/>
      </c>
      <c r="AW937" s="62">
        <f>IF(E937="","",IF(G937&lt;&gt;"",G937,IF(OR(E937="Proposition envoyée",E937="Signature"),MAX(0,N(IFERROR(INDEX('Paramètres'!$R$6:$R$15,MATCH(IF(AL937&lt;&gt;"",AL937,IFERROR(INDEX('Prospects'!$AN$5:$AN$504,MATCH(C937,'Prospects'!$C$5:$C$504,0)),"")),'Paramètres'!$Q$6:$Q$15,0)),0))-N(P937)),0)))</f>
        <v/>
      </c>
      <c r="AX937" s="61">
        <f>IF(C937="","",IF(COUNTIF($C$5:C937,C937)=1,MAX($AX$4:AX936)+1,""))</f>
        <v/>
      </c>
      <c r="AY937" s="61">
        <f>IF(B937="","",HOUR(B937))</f>
        <v/>
      </c>
      <c r="AZ937" s="61">
        <f>IF(A937="","",MOD(A937-2,7)+1)</f>
        <v/>
      </c>
      <c r="BA937" s="60">
        <f>IF(C937="","",IFERROR(INDEX('Prospects'!$N$5:$N$504,MATCH(C937,'Prospects'!$C$5:$C$504,0)),""))</f>
        <v/>
      </c>
      <c r="BB937" s="61">
        <f>IF(AND(C937&lt;&gt;"",C937='Fiche prospect'!$C$4),COUNTIF($C$5:C937,C937),"")</f>
        <v/>
      </c>
    </row>
    <row r="938">
      <c r="A938" s="53" t="n"/>
      <c r="B938" s="54" t="n"/>
      <c r="C938" s="55" t="n"/>
      <c r="D938" s="55" t="n"/>
      <c r="E938" s="55" t="n"/>
      <c r="F938" s="55" t="n"/>
      <c r="G938" s="56" t="n"/>
      <c r="H938" s="57" t="n"/>
      <c r="I938" s="55" t="n"/>
      <c r="J938" s="53" t="n"/>
      <c r="K938" s="54" t="n"/>
      <c r="L938" s="55" t="n"/>
      <c r="M938" s="55" t="n"/>
      <c r="N938" s="57" t="n"/>
      <c r="O938" s="55" t="n"/>
      <c r="P938" s="56" t="n"/>
      <c r="Q938" s="55" t="n"/>
      <c r="R938" s="55" t="n"/>
      <c r="S938" s="55" t="n"/>
      <c r="T938" s="55" t="n"/>
      <c r="U938" s="55" t="n"/>
      <c r="V938" s="55" t="n"/>
      <c r="W938" s="58" t="n"/>
      <c r="X938" s="58" t="n"/>
      <c r="Y938" s="55" t="n"/>
      <c r="Z938" s="55" t="n"/>
      <c r="AA938" s="55" t="n"/>
      <c r="AB938" s="55" t="n"/>
      <c r="AC938" s="55" t="n"/>
      <c r="AD938" s="53" t="n"/>
      <c r="AE938" s="55" t="n"/>
      <c r="AF938" s="55" t="n"/>
      <c r="AG938" s="59" t="n"/>
      <c r="AH938" s="57" t="n"/>
      <c r="AI938" s="55" t="n"/>
      <c r="AJ938" s="55" t="n"/>
      <c r="AK938" s="55" t="n"/>
      <c r="AL938" s="55" t="n"/>
      <c r="AM938" s="56" t="n"/>
      <c r="AN938" s="55" t="n"/>
      <c r="AO938" s="55" t="n"/>
      <c r="AP938" s="55" t="n"/>
      <c r="AQ938" s="55" t="n"/>
      <c r="AR938" s="60">
        <f>IF(AND(C938="",E938=""),"",IF(A938="","⚠ Date manquante",IF(AND(C938="",E938&lt;&gt;"Dépense"),"⚠ Prospect manquant",IF(E938="","⚠ Action manquante",IF(AND(AU938=1,D938=""),"⚠ Canal manquant",IF(AND(W938&lt;&gt;"",COUNTIFS('Saisie'!$W$5:$W$2004,W938,'Saisie'!$C$5:$C$2004,"&lt;&gt;"&amp;C938)&gt;0),"⚠ Numéro déjà utilisé par un autre prospect",IF(AND(J938&lt;&gt;"",J938&lt;A938),"⚠ Relance avant la date de l'action",IF(A938&gt;TODAY(),"⚠ Date dans le futur","✓"))))))))</f>
        <v/>
      </c>
      <c r="AS938" s="61">
        <f>IF(AND(A938="",C938="",E938=""),"",ROW())</f>
        <v/>
      </c>
      <c r="AT938" s="61">
        <f>IF(E938&amp;F938="","",MAX(IFERROR(INDEX('Paramètres'!$J$6:$J$33,MATCH(E938,'Paramètres'!$I$6:$I$33,0)),0),IFERROR(INDEX('Paramètres'!$N$6:$N$17,MATCH(F938,'Paramètres'!$M$6:$M$17,0)),0)))</f>
        <v/>
      </c>
      <c r="AU938" s="61">
        <f>IF(E938="","",IFERROR(IF(INDEX('Paramètres'!$K$6:$K$33,MATCH(E938,'Paramètres'!$I$6:$I$33,0))="Oui",1,0),0))</f>
        <v/>
      </c>
      <c r="AV938" s="61">
        <f>IF(F938="","",IFERROR(IF(INDEX('Paramètres'!$O$6:$O$17,MATCH(F938,'Paramètres'!$M$6:$M$17,0))="Oui",1,0),0))</f>
        <v/>
      </c>
      <c r="AW938" s="62">
        <f>IF(E938="","",IF(G938&lt;&gt;"",G938,IF(OR(E938="Proposition envoyée",E938="Signature"),MAX(0,N(IFERROR(INDEX('Paramètres'!$R$6:$R$15,MATCH(IF(AL938&lt;&gt;"",AL938,IFERROR(INDEX('Prospects'!$AN$5:$AN$504,MATCH(C938,'Prospects'!$C$5:$C$504,0)),"")),'Paramètres'!$Q$6:$Q$15,0)),0))-N(P938)),0)))</f>
        <v/>
      </c>
      <c r="AX938" s="61">
        <f>IF(C938="","",IF(COUNTIF($C$5:C938,C938)=1,MAX($AX$4:AX937)+1,""))</f>
        <v/>
      </c>
      <c r="AY938" s="61">
        <f>IF(B938="","",HOUR(B938))</f>
        <v/>
      </c>
      <c r="AZ938" s="61">
        <f>IF(A938="","",MOD(A938-2,7)+1)</f>
        <v/>
      </c>
      <c r="BA938" s="60">
        <f>IF(C938="","",IFERROR(INDEX('Prospects'!$N$5:$N$504,MATCH(C938,'Prospects'!$C$5:$C$504,0)),""))</f>
        <v/>
      </c>
      <c r="BB938" s="61">
        <f>IF(AND(C938&lt;&gt;"",C938='Fiche prospect'!$C$4),COUNTIF($C$5:C938,C938),"")</f>
        <v/>
      </c>
    </row>
    <row r="939">
      <c r="A939" s="53" t="n"/>
      <c r="B939" s="54" t="n"/>
      <c r="C939" s="55" t="n"/>
      <c r="D939" s="55" t="n"/>
      <c r="E939" s="55" t="n"/>
      <c r="F939" s="55" t="n"/>
      <c r="G939" s="56" t="n"/>
      <c r="H939" s="57" t="n"/>
      <c r="I939" s="55" t="n"/>
      <c r="J939" s="53" t="n"/>
      <c r="K939" s="54" t="n"/>
      <c r="L939" s="55" t="n"/>
      <c r="M939" s="55" t="n"/>
      <c r="N939" s="57" t="n"/>
      <c r="O939" s="55" t="n"/>
      <c r="P939" s="56" t="n"/>
      <c r="Q939" s="55" t="n"/>
      <c r="R939" s="55" t="n"/>
      <c r="S939" s="55" t="n"/>
      <c r="T939" s="55" t="n"/>
      <c r="U939" s="55" t="n"/>
      <c r="V939" s="55" t="n"/>
      <c r="W939" s="58" t="n"/>
      <c r="X939" s="58" t="n"/>
      <c r="Y939" s="55" t="n"/>
      <c r="Z939" s="55" t="n"/>
      <c r="AA939" s="55" t="n"/>
      <c r="AB939" s="55" t="n"/>
      <c r="AC939" s="55" t="n"/>
      <c r="AD939" s="53" t="n"/>
      <c r="AE939" s="55" t="n"/>
      <c r="AF939" s="55" t="n"/>
      <c r="AG939" s="59" t="n"/>
      <c r="AH939" s="57" t="n"/>
      <c r="AI939" s="55" t="n"/>
      <c r="AJ939" s="55" t="n"/>
      <c r="AK939" s="55" t="n"/>
      <c r="AL939" s="55" t="n"/>
      <c r="AM939" s="56" t="n"/>
      <c r="AN939" s="55" t="n"/>
      <c r="AO939" s="55" t="n"/>
      <c r="AP939" s="55" t="n"/>
      <c r="AQ939" s="55" t="n"/>
      <c r="AR939" s="60">
        <f>IF(AND(C939="",E939=""),"",IF(A939="","⚠ Date manquante",IF(AND(C939="",E939&lt;&gt;"Dépense"),"⚠ Prospect manquant",IF(E939="","⚠ Action manquante",IF(AND(AU939=1,D939=""),"⚠ Canal manquant",IF(AND(W939&lt;&gt;"",COUNTIFS('Saisie'!$W$5:$W$2004,W939,'Saisie'!$C$5:$C$2004,"&lt;&gt;"&amp;C939)&gt;0),"⚠ Numéro déjà utilisé par un autre prospect",IF(AND(J939&lt;&gt;"",J939&lt;A939),"⚠ Relance avant la date de l'action",IF(A939&gt;TODAY(),"⚠ Date dans le futur","✓"))))))))</f>
        <v/>
      </c>
      <c r="AS939" s="61">
        <f>IF(AND(A939="",C939="",E939=""),"",ROW())</f>
        <v/>
      </c>
      <c r="AT939" s="61">
        <f>IF(E939&amp;F939="","",MAX(IFERROR(INDEX('Paramètres'!$J$6:$J$33,MATCH(E939,'Paramètres'!$I$6:$I$33,0)),0),IFERROR(INDEX('Paramètres'!$N$6:$N$17,MATCH(F939,'Paramètres'!$M$6:$M$17,0)),0)))</f>
        <v/>
      </c>
      <c r="AU939" s="61">
        <f>IF(E939="","",IFERROR(IF(INDEX('Paramètres'!$K$6:$K$33,MATCH(E939,'Paramètres'!$I$6:$I$33,0))="Oui",1,0),0))</f>
        <v/>
      </c>
      <c r="AV939" s="61">
        <f>IF(F939="","",IFERROR(IF(INDEX('Paramètres'!$O$6:$O$17,MATCH(F939,'Paramètres'!$M$6:$M$17,0))="Oui",1,0),0))</f>
        <v/>
      </c>
      <c r="AW939" s="62">
        <f>IF(E939="","",IF(G939&lt;&gt;"",G939,IF(OR(E939="Proposition envoyée",E939="Signature"),MAX(0,N(IFERROR(INDEX('Paramètres'!$R$6:$R$15,MATCH(IF(AL939&lt;&gt;"",AL939,IFERROR(INDEX('Prospects'!$AN$5:$AN$504,MATCH(C939,'Prospects'!$C$5:$C$504,0)),"")),'Paramètres'!$Q$6:$Q$15,0)),0))-N(P939)),0)))</f>
        <v/>
      </c>
      <c r="AX939" s="61">
        <f>IF(C939="","",IF(COUNTIF($C$5:C939,C939)=1,MAX($AX$4:AX938)+1,""))</f>
        <v/>
      </c>
      <c r="AY939" s="61">
        <f>IF(B939="","",HOUR(B939))</f>
        <v/>
      </c>
      <c r="AZ939" s="61">
        <f>IF(A939="","",MOD(A939-2,7)+1)</f>
        <v/>
      </c>
      <c r="BA939" s="60">
        <f>IF(C939="","",IFERROR(INDEX('Prospects'!$N$5:$N$504,MATCH(C939,'Prospects'!$C$5:$C$504,0)),""))</f>
        <v/>
      </c>
      <c r="BB939" s="61">
        <f>IF(AND(C939&lt;&gt;"",C939='Fiche prospect'!$C$4),COUNTIF($C$5:C939,C939),"")</f>
        <v/>
      </c>
    </row>
    <row r="940">
      <c r="A940" s="53" t="n"/>
      <c r="B940" s="54" t="n"/>
      <c r="C940" s="55" t="n"/>
      <c r="D940" s="55" t="n"/>
      <c r="E940" s="55" t="n"/>
      <c r="F940" s="55" t="n"/>
      <c r="G940" s="56" t="n"/>
      <c r="H940" s="57" t="n"/>
      <c r="I940" s="55" t="n"/>
      <c r="J940" s="53" t="n"/>
      <c r="K940" s="54" t="n"/>
      <c r="L940" s="55" t="n"/>
      <c r="M940" s="55" t="n"/>
      <c r="N940" s="57" t="n"/>
      <c r="O940" s="55" t="n"/>
      <c r="P940" s="56" t="n"/>
      <c r="Q940" s="55" t="n"/>
      <c r="R940" s="55" t="n"/>
      <c r="S940" s="55" t="n"/>
      <c r="T940" s="55" t="n"/>
      <c r="U940" s="55" t="n"/>
      <c r="V940" s="55" t="n"/>
      <c r="W940" s="58" t="n"/>
      <c r="X940" s="58" t="n"/>
      <c r="Y940" s="55" t="n"/>
      <c r="Z940" s="55" t="n"/>
      <c r="AA940" s="55" t="n"/>
      <c r="AB940" s="55" t="n"/>
      <c r="AC940" s="55" t="n"/>
      <c r="AD940" s="53" t="n"/>
      <c r="AE940" s="55" t="n"/>
      <c r="AF940" s="55" t="n"/>
      <c r="AG940" s="59" t="n"/>
      <c r="AH940" s="57" t="n"/>
      <c r="AI940" s="55" t="n"/>
      <c r="AJ940" s="55" t="n"/>
      <c r="AK940" s="55" t="n"/>
      <c r="AL940" s="55" t="n"/>
      <c r="AM940" s="56" t="n"/>
      <c r="AN940" s="55" t="n"/>
      <c r="AO940" s="55" t="n"/>
      <c r="AP940" s="55" t="n"/>
      <c r="AQ940" s="55" t="n"/>
      <c r="AR940" s="60">
        <f>IF(AND(C940="",E940=""),"",IF(A940="","⚠ Date manquante",IF(AND(C940="",E940&lt;&gt;"Dépense"),"⚠ Prospect manquant",IF(E940="","⚠ Action manquante",IF(AND(AU940=1,D940=""),"⚠ Canal manquant",IF(AND(W940&lt;&gt;"",COUNTIFS('Saisie'!$W$5:$W$2004,W940,'Saisie'!$C$5:$C$2004,"&lt;&gt;"&amp;C940)&gt;0),"⚠ Numéro déjà utilisé par un autre prospect",IF(AND(J940&lt;&gt;"",J940&lt;A940),"⚠ Relance avant la date de l'action",IF(A940&gt;TODAY(),"⚠ Date dans le futur","✓"))))))))</f>
        <v/>
      </c>
      <c r="AS940" s="61">
        <f>IF(AND(A940="",C940="",E940=""),"",ROW())</f>
        <v/>
      </c>
      <c r="AT940" s="61">
        <f>IF(E940&amp;F940="","",MAX(IFERROR(INDEX('Paramètres'!$J$6:$J$33,MATCH(E940,'Paramètres'!$I$6:$I$33,0)),0),IFERROR(INDEX('Paramètres'!$N$6:$N$17,MATCH(F940,'Paramètres'!$M$6:$M$17,0)),0)))</f>
        <v/>
      </c>
      <c r="AU940" s="61">
        <f>IF(E940="","",IFERROR(IF(INDEX('Paramètres'!$K$6:$K$33,MATCH(E940,'Paramètres'!$I$6:$I$33,0))="Oui",1,0),0))</f>
        <v/>
      </c>
      <c r="AV940" s="61">
        <f>IF(F940="","",IFERROR(IF(INDEX('Paramètres'!$O$6:$O$17,MATCH(F940,'Paramètres'!$M$6:$M$17,0))="Oui",1,0),0))</f>
        <v/>
      </c>
      <c r="AW940" s="62">
        <f>IF(E940="","",IF(G940&lt;&gt;"",G940,IF(OR(E940="Proposition envoyée",E940="Signature"),MAX(0,N(IFERROR(INDEX('Paramètres'!$R$6:$R$15,MATCH(IF(AL940&lt;&gt;"",AL940,IFERROR(INDEX('Prospects'!$AN$5:$AN$504,MATCH(C940,'Prospects'!$C$5:$C$504,0)),"")),'Paramètres'!$Q$6:$Q$15,0)),0))-N(P940)),0)))</f>
        <v/>
      </c>
      <c r="AX940" s="61">
        <f>IF(C940="","",IF(COUNTIF($C$5:C940,C940)=1,MAX($AX$4:AX939)+1,""))</f>
        <v/>
      </c>
      <c r="AY940" s="61">
        <f>IF(B940="","",HOUR(B940))</f>
        <v/>
      </c>
      <c r="AZ940" s="61">
        <f>IF(A940="","",MOD(A940-2,7)+1)</f>
        <v/>
      </c>
      <c r="BA940" s="60">
        <f>IF(C940="","",IFERROR(INDEX('Prospects'!$N$5:$N$504,MATCH(C940,'Prospects'!$C$5:$C$504,0)),""))</f>
        <v/>
      </c>
      <c r="BB940" s="61">
        <f>IF(AND(C940&lt;&gt;"",C940='Fiche prospect'!$C$4),COUNTIF($C$5:C940,C940),"")</f>
        <v/>
      </c>
    </row>
    <row r="941">
      <c r="A941" s="53" t="n"/>
      <c r="B941" s="54" t="n"/>
      <c r="C941" s="55" t="n"/>
      <c r="D941" s="55" t="n"/>
      <c r="E941" s="55" t="n"/>
      <c r="F941" s="55" t="n"/>
      <c r="G941" s="56" t="n"/>
      <c r="H941" s="57" t="n"/>
      <c r="I941" s="55" t="n"/>
      <c r="J941" s="53" t="n"/>
      <c r="K941" s="54" t="n"/>
      <c r="L941" s="55" t="n"/>
      <c r="M941" s="55" t="n"/>
      <c r="N941" s="57" t="n"/>
      <c r="O941" s="55" t="n"/>
      <c r="P941" s="56" t="n"/>
      <c r="Q941" s="55" t="n"/>
      <c r="R941" s="55" t="n"/>
      <c r="S941" s="55" t="n"/>
      <c r="T941" s="55" t="n"/>
      <c r="U941" s="55" t="n"/>
      <c r="V941" s="55" t="n"/>
      <c r="W941" s="58" t="n"/>
      <c r="X941" s="58" t="n"/>
      <c r="Y941" s="55" t="n"/>
      <c r="Z941" s="55" t="n"/>
      <c r="AA941" s="55" t="n"/>
      <c r="AB941" s="55" t="n"/>
      <c r="AC941" s="55" t="n"/>
      <c r="AD941" s="53" t="n"/>
      <c r="AE941" s="55" t="n"/>
      <c r="AF941" s="55" t="n"/>
      <c r="AG941" s="59" t="n"/>
      <c r="AH941" s="57" t="n"/>
      <c r="AI941" s="55" t="n"/>
      <c r="AJ941" s="55" t="n"/>
      <c r="AK941" s="55" t="n"/>
      <c r="AL941" s="55" t="n"/>
      <c r="AM941" s="56" t="n"/>
      <c r="AN941" s="55" t="n"/>
      <c r="AO941" s="55" t="n"/>
      <c r="AP941" s="55" t="n"/>
      <c r="AQ941" s="55" t="n"/>
      <c r="AR941" s="60">
        <f>IF(AND(C941="",E941=""),"",IF(A941="","⚠ Date manquante",IF(AND(C941="",E941&lt;&gt;"Dépense"),"⚠ Prospect manquant",IF(E941="","⚠ Action manquante",IF(AND(AU941=1,D941=""),"⚠ Canal manquant",IF(AND(W941&lt;&gt;"",COUNTIFS('Saisie'!$W$5:$W$2004,W941,'Saisie'!$C$5:$C$2004,"&lt;&gt;"&amp;C941)&gt;0),"⚠ Numéro déjà utilisé par un autre prospect",IF(AND(J941&lt;&gt;"",J941&lt;A941),"⚠ Relance avant la date de l'action",IF(A941&gt;TODAY(),"⚠ Date dans le futur","✓"))))))))</f>
        <v/>
      </c>
      <c r="AS941" s="61">
        <f>IF(AND(A941="",C941="",E941=""),"",ROW())</f>
        <v/>
      </c>
      <c r="AT941" s="61">
        <f>IF(E941&amp;F941="","",MAX(IFERROR(INDEX('Paramètres'!$J$6:$J$33,MATCH(E941,'Paramètres'!$I$6:$I$33,0)),0),IFERROR(INDEX('Paramètres'!$N$6:$N$17,MATCH(F941,'Paramètres'!$M$6:$M$17,0)),0)))</f>
        <v/>
      </c>
      <c r="AU941" s="61">
        <f>IF(E941="","",IFERROR(IF(INDEX('Paramètres'!$K$6:$K$33,MATCH(E941,'Paramètres'!$I$6:$I$33,0))="Oui",1,0),0))</f>
        <v/>
      </c>
      <c r="AV941" s="61">
        <f>IF(F941="","",IFERROR(IF(INDEX('Paramètres'!$O$6:$O$17,MATCH(F941,'Paramètres'!$M$6:$M$17,0))="Oui",1,0),0))</f>
        <v/>
      </c>
      <c r="AW941" s="62">
        <f>IF(E941="","",IF(G941&lt;&gt;"",G941,IF(OR(E941="Proposition envoyée",E941="Signature"),MAX(0,N(IFERROR(INDEX('Paramètres'!$R$6:$R$15,MATCH(IF(AL941&lt;&gt;"",AL941,IFERROR(INDEX('Prospects'!$AN$5:$AN$504,MATCH(C941,'Prospects'!$C$5:$C$504,0)),"")),'Paramètres'!$Q$6:$Q$15,0)),0))-N(P941)),0)))</f>
        <v/>
      </c>
      <c r="AX941" s="61">
        <f>IF(C941="","",IF(COUNTIF($C$5:C941,C941)=1,MAX($AX$4:AX940)+1,""))</f>
        <v/>
      </c>
      <c r="AY941" s="61">
        <f>IF(B941="","",HOUR(B941))</f>
        <v/>
      </c>
      <c r="AZ941" s="61">
        <f>IF(A941="","",MOD(A941-2,7)+1)</f>
        <v/>
      </c>
      <c r="BA941" s="60">
        <f>IF(C941="","",IFERROR(INDEX('Prospects'!$N$5:$N$504,MATCH(C941,'Prospects'!$C$5:$C$504,0)),""))</f>
        <v/>
      </c>
      <c r="BB941" s="61">
        <f>IF(AND(C941&lt;&gt;"",C941='Fiche prospect'!$C$4),COUNTIF($C$5:C941,C941),"")</f>
        <v/>
      </c>
    </row>
    <row r="942">
      <c r="A942" s="53" t="n"/>
      <c r="B942" s="54" t="n"/>
      <c r="C942" s="55" t="n"/>
      <c r="D942" s="55" t="n"/>
      <c r="E942" s="55" t="n"/>
      <c r="F942" s="55" t="n"/>
      <c r="G942" s="56" t="n"/>
      <c r="H942" s="57" t="n"/>
      <c r="I942" s="55" t="n"/>
      <c r="J942" s="53" t="n"/>
      <c r="K942" s="54" t="n"/>
      <c r="L942" s="55" t="n"/>
      <c r="M942" s="55" t="n"/>
      <c r="N942" s="57" t="n"/>
      <c r="O942" s="55" t="n"/>
      <c r="P942" s="56" t="n"/>
      <c r="Q942" s="55" t="n"/>
      <c r="R942" s="55" t="n"/>
      <c r="S942" s="55" t="n"/>
      <c r="T942" s="55" t="n"/>
      <c r="U942" s="55" t="n"/>
      <c r="V942" s="55" t="n"/>
      <c r="W942" s="58" t="n"/>
      <c r="X942" s="58" t="n"/>
      <c r="Y942" s="55" t="n"/>
      <c r="Z942" s="55" t="n"/>
      <c r="AA942" s="55" t="n"/>
      <c r="AB942" s="55" t="n"/>
      <c r="AC942" s="55" t="n"/>
      <c r="AD942" s="53" t="n"/>
      <c r="AE942" s="55" t="n"/>
      <c r="AF942" s="55" t="n"/>
      <c r="AG942" s="59" t="n"/>
      <c r="AH942" s="57" t="n"/>
      <c r="AI942" s="55" t="n"/>
      <c r="AJ942" s="55" t="n"/>
      <c r="AK942" s="55" t="n"/>
      <c r="AL942" s="55" t="n"/>
      <c r="AM942" s="56" t="n"/>
      <c r="AN942" s="55" t="n"/>
      <c r="AO942" s="55" t="n"/>
      <c r="AP942" s="55" t="n"/>
      <c r="AQ942" s="55" t="n"/>
      <c r="AR942" s="60">
        <f>IF(AND(C942="",E942=""),"",IF(A942="","⚠ Date manquante",IF(AND(C942="",E942&lt;&gt;"Dépense"),"⚠ Prospect manquant",IF(E942="","⚠ Action manquante",IF(AND(AU942=1,D942=""),"⚠ Canal manquant",IF(AND(W942&lt;&gt;"",COUNTIFS('Saisie'!$W$5:$W$2004,W942,'Saisie'!$C$5:$C$2004,"&lt;&gt;"&amp;C942)&gt;0),"⚠ Numéro déjà utilisé par un autre prospect",IF(AND(J942&lt;&gt;"",J942&lt;A942),"⚠ Relance avant la date de l'action",IF(A942&gt;TODAY(),"⚠ Date dans le futur","✓"))))))))</f>
        <v/>
      </c>
      <c r="AS942" s="61">
        <f>IF(AND(A942="",C942="",E942=""),"",ROW())</f>
        <v/>
      </c>
      <c r="AT942" s="61">
        <f>IF(E942&amp;F942="","",MAX(IFERROR(INDEX('Paramètres'!$J$6:$J$33,MATCH(E942,'Paramètres'!$I$6:$I$33,0)),0),IFERROR(INDEX('Paramètres'!$N$6:$N$17,MATCH(F942,'Paramètres'!$M$6:$M$17,0)),0)))</f>
        <v/>
      </c>
      <c r="AU942" s="61">
        <f>IF(E942="","",IFERROR(IF(INDEX('Paramètres'!$K$6:$K$33,MATCH(E942,'Paramètres'!$I$6:$I$33,0))="Oui",1,0),0))</f>
        <v/>
      </c>
      <c r="AV942" s="61">
        <f>IF(F942="","",IFERROR(IF(INDEX('Paramètres'!$O$6:$O$17,MATCH(F942,'Paramètres'!$M$6:$M$17,0))="Oui",1,0),0))</f>
        <v/>
      </c>
      <c r="AW942" s="62">
        <f>IF(E942="","",IF(G942&lt;&gt;"",G942,IF(OR(E942="Proposition envoyée",E942="Signature"),MAX(0,N(IFERROR(INDEX('Paramètres'!$R$6:$R$15,MATCH(IF(AL942&lt;&gt;"",AL942,IFERROR(INDEX('Prospects'!$AN$5:$AN$504,MATCH(C942,'Prospects'!$C$5:$C$504,0)),"")),'Paramètres'!$Q$6:$Q$15,0)),0))-N(P942)),0)))</f>
        <v/>
      </c>
      <c r="AX942" s="61">
        <f>IF(C942="","",IF(COUNTIF($C$5:C942,C942)=1,MAX($AX$4:AX941)+1,""))</f>
        <v/>
      </c>
      <c r="AY942" s="61">
        <f>IF(B942="","",HOUR(B942))</f>
        <v/>
      </c>
      <c r="AZ942" s="61">
        <f>IF(A942="","",MOD(A942-2,7)+1)</f>
        <v/>
      </c>
      <c r="BA942" s="60">
        <f>IF(C942="","",IFERROR(INDEX('Prospects'!$N$5:$N$504,MATCH(C942,'Prospects'!$C$5:$C$504,0)),""))</f>
        <v/>
      </c>
      <c r="BB942" s="61">
        <f>IF(AND(C942&lt;&gt;"",C942='Fiche prospect'!$C$4),COUNTIF($C$5:C942,C942),"")</f>
        <v/>
      </c>
    </row>
    <row r="943">
      <c r="A943" s="53" t="n"/>
      <c r="B943" s="54" t="n"/>
      <c r="C943" s="55" t="n"/>
      <c r="D943" s="55" t="n"/>
      <c r="E943" s="55" t="n"/>
      <c r="F943" s="55" t="n"/>
      <c r="G943" s="56" t="n"/>
      <c r="H943" s="57" t="n"/>
      <c r="I943" s="55" t="n"/>
      <c r="J943" s="53" t="n"/>
      <c r="K943" s="54" t="n"/>
      <c r="L943" s="55" t="n"/>
      <c r="M943" s="55" t="n"/>
      <c r="N943" s="57" t="n"/>
      <c r="O943" s="55" t="n"/>
      <c r="P943" s="56" t="n"/>
      <c r="Q943" s="55" t="n"/>
      <c r="R943" s="55" t="n"/>
      <c r="S943" s="55" t="n"/>
      <c r="T943" s="55" t="n"/>
      <c r="U943" s="55" t="n"/>
      <c r="V943" s="55" t="n"/>
      <c r="W943" s="58" t="n"/>
      <c r="X943" s="58" t="n"/>
      <c r="Y943" s="55" t="n"/>
      <c r="Z943" s="55" t="n"/>
      <c r="AA943" s="55" t="n"/>
      <c r="AB943" s="55" t="n"/>
      <c r="AC943" s="55" t="n"/>
      <c r="AD943" s="53" t="n"/>
      <c r="AE943" s="55" t="n"/>
      <c r="AF943" s="55" t="n"/>
      <c r="AG943" s="59" t="n"/>
      <c r="AH943" s="57" t="n"/>
      <c r="AI943" s="55" t="n"/>
      <c r="AJ943" s="55" t="n"/>
      <c r="AK943" s="55" t="n"/>
      <c r="AL943" s="55" t="n"/>
      <c r="AM943" s="56" t="n"/>
      <c r="AN943" s="55" t="n"/>
      <c r="AO943" s="55" t="n"/>
      <c r="AP943" s="55" t="n"/>
      <c r="AQ943" s="55" t="n"/>
      <c r="AR943" s="60">
        <f>IF(AND(C943="",E943=""),"",IF(A943="","⚠ Date manquante",IF(AND(C943="",E943&lt;&gt;"Dépense"),"⚠ Prospect manquant",IF(E943="","⚠ Action manquante",IF(AND(AU943=1,D943=""),"⚠ Canal manquant",IF(AND(W943&lt;&gt;"",COUNTIFS('Saisie'!$W$5:$W$2004,W943,'Saisie'!$C$5:$C$2004,"&lt;&gt;"&amp;C943)&gt;0),"⚠ Numéro déjà utilisé par un autre prospect",IF(AND(J943&lt;&gt;"",J943&lt;A943),"⚠ Relance avant la date de l'action",IF(A943&gt;TODAY(),"⚠ Date dans le futur","✓"))))))))</f>
        <v/>
      </c>
      <c r="AS943" s="61">
        <f>IF(AND(A943="",C943="",E943=""),"",ROW())</f>
        <v/>
      </c>
      <c r="AT943" s="61">
        <f>IF(E943&amp;F943="","",MAX(IFERROR(INDEX('Paramètres'!$J$6:$J$33,MATCH(E943,'Paramètres'!$I$6:$I$33,0)),0),IFERROR(INDEX('Paramètres'!$N$6:$N$17,MATCH(F943,'Paramètres'!$M$6:$M$17,0)),0)))</f>
        <v/>
      </c>
      <c r="AU943" s="61">
        <f>IF(E943="","",IFERROR(IF(INDEX('Paramètres'!$K$6:$K$33,MATCH(E943,'Paramètres'!$I$6:$I$33,0))="Oui",1,0),0))</f>
        <v/>
      </c>
      <c r="AV943" s="61">
        <f>IF(F943="","",IFERROR(IF(INDEX('Paramètres'!$O$6:$O$17,MATCH(F943,'Paramètres'!$M$6:$M$17,0))="Oui",1,0),0))</f>
        <v/>
      </c>
      <c r="AW943" s="62">
        <f>IF(E943="","",IF(G943&lt;&gt;"",G943,IF(OR(E943="Proposition envoyée",E943="Signature"),MAX(0,N(IFERROR(INDEX('Paramètres'!$R$6:$R$15,MATCH(IF(AL943&lt;&gt;"",AL943,IFERROR(INDEX('Prospects'!$AN$5:$AN$504,MATCH(C943,'Prospects'!$C$5:$C$504,0)),"")),'Paramètres'!$Q$6:$Q$15,0)),0))-N(P943)),0)))</f>
        <v/>
      </c>
      <c r="AX943" s="61">
        <f>IF(C943="","",IF(COUNTIF($C$5:C943,C943)=1,MAX($AX$4:AX942)+1,""))</f>
        <v/>
      </c>
      <c r="AY943" s="61">
        <f>IF(B943="","",HOUR(B943))</f>
        <v/>
      </c>
      <c r="AZ943" s="61">
        <f>IF(A943="","",MOD(A943-2,7)+1)</f>
        <v/>
      </c>
      <c r="BA943" s="60">
        <f>IF(C943="","",IFERROR(INDEX('Prospects'!$N$5:$N$504,MATCH(C943,'Prospects'!$C$5:$C$504,0)),""))</f>
        <v/>
      </c>
      <c r="BB943" s="61">
        <f>IF(AND(C943&lt;&gt;"",C943='Fiche prospect'!$C$4),COUNTIF($C$5:C943,C943),"")</f>
        <v/>
      </c>
    </row>
    <row r="944">
      <c r="A944" s="53" t="n"/>
      <c r="B944" s="54" t="n"/>
      <c r="C944" s="55" t="n"/>
      <c r="D944" s="55" t="n"/>
      <c r="E944" s="55" t="n"/>
      <c r="F944" s="55" t="n"/>
      <c r="G944" s="56" t="n"/>
      <c r="H944" s="57" t="n"/>
      <c r="I944" s="55" t="n"/>
      <c r="J944" s="53" t="n"/>
      <c r="K944" s="54" t="n"/>
      <c r="L944" s="55" t="n"/>
      <c r="M944" s="55" t="n"/>
      <c r="N944" s="57" t="n"/>
      <c r="O944" s="55" t="n"/>
      <c r="P944" s="56" t="n"/>
      <c r="Q944" s="55" t="n"/>
      <c r="R944" s="55" t="n"/>
      <c r="S944" s="55" t="n"/>
      <c r="T944" s="55" t="n"/>
      <c r="U944" s="55" t="n"/>
      <c r="V944" s="55" t="n"/>
      <c r="W944" s="58" t="n"/>
      <c r="X944" s="58" t="n"/>
      <c r="Y944" s="55" t="n"/>
      <c r="Z944" s="55" t="n"/>
      <c r="AA944" s="55" t="n"/>
      <c r="AB944" s="55" t="n"/>
      <c r="AC944" s="55" t="n"/>
      <c r="AD944" s="53" t="n"/>
      <c r="AE944" s="55" t="n"/>
      <c r="AF944" s="55" t="n"/>
      <c r="AG944" s="59" t="n"/>
      <c r="AH944" s="57" t="n"/>
      <c r="AI944" s="55" t="n"/>
      <c r="AJ944" s="55" t="n"/>
      <c r="AK944" s="55" t="n"/>
      <c r="AL944" s="55" t="n"/>
      <c r="AM944" s="56" t="n"/>
      <c r="AN944" s="55" t="n"/>
      <c r="AO944" s="55" t="n"/>
      <c r="AP944" s="55" t="n"/>
      <c r="AQ944" s="55" t="n"/>
      <c r="AR944" s="60">
        <f>IF(AND(C944="",E944=""),"",IF(A944="","⚠ Date manquante",IF(AND(C944="",E944&lt;&gt;"Dépense"),"⚠ Prospect manquant",IF(E944="","⚠ Action manquante",IF(AND(AU944=1,D944=""),"⚠ Canal manquant",IF(AND(W944&lt;&gt;"",COUNTIFS('Saisie'!$W$5:$W$2004,W944,'Saisie'!$C$5:$C$2004,"&lt;&gt;"&amp;C944)&gt;0),"⚠ Numéro déjà utilisé par un autre prospect",IF(AND(J944&lt;&gt;"",J944&lt;A944),"⚠ Relance avant la date de l'action",IF(A944&gt;TODAY(),"⚠ Date dans le futur","✓"))))))))</f>
        <v/>
      </c>
      <c r="AS944" s="61">
        <f>IF(AND(A944="",C944="",E944=""),"",ROW())</f>
        <v/>
      </c>
      <c r="AT944" s="61">
        <f>IF(E944&amp;F944="","",MAX(IFERROR(INDEX('Paramètres'!$J$6:$J$33,MATCH(E944,'Paramètres'!$I$6:$I$33,0)),0),IFERROR(INDEX('Paramètres'!$N$6:$N$17,MATCH(F944,'Paramètres'!$M$6:$M$17,0)),0)))</f>
        <v/>
      </c>
      <c r="AU944" s="61">
        <f>IF(E944="","",IFERROR(IF(INDEX('Paramètres'!$K$6:$K$33,MATCH(E944,'Paramètres'!$I$6:$I$33,0))="Oui",1,0),0))</f>
        <v/>
      </c>
      <c r="AV944" s="61">
        <f>IF(F944="","",IFERROR(IF(INDEX('Paramètres'!$O$6:$O$17,MATCH(F944,'Paramètres'!$M$6:$M$17,0))="Oui",1,0),0))</f>
        <v/>
      </c>
      <c r="AW944" s="62">
        <f>IF(E944="","",IF(G944&lt;&gt;"",G944,IF(OR(E944="Proposition envoyée",E944="Signature"),MAX(0,N(IFERROR(INDEX('Paramètres'!$R$6:$R$15,MATCH(IF(AL944&lt;&gt;"",AL944,IFERROR(INDEX('Prospects'!$AN$5:$AN$504,MATCH(C944,'Prospects'!$C$5:$C$504,0)),"")),'Paramètres'!$Q$6:$Q$15,0)),0))-N(P944)),0)))</f>
        <v/>
      </c>
      <c r="AX944" s="61">
        <f>IF(C944="","",IF(COUNTIF($C$5:C944,C944)=1,MAX($AX$4:AX943)+1,""))</f>
        <v/>
      </c>
      <c r="AY944" s="61">
        <f>IF(B944="","",HOUR(B944))</f>
        <v/>
      </c>
      <c r="AZ944" s="61">
        <f>IF(A944="","",MOD(A944-2,7)+1)</f>
        <v/>
      </c>
      <c r="BA944" s="60">
        <f>IF(C944="","",IFERROR(INDEX('Prospects'!$N$5:$N$504,MATCH(C944,'Prospects'!$C$5:$C$504,0)),""))</f>
        <v/>
      </c>
      <c r="BB944" s="61">
        <f>IF(AND(C944&lt;&gt;"",C944='Fiche prospect'!$C$4),COUNTIF($C$5:C944,C944),"")</f>
        <v/>
      </c>
    </row>
    <row r="945">
      <c r="A945" s="53" t="n"/>
      <c r="B945" s="54" t="n"/>
      <c r="C945" s="55" t="n"/>
      <c r="D945" s="55" t="n"/>
      <c r="E945" s="55" t="n"/>
      <c r="F945" s="55" t="n"/>
      <c r="G945" s="56" t="n"/>
      <c r="H945" s="57" t="n"/>
      <c r="I945" s="55" t="n"/>
      <c r="J945" s="53" t="n"/>
      <c r="K945" s="54" t="n"/>
      <c r="L945" s="55" t="n"/>
      <c r="M945" s="55" t="n"/>
      <c r="N945" s="57" t="n"/>
      <c r="O945" s="55" t="n"/>
      <c r="P945" s="56" t="n"/>
      <c r="Q945" s="55" t="n"/>
      <c r="R945" s="55" t="n"/>
      <c r="S945" s="55" t="n"/>
      <c r="T945" s="55" t="n"/>
      <c r="U945" s="55" t="n"/>
      <c r="V945" s="55" t="n"/>
      <c r="W945" s="58" t="n"/>
      <c r="X945" s="58" t="n"/>
      <c r="Y945" s="55" t="n"/>
      <c r="Z945" s="55" t="n"/>
      <c r="AA945" s="55" t="n"/>
      <c r="AB945" s="55" t="n"/>
      <c r="AC945" s="55" t="n"/>
      <c r="AD945" s="53" t="n"/>
      <c r="AE945" s="55" t="n"/>
      <c r="AF945" s="55" t="n"/>
      <c r="AG945" s="59" t="n"/>
      <c r="AH945" s="57" t="n"/>
      <c r="AI945" s="55" t="n"/>
      <c r="AJ945" s="55" t="n"/>
      <c r="AK945" s="55" t="n"/>
      <c r="AL945" s="55" t="n"/>
      <c r="AM945" s="56" t="n"/>
      <c r="AN945" s="55" t="n"/>
      <c r="AO945" s="55" t="n"/>
      <c r="AP945" s="55" t="n"/>
      <c r="AQ945" s="55" t="n"/>
      <c r="AR945" s="60">
        <f>IF(AND(C945="",E945=""),"",IF(A945="","⚠ Date manquante",IF(AND(C945="",E945&lt;&gt;"Dépense"),"⚠ Prospect manquant",IF(E945="","⚠ Action manquante",IF(AND(AU945=1,D945=""),"⚠ Canal manquant",IF(AND(W945&lt;&gt;"",COUNTIFS('Saisie'!$W$5:$W$2004,W945,'Saisie'!$C$5:$C$2004,"&lt;&gt;"&amp;C945)&gt;0),"⚠ Numéro déjà utilisé par un autre prospect",IF(AND(J945&lt;&gt;"",J945&lt;A945),"⚠ Relance avant la date de l'action",IF(A945&gt;TODAY(),"⚠ Date dans le futur","✓"))))))))</f>
        <v/>
      </c>
      <c r="AS945" s="61">
        <f>IF(AND(A945="",C945="",E945=""),"",ROW())</f>
        <v/>
      </c>
      <c r="AT945" s="61">
        <f>IF(E945&amp;F945="","",MAX(IFERROR(INDEX('Paramètres'!$J$6:$J$33,MATCH(E945,'Paramètres'!$I$6:$I$33,0)),0),IFERROR(INDEX('Paramètres'!$N$6:$N$17,MATCH(F945,'Paramètres'!$M$6:$M$17,0)),0)))</f>
        <v/>
      </c>
      <c r="AU945" s="61">
        <f>IF(E945="","",IFERROR(IF(INDEX('Paramètres'!$K$6:$K$33,MATCH(E945,'Paramètres'!$I$6:$I$33,0))="Oui",1,0),0))</f>
        <v/>
      </c>
      <c r="AV945" s="61">
        <f>IF(F945="","",IFERROR(IF(INDEX('Paramètres'!$O$6:$O$17,MATCH(F945,'Paramètres'!$M$6:$M$17,0))="Oui",1,0),0))</f>
        <v/>
      </c>
      <c r="AW945" s="62">
        <f>IF(E945="","",IF(G945&lt;&gt;"",G945,IF(OR(E945="Proposition envoyée",E945="Signature"),MAX(0,N(IFERROR(INDEX('Paramètres'!$R$6:$R$15,MATCH(IF(AL945&lt;&gt;"",AL945,IFERROR(INDEX('Prospects'!$AN$5:$AN$504,MATCH(C945,'Prospects'!$C$5:$C$504,0)),"")),'Paramètres'!$Q$6:$Q$15,0)),0))-N(P945)),0)))</f>
        <v/>
      </c>
      <c r="AX945" s="61">
        <f>IF(C945="","",IF(COUNTIF($C$5:C945,C945)=1,MAX($AX$4:AX944)+1,""))</f>
        <v/>
      </c>
      <c r="AY945" s="61">
        <f>IF(B945="","",HOUR(B945))</f>
        <v/>
      </c>
      <c r="AZ945" s="61">
        <f>IF(A945="","",MOD(A945-2,7)+1)</f>
        <v/>
      </c>
      <c r="BA945" s="60">
        <f>IF(C945="","",IFERROR(INDEX('Prospects'!$N$5:$N$504,MATCH(C945,'Prospects'!$C$5:$C$504,0)),""))</f>
        <v/>
      </c>
      <c r="BB945" s="61">
        <f>IF(AND(C945&lt;&gt;"",C945='Fiche prospect'!$C$4),COUNTIF($C$5:C945,C945),"")</f>
        <v/>
      </c>
    </row>
    <row r="946">
      <c r="A946" s="53" t="n"/>
      <c r="B946" s="54" t="n"/>
      <c r="C946" s="55" t="n"/>
      <c r="D946" s="55" t="n"/>
      <c r="E946" s="55" t="n"/>
      <c r="F946" s="55" t="n"/>
      <c r="G946" s="56" t="n"/>
      <c r="H946" s="57" t="n"/>
      <c r="I946" s="55" t="n"/>
      <c r="J946" s="53" t="n"/>
      <c r="K946" s="54" t="n"/>
      <c r="L946" s="55" t="n"/>
      <c r="M946" s="55" t="n"/>
      <c r="N946" s="57" t="n"/>
      <c r="O946" s="55" t="n"/>
      <c r="P946" s="56" t="n"/>
      <c r="Q946" s="55" t="n"/>
      <c r="R946" s="55" t="n"/>
      <c r="S946" s="55" t="n"/>
      <c r="T946" s="55" t="n"/>
      <c r="U946" s="55" t="n"/>
      <c r="V946" s="55" t="n"/>
      <c r="W946" s="58" t="n"/>
      <c r="X946" s="58" t="n"/>
      <c r="Y946" s="55" t="n"/>
      <c r="Z946" s="55" t="n"/>
      <c r="AA946" s="55" t="n"/>
      <c r="AB946" s="55" t="n"/>
      <c r="AC946" s="55" t="n"/>
      <c r="AD946" s="53" t="n"/>
      <c r="AE946" s="55" t="n"/>
      <c r="AF946" s="55" t="n"/>
      <c r="AG946" s="59" t="n"/>
      <c r="AH946" s="57" t="n"/>
      <c r="AI946" s="55" t="n"/>
      <c r="AJ946" s="55" t="n"/>
      <c r="AK946" s="55" t="n"/>
      <c r="AL946" s="55" t="n"/>
      <c r="AM946" s="56" t="n"/>
      <c r="AN946" s="55" t="n"/>
      <c r="AO946" s="55" t="n"/>
      <c r="AP946" s="55" t="n"/>
      <c r="AQ946" s="55" t="n"/>
      <c r="AR946" s="60">
        <f>IF(AND(C946="",E946=""),"",IF(A946="","⚠ Date manquante",IF(AND(C946="",E946&lt;&gt;"Dépense"),"⚠ Prospect manquant",IF(E946="","⚠ Action manquante",IF(AND(AU946=1,D946=""),"⚠ Canal manquant",IF(AND(W946&lt;&gt;"",COUNTIFS('Saisie'!$W$5:$W$2004,W946,'Saisie'!$C$5:$C$2004,"&lt;&gt;"&amp;C946)&gt;0),"⚠ Numéro déjà utilisé par un autre prospect",IF(AND(J946&lt;&gt;"",J946&lt;A946),"⚠ Relance avant la date de l'action",IF(A946&gt;TODAY(),"⚠ Date dans le futur","✓"))))))))</f>
        <v/>
      </c>
      <c r="AS946" s="61">
        <f>IF(AND(A946="",C946="",E946=""),"",ROW())</f>
        <v/>
      </c>
      <c r="AT946" s="61">
        <f>IF(E946&amp;F946="","",MAX(IFERROR(INDEX('Paramètres'!$J$6:$J$33,MATCH(E946,'Paramètres'!$I$6:$I$33,0)),0),IFERROR(INDEX('Paramètres'!$N$6:$N$17,MATCH(F946,'Paramètres'!$M$6:$M$17,0)),0)))</f>
        <v/>
      </c>
      <c r="AU946" s="61">
        <f>IF(E946="","",IFERROR(IF(INDEX('Paramètres'!$K$6:$K$33,MATCH(E946,'Paramètres'!$I$6:$I$33,0))="Oui",1,0),0))</f>
        <v/>
      </c>
      <c r="AV946" s="61">
        <f>IF(F946="","",IFERROR(IF(INDEX('Paramètres'!$O$6:$O$17,MATCH(F946,'Paramètres'!$M$6:$M$17,0))="Oui",1,0),0))</f>
        <v/>
      </c>
      <c r="AW946" s="62">
        <f>IF(E946="","",IF(G946&lt;&gt;"",G946,IF(OR(E946="Proposition envoyée",E946="Signature"),MAX(0,N(IFERROR(INDEX('Paramètres'!$R$6:$R$15,MATCH(IF(AL946&lt;&gt;"",AL946,IFERROR(INDEX('Prospects'!$AN$5:$AN$504,MATCH(C946,'Prospects'!$C$5:$C$504,0)),"")),'Paramètres'!$Q$6:$Q$15,0)),0))-N(P946)),0)))</f>
        <v/>
      </c>
      <c r="AX946" s="61">
        <f>IF(C946="","",IF(COUNTIF($C$5:C946,C946)=1,MAX($AX$4:AX945)+1,""))</f>
        <v/>
      </c>
      <c r="AY946" s="61">
        <f>IF(B946="","",HOUR(B946))</f>
        <v/>
      </c>
      <c r="AZ946" s="61">
        <f>IF(A946="","",MOD(A946-2,7)+1)</f>
        <v/>
      </c>
      <c r="BA946" s="60">
        <f>IF(C946="","",IFERROR(INDEX('Prospects'!$N$5:$N$504,MATCH(C946,'Prospects'!$C$5:$C$504,0)),""))</f>
        <v/>
      </c>
      <c r="BB946" s="61">
        <f>IF(AND(C946&lt;&gt;"",C946='Fiche prospect'!$C$4),COUNTIF($C$5:C946,C946),"")</f>
        <v/>
      </c>
    </row>
    <row r="947">
      <c r="A947" s="53" t="n"/>
      <c r="B947" s="54" t="n"/>
      <c r="C947" s="55" t="n"/>
      <c r="D947" s="55" t="n"/>
      <c r="E947" s="55" t="n"/>
      <c r="F947" s="55" t="n"/>
      <c r="G947" s="56" t="n"/>
      <c r="H947" s="57" t="n"/>
      <c r="I947" s="55" t="n"/>
      <c r="J947" s="53" t="n"/>
      <c r="K947" s="54" t="n"/>
      <c r="L947" s="55" t="n"/>
      <c r="M947" s="55" t="n"/>
      <c r="N947" s="57" t="n"/>
      <c r="O947" s="55" t="n"/>
      <c r="P947" s="56" t="n"/>
      <c r="Q947" s="55" t="n"/>
      <c r="R947" s="55" t="n"/>
      <c r="S947" s="55" t="n"/>
      <c r="T947" s="55" t="n"/>
      <c r="U947" s="55" t="n"/>
      <c r="V947" s="55" t="n"/>
      <c r="W947" s="58" t="n"/>
      <c r="X947" s="58" t="n"/>
      <c r="Y947" s="55" t="n"/>
      <c r="Z947" s="55" t="n"/>
      <c r="AA947" s="55" t="n"/>
      <c r="AB947" s="55" t="n"/>
      <c r="AC947" s="55" t="n"/>
      <c r="AD947" s="53" t="n"/>
      <c r="AE947" s="55" t="n"/>
      <c r="AF947" s="55" t="n"/>
      <c r="AG947" s="59" t="n"/>
      <c r="AH947" s="57" t="n"/>
      <c r="AI947" s="55" t="n"/>
      <c r="AJ947" s="55" t="n"/>
      <c r="AK947" s="55" t="n"/>
      <c r="AL947" s="55" t="n"/>
      <c r="AM947" s="56" t="n"/>
      <c r="AN947" s="55" t="n"/>
      <c r="AO947" s="55" t="n"/>
      <c r="AP947" s="55" t="n"/>
      <c r="AQ947" s="55" t="n"/>
      <c r="AR947" s="60">
        <f>IF(AND(C947="",E947=""),"",IF(A947="","⚠ Date manquante",IF(AND(C947="",E947&lt;&gt;"Dépense"),"⚠ Prospect manquant",IF(E947="","⚠ Action manquante",IF(AND(AU947=1,D947=""),"⚠ Canal manquant",IF(AND(W947&lt;&gt;"",COUNTIFS('Saisie'!$W$5:$W$2004,W947,'Saisie'!$C$5:$C$2004,"&lt;&gt;"&amp;C947)&gt;0),"⚠ Numéro déjà utilisé par un autre prospect",IF(AND(J947&lt;&gt;"",J947&lt;A947),"⚠ Relance avant la date de l'action",IF(A947&gt;TODAY(),"⚠ Date dans le futur","✓"))))))))</f>
        <v/>
      </c>
      <c r="AS947" s="61">
        <f>IF(AND(A947="",C947="",E947=""),"",ROW())</f>
        <v/>
      </c>
      <c r="AT947" s="61">
        <f>IF(E947&amp;F947="","",MAX(IFERROR(INDEX('Paramètres'!$J$6:$J$33,MATCH(E947,'Paramètres'!$I$6:$I$33,0)),0),IFERROR(INDEX('Paramètres'!$N$6:$N$17,MATCH(F947,'Paramètres'!$M$6:$M$17,0)),0)))</f>
        <v/>
      </c>
      <c r="AU947" s="61">
        <f>IF(E947="","",IFERROR(IF(INDEX('Paramètres'!$K$6:$K$33,MATCH(E947,'Paramètres'!$I$6:$I$33,0))="Oui",1,0),0))</f>
        <v/>
      </c>
      <c r="AV947" s="61">
        <f>IF(F947="","",IFERROR(IF(INDEX('Paramètres'!$O$6:$O$17,MATCH(F947,'Paramètres'!$M$6:$M$17,0))="Oui",1,0),0))</f>
        <v/>
      </c>
      <c r="AW947" s="62">
        <f>IF(E947="","",IF(G947&lt;&gt;"",G947,IF(OR(E947="Proposition envoyée",E947="Signature"),MAX(0,N(IFERROR(INDEX('Paramètres'!$R$6:$R$15,MATCH(IF(AL947&lt;&gt;"",AL947,IFERROR(INDEX('Prospects'!$AN$5:$AN$504,MATCH(C947,'Prospects'!$C$5:$C$504,0)),"")),'Paramètres'!$Q$6:$Q$15,0)),0))-N(P947)),0)))</f>
        <v/>
      </c>
      <c r="AX947" s="61">
        <f>IF(C947="","",IF(COUNTIF($C$5:C947,C947)=1,MAX($AX$4:AX946)+1,""))</f>
        <v/>
      </c>
      <c r="AY947" s="61">
        <f>IF(B947="","",HOUR(B947))</f>
        <v/>
      </c>
      <c r="AZ947" s="61">
        <f>IF(A947="","",MOD(A947-2,7)+1)</f>
        <v/>
      </c>
      <c r="BA947" s="60">
        <f>IF(C947="","",IFERROR(INDEX('Prospects'!$N$5:$N$504,MATCH(C947,'Prospects'!$C$5:$C$504,0)),""))</f>
        <v/>
      </c>
      <c r="BB947" s="61">
        <f>IF(AND(C947&lt;&gt;"",C947='Fiche prospect'!$C$4),COUNTIF($C$5:C947,C947),"")</f>
        <v/>
      </c>
    </row>
    <row r="948">
      <c r="A948" s="53" t="n"/>
      <c r="B948" s="54" t="n"/>
      <c r="C948" s="55" t="n"/>
      <c r="D948" s="55" t="n"/>
      <c r="E948" s="55" t="n"/>
      <c r="F948" s="55" t="n"/>
      <c r="G948" s="56" t="n"/>
      <c r="H948" s="57" t="n"/>
      <c r="I948" s="55" t="n"/>
      <c r="J948" s="53" t="n"/>
      <c r="K948" s="54" t="n"/>
      <c r="L948" s="55" t="n"/>
      <c r="M948" s="55" t="n"/>
      <c r="N948" s="57" t="n"/>
      <c r="O948" s="55" t="n"/>
      <c r="P948" s="56" t="n"/>
      <c r="Q948" s="55" t="n"/>
      <c r="R948" s="55" t="n"/>
      <c r="S948" s="55" t="n"/>
      <c r="T948" s="55" t="n"/>
      <c r="U948" s="55" t="n"/>
      <c r="V948" s="55" t="n"/>
      <c r="W948" s="58" t="n"/>
      <c r="X948" s="58" t="n"/>
      <c r="Y948" s="55" t="n"/>
      <c r="Z948" s="55" t="n"/>
      <c r="AA948" s="55" t="n"/>
      <c r="AB948" s="55" t="n"/>
      <c r="AC948" s="55" t="n"/>
      <c r="AD948" s="53" t="n"/>
      <c r="AE948" s="55" t="n"/>
      <c r="AF948" s="55" t="n"/>
      <c r="AG948" s="59" t="n"/>
      <c r="AH948" s="57" t="n"/>
      <c r="AI948" s="55" t="n"/>
      <c r="AJ948" s="55" t="n"/>
      <c r="AK948" s="55" t="n"/>
      <c r="AL948" s="55" t="n"/>
      <c r="AM948" s="56" t="n"/>
      <c r="AN948" s="55" t="n"/>
      <c r="AO948" s="55" t="n"/>
      <c r="AP948" s="55" t="n"/>
      <c r="AQ948" s="55" t="n"/>
      <c r="AR948" s="60">
        <f>IF(AND(C948="",E948=""),"",IF(A948="","⚠ Date manquante",IF(AND(C948="",E948&lt;&gt;"Dépense"),"⚠ Prospect manquant",IF(E948="","⚠ Action manquante",IF(AND(AU948=1,D948=""),"⚠ Canal manquant",IF(AND(W948&lt;&gt;"",COUNTIFS('Saisie'!$W$5:$W$2004,W948,'Saisie'!$C$5:$C$2004,"&lt;&gt;"&amp;C948)&gt;0),"⚠ Numéro déjà utilisé par un autre prospect",IF(AND(J948&lt;&gt;"",J948&lt;A948),"⚠ Relance avant la date de l'action",IF(A948&gt;TODAY(),"⚠ Date dans le futur","✓"))))))))</f>
        <v/>
      </c>
      <c r="AS948" s="61">
        <f>IF(AND(A948="",C948="",E948=""),"",ROW())</f>
        <v/>
      </c>
      <c r="AT948" s="61">
        <f>IF(E948&amp;F948="","",MAX(IFERROR(INDEX('Paramètres'!$J$6:$J$33,MATCH(E948,'Paramètres'!$I$6:$I$33,0)),0),IFERROR(INDEX('Paramètres'!$N$6:$N$17,MATCH(F948,'Paramètres'!$M$6:$M$17,0)),0)))</f>
        <v/>
      </c>
      <c r="AU948" s="61">
        <f>IF(E948="","",IFERROR(IF(INDEX('Paramètres'!$K$6:$K$33,MATCH(E948,'Paramètres'!$I$6:$I$33,0))="Oui",1,0),0))</f>
        <v/>
      </c>
      <c r="AV948" s="61">
        <f>IF(F948="","",IFERROR(IF(INDEX('Paramètres'!$O$6:$O$17,MATCH(F948,'Paramètres'!$M$6:$M$17,0))="Oui",1,0),0))</f>
        <v/>
      </c>
      <c r="AW948" s="62">
        <f>IF(E948="","",IF(G948&lt;&gt;"",G948,IF(OR(E948="Proposition envoyée",E948="Signature"),MAX(0,N(IFERROR(INDEX('Paramètres'!$R$6:$R$15,MATCH(IF(AL948&lt;&gt;"",AL948,IFERROR(INDEX('Prospects'!$AN$5:$AN$504,MATCH(C948,'Prospects'!$C$5:$C$504,0)),"")),'Paramètres'!$Q$6:$Q$15,0)),0))-N(P948)),0)))</f>
        <v/>
      </c>
      <c r="AX948" s="61">
        <f>IF(C948="","",IF(COUNTIF($C$5:C948,C948)=1,MAX($AX$4:AX947)+1,""))</f>
        <v/>
      </c>
      <c r="AY948" s="61">
        <f>IF(B948="","",HOUR(B948))</f>
        <v/>
      </c>
      <c r="AZ948" s="61">
        <f>IF(A948="","",MOD(A948-2,7)+1)</f>
        <v/>
      </c>
      <c r="BA948" s="60">
        <f>IF(C948="","",IFERROR(INDEX('Prospects'!$N$5:$N$504,MATCH(C948,'Prospects'!$C$5:$C$504,0)),""))</f>
        <v/>
      </c>
      <c r="BB948" s="61">
        <f>IF(AND(C948&lt;&gt;"",C948='Fiche prospect'!$C$4),COUNTIF($C$5:C948,C948),"")</f>
        <v/>
      </c>
    </row>
    <row r="949">
      <c r="A949" s="53" t="n"/>
      <c r="B949" s="54" t="n"/>
      <c r="C949" s="55" t="n"/>
      <c r="D949" s="55" t="n"/>
      <c r="E949" s="55" t="n"/>
      <c r="F949" s="55" t="n"/>
      <c r="G949" s="56" t="n"/>
      <c r="H949" s="57" t="n"/>
      <c r="I949" s="55" t="n"/>
      <c r="J949" s="53" t="n"/>
      <c r="K949" s="54" t="n"/>
      <c r="L949" s="55" t="n"/>
      <c r="M949" s="55" t="n"/>
      <c r="N949" s="57" t="n"/>
      <c r="O949" s="55" t="n"/>
      <c r="P949" s="56" t="n"/>
      <c r="Q949" s="55" t="n"/>
      <c r="R949" s="55" t="n"/>
      <c r="S949" s="55" t="n"/>
      <c r="T949" s="55" t="n"/>
      <c r="U949" s="55" t="n"/>
      <c r="V949" s="55" t="n"/>
      <c r="W949" s="58" t="n"/>
      <c r="X949" s="58" t="n"/>
      <c r="Y949" s="55" t="n"/>
      <c r="Z949" s="55" t="n"/>
      <c r="AA949" s="55" t="n"/>
      <c r="AB949" s="55" t="n"/>
      <c r="AC949" s="55" t="n"/>
      <c r="AD949" s="53" t="n"/>
      <c r="AE949" s="55" t="n"/>
      <c r="AF949" s="55" t="n"/>
      <c r="AG949" s="59" t="n"/>
      <c r="AH949" s="57" t="n"/>
      <c r="AI949" s="55" t="n"/>
      <c r="AJ949" s="55" t="n"/>
      <c r="AK949" s="55" t="n"/>
      <c r="AL949" s="55" t="n"/>
      <c r="AM949" s="56" t="n"/>
      <c r="AN949" s="55" t="n"/>
      <c r="AO949" s="55" t="n"/>
      <c r="AP949" s="55" t="n"/>
      <c r="AQ949" s="55" t="n"/>
      <c r="AR949" s="60">
        <f>IF(AND(C949="",E949=""),"",IF(A949="","⚠ Date manquante",IF(AND(C949="",E949&lt;&gt;"Dépense"),"⚠ Prospect manquant",IF(E949="","⚠ Action manquante",IF(AND(AU949=1,D949=""),"⚠ Canal manquant",IF(AND(W949&lt;&gt;"",COUNTIFS('Saisie'!$W$5:$W$2004,W949,'Saisie'!$C$5:$C$2004,"&lt;&gt;"&amp;C949)&gt;0),"⚠ Numéro déjà utilisé par un autre prospect",IF(AND(J949&lt;&gt;"",J949&lt;A949),"⚠ Relance avant la date de l'action",IF(A949&gt;TODAY(),"⚠ Date dans le futur","✓"))))))))</f>
        <v/>
      </c>
      <c r="AS949" s="61">
        <f>IF(AND(A949="",C949="",E949=""),"",ROW())</f>
        <v/>
      </c>
      <c r="AT949" s="61">
        <f>IF(E949&amp;F949="","",MAX(IFERROR(INDEX('Paramètres'!$J$6:$J$33,MATCH(E949,'Paramètres'!$I$6:$I$33,0)),0),IFERROR(INDEX('Paramètres'!$N$6:$N$17,MATCH(F949,'Paramètres'!$M$6:$M$17,0)),0)))</f>
        <v/>
      </c>
      <c r="AU949" s="61">
        <f>IF(E949="","",IFERROR(IF(INDEX('Paramètres'!$K$6:$K$33,MATCH(E949,'Paramètres'!$I$6:$I$33,0))="Oui",1,0),0))</f>
        <v/>
      </c>
      <c r="AV949" s="61">
        <f>IF(F949="","",IFERROR(IF(INDEX('Paramètres'!$O$6:$O$17,MATCH(F949,'Paramètres'!$M$6:$M$17,0))="Oui",1,0),0))</f>
        <v/>
      </c>
      <c r="AW949" s="62">
        <f>IF(E949="","",IF(G949&lt;&gt;"",G949,IF(OR(E949="Proposition envoyée",E949="Signature"),MAX(0,N(IFERROR(INDEX('Paramètres'!$R$6:$R$15,MATCH(IF(AL949&lt;&gt;"",AL949,IFERROR(INDEX('Prospects'!$AN$5:$AN$504,MATCH(C949,'Prospects'!$C$5:$C$504,0)),"")),'Paramètres'!$Q$6:$Q$15,0)),0))-N(P949)),0)))</f>
        <v/>
      </c>
      <c r="AX949" s="61">
        <f>IF(C949="","",IF(COUNTIF($C$5:C949,C949)=1,MAX($AX$4:AX948)+1,""))</f>
        <v/>
      </c>
      <c r="AY949" s="61">
        <f>IF(B949="","",HOUR(B949))</f>
        <v/>
      </c>
      <c r="AZ949" s="61">
        <f>IF(A949="","",MOD(A949-2,7)+1)</f>
        <v/>
      </c>
      <c r="BA949" s="60">
        <f>IF(C949="","",IFERROR(INDEX('Prospects'!$N$5:$N$504,MATCH(C949,'Prospects'!$C$5:$C$504,0)),""))</f>
        <v/>
      </c>
      <c r="BB949" s="61">
        <f>IF(AND(C949&lt;&gt;"",C949='Fiche prospect'!$C$4),COUNTIF($C$5:C949,C949),"")</f>
        <v/>
      </c>
    </row>
    <row r="950">
      <c r="A950" s="53" t="n"/>
      <c r="B950" s="54" t="n"/>
      <c r="C950" s="55" t="n"/>
      <c r="D950" s="55" t="n"/>
      <c r="E950" s="55" t="n"/>
      <c r="F950" s="55" t="n"/>
      <c r="G950" s="56" t="n"/>
      <c r="H950" s="57" t="n"/>
      <c r="I950" s="55" t="n"/>
      <c r="J950" s="53" t="n"/>
      <c r="K950" s="54" t="n"/>
      <c r="L950" s="55" t="n"/>
      <c r="M950" s="55" t="n"/>
      <c r="N950" s="57" t="n"/>
      <c r="O950" s="55" t="n"/>
      <c r="P950" s="56" t="n"/>
      <c r="Q950" s="55" t="n"/>
      <c r="R950" s="55" t="n"/>
      <c r="S950" s="55" t="n"/>
      <c r="T950" s="55" t="n"/>
      <c r="U950" s="55" t="n"/>
      <c r="V950" s="55" t="n"/>
      <c r="W950" s="58" t="n"/>
      <c r="X950" s="58" t="n"/>
      <c r="Y950" s="55" t="n"/>
      <c r="Z950" s="55" t="n"/>
      <c r="AA950" s="55" t="n"/>
      <c r="AB950" s="55" t="n"/>
      <c r="AC950" s="55" t="n"/>
      <c r="AD950" s="53" t="n"/>
      <c r="AE950" s="55" t="n"/>
      <c r="AF950" s="55" t="n"/>
      <c r="AG950" s="59" t="n"/>
      <c r="AH950" s="57" t="n"/>
      <c r="AI950" s="55" t="n"/>
      <c r="AJ950" s="55" t="n"/>
      <c r="AK950" s="55" t="n"/>
      <c r="AL950" s="55" t="n"/>
      <c r="AM950" s="56" t="n"/>
      <c r="AN950" s="55" t="n"/>
      <c r="AO950" s="55" t="n"/>
      <c r="AP950" s="55" t="n"/>
      <c r="AQ950" s="55" t="n"/>
      <c r="AR950" s="60">
        <f>IF(AND(C950="",E950=""),"",IF(A950="","⚠ Date manquante",IF(AND(C950="",E950&lt;&gt;"Dépense"),"⚠ Prospect manquant",IF(E950="","⚠ Action manquante",IF(AND(AU950=1,D950=""),"⚠ Canal manquant",IF(AND(W950&lt;&gt;"",COUNTIFS('Saisie'!$W$5:$W$2004,W950,'Saisie'!$C$5:$C$2004,"&lt;&gt;"&amp;C950)&gt;0),"⚠ Numéro déjà utilisé par un autre prospect",IF(AND(J950&lt;&gt;"",J950&lt;A950),"⚠ Relance avant la date de l'action",IF(A950&gt;TODAY(),"⚠ Date dans le futur","✓"))))))))</f>
        <v/>
      </c>
      <c r="AS950" s="61">
        <f>IF(AND(A950="",C950="",E950=""),"",ROW())</f>
        <v/>
      </c>
      <c r="AT950" s="61">
        <f>IF(E950&amp;F950="","",MAX(IFERROR(INDEX('Paramètres'!$J$6:$J$33,MATCH(E950,'Paramètres'!$I$6:$I$33,0)),0),IFERROR(INDEX('Paramètres'!$N$6:$N$17,MATCH(F950,'Paramètres'!$M$6:$M$17,0)),0)))</f>
        <v/>
      </c>
      <c r="AU950" s="61">
        <f>IF(E950="","",IFERROR(IF(INDEX('Paramètres'!$K$6:$K$33,MATCH(E950,'Paramètres'!$I$6:$I$33,0))="Oui",1,0),0))</f>
        <v/>
      </c>
      <c r="AV950" s="61">
        <f>IF(F950="","",IFERROR(IF(INDEX('Paramètres'!$O$6:$O$17,MATCH(F950,'Paramètres'!$M$6:$M$17,0))="Oui",1,0),0))</f>
        <v/>
      </c>
      <c r="AW950" s="62">
        <f>IF(E950="","",IF(G950&lt;&gt;"",G950,IF(OR(E950="Proposition envoyée",E950="Signature"),MAX(0,N(IFERROR(INDEX('Paramètres'!$R$6:$R$15,MATCH(IF(AL950&lt;&gt;"",AL950,IFERROR(INDEX('Prospects'!$AN$5:$AN$504,MATCH(C950,'Prospects'!$C$5:$C$504,0)),"")),'Paramètres'!$Q$6:$Q$15,0)),0))-N(P950)),0)))</f>
        <v/>
      </c>
      <c r="AX950" s="61">
        <f>IF(C950="","",IF(COUNTIF($C$5:C950,C950)=1,MAX($AX$4:AX949)+1,""))</f>
        <v/>
      </c>
      <c r="AY950" s="61">
        <f>IF(B950="","",HOUR(B950))</f>
        <v/>
      </c>
      <c r="AZ950" s="61">
        <f>IF(A950="","",MOD(A950-2,7)+1)</f>
        <v/>
      </c>
      <c r="BA950" s="60">
        <f>IF(C950="","",IFERROR(INDEX('Prospects'!$N$5:$N$504,MATCH(C950,'Prospects'!$C$5:$C$504,0)),""))</f>
        <v/>
      </c>
      <c r="BB950" s="61">
        <f>IF(AND(C950&lt;&gt;"",C950='Fiche prospect'!$C$4),COUNTIF($C$5:C950,C950),"")</f>
        <v/>
      </c>
    </row>
    <row r="951">
      <c r="A951" s="53" t="n"/>
      <c r="B951" s="54" t="n"/>
      <c r="C951" s="55" t="n"/>
      <c r="D951" s="55" t="n"/>
      <c r="E951" s="55" t="n"/>
      <c r="F951" s="55" t="n"/>
      <c r="G951" s="56" t="n"/>
      <c r="H951" s="57" t="n"/>
      <c r="I951" s="55" t="n"/>
      <c r="J951" s="53" t="n"/>
      <c r="K951" s="54" t="n"/>
      <c r="L951" s="55" t="n"/>
      <c r="M951" s="55" t="n"/>
      <c r="N951" s="57" t="n"/>
      <c r="O951" s="55" t="n"/>
      <c r="P951" s="56" t="n"/>
      <c r="Q951" s="55" t="n"/>
      <c r="R951" s="55" t="n"/>
      <c r="S951" s="55" t="n"/>
      <c r="T951" s="55" t="n"/>
      <c r="U951" s="55" t="n"/>
      <c r="V951" s="55" t="n"/>
      <c r="W951" s="58" t="n"/>
      <c r="X951" s="58" t="n"/>
      <c r="Y951" s="55" t="n"/>
      <c r="Z951" s="55" t="n"/>
      <c r="AA951" s="55" t="n"/>
      <c r="AB951" s="55" t="n"/>
      <c r="AC951" s="55" t="n"/>
      <c r="AD951" s="53" t="n"/>
      <c r="AE951" s="55" t="n"/>
      <c r="AF951" s="55" t="n"/>
      <c r="AG951" s="59" t="n"/>
      <c r="AH951" s="57" t="n"/>
      <c r="AI951" s="55" t="n"/>
      <c r="AJ951" s="55" t="n"/>
      <c r="AK951" s="55" t="n"/>
      <c r="AL951" s="55" t="n"/>
      <c r="AM951" s="56" t="n"/>
      <c r="AN951" s="55" t="n"/>
      <c r="AO951" s="55" t="n"/>
      <c r="AP951" s="55" t="n"/>
      <c r="AQ951" s="55" t="n"/>
      <c r="AR951" s="60">
        <f>IF(AND(C951="",E951=""),"",IF(A951="","⚠ Date manquante",IF(AND(C951="",E951&lt;&gt;"Dépense"),"⚠ Prospect manquant",IF(E951="","⚠ Action manquante",IF(AND(AU951=1,D951=""),"⚠ Canal manquant",IF(AND(W951&lt;&gt;"",COUNTIFS('Saisie'!$W$5:$W$2004,W951,'Saisie'!$C$5:$C$2004,"&lt;&gt;"&amp;C951)&gt;0),"⚠ Numéro déjà utilisé par un autre prospect",IF(AND(J951&lt;&gt;"",J951&lt;A951),"⚠ Relance avant la date de l'action",IF(A951&gt;TODAY(),"⚠ Date dans le futur","✓"))))))))</f>
        <v/>
      </c>
      <c r="AS951" s="61">
        <f>IF(AND(A951="",C951="",E951=""),"",ROW())</f>
        <v/>
      </c>
      <c r="AT951" s="61">
        <f>IF(E951&amp;F951="","",MAX(IFERROR(INDEX('Paramètres'!$J$6:$J$33,MATCH(E951,'Paramètres'!$I$6:$I$33,0)),0),IFERROR(INDEX('Paramètres'!$N$6:$N$17,MATCH(F951,'Paramètres'!$M$6:$M$17,0)),0)))</f>
        <v/>
      </c>
      <c r="AU951" s="61">
        <f>IF(E951="","",IFERROR(IF(INDEX('Paramètres'!$K$6:$K$33,MATCH(E951,'Paramètres'!$I$6:$I$33,0))="Oui",1,0),0))</f>
        <v/>
      </c>
      <c r="AV951" s="61">
        <f>IF(F951="","",IFERROR(IF(INDEX('Paramètres'!$O$6:$O$17,MATCH(F951,'Paramètres'!$M$6:$M$17,0))="Oui",1,0),0))</f>
        <v/>
      </c>
      <c r="AW951" s="62">
        <f>IF(E951="","",IF(G951&lt;&gt;"",G951,IF(OR(E951="Proposition envoyée",E951="Signature"),MAX(0,N(IFERROR(INDEX('Paramètres'!$R$6:$R$15,MATCH(IF(AL951&lt;&gt;"",AL951,IFERROR(INDEX('Prospects'!$AN$5:$AN$504,MATCH(C951,'Prospects'!$C$5:$C$504,0)),"")),'Paramètres'!$Q$6:$Q$15,0)),0))-N(P951)),0)))</f>
        <v/>
      </c>
      <c r="AX951" s="61">
        <f>IF(C951="","",IF(COUNTIF($C$5:C951,C951)=1,MAX($AX$4:AX950)+1,""))</f>
        <v/>
      </c>
      <c r="AY951" s="61">
        <f>IF(B951="","",HOUR(B951))</f>
        <v/>
      </c>
      <c r="AZ951" s="61">
        <f>IF(A951="","",MOD(A951-2,7)+1)</f>
        <v/>
      </c>
      <c r="BA951" s="60">
        <f>IF(C951="","",IFERROR(INDEX('Prospects'!$N$5:$N$504,MATCH(C951,'Prospects'!$C$5:$C$504,0)),""))</f>
        <v/>
      </c>
      <c r="BB951" s="61">
        <f>IF(AND(C951&lt;&gt;"",C951='Fiche prospect'!$C$4),COUNTIF($C$5:C951,C951),"")</f>
        <v/>
      </c>
    </row>
    <row r="952">
      <c r="A952" s="53" t="n"/>
      <c r="B952" s="54" t="n"/>
      <c r="C952" s="55" t="n"/>
      <c r="D952" s="55" t="n"/>
      <c r="E952" s="55" t="n"/>
      <c r="F952" s="55" t="n"/>
      <c r="G952" s="56" t="n"/>
      <c r="H952" s="57" t="n"/>
      <c r="I952" s="55" t="n"/>
      <c r="J952" s="53" t="n"/>
      <c r="K952" s="54" t="n"/>
      <c r="L952" s="55" t="n"/>
      <c r="M952" s="55" t="n"/>
      <c r="N952" s="57" t="n"/>
      <c r="O952" s="55" t="n"/>
      <c r="P952" s="56" t="n"/>
      <c r="Q952" s="55" t="n"/>
      <c r="R952" s="55" t="n"/>
      <c r="S952" s="55" t="n"/>
      <c r="T952" s="55" t="n"/>
      <c r="U952" s="55" t="n"/>
      <c r="V952" s="55" t="n"/>
      <c r="W952" s="58" t="n"/>
      <c r="X952" s="58" t="n"/>
      <c r="Y952" s="55" t="n"/>
      <c r="Z952" s="55" t="n"/>
      <c r="AA952" s="55" t="n"/>
      <c r="AB952" s="55" t="n"/>
      <c r="AC952" s="55" t="n"/>
      <c r="AD952" s="53" t="n"/>
      <c r="AE952" s="55" t="n"/>
      <c r="AF952" s="55" t="n"/>
      <c r="AG952" s="59" t="n"/>
      <c r="AH952" s="57" t="n"/>
      <c r="AI952" s="55" t="n"/>
      <c r="AJ952" s="55" t="n"/>
      <c r="AK952" s="55" t="n"/>
      <c r="AL952" s="55" t="n"/>
      <c r="AM952" s="56" t="n"/>
      <c r="AN952" s="55" t="n"/>
      <c r="AO952" s="55" t="n"/>
      <c r="AP952" s="55" t="n"/>
      <c r="AQ952" s="55" t="n"/>
      <c r="AR952" s="60">
        <f>IF(AND(C952="",E952=""),"",IF(A952="","⚠ Date manquante",IF(AND(C952="",E952&lt;&gt;"Dépense"),"⚠ Prospect manquant",IF(E952="","⚠ Action manquante",IF(AND(AU952=1,D952=""),"⚠ Canal manquant",IF(AND(W952&lt;&gt;"",COUNTIFS('Saisie'!$W$5:$W$2004,W952,'Saisie'!$C$5:$C$2004,"&lt;&gt;"&amp;C952)&gt;0),"⚠ Numéro déjà utilisé par un autre prospect",IF(AND(J952&lt;&gt;"",J952&lt;A952),"⚠ Relance avant la date de l'action",IF(A952&gt;TODAY(),"⚠ Date dans le futur","✓"))))))))</f>
        <v/>
      </c>
      <c r="AS952" s="61">
        <f>IF(AND(A952="",C952="",E952=""),"",ROW())</f>
        <v/>
      </c>
      <c r="AT952" s="61">
        <f>IF(E952&amp;F952="","",MAX(IFERROR(INDEX('Paramètres'!$J$6:$J$33,MATCH(E952,'Paramètres'!$I$6:$I$33,0)),0),IFERROR(INDEX('Paramètres'!$N$6:$N$17,MATCH(F952,'Paramètres'!$M$6:$M$17,0)),0)))</f>
        <v/>
      </c>
      <c r="AU952" s="61">
        <f>IF(E952="","",IFERROR(IF(INDEX('Paramètres'!$K$6:$K$33,MATCH(E952,'Paramètres'!$I$6:$I$33,0))="Oui",1,0),0))</f>
        <v/>
      </c>
      <c r="AV952" s="61">
        <f>IF(F952="","",IFERROR(IF(INDEX('Paramètres'!$O$6:$O$17,MATCH(F952,'Paramètres'!$M$6:$M$17,0))="Oui",1,0),0))</f>
        <v/>
      </c>
      <c r="AW952" s="62">
        <f>IF(E952="","",IF(G952&lt;&gt;"",G952,IF(OR(E952="Proposition envoyée",E952="Signature"),MAX(0,N(IFERROR(INDEX('Paramètres'!$R$6:$R$15,MATCH(IF(AL952&lt;&gt;"",AL952,IFERROR(INDEX('Prospects'!$AN$5:$AN$504,MATCH(C952,'Prospects'!$C$5:$C$504,0)),"")),'Paramètres'!$Q$6:$Q$15,0)),0))-N(P952)),0)))</f>
        <v/>
      </c>
      <c r="AX952" s="61">
        <f>IF(C952="","",IF(COUNTIF($C$5:C952,C952)=1,MAX($AX$4:AX951)+1,""))</f>
        <v/>
      </c>
      <c r="AY952" s="61">
        <f>IF(B952="","",HOUR(B952))</f>
        <v/>
      </c>
      <c r="AZ952" s="61">
        <f>IF(A952="","",MOD(A952-2,7)+1)</f>
        <v/>
      </c>
      <c r="BA952" s="60">
        <f>IF(C952="","",IFERROR(INDEX('Prospects'!$N$5:$N$504,MATCH(C952,'Prospects'!$C$5:$C$504,0)),""))</f>
        <v/>
      </c>
      <c r="BB952" s="61">
        <f>IF(AND(C952&lt;&gt;"",C952='Fiche prospect'!$C$4),COUNTIF($C$5:C952,C952),"")</f>
        <v/>
      </c>
    </row>
    <row r="953">
      <c r="A953" s="53" t="n"/>
      <c r="B953" s="54" t="n"/>
      <c r="C953" s="55" t="n"/>
      <c r="D953" s="55" t="n"/>
      <c r="E953" s="55" t="n"/>
      <c r="F953" s="55" t="n"/>
      <c r="G953" s="56" t="n"/>
      <c r="H953" s="57" t="n"/>
      <c r="I953" s="55" t="n"/>
      <c r="J953" s="53" t="n"/>
      <c r="K953" s="54" t="n"/>
      <c r="L953" s="55" t="n"/>
      <c r="M953" s="55" t="n"/>
      <c r="N953" s="57" t="n"/>
      <c r="O953" s="55" t="n"/>
      <c r="P953" s="56" t="n"/>
      <c r="Q953" s="55" t="n"/>
      <c r="R953" s="55" t="n"/>
      <c r="S953" s="55" t="n"/>
      <c r="T953" s="55" t="n"/>
      <c r="U953" s="55" t="n"/>
      <c r="V953" s="55" t="n"/>
      <c r="W953" s="58" t="n"/>
      <c r="X953" s="58" t="n"/>
      <c r="Y953" s="55" t="n"/>
      <c r="Z953" s="55" t="n"/>
      <c r="AA953" s="55" t="n"/>
      <c r="AB953" s="55" t="n"/>
      <c r="AC953" s="55" t="n"/>
      <c r="AD953" s="53" t="n"/>
      <c r="AE953" s="55" t="n"/>
      <c r="AF953" s="55" t="n"/>
      <c r="AG953" s="59" t="n"/>
      <c r="AH953" s="57" t="n"/>
      <c r="AI953" s="55" t="n"/>
      <c r="AJ953" s="55" t="n"/>
      <c r="AK953" s="55" t="n"/>
      <c r="AL953" s="55" t="n"/>
      <c r="AM953" s="56" t="n"/>
      <c r="AN953" s="55" t="n"/>
      <c r="AO953" s="55" t="n"/>
      <c r="AP953" s="55" t="n"/>
      <c r="AQ953" s="55" t="n"/>
      <c r="AR953" s="60">
        <f>IF(AND(C953="",E953=""),"",IF(A953="","⚠ Date manquante",IF(AND(C953="",E953&lt;&gt;"Dépense"),"⚠ Prospect manquant",IF(E953="","⚠ Action manquante",IF(AND(AU953=1,D953=""),"⚠ Canal manquant",IF(AND(W953&lt;&gt;"",COUNTIFS('Saisie'!$W$5:$W$2004,W953,'Saisie'!$C$5:$C$2004,"&lt;&gt;"&amp;C953)&gt;0),"⚠ Numéro déjà utilisé par un autre prospect",IF(AND(J953&lt;&gt;"",J953&lt;A953),"⚠ Relance avant la date de l'action",IF(A953&gt;TODAY(),"⚠ Date dans le futur","✓"))))))))</f>
        <v/>
      </c>
      <c r="AS953" s="61">
        <f>IF(AND(A953="",C953="",E953=""),"",ROW())</f>
        <v/>
      </c>
      <c r="AT953" s="61">
        <f>IF(E953&amp;F953="","",MAX(IFERROR(INDEX('Paramètres'!$J$6:$J$33,MATCH(E953,'Paramètres'!$I$6:$I$33,0)),0),IFERROR(INDEX('Paramètres'!$N$6:$N$17,MATCH(F953,'Paramètres'!$M$6:$M$17,0)),0)))</f>
        <v/>
      </c>
      <c r="AU953" s="61">
        <f>IF(E953="","",IFERROR(IF(INDEX('Paramètres'!$K$6:$K$33,MATCH(E953,'Paramètres'!$I$6:$I$33,0))="Oui",1,0),0))</f>
        <v/>
      </c>
      <c r="AV953" s="61">
        <f>IF(F953="","",IFERROR(IF(INDEX('Paramètres'!$O$6:$O$17,MATCH(F953,'Paramètres'!$M$6:$M$17,0))="Oui",1,0),0))</f>
        <v/>
      </c>
      <c r="AW953" s="62">
        <f>IF(E953="","",IF(G953&lt;&gt;"",G953,IF(OR(E953="Proposition envoyée",E953="Signature"),MAX(0,N(IFERROR(INDEX('Paramètres'!$R$6:$R$15,MATCH(IF(AL953&lt;&gt;"",AL953,IFERROR(INDEX('Prospects'!$AN$5:$AN$504,MATCH(C953,'Prospects'!$C$5:$C$504,0)),"")),'Paramètres'!$Q$6:$Q$15,0)),0))-N(P953)),0)))</f>
        <v/>
      </c>
      <c r="AX953" s="61">
        <f>IF(C953="","",IF(COUNTIF($C$5:C953,C953)=1,MAX($AX$4:AX952)+1,""))</f>
        <v/>
      </c>
      <c r="AY953" s="61">
        <f>IF(B953="","",HOUR(B953))</f>
        <v/>
      </c>
      <c r="AZ953" s="61">
        <f>IF(A953="","",MOD(A953-2,7)+1)</f>
        <v/>
      </c>
      <c r="BA953" s="60">
        <f>IF(C953="","",IFERROR(INDEX('Prospects'!$N$5:$N$504,MATCH(C953,'Prospects'!$C$5:$C$504,0)),""))</f>
        <v/>
      </c>
      <c r="BB953" s="61">
        <f>IF(AND(C953&lt;&gt;"",C953='Fiche prospect'!$C$4),COUNTIF($C$5:C953,C953),"")</f>
        <v/>
      </c>
    </row>
    <row r="954">
      <c r="A954" s="53" t="n"/>
      <c r="B954" s="54" t="n"/>
      <c r="C954" s="55" t="n"/>
      <c r="D954" s="55" t="n"/>
      <c r="E954" s="55" t="n"/>
      <c r="F954" s="55" t="n"/>
      <c r="G954" s="56" t="n"/>
      <c r="H954" s="57" t="n"/>
      <c r="I954" s="55" t="n"/>
      <c r="J954" s="53" t="n"/>
      <c r="K954" s="54" t="n"/>
      <c r="L954" s="55" t="n"/>
      <c r="M954" s="55" t="n"/>
      <c r="N954" s="57" t="n"/>
      <c r="O954" s="55" t="n"/>
      <c r="P954" s="56" t="n"/>
      <c r="Q954" s="55" t="n"/>
      <c r="R954" s="55" t="n"/>
      <c r="S954" s="55" t="n"/>
      <c r="T954" s="55" t="n"/>
      <c r="U954" s="55" t="n"/>
      <c r="V954" s="55" t="n"/>
      <c r="W954" s="58" t="n"/>
      <c r="X954" s="58" t="n"/>
      <c r="Y954" s="55" t="n"/>
      <c r="Z954" s="55" t="n"/>
      <c r="AA954" s="55" t="n"/>
      <c r="AB954" s="55" t="n"/>
      <c r="AC954" s="55" t="n"/>
      <c r="AD954" s="53" t="n"/>
      <c r="AE954" s="55" t="n"/>
      <c r="AF954" s="55" t="n"/>
      <c r="AG954" s="59" t="n"/>
      <c r="AH954" s="57" t="n"/>
      <c r="AI954" s="55" t="n"/>
      <c r="AJ954" s="55" t="n"/>
      <c r="AK954" s="55" t="n"/>
      <c r="AL954" s="55" t="n"/>
      <c r="AM954" s="56" t="n"/>
      <c r="AN954" s="55" t="n"/>
      <c r="AO954" s="55" t="n"/>
      <c r="AP954" s="55" t="n"/>
      <c r="AQ954" s="55" t="n"/>
      <c r="AR954" s="60">
        <f>IF(AND(C954="",E954=""),"",IF(A954="","⚠ Date manquante",IF(AND(C954="",E954&lt;&gt;"Dépense"),"⚠ Prospect manquant",IF(E954="","⚠ Action manquante",IF(AND(AU954=1,D954=""),"⚠ Canal manquant",IF(AND(W954&lt;&gt;"",COUNTIFS('Saisie'!$W$5:$W$2004,W954,'Saisie'!$C$5:$C$2004,"&lt;&gt;"&amp;C954)&gt;0),"⚠ Numéro déjà utilisé par un autre prospect",IF(AND(J954&lt;&gt;"",J954&lt;A954),"⚠ Relance avant la date de l'action",IF(A954&gt;TODAY(),"⚠ Date dans le futur","✓"))))))))</f>
        <v/>
      </c>
      <c r="AS954" s="61">
        <f>IF(AND(A954="",C954="",E954=""),"",ROW())</f>
        <v/>
      </c>
      <c r="AT954" s="61">
        <f>IF(E954&amp;F954="","",MAX(IFERROR(INDEX('Paramètres'!$J$6:$J$33,MATCH(E954,'Paramètres'!$I$6:$I$33,0)),0),IFERROR(INDEX('Paramètres'!$N$6:$N$17,MATCH(F954,'Paramètres'!$M$6:$M$17,0)),0)))</f>
        <v/>
      </c>
      <c r="AU954" s="61">
        <f>IF(E954="","",IFERROR(IF(INDEX('Paramètres'!$K$6:$K$33,MATCH(E954,'Paramètres'!$I$6:$I$33,0))="Oui",1,0),0))</f>
        <v/>
      </c>
      <c r="AV954" s="61">
        <f>IF(F954="","",IFERROR(IF(INDEX('Paramètres'!$O$6:$O$17,MATCH(F954,'Paramètres'!$M$6:$M$17,0))="Oui",1,0),0))</f>
        <v/>
      </c>
      <c r="AW954" s="62">
        <f>IF(E954="","",IF(G954&lt;&gt;"",G954,IF(OR(E954="Proposition envoyée",E954="Signature"),MAX(0,N(IFERROR(INDEX('Paramètres'!$R$6:$R$15,MATCH(IF(AL954&lt;&gt;"",AL954,IFERROR(INDEX('Prospects'!$AN$5:$AN$504,MATCH(C954,'Prospects'!$C$5:$C$504,0)),"")),'Paramètres'!$Q$6:$Q$15,0)),0))-N(P954)),0)))</f>
        <v/>
      </c>
      <c r="AX954" s="61">
        <f>IF(C954="","",IF(COUNTIF($C$5:C954,C954)=1,MAX($AX$4:AX953)+1,""))</f>
        <v/>
      </c>
      <c r="AY954" s="61">
        <f>IF(B954="","",HOUR(B954))</f>
        <v/>
      </c>
      <c r="AZ954" s="61">
        <f>IF(A954="","",MOD(A954-2,7)+1)</f>
        <v/>
      </c>
      <c r="BA954" s="60">
        <f>IF(C954="","",IFERROR(INDEX('Prospects'!$N$5:$N$504,MATCH(C954,'Prospects'!$C$5:$C$504,0)),""))</f>
        <v/>
      </c>
      <c r="BB954" s="61">
        <f>IF(AND(C954&lt;&gt;"",C954='Fiche prospect'!$C$4),COUNTIF($C$5:C954,C954),"")</f>
        <v/>
      </c>
    </row>
    <row r="955">
      <c r="A955" s="53" t="n"/>
      <c r="B955" s="54" t="n"/>
      <c r="C955" s="55" t="n"/>
      <c r="D955" s="55" t="n"/>
      <c r="E955" s="55" t="n"/>
      <c r="F955" s="55" t="n"/>
      <c r="G955" s="56" t="n"/>
      <c r="H955" s="57" t="n"/>
      <c r="I955" s="55" t="n"/>
      <c r="J955" s="53" t="n"/>
      <c r="K955" s="54" t="n"/>
      <c r="L955" s="55" t="n"/>
      <c r="M955" s="55" t="n"/>
      <c r="N955" s="57" t="n"/>
      <c r="O955" s="55" t="n"/>
      <c r="P955" s="56" t="n"/>
      <c r="Q955" s="55" t="n"/>
      <c r="R955" s="55" t="n"/>
      <c r="S955" s="55" t="n"/>
      <c r="T955" s="55" t="n"/>
      <c r="U955" s="55" t="n"/>
      <c r="V955" s="55" t="n"/>
      <c r="W955" s="58" t="n"/>
      <c r="X955" s="58" t="n"/>
      <c r="Y955" s="55" t="n"/>
      <c r="Z955" s="55" t="n"/>
      <c r="AA955" s="55" t="n"/>
      <c r="AB955" s="55" t="n"/>
      <c r="AC955" s="55" t="n"/>
      <c r="AD955" s="53" t="n"/>
      <c r="AE955" s="55" t="n"/>
      <c r="AF955" s="55" t="n"/>
      <c r="AG955" s="59" t="n"/>
      <c r="AH955" s="57" t="n"/>
      <c r="AI955" s="55" t="n"/>
      <c r="AJ955" s="55" t="n"/>
      <c r="AK955" s="55" t="n"/>
      <c r="AL955" s="55" t="n"/>
      <c r="AM955" s="56" t="n"/>
      <c r="AN955" s="55" t="n"/>
      <c r="AO955" s="55" t="n"/>
      <c r="AP955" s="55" t="n"/>
      <c r="AQ955" s="55" t="n"/>
      <c r="AR955" s="60">
        <f>IF(AND(C955="",E955=""),"",IF(A955="","⚠ Date manquante",IF(AND(C955="",E955&lt;&gt;"Dépense"),"⚠ Prospect manquant",IF(E955="","⚠ Action manquante",IF(AND(AU955=1,D955=""),"⚠ Canal manquant",IF(AND(W955&lt;&gt;"",COUNTIFS('Saisie'!$W$5:$W$2004,W955,'Saisie'!$C$5:$C$2004,"&lt;&gt;"&amp;C955)&gt;0),"⚠ Numéro déjà utilisé par un autre prospect",IF(AND(J955&lt;&gt;"",J955&lt;A955),"⚠ Relance avant la date de l'action",IF(A955&gt;TODAY(),"⚠ Date dans le futur","✓"))))))))</f>
        <v/>
      </c>
      <c r="AS955" s="61">
        <f>IF(AND(A955="",C955="",E955=""),"",ROW())</f>
        <v/>
      </c>
      <c r="AT955" s="61">
        <f>IF(E955&amp;F955="","",MAX(IFERROR(INDEX('Paramètres'!$J$6:$J$33,MATCH(E955,'Paramètres'!$I$6:$I$33,0)),0),IFERROR(INDEX('Paramètres'!$N$6:$N$17,MATCH(F955,'Paramètres'!$M$6:$M$17,0)),0)))</f>
        <v/>
      </c>
      <c r="AU955" s="61">
        <f>IF(E955="","",IFERROR(IF(INDEX('Paramètres'!$K$6:$K$33,MATCH(E955,'Paramètres'!$I$6:$I$33,0))="Oui",1,0),0))</f>
        <v/>
      </c>
      <c r="AV955" s="61">
        <f>IF(F955="","",IFERROR(IF(INDEX('Paramètres'!$O$6:$O$17,MATCH(F955,'Paramètres'!$M$6:$M$17,0))="Oui",1,0),0))</f>
        <v/>
      </c>
      <c r="AW955" s="62">
        <f>IF(E955="","",IF(G955&lt;&gt;"",G955,IF(OR(E955="Proposition envoyée",E955="Signature"),MAX(0,N(IFERROR(INDEX('Paramètres'!$R$6:$R$15,MATCH(IF(AL955&lt;&gt;"",AL955,IFERROR(INDEX('Prospects'!$AN$5:$AN$504,MATCH(C955,'Prospects'!$C$5:$C$504,0)),"")),'Paramètres'!$Q$6:$Q$15,0)),0))-N(P955)),0)))</f>
        <v/>
      </c>
      <c r="AX955" s="61">
        <f>IF(C955="","",IF(COUNTIF($C$5:C955,C955)=1,MAX($AX$4:AX954)+1,""))</f>
        <v/>
      </c>
      <c r="AY955" s="61">
        <f>IF(B955="","",HOUR(B955))</f>
        <v/>
      </c>
      <c r="AZ955" s="61">
        <f>IF(A955="","",MOD(A955-2,7)+1)</f>
        <v/>
      </c>
      <c r="BA955" s="60">
        <f>IF(C955="","",IFERROR(INDEX('Prospects'!$N$5:$N$504,MATCH(C955,'Prospects'!$C$5:$C$504,0)),""))</f>
        <v/>
      </c>
      <c r="BB955" s="61">
        <f>IF(AND(C955&lt;&gt;"",C955='Fiche prospect'!$C$4),COUNTIF($C$5:C955,C955),"")</f>
        <v/>
      </c>
    </row>
    <row r="956">
      <c r="A956" s="53" t="n"/>
      <c r="B956" s="54" t="n"/>
      <c r="C956" s="55" t="n"/>
      <c r="D956" s="55" t="n"/>
      <c r="E956" s="55" t="n"/>
      <c r="F956" s="55" t="n"/>
      <c r="G956" s="56" t="n"/>
      <c r="H956" s="57" t="n"/>
      <c r="I956" s="55" t="n"/>
      <c r="J956" s="53" t="n"/>
      <c r="K956" s="54" t="n"/>
      <c r="L956" s="55" t="n"/>
      <c r="M956" s="55" t="n"/>
      <c r="N956" s="57" t="n"/>
      <c r="O956" s="55" t="n"/>
      <c r="P956" s="56" t="n"/>
      <c r="Q956" s="55" t="n"/>
      <c r="R956" s="55" t="n"/>
      <c r="S956" s="55" t="n"/>
      <c r="T956" s="55" t="n"/>
      <c r="U956" s="55" t="n"/>
      <c r="V956" s="55" t="n"/>
      <c r="W956" s="58" t="n"/>
      <c r="X956" s="58" t="n"/>
      <c r="Y956" s="55" t="n"/>
      <c r="Z956" s="55" t="n"/>
      <c r="AA956" s="55" t="n"/>
      <c r="AB956" s="55" t="n"/>
      <c r="AC956" s="55" t="n"/>
      <c r="AD956" s="53" t="n"/>
      <c r="AE956" s="55" t="n"/>
      <c r="AF956" s="55" t="n"/>
      <c r="AG956" s="59" t="n"/>
      <c r="AH956" s="57" t="n"/>
      <c r="AI956" s="55" t="n"/>
      <c r="AJ956" s="55" t="n"/>
      <c r="AK956" s="55" t="n"/>
      <c r="AL956" s="55" t="n"/>
      <c r="AM956" s="56" t="n"/>
      <c r="AN956" s="55" t="n"/>
      <c r="AO956" s="55" t="n"/>
      <c r="AP956" s="55" t="n"/>
      <c r="AQ956" s="55" t="n"/>
      <c r="AR956" s="60">
        <f>IF(AND(C956="",E956=""),"",IF(A956="","⚠ Date manquante",IF(AND(C956="",E956&lt;&gt;"Dépense"),"⚠ Prospect manquant",IF(E956="","⚠ Action manquante",IF(AND(AU956=1,D956=""),"⚠ Canal manquant",IF(AND(W956&lt;&gt;"",COUNTIFS('Saisie'!$W$5:$W$2004,W956,'Saisie'!$C$5:$C$2004,"&lt;&gt;"&amp;C956)&gt;0),"⚠ Numéro déjà utilisé par un autre prospect",IF(AND(J956&lt;&gt;"",J956&lt;A956),"⚠ Relance avant la date de l'action",IF(A956&gt;TODAY(),"⚠ Date dans le futur","✓"))))))))</f>
        <v/>
      </c>
      <c r="AS956" s="61">
        <f>IF(AND(A956="",C956="",E956=""),"",ROW())</f>
        <v/>
      </c>
      <c r="AT956" s="61">
        <f>IF(E956&amp;F956="","",MAX(IFERROR(INDEX('Paramètres'!$J$6:$J$33,MATCH(E956,'Paramètres'!$I$6:$I$33,0)),0),IFERROR(INDEX('Paramètres'!$N$6:$N$17,MATCH(F956,'Paramètres'!$M$6:$M$17,0)),0)))</f>
        <v/>
      </c>
      <c r="AU956" s="61">
        <f>IF(E956="","",IFERROR(IF(INDEX('Paramètres'!$K$6:$K$33,MATCH(E956,'Paramètres'!$I$6:$I$33,0))="Oui",1,0),0))</f>
        <v/>
      </c>
      <c r="AV956" s="61">
        <f>IF(F956="","",IFERROR(IF(INDEX('Paramètres'!$O$6:$O$17,MATCH(F956,'Paramètres'!$M$6:$M$17,0))="Oui",1,0),0))</f>
        <v/>
      </c>
      <c r="AW956" s="62">
        <f>IF(E956="","",IF(G956&lt;&gt;"",G956,IF(OR(E956="Proposition envoyée",E956="Signature"),MAX(0,N(IFERROR(INDEX('Paramètres'!$R$6:$R$15,MATCH(IF(AL956&lt;&gt;"",AL956,IFERROR(INDEX('Prospects'!$AN$5:$AN$504,MATCH(C956,'Prospects'!$C$5:$C$504,0)),"")),'Paramètres'!$Q$6:$Q$15,0)),0))-N(P956)),0)))</f>
        <v/>
      </c>
      <c r="AX956" s="61">
        <f>IF(C956="","",IF(COUNTIF($C$5:C956,C956)=1,MAX($AX$4:AX955)+1,""))</f>
        <v/>
      </c>
      <c r="AY956" s="61">
        <f>IF(B956="","",HOUR(B956))</f>
        <v/>
      </c>
      <c r="AZ956" s="61">
        <f>IF(A956="","",MOD(A956-2,7)+1)</f>
        <v/>
      </c>
      <c r="BA956" s="60">
        <f>IF(C956="","",IFERROR(INDEX('Prospects'!$N$5:$N$504,MATCH(C956,'Prospects'!$C$5:$C$504,0)),""))</f>
        <v/>
      </c>
      <c r="BB956" s="61">
        <f>IF(AND(C956&lt;&gt;"",C956='Fiche prospect'!$C$4),COUNTIF($C$5:C956,C956),"")</f>
        <v/>
      </c>
    </row>
    <row r="957">
      <c r="A957" s="53" t="n"/>
      <c r="B957" s="54" t="n"/>
      <c r="C957" s="55" t="n"/>
      <c r="D957" s="55" t="n"/>
      <c r="E957" s="55" t="n"/>
      <c r="F957" s="55" t="n"/>
      <c r="G957" s="56" t="n"/>
      <c r="H957" s="57" t="n"/>
      <c r="I957" s="55" t="n"/>
      <c r="J957" s="53" t="n"/>
      <c r="K957" s="54" t="n"/>
      <c r="L957" s="55" t="n"/>
      <c r="M957" s="55" t="n"/>
      <c r="N957" s="57" t="n"/>
      <c r="O957" s="55" t="n"/>
      <c r="P957" s="56" t="n"/>
      <c r="Q957" s="55" t="n"/>
      <c r="R957" s="55" t="n"/>
      <c r="S957" s="55" t="n"/>
      <c r="T957" s="55" t="n"/>
      <c r="U957" s="55" t="n"/>
      <c r="V957" s="55" t="n"/>
      <c r="W957" s="58" t="n"/>
      <c r="X957" s="58" t="n"/>
      <c r="Y957" s="55" t="n"/>
      <c r="Z957" s="55" t="n"/>
      <c r="AA957" s="55" t="n"/>
      <c r="AB957" s="55" t="n"/>
      <c r="AC957" s="55" t="n"/>
      <c r="AD957" s="53" t="n"/>
      <c r="AE957" s="55" t="n"/>
      <c r="AF957" s="55" t="n"/>
      <c r="AG957" s="59" t="n"/>
      <c r="AH957" s="57" t="n"/>
      <c r="AI957" s="55" t="n"/>
      <c r="AJ957" s="55" t="n"/>
      <c r="AK957" s="55" t="n"/>
      <c r="AL957" s="55" t="n"/>
      <c r="AM957" s="56" t="n"/>
      <c r="AN957" s="55" t="n"/>
      <c r="AO957" s="55" t="n"/>
      <c r="AP957" s="55" t="n"/>
      <c r="AQ957" s="55" t="n"/>
      <c r="AR957" s="60">
        <f>IF(AND(C957="",E957=""),"",IF(A957="","⚠ Date manquante",IF(AND(C957="",E957&lt;&gt;"Dépense"),"⚠ Prospect manquant",IF(E957="","⚠ Action manquante",IF(AND(AU957=1,D957=""),"⚠ Canal manquant",IF(AND(W957&lt;&gt;"",COUNTIFS('Saisie'!$W$5:$W$2004,W957,'Saisie'!$C$5:$C$2004,"&lt;&gt;"&amp;C957)&gt;0),"⚠ Numéro déjà utilisé par un autre prospect",IF(AND(J957&lt;&gt;"",J957&lt;A957),"⚠ Relance avant la date de l'action",IF(A957&gt;TODAY(),"⚠ Date dans le futur","✓"))))))))</f>
        <v/>
      </c>
      <c r="AS957" s="61">
        <f>IF(AND(A957="",C957="",E957=""),"",ROW())</f>
        <v/>
      </c>
      <c r="AT957" s="61">
        <f>IF(E957&amp;F957="","",MAX(IFERROR(INDEX('Paramètres'!$J$6:$J$33,MATCH(E957,'Paramètres'!$I$6:$I$33,0)),0),IFERROR(INDEX('Paramètres'!$N$6:$N$17,MATCH(F957,'Paramètres'!$M$6:$M$17,0)),0)))</f>
        <v/>
      </c>
      <c r="AU957" s="61">
        <f>IF(E957="","",IFERROR(IF(INDEX('Paramètres'!$K$6:$K$33,MATCH(E957,'Paramètres'!$I$6:$I$33,0))="Oui",1,0),0))</f>
        <v/>
      </c>
      <c r="AV957" s="61">
        <f>IF(F957="","",IFERROR(IF(INDEX('Paramètres'!$O$6:$O$17,MATCH(F957,'Paramètres'!$M$6:$M$17,0))="Oui",1,0),0))</f>
        <v/>
      </c>
      <c r="AW957" s="62">
        <f>IF(E957="","",IF(G957&lt;&gt;"",G957,IF(OR(E957="Proposition envoyée",E957="Signature"),MAX(0,N(IFERROR(INDEX('Paramètres'!$R$6:$R$15,MATCH(IF(AL957&lt;&gt;"",AL957,IFERROR(INDEX('Prospects'!$AN$5:$AN$504,MATCH(C957,'Prospects'!$C$5:$C$504,0)),"")),'Paramètres'!$Q$6:$Q$15,0)),0))-N(P957)),0)))</f>
        <v/>
      </c>
      <c r="AX957" s="61">
        <f>IF(C957="","",IF(COUNTIF($C$5:C957,C957)=1,MAX($AX$4:AX956)+1,""))</f>
        <v/>
      </c>
      <c r="AY957" s="61">
        <f>IF(B957="","",HOUR(B957))</f>
        <v/>
      </c>
      <c r="AZ957" s="61">
        <f>IF(A957="","",MOD(A957-2,7)+1)</f>
        <v/>
      </c>
      <c r="BA957" s="60">
        <f>IF(C957="","",IFERROR(INDEX('Prospects'!$N$5:$N$504,MATCH(C957,'Prospects'!$C$5:$C$504,0)),""))</f>
        <v/>
      </c>
      <c r="BB957" s="61">
        <f>IF(AND(C957&lt;&gt;"",C957='Fiche prospect'!$C$4),COUNTIF($C$5:C957,C957),"")</f>
        <v/>
      </c>
    </row>
    <row r="958">
      <c r="A958" s="53" t="n"/>
      <c r="B958" s="54" t="n"/>
      <c r="C958" s="55" t="n"/>
      <c r="D958" s="55" t="n"/>
      <c r="E958" s="55" t="n"/>
      <c r="F958" s="55" t="n"/>
      <c r="G958" s="56" t="n"/>
      <c r="H958" s="57" t="n"/>
      <c r="I958" s="55" t="n"/>
      <c r="J958" s="53" t="n"/>
      <c r="K958" s="54" t="n"/>
      <c r="L958" s="55" t="n"/>
      <c r="M958" s="55" t="n"/>
      <c r="N958" s="57" t="n"/>
      <c r="O958" s="55" t="n"/>
      <c r="P958" s="56" t="n"/>
      <c r="Q958" s="55" t="n"/>
      <c r="R958" s="55" t="n"/>
      <c r="S958" s="55" t="n"/>
      <c r="T958" s="55" t="n"/>
      <c r="U958" s="55" t="n"/>
      <c r="V958" s="55" t="n"/>
      <c r="W958" s="58" t="n"/>
      <c r="X958" s="58" t="n"/>
      <c r="Y958" s="55" t="n"/>
      <c r="Z958" s="55" t="n"/>
      <c r="AA958" s="55" t="n"/>
      <c r="AB958" s="55" t="n"/>
      <c r="AC958" s="55" t="n"/>
      <c r="AD958" s="53" t="n"/>
      <c r="AE958" s="55" t="n"/>
      <c r="AF958" s="55" t="n"/>
      <c r="AG958" s="59" t="n"/>
      <c r="AH958" s="57" t="n"/>
      <c r="AI958" s="55" t="n"/>
      <c r="AJ958" s="55" t="n"/>
      <c r="AK958" s="55" t="n"/>
      <c r="AL958" s="55" t="n"/>
      <c r="AM958" s="56" t="n"/>
      <c r="AN958" s="55" t="n"/>
      <c r="AO958" s="55" t="n"/>
      <c r="AP958" s="55" t="n"/>
      <c r="AQ958" s="55" t="n"/>
      <c r="AR958" s="60">
        <f>IF(AND(C958="",E958=""),"",IF(A958="","⚠ Date manquante",IF(AND(C958="",E958&lt;&gt;"Dépense"),"⚠ Prospect manquant",IF(E958="","⚠ Action manquante",IF(AND(AU958=1,D958=""),"⚠ Canal manquant",IF(AND(W958&lt;&gt;"",COUNTIFS('Saisie'!$W$5:$W$2004,W958,'Saisie'!$C$5:$C$2004,"&lt;&gt;"&amp;C958)&gt;0),"⚠ Numéro déjà utilisé par un autre prospect",IF(AND(J958&lt;&gt;"",J958&lt;A958),"⚠ Relance avant la date de l'action",IF(A958&gt;TODAY(),"⚠ Date dans le futur","✓"))))))))</f>
        <v/>
      </c>
      <c r="AS958" s="61">
        <f>IF(AND(A958="",C958="",E958=""),"",ROW())</f>
        <v/>
      </c>
      <c r="AT958" s="61">
        <f>IF(E958&amp;F958="","",MAX(IFERROR(INDEX('Paramètres'!$J$6:$J$33,MATCH(E958,'Paramètres'!$I$6:$I$33,0)),0),IFERROR(INDEX('Paramètres'!$N$6:$N$17,MATCH(F958,'Paramètres'!$M$6:$M$17,0)),0)))</f>
        <v/>
      </c>
      <c r="AU958" s="61">
        <f>IF(E958="","",IFERROR(IF(INDEX('Paramètres'!$K$6:$K$33,MATCH(E958,'Paramètres'!$I$6:$I$33,0))="Oui",1,0),0))</f>
        <v/>
      </c>
      <c r="AV958" s="61">
        <f>IF(F958="","",IFERROR(IF(INDEX('Paramètres'!$O$6:$O$17,MATCH(F958,'Paramètres'!$M$6:$M$17,0))="Oui",1,0),0))</f>
        <v/>
      </c>
      <c r="AW958" s="62">
        <f>IF(E958="","",IF(G958&lt;&gt;"",G958,IF(OR(E958="Proposition envoyée",E958="Signature"),MAX(0,N(IFERROR(INDEX('Paramètres'!$R$6:$R$15,MATCH(IF(AL958&lt;&gt;"",AL958,IFERROR(INDEX('Prospects'!$AN$5:$AN$504,MATCH(C958,'Prospects'!$C$5:$C$504,0)),"")),'Paramètres'!$Q$6:$Q$15,0)),0))-N(P958)),0)))</f>
        <v/>
      </c>
      <c r="AX958" s="61">
        <f>IF(C958="","",IF(COUNTIF($C$5:C958,C958)=1,MAX($AX$4:AX957)+1,""))</f>
        <v/>
      </c>
      <c r="AY958" s="61">
        <f>IF(B958="","",HOUR(B958))</f>
        <v/>
      </c>
      <c r="AZ958" s="61">
        <f>IF(A958="","",MOD(A958-2,7)+1)</f>
        <v/>
      </c>
      <c r="BA958" s="60">
        <f>IF(C958="","",IFERROR(INDEX('Prospects'!$N$5:$N$504,MATCH(C958,'Prospects'!$C$5:$C$504,0)),""))</f>
        <v/>
      </c>
      <c r="BB958" s="61">
        <f>IF(AND(C958&lt;&gt;"",C958='Fiche prospect'!$C$4),COUNTIF($C$5:C958,C958),"")</f>
        <v/>
      </c>
    </row>
    <row r="959">
      <c r="A959" s="53" t="n"/>
      <c r="B959" s="54" t="n"/>
      <c r="C959" s="55" t="n"/>
      <c r="D959" s="55" t="n"/>
      <c r="E959" s="55" t="n"/>
      <c r="F959" s="55" t="n"/>
      <c r="G959" s="56" t="n"/>
      <c r="H959" s="57" t="n"/>
      <c r="I959" s="55" t="n"/>
      <c r="J959" s="53" t="n"/>
      <c r="K959" s="54" t="n"/>
      <c r="L959" s="55" t="n"/>
      <c r="M959" s="55" t="n"/>
      <c r="N959" s="57" t="n"/>
      <c r="O959" s="55" t="n"/>
      <c r="P959" s="56" t="n"/>
      <c r="Q959" s="55" t="n"/>
      <c r="R959" s="55" t="n"/>
      <c r="S959" s="55" t="n"/>
      <c r="T959" s="55" t="n"/>
      <c r="U959" s="55" t="n"/>
      <c r="V959" s="55" t="n"/>
      <c r="W959" s="58" t="n"/>
      <c r="X959" s="58" t="n"/>
      <c r="Y959" s="55" t="n"/>
      <c r="Z959" s="55" t="n"/>
      <c r="AA959" s="55" t="n"/>
      <c r="AB959" s="55" t="n"/>
      <c r="AC959" s="55" t="n"/>
      <c r="AD959" s="53" t="n"/>
      <c r="AE959" s="55" t="n"/>
      <c r="AF959" s="55" t="n"/>
      <c r="AG959" s="59" t="n"/>
      <c r="AH959" s="57" t="n"/>
      <c r="AI959" s="55" t="n"/>
      <c r="AJ959" s="55" t="n"/>
      <c r="AK959" s="55" t="n"/>
      <c r="AL959" s="55" t="n"/>
      <c r="AM959" s="56" t="n"/>
      <c r="AN959" s="55" t="n"/>
      <c r="AO959" s="55" t="n"/>
      <c r="AP959" s="55" t="n"/>
      <c r="AQ959" s="55" t="n"/>
      <c r="AR959" s="60">
        <f>IF(AND(C959="",E959=""),"",IF(A959="","⚠ Date manquante",IF(AND(C959="",E959&lt;&gt;"Dépense"),"⚠ Prospect manquant",IF(E959="","⚠ Action manquante",IF(AND(AU959=1,D959=""),"⚠ Canal manquant",IF(AND(W959&lt;&gt;"",COUNTIFS('Saisie'!$W$5:$W$2004,W959,'Saisie'!$C$5:$C$2004,"&lt;&gt;"&amp;C959)&gt;0),"⚠ Numéro déjà utilisé par un autre prospect",IF(AND(J959&lt;&gt;"",J959&lt;A959),"⚠ Relance avant la date de l'action",IF(A959&gt;TODAY(),"⚠ Date dans le futur","✓"))))))))</f>
        <v/>
      </c>
      <c r="AS959" s="61">
        <f>IF(AND(A959="",C959="",E959=""),"",ROW())</f>
        <v/>
      </c>
      <c r="AT959" s="61">
        <f>IF(E959&amp;F959="","",MAX(IFERROR(INDEX('Paramètres'!$J$6:$J$33,MATCH(E959,'Paramètres'!$I$6:$I$33,0)),0),IFERROR(INDEX('Paramètres'!$N$6:$N$17,MATCH(F959,'Paramètres'!$M$6:$M$17,0)),0)))</f>
        <v/>
      </c>
      <c r="AU959" s="61">
        <f>IF(E959="","",IFERROR(IF(INDEX('Paramètres'!$K$6:$K$33,MATCH(E959,'Paramètres'!$I$6:$I$33,0))="Oui",1,0),0))</f>
        <v/>
      </c>
      <c r="AV959" s="61">
        <f>IF(F959="","",IFERROR(IF(INDEX('Paramètres'!$O$6:$O$17,MATCH(F959,'Paramètres'!$M$6:$M$17,0))="Oui",1,0),0))</f>
        <v/>
      </c>
      <c r="AW959" s="62">
        <f>IF(E959="","",IF(G959&lt;&gt;"",G959,IF(OR(E959="Proposition envoyée",E959="Signature"),MAX(0,N(IFERROR(INDEX('Paramètres'!$R$6:$R$15,MATCH(IF(AL959&lt;&gt;"",AL959,IFERROR(INDEX('Prospects'!$AN$5:$AN$504,MATCH(C959,'Prospects'!$C$5:$C$504,0)),"")),'Paramètres'!$Q$6:$Q$15,0)),0))-N(P959)),0)))</f>
        <v/>
      </c>
      <c r="AX959" s="61">
        <f>IF(C959="","",IF(COUNTIF($C$5:C959,C959)=1,MAX($AX$4:AX958)+1,""))</f>
        <v/>
      </c>
      <c r="AY959" s="61">
        <f>IF(B959="","",HOUR(B959))</f>
        <v/>
      </c>
      <c r="AZ959" s="61">
        <f>IF(A959="","",MOD(A959-2,7)+1)</f>
        <v/>
      </c>
      <c r="BA959" s="60">
        <f>IF(C959="","",IFERROR(INDEX('Prospects'!$N$5:$N$504,MATCH(C959,'Prospects'!$C$5:$C$504,0)),""))</f>
        <v/>
      </c>
      <c r="BB959" s="61">
        <f>IF(AND(C959&lt;&gt;"",C959='Fiche prospect'!$C$4),COUNTIF($C$5:C959,C959),"")</f>
        <v/>
      </c>
    </row>
    <row r="960">
      <c r="A960" s="53" t="n"/>
      <c r="B960" s="54" t="n"/>
      <c r="C960" s="55" t="n"/>
      <c r="D960" s="55" t="n"/>
      <c r="E960" s="55" t="n"/>
      <c r="F960" s="55" t="n"/>
      <c r="G960" s="56" t="n"/>
      <c r="H960" s="57" t="n"/>
      <c r="I960" s="55" t="n"/>
      <c r="J960" s="53" t="n"/>
      <c r="K960" s="54" t="n"/>
      <c r="L960" s="55" t="n"/>
      <c r="M960" s="55" t="n"/>
      <c r="N960" s="57" t="n"/>
      <c r="O960" s="55" t="n"/>
      <c r="P960" s="56" t="n"/>
      <c r="Q960" s="55" t="n"/>
      <c r="R960" s="55" t="n"/>
      <c r="S960" s="55" t="n"/>
      <c r="T960" s="55" t="n"/>
      <c r="U960" s="55" t="n"/>
      <c r="V960" s="55" t="n"/>
      <c r="W960" s="58" t="n"/>
      <c r="X960" s="58" t="n"/>
      <c r="Y960" s="55" t="n"/>
      <c r="Z960" s="55" t="n"/>
      <c r="AA960" s="55" t="n"/>
      <c r="AB960" s="55" t="n"/>
      <c r="AC960" s="55" t="n"/>
      <c r="AD960" s="53" t="n"/>
      <c r="AE960" s="55" t="n"/>
      <c r="AF960" s="55" t="n"/>
      <c r="AG960" s="59" t="n"/>
      <c r="AH960" s="57" t="n"/>
      <c r="AI960" s="55" t="n"/>
      <c r="AJ960" s="55" t="n"/>
      <c r="AK960" s="55" t="n"/>
      <c r="AL960" s="55" t="n"/>
      <c r="AM960" s="56" t="n"/>
      <c r="AN960" s="55" t="n"/>
      <c r="AO960" s="55" t="n"/>
      <c r="AP960" s="55" t="n"/>
      <c r="AQ960" s="55" t="n"/>
      <c r="AR960" s="60">
        <f>IF(AND(C960="",E960=""),"",IF(A960="","⚠ Date manquante",IF(AND(C960="",E960&lt;&gt;"Dépense"),"⚠ Prospect manquant",IF(E960="","⚠ Action manquante",IF(AND(AU960=1,D960=""),"⚠ Canal manquant",IF(AND(W960&lt;&gt;"",COUNTIFS('Saisie'!$W$5:$W$2004,W960,'Saisie'!$C$5:$C$2004,"&lt;&gt;"&amp;C960)&gt;0),"⚠ Numéro déjà utilisé par un autre prospect",IF(AND(J960&lt;&gt;"",J960&lt;A960),"⚠ Relance avant la date de l'action",IF(A960&gt;TODAY(),"⚠ Date dans le futur","✓"))))))))</f>
        <v/>
      </c>
      <c r="AS960" s="61">
        <f>IF(AND(A960="",C960="",E960=""),"",ROW())</f>
        <v/>
      </c>
      <c r="AT960" s="61">
        <f>IF(E960&amp;F960="","",MAX(IFERROR(INDEX('Paramètres'!$J$6:$J$33,MATCH(E960,'Paramètres'!$I$6:$I$33,0)),0),IFERROR(INDEX('Paramètres'!$N$6:$N$17,MATCH(F960,'Paramètres'!$M$6:$M$17,0)),0)))</f>
        <v/>
      </c>
      <c r="AU960" s="61">
        <f>IF(E960="","",IFERROR(IF(INDEX('Paramètres'!$K$6:$K$33,MATCH(E960,'Paramètres'!$I$6:$I$33,0))="Oui",1,0),0))</f>
        <v/>
      </c>
      <c r="AV960" s="61">
        <f>IF(F960="","",IFERROR(IF(INDEX('Paramètres'!$O$6:$O$17,MATCH(F960,'Paramètres'!$M$6:$M$17,0))="Oui",1,0),0))</f>
        <v/>
      </c>
      <c r="AW960" s="62">
        <f>IF(E960="","",IF(G960&lt;&gt;"",G960,IF(OR(E960="Proposition envoyée",E960="Signature"),MAX(0,N(IFERROR(INDEX('Paramètres'!$R$6:$R$15,MATCH(IF(AL960&lt;&gt;"",AL960,IFERROR(INDEX('Prospects'!$AN$5:$AN$504,MATCH(C960,'Prospects'!$C$5:$C$504,0)),"")),'Paramètres'!$Q$6:$Q$15,0)),0))-N(P960)),0)))</f>
        <v/>
      </c>
      <c r="AX960" s="61">
        <f>IF(C960="","",IF(COUNTIF($C$5:C960,C960)=1,MAX($AX$4:AX959)+1,""))</f>
        <v/>
      </c>
      <c r="AY960" s="61">
        <f>IF(B960="","",HOUR(B960))</f>
        <v/>
      </c>
      <c r="AZ960" s="61">
        <f>IF(A960="","",MOD(A960-2,7)+1)</f>
        <v/>
      </c>
      <c r="BA960" s="60">
        <f>IF(C960="","",IFERROR(INDEX('Prospects'!$N$5:$N$504,MATCH(C960,'Prospects'!$C$5:$C$504,0)),""))</f>
        <v/>
      </c>
      <c r="BB960" s="61">
        <f>IF(AND(C960&lt;&gt;"",C960='Fiche prospect'!$C$4),COUNTIF($C$5:C960,C960),"")</f>
        <v/>
      </c>
    </row>
    <row r="961">
      <c r="A961" s="53" t="n"/>
      <c r="B961" s="54" t="n"/>
      <c r="C961" s="55" t="n"/>
      <c r="D961" s="55" t="n"/>
      <c r="E961" s="55" t="n"/>
      <c r="F961" s="55" t="n"/>
      <c r="G961" s="56" t="n"/>
      <c r="H961" s="57" t="n"/>
      <c r="I961" s="55" t="n"/>
      <c r="J961" s="53" t="n"/>
      <c r="K961" s="54" t="n"/>
      <c r="L961" s="55" t="n"/>
      <c r="M961" s="55" t="n"/>
      <c r="N961" s="57" t="n"/>
      <c r="O961" s="55" t="n"/>
      <c r="P961" s="56" t="n"/>
      <c r="Q961" s="55" t="n"/>
      <c r="R961" s="55" t="n"/>
      <c r="S961" s="55" t="n"/>
      <c r="T961" s="55" t="n"/>
      <c r="U961" s="55" t="n"/>
      <c r="V961" s="55" t="n"/>
      <c r="W961" s="58" t="n"/>
      <c r="X961" s="58" t="n"/>
      <c r="Y961" s="55" t="n"/>
      <c r="Z961" s="55" t="n"/>
      <c r="AA961" s="55" t="n"/>
      <c r="AB961" s="55" t="n"/>
      <c r="AC961" s="55" t="n"/>
      <c r="AD961" s="53" t="n"/>
      <c r="AE961" s="55" t="n"/>
      <c r="AF961" s="55" t="n"/>
      <c r="AG961" s="59" t="n"/>
      <c r="AH961" s="57" t="n"/>
      <c r="AI961" s="55" t="n"/>
      <c r="AJ961" s="55" t="n"/>
      <c r="AK961" s="55" t="n"/>
      <c r="AL961" s="55" t="n"/>
      <c r="AM961" s="56" t="n"/>
      <c r="AN961" s="55" t="n"/>
      <c r="AO961" s="55" t="n"/>
      <c r="AP961" s="55" t="n"/>
      <c r="AQ961" s="55" t="n"/>
      <c r="AR961" s="60">
        <f>IF(AND(C961="",E961=""),"",IF(A961="","⚠ Date manquante",IF(AND(C961="",E961&lt;&gt;"Dépense"),"⚠ Prospect manquant",IF(E961="","⚠ Action manquante",IF(AND(AU961=1,D961=""),"⚠ Canal manquant",IF(AND(W961&lt;&gt;"",COUNTIFS('Saisie'!$W$5:$W$2004,W961,'Saisie'!$C$5:$C$2004,"&lt;&gt;"&amp;C961)&gt;0),"⚠ Numéro déjà utilisé par un autre prospect",IF(AND(J961&lt;&gt;"",J961&lt;A961),"⚠ Relance avant la date de l'action",IF(A961&gt;TODAY(),"⚠ Date dans le futur","✓"))))))))</f>
        <v/>
      </c>
      <c r="AS961" s="61">
        <f>IF(AND(A961="",C961="",E961=""),"",ROW())</f>
        <v/>
      </c>
      <c r="AT961" s="61">
        <f>IF(E961&amp;F961="","",MAX(IFERROR(INDEX('Paramètres'!$J$6:$J$33,MATCH(E961,'Paramètres'!$I$6:$I$33,0)),0),IFERROR(INDEX('Paramètres'!$N$6:$N$17,MATCH(F961,'Paramètres'!$M$6:$M$17,0)),0)))</f>
        <v/>
      </c>
      <c r="AU961" s="61">
        <f>IF(E961="","",IFERROR(IF(INDEX('Paramètres'!$K$6:$K$33,MATCH(E961,'Paramètres'!$I$6:$I$33,0))="Oui",1,0),0))</f>
        <v/>
      </c>
      <c r="AV961" s="61">
        <f>IF(F961="","",IFERROR(IF(INDEX('Paramètres'!$O$6:$O$17,MATCH(F961,'Paramètres'!$M$6:$M$17,0))="Oui",1,0),0))</f>
        <v/>
      </c>
      <c r="AW961" s="62">
        <f>IF(E961="","",IF(G961&lt;&gt;"",G961,IF(OR(E961="Proposition envoyée",E961="Signature"),MAX(0,N(IFERROR(INDEX('Paramètres'!$R$6:$R$15,MATCH(IF(AL961&lt;&gt;"",AL961,IFERROR(INDEX('Prospects'!$AN$5:$AN$504,MATCH(C961,'Prospects'!$C$5:$C$504,0)),"")),'Paramètres'!$Q$6:$Q$15,0)),0))-N(P961)),0)))</f>
        <v/>
      </c>
      <c r="AX961" s="61">
        <f>IF(C961="","",IF(COUNTIF($C$5:C961,C961)=1,MAX($AX$4:AX960)+1,""))</f>
        <v/>
      </c>
      <c r="AY961" s="61">
        <f>IF(B961="","",HOUR(B961))</f>
        <v/>
      </c>
      <c r="AZ961" s="61">
        <f>IF(A961="","",MOD(A961-2,7)+1)</f>
        <v/>
      </c>
      <c r="BA961" s="60">
        <f>IF(C961="","",IFERROR(INDEX('Prospects'!$N$5:$N$504,MATCH(C961,'Prospects'!$C$5:$C$504,0)),""))</f>
        <v/>
      </c>
      <c r="BB961" s="61">
        <f>IF(AND(C961&lt;&gt;"",C961='Fiche prospect'!$C$4),COUNTIF($C$5:C961,C961),"")</f>
        <v/>
      </c>
    </row>
    <row r="962">
      <c r="A962" s="53" t="n"/>
      <c r="B962" s="54" t="n"/>
      <c r="C962" s="55" t="n"/>
      <c r="D962" s="55" t="n"/>
      <c r="E962" s="55" t="n"/>
      <c r="F962" s="55" t="n"/>
      <c r="G962" s="56" t="n"/>
      <c r="H962" s="57" t="n"/>
      <c r="I962" s="55" t="n"/>
      <c r="J962" s="53" t="n"/>
      <c r="K962" s="54" t="n"/>
      <c r="L962" s="55" t="n"/>
      <c r="M962" s="55" t="n"/>
      <c r="N962" s="57" t="n"/>
      <c r="O962" s="55" t="n"/>
      <c r="P962" s="56" t="n"/>
      <c r="Q962" s="55" t="n"/>
      <c r="R962" s="55" t="n"/>
      <c r="S962" s="55" t="n"/>
      <c r="T962" s="55" t="n"/>
      <c r="U962" s="55" t="n"/>
      <c r="V962" s="55" t="n"/>
      <c r="W962" s="58" t="n"/>
      <c r="X962" s="58" t="n"/>
      <c r="Y962" s="55" t="n"/>
      <c r="Z962" s="55" t="n"/>
      <c r="AA962" s="55" t="n"/>
      <c r="AB962" s="55" t="n"/>
      <c r="AC962" s="55" t="n"/>
      <c r="AD962" s="53" t="n"/>
      <c r="AE962" s="55" t="n"/>
      <c r="AF962" s="55" t="n"/>
      <c r="AG962" s="59" t="n"/>
      <c r="AH962" s="57" t="n"/>
      <c r="AI962" s="55" t="n"/>
      <c r="AJ962" s="55" t="n"/>
      <c r="AK962" s="55" t="n"/>
      <c r="AL962" s="55" t="n"/>
      <c r="AM962" s="56" t="n"/>
      <c r="AN962" s="55" t="n"/>
      <c r="AO962" s="55" t="n"/>
      <c r="AP962" s="55" t="n"/>
      <c r="AQ962" s="55" t="n"/>
      <c r="AR962" s="60">
        <f>IF(AND(C962="",E962=""),"",IF(A962="","⚠ Date manquante",IF(AND(C962="",E962&lt;&gt;"Dépense"),"⚠ Prospect manquant",IF(E962="","⚠ Action manquante",IF(AND(AU962=1,D962=""),"⚠ Canal manquant",IF(AND(W962&lt;&gt;"",COUNTIFS('Saisie'!$W$5:$W$2004,W962,'Saisie'!$C$5:$C$2004,"&lt;&gt;"&amp;C962)&gt;0),"⚠ Numéro déjà utilisé par un autre prospect",IF(AND(J962&lt;&gt;"",J962&lt;A962),"⚠ Relance avant la date de l'action",IF(A962&gt;TODAY(),"⚠ Date dans le futur","✓"))))))))</f>
        <v/>
      </c>
      <c r="AS962" s="61">
        <f>IF(AND(A962="",C962="",E962=""),"",ROW())</f>
        <v/>
      </c>
      <c r="AT962" s="61">
        <f>IF(E962&amp;F962="","",MAX(IFERROR(INDEX('Paramètres'!$J$6:$J$33,MATCH(E962,'Paramètres'!$I$6:$I$33,0)),0),IFERROR(INDEX('Paramètres'!$N$6:$N$17,MATCH(F962,'Paramètres'!$M$6:$M$17,0)),0)))</f>
        <v/>
      </c>
      <c r="AU962" s="61">
        <f>IF(E962="","",IFERROR(IF(INDEX('Paramètres'!$K$6:$K$33,MATCH(E962,'Paramètres'!$I$6:$I$33,0))="Oui",1,0),0))</f>
        <v/>
      </c>
      <c r="AV962" s="61">
        <f>IF(F962="","",IFERROR(IF(INDEX('Paramètres'!$O$6:$O$17,MATCH(F962,'Paramètres'!$M$6:$M$17,0))="Oui",1,0),0))</f>
        <v/>
      </c>
      <c r="AW962" s="62">
        <f>IF(E962="","",IF(G962&lt;&gt;"",G962,IF(OR(E962="Proposition envoyée",E962="Signature"),MAX(0,N(IFERROR(INDEX('Paramètres'!$R$6:$R$15,MATCH(IF(AL962&lt;&gt;"",AL962,IFERROR(INDEX('Prospects'!$AN$5:$AN$504,MATCH(C962,'Prospects'!$C$5:$C$504,0)),"")),'Paramètres'!$Q$6:$Q$15,0)),0))-N(P962)),0)))</f>
        <v/>
      </c>
      <c r="AX962" s="61">
        <f>IF(C962="","",IF(COUNTIF($C$5:C962,C962)=1,MAX($AX$4:AX961)+1,""))</f>
        <v/>
      </c>
      <c r="AY962" s="61">
        <f>IF(B962="","",HOUR(B962))</f>
        <v/>
      </c>
      <c r="AZ962" s="61">
        <f>IF(A962="","",MOD(A962-2,7)+1)</f>
        <v/>
      </c>
      <c r="BA962" s="60">
        <f>IF(C962="","",IFERROR(INDEX('Prospects'!$N$5:$N$504,MATCH(C962,'Prospects'!$C$5:$C$504,0)),""))</f>
        <v/>
      </c>
      <c r="BB962" s="61">
        <f>IF(AND(C962&lt;&gt;"",C962='Fiche prospect'!$C$4),COUNTIF($C$5:C962,C962),"")</f>
        <v/>
      </c>
    </row>
    <row r="963">
      <c r="A963" s="53" t="n"/>
      <c r="B963" s="54" t="n"/>
      <c r="C963" s="55" t="n"/>
      <c r="D963" s="55" t="n"/>
      <c r="E963" s="55" t="n"/>
      <c r="F963" s="55" t="n"/>
      <c r="G963" s="56" t="n"/>
      <c r="H963" s="57" t="n"/>
      <c r="I963" s="55" t="n"/>
      <c r="J963" s="53" t="n"/>
      <c r="K963" s="54" t="n"/>
      <c r="L963" s="55" t="n"/>
      <c r="M963" s="55" t="n"/>
      <c r="N963" s="57" t="n"/>
      <c r="O963" s="55" t="n"/>
      <c r="P963" s="56" t="n"/>
      <c r="Q963" s="55" t="n"/>
      <c r="R963" s="55" t="n"/>
      <c r="S963" s="55" t="n"/>
      <c r="T963" s="55" t="n"/>
      <c r="U963" s="55" t="n"/>
      <c r="V963" s="55" t="n"/>
      <c r="W963" s="58" t="n"/>
      <c r="X963" s="58" t="n"/>
      <c r="Y963" s="55" t="n"/>
      <c r="Z963" s="55" t="n"/>
      <c r="AA963" s="55" t="n"/>
      <c r="AB963" s="55" t="n"/>
      <c r="AC963" s="55" t="n"/>
      <c r="AD963" s="53" t="n"/>
      <c r="AE963" s="55" t="n"/>
      <c r="AF963" s="55" t="n"/>
      <c r="AG963" s="59" t="n"/>
      <c r="AH963" s="57" t="n"/>
      <c r="AI963" s="55" t="n"/>
      <c r="AJ963" s="55" t="n"/>
      <c r="AK963" s="55" t="n"/>
      <c r="AL963" s="55" t="n"/>
      <c r="AM963" s="56" t="n"/>
      <c r="AN963" s="55" t="n"/>
      <c r="AO963" s="55" t="n"/>
      <c r="AP963" s="55" t="n"/>
      <c r="AQ963" s="55" t="n"/>
      <c r="AR963" s="60">
        <f>IF(AND(C963="",E963=""),"",IF(A963="","⚠ Date manquante",IF(AND(C963="",E963&lt;&gt;"Dépense"),"⚠ Prospect manquant",IF(E963="","⚠ Action manquante",IF(AND(AU963=1,D963=""),"⚠ Canal manquant",IF(AND(W963&lt;&gt;"",COUNTIFS('Saisie'!$W$5:$W$2004,W963,'Saisie'!$C$5:$C$2004,"&lt;&gt;"&amp;C963)&gt;0),"⚠ Numéro déjà utilisé par un autre prospect",IF(AND(J963&lt;&gt;"",J963&lt;A963),"⚠ Relance avant la date de l'action",IF(A963&gt;TODAY(),"⚠ Date dans le futur","✓"))))))))</f>
        <v/>
      </c>
      <c r="AS963" s="61">
        <f>IF(AND(A963="",C963="",E963=""),"",ROW())</f>
        <v/>
      </c>
      <c r="AT963" s="61">
        <f>IF(E963&amp;F963="","",MAX(IFERROR(INDEX('Paramètres'!$J$6:$J$33,MATCH(E963,'Paramètres'!$I$6:$I$33,0)),0),IFERROR(INDEX('Paramètres'!$N$6:$N$17,MATCH(F963,'Paramètres'!$M$6:$M$17,0)),0)))</f>
        <v/>
      </c>
      <c r="AU963" s="61">
        <f>IF(E963="","",IFERROR(IF(INDEX('Paramètres'!$K$6:$K$33,MATCH(E963,'Paramètres'!$I$6:$I$33,0))="Oui",1,0),0))</f>
        <v/>
      </c>
      <c r="AV963" s="61">
        <f>IF(F963="","",IFERROR(IF(INDEX('Paramètres'!$O$6:$O$17,MATCH(F963,'Paramètres'!$M$6:$M$17,0))="Oui",1,0),0))</f>
        <v/>
      </c>
      <c r="AW963" s="62">
        <f>IF(E963="","",IF(G963&lt;&gt;"",G963,IF(OR(E963="Proposition envoyée",E963="Signature"),MAX(0,N(IFERROR(INDEX('Paramètres'!$R$6:$R$15,MATCH(IF(AL963&lt;&gt;"",AL963,IFERROR(INDEX('Prospects'!$AN$5:$AN$504,MATCH(C963,'Prospects'!$C$5:$C$504,0)),"")),'Paramètres'!$Q$6:$Q$15,0)),0))-N(P963)),0)))</f>
        <v/>
      </c>
      <c r="AX963" s="61">
        <f>IF(C963="","",IF(COUNTIF($C$5:C963,C963)=1,MAX($AX$4:AX962)+1,""))</f>
        <v/>
      </c>
      <c r="AY963" s="61">
        <f>IF(B963="","",HOUR(B963))</f>
        <v/>
      </c>
      <c r="AZ963" s="61">
        <f>IF(A963="","",MOD(A963-2,7)+1)</f>
        <v/>
      </c>
      <c r="BA963" s="60">
        <f>IF(C963="","",IFERROR(INDEX('Prospects'!$N$5:$N$504,MATCH(C963,'Prospects'!$C$5:$C$504,0)),""))</f>
        <v/>
      </c>
      <c r="BB963" s="61">
        <f>IF(AND(C963&lt;&gt;"",C963='Fiche prospect'!$C$4),COUNTIF($C$5:C963,C963),"")</f>
        <v/>
      </c>
    </row>
    <row r="964">
      <c r="A964" s="53" t="n"/>
      <c r="B964" s="54" t="n"/>
      <c r="C964" s="55" t="n"/>
      <c r="D964" s="55" t="n"/>
      <c r="E964" s="55" t="n"/>
      <c r="F964" s="55" t="n"/>
      <c r="G964" s="56" t="n"/>
      <c r="H964" s="57" t="n"/>
      <c r="I964" s="55" t="n"/>
      <c r="J964" s="53" t="n"/>
      <c r="K964" s="54" t="n"/>
      <c r="L964" s="55" t="n"/>
      <c r="M964" s="55" t="n"/>
      <c r="N964" s="57" t="n"/>
      <c r="O964" s="55" t="n"/>
      <c r="P964" s="56" t="n"/>
      <c r="Q964" s="55" t="n"/>
      <c r="R964" s="55" t="n"/>
      <c r="S964" s="55" t="n"/>
      <c r="T964" s="55" t="n"/>
      <c r="U964" s="55" t="n"/>
      <c r="V964" s="55" t="n"/>
      <c r="W964" s="58" t="n"/>
      <c r="X964" s="58" t="n"/>
      <c r="Y964" s="55" t="n"/>
      <c r="Z964" s="55" t="n"/>
      <c r="AA964" s="55" t="n"/>
      <c r="AB964" s="55" t="n"/>
      <c r="AC964" s="55" t="n"/>
      <c r="AD964" s="53" t="n"/>
      <c r="AE964" s="55" t="n"/>
      <c r="AF964" s="55" t="n"/>
      <c r="AG964" s="59" t="n"/>
      <c r="AH964" s="57" t="n"/>
      <c r="AI964" s="55" t="n"/>
      <c r="AJ964" s="55" t="n"/>
      <c r="AK964" s="55" t="n"/>
      <c r="AL964" s="55" t="n"/>
      <c r="AM964" s="56" t="n"/>
      <c r="AN964" s="55" t="n"/>
      <c r="AO964" s="55" t="n"/>
      <c r="AP964" s="55" t="n"/>
      <c r="AQ964" s="55" t="n"/>
      <c r="AR964" s="60">
        <f>IF(AND(C964="",E964=""),"",IF(A964="","⚠ Date manquante",IF(AND(C964="",E964&lt;&gt;"Dépense"),"⚠ Prospect manquant",IF(E964="","⚠ Action manquante",IF(AND(AU964=1,D964=""),"⚠ Canal manquant",IF(AND(W964&lt;&gt;"",COUNTIFS('Saisie'!$W$5:$W$2004,W964,'Saisie'!$C$5:$C$2004,"&lt;&gt;"&amp;C964)&gt;0),"⚠ Numéro déjà utilisé par un autre prospect",IF(AND(J964&lt;&gt;"",J964&lt;A964),"⚠ Relance avant la date de l'action",IF(A964&gt;TODAY(),"⚠ Date dans le futur","✓"))))))))</f>
        <v/>
      </c>
      <c r="AS964" s="61">
        <f>IF(AND(A964="",C964="",E964=""),"",ROW())</f>
        <v/>
      </c>
      <c r="AT964" s="61">
        <f>IF(E964&amp;F964="","",MAX(IFERROR(INDEX('Paramètres'!$J$6:$J$33,MATCH(E964,'Paramètres'!$I$6:$I$33,0)),0),IFERROR(INDEX('Paramètres'!$N$6:$N$17,MATCH(F964,'Paramètres'!$M$6:$M$17,0)),0)))</f>
        <v/>
      </c>
      <c r="AU964" s="61">
        <f>IF(E964="","",IFERROR(IF(INDEX('Paramètres'!$K$6:$K$33,MATCH(E964,'Paramètres'!$I$6:$I$33,0))="Oui",1,0),0))</f>
        <v/>
      </c>
      <c r="AV964" s="61">
        <f>IF(F964="","",IFERROR(IF(INDEX('Paramètres'!$O$6:$O$17,MATCH(F964,'Paramètres'!$M$6:$M$17,0))="Oui",1,0),0))</f>
        <v/>
      </c>
      <c r="AW964" s="62">
        <f>IF(E964="","",IF(G964&lt;&gt;"",G964,IF(OR(E964="Proposition envoyée",E964="Signature"),MAX(0,N(IFERROR(INDEX('Paramètres'!$R$6:$R$15,MATCH(IF(AL964&lt;&gt;"",AL964,IFERROR(INDEX('Prospects'!$AN$5:$AN$504,MATCH(C964,'Prospects'!$C$5:$C$504,0)),"")),'Paramètres'!$Q$6:$Q$15,0)),0))-N(P964)),0)))</f>
        <v/>
      </c>
      <c r="AX964" s="61">
        <f>IF(C964="","",IF(COUNTIF($C$5:C964,C964)=1,MAX($AX$4:AX963)+1,""))</f>
        <v/>
      </c>
      <c r="AY964" s="61">
        <f>IF(B964="","",HOUR(B964))</f>
        <v/>
      </c>
      <c r="AZ964" s="61">
        <f>IF(A964="","",MOD(A964-2,7)+1)</f>
        <v/>
      </c>
      <c r="BA964" s="60">
        <f>IF(C964="","",IFERROR(INDEX('Prospects'!$N$5:$N$504,MATCH(C964,'Prospects'!$C$5:$C$504,0)),""))</f>
        <v/>
      </c>
      <c r="BB964" s="61">
        <f>IF(AND(C964&lt;&gt;"",C964='Fiche prospect'!$C$4),COUNTIF($C$5:C964,C964),"")</f>
        <v/>
      </c>
    </row>
    <row r="965">
      <c r="A965" s="53" t="n"/>
      <c r="B965" s="54" t="n"/>
      <c r="C965" s="55" t="n"/>
      <c r="D965" s="55" t="n"/>
      <c r="E965" s="55" t="n"/>
      <c r="F965" s="55" t="n"/>
      <c r="G965" s="56" t="n"/>
      <c r="H965" s="57" t="n"/>
      <c r="I965" s="55" t="n"/>
      <c r="J965" s="53" t="n"/>
      <c r="K965" s="54" t="n"/>
      <c r="L965" s="55" t="n"/>
      <c r="M965" s="55" t="n"/>
      <c r="N965" s="57" t="n"/>
      <c r="O965" s="55" t="n"/>
      <c r="P965" s="56" t="n"/>
      <c r="Q965" s="55" t="n"/>
      <c r="R965" s="55" t="n"/>
      <c r="S965" s="55" t="n"/>
      <c r="T965" s="55" t="n"/>
      <c r="U965" s="55" t="n"/>
      <c r="V965" s="55" t="n"/>
      <c r="W965" s="58" t="n"/>
      <c r="X965" s="58" t="n"/>
      <c r="Y965" s="55" t="n"/>
      <c r="Z965" s="55" t="n"/>
      <c r="AA965" s="55" t="n"/>
      <c r="AB965" s="55" t="n"/>
      <c r="AC965" s="55" t="n"/>
      <c r="AD965" s="53" t="n"/>
      <c r="AE965" s="55" t="n"/>
      <c r="AF965" s="55" t="n"/>
      <c r="AG965" s="59" t="n"/>
      <c r="AH965" s="57" t="n"/>
      <c r="AI965" s="55" t="n"/>
      <c r="AJ965" s="55" t="n"/>
      <c r="AK965" s="55" t="n"/>
      <c r="AL965" s="55" t="n"/>
      <c r="AM965" s="56" t="n"/>
      <c r="AN965" s="55" t="n"/>
      <c r="AO965" s="55" t="n"/>
      <c r="AP965" s="55" t="n"/>
      <c r="AQ965" s="55" t="n"/>
      <c r="AR965" s="60">
        <f>IF(AND(C965="",E965=""),"",IF(A965="","⚠ Date manquante",IF(AND(C965="",E965&lt;&gt;"Dépense"),"⚠ Prospect manquant",IF(E965="","⚠ Action manquante",IF(AND(AU965=1,D965=""),"⚠ Canal manquant",IF(AND(W965&lt;&gt;"",COUNTIFS('Saisie'!$W$5:$W$2004,W965,'Saisie'!$C$5:$C$2004,"&lt;&gt;"&amp;C965)&gt;0),"⚠ Numéro déjà utilisé par un autre prospect",IF(AND(J965&lt;&gt;"",J965&lt;A965),"⚠ Relance avant la date de l'action",IF(A965&gt;TODAY(),"⚠ Date dans le futur","✓"))))))))</f>
        <v/>
      </c>
      <c r="AS965" s="61">
        <f>IF(AND(A965="",C965="",E965=""),"",ROW())</f>
        <v/>
      </c>
      <c r="AT965" s="61">
        <f>IF(E965&amp;F965="","",MAX(IFERROR(INDEX('Paramètres'!$J$6:$J$33,MATCH(E965,'Paramètres'!$I$6:$I$33,0)),0),IFERROR(INDEX('Paramètres'!$N$6:$N$17,MATCH(F965,'Paramètres'!$M$6:$M$17,0)),0)))</f>
        <v/>
      </c>
      <c r="AU965" s="61">
        <f>IF(E965="","",IFERROR(IF(INDEX('Paramètres'!$K$6:$K$33,MATCH(E965,'Paramètres'!$I$6:$I$33,0))="Oui",1,0),0))</f>
        <v/>
      </c>
      <c r="AV965" s="61">
        <f>IF(F965="","",IFERROR(IF(INDEX('Paramètres'!$O$6:$O$17,MATCH(F965,'Paramètres'!$M$6:$M$17,0))="Oui",1,0),0))</f>
        <v/>
      </c>
      <c r="AW965" s="62">
        <f>IF(E965="","",IF(G965&lt;&gt;"",G965,IF(OR(E965="Proposition envoyée",E965="Signature"),MAX(0,N(IFERROR(INDEX('Paramètres'!$R$6:$R$15,MATCH(IF(AL965&lt;&gt;"",AL965,IFERROR(INDEX('Prospects'!$AN$5:$AN$504,MATCH(C965,'Prospects'!$C$5:$C$504,0)),"")),'Paramètres'!$Q$6:$Q$15,0)),0))-N(P965)),0)))</f>
        <v/>
      </c>
      <c r="AX965" s="61">
        <f>IF(C965="","",IF(COUNTIF($C$5:C965,C965)=1,MAX($AX$4:AX964)+1,""))</f>
        <v/>
      </c>
      <c r="AY965" s="61">
        <f>IF(B965="","",HOUR(B965))</f>
        <v/>
      </c>
      <c r="AZ965" s="61">
        <f>IF(A965="","",MOD(A965-2,7)+1)</f>
        <v/>
      </c>
      <c r="BA965" s="60">
        <f>IF(C965="","",IFERROR(INDEX('Prospects'!$N$5:$N$504,MATCH(C965,'Prospects'!$C$5:$C$504,0)),""))</f>
        <v/>
      </c>
      <c r="BB965" s="61">
        <f>IF(AND(C965&lt;&gt;"",C965='Fiche prospect'!$C$4),COUNTIF($C$5:C965,C965),"")</f>
        <v/>
      </c>
    </row>
    <row r="966">
      <c r="A966" s="53" t="n"/>
      <c r="B966" s="54" t="n"/>
      <c r="C966" s="55" t="n"/>
      <c r="D966" s="55" t="n"/>
      <c r="E966" s="55" t="n"/>
      <c r="F966" s="55" t="n"/>
      <c r="G966" s="56" t="n"/>
      <c r="H966" s="57" t="n"/>
      <c r="I966" s="55" t="n"/>
      <c r="J966" s="53" t="n"/>
      <c r="K966" s="54" t="n"/>
      <c r="L966" s="55" t="n"/>
      <c r="M966" s="55" t="n"/>
      <c r="N966" s="57" t="n"/>
      <c r="O966" s="55" t="n"/>
      <c r="P966" s="56" t="n"/>
      <c r="Q966" s="55" t="n"/>
      <c r="R966" s="55" t="n"/>
      <c r="S966" s="55" t="n"/>
      <c r="T966" s="55" t="n"/>
      <c r="U966" s="55" t="n"/>
      <c r="V966" s="55" t="n"/>
      <c r="W966" s="58" t="n"/>
      <c r="X966" s="58" t="n"/>
      <c r="Y966" s="55" t="n"/>
      <c r="Z966" s="55" t="n"/>
      <c r="AA966" s="55" t="n"/>
      <c r="AB966" s="55" t="n"/>
      <c r="AC966" s="55" t="n"/>
      <c r="AD966" s="53" t="n"/>
      <c r="AE966" s="55" t="n"/>
      <c r="AF966" s="55" t="n"/>
      <c r="AG966" s="59" t="n"/>
      <c r="AH966" s="57" t="n"/>
      <c r="AI966" s="55" t="n"/>
      <c r="AJ966" s="55" t="n"/>
      <c r="AK966" s="55" t="n"/>
      <c r="AL966" s="55" t="n"/>
      <c r="AM966" s="56" t="n"/>
      <c r="AN966" s="55" t="n"/>
      <c r="AO966" s="55" t="n"/>
      <c r="AP966" s="55" t="n"/>
      <c r="AQ966" s="55" t="n"/>
      <c r="AR966" s="60">
        <f>IF(AND(C966="",E966=""),"",IF(A966="","⚠ Date manquante",IF(AND(C966="",E966&lt;&gt;"Dépense"),"⚠ Prospect manquant",IF(E966="","⚠ Action manquante",IF(AND(AU966=1,D966=""),"⚠ Canal manquant",IF(AND(W966&lt;&gt;"",COUNTIFS('Saisie'!$W$5:$W$2004,W966,'Saisie'!$C$5:$C$2004,"&lt;&gt;"&amp;C966)&gt;0),"⚠ Numéro déjà utilisé par un autre prospect",IF(AND(J966&lt;&gt;"",J966&lt;A966),"⚠ Relance avant la date de l'action",IF(A966&gt;TODAY(),"⚠ Date dans le futur","✓"))))))))</f>
        <v/>
      </c>
      <c r="AS966" s="61">
        <f>IF(AND(A966="",C966="",E966=""),"",ROW())</f>
        <v/>
      </c>
      <c r="AT966" s="61">
        <f>IF(E966&amp;F966="","",MAX(IFERROR(INDEX('Paramètres'!$J$6:$J$33,MATCH(E966,'Paramètres'!$I$6:$I$33,0)),0),IFERROR(INDEX('Paramètres'!$N$6:$N$17,MATCH(F966,'Paramètres'!$M$6:$M$17,0)),0)))</f>
        <v/>
      </c>
      <c r="AU966" s="61">
        <f>IF(E966="","",IFERROR(IF(INDEX('Paramètres'!$K$6:$K$33,MATCH(E966,'Paramètres'!$I$6:$I$33,0))="Oui",1,0),0))</f>
        <v/>
      </c>
      <c r="AV966" s="61">
        <f>IF(F966="","",IFERROR(IF(INDEX('Paramètres'!$O$6:$O$17,MATCH(F966,'Paramètres'!$M$6:$M$17,0))="Oui",1,0),0))</f>
        <v/>
      </c>
      <c r="AW966" s="62">
        <f>IF(E966="","",IF(G966&lt;&gt;"",G966,IF(OR(E966="Proposition envoyée",E966="Signature"),MAX(0,N(IFERROR(INDEX('Paramètres'!$R$6:$R$15,MATCH(IF(AL966&lt;&gt;"",AL966,IFERROR(INDEX('Prospects'!$AN$5:$AN$504,MATCH(C966,'Prospects'!$C$5:$C$504,0)),"")),'Paramètres'!$Q$6:$Q$15,0)),0))-N(P966)),0)))</f>
        <v/>
      </c>
      <c r="AX966" s="61">
        <f>IF(C966="","",IF(COUNTIF($C$5:C966,C966)=1,MAX($AX$4:AX965)+1,""))</f>
        <v/>
      </c>
      <c r="AY966" s="61">
        <f>IF(B966="","",HOUR(B966))</f>
        <v/>
      </c>
      <c r="AZ966" s="61">
        <f>IF(A966="","",MOD(A966-2,7)+1)</f>
        <v/>
      </c>
      <c r="BA966" s="60">
        <f>IF(C966="","",IFERROR(INDEX('Prospects'!$N$5:$N$504,MATCH(C966,'Prospects'!$C$5:$C$504,0)),""))</f>
        <v/>
      </c>
      <c r="BB966" s="61">
        <f>IF(AND(C966&lt;&gt;"",C966='Fiche prospect'!$C$4),COUNTIF($C$5:C966,C966),"")</f>
        <v/>
      </c>
    </row>
    <row r="967">
      <c r="A967" s="53" t="n"/>
      <c r="B967" s="54" t="n"/>
      <c r="C967" s="55" t="n"/>
      <c r="D967" s="55" t="n"/>
      <c r="E967" s="55" t="n"/>
      <c r="F967" s="55" t="n"/>
      <c r="G967" s="56" t="n"/>
      <c r="H967" s="57" t="n"/>
      <c r="I967" s="55" t="n"/>
      <c r="J967" s="53" t="n"/>
      <c r="K967" s="54" t="n"/>
      <c r="L967" s="55" t="n"/>
      <c r="M967" s="55" t="n"/>
      <c r="N967" s="57" t="n"/>
      <c r="O967" s="55" t="n"/>
      <c r="P967" s="56" t="n"/>
      <c r="Q967" s="55" t="n"/>
      <c r="R967" s="55" t="n"/>
      <c r="S967" s="55" t="n"/>
      <c r="T967" s="55" t="n"/>
      <c r="U967" s="55" t="n"/>
      <c r="V967" s="55" t="n"/>
      <c r="W967" s="58" t="n"/>
      <c r="X967" s="58" t="n"/>
      <c r="Y967" s="55" t="n"/>
      <c r="Z967" s="55" t="n"/>
      <c r="AA967" s="55" t="n"/>
      <c r="AB967" s="55" t="n"/>
      <c r="AC967" s="55" t="n"/>
      <c r="AD967" s="53" t="n"/>
      <c r="AE967" s="55" t="n"/>
      <c r="AF967" s="55" t="n"/>
      <c r="AG967" s="59" t="n"/>
      <c r="AH967" s="57" t="n"/>
      <c r="AI967" s="55" t="n"/>
      <c r="AJ967" s="55" t="n"/>
      <c r="AK967" s="55" t="n"/>
      <c r="AL967" s="55" t="n"/>
      <c r="AM967" s="56" t="n"/>
      <c r="AN967" s="55" t="n"/>
      <c r="AO967" s="55" t="n"/>
      <c r="AP967" s="55" t="n"/>
      <c r="AQ967" s="55" t="n"/>
      <c r="AR967" s="60">
        <f>IF(AND(C967="",E967=""),"",IF(A967="","⚠ Date manquante",IF(AND(C967="",E967&lt;&gt;"Dépense"),"⚠ Prospect manquant",IF(E967="","⚠ Action manquante",IF(AND(AU967=1,D967=""),"⚠ Canal manquant",IF(AND(W967&lt;&gt;"",COUNTIFS('Saisie'!$W$5:$W$2004,W967,'Saisie'!$C$5:$C$2004,"&lt;&gt;"&amp;C967)&gt;0),"⚠ Numéro déjà utilisé par un autre prospect",IF(AND(J967&lt;&gt;"",J967&lt;A967),"⚠ Relance avant la date de l'action",IF(A967&gt;TODAY(),"⚠ Date dans le futur","✓"))))))))</f>
        <v/>
      </c>
      <c r="AS967" s="61">
        <f>IF(AND(A967="",C967="",E967=""),"",ROW())</f>
        <v/>
      </c>
      <c r="AT967" s="61">
        <f>IF(E967&amp;F967="","",MAX(IFERROR(INDEX('Paramètres'!$J$6:$J$33,MATCH(E967,'Paramètres'!$I$6:$I$33,0)),0),IFERROR(INDEX('Paramètres'!$N$6:$N$17,MATCH(F967,'Paramètres'!$M$6:$M$17,0)),0)))</f>
        <v/>
      </c>
      <c r="AU967" s="61">
        <f>IF(E967="","",IFERROR(IF(INDEX('Paramètres'!$K$6:$K$33,MATCH(E967,'Paramètres'!$I$6:$I$33,0))="Oui",1,0),0))</f>
        <v/>
      </c>
      <c r="AV967" s="61">
        <f>IF(F967="","",IFERROR(IF(INDEX('Paramètres'!$O$6:$O$17,MATCH(F967,'Paramètres'!$M$6:$M$17,0))="Oui",1,0),0))</f>
        <v/>
      </c>
      <c r="AW967" s="62">
        <f>IF(E967="","",IF(G967&lt;&gt;"",G967,IF(OR(E967="Proposition envoyée",E967="Signature"),MAX(0,N(IFERROR(INDEX('Paramètres'!$R$6:$R$15,MATCH(IF(AL967&lt;&gt;"",AL967,IFERROR(INDEX('Prospects'!$AN$5:$AN$504,MATCH(C967,'Prospects'!$C$5:$C$504,0)),"")),'Paramètres'!$Q$6:$Q$15,0)),0))-N(P967)),0)))</f>
        <v/>
      </c>
      <c r="AX967" s="61">
        <f>IF(C967="","",IF(COUNTIF($C$5:C967,C967)=1,MAX($AX$4:AX966)+1,""))</f>
        <v/>
      </c>
      <c r="AY967" s="61">
        <f>IF(B967="","",HOUR(B967))</f>
        <v/>
      </c>
      <c r="AZ967" s="61">
        <f>IF(A967="","",MOD(A967-2,7)+1)</f>
        <v/>
      </c>
      <c r="BA967" s="60">
        <f>IF(C967="","",IFERROR(INDEX('Prospects'!$N$5:$N$504,MATCH(C967,'Prospects'!$C$5:$C$504,0)),""))</f>
        <v/>
      </c>
      <c r="BB967" s="61">
        <f>IF(AND(C967&lt;&gt;"",C967='Fiche prospect'!$C$4),COUNTIF($C$5:C967,C967),"")</f>
        <v/>
      </c>
    </row>
    <row r="968">
      <c r="A968" s="53" t="n"/>
      <c r="B968" s="54" t="n"/>
      <c r="C968" s="55" t="n"/>
      <c r="D968" s="55" t="n"/>
      <c r="E968" s="55" t="n"/>
      <c r="F968" s="55" t="n"/>
      <c r="G968" s="56" t="n"/>
      <c r="H968" s="57" t="n"/>
      <c r="I968" s="55" t="n"/>
      <c r="J968" s="53" t="n"/>
      <c r="K968" s="54" t="n"/>
      <c r="L968" s="55" t="n"/>
      <c r="M968" s="55" t="n"/>
      <c r="N968" s="57" t="n"/>
      <c r="O968" s="55" t="n"/>
      <c r="P968" s="56" t="n"/>
      <c r="Q968" s="55" t="n"/>
      <c r="R968" s="55" t="n"/>
      <c r="S968" s="55" t="n"/>
      <c r="T968" s="55" t="n"/>
      <c r="U968" s="55" t="n"/>
      <c r="V968" s="55" t="n"/>
      <c r="W968" s="58" t="n"/>
      <c r="X968" s="58" t="n"/>
      <c r="Y968" s="55" t="n"/>
      <c r="Z968" s="55" t="n"/>
      <c r="AA968" s="55" t="n"/>
      <c r="AB968" s="55" t="n"/>
      <c r="AC968" s="55" t="n"/>
      <c r="AD968" s="53" t="n"/>
      <c r="AE968" s="55" t="n"/>
      <c r="AF968" s="55" t="n"/>
      <c r="AG968" s="59" t="n"/>
      <c r="AH968" s="57" t="n"/>
      <c r="AI968" s="55" t="n"/>
      <c r="AJ968" s="55" t="n"/>
      <c r="AK968" s="55" t="n"/>
      <c r="AL968" s="55" t="n"/>
      <c r="AM968" s="56" t="n"/>
      <c r="AN968" s="55" t="n"/>
      <c r="AO968" s="55" t="n"/>
      <c r="AP968" s="55" t="n"/>
      <c r="AQ968" s="55" t="n"/>
      <c r="AR968" s="60">
        <f>IF(AND(C968="",E968=""),"",IF(A968="","⚠ Date manquante",IF(AND(C968="",E968&lt;&gt;"Dépense"),"⚠ Prospect manquant",IF(E968="","⚠ Action manquante",IF(AND(AU968=1,D968=""),"⚠ Canal manquant",IF(AND(W968&lt;&gt;"",COUNTIFS('Saisie'!$W$5:$W$2004,W968,'Saisie'!$C$5:$C$2004,"&lt;&gt;"&amp;C968)&gt;0),"⚠ Numéro déjà utilisé par un autre prospect",IF(AND(J968&lt;&gt;"",J968&lt;A968),"⚠ Relance avant la date de l'action",IF(A968&gt;TODAY(),"⚠ Date dans le futur","✓"))))))))</f>
        <v/>
      </c>
      <c r="AS968" s="61">
        <f>IF(AND(A968="",C968="",E968=""),"",ROW())</f>
        <v/>
      </c>
      <c r="AT968" s="61">
        <f>IF(E968&amp;F968="","",MAX(IFERROR(INDEX('Paramètres'!$J$6:$J$33,MATCH(E968,'Paramètres'!$I$6:$I$33,0)),0),IFERROR(INDEX('Paramètres'!$N$6:$N$17,MATCH(F968,'Paramètres'!$M$6:$M$17,0)),0)))</f>
        <v/>
      </c>
      <c r="AU968" s="61">
        <f>IF(E968="","",IFERROR(IF(INDEX('Paramètres'!$K$6:$K$33,MATCH(E968,'Paramètres'!$I$6:$I$33,0))="Oui",1,0),0))</f>
        <v/>
      </c>
      <c r="AV968" s="61">
        <f>IF(F968="","",IFERROR(IF(INDEX('Paramètres'!$O$6:$O$17,MATCH(F968,'Paramètres'!$M$6:$M$17,0))="Oui",1,0),0))</f>
        <v/>
      </c>
      <c r="AW968" s="62">
        <f>IF(E968="","",IF(G968&lt;&gt;"",G968,IF(OR(E968="Proposition envoyée",E968="Signature"),MAX(0,N(IFERROR(INDEX('Paramètres'!$R$6:$R$15,MATCH(IF(AL968&lt;&gt;"",AL968,IFERROR(INDEX('Prospects'!$AN$5:$AN$504,MATCH(C968,'Prospects'!$C$5:$C$504,0)),"")),'Paramètres'!$Q$6:$Q$15,0)),0))-N(P968)),0)))</f>
        <v/>
      </c>
      <c r="AX968" s="61">
        <f>IF(C968="","",IF(COUNTIF($C$5:C968,C968)=1,MAX($AX$4:AX967)+1,""))</f>
        <v/>
      </c>
      <c r="AY968" s="61">
        <f>IF(B968="","",HOUR(B968))</f>
        <v/>
      </c>
      <c r="AZ968" s="61">
        <f>IF(A968="","",MOD(A968-2,7)+1)</f>
        <v/>
      </c>
      <c r="BA968" s="60">
        <f>IF(C968="","",IFERROR(INDEX('Prospects'!$N$5:$N$504,MATCH(C968,'Prospects'!$C$5:$C$504,0)),""))</f>
        <v/>
      </c>
      <c r="BB968" s="61">
        <f>IF(AND(C968&lt;&gt;"",C968='Fiche prospect'!$C$4),COUNTIF($C$5:C968,C968),"")</f>
        <v/>
      </c>
    </row>
    <row r="969">
      <c r="A969" s="53" t="n"/>
      <c r="B969" s="54" t="n"/>
      <c r="C969" s="55" t="n"/>
      <c r="D969" s="55" t="n"/>
      <c r="E969" s="55" t="n"/>
      <c r="F969" s="55" t="n"/>
      <c r="G969" s="56" t="n"/>
      <c r="H969" s="57" t="n"/>
      <c r="I969" s="55" t="n"/>
      <c r="J969" s="53" t="n"/>
      <c r="K969" s="54" t="n"/>
      <c r="L969" s="55" t="n"/>
      <c r="M969" s="55" t="n"/>
      <c r="N969" s="57" t="n"/>
      <c r="O969" s="55" t="n"/>
      <c r="P969" s="56" t="n"/>
      <c r="Q969" s="55" t="n"/>
      <c r="R969" s="55" t="n"/>
      <c r="S969" s="55" t="n"/>
      <c r="T969" s="55" t="n"/>
      <c r="U969" s="55" t="n"/>
      <c r="V969" s="55" t="n"/>
      <c r="W969" s="58" t="n"/>
      <c r="X969" s="58" t="n"/>
      <c r="Y969" s="55" t="n"/>
      <c r="Z969" s="55" t="n"/>
      <c r="AA969" s="55" t="n"/>
      <c r="AB969" s="55" t="n"/>
      <c r="AC969" s="55" t="n"/>
      <c r="AD969" s="53" t="n"/>
      <c r="AE969" s="55" t="n"/>
      <c r="AF969" s="55" t="n"/>
      <c r="AG969" s="59" t="n"/>
      <c r="AH969" s="57" t="n"/>
      <c r="AI969" s="55" t="n"/>
      <c r="AJ969" s="55" t="n"/>
      <c r="AK969" s="55" t="n"/>
      <c r="AL969" s="55" t="n"/>
      <c r="AM969" s="56" t="n"/>
      <c r="AN969" s="55" t="n"/>
      <c r="AO969" s="55" t="n"/>
      <c r="AP969" s="55" t="n"/>
      <c r="AQ969" s="55" t="n"/>
      <c r="AR969" s="60">
        <f>IF(AND(C969="",E969=""),"",IF(A969="","⚠ Date manquante",IF(AND(C969="",E969&lt;&gt;"Dépense"),"⚠ Prospect manquant",IF(E969="","⚠ Action manquante",IF(AND(AU969=1,D969=""),"⚠ Canal manquant",IF(AND(W969&lt;&gt;"",COUNTIFS('Saisie'!$W$5:$W$2004,W969,'Saisie'!$C$5:$C$2004,"&lt;&gt;"&amp;C969)&gt;0),"⚠ Numéro déjà utilisé par un autre prospect",IF(AND(J969&lt;&gt;"",J969&lt;A969),"⚠ Relance avant la date de l'action",IF(A969&gt;TODAY(),"⚠ Date dans le futur","✓"))))))))</f>
        <v/>
      </c>
      <c r="AS969" s="61">
        <f>IF(AND(A969="",C969="",E969=""),"",ROW())</f>
        <v/>
      </c>
      <c r="AT969" s="61">
        <f>IF(E969&amp;F969="","",MAX(IFERROR(INDEX('Paramètres'!$J$6:$J$33,MATCH(E969,'Paramètres'!$I$6:$I$33,0)),0),IFERROR(INDEX('Paramètres'!$N$6:$N$17,MATCH(F969,'Paramètres'!$M$6:$M$17,0)),0)))</f>
        <v/>
      </c>
      <c r="AU969" s="61">
        <f>IF(E969="","",IFERROR(IF(INDEX('Paramètres'!$K$6:$K$33,MATCH(E969,'Paramètres'!$I$6:$I$33,0))="Oui",1,0),0))</f>
        <v/>
      </c>
      <c r="AV969" s="61">
        <f>IF(F969="","",IFERROR(IF(INDEX('Paramètres'!$O$6:$O$17,MATCH(F969,'Paramètres'!$M$6:$M$17,0))="Oui",1,0),0))</f>
        <v/>
      </c>
      <c r="AW969" s="62">
        <f>IF(E969="","",IF(G969&lt;&gt;"",G969,IF(OR(E969="Proposition envoyée",E969="Signature"),MAX(0,N(IFERROR(INDEX('Paramètres'!$R$6:$R$15,MATCH(IF(AL969&lt;&gt;"",AL969,IFERROR(INDEX('Prospects'!$AN$5:$AN$504,MATCH(C969,'Prospects'!$C$5:$C$504,0)),"")),'Paramètres'!$Q$6:$Q$15,0)),0))-N(P969)),0)))</f>
        <v/>
      </c>
      <c r="AX969" s="61">
        <f>IF(C969="","",IF(COUNTIF($C$5:C969,C969)=1,MAX($AX$4:AX968)+1,""))</f>
        <v/>
      </c>
      <c r="AY969" s="61">
        <f>IF(B969="","",HOUR(B969))</f>
        <v/>
      </c>
      <c r="AZ969" s="61">
        <f>IF(A969="","",MOD(A969-2,7)+1)</f>
        <v/>
      </c>
      <c r="BA969" s="60">
        <f>IF(C969="","",IFERROR(INDEX('Prospects'!$N$5:$N$504,MATCH(C969,'Prospects'!$C$5:$C$504,0)),""))</f>
        <v/>
      </c>
      <c r="BB969" s="61">
        <f>IF(AND(C969&lt;&gt;"",C969='Fiche prospect'!$C$4),COUNTIF($C$5:C969,C969),"")</f>
        <v/>
      </c>
    </row>
    <row r="970">
      <c r="A970" s="53" t="n"/>
      <c r="B970" s="54" t="n"/>
      <c r="C970" s="55" t="n"/>
      <c r="D970" s="55" t="n"/>
      <c r="E970" s="55" t="n"/>
      <c r="F970" s="55" t="n"/>
      <c r="G970" s="56" t="n"/>
      <c r="H970" s="57" t="n"/>
      <c r="I970" s="55" t="n"/>
      <c r="J970" s="53" t="n"/>
      <c r="K970" s="54" t="n"/>
      <c r="L970" s="55" t="n"/>
      <c r="M970" s="55" t="n"/>
      <c r="N970" s="57" t="n"/>
      <c r="O970" s="55" t="n"/>
      <c r="P970" s="56" t="n"/>
      <c r="Q970" s="55" t="n"/>
      <c r="R970" s="55" t="n"/>
      <c r="S970" s="55" t="n"/>
      <c r="T970" s="55" t="n"/>
      <c r="U970" s="55" t="n"/>
      <c r="V970" s="55" t="n"/>
      <c r="W970" s="58" t="n"/>
      <c r="X970" s="58" t="n"/>
      <c r="Y970" s="55" t="n"/>
      <c r="Z970" s="55" t="n"/>
      <c r="AA970" s="55" t="n"/>
      <c r="AB970" s="55" t="n"/>
      <c r="AC970" s="55" t="n"/>
      <c r="AD970" s="53" t="n"/>
      <c r="AE970" s="55" t="n"/>
      <c r="AF970" s="55" t="n"/>
      <c r="AG970" s="59" t="n"/>
      <c r="AH970" s="57" t="n"/>
      <c r="AI970" s="55" t="n"/>
      <c r="AJ970" s="55" t="n"/>
      <c r="AK970" s="55" t="n"/>
      <c r="AL970" s="55" t="n"/>
      <c r="AM970" s="56" t="n"/>
      <c r="AN970" s="55" t="n"/>
      <c r="AO970" s="55" t="n"/>
      <c r="AP970" s="55" t="n"/>
      <c r="AQ970" s="55" t="n"/>
      <c r="AR970" s="60">
        <f>IF(AND(C970="",E970=""),"",IF(A970="","⚠ Date manquante",IF(AND(C970="",E970&lt;&gt;"Dépense"),"⚠ Prospect manquant",IF(E970="","⚠ Action manquante",IF(AND(AU970=1,D970=""),"⚠ Canal manquant",IF(AND(W970&lt;&gt;"",COUNTIFS('Saisie'!$W$5:$W$2004,W970,'Saisie'!$C$5:$C$2004,"&lt;&gt;"&amp;C970)&gt;0),"⚠ Numéro déjà utilisé par un autre prospect",IF(AND(J970&lt;&gt;"",J970&lt;A970),"⚠ Relance avant la date de l'action",IF(A970&gt;TODAY(),"⚠ Date dans le futur","✓"))))))))</f>
        <v/>
      </c>
      <c r="AS970" s="61">
        <f>IF(AND(A970="",C970="",E970=""),"",ROW())</f>
        <v/>
      </c>
      <c r="AT970" s="61">
        <f>IF(E970&amp;F970="","",MAX(IFERROR(INDEX('Paramètres'!$J$6:$J$33,MATCH(E970,'Paramètres'!$I$6:$I$33,0)),0),IFERROR(INDEX('Paramètres'!$N$6:$N$17,MATCH(F970,'Paramètres'!$M$6:$M$17,0)),0)))</f>
        <v/>
      </c>
      <c r="AU970" s="61">
        <f>IF(E970="","",IFERROR(IF(INDEX('Paramètres'!$K$6:$K$33,MATCH(E970,'Paramètres'!$I$6:$I$33,0))="Oui",1,0),0))</f>
        <v/>
      </c>
      <c r="AV970" s="61">
        <f>IF(F970="","",IFERROR(IF(INDEX('Paramètres'!$O$6:$O$17,MATCH(F970,'Paramètres'!$M$6:$M$17,0))="Oui",1,0),0))</f>
        <v/>
      </c>
      <c r="AW970" s="62">
        <f>IF(E970="","",IF(G970&lt;&gt;"",G970,IF(OR(E970="Proposition envoyée",E970="Signature"),MAX(0,N(IFERROR(INDEX('Paramètres'!$R$6:$R$15,MATCH(IF(AL970&lt;&gt;"",AL970,IFERROR(INDEX('Prospects'!$AN$5:$AN$504,MATCH(C970,'Prospects'!$C$5:$C$504,0)),"")),'Paramètres'!$Q$6:$Q$15,0)),0))-N(P970)),0)))</f>
        <v/>
      </c>
      <c r="AX970" s="61">
        <f>IF(C970="","",IF(COUNTIF($C$5:C970,C970)=1,MAX($AX$4:AX969)+1,""))</f>
        <v/>
      </c>
      <c r="AY970" s="61">
        <f>IF(B970="","",HOUR(B970))</f>
        <v/>
      </c>
      <c r="AZ970" s="61">
        <f>IF(A970="","",MOD(A970-2,7)+1)</f>
        <v/>
      </c>
      <c r="BA970" s="60">
        <f>IF(C970="","",IFERROR(INDEX('Prospects'!$N$5:$N$504,MATCH(C970,'Prospects'!$C$5:$C$504,0)),""))</f>
        <v/>
      </c>
      <c r="BB970" s="61">
        <f>IF(AND(C970&lt;&gt;"",C970='Fiche prospect'!$C$4),COUNTIF($C$5:C970,C970),"")</f>
        <v/>
      </c>
    </row>
    <row r="971">
      <c r="A971" s="53" t="n"/>
      <c r="B971" s="54" t="n"/>
      <c r="C971" s="55" t="n"/>
      <c r="D971" s="55" t="n"/>
      <c r="E971" s="55" t="n"/>
      <c r="F971" s="55" t="n"/>
      <c r="G971" s="56" t="n"/>
      <c r="H971" s="57" t="n"/>
      <c r="I971" s="55" t="n"/>
      <c r="J971" s="53" t="n"/>
      <c r="K971" s="54" t="n"/>
      <c r="L971" s="55" t="n"/>
      <c r="M971" s="55" t="n"/>
      <c r="N971" s="57" t="n"/>
      <c r="O971" s="55" t="n"/>
      <c r="P971" s="56" t="n"/>
      <c r="Q971" s="55" t="n"/>
      <c r="R971" s="55" t="n"/>
      <c r="S971" s="55" t="n"/>
      <c r="T971" s="55" t="n"/>
      <c r="U971" s="55" t="n"/>
      <c r="V971" s="55" t="n"/>
      <c r="W971" s="58" t="n"/>
      <c r="X971" s="58" t="n"/>
      <c r="Y971" s="55" t="n"/>
      <c r="Z971" s="55" t="n"/>
      <c r="AA971" s="55" t="n"/>
      <c r="AB971" s="55" t="n"/>
      <c r="AC971" s="55" t="n"/>
      <c r="AD971" s="53" t="n"/>
      <c r="AE971" s="55" t="n"/>
      <c r="AF971" s="55" t="n"/>
      <c r="AG971" s="59" t="n"/>
      <c r="AH971" s="57" t="n"/>
      <c r="AI971" s="55" t="n"/>
      <c r="AJ971" s="55" t="n"/>
      <c r="AK971" s="55" t="n"/>
      <c r="AL971" s="55" t="n"/>
      <c r="AM971" s="56" t="n"/>
      <c r="AN971" s="55" t="n"/>
      <c r="AO971" s="55" t="n"/>
      <c r="AP971" s="55" t="n"/>
      <c r="AQ971" s="55" t="n"/>
      <c r="AR971" s="60">
        <f>IF(AND(C971="",E971=""),"",IF(A971="","⚠ Date manquante",IF(AND(C971="",E971&lt;&gt;"Dépense"),"⚠ Prospect manquant",IF(E971="","⚠ Action manquante",IF(AND(AU971=1,D971=""),"⚠ Canal manquant",IF(AND(W971&lt;&gt;"",COUNTIFS('Saisie'!$W$5:$W$2004,W971,'Saisie'!$C$5:$C$2004,"&lt;&gt;"&amp;C971)&gt;0),"⚠ Numéro déjà utilisé par un autre prospect",IF(AND(J971&lt;&gt;"",J971&lt;A971),"⚠ Relance avant la date de l'action",IF(A971&gt;TODAY(),"⚠ Date dans le futur","✓"))))))))</f>
        <v/>
      </c>
      <c r="AS971" s="61">
        <f>IF(AND(A971="",C971="",E971=""),"",ROW())</f>
        <v/>
      </c>
      <c r="AT971" s="61">
        <f>IF(E971&amp;F971="","",MAX(IFERROR(INDEX('Paramètres'!$J$6:$J$33,MATCH(E971,'Paramètres'!$I$6:$I$33,0)),0),IFERROR(INDEX('Paramètres'!$N$6:$N$17,MATCH(F971,'Paramètres'!$M$6:$M$17,0)),0)))</f>
        <v/>
      </c>
      <c r="AU971" s="61">
        <f>IF(E971="","",IFERROR(IF(INDEX('Paramètres'!$K$6:$K$33,MATCH(E971,'Paramètres'!$I$6:$I$33,0))="Oui",1,0),0))</f>
        <v/>
      </c>
      <c r="AV971" s="61">
        <f>IF(F971="","",IFERROR(IF(INDEX('Paramètres'!$O$6:$O$17,MATCH(F971,'Paramètres'!$M$6:$M$17,0))="Oui",1,0),0))</f>
        <v/>
      </c>
      <c r="AW971" s="62">
        <f>IF(E971="","",IF(G971&lt;&gt;"",G971,IF(OR(E971="Proposition envoyée",E971="Signature"),MAX(0,N(IFERROR(INDEX('Paramètres'!$R$6:$R$15,MATCH(IF(AL971&lt;&gt;"",AL971,IFERROR(INDEX('Prospects'!$AN$5:$AN$504,MATCH(C971,'Prospects'!$C$5:$C$504,0)),"")),'Paramètres'!$Q$6:$Q$15,0)),0))-N(P971)),0)))</f>
        <v/>
      </c>
      <c r="AX971" s="61">
        <f>IF(C971="","",IF(COUNTIF($C$5:C971,C971)=1,MAX($AX$4:AX970)+1,""))</f>
        <v/>
      </c>
      <c r="AY971" s="61">
        <f>IF(B971="","",HOUR(B971))</f>
        <v/>
      </c>
      <c r="AZ971" s="61">
        <f>IF(A971="","",MOD(A971-2,7)+1)</f>
        <v/>
      </c>
      <c r="BA971" s="60">
        <f>IF(C971="","",IFERROR(INDEX('Prospects'!$N$5:$N$504,MATCH(C971,'Prospects'!$C$5:$C$504,0)),""))</f>
        <v/>
      </c>
      <c r="BB971" s="61">
        <f>IF(AND(C971&lt;&gt;"",C971='Fiche prospect'!$C$4),COUNTIF($C$5:C971,C971),"")</f>
        <v/>
      </c>
    </row>
    <row r="972">
      <c r="A972" s="53" t="n"/>
      <c r="B972" s="54" t="n"/>
      <c r="C972" s="55" t="n"/>
      <c r="D972" s="55" t="n"/>
      <c r="E972" s="55" t="n"/>
      <c r="F972" s="55" t="n"/>
      <c r="G972" s="56" t="n"/>
      <c r="H972" s="57" t="n"/>
      <c r="I972" s="55" t="n"/>
      <c r="J972" s="53" t="n"/>
      <c r="K972" s="54" t="n"/>
      <c r="L972" s="55" t="n"/>
      <c r="M972" s="55" t="n"/>
      <c r="N972" s="57" t="n"/>
      <c r="O972" s="55" t="n"/>
      <c r="P972" s="56" t="n"/>
      <c r="Q972" s="55" t="n"/>
      <c r="R972" s="55" t="n"/>
      <c r="S972" s="55" t="n"/>
      <c r="T972" s="55" t="n"/>
      <c r="U972" s="55" t="n"/>
      <c r="V972" s="55" t="n"/>
      <c r="W972" s="58" t="n"/>
      <c r="X972" s="58" t="n"/>
      <c r="Y972" s="55" t="n"/>
      <c r="Z972" s="55" t="n"/>
      <c r="AA972" s="55" t="n"/>
      <c r="AB972" s="55" t="n"/>
      <c r="AC972" s="55" t="n"/>
      <c r="AD972" s="53" t="n"/>
      <c r="AE972" s="55" t="n"/>
      <c r="AF972" s="55" t="n"/>
      <c r="AG972" s="59" t="n"/>
      <c r="AH972" s="57" t="n"/>
      <c r="AI972" s="55" t="n"/>
      <c r="AJ972" s="55" t="n"/>
      <c r="AK972" s="55" t="n"/>
      <c r="AL972" s="55" t="n"/>
      <c r="AM972" s="56" t="n"/>
      <c r="AN972" s="55" t="n"/>
      <c r="AO972" s="55" t="n"/>
      <c r="AP972" s="55" t="n"/>
      <c r="AQ972" s="55" t="n"/>
      <c r="AR972" s="60">
        <f>IF(AND(C972="",E972=""),"",IF(A972="","⚠ Date manquante",IF(AND(C972="",E972&lt;&gt;"Dépense"),"⚠ Prospect manquant",IF(E972="","⚠ Action manquante",IF(AND(AU972=1,D972=""),"⚠ Canal manquant",IF(AND(W972&lt;&gt;"",COUNTIFS('Saisie'!$W$5:$W$2004,W972,'Saisie'!$C$5:$C$2004,"&lt;&gt;"&amp;C972)&gt;0),"⚠ Numéro déjà utilisé par un autre prospect",IF(AND(J972&lt;&gt;"",J972&lt;A972),"⚠ Relance avant la date de l'action",IF(A972&gt;TODAY(),"⚠ Date dans le futur","✓"))))))))</f>
        <v/>
      </c>
      <c r="AS972" s="61">
        <f>IF(AND(A972="",C972="",E972=""),"",ROW())</f>
        <v/>
      </c>
      <c r="AT972" s="61">
        <f>IF(E972&amp;F972="","",MAX(IFERROR(INDEX('Paramètres'!$J$6:$J$33,MATCH(E972,'Paramètres'!$I$6:$I$33,0)),0),IFERROR(INDEX('Paramètres'!$N$6:$N$17,MATCH(F972,'Paramètres'!$M$6:$M$17,0)),0)))</f>
        <v/>
      </c>
      <c r="AU972" s="61">
        <f>IF(E972="","",IFERROR(IF(INDEX('Paramètres'!$K$6:$K$33,MATCH(E972,'Paramètres'!$I$6:$I$33,0))="Oui",1,0),0))</f>
        <v/>
      </c>
      <c r="AV972" s="61">
        <f>IF(F972="","",IFERROR(IF(INDEX('Paramètres'!$O$6:$O$17,MATCH(F972,'Paramètres'!$M$6:$M$17,0))="Oui",1,0),0))</f>
        <v/>
      </c>
      <c r="AW972" s="62">
        <f>IF(E972="","",IF(G972&lt;&gt;"",G972,IF(OR(E972="Proposition envoyée",E972="Signature"),MAX(0,N(IFERROR(INDEX('Paramètres'!$R$6:$R$15,MATCH(IF(AL972&lt;&gt;"",AL972,IFERROR(INDEX('Prospects'!$AN$5:$AN$504,MATCH(C972,'Prospects'!$C$5:$C$504,0)),"")),'Paramètres'!$Q$6:$Q$15,0)),0))-N(P972)),0)))</f>
        <v/>
      </c>
      <c r="AX972" s="61">
        <f>IF(C972="","",IF(COUNTIF($C$5:C972,C972)=1,MAX($AX$4:AX971)+1,""))</f>
        <v/>
      </c>
      <c r="AY972" s="61">
        <f>IF(B972="","",HOUR(B972))</f>
        <v/>
      </c>
      <c r="AZ972" s="61">
        <f>IF(A972="","",MOD(A972-2,7)+1)</f>
        <v/>
      </c>
      <c r="BA972" s="60">
        <f>IF(C972="","",IFERROR(INDEX('Prospects'!$N$5:$N$504,MATCH(C972,'Prospects'!$C$5:$C$504,0)),""))</f>
        <v/>
      </c>
      <c r="BB972" s="61">
        <f>IF(AND(C972&lt;&gt;"",C972='Fiche prospect'!$C$4),COUNTIF($C$5:C972,C972),"")</f>
        <v/>
      </c>
    </row>
    <row r="973">
      <c r="A973" s="53" t="n"/>
      <c r="B973" s="54" t="n"/>
      <c r="C973" s="55" t="n"/>
      <c r="D973" s="55" t="n"/>
      <c r="E973" s="55" t="n"/>
      <c r="F973" s="55" t="n"/>
      <c r="G973" s="56" t="n"/>
      <c r="H973" s="57" t="n"/>
      <c r="I973" s="55" t="n"/>
      <c r="J973" s="53" t="n"/>
      <c r="K973" s="54" t="n"/>
      <c r="L973" s="55" t="n"/>
      <c r="M973" s="55" t="n"/>
      <c r="N973" s="57" t="n"/>
      <c r="O973" s="55" t="n"/>
      <c r="P973" s="56" t="n"/>
      <c r="Q973" s="55" t="n"/>
      <c r="R973" s="55" t="n"/>
      <c r="S973" s="55" t="n"/>
      <c r="T973" s="55" t="n"/>
      <c r="U973" s="55" t="n"/>
      <c r="V973" s="55" t="n"/>
      <c r="W973" s="58" t="n"/>
      <c r="X973" s="58" t="n"/>
      <c r="Y973" s="55" t="n"/>
      <c r="Z973" s="55" t="n"/>
      <c r="AA973" s="55" t="n"/>
      <c r="AB973" s="55" t="n"/>
      <c r="AC973" s="55" t="n"/>
      <c r="AD973" s="53" t="n"/>
      <c r="AE973" s="55" t="n"/>
      <c r="AF973" s="55" t="n"/>
      <c r="AG973" s="59" t="n"/>
      <c r="AH973" s="57" t="n"/>
      <c r="AI973" s="55" t="n"/>
      <c r="AJ973" s="55" t="n"/>
      <c r="AK973" s="55" t="n"/>
      <c r="AL973" s="55" t="n"/>
      <c r="AM973" s="56" t="n"/>
      <c r="AN973" s="55" t="n"/>
      <c r="AO973" s="55" t="n"/>
      <c r="AP973" s="55" t="n"/>
      <c r="AQ973" s="55" t="n"/>
      <c r="AR973" s="60">
        <f>IF(AND(C973="",E973=""),"",IF(A973="","⚠ Date manquante",IF(AND(C973="",E973&lt;&gt;"Dépense"),"⚠ Prospect manquant",IF(E973="","⚠ Action manquante",IF(AND(AU973=1,D973=""),"⚠ Canal manquant",IF(AND(W973&lt;&gt;"",COUNTIFS('Saisie'!$W$5:$W$2004,W973,'Saisie'!$C$5:$C$2004,"&lt;&gt;"&amp;C973)&gt;0),"⚠ Numéro déjà utilisé par un autre prospect",IF(AND(J973&lt;&gt;"",J973&lt;A973),"⚠ Relance avant la date de l'action",IF(A973&gt;TODAY(),"⚠ Date dans le futur","✓"))))))))</f>
        <v/>
      </c>
      <c r="AS973" s="61">
        <f>IF(AND(A973="",C973="",E973=""),"",ROW())</f>
        <v/>
      </c>
      <c r="AT973" s="61">
        <f>IF(E973&amp;F973="","",MAX(IFERROR(INDEX('Paramètres'!$J$6:$J$33,MATCH(E973,'Paramètres'!$I$6:$I$33,0)),0),IFERROR(INDEX('Paramètres'!$N$6:$N$17,MATCH(F973,'Paramètres'!$M$6:$M$17,0)),0)))</f>
        <v/>
      </c>
      <c r="AU973" s="61">
        <f>IF(E973="","",IFERROR(IF(INDEX('Paramètres'!$K$6:$K$33,MATCH(E973,'Paramètres'!$I$6:$I$33,0))="Oui",1,0),0))</f>
        <v/>
      </c>
      <c r="AV973" s="61">
        <f>IF(F973="","",IFERROR(IF(INDEX('Paramètres'!$O$6:$O$17,MATCH(F973,'Paramètres'!$M$6:$M$17,0))="Oui",1,0),0))</f>
        <v/>
      </c>
      <c r="AW973" s="62">
        <f>IF(E973="","",IF(G973&lt;&gt;"",G973,IF(OR(E973="Proposition envoyée",E973="Signature"),MAX(0,N(IFERROR(INDEX('Paramètres'!$R$6:$R$15,MATCH(IF(AL973&lt;&gt;"",AL973,IFERROR(INDEX('Prospects'!$AN$5:$AN$504,MATCH(C973,'Prospects'!$C$5:$C$504,0)),"")),'Paramètres'!$Q$6:$Q$15,0)),0))-N(P973)),0)))</f>
        <v/>
      </c>
      <c r="AX973" s="61">
        <f>IF(C973="","",IF(COUNTIF($C$5:C973,C973)=1,MAX($AX$4:AX972)+1,""))</f>
        <v/>
      </c>
      <c r="AY973" s="61">
        <f>IF(B973="","",HOUR(B973))</f>
        <v/>
      </c>
      <c r="AZ973" s="61">
        <f>IF(A973="","",MOD(A973-2,7)+1)</f>
        <v/>
      </c>
      <c r="BA973" s="60">
        <f>IF(C973="","",IFERROR(INDEX('Prospects'!$N$5:$N$504,MATCH(C973,'Prospects'!$C$5:$C$504,0)),""))</f>
        <v/>
      </c>
      <c r="BB973" s="61">
        <f>IF(AND(C973&lt;&gt;"",C973='Fiche prospect'!$C$4),COUNTIF($C$5:C973,C973),"")</f>
        <v/>
      </c>
    </row>
    <row r="974">
      <c r="A974" s="53" t="n"/>
      <c r="B974" s="54" t="n"/>
      <c r="C974" s="55" t="n"/>
      <c r="D974" s="55" t="n"/>
      <c r="E974" s="55" t="n"/>
      <c r="F974" s="55" t="n"/>
      <c r="G974" s="56" t="n"/>
      <c r="H974" s="57" t="n"/>
      <c r="I974" s="55" t="n"/>
      <c r="J974" s="53" t="n"/>
      <c r="K974" s="54" t="n"/>
      <c r="L974" s="55" t="n"/>
      <c r="M974" s="55" t="n"/>
      <c r="N974" s="57" t="n"/>
      <c r="O974" s="55" t="n"/>
      <c r="P974" s="56" t="n"/>
      <c r="Q974" s="55" t="n"/>
      <c r="R974" s="55" t="n"/>
      <c r="S974" s="55" t="n"/>
      <c r="T974" s="55" t="n"/>
      <c r="U974" s="55" t="n"/>
      <c r="V974" s="55" t="n"/>
      <c r="W974" s="58" t="n"/>
      <c r="X974" s="58" t="n"/>
      <c r="Y974" s="55" t="n"/>
      <c r="Z974" s="55" t="n"/>
      <c r="AA974" s="55" t="n"/>
      <c r="AB974" s="55" t="n"/>
      <c r="AC974" s="55" t="n"/>
      <c r="AD974" s="53" t="n"/>
      <c r="AE974" s="55" t="n"/>
      <c r="AF974" s="55" t="n"/>
      <c r="AG974" s="59" t="n"/>
      <c r="AH974" s="57" t="n"/>
      <c r="AI974" s="55" t="n"/>
      <c r="AJ974" s="55" t="n"/>
      <c r="AK974" s="55" t="n"/>
      <c r="AL974" s="55" t="n"/>
      <c r="AM974" s="56" t="n"/>
      <c r="AN974" s="55" t="n"/>
      <c r="AO974" s="55" t="n"/>
      <c r="AP974" s="55" t="n"/>
      <c r="AQ974" s="55" t="n"/>
      <c r="AR974" s="60">
        <f>IF(AND(C974="",E974=""),"",IF(A974="","⚠ Date manquante",IF(AND(C974="",E974&lt;&gt;"Dépense"),"⚠ Prospect manquant",IF(E974="","⚠ Action manquante",IF(AND(AU974=1,D974=""),"⚠ Canal manquant",IF(AND(W974&lt;&gt;"",COUNTIFS('Saisie'!$W$5:$W$2004,W974,'Saisie'!$C$5:$C$2004,"&lt;&gt;"&amp;C974)&gt;0),"⚠ Numéro déjà utilisé par un autre prospect",IF(AND(J974&lt;&gt;"",J974&lt;A974),"⚠ Relance avant la date de l'action",IF(A974&gt;TODAY(),"⚠ Date dans le futur","✓"))))))))</f>
        <v/>
      </c>
      <c r="AS974" s="61">
        <f>IF(AND(A974="",C974="",E974=""),"",ROW())</f>
        <v/>
      </c>
      <c r="AT974" s="61">
        <f>IF(E974&amp;F974="","",MAX(IFERROR(INDEX('Paramètres'!$J$6:$J$33,MATCH(E974,'Paramètres'!$I$6:$I$33,0)),0),IFERROR(INDEX('Paramètres'!$N$6:$N$17,MATCH(F974,'Paramètres'!$M$6:$M$17,0)),0)))</f>
        <v/>
      </c>
      <c r="AU974" s="61">
        <f>IF(E974="","",IFERROR(IF(INDEX('Paramètres'!$K$6:$K$33,MATCH(E974,'Paramètres'!$I$6:$I$33,0))="Oui",1,0),0))</f>
        <v/>
      </c>
      <c r="AV974" s="61">
        <f>IF(F974="","",IFERROR(IF(INDEX('Paramètres'!$O$6:$O$17,MATCH(F974,'Paramètres'!$M$6:$M$17,0))="Oui",1,0),0))</f>
        <v/>
      </c>
      <c r="AW974" s="62">
        <f>IF(E974="","",IF(G974&lt;&gt;"",G974,IF(OR(E974="Proposition envoyée",E974="Signature"),MAX(0,N(IFERROR(INDEX('Paramètres'!$R$6:$R$15,MATCH(IF(AL974&lt;&gt;"",AL974,IFERROR(INDEX('Prospects'!$AN$5:$AN$504,MATCH(C974,'Prospects'!$C$5:$C$504,0)),"")),'Paramètres'!$Q$6:$Q$15,0)),0))-N(P974)),0)))</f>
        <v/>
      </c>
      <c r="AX974" s="61">
        <f>IF(C974="","",IF(COUNTIF($C$5:C974,C974)=1,MAX($AX$4:AX973)+1,""))</f>
        <v/>
      </c>
      <c r="AY974" s="61">
        <f>IF(B974="","",HOUR(B974))</f>
        <v/>
      </c>
      <c r="AZ974" s="61">
        <f>IF(A974="","",MOD(A974-2,7)+1)</f>
        <v/>
      </c>
      <c r="BA974" s="60">
        <f>IF(C974="","",IFERROR(INDEX('Prospects'!$N$5:$N$504,MATCH(C974,'Prospects'!$C$5:$C$504,0)),""))</f>
        <v/>
      </c>
      <c r="BB974" s="61">
        <f>IF(AND(C974&lt;&gt;"",C974='Fiche prospect'!$C$4),COUNTIF($C$5:C974,C974),"")</f>
        <v/>
      </c>
    </row>
    <row r="975">
      <c r="A975" s="53" t="n"/>
      <c r="B975" s="54" t="n"/>
      <c r="C975" s="55" t="n"/>
      <c r="D975" s="55" t="n"/>
      <c r="E975" s="55" t="n"/>
      <c r="F975" s="55" t="n"/>
      <c r="G975" s="56" t="n"/>
      <c r="H975" s="57" t="n"/>
      <c r="I975" s="55" t="n"/>
      <c r="J975" s="53" t="n"/>
      <c r="K975" s="54" t="n"/>
      <c r="L975" s="55" t="n"/>
      <c r="M975" s="55" t="n"/>
      <c r="N975" s="57" t="n"/>
      <c r="O975" s="55" t="n"/>
      <c r="P975" s="56" t="n"/>
      <c r="Q975" s="55" t="n"/>
      <c r="R975" s="55" t="n"/>
      <c r="S975" s="55" t="n"/>
      <c r="T975" s="55" t="n"/>
      <c r="U975" s="55" t="n"/>
      <c r="V975" s="55" t="n"/>
      <c r="W975" s="58" t="n"/>
      <c r="X975" s="58" t="n"/>
      <c r="Y975" s="55" t="n"/>
      <c r="Z975" s="55" t="n"/>
      <c r="AA975" s="55" t="n"/>
      <c r="AB975" s="55" t="n"/>
      <c r="AC975" s="55" t="n"/>
      <c r="AD975" s="53" t="n"/>
      <c r="AE975" s="55" t="n"/>
      <c r="AF975" s="55" t="n"/>
      <c r="AG975" s="59" t="n"/>
      <c r="AH975" s="57" t="n"/>
      <c r="AI975" s="55" t="n"/>
      <c r="AJ975" s="55" t="n"/>
      <c r="AK975" s="55" t="n"/>
      <c r="AL975" s="55" t="n"/>
      <c r="AM975" s="56" t="n"/>
      <c r="AN975" s="55" t="n"/>
      <c r="AO975" s="55" t="n"/>
      <c r="AP975" s="55" t="n"/>
      <c r="AQ975" s="55" t="n"/>
      <c r="AR975" s="60">
        <f>IF(AND(C975="",E975=""),"",IF(A975="","⚠ Date manquante",IF(AND(C975="",E975&lt;&gt;"Dépense"),"⚠ Prospect manquant",IF(E975="","⚠ Action manquante",IF(AND(AU975=1,D975=""),"⚠ Canal manquant",IF(AND(W975&lt;&gt;"",COUNTIFS('Saisie'!$W$5:$W$2004,W975,'Saisie'!$C$5:$C$2004,"&lt;&gt;"&amp;C975)&gt;0),"⚠ Numéro déjà utilisé par un autre prospect",IF(AND(J975&lt;&gt;"",J975&lt;A975),"⚠ Relance avant la date de l'action",IF(A975&gt;TODAY(),"⚠ Date dans le futur","✓"))))))))</f>
        <v/>
      </c>
      <c r="AS975" s="61">
        <f>IF(AND(A975="",C975="",E975=""),"",ROW())</f>
        <v/>
      </c>
      <c r="AT975" s="61">
        <f>IF(E975&amp;F975="","",MAX(IFERROR(INDEX('Paramètres'!$J$6:$J$33,MATCH(E975,'Paramètres'!$I$6:$I$33,0)),0),IFERROR(INDEX('Paramètres'!$N$6:$N$17,MATCH(F975,'Paramètres'!$M$6:$M$17,0)),0)))</f>
        <v/>
      </c>
      <c r="AU975" s="61">
        <f>IF(E975="","",IFERROR(IF(INDEX('Paramètres'!$K$6:$K$33,MATCH(E975,'Paramètres'!$I$6:$I$33,0))="Oui",1,0),0))</f>
        <v/>
      </c>
      <c r="AV975" s="61">
        <f>IF(F975="","",IFERROR(IF(INDEX('Paramètres'!$O$6:$O$17,MATCH(F975,'Paramètres'!$M$6:$M$17,0))="Oui",1,0),0))</f>
        <v/>
      </c>
      <c r="AW975" s="62">
        <f>IF(E975="","",IF(G975&lt;&gt;"",G975,IF(OR(E975="Proposition envoyée",E975="Signature"),MAX(0,N(IFERROR(INDEX('Paramètres'!$R$6:$R$15,MATCH(IF(AL975&lt;&gt;"",AL975,IFERROR(INDEX('Prospects'!$AN$5:$AN$504,MATCH(C975,'Prospects'!$C$5:$C$504,0)),"")),'Paramètres'!$Q$6:$Q$15,0)),0))-N(P975)),0)))</f>
        <v/>
      </c>
      <c r="AX975" s="61">
        <f>IF(C975="","",IF(COUNTIF($C$5:C975,C975)=1,MAX($AX$4:AX974)+1,""))</f>
        <v/>
      </c>
      <c r="AY975" s="61">
        <f>IF(B975="","",HOUR(B975))</f>
        <v/>
      </c>
      <c r="AZ975" s="61">
        <f>IF(A975="","",MOD(A975-2,7)+1)</f>
        <v/>
      </c>
      <c r="BA975" s="60">
        <f>IF(C975="","",IFERROR(INDEX('Prospects'!$N$5:$N$504,MATCH(C975,'Prospects'!$C$5:$C$504,0)),""))</f>
        <v/>
      </c>
      <c r="BB975" s="61">
        <f>IF(AND(C975&lt;&gt;"",C975='Fiche prospect'!$C$4),COUNTIF($C$5:C975,C975),"")</f>
        <v/>
      </c>
    </row>
    <row r="976">
      <c r="A976" s="53" t="n"/>
      <c r="B976" s="54" t="n"/>
      <c r="C976" s="55" t="n"/>
      <c r="D976" s="55" t="n"/>
      <c r="E976" s="55" t="n"/>
      <c r="F976" s="55" t="n"/>
      <c r="G976" s="56" t="n"/>
      <c r="H976" s="57" t="n"/>
      <c r="I976" s="55" t="n"/>
      <c r="J976" s="53" t="n"/>
      <c r="K976" s="54" t="n"/>
      <c r="L976" s="55" t="n"/>
      <c r="M976" s="55" t="n"/>
      <c r="N976" s="57" t="n"/>
      <c r="O976" s="55" t="n"/>
      <c r="P976" s="56" t="n"/>
      <c r="Q976" s="55" t="n"/>
      <c r="R976" s="55" t="n"/>
      <c r="S976" s="55" t="n"/>
      <c r="T976" s="55" t="n"/>
      <c r="U976" s="55" t="n"/>
      <c r="V976" s="55" t="n"/>
      <c r="W976" s="58" t="n"/>
      <c r="X976" s="58" t="n"/>
      <c r="Y976" s="55" t="n"/>
      <c r="Z976" s="55" t="n"/>
      <c r="AA976" s="55" t="n"/>
      <c r="AB976" s="55" t="n"/>
      <c r="AC976" s="55" t="n"/>
      <c r="AD976" s="53" t="n"/>
      <c r="AE976" s="55" t="n"/>
      <c r="AF976" s="55" t="n"/>
      <c r="AG976" s="59" t="n"/>
      <c r="AH976" s="57" t="n"/>
      <c r="AI976" s="55" t="n"/>
      <c r="AJ976" s="55" t="n"/>
      <c r="AK976" s="55" t="n"/>
      <c r="AL976" s="55" t="n"/>
      <c r="AM976" s="56" t="n"/>
      <c r="AN976" s="55" t="n"/>
      <c r="AO976" s="55" t="n"/>
      <c r="AP976" s="55" t="n"/>
      <c r="AQ976" s="55" t="n"/>
      <c r="AR976" s="60">
        <f>IF(AND(C976="",E976=""),"",IF(A976="","⚠ Date manquante",IF(AND(C976="",E976&lt;&gt;"Dépense"),"⚠ Prospect manquant",IF(E976="","⚠ Action manquante",IF(AND(AU976=1,D976=""),"⚠ Canal manquant",IF(AND(W976&lt;&gt;"",COUNTIFS('Saisie'!$W$5:$W$2004,W976,'Saisie'!$C$5:$C$2004,"&lt;&gt;"&amp;C976)&gt;0),"⚠ Numéro déjà utilisé par un autre prospect",IF(AND(J976&lt;&gt;"",J976&lt;A976),"⚠ Relance avant la date de l'action",IF(A976&gt;TODAY(),"⚠ Date dans le futur","✓"))))))))</f>
        <v/>
      </c>
      <c r="AS976" s="61">
        <f>IF(AND(A976="",C976="",E976=""),"",ROW())</f>
        <v/>
      </c>
      <c r="AT976" s="61">
        <f>IF(E976&amp;F976="","",MAX(IFERROR(INDEX('Paramètres'!$J$6:$J$33,MATCH(E976,'Paramètres'!$I$6:$I$33,0)),0),IFERROR(INDEX('Paramètres'!$N$6:$N$17,MATCH(F976,'Paramètres'!$M$6:$M$17,0)),0)))</f>
        <v/>
      </c>
      <c r="AU976" s="61">
        <f>IF(E976="","",IFERROR(IF(INDEX('Paramètres'!$K$6:$K$33,MATCH(E976,'Paramètres'!$I$6:$I$33,0))="Oui",1,0),0))</f>
        <v/>
      </c>
      <c r="AV976" s="61">
        <f>IF(F976="","",IFERROR(IF(INDEX('Paramètres'!$O$6:$O$17,MATCH(F976,'Paramètres'!$M$6:$M$17,0))="Oui",1,0),0))</f>
        <v/>
      </c>
      <c r="AW976" s="62">
        <f>IF(E976="","",IF(G976&lt;&gt;"",G976,IF(OR(E976="Proposition envoyée",E976="Signature"),MAX(0,N(IFERROR(INDEX('Paramètres'!$R$6:$R$15,MATCH(IF(AL976&lt;&gt;"",AL976,IFERROR(INDEX('Prospects'!$AN$5:$AN$504,MATCH(C976,'Prospects'!$C$5:$C$504,0)),"")),'Paramètres'!$Q$6:$Q$15,0)),0))-N(P976)),0)))</f>
        <v/>
      </c>
      <c r="AX976" s="61">
        <f>IF(C976="","",IF(COUNTIF($C$5:C976,C976)=1,MAX($AX$4:AX975)+1,""))</f>
        <v/>
      </c>
      <c r="AY976" s="61">
        <f>IF(B976="","",HOUR(B976))</f>
        <v/>
      </c>
      <c r="AZ976" s="61">
        <f>IF(A976="","",MOD(A976-2,7)+1)</f>
        <v/>
      </c>
      <c r="BA976" s="60">
        <f>IF(C976="","",IFERROR(INDEX('Prospects'!$N$5:$N$504,MATCH(C976,'Prospects'!$C$5:$C$504,0)),""))</f>
        <v/>
      </c>
      <c r="BB976" s="61">
        <f>IF(AND(C976&lt;&gt;"",C976='Fiche prospect'!$C$4),COUNTIF($C$5:C976,C976),"")</f>
        <v/>
      </c>
    </row>
    <row r="977">
      <c r="A977" s="53" t="n"/>
      <c r="B977" s="54" t="n"/>
      <c r="C977" s="55" t="n"/>
      <c r="D977" s="55" t="n"/>
      <c r="E977" s="55" t="n"/>
      <c r="F977" s="55" t="n"/>
      <c r="G977" s="56" t="n"/>
      <c r="H977" s="57" t="n"/>
      <c r="I977" s="55" t="n"/>
      <c r="J977" s="53" t="n"/>
      <c r="K977" s="54" t="n"/>
      <c r="L977" s="55" t="n"/>
      <c r="M977" s="55" t="n"/>
      <c r="N977" s="57" t="n"/>
      <c r="O977" s="55" t="n"/>
      <c r="P977" s="56" t="n"/>
      <c r="Q977" s="55" t="n"/>
      <c r="R977" s="55" t="n"/>
      <c r="S977" s="55" t="n"/>
      <c r="T977" s="55" t="n"/>
      <c r="U977" s="55" t="n"/>
      <c r="V977" s="55" t="n"/>
      <c r="W977" s="58" t="n"/>
      <c r="X977" s="58" t="n"/>
      <c r="Y977" s="55" t="n"/>
      <c r="Z977" s="55" t="n"/>
      <c r="AA977" s="55" t="n"/>
      <c r="AB977" s="55" t="n"/>
      <c r="AC977" s="55" t="n"/>
      <c r="AD977" s="53" t="n"/>
      <c r="AE977" s="55" t="n"/>
      <c r="AF977" s="55" t="n"/>
      <c r="AG977" s="59" t="n"/>
      <c r="AH977" s="57" t="n"/>
      <c r="AI977" s="55" t="n"/>
      <c r="AJ977" s="55" t="n"/>
      <c r="AK977" s="55" t="n"/>
      <c r="AL977" s="55" t="n"/>
      <c r="AM977" s="56" t="n"/>
      <c r="AN977" s="55" t="n"/>
      <c r="AO977" s="55" t="n"/>
      <c r="AP977" s="55" t="n"/>
      <c r="AQ977" s="55" t="n"/>
      <c r="AR977" s="60">
        <f>IF(AND(C977="",E977=""),"",IF(A977="","⚠ Date manquante",IF(AND(C977="",E977&lt;&gt;"Dépense"),"⚠ Prospect manquant",IF(E977="","⚠ Action manquante",IF(AND(AU977=1,D977=""),"⚠ Canal manquant",IF(AND(W977&lt;&gt;"",COUNTIFS('Saisie'!$W$5:$W$2004,W977,'Saisie'!$C$5:$C$2004,"&lt;&gt;"&amp;C977)&gt;0),"⚠ Numéro déjà utilisé par un autre prospect",IF(AND(J977&lt;&gt;"",J977&lt;A977),"⚠ Relance avant la date de l'action",IF(A977&gt;TODAY(),"⚠ Date dans le futur","✓"))))))))</f>
        <v/>
      </c>
      <c r="AS977" s="61">
        <f>IF(AND(A977="",C977="",E977=""),"",ROW())</f>
        <v/>
      </c>
      <c r="AT977" s="61">
        <f>IF(E977&amp;F977="","",MAX(IFERROR(INDEX('Paramètres'!$J$6:$J$33,MATCH(E977,'Paramètres'!$I$6:$I$33,0)),0),IFERROR(INDEX('Paramètres'!$N$6:$N$17,MATCH(F977,'Paramètres'!$M$6:$M$17,0)),0)))</f>
        <v/>
      </c>
      <c r="AU977" s="61">
        <f>IF(E977="","",IFERROR(IF(INDEX('Paramètres'!$K$6:$K$33,MATCH(E977,'Paramètres'!$I$6:$I$33,0))="Oui",1,0),0))</f>
        <v/>
      </c>
      <c r="AV977" s="61">
        <f>IF(F977="","",IFERROR(IF(INDEX('Paramètres'!$O$6:$O$17,MATCH(F977,'Paramètres'!$M$6:$M$17,0))="Oui",1,0),0))</f>
        <v/>
      </c>
      <c r="AW977" s="62">
        <f>IF(E977="","",IF(G977&lt;&gt;"",G977,IF(OR(E977="Proposition envoyée",E977="Signature"),MAX(0,N(IFERROR(INDEX('Paramètres'!$R$6:$R$15,MATCH(IF(AL977&lt;&gt;"",AL977,IFERROR(INDEX('Prospects'!$AN$5:$AN$504,MATCH(C977,'Prospects'!$C$5:$C$504,0)),"")),'Paramètres'!$Q$6:$Q$15,0)),0))-N(P977)),0)))</f>
        <v/>
      </c>
      <c r="AX977" s="61">
        <f>IF(C977="","",IF(COUNTIF($C$5:C977,C977)=1,MAX($AX$4:AX976)+1,""))</f>
        <v/>
      </c>
      <c r="AY977" s="61">
        <f>IF(B977="","",HOUR(B977))</f>
        <v/>
      </c>
      <c r="AZ977" s="61">
        <f>IF(A977="","",MOD(A977-2,7)+1)</f>
        <v/>
      </c>
      <c r="BA977" s="60">
        <f>IF(C977="","",IFERROR(INDEX('Prospects'!$N$5:$N$504,MATCH(C977,'Prospects'!$C$5:$C$504,0)),""))</f>
        <v/>
      </c>
      <c r="BB977" s="61">
        <f>IF(AND(C977&lt;&gt;"",C977='Fiche prospect'!$C$4),COUNTIF($C$5:C977,C977),"")</f>
        <v/>
      </c>
    </row>
    <row r="978">
      <c r="A978" s="53" t="n"/>
      <c r="B978" s="54" t="n"/>
      <c r="C978" s="55" t="n"/>
      <c r="D978" s="55" t="n"/>
      <c r="E978" s="55" t="n"/>
      <c r="F978" s="55" t="n"/>
      <c r="G978" s="56" t="n"/>
      <c r="H978" s="57" t="n"/>
      <c r="I978" s="55" t="n"/>
      <c r="J978" s="53" t="n"/>
      <c r="K978" s="54" t="n"/>
      <c r="L978" s="55" t="n"/>
      <c r="M978" s="55" t="n"/>
      <c r="N978" s="57" t="n"/>
      <c r="O978" s="55" t="n"/>
      <c r="P978" s="56" t="n"/>
      <c r="Q978" s="55" t="n"/>
      <c r="R978" s="55" t="n"/>
      <c r="S978" s="55" t="n"/>
      <c r="T978" s="55" t="n"/>
      <c r="U978" s="55" t="n"/>
      <c r="V978" s="55" t="n"/>
      <c r="W978" s="58" t="n"/>
      <c r="X978" s="58" t="n"/>
      <c r="Y978" s="55" t="n"/>
      <c r="Z978" s="55" t="n"/>
      <c r="AA978" s="55" t="n"/>
      <c r="AB978" s="55" t="n"/>
      <c r="AC978" s="55" t="n"/>
      <c r="AD978" s="53" t="n"/>
      <c r="AE978" s="55" t="n"/>
      <c r="AF978" s="55" t="n"/>
      <c r="AG978" s="59" t="n"/>
      <c r="AH978" s="57" t="n"/>
      <c r="AI978" s="55" t="n"/>
      <c r="AJ978" s="55" t="n"/>
      <c r="AK978" s="55" t="n"/>
      <c r="AL978" s="55" t="n"/>
      <c r="AM978" s="56" t="n"/>
      <c r="AN978" s="55" t="n"/>
      <c r="AO978" s="55" t="n"/>
      <c r="AP978" s="55" t="n"/>
      <c r="AQ978" s="55" t="n"/>
      <c r="AR978" s="60">
        <f>IF(AND(C978="",E978=""),"",IF(A978="","⚠ Date manquante",IF(AND(C978="",E978&lt;&gt;"Dépense"),"⚠ Prospect manquant",IF(E978="","⚠ Action manquante",IF(AND(AU978=1,D978=""),"⚠ Canal manquant",IF(AND(W978&lt;&gt;"",COUNTIFS('Saisie'!$W$5:$W$2004,W978,'Saisie'!$C$5:$C$2004,"&lt;&gt;"&amp;C978)&gt;0),"⚠ Numéro déjà utilisé par un autre prospect",IF(AND(J978&lt;&gt;"",J978&lt;A978),"⚠ Relance avant la date de l'action",IF(A978&gt;TODAY(),"⚠ Date dans le futur","✓"))))))))</f>
        <v/>
      </c>
      <c r="AS978" s="61">
        <f>IF(AND(A978="",C978="",E978=""),"",ROW())</f>
        <v/>
      </c>
      <c r="AT978" s="61">
        <f>IF(E978&amp;F978="","",MAX(IFERROR(INDEX('Paramètres'!$J$6:$J$33,MATCH(E978,'Paramètres'!$I$6:$I$33,0)),0),IFERROR(INDEX('Paramètres'!$N$6:$N$17,MATCH(F978,'Paramètres'!$M$6:$M$17,0)),0)))</f>
        <v/>
      </c>
      <c r="AU978" s="61">
        <f>IF(E978="","",IFERROR(IF(INDEX('Paramètres'!$K$6:$K$33,MATCH(E978,'Paramètres'!$I$6:$I$33,0))="Oui",1,0),0))</f>
        <v/>
      </c>
      <c r="AV978" s="61">
        <f>IF(F978="","",IFERROR(IF(INDEX('Paramètres'!$O$6:$O$17,MATCH(F978,'Paramètres'!$M$6:$M$17,0))="Oui",1,0),0))</f>
        <v/>
      </c>
      <c r="AW978" s="62">
        <f>IF(E978="","",IF(G978&lt;&gt;"",G978,IF(OR(E978="Proposition envoyée",E978="Signature"),MAX(0,N(IFERROR(INDEX('Paramètres'!$R$6:$R$15,MATCH(IF(AL978&lt;&gt;"",AL978,IFERROR(INDEX('Prospects'!$AN$5:$AN$504,MATCH(C978,'Prospects'!$C$5:$C$504,0)),"")),'Paramètres'!$Q$6:$Q$15,0)),0))-N(P978)),0)))</f>
        <v/>
      </c>
      <c r="AX978" s="61">
        <f>IF(C978="","",IF(COUNTIF($C$5:C978,C978)=1,MAX($AX$4:AX977)+1,""))</f>
        <v/>
      </c>
      <c r="AY978" s="61">
        <f>IF(B978="","",HOUR(B978))</f>
        <v/>
      </c>
      <c r="AZ978" s="61">
        <f>IF(A978="","",MOD(A978-2,7)+1)</f>
        <v/>
      </c>
      <c r="BA978" s="60">
        <f>IF(C978="","",IFERROR(INDEX('Prospects'!$N$5:$N$504,MATCH(C978,'Prospects'!$C$5:$C$504,0)),""))</f>
        <v/>
      </c>
      <c r="BB978" s="61">
        <f>IF(AND(C978&lt;&gt;"",C978='Fiche prospect'!$C$4),COUNTIF($C$5:C978,C978),"")</f>
        <v/>
      </c>
    </row>
    <row r="979">
      <c r="A979" s="53" t="n"/>
      <c r="B979" s="54" t="n"/>
      <c r="C979" s="55" t="n"/>
      <c r="D979" s="55" t="n"/>
      <c r="E979" s="55" t="n"/>
      <c r="F979" s="55" t="n"/>
      <c r="G979" s="56" t="n"/>
      <c r="H979" s="57" t="n"/>
      <c r="I979" s="55" t="n"/>
      <c r="J979" s="53" t="n"/>
      <c r="K979" s="54" t="n"/>
      <c r="L979" s="55" t="n"/>
      <c r="M979" s="55" t="n"/>
      <c r="N979" s="57" t="n"/>
      <c r="O979" s="55" t="n"/>
      <c r="P979" s="56" t="n"/>
      <c r="Q979" s="55" t="n"/>
      <c r="R979" s="55" t="n"/>
      <c r="S979" s="55" t="n"/>
      <c r="T979" s="55" t="n"/>
      <c r="U979" s="55" t="n"/>
      <c r="V979" s="55" t="n"/>
      <c r="W979" s="58" t="n"/>
      <c r="X979" s="58" t="n"/>
      <c r="Y979" s="55" t="n"/>
      <c r="Z979" s="55" t="n"/>
      <c r="AA979" s="55" t="n"/>
      <c r="AB979" s="55" t="n"/>
      <c r="AC979" s="55" t="n"/>
      <c r="AD979" s="53" t="n"/>
      <c r="AE979" s="55" t="n"/>
      <c r="AF979" s="55" t="n"/>
      <c r="AG979" s="59" t="n"/>
      <c r="AH979" s="57" t="n"/>
      <c r="AI979" s="55" t="n"/>
      <c r="AJ979" s="55" t="n"/>
      <c r="AK979" s="55" t="n"/>
      <c r="AL979" s="55" t="n"/>
      <c r="AM979" s="56" t="n"/>
      <c r="AN979" s="55" t="n"/>
      <c r="AO979" s="55" t="n"/>
      <c r="AP979" s="55" t="n"/>
      <c r="AQ979" s="55" t="n"/>
      <c r="AR979" s="60">
        <f>IF(AND(C979="",E979=""),"",IF(A979="","⚠ Date manquante",IF(AND(C979="",E979&lt;&gt;"Dépense"),"⚠ Prospect manquant",IF(E979="","⚠ Action manquante",IF(AND(AU979=1,D979=""),"⚠ Canal manquant",IF(AND(W979&lt;&gt;"",COUNTIFS('Saisie'!$W$5:$W$2004,W979,'Saisie'!$C$5:$C$2004,"&lt;&gt;"&amp;C979)&gt;0),"⚠ Numéro déjà utilisé par un autre prospect",IF(AND(J979&lt;&gt;"",J979&lt;A979),"⚠ Relance avant la date de l'action",IF(A979&gt;TODAY(),"⚠ Date dans le futur","✓"))))))))</f>
        <v/>
      </c>
      <c r="AS979" s="61">
        <f>IF(AND(A979="",C979="",E979=""),"",ROW())</f>
        <v/>
      </c>
      <c r="AT979" s="61">
        <f>IF(E979&amp;F979="","",MAX(IFERROR(INDEX('Paramètres'!$J$6:$J$33,MATCH(E979,'Paramètres'!$I$6:$I$33,0)),0),IFERROR(INDEX('Paramètres'!$N$6:$N$17,MATCH(F979,'Paramètres'!$M$6:$M$17,0)),0)))</f>
        <v/>
      </c>
      <c r="AU979" s="61">
        <f>IF(E979="","",IFERROR(IF(INDEX('Paramètres'!$K$6:$K$33,MATCH(E979,'Paramètres'!$I$6:$I$33,0))="Oui",1,0),0))</f>
        <v/>
      </c>
      <c r="AV979" s="61">
        <f>IF(F979="","",IFERROR(IF(INDEX('Paramètres'!$O$6:$O$17,MATCH(F979,'Paramètres'!$M$6:$M$17,0))="Oui",1,0),0))</f>
        <v/>
      </c>
      <c r="AW979" s="62">
        <f>IF(E979="","",IF(G979&lt;&gt;"",G979,IF(OR(E979="Proposition envoyée",E979="Signature"),MAX(0,N(IFERROR(INDEX('Paramètres'!$R$6:$R$15,MATCH(IF(AL979&lt;&gt;"",AL979,IFERROR(INDEX('Prospects'!$AN$5:$AN$504,MATCH(C979,'Prospects'!$C$5:$C$504,0)),"")),'Paramètres'!$Q$6:$Q$15,0)),0))-N(P979)),0)))</f>
        <v/>
      </c>
      <c r="AX979" s="61">
        <f>IF(C979="","",IF(COUNTIF($C$5:C979,C979)=1,MAX($AX$4:AX978)+1,""))</f>
        <v/>
      </c>
      <c r="AY979" s="61">
        <f>IF(B979="","",HOUR(B979))</f>
        <v/>
      </c>
      <c r="AZ979" s="61">
        <f>IF(A979="","",MOD(A979-2,7)+1)</f>
        <v/>
      </c>
      <c r="BA979" s="60">
        <f>IF(C979="","",IFERROR(INDEX('Prospects'!$N$5:$N$504,MATCH(C979,'Prospects'!$C$5:$C$504,0)),""))</f>
        <v/>
      </c>
      <c r="BB979" s="61">
        <f>IF(AND(C979&lt;&gt;"",C979='Fiche prospect'!$C$4),COUNTIF($C$5:C979,C979),"")</f>
        <v/>
      </c>
    </row>
    <row r="980">
      <c r="A980" s="53" t="n"/>
      <c r="B980" s="54" t="n"/>
      <c r="C980" s="55" t="n"/>
      <c r="D980" s="55" t="n"/>
      <c r="E980" s="55" t="n"/>
      <c r="F980" s="55" t="n"/>
      <c r="G980" s="56" t="n"/>
      <c r="H980" s="57" t="n"/>
      <c r="I980" s="55" t="n"/>
      <c r="J980" s="53" t="n"/>
      <c r="K980" s="54" t="n"/>
      <c r="L980" s="55" t="n"/>
      <c r="M980" s="55" t="n"/>
      <c r="N980" s="57" t="n"/>
      <c r="O980" s="55" t="n"/>
      <c r="P980" s="56" t="n"/>
      <c r="Q980" s="55" t="n"/>
      <c r="R980" s="55" t="n"/>
      <c r="S980" s="55" t="n"/>
      <c r="T980" s="55" t="n"/>
      <c r="U980" s="55" t="n"/>
      <c r="V980" s="55" t="n"/>
      <c r="W980" s="58" t="n"/>
      <c r="X980" s="58" t="n"/>
      <c r="Y980" s="55" t="n"/>
      <c r="Z980" s="55" t="n"/>
      <c r="AA980" s="55" t="n"/>
      <c r="AB980" s="55" t="n"/>
      <c r="AC980" s="55" t="n"/>
      <c r="AD980" s="53" t="n"/>
      <c r="AE980" s="55" t="n"/>
      <c r="AF980" s="55" t="n"/>
      <c r="AG980" s="59" t="n"/>
      <c r="AH980" s="57" t="n"/>
      <c r="AI980" s="55" t="n"/>
      <c r="AJ980" s="55" t="n"/>
      <c r="AK980" s="55" t="n"/>
      <c r="AL980" s="55" t="n"/>
      <c r="AM980" s="56" t="n"/>
      <c r="AN980" s="55" t="n"/>
      <c r="AO980" s="55" t="n"/>
      <c r="AP980" s="55" t="n"/>
      <c r="AQ980" s="55" t="n"/>
      <c r="AR980" s="60">
        <f>IF(AND(C980="",E980=""),"",IF(A980="","⚠ Date manquante",IF(AND(C980="",E980&lt;&gt;"Dépense"),"⚠ Prospect manquant",IF(E980="","⚠ Action manquante",IF(AND(AU980=1,D980=""),"⚠ Canal manquant",IF(AND(W980&lt;&gt;"",COUNTIFS('Saisie'!$W$5:$W$2004,W980,'Saisie'!$C$5:$C$2004,"&lt;&gt;"&amp;C980)&gt;0),"⚠ Numéro déjà utilisé par un autre prospect",IF(AND(J980&lt;&gt;"",J980&lt;A980),"⚠ Relance avant la date de l'action",IF(A980&gt;TODAY(),"⚠ Date dans le futur","✓"))))))))</f>
        <v/>
      </c>
      <c r="AS980" s="61">
        <f>IF(AND(A980="",C980="",E980=""),"",ROW())</f>
        <v/>
      </c>
      <c r="AT980" s="61">
        <f>IF(E980&amp;F980="","",MAX(IFERROR(INDEX('Paramètres'!$J$6:$J$33,MATCH(E980,'Paramètres'!$I$6:$I$33,0)),0),IFERROR(INDEX('Paramètres'!$N$6:$N$17,MATCH(F980,'Paramètres'!$M$6:$M$17,0)),0)))</f>
        <v/>
      </c>
      <c r="AU980" s="61">
        <f>IF(E980="","",IFERROR(IF(INDEX('Paramètres'!$K$6:$K$33,MATCH(E980,'Paramètres'!$I$6:$I$33,0))="Oui",1,0),0))</f>
        <v/>
      </c>
      <c r="AV980" s="61">
        <f>IF(F980="","",IFERROR(IF(INDEX('Paramètres'!$O$6:$O$17,MATCH(F980,'Paramètres'!$M$6:$M$17,0))="Oui",1,0),0))</f>
        <v/>
      </c>
      <c r="AW980" s="62">
        <f>IF(E980="","",IF(G980&lt;&gt;"",G980,IF(OR(E980="Proposition envoyée",E980="Signature"),MAX(0,N(IFERROR(INDEX('Paramètres'!$R$6:$R$15,MATCH(IF(AL980&lt;&gt;"",AL980,IFERROR(INDEX('Prospects'!$AN$5:$AN$504,MATCH(C980,'Prospects'!$C$5:$C$504,0)),"")),'Paramètres'!$Q$6:$Q$15,0)),0))-N(P980)),0)))</f>
        <v/>
      </c>
      <c r="AX980" s="61">
        <f>IF(C980="","",IF(COUNTIF($C$5:C980,C980)=1,MAX($AX$4:AX979)+1,""))</f>
        <v/>
      </c>
      <c r="AY980" s="61">
        <f>IF(B980="","",HOUR(B980))</f>
        <v/>
      </c>
      <c r="AZ980" s="61">
        <f>IF(A980="","",MOD(A980-2,7)+1)</f>
        <v/>
      </c>
      <c r="BA980" s="60">
        <f>IF(C980="","",IFERROR(INDEX('Prospects'!$N$5:$N$504,MATCH(C980,'Prospects'!$C$5:$C$504,0)),""))</f>
        <v/>
      </c>
      <c r="BB980" s="61">
        <f>IF(AND(C980&lt;&gt;"",C980='Fiche prospect'!$C$4),COUNTIF($C$5:C980,C980),"")</f>
        <v/>
      </c>
    </row>
    <row r="981">
      <c r="A981" s="53" t="n"/>
      <c r="B981" s="54" t="n"/>
      <c r="C981" s="55" t="n"/>
      <c r="D981" s="55" t="n"/>
      <c r="E981" s="55" t="n"/>
      <c r="F981" s="55" t="n"/>
      <c r="G981" s="56" t="n"/>
      <c r="H981" s="57" t="n"/>
      <c r="I981" s="55" t="n"/>
      <c r="J981" s="53" t="n"/>
      <c r="K981" s="54" t="n"/>
      <c r="L981" s="55" t="n"/>
      <c r="M981" s="55" t="n"/>
      <c r="N981" s="57" t="n"/>
      <c r="O981" s="55" t="n"/>
      <c r="P981" s="56" t="n"/>
      <c r="Q981" s="55" t="n"/>
      <c r="R981" s="55" t="n"/>
      <c r="S981" s="55" t="n"/>
      <c r="T981" s="55" t="n"/>
      <c r="U981" s="55" t="n"/>
      <c r="V981" s="55" t="n"/>
      <c r="W981" s="58" t="n"/>
      <c r="X981" s="58" t="n"/>
      <c r="Y981" s="55" t="n"/>
      <c r="Z981" s="55" t="n"/>
      <c r="AA981" s="55" t="n"/>
      <c r="AB981" s="55" t="n"/>
      <c r="AC981" s="55" t="n"/>
      <c r="AD981" s="53" t="n"/>
      <c r="AE981" s="55" t="n"/>
      <c r="AF981" s="55" t="n"/>
      <c r="AG981" s="59" t="n"/>
      <c r="AH981" s="57" t="n"/>
      <c r="AI981" s="55" t="n"/>
      <c r="AJ981" s="55" t="n"/>
      <c r="AK981" s="55" t="n"/>
      <c r="AL981" s="55" t="n"/>
      <c r="AM981" s="56" t="n"/>
      <c r="AN981" s="55" t="n"/>
      <c r="AO981" s="55" t="n"/>
      <c r="AP981" s="55" t="n"/>
      <c r="AQ981" s="55" t="n"/>
      <c r="AR981" s="60">
        <f>IF(AND(C981="",E981=""),"",IF(A981="","⚠ Date manquante",IF(AND(C981="",E981&lt;&gt;"Dépense"),"⚠ Prospect manquant",IF(E981="","⚠ Action manquante",IF(AND(AU981=1,D981=""),"⚠ Canal manquant",IF(AND(W981&lt;&gt;"",COUNTIFS('Saisie'!$W$5:$W$2004,W981,'Saisie'!$C$5:$C$2004,"&lt;&gt;"&amp;C981)&gt;0),"⚠ Numéro déjà utilisé par un autre prospect",IF(AND(J981&lt;&gt;"",J981&lt;A981),"⚠ Relance avant la date de l'action",IF(A981&gt;TODAY(),"⚠ Date dans le futur","✓"))))))))</f>
        <v/>
      </c>
      <c r="AS981" s="61">
        <f>IF(AND(A981="",C981="",E981=""),"",ROW())</f>
        <v/>
      </c>
      <c r="AT981" s="61">
        <f>IF(E981&amp;F981="","",MAX(IFERROR(INDEX('Paramètres'!$J$6:$J$33,MATCH(E981,'Paramètres'!$I$6:$I$33,0)),0),IFERROR(INDEX('Paramètres'!$N$6:$N$17,MATCH(F981,'Paramètres'!$M$6:$M$17,0)),0)))</f>
        <v/>
      </c>
      <c r="AU981" s="61">
        <f>IF(E981="","",IFERROR(IF(INDEX('Paramètres'!$K$6:$K$33,MATCH(E981,'Paramètres'!$I$6:$I$33,0))="Oui",1,0),0))</f>
        <v/>
      </c>
      <c r="AV981" s="61">
        <f>IF(F981="","",IFERROR(IF(INDEX('Paramètres'!$O$6:$O$17,MATCH(F981,'Paramètres'!$M$6:$M$17,0))="Oui",1,0),0))</f>
        <v/>
      </c>
      <c r="AW981" s="62">
        <f>IF(E981="","",IF(G981&lt;&gt;"",G981,IF(OR(E981="Proposition envoyée",E981="Signature"),MAX(0,N(IFERROR(INDEX('Paramètres'!$R$6:$R$15,MATCH(IF(AL981&lt;&gt;"",AL981,IFERROR(INDEX('Prospects'!$AN$5:$AN$504,MATCH(C981,'Prospects'!$C$5:$C$504,0)),"")),'Paramètres'!$Q$6:$Q$15,0)),0))-N(P981)),0)))</f>
        <v/>
      </c>
      <c r="AX981" s="61">
        <f>IF(C981="","",IF(COUNTIF($C$5:C981,C981)=1,MAX($AX$4:AX980)+1,""))</f>
        <v/>
      </c>
      <c r="AY981" s="61">
        <f>IF(B981="","",HOUR(B981))</f>
        <v/>
      </c>
      <c r="AZ981" s="61">
        <f>IF(A981="","",MOD(A981-2,7)+1)</f>
        <v/>
      </c>
      <c r="BA981" s="60">
        <f>IF(C981="","",IFERROR(INDEX('Prospects'!$N$5:$N$504,MATCH(C981,'Prospects'!$C$5:$C$504,0)),""))</f>
        <v/>
      </c>
      <c r="BB981" s="61">
        <f>IF(AND(C981&lt;&gt;"",C981='Fiche prospect'!$C$4),COUNTIF($C$5:C981,C981),"")</f>
        <v/>
      </c>
    </row>
    <row r="982">
      <c r="A982" s="53" t="n"/>
      <c r="B982" s="54" t="n"/>
      <c r="C982" s="55" t="n"/>
      <c r="D982" s="55" t="n"/>
      <c r="E982" s="55" t="n"/>
      <c r="F982" s="55" t="n"/>
      <c r="G982" s="56" t="n"/>
      <c r="H982" s="57" t="n"/>
      <c r="I982" s="55" t="n"/>
      <c r="J982" s="53" t="n"/>
      <c r="K982" s="54" t="n"/>
      <c r="L982" s="55" t="n"/>
      <c r="M982" s="55" t="n"/>
      <c r="N982" s="57" t="n"/>
      <c r="O982" s="55" t="n"/>
      <c r="P982" s="56" t="n"/>
      <c r="Q982" s="55" t="n"/>
      <c r="R982" s="55" t="n"/>
      <c r="S982" s="55" t="n"/>
      <c r="T982" s="55" t="n"/>
      <c r="U982" s="55" t="n"/>
      <c r="V982" s="55" t="n"/>
      <c r="W982" s="58" t="n"/>
      <c r="X982" s="58" t="n"/>
      <c r="Y982" s="55" t="n"/>
      <c r="Z982" s="55" t="n"/>
      <c r="AA982" s="55" t="n"/>
      <c r="AB982" s="55" t="n"/>
      <c r="AC982" s="55" t="n"/>
      <c r="AD982" s="53" t="n"/>
      <c r="AE982" s="55" t="n"/>
      <c r="AF982" s="55" t="n"/>
      <c r="AG982" s="59" t="n"/>
      <c r="AH982" s="57" t="n"/>
      <c r="AI982" s="55" t="n"/>
      <c r="AJ982" s="55" t="n"/>
      <c r="AK982" s="55" t="n"/>
      <c r="AL982" s="55" t="n"/>
      <c r="AM982" s="56" t="n"/>
      <c r="AN982" s="55" t="n"/>
      <c r="AO982" s="55" t="n"/>
      <c r="AP982" s="55" t="n"/>
      <c r="AQ982" s="55" t="n"/>
      <c r="AR982" s="60">
        <f>IF(AND(C982="",E982=""),"",IF(A982="","⚠ Date manquante",IF(AND(C982="",E982&lt;&gt;"Dépense"),"⚠ Prospect manquant",IF(E982="","⚠ Action manquante",IF(AND(AU982=1,D982=""),"⚠ Canal manquant",IF(AND(W982&lt;&gt;"",COUNTIFS('Saisie'!$W$5:$W$2004,W982,'Saisie'!$C$5:$C$2004,"&lt;&gt;"&amp;C982)&gt;0),"⚠ Numéro déjà utilisé par un autre prospect",IF(AND(J982&lt;&gt;"",J982&lt;A982),"⚠ Relance avant la date de l'action",IF(A982&gt;TODAY(),"⚠ Date dans le futur","✓"))))))))</f>
        <v/>
      </c>
      <c r="AS982" s="61">
        <f>IF(AND(A982="",C982="",E982=""),"",ROW())</f>
        <v/>
      </c>
      <c r="AT982" s="61">
        <f>IF(E982&amp;F982="","",MAX(IFERROR(INDEX('Paramètres'!$J$6:$J$33,MATCH(E982,'Paramètres'!$I$6:$I$33,0)),0),IFERROR(INDEX('Paramètres'!$N$6:$N$17,MATCH(F982,'Paramètres'!$M$6:$M$17,0)),0)))</f>
        <v/>
      </c>
      <c r="AU982" s="61">
        <f>IF(E982="","",IFERROR(IF(INDEX('Paramètres'!$K$6:$K$33,MATCH(E982,'Paramètres'!$I$6:$I$33,0))="Oui",1,0),0))</f>
        <v/>
      </c>
      <c r="AV982" s="61">
        <f>IF(F982="","",IFERROR(IF(INDEX('Paramètres'!$O$6:$O$17,MATCH(F982,'Paramètres'!$M$6:$M$17,0))="Oui",1,0),0))</f>
        <v/>
      </c>
      <c r="AW982" s="62">
        <f>IF(E982="","",IF(G982&lt;&gt;"",G982,IF(OR(E982="Proposition envoyée",E982="Signature"),MAX(0,N(IFERROR(INDEX('Paramètres'!$R$6:$R$15,MATCH(IF(AL982&lt;&gt;"",AL982,IFERROR(INDEX('Prospects'!$AN$5:$AN$504,MATCH(C982,'Prospects'!$C$5:$C$504,0)),"")),'Paramètres'!$Q$6:$Q$15,0)),0))-N(P982)),0)))</f>
        <v/>
      </c>
      <c r="AX982" s="61">
        <f>IF(C982="","",IF(COUNTIF($C$5:C982,C982)=1,MAX($AX$4:AX981)+1,""))</f>
        <v/>
      </c>
      <c r="AY982" s="61">
        <f>IF(B982="","",HOUR(B982))</f>
        <v/>
      </c>
      <c r="AZ982" s="61">
        <f>IF(A982="","",MOD(A982-2,7)+1)</f>
        <v/>
      </c>
      <c r="BA982" s="60">
        <f>IF(C982="","",IFERROR(INDEX('Prospects'!$N$5:$N$504,MATCH(C982,'Prospects'!$C$5:$C$504,0)),""))</f>
        <v/>
      </c>
      <c r="BB982" s="61">
        <f>IF(AND(C982&lt;&gt;"",C982='Fiche prospect'!$C$4),COUNTIF($C$5:C982,C982),"")</f>
        <v/>
      </c>
    </row>
    <row r="983">
      <c r="A983" s="53" t="n"/>
      <c r="B983" s="54" t="n"/>
      <c r="C983" s="55" t="n"/>
      <c r="D983" s="55" t="n"/>
      <c r="E983" s="55" t="n"/>
      <c r="F983" s="55" t="n"/>
      <c r="G983" s="56" t="n"/>
      <c r="H983" s="57" t="n"/>
      <c r="I983" s="55" t="n"/>
      <c r="J983" s="53" t="n"/>
      <c r="K983" s="54" t="n"/>
      <c r="L983" s="55" t="n"/>
      <c r="M983" s="55" t="n"/>
      <c r="N983" s="57" t="n"/>
      <c r="O983" s="55" t="n"/>
      <c r="P983" s="56" t="n"/>
      <c r="Q983" s="55" t="n"/>
      <c r="R983" s="55" t="n"/>
      <c r="S983" s="55" t="n"/>
      <c r="T983" s="55" t="n"/>
      <c r="U983" s="55" t="n"/>
      <c r="V983" s="55" t="n"/>
      <c r="W983" s="58" t="n"/>
      <c r="X983" s="58" t="n"/>
      <c r="Y983" s="55" t="n"/>
      <c r="Z983" s="55" t="n"/>
      <c r="AA983" s="55" t="n"/>
      <c r="AB983" s="55" t="n"/>
      <c r="AC983" s="55" t="n"/>
      <c r="AD983" s="53" t="n"/>
      <c r="AE983" s="55" t="n"/>
      <c r="AF983" s="55" t="n"/>
      <c r="AG983" s="59" t="n"/>
      <c r="AH983" s="57" t="n"/>
      <c r="AI983" s="55" t="n"/>
      <c r="AJ983" s="55" t="n"/>
      <c r="AK983" s="55" t="n"/>
      <c r="AL983" s="55" t="n"/>
      <c r="AM983" s="56" t="n"/>
      <c r="AN983" s="55" t="n"/>
      <c r="AO983" s="55" t="n"/>
      <c r="AP983" s="55" t="n"/>
      <c r="AQ983" s="55" t="n"/>
      <c r="AR983" s="60">
        <f>IF(AND(C983="",E983=""),"",IF(A983="","⚠ Date manquante",IF(AND(C983="",E983&lt;&gt;"Dépense"),"⚠ Prospect manquant",IF(E983="","⚠ Action manquante",IF(AND(AU983=1,D983=""),"⚠ Canal manquant",IF(AND(W983&lt;&gt;"",COUNTIFS('Saisie'!$W$5:$W$2004,W983,'Saisie'!$C$5:$C$2004,"&lt;&gt;"&amp;C983)&gt;0),"⚠ Numéro déjà utilisé par un autre prospect",IF(AND(J983&lt;&gt;"",J983&lt;A983),"⚠ Relance avant la date de l'action",IF(A983&gt;TODAY(),"⚠ Date dans le futur","✓"))))))))</f>
        <v/>
      </c>
      <c r="AS983" s="61">
        <f>IF(AND(A983="",C983="",E983=""),"",ROW())</f>
        <v/>
      </c>
      <c r="AT983" s="61">
        <f>IF(E983&amp;F983="","",MAX(IFERROR(INDEX('Paramètres'!$J$6:$J$33,MATCH(E983,'Paramètres'!$I$6:$I$33,0)),0),IFERROR(INDEX('Paramètres'!$N$6:$N$17,MATCH(F983,'Paramètres'!$M$6:$M$17,0)),0)))</f>
        <v/>
      </c>
      <c r="AU983" s="61">
        <f>IF(E983="","",IFERROR(IF(INDEX('Paramètres'!$K$6:$K$33,MATCH(E983,'Paramètres'!$I$6:$I$33,0))="Oui",1,0),0))</f>
        <v/>
      </c>
      <c r="AV983" s="61">
        <f>IF(F983="","",IFERROR(IF(INDEX('Paramètres'!$O$6:$O$17,MATCH(F983,'Paramètres'!$M$6:$M$17,0))="Oui",1,0),0))</f>
        <v/>
      </c>
      <c r="AW983" s="62">
        <f>IF(E983="","",IF(G983&lt;&gt;"",G983,IF(OR(E983="Proposition envoyée",E983="Signature"),MAX(0,N(IFERROR(INDEX('Paramètres'!$R$6:$R$15,MATCH(IF(AL983&lt;&gt;"",AL983,IFERROR(INDEX('Prospects'!$AN$5:$AN$504,MATCH(C983,'Prospects'!$C$5:$C$504,0)),"")),'Paramètres'!$Q$6:$Q$15,0)),0))-N(P983)),0)))</f>
        <v/>
      </c>
      <c r="AX983" s="61">
        <f>IF(C983="","",IF(COUNTIF($C$5:C983,C983)=1,MAX($AX$4:AX982)+1,""))</f>
        <v/>
      </c>
      <c r="AY983" s="61">
        <f>IF(B983="","",HOUR(B983))</f>
        <v/>
      </c>
      <c r="AZ983" s="61">
        <f>IF(A983="","",MOD(A983-2,7)+1)</f>
        <v/>
      </c>
      <c r="BA983" s="60">
        <f>IF(C983="","",IFERROR(INDEX('Prospects'!$N$5:$N$504,MATCH(C983,'Prospects'!$C$5:$C$504,0)),""))</f>
        <v/>
      </c>
      <c r="BB983" s="61">
        <f>IF(AND(C983&lt;&gt;"",C983='Fiche prospect'!$C$4),COUNTIF($C$5:C983,C983),"")</f>
        <v/>
      </c>
    </row>
    <row r="984">
      <c r="A984" s="53" t="n"/>
      <c r="B984" s="54" t="n"/>
      <c r="C984" s="55" t="n"/>
      <c r="D984" s="55" t="n"/>
      <c r="E984" s="55" t="n"/>
      <c r="F984" s="55" t="n"/>
      <c r="G984" s="56" t="n"/>
      <c r="H984" s="57" t="n"/>
      <c r="I984" s="55" t="n"/>
      <c r="J984" s="53" t="n"/>
      <c r="K984" s="54" t="n"/>
      <c r="L984" s="55" t="n"/>
      <c r="M984" s="55" t="n"/>
      <c r="N984" s="57" t="n"/>
      <c r="O984" s="55" t="n"/>
      <c r="P984" s="56" t="n"/>
      <c r="Q984" s="55" t="n"/>
      <c r="R984" s="55" t="n"/>
      <c r="S984" s="55" t="n"/>
      <c r="T984" s="55" t="n"/>
      <c r="U984" s="55" t="n"/>
      <c r="V984" s="55" t="n"/>
      <c r="W984" s="58" t="n"/>
      <c r="X984" s="58" t="n"/>
      <c r="Y984" s="55" t="n"/>
      <c r="Z984" s="55" t="n"/>
      <c r="AA984" s="55" t="n"/>
      <c r="AB984" s="55" t="n"/>
      <c r="AC984" s="55" t="n"/>
      <c r="AD984" s="53" t="n"/>
      <c r="AE984" s="55" t="n"/>
      <c r="AF984" s="55" t="n"/>
      <c r="AG984" s="59" t="n"/>
      <c r="AH984" s="57" t="n"/>
      <c r="AI984" s="55" t="n"/>
      <c r="AJ984" s="55" t="n"/>
      <c r="AK984" s="55" t="n"/>
      <c r="AL984" s="55" t="n"/>
      <c r="AM984" s="56" t="n"/>
      <c r="AN984" s="55" t="n"/>
      <c r="AO984" s="55" t="n"/>
      <c r="AP984" s="55" t="n"/>
      <c r="AQ984" s="55" t="n"/>
      <c r="AR984" s="60">
        <f>IF(AND(C984="",E984=""),"",IF(A984="","⚠ Date manquante",IF(AND(C984="",E984&lt;&gt;"Dépense"),"⚠ Prospect manquant",IF(E984="","⚠ Action manquante",IF(AND(AU984=1,D984=""),"⚠ Canal manquant",IF(AND(W984&lt;&gt;"",COUNTIFS('Saisie'!$W$5:$W$2004,W984,'Saisie'!$C$5:$C$2004,"&lt;&gt;"&amp;C984)&gt;0),"⚠ Numéro déjà utilisé par un autre prospect",IF(AND(J984&lt;&gt;"",J984&lt;A984),"⚠ Relance avant la date de l'action",IF(A984&gt;TODAY(),"⚠ Date dans le futur","✓"))))))))</f>
        <v/>
      </c>
      <c r="AS984" s="61">
        <f>IF(AND(A984="",C984="",E984=""),"",ROW())</f>
        <v/>
      </c>
      <c r="AT984" s="61">
        <f>IF(E984&amp;F984="","",MAX(IFERROR(INDEX('Paramètres'!$J$6:$J$33,MATCH(E984,'Paramètres'!$I$6:$I$33,0)),0),IFERROR(INDEX('Paramètres'!$N$6:$N$17,MATCH(F984,'Paramètres'!$M$6:$M$17,0)),0)))</f>
        <v/>
      </c>
      <c r="AU984" s="61">
        <f>IF(E984="","",IFERROR(IF(INDEX('Paramètres'!$K$6:$K$33,MATCH(E984,'Paramètres'!$I$6:$I$33,0))="Oui",1,0),0))</f>
        <v/>
      </c>
      <c r="AV984" s="61">
        <f>IF(F984="","",IFERROR(IF(INDEX('Paramètres'!$O$6:$O$17,MATCH(F984,'Paramètres'!$M$6:$M$17,0))="Oui",1,0),0))</f>
        <v/>
      </c>
      <c r="AW984" s="62">
        <f>IF(E984="","",IF(G984&lt;&gt;"",G984,IF(OR(E984="Proposition envoyée",E984="Signature"),MAX(0,N(IFERROR(INDEX('Paramètres'!$R$6:$R$15,MATCH(IF(AL984&lt;&gt;"",AL984,IFERROR(INDEX('Prospects'!$AN$5:$AN$504,MATCH(C984,'Prospects'!$C$5:$C$504,0)),"")),'Paramètres'!$Q$6:$Q$15,0)),0))-N(P984)),0)))</f>
        <v/>
      </c>
      <c r="AX984" s="61">
        <f>IF(C984="","",IF(COUNTIF($C$5:C984,C984)=1,MAX($AX$4:AX983)+1,""))</f>
        <v/>
      </c>
      <c r="AY984" s="61">
        <f>IF(B984="","",HOUR(B984))</f>
        <v/>
      </c>
      <c r="AZ984" s="61">
        <f>IF(A984="","",MOD(A984-2,7)+1)</f>
        <v/>
      </c>
      <c r="BA984" s="60">
        <f>IF(C984="","",IFERROR(INDEX('Prospects'!$N$5:$N$504,MATCH(C984,'Prospects'!$C$5:$C$504,0)),""))</f>
        <v/>
      </c>
      <c r="BB984" s="61">
        <f>IF(AND(C984&lt;&gt;"",C984='Fiche prospect'!$C$4),COUNTIF($C$5:C984,C984),"")</f>
        <v/>
      </c>
    </row>
    <row r="985">
      <c r="A985" s="53" t="n"/>
      <c r="B985" s="54" t="n"/>
      <c r="C985" s="55" t="n"/>
      <c r="D985" s="55" t="n"/>
      <c r="E985" s="55" t="n"/>
      <c r="F985" s="55" t="n"/>
      <c r="G985" s="56" t="n"/>
      <c r="H985" s="57" t="n"/>
      <c r="I985" s="55" t="n"/>
      <c r="J985" s="53" t="n"/>
      <c r="K985" s="54" t="n"/>
      <c r="L985" s="55" t="n"/>
      <c r="M985" s="55" t="n"/>
      <c r="N985" s="57" t="n"/>
      <c r="O985" s="55" t="n"/>
      <c r="P985" s="56" t="n"/>
      <c r="Q985" s="55" t="n"/>
      <c r="R985" s="55" t="n"/>
      <c r="S985" s="55" t="n"/>
      <c r="T985" s="55" t="n"/>
      <c r="U985" s="55" t="n"/>
      <c r="V985" s="55" t="n"/>
      <c r="W985" s="58" t="n"/>
      <c r="X985" s="58" t="n"/>
      <c r="Y985" s="55" t="n"/>
      <c r="Z985" s="55" t="n"/>
      <c r="AA985" s="55" t="n"/>
      <c r="AB985" s="55" t="n"/>
      <c r="AC985" s="55" t="n"/>
      <c r="AD985" s="53" t="n"/>
      <c r="AE985" s="55" t="n"/>
      <c r="AF985" s="55" t="n"/>
      <c r="AG985" s="59" t="n"/>
      <c r="AH985" s="57" t="n"/>
      <c r="AI985" s="55" t="n"/>
      <c r="AJ985" s="55" t="n"/>
      <c r="AK985" s="55" t="n"/>
      <c r="AL985" s="55" t="n"/>
      <c r="AM985" s="56" t="n"/>
      <c r="AN985" s="55" t="n"/>
      <c r="AO985" s="55" t="n"/>
      <c r="AP985" s="55" t="n"/>
      <c r="AQ985" s="55" t="n"/>
      <c r="AR985" s="60">
        <f>IF(AND(C985="",E985=""),"",IF(A985="","⚠ Date manquante",IF(AND(C985="",E985&lt;&gt;"Dépense"),"⚠ Prospect manquant",IF(E985="","⚠ Action manquante",IF(AND(AU985=1,D985=""),"⚠ Canal manquant",IF(AND(W985&lt;&gt;"",COUNTIFS('Saisie'!$W$5:$W$2004,W985,'Saisie'!$C$5:$C$2004,"&lt;&gt;"&amp;C985)&gt;0),"⚠ Numéro déjà utilisé par un autre prospect",IF(AND(J985&lt;&gt;"",J985&lt;A985),"⚠ Relance avant la date de l'action",IF(A985&gt;TODAY(),"⚠ Date dans le futur","✓"))))))))</f>
        <v/>
      </c>
      <c r="AS985" s="61">
        <f>IF(AND(A985="",C985="",E985=""),"",ROW())</f>
        <v/>
      </c>
      <c r="AT985" s="61">
        <f>IF(E985&amp;F985="","",MAX(IFERROR(INDEX('Paramètres'!$J$6:$J$33,MATCH(E985,'Paramètres'!$I$6:$I$33,0)),0),IFERROR(INDEX('Paramètres'!$N$6:$N$17,MATCH(F985,'Paramètres'!$M$6:$M$17,0)),0)))</f>
        <v/>
      </c>
      <c r="AU985" s="61">
        <f>IF(E985="","",IFERROR(IF(INDEX('Paramètres'!$K$6:$K$33,MATCH(E985,'Paramètres'!$I$6:$I$33,0))="Oui",1,0),0))</f>
        <v/>
      </c>
      <c r="AV985" s="61">
        <f>IF(F985="","",IFERROR(IF(INDEX('Paramètres'!$O$6:$O$17,MATCH(F985,'Paramètres'!$M$6:$M$17,0))="Oui",1,0),0))</f>
        <v/>
      </c>
      <c r="AW985" s="62">
        <f>IF(E985="","",IF(G985&lt;&gt;"",G985,IF(OR(E985="Proposition envoyée",E985="Signature"),MAX(0,N(IFERROR(INDEX('Paramètres'!$R$6:$R$15,MATCH(IF(AL985&lt;&gt;"",AL985,IFERROR(INDEX('Prospects'!$AN$5:$AN$504,MATCH(C985,'Prospects'!$C$5:$C$504,0)),"")),'Paramètres'!$Q$6:$Q$15,0)),0))-N(P985)),0)))</f>
        <v/>
      </c>
      <c r="AX985" s="61">
        <f>IF(C985="","",IF(COUNTIF($C$5:C985,C985)=1,MAX($AX$4:AX984)+1,""))</f>
        <v/>
      </c>
      <c r="AY985" s="61">
        <f>IF(B985="","",HOUR(B985))</f>
        <v/>
      </c>
      <c r="AZ985" s="61">
        <f>IF(A985="","",MOD(A985-2,7)+1)</f>
        <v/>
      </c>
      <c r="BA985" s="60">
        <f>IF(C985="","",IFERROR(INDEX('Prospects'!$N$5:$N$504,MATCH(C985,'Prospects'!$C$5:$C$504,0)),""))</f>
        <v/>
      </c>
      <c r="BB985" s="61">
        <f>IF(AND(C985&lt;&gt;"",C985='Fiche prospect'!$C$4),COUNTIF($C$5:C985,C985),"")</f>
        <v/>
      </c>
    </row>
    <row r="986">
      <c r="A986" s="53" t="n"/>
      <c r="B986" s="54" t="n"/>
      <c r="C986" s="55" t="n"/>
      <c r="D986" s="55" t="n"/>
      <c r="E986" s="55" t="n"/>
      <c r="F986" s="55" t="n"/>
      <c r="G986" s="56" t="n"/>
      <c r="H986" s="57" t="n"/>
      <c r="I986" s="55" t="n"/>
      <c r="J986" s="53" t="n"/>
      <c r="K986" s="54" t="n"/>
      <c r="L986" s="55" t="n"/>
      <c r="M986" s="55" t="n"/>
      <c r="N986" s="57" t="n"/>
      <c r="O986" s="55" t="n"/>
      <c r="P986" s="56" t="n"/>
      <c r="Q986" s="55" t="n"/>
      <c r="R986" s="55" t="n"/>
      <c r="S986" s="55" t="n"/>
      <c r="T986" s="55" t="n"/>
      <c r="U986" s="55" t="n"/>
      <c r="V986" s="55" t="n"/>
      <c r="W986" s="58" t="n"/>
      <c r="X986" s="58" t="n"/>
      <c r="Y986" s="55" t="n"/>
      <c r="Z986" s="55" t="n"/>
      <c r="AA986" s="55" t="n"/>
      <c r="AB986" s="55" t="n"/>
      <c r="AC986" s="55" t="n"/>
      <c r="AD986" s="53" t="n"/>
      <c r="AE986" s="55" t="n"/>
      <c r="AF986" s="55" t="n"/>
      <c r="AG986" s="59" t="n"/>
      <c r="AH986" s="57" t="n"/>
      <c r="AI986" s="55" t="n"/>
      <c r="AJ986" s="55" t="n"/>
      <c r="AK986" s="55" t="n"/>
      <c r="AL986" s="55" t="n"/>
      <c r="AM986" s="56" t="n"/>
      <c r="AN986" s="55" t="n"/>
      <c r="AO986" s="55" t="n"/>
      <c r="AP986" s="55" t="n"/>
      <c r="AQ986" s="55" t="n"/>
      <c r="AR986" s="60">
        <f>IF(AND(C986="",E986=""),"",IF(A986="","⚠ Date manquante",IF(AND(C986="",E986&lt;&gt;"Dépense"),"⚠ Prospect manquant",IF(E986="","⚠ Action manquante",IF(AND(AU986=1,D986=""),"⚠ Canal manquant",IF(AND(W986&lt;&gt;"",COUNTIFS('Saisie'!$W$5:$W$2004,W986,'Saisie'!$C$5:$C$2004,"&lt;&gt;"&amp;C986)&gt;0),"⚠ Numéro déjà utilisé par un autre prospect",IF(AND(J986&lt;&gt;"",J986&lt;A986),"⚠ Relance avant la date de l'action",IF(A986&gt;TODAY(),"⚠ Date dans le futur","✓"))))))))</f>
        <v/>
      </c>
      <c r="AS986" s="61">
        <f>IF(AND(A986="",C986="",E986=""),"",ROW())</f>
        <v/>
      </c>
      <c r="AT986" s="61">
        <f>IF(E986&amp;F986="","",MAX(IFERROR(INDEX('Paramètres'!$J$6:$J$33,MATCH(E986,'Paramètres'!$I$6:$I$33,0)),0),IFERROR(INDEX('Paramètres'!$N$6:$N$17,MATCH(F986,'Paramètres'!$M$6:$M$17,0)),0)))</f>
        <v/>
      </c>
      <c r="AU986" s="61">
        <f>IF(E986="","",IFERROR(IF(INDEX('Paramètres'!$K$6:$K$33,MATCH(E986,'Paramètres'!$I$6:$I$33,0))="Oui",1,0),0))</f>
        <v/>
      </c>
      <c r="AV986" s="61">
        <f>IF(F986="","",IFERROR(IF(INDEX('Paramètres'!$O$6:$O$17,MATCH(F986,'Paramètres'!$M$6:$M$17,0))="Oui",1,0),0))</f>
        <v/>
      </c>
      <c r="AW986" s="62">
        <f>IF(E986="","",IF(G986&lt;&gt;"",G986,IF(OR(E986="Proposition envoyée",E986="Signature"),MAX(0,N(IFERROR(INDEX('Paramètres'!$R$6:$R$15,MATCH(IF(AL986&lt;&gt;"",AL986,IFERROR(INDEX('Prospects'!$AN$5:$AN$504,MATCH(C986,'Prospects'!$C$5:$C$504,0)),"")),'Paramètres'!$Q$6:$Q$15,0)),0))-N(P986)),0)))</f>
        <v/>
      </c>
      <c r="AX986" s="61">
        <f>IF(C986="","",IF(COUNTIF($C$5:C986,C986)=1,MAX($AX$4:AX985)+1,""))</f>
        <v/>
      </c>
      <c r="AY986" s="61">
        <f>IF(B986="","",HOUR(B986))</f>
        <v/>
      </c>
      <c r="AZ986" s="61">
        <f>IF(A986="","",MOD(A986-2,7)+1)</f>
        <v/>
      </c>
      <c r="BA986" s="60">
        <f>IF(C986="","",IFERROR(INDEX('Prospects'!$N$5:$N$504,MATCH(C986,'Prospects'!$C$5:$C$504,0)),""))</f>
        <v/>
      </c>
      <c r="BB986" s="61">
        <f>IF(AND(C986&lt;&gt;"",C986='Fiche prospect'!$C$4),COUNTIF($C$5:C986,C986),"")</f>
        <v/>
      </c>
    </row>
    <row r="987">
      <c r="A987" s="53" t="n"/>
      <c r="B987" s="54" t="n"/>
      <c r="C987" s="55" t="n"/>
      <c r="D987" s="55" t="n"/>
      <c r="E987" s="55" t="n"/>
      <c r="F987" s="55" t="n"/>
      <c r="G987" s="56" t="n"/>
      <c r="H987" s="57" t="n"/>
      <c r="I987" s="55" t="n"/>
      <c r="J987" s="53" t="n"/>
      <c r="K987" s="54" t="n"/>
      <c r="L987" s="55" t="n"/>
      <c r="M987" s="55" t="n"/>
      <c r="N987" s="57" t="n"/>
      <c r="O987" s="55" t="n"/>
      <c r="P987" s="56" t="n"/>
      <c r="Q987" s="55" t="n"/>
      <c r="R987" s="55" t="n"/>
      <c r="S987" s="55" t="n"/>
      <c r="T987" s="55" t="n"/>
      <c r="U987" s="55" t="n"/>
      <c r="V987" s="55" t="n"/>
      <c r="W987" s="58" t="n"/>
      <c r="X987" s="58" t="n"/>
      <c r="Y987" s="55" t="n"/>
      <c r="Z987" s="55" t="n"/>
      <c r="AA987" s="55" t="n"/>
      <c r="AB987" s="55" t="n"/>
      <c r="AC987" s="55" t="n"/>
      <c r="AD987" s="53" t="n"/>
      <c r="AE987" s="55" t="n"/>
      <c r="AF987" s="55" t="n"/>
      <c r="AG987" s="59" t="n"/>
      <c r="AH987" s="57" t="n"/>
      <c r="AI987" s="55" t="n"/>
      <c r="AJ987" s="55" t="n"/>
      <c r="AK987" s="55" t="n"/>
      <c r="AL987" s="55" t="n"/>
      <c r="AM987" s="56" t="n"/>
      <c r="AN987" s="55" t="n"/>
      <c r="AO987" s="55" t="n"/>
      <c r="AP987" s="55" t="n"/>
      <c r="AQ987" s="55" t="n"/>
      <c r="AR987" s="60">
        <f>IF(AND(C987="",E987=""),"",IF(A987="","⚠ Date manquante",IF(AND(C987="",E987&lt;&gt;"Dépense"),"⚠ Prospect manquant",IF(E987="","⚠ Action manquante",IF(AND(AU987=1,D987=""),"⚠ Canal manquant",IF(AND(W987&lt;&gt;"",COUNTIFS('Saisie'!$W$5:$W$2004,W987,'Saisie'!$C$5:$C$2004,"&lt;&gt;"&amp;C987)&gt;0),"⚠ Numéro déjà utilisé par un autre prospect",IF(AND(J987&lt;&gt;"",J987&lt;A987),"⚠ Relance avant la date de l'action",IF(A987&gt;TODAY(),"⚠ Date dans le futur","✓"))))))))</f>
        <v/>
      </c>
      <c r="AS987" s="61">
        <f>IF(AND(A987="",C987="",E987=""),"",ROW())</f>
        <v/>
      </c>
      <c r="AT987" s="61">
        <f>IF(E987&amp;F987="","",MAX(IFERROR(INDEX('Paramètres'!$J$6:$J$33,MATCH(E987,'Paramètres'!$I$6:$I$33,0)),0),IFERROR(INDEX('Paramètres'!$N$6:$N$17,MATCH(F987,'Paramètres'!$M$6:$M$17,0)),0)))</f>
        <v/>
      </c>
      <c r="AU987" s="61">
        <f>IF(E987="","",IFERROR(IF(INDEX('Paramètres'!$K$6:$K$33,MATCH(E987,'Paramètres'!$I$6:$I$33,0))="Oui",1,0),0))</f>
        <v/>
      </c>
      <c r="AV987" s="61">
        <f>IF(F987="","",IFERROR(IF(INDEX('Paramètres'!$O$6:$O$17,MATCH(F987,'Paramètres'!$M$6:$M$17,0))="Oui",1,0),0))</f>
        <v/>
      </c>
      <c r="AW987" s="62">
        <f>IF(E987="","",IF(G987&lt;&gt;"",G987,IF(OR(E987="Proposition envoyée",E987="Signature"),MAX(0,N(IFERROR(INDEX('Paramètres'!$R$6:$R$15,MATCH(IF(AL987&lt;&gt;"",AL987,IFERROR(INDEX('Prospects'!$AN$5:$AN$504,MATCH(C987,'Prospects'!$C$5:$C$504,0)),"")),'Paramètres'!$Q$6:$Q$15,0)),0))-N(P987)),0)))</f>
        <v/>
      </c>
      <c r="AX987" s="61">
        <f>IF(C987="","",IF(COUNTIF($C$5:C987,C987)=1,MAX($AX$4:AX986)+1,""))</f>
        <v/>
      </c>
      <c r="AY987" s="61">
        <f>IF(B987="","",HOUR(B987))</f>
        <v/>
      </c>
      <c r="AZ987" s="61">
        <f>IF(A987="","",MOD(A987-2,7)+1)</f>
        <v/>
      </c>
      <c r="BA987" s="60">
        <f>IF(C987="","",IFERROR(INDEX('Prospects'!$N$5:$N$504,MATCH(C987,'Prospects'!$C$5:$C$504,0)),""))</f>
        <v/>
      </c>
      <c r="BB987" s="61">
        <f>IF(AND(C987&lt;&gt;"",C987='Fiche prospect'!$C$4),COUNTIF($C$5:C987,C987),"")</f>
        <v/>
      </c>
    </row>
    <row r="988">
      <c r="A988" s="53" t="n"/>
      <c r="B988" s="54" t="n"/>
      <c r="C988" s="55" t="n"/>
      <c r="D988" s="55" t="n"/>
      <c r="E988" s="55" t="n"/>
      <c r="F988" s="55" t="n"/>
      <c r="G988" s="56" t="n"/>
      <c r="H988" s="57" t="n"/>
      <c r="I988" s="55" t="n"/>
      <c r="J988" s="53" t="n"/>
      <c r="K988" s="54" t="n"/>
      <c r="L988" s="55" t="n"/>
      <c r="M988" s="55" t="n"/>
      <c r="N988" s="57" t="n"/>
      <c r="O988" s="55" t="n"/>
      <c r="P988" s="56" t="n"/>
      <c r="Q988" s="55" t="n"/>
      <c r="R988" s="55" t="n"/>
      <c r="S988" s="55" t="n"/>
      <c r="T988" s="55" t="n"/>
      <c r="U988" s="55" t="n"/>
      <c r="V988" s="55" t="n"/>
      <c r="W988" s="58" t="n"/>
      <c r="X988" s="58" t="n"/>
      <c r="Y988" s="55" t="n"/>
      <c r="Z988" s="55" t="n"/>
      <c r="AA988" s="55" t="n"/>
      <c r="AB988" s="55" t="n"/>
      <c r="AC988" s="55" t="n"/>
      <c r="AD988" s="53" t="n"/>
      <c r="AE988" s="55" t="n"/>
      <c r="AF988" s="55" t="n"/>
      <c r="AG988" s="59" t="n"/>
      <c r="AH988" s="57" t="n"/>
      <c r="AI988" s="55" t="n"/>
      <c r="AJ988" s="55" t="n"/>
      <c r="AK988" s="55" t="n"/>
      <c r="AL988" s="55" t="n"/>
      <c r="AM988" s="56" t="n"/>
      <c r="AN988" s="55" t="n"/>
      <c r="AO988" s="55" t="n"/>
      <c r="AP988" s="55" t="n"/>
      <c r="AQ988" s="55" t="n"/>
      <c r="AR988" s="60">
        <f>IF(AND(C988="",E988=""),"",IF(A988="","⚠ Date manquante",IF(AND(C988="",E988&lt;&gt;"Dépense"),"⚠ Prospect manquant",IF(E988="","⚠ Action manquante",IF(AND(AU988=1,D988=""),"⚠ Canal manquant",IF(AND(W988&lt;&gt;"",COUNTIFS('Saisie'!$W$5:$W$2004,W988,'Saisie'!$C$5:$C$2004,"&lt;&gt;"&amp;C988)&gt;0),"⚠ Numéro déjà utilisé par un autre prospect",IF(AND(J988&lt;&gt;"",J988&lt;A988),"⚠ Relance avant la date de l'action",IF(A988&gt;TODAY(),"⚠ Date dans le futur","✓"))))))))</f>
        <v/>
      </c>
      <c r="AS988" s="61">
        <f>IF(AND(A988="",C988="",E988=""),"",ROW())</f>
        <v/>
      </c>
      <c r="AT988" s="61">
        <f>IF(E988&amp;F988="","",MAX(IFERROR(INDEX('Paramètres'!$J$6:$J$33,MATCH(E988,'Paramètres'!$I$6:$I$33,0)),0),IFERROR(INDEX('Paramètres'!$N$6:$N$17,MATCH(F988,'Paramètres'!$M$6:$M$17,0)),0)))</f>
        <v/>
      </c>
      <c r="AU988" s="61">
        <f>IF(E988="","",IFERROR(IF(INDEX('Paramètres'!$K$6:$K$33,MATCH(E988,'Paramètres'!$I$6:$I$33,0))="Oui",1,0),0))</f>
        <v/>
      </c>
      <c r="AV988" s="61">
        <f>IF(F988="","",IFERROR(IF(INDEX('Paramètres'!$O$6:$O$17,MATCH(F988,'Paramètres'!$M$6:$M$17,0))="Oui",1,0),0))</f>
        <v/>
      </c>
      <c r="AW988" s="62">
        <f>IF(E988="","",IF(G988&lt;&gt;"",G988,IF(OR(E988="Proposition envoyée",E988="Signature"),MAX(0,N(IFERROR(INDEX('Paramètres'!$R$6:$R$15,MATCH(IF(AL988&lt;&gt;"",AL988,IFERROR(INDEX('Prospects'!$AN$5:$AN$504,MATCH(C988,'Prospects'!$C$5:$C$504,0)),"")),'Paramètres'!$Q$6:$Q$15,0)),0))-N(P988)),0)))</f>
        <v/>
      </c>
      <c r="AX988" s="61">
        <f>IF(C988="","",IF(COUNTIF($C$5:C988,C988)=1,MAX($AX$4:AX987)+1,""))</f>
        <v/>
      </c>
      <c r="AY988" s="61">
        <f>IF(B988="","",HOUR(B988))</f>
        <v/>
      </c>
      <c r="AZ988" s="61">
        <f>IF(A988="","",MOD(A988-2,7)+1)</f>
        <v/>
      </c>
      <c r="BA988" s="60">
        <f>IF(C988="","",IFERROR(INDEX('Prospects'!$N$5:$N$504,MATCH(C988,'Prospects'!$C$5:$C$504,0)),""))</f>
        <v/>
      </c>
      <c r="BB988" s="61">
        <f>IF(AND(C988&lt;&gt;"",C988='Fiche prospect'!$C$4),COUNTIF($C$5:C988,C988),"")</f>
        <v/>
      </c>
    </row>
    <row r="989">
      <c r="A989" s="53" t="n"/>
      <c r="B989" s="54" t="n"/>
      <c r="C989" s="55" t="n"/>
      <c r="D989" s="55" t="n"/>
      <c r="E989" s="55" t="n"/>
      <c r="F989" s="55" t="n"/>
      <c r="G989" s="56" t="n"/>
      <c r="H989" s="57" t="n"/>
      <c r="I989" s="55" t="n"/>
      <c r="J989" s="53" t="n"/>
      <c r="K989" s="54" t="n"/>
      <c r="L989" s="55" t="n"/>
      <c r="M989" s="55" t="n"/>
      <c r="N989" s="57" t="n"/>
      <c r="O989" s="55" t="n"/>
      <c r="P989" s="56" t="n"/>
      <c r="Q989" s="55" t="n"/>
      <c r="R989" s="55" t="n"/>
      <c r="S989" s="55" t="n"/>
      <c r="T989" s="55" t="n"/>
      <c r="U989" s="55" t="n"/>
      <c r="V989" s="55" t="n"/>
      <c r="W989" s="58" t="n"/>
      <c r="X989" s="58" t="n"/>
      <c r="Y989" s="55" t="n"/>
      <c r="Z989" s="55" t="n"/>
      <c r="AA989" s="55" t="n"/>
      <c r="AB989" s="55" t="n"/>
      <c r="AC989" s="55" t="n"/>
      <c r="AD989" s="53" t="n"/>
      <c r="AE989" s="55" t="n"/>
      <c r="AF989" s="55" t="n"/>
      <c r="AG989" s="59" t="n"/>
      <c r="AH989" s="57" t="n"/>
      <c r="AI989" s="55" t="n"/>
      <c r="AJ989" s="55" t="n"/>
      <c r="AK989" s="55" t="n"/>
      <c r="AL989" s="55" t="n"/>
      <c r="AM989" s="56" t="n"/>
      <c r="AN989" s="55" t="n"/>
      <c r="AO989" s="55" t="n"/>
      <c r="AP989" s="55" t="n"/>
      <c r="AQ989" s="55" t="n"/>
      <c r="AR989" s="60">
        <f>IF(AND(C989="",E989=""),"",IF(A989="","⚠ Date manquante",IF(AND(C989="",E989&lt;&gt;"Dépense"),"⚠ Prospect manquant",IF(E989="","⚠ Action manquante",IF(AND(AU989=1,D989=""),"⚠ Canal manquant",IF(AND(W989&lt;&gt;"",COUNTIFS('Saisie'!$W$5:$W$2004,W989,'Saisie'!$C$5:$C$2004,"&lt;&gt;"&amp;C989)&gt;0),"⚠ Numéro déjà utilisé par un autre prospect",IF(AND(J989&lt;&gt;"",J989&lt;A989),"⚠ Relance avant la date de l'action",IF(A989&gt;TODAY(),"⚠ Date dans le futur","✓"))))))))</f>
        <v/>
      </c>
      <c r="AS989" s="61">
        <f>IF(AND(A989="",C989="",E989=""),"",ROW())</f>
        <v/>
      </c>
      <c r="AT989" s="61">
        <f>IF(E989&amp;F989="","",MAX(IFERROR(INDEX('Paramètres'!$J$6:$J$33,MATCH(E989,'Paramètres'!$I$6:$I$33,0)),0),IFERROR(INDEX('Paramètres'!$N$6:$N$17,MATCH(F989,'Paramètres'!$M$6:$M$17,0)),0)))</f>
        <v/>
      </c>
      <c r="AU989" s="61">
        <f>IF(E989="","",IFERROR(IF(INDEX('Paramètres'!$K$6:$K$33,MATCH(E989,'Paramètres'!$I$6:$I$33,0))="Oui",1,0),0))</f>
        <v/>
      </c>
      <c r="AV989" s="61">
        <f>IF(F989="","",IFERROR(IF(INDEX('Paramètres'!$O$6:$O$17,MATCH(F989,'Paramètres'!$M$6:$M$17,0))="Oui",1,0),0))</f>
        <v/>
      </c>
      <c r="AW989" s="62">
        <f>IF(E989="","",IF(G989&lt;&gt;"",G989,IF(OR(E989="Proposition envoyée",E989="Signature"),MAX(0,N(IFERROR(INDEX('Paramètres'!$R$6:$R$15,MATCH(IF(AL989&lt;&gt;"",AL989,IFERROR(INDEX('Prospects'!$AN$5:$AN$504,MATCH(C989,'Prospects'!$C$5:$C$504,0)),"")),'Paramètres'!$Q$6:$Q$15,0)),0))-N(P989)),0)))</f>
        <v/>
      </c>
      <c r="AX989" s="61">
        <f>IF(C989="","",IF(COUNTIF($C$5:C989,C989)=1,MAX($AX$4:AX988)+1,""))</f>
        <v/>
      </c>
      <c r="AY989" s="61">
        <f>IF(B989="","",HOUR(B989))</f>
        <v/>
      </c>
      <c r="AZ989" s="61">
        <f>IF(A989="","",MOD(A989-2,7)+1)</f>
        <v/>
      </c>
      <c r="BA989" s="60">
        <f>IF(C989="","",IFERROR(INDEX('Prospects'!$N$5:$N$504,MATCH(C989,'Prospects'!$C$5:$C$504,0)),""))</f>
        <v/>
      </c>
      <c r="BB989" s="61">
        <f>IF(AND(C989&lt;&gt;"",C989='Fiche prospect'!$C$4),COUNTIF($C$5:C989,C989),"")</f>
        <v/>
      </c>
    </row>
    <row r="990">
      <c r="A990" s="53" t="n"/>
      <c r="B990" s="54" t="n"/>
      <c r="C990" s="55" t="n"/>
      <c r="D990" s="55" t="n"/>
      <c r="E990" s="55" t="n"/>
      <c r="F990" s="55" t="n"/>
      <c r="G990" s="56" t="n"/>
      <c r="H990" s="57" t="n"/>
      <c r="I990" s="55" t="n"/>
      <c r="J990" s="53" t="n"/>
      <c r="K990" s="54" t="n"/>
      <c r="L990" s="55" t="n"/>
      <c r="M990" s="55" t="n"/>
      <c r="N990" s="57" t="n"/>
      <c r="O990" s="55" t="n"/>
      <c r="P990" s="56" t="n"/>
      <c r="Q990" s="55" t="n"/>
      <c r="R990" s="55" t="n"/>
      <c r="S990" s="55" t="n"/>
      <c r="T990" s="55" t="n"/>
      <c r="U990" s="55" t="n"/>
      <c r="V990" s="55" t="n"/>
      <c r="W990" s="58" t="n"/>
      <c r="X990" s="58" t="n"/>
      <c r="Y990" s="55" t="n"/>
      <c r="Z990" s="55" t="n"/>
      <c r="AA990" s="55" t="n"/>
      <c r="AB990" s="55" t="n"/>
      <c r="AC990" s="55" t="n"/>
      <c r="AD990" s="53" t="n"/>
      <c r="AE990" s="55" t="n"/>
      <c r="AF990" s="55" t="n"/>
      <c r="AG990" s="59" t="n"/>
      <c r="AH990" s="57" t="n"/>
      <c r="AI990" s="55" t="n"/>
      <c r="AJ990" s="55" t="n"/>
      <c r="AK990" s="55" t="n"/>
      <c r="AL990" s="55" t="n"/>
      <c r="AM990" s="56" t="n"/>
      <c r="AN990" s="55" t="n"/>
      <c r="AO990" s="55" t="n"/>
      <c r="AP990" s="55" t="n"/>
      <c r="AQ990" s="55" t="n"/>
      <c r="AR990" s="60">
        <f>IF(AND(C990="",E990=""),"",IF(A990="","⚠ Date manquante",IF(AND(C990="",E990&lt;&gt;"Dépense"),"⚠ Prospect manquant",IF(E990="","⚠ Action manquante",IF(AND(AU990=1,D990=""),"⚠ Canal manquant",IF(AND(W990&lt;&gt;"",COUNTIFS('Saisie'!$W$5:$W$2004,W990,'Saisie'!$C$5:$C$2004,"&lt;&gt;"&amp;C990)&gt;0),"⚠ Numéro déjà utilisé par un autre prospect",IF(AND(J990&lt;&gt;"",J990&lt;A990),"⚠ Relance avant la date de l'action",IF(A990&gt;TODAY(),"⚠ Date dans le futur","✓"))))))))</f>
        <v/>
      </c>
      <c r="AS990" s="61">
        <f>IF(AND(A990="",C990="",E990=""),"",ROW())</f>
        <v/>
      </c>
      <c r="AT990" s="61">
        <f>IF(E990&amp;F990="","",MAX(IFERROR(INDEX('Paramètres'!$J$6:$J$33,MATCH(E990,'Paramètres'!$I$6:$I$33,0)),0),IFERROR(INDEX('Paramètres'!$N$6:$N$17,MATCH(F990,'Paramètres'!$M$6:$M$17,0)),0)))</f>
        <v/>
      </c>
      <c r="AU990" s="61">
        <f>IF(E990="","",IFERROR(IF(INDEX('Paramètres'!$K$6:$K$33,MATCH(E990,'Paramètres'!$I$6:$I$33,0))="Oui",1,0),0))</f>
        <v/>
      </c>
      <c r="AV990" s="61">
        <f>IF(F990="","",IFERROR(IF(INDEX('Paramètres'!$O$6:$O$17,MATCH(F990,'Paramètres'!$M$6:$M$17,0))="Oui",1,0),0))</f>
        <v/>
      </c>
      <c r="AW990" s="62">
        <f>IF(E990="","",IF(G990&lt;&gt;"",G990,IF(OR(E990="Proposition envoyée",E990="Signature"),MAX(0,N(IFERROR(INDEX('Paramètres'!$R$6:$R$15,MATCH(IF(AL990&lt;&gt;"",AL990,IFERROR(INDEX('Prospects'!$AN$5:$AN$504,MATCH(C990,'Prospects'!$C$5:$C$504,0)),"")),'Paramètres'!$Q$6:$Q$15,0)),0))-N(P990)),0)))</f>
        <v/>
      </c>
      <c r="AX990" s="61">
        <f>IF(C990="","",IF(COUNTIF($C$5:C990,C990)=1,MAX($AX$4:AX989)+1,""))</f>
        <v/>
      </c>
      <c r="AY990" s="61">
        <f>IF(B990="","",HOUR(B990))</f>
        <v/>
      </c>
      <c r="AZ990" s="61">
        <f>IF(A990="","",MOD(A990-2,7)+1)</f>
        <v/>
      </c>
      <c r="BA990" s="60">
        <f>IF(C990="","",IFERROR(INDEX('Prospects'!$N$5:$N$504,MATCH(C990,'Prospects'!$C$5:$C$504,0)),""))</f>
        <v/>
      </c>
      <c r="BB990" s="61">
        <f>IF(AND(C990&lt;&gt;"",C990='Fiche prospect'!$C$4),COUNTIF($C$5:C990,C990),"")</f>
        <v/>
      </c>
    </row>
    <row r="991">
      <c r="A991" s="53" t="n"/>
      <c r="B991" s="54" t="n"/>
      <c r="C991" s="55" t="n"/>
      <c r="D991" s="55" t="n"/>
      <c r="E991" s="55" t="n"/>
      <c r="F991" s="55" t="n"/>
      <c r="G991" s="56" t="n"/>
      <c r="H991" s="57" t="n"/>
      <c r="I991" s="55" t="n"/>
      <c r="J991" s="53" t="n"/>
      <c r="K991" s="54" t="n"/>
      <c r="L991" s="55" t="n"/>
      <c r="M991" s="55" t="n"/>
      <c r="N991" s="57" t="n"/>
      <c r="O991" s="55" t="n"/>
      <c r="P991" s="56" t="n"/>
      <c r="Q991" s="55" t="n"/>
      <c r="R991" s="55" t="n"/>
      <c r="S991" s="55" t="n"/>
      <c r="T991" s="55" t="n"/>
      <c r="U991" s="55" t="n"/>
      <c r="V991" s="55" t="n"/>
      <c r="W991" s="58" t="n"/>
      <c r="X991" s="58" t="n"/>
      <c r="Y991" s="55" t="n"/>
      <c r="Z991" s="55" t="n"/>
      <c r="AA991" s="55" t="n"/>
      <c r="AB991" s="55" t="n"/>
      <c r="AC991" s="55" t="n"/>
      <c r="AD991" s="53" t="n"/>
      <c r="AE991" s="55" t="n"/>
      <c r="AF991" s="55" t="n"/>
      <c r="AG991" s="59" t="n"/>
      <c r="AH991" s="57" t="n"/>
      <c r="AI991" s="55" t="n"/>
      <c r="AJ991" s="55" t="n"/>
      <c r="AK991" s="55" t="n"/>
      <c r="AL991" s="55" t="n"/>
      <c r="AM991" s="56" t="n"/>
      <c r="AN991" s="55" t="n"/>
      <c r="AO991" s="55" t="n"/>
      <c r="AP991" s="55" t="n"/>
      <c r="AQ991" s="55" t="n"/>
      <c r="AR991" s="60">
        <f>IF(AND(C991="",E991=""),"",IF(A991="","⚠ Date manquante",IF(AND(C991="",E991&lt;&gt;"Dépense"),"⚠ Prospect manquant",IF(E991="","⚠ Action manquante",IF(AND(AU991=1,D991=""),"⚠ Canal manquant",IF(AND(W991&lt;&gt;"",COUNTIFS('Saisie'!$W$5:$W$2004,W991,'Saisie'!$C$5:$C$2004,"&lt;&gt;"&amp;C991)&gt;0),"⚠ Numéro déjà utilisé par un autre prospect",IF(AND(J991&lt;&gt;"",J991&lt;A991),"⚠ Relance avant la date de l'action",IF(A991&gt;TODAY(),"⚠ Date dans le futur","✓"))))))))</f>
        <v/>
      </c>
      <c r="AS991" s="61">
        <f>IF(AND(A991="",C991="",E991=""),"",ROW())</f>
        <v/>
      </c>
      <c r="AT991" s="61">
        <f>IF(E991&amp;F991="","",MAX(IFERROR(INDEX('Paramètres'!$J$6:$J$33,MATCH(E991,'Paramètres'!$I$6:$I$33,0)),0),IFERROR(INDEX('Paramètres'!$N$6:$N$17,MATCH(F991,'Paramètres'!$M$6:$M$17,0)),0)))</f>
        <v/>
      </c>
      <c r="AU991" s="61">
        <f>IF(E991="","",IFERROR(IF(INDEX('Paramètres'!$K$6:$K$33,MATCH(E991,'Paramètres'!$I$6:$I$33,0))="Oui",1,0),0))</f>
        <v/>
      </c>
      <c r="AV991" s="61">
        <f>IF(F991="","",IFERROR(IF(INDEX('Paramètres'!$O$6:$O$17,MATCH(F991,'Paramètres'!$M$6:$M$17,0))="Oui",1,0),0))</f>
        <v/>
      </c>
      <c r="AW991" s="62">
        <f>IF(E991="","",IF(G991&lt;&gt;"",G991,IF(OR(E991="Proposition envoyée",E991="Signature"),MAX(0,N(IFERROR(INDEX('Paramètres'!$R$6:$R$15,MATCH(IF(AL991&lt;&gt;"",AL991,IFERROR(INDEX('Prospects'!$AN$5:$AN$504,MATCH(C991,'Prospects'!$C$5:$C$504,0)),"")),'Paramètres'!$Q$6:$Q$15,0)),0))-N(P991)),0)))</f>
        <v/>
      </c>
      <c r="AX991" s="61">
        <f>IF(C991="","",IF(COUNTIF($C$5:C991,C991)=1,MAX($AX$4:AX990)+1,""))</f>
        <v/>
      </c>
      <c r="AY991" s="61">
        <f>IF(B991="","",HOUR(B991))</f>
        <v/>
      </c>
      <c r="AZ991" s="61">
        <f>IF(A991="","",MOD(A991-2,7)+1)</f>
        <v/>
      </c>
      <c r="BA991" s="60">
        <f>IF(C991="","",IFERROR(INDEX('Prospects'!$N$5:$N$504,MATCH(C991,'Prospects'!$C$5:$C$504,0)),""))</f>
        <v/>
      </c>
      <c r="BB991" s="61">
        <f>IF(AND(C991&lt;&gt;"",C991='Fiche prospect'!$C$4),COUNTIF($C$5:C991,C991),"")</f>
        <v/>
      </c>
    </row>
    <row r="992">
      <c r="A992" s="53" t="n"/>
      <c r="B992" s="54" t="n"/>
      <c r="C992" s="55" t="n"/>
      <c r="D992" s="55" t="n"/>
      <c r="E992" s="55" t="n"/>
      <c r="F992" s="55" t="n"/>
      <c r="G992" s="56" t="n"/>
      <c r="H992" s="57" t="n"/>
      <c r="I992" s="55" t="n"/>
      <c r="J992" s="53" t="n"/>
      <c r="K992" s="54" t="n"/>
      <c r="L992" s="55" t="n"/>
      <c r="M992" s="55" t="n"/>
      <c r="N992" s="57" t="n"/>
      <c r="O992" s="55" t="n"/>
      <c r="P992" s="56" t="n"/>
      <c r="Q992" s="55" t="n"/>
      <c r="R992" s="55" t="n"/>
      <c r="S992" s="55" t="n"/>
      <c r="T992" s="55" t="n"/>
      <c r="U992" s="55" t="n"/>
      <c r="V992" s="55" t="n"/>
      <c r="W992" s="58" t="n"/>
      <c r="X992" s="58" t="n"/>
      <c r="Y992" s="55" t="n"/>
      <c r="Z992" s="55" t="n"/>
      <c r="AA992" s="55" t="n"/>
      <c r="AB992" s="55" t="n"/>
      <c r="AC992" s="55" t="n"/>
      <c r="AD992" s="53" t="n"/>
      <c r="AE992" s="55" t="n"/>
      <c r="AF992" s="55" t="n"/>
      <c r="AG992" s="59" t="n"/>
      <c r="AH992" s="57" t="n"/>
      <c r="AI992" s="55" t="n"/>
      <c r="AJ992" s="55" t="n"/>
      <c r="AK992" s="55" t="n"/>
      <c r="AL992" s="55" t="n"/>
      <c r="AM992" s="56" t="n"/>
      <c r="AN992" s="55" t="n"/>
      <c r="AO992" s="55" t="n"/>
      <c r="AP992" s="55" t="n"/>
      <c r="AQ992" s="55" t="n"/>
      <c r="AR992" s="60">
        <f>IF(AND(C992="",E992=""),"",IF(A992="","⚠ Date manquante",IF(AND(C992="",E992&lt;&gt;"Dépense"),"⚠ Prospect manquant",IF(E992="","⚠ Action manquante",IF(AND(AU992=1,D992=""),"⚠ Canal manquant",IF(AND(W992&lt;&gt;"",COUNTIFS('Saisie'!$W$5:$W$2004,W992,'Saisie'!$C$5:$C$2004,"&lt;&gt;"&amp;C992)&gt;0),"⚠ Numéro déjà utilisé par un autre prospect",IF(AND(J992&lt;&gt;"",J992&lt;A992),"⚠ Relance avant la date de l'action",IF(A992&gt;TODAY(),"⚠ Date dans le futur","✓"))))))))</f>
        <v/>
      </c>
      <c r="AS992" s="61">
        <f>IF(AND(A992="",C992="",E992=""),"",ROW())</f>
        <v/>
      </c>
      <c r="AT992" s="61">
        <f>IF(E992&amp;F992="","",MAX(IFERROR(INDEX('Paramètres'!$J$6:$J$33,MATCH(E992,'Paramètres'!$I$6:$I$33,0)),0),IFERROR(INDEX('Paramètres'!$N$6:$N$17,MATCH(F992,'Paramètres'!$M$6:$M$17,0)),0)))</f>
        <v/>
      </c>
      <c r="AU992" s="61">
        <f>IF(E992="","",IFERROR(IF(INDEX('Paramètres'!$K$6:$K$33,MATCH(E992,'Paramètres'!$I$6:$I$33,0))="Oui",1,0),0))</f>
        <v/>
      </c>
      <c r="AV992" s="61">
        <f>IF(F992="","",IFERROR(IF(INDEX('Paramètres'!$O$6:$O$17,MATCH(F992,'Paramètres'!$M$6:$M$17,0))="Oui",1,0),0))</f>
        <v/>
      </c>
      <c r="AW992" s="62">
        <f>IF(E992="","",IF(G992&lt;&gt;"",G992,IF(OR(E992="Proposition envoyée",E992="Signature"),MAX(0,N(IFERROR(INDEX('Paramètres'!$R$6:$R$15,MATCH(IF(AL992&lt;&gt;"",AL992,IFERROR(INDEX('Prospects'!$AN$5:$AN$504,MATCH(C992,'Prospects'!$C$5:$C$504,0)),"")),'Paramètres'!$Q$6:$Q$15,0)),0))-N(P992)),0)))</f>
        <v/>
      </c>
      <c r="AX992" s="61">
        <f>IF(C992="","",IF(COUNTIF($C$5:C992,C992)=1,MAX($AX$4:AX991)+1,""))</f>
        <v/>
      </c>
      <c r="AY992" s="61">
        <f>IF(B992="","",HOUR(B992))</f>
        <v/>
      </c>
      <c r="AZ992" s="61">
        <f>IF(A992="","",MOD(A992-2,7)+1)</f>
        <v/>
      </c>
      <c r="BA992" s="60">
        <f>IF(C992="","",IFERROR(INDEX('Prospects'!$N$5:$N$504,MATCH(C992,'Prospects'!$C$5:$C$504,0)),""))</f>
        <v/>
      </c>
      <c r="BB992" s="61">
        <f>IF(AND(C992&lt;&gt;"",C992='Fiche prospect'!$C$4),COUNTIF($C$5:C992,C992),"")</f>
        <v/>
      </c>
    </row>
    <row r="993">
      <c r="A993" s="53" t="n"/>
      <c r="B993" s="54" t="n"/>
      <c r="C993" s="55" t="n"/>
      <c r="D993" s="55" t="n"/>
      <c r="E993" s="55" t="n"/>
      <c r="F993" s="55" t="n"/>
      <c r="G993" s="56" t="n"/>
      <c r="H993" s="57" t="n"/>
      <c r="I993" s="55" t="n"/>
      <c r="J993" s="53" t="n"/>
      <c r="K993" s="54" t="n"/>
      <c r="L993" s="55" t="n"/>
      <c r="M993" s="55" t="n"/>
      <c r="N993" s="57" t="n"/>
      <c r="O993" s="55" t="n"/>
      <c r="P993" s="56" t="n"/>
      <c r="Q993" s="55" t="n"/>
      <c r="R993" s="55" t="n"/>
      <c r="S993" s="55" t="n"/>
      <c r="T993" s="55" t="n"/>
      <c r="U993" s="55" t="n"/>
      <c r="V993" s="55" t="n"/>
      <c r="W993" s="58" t="n"/>
      <c r="X993" s="58" t="n"/>
      <c r="Y993" s="55" t="n"/>
      <c r="Z993" s="55" t="n"/>
      <c r="AA993" s="55" t="n"/>
      <c r="AB993" s="55" t="n"/>
      <c r="AC993" s="55" t="n"/>
      <c r="AD993" s="53" t="n"/>
      <c r="AE993" s="55" t="n"/>
      <c r="AF993" s="55" t="n"/>
      <c r="AG993" s="59" t="n"/>
      <c r="AH993" s="57" t="n"/>
      <c r="AI993" s="55" t="n"/>
      <c r="AJ993" s="55" t="n"/>
      <c r="AK993" s="55" t="n"/>
      <c r="AL993" s="55" t="n"/>
      <c r="AM993" s="56" t="n"/>
      <c r="AN993" s="55" t="n"/>
      <c r="AO993" s="55" t="n"/>
      <c r="AP993" s="55" t="n"/>
      <c r="AQ993" s="55" t="n"/>
      <c r="AR993" s="60">
        <f>IF(AND(C993="",E993=""),"",IF(A993="","⚠ Date manquante",IF(AND(C993="",E993&lt;&gt;"Dépense"),"⚠ Prospect manquant",IF(E993="","⚠ Action manquante",IF(AND(AU993=1,D993=""),"⚠ Canal manquant",IF(AND(W993&lt;&gt;"",COUNTIFS('Saisie'!$W$5:$W$2004,W993,'Saisie'!$C$5:$C$2004,"&lt;&gt;"&amp;C993)&gt;0),"⚠ Numéro déjà utilisé par un autre prospect",IF(AND(J993&lt;&gt;"",J993&lt;A993),"⚠ Relance avant la date de l'action",IF(A993&gt;TODAY(),"⚠ Date dans le futur","✓"))))))))</f>
        <v/>
      </c>
      <c r="AS993" s="61">
        <f>IF(AND(A993="",C993="",E993=""),"",ROW())</f>
        <v/>
      </c>
      <c r="AT993" s="61">
        <f>IF(E993&amp;F993="","",MAX(IFERROR(INDEX('Paramètres'!$J$6:$J$33,MATCH(E993,'Paramètres'!$I$6:$I$33,0)),0),IFERROR(INDEX('Paramètres'!$N$6:$N$17,MATCH(F993,'Paramètres'!$M$6:$M$17,0)),0)))</f>
        <v/>
      </c>
      <c r="AU993" s="61">
        <f>IF(E993="","",IFERROR(IF(INDEX('Paramètres'!$K$6:$K$33,MATCH(E993,'Paramètres'!$I$6:$I$33,0))="Oui",1,0),0))</f>
        <v/>
      </c>
      <c r="AV993" s="61">
        <f>IF(F993="","",IFERROR(IF(INDEX('Paramètres'!$O$6:$O$17,MATCH(F993,'Paramètres'!$M$6:$M$17,0))="Oui",1,0),0))</f>
        <v/>
      </c>
      <c r="AW993" s="62">
        <f>IF(E993="","",IF(G993&lt;&gt;"",G993,IF(OR(E993="Proposition envoyée",E993="Signature"),MAX(0,N(IFERROR(INDEX('Paramètres'!$R$6:$R$15,MATCH(IF(AL993&lt;&gt;"",AL993,IFERROR(INDEX('Prospects'!$AN$5:$AN$504,MATCH(C993,'Prospects'!$C$5:$C$504,0)),"")),'Paramètres'!$Q$6:$Q$15,0)),0))-N(P993)),0)))</f>
        <v/>
      </c>
      <c r="AX993" s="61">
        <f>IF(C993="","",IF(COUNTIF($C$5:C993,C993)=1,MAX($AX$4:AX992)+1,""))</f>
        <v/>
      </c>
      <c r="AY993" s="61">
        <f>IF(B993="","",HOUR(B993))</f>
        <v/>
      </c>
      <c r="AZ993" s="61">
        <f>IF(A993="","",MOD(A993-2,7)+1)</f>
        <v/>
      </c>
      <c r="BA993" s="60">
        <f>IF(C993="","",IFERROR(INDEX('Prospects'!$N$5:$N$504,MATCH(C993,'Prospects'!$C$5:$C$504,0)),""))</f>
        <v/>
      </c>
      <c r="BB993" s="61">
        <f>IF(AND(C993&lt;&gt;"",C993='Fiche prospect'!$C$4),COUNTIF($C$5:C993,C993),"")</f>
        <v/>
      </c>
    </row>
    <row r="994">
      <c r="A994" s="53" t="n"/>
      <c r="B994" s="54" t="n"/>
      <c r="C994" s="55" t="n"/>
      <c r="D994" s="55" t="n"/>
      <c r="E994" s="55" t="n"/>
      <c r="F994" s="55" t="n"/>
      <c r="G994" s="56" t="n"/>
      <c r="H994" s="57" t="n"/>
      <c r="I994" s="55" t="n"/>
      <c r="J994" s="53" t="n"/>
      <c r="K994" s="54" t="n"/>
      <c r="L994" s="55" t="n"/>
      <c r="M994" s="55" t="n"/>
      <c r="N994" s="57" t="n"/>
      <c r="O994" s="55" t="n"/>
      <c r="P994" s="56" t="n"/>
      <c r="Q994" s="55" t="n"/>
      <c r="R994" s="55" t="n"/>
      <c r="S994" s="55" t="n"/>
      <c r="T994" s="55" t="n"/>
      <c r="U994" s="55" t="n"/>
      <c r="V994" s="55" t="n"/>
      <c r="W994" s="58" t="n"/>
      <c r="X994" s="58" t="n"/>
      <c r="Y994" s="55" t="n"/>
      <c r="Z994" s="55" t="n"/>
      <c r="AA994" s="55" t="n"/>
      <c r="AB994" s="55" t="n"/>
      <c r="AC994" s="55" t="n"/>
      <c r="AD994" s="53" t="n"/>
      <c r="AE994" s="55" t="n"/>
      <c r="AF994" s="55" t="n"/>
      <c r="AG994" s="59" t="n"/>
      <c r="AH994" s="57" t="n"/>
      <c r="AI994" s="55" t="n"/>
      <c r="AJ994" s="55" t="n"/>
      <c r="AK994" s="55" t="n"/>
      <c r="AL994" s="55" t="n"/>
      <c r="AM994" s="56" t="n"/>
      <c r="AN994" s="55" t="n"/>
      <c r="AO994" s="55" t="n"/>
      <c r="AP994" s="55" t="n"/>
      <c r="AQ994" s="55" t="n"/>
      <c r="AR994" s="60">
        <f>IF(AND(C994="",E994=""),"",IF(A994="","⚠ Date manquante",IF(AND(C994="",E994&lt;&gt;"Dépense"),"⚠ Prospect manquant",IF(E994="","⚠ Action manquante",IF(AND(AU994=1,D994=""),"⚠ Canal manquant",IF(AND(W994&lt;&gt;"",COUNTIFS('Saisie'!$W$5:$W$2004,W994,'Saisie'!$C$5:$C$2004,"&lt;&gt;"&amp;C994)&gt;0),"⚠ Numéro déjà utilisé par un autre prospect",IF(AND(J994&lt;&gt;"",J994&lt;A994),"⚠ Relance avant la date de l'action",IF(A994&gt;TODAY(),"⚠ Date dans le futur","✓"))))))))</f>
        <v/>
      </c>
      <c r="AS994" s="61">
        <f>IF(AND(A994="",C994="",E994=""),"",ROW())</f>
        <v/>
      </c>
      <c r="AT994" s="61">
        <f>IF(E994&amp;F994="","",MAX(IFERROR(INDEX('Paramètres'!$J$6:$J$33,MATCH(E994,'Paramètres'!$I$6:$I$33,0)),0),IFERROR(INDEX('Paramètres'!$N$6:$N$17,MATCH(F994,'Paramètres'!$M$6:$M$17,0)),0)))</f>
        <v/>
      </c>
      <c r="AU994" s="61">
        <f>IF(E994="","",IFERROR(IF(INDEX('Paramètres'!$K$6:$K$33,MATCH(E994,'Paramètres'!$I$6:$I$33,0))="Oui",1,0),0))</f>
        <v/>
      </c>
      <c r="AV994" s="61">
        <f>IF(F994="","",IFERROR(IF(INDEX('Paramètres'!$O$6:$O$17,MATCH(F994,'Paramètres'!$M$6:$M$17,0))="Oui",1,0),0))</f>
        <v/>
      </c>
      <c r="AW994" s="62">
        <f>IF(E994="","",IF(G994&lt;&gt;"",G994,IF(OR(E994="Proposition envoyée",E994="Signature"),MAX(0,N(IFERROR(INDEX('Paramètres'!$R$6:$R$15,MATCH(IF(AL994&lt;&gt;"",AL994,IFERROR(INDEX('Prospects'!$AN$5:$AN$504,MATCH(C994,'Prospects'!$C$5:$C$504,0)),"")),'Paramètres'!$Q$6:$Q$15,0)),0))-N(P994)),0)))</f>
        <v/>
      </c>
      <c r="AX994" s="61">
        <f>IF(C994="","",IF(COUNTIF($C$5:C994,C994)=1,MAX($AX$4:AX993)+1,""))</f>
        <v/>
      </c>
      <c r="AY994" s="61">
        <f>IF(B994="","",HOUR(B994))</f>
        <v/>
      </c>
      <c r="AZ994" s="61">
        <f>IF(A994="","",MOD(A994-2,7)+1)</f>
        <v/>
      </c>
      <c r="BA994" s="60">
        <f>IF(C994="","",IFERROR(INDEX('Prospects'!$N$5:$N$504,MATCH(C994,'Prospects'!$C$5:$C$504,0)),""))</f>
        <v/>
      </c>
      <c r="BB994" s="61">
        <f>IF(AND(C994&lt;&gt;"",C994='Fiche prospect'!$C$4),COUNTIF($C$5:C994,C994),"")</f>
        <v/>
      </c>
    </row>
    <row r="995">
      <c r="A995" s="53" t="n"/>
      <c r="B995" s="54" t="n"/>
      <c r="C995" s="55" t="n"/>
      <c r="D995" s="55" t="n"/>
      <c r="E995" s="55" t="n"/>
      <c r="F995" s="55" t="n"/>
      <c r="G995" s="56" t="n"/>
      <c r="H995" s="57" t="n"/>
      <c r="I995" s="55" t="n"/>
      <c r="J995" s="53" t="n"/>
      <c r="K995" s="54" t="n"/>
      <c r="L995" s="55" t="n"/>
      <c r="M995" s="55" t="n"/>
      <c r="N995" s="57" t="n"/>
      <c r="O995" s="55" t="n"/>
      <c r="P995" s="56" t="n"/>
      <c r="Q995" s="55" t="n"/>
      <c r="R995" s="55" t="n"/>
      <c r="S995" s="55" t="n"/>
      <c r="T995" s="55" t="n"/>
      <c r="U995" s="55" t="n"/>
      <c r="V995" s="55" t="n"/>
      <c r="W995" s="58" t="n"/>
      <c r="X995" s="58" t="n"/>
      <c r="Y995" s="55" t="n"/>
      <c r="Z995" s="55" t="n"/>
      <c r="AA995" s="55" t="n"/>
      <c r="AB995" s="55" t="n"/>
      <c r="AC995" s="55" t="n"/>
      <c r="AD995" s="53" t="n"/>
      <c r="AE995" s="55" t="n"/>
      <c r="AF995" s="55" t="n"/>
      <c r="AG995" s="59" t="n"/>
      <c r="AH995" s="57" t="n"/>
      <c r="AI995" s="55" t="n"/>
      <c r="AJ995" s="55" t="n"/>
      <c r="AK995" s="55" t="n"/>
      <c r="AL995" s="55" t="n"/>
      <c r="AM995" s="56" t="n"/>
      <c r="AN995" s="55" t="n"/>
      <c r="AO995" s="55" t="n"/>
      <c r="AP995" s="55" t="n"/>
      <c r="AQ995" s="55" t="n"/>
      <c r="AR995" s="60">
        <f>IF(AND(C995="",E995=""),"",IF(A995="","⚠ Date manquante",IF(AND(C995="",E995&lt;&gt;"Dépense"),"⚠ Prospect manquant",IF(E995="","⚠ Action manquante",IF(AND(AU995=1,D995=""),"⚠ Canal manquant",IF(AND(W995&lt;&gt;"",COUNTIFS('Saisie'!$W$5:$W$2004,W995,'Saisie'!$C$5:$C$2004,"&lt;&gt;"&amp;C995)&gt;0),"⚠ Numéro déjà utilisé par un autre prospect",IF(AND(J995&lt;&gt;"",J995&lt;A995),"⚠ Relance avant la date de l'action",IF(A995&gt;TODAY(),"⚠ Date dans le futur","✓"))))))))</f>
        <v/>
      </c>
      <c r="AS995" s="61">
        <f>IF(AND(A995="",C995="",E995=""),"",ROW())</f>
        <v/>
      </c>
      <c r="AT995" s="61">
        <f>IF(E995&amp;F995="","",MAX(IFERROR(INDEX('Paramètres'!$J$6:$J$33,MATCH(E995,'Paramètres'!$I$6:$I$33,0)),0),IFERROR(INDEX('Paramètres'!$N$6:$N$17,MATCH(F995,'Paramètres'!$M$6:$M$17,0)),0)))</f>
        <v/>
      </c>
      <c r="AU995" s="61">
        <f>IF(E995="","",IFERROR(IF(INDEX('Paramètres'!$K$6:$K$33,MATCH(E995,'Paramètres'!$I$6:$I$33,0))="Oui",1,0),0))</f>
        <v/>
      </c>
      <c r="AV995" s="61">
        <f>IF(F995="","",IFERROR(IF(INDEX('Paramètres'!$O$6:$O$17,MATCH(F995,'Paramètres'!$M$6:$M$17,0))="Oui",1,0),0))</f>
        <v/>
      </c>
      <c r="AW995" s="62">
        <f>IF(E995="","",IF(G995&lt;&gt;"",G995,IF(OR(E995="Proposition envoyée",E995="Signature"),MAX(0,N(IFERROR(INDEX('Paramètres'!$R$6:$R$15,MATCH(IF(AL995&lt;&gt;"",AL995,IFERROR(INDEX('Prospects'!$AN$5:$AN$504,MATCH(C995,'Prospects'!$C$5:$C$504,0)),"")),'Paramètres'!$Q$6:$Q$15,0)),0))-N(P995)),0)))</f>
        <v/>
      </c>
      <c r="AX995" s="61">
        <f>IF(C995="","",IF(COUNTIF($C$5:C995,C995)=1,MAX($AX$4:AX994)+1,""))</f>
        <v/>
      </c>
      <c r="AY995" s="61">
        <f>IF(B995="","",HOUR(B995))</f>
        <v/>
      </c>
      <c r="AZ995" s="61">
        <f>IF(A995="","",MOD(A995-2,7)+1)</f>
        <v/>
      </c>
      <c r="BA995" s="60">
        <f>IF(C995="","",IFERROR(INDEX('Prospects'!$N$5:$N$504,MATCH(C995,'Prospects'!$C$5:$C$504,0)),""))</f>
        <v/>
      </c>
      <c r="BB995" s="61">
        <f>IF(AND(C995&lt;&gt;"",C995='Fiche prospect'!$C$4),COUNTIF($C$5:C995,C995),"")</f>
        <v/>
      </c>
    </row>
    <row r="996">
      <c r="A996" s="53" t="n"/>
      <c r="B996" s="54" t="n"/>
      <c r="C996" s="55" t="n"/>
      <c r="D996" s="55" t="n"/>
      <c r="E996" s="55" t="n"/>
      <c r="F996" s="55" t="n"/>
      <c r="G996" s="56" t="n"/>
      <c r="H996" s="57" t="n"/>
      <c r="I996" s="55" t="n"/>
      <c r="J996" s="53" t="n"/>
      <c r="K996" s="54" t="n"/>
      <c r="L996" s="55" t="n"/>
      <c r="M996" s="55" t="n"/>
      <c r="N996" s="57" t="n"/>
      <c r="O996" s="55" t="n"/>
      <c r="P996" s="56" t="n"/>
      <c r="Q996" s="55" t="n"/>
      <c r="R996" s="55" t="n"/>
      <c r="S996" s="55" t="n"/>
      <c r="T996" s="55" t="n"/>
      <c r="U996" s="55" t="n"/>
      <c r="V996" s="55" t="n"/>
      <c r="W996" s="58" t="n"/>
      <c r="X996" s="58" t="n"/>
      <c r="Y996" s="55" t="n"/>
      <c r="Z996" s="55" t="n"/>
      <c r="AA996" s="55" t="n"/>
      <c r="AB996" s="55" t="n"/>
      <c r="AC996" s="55" t="n"/>
      <c r="AD996" s="53" t="n"/>
      <c r="AE996" s="55" t="n"/>
      <c r="AF996" s="55" t="n"/>
      <c r="AG996" s="59" t="n"/>
      <c r="AH996" s="57" t="n"/>
      <c r="AI996" s="55" t="n"/>
      <c r="AJ996" s="55" t="n"/>
      <c r="AK996" s="55" t="n"/>
      <c r="AL996" s="55" t="n"/>
      <c r="AM996" s="56" t="n"/>
      <c r="AN996" s="55" t="n"/>
      <c r="AO996" s="55" t="n"/>
      <c r="AP996" s="55" t="n"/>
      <c r="AQ996" s="55" t="n"/>
      <c r="AR996" s="60">
        <f>IF(AND(C996="",E996=""),"",IF(A996="","⚠ Date manquante",IF(AND(C996="",E996&lt;&gt;"Dépense"),"⚠ Prospect manquant",IF(E996="","⚠ Action manquante",IF(AND(AU996=1,D996=""),"⚠ Canal manquant",IF(AND(W996&lt;&gt;"",COUNTIFS('Saisie'!$W$5:$W$2004,W996,'Saisie'!$C$5:$C$2004,"&lt;&gt;"&amp;C996)&gt;0),"⚠ Numéro déjà utilisé par un autre prospect",IF(AND(J996&lt;&gt;"",J996&lt;A996),"⚠ Relance avant la date de l'action",IF(A996&gt;TODAY(),"⚠ Date dans le futur","✓"))))))))</f>
        <v/>
      </c>
      <c r="AS996" s="61">
        <f>IF(AND(A996="",C996="",E996=""),"",ROW())</f>
        <v/>
      </c>
      <c r="AT996" s="61">
        <f>IF(E996&amp;F996="","",MAX(IFERROR(INDEX('Paramètres'!$J$6:$J$33,MATCH(E996,'Paramètres'!$I$6:$I$33,0)),0),IFERROR(INDEX('Paramètres'!$N$6:$N$17,MATCH(F996,'Paramètres'!$M$6:$M$17,0)),0)))</f>
        <v/>
      </c>
      <c r="AU996" s="61">
        <f>IF(E996="","",IFERROR(IF(INDEX('Paramètres'!$K$6:$K$33,MATCH(E996,'Paramètres'!$I$6:$I$33,0))="Oui",1,0),0))</f>
        <v/>
      </c>
      <c r="AV996" s="61">
        <f>IF(F996="","",IFERROR(IF(INDEX('Paramètres'!$O$6:$O$17,MATCH(F996,'Paramètres'!$M$6:$M$17,0))="Oui",1,0),0))</f>
        <v/>
      </c>
      <c r="AW996" s="62">
        <f>IF(E996="","",IF(G996&lt;&gt;"",G996,IF(OR(E996="Proposition envoyée",E996="Signature"),MAX(0,N(IFERROR(INDEX('Paramètres'!$R$6:$R$15,MATCH(IF(AL996&lt;&gt;"",AL996,IFERROR(INDEX('Prospects'!$AN$5:$AN$504,MATCH(C996,'Prospects'!$C$5:$C$504,0)),"")),'Paramètres'!$Q$6:$Q$15,0)),0))-N(P996)),0)))</f>
        <v/>
      </c>
      <c r="AX996" s="61">
        <f>IF(C996="","",IF(COUNTIF($C$5:C996,C996)=1,MAX($AX$4:AX995)+1,""))</f>
        <v/>
      </c>
      <c r="AY996" s="61">
        <f>IF(B996="","",HOUR(B996))</f>
        <v/>
      </c>
      <c r="AZ996" s="61">
        <f>IF(A996="","",MOD(A996-2,7)+1)</f>
        <v/>
      </c>
      <c r="BA996" s="60">
        <f>IF(C996="","",IFERROR(INDEX('Prospects'!$N$5:$N$504,MATCH(C996,'Prospects'!$C$5:$C$504,0)),""))</f>
        <v/>
      </c>
      <c r="BB996" s="61">
        <f>IF(AND(C996&lt;&gt;"",C996='Fiche prospect'!$C$4),COUNTIF($C$5:C996,C996),"")</f>
        <v/>
      </c>
    </row>
    <row r="997">
      <c r="A997" s="53" t="n"/>
      <c r="B997" s="54" t="n"/>
      <c r="C997" s="55" t="n"/>
      <c r="D997" s="55" t="n"/>
      <c r="E997" s="55" t="n"/>
      <c r="F997" s="55" t="n"/>
      <c r="G997" s="56" t="n"/>
      <c r="H997" s="57" t="n"/>
      <c r="I997" s="55" t="n"/>
      <c r="J997" s="53" t="n"/>
      <c r="K997" s="54" t="n"/>
      <c r="L997" s="55" t="n"/>
      <c r="M997" s="55" t="n"/>
      <c r="N997" s="57" t="n"/>
      <c r="O997" s="55" t="n"/>
      <c r="P997" s="56" t="n"/>
      <c r="Q997" s="55" t="n"/>
      <c r="R997" s="55" t="n"/>
      <c r="S997" s="55" t="n"/>
      <c r="T997" s="55" t="n"/>
      <c r="U997" s="55" t="n"/>
      <c r="V997" s="55" t="n"/>
      <c r="W997" s="58" t="n"/>
      <c r="X997" s="58" t="n"/>
      <c r="Y997" s="55" t="n"/>
      <c r="Z997" s="55" t="n"/>
      <c r="AA997" s="55" t="n"/>
      <c r="AB997" s="55" t="n"/>
      <c r="AC997" s="55" t="n"/>
      <c r="AD997" s="53" t="n"/>
      <c r="AE997" s="55" t="n"/>
      <c r="AF997" s="55" t="n"/>
      <c r="AG997" s="59" t="n"/>
      <c r="AH997" s="57" t="n"/>
      <c r="AI997" s="55" t="n"/>
      <c r="AJ997" s="55" t="n"/>
      <c r="AK997" s="55" t="n"/>
      <c r="AL997" s="55" t="n"/>
      <c r="AM997" s="56" t="n"/>
      <c r="AN997" s="55" t="n"/>
      <c r="AO997" s="55" t="n"/>
      <c r="AP997" s="55" t="n"/>
      <c r="AQ997" s="55" t="n"/>
      <c r="AR997" s="60">
        <f>IF(AND(C997="",E997=""),"",IF(A997="","⚠ Date manquante",IF(AND(C997="",E997&lt;&gt;"Dépense"),"⚠ Prospect manquant",IF(E997="","⚠ Action manquante",IF(AND(AU997=1,D997=""),"⚠ Canal manquant",IF(AND(W997&lt;&gt;"",COUNTIFS('Saisie'!$W$5:$W$2004,W997,'Saisie'!$C$5:$C$2004,"&lt;&gt;"&amp;C997)&gt;0),"⚠ Numéro déjà utilisé par un autre prospect",IF(AND(J997&lt;&gt;"",J997&lt;A997),"⚠ Relance avant la date de l'action",IF(A997&gt;TODAY(),"⚠ Date dans le futur","✓"))))))))</f>
        <v/>
      </c>
      <c r="AS997" s="61">
        <f>IF(AND(A997="",C997="",E997=""),"",ROW())</f>
        <v/>
      </c>
      <c r="AT997" s="61">
        <f>IF(E997&amp;F997="","",MAX(IFERROR(INDEX('Paramètres'!$J$6:$J$33,MATCH(E997,'Paramètres'!$I$6:$I$33,0)),0),IFERROR(INDEX('Paramètres'!$N$6:$N$17,MATCH(F997,'Paramètres'!$M$6:$M$17,0)),0)))</f>
        <v/>
      </c>
      <c r="AU997" s="61">
        <f>IF(E997="","",IFERROR(IF(INDEX('Paramètres'!$K$6:$K$33,MATCH(E997,'Paramètres'!$I$6:$I$33,0))="Oui",1,0),0))</f>
        <v/>
      </c>
      <c r="AV997" s="61">
        <f>IF(F997="","",IFERROR(IF(INDEX('Paramètres'!$O$6:$O$17,MATCH(F997,'Paramètres'!$M$6:$M$17,0))="Oui",1,0),0))</f>
        <v/>
      </c>
      <c r="AW997" s="62">
        <f>IF(E997="","",IF(G997&lt;&gt;"",G997,IF(OR(E997="Proposition envoyée",E997="Signature"),MAX(0,N(IFERROR(INDEX('Paramètres'!$R$6:$R$15,MATCH(IF(AL997&lt;&gt;"",AL997,IFERROR(INDEX('Prospects'!$AN$5:$AN$504,MATCH(C997,'Prospects'!$C$5:$C$504,0)),"")),'Paramètres'!$Q$6:$Q$15,0)),0))-N(P997)),0)))</f>
        <v/>
      </c>
      <c r="AX997" s="61">
        <f>IF(C997="","",IF(COUNTIF($C$5:C997,C997)=1,MAX($AX$4:AX996)+1,""))</f>
        <v/>
      </c>
      <c r="AY997" s="61">
        <f>IF(B997="","",HOUR(B997))</f>
        <v/>
      </c>
      <c r="AZ997" s="61">
        <f>IF(A997="","",MOD(A997-2,7)+1)</f>
        <v/>
      </c>
      <c r="BA997" s="60">
        <f>IF(C997="","",IFERROR(INDEX('Prospects'!$N$5:$N$504,MATCH(C997,'Prospects'!$C$5:$C$504,0)),""))</f>
        <v/>
      </c>
      <c r="BB997" s="61">
        <f>IF(AND(C997&lt;&gt;"",C997='Fiche prospect'!$C$4),COUNTIF($C$5:C997,C997),"")</f>
        <v/>
      </c>
    </row>
    <row r="998">
      <c r="A998" s="53" t="n"/>
      <c r="B998" s="54" t="n"/>
      <c r="C998" s="55" t="n"/>
      <c r="D998" s="55" t="n"/>
      <c r="E998" s="55" t="n"/>
      <c r="F998" s="55" t="n"/>
      <c r="G998" s="56" t="n"/>
      <c r="H998" s="57" t="n"/>
      <c r="I998" s="55" t="n"/>
      <c r="J998" s="53" t="n"/>
      <c r="K998" s="54" t="n"/>
      <c r="L998" s="55" t="n"/>
      <c r="M998" s="55" t="n"/>
      <c r="N998" s="57" t="n"/>
      <c r="O998" s="55" t="n"/>
      <c r="P998" s="56" t="n"/>
      <c r="Q998" s="55" t="n"/>
      <c r="R998" s="55" t="n"/>
      <c r="S998" s="55" t="n"/>
      <c r="T998" s="55" t="n"/>
      <c r="U998" s="55" t="n"/>
      <c r="V998" s="55" t="n"/>
      <c r="W998" s="58" t="n"/>
      <c r="X998" s="58" t="n"/>
      <c r="Y998" s="55" t="n"/>
      <c r="Z998" s="55" t="n"/>
      <c r="AA998" s="55" t="n"/>
      <c r="AB998" s="55" t="n"/>
      <c r="AC998" s="55" t="n"/>
      <c r="AD998" s="53" t="n"/>
      <c r="AE998" s="55" t="n"/>
      <c r="AF998" s="55" t="n"/>
      <c r="AG998" s="59" t="n"/>
      <c r="AH998" s="57" t="n"/>
      <c r="AI998" s="55" t="n"/>
      <c r="AJ998" s="55" t="n"/>
      <c r="AK998" s="55" t="n"/>
      <c r="AL998" s="55" t="n"/>
      <c r="AM998" s="56" t="n"/>
      <c r="AN998" s="55" t="n"/>
      <c r="AO998" s="55" t="n"/>
      <c r="AP998" s="55" t="n"/>
      <c r="AQ998" s="55" t="n"/>
      <c r="AR998" s="60">
        <f>IF(AND(C998="",E998=""),"",IF(A998="","⚠ Date manquante",IF(AND(C998="",E998&lt;&gt;"Dépense"),"⚠ Prospect manquant",IF(E998="","⚠ Action manquante",IF(AND(AU998=1,D998=""),"⚠ Canal manquant",IF(AND(W998&lt;&gt;"",COUNTIFS('Saisie'!$W$5:$W$2004,W998,'Saisie'!$C$5:$C$2004,"&lt;&gt;"&amp;C998)&gt;0),"⚠ Numéro déjà utilisé par un autre prospect",IF(AND(J998&lt;&gt;"",J998&lt;A998),"⚠ Relance avant la date de l'action",IF(A998&gt;TODAY(),"⚠ Date dans le futur","✓"))))))))</f>
        <v/>
      </c>
      <c r="AS998" s="61">
        <f>IF(AND(A998="",C998="",E998=""),"",ROW())</f>
        <v/>
      </c>
      <c r="AT998" s="61">
        <f>IF(E998&amp;F998="","",MAX(IFERROR(INDEX('Paramètres'!$J$6:$J$33,MATCH(E998,'Paramètres'!$I$6:$I$33,0)),0),IFERROR(INDEX('Paramètres'!$N$6:$N$17,MATCH(F998,'Paramètres'!$M$6:$M$17,0)),0)))</f>
        <v/>
      </c>
      <c r="AU998" s="61">
        <f>IF(E998="","",IFERROR(IF(INDEX('Paramètres'!$K$6:$K$33,MATCH(E998,'Paramètres'!$I$6:$I$33,0))="Oui",1,0),0))</f>
        <v/>
      </c>
      <c r="AV998" s="61">
        <f>IF(F998="","",IFERROR(IF(INDEX('Paramètres'!$O$6:$O$17,MATCH(F998,'Paramètres'!$M$6:$M$17,0))="Oui",1,0),0))</f>
        <v/>
      </c>
      <c r="AW998" s="62">
        <f>IF(E998="","",IF(G998&lt;&gt;"",G998,IF(OR(E998="Proposition envoyée",E998="Signature"),MAX(0,N(IFERROR(INDEX('Paramètres'!$R$6:$R$15,MATCH(IF(AL998&lt;&gt;"",AL998,IFERROR(INDEX('Prospects'!$AN$5:$AN$504,MATCH(C998,'Prospects'!$C$5:$C$504,0)),"")),'Paramètres'!$Q$6:$Q$15,0)),0))-N(P998)),0)))</f>
        <v/>
      </c>
      <c r="AX998" s="61">
        <f>IF(C998="","",IF(COUNTIF($C$5:C998,C998)=1,MAX($AX$4:AX997)+1,""))</f>
        <v/>
      </c>
      <c r="AY998" s="61">
        <f>IF(B998="","",HOUR(B998))</f>
        <v/>
      </c>
      <c r="AZ998" s="61">
        <f>IF(A998="","",MOD(A998-2,7)+1)</f>
        <v/>
      </c>
      <c r="BA998" s="60">
        <f>IF(C998="","",IFERROR(INDEX('Prospects'!$N$5:$N$504,MATCH(C998,'Prospects'!$C$5:$C$504,0)),""))</f>
        <v/>
      </c>
      <c r="BB998" s="61">
        <f>IF(AND(C998&lt;&gt;"",C998='Fiche prospect'!$C$4),COUNTIF($C$5:C998,C998),"")</f>
        <v/>
      </c>
    </row>
    <row r="999">
      <c r="A999" s="53" t="n"/>
      <c r="B999" s="54" t="n"/>
      <c r="C999" s="55" t="n"/>
      <c r="D999" s="55" t="n"/>
      <c r="E999" s="55" t="n"/>
      <c r="F999" s="55" t="n"/>
      <c r="G999" s="56" t="n"/>
      <c r="H999" s="57" t="n"/>
      <c r="I999" s="55" t="n"/>
      <c r="J999" s="53" t="n"/>
      <c r="K999" s="54" t="n"/>
      <c r="L999" s="55" t="n"/>
      <c r="M999" s="55" t="n"/>
      <c r="N999" s="57" t="n"/>
      <c r="O999" s="55" t="n"/>
      <c r="P999" s="56" t="n"/>
      <c r="Q999" s="55" t="n"/>
      <c r="R999" s="55" t="n"/>
      <c r="S999" s="55" t="n"/>
      <c r="T999" s="55" t="n"/>
      <c r="U999" s="55" t="n"/>
      <c r="V999" s="55" t="n"/>
      <c r="W999" s="58" t="n"/>
      <c r="X999" s="58" t="n"/>
      <c r="Y999" s="55" t="n"/>
      <c r="Z999" s="55" t="n"/>
      <c r="AA999" s="55" t="n"/>
      <c r="AB999" s="55" t="n"/>
      <c r="AC999" s="55" t="n"/>
      <c r="AD999" s="53" t="n"/>
      <c r="AE999" s="55" t="n"/>
      <c r="AF999" s="55" t="n"/>
      <c r="AG999" s="59" t="n"/>
      <c r="AH999" s="57" t="n"/>
      <c r="AI999" s="55" t="n"/>
      <c r="AJ999" s="55" t="n"/>
      <c r="AK999" s="55" t="n"/>
      <c r="AL999" s="55" t="n"/>
      <c r="AM999" s="56" t="n"/>
      <c r="AN999" s="55" t="n"/>
      <c r="AO999" s="55" t="n"/>
      <c r="AP999" s="55" t="n"/>
      <c r="AQ999" s="55" t="n"/>
      <c r="AR999" s="60">
        <f>IF(AND(C999="",E999=""),"",IF(A999="","⚠ Date manquante",IF(AND(C999="",E999&lt;&gt;"Dépense"),"⚠ Prospect manquant",IF(E999="","⚠ Action manquante",IF(AND(AU999=1,D999=""),"⚠ Canal manquant",IF(AND(W999&lt;&gt;"",COUNTIFS('Saisie'!$W$5:$W$2004,W999,'Saisie'!$C$5:$C$2004,"&lt;&gt;"&amp;C999)&gt;0),"⚠ Numéro déjà utilisé par un autre prospect",IF(AND(J999&lt;&gt;"",J999&lt;A999),"⚠ Relance avant la date de l'action",IF(A999&gt;TODAY(),"⚠ Date dans le futur","✓"))))))))</f>
        <v/>
      </c>
      <c r="AS999" s="61">
        <f>IF(AND(A999="",C999="",E999=""),"",ROW())</f>
        <v/>
      </c>
      <c r="AT999" s="61">
        <f>IF(E999&amp;F999="","",MAX(IFERROR(INDEX('Paramètres'!$J$6:$J$33,MATCH(E999,'Paramètres'!$I$6:$I$33,0)),0),IFERROR(INDEX('Paramètres'!$N$6:$N$17,MATCH(F999,'Paramètres'!$M$6:$M$17,0)),0)))</f>
        <v/>
      </c>
      <c r="AU999" s="61">
        <f>IF(E999="","",IFERROR(IF(INDEX('Paramètres'!$K$6:$K$33,MATCH(E999,'Paramètres'!$I$6:$I$33,0))="Oui",1,0),0))</f>
        <v/>
      </c>
      <c r="AV999" s="61">
        <f>IF(F999="","",IFERROR(IF(INDEX('Paramètres'!$O$6:$O$17,MATCH(F999,'Paramètres'!$M$6:$M$17,0))="Oui",1,0),0))</f>
        <v/>
      </c>
      <c r="AW999" s="62">
        <f>IF(E999="","",IF(G999&lt;&gt;"",G999,IF(OR(E999="Proposition envoyée",E999="Signature"),MAX(0,N(IFERROR(INDEX('Paramètres'!$R$6:$R$15,MATCH(IF(AL999&lt;&gt;"",AL999,IFERROR(INDEX('Prospects'!$AN$5:$AN$504,MATCH(C999,'Prospects'!$C$5:$C$504,0)),"")),'Paramètres'!$Q$6:$Q$15,0)),0))-N(P999)),0)))</f>
        <v/>
      </c>
      <c r="AX999" s="61">
        <f>IF(C999="","",IF(COUNTIF($C$5:C999,C999)=1,MAX($AX$4:AX998)+1,""))</f>
        <v/>
      </c>
      <c r="AY999" s="61">
        <f>IF(B999="","",HOUR(B999))</f>
        <v/>
      </c>
      <c r="AZ999" s="61">
        <f>IF(A999="","",MOD(A999-2,7)+1)</f>
        <v/>
      </c>
      <c r="BA999" s="60">
        <f>IF(C999="","",IFERROR(INDEX('Prospects'!$N$5:$N$504,MATCH(C999,'Prospects'!$C$5:$C$504,0)),""))</f>
        <v/>
      </c>
      <c r="BB999" s="61">
        <f>IF(AND(C999&lt;&gt;"",C999='Fiche prospect'!$C$4),COUNTIF($C$5:C999,C999),"")</f>
        <v/>
      </c>
    </row>
    <row r="1000">
      <c r="A1000" s="53" t="n"/>
      <c r="B1000" s="54" t="n"/>
      <c r="C1000" s="55" t="n"/>
      <c r="D1000" s="55" t="n"/>
      <c r="E1000" s="55" t="n"/>
      <c r="F1000" s="55" t="n"/>
      <c r="G1000" s="56" t="n"/>
      <c r="H1000" s="57" t="n"/>
      <c r="I1000" s="55" t="n"/>
      <c r="J1000" s="53" t="n"/>
      <c r="K1000" s="54" t="n"/>
      <c r="L1000" s="55" t="n"/>
      <c r="M1000" s="55" t="n"/>
      <c r="N1000" s="57" t="n"/>
      <c r="O1000" s="55" t="n"/>
      <c r="P1000" s="56" t="n"/>
      <c r="Q1000" s="55" t="n"/>
      <c r="R1000" s="55" t="n"/>
      <c r="S1000" s="55" t="n"/>
      <c r="T1000" s="55" t="n"/>
      <c r="U1000" s="55" t="n"/>
      <c r="V1000" s="55" t="n"/>
      <c r="W1000" s="58" t="n"/>
      <c r="X1000" s="58" t="n"/>
      <c r="Y1000" s="55" t="n"/>
      <c r="Z1000" s="55" t="n"/>
      <c r="AA1000" s="55" t="n"/>
      <c r="AB1000" s="55" t="n"/>
      <c r="AC1000" s="55" t="n"/>
      <c r="AD1000" s="53" t="n"/>
      <c r="AE1000" s="55" t="n"/>
      <c r="AF1000" s="55" t="n"/>
      <c r="AG1000" s="59" t="n"/>
      <c r="AH1000" s="57" t="n"/>
      <c r="AI1000" s="55" t="n"/>
      <c r="AJ1000" s="55" t="n"/>
      <c r="AK1000" s="55" t="n"/>
      <c r="AL1000" s="55" t="n"/>
      <c r="AM1000" s="56" t="n"/>
      <c r="AN1000" s="55" t="n"/>
      <c r="AO1000" s="55" t="n"/>
      <c r="AP1000" s="55" t="n"/>
      <c r="AQ1000" s="55" t="n"/>
      <c r="AR1000" s="60">
        <f>IF(AND(C1000="",E1000=""),"",IF(A1000="","⚠ Date manquante",IF(AND(C1000="",E1000&lt;&gt;"Dépense"),"⚠ Prospect manquant",IF(E1000="","⚠ Action manquante",IF(AND(AU1000=1,D1000=""),"⚠ Canal manquant",IF(AND(W1000&lt;&gt;"",COUNTIFS('Saisie'!$W$5:$W$2004,W1000,'Saisie'!$C$5:$C$2004,"&lt;&gt;"&amp;C1000)&gt;0),"⚠ Numéro déjà utilisé par un autre prospect",IF(AND(J1000&lt;&gt;"",J1000&lt;A1000),"⚠ Relance avant la date de l'action",IF(A1000&gt;TODAY(),"⚠ Date dans le futur","✓"))))))))</f>
        <v/>
      </c>
      <c r="AS1000" s="61">
        <f>IF(AND(A1000="",C1000="",E1000=""),"",ROW())</f>
        <v/>
      </c>
      <c r="AT1000" s="61">
        <f>IF(E1000&amp;F1000="","",MAX(IFERROR(INDEX('Paramètres'!$J$6:$J$33,MATCH(E1000,'Paramètres'!$I$6:$I$33,0)),0),IFERROR(INDEX('Paramètres'!$N$6:$N$17,MATCH(F1000,'Paramètres'!$M$6:$M$17,0)),0)))</f>
        <v/>
      </c>
      <c r="AU1000" s="61">
        <f>IF(E1000="","",IFERROR(IF(INDEX('Paramètres'!$K$6:$K$33,MATCH(E1000,'Paramètres'!$I$6:$I$33,0))="Oui",1,0),0))</f>
        <v/>
      </c>
      <c r="AV1000" s="61">
        <f>IF(F1000="","",IFERROR(IF(INDEX('Paramètres'!$O$6:$O$17,MATCH(F1000,'Paramètres'!$M$6:$M$17,0))="Oui",1,0),0))</f>
        <v/>
      </c>
      <c r="AW1000" s="62">
        <f>IF(E1000="","",IF(G1000&lt;&gt;"",G1000,IF(OR(E1000="Proposition envoyée",E1000="Signature"),MAX(0,N(IFERROR(INDEX('Paramètres'!$R$6:$R$15,MATCH(IF(AL1000&lt;&gt;"",AL1000,IFERROR(INDEX('Prospects'!$AN$5:$AN$504,MATCH(C1000,'Prospects'!$C$5:$C$504,0)),"")),'Paramètres'!$Q$6:$Q$15,0)),0))-N(P1000)),0)))</f>
        <v/>
      </c>
      <c r="AX1000" s="61">
        <f>IF(C1000="","",IF(COUNTIF($C$5:C1000,C1000)=1,MAX($AX$4:AX999)+1,""))</f>
        <v/>
      </c>
      <c r="AY1000" s="61">
        <f>IF(B1000="","",HOUR(B1000))</f>
        <v/>
      </c>
      <c r="AZ1000" s="61">
        <f>IF(A1000="","",MOD(A1000-2,7)+1)</f>
        <v/>
      </c>
      <c r="BA1000" s="60">
        <f>IF(C1000="","",IFERROR(INDEX('Prospects'!$N$5:$N$504,MATCH(C1000,'Prospects'!$C$5:$C$504,0)),""))</f>
        <v/>
      </c>
      <c r="BB1000" s="61">
        <f>IF(AND(C1000&lt;&gt;"",C1000='Fiche prospect'!$C$4),COUNTIF($C$5:C1000,C1000),"")</f>
        <v/>
      </c>
    </row>
    <row r="1001">
      <c r="A1001" s="53" t="n"/>
      <c r="B1001" s="54" t="n"/>
      <c r="C1001" s="55" t="n"/>
      <c r="D1001" s="55" t="n"/>
      <c r="E1001" s="55" t="n"/>
      <c r="F1001" s="55" t="n"/>
      <c r="G1001" s="56" t="n"/>
      <c r="H1001" s="57" t="n"/>
      <c r="I1001" s="55" t="n"/>
      <c r="J1001" s="53" t="n"/>
      <c r="K1001" s="54" t="n"/>
      <c r="L1001" s="55" t="n"/>
      <c r="M1001" s="55" t="n"/>
      <c r="N1001" s="57" t="n"/>
      <c r="O1001" s="55" t="n"/>
      <c r="P1001" s="56" t="n"/>
      <c r="Q1001" s="55" t="n"/>
      <c r="R1001" s="55" t="n"/>
      <c r="S1001" s="55" t="n"/>
      <c r="T1001" s="55" t="n"/>
      <c r="U1001" s="55" t="n"/>
      <c r="V1001" s="55" t="n"/>
      <c r="W1001" s="58" t="n"/>
      <c r="X1001" s="58" t="n"/>
      <c r="Y1001" s="55" t="n"/>
      <c r="Z1001" s="55" t="n"/>
      <c r="AA1001" s="55" t="n"/>
      <c r="AB1001" s="55" t="n"/>
      <c r="AC1001" s="55" t="n"/>
      <c r="AD1001" s="53" t="n"/>
      <c r="AE1001" s="55" t="n"/>
      <c r="AF1001" s="55" t="n"/>
      <c r="AG1001" s="59" t="n"/>
      <c r="AH1001" s="57" t="n"/>
      <c r="AI1001" s="55" t="n"/>
      <c r="AJ1001" s="55" t="n"/>
      <c r="AK1001" s="55" t="n"/>
      <c r="AL1001" s="55" t="n"/>
      <c r="AM1001" s="56" t="n"/>
      <c r="AN1001" s="55" t="n"/>
      <c r="AO1001" s="55" t="n"/>
      <c r="AP1001" s="55" t="n"/>
      <c r="AQ1001" s="55" t="n"/>
      <c r="AR1001" s="60">
        <f>IF(AND(C1001="",E1001=""),"",IF(A1001="","⚠ Date manquante",IF(AND(C1001="",E1001&lt;&gt;"Dépense"),"⚠ Prospect manquant",IF(E1001="","⚠ Action manquante",IF(AND(AU1001=1,D1001=""),"⚠ Canal manquant",IF(AND(W1001&lt;&gt;"",COUNTIFS('Saisie'!$W$5:$W$2004,W1001,'Saisie'!$C$5:$C$2004,"&lt;&gt;"&amp;C1001)&gt;0),"⚠ Numéro déjà utilisé par un autre prospect",IF(AND(J1001&lt;&gt;"",J1001&lt;A1001),"⚠ Relance avant la date de l'action",IF(A1001&gt;TODAY(),"⚠ Date dans le futur","✓"))))))))</f>
        <v/>
      </c>
      <c r="AS1001" s="61">
        <f>IF(AND(A1001="",C1001="",E1001=""),"",ROW())</f>
        <v/>
      </c>
      <c r="AT1001" s="61">
        <f>IF(E1001&amp;F1001="","",MAX(IFERROR(INDEX('Paramètres'!$J$6:$J$33,MATCH(E1001,'Paramètres'!$I$6:$I$33,0)),0),IFERROR(INDEX('Paramètres'!$N$6:$N$17,MATCH(F1001,'Paramètres'!$M$6:$M$17,0)),0)))</f>
        <v/>
      </c>
      <c r="AU1001" s="61">
        <f>IF(E1001="","",IFERROR(IF(INDEX('Paramètres'!$K$6:$K$33,MATCH(E1001,'Paramètres'!$I$6:$I$33,0))="Oui",1,0),0))</f>
        <v/>
      </c>
      <c r="AV1001" s="61">
        <f>IF(F1001="","",IFERROR(IF(INDEX('Paramètres'!$O$6:$O$17,MATCH(F1001,'Paramètres'!$M$6:$M$17,0))="Oui",1,0),0))</f>
        <v/>
      </c>
      <c r="AW1001" s="62">
        <f>IF(E1001="","",IF(G1001&lt;&gt;"",G1001,IF(OR(E1001="Proposition envoyée",E1001="Signature"),MAX(0,N(IFERROR(INDEX('Paramètres'!$R$6:$R$15,MATCH(IF(AL1001&lt;&gt;"",AL1001,IFERROR(INDEX('Prospects'!$AN$5:$AN$504,MATCH(C1001,'Prospects'!$C$5:$C$504,0)),"")),'Paramètres'!$Q$6:$Q$15,0)),0))-N(P1001)),0)))</f>
        <v/>
      </c>
      <c r="AX1001" s="61">
        <f>IF(C1001="","",IF(COUNTIF($C$5:C1001,C1001)=1,MAX($AX$4:AX1000)+1,""))</f>
        <v/>
      </c>
      <c r="AY1001" s="61">
        <f>IF(B1001="","",HOUR(B1001))</f>
        <v/>
      </c>
      <c r="AZ1001" s="61">
        <f>IF(A1001="","",MOD(A1001-2,7)+1)</f>
        <v/>
      </c>
      <c r="BA1001" s="60">
        <f>IF(C1001="","",IFERROR(INDEX('Prospects'!$N$5:$N$504,MATCH(C1001,'Prospects'!$C$5:$C$504,0)),""))</f>
        <v/>
      </c>
      <c r="BB1001" s="61">
        <f>IF(AND(C1001&lt;&gt;"",C1001='Fiche prospect'!$C$4),COUNTIF($C$5:C1001,C1001),"")</f>
        <v/>
      </c>
    </row>
    <row r="1002">
      <c r="A1002" s="53" t="n"/>
      <c r="B1002" s="54" t="n"/>
      <c r="C1002" s="55" t="n"/>
      <c r="D1002" s="55" t="n"/>
      <c r="E1002" s="55" t="n"/>
      <c r="F1002" s="55" t="n"/>
      <c r="G1002" s="56" t="n"/>
      <c r="H1002" s="57" t="n"/>
      <c r="I1002" s="55" t="n"/>
      <c r="J1002" s="53" t="n"/>
      <c r="K1002" s="54" t="n"/>
      <c r="L1002" s="55" t="n"/>
      <c r="M1002" s="55" t="n"/>
      <c r="N1002" s="57" t="n"/>
      <c r="O1002" s="55" t="n"/>
      <c r="P1002" s="56" t="n"/>
      <c r="Q1002" s="55" t="n"/>
      <c r="R1002" s="55" t="n"/>
      <c r="S1002" s="55" t="n"/>
      <c r="T1002" s="55" t="n"/>
      <c r="U1002" s="55" t="n"/>
      <c r="V1002" s="55" t="n"/>
      <c r="W1002" s="58" t="n"/>
      <c r="X1002" s="58" t="n"/>
      <c r="Y1002" s="55" t="n"/>
      <c r="Z1002" s="55" t="n"/>
      <c r="AA1002" s="55" t="n"/>
      <c r="AB1002" s="55" t="n"/>
      <c r="AC1002" s="55" t="n"/>
      <c r="AD1002" s="53" t="n"/>
      <c r="AE1002" s="55" t="n"/>
      <c r="AF1002" s="55" t="n"/>
      <c r="AG1002" s="59" t="n"/>
      <c r="AH1002" s="57" t="n"/>
      <c r="AI1002" s="55" t="n"/>
      <c r="AJ1002" s="55" t="n"/>
      <c r="AK1002" s="55" t="n"/>
      <c r="AL1002" s="55" t="n"/>
      <c r="AM1002" s="56" t="n"/>
      <c r="AN1002" s="55" t="n"/>
      <c r="AO1002" s="55" t="n"/>
      <c r="AP1002" s="55" t="n"/>
      <c r="AQ1002" s="55" t="n"/>
      <c r="AR1002" s="60">
        <f>IF(AND(C1002="",E1002=""),"",IF(A1002="","⚠ Date manquante",IF(AND(C1002="",E1002&lt;&gt;"Dépense"),"⚠ Prospect manquant",IF(E1002="","⚠ Action manquante",IF(AND(AU1002=1,D1002=""),"⚠ Canal manquant",IF(AND(W1002&lt;&gt;"",COUNTIFS('Saisie'!$W$5:$W$2004,W1002,'Saisie'!$C$5:$C$2004,"&lt;&gt;"&amp;C1002)&gt;0),"⚠ Numéro déjà utilisé par un autre prospect",IF(AND(J1002&lt;&gt;"",J1002&lt;A1002),"⚠ Relance avant la date de l'action",IF(A1002&gt;TODAY(),"⚠ Date dans le futur","✓"))))))))</f>
        <v/>
      </c>
      <c r="AS1002" s="61">
        <f>IF(AND(A1002="",C1002="",E1002=""),"",ROW())</f>
        <v/>
      </c>
      <c r="AT1002" s="61">
        <f>IF(E1002&amp;F1002="","",MAX(IFERROR(INDEX('Paramètres'!$J$6:$J$33,MATCH(E1002,'Paramètres'!$I$6:$I$33,0)),0),IFERROR(INDEX('Paramètres'!$N$6:$N$17,MATCH(F1002,'Paramètres'!$M$6:$M$17,0)),0)))</f>
        <v/>
      </c>
      <c r="AU1002" s="61">
        <f>IF(E1002="","",IFERROR(IF(INDEX('Paramètres'!$K$6:$K$33,MATCH(E1002,'Paramètres'!$I$6:$I$33,0))="Oui",1,0),0))</f>
        <v/>
      </c>
      <c r="AV1002" s="61">
        <f>IF(F1002="","",IFERROR(IF(INDEX('Paramètres'!$O$6:$O$17,MATCH(F1002,'Paramètres'!$M$6:$M$17,0))="Oui",1,0),0))</f>
        <v/>
      </c>
      <c r="AW1002" s="62">
        <f>IF(E1002="","",IF(G1002&lt;&gt;"",G1002,IF(OR(E1002="Proposition envoyée",E1002="Signature"),MAX(0,N(IFERROR(INDEX('Paramètres'!$R$6:$R$15,MATCH(IF(AL1002&lt;&gt;"",AL1002,IFERROR(INDEX('Prospects'!$AN$5:$AN$504,MATCH(C1002,'Prospects'!$C$5:$C$504,0)),"")),'Paramètres'!$Q$6:$Q$15,0)),0))-N(P1002)),0)))</f>
        <v/>
      </c>
      <c r="AX1002" s="61">
        <f>IF(C1002="","",IF(COUNTIF($C$5:C1002,C1002)=1,MAX($AX$4:AX1001)+1,""))</f>
        <v/>
      </c>
      <c r="AY1002" s="61">
        <f>IF(B1002="","",HOUR(B1002))</f>
        <v/>
      </c>
      <c r="AZ1002" s="61">
        <f>IF(A1002="","",MOD(A1002-2,7)+1)</f>
        <v/>
      </c>
      <c r="BA1002" s="60">
        <f>IF(C1002="","",IFERROR(INDEX('Prospects'!$N$5:$N$504,MATCH(C1002,'Prospects'!$C$5:$C$504,0)),""))</f>
        <v/>
      </c>
      <c r="BB1002" s="61">
        <f>IF(AND(C1002&lt;&gt;"",C1002='Fiche prospect'!$C$4),COUNTIF($C$5:C1002,C1002),"")</f>
        <v/>
      </c>
    </row>
    <row r="1003">
      <c r="A1003" s="53" t="n"/>
      <c r="B1003" s="54" t="n"/>
      <c r="C1003" s="55" t="n"/>
      <c r="D1003" s="55" t="n"/>
      <c r="E1003" s="55" t="n"/>
      <c r="F1003" s="55" t="n"/>
      <c r="G1003" s="56" t="n"/>
      <c r="H1003" s="57" t="n"/>
      <c r="I1003" s="55" t="n"/>
      <c r="J1003" s="53" t="n"/>
      <c r="K1003" s="54" t="n"/>
      <c r="L1003" s="55" t="n"/>
      <c r="M1003" s="55" t="n"/>
      <c r="N1003" s="57" t="n"/>
      <c r="O1003" s="55" t="n"/>
      <c r="P1003" s="56" t="n"/>
      <c r="Q1003" s="55" t="n"/>
      <c r="R1003" s="55" t="n"/>
      <c r="S1003" s="55" t="n"/>
      <c r="T1003" s="55" t="n"/>
      <c r="U1003" s="55" t="n"/>
      <c r="V1003" s="55" t="n"/>
      <c r="W1003" s="58" t="n"/>
      <c r="X1003" s="58" t="n"/>
      <c r="Y1003" s="55" t="n"/>
      <c r="Z1003" s="55" t="n"/>
      <c r="AA1003" s="55" t="n"/>
      <c r="AB1003" s="55" t="n"/>
      <c r="AC1003" s="55" t="n"/>
      <c r="AD1003" s="53" t="n"/>
      <c r="AE1003" s="55" t="n"/>
      <c r="AF1003" s="55" t="n"/>
      <c r="AG1003" s="59" t="n"/>
      <c r="AH1003" s="57" t="n"/>
      <c r="AI1003" s="55" t="n"/>
      <c r="AJ1003" s="55" t="n"/>
      <c r="AK1003" s="55" t="n"/>
      <c r="AL1003" s="55" t="n"/>
      <c r="AM1003" s="56" t="n"/>
      <c r="AN1003" s="55" t="n"/>
      <c r="AO1003" s="55" t="n"/>
      <c r="AP1003" s="55" t="n"/>
      <c r="AQ1003" s="55" t="n"/>
      <c r="AR1003" s="60">
        <f>IF(AND(C1003="",E1003=""),"",IF(A1003="","⚠ Date manquante",IF(AND(C1003="",E1003&lt;&gt;"Dépense"),"⚠ Prospect manquant",IF(E1003="","⚠ Action manquante",IF(AND(AU1003=1,D1003=""),"⚠ Canal manquant",IF(AND(W1003&lt;&gt;"",COUNTIFS('Saisie'!$W$5:$W$2004,W1003,'Saisie'!$C$5:$C$2004,"&lt;&gt;"&amp;C1003)&gt;0),"⚠ Numéro déjà utilisé par un autre prospect",IF(AND(J1003&lt;&gt;"",J1003&lt;A1003),"⚠ Relance avant la date de l'action",IF(A1003&gt;TODAY(),"⚠ Date dans le futur","✓"))))))))</f>
        <v/>
      </c>
      <c r="AS1003" s="61">
        <f>IF(AND(A1003="",C1003="",E1003=""),"",ROW())</f>
        <v/>
      </c>
      <c r="AT1003" s="61">
        <f>IF(E1003&amp;F1003="","",MAX(IFERROR(INDEX('Paramètres'!$J$6:$J$33,MATCH(E1003,'Paramètres'!$I$6:$I$33,0)),0),IFERROR(INDEX('Paramètres'!$N$6:$N$17,MATCH(F1003,'Paramètres'!$M$6:$M$17,0)),0)))</f>
        <v/>
      </c>
      <c r="AU1003" s="61">
        <f>IF(E1003="","",IFERROR(IF(INDEX('Paramètres'!$K$6:$K$33,MATCH(E1003,'Paramètres'!$I$6:$I$33,0))="Oui",1,0),0))</f>
        <v/>
      </c>
      <c r="AV1003" s="61">
        <f>IF(F1003="","",IFERROR(IF(INDEX('Paramètres'!$O$6:$O$17,MATCH(F1003,'Paramètres'!$M$6:$M$17,0))="Oui",1,0),0))</f>
        <v/>
      </c>
      <c r="AW1003" s="62">
        <f>IF(E1003="","",IF(G1003&lt;&gt;"",G1003,IF(OR(E1003="Proposition envoyée",E1003="Signature"),MAX(0,N(IFERROR(INDEX('Paramètres'!$R$6:$R$15,MATCH(IF(AL1003&lt;&gt;"",AL1003,IFERROR(INDEX('Prospects'!$AN$5:$AN$504,MATCH(C1003,'Prospects'!$C$5:$C$504,0)),"")),'Paramètres'!$Q$6:$Q$15,0)),0))-N(P1003)),0)))</f>
        <v/>
      </c>
      <c r="AX1003" s="61">
        <f>IF(C1003="","",IF(COUNTIF($C$5:C1003,C1003)=1,MAX($AX$4:AX1002)+1,""))</f>
        <v/>
      </c>
      <c r="AY1003" s="61">
        <f>IF(B1003="","",HOUR(B1003))</f>
        <v/>
      </c>
      <c r="AZ1003" s="61">
        <f>IF(A1003="","",MOD(A1003-2,7)+1)</f>
        <v/>
      </c>
      <c r="BA1003" s="60">
        <f>IF(C1003="","",IFERROR(INDEX('Prospects'!$N$5:$N$504,MATCH(C1003,'Prospects'!$C$5:$C$504,0)),""))</f>
        <v/>
      </c>
      <c r="BB1003" s="61">
        <f>IF(AND(C1003&lt;&gt;"",C1003='Fiche prospect'!$C$4),COUNTIF($C$5:C1003,C1003),"")</f>
        <v/>
      </c>
    </row>
    <row r="1004">
      <c r="A1004" s="53" t="n"/>
      <c r="B1004" s="54" t="n"/>
      <c r="C1004" s="55" t="n"/>
      <c r="D1004" s="55" t="n"/>
      <c r="E1004" s="55" t="n"/>
      <c r="F1004" s="55" t="n"/>
      <c r="G1004" s="56" t="n"/>
      <c r="H1004" s="57" t="n"/>
      <c r="I1004" s="55" t="n"/>
      <c r="J1004" s="53" t="n"/>
      <c r="K1004" s="54" t="n"/>
      <c r="L1004" s="55" t="n"/>
      <c r="M1004" s="55" t="n"/>
      <c r="N1004" s="57" t="n"/>
      <c r="O1004" s="55" t="n"/>
      <c r="P1004" s="56" t="n"/>
      <c r="Q1004" s="55" t="n"/>
      <c r="R1004" s="55" t="n"/>
      <c r="S1004" s="55" t="n"/>
      <c r="T1004" s="55" t="n"/>
      <c r="U1004" s="55" t="n"/>
      <c r="V1004" s="55" t="n"/>
      <c r="W1004" s="58" t="n"/>
      <c r="X1004" s="58" t="n"/>
      <c r="Y1004" s="55" t="n"/>
      <c r="Z1004" s="55" t="n"/>
      <c r="AA1004" s="55" t="n"/>
      <c r="AB1004" s="55" t="n"/>
      <c r="AC1004" s="55" t="n"/>
      <c r="AD1004" s="53" t="n"/>
      <c r="AE1004" s="55" t="n"/>
      <c r="AF1004" s="55" t="n"/>
      <c r="AG1004" s="59" t="n"/>
      <c r="AH1004" s="57" t="n"/>
      <c r="AI1004" s="55" t="n"/>
      <c r="AJ1004" s="55" t="n"/>
      <c r="AK1004" s="55" t="n"/>
      <c r="AL1004" s="55" t="n"/>
      <c r="AM1004" s="56" t="n"/>
      <c r="AN1004" s="55" t="n"/>
      <c r="AO1004" s="55" t="n"/>
      <c r="AP1004" s="55" t="n"/>
      <c r="AQ1004" s="55" t="n"/>
      <c r="AR1004" s="60">
        <f>IF(AND(C1004="",E1004=""),"",IF(A1004="","⚠ Date manquante",IF(AND(C1004="",E1004&lt;&gt;"Dépense"),"⚠ Prospect manquant",IF(E1004="","⚠ Action manquante",IF(AND(AU1004=1,D1004=""),"⚠ Canal manquant",IF(AND(W1004&lt;&gt;"",COUNTIFS('Saisie'!$W$5:$W$2004,W1004,'Saisie'!$C$5:$C$2004,"&lt;&gt;"&amp;C1004)&gt;0),"⚠ Numéro déjà utilisé par un autre prospect",IF(AND(J1004&lt;&gt;"",J1004&lt;A1004),"⚠ Relance avant la date de l'action",IF(A1004&gt;TODAY(),"⚠ Date dans le futur","✓"))))))))</f>
        <v/>
      </c>
      <c r="AS1004" s="61">
        <f>IF(AND(A1004="",C1004="",E1004=""),"",ROW())</f>
        <v/>
      </c>
      <c r="AT1004" s="61">
        <f>IF(E1004&amp;F1004="","",MAX(IFERROR(INDEX('Paramètres'!$J$6:$J$33,MATCH(E1004,'Paramètres'!$I$6:$I$33,0)),0),IFERROR(INDEX('Paramètres'!$N$6:$N$17,MATCH(F1004,'Paramètres'!$M$6:$M$17,0)),0)))</f>
        <v/>
      </c>
      <c r="AU1004" s="61">
        <f>IF(E1004="","",IFERROR(IF(INDEX('Paramètres'!$K$6:$K$33,MATCH(E1004,'Paramètres'!$I$6:$I$33,0))="Oui",1,0),0))</f>
        <v/>
      </c>
      <c r="AV1004" s="61">
        <f>IF(F1004="","",IFERROR(IF(INDEX('Paramètres'!$O$6:$O$17,MATCH(F1004,'Paramètres'!$M$6:$M$17,0))="Oui",1,0),0))</f>
        <v/>
      </c>
      <c r="AW1004" s="62">
        <f>IF(E1004="","",IF(G1004&lt;&gt;"",G1004,IF(OR(E1004="Proposition envoyée",E1004="Signature"),MAX(0,N(IFERROR(INDEX('Paramètres'!$R$6:$R$15,MATCH(IF(AL1004&lt;&gt;"",AL1004,IFERROR(INDEX('Prospects'!$AN$5:$AN$504,MATCH(C1004,'Prospects'!$C$5:$C$504,0)),"")),'Paramètres'!$Q$6:$Q$15,0)),0))-N(P1004)),0)))</f>
        <v/>
      </c>
      <c r="AX1004" s="61">
        <f>IF(C1004="","",IF(COUNTIF($C$5:C1004,C1004)=1,MAX($AX$4:AX1003)+1,""))</f>
        <v/>
      </c>
      <c r="AY1004" s="61">
        <f>IF(B1004="","",HOUR(B1004))</f>
        <v/>
      </c>
      <c r="AZ1004" s="61">
        <f>IF(A1004="","",MOD(A1004-2,7)+1)</f>
        <v/>
      </c>
      <c r="BA1004" s="60">
        <f>IF(C1004="","",IFERROR(INDEX('Prospects'!$N$5:$N$504,MATCH(C1004,'Prospects'!$C$5:$C$504,0)),""))</f>
        <v/>
      </c>
      <c r="BB1004" s="61">
        <f>IF(AND(C1004&lt;&gt;"",C1004='Fiche prospect'!$C$4),COUNTIF($C$5:C1004,C1004),"")</f>
        <v/>
      </c>
    </row>
    <row r="1005">
      <c r="A1005" s="53" t="n"/>
      <c r="B1005" s="54" t="n"/>
      <c r="C1005" s="55" t="n"/>
      <c r="D1005" s="55" t="n"/>
      <c r="E1005" s="55" t="n"/>
      <c r="F1005" s="55" t="n"/>
      <c r="G1005" s="56" t="n"/>
      <c r="H1005" s="57" t="n"/>
      <c r="I1005" s="55" t="n"/>
      <c r="J1005" s="53" t="n"/>
      <c r="K1005" s="54" t="n"/>
      <c r="L1005" s="55" t="n"/>
      <c r="M1005" s="55" t="n"/>
      <c r="N1005" s="57" t="n"/>
      <c r="O1005" s="55" t="n"/>
      <c r="P1005" s="56" t="n"/>
      <c r="Q1005" s="55" t="n"/>
      <c r="R1005" s="55" t="n"/>
      <c r="S1005" s="55" t="n"/>
      <c r="T1005" s="55" t="n"/>
      <c r="U1005" s="55" t="n"/>
      <c r="V1005" s="55" t="n"/>
      <c r="W1005" s="58" t="n"/>
      <c r="X1005" s="58" t="n"/>
      <c r="Y1005" s="55" t="n"/>
      <c r="Z1005" s="55" t="n"/>
      <c r="AA1005" s="55" t="n"/>
      <c r="AB1005" s="55" t="n"/>
      <c r="AC1005" s="55" t="n"/>
      <c r="AD1005" s="53" t="n"/>
      <c r="AE1005" s="55" t="n"/>
      <c r="AF1005" s="55" t="n"/>
      <c r="AG1005" s="59" t="n"/>
      <c r="AH1005" s="57" t="n"/>
      <c r="AI1005" s="55" t="n"/>
      <c r="AJ1005" s="55" t="n"/>
      <c r="AK1005" s="55" t="n"/>
      <c r="AL1005" s="55" t="n"/>
      <c r="AM1005" s="56" t="n"/>
      <c r="AN1005" s="55" t="n"/>
      <c r="AO1005" s="55" t="n"/>
      <c r="AP1005" s="55" t="n"/>
      <c r="AQ1005" s="55" t="n"/>
      <c r="AR1005" s="60">
        <f>IF(AND(C1005="",E1005=""),"",IF(A1005="","⚠ Date manquante",IF(AND(C1005="",E1005&lt;&gt;"Dépense"),"⚠ Prospect manquant",IF(E1005="","⚠ Action manquante",IF(AND(AU1005=1,D1005=""),"⚠ Canal manquant",IF(AND(W1005&lt;&gt;"",COUNTIFS('Saisie'!$W$5:$W$2004,W1005,'Saisie'!$C$5:$C$2004,"&lt;&gt;"&amp;C1005)&gt;0),"⚠ Numéro déjà utilisé par un autre prospect",IF(AND(J1005&lt;&gt;"",J1005&lt;A1005),"⚠ Relance avant la date de l'action",IF(A1005&gt;TODAY(),"⚠ Date dans le futur","✓"))))))))</f>
        <v/>
      </c>
      <c r="AS1005" s="61">
        <f>IF(AND(A1005="",C1005="",E1005=""),"",ROW())</f>
        <v/>
      </c>
      <c r="AT1005" s="61">
        <f>IF(E1005&amp;F1005="","",MAX(IFERROR(INDEX('Paramètres'!$J$6:$J$33,MATCH(E1005,'Paramètres'!$I$6:$I$33,0)),0),IFERROR(INDEX('Paramètres'!$N$6:$N$17,MATCH(F1005,'Paramètres'!$M$6:$M$17,0)),0)))</f>
        <v/>
      </c>
      <c r="AU1005" s="61">
        <f>IF(E1005="","",IFERROR(IF(INDEX('Paramètres'!$K$6:$K$33,MATCH(E1005,'Paramètres'!$I$6:$I$33,0))="Oui",1,0),0))</f>
        <v/>
      </c>
      <c r="AV1005" s="61">
        <f>IF(F1005="","",IFERROR(IF(INDEX('Paramètres'!$O$6:$O$17,MATCH(F1005,'Paramètres'!$M$6:$M$17,0))="Oui",1,0),0))</f>
        <v/>
      </c>
      <c r="AW1005" s="62">
        <f>IF(E1005="","",IF(G1005&lt;&gt;"",G1005,IF(OR(E1005="Proposition envoyée",E1005="Signature"),MAX(0,N(IFERROR(INDEX('Paramètres'!$R$6:$R$15,MATCH(IF(AL1005&lt;&gt;"",AL1005,IFERROR(INDEX('Prospects'!$AN$5:$AN$504,MATCH(C1005,'Prospects'!$C$5:$C$504,0)),"")),'Paramètres'!$Q$6:$Q$15,0)),0))-N(P1005)),0)))</f>
        <v/>
      </c>
      <c r="AX1005" s="61">
        <f>IF(C1005="","",IF(COUNTIF($C$5:C1005,C1005)=1,MAX($AX$4:AX1004)+1,""))</f>
        <v/>
      </c>
      <c r="AY1005" s="61">
        <f>IF(B1005="","",HOUR(B1005))</f>
        <v/>
      </c>
      <c r="AZ1005" s="61">
        <f>IF(A1005="","",MOD(A1005-2,7)+1)</f>
        <v/>
      </c>
      <c r="BA1005" s="60">
        <f>IF(C1005="","",IFERROR(INDEX('Prospects'!$N$5:$N$504,MATCH(C1005,'Prospects'!$C$5:$C$504,0)),""))</f>
        <v/>
      </c>
      <c r="BB1005" s="61">
        <f>IF(AND(C1005&lt;&gt;"",C1005='Fiche prospect'!$C$4),COUNTIF($C$5:C1005,C1005),"")</f>
        <v/>
      </c>
    </row>
    <row r="1006">
      <c r="A1006" s="53" t="n"/>
      <c r="B1006" s="54" t="n"/>
      <c r="C1006" s="55" t="n"/>
      <c r="D1006" s="55" t="n"/>
      <c r="E1006" s="55" t="n"/>
      <c r="F1006" s="55" t="n"/>
      <c r="G1006" s="56" t="n"/>
      <c r="H1006" s="57" t="n"/>
      <c r="I1006" s="55" t="n"/>
      <c r="J1006" s="53" t="n"/>
      <c r="K1006" s="54" t="n"/>
      <c r="L1006" s="55" t="n"/>
      <c r="M1006" s="55" t="n"/>
      <c r="N1006" s="57" t="n"/>
      <c r="O1006" s="55" t="n"/>
      <c r="P1006" s="56" t="n"/>
      <c r="Q1006" s="55" t="n"/>
      <c r="R1006" s="55" t="n"/>
      <c r="S1006" s="55" t="n"/>
      <c r="T1006" s="55" t="n"/>
      <c r="U1006" s="55" t="n"/>
      <c r="V1006" s="55" t="n"/>
      <c r="W1006" s="58" t="n"/>
      <c r="X1006" s="58" t="n"/>
      <c r="Y1006" s="55" t="n"/>
      <c r="Z1006" s="55" t="n"/>
      <c r="AA1006" s="55" t="n"/>
      <c r="AB1006" s="55" t="n"/>
      <c r="AC1006" s="55" t="n"/>
      <c r="AD1006" s="53" t="n"/>
      <c r="AE1006" s="55" t="n"/>
      <c r="AF1006" s="55" t="n"/>
      <c r="AG1006" s="59" t="n"/>
      <c r="AH1006" s="57" t="n"/>
      <c r="AI1006" s="55" t="n"/>
      <c r="AJ1006" s="55" t="n"/>
      <c r="AK1006" s="55" t="n"/>
      <c r="AL1006" s="55" t="n"/>
      <c r="AM1006" s="56" t="n"/>
      <c r="AN1006" s="55" t="n"/>
      <c r="AO1006" s="55" t="n"/>
      <c r="AP1006" s="55" t="n"/>
      <c r="AQ1006" s="55" t="n"/>
      <c r="AR1006" s="60">
        <f>IF(AND(C1006="",E1006=""),"",IF(A1006="","⚠ Date manquante",IF(AND(C1006="",E1006&lt;&gt;"Dépense"),"⚠ Prospect manquant",IF(E1006="","⚠ Action manquante",IF(AND(AU1006=1,D1006=""),"⚠ Canal manquant",IF(AND(W1006&lt;&gt;"",COUNTIFS('Saisie'!$W$5:$W$2004,W1006,'Saisie'!$C$5:$C$2004,"&lt;&gt;"&amp;C1006)&gt;0),"⚠ Numéro déjà utilisé par un autre prospect",IF(AND(J1006&lt;&gt;"",J1006&lt;A1006),"⚠ Relance avant la date de l'action",IF(A1006&gt;TODAY(),"⚠ Date dans le futur","✓"))))))))</f>
        <v/>
      </c>
      <c r="AS1006" s="61">
        <f>IF(AND(A1006="",C1006="",E1006=""),"",ROW())</f>
        <v/>
      </c>
      <c r="AT1006" s="61">
        <f>IF(E1006&amp;F1006="","",MAX(IFERROR(INDEX('Paramètres'!$J$6:$J$33,MATCH(E1006,'Paramètres'!$I$6:$I$33,0)),0),IFERROR(INDEX('Paramètres'!$N$6:$N$17,MATCH(F1006,'Paramètres'!$M$6:$M$17,0)),0)))</f>
        <v/>
      </c>
      <c r="AU1006" s="61">
        <f>IF(E1006="","",IFERROR(IF(INDEX('Paramètres'!$K$6:$K$33,MATCH(E1006,'Paramètres'!$I$6:$I$33,0))="Oui",1,0),0))</f>
        <v/>
      </c>
      <c r="AV1006" s="61">
        <f>IF(F1006="","",IFERROR(IF(INDEX('Paramètres'!$O$6:$O$17,MATCH(F1006,'Paramètres'!$M$6:$M$17,0))="Oui",1,0),0))</f>
        <v/>
      </c>
      <c r="AW1006" s="62">
        <f>IF(E1006="","",IF(G1006&lt;&gt;"",G1006,IF(OR(E1006="Proposition envoyée",E1006="Signature"),MAX(0,N(IFERROR(INDEX('Paramètres'!$R$6:$R$15,MATCH(IF(AL1006&lt;&gt;"",AL1006,IFERROR(INDEX('Prospects'!$AN$5:$AN$504,MATCH(C1006,'Prospects'!$C$5:$C$504,0)),"")),'Paramètres'!$Q$6:$Q$15,0)),0))-N(P1006)),0)))</f>
        <v/>
      </c>
      <c r="AX1006" s="61">
        <f>IF(C1006="","",IF(COUNTIF($C$5:C1006,C1006)=1,MAX($AX$4:AX1005)+1,""))</f>
        <v/>
      </c>
      <c r="AY1006" s="61">
        <f>IF(B1006="","",HOUR(B1006))</f>
        <v/>
      </c>
      <c r="AZ1006" s="61">
        <f>IF(A1006="","",MOD(A1006-2,7)+1)</f>
        <v/>
      </c>
      <c r="BA1006" s="60">
        <f>IF(C1006="","",IFERROR(INDEX('Prospects'!$N$5:$N$504,MATCH(C1006,'Prospects'!$C$5:$C$504,0)),""))</f>
        <v/>
      </c>
      <c r="BB1006" s="61">
        <f>IF(AND(C1006&lt;&gt;"",C1006='Fiche prospect'!$C$4),COUNTIF($C$5:C1006,C1006),"")</f>
        <v/>
      </c>
    </row>
    <row r="1007">
      <c r="A1007" s="53" t="n"/>
      <c r="B1007" s="54" t="n"/>
      <c r="C1007" s="55" t="n"/>
      <c r="D1007" s="55" t="n"/>
      <c r="E1007" s="55" t="n"/>
      <c r="F1007" s="55" t="n"/>
      <c r="G1007" s="56" t="n"/>
      <c r="H1007" s="57" t="n"/>
      <c r="I1007" s="55" t="n"/>
      <c r="J1007" s="53" t="n"/>
      <c r="K1007" s="54" t="n"/>
      <c r="L1007" s="55" t="n"/>
      <c r="M1007" s="55" t="n"/>
      <c r="N1007" s="57" t="n"/>
      <c r="O1007" s="55" t="n"/>
      <c r="P1007" s="56" t="n"/>
      <c r="Q1007" s="55" t="n"/>
      <c r="R1007" s="55" t="n"/>
      <c r="S1007" s="55" t="n"/>
      <c r="T1007" s="55" t="n"/>
      <c r="U1007" s="55" t="n"/>
      <c r="V1007" s="55" t="n"/>
      <c r="W1007" s="58" t="n"/>
      <c r="X1007" s="58" t="n"/>
      <c r="Y1007" s="55" t="n"/>
      <c r="Z1007" s="55" t="n"/>
      <c r="AA1007" s="55" t="n"/>
      <c r="AB1007" s="55" t="n"/>
      <c r="AC1007" s="55" t="n"/>
      <c r="AD1007" s="53" t="n"/>
      <c r="AE1007" s="55" t="n"/>
      <c r="AF1007" s="55" t="n"/>
      <c r="AG1007" s="59" t="n"/>
      <c r="AH1007" s="57" t="n"/>
      <c r="AI1007" s="55" t="n"/>
      <c r="AJ1007" s="55" t="n"/>
      <c r="AK1007" s="55" t="n"/>
      <c r="AL1007" s="55" t="n"/>
      <c r="AM1007" s="56" t="n"/>
      <c r="AN1007" s="55" t="n"/>
      <c r="AO1007" s="55" t="n"/>
      <c r="AP1007" s="55" t="n"/>
      <c r="AQ1007" s="55" t="n"/>
      <c r="AR1007" s="60">
        <f>IF(AND(C1007="",E1007=""),"",IF(A1007="","⚠ Date manquante",IF(AND(C1007="",E1007&lt;&gt;"Dépense"),"⚠ Prospect manquant",IF(E1007="","⚠ Action manquante",IF(AND(AU1007=1,D1007=""),"⚠ Canal manquant",IF(AND(W1007&lt;&gt;"",COUNTIFS('Saisie'!$W$5:$W$2004,W1007,'Saisie'!$C$5:$C$2004,"&lt;&gt;"&amp;C1007)&gt;0),"⚠ Numéro déjà utilisé par un autre prospect",IF(AND(J1007&lt;&gt;"",J1007&lt;A1007),"⚠ Relance avant la date de l'action",IF(A1007&gt;TODAY(),"⚠ Date dans le futur","✓"))))))))</f>
        <v/>
      </c>
      <c r="AS1007" s="61">
        <f>IF(AND(A1007="",C1007="",E1007=""),"",ROW())</f>
        <v/>
      </c>
      <c r="AT1007" s="61">
        <f>IF(E1007&amp;F1007="","",MAX(IFERROR(INDEX('Paramètres'!$J$6:$J$33,MATCH(E1007,'Paramètres'!$I$6:$I$33,0)),0),IFERROR(INDEX('Paramètres'!$N$6:$N$17,MATCH(F1007,'Paramètres'!$M$6:$M$17,0)),0)))</f>
        <v/>
      </c>
      <c r="AU1007" s="61">
        <f>IF(E1007="","",IFERROR(IF(INDEX('Paramètres'!$K$6:$K$33,MATCH(E1007,'Paramètres'!$I$6:$I$33,0))="Oui",1,0),0))</f>
        <v/>
      </c>
      <c r="AV1007" s="61">
        <f>IF(F1007="","",IFERROR(IF(INDEX('Paramètres'!$O$6:$O$17,MATCH(F1007,'Paramètres'!$M$6:$M$17,0))="Oui",1,0),0))</f>
        <v/>
      </c>
      <c r="AW1007" s="62">
        <f>IF(E1007="","",IF(G1007&lt;&gt;"",G1007,IF(OR(E1007="Proposition envoyée",E1007="Signature"),MAX(0,N(IFERROR(INDEX('Paramètres'!$R$6:$R$15,MATCH(IF(AL1007&lt;&gt;"",AL1007,IFERROR(INDEX('Prospects'!$AN$5:$AN$504,MATCH(C1007,'Prospects'!$C$5:$C$504,0)),"")),'Paramètres'!$Q$6:$Q$15,0)),0))-N(P1007)),0)))</f>
        <v/>
      </c>
      <c r="AX1007" s="61">
        <f>IF(C1007="","",IF(COUNTIF($C$5:C1007,C1007)=1,MAX($AX$4:AX1006)+1,""))</f>
        <v/>
      </c>
      <c r="AY1007" s="61">
        <f>IF(B1007="","",HOUR(B1007))</f>
        <v/>
      </c>
      <c r="AZ1007" s="61">
        <f>IF(A1007="","",MOD(A1007-2,7)+1)</f>
        <v/>
      </c>
      <c r="BA1007" s="60">
        <f>IF(C1007="","",IFERROR(INDEX('Prospects'!$N$5:$N$504,MATCH(C1007,'Prospects'!$C$5:$C$504,0)),""))</f>
        <v/>
      </c>
      <c r="BB1007" s="61">
        <f>IF(AND(C1007&lt;&gt;"",C1007='Fiche prospect'!$C$4),COUNTIF($C$5:C1007,C1007),"")</f>
        <v/>
      </c>
    </row>
    <row r="1008">
      <c r="A1008" s="53" t="n"/>
      <c r="B1008" s="54" t="n"/>
      <c r="C1008" s="55" t="n"/>
      <c r="D1008" s="55" t="n"/>
      <c r="E1008" s="55" t="n"/>
      <c r="F1008" s="55" t="n"/>
      <c r="G1008" s="56" t="n"/>
      <c r="H1008" s="57" t="n"/>
      <c r="I1008" s="55" t="n"/>
      <c r="J1008" s="53" t="n"/>
      <c r="K1008" s="54" t="n"/>
      <c r="L1008" s="55" t="n"/>
      <c r="M1008" s="55" t="n"/>
      <c r="N1008" s="57" t="n"/>
      <c r="O1008" s="55" t="n"/>
      <c r="P1008" s="56" t="n"/>
      <c r="Q1008" s="55" t="n"/>
      <c r="R1008" s="55" t="n"/>
      <c r="S1008" s="55" t="n"/>
      <c r="T1008" s="55" t="n"/>
      <c r="U1008" s="55" t="n"/>
      <c r="V1008" s="55" t="n"/>
      <c r="W1008" s="58" t="n"/>
      <c r="X1008" s="58" t="n"/>
      <c r="Y1008" s="55" t="n"/>
      <c r="Z1008" s="55" t="n"/>
      <c r="AA1008" s="55" t="n"/>
      <c r="AB1008" s="55" t="n"/>
      <c r="AC1008" s="55" t="n"/>
      <c r="AD1008" s="53" t="n"/>
      <c r="AE1008" s="55" t="n"/>
      <c r="AF1008" s="55" t="n"/>
      <c r="AG1008" s="59" t="n"/>
      <c r="AH1008" s="57" t="n"/>
      <c r="AI1008" s="55" t="n"/>
      <c r="AJ1008" s="55" t="n"/>
      <c r="AK1008" s="55" t="n"/>
      <c r="AL1008" s="55" t="n"/>
      <c r="AM1008" s="56" t="n"/>
      <c r="AN1008" s="55" t="n"/>
      <c r="AO1008" s="55" t="n"/>
      <c r="AP1008" s="55" t="n"/>
      <c r="AQ1008" s="55" t="n"/>
      <c r="AR1008" s="60">
        <f>IF(AND(C1008="",E1008=""),"",IF(A1008="","⚠ Date manquante",IF(AND(C1008="",E1008&lt;&gt;"Dépense"),"⚠ Prospect manquant",IF(E1008="","⚠ Action manquante",IF(AND(AU1008=1,D1008=""),"⚠ Canal manquant",IF(AND(W1008&lt;&gt;"",COUNTIFS('Saisie'!$W$5:$W$2004,W1008,'Saisie'!$C$5:$C$2004,"&lt;&gt;"&amp;C1008)&gt;0),"⚠ Numéro déjà utilisé par un autre prospect",IF(AND(J1008&lt;&gt;"",J1008&lt;A1008),"⚠ Relance avant la date de l'action",IF(A1008&gt;TODAY(),"⚠ Date dans le futur","✓"))))))))</f>
        <v/>
      </c>
      <c r="AS1008" s="61">
        <f>IF(AND(A1008="",C1008="",E1008=""),"",ROW())</f>
        <v/>
      </c>
      <c r="AT1008" s="61">
        <f>IF(E1008&amp;F1008="","",MAX(IFERROR(INDEX('Paramètres'!$J$6:$J$33,MATCH(E1008,'Paramètres'!$I$6:$I$33,0)),0),IFERROR(INDEX('Paramètres'!$N$6:$N$17,MATCH(F1008,'Paramètres'!$M$6:$M$17,0)),0)))</f>
        <v/>
      </c>
      <c r="AU1008" s="61">
        <f>IF(E1008="","",IFERROR(IF(INDEX('Paramètres'!$K$6:$K$33,MATCH(E1008,'Paramètres'!$I$6:$I$33,0))="Oui",1,0),0))</f>
        <v/>
      </c>
      <c r="AV1008" s="61">
        <f>IF(F1008="","",IFERROR(IF(INDEX('Paramètres'!$O$6:$O$17,MATCH(F1008,'Paramètres'!$M$6:$M$17,0))="Oui",1,0),0))</f>
        <v/>
      </c>
      <c r="AW1008" s="62">
        <f>IF(E1008="","",IF(G1008&lt;&gt;"",G1008,IF(OR(E1008="Proposition envoyée",E1008="Signature"),MAX(0,N(IFERROR(INDEX('Paramètres'!$R$6:$R$15,MATCH(IF(AL1008&lt;&gt;"",AL1008,IFERROR(INDEX('Prospects'!$AN$5:$AN$504,MATCH(C1008,'Prospects'!$C$5:$C$504,0)),"")),'Paramètres'!$Q$6:$Q$15,0)),0))-N(P1008)),0)))</f>
        <v/>
      </c>
      <c r="AX1008" s="61">
        <f>IF(C1008="","",IF(COUNTIF($C$5:C1008,C1008)=1,MAX($AX$4:AX1007)+1,""))</f>
        <v/>
      </c>
      <c r="AY1008" s="61">
        <f>IF(B1008="","",HOUR(B1008))</f>
        <v/>
      </c>
      <c r="AZ1008" s="61">
        <f>IF(A1008="","",MOD(A1008-2,7)+1)</f>
        <v/>
      </c>
      <c r="BA1008" s="60">
        <f>IF(C1008="","",IFERROR(INDEX('Prospects'!$N$5:$N$504,MATCH(C1008,'Prospects'!$C$5:$C$504,0)),""))</f>
        <v/>
      </c>
      <c r="BB1008" s="61">
        <f>IF(AND(C1008&lt;&gt;"",C1008='Fiche prospect'!$C$4),COUNTIF($C$5:C1008,C1008),"")</f>
        <v/>
      </c>
    </row>
    <row r="1009">
      <c r="A1009" s="53" t="n"/>
      <c r="B1009" s="54" t="n"/>
      <c r="C1009" s="55" t="n"/>
      <c r="D1009" s="55" t="n"/>
      <c r="E1009" s="55" t="n"/>
      <c r="F1009" s="55" t="n"/>
      <c r="G1009" s="56" t="n"/>
      <c r="H1009" s="57" t="n"/>
      <c r="I1009" s="55" t="n"/>
      <c r="J1009" s="53" t="n"/>
      <c r="K1009" s="54" t="n"/>
      <c r="L1009" s="55" t="n"/>
      <c r="M1009" s="55" t="n"/>
      <c r="N1009" s="57" t="n"/>
      <c r="O1009" s="55" t="n"/>
      <c r="P1009" s="56" t="n"/>
      <c r="Q1009" s="55" t="n"/>
      <c r="R1009" s="55" t="n"/>
      <c r="S1009" s="55" t="n"/>
      <c r="T1009" s="55" t="n"/>
      <c r="U1009" s="55" t="n"/>
      <c r="V1009" s="55" t="n"/>
      <c r="W1009" s="58" t="n"/>
      <c r="X1009" s="58" t="n"/>
      <c r="Y1009" s="55" t="n"/>
      <c r="Z1009" s="55" t="n"/>
      <c r="AA1009" s="55" t="n"/>
      <c r="AB1009" s="55" t="n"/>
      <c r="AC1009" s="55" t="n"/>
      <c r="AD1009" s="53" t="n"/>
      <c r="AE1009" s="55" t="n"/>
      <c r="AF1009" s="55" t="n"/>
      <c r="AG1009" s="59" t="n"/>
      <c r="AH1009" s="57" t="n"/>
      <c r="AI1009" s="55" t="n"/>
      <c r="AJ1009" s="55" t="n"/>
      <c r="AK1009" s="55" t="n"/>
      <c r="AL1009" s="55" t="n"/>
      <c r="AM1009" s="56" t="n"/>
      <c r="AN1009" s="55" t="n"/>
      <c r="AO1009" s="55" t="n"/>
      <c r="AP1009" s="55" t="n"/>
      <c r="AQ1009" s="55" t="n"/>
      <c r="AR1009" s="60">
        <f>IF(AND(C1009="",E1009=""),"",IF(A1009="","⚠ Date manquante",IF(AND(C1009="",E1009&lt;&gt;"Dépense"),"⚠ Prospect manquant",IF(E1009="","⚠ Action manquante",IF(AND(AU1009=1,D1009=""),"⚠ Canal manquant",IF(AND(W1009&lt;&gt;"",COUNTIFS('Saisie'!$W$5:$W$2004,W1009,'Saisie'!$C$5:$C$2004,"&lt;&gt;"&amp;C1009)&gt;0),"⚠ Numéro déjà utilisé par un autre prospect",IF(AND(J1009&lt;&gt;"",J1009&lt;A1009),"⚠ Relance avant la date de l'action",IF(A1009&gt;TODAY(),"⚠ Date dans le futur","✓"))))))))</f>
        <v/>
      </c>
      <c r="AS1009" s="61">
        <f>IF(AND(A1009="",C1009="",E1009=""),"",ROW())</f>
        <v/>
      </c>
      <c r="AT1009" s="61">
        <f>IF(E1009&amp;F1009="","",MAX(IFERROR(INDEX('Paramètres'!$J$6:$J$33,MATCH(E1009,'Paramètres'!$I$6:$I$33,0)),0),IFERROR(INDEX('Paramètres'!$N$6:$N$17,MATCH(F1009,'Paramètres'!$M$6:$M$17,0)),0)))</f>
        <v/>
      </c>
      <c r="AU1009" s="61">
        <f>IF(E1009="","",IFERROR(IF(INDEX('Paramètres'!$K$6:$K$33,MATCH(E1009,'Paramètres'!$I$6:$I$33,0))="Oui",1,0),0))</f>
        <v/>
      </c>
      <c r="AV1009" s="61">
        <f>IF(F1009="","",IFERROR(IF(INDEX('Paramètres'!$O$6:$O$17,MATCH(F1009,'Paramètres'!$M$6:$M$17,0))="Oui",1,0),0))</f>
        <v/>
      </c>
      <c r="AW1009" s="62">
        <f>IF(E1009="","",IF(G1009&lt;&gt;"",G1009,IF(OR(E1009="Proposition envoyée",E1009="Signature"),MAX(0,N(IFERROR(INDEX('Paramètres'!$R$6:$R$15,MATCH(IF(AL1009&lt;&gt;"",AL1009,IFERROR(INDEX('Prospects'!$AN$5:$AN$504,MATCH(C1009,'Prospects'!$C$5:$C$504,0)),"")),'Paramètres'!$Q$6:$Q$15,0)),0))-N(P1009)),0)))</f>
        <v/>
      </c>
      <c r="AX1009" s="61">
        <f>IF(C1009="","",IF(COUNTIF($C$5:C1009,C1009)=1,MAX($AX$4:AX1008)+1,""))</f>
        <v/>
      </c>
      <c r="AY1009" s="61">
        <f>IF(B1009="","",HOUR(B1009))</f>
        <v/>
      </c>
      <c r="AZ1009" s="61">
        <f>IF(A1009="","",MOD(A1009-2,7)+1)</f>
        <v/>
      </c>
      <c r="BA1009" s="60">
        <f>IF(C1009="","",IFERROR(INDEX('Prospects'!$N$5:$N$504,MATCH(C1009,'Prospects'!$C$5:$C$504,0)),""))</f>
        <v/>
      </c>
      <c r="BB1009" s="61">
        <f>IF(AND(C1009&lt;&gt;"",C1009='Fiche prospect'!$C$4),COUNTIF($C$5:C1009,C1009),"")</f>
        <v/>
      </c>
    </row>
    <row r="1010">
      <c r="A1010" s="53" t="n"/>
      <c r="B1010" s="54" t="n"/>
      <c r="C1010" s="55" t="n"/>
      <c r="D1010" s="55" t="n"/>
      <c r="E1010" s="55" t="n"/>
      <c r="F1010" s="55" t="n"/>
      <c r="G1010" s="56" t="n"/>
      <c r="H1010" s="57" t="n"/>
      <c r="I1010" s="55" t="n"/>
      <c r="J1010" s="53" t="n"/>
      <c r="K1010" s="54" t="n"/>
      <c r="L1010" s="55" t="n"/>
      <c r="M1010" s="55" t="n"/>
      <c r="N1010" s="57" t="n"/>
      <c r="O1010" s="55" t="n"/>
      <c r="P1010" s="56" t="n"/>
      <c r="Q1010" s="55" t="n"/>
      <c r="R1010" s="55" t="n"/>
      <c r="S1010" s="55" t="n"/>
      <c r="T1010" s="55" t="n"/>
      <c r="U1010" s="55" t="n"/>
      <c r="V1010" s="55" t="n"/>
      <c r="W1010" s="58" t="n"/>
      <c r="X1010" s="58" t="n"/>
      <c r="Y1010" s="55" t="n"/>
      <c r="Z1010" s="55" t="n"/>
      <c r="AA1010" s="55" t="n"/>
      <c r="AB1010" s="55" t="n"/>
      <c r="AC1010" s="55" t="n"/>
      <c r="AD1010" s="53" t="n"/>
      <c r="AE1010" s="55" t="n"/>
      <c r="AF1010" s="55" t="n"/>
      <c r="AG1010" s="59" t="n"/>
      <c r="AH1010" s="57" t="n"/>
      <c r="AI1010" s="55" t="n"/>
      <c r="AJ1010" s="55" t="n"/>
      <c r="AK1010" s="55" t="n"/>
      <c r="AL1010" s="55" t="n"/>
      <c r="AM1010" s="56" t="n"/>
      <c r="AN1010" s="55" t="n"/>
      <c r="AO1010" s="55" t="n"/>
      <c r="AP1010" s="55" t="n"/>
      <c r="AQ1010" s="55" t="n"/>
      <c r="AR1010" s="60">
        <f>IF(AND(C1010="",E1010=""),"",IF(A1010="","⚠ Date manquante",IF(AND(C1010="",E1010&lt;&gt;"Dépense"),"⚠ Prospect manquant",IF(E1010="","⚠ Action manquante",IF(AND(AU1010=1,D1010=""),"⚠ Canal manquant",IF(AND(W1010&lt;&gt;"",COUNTIFS('Saisie'!$W$5:$W$2004,W1010,'Saisie'!$C$5:$C$2004,"&lt;&gt;"&amp;C1010)&gt;0),"⚠ Numéro déjà utilisé par un autre prospect",IF(AND(J1010&lt;&gt;"",J1010&lt;A1010),"⚠ Relance avant la date de l'action",IF(A1010&gt;TODAY(),"⚠ Date dans le futur","✓"))))))))</f>
        <v/>
      </c>
      <c r="AS1010" s="61">
        <f>IF(AND(A1010="",C1010="",E1010=""),"",ROW())</f>
        <v/>
      </c>
      <c r="AT1010" s="61">
        <f>IF(E1010&amp;F1010="","",MAX(IFERROR(INDEX('Paramètres'!$J$6:$J$33,MATCH(E1010,'Paramètres'!$I$6:$I$33,0)),0),IFERROR(INDEX('Paramètres'!$N$6:$N$17,MATCH(F1010,'Paramètres'!$M$6:$M$17,0)),0)))</f>
        <v/>
      </c>
      <c r="AU1010" s="61">
        <f>IF(E1010="","",IFERROR(IF(INDEX('Paramètres'!$K$6:$K$33,MATCH(E1010,'Paramètres'!$I$6:$I$33,0))="Oui",1,0),0))</f>
        <v/>
      </c>
      <c r="AV1010" s="61">
        <f>IF(F1010="","",IFERROR(IF(INDEX('Paramètres'!$O$6:$O$17,MATCH(F1010,'Paramètres'!$M$6:$M$17,0))="Oui",1,0),0))</f>
        <v/>
      </c>
      <c r="AW1010" s="62">
        <f>IF(E1010="","",IF(G1010&lt;&gt;"",G1010,IF(OR(E1010="Proposition envoyée",E1010="Signature"),MAX(0,N(IFERROR(INDEX('Paramètres'!$R$6:$R$15,MATCH(IF(AL1010&lt;&gt;"",AL1010,IFERROR(INDEX('Prospects'!$AN$5:$AN$504,MATCH(C1010,'Prospects'!$C$5:$C$504,0)),"")),'Paramètres'!$Q$6:$Q$15,0)),0))-N(P1010)),0)))</f>
        <v/>
      </c>
      <c r="AX1010" s="61">
        <f>IF(C1010="","",IF(COUNTIF($C$5:C1010,C1010)=1,MAX($AX$4:AX1009)+1,""))</f>
        <v/>
      </c>
      <c r="AY1010" s="61">
        <f>IF(B1010="","",HOUR(B1010))</f>
        <v/>
      </c>
      <c r="AZ1010" s="61">
        <f>IF(A1010="","",MOD(A1010-2,7)+1)</f>
        <v/>
      </c>
      <c r="BA1010" s="60">
        <f>IF(C1010="","",IFERROR(INDEX('Prospects'!$N$5:$N$504,MATCH(C1010,'Prospects'!$C$5:$C$504,0)),""))</f>
        <v/>
      </c>
      <c r="BB1010" s="61">
        <f>IF(AND(C1010&lt;&gt;"",C1010='Fiche prospect'!$C$4),COUNTIF($C$5:C1010,C1010),"")</f>
        <v/>
      </c>
    </row>
    <row r="1011">
      <c r="A1011" s="53" t="n"/>
      <c r="B1011" s="54" t="n"/>
      <c r="C1011" s="55" t="n"/>
      <c r="D1011" s="55" t="n"/>
      <c r="E1011" s="55" t="n"/>
      <c r="F1011" s="55" t="n"/>
      <c r="G1011" s="56" t="n"/>
      <c r="H1011" s="57" t="n"/>
      <c r="I1011" s="55" t="n"/>
      <c r="J1011" s="53" t="n"/>
      <c r="K1011" s="54" t="n"/>
      <c r="L1011" s="55" t="n"/>
      <c r="M1011" s="55" t="n"/>
      <c r="N1011" s="57" t="n"/>
      <c r="O1011" s="55" t="n"/>
      <c r="P1011" s="56" t="n"/>
      <c r="Q1011" s="55" t="n"/>
      <c r="R1011" s="55" t="n"/>
      <c r="S1011" s="55" t="n"/>
      <c r="T1011" s="55" t="n"/>
      <c r="U1011" s="55" t="n"/>
      <c r="V1011" s="55" t="n"/>
      <c r="W1011" s="58" t="n"/>
      <c r="X1011" s="58" t="n"/>
      <c r="Y1011" s="55" t="n"/>
      <c r="Z1011" s="55" t="n"/>
      <c r="AA1011" s="55" t="n"/>
      <c r="AB1011" s="55" t="n"/>
      <c r="AC1011" s="55" t="n"/>
      <c r="AD1011" s="53" t="n"/>
      <c r="AE1011" s="55" t="n"/>
      <c r="AF1011" s="55" t="n"/>
      <c r="AG1011" s="59" t="n"/>
      <c r="AH1011" s="57" t="n"/>
      <c r="AI1011" s="55" t="n"/>
      <c r="AJ1011" s="55" t="n"/>
      <c r="AK1011" s="55" t="n"/>
      <c r="AL1011" s="55" t="n"/>
      <c r="AM1011" s="56" t="n"/>
      <c r="AN1011" s="55" t="n"/>
      <c r="AO1011" s="55" t="n"/>
      <c r="AP1011" s="55" t="n"/>
      <c r="AQ1011" s="55" t="n"/>
      <c r="AR1011" s="60">
        <f>IF(AND(C1011="",E1011=""),"",IF(A1011="","⚠ Date manquante",IF(AND(C1011="",E1011&lt;&gt;"Dépense"),"⚠ Prospect manquant",IF(E1011="","⚠ Action manquante",IF(AND(AU1011=1,D1011=""),"⚠ Canal manquant",IF(AND(W1011&lt;&gt;"",COUNTIFS('Saisie'!$W$5:$W$2004,W1011,'Saisie'!$C$5:$C$2004,"&lt;&gt;"&amp;C1011)&gt;0),"⚠ Numéro déjà utilisé par un autre prospect",IF(AND(J1011&lt;&gt;"",J1011&lt;A1011),"⚠ Relance avant la date de l'action",IF(A1011&gt;TODAY(),"⚠ Date dans le futur","✓"))))))))</f>
        <v/>
      </c>
      <c r="AS1011" s="61">
        <f>IF(AND(A1011="",C1011="",E1011=""),"",ROW())</f>
        <v/>
      </c>
      <c r="AT1011" s="61">
        <f>IF(E1011&amp;F1011="","",MAX(IFERROR(INDEX('Paramètres'!$J$6:$J$33,MATCH(E1011,'Paramètres'!$I$6:$I$33,0)),0),IFERROR(INDEX('Paramètres'!$N$6:$N$17,MATCH(F1011,'Paramètres'!$M$6:$M$17,0)),0)))</f>
        <v/>
      </c>
      <c r="AU1011" s="61">
        <f>IF(E1011="","",IFERROR(IF(INDEX('Paramètres'!$K$6:$K$33,MATCH(E1011,'Paramètres'!$I$6:$I$33,0))="Oui",1,0),0))</f>
        <v/>
      </c>
      <c r="AV1011" s="61">
        <f>IF(F1011="","",IFERROR(IF(INDEX('Paramètres'!$O$6:$O$17,MATCH(F1011,'Paramètres'!$M$6:$M$17,0))="Oui",1,0),0))</f>
        <v/>
      </c>
      <c r="AW1011" s="62">
        <f>IF(E1011="","",IF(G1011&lt;&gt;"",G1011,IF(OR(E1011="Proposition envoyée",E1011="Signature"),MAX(0,N(IFERROR(INDEX('Paramètres'!$R$6:$R$15,MATCH(IF(AL1011&lt;&gt;"",AL1011,IFERROR(INDEX('Prospects'!$AN$5:$AN$504,MATCH(C1011,'Prospects'!$C$5:$C$504,0)),"")),'Paramètres'!$Q$6:$Q$15,0)),0))-N(P1011)),0)))</f>
        <v/>
      </c>
      <c r="AX1011" s="61">
        <f>IF(C1011="","",IF(COUNTIF($C$5:C1011,C1011)=1,MAX($AX$4:AX1010)+1,""))</f>
        <v/>
      </c>
      <c r="AY1011" s="61">
        <f>IF(B1011="","",HOUR(B1011))</f>
        <v/>
      </c>
      <c r="AZ1011" s="61">
        <f>IF(A1011="","",MOD(A1011-2,7)+1)</f>
        <v/>
      </c>
      <c r="BA1011" s="60">
        <f>IF(C1011="","",IFERROR(INDEX('Prospects'!$N$5:$N$504,MATCH(C1011,'Prospects'!$C$5:$C$504,0)),""))</f>
        <v/>
      </c>
      <c r="BB1011" s="61">
        <f>IF(AND(C1011&lt;&gt;"",C1011='Fiche prospect'!$C$4),COUNTIF($C$5:C1011,C1011),"")</f>
        <v/>
      </c>
    </row>
    <row r="1012">
      <c r="A1012" s="53" t="n"/>
      <c r="B1012" s="54" t="n"/>
      <c r="C1012" s="55" t="n"/>
      <c r="D1012" s="55" t="n"/>
      <c r="E1012" s="55" t="n"/>
      <c r="F1012" s="55" t="n"/>
      <c r="G1012" s="56" t="n"/>
      <c r="H1012" s="57" t="n"/>
      <c r="I1012" s="55" t="n"/>
      <c r="J1012" s="53" t="n"/>
      <c r="K1012" s="54" t="n"/>
      <c r="L1012" s="55" t="n"/>
      <c r="M1012" s="55" t="n"/>
      <c r="N1012" s="57" t="n"/>
      <c r="O1012" s="55" t="n"/>
      <c r="P1012" s="56" t="n"/>
      <c r="Q1012" s="55" t="n"/>
      <c r="R1012" s="55" t="n"/>
      <c r="S1012" s="55" t="n"/>
      <c r="T1012" s="55" t="n"/>
      <c r="U1012" s="55" t="n"/>
      <c r="V1012" s="55" t="n"/>
      <c r="W1012" s="58" t="n"/>
      <c r="X1012" s="58" t="n"/>
      <c r="Y1012" s="55" t="n"/>
      <c r="Z1012" s="55" t="n"/>
      <c r="AA1012" s="55" t="n"/>
      <c r="AB1012" s="55" t="n"/>
      <c r="AC1012" s="55" t="n"/>
      <c r="AD1012" s="53" t="n"/>
      <c r="AE1012" s="55" t="n"/>
      <c r="AF1012" s="55" t="n"/>
      <c r="AG1012" s="59" t="n"/>
      <c r="AH1012" s="57" t="n"/>
      <c r="AI1012" s="55" t="n"/>
      <c r="AJ1012" s="55" t="n"/>
      <c r="AK1012" s="55" t="n"/>
      <c r="AL1012" s="55" t="n"/>
      <c r="AM1012" s="56" t="n"/>
      <c r="AN1012" s="55" t="n"/>
      <c r="AO1012" s="55" t="n"/>
      <c r="AP1012" s="55" t="n"/>
      <c r="AQ1012" s="55" t="n"/>
      <c r="AR1012" s="60">
        <f>IF(AND(C1012="",E1012=""),"",IF(A1012="","⚠ Date manquante",IF(AND(C1012="",E1012&lt;&gt;"Dépense"),"⚠ Prospect manquant",IF(E1012="","⚠ Action manquante",IF(AND(AU1012=1,D1012=""),"⚠ Canal manquant",IF(AND(W1012&lt;&gt;"",COUNTIFS('Saisie'!$W$5:$W$2004,W1012,'Saisie'!$C$5:$C$2004,"&lt;&gt;"&amp;C1012)&gt;0),"⚠ Numéro déjà utilisé par un autre prospect",IF(AND(J1012&lt;&gt;"",J1012&lt;A1012),"⚠ Relance avant la date de l'action",IF(A1012&gt;TODAY(),"⚠ Date dans le futur","✓"))))))))</f>
        <v/>
      </c>
      <c r="AS1012" s="61">
        <f>IF(AND(A1012="",C1012="",E1012=""),"",ROW())</f>
        <v/>
      </c>
      <c r="AT1012" s="61">
        <f>IF(E1012&amp;F1012="","",MAX(IFERROR(INDEX('Paramètres'!$J$6:$J$33,MATCH(E1012,'Paramètres'!$I$6:$I$33,0)),0),IFERROR(INDEX('Paramètres'!$N$6:$N$17,MATCH(F1012,'Paramètres'!$M$6:$M$17,0)),0)))</f>
        <v/>
      </c>
      <c r="AU1012" s="61">
        <f>IF(E1012="","",IFERROR(IF(INDEX('Paramètres'!$K$6:$K$33,MATCH(E1012,'Paramètres'!$I$6:$I$33,0))="Oui",1,0),0))</f>
        <v/>
      </c>
      <c r="AV1012" s="61">
        <f>IF(F1012="","",IFERROR(IF(INDEX('Paramètres'!$O$6:$O$17,MATCH(F1012,'Paramètres'!$M$6:$M$17,0))="Oui",1,0),0))</f>
        <v/>
      </c>
      <c r="AW1012" s="62">
        <f>IF(E1012="","",IF(G1012&lt;&gt;"",G1012,IF(OR(E1012="Proposition envoyée",E1012="Signature"),MAX(0,N(IFERROR(INDEX('Paramètres'!$R$6:$R$15,MATCH(IF(AL1012&lt;&gt;"",AL1012,IFERROR(INDEX('Prospects'!$AN$5:$AN$504,MATCH(C1012,'Prospects'!$C$5:$C$504,0)),"")),'Paramètres'!$Q$6:$Q$15,0)),0))-N(P1012)),0)))</f>
        <v/>
      </c>
      <c r="AX1012" s="61">
        <f>IF(C1012="","",IF(COUNTIF($C$5:C1012,C1012)=1,MAX($AX$4:AX1011)+1,""))</f>
        <v/>
      </c>
      <c r="AY1012" s="61">
        <f>IF(B1012="","",HOUR(B1012))</f>
        <v/>
      </c>
      <c r="AZ1012" s="61">
        <f>IF(A1012="","",MOD(A1012-2,7)+1)</f>
        <v/>
      </c>
      <c r="BA1012" s="60">
        <f>IF(C1012="","",IFERROR(INDEX('Prospects'!$N$5:$N$504,MATCH(C1012,'Prospects'!$C$5:$C$504,0)),""))</f>
        <v/>
      </c>
      <c r="BB1012" s="61">
        <f>IF(AND(C1012&lt;&gt;"",C1012='Fiche prospect'!$C$4),COUNTIF($C$5:C1012,C1012),"")</f>
        <v/>
      </c>
    </row>
    <row r="1013">
      <c r="A1013" s="53" t="n"/>
      <c r="B1013" s="54" t="n"/>
      <c r="C1013" s="55" t="n"/>
      <c r="D1013" s="55" t="n"/>
      <c r="E1013" s="55" t="n"/>
      <c r="F1013" s="55" t="n"/>
      <c r="G1013" s="56" t="n"/>
      <c r="H1013" s="57" t="n"/>
      <c r="I1013" s="55" t="n"/>
      <c r="J1013" s="53" t="n"/>
      <c r="K1013" s="54" t="n"/>
      <c r="L1013" s="55" t="n"/>
      <c r="M1013" s="55" t="n"/>
      <c r="N1013" s="57" t="n"/>
      <c r="O1013" s="55" t="n"/>
      <c r="P1013" s="56" t="n"/>
      <c r="Q1013" s="55" t="n"/>
      <c r="R1013" s="55" t="n"/>
      <c r="S1013" s="55" t="n"/>
      <c r="T1013" s="55" t="n"/>
      <c r="U1013" s="55" t="n"/>
      <c r="V1013" s="55" t="n"/>
      <c r="W1013" s="58" t="n"/>
      <c r="X1013" s="58" t="n"/>
      <c r="Y1013" s="55" t="n"/>
      <c r="Z1013" s="55" t="n"/>
      <c r="AA1013" s="55" t="n"/>
      <c r="AB1013" s="55" t="n"/>
      <c r="AC1013" s="55" t="n"/>
      <c r="AD1013" s="53" t="n"/>
      <c r="AE1013" s="55" t="n"/>
      <c r="AF1013" s="55" t="n"/>
      <c r="AG1013" s="59" t="n"/>
      <c r="AH1013" s="57" t="n"/>
      <c r="AI1013" s="55" t="n"/>
      <c r="AJ1013" s="55" t="n"/>
      <c r="AK1013" s="55" t="n"/>
      <c r="AL1013" s="55" t="n"/>
      <c r="AM1013" s="56" t="n"/>
      <c r="AN1013" s="55" t="n"/>
      <c r="AO1013" s="55" t="n"/>
      <c r="AP1013" s="55" t="n"/>
      <c r="AQ1013" s="55" t="n"/>
      <c r="AR1013" s="60">
        <f>IF(AND(C1013="",E1013=""),"",IF(A1013="","⚠ Date manquante",IF(AND(C1013="",E1013&lt;&gt;"Dépense"),"⚠ Prospect manquant",IF(E1013="","⚠ Action manquante",IF(AND(AU1013=1,D1013=""),"⚠ Canal manquant",IF(AND(W1013&lt;&gt;"",COUNTIFS('Saisie'!$W$5:$W$2004,W1013,'Saisie'!$C$5:$C$2004,"&lt;&gt;"&amp;C1013)&gt;0),"⚠ Numéro déjà utilisé par un autre prospect",IF(AND(J1013&lt;&gt;"",J1013&lt;A1013),"⚠ Relance avant la date de l'action",IF(A1013&gt;TODAY(),"⚠ Date dans le futur","✓"))))))))</f>
        <v/>
      </c>
      <c r="AS1013" s="61">
        <f>IF(AND(A1013="",C1013="",E1013=""),"",ROW())</f>
        <v/>
      </c>
      <c r="AT1013" s="61">
        <f>IF(E1013&amp;F1013="","",MAX(IFERROR(INDEX('Paramètres'!$J$6:$J$33,MATCH(E1013,'Paramètres'!$I$6:$I$33,0)),0),IFERROR(INDEX('Paramètres'!$N$6:$N$17,MATCH(F1013,'Paramètres'!$M$6:$M$17,0)),0)))</f>
        <v/>
      </c>
      <c r="AU1013" s="61">
        <f>IF(E1013="","",IFERROR(IF(INDEX('Paramètres'!$K$6:$K$33,MATCH(E1013,'Paramètres'!$I$6:$I$33,0))="Oui",1,0),0))</f>
        <v/>
      </c>
      <c r="AV1013" s="61">
        <f>IF(F1013="","",IFERROR(IF(INDEX('Paramètres'!$O$6:$O$17,MATCH(F1013,'Paramètres'!$M$6:$M$17,0))="Oui",1,0),0))</f>
        <v/>
      </c>
      <c r="AW1013" s="62">
        <f>IF(E1013="","",IF(G1013&lt;&gt;"",G1013,IF(OR(E1013="Proposition envoyée",E1013="Signature"),MAX(0,N(IFERROR(INDEX('Paramètres'!$R$6:$R$15,MATCH(IF(AL1013&lt;&gt;"",AL1013,IFERROR(INDEX('Prospects'!$AN$5:$AN$504,MATCH(C1013,'Prospects'!$C$5:$C$504,0)),"")),'Paramètres'!$Q$6:$Q$15,0)),0))-N(P1013)),0)))</f>
        <v/>
      </c>
      <c r="AX1013" s="61">
        <f>IF(C1013="","",IF(COUNTIF($C$5:C1013,C1013)=1,MAX($AX$4:AX1012)+1,""))</f>
        <v/>
      </c>
      <c r="AY1013" s="61">
        <f>IF(B1013="","",HOUR(B1013))</f>
        <v/>
      </c>
      <c r="AZ1013" s="61">
        <f>IF(A1013="","",MOD(A1013-2,7)+1)</f>
        <v/>
      </c>
      <c r="BA1013" s="60">
        <f>IF(C1013="","",IFERROR(INDEX('Prospects'!$N$5:$N$504,MATCH(C1013,'Prospects'!$C$5:$C$504,0)),""))</f>
        <v/>
      </c>
      <c r="BB1013" s="61">
        <f>IF(AND(C1013&lt;&gt;"",C1013='Fiche prospect'!$C$4),COUNTIF($C$5:C1013,C1013),"")</f>
        <v/>
      </c>
    </row>
    <row r="1014">
      <c r="A1014" s="53" t="n"/>
      <c r="B1014" s="54" t="n"/>
      <c r="C1014" s="55" t="n"/>
      <c r="D1014" s="55" t="n"/>
      <c r="E1014" s="55" t="n"/>
      <c r="F1014" s="55" t="n"/>
      <c r="G1014" s="56" t="n"/>
      <c r="H1014" s="57" t="n"/>
      <c r="I1014" s="55" t="n"/>
      <c r="J1014" s="53" t="n"/>
      <c r="K1014" s="54" t="n"/>
      <c r="L1014" s="55" t="n"/>
      <c r="M1014" s="55" t="n"/>
      <c r="N1014" s="57" t="n"/>
      <c r="O1014" s="55" t="n"/>
      <c r="P1014" s="56" t="n"/>
      <c r="Q1014" s="55" t="n"/>
      <c r="R1014" s="55" t="n"/>
      <c r="S1014" s="55" t="n"/>
      <c r="T1014" s="55" t="n"/>
      <c r="U1014" s="55" t="n"/>
      <c r="V1014" s="55" t="n"/>
      <c r="W1014" s="58" t="n"/>
      <c r="X1014" s="58" t="n"/>
      <c r="Y1014" s="55" t="n"/>
      <c r="Z1014" s="55" t="n"/>
      <c r="AA1014" s="55" t="n"/>
      <c r="AB1014" s="55" t="n"/>
      <c r="AC1014" s="55" t="n"/>
      <c r="AD1014" s="53" t="n"/>
      <c r="AE1014" s="55" t="n"/>
      <c r="AF1014" s="55" t="n"/>
      <c r="AG1014" s="59" t="n"/>
      <c r="AH1014" s="57" t="n"/>
      <c r="AI1014" s="55" t="n"/>
      <c r="AJ1014" s="55" t="n"/>
      <c r="AK1014" s="55" t="n"/>
      <c r="AL1014" s="55" t="n"/>
      <c r="AM1014" s="56" t="n"/>
      <c r="AN1014" s="55" t="n"/>
      <c r="AO1014" s="55" t="n"/>
      <c r="AP1014" s="55" t="n"/>
      <c r="AQ1014" s="55" t="n"/>
      <c r="AR1014" s="60">
        <f>IF(AND(C1014="",E1014=""),"",IF(A1014="","⚠ Date manquante",IF(AND(C1014="",E1014&lt;&gt;"Dépense"),"⚠ Prospect manquant",IF(E1014="","⚠ Action manquante",IF(AND(AU1014=1,D1014=""),"⚠ Canal manquant",IF(AND(W1014&lt;&gt;"",COUNTIFS('Saisie'!$W$5:$W$2004,W1014,'Saisie'!$C$5:$C$2004,"&lt;&gt;"&amp;C1014)&gt;0),"⚠ Numéro déjà utilisé par un autre prospect",IF(AND(J1014&lt;&gt;"",J1014&lt;A1014),"⚠ Relance avant la date de l'action",IF(A1014&gt;TODAY(),"⚠ Date dans le futur","✓"))))))))</f>
        <v/>
      </c>
      <c r="AS1014" s="61">
        <f>IF(AND(A1014="",C1014="",E1014=""),"",ROW())</f>
        <v/>
      </c>
      <c r="AT1014" s="61">
        <f>IF(E1014&amp;F1014="","",MAX(IFERROR(INDEX('Paramètres'!$J$6:$J$33,MATCH(E1014,'Paramètres'!$I$6:$I$33,0)),0),IFERROR(INDEX('Paramètres'!$N$6:$N$17,MATCH(F1014,'Paramètres'!$M$6:$M$17,0)),0)))</f>
        <v/>
      </c>
      <c r="AU1014" s="61">
        <f>IF(E1014="","",IFERROR(IF(INDEX('Paramètres'!$K$6:$K$33,MATCH(E1014,'Paramètres'!$I$6:$I$33,0))="Oui",1,0),0))</f>
        <v/>
      </c>
      <c r="AV1014" s="61">
        <f>IF(F1014="","",IFERROR(IF(INDEX('Paramètres'!$O$6:$O$17,MATCH(F1014,'Paramètres'!$M$6:$M$17,0))="Oui",1,0),0))</f>
        <v/>
      </c>
      <c r="AW1014" s="62">
        <f>IF(E1014="","",IF(G1014&lt;&gt;"",G1014,IF(OR(E1014="Proposition envoyée",E1014="Signature"),MAX(0,N(IFERROR(INDEX('Paramètres'!$R$6:$R$15,MATCH(IF(AL1014&lt;&gt;"",AL1014,IFERROR(INDEX('Prospects'!$AN$5:$AN$504,MATCH(C1014,'Prospects'!$C$5:$C$504,0)),"")),'Paramètres'!$Q$6:$Q$15,0)),0))-N(P1014)),0)))</f>
        <v/>
      </c>
      <c r="AX1014" s="61">
        <f>IF(C1014="","",IF(COUNTIF($C$5:C1014,C1014)=1,MAX($AX$4:AX1013)+1,""))</f>
        <v/>
      </c>
      <c r="AY1014" s="61">
        <f>IF(B1014="","",HOUR(B1014))</f>
        <v/>
      </c>
      <c r="AZ1014" s="61">
        <f>IF(A1014="","",MOD(A1014-2,7)+1)</f>
        <v/>
      </c>
      <c r="BA1014" s="60">
        <f>IF(C1014="","",IFERROR(INDEX('Prospects'!$N$5:$N$504,MATCH(C1014,'Prospects'!$C$5:$C$504,0)),""))</f>
        <v/>
      </c>
      <c r="BB1014" s="61">
        <f>IF(AND(C1014&lt;&gt;"",C1014='Fiche prospect'!$C$4),COUNTIF($C$5:C1014,C1014),"")</f>
        <v/>
      </c>
    </row>
    <row r="1015">
      <c r="A1015" s="53" t="n"/>
      <c r="B1015" s="54" t="n"/>
      <c r="C1015" s="55" t="n"/>
      <c r="D1015" s="55" t="n"/>
      <c r="E1015" s="55" t="n"/>
      <c r="F1015" s="55" t="n"/>
      <c r="G1015" s="56" t="n"/>
      <c r="H1015" s="57" t="n"/>
      <c r="I1015" s="55" t="n"/>
      <c r="J1015" s="53" t="n"/>
      <c r="K1015" s="54" t="n"/>
      <c r="L1015" s="55" t="n"/>
      <c r="M1015" s="55" t="n"/>
      <c r="N1015" s="57" t="n"/>
      <c r="O1015" s="55" t="n"/>
      <c r="P1015" s="56" t="n"/>
      <c r="Q1015" s="55" t="n"/>
      <c r="R1015" s="55" t="n"/>
      <c r="S1015" s="55" t="n"/>
      <c r="T1015" s="55" t="n"/>
      <c r="U1015" s="55" t="n"/>
      <c r="V1015" s="55" t="n"/>
      <c r="W1015" s="58" t="n"/>
      <c r="X1015" s="58" t="n"/>
      <c r="Y1015" s="55" t="n"/>
      <c r="Z1015" s="55" t="n"/>
      <c r="AA1015" s="55" t="n"/>
      <c r="AB1015" s="55" t="n"/>
      <c r="AC1015" s="55" t="n"/>
      <c r="AD1015" s="53" t="n"/>
      <c r="AE1015" s="55" t="n"/>
      <c r="AF1015" s="55" t="n"/>
      <c r="AG1015" s="59" t="n"/>
      <c r="AH1015" s="57" t="n"/>
      <c r="AI1015" s="55" t="n"/>
      <c r="AJ1015" s="55" t="n"/>
      <c r="AK1015" s="55" t="n"/>
      <c r="AL1015" s="55" t="n"/>
      <c r="AM1015" s="56" t="n"/>
      <c r="AN1015" s="55" t="n"/>
      <c r="AO1015" s="55" t="n"/>
      <c r="AP1015" s="55" t="n"/>
      <c r="AQ1015" s="55" t="n"/>
      <c r="AR1015" s="60">
        <f>IF(AND(C1015="",E1015=""),"",IF(A1015="","⚠ Date manquante",IF(AND(C1015="",E1015&lt;&gt;"Dépense"),"⚠ Prospect manquant",IF(E1015="","⚠ Action manquante",IF(AND(AU1015=1,D1015=""),"⚠ Canal manquant",IF(AND(W1015&lt;&gt;"",COUNTIFS('Saisie'!$W$5:$W$2004,W1015,'Saisie'!$C$5:$C$2004,"&lt;&gt;"&amp;C1015)&gt;0),"⚠ Numéro déjà utilisé par un autre prospect",IF(AND(J1015&lt;&gt;"",J1015&lt;A1015),"⚠ Relance avant la date de l'action",IF(A1015&gt;TODAY(),"⚠ Date dans le futur","✓"))))))))</f>
        <v/>
      </c>
      <c r="AS1015" s="61">
        <f>IF(AND(A1015="",C1015="",E1015=""),"",ROW())</f>
        <v/>
      </c>
      <c r="AT1015" s="61">
        <f>IF(E1015&amp;F1015="","",MAX(IFERROR(INDEX('Paramètres'!$J$6:$J$33,MATCH(E1015,'Paramètres'!$I$6:$I$33,0)),0),IFERROR(INDEX('Paramètres'!$N$6:$N$17,MATCH(F1015,'Paramètres'!$M$6:$M$17,0)),0)))</f>
        <v/>
      </c>
      <c r="AU1015" s="61">
        <f>IF(E1015="","",IFERROR(IF(INDEX('Paramètres'!$K$6:$K$33,MATCH(E1015,'Paramètres'!$I$6:$I$33,0))="Oui",1,0),0))</f>
        <v/>
      </c>
      <c r="AV1015" s="61">
        <f>IF(F1015="","",IFERROR(IF(INDEX('Paramètres'!$O$6:$O$17,MATCH(F1015,'Paramètres'!$M$6:$M$17,0))="Oui",1,0),0))</f>
        <v/>
      </c>
      <c r="AW1015" s="62">
        <f>IF(E1015="","",IF(G1015&lt;&gt;"",G1015,IF(OR(E1015="Proposition envoyée",E1015="Signature"),MAX(0,N(IFERROR(INDEX('Paramètres'!$R$6:$R$15,MATCH(IF(AL1015&lt;&gt;"",AL1015,IFERROR(INDEX('Prospects'!$AN$5:$AN$504,MATCH(C1015,'Prospects'!$C$5:$C$504,0)),"")),'Paramètres'!$Q$6:$Q$15,0)),0))-N(P1015)),0)))</f>
        <v/>
      </c>
      <c r="AX1015" s="61">
        <f>IF(C1015="","",IF(COUNTIF($C$5:C1015,C1015)=1,MAX($AX$4:AX1014)+1,""))</f>
        <v/>
      </c>
      <c r="AY1015" s="61">
        <f>IF(B1015="","",HOUR(B1015))</f>
        <v/>
      </c>
      <c r="AZ1015" s="61">
        <f>IF(A1015="","",MOD(A1015-2,7)+1)</f>
        <v/>
      </c>
      <c r="BA1015" s="60">
        <f>IF(C1015="","",IFERROR(INDEX('Prospects'!$N$5:$N$504,MATCH(C1015,'Prospects'!$C$5:$C$504,0)),""))</f>
        <v/>
      </c>
      <c r="BB1015" s="61">
        <f>IF(AND(C1015&lt;&gt;"",C1015='Fiche prospect'!$C$4),COUNTIF($C$5:C1015,C1015),"")</f>
        <v/>
      </c>
    </row>
    <row r="1016">
      <c r="A1016" s="53" t="n"/>
      <c r="B1016" s="54" t="n"/>
      <c r="C1016" s="55" t="n"/>
      <c r="D1016" s="55" t="n"/>
      <c r="E1016" s="55" t="n"/>
      <c r="F1016" s="55" t="n"/>
      <c r="G1016" s="56" t="n"/>
      <c r="H1016" s="57" t="n"/>
      <c r="I1016" s="55" t="n"/>
      <c r="J1016" s="53" t="n"/>
      <c r="K1016" s="54" t="n"/>
      <c r="L1016" s="55" t="n"/>
      <c r="M1016" s="55" t="n"/>
      <c r="N1016" s="57" t="n"/>
      <c r="O1016" s="55" t="n"/>
      <c r="P1016" s="56" t="n"/>
      <c r="Q1016" s="55" t="n"/>
      <c r="R1016" s="55" t="n"/>
      <c r="S1016" s="55" t="n"/>
      <c r="T1016" s="55" t="n"/>
      <c r="U1016" s="55" t="n"/>
      <c r="V1016" s="55" t="n"/>
      <c r="W1016" s="58" t="n"/>
      <c r="X1016" s="58" t="n"/>
      <c r="Y1016" s="55" t="n"/>
      <c r="Z1016" s="55" t="n"/>
      <c r="AA1016" s="55" t="n"/>
      <c r="AB1016" s="55" t="n"/>
      <c r="AC1016" s="55" t="n"/>
      <c r="AD1016" s="53" t="n"/>
      <c r="AE1016" s="55" t="n"/>
      <c r="AF1016" s="55" t="n"/>
      <c r="AG1016" s="59" t="n"/>
      <c r="AH1016" s="57" t="n"/>
      <c r="AI1016" s="55" t="n"/>
      <c r="AJ1016" s="55" t="n"/>
      <c r="AK1016" s="55" t="n"/>
      <c r="AL1016" s="55" t="n"/>
      <c r="AM1016" s="56" t="n"/>
      <c r="AN1016" s="55" t="n"/>
      <c r="AO1016" s="55" t="n"/>
      <c r="AP1016" s="55" t="n"/>
      <c r="AQ1016" s="55" t="n"/>
      <c r="AR1016" s="60">
        <f>IF(AND(C1016="",E1016=""),"",IF(A1016="","⚠ Date manquante",IF(AND(C1016="",E1016&lt;&gt;"Dépense"),"⚠ Prospect manquant",IF(E1016="","⚠ Action manquante",IF(AND(AU1016=1,D1016=""),"⚠ Canal manquant",IF(AND(W1016&lt;&gt;"",COUNTIFS('Saisie'!$W$5:$W$2004,W1016,'Saisie'!$C$5:$C$2004,"&lt;&gt;"&amp;C1016)&gt;0),"⚠ Numéro déjà utilisé par un autre prospect",IF(AND(J1016&lt;&gt;"",J1016&lt;A1016),"⚠ Relance avant la date de l'action",IF(A1016&gt;TODAY(),"⚠ Date dans le futur","✓"))))))))</f>
        <v/>
      </c>
      <c r="AS1016" s="61">
        <f>IF(AND(A1016="",C1016="",E1016=""),"",ROW())</f>
        <v/>
      </c>
      <c r="AT1016" s="61">
        <f>IF(E1016&amp;F1016="","",MAX(IFERROR(INDEX('Paramètres'!$J$6:$J$33,MATCH(E1016,'Paramètres'!$I$6:$I$33,0)),0),IFERROR(INDEX('Paramètres'!$N$6:$N$17,MATCH(F1016,'Paramètres'!$M$6:$M$17,0)),0)))</f>
        <v/>
      </c>
      <c r="AU1016" s="61">
        <f>IF(E1016="","",IFERROR(IF(INDEX('Paramètres'!$K$6:$K$33,MATCH(E1016,'Paramètres'!$I$6:$I$33,0))="Oui",1,0),0))</f>
        <v/>
      </c>
      <c r="AV1016" s="61">
        <f>IF(F1016="","",IFERROR(IF(INDEX('Paramètres'!$O$6:$O$17,MATCH(F1016,'Paramètres'!$M$6:$M$17,0))="Oui",1,0),0))</f>
        <v/>
      </c>
      <c r="AW1016" s="62">
        <f>IF(E1016="","",IF(G1016&lt;&gt;"",G1016,IF(OR(E1016="Proposition envoyée",E1016="Signature"),MAX(0,N(IFERROR(INDEX('Paramètres'!$R$6:$R$15,MATCH(IF(AL1016&lt;&gt;"",AL1016,IFERROR(INDEX('Prospects'!$AN$5:$AN$504,MATCH(C1016,'Prospects'!$C$5:$C$504,0)),"")),'Paramètres'!$Q$6:$Q$15,0)),0))-N(P1016)),0)))</f>
        <v/>
      </c>
      <c r="AX1016" s="61">
        <f>IF(C1016="","",IF(COUNTIF($C$5:C1016,C1016)=1,MAX($AX$4:AX1015)+1,""))</f>
        <v/>
      </c>
      <c r="AY1016" s="61">
        <f>IF(B1016="","",HOUR(B1016))</f>
        <v/>
      </c>
      <c r="AZ1016" s="61">
        <f>IF(A1016="","",MOD(A1016-2,7)+1)</f>
        <v/>
      </c>
      <c r="BA1016" s="60">
        <f>IF(C1016="","",IFERROR(INDEX('Prospects'!$N$5:$N$504,MATCH(C1016,'Prospects'!$C$5:$C$504,0)),""))</f>
        <v/>
      </c>
      <c r="BB1016" s="61">
        <f>IF(AND(C1016&lt;&gt;"",C1016='Fiche prospect'!$C$4),COUNTIF($C$5:C1016,C1016),"")</f>
        <v/>
      </c>
    </row>
    <row r="1017">
      <c r="A1017" s="53" t="n"/>
      <c r="B1017" s="54" t="n"/>
      <c r="C1017" s="55" t="n"/>
      <c r="D1017" s="55" t="n"/>
      <c r="E1017" s="55" t="n"/>
      <c r="F1017" s="55" t="n"/>
      <c r="G1017" s="56" t="n"/>
      <c r="H1017" s="57" t="n"/>
      <c r="I1017" s="55" t="n"/>
      <c r="J1017" s="53" t="n"/>
      <c r="K1017" s="54" t="n"/>
      <c r="L1017" s="55" t="n"/>
      <c r="M1017" s="55" t="n"/>
      <c r="N1017" s="57" t="n"/>
      <c r="O1017" s="55" t="n"/>
      <c r="P1017" s="56" t="n"/>
      <c r="Q1017" s="55" t="n"/>
      <c r="R1017" s="55" t="n"/>
      <c r="S1017" s="55" t="n"/>
      <c r="T1017" s="55" t="n"/>
      <c r="U1017" s="55" t="n"/>
      <c r="V1017" s="55" t="n"/>
      <c r="W1017" s="58" t="n"/>
      <c r="X1017" s="58" t="n"/>
      <c r="Y1017" s="55" t="n"/>
      <c r="Z1017" s="55" t="n"/>
      <c r="AA1017" s="55" t="n"/>
      <c r="AB1017" s="55" t="n"/>
      <c r="AC1017" s="55" t="n"/>
      <c r="AD1017" s="53" t="n"/>
      <c r="AE1017" s="55" t="n"/>
      <c r="AF1017" s="55" t="n"/>
      <c r="AG1017" s="59" t="n"/>
      <c r="AH1017" s="57" t="n"/>
      <c r="AI1017" s="55" t="n"/>
      <c r="AJ1017" s="55" t="n"/>
      <c r="AK1017" s="55" t="n"/>
      <c r="AL1017" s="55" t="n"/>
      <c r="AM1017" s="56" t="n"/>
      <c r="AN1017" s="55" t="n"/>
      <c r="AO1017" s="55" t="n"/>
      <c r="AP1017" s="55" t="n"/>
      <c r="AQ1017" s="55" t="n"/>
      <c r="AR1017" s="60">
        <f>IF(AND(C1017="",E1017=""),"",IF(A1017="","⚠ Date manquante",IF(AND(C1017="",E1017&lt;&gt;"Dépense"),"⚠ Prospect manquant",IF(E1017="","⚠ Action manquante",IF(AND(AU1017=1,D1017=""),"⚠ Canal manquant",IF(AND(W1017&lt;&gt;"",COUNTIFS('Saisie'!$W$5:$W$2004,W1017,'Saisie'!$C$5:$C$2004,"&lt;&gt;"&amp;C1017)&gt;0),"⚠ Numéro déjà utilisé par un autre prospect",IF(AND(J1017&lt;&gt;"",J1017&lt;A1017),"⚠ Relance avant la date de l'action",IF(A1017&gt;TODAY(),"⚠ Date dans le futur","✓"))))))))</f>
        <v/>
      </c>
      <c r="AS1017" s="61">
        <f>IF(AND(A1017="",C1017="",E1017=""),"",ROW())</f>
        <v/>
      </c>
      <c r="AT1017" s="61">
        <f>IF(E1017&amp;F1017="","",MAX(IFERROR(INDEX('Paramètres'!$J$6:$J$33,MATCH(E1017,'Paramètres'!$I$6:$I$33,0)),0),IFERROR(INDEX('Paramètres'!$N$6:$N$17,MATCH(F1017,'Paramètres'!$M$6:$M$17,0)),0)))</f>
        <v/>
      </c>
      <c r="AU1017" s="61">
        <f>IF(E1017="","",IFERROR(IF(INDEX('Paramètres'!$K$6:$K$33,MATCH(E1017,'Paramètres'!$I$6:$I$33,0))="Oui",1,0),0))</f>
        <v/>
      </c>
      <c r="AV1017" s="61">
        <f>IF(F1017="","",IFERROR(IF(INDEX('Paramètres'!$O$6:$O$17,MATCH(F1017,'Paramètres'!$M$6:$M$17,0))="Oui",1,0),0))</f>
        <v/>
      </c>
      <c r="AW1017" s="62">
        <f>IF(E1017="","",IF(G1017&lt;&gt;"",G1017,IF(OR(E1017="Proposition envoyée",E1017="Signature"),MAX(0,N(IFERROR(INDEX('Paramètres'!$R$6:$R$15,MATCH(IF(AL1017&lt;&gt;"",AL1017,IFERROR(INDEX('Prospects'!$AN$5:$AN$504,MATCH(C1017,'Prospects'!$C$5:$C$504,0)),"")),'Paramètres'!$Q$6:$Q$15,0)),0))-N(P1017)),0)))</f>
        <v/>
      </c>
      <c r="AX1017" s="61">
        <f>IF(C1017="","",IF(COUNTIF($C$5:C1017,C1017)=1,MAX($AX$4:AX1016)+1,""))</f>
        <v/>
      </c>
      <c r="AY1017" s="61">
        <f>IF(B1017="","",HOUR(B1017))</f>
        <v/>
      </c>
      <c r="AZ1017" s="61">
        <f>IF(A1017="","",MOD(A1017-2,7)+1)</f>
        <v/>
      </c>
      <c r="BA1017" s="60">
        <f>IF(C1017="","",IFERROR(INDEX('Prospects'!$N$5:$N$504,MATCH(C1017,'Prospects'!$C$5:$C$504,0)),""))</f>
        <v/>
      </c>
      <c r="BB1017" s="61">
        <f>IF(AND(C1017&lt;&gt;"",C1017='Fiche prospect'!$C$4),COUNTIF($C$5:C1017,C1017),"")</f>
        <v/>
      </c>
    </row>
    <row r="1018">
      <c r="A1018" s="53" t="n"/>
      <c r="B1018" s="54" t="n"/>
      <c r="C1018" s="55" t="n"/>
      <c r="D1018" s="55" t="n"/>
      <c r="E1018" s="55" t="n"/>
      <c r="F1018" s="55" t="n"/>
      <c r="G1018" s="56" t="n"/>
      <c r="H1018" s="57" t="n"/>
      <c r="I1018" s="55" t="n"/>
      <c r="J1018" s="53" t="n"/>
      <c r="K1018" s="54" t="n"/>
      <c r="L1018" s="55" t="n"/>
      <c r="M1018" s="55" t="n"/>
      <c r="N1018" s="57" t="n"/>
      <c r="O1018" s="55" t="n"/>
      <c r="P1018" s="56" t="n"/>
      <c r="Q1018" s="55" t="n"/>
      <c r="R1018" s="55" t="n"/>
      <c r="S1018" s="55" t="n"/>
      <c r="T1018" s="55" t="n"/>
      <c r="U1018" s="55" t="n"/>
      <c r="V1018" s="55" t="n"/>
      <c r="W1018" s="58" t="n"/>
      <c r="X1018" s="58" t="n"/>
      <c r="Y1018" s="55" t="n"/>
      <c r="Z1018" s="55" t="n"/>
      <c r="AA1018" s="55" t="n"/>
      <c r="AB1018" s="55" t="n"/>
      <c r="AC1018" s="55" t="n"/>
      <c r="AD1018" s="53" t="n"/>
      <c r="AE1018" s="55" t="n"/>
      <c r="AF1018" s="55" t="n"/>
      <c r="AG1018" s="59" t="n"/>
      <c r="AH1018" s="57" t="n"/>
      <c r="AI1018" s="55" t="n"/>
      <c r="AJ1018" s="55" t="n"/>
      <c r="AK1018" s="55" t="n"/>
      <c r="AL1018" s="55" t="n"/>
      <c r="AM1018" s="56" t="n"/>
      <c r="AN1018" s="55" t="n"/>
      <c r="AO1018" s="55" t="n"/>
      <c r="AP1018" s="55" t="n"/>
      <c r="AQ1018" s="55" t="n"/>
      <c r="AR1018" s="60">
        <f>IF(AND(C1018="",E1018=""),"",IF(A1018="","⚠ Date manquante",IF(AND(C1018="",E1018&lt;&gt;"Dépense"),"⚠ Prospect manquant",IF(E1018="","⚠ Action manquante",IF(AND(AU1018=1,D1018=""),"⚠ Canal manquant",IF(AND(W1018&lt;&gt;"",COUNTIFS('Saisie'!$W$5:$W$2004,W1018,'Saisie'!$C$5:$C$2004,"&lt;&gt;"&amp;C1018)&gt;0),"⚠ Numéro déjà utilisé par un autre prospect",IF(AND(J1018&lt;&gt;"",J1018&lt;A1018),"⚠ Relance avant la date de l'action",IF(A1018&gt;TODAY(),"⚠ Date dans le futur","✓"))))))))</f>
        <v/>
      </c>
      <c r="AS1018" s="61">
        <f>IF(AND(A1018="",C1018="",E1018=""),"",ROW())</f>
        <v/>
      </c>
      <c r="AT1018" s="61">
        <f>IF(E1018&amp;F1018="","",MAX(IFERROR(INDEX('Paramètres'!$J$6:$J$33,MATCH(E1018,'Paramètres'!$I$6:$I$33,0)),0),IFERROR(INDEX('Paramètres'!$N$6:$N$17,MATCH(F1018,'Paramètres'!$M$6:$M$17,0)),0)))</f>
        <v/>
      </c>
      <c r="AU1018" s="61">
        <f>IF(E1018="","",IFERROR(IF(INDEX('Paramètres'!$K$6:$K$33,MATCH(E1018,'Paramètres'!$I$6:$I$33,0))="Oui",1,0),0))</f>
        <v/>
      </c>
      <c r="AV1018" s="61">
        <f>IF(F1018="","",IFERROR(IF(INDEX('Paramètres'!$O$6:$O$17,MATCH(F1018,'Paramètres'!$M$6:$M$17,0))="Oui",1,0),0))</f>
        <v/>
      </c>
      <c r="AW1018" s="62">
        <f>IF(E1018="","",IF(G1018&lt;&gt;"",G1018,IF(OR(E1018="Proposition envoyée",E1018="Signature"),MAX(0,N(IFERROR(INDEX('Paramètres'!$R$6:$R$15,MATCH(IF(AL1018&lt;&gt;"",AL1018,IFERROR(INDEX('Prospects'!$AN$5:$AN$504,MATCH(C1018,'Prospects'!$C$5:$C$504,0)),"")),'Paramètres'!$Q$6:$Q$15,0)),0))-N(P1018)),0)))</f>
        <v/>
      </c>
      <c r="AX1018" s="61">
        <f>IF(C1018="","",IF(COUNTIF($C$5:C1018,C1018)=1,MAX($AX$4:AX1017)+1,""))</f>
        <v/>
      </c>
      <c r="AY1018" s="61">
        <f>IF(B1018="","",HOUR(B1018))</f>
        <v/>
      </c>
      <c r="AZ1018" s="61">
        <f>IF(A1018="","",MOD(A1018-2,7)+1)</f>
        <v/>
      </c>
      <c r="BA1018" s="60">
        <f>IF(C1018="","",IFERROR(INDEX('Prospects'!$N$5:$N$504,MATCH(C1018,'Prospects'!$C$5:$C$504,0)),""))</f>
        <v/>
      </c>
      <c r="BB1018" s="61">
        <f>IF(AND(C1018&lt;&gt;"",C1018='Fiche prospect'!$C$4),COUNTIF($C$5:C1018,C1018),"")</f>
        <v/>
      </c>
    </row>
    <row r="1019">
      <c r="A1019" s="53" t="n"/>
      <c r="B1019" s="54" t="n"/>
      <c r="C1019" s="55" t="n"/>
      <c r="D1019" s="55" t="n"/>
      <c r="E1019" s="55" t="n"/>
      <c r="F1019" s="55" t="n"/>
      <c r="G1019" s="56" t="n"/>
      <c r="H1019" s="57" t="n"/>
      <c r="I1019" s="55" t="n"/>
      <c r="J1019" s="53" t="n"/>
      <c r="K1019" s="54" t="n"/>
      <c r="L1019" s="55" t="n"/>
      <c r="M1019" s="55" t="n"/>
      <c r="N1019" s="57" t="n"/>
      <c r="O1019" s="55" t="n"/>
      <c r="P1019" s="56" t="n"/>
      <c r="Q1019" s="55" t="n"/>
      <c r="R1019" s="55" t="n"/>
      <c r="S1019" s="55" t="n"/>
      <c r="T1019" s="55" t="n"/>
      <c r="U1019" s="55" t="n"/>
      <c r="V1019" s="55" t="n"/>
      <c r="W1019" s="58" t="n"/>
      <c r="X1019" s="58" t="n"/>
      <c r="Y1019" s="55" t="n"/>
      <c r="Z1019" s="55" t="n"/>
      <c r="AA1019" s="55" t="n"/>
      <c r="AB1019" s="55" t="n"/>
      <c r="AC1019" s="55" t="n"/>
      <c r="AD1019" s="53" t="n"/>
      <c r="AE1019" s="55" t="n"/>
      <c r="AF1019" s="55" t="n"/>
      <c r="AG1019" s="59" t="n"/>
      <c r="AH1019" s="57" t="n"/>
      <c r="AI1019" s="55" t="n"/>
      <c r="AJ1019" s="55" t="n"/>
      <c r="AK1019" s="55" t="n"/>
      <c r="AL1019" s="55" t="n"/>
      <c r="AM1019" s="56" t="n"/>
      <c r="AN1019" s="55" t="n"/>
      <c r="AO1019" s="55" t="n"/>
      <c r="AP1019" s="55" t="n"/>
      <c r="AQ1019" s="55" t="n"/>
      <c r="AR1019" s="60">
        <f>IF(AND(C1019="",E1019=""),"",IF(A1019="","⚠ Date manquante",IF(AND(C1019="",E1019&lt;&gt;"Dépense"),"⚠ Prospect manquant",IF(E1019="","⚠ Action manquante",IF(AND(AU1019=1,D1019=""),"⚠ Canal manquant",IF(AND(W1019&lt;&gt;"",COUNTIFS('Saisie'!$W$5:$W$2004,W1019,'Saisie'!$C$5:$C$2004,"&lt;&gt;"&amp;C1019)&gt;0),"⚠ Numéro déjà utilisé par un autre prospect",IF(AND(J1019&lt;&gt;"",J1019&lt;A1019),"⚠ Relance avant la date de l'action",IF(A1019&gt;TODAY(),"⚠ Date dans le futur","✓"))))))))</f>
        <v/>
      </c>
      <c r="AS1019" s="61">
        <f>IF(AND(A1019="",C1019="",E1019=""),"",ROW())</f>
        <v/>
      </c>
      <c r="AT1019" s="61">
        <f>IF(E1019&amp;F1019="","",MAX(IFERROR(INDEX('Paramètres'!$J$6:$J$33,MATCH(E1019,'Paramètres'!$I$6:$I$33,0)),0),IFERROR(INDEX('Paramètres'!$N$6:$N$17,MATCH(F1019,'Paramètres'!$M$6:$M$17,0)),0)))</f>
        <v/>
      </c>
      <c r="AU1019" s="61">
        <f>IF(E1019="","",IFERROR(IF(INDEX('Paramètres'!$K$6:$K$33,MATCH(E1019,'Paramètres'!$I$6:$I$33,0))="Oui",1,0),0))</f>
        <v/>
      </c>
      <c r="AV1019" s="61">
        <f>IF(F1019="","",IFERROR(IF(INDEX('Paramètres'!$O$6:$O$17,MATCH(F1019,'Paramètres'!$M$6:$M$17,0))="Oui",1,0),0))</f>
        <v/>
      </c>
      <c r="AW1019" s="62">
        <f>IF(E1019="","",IF(G1019&lt;&gt;"",G1019,IF(OR(E1019="Proposition envoyée",E1019="Signature"),MAX(0,N(IFERROR(INDEX('Paramètres'!$R$6:$R$15,MATCH(IF(AL1019&lt;&gt;"",AL1019,IFERROR(INDEX('Prospects'!$AN$5:$AN$504,MATCH(C1019,'Prospects'!$C$5:$C$504,0)),"")),'Paramètres'!$Q$6:$Q$15,0)),0))-N(P1019)),0)))</f>
        <v/>
      </c>
      <c r="AX1019" s="61">
        <f>IF(C1019="","",IF(COUNTIF($C$5:C1019,C1019)=1,MAX($AX$4:AX1018)+1,""))</f>
        <v/>
      </c>
      <c r="AY1019" s="61">
        <f>IF(B1019="","",HOUR(B1019))</f>
        <v/>
      </c>
      <c r="AZ1019" s="61">
        <f>IF(A1019="","",MOD(A1019-2,7)+1)</f>
        <v/>
      </c>
      <c r="BA1019" s="60">
        <f>IF(C1019="","",IFERROR(INDEX('Prospects'!$N$5:$N$504,MATCH(C1019,'Prospects'!$C$5:$C$504,0)),""))</f>
        <v/>
      </c>
      <c r="BB1019" s="61">
        <f>IF(AND(C1019&lt;&gt;"",C1019='Fiche prospect'!$C$4),COUNTIF($C$5:C1019,C1019),"")</f>
        <v/>
      </c>
    </row>
    <row r="1020">
      <c r="A1020" s="53" t="n"/>
      <c r="B1020" s="54" t="n"/>
      <c r="C1020" s="55" t="n"/>
      <c r="D1020" s="55" t="n"/>
      <c r="E1020" s="55" t="n"/>
      <c r="F1020" s="55" t="n"/>
      <c r="G1020" s="56" t="n"/>
      <c r="H1020" s="57" t="n"/>
      <c r="I1020" s="55" t="n"/>
      <c r="J1020" s="53" t="n"/>
      <c r="K1020" s="54" t="n"/>
      <c r="L1020" s="55" t="n"/>
      <c r="M1020" s="55" t="n"/>
      <c r="N1020" s="57" t="n"/>
      <c r="O1020" s="55" t="n"/>
      <c r="P1020" s="56" t="n"/>
      <c r="Q1020" s="55" t="n"/>
      <c r="R1020" s="55" t="n"/>
      <c r="S1020" s="55" t="n"/>
      <c r="T1020" s="55" t="n"/>
      <c r="U1020" s="55" t="n"/>
      <c r="V1020" s="55" t="n"/>
      <c r="W1020" s="58" t="n"/>
      <c r="X1020" s="58" t="n"/>
      <c r="Y1020" s="55" t="n"/>
      <c r="Z1020" s="55" t="n"/>
      <c r="AA1020" s="55" t="n"/>
      <c r="AB1020" s="55" t="n"/>
      <c r="AC1020" s="55" t="n"/>
      <c r="AD1020" s="53" t="n"/>
      <c r="AE1020" s="55" t="n"/>
      <c r="AF1020" s="55" t="n"/>
      <c r="AG1020" s="59" t="n"/>
      <c r="AH1020" s="57" t="n"/>
      <c r="AI1020" s="55" t="n"/>
      <c r="AJ1020" s="55" t="n"/>
      <c r="AK1020" s="55" t="n"/>
      <c r="AL1020" s="55" t="n"/>
      <c r="AM1020" s="56" t="n"/>
      <c r="AN1020" s="55" t="n"/>
      <c r="AO1020" s="55" t="n"/>
      <c r="AP1020" s="55" t="n"/>
      <c r="AQ1020" s="55" t="n"/>
      <c r="AR1020" s="60">
        <f>IF(AND(C1020="",E1020=""),"",IF(A1020="","⚠ Date manquante",IF(AND(C1020="",E1020&lt;&gt;"Dépense"),"⚠ Prospect manquant",IF(E1020="","⚠ Action manquante",IF(AND(AU1020=1,D1020=""),"⚠ Canal manquant",IF(AND(W1020&lt;&gt;"",COUNTIFS('Saisie'!$W$5:$W$2004,W1020,'Saisie'!$C$5:$C$2004,"&lt;&gt;"&amp;C1020)&gt;0),"⚠ Numéro déjà utilisé par un autre prospect",IF(AND(J1020&lt;&gt;"",J1020&lt;A1020),"⚠ Relance avant la date de l'action",IF(A1020&gt;TODAY(),"⚠ Date dans le futur","✓"))))))))</f>
        <v/>
      </c>
      <c r="AS1020" s="61">
        <f>IF(AND(A1020="",C1020="",E1020=""),"",ROW())</f>
        <v/>
      </c>
      <c r="AT1020" s="61">
        <f>IF(E1020&amp;F1020="","",MAX(IFERROR(INDEX('Paramètres'!$J$6:$J$33,MATCH(E1020,'Paramètres'!$I$6:$I$33,0)),0),IFERROR(INDEX('Paramètres'!$N$6:$N$17,MATCH(F1020,'Paramètres'!$M$6:$M$17,0)),0)))</f>
        <v/>
      </c>
      <c r="AU1020" s="61">
        <f>IF(E1020="","",IFERROR(IF(INDEX('Paramètres'!$K$6:$K$33,MATCH(E1020,'Paramètres'!$I$6:$I$33,0))="Oui",1,0),0))</f>
        <v/>
      </c>
      <c r="AV1020" s="61">
        <f>IF(F1020="","",IFERROR(IF(INDEX('Paramètres'!$O$6:$O$17,MATCH(F1020,'Paramètres'!$M$6:$M$17,0))="Oui",1,0),0))</f>
        <v/>
      </c>
      <c r="AW1020" s="62">
        <f>IF(E1020="","",IF(G1020&lt;&gt;"",G1020,IF(OR(E1020="Proposition envoyée",E1020="Signature"),MAX(0,N(IFERROR(INDEX('Paramètres'!$R$6:$R$15,MATCH(IF(AL1020&lt;&gt;"",AL1020,IFERROR(INDEX('Prospects'!$AN$5:$AN$504,MATCH(C1020,'Prospects'!$C$5:$C$504,0)),"")),'Paramètres'!$Q$6:$Q$15,0)),0))-N(P1020)),0)))</f>
        <v/>
      </c>
      <c r="AX1020" s="61">
        <f>IF(C1020="","",IF(COUNTIF($C$5:C1020,C1020)=1,MAX($AX$4:AX1019)+1,""))</f>
        <v/>
      </c>
      <c r="AY1020" s="61">
        <f>IF(B1020="","",HOUR(B1020))</f>
        <v/>
      </c>
      <c r="AZ1020" s="61">
        <f>IF(A1020="","",MOD(A1020-2,7)+1)</f>
        <v/>
      </c>
      <c r="BA1020" s="60">
        <f>IF(C1020="","",IFERROR(INDEX('Prospects'!$N$5:$N$504,MATCH(C1020,'Prospects'!$C$5:$C$504,0)),""))</f>
        <v/>
      </c>
      <c r="BB1020" s="61">
        <f>IF(AND(C1020&lt;&gt;"",C1020='Fiche prospect'!$C$4),COUNTIF($C$5:C1020,C1020),"")</f>
        <v/>
      </c>
    </row>
    <row r="1021">
      <c r="A1021" s="53" t="n"/>
      <c r="B1021" s="54" t="n"/>
      <c r="C1021" s="55" t="n"/>
      <c r="D1021" s="55" t="n"/>
      <c r="E1021" s="55" t="n"/>
      <c r="F1021" s="55" t="n"/>
      <c r="G1021" s="56" t="n"/>
      <c r="H1021" s="57" t="n"/>
      <c r="I1021" s="55" t="n"/>
      <c r="J1021" s="53" t="n"/>
      <c r="K1021" s="54" t="n"/>
      <c r="L1021" s="55" t="n"/>
      <c r="M1021" s="55" t="n"/>
      <c r="N1021" s="57" t="n"/>
      <c r="O1021" s="55" t="n"/>
      <c r="P1021" s="56" t="n"/>
      <c r="Q1021" s="55" t="n"/>
      <c r="R1021" s="55" t="n"/>
      <c r="S1021" s="55" t="n"/>
      <c r="T1021" s="55" t="n"/>
      <c r="U1021" s="55" t="n"/>
      <c r="V1021" s="55" t="n"/>
      <c r="W1021" s="58" t="n"/>
      <c r="X1021" s="58" t="n"/>
      <c r="Y1021" s="55" t="n"/>
      <c r="Z1021" s="55" t="n"/>
      <c r="AA1021" s="55" t="n"/>
      <c r="AB1021" s="55" t="n"/>
      <c r="AC1021" s="55" t="n"/>
      <c r="AD1021" s="53" t="n"/>
      <c r="AE1021" s="55" t="n"/>
      <c r="AF1021" s="55" t="n"/>
      <c r="AG1021" s="59" t="n"/>
      <c r="AH1021" s="57" t="n"/>
      <c r="AI1021" s="55" t="n"/>
      <c r="AJ1021" s="55" t="n"/>
      <c r="AK1021" s="55" t="n"/>
      <c r="AL1021" s="55" t="n"/>
      <c r="AM1021" s="56" t="n"/>
      <c r="AN1021" s="55" t="n"/>
      <c r="AO1021" s="55" t="n"/>
      <c r="AP1021" s="55" t="n"/>
      <c r="AQ1021" s="55" t="n"/>
      <c r="AR1021" s="60">
        <f>IF(AND(C1021="",E1021=""),"",IF(A1021="","⚠ Date manquante",IF(AND(C1021="",E1021&lt;&gt;"Dépense"),"⚠ Prospect manquant",IF(E1021="","⚠ Action manquante",IF(AND(AU1021=1,D1021=""),"⚠ Canal manquant",IF(AND(W1021&lt;&gt;"",COUNTIFS('Saisie'!$W$5:$W$2004,W1021,'Saisie'!$C$5:$C$2004,"&lt;&gt;"&amp;C1021)&gt;0),"⚠ Numéro déjà utilisé par un autre prospect",IF(AND(J1021&lt;&gt;"",J1021&lt;A1021),"⚠ Relance avant la date de l'action",IF(A1021&gt;TODAY(),"⚠ Date dans le futur","✓"))))))))</f>
        <v/>
      </c>
      <c r="AS1021" s="61">
        <f>IF(AND(A1021="",C1021="",E1021=""),"",ROW())</f>
        <v/>
      </c>
      <c r="AT1021" s="61">
        <f>IF(E1021&amp;F1021="","",MAX(IFERROR(INDEX('Paramètres'!$J$6:$J$33,MATCH(E1021,'Paramètres'!$I$6:$I$33,0)),0),IFERROR(INDEX('Paramètres'!$N$6:$N$17,MATCH(F1021,'Paramètres'!$M$6:$M$17,0)),0)))</f>
        <v/>
      </c>
      <c r="AU1021" s="61">
        <f>IF(E1021="","",IFERROR(IF(INDEX('Paramètres'!$K$6:$K$33,MATCH(E1021,'Paramètres'!$I$6:$I$33,0))="Oui",1,0),0))</f>
        <v/>
      </c>
      <c r="AV1021" s="61">
        <f>IF(F1021="","",IFERROR(IF(INDEX('Paramètres'!$O$6:$O$17,MATCH(F1021,'Paramètres'!$M$6:$M$17,0))="Oui",1,0),0))</f>
        <v/>
      </c>
      <c r="AW1021" s="62">
        <f>IF(E1021="","",IF(G1021&lt;&gt;"",G1021,IF(OR(E1021="Proposition envoyée",E1021="Signature"),MAX(0,N(IFERROR(INDEX('Paramètres'!$R$6:$R$15,MATCH(IF(AL1021&lt;&gt;"",AL1021,IFERROR(INDEX('Prospects'!$AN$5:$AN$504,MATCH(C1021,'Prospects'!$C$5:$C$504,0)),"")),'Paramètres'!$Q$6:$Q$15,0)),0))-N(P1021)),0)))</f>
        <v/>
      </c>
      <c r="AX1021" s="61">
        <f>IF(C1021="","",IF(COUNTIF($C$5:C1021,C1021)=1,MAX($AX$4:AX1020)+1,""))</f>
        <v/>
      </c>
      <c r="AY1021" s="61">
        <f>IF(B1021="","",HOUR(B1021))</f>
        <v/>
      </c>
      <c r="AZ1021" s="61">
        <f>IF(A1021="","",MOD(A1021-2,7)+1)</f>
        <v/>
      </c>
      <c r="BA1021" s="60">
        <f>IF(C1021="","",IFERROR(INDEX('Prospects'!$N$5:$N$504,MATCH(C1021,'Prospects'!$C$5:$C$504,0)),""))</f>
        <v/>
      </c>
      <c r="BB1021" s="61">
        <f>IF(AND(C1021&lt;&gt;"",C1021='Fiche prospect'!$C$4),COUNTIF($C$5:C1021,C1021),"")</f>
        <v/>
      </c>
    </row>
    <row r="1022">
      <c r="A1022" s="53" t="n"/>
      <c r="B1022" s="54" t="n"/>
      <c r="C1022" s="55" t="n"/>
      <c r="D1022" s="55" t="n"/>
      <c r="E1022" s="55" t="n"/>
      <c r="F1022" s="55" t="n"/>
      <c r="G1022" s="56" t="n"/>
      <c r="H1022" s="57" t="n"/>
      <c r="I1022" s="55" t="n"/>
      <c r="J1022" s="53" t="n"/>
      <c r="K1022" s="54" t="n"/>
      <c r="L1022" s="55" t="n"/>
      <c r="M1022" s="55" t="n"/>
      <c r="N1022" s="57" t="n"/>
      <c r="O1022" s="55" t="n"/>
      <c r="P1022" s="56" t="n"/>
      <c r="Q1022" s="55" t="n"/>
      <c r="R1022" s="55" t="n"/>
      <c r="S1022" s="55" t="n"/>
      <c r="T1022" s="55" t="n"/>
      <c r="U1022" s="55" t="n"/>
      <c r="V1022" s="55" t="n"/>
      <c r="W1022" s="58" t="n"/>
      <c r="X1022" s="58" t="n"/>
      <c r="Y1022" s="55" t="n"/>
      <c r="Z1022" s="55" t="n"/>
      <c r="AA1022" s="55" t="n"/>
      <c r="AB1022" s="55" t="n"/>
      <c r="AC1022" s="55" t="n"/>
      <c r="AD1022" s="53" t="n"/>
      <c r="AE1022" s="55" t="n"/>
      <c r="AF1022" s="55" t="n"/>
      <c r="AG1022" s="59" t="n"/>
      <c r="AH1022" s="57" t="n"/>
      <c r="AI1022" s="55" t="n"/>
      <c r="AJ1022" s="55" t="n"/>
      <c r="AK1022" s="55" t="n"/>
      <c r="AL1022" s="55" t="n"/>
      <c r="AM1022" s="56" t="n"/>
      <c r="AN1022" s="55" t="n"/>
      <c r="AO1022" s="55" t="n"/>
      <c r="AP1022" s="55" t="n"/>
      <c r="AQ1022" s="55" t="n"/>
      <c r="AR1022" s="60">
        <f>IF(AND(C1022="",E1022=""),"",IF(A1022="","⚠ Date manquante",IF(AND(C1022="",E1022&lt;&gt;"Dépense"),"⚠ Prospect manquant",IF(E1022="","⚠ Action manquante",IF(AND(AU1022=1,D1022=""),"⚠ Canal manquant",IF(AND(W1022&lt;&gt;"",COUNTIFS('Saisie'!$W$5:$W$2004,W1022,'Saisie'!$C$5:$C$2004,"&lt;&gt;"&amp;C1022)&gt;0),"⚠ Numéro déjà utilisé par un autre prospect",IF(AND(J1022&lt;&gt;"",J1022&lt;A1022),"⚠ Relance avant la date de l'action",IF(A1022&gt;TODAY(),"⚠ Date dans le futur","✓"))))))))</f>
        <v/>
      </c>
      <c r="AS1022" s="61">
        <f>IF(AND(A1022="",C1022="",E1022=""),"",ROW())</f>
        <v/>
      </c>
      <c r="AT1022" s="61">
        <f>IF(E1022&amp;F1022="","",MAX(IFERROR(INDEX('Paramètres'!$J$6:$J$33,MATCH(E1022,'Paramètres'!$I$6:$I$33,0)),0),IFERROR(INDEX('Paramètres'!$N$6:$N$17,MATCH(F1022,'Paramètres'!$M$6:$M$17,0)),0)))</f>
        <v/>
      </c>
      <c r="AU1022" s="61">
        <f>IF(E1022="","",IFERROR(IF(INDEX('Paramètres'!$K$6:$K$33,MATCH(E1022,'Paramètres'!$I$6:$I$33,0))="Oui",1,0),0))</f>
        <v/>
      </c>
      <c r="AV1022" s="61">
        <f>IF(F1022="","",IFERROR(IF(INDEX('Paramètres'!$O$6:$O$17,MATCH(F1022,'Paramètres'!$M$6:$M$17,0))="Oui",1,0),0))</f>
        <v/>
      </c>
      <c r="AW1022" s="62">
        <f>IF(E1022="","",IF(G1022&lt;&gt;"",G1022,IF(OR(E1022="Proposition envoyée",E1022="Signature"),MAX(0,N(IFERROR(INDEX('Paramètres'!$R$6:$R$15,MATCH(IF(AL1022&lt;&gt;"",AL1022,IFERROR(INDEX('Prospects'!$AN$5:$AN$504,MATCH(C1022,'Prospects'!$C$5:$C$504,0)),"")),'Paramètres'!$Q$6:$Q$15,0)),0))-N(P1022)),0)))</f>
        <v/>
      </c>
      <c r="AX1022" s="61">
        <f>IF(C1022="","",IF(COUNTIF($C$5:C1022,C1022)=1,MAX($AX$4:AX1021)+1,""))</f>
        <v/>
      </c>
      <c r="AY1022" s="61">
        <f>IF(B1022="","",HOUR(B1022))</f>
        <v/>
      </c>
      <c r="AZ1022" s="61">
        <f>IF(A1022="","",MOD(A1022-2,7)+1)</f>
        <v/>
      </c>
      <c r="BA1022" s="60">
        <f>IF(C1022="","",IFERROR(INDEX('Prospects'!$N$5:$N$504,MATCH(C1022,'Prospects'!$C$5:$C$504,0)),""))</f>
        <v/>
      </c>
      <c r="BB1022" s="61">
        <f>IF(AND(C1022&lt;&gt;"",C1022='Fiche prospect'!$C$4),COUNTIF($C$5:C1022,C1022),"")</f>
        <v/>
      </c>
    </row>
    <row r="1023">
      <c r="A1023" s="53" t="n"/>
      <c r="B1023" s="54" t="n"/>
      <c r="C1023" s="55" t="n"/>
      <c r="D1023" s="55" t="n"/>
      <c r="E1023" s="55" t="n"/>
      <c r="F1023" s="55" t="n"/>
      <c r="G1023" s="56" t="n"/>
      <c r="H1023" s="57" t="n"/>
      <c r="I1023" s="55" t="n"/>
      <c r="J1023" s="53" t="n"/>
      <c r="K1023" s="54" t="n"/>
      <c r="L1023" s="55" t="n"/>
      <c r="M1023" s="55" t="n"/>
      <c r="N1023" s="57" t="n"/>
      <c r="O1023" s="55" t="n"/>
      <c r="P1023" s="56" t="n"/>
      <c r="Q1023" s="55" t="n"/>
      <c r="R1023" s="55" t="n"/>
      <c r="S1023" s="55" t="n"/>
      <c r="T1023" s="55" t="n"/>
      <c r="U1023" s="55" t="n"/>
      <c r="V1023" s="55" t="n"/>
      <c r="W1023" s="58" t="n"/>
      <c r="X1023" s="58" t="n"/>
      <c r="Y1023" s="55" t="n"/>
      <c r="Z1023" s="55" t="n"/>
      <c r="AA1023" s="55" t="n"/>
      <c r="AB1023" s="55" t="n"/>
      <c r="AC1023" s="55" t="n"/>
      <c r="AD1023" s="53" t="n"/>
      <c r="AE1023" s="55" t="n"/>
      <c r="AF1023" s="55" t="n"/>
      <c r="AG1023" s="59" t="n"/>
      <c r="AH1023" s="57" t="n"/>
      <c r="AI1023" s="55" t="n"/>
      <c r="AJ1023" s="55" t="n"/>
      <c r="AK1023" s="55" t="n"/>
      <c r="AL1023" s="55" t="n"/>
      <c r="AM1023" s="56" t="n"/>
      <c r="AN1023" s="55" t="n"/>
      <c r="AO1023" s="55" t="n"/>
      <c r="AP1023" s="55" t="n"/>
      <c r="AQ1023" s="55" t="n"/>
      <c r="AR1023" s="60">
        <f>IF(AND(C1023="",E1023=""),"",IF(A1023="","⚠ Date manquante",IF(AND(C1023="",E1023&lt;&gt;"Dépense"),"⚠ Prospect manquant",IF(E1023="","⚠ Action manquante",IF(AND(AU1023=1,D1023=""),"⚠ Canal manquant",IF(AND(W1023&lt;&gt;"",COUNTIFS('Saisie'!$W$5:$W$2004,W1023,'Saisie'!$C$5:$C$2004,"&lt;&gt;"&amp;C1023)&gt;0),"⚠ Numéro déjà utilisé par un autre prospect",IF(AND(J1023&lt;&gt;"",J1023&lt;A1023),"⚠ Relance avant la date de l'action",IF(A1023&gt;TODAY(),"⚠ Date dans le futur","✓"))))))))</f>
        <v/>
      </c>
      <c r="AS1023" s="61">
        <f>IF(AND(A1023="",C1023="",E1023=""),"",ROW())</f>
        <v/>
      </c>
      <c r="AT1023" s="61">
        <f>IF(E1023&amp;F1023="","",MAX(IFERROR(INDEX('Paramètres'!$J$6:$J$33,MATCH(E1023,'Paramètres'!$I$6:$I$33,0)),0),IFERROR(INDEX('Paramètres'!$N$6:$N$17,MATCH(F1023,'Paramètres'!$M$6:$M$17,0)),0)))</f>
        <v/>
      </c>
      <c r="AU1023" s="61">
        <f>IF(E1023="","",IFERROR(IF(INDEX('Paramètres'!$K$6:$K$33,MATCH(E1023,'Paramètres'!$I$6:$I$33,0))="Oui",1,0),0))</f>
        <v/>
      </c>
      <c r="AV1023" s="61">
        <f>IF(F1023="","",IFERROR(IF(INDEX('Paramètres'!$O$6:$O$17,MATCH(F1023,'Paramètres'!$M$6:$M$17,0))="Oui",1,0),0))</f>
        <v/>
      </c>
      <c r="AW1023" s="62">
        <f>IF(E1023="","",IF(G1023&lt;&gt;"",G1023,IF(OR(E1023="Proposition envoyée",E1023="Signature"),MAX(0,N(IFERROR(INDEX('Paramètres'!$R$6:$R$15,MATCH(IF(AL1023&lt;&gt;"",AL1023,IFERROR(INDEX('Prospects'!$AN$5:$AN$504,MATCH(C1023,'Prospects'!$C$5:$C$504,0)),"")),'Paramètres'!$Q$6:$Q$15,0)),0))-N(P1023)),0)))</f>
        <v/>
      </c>
      <c r="AX1023" s="61">
        <f>IF(C1023="","",IF(COUNTIF($C$5:C1023,C1023)=1,MAX($AX$4:AX1022)+1,""))</f>
        <v/>
      </c>
      <c r="AY1023" s="61">
        <f>IF(B1023="","",HOUR(B1023))</f>
        <v/>
      </c>
      <c r="AZ1023" s="61">
        <f>IF(A1023="","",MOD(A1023-2,7)+1)</f>
        <v/>
      </c>
      <c r="BA1023" s="60">
        <f>IF(C1023="","",IFERROR(INDEX('Prospects'!$N$5:$N$504,MATCH(C1023,'Prospects'!$C$5:$C$504,0)),""))</f>
        <v/>
      </c>
      <c r="BB1023" s="61">
        <f>IF(AND(C1023&lt;&gt;"",C1023='Fiche prospect'!$C$4),COUNTIF($C$5:C1023,C1023),"")</f>
        <v/>
      </c>
    </row>
    <row r="1024">
      <c r="A1024" s="53" t="n"/>
      <c r="B1024" s="54" t="n"/>
      <c r="C1024" s="55" t="n"/>
      <c r="D1024" s="55" t="n"/>
      <c r="E1024" s="55" t="n"/>
      <c r="F1024" s="55" t="n"/>
      <c r="G1024" s="56" t="n"/>
      <c r="H1024" s="57" t="n"/>
      <c r="I1024" s="55" t="n"/>
      <c r="J1024" s="53" t="n"/>
      <c r="K1024" s="54" t="n"/>
      <c r="L1024" s="55" t="n"/>
      <c r="M1024" s="55" t="n"/>
      <c r="N1024" s="57" t="n"/>
      <c r="O1024" s="55" t="n"/>
      <c r="P1024" s="56" t="n"/>
      <c r="Q1024" s="55" t="n"/>
      <c r="R1024" s="55" t="n"/>
      <c r="S1024" s="55" t="n"/>
      <c r="T1024" s="55" t="n"/>
      <c r="U1024" s="55" t="n"/>
      <c r="V1024" s="55" t="n"/>
      <c r="W1024" s="58" t="n"/>
      <c r="X1024" s="58" t="n"/>
      <c r="Y1024" s="55" t="n"/>
      <c r="Z1024" s="55" t="n"/>
      <c r="AA1024" s="55" t="n"/>
      <c r="AB1024" s="55" t="n"/>
      <c r="AC1024" s="55" t="n"/>
      <c r="AD1024" s="53" t="n"/>
      <c r="AE1024" s="55" t="n"/>
      <c r="AF1024" s="55" t="n"/>
      <c r="AG1024" s="59" t="n"/>
      <c r="AH1024" s="57" t="n"/>
      <c r="AI1024" s="55" t="n"/>
      <c r="AJ1024" s="55" t="n"/>
      <c r="AK1024" s="55" t="n"/>
      <c r="AL1024" s="55" t="n"/>
      <c r="AM1024" s="56" t="n"/>
      <c r="AN1024" s="55" t="n"/>
      <c r="AO1024" s="55" t="n"/>
      <c r="AP1024" s="55" t="n"/>
      <c r="AQ1024" s="55" t="n"/>
      <c r="AR1024" s="60">
        <f>IF(AND(C1024="",E1024=""),"",IF(A1024="","⚠ Date manquante",IF(AND(C1024="",E1024&lt;&gt;"Dépense"),"⚠ Prospect manquant",IF(E1024="","⚠ Action manquante",IF(AND(AU1024=1,D1024=""),"⚠ Canal manquant",IF(AND(W1024&lt;&gt;"",COUNTIFS('Saisie'!$W$5:$W$2004,W1024,'Saisie'!$C$5:$C$2004,"&lt;&gt;"&amp;C1024)&gt;0),"⚠ Numéro déjà utilisé par un autre prospect",IF(AND(J1024&lt;&gt;"",J1024&lt;A1024),"⚠ Relance avant la date de l'action",IF(A1024&gt;TODAY(),"⚠ Date dans le futur","✓"))))))))</f>
        <v/>
      </c>
      <c r="AS1024" s="61">
        <f>IF(AND(A1024="",C1024="",E1024=""),"",ROW())</f>
        <v/>
      </c>
      <c r="AT1024" s="61">
        <f>IF(E1024&amp;F1024="","",MAX(IFERROR(INDEX('Paramètres'!$J$6:$J$33,MATCH(E1024,'Paramètres'!$I$6:$I$33,0)),0),IFERROR(INDEX('Paramètres'!$N$6:$N$17,MATCH(F1024,'Paramètres'!$M$6:$M$17,0)),0)))</f>
        <v/>
      </c>
      <c r="AU1024" s="61">
        <f>IF(E1024="","",IFERROR(IF(INDEX('Paramètres'!$K$6:$K$33,MATCH(E1024,'Paramètres'!$I$6:$I$33,0))="Oui",1,0),0))</f>
        <v/>
      </c>
      <c r="AV1024" s="61">
        <f>IF(F1024="","",IFERROR(IF(INDEX('Paramètres'!$O$6:$O$17,MATCH(F1024,'Paramètres'!$M$6:$M$17,0))="Oui",1,0),0))</f>
        <v/>
      </c>
      <c r="AW1024" s="62">
        <f>IF(E1024="","",IF(G1024&lt;&gt;"",G1024,IF(OR(E1024="Proposition envoyée",E1024="Signature"),MAX(0,N(IFERROR(INDEX('Paramètres'!$R$6:$R$15,MATCH(IF(AL1024&lt;&gt;"",AL1024,IFERROR(INDEX('Prospects'!$AN$5:$AN$504,MATCH(C1024,'Prospects'!$C$5:$C$504,0)),"")),'Paramètres'!$Q$6:$Q$15,0)),0))-N(P1024)),0)))</f>
        <v/>
      </c>
      <c r="AX1024" s="61">
        <f>IF(C1024="","",IF(COUNTIF($C$5:C1024,C1024)=1,MAX($AX$4:AX1023)+1,""))</f>
        <v/>
      </c>
      <c r="AY1024" s="61">
        <f>IF(B1024="","",HOUR(B1024))</f>
        <v/>
      </c>
      <c r="AZ1024" s="61">
        <f>IF(A1024="","",MOD(A1024-2,7)+1)</f>
        <v/>
      </c>
      <c r="BA1024" s="60">
        <f>IF(C1024="","",IFERROR(INDEX('Prospects'!$N$5:$N$504,MATCH(C1024,'Prospects'!$C$5:$C$504,0)),""))</f>
        <v/>
      </c>
      <c r="BB1024" s="61">
        <f>IF(AND(C1024&lt;&gt;"",C1024='Fiche prospect'!$C$4),COUNTIF($C$5:C1024,C1024),"")</f>
        <v/>
      </c>
    </row>
    <row r="1025">
      <c r="A1025" s="53" t="n"/>
      <c r="B1025" s="54" t="n"/>
      <c r="C1025" s="55" t="n"/>
      <c r="D1025" s="55" t="n"/>
      <c r="E1025" s="55" t="n"/>
      <c r="F1025" s="55" t="n"/>
      <c r="G1025" s="56" t="n"/>
      <c r="H1025" s="57" t="n"/>
      <c r="I1025" s="55" t="n"/>
      <c r="J1025" s="53" t="n"/>
      <c r="K1025" s="54" t="n"/>
      <c r="L1025" s="55" t="n"/>
      <c r="M1025" s="55" t="n"/>
      <c r="N1025" s="57" t="n"/>
      <c r="O1025" s="55" t="n"/>
      <c r="P1025" s="56" t="n"/>
      <c r="Q1025" s="55" t="n"/>
      <c r="R1025" s="55" t="n"/>
      <c r="S1025" s="55" t="n"/>
      <c r="T1025" s="55" t="n"/>
      <c r="U1025" s="55" t="n"/>
      <c r="V1025" s="55" t="n"/>
      <c r="W1025" s="58" t="n"/>
      <c r="X1025" s="58" t="n"/>
      <c r="Y1025" s="55" t="n"/>
      <c r="Z1025" s="55" t="n"/>
      <c r="AA1025" s="55" t="n"/>
      <c r="AB1025" s="55" t="n"/>
      <c r="AC1025" s="55" t="n"/>
      <c r="AD1025" s="53" t="n"/>
      <c r="AE1025" s="55" t="n"/>
      <c r="AF1025" s="55" t="n"/>
      <c r="AG1025" s="59" t="n"/>
      <c r="AH1025" s="57" t="n"/>
      <c r="AI1025" s="55" t="n"/>
      <c r="AJ1025" s="55" t="n"/>
      <c r="AK1025" s="55" t="n"/>
      <c r="AL1025" s="55" t="n"/>
      <c r="AM1025" s="56" t="n"/>
      <c r="AN1025" s="55" t="n"/>
      <c r="AO1025" s="55" t="n"/>
      <c r="AP1025" s="55" t="n"/>
      <c r="AQ1025" s="55" t="n"/>
      <c r="AR1025" s="60">
        <f>IF(AND(C1025="",E1025=""),"",IF(A1025="","⚠ Date manquante",IF(AND(C1025="",E1025&lt;&gt;"Dépense"),"⚠ Prospect manquant",IF(E1025="","⚠ Action manquante",IF(AND(AU1025=1,D1025=""),"⚠ Canal manquant",IF(AND(W1025&lt;&gt;"",COUNTIFS('Saisie'!$W$5:$W$2004,W1025,'Saisie'!$C$5:$C$2004,"&lt;&gt;"&amp;C1025)&gt;0),"⚠ Numéro déjà utilisé par un autre prospect",IF(AND(J1025&lt;&gt;"",J1025&lt;A1025),"⚠ Relance avant la date de l'action",IF(A1025&gt;TODAY(),"⚠ Date dans le futur","✓"))))))))</f>
        <v/>
      </c>
      <c r="AS1025" s="61">
        <f>IF(AND(A1025="",C1025="",E1025=""),"",ROW())</f>
        <v/>
      </c>
      <c r="AT1025" s="61">
        <f>IF(E1025&amp;F1025="","",MAX(IFERROR(INDEX('Paramètres'!$J$6:$J$33,MATCH(E1025,'Paramètres'!$I$6:$I$33,0)),0),IFERROR(INDEX('Paramètres'!$N$6:$N$17,MATCH(F1025,'Paramètres'!$M$6:$M$17,0)),0)))</f>
        <v/>
      </c>
      <c r="AU1025" s="61">
        <f>IF(E1025="","",IFERROR(IF(INDEX('Paramètres'!$K$6:$K$33,MATCH(E1025,'Paramètres'!$I$6:$I$33,0))="Oui",1,0),0))</f>
        <v/>
      </c>
      <c r="AV1025" s="61">
        <f>IF(F1025="","",IFERROR(IF(INDEX('Paramètres'!$O$6:$O$17,MATCH(F1025,'Paramètres'!$M$6:$M$17,0))="Oui",1,0),0))</f>
        <v/>
      </c>
      <c r="AW1025" s="62">
        <f>IF(E1025="","",IF(G1025&lt;&gt;"",G1025,IF(OR(E1025="Proposition envoyée",E1025="Signature"),MAX(0,N(IFERROR(INDEX('Paramètres'!$R$6:$R$15,MATCH(IF(AL1025&lt;&gt;"",AL1025,IFERROR(INDEX('Prospects'!$AN$5:$AN$504,MATCH(C1025,'Prospects'!$C$5:$C$504,0)),"")),'Paramètres'!$Q$6:$Q$15,0)),0))-N(P1025)),0)))</f>
        <v/>
      </c>
      <c r="AX1025" s="61">
        <f>IF(C1025="","",IF(COUNTIF($C$5:C1025,C1025)=1,MAX($AX$4:AX1024)+1,""))</f>
        <v/>
      </c>
      <c r="AY1025" s="61">
        <f>IF(B1025="","",HOUR(B1025))</f>
        <v/>
      </c>
      <c r="AZ1025" s="61">
        <f>IF(A1025="","",MOD(A1025-2,7)+1)</f>
        <v/>
      </c>
      <c r="BA1025" s="60">
        <f>IF(C1025="","",IFERROR(INDEX('Prospects'!$N$5:$N$504,MATCH(C1025,'Prospects'!$C$5:$C$504,0)),""))</f>
        <v/>
      </c>
      <c r="BB1025" s="61">
        <f>IF(AND(C1025&lt;&gt;"",C1025='Fiche prospect'!$C$4),COUNTIF($C$5:C1025,C1025),"")</f>
        <v/>
      </c>
    </row>
    <row r="1026">
      <c r="A1026" s="53" t="n"/>
      <c r="B1026" s="54" t="n"/>
      <c r="C1026" s="55" t="n"/>
      <c r="D1026" s="55" t="n"/>
      <c r="E1026" s="55" t="n"/>
      <c r="F1026" s="55" t="n"/>
      <c r="G1026" s="56" t="n"/>
      <c r="H1026" s="57" t="n"/>
      <c r="I1026" s="55" t="n"/>
      <c r="J1026" s="53" t="n"/>
      <c r="K1026" s="54" t="n"/>
      <c r="L1026" s="55" t="n"/>
      <c r="M1026" s="55" t="n"/>
      <c r="N1026" s="57" t="n"/>
      <c r="O1026" s="55" t="n"/>
      <c r="P1026" s="56" t="n"/>
      <c r="Q1026" s="55" t="n"/>
      <c r="R1026" s="55" t="n"/>
      <c r="S1026" s="55" t="n"/>
      <c r="T1026" s="55" t="n"/>
      <c r="U1026" s="55" t="n"/>
      <c r="V1026" s="55" t="n"/>
      <c r="W1026" s="58" t="n"/>
      <c r="X1026" s="58" t="n"/>
      <c r="Y1026" s="55" t="n"/>
      <c r="Z1026" s="55" t="n"/>
      <c r="AA1026" s="55" t="n"/>
      <c r="AB1026" s="55" t="n"/>
      <c r="AC1026" s="55" t="n"/>
      <c r="AD1026" s="53" t="n"/>
      <c r="AE1026" s="55" t="n"/>
      <c r="AF1026" s="55" t="n"/>
      <c r="AG1026" s="59" t="n"/>
      <c r="AH1026" s="57" t="n"/>
      <c r="AI1026" s="55" t="n"/>
      <c r="AJ1026" s="55" t="n"/>
      <c r="AK1026" s="55" t="n"/>
      <c r="AL1026" s="55" t="n"/>
      <c r="AM1026" s="56" t="n"/>
      <c r="AN1026" s="55" t="n"/>
      <c r="AO1026" s="55" t="n"/>
      <c r="AP1026" s="55" t="n"/>
      <c r="AQ1026" s="55" t="n"/>
      <c r="AR1026" s="60">
        <f>IF(AND(C1026="",E1026=""),"",IF(A1026="","⚠ Date manquante",IF(AND(C1026="",E1026&lt;&gt;"Dépense"),"⚠ Prospect manquant",IF(E1026="","⚠ Action manquante",IF(AND(AU1026=1,D1026=""),"⚠ Canal manquant",IF(AND(W1026&lt;&gt;"",COUNTIFS('Saisie'!$W$5:$W$2004,W1026,'Saisie'!$C$5:$C$2004,"&lt;&gt;"&amp;C1026)&gt;0),"⚠ Numéro déjà utilisé par un autre prospect",IF(AND(J1026&lt;&gt;"",J1026&lt;A1026),"⚠ Relance avant la date de l'action",IF(A1026&gt;TODAY(),"⚠ Date dans le futur","✓"))))))))</f>
        <v/>
      </c>
      <c r="AS1026" s="61">
        <f>IF(AND(A1026="",C1026="",E1026=""),"",ROW())</f>
        <v/>
      </c>
      <c r="AT1026" s="61">
        <f>IF(E1026&amp;F1026="","",MAX(IFERROR(INDEX('Paramètres'!$J$6:$J$33,MATCH(E1026,'Paramètres'!$I$6:$I$33,0)),0),IFERROR(INDEX('Paramètres'!$N$6:$N$17,MATCH(F1026,'Paramètres'!$M$6:$M$17,0)),0)))</f>
        <v/>
      </c>
      <c r="AU1026" s="61">
        <f>IF(E1026="","",IFERROR(IF(INDEX('Paramètres'!$K$6:$K$33,MATCH(E1026,'Paramètres'!$I$6:$I$33,0))="Oui",1,0),0))</f>
        <v/>
      </c>
      <c r="AV1026" s="61">
        <f>IF(F1026="","",IFERROR(IF(INDEX('Paramètres'!$O$6:$O$17,MATCH(F1026,'Paramètres'!$M$6:$M$17,0))="Oui",1,0),0))</f>
        <v/>
      </c>
      <c r="AW1026" s="62">
        <f>IF(E1026="","",IF(G1026&lt;&gt;"",G1026,IF(OR(E1026="Proposition envoyée",E1026="Signature"),MAX(0,N(IFERROR(INDEX('Paramètres'!$R$6:$R$15,MATCH(IF(AL1026&lt;&gt;"",AL1026,IFERROR(INDEX('Prospects'!$AN$5:$AN$504,MATCH(C1026,'Prospects'!$C$5:$C$504,0)),"")),'Paramètres'!$Q$6:$Q$15,0)),0))-N(P1026)),0)))</f>
        <v/>
      </c>
      <c r="AX1026" s="61">
        <f>IF(C1026="","",IF(COUNTIF($C$5:C1026,C1026)=1,MAX($AX$4:AX1025)+1,""))</f>
        <v/>
      </c>
      <c r="AY1026" s="61">
        <f>IF(B1026="","",HOUR(B1026))</f>
        <v/>
      </c>
      <c r="AZ1026" s="61">
        <f>IF(A1026="","",MOD(A1026-2,7)+1)</f>
        <v/>
      </c>
      <c r="BA1026" s="60">
        <f>IF(C1026="","",IFERROR(INDEX('Prospects'!$N$5:$N$504,MATCH(C1026,'Prospects'!$C$5:$C$504,0)),""))</f>
        <v/>
      </c>
      <c r="BB1026" s="61">
        <f>IF(AND(C1026&lt;&gt;"",C1026='Fiche prospect'!$C$4),COUNTIF($C$5:C1026,C1026),"")</f>
        <v/>
      </c>
    </row>
    <row r="1027">
      <c r="A1027" s="53" t="n"/>
      <c r="B1027" s="54" t="n"/>
      <c r="C1027" s="55" t="n"/>
      <c r="D1027" s="55" t="n"/>
      <c r="E1027" s="55" t="n"/>
      <c r="F1027" s="55" t="n"/>
      <c r="G1027" s="56" t="n"/>
      <c r="H1027" s="57" t="n"/>
      <c r="I1027" s="55" t="n"/>
      <c r="J1027" s="53" t="n"/>
      <c r="K1027" s="54" t="n"/>
      <c r="L1027" s="55" t="n"/>
      <c r="M1027" s="55" t="n"/>
      <c r="N1027" s="57" t="n"/>
      <c r="O1027" s="55" t="n"/>
      <c r="P1027" s="56" t="n"/>
      <c r="Q1027" s="55" t="n"/>
      <c r="R1027" s="55" t="n"/>
      <c r="S1027" s="55" t="n"/>
      <c r="T1027" s="55" t="n"/>
      <c r="U1027" s="55" t="n"/>
      <c r="V1027" s="55" t="n"/>
      <c r="W1027" s="58" t="n"/>
      <c r="X1027" s="58" t="n"/>
      <c r="Y1027" s="55" t="n"/>
      <c r="Z1027" s="55" t="n"/>
      <c r="AA1027" s="55" t="n"/>
      <c r="AB1027" s="55" t="n"/>
      <c r="AC1027" s="55" t="n"/>
      <c r="AD1027" s="53" t="n"/>
      <c r="AE1027" s="55" t="n"/>
      <c r="AF1027" s="55" t="n"/>
      <c r="AG1027" s="59" t="n"/>
      <c r="AH1027" s="57" t="n"/>
      <c r="AI1027" s="55" t="n"/>
      <c r="AJ1027" s="55" t="n"/>
      <c r="AK1027" s="55" t="n"/>
      <c r="AL1027" s="55" t="n"/>
      <c r="AM1027" s="56" t="n"/>
      <c r="AN1027" s="55" t="n"/>
      <c r="AO1027" s="55" t="n"/>
      <c r="AP1027" s="55" t="n"/>
      <c r="AQ1027" s="55" t="n"/>
      <c r="AR1027" s="60">
        <f>IF(AND(C1027="",E1027=""),"",IF(A1027="","⚠ Date manquante",IF(AND(C1027="",E1027&lt;&gt;"Dépense"),"⚠ Prospect manquant",IF(E1027="","⚠ Action manquante",IF(AND(AU1027=1,D1027=""),"⚠ Canal manquant",IF(AND(W1027&lt;&gt;"",COUNTIFS('Saisie'!$W$5:$W$2004,W1027,'Saisie'!$C$5:$C$2004,"&lt;&gt;"&amp;C1027)&gt;0),"⚠ Numéro déjà utilisé par un autre prospect",IF(AND(J1027&lt;&gt;"",J1027&lt;A1027),"⚠ Relance avant la date de l'action",IF(A1027&gt;TODAY(),"⚠ Date dans le futur","✓"))))))))</f>
        <v/>
      </c>
      <c r="AS1027" s="61">
        <f>IF(AND(A1027="",C1027="",E1027=""),"",ROW())</f>
        <v/>
      </c>
      <c r="AT1027" s="61">
        <f>IF(E1027&amp;F1027="","",MAX(IFERROR(INDEX('Paramètres'!$J$6:$J$33,MATCH(E1027,'Paramètres'!$I$6:$I$33,0)),0),IFERROR(INDEX('Paramètres'!$N$6:$N$17,MATCH(F1027,'Paramètres'!$M$6:$M$17,0)),0)))</f>
        <v/>
      </c>
      <c r="AU1027" s="61">
        <f>IF(E1027="","",IFERROR(IF(INDEX('Paramètres'!$K$6:$K$33,MATCH(E1027,'Paramètres'!$I$6:$I$33,0))="Oui",1,0),0))</f>
        <v/>
      </c>
      <c r="AV1027" s="61">
        <f>IF(F1027="","",IFERROR(IF(INDEX('Paramètres'!$O$6:$O$17,MATCH(F1027,'Paramètres'!$M$6:$M$17,0))="Oui",1,0),0))</f>
        <v/>
      </c>
      <c r="AW1027" s="62">
        <f>IF(E1027="","",IF(G1027&lt;&gt;"",G1027,IF(OR(E1027="Proposition envoyée",E1027="Signature"),MAX(0,N(IFERROR(INDEX('Paramètres'!$R$6:$R$15,MATCH(IF(AL1027&lt;&gt;"",AL1027,IFERROR(INDEX('Prospects'!$AN$5:$AN$504,MATCH(C1027,'Prospects'!$C$5:$C$504,0)),"")),'Paramètres'!$Q$6:$Q$15,0)),0))-N(P1027)),0)))</f>
        <v/>
      </c>
      <c r="AX1027" s="61">
        <f>IF(C1027="","",IF(COUNTIF($C$5:C1027,C1027)=1,MAX($AX$4:AX1026)+1,""))</f>
        <v/>
      </c>
      <c r="AY1027" s="61">
        <f>IF(B1027="","",HOUR(B1027))</f>
        <v/>
      </c>
      <c r="AZ1027" s="61">
        <f>IF(A1027="","",MOD(A1027-2,7)+1)</f>
        <v/>
      </c>
      <c r="BA1027" s="60">
        <f>IF(C1027="","",IFERROR(INDEX('Prospects'!$N$5:$N$504,MATCH(C1027,'Prospects'!$C$5:$C$504,0)),""))</f>
        <v/>
      </c>
      <c r="BB1027" s="61">
        <f>IF(AND(C1027&lt;&gt;"",C1027='Fiche prospect'!$C$4),COUNTIF($C$5:C1027,C1027),"")</f>
        <v/>
      </c>
    </row>
    <row r="1028">
      <c r="A1028" s="53" t="n"/>
      <c r="B1028" s="54" t="n"/>
      <c r="C1028" s="55" t="n"/>
      <c r="D1028" s="55" t="n"/>
      <c r="E1028" s="55" t="n"/>
      <c r="F1028" s="55" t="n"/>
      <c r="G1028" s="56" t="n"/>
      <c r="H1028" s="57" t="n"/>
      <c r="I1028" s="55" t="n"/>
      <c r="J1028" s="53" t="n"/>
      <c r="K1028" s="54" t="n"/>
      <c r="L1028" s="55" t="n"/>
      <c r="M1028" s="55" t="n"/>
      <c r="N1028" s="57" t="n"/>
      <c r="O1028" s="55" t="n"/>
      <c r="P1028" s="56" t="n"/>
      <c r="Q1028" s="55" t="n"/>
      <c r="R1028" s="55" t="n"/>
      <c r="S1028" s="55" t="n"/>
      <c r="T1028" s="55" t="n"/>
      <c r="U1028" s="55" t="n"/>
      <c r="V1028" s="55" t="n"/>
      <c r="W1028" s="58" t="n"/>
      <c r="X1028" s="58" t="n"/>
      <c r="Y1028" s="55" t="n"/>
      <c r="Z1028" s="55" t="n"/>
      <c r="AA1028" s="55" t="n"/>
      <c r="AB1028" s="55" t="n"/>
      <c r="AC1028" s="55" t="n"/>
      <c r="AD1028" s="53" t="n"/>
      <c r="AE1028" s="55" t="n"/>
      <c r="AF1028" s="55" t="n"/>
      <c r="AG1028" s="59" t="n"/>
      <c r="AH1028" s="57" t="n"/>
      <c r="AI1028" s="55" t="n"/>
      <c r="AJ1028" s="55" t="n"/>
      <c r="AK1028" s="55" t="n"/>
      <c r="AL1028" s="55" t="n"/>
      <c r="AM1028" s="56" t="n"/>
      <c r="AN1028" s="55" t="n"/>
      <c r="AO1028" s="55" t="n"/>
      <c r="AP1028" s="55" t="n"/>
      <c r="AQ1028" s="55" t="n"/>
      <c r="AR1028" s="60">
        <f>IF(AND(C1028="",E1028=""),"",IF(A1028="","⚠ Date manquante",IF(AND(C1028="",E1028&lt;&gt;"Dépense"),"⚠ Prospect manquant",IF(E1028="","⚠ Action manquante",IF(AND(AU1028=1,D1028=""),"⚠ Canal manquant",IF(AND(W1028&lt;&gt;"",COUNTIFS('Saisie'!$W$5:$W$2004,W1028,'Saisie'!$C$5:$C$2004,"&lt;&gt;"&amp;C1028)&gt;0),"⚠ Numéro déjà utilisé par un autre prospect",IF(AND(J1028&lt;&gt;"",J1028&lt;A1028),"⚠ Relance avant la date de l'action",IF(A1028&gt;TODAY(),"⚠ Date dans le futur","✓"))))))))</f>
        <v/>
      </c>
      <c r="AS1028" s="61">
        <f>IF(AND(A1028="",C1028="",E1028=""),"",ROW())</f>
        <v/>
      </c>
      <c r="AT1028" s="61">
        <f>IF(E1028&amp;F1028="","",MAX(IFERROR(INDEX('Paramètres'!$J$6:$J$33,MATCH(E1028,'Paramètres'!$I$6:$I$33,0)),0),IFERROR(INDEX('Paramètres'!$N$6:$N$17,MATCH(F1028,'Paramètres'!$M$6:$M$17,0)),0)))</f>
        <v/>
      </c>
      <c r="AU1028" s="61">
        <f>IF(E1028="","",IFERROR(IF(INDEX('Paramètres'!$K$6:$K$33,MATCH(E1028,'Paramètres'!$I$6:$I$33,0))="Oui",1,0),0))</f>
        <v/>
      </c>
      <c r="AV1028" s="61">
        <f>IF(F1028="","",IFERROR(IF(INDEX('Paramètres'!$O$6:$O$17,MATCH(F1028,'Paramètres'!$M$6:$M$17,0))="Oui",1,0),0))</f>
        <v/>
      </c>
      <c r="AW1028" s="62">
        <f>IF(E1028="","",IF(G1028&lt;&gt;"",G1028,IF(OR(E1028="Proposition envoyée",E1028="Signature"),MAX(0,N(IFERROR(INDEX('Paramètres'!$R$6:$R$15,MATCH(IF(AL1028&lt;&gt;"",AL1028,IFERROR(INDEX('Prospects'!$AN$5:$AN$504,MATCH(C1028,'Prospects'!$C$5:$C$504,0)),"")),'Paramètres'!$Q$6:$Q$15,0)),0))-N(P1028)),0)))</f>
        <v/>
      </c>
      <c r="AX1028" s="61">
        <f>IF(C1028="","",IF(COUNTIF($C$5:C1028,C1028)=1,MAX($AX$4:AX1027)+1,""))</f>
        <v/>
      </c>
      <c r="AY1028" s="61">
        <f>IF(B1028="","",HOUR(B1028))</f>
        <v/>
      </c>
      <c r="AZ1028" s="61">
        <f>IF(A1028="","",MOD(A1028-2,7)+1)</f>
        <v/>
      </c>
      <c r="BA1028" s="60">
        <f>IF(C1028="","",IFERROR(INDEX('Prospects'!$N$5:$N$504,MATCH(C1028,'Prospects'!$C$5:$C$504,0)),""))</f>
        <v/>
      </c>
      <c r="BB1028" s="61">
        <f>IF(AND(C1028&lt;&gt;"",C1028='Fiche prospect'!$C$4),COUNTIF($C$5:C1028,C1028),"")</f>
        <v/>
      </c>
    </row>
    <row r="1029">
      <c r="A1029" s="53" t="n"/>
      <c r="B1029" s="54" t="n"/>
      <c r="C1029" s="55" t="n"/>
      <c r="D1029" s="55" t="n"/>
      <c r="E1029" s="55" t="n"/>
      <c r="F1029" s="55" t="n"/>
      <c r="G1029" s="56" t="n"/>
      <c r="H1029" s="57" t="n"/>
      <c r="I1029" s="55" t="n"/>
      <c r="J1029" s="53" t="n"/>
      <c r="K1029" s="54" t="n"/>
      <c r="L1029" s="55" t="n"/>
      <c r="M1029" s="55" t="n"/>
      <c r="N1029" s="57" t="n"/>
      <c r="O1029" s="55" t="n"/>
      <c r="P1029" s="56" t="n"/>
      <c r="Q1029" s="55" t="n"/>
      <c r="R1029" s="55" t="n"/>
      <c r="S1029" s="55" t="n"/>
      <c r="T1029" s="55" t="n"/>
      <c r="U1029" s="55" t="n"/>
      <c r="V1029" s="55" t="n"/>
      <c r="W1029" s="58" t="n"/>
      <c r="X1029" s="58" t="n"/>
      <c r="Y1029" s="55" t="n"/>
      <c r="Z1029" s="55" t="n"/>
      <c r="AA1029" s="55" t="n"/>
      <c r="AB1029" s="55" t="n"/>
      <c r="AC1029" s="55" t="n"/>
      <c r="AD1029" s="53" t="n"/>
      <c r="AE1029" s="55" t="n"/>
      <c r="AF1029" s="55" t="n"/>
      <c r="AG1029" s="59" t="n"/>
      <c r="AH1029" s="57" t="n"/>
      <c r="AI1029" s="55" t="n"/>
      <c r="AJ1029" s="55" t="n"/>
      <c r="AK1029" s="55" t="n"/>
      <c r="AL1029" s="55" t="n"/>
      <c r="AM1029" s="56" t="n"/>
      <c r="AN1029" s="55" t="n"/>
      <c r="AO1029" s="55" t="n"/>
      <c r="AP1029" s="55" t="n"/>
      <c r="AQ1029" s="55" t="n"/>
      <c r="AR1029" s="60">
        <f>IF(AND(C1029="",E1029=""),"",IF(A1029="","⚠ Date manquante",IF(AND(C1029="",E1029&lt;&gt;"Dépense"),"⚠ Prospect manquant",IF(E1029="","⚠ Action manquante",IF(AND(AU1029=1,D1029=""),"⚠ Canal manquant",IF(AND(W1029&lt;&gt;"",COUNTIFS('Saisie'!$W$5:$W$2004,W1029,'Saisie'!$C$5:$C$2004,"&lt;&gt;"&amp;C1029)&gt;0),"⚠ Numéro déjà utilisé par un autre prospect",IF(AND(J1029&lt;&gt;"",J1029&lt;A1029),"⚠ Relance avant la date de l'action",IF(A1029&gt;TODAY(),"⚠ Date dans le futur","✓"))))))))</f>
        <v/>
      </c>
      <c r="AS1029" s="61">
        <f>IF(AND(A1029="",C1029="",E1029=""),"",ROW())</f>
        <v/>
      </c>
      <c r="AT1029" s="61">
        <f>IF(E1029&amp;F1029="","",MAX(IFERROR(INDEX('Paramètres'!$J$6:$J$33,MATCH(E1029,'Paramètres'!$I$6:$I$33,0)),0),IFERROR(INDEX('Paramètres'!$N$6:$N$17,MATCH(F1029,'Paramètres'!$M$6:$M$17,0)),0)))</f>
        <v/>
      </c>
      <c r="AU1029" s="61">
        <f>IF(E1029="","",IFERROR(IF(INDEX('Paramètres'!$K$6:$K$33,MATCH(E1029,'Paramètres'!$I$6:$I$33,0))="Oui",1,0),0))</f>
        <v/>
      </c>
      <c r="AV1029" s="61">
        <f>IF(F1029="","",IFERROR(IF(INDEX('Paramètres'!$O$6:$O$17,MATCH(F1029,'Paramètres'!$M$6:$M$17,0))="Oui",1,0),0))</f>
        <v/>
      </c>
      <c r="AW1029" s="62">
        <f>IF(E1029="","",IF(G1029&lt;&gt;"",G1029,IF(OR(E1029="Proposition envoyée",E1029="Signature"),MAX(0,N(IFERROR(INDEX('Paramètres'!$R$6:$R$15,MATCH(IF(AL1029&lt;&gt;"",AL1029,IFERROR(INDEX('Prospects'!$AN$5:$AN$504,MATCH(C1029,'Prospects'!$C$5:$C$504,0)),"")),'Paramètres'!$Q$6:$Q$15,0)),0))-N(P1029)),0)))</f>
        <v/>
      </c>
      <c r="AX1029" s="61">
        <f>IF(C1029="","",IF(COUNTIF($C$5:C1029,C1029)=1,MAX($AX$4:AX1028)+1,""))</f>
        <v/>
      </c>
      <c r="AY1029" s="61">
        <f>IF(B1029="","",HOUR(B1029))</f>
        <v/>
      </c>
      <c r="AZ1029" s="61">
        <f>IF(A1029="","",MOD(A1029-2,7)+1)</f>
        <v/>
      </c>
      <c r="BA1029" s="60">
        <f>IF(C1029="","",IFERROR(INDEX('Prospects'!$N$5:$N$504,MATCH(C1029,'Prospects'!$C$5:$C$504,0)),""))</f>
        <v/>
      </c>
      <c r="BB1029" s="61">
        <f>IF(AND(C1029&lt;&gt;"",C1029='Fiche prospect'!$C$4),COUNTIF($C$5:C1029,C1029),"")</f>
        <v/>
      </c>
    </row>
    <row r="1030">
      <c r="A1030" s="53" t="n"/>
      <c r="B1030" s="54" t="n"/>
      <c r="C1030" s="55" t="n"/>
      <c r="D1030" s="55" t="n"/>
      <c r="E1030" s="55" t="n"/>
      <c r="F1030" s="55" t="n"/>
      <c r="G1030" s="56" t="n"/>
      <c r="H1030" s="57" t="n"/>
      <c r="I1030" s="55" t="n"/>
      <c r="J1030" s="53" t="n"/>
      <c r="K1030" s="54" t="n"/>
      <c r="L1030" s="55" t="n"/>
      <c r="M1030" s="55" t="n"/>
      <c r="N1030" s="57" t="n"/>
      <c r="O1030" s="55" t="n"/>
      <c r="P1030" s="56" t="n"/>
      <c r="Q1030" s="55" t="n"/>
      <c r="R1030" s="55" t="n"/>
      <c r="S1030" s="55" t="n"/>
      <c r="T1030" s="55" t="n"/>
      <c r="U1030" s="55" t="n"/>
      <c r="V1030" s="55" t="n"/>
      <c r="W1030" s="58" t="n"/>
      <c r="X1030" s="58" t="n"/>
      <c r="Y1030" s="55" t="n"/>
      <c r="Z1030" s="55" t="n"/>
      <c r="AA1030" s="55" t="n"/>
      <c r="AB1030" s="55" t="n"/>
      <c r="AC1030" s="55" t="n"/>
      <c r="AD1030" s="53" t="n"/>
      <c r="AE1030" s="55" t="n"/>
      <c r="AF1030" s="55" t="n"/>
      <c r="AG1030" s="59" t="n"/>
      <c r="AH1030" s="57" t="n"/>
      <c r="AI1030" s="55" t="n"/>
      <c r="AJ1030" s="55" t="n"/>
      <c r="AK1030" s="55" t="n"/>
      <c r="AL1030" s="55" t="n"/>
      <c r="AM1030" s="56" t="n"/>
      <c r="AN1030" s="55" t="n"/>
      <c r="AO1030" s="55" t="n"/>
      <c r="AP1030" s="55" t="n"/>
      <c r="AQ1030" s="55" t="n"/>
      <c r="AR1030" s="60">
        <f>IF(AND(C1030="",E1030=""),"",IF(A1030="","⚠ Date manquante",IF(AND(C1030="",E1030&lt;&gt;"Dépense"),"⚠ Prospect manquant",IF(E1030="","⚠ Action manquante",IF(AND(AU1030=1,D1030=""),"⚠ Canal manquant",IF(AND(W1030&lt;&gt;"",COUNTIFS('Saisie'!$W$5:$W$2004,W1030,'Saisie'!$C$5:$C$2004,"&lt;&gt;"&amp;C1030)&gt;0),"⚠ Numéro déjà utilisé par un autre prospect",IF(AND(J1030&lt;&gt;"",J1030&lt;A1030),"⚠ Relance avant la date de l'action",IF(A1030&gt;TODAY(),"⚠ Date dans le futur","✓"))))))))</f>
        <v/>
      </c>
      <c r="AS1030" s="61">
        <f>IF(AND(A1030="",C1030="",E1030=""),"",ROW())</f>
        <v/>
      </c>
      <c r="AT1030" s="61">
        <f>IF(E1030&amp;F1030="","",MAX(IFERROR(INDEX('Paramètres'!$J$6:$J$33,MATCH(E1030,'Paramètres'!$I$6:$I$33,0)),0),IFERROR(INDEX('Paramètres'!$N$6:$N$17,MATCH(F1030,'Paramètres'!$M$6:$M$17,0)),0)))</f>
        <v/>
      </c>
      <c r="AU1030" s="61">
        <f>IF(E1030="","",IFERROR(IF(INDEX('Paramètres'!$K$6:$K$33,MATCH(E1030,'Paramètres'!$I$6:$I$33,0))="Oui",1,0),0))</f>
        <v/>
      </c>
      <c r="AV1030" s="61">
        <f>IF(F1030="","",IFERROR(IF(INDEX('Paramètres'!$O$6:$O$17,MATCH(F1030,'Paramètres'!$M$6:$M$17,0))="Oui",1,0),0))</f>
        <v/>
      </c>
      <c r="AW1030" s="62">
        <f>IF(E1030="","",IF(G1030&lt;&gt;"",G1030,IF(OR(E1030="Proposition envoyée",E1030="Signature"),MAX(0,N(IFERROR(INDEX('Paramètres'!$R$6:$R$15,MATCH(IF(AL1030&lt;&gt;"",AL1030,IFERROR(INDEX('Prospects'!$AN$5:$AN$504,MATCH(C1030,'Prospects'!$C$5:$C$504,0)),"")),'Paramètres'!$Q$6:$Q$15,0)),0))-N(P1030)),0)))</f>
        <v/>
      </c>
      <c r="AX1030" s="61">
        <f>IF(C1030="","",IF(COUNTIF($C$5:C1030,C1030)=1,MAX($AX$4:AX1029)+1,""))</f>
        <v/>
      </c>
      <c r="AY1030" s="61">
        <f>IF(B1030="","",HOUR(B1030))</f>
        <v/>
      </c>
      <c r="AZ1030" s="61">
        <f>IF(A1030="","",MOD(A1030-2,7)+1)</f>
        <v/>
      </c>
      <c r="BA1030" s="60">
        <f>IF(C1030="","",IFERROR(INDEX('Prospects'!$N$5:$N$504,MATCH(C1030,'Prospects'!$C$5:$C$504,0)),""))</f>
        <v/>
      </c>
      <c r="BB1030" s="61">
        <f>IF(AND(C1030&lt;&gt;"",C1030='Fiche prospect'!$C$4),COUNTIF($C$5:C1030,C1030),"")</f>
        <v/>
      </c>
    </row>
    <row r="1031">
      <c r="A1031" s="53" t="n"/>
      <c r="B1031" s="54" t="n"/>
      <c r="C1031" s="55" t="n"/>
      <c r="D1031" s="55" t="n"/>
      <c r="E1031" s="55" t="n"/>
      <c r="F1031" s="55" t="n"/>
      <c r="G1031" s="56" t="n"/>
      <c r="H1031" s="57" t="n"/>
      <c r="I1031" s="55" t="n"/>
      <c r="J1031" s="53" t="n"/>
      <c r="K1031" s="54" t="n"/>
      <c r="L1031" s="55" t="n"/>
      <c r="M1031" s="55" t="n"/>
      <c r="N1031" s="57" t="n"/>
      <c r="O1031" s="55" t="n"/>
      <c r="P1031" s="56" t="n"/>
      <c r="Q1031" s="55" t="n"/>
      <c r="R1031" s="55" t="n"/>
      <c r="S1031" s="55" t="n"/>
      <c r="T1031" s="55" t="n"/>
      <c r="U1031" s="55" t="n"/>
      <c r="V1031" s="55" t="n"/>
      <c r="W1031" s="58" t="n"/>
      <c r="X1031" s="58" t="n"/>
      <c r="Y1031" s="55" t="n"/>
      <c r="Z1031" s="55" t="n"/>
      <c r="AA1031" s="55" t="n"/>
      <c r="AB1031" s="55" t="n"/>
      <c r="AC1031" s="55" t="n"/>
      <c r="AD1031" s="53" t="n"/>
      <c r="AE1031" s="55" t="n"/>
      <c r="AF1031" s="55" t="n"/>
      <c r="AG1031" s="59" t="n"/>
      <c r="AH1031" s="57" t="n"/>
      <c r="AI1031" s="55" t="n"/>
      <c r="AJ1031" s="55" t="n"/>
      <c r="AK1031" s="55" t="n"/>
      <c r="AL1031" s="55" t="n"/>
      <c r="AM1031" s="56" t="n"/>
      <c r="AN1031" s="55" t="n"/>
      <c r="AO1031" s="55" t="n"/>
      <c r="AP1031" s="55" t="n"/>
      <c r="AQ1031" s="55" t="n"/>
      <c r="AR1031" s="60">
        <f>IF(AND(C1031="",E1031=""),"",IF(A1031="","⚠ Date manquante",IF(AND(C1031="",E1031&lt;&gt;"Dépense"),"⚠ Prospect manquant",IF(E1031="","⚠ Action manquante",IF(AND(AU1031=1,D1031=""),"⚠ Canal manquant",IF(AND(W1031&lt;&gt;"",COUNTIFS('Saisie'!$W$5:$W$2004,W1031,'Saisie'!$C$5:$C$2004,"&lt;&gt;"&amp;C1031)&gt;0),"⚠ Numéro déjà utilisé par un autre prospect",IF(AND(J1031&lt;&gt;"",J1031&lt;A1031),"⚠ Relance avant la date de l'action",IF(A1031&gt;TODAY(),"⚠ Date dans le futur","✓"))))))))</f>
        <v/>
      </c>
      <c r="AS1031" s="61">
        <f>IF(AND(A1031="",C1031="",E1031=""),"",ROW())</f>
        <v/>
      </c>
      <c r="AT1031" s="61">
        <f>IF(E1031&amp;F1031="","",MAX(IFERROR(INDEX('Paramètres'!$J$6:$J$33,MATCH(E1031,'Paramètres'!$I$6:$I$33,0)),0),IFERROR(INDEX('Paramètres'!$N$6:$N$17,MATCH(F1031,'Paramètres'!$M$6:$M$17,0)),0)))</f>
        <v/>
      </c>
      <c r="AU1031" s="61">
        <f>IF(E1031="","",IFERROR(IF(INDEX('Paramètres'!$K$6:$K$33,MATCH(E1031,'Paramètres'!$I$6:$I$33,0))="Oui",1,0),0))</f>
        <v/>
      </c>
      <c r="AV1031" s="61">
        <f>IF(F1031="","",IFERROR(IF(INDEX('Paramètres'!$O$6:$O$17,MATCH(F1031,'Paramètres'!$M$6:$M$17,0))="Oui",1,0),0))</f>
        <v/>
      </c>
      <c r="AW1031" s="62">
        <f>IF(E1031="","",IF(G1031&lt;&gt;"",G1031,IF(OR(E1031="Proposition envoyée",E1031="Signature"),MAX(0,N(IFERROR(INDEX('Paramètres'!$R$6:$R$15,MATCH(IF(AL1031&lt;&gt;"",AL1031,IFERROR(INDEX('Prospects'!$AN$5:$AN$504,MATCH(C1031,'Prospects'!$C$5:$C$504,0)),"")),'Paramètres'!$Q$6:$Q$15,0)),0))-N(P1031)),0)))</f>
        <v/>
      </c>
      <c r="AX1031" s="61">
        <f>IF(C1031="","",IF(COUNTIF($C$5:C1031,C1031)=1,MAX($AX$4:AX1030)+1,""))</f>
        <v/>
      </c>
      <c r="AY1031" s="61">
        <f>IF(B1031="","",HOUR(B1031))</f>
        <v/>
      </c>
      <c r="AZ1031" s="61">
        <f>IF(A1031="","",MOD(A1031-2,7)+1)</f>
        <v/>
      </c>
      <c r="BA1031" s="60">
        <f>IF(C1031="","",IFERROR(INDEX('Prospects'!$N$5:$N$504,MATCH(C1031,'Prospects'!$C$5:$C$504,0)),""))</f>
        <v/>
      </c>
      <c r="BB1031" s="61">
        <f>IF(AND(C1031&lt;&gt;"",C1031='Fiche prospect'!$C$4),COUNTIF($C$5:C1031,C1031),"")</f>
        <v/>
      </c>
    </row>
    <row r="1032">
      <c r="A1032" s="53" t="n"/>
      <c r="B1032" s="54" t="n"/>
      <c r="C1032" s="55" t="n"/>
      <c r="D1032" s="55" t="n"/>
      <c r="E1032" s="55" t="n"/>
      <c r="F1032" s="55" t="n"/>
      <c r="G1032" s="56" t="n"/>
      <c r="H1032" s="57" t="n"/>
      <c r="I1032" s="55" t="n"/>
      <c r="J1032" s="53" t="n"/>
      <c r="K1032" s="54" t="n"/>
      <c r="L1032" s="55" t="n"/>
      <c r="M1032" s="55" t="n"/>
      <c r="N1032" s="57" t="n"/>
      <c r="O1032" s="55" t="n"/>
      <c r="P1032" s="56" t="n"/>
      <c r="Q1032" s="55" t="n"/>
      <c r="R1032" s="55" t="n"/>
      <c r="S1032" s="55" t="n"/>
      <c r="T1032" s="55" t="n"/>
      <c r="U1032" s="55" t="n"/>
      <c r="V1032" s="55" t="n"/>
      <c r="W1032" s="58" t="n"/>
      <c r="X1032" s="58" t="n"/>
      <c r="Y1032" s="55" t="n"/>
      <c r="Z1032" s="55" t="n"/>
      <c r="AA1032" s="55" t="n"/>
      <c r="AB1032" s="55" t="n"/>
      <c r="AC1032" s="55" t="n"/>
      <c r="AD1032" s="53" t="n"/>
      <c r="AE1032" s="55" t="n"/>
      <c r="AF1032" s="55" t="n"/>
      <c r="AG1032" s="59" t="n"/>
      <c r="AH1032" s="57" t="n"/>
      <c r="AI1032" s="55" t="n"/>
      <c r="AJ1032" s="55" t="n"/>
      <c r="AK1032" s="55" t="n"/>
      <c r="AL1032" s="55" t="n"/>
      <c r="AM1032" s="56" t="n"/>
      <c r="AN1032" s="55" t="n"/>
      <c r="AO1032" s="55" t="n"/>
      <c r="AP1032" s="55" t="n"/>
      <c r="AQ1032" s="55" t="n"/>
      <c r="AR1032" s="60">
        <f>IF(AND(C1032="",E1032=""),"",IF(A1032="","⚠ Date manquante",IF(AND(C1032="",E1032&lt;&gt;"Dépense"),"⚠ Prospect manquant",IF(E1032="","⚠ Action manquante",IF(AND(AU1032=1,D1032=""),"⚠ Canal manquant",IF(AND(W1032&lt;&gt;"",COUNTIFS('Saisie'!$W$5:$W$2004,W1032,'Saisie'!$C$5:$C$2004,"&lt;&gt;"&amp;C1032)&gt;0),"⚠ Numéro déjà utilisé par un autre prospect",IF(AND(J1032&lt;&gt;"",J1032&lt;A1032),"⚠ Relance avant la date de l'action",IF(A1032&gt;TODAY(),"⚠ Date dans le futur","✓"))))))))</f>
        <v/>
      </c>
      <c r="AS1032" s="61">
        <f>IF(AND(A1032="",C1032="",E1032=""),"",ROW())</f>
        <v/>
      </c>
      <c r="AT1032" s="61">
        <f>IF(E1032&amp;F1032="","",MAX(IFERROR(INDEX('Paramètres'!$J$6:$J$33,MATCH(E1032,'Paramètres'!$I$6:$I$33,0)),0),IFERROR(INDEX('Paramètres'!$N$6:$N$17,MATCH(F1032,'Paramètres'!$M$6:$M$17,0)),0)))</f>
        <v/>
      </c>
      <c r="AU1032" s="61">
        <f>IF(E1032="","",IFERROR(IF(INDEX('Paramètres'!$K$6:$K$33,MATCH(E1032,'Paramètres'!$I$6:$I$33,0))="Oui",1,0),0))</f>
        <v/>
      </c>
      <c r="AV1032" s="61">
        <f>IF(F1032="","",IFERROR(IF(INDEX('Paramètres'!$O$6:$O$17,MATCH(F1032,'Paramètres'!$M$6:$M$17,0))="Oui",1,0),0))</f>
        <v/>
      </c>
      <c r="AW1032" s="62">
        <f>IF(E1032="","",IF(G1032&lt;&gt;"",G1032,IF(OR(E1032="Proposition envoyée",E1032="Signature"),MAX(0,N(IFERROR(INDEX('Paramètres'!$R$6:$R$15,MATCH(IF(AL1032&lt;&gt;"",AL1032,IFERROR(INDEX('Prospects'!$AN$5:$AN$504,MATCH(C1032,'Prospects'!$C$5:$C$504,0)),"")),'Paramètres'!$Q$6:$Q$15,0)),0))-N(P1032)),0)))</f>
        <v/>
      </c>
      <c r="AX1032" s="61">
        <f>IF(C1032="","",IF(COUNTIF($C$5:C1032,C1032)=1,MAX($AX$4:AX1031)+1,""))</f>
        <v/>
      </c>
      <c r="AY1032" s="61">
        <f>IF(B1032="","",HOUR(B1032))</f>
        <v/>
      </c>
      <c r="AZ1032" s="61">
        <f>IF(A1032="","",MOD(A1032-2,7)+1)</f>
        <v/>
      </c>
      <c r="BA1032" s="60">
        <f>IF(C1032="","",IFERROR(INDEX('Prospects'!$N$5:$N$504,MATCH(C1032,'Prospects'!$C$5:$C$504,0)),""))</f>
        <v/>
      </c>
      <c r="BB1032" s="61">
        <f>IF(AND(C1032&lt;&gt;"",C1032='Fiche prospect'!$C$4),COUNTIF($C$5:C1032,C1032),"")</f>
        <v/>
      </c>
    </row>
    <row r="1033">
      <c r="A1033" s="53" t="n"/>
      <c r="B1033" s="54" t="n"/>
      <c r="C1033" s="55" t="n"/>
      <c r="D1033" s="55" t="n"/>
      <c r="E1033" s="55" t="n"/>
      <c r="F1033" s="55" t="n"/>
      <c r="G1033" s="56" t="n"/>
      <c r="H1033" s="57" t="n"/>
      <c r="I1033" s="55" t="n"/>
      <c r="J1033" s="53" t="n"/>
      <c r="K1033" s="54" t="n"/>
      <c r="L1033" s="55" t="n"/>
      <c r="M1033" s="55" t="n"/>
      <c r="N1033" s="57" t="n"/>
      <c r="O1033" s="55" t="n"/>
      <c r="P1033" s="56" t="n"/>
      <c r="Q1033" s="55" t="n"/>
      <c r="R1033" s="55" t="n"/>
      <c r="S1033" s="55" t="n"/>
      <c r="T1033" s="55" t="n"/>
      <c r="U1033" s="55" t="n"/>
      <c r="V1033" s="55" t="n"/>
      <c r="W1033" s="58" t="n"/>
      <c r="X1033" s="58" t="n"/>
      <c r="Y1033" s="55" t="n"/>
      <c r="Z1033" s="55" t="n"/>
      <c r="AA1033" s="55" t="n"/>
      <c r="AB1033" s="55" t="n"/>
      <c r="AC1033" s="55" t="n"/>
      <c r="AD1033" s="53" t="n"/>
      <c r="AE1033" s="55" t="n"/>
      <c r="AF1033" s="55" t="n"/>
      <c r="AG1033" s="59" t="n"/>
      <c r="AH1033" s="57" t="n"/>
      <c r="AI1033" s="55" t="n"/>
      <c r="AJ1033" s="55" t="n"/>
      <c r="AK1033" s="55" t="n"/>
      <c r="AL1033" s="55" t="n"/>
      <c r="AM1033" s="56" t="n"/>
      <c r="AN1033" s="55" t="n"/>
      <c r="AO1033" s="55" t="n"/>
      <c r="AP1033" s="55" t="n"/>
      <c r="AQ1033" s="55" t="n"/>
      <c r="AR1033" s="60">
        <f>IF(AND(C1033="",E1033=""),"",IF(A1033="","⚠ Date manquante",IF(AND(C1033="",E1033&lt;&gt;"Dépense"),"⚠ Prospect manquant",IF(E1033="","⚠ Action manquante",IF(AND(AU1033=1,D1033=""),"⚠ Canal manquant",IF(AND(W1033&lt;&gt;"",COUNTIFS('Saisie'!$W$5:$W$2004,W1033,'Saisie'!$C$5:$C$2004,"&lt;&gt;"&amp;C1033)&gt;0),"⚠ Numéro déjà utilisé par un autre prospect",IF(AND(J1033&lt;&gt;"",J1033&lt;A1033),"⚠ Relance avant la date de l'action",IF(A1033&gt;TODAY(),"⚠ Date dans le futur","✓"))))))))</f>
        <v/>
      </c>
      <c r="AS1033" s="61">
        <f>IF(AND(A1033="",C1033="",E1033=""),"",ROW())</f>
        <v/>
      </c>
      <c r="AT1033" s="61">
        <f>IF(E1033&amp;F1033="","",MAX(IFERROR(INDEX('Paramètres'!$J$6:$J$33,MATCH(E1033,'Paramètres'!$I$6:$I$33,0)),0),IFERROR(INDEX('Paramètres'!$N$6:$N$17,MATCH(F1033,'Paramètres'!$M$6:$M$17,0)),0)))</f>
        <v/>
      </c>
      <c r="AU1033" s="61">
        <f>IF(E1033="","",IFERROR(IF(INDEX('Paramètres'!$K$6:$K$33,MATCH(E1033,'Paramètres'!$I$6:$I$33,0))="Oui",1,0),0))</f>
        <v/>
      </c>
      <c r="AV1033" s="61">
        <f>IF(F1033="","",IFERROR(IF(INDEX('Paramètres'!$O$6:$O$17,MATCH(F1033,'Paramètres'!$M$6:$M$17,0))="Oui",1,0),0))</f>
        <v/>
      </c>
      <c r="AW1033" s="62">
        <f>IF(E1033="","",IF(G1033&lt;&gt;"",G1033,IF(OR(E1033="Proposition envoyée",E1033="Signature"),MAX(0,N(IFERROR(INDEX('Paramètres'!$R$6:$R$15,MATCH(IF(AL1033&lt;&gt;"",AL1033,IFERROR(INDEX('Prospects'!$AN$5:$AN$504,MATCH(C1033,'Prospects'!$C$5:$C$504,0)),"")),'Paramètres'!$Q$6:$Q$15,0)),0))-N(P1033)),0)))</f>
        <v/>
      </c>
      <c r="AX1033" s="61">
        <f>IF(C1033="","",IF(COUNTIF($C$5:C1033,C1033)=1,MAX($AX$4:AX1032)+1,""))</f>
        <v/>
      </c>
      <c r="AY1033" s="61">
        <f>IF(B1033="","",HOUR(B1033))</f>
        <v/>
      </c>
      <c r="AZ1033" s="61">
        <f>IF(A1033="","",MOD(A1033-2,7)+1)</f>
        <v/>
      </c>
      <c r="BA1033" s="60">
        <f>IF(C1033="","",IFERROR(INDEX('Prospects'!$N$5:$N$504,MATCH(C1033,'Prospects'!$C$5:$C$504,0)),""))</f>
        <v/>
      </c>
      <c r="BB1033" s="61">
        <f>IF(AND(C1033&lt;&gt;"",C1033='Fiche prospect'!$C$4),COUNTIF($C$5:C1033,C1033),"")</f>
        <v/>
      </c>
    </row>
    <row r="1034">
      <c r="A1034" s="53" t="n"/>
      <c r="B1034" s="54" t="n"/>
      <c r="C1034" s="55" t="n"/>
      <c r="D1034" s="55" t="n"/>
      <c r="E1034" s="55" t="n"/>
      <c r="F1034" s="55" t="n"/>
      <c r="G1034" s="56" t="n"/>
      <c r="H1034" s="57" t="n"/>
      <c r="I1034" s="55" t="n"/>
      <c r="J1034" s="53" t="n"/>
      <c r="K1034" s="54" t="n"/>
      <c r="L1034" s="55" t="n"/>
      <c r="M1034" s="55" t="n"/>
      <c r="N1034" s="57" t="n"/>
      <c r="O1034" s="55" t="n"/>
      <c r="P1034" s="56" t="n"/>
      <c r="Q1034" s="55" t="n"/>
      <c r="R1034" s="55" t="n"/>
      <c r="S1034" s="55" t="n"/>
      <c r="T1034" s="55" t="n"/>
      <c r="U1034" s="55" t="n"/>
      <c r="V1034" s="55" t="n"/>
      <c r="W1034" s="58" t="n"/>
      <c r="X1034" s="58" t="n"/>
      <c r="Y1034" s="55" t="n"/>
      <c r="Z1034" s="55" t="n"/>
      <c r="AA1034" s="55" t="n"/>
      <c r="AB1034" s="55" t="n"/>
      <c r="AC1034" s="55" t="n"/>
      <c r="AD1034" s="53" t="n"/>
      <c r="AE1034" s="55" t="n"/>
      <c r="AF1034" s="55" t="n"/>
      <c r="AG1034" s="59" t="n"/>
      <c r="AH1034" s="57" t="n"/>
      <c r="AI1034" s="55" t="n"/>
      <c r="AJ1034" s="55" t="n"/>
      <c r="AK1034" s="55" t="n"/>
      <c r="AL1034" s="55" t="n"/>
      <c r="AM1034" s="56" t="n"/>
      <c r="AN1034" s="55" t="n"/>
      <c r="AO1034" s="55" t="n"/>
      <c r="AP1034" s="55" t="n"/>
      <c r="AQ1034" s="55" t="n"/>
      <c r="AR1034" s="60">
        <f>IF(AND(C1034="",E1034=""),"",IF(A1034="","⚠ Date manquante",IF(AND(C1034="",E1034&lt;&gt;"Dépense"),"⚠ Prospect manquant",IF(E1034="","⚠ Action manquante",IF(AND(AU1034=1,D1034=""),"⚠ Canal manquant",IF(AND(W1034&lt;&gt;"",COUNTIFS('Saisie'!$W$5:$W$2004,W1034,'Saisie'!$C$5:$C$2004,"&lt;&gt;"&amp;C1034)&gt;0),"⚠ Numéro déjà utilisé par un autre prospect",IF(AND(J1034&lt;&gt;"",J1034&lt;A1034),"⚠ Relance avant la date de l'action",IF(A1034&gt;TODAY(),"⚠ Date dans le futur","✓"))))))))</f>
        <v/>
      </c>
      <c r="AS1034" s="61">
        <f>IF(AND(A1034="",C1034="",E1034=""),"",ROW())</f>
        <v/>
      </c>
      <c r="AT1034" s="61">
        <f>IF(E1034&amp;F1034="","",MAX(IFERROR(INDEX('Paramètres'!$J$6:$J$33,MATCH(E1034,'Paramètres'!$I$6:$I$33,0)),0),IFERROR(INDEX('Paramètres'!$N$6:$N$17,MATCH(F1034,'Paramètres'!$M$6:$M$17,0)),0)))</f>
        <v/>
      </c>
      <c r="AU1034" s="61">
        <f>IF(E1034="","",IFERROR(IF(INDEX('Paramètres'!$K$6:$K$33,MATCH(E1034,'Paramètres'!$I$6:$I$33,0))="Oui",1,0),0))</f>
        <v/>
      </c>
      <c r="AV1034" s="61">
        <f>IF(F1034="","",IFERROR(IF(INDEX('Paramètres'!$O$6:$O$17,MATCH(F1034,'Paramètres'!$M$6:$M$17,0))="Oui",1,0),0))</f>
        <v/>
      </c>
      <c r="AW1034" s="62">
        <f>IF(E1034="","",IF(G1034&lt;&gt;"",G1034,IF(OR(E1034="Proposition envoyée",E1034="Signature"),MAX(0,N(IFERROR(INDEX('Paramètres'!$R$6:$R$15,MATCH(IF(AL1034&lt;&gt;"",AL1034,IFERROR(INDEX('Prospects'!$AN$5:$AN$504,MATCH(C1034,'Prospects'!$C$5:$C$504,0)),"")),'Paramètres'!$Q$6:$Q$15,0)),0))-N(P1034)),0)))</f>
        <v/>
      </c>
      <c r="AX1034" s="61">
        <f>IF(C1034="","",IF(COUNTIF($C$5:C1034,C1034)=1,MAX($AX$4:AX1033)+1,""))</f>
        <v/>
      </c>
      <c r="AY1034" s="61">
        <f>IF(B1034="","",HOUR(B1034))</f>
        <v/>
      </c>
      <c r="AZ1034" s="61">
        <f>IF(A1034="","",MOD(A1034-2,7)+1)</f>
        <v/>
      </c>
      <c r="BA1034" s="60">
        <f>IF(C1034="","",IFERROR(INDEX('Prospects'!$N$5:$N$504,MATCH(C1034,'Prospects'!$C$5:$C$504,0)),""))</f>
        <v/>
      </c>
      <c r="BB1034" s="61">
        <f>IF(AND(C1034&lt;&gt;"",C1034='Fiche prospect'!$C$4),COUNTIF($C$5:C1034,C1034),"")</f>
        <v/>
      </c>
    </row>
    <row r="1035">
      <c r="A1035" s="53" t="n"/>
      <c r="B1035" s="54" t="n"/>
      <c r="C1035" s="55" t="n"/>
      <c r="D1035" s="55" t="n"/>
      <c r="E1035" s="55" t="n"/>
      <c r="F1035" s="55" t="n"/>
      <c r="G1035" s="56" t="n"/>
      <c r="H1035" s="57" t="n"/>
      <c r="I1035" s="55" t="n"/>
      <c r="J1035" s="53" t="n"/>
      <c r="K1035" s="54" t="n"/>
      <c r="L1035" s="55" t="n"/>
      <c r="M1035" s="55" t="n"/>
      <c r="N1035" s="57" t="n"/>
      <c r="O1035" s="55" t="n"/>
      <c r="P1035" s="56" t="n"/>
      <c r="Q1035" s="55" t="n"/>
      <c r="R1035" s="55" t="n"/>
      <c r="S1035" s="55" t="n"/>
      <c r="T1035" s="55" t="n"/>
      <c r="U1035" s="55" t="n"/>
      <c r="V1035" s="55" t="n"/>
      <c r="W1035" s="58" t="n"/>
      <c r="X1035" s="58" t="n"/>
      <c r="Y1035" s="55" t="n"/>
      <c r="Z1035" s="55" t="n"/>
      <c r="AA1035" s="55" t="n"/>
      <c r="AB1035" s="55" t="n"/>
      <c r="AC1035" s="55" t="n"/>
      <c r="AD1035" s="53" t="n"/>
      <c r="AE1035" s="55" t="n"/>
      <c r="AF1035" s="55" t="n"/>
      <c r="AG1035" s="59" t="n"/>
      <c r="AH1035" s="57" t="n"/>
      <c r="AI1035" s="55" t="n"/>
      <c r="AJ1035" s="55" t="n"/>
      <c r="AK1035" s="55" t="n"/>
      <c r="AL1035" s="55" t="n"/>
      <c r="AM1035" s="56" t="n"/>
      <c r="AN1035" s="55" t="n"/>
      <c r="AO1035" s="55" t="n"/>
      <c r="AP1035" s="55" t="n"/>
      <c r="AQ1035" s="55" t="n"/>
      <c r="AR1035" s="60">
        <f>IF(AND(C1035="",E1035=""),"",IF(A1035="","⚠ Date manquante",IF(AND(C1035="",E1035&lt;&gt;"Dépense"),"⚠ Prospect manquant",IF(E1035="","⚠ Action manquante",IF(AND(AU1035=1,D1035=""),"⚠ Canal manquant",IF(AND(W1035&lt;&gt;"",COUNTIFS('Saisie'!$W$5:$W$2004,W1035,'Saisie'!$C$5:$C$2004,"&lt;&gt;"&amp;C1035)&gt;0),"⚠ Numéro déjà utilisé par un autre prospect",IF(AND(J1035&lt;&gt;"",J1035&lt;A1035),"⚠ Relance avant la date de l'action",IF(A1035&gt;TODAY(),"⚠ Date dans le futur","✓"))))))))</f>
        <v/>
      </c>
      <c r="AS1035" s="61">
        <f>IF(AND(A1035="",C1035="",E1035=""),"",ROW())</f>
        <v/>
      </c>
      <c r="AT1035" s="61">
        <f>IF(E1035&amp;F1035="","",MAX(IFERROR(INDEX('Paramètres'!$J$6:$J$33,MATCH(E1035,'Paramètres'!$I$6:$I$33,0)),0),IFERROR(INDEX('Paramètres'!$N$6:$N$17,MATCH(F1035,'Paramètres'!$M$6:$M$17,0)),0)))</f>
        <v/>
      </c>
      <c r="AU1035" s="61">
        <f>IF(E1035="","",IFERROR(IF(INDEX('Paramètres'!$K$6:$K$33,MATCH(E1035,'Paramètres'!$I$6:$I$33,0))="Oui",1,0),0))</f>
        <v/>
      </c>
      <c r="AV1035" s="61">
        <f>IF(F1035="","",IFERROR(IF(INDEX('Paramètres'!$O$6:$O$17,MATCH(F1035,'Paramètres'!$M$6:$M$17,0))="Oui",1,0),0))</f>
        <v/>
      </c>
      <c r="AW1035" s="62">
        <f>IF(E1035="","",IF(G1035&lt;&gt;"",G1035,IF(OR(E1035="Proposition envoyée",E1035="Signature"),MAX(0,N(IFERROR(INDEX('Paramètres'!$R$6:$R$15,MATCH(IF(AL1035&lt;&gt;"",AL1035,IFERROR(INDEX('Prospects'!$AN$5:$AN$504,MATCH(C1035,'Prospects'!$C$5:$C$504,0)),"")),'Paramètres'!$Q$6:$Q$15,0)),0))-N(P1035)),0)))</f>
        <v/>
      </c>
      <c r="AX1035" s="61">
        <f>IF(C1035="","",IF(COUNTIF($C$5:C1035,C1035)=1,MAX($AX$4:AX1034)+1,""))</f>
        <v/>
      </c>
      <c r="AY1035" s="61">
        <f>IF(B1035="","",HOUR(B1035))</f>
        <v/>
      </c>
      <c r="AZ1035" s="61">
        <f>IF(A1035="","",MOD(A1035-2,7)+1)</f>
        <v/>
      </c>
      <c r="BA1035" s="60">
        <f>IF(C1035="","",IFERROR(INDEX('Prospects'!$N$5:$N$504,MATCH(C1035,'Prospects'!$C$5:$C$504,0)),""))</f>
        <v/>
      </c>
      <c r="BB1035" s="61">
        <f>IF(AND(C1035&lt;&gt;"",C1035='Fiche prospect'!$C$4),COUNTIF($C$5:C1035,C1035),"")</f>
        <v/>
      </c>
    </row>
    <row r="1036">
      <c r="A1036" s="53" t="n"/>
      <c r="B1036" s="54" t="n"/>
      <c r="C1036" s="55" t="n"/>
      <c r="D1036" s="55" t="n"/>
      <c r="E1036" s="55" t="n"/>
      <c r="F1036" s="55" t="n"/>
      <c r="G1036" s="56" t="n"/>
      <c r="H1036" s="57" t="n"/>
      <c r="I1036" s="55" t="n"/>
      <c r="J1036" s="53" t="n"/>
      <c r="K1036" s="54" t="n"/>
      <c r="L1036" s="55" t="n"/>
      <c r="M1036" s="55" t="n"/>
      <c r="N1036" s="57" t="n"/>
      <c r="O1036" s="55" t="n"/>
      <c r="P1036" s="56" t="n"/>
      <c r="Q1036" s="55" t="n"/>
      <c r="R1036" s="55" t="n"/>
      <c r="S1036" s="55" t="n"/>
      <c r="T1036" s="55" t="n"/>
      <c r="U1036" s="55" t="n"/>
      <c r="V1036" s="55" t="n"/>
      <c r="W1036" s="58" t="n"/>
      <c r="X1036" s="58" t="n"/>
      <c r="Y1036" s="55" t="n"/>
      <c r="Z1036" s="55" t="n"/>
      <c r="AA1036" s="55" t="n"/>
      <c r="AB1036" s="55" t="n"/>
      <c r="AC1036" s="55" t="n"/>
      <c r="AD1036" s="53" t="n"/>
      <c r="AE1036" s="55" t="n"/>
      <c r="AF1036" s="55" t="n"/>
      <c r="AG1036" s="59" t="n"/>
      <c r="AH1036" s="57" t="n"/>
      <c r="AI1036" s="55" t="n"/>
      <c r="AJ1036" s="55" t="n"/>
      <c r="AK1036" s="55" t="n"/>
      <c r="AL1036" s="55" t="n"/>
      <c r="AM1036" s="56" t="n"/>
      <c r="AN1036" s="55" t="n"/>
      <c r="AO1036" s="55" t="n"/>
      <c r="AP1036" s="55" t="n"/>
      <c r="AQ1036" s="55" t="n"/>
      <c r="AR1036" s="60">
        <f>IF(AND(C1036="",E1036=""),"",IF(A1036="","⚠ Date manquante",IF(AND(C1036="",E1036&lt;&gt;"Dépense"),"⚠ Prospect manquant",IF(E1036="","⚠ Action manquante",IF(AND(AU1036=1,D1036=""),"⚠ Canal manquant",IF(AND(W1036&lt;&gt;"",COUNTIFS('Saisie'!$W$5:$W$2004,W1036,'Saisie'!$C$5:$C$2004,"&lt;&gt;"&amp;C1036)&gt;0),"⚠ Numéro déjà utilisé par un autre prospect",IF(AND(J1036&lt;&gt;"",J1036&lt;A1036),"⚠ Relance avant la date de l'action",IF(A1036&gt;TODAY(),"⚠ Date dans le futur","✓"))))))))</f>
        <v/>
      </c>
      <c r="AS1036" s="61">
        <f>IF(AND(A1036="",C1036="",E1036=""),"",ROW())</f>
        <v/>
      </c>
      <c r="AT1036" s="61">
        <f>IF(E1036&amp;F1036="","",MAX(IFERROR(INDEX('Paramètres'!$J$6:$J$33,MATCH(E1036,'Paramètres'!$I$6:$I$33,0)),0),IFERROR(INDEX('Paramètres'!$N$6:$N$17,MATCH(F1036,'Paramètres'!$M$6:$M$17,0)),0)))</f>
        <v/>
      </c>
      <c r="AU1036" s="61">
        <f>IF(E1036="","",IFERROR(IF(INDEX('Paramètres'!$K$6:$K$33,MATCH(E1036,'Paramètres'!$I$6:$I$33,0))="Oui",1,0),0))</f>
        <v/>
      </c>
      <c r="AV1036" s="61">
        <f>IF(F1036="","",IFERROR(IF(INDEX('Paramètres'!$O$6:$O$17,MATCH(F1036,'Paramètres'!$M$6:$M$17,0))="Oui",1,0),0))</f>
        <v/>
      </c>
      <c r="AW1036" s="62">
        <f>IF(E1036="","",IF(G1036&lt;&gt;"",G1036,IF(OR(E1036="Proposition envoyée",E1036="Signature"),MAX(0,N(IFERROR(INDEX('Paramètres'!$R$6:$R$15,MATCH(IF(AL1036&lt;&gt;"",AL1036,IFERROR(INDEX('Prospects'!$AN$5:$AN$504,MATCH(C1036,'Prospects'!$C$5:$C$504,0)),"")),'Paramètres'!$Q$6:$Q$15,0)),0))-N(P1036)),0)))</f>
        <v/>
      </c>
      <c r="AX1036" s="61">
        <f>IF(C1036="","",IF(COUNTIF($C$5:C1036,C1036)=1,MAX($AX$4:AX1035)+1,""))</f>
        <v/>
      </c>
      <c r="AY1036" s="61">
        <f>IF(B1036="","",HOUR(B1036))</f>
        <v/>
      </c>
      <c r="AZ1036" s="61">
        <f>IF(A1036="","",MOD(A1036-2,7)+1)</f>
        <v/>
      </c>
      <c r="BA1036" s="60">
        <f>IF(C1036="","",IFERROR(INDEX('Prospects'!$N$5:$N$504,MATCH(C1036,'Prospects'!$C$5:$C$504,0)),""))</f>
        <v/>
      </c>
      <c r="BB1036" s="61">
        <f>IF(AND(C1036&lt;&gt;"",C1036='Fiche prospect'!$C$4),COUNTIF($C$5:C1036,C1036),"")</f>
        <v/>
      </c>
    </row>
    <row r="1037">
      <c r="A1037" s="53" t="n"/>
      <c r="B1037" s="54" t="n"/>
      <c r="C1037" s="55" t="n"/>
      <c r="D1037" s="55" t="n"/>
      <c r="E1037" s="55" t="n"/>
      <c r="F1037" s="55" t="n"/>
      <c r="G1037" s="56" t="n"/>
      <c r="H1037" s="57" t="n"/>
      <c r="I1037" s="55" t="n"/>
      <c r="J1037" s="53" t="n"/>
      <c r="K1037" s="54" t="n"/>
      <c r="L1037" s="55" t="n"/>
      <c r="M1037" s="55" t="n"/>
      <c r="N1037" s="57" t="n"/>
      <c r="O1037" s="55" t="n"/>
      <c r="P1037" s="56" t="n"/>
      <c r="Q1037" s="55" t="n"/>
      <c r="R1037" s="55" t="n"/>
      <c r="S1037" s="55" t="n"/>
      <c r="T1037" s="55" t="n"/>
      <c r="U1037" s="55" t="n"/>
      <c r="V1037" s="55" t="n"/>
      <c r="W1037" s="58" t="n"/>
      <c r="X1037" s="58" t="n"/>
      <c r="Y1037" s="55" t="n"/>
      <c r="Z1037" s="55" t="n"/>
      <c r="AA1037" s="55" t="n"/>
      <c r="AB1037" s="55" t="n"/>
      <c r="AC1037" s="55" t="n"/>
      <c r="AD1037" s="53" t="n"/>
      <c r="AE1037" s="55" t="n"/>
      <c r="AF1037" s="55" t="n"/>
      <c r="AG1037" s="59" t="n"/>
      <c r="AH1037" s="57" t="n"/>
      <c r="AI1037" s="55" t="n"/>
      <c r="AJ1037" s="55" t="n"/>
      <c r="AK1037" s="55" t="n"/>
      <c r="AL1037" s="55" t="n"/>
      <c r="AM1037" s="56" t="n"/>
      <c r="AN1037" s="55" t="n"/>
      <c r="AO1037" s="55" t="n"/>
      <c r="AP1037" s="55" t="n"/>
      <c r="AQ1037" s="55" t="n"/>
      <c r="AR1037" s="60">
        <f>IF(AND(C1037="",E1037=""),"",IF(A1037="","⚠ Date manquante",IF(AND(C1037="",E1037&lt;&gt;"Dépense"),"⚠ Prospect manquant",IF(E1037="","⚠ Action manquante",IF(AND(AU1037=1,D1037=""),"⚠ Canal manquant",IF(AND(W1037&lt;&gt;"",COUNTIFS('Saisie'!$W$5:$W$2004,W1037,'Saisie'!$C$5:$C$2004,"&lt;&gt;"&amp;C1037)&gt;0),"⚠ Numéro déjà utilisé par un autre prospect",IF(AND(J1037&lt;&gt;"",J1037&lt;A1037),"⚠ Relance avant la date de l'action",IF(A1037&gt;TODAY(),"⚠ Date dans le futur","✓"))))))))</f>
        <v/>
      </c>
      <c r="AS1037" s="61">
        <f>IF(AND(A1037="",C1037="",E1037=""),"",ROW())</f>
        <v/>
      </c>
      <c r="AT1037" s="61">
        <f>IF(E1037&amp;F1037="","",MAX(IFERROR(INDEX('Paramètres'!$J$6:$J$33,MATCH(E1037,'Paramètres'!$I$6:$I$33,0)),0),IFERROR(INDEX('Paramètres'!$N$6:$N$17,MATCH(F1037,'Paramètres'!$M$6:$M$17,0)),0)))</f>
        <v/>
      </c>
      <c r="AU1037" s="61">
        <f>IF(E1037="","",IFERROR(IF(INDEX('Paramètres'!$K$6:$K$33,MATCH(E1037,'Paramètres'!$I$6:$I$33,0))="Oui",1,0),0))</f>
        <v/>
      </c>
      <c r="AV1037" s="61">
        <f>IF(F1037="","",IFERROR(IF(INDEX('Paramètres'!$O$6:$O$17,MATCH(F1037,'Paramètres'!$M$6:$M$17,0))="Oui",1,0),0))</f>
        <v/>
      </c>
      <c r="AW1037" s="62">
        <f>IF(E1037="","",IF(G1037&lt;&gt;"",G1037,IF(OR(E1037="Proposition envoyée",E1037="Signature"),MAX(0,N(IFERROR(INDEX('Paramètres'!$R$6:$R$15,MATCH(IF(AL1037&lt;&gt;"",AL1037,IFERROR(INDEX('Prospects'!$AN$5:$AN$504,MATCH(C1037,'Prospects'!$C$5:$C$504,0)),"")),'Paramètres'!$Q$6:$Q$15,0)),0))-N(P1037)),0)))</f>
        <v/>
      </c>
      <c r="AX1037" s="61">
        <f>IF(C1037="","",IF(COUNTIF($C$5:C1037,C1037)=1,MAX($AX$4:AX1036)+1,""))</f>
        <v/>
      </c>
      <c r="AY1037" s="61">
        <f>IF(B1037="","",HOUR(B1037))</f>
        <v/>
      </c>
      <c r="AZ1037" s="61">
        <f>IF(A1037="","",MOD(A1037-2,7)+1)</f>
        <v/>
      </c>
      <c r="BA1037" s="60">
        <f>IF(C1037="","",IFERROR(INDEX('Prospects'!$N$5:$N$504,MATCH(C1037,'Prospects'!$C$5:$C$504,0)),""))</f>
        <v/>
      </c>
      <c r="BB1037" s="61">
        <f>IF(AND(C1037&lt;&gt;"",C1037='Fiche prospect'!$C$4),COUNTIF($C$5:C1037,C1037),"")</f>
        <v/>
      </c>
    </row>
    <row r="1038">
      <c r="A1038" s="53" t="n"/>
      <c r="B1038" s="54" t="n"/>
      <c r="C1038" s="55" t="n"/>
      <c r="D1038" s="55" t="n"/>
      <c r="E1038" s="55" t="n"/>
      <c r="F1038" s="55" t="n"/>
      <c r="G1038" s="56" t="n"/>
      <c r="H1038" s="57" t="n"/>
      <c r="I1038" s="55" t="n"/>
      <c r="J1038" s="53" t="n"/>
      <c r="K1038" s="54" t="n"/>
      <c r="L1038" s="55" t="n"/>
      <c r="M1038" s="55" t="n"/>
      <c r="N1038" s="57" t="n"/>
      <c r="O1038" s="55" t="n"/>
      <c r="P1038" s="56" t="n"/>
      <c r="Q1038" s="55" t="n"/>
      <c r="R1038" s="55" t="n"/>
      <c r="S1038" s="55" t="n"/>
      <c r="T1038" s="55" t="n"/>
      <c r="U1038" s="55" t="n"/>
      <c r="V1038" s="55" t="n"/>
      <c r="W1038" s="58" t="n"/>
      <c r="X1038" s="58" t="n"/>
      <c r="Y1038" s="55" t="n"/>
      <c r="Z1038" s="55" t="n"/>
      <c r="AA1038" s="55" t="n"/>
      <c r="AB1038" s="55" t="n"/>
      <c r="AC1038" s="55" t="n"/>
      <c r="AD1038" s="53" t="n"/>
      <c r="AE1038" s="55" t="n"/>
      <c r="AF1038" s="55" t="n"/>
      <c r="AG1038" s="59" t="n"/>
      <c r="AH1038" s="57" t="n"/>
      <c r="AI1038" s="55" t="n"/>
      <c r="AJ1038" s="55" t="n"/>
      <c r="AK1038" s="55" t="n"/>
      <c r="AL1038" s="55" t="n"/>
      <c r="AM1038" s="56" t="n"/>
      <c r="AN1038" s="55" t="n"/>
      <c r="AO1038" s="55" t="n"/>
      <c r="AP1038" s="55" t="n"/>
      <c r="AQ1038" s="55" t="n"/>
      <c r="AR1038" s="60">
        <f>IF(AND(C1038="",E1038=""),"",IF(A1038="","⚠ Date manquante",IF(AND(C1038="",E1038&lt;&gt;"Dépense"),"⚠ Prospect manquant",IF(E1038="","⚠ Action manquante",IF(AND(AU1038=1,D1038=""),"⚠ Canal manquant",IF(AND(W1038&lt;&gt;"",COUNTIFS('Saisie'!$W$5:$W$2004,W1038,'Saisie'!$C$5:$C$2004,"&lt;&gt;"&amp;C1038)&gt;0),"⚠ Numéro déjà utilisé par un autre prospect",IF(AND(J1038&lt;&gt;"",J1038&lt;A1038),"⚠ Relance avant la date de l'action",IF(A1038&gt;TODAY(),"⚠ Date dans le futur","✓"))))))))</f>
        <v/>
      </c>
      <c r="AS1038" s="61">
        <f>IF(AND(A1038="",C1038="",E1038=""),"",ROW())</f>
        <v/>
      </c>
      <c r="AT1038" s="61">
        <f>IF(E1038&amp;F1038="","",MAX(IFERROR(INDEX('Paramètres'!$J$6:$J$33,MATCH(E1038,'Paramètres'!$I$6:$I$33,0)),0),IFERROR(INDEX('Paramètres'!$N$6:$N$17,MATCH(F1038,'Paramètres'!$M$6:$M$17,0)),0)))</f>
        <v/>
      </c>
      <c r="AU1038" s="61">
        <f>IF(E1038="","",IFERROR(IF(INDEX('Paramètres'!$K$6:$K$33,MATCH(E1038,'Paramètres'!$I$6:$I$33,0))="Oui",1,0),0))</f>
        <v/>
      </c>
      <c r="AV1038" s="61">
        <f>IF(F1038="","",IFERROR(IF(INDEX('Paramètres'!$O$6:$O$17,MATCH(F1038,'Paramètres'!$M$6:$M$17,0))="Oui",1,0),0))</f>
        <v/>
      </c>
      <c r="AW1038" s="62">
        <f>IF(E1038="","",IF(G1038&lt;&gt;"",G1038,IF(OR(E1038="Proposition envoyée",E1038="Signature"),MAX(0,N(IFERROR(INDEX('Paramètres'!$R$6:$R$15,MATCH(IF(AL1038&lt;&gt;"",AL1038,IFERROR(INDEX('Prospects'!$AN$5:$AN$504,MATCH(C1038,'Prospects'!$C$5:$C$504,0)),"")),'Paramètres'!$Q$6:$Q$15,0)),0))-N(P1038)),0)))</f>
        <v/>
      </c>
      <c r="AX1038" s="61">
        <f>IF(C1038="","",IF(COUNTIF($C$5:C1038,C1038)=1,MAX($AX$4:AX1037)+1,""))</f>
        <v/>
      </c>
      <c r="AY1038" s="61">
        <f>IF(B1038="","",HOUR(B1038))</f>
        <v/>
      </c>
      <c r="AZ1038" s="61">
        <f>IF(A1038="","",MOD(A1038-2,7)+1)</f>
        <v/>
      </c>
      <c r="BA1038" s="60">
        <f>IF(C1038="","",IFERROR(INDEX('Prospects'!$N$5:$N$504,MATCH(C1038,'Prospects'!$C$5:$C$504,0)),""))</f>
        <v/>
      </c>
      <c r="BB1038" s="61">
        <f>IF(AND(C1038&lt;&gt;"",C1038='Fiche prospect'!$C$4),COUNTIF($C$5:C1038,C1038),"")</f>
        <v/>
      </c>
    </row>
    <row r="1039">
      <c r="A1039" s="53" t="n"/>
      <c r="B1039" s="54" t="n"/>
      <c r="C1039" s="55" t="n"/>
      <c r="D1039" s="55" t="n"/>
      <c r="E1039" s="55" t="n"/>
      <c r="F1039" s="55" t="n"/>
      <c r="G1039" s="56" t="n"/>
      <c r="H1039" s="57" t="n"/>
      <c r="I1039" s="55" t="n"/>
      <c r="J1039" s="53" t="n"/>
      <c r="K1039" s="54" t="n"/>
      <c r="L1039" s="55" t="n"/>
      <c r="M1039" s="55" t="n"/>
      <c r="N1039" s="57" t="n"/>
      <c r="O1039" s="55" t="n"/>
      <c r="P1039" s="56" t="n"/>
      <c r="Q1039" s="55" t="n"/>
      <c r="R1039" s="55" t="n"/>
      <c r="S1039" s="55" t="n"/>
      <c r="T1039" s="55" t="n"/>
      <c r="U1039" s="55" t="n"/>
      <c r="V1039" s="55" t="n"/>
      <c r="W1039" s="58" t="n"/>
      <c r="X1039" s="58" t="n"/>
      <c r="Y1039" s="55" t="n"/>
      <c r="Z1039" s="55" t="n"/>
      <c r="AA1039" s="55" t="n"/>
      <c r="AB1039" s="55" t="n"/>
      <c r="AC1039" s="55" t="n"/>
      <c r="AD1039" s="53" t="n"/>
      <c r="AE1039" s="55" t="n"/>
      <c r="AF1039" s="55" t="n"/>
      <c r="AG1039" s="59" t="n"/>
      <c r="AH1039" s="57" t="n"/>
      <c r="AI1039" s="55" t="n"/>
      <c r="AJ1039" s="55" t="n"/>
      <c r="AK1039" s="55" t="n"/>
      <c r="AL1039" s="55" t="n"/>
      <c r="AM1039" s="56" t="n"/>
      <c r="AN1039" s="55" t="n"/>
      <c r="AO1039" s="55" t="n"/>
      <c r="AP1039" s="55" t="n"/>
      <c r="AQ1039" s="55" t="n"/>
      <c r="AR1039" s="60">
        <f>IF(AND(C1039="",E1039=""),"",IF(A1039="","⚠ Date manquante",IF(AND(C1039="",E1039&lt;&gt;"Dépense"),"⚠ Prospect manquant",IF(E1039="","⚠ Action manquante",IF(AND(AU1039=1,D1039=""),"⚠ Canal manquant",IF(AND(W1039&lt;&gt;"",COUNTIFS('Saisie'!$W$5:$W$2004,W1039,'Saisie'!$C$5:$C$2004,"&lt;&gt;"&amp;C1039)&gt;0),"⚠ Numéro déjà utilisé par un autre prospect",IF(AND(J1039&lt;&gt;"",J1039&lt;A1039),"⚠ Relance avant la date de l'action",IF(A1039&gt;TODAY(),"⚠ Date dans le futur","✓"))))))))</f>
        <v/>
      </c>
      <c r="AS1039" s="61">
        <f>IF(AND(A1039="",C1039="",E1039=""),"",ROW())</f>
        <v/>
      </c>
      <c r="AT1039" s="61">
        <f>IF(E1039&amp;F1039="","",MAX(IFERROR(INDEX('Paramètres'!$J$6:$J$33,MATCH(E1039,'Paramètres'!$I$6:$I$33,0)),0),IFERROR(INDEX('Paramètres'!$N$6:$N$17,MATCH(F1039,'Paramètres'!$M$6:$M$17,0)),0)))</f>
        <v/>
      </c>
      <c r="AU1039" s="61">
        <f>IF(E1039="","",IFERROR(IF(INDEX('Paramètres'!$K$6:$K$33,MATCH(E1039,'Paramètres'!$I$6:$I$33,0))="Oui",1,0),0))</f>
        <v/>
      </c>
      <c r="AV1039" s="61">
        <f>IF(F1039="","",IFERROR(IF(INDEX('Paramètres'!$O$6:$O$17,MATCH(F1039,'Paramètres'!$M$6:$M$17,0))="Oui",1,0),0))</f>
        <v/>
      </c>
      <c r="AW1039" s="62">
        <f>IF(E1039="","",IF(G1039&lt;&gt;"",G1039,IF(OR(E1039="Proposition envoyée",E1039="Signature"),MAX(0,N(IFERROR(INDEX('Paramètres'!$R$6:$R$15,MATCH(IF(AL1039&lt;&gt;"",AL1039,IFERROR(INDEX('Prospects'!$AN$5:$AN$504,MATCH(C1039,'Prospects'!$C$5:$C$504,0)),"")),'Paramètres'!$Q$6:$Q$15,0)),0))-N(P1039)),0)))</f>
        <v/>
      </c>
      <c r="AX1039" s="61">
        <f>IF(C1039="","",IF(COUNTIF($C$5:C1039,C1039)=1,MAX($AX$4:AX1038)+1,""))</f>
        <v/>
      </c>
      <c r="AY1039" s="61">
        <f>IF(B1039="","",HOUR(B1039))</f>
        <v/>
      </c>
      <c r="AZ1039" s="61">
        <f>IF(A1039="","",MOD(A1039-2,7)+1)</f>
        <v/>
      </c>
      <c r="BA1039" s="60">
        <f>IF(C1039="","",IFERROR(INDEX('Prospects'!$N$5:$N$504,MATCH(C1039,'Prospects'!$C$5:$C$504,0)),""))</f>
        <v/>
      </c>
      <c r="BB1039" s="61">
        <f>IF(AND(C1039&lt;&gt;"",C1039='Fiche prospect'!$C$4),COUNTIF($C$5:C1039,C1039),"")</f>
        <v/>
      </c>
    </row>
    <row r="1040">
      <c r="A1040" s="53" t="n"/>
      <c r="B1040" s="54" t="n"/>
      <c r="C1040" s="55" t="n"/>
      <c r="D1040" s="55" t="n"/>
      <c r="E1040" s="55" t="n"/>
      <c r="F1040" s="55" t="n"/>
      <c r="G1040" s="56" t="n"/>
      <c r="H1040" s="57" t="n"/>
      <c r="I1040" s="55" t="n"/>
      <c r="J1040" s="53" t="n"/>
      <c r="K1040" s="54" t="n"/>
      <c r="L1040" s="55" t="n"/>
      <c r="M1040" s="55" t="n"/>
      <c r="N1040" s="57" t="n"/>
      <c r="O1040" s="55" t="n"/>
      <c r="P1040" s="56" t="n"/>
      <c r="Q1040" s="55" t="n"/>
      <c r="R1040" s="55" t="n"/>
      <c r="S1040" s="55" t="n"/>
      <c r="T1040" s="55" t="n"/>
      <c r="U1040" s="55" t="n"/>
      <c r="V1040" s="55" t="n"/>
      <c r="W1040" s="58" t="n"/>
      <c r="X1040" s="58" t="n"/>
      <c r="Y1040" s="55" t="n"/>
      <c r="Z1040" s="55" t="n"/>
      <c r="AA1040" s="55" t="n"/>
      <c r="AB1040" s="55" t="n"/>
      <c r="AC1040" s="55" t="n"/>
      <c r="AD1040" s="53" t="n"/>
      <c r="AE1040" s="55" t="n"/>
      <c r="AF1040" s="55" t="n"/>
      <c r="AG1040" s="59" t="n"/>
      <c r="AH1040" s="57" t="n"/>
      <c r="AI1040" s="55" t="n"/>
      <c r="AJ1040" s="55" t="n"/>
      <c r="AK1040" s="55" t="n"/>
      <c r="AL1040" s="55" t="n"/>
      <c r="AM1040" s="56" t="n"/>
      <c r="AN1040" s="55" t="n"/>
      <c r="AO1040" s="55" t="n"/>
      <c r="AP1040" s="55" t="n"/>
      <c r="AQ1040" s="55" t="n"/>
      <c r="AR1040" s="60">
        <f>IF(AND(C1040="",E1040=""),"",IF(A1040="","⚠ Date manquante",IF(AND(C1040="",E1040&lt;&gt;"Dépense"),"⚠ Prospect manquant",IF(E1040="","⚠ Action manquante",IF(AND(AU1040=1,D1040=""),"⚠ Canal manquant",IF(AND(W1040&lt;&gt;"",COUNTIFS('Saisie'!$W$5:$W$2004,W1040,'Saisie'!$C$5:$C$2004,"&lt;&gt;"&amp;C1040)&gt;0),"⚠ Numéro déjà utilisé par un autre prospect",IF(AND(J1040&lt;&gt;"",J1040&lt;A1040),"⚠ Relance avant la date de l'action",IF(A1040&gt;TODAY(),"⚠ Date dans le futur","✓"))))))))</f>
        <v/>
      </c>
      <c r="AS1040" s="61">
        <f>IF(AND(A1040="",C1040="",E1040=""),"",ROW())</f>
        <v/>
      </c>
      <c r="AT1040" s="61">
        <f>IF(E1040&amp;F1040="","",MAX(IFERROR(INDEX('Paramètres'!$J$6:$J$33,MATCH(E1040,'Paramètres'!$I$6:$I$33,0)),0),IFERROR(INDEX('Paramètres'!$N$6:$N$17,MATCH(F1040,'Paramètres'!$M$6:$M$17,0)),0)))</f>
        <v/>
      </c>
      <c r="AU1040" s="61">
        <f>IF(E1040="","",IFERROR(IF(INDEX('Paramètres'!$K$6:$K$33,MATCH(E1040,'Paramètres'!$I$6:$I$33,0))="Oui",1,0),0))</f>
        <v/>
      </c>
      <c r="AV1040" s="61">
        <f>IF(F1040="","",IFERROR(IF(INDEX('Paramètres'!$O$6:$O$17,MATCH(F1040,'Paramètres'!$M$6:$M$17,0))="Oui",1,0),0))</f>
        <v/>
      </c>
      <c r="AW1040" s="62">
        <f>IF(E1040="","",IF(G1040&lt;&gt;"",G1040,IF(OR(E1040="Proposition envoyée",E1040="Signature"),MAX(0,N(IFERROR(INDEX('Paramètres'!$R$6:$R$15,MATCH(IF(AL1040&lt;&gt;"",AL1040,IFERROR(INDEX('Prospects'!$AN$5:$AN$504,MATCH(C1040,'Prospects'!$C$5:$C$504,0)),"")),'Paramètres'!$Q$6:$Q$15,0)),0))-N(P1040)),0)))</f>
        <v/>
      </c>
      <c r="AX1040" s="61">
        <f>IF(C1040="","",IF(COUNTIF($C$5:C1040,C1040)=1,MAX($AX$4:AX1039)+1,""))</f>
        <v/>
      </c>
      <c r="AY1040" s="61">
        <f>IF(B1040="","",HOUR(B1040))</f>
        <v/>
      </c>
      <c r="AZ1040" s="61">
        <f>IF(A1040="","",MOD(A1040-2,7)+1)</f>
        <v/>
      </c>
      <c r="BA1040" s="60">
        <f>IF(C1040="","",IFERROR(INDEX('Prospects'!$N$5:$N$504,MATCH(C1040,'Prospects'!$C$5:$C$504,0)),""))</f>
        <v/>
      </c>
      <c r="BB1040" s="61">
        <f>IF(AND(C1040&lt;&gt;"",C1040='Fiche prospect'!$C$4),COUNTIF($C$5:C1040,C1040),"")</f>
        <v/>
      </c>
    </row>
    <row r="1041">
      <c r="A1041" s="53" t="n"/>
      <c r="B1041" s="54" t="n"/>
      <c r="C1041" s="55" t="n"/>
      <c r="D1041" s="55" t="n"/>
      <c r="E1041" s="55" t="n"/>
      <c r="F1041" s="55" t="n"/>
      <c r="G1041" s="56" t="n"/>
      <c r="H1041" s="57" t="n"/>
      <c r="I1041" s="55" t="n"/>
      <c r="J1041" s="53" t="n"/>
      <c r="K1041" s="54" t="n"/>
      <c r="L1041" s="55" t="n"/>
      <c r="M1041" s="55" t="n"/>
      <c r="N1041" s="57" t="n"/>
      <c r="O1041" s="55" t="n"/>
      <c r="P1041" s="56" t="n"/>
      <c r="Q1041" s="55" t="n"/>
      <c r="R1041" s="55" t="n"/>
      <c r="S1041" s="55" t="n"/>
      <c r="T1041" s="55" t="n"/>
      <c r="U1041" s="55" t="n"/>
      <c r="V1041" s="55" t="n"/>
      <c r="W1041" s="58" t="n"/>
      <c r="X1041" s="58" t="n"/>
      <c r="Y1041" s="55" t="n"/>
      <c r="Z1041" s="55" t="n"/>
      <c r="AA1041" s="55" t="n"/>
      <c r="AB1041" s="55" t="n"/>
      <c r="AC1041" s="55" t="n"/>
      <c r="AD1041" s="53" t="n"/>
      <c r="AE1041" s="55" t="n"/>
      <c r="AF1041" s="55" t="n"/>
      <c r="AG1041" s="59" t="n"/>
      <c r="AH1041" s="57" t="n"/>
      <c r="AI1041" s="55" t="n"/>
      <c r="AJ1041" s="55" t="n"/>
      <c r="AK1041" s="55" t="n"/>
      <c r="AL1041" s="55" t="n"/>
      <c r="AM1041" s="56" t="n"/>
      <c r="AN1041" s="55" t="n"/>
      <c r="AO1041" s="55" t="n"/>
      <c r="AP1041" s="55" t="n"/>
      <c r="AQ1041" s="55" t="n"/>
      <c r="AR1041" s="60">
        <f>IF(AND(C1041="",E1041=""),"",IF(A1041="","⚠ Date manquante",IF(AND(C1041="",E1041&lt;&gt;"Dépense"),"⚠ Prospect manquant",IF(E1041="","⚠ Action manquante",IF(AND(AU1041=1,D1041=""),"⚠ Canal manquant",IF(AND(W1041&lt;&gt;"",COUNTIFS('Saisie'!$W$5:$W$2004,W1041,'Saisie'!$C$5:$C$2004,"&lt;&gt;"&amp;C1041)&gt;0),"⚠ Numéro déjà utilisé par un autre prospect",IF(AND(J1041&lt;&gt;"",J1041&lt;A1041),"⚠ Relance avant la date de l'action",IF(A1041&gt;TODAY(),"⚠ Date dans le futur","✓"))))))))</f>
        <v/>
      </c>
      <c r="AS1041" s="61">
        <f>IF(AND(A1041="",C1041="",E1041=""),"",ROW())</f>
        <v/>
      </c>
      <c r="AT1041" s="61">
        <f>IF(E1041&amp;F1041="","",MAX(IFERROR(INDEX('Paramètres'!$J$6:$J$33,MATCH(E1041,'Paramètres'!$I$6:$I$33,0)),0),IFERROR(INDEX('Paramètres'!$N$6:$N$17,MATCH(F1041,'Paramètres'!$M$6:$M$17,0)),0)))</f>
        <v/>
      </c>
      <c r="AU1041" s="61">
        <f>IF(E1041="","",IFERROR(IF(INDEX('Paramètres'!$K$6:$K$33,MATCH(E1041,'Paramètres'!$I$6:$I$33,0))="Oui",1,0),0))</f>
        <v/>
      </c>
      <c r="AV1041" s="61">
        <f>IF(F1041="","",IFERROR(IF(INDEX('Paramètres'!$O$6:$O$17,MATCH(F1041,'Paramètres'!$M$6:$M$17,0))="Oui",1,0),0))</f>
        <v/>
      </c>
      <c r="AW1041" s="62">
        <f>IF(E1041="","",IF(G1041&lt;&gt;"",G1041,IF(OR(E1041="Proposition envoyée",E1041="Signature"),MAX(0,N(IFERROR(INDEX('Paramètres'!$R$6:$R$15,MATCH(IF(AL1041&lt;&gt;"",AL1041,IFERROR(INDEX('Prospects'!$AN$5:$AN$504,MATCH(C1041,'Prospects'!$C$5:$C$504,0)),"")),'Paramètres'!$Q$6:$Q$15,0)),0))-N(P1041)),0)))</f>
        <v/>
      </c>
      <c r="AX1041" s="61">
        <f>IF(C1041="","",IF(COUNTIF($C$5:C1041,C1041)=1,MAX($AX$4:AX1040)+1,""))</f>
        <v/>
      </c>
      <c r="AY1041" s="61">
        <f>IF(B1041="","",HOUR(B1041))</f>
        <v/>
      </c>
      <c r="AZ1041" s="61">
        <f>IF(A1041="","",MOD(A1041-2,7)+1)</f>
        <v/>
      </c>
      <c r="BA1041" s="60">
        <f>IF(C1041="","",IFERROR(INDEX('Prospects'!$N$5:$N$504,MATCH(C1041,'Prospects'!$C$5:$C$504,0)),""))</f>
        <v/>
      </c>
      <c r="BB1041" s="61">
        <f>IF(AND(C1041&lt;&gt;"",C1041='Fiche prospect'!$C$4),COUNTIF($C$5:C1041,C1041),"")</f>
        <v/>
      </c>
    </row>
    <row r="1042">
      <c r="A1042" s="53" t="n"/>
      <c r="B1042" s="54" t="n"/>
      <c r="C1042" s="55" t="n"/>
      <c r="D1042" s="55" t="n"/>
      <c r="E1042" s="55" t="n"/>
      <c r="F1042" s="55" t="n"/>
      <c r="G1042" s="56" t="n"/>
      <c r="H1042" s="57" t="n"/>
      <c r="I1042" s="55" t="n"/>
      <c r="J1042" s="53" t="n"/>
      <c r="K1042" s="54" t="n"/>
      <c r="L1042" s="55" t="n"/>
      <c r="M1042" s="55" t="n"/>
      <c r="N1042" s="57" t="n"/>
      <c r="O1042" s="55" t="n"/>
      <c r="P1042" s="56" t="n"/>
      <c r="Q1042" s="55" t="n"/>
      <c r="R1042" s="55" t="n"/>
      <c r="S1042" s="55" t="n"/>
      <c r="T1042" s="55" t="n"/>
      <c r="U1042" s="55" t="n"/>
      <c r="V1042" s="55" t="n"/>
      <c r="W1042" s="58" t="n"/>
      <c r="X1042" s="58" t="n"/>
      <c r="Y1042" s="55" t="n"/>
      <c r="Z1042" s="55" t="n"/>
      <c r="AA1042" s="55" t="n"/>
      <c r="AB1042" s="55" t="n"/>
      <c r="AC1042" s="55" t="n"/>
      <c r="AD1042" s="53" t="n"/>
      <c r="AE1042" s="55" t="n"/>
      <c r="AF1042" s="55" t="n"/>
      <c r="AG1042" s="59" t="n"/>
      <c r="AH1042" s="57" t="n"/>
      <c r="AI1042" s="55" t="n"/>
      <c r="AJ1042" s="55" t="n"/>
      <c r="AK1042" s="55" t="n"/>
      <c r="AL1042" s="55" t="n"/>
      <c r="AM1042" s="56" t="n"/>
      <c r="AN1042" s="55" t="n"/>
      <c r="AO1042" s="55" t="n"/>
      <c r="AP1042" s="55" t="n"/>
      <c r="AQ1042" s="55" t="n"/>
      <c r="AR1042" s="60">
        <f>IF(AND(C1042="",E1042=""),"",IF(A1042="","⚠ Date manquante",IF(AND(C1042="",E1042&lt;&gt;"Dépense"),"⚠ Prospect manquant",IF(E1042="","⚠ Action manquante",IF(AND(AU1042=1,D1042=""),"⚠ Canal manquant",IF(AND(W1042&lt;&gt;"",COUNTIFS('Saisie'!$W$5:$W$2004,W1042,'Saisie'!$C$5:$C$2004,"&lt;&gt;"&amp;C1042)&gt;0),"⚠ Numéro déjà utilisé par un autre prospect",IF(AND(J1042&lt;&gt;"",J1042&lt;A1042),"⚠ Relance avant la date de l'action",IF(A1042&gt;TODAY(),"⚠ Date dans le futur","✓"))))))))</f>
        <v/>
      </c>
      <c r="AS1042" s="61">
        <f>IF(AND(A1042="",C1042="",E1042=""),"",ROW())</f>
        <v/>
      </c>
      <c r="AT1042" s="61">
        <f>IF(E1042&amp;F1042="","",MAX(IFERROR(INDEX('Paramètres'!$J$6:$J$33,MATCH(E1042,'Paramètres'!$I$6:$I$33,0)),0),IFERROR(INDEX('Paramètres'!$N$6:$N$17,MATCH(F1042,'Paramètres'!$M$6:$M$17,0)),0)))</f>
        <v/>
      </c>
      <c r="AU1042" s="61">
        <f>IF(E1042="","",IFERROR(IF(INDEX('Paramètres'!$K$6:$K$33,MATCH(E1042,'Paramètres'!$I$6:$I$33,0))="Oui",1,0),0))</f>
        <v/>
      </c>
      <c r="AV1042" s="61">
        <f>IF(F1042="","",IFERROR(IF(INDEX('Paramètres'!$O$6:$O$17,MATCH(F1042,'Paramètres'!$M$6:$M$17,0))="Oui",1,0),0))</f>
        <v/>
      </c>
      <c r="AW1042" s="62">
        <f>IF(E1042="","",IF(G1042&lt;&gt;"",G1042,IF(OR(E1042="Proposition envoyée",E1042="Signature"),MAX(0,N(IFERROR(INDEX('Paramètres'!$R$6:$R$15,MATCH(IF(AL1042&lt;&gt;"",AL1042,IFERROR(INDEX('Prospects'!$AN$5:$AN$504,MATCH(C1042,'Prospects'!$C$5:$C$504,0)),"")),'Paramètres'!$Q$6:$Q$15,0)),0))-N(P1042)),0)))</f>
        <v/>
      </c>
      <c r="AX1042" s="61">
        <f>IF(C1042="","",IF(COUNTIF($C$5:C1042,C1042)=1,MAX($AX$4:AX1041)+1,""))</f>
        <v/>
      </c>
      <c r="AY1042" s="61">
        <f>IF(B1042="","",HOUR(B1042))</f>
        <v/>
      </c>
      <c r="AZ1042" s="61">
        <f>IF(A1042="","",MOD(A1042-2,7)+1)</f>
        <v/>
      </c>
      <c r="BA1042" s="60">
        <f>IF(C1042="","",IFERROR(INDEX('Prospects'!$N$5:$N$504,MATCH(C1042,'Prospects'!$C$5:$C$504,0)),""))</f>
        <v/>
      </c>
      <c r="BB1042" s="61">
        <f>IF(AND(C1042&lt;&gt;"",C1042='Fiche prospect'!$C$4),COUNTIF($C$5:C1042,C1042),"")</f>
        <v/>
      </c>
    </row>
    <row r="1043">
      <c r="A1043" s="53" t="n"/>
      <c r="B1043" s="54" t="n"/>
      <c r="C1043" s="55" t="n"/>
      <c r="D1043" s="55" t="n"/>
      <c r="E1043" s="55" t="n"/>
      <c r="F1043" s="55" t="n"/>
      <c r="G1043" s="56" t="n"/>
      <c r="H1043" s="57" t="n"/>
      <c r="I1043" s="55" t="n"/>
      <c r="J1043" s="53" t="n"/>
      <c r="K1043" s="54" t="n"/>
      <c r="L1043" s="55" t="n"/>
      <c r="M1043" s="55" t="n"/>
      <c r="N1043" s="57" t="n"/>
      <c r="O1043" s="55" t="n"/>
      <c r="P1043" s="56" t="n"/>
      <c r="Q1043" s="55" t="n"/>
      <c r="R1043" s="55" t="n"/>
      <c r="S1043" s="55" t="n"/>
      <c r="T1043" s="55" t="n"/>
      <c r="U1043" s="55" t="n"/>
      <c r="V1043" s="55" t="n"/>
      <c r="W1043" s="58" t="n"/>
      <c r="X1043" s="58" t="n"/>
      <c r="Y1043" s="55" t="n"/>
      <c r="Z1043" s="55" t="n"/>
      <c r="AA1043" s="55" t="n"/>
      <c r="AB1043" s="55" t="n"/>
      <c r="AC1043" s="55" t="n"/>
      <c r="AD1043" s="53" t="n"/>
      <c r="AE1043" s="55" t="n"/>
      <c r="AF1043" s="55" t="n"/>
      <c r="AG1043" s="59" t="n"/>
      <c r="AH1043" s="57" t="n"/>
      <c r="AI1043" s="55" t="n"/>
      <c r="AJ1043" s="55" t="n"/>
      <c r="AK1043" s="55" t="n"/>
      <c r="AL1043" s="55" t="n"/>
      <c r="AM1043" s="56" t="n"/>
      <c r="AN1043" s="55" t="n"/>
      <c r="AO1043" s="55" t="n"/>
      <c r="AP1043" s="55" t="n"/>
      <c r="AQ1043" s="55" t="n"/>
      <c r="AR1043" s="60">
        <f>IF(AND(C1043="",E1043=""),"",IF(A1043="","⚠ Date manquante",IF(AND(C1043="",E1043&lt;&gt;"Dépense"),"⚠ Prospect manquant",IF(E1043="","⚠ Action manquante",IF(AND(AU1043=1,D1043=""),"⚠ Canal manquant",IF(AND(W1043&lt;&gt;"",COUNTIFS('Saisie'!$W$5:$W$2004,W1043,'Saisie'!$C$5:$C$2004,"&lt;&gt;"&amp;C1043)&gt;0),"⚠ Numéro déjà utilisé par un autre prospect",IF(AND(J1043&lt;&gt;"",J1043&lt;A1043),"⚠ Relance avant la date de l'action",IF(A1043&gt;TODAY(),"⚠ Date dans le futur","✓"))))))))</f>
        <v/>
      </c>
      <c r="AS1043" s="61">
        <f>IF(AND(A1043="",C1043="",E1043=""),"",ROW())</f>
        <v/>
      </c>
      <c r="AT1043" s="61">
        <f>IF(E1043&amp;F1043="","",MAX(IFERROR(INDEX('Paramètres'!$J$6:$J$33,MATCH(E1043,'Paramètres'!$I$6:$I$33,0)),0),IFERROR(INDEX('Paramètres'!$N$6:$N$17,MATCH(F1043,'Paramètres'!$M$6:$M$17,0)),0)))</f>
        <v/>
      </c>
      <c r="AU1043" s="61">
        <f>IF(E1043="","",IFERROR(IF(INDEX('Paramètres'!$K$6:$K$33,MATCH(E1043,'Paramètres'!$I$6:$I$33,0))="Oui",1,0),0))</f>
        <v/>
      </c>
      <c r="AV1043" s="61">
        <f>IF(F1043="","",IFERROR(IF(INDEX('Paramètres'!$O$6:$O$17,MATCH(F1043,'Paramètres'!$M$6:$M$17,0))="Oui",1,0),0))</f>
        <v/>
      </c>
      <c r="AW1043" s="62">
        <f>IF(E1043="","",IF(G1043&lt;&gt;"",G1043,IF(OR(E1043="Proposition envoyée",E1043="Signature"),MAX(0,N(IFERROR(INDEX('Paramètres'!$R$6:$R$15,MATCH(IF(AL1043&lt;&gt;"",AL1043,IFERROR(INDEX('Prospects'!$AN$5:$AN$504,MATCH(C1043,'Prospects'!$C$5:$C$504,0)),"")),'Paramètres'!$Q$6:$Q$15,0)),0))-N(P1043)),0)))</f>
        <v/>
      </c>
      <c r="AX1043" s="61">
        <f>IF(C1043="","",IF(COUNTIF($C$5:C1043,C1043)=1,MAX($AX$4:AX1042)+1,""))</f>
        <v/>
      </c>
      <c r="AY1043" s="61">
        <f>IF(B1043="","",HOUR(B1043))</f>
        <v/>
      </c>
      <c r="AZ1043" s="61">
        <f>IF(A1043="","",MOD(A1043-2,7)+1)</f>
        <v/>
      </c>
      <c r="BA1043" s="60">
        <f>IF(C1043="","",IFERROR(INDEX('Prospects'!$N$5:$N$504,MATCH(C1043,'Prospects'!$C$5:$C$504,0)),""))</f>
        <v/>
      </c>
      <c r="BB1043" s="61">
        <f>IF(AND(C1043&lt;&gt;"",C1043='Fiche prospect'!$C$4),COUNTIF($C$5:C1043,C1043),"")</f>
        <v/>
      </c>
    </row>
    <row r="1044">
      <c r="A1044" s="53" t="n"/>
      <c r="B1044" s="54" t="n"/>
      <c r="C1044" s="55" t="n"/>
      <c r="D1044" s="55" t="n"/>
      <c r="E1044" s="55" t="n"/>
      <c r="F1044" s="55" t="n"/>
      <c r="G1044" s="56" t="n"/>
      <c r="H1044" s="57" t="n"/>
      <c r="I1044" s="55" t="n"/>
      <c r="J1044" s="53" t="n"/>
      <c r="K1044" s="54" t="n"/>
      <c r="L1044" s="55" t="n"/>
      <c r="M1044" s="55" t="n"/>
      <c r="N1044" s="57" t="n"/>
      <c r="O1044" s="55" t="n"/>
      <c r="P1044" s="56" t="n"/>
      <c r="Q1044" s="55" t="n"/>
      <c r="R1044" s="55" t="n"/>
      <c r="S1044" s="55" t="n"/>
      <c r="T1044" s="55" t="n"/>
      <c r="U1044" s="55" t="n"/>
      <c r="V1044" s="55" t="n"/>
      <c r="W1044" s="58" t="n"/>
      <c r="X1044" s="58" t="n"/>
      <c r="Y1044" s="55" t="n"/>
      <c r="Z1044" s="55" t="n"/>
      <c r="AA1044" s="55" t="n"/>
      <c r="AB1044" s="55" t="n"/>
      <c r="AC1044" s="55" t="n"/>
      <c r="AD1044" s="53" t="n"/>
      <c r="AE1044" s="55" t="n"/>
      <c r="AF1044" s="55" t="n"/>
      <c r="AG1044" s="59" t="n"/>
      <c r="AH1044" s="57" t="n"/>
      <c r="AI1044" s="55" t="n"/>
      <c r="AJ1044" s="55" t="n"/>
      <c r="AK1044" s="55" t="n"/>
      <c r="AL1044" s="55" t="n"/>
      <c r="AM1044" s="56" t="n"/>
      <c r="AN1044" s="55" t="n"/>
      <c r="AO1044" s="55" t="n"/>
      <c r="AP1044" s="55" t="n"/>
      <c r="AQ1044" s="55" t="n"/>
      <c r="AR1044" s="60">
        <f>IF(AND(C1044="",E1044=""),"",IF(A1044="","⚠ Date manquante",IF(AND(C1044="",E1044&lt;&gt;"Dépense"),"⚠ Prospect manquant",IF(E1044="","⚠ Action manquante",IF(AND(AU1044=1,D1044=""),"⚠ Canal manquant",IF(AND(W1044&lt;&gt;"",COUNTIFS('Saisie'!$W$5:$W$2004,W1044,'Saisie'!$C$5:$C$2004,"&lt;&gt;"&amp;C1044)&gt;0),"⚠ Numéro déjà utilisé par un autre prospect",IF(AND(J1044&lt;&gt;"",J1044&lt;A1044),"⚠ Relance avant la date de l'action",IF(A1044&gt;TODAY(),"⚠ Date dans le futur","✓"))))))))</f>
        <v/>
      </c>
      <c r="AS1044" s="61">
        <f>IF(AND(A1044="",C1044="",E1044=""),"",ROW())</f>
        <v/>
      </c>
      <c r="AT1044" s="61">
        <f>IF(E1044&amp;F1044="","",MAX(IFERROR(INDEX('Paramètres'!$J$6:$J$33,MATCH(E1044,'Paramètres'!$I$6:$I$33,0)),0),IFERROR(INDEX('Paramètres'!$N$6:$N$17,MATCH(F1044,'Paramètres'!$M$6:$M$17,0)),0)))</f>
        <v/>
      </c>
      <c r="AU1044" s="61">
        <f>IF(E1044="","",IFERROR(IF(INDEX('Paramètres'!$K$6:$K$33,MATCH(E1044,'Paramètres'!$I$6:$I$33,0))="Oui",1,0),0))</f>
        <v/>
      </c>
      <c r="AV1044" s="61">
        <f>IF(F1044="","",IFERROR(IF(INDEX('Paramètres'!$O$6:$O$17,MATCH(F1044,'Paramètres'!$M$6:$M$17,0))="Oui",1,0),0))</f>
        <v/>
      </c>
      <c r="AW1044" s="62">
        <f>IF(E1044="","",IF(G1044&lt;&gt;"",G1044,IF(OR(E1044="Proposition envoyée",E1044="Signature"),MAX(0,N(IFERROR(INDEX('Paramètres'!$R$6:$R$15,MATCH(IF(AL1044&lt;&gt;"",AL1044,IFERROR(INDEX('Prospects'!$AN$5:$AN$504,MATCH(C1044,'Prospects'!$C$5:$C$504,0)),"")),'Paramètres'!$Q$6:$Q$15,0)),0))-N(P1044)),0)))</f>
        <v/>
      </c>
      <c r="AX1044" s="61">
        <f>IF(C1044="","",IF(COUNTIF($C$5:C1044,C1044)=1,MAX($AX$4:AX1043)+1,""))</f>
        <v/>
      </c>
      <c r="AY1044" s="61">
        <f>IF(B1044="","",HOUR(B1044))</f>
        <v/>
      </c>
      <c r="AZ1044" s="61">
        <f>IF(A1044="","",MOD(A1044-2,7)+1)</f>
        <v/>
      </c>
      <c r="BA1044" s="60">
        <f>IF(C1044="","",IFERROR(INDEX('Prospects'!$N$5:$N$504,MATCH(C1044,'Prospects'!$C$5:$C$504,0)),""))</f>
        <v/>
      </c>
      <c r="BB1044" s="61">
        <f>IF(AND(C1044&lt;&gt;"",C1044='Fiche prospect'!$C$4),COUNTIF($C$5:C1044,C1044),"")</f>
        <v/>
      </c>
    </row>
    <row r="1045">
      <c r="A1045" s="53" t="n"/>
      <c r="B1045" s="54" t="n"/>
      <c r="C1045" s="55" t="n"/>
      <c r="D1045" s="55" t="n"/>
      <c r="E1045" s="55" t="n"/>
      <c r="F1045" s="55" t="n"/>
      <c r="G1045" s="56" t="n"/>
      <c r="H1045" s="57" t="n"/>
      <c r="I1045" s="55" t="n"/>
      <c r="J1045" s="53" t="n"/>
      <c r="K1045" s="54" t="n"/>
      <c r="L1045" s="55" t="n"/>
      <c r="M1045" s="55" t="n"/>
      <c r="N1045" s="57" t="n"/>
      <c r="O1045" s="55" t="n"/>
      <c r="P1045" s="56" t="n"/>
      <c r="Q1045" s="55" t="n"/>
      <c r="R1045" s="55" t="n"/>
      <c r="S1045" s="55" t="n"/>
      <c r="T1045" s="55" t="n"/>
      <c r="U1045" s="55" t="n"/>
      <c r="V1045" s="55" t="n"/>
      <c r="W1045" s="58" t="n"/>
      <c r="X1045" s="58" t="n"/>
      <c r="Y1045" s="55" t="n"/>
      <c r="Z1045" s="55" t="n"/>
      <c r="AA1045" s="55" t="n"/>
      <c r="AB1045" s="55" t="n"/>
      <c r="AC1045" s="55" t="n"/>
      <c r="AD1045" s="53" t="n"/>
      <c r="AE1045" s="55" t="n"/>
      <c r="AF1045" s="55" t="n"/>
      <c r="AG1045" s="59" t="n"/>
      <c r="AH1045" s="57" t="n"/>
      <c r="AI1045" s="55" t="n"/>
      <c r="AJ1045" s="55" t="n"/>
      <c r="AK1045" s="55" t="n"/>
      <c r="AL1045" s="55" t="n"/>
      <c r="AM1045" s="56" t="n"/>
      <c r="AN1045" s="55" t="n"/>
      <c r="AO1045" s="55" t="n"/>
      <c r="AP1045" s="55" t="n"/>
      <c r="AQ1045" s="55" t="n"/>
      <c r="AR1045" s="60">
        <f>IF(AND(C1045="",E1045=""),"",IF(A1045="","⚠ Date manquante",IF(AND(C1045="",E1045&lt;&gt;"Dépense"),"⚠ Prospect manquant",IF(E1045="","⚠ Action manquante",IF(AND(AU1045=1,D1045=""),"⚠ Canal manquant",IF(AND(W1045&lt;&gt;"",COUNTIFS('Saisie'!$W$5:$W$2004,W1045,'Saisie'!$C$5:$C$2004,"&lt;&gt;"&amp;C1045)&gt;0),"⚠ Numéro déjà utilisé par un autre prospect",IF(AND(J1045&lt;&gt;"",J1045&lt;A1045),"⚠ Relance avant la date de l'action",IF(A1045&gt;TODAY(),"⚠ Date dans le futur","✓"))))))))</f>
        <v/>
      </c>
      <c r="AS1045" s="61">
        <f>IF(AND(A1045="",C1045="",E1045=""),"",ROW())</f>
        <v/>
      </c>
      <c r="AT1045" s="61">
        <f>IF(E1045&amp;F1045="","",MAX(IFERROR(INDEX('Paramètres'!$J$6:$J$33,MATCH(E1045,'Paramètres'!$I$6:$I$33,0)),0),IFERROR(INDEX('Paramètres'!$N$6:$N$17,MATCH(F1045,'Paramètres'!$M$6:$M$17,0)),0)))</f>
        <v/>
      </c>
      <c r="AU1045" s="61">
        <f>IF(E1045="","",IFERROR(IF(INDEX('Paramètres'!$K$6:$K$33,MATCH(E1045,'Paramètres'!$I$6:$I$33,0))="Oui",1,0),0))</f>
        <v/>
      </c>
      <c r="AV1045" s="61">
        <f>IF(F1045="","",IFERROR(IF(INDEX('Paramètres'!$O$6:$O$17,MATCH(F1045,'Paramètres'!$M$6:$M$17,0))="Oui",1,0),0))</f>
        <v/>
      </c>
      <c r="AW1045" s="62">
        <f>IF(E1045="","",IF(G1045&lt;&gt;"",G1045,IF(OR(E1045="Proposition envoyée",E1045="Signature"),MAX(0,N(IFERROR(INDEX('Paramètres'!$R$6:$R$15,MATCH(IF(AL1045&lt;&gt;"",AL1045,IFERROR(INDEX('Prospects'!$AN$5:$AN$504,MATCH(C1045,'Prospects'!$C$5:$C$504,0)),"")),'Paramètres'!$Q$6:$Q$15,0)),0))-N(P1045)),0)))</f>
        <v/>
      </c>
      <c r="AX1045" s="61">
        <f>IF(C1045="","",IF(COUNTIF($C$5:C1045,C1045)=1,MAX($AX$4:AX1044)+1,""))</f>
        <v/>
      </c>
      <c r="AY1045" s="61">
        <f>IF(B1045="","",HOUR(B1045))</f>
        <v/>
      </c>
      <c r="AZ1045" s="61">
        <f>IF(A1045="","",MOD(A1045-2,7)+1)</f>
        <v/>
      </c>
      <c r="BA1045" s="60">
        <f>IF(C1045="","",IFERROR(INDEX('Prospects'!$N$5:$N$504,MATCH(C1045,'Prospects'!$C$5:$C$504,0)),""))</f>
        <v/>
      </c>
      <c r="BB1045" s="61">
        <f>IF(AND(C1045&lt;&gt;"",C1045='Fiche prospect'!$C$4),COUNTIF($C$5:C1045,C1045),"")</f>
        <v/>
      </c>
    </row>
    <row r="1046">
      <c r="A1046" s="53" t="n"/>
      <c r="B1046" s="54" t="n"/>
      <c r="C1046" s="55" t="n"/>
      <c r="D1046" s="55" t="n"/>
      <c r="E1046" s="55" t="n"/>
      <c r="F1046" s="55" t="n"/>
      <c r="G1046" s="56" t="n"/>
      <c r="H1046" s="57" t="n"/>
      <c r="I1046" s="55" t="n"/>
      <c r="J1046" s="53" t="n"/>
      <c r="K1046" s="54" t="n"/>
      <c r="L1046" s="55" t="n"/>
      <c r="M1046" s="55" t="n"/>
      <c r="N1046" s="57" t="n"/>
      <c r="O1046" s="55" t="n"/>
      <c r="P1046" s="56" t="n"/>
      <c r="Q1046" s="55" t="n"/>
      <c r="R1046" s="55" t="n"/>
      <c r="S1046" s="55" t="n"/>
      <c r="T1046" s="55" t="n"/>
      <c r="U1046" s="55" t="n"/>
      <c r="V1046" s="55" t="n"/>
      <c r="W1046" s="58" t="n"/>
      <c r="X1046" s="58" t="n"/>
      <c r="Y1046" s="55" t="n"/>
      <c r="Z1046" s="55" t="n"/>
      <c r="AA1046" s="55" t="n"/>
      <c r="AB1046" s="55" t="n"/>
      <c r="AC1046" s="55" t="n"/>
      <c r="AD1046" s="53" t="n"/>
      <c r="AE1046" s="55" t="n"/>
      <c r="AF1046" s="55" t="n"/>
      <c r="AG1046" s="59" t="n"/>
      <c r="AH1046" s="57" t="n"/>
      <c r="AI1046" s="55" t="n"/>
      <c r="AJ1046" s="55" t="n"/>
      <c r="AK1046" s="55" t="n"/>
      <c r="AL1046" s="55" t="n"/>
      <c r="AM1046" s="56" t="n"/>
      <c r="AN1046" s="55" t="n"/>
      <c r="AO1046" s="55" t="n"/>
      <c r="AP1046" s="55" t="n"/>
      <c r="AQ1046" s="55" t="n"/>
      <c r="AR1046" s="60">
        <f>IF(AND(C1046="",E1046=""),"",IF(A1046="","⚠ Date manquante",IF(AND(C1046="",E1046&lt;&gt;"Dépense"),"⚠ Prospect manquant",IF(E1046="","⚠ Action manquante",IF(AND(AU1046=1,D1046=""),"⚠ Canal manquant",IF(AND(W1046&lt;&gt;"",COUNTIFS('Saisie'!$W$5:$W$2004,W1046,'Saisie'!$C$5:$C$2004,"&lt;&gt;"&amp;C1046)&gt;0),"⚠ Numéro déjà utilisé par un autre prospect",IF(AND(J1046&lt;&gt;"",J1046&lt;A1046),"⚠ Relance avant la date de l'action",IF(A1046&gt;TODAY(),"⚠ Date dans le futur","✓"))))))))</f>
        <v/>
      </c>
      <c r="AS1046" s="61">
        <f>IF(AND(A1046="",C1046="",E1046=""),"",ROW())</f>
        <v/>
      </c>
      <c r="AT1046" s="61">
        <f>IF(E1046&amp;F1046="","",MAX(IFERROR(INDEX('Paramètres'!$J$6:$J$33,MATCH(E1046,'Paramètres'!$I$6:$I$33,0)),0),IFERROR(INDEX('Paramètres'!$N$6:$N$17,MATCH(F1046,'Paramètres'!$M$6:$M$17,0)),0)))</f>
        <v/>
      </c>
      <c r="AU1046" s="61">
        <f>IF(E1046="","",IFERROR(IF(INDEX('Paramètres'!$K$6:$K$33,MATCH(E1046,'Paramètres'!$I$6:$I$33,0))="Oui",1,0),0))</f>
        <v/>
      </c>
      <c r="AV1046" s="61">
        <f>IF(F1046="","",IFERROR(IF(INDEX('Paramètres'!$O$6:$O$17,MATCH(F1046,'Paramètres'!$M$6:$M$17,0))="Oui",1,0),0))</f>
        <v/>
      </c>
      <c r="AW1046" s="62">
        <f>IF(E1046="","",IF(G1046&lt;&gt;"",G1046,IF(OR(E1046="Proposition envoyée",E1046="Signature"),MAX(0,N(IFERROR(INDEX('Paramètres'!$R$6:$R$15,MATCH(IF(AL1046&lt;&gt;"",AL1046,IFERROR(INDEX('Prospects'!$AN$5:$AN$504,MATCH(C1046,'Prospects'!$C$5:$C$504,0)),"")),'Paramètres'!$Q$6:$Q$15,0)),0))-N(P1046)),0)))</f>
        <v/>
      </c>
      <c r="AX1046" s="61">
        <f>IF(C1046="","",IF(COUNTIF($C$5:C1046,C1046)=1,MAX($AX$4:AX1045)+1,""))</f>
        <v/>
      </c>
      <c r="AY1046" s="61">
        <f>IF(B1046="","",HOUR(B1046))</f>
        <v/>
      </c>
      <c r="AZ1046" s="61">
        <f>IF(A1046="","",MOD(A1046-2,7)+1)</f>
        <v/>
      </c>
      <c r="BA1046" s="60">
        <f>IF(C1046="","",IFERROR(INDEX('Prospects'!$N$5:$N$504,MATCH(C1046,'Prospects'!$C$5:$C$504,0)),""))</f>
        <v/>
      </c>
      <c r="BB1046" s="61">
        <f>IF(AND(C1046&lt;&gt;"",C1046='Fiche prospect'!$C$4),COUNTIF($C$5:C1046,C1046),"")</f>
        <v/>
      </c>
    </row>
    <row r="1047">
      <c r="A1047" s="53" t="n"/>
      <c r="B1047" s="54" t="n"/>
      <c r="C1047" s="55" t="n"/>
      <c r="D1047" s="55" t="n"/>
      <c r="E1047" s="55" t="n"/>
      <c r="F1047" s="55" t="n"/>
      <c r="G1047" s="56" t="n"/>
      <c r="H1047" s="57" t="n"/>
      <c r="I1047" s="55" t="n"/>
      <c r="J1047" s="53" t="n"/>
      <c r="K1047" s="54" t="n"/>
      <c r="L1047" s="55" t="n"/>
      <c r="M1047" s="55" t="n"/>
      <c r="N1047" s="57" t="n"/>
      <c r="O1047" s="55" t="n"/>
      <c r="P1047" s="56" t="n"/>
      <c r="Q1047" s="55" t="n"/>
      <c r="R1047" s="55" t="n"/>
      <c r="S1047" s="55" t="n"/>
      <c r="T1047" s="55" t="n"/>
      <c r="U1047" s="55" t="n"/>
      <c r="V1047" s="55" t="n"/>
      <c r="W1047" s="58" t="n"/>
      <c r="X1047" s="58" t="n"/>
      <c r="Y1047" s="55" t="n"/>
      <c r="Z1047" s="55" t="n"/>
      <c r="AA1047" s="55" t="n"/>
      <c r="AB1047" s="55" t="n"/>
      <c r="AC1047" s="55" t="n"/>
      <c r="AD1047" s="53" t="n"/>
      <c r="AE1047" s="55" t="n"/>
      <c r="AF1047" s="55" t="n"/>
      <c r="AG1047" s="59" t="n"/>
      <c r="AH1047" s="57" t="n"/>
      <c r="AI1047" s="55" t="n"/>
      <c r="AJ1047" s="55" t="n"/>
      <c r="AK1047" s="55" t="n"/>
      <c r="AL1047" s="55" t="n"/>
      <c r="AM1047" s="56" t="n"/>
      <c r="AN1047" s="55" t="n"/>
      <c r="AO1047" s="55" t="n"/>
      <c r="AP1047" s="55" t="n"/>
      <c r="AQ1047" s="55" t="n"/>
      <c r="AR1047" s="60">
        <f>IF(AND(C1047="",E1047=""),"",IF(A1047="","⚠ Date manquante",IF(AND(C1047="",E1047&lt;&gt;"Dépense"),"⚠ Prospect manquant",IF(E1047="","⚠ Action manquante",IF(AND(AU1047=1,D1047=""),"⚠ Canal manquant",IF(AND(W1047&lt;&gt;"",COUNTIFS('Saisie'!$W$5:$W$2004,W1047,'Saisie'!$C$5:$C$2004,"&lt;&gt;"&amp;C1047)&gt;0),"⚠ Numéro déjà utilisé par un autre prospect",IF(AND(J1047&lt;&gt;"",J1047&lt;A1047),"⚠ Relance avant la date de l'action",IF(A1047&gt;TODAY(),"⚠ Date dans le futur","✓"))))))))</f>
        <v/>
      </c>
      <c r="AS1047" s="61">
        <f>IF(AND(A1047="",C1047="",E1047=""),"",ROW())</f>
        <v/>
      </c>
      <c r="AT1047" s="61">
        <f>IF(E1047&amp;F1047="","",MAX(IFERROR(INDEX('Paramètres'!$J$6:$J$33,MATCH(E1047,'Paramètres'!$I$6:$I$33,0)),0),IFERROR(INDEX('Paramètres'!$N$6:$N$17,MATCH(F1047,'Paramètres'!$M$6:$M$17,0)),0)))</f>
        <v/>
      </c>
      <c r="AU1047" s="61">
        <f>IF(E1047="","",IFERROR(IF(INDEX('Paramètres'!$K$6:$K$33,MATCH(E1047,'Paramètres'!$I$6:$I$33,0))="Oui",1,0),0))</f>
        <v/>
      </c>
      <c r="AV1047" s="61">
        <f>IF(F1047="","",IFERROR(IF(INDEX('Paramètres'!$O$6:$O$17,MATCH(F1047,'Paramètres'!$M$6:$M$17,0))="Oui",1,0),0))</f>
        <v/>
      </c>
      <c r="AW1047" s="62">
        <f>IF(E1047="","",IF(G1047&lt;&gt;"",G1047,IF(OR(E1047="Proposition envoyée",E1047="Signature"),MAX(0,N(IFERROR(INDEX('Paramètres'!$R$6:$R$15,MATCH(IF(AL1047&lt;&gt;"",AL1047,IFERROR(INDEX('Prospects'!$AN$5:$AN$504,MATCH(C1047,'Prospects'!$C$5:$C$504,0)),"")),'Paramètres'!$Q$6:$Q$15,0)),0))-N(P1047)),0)))</f>
        <v/>
      </c>
      <c r="AX1047" s="61">
        <f>IF(C1047="","",IF(COUNTIF($C$5:C1047,C1047)=1,MAX($AX$4:AX1046)+1,""))</f>
        <v/>
      </c>
      <c r="AY1047" s="61">
        <f>IF(B1047="","",HOUR(B1047))</f>
        <v/>
      </c>
      <c r="AZ1047" s="61">
        <f>IF(A1047="","",MOD(A1047-2,7)+1)</f>
        <v/>
      </c>
      <c r="BA1047" s="60">
        <f>IF(C1047="","",IFERROR(INDEX('Prospects'!$N$5:$N$504,MATCH(C1047,'Prospects'!$C$5:$C$504,0)),""))</f>
        <v/>
      </c>
      <c r="BB1047" s="61">
        <f>IF(AND(C1047&lt;&gt;"",C1047='Fiche prospect'!$C$4),COUNTIF($C$5:C1047,C1047),"")</f>
        <v/>
      </c>
    </row>
    <row r="1048">
      <c r="A1048" s="53" t="n"/>
      <c r="B1048" s="54" t="n"/>
      <c r="C1048" s="55" t="n"/>
      <c r="D1048" s="55" t="n"/>
      <c r="E1048" s="55" t="n"/>
      <c r="F1048" s="55" t="n"/>
      <c r="G1048" s="56" t="n"/>
      <c r="H1048" s="57" t="n"/>
      <c r="I1048" s="55" t="n"/>
      <c r="J1048" s="53" t="n"/>
      <c r="K1048" s="54" t="n"/>
      <c r="L1048" s="55" t="n"/>
      <c r="M1048" s="55" t="n"/>
      <c r="N1048" s="57" t="n"/>
      <c r="O1048" s="55" t="n"/>
      <c r="P1048" s="56" t="n"/>
      <c r="Q1048" s="55" t="n"/>
      <c r="R1048" s="55" t="n"/>
      <c r="S1048" s="55" t="n"/>
      <c r="T1048" s="55" t="n"/>
      <c r="U1048" s="55" t="n"/>
      <c r="V1048" s="55" t="n"/>
      <c r="W1048" s="58" t="n"/>
      <c r="X1048" s="58" t="n"/>
      <c r="Y1048" s="55" t="n"/>
      <c r="Z1048" s="55" t="n"/>
      <c r="AA1048" s="55" t="n"/>
      <c r="AB1048" s="55" t="n"/>
      <c r="AC1048" s="55" t="n"/>
      <c r="AD1048" s="53" t="n"/>
      <c r="AE1048" s="55" t="n"/>
      <c r="AF1048" s="55" t="n"/>
      <c r="AG1048" s="59" t="n"/>
      <c r="AH1048" s="57" t="n"/>
      <c r="AI1048" s="55" t="n"/>
      <c r="AJ1048" s="55" t="n"/>
      <c r="AK1048" s="55" t="n"/>
      <c r="AL1048" s="55" t="n"/>
      <c r="AM1048" s="56" t="n"/>
      <c r="AN1048" s="55" t="n"/>
      <c r="AO1048" s="55" t="n"/>
      <c r="AP1048" s="55" t="n"/>
      <c r="AQ1048" s="55" t="n"/>
      <c r="AR1048" s="60">
        <f>IF(AND(C1048="",E1048=""),"",IF(A1048="","⚠ Date manquante",IF(AND(C1048="",E1048&lt;&gt;"Dépense"),"⚠ Prospect manquant",IF(E1048="","⚠ Action manquante",IF(AND(AU1048=1,D1048=""),"⚠ Canal manquant",IF(AND(W1048&lt;&gt;"",COUNTIFS('Saisie'!$W$5:$W$2004,W1048,'Saisie'!$C$5:$C$2004,"&lt;&gt;"&amp;C1048)&gt;0),"⚠ Numéro déjà utilisé par un autre prospect",IF(AND(J1048&lt;&gt;"",J1048&lt;A1048),"⚠ Relance avant la date de l'action",IF(A1048&gt;TODAY(),"⚠ Date dans le futur","✓"))))))))</f>
        <v/>
      </c>
      <c r="AS1048" s="61">
        <f>IF(AND(A1048="",C1048="",E1048=""),"",ROW())</f>
        <v/>
      </c>
      <c r="AT1048" s="61">
        <f>IF(E1048&amp;F1048="","",MAX(IFERROR(INDEX('Paramètres'!$J$6:$J$33,MATCH(E1048,'Paramètres'!$I$6:$I$33,0)),0),IFERROR(INDEX('Paramètres'!$N$6:$N$17,MATCH(F1048,'Paramètres'!$M$6:$M$17,0)),0)))</f>
        <v/>
      </c>
      <c r="AU1048" s="61">
        <f>IF(E1048="","",IFERROR(IF(INDEX('Paramètres'!$K$6:$K$33,MATCH(E1048,'Paramètres'!$I$6:$I$33,0))="Oui",1,0),0))</f>
        <v/>
      </c>
      <c r="AV1048" s="61">
        <f>IF(F1048="","",IFERROR(IF(INDEX('Paramètres'!$O$6:$O$17,MATCH(F1048,'Paramètres'!$M$6:$M$17,0))="Oui",1,0),0))</f>
        <v/>
      </c>
      <c r="AW1048" s="62">
        <f>IF(E1048="","",IF(G1048&lt;&gt;"",G1048,IF(OR(E1048="Proposition envoyée",E1048="Signature"),MAX(0,N(IFERROR(INDEX('Paramètres'!$R$6:$R$15,MATCH(IF(AL1048&lt;&gt;"",AL1048,IFERROR(INDEX('Prospects'!$AN$5:$AN$504,MATCH(C1048,'Prospects'!$C$5:$C$504,0)),"")),'Paramètres'!$Q$6:$Q$15,0)),0))-N(P1048)),0)))</f>
        <v/>
      </c>
      <c r="AX1048" s="61">
        <f>IF(C1048="","",IF(COUNTIF($C$5:C1048,C1048)=1,MAX($AX$4:AX1047)+1,""))</f>
        <v/>
      </c>
      <c r="AY1048" s="61">
        <f>IF(B1048="","",HOUR(B1048))</f>
        <v/>
      </c>
      <c r="AZ1048" s="61">
        <f>IF(A1048="","",MOD(A1048-2,7)+1)</f>
        <v/>
      </c>
      <c r="BA1048" s="60">
        <f>IF(C1048="","",IFERROR(INDEX('Prospects'!$N$5:$N$504,MATCH(C1048,'Prospects'!$C$5:$C$504,0)),""))</f>
        <v/>
      </c>
      <c r="BB1048" s="61">
        <f>IF(AND(C1048&lt;&gt;"",C1048='Fiche prospect'!$C$4),COUNTIF($C$5:C1048,C1048),"")</f>
        <v/>
      </c>
    </row>
    <row r="1049">
      <c r="A1049" s="53" t="n"/>
      <c r="B1049" s="54" t="n"/>
      <c r="C1049" s="55" t="n"/>
      <c r="D1049" s="55" t="n"/>
      <c r="E1049" s="55" t="n"/>
      <c r="F1049" s="55" t="n"/>
      <c r="G1049" s="56" t="n"/>
      <c r="H1049" s="57" t="n"/>
      <c r="I1049" s="55" t="n"/>
      <c r="J1049" s="53" t="n"/>
      <c r="K1049" s="54" t="n"/>
      <c r="L1049" s="55" t="n"/>
      <c r="M1049" s="55" t="n"/>
      <c r="N1049" s="57" t="n"/>
      <c r="O1049" s="55" t="n"/>
      <c r="P1049" s="56" t="n"/>
      <c r="Q1049" s="55" t="n"/>
      <c r="R1049" s="55" t="n"/>
      <c r="S1049" s="55" t="n"/>
      <c r="T1049" s="55" t="n"/>
      <c r="U1049" s="55" t="n"/>
      <c r="V1049" s="55" t="n"/>
      <c r="W1049" s="58" t="n"/>
      <c r="X1049" s="58" t="n"/>
      <c r="Y1049" s="55" t="n"/>
      <c r="Z1049" s="55" t="n"/>
      <c r="AA1049" s="55" t="n"/>
      <c r="AB1049" s="55" t="n"/>
      <c r="AC1049" s="55" t="n"/>
      <c r="AD1049" s="53" t="n"/>
      <c r="AE1049" s="55" t="n"/>
      <c r="AF1049" s="55" t="n"/>
      <c r="AG1049" s="59" t="n"/>
      <c r="AH1049" s="57" t="n"/>
      <c r="AI1049" s="55" t="n"/>
      <c r="AJ1049" s="55" t="n"/>
      <c r="AK1049" s="55" t="n"/>
      <c r="AL1049" s="55" t="n"/>
      <c r="AM1049" s="56" t="n"/>
      <c r="AN1049" s="55" t="n"/>
      <c r="AO1049" s="55" t="n"/>
      <c r="AP1049" s="55" t="n"/>
      <c r="AQ1049" s="55" t="n"/>
      <c r="AR1049" s="60">
        <f>IF(AND(C1049="",E1049=""),"",IF(A1049="","⚠ Date manquante",IF(AND(C1049="",E1049&lt;&gt;"Dépense"),"⚠ Prospect manquant",IF(E1049="","⚠ Action manquante",IF(AND(AU1049=1,D1049=""),"⚠ Canal manquant",IF(AND(W1049&lt;&gt;"",COUNTIFS('Saisie'!$W$5:$W$2004,W1049,'Saisie'!$C$5:$C$2004,"&lt;&gt;"&amp;C1049)&gt;0),"⚠ Numéro déjà utilisé par un autre prospect",IF(AND(J1049&lt;&gt;"",J1049&lt;A1049),"⚠ Relance avant la date de l'action",IF(A1049&gt;TODAY(),"⚠ Date dans le futur","✓"))))))))</f>
        <v/>
      </c>
      <c r="AS1049" s="61">
        <f>IF(AND(A1049="",C1049="",E1049=""),"",ROW())</f>
        <v/>
      </c>
      <c r="AT1049" s="61">
        <f>IF(E1049&amp;F1049="","",MAX(IFERROR(INDEX('Paramètres'!$J$6:$J$33,MATCH(E1049,'Paramètres'!$I$6:$I$33,0)),0),IFERROR(INDEX('Paramètres'!$N$6:$N$17,MATCH(F1049,'Paramètres'!$M$6:$M$17,0)),0)))</f>
        <v/>
      </c>
      <c r="AU1049" s="61">
        <f>IF(E1049="","",IFERROR(IF(INDEX('Paramètres'!$K$6:$K$33,MATCH(E1049,'Paramètres'!$I$6:$I$33,0))="Oui",1,0),0))</f>
        <v/>
      </c>
      <c r="AV1049" s="61">
        <f>IF(F1049="","",IFERROR(IF(INDEX('Paramètres'!$O$6:$O$17,MATCH(F1049,'Paramètres'!$M$6:$M$17,0))="Oui",1,0),0))</f>
        <v/>
      </c>
      <c r="AW1049" s="62">
        <f>IF(E1049="","",IF(G1049&lt;&gt;"",G1049,IF(OR(E1049="Proposition envoyée",E1049="Signature"),MAX(0,N(IFERROR(INDEX('Paramètres'!$R$6:$R$15,MATCH(IF(AL1049&lt;&gt;"",AL1049,IFERROR(INDEX('Prospects'!$AN$5:$AN$504,MATCH(C1049,'Prospects'!$C$5:$C$504,0)),"")),'Paramètres'!$Q$6:$Q$15,0)),0))-N(P1049)),0)))</f>
        <v/>
      </c>
      <c r="AX1049" s="61">
        <f>IF(C1049="","",IF(COUNTIF($C$5:C1049,C1049)=1,MAX($AX$4:AX1048)+1,""))</f>
        <v/>
      </c>
      <c r="AY1049" s="61">
        <f>IF(B1049="","",HOUR(B1049))</f>
        <v/>
      </c>
      <c r="AZ1049" s="61">
        <f>IF(A1049="","",MOD(A1049-2,7)+1)</f>
        <v/>
      </c>
      <c r="BA1049" s="60">
        <f>IF(C1049="","",IFERROR(INDEX('Prospects'!$N$5:$N$504,MATCH(C1049,'Prospects'!$C$5:$C$504,0)),""))</f>
        <v/>
      </c>
      <c r="BB1049" s="61">
        <f>IF(AND(C1049&lt;&gt;"",C1049='Fiche prospect'!$C$4),COUNTIF($C$5:C1049,C1049),"")</f>
        <v/>
      </c>
    </row>
    <row r="1050">
      <c r="A1050" s="53" t="n"/>
      <c r="B1050" s="54" t="n"/>
      <c r="C1050" s="55" t="n"/>
      <c r="D1050" s="55" t="n"/>
      <c r="E1050" s="55" t="n"/>
      <c r="F1050" s="55" t="n"/>
      <c r="G1050" s="56" t="n"/>
      <c r="H1050" s="57" t="n"/>
      <c r="I1050" s="55" t="n"/>
      <c r="J1050" s="53" t="n"/>
      <c r="K1050" s="54" t="n"/>
      <c r="L1050" s="55" t="n"/>
      <c r="M1050" s="55" t="n"/>
      <c r="N1050" s="57" t="n"/>
      <c r="O1050" s="55" t="n"/>
      <c r="P1050" s="56" t="n"/>
      <c r="Q1050" s="55" t="n"/>
      <c r="R1050" s="55" t="n"/>
      <c r="S1050" s="55" t="n"/>
      <c r="T1050" s="55" t="n"/>
      <c r="U1050" s="55" t="n"/>
      <c r="V1050" s="55" t="n"/>
      <c r="W1050" s="58" t="n"/>
      <c r="X1050" s="58" t="n"/>
      <c r="Y1050" s="55" t="n"/>
      <c r="Z1050" s="55" t="n"/>
      <c r="AA1050" s="55" t="n"/>
      <c r="AB1050" s="55" t="n"/>
      <c r="AC1050" s="55" t="n"/>
      <c r="AD1050" s="53" t="n"/>
      <c r="AE1050" s="55" t="n"/>
      <c r="AF1050" s="55" t="n"/>
      <c r="AG1050" s="59" t="n"/>
      <c r="AH1050" s="57" t="n"/>
      <c r="AI1050" s="55" t="n"/>
      <c r="AJ1050" s="55" t="n"/>
      <c r="AK1050" s="55" t="n"/>
      <c r="AL1050" s="55" t="n"/>
      <c r="AM1050" s="56" t="n"/>
      <c r="AN1050" s="55" t="n"/>
      <c r="AO1050" s="55" t="n"/>
      <c r="AP1050" s="55" t="n"/>
      <c r="AQ1050" s="55" t="n"/>
      <c r="AR1050" s="60">
        <f>IF(AND(C1050="",E1050=""),"",IF(A1050="","⚠ Date manquante",IF(AND(C1050="",E1050&lt;&gt;"Dépense"),"⚠ Prospect manquant",IF(E1050="","⚠ Action manquante",IF(AND(AU1050=1,D1050=""),"⚠ Canal manquant",IF(AND(W1050&lt;&gt;"",COUNTIFS('Saisie'!$W$5:$W$2004,W1050,'Saisie'!$C$5:$C$2004,"&lt;&gt;"&amp;C1050)&gt;0),"⚠ Numéro déjà utilisé par un autre prospect",IF(AND(J1050&lt;&gt;"",J1050&lt;A1050),"⚠ Relance avant la date de l'action",IF(A1050&gt;TODAY(),"⚠ Date dans le futur","✓"))))))))</f>
        <v/>
      </c>
      <c r="AS1050" s="61">
        <f>IF(AND(A1050="",C1050="",E1050=""),"",ROW())</f>
        <v/>
      </c>
      <c r="AT1050" s="61">
        <f>IF(E1050&amp;F1050="","",MAX(IFERROR(INDEX('Paramètres'!$J$6:$J$33,MATCH(E1050,'Paramètres'!$I$6:$I$33,0)),0),IFERROR(INDEX('Paramètres'!$N$6:$N$17,MATCH(F1050,'Paramètres'!$M$6:$M$17,0)),0)))</f>
        <v/>
      </c>
      <c r="AU1050" s="61">
        <f>IF(E1050="","",IFERROR(IF(INDEX('Paramètres'!$K$6:$K$33,MATCH(E1050,'Paramètres'!$I$6:$I$33,0))="Oui",1,0),0))</f>
        <v/>
      </c>
      <c r="AV1050" s="61">
        <f>IF(F1050="","",IFERROR(IF(INDEX('Paramètres'!$O$6:$O$17,MATCH(F1050,'Paramètres'!$M$6:$M$17,0))="Oui",1,0),0))</f>
        <v/>
      </c>
      <c r="AW1050" s="62">
        <f>IF(E1050="","",IF(G1050&lt;&gt;"",G1050,IF(OR(E1050="Proposition envoyée",E1050="Signature"),MAX(0,N(IFERROR(INDEX('Paramètres'!$R$6:$R$15,MATCH(IF(AL1050&lt;&gt;"",AL1050,IFERROR(INDEX('Prospects'!$AN$5:$AN$504,MATCH(C1050,'Prospects'!$C$5:$C$504,0)),"")),'Paramètres'!$Q$6:$Q$15,0)),0))-N(P1050)),0)))</f>
        <v/>
      </c>
      <c r="AX1050" s="61">
        <f>IF(C1050="","",IF(COUNTIF($C$5:C1050,C1050)=1,MAX($AX$4:AX1049)+1,""))</f>
        <v/>
      </c>
      <c r="AY1050" s="61">
        <f>IF(B1050="","",HOUR(B1050))</f>
        <v/>
      </c>
      <c r="AZ1050" s="61">
        <f>IF(A1050="","",MOD(A1050-2,7)+1)</f>
        <v/>
      </c>
      <c r="BA1050" s="60">
        <f>IF(C1050="","",IFERROR(INDEX('Prospects'!$N$5:$N$504,MATCH(C1050,'Prospects'!$C$5:$C$504,0)),""))</f>
        <v/>
      </c>
      <c r="BB1050" s="61">
        <f>IF(AND(C1050&lt;&gt;"",C1050='Fiche prospect'!$C$4),COUNTIF($C$5:C1050,C1050),"")</f>
        <v/>
      </c>
    </row>
    <row r="1051">
      <c r="A1051" s="53" t="n"/>
      <c r="B1051" s="54" t="n"/>
      <c r="C1051" s="55" t="n"/>
      <c r="D1051" s="55" t="n"/>
      <c r="E1051" s="55" t="n"/>
      <c r="F1051" s="55" t="n"/>
      <c r="G1051" s="56" t="n"/>
      <c r="H1051" s="57" t="n"/>
      <c r="I1051" s="55" t="n"/>
      <c r="J1051" s="53" t="n"/>
      <c r="K1051" s="54" t="n"/>
      <c r="L1051" s="55" t="n"/>
      <c r="M1051" s="55" t="n"/>
      <c r="N1051" s="57" t="n"/>
      <c r="O1051" s="55" t="n"/>
      <c r="P1051" s="56" t="n"/>
      <c r="Q1051" s="55" t="n"/>
      <c r="R1051" s="55" t="n"/>
      <c r="S1051" s="55" t="n"/>
      <c r="T1051" s="55" t="n"/>
      <c r="U1051" s="55" t="n"/>
      <c r="V1051" s="55" t="n"/>
      <c r="W1051" s="58" t="n"/>
      <c r="X1051" s="58" t="n"/>
      <c r="Y1051" s="55" t="n"/>
      <c r="Z1051" s="55" t="n"/>
      <c r="AA1051" s="55" t="n"/>
      <c r="AB1051" s="55" t="n"/>
      <c r="AC1051" s="55" t="n"/>
      <c r="AD1051" s="53" t="n"/>
      <c r="AE1051" s="55" t="n"/>
      <c r="AF1051" s="55" t="n"/>
      <c r="AG1051" s="59" t="n"/>
      <c r="AH1051" s="57" t="n"/>
      <c r="AI1051" s="55" t="n"/>
      <c r="AJ1051" s="55" t="n"/>
      <c r="AK1051" s="55" t="n"/>
      <c r="AL1051" s="55" t="n"/>
      <c r="AM1051" s="56" t="n"/>
      <c r="AN1051" s="55" t="n"/>
      <c r="AO1051" s="55" t="n"/>
      <c r="AP1051" s="55" t="n"/>
      <c r="AQ1051" s="55" t="n"/>
      <c r="AR1051" s="60">
        <f>IF(AND(C1051="",E1051=""),"",IF(A1051="","⚠ Date manquante",IF(AND(C1051="",E1051&lt;&gt;"Dépense"),"⚠ Prospect manquant",IF(E1051="","⚠ Action manquante",IF(AND(AU1051=1,D1051=""),"⚠ Canal manquant",IF(AND(W1051&lt;&gt;"",COUNTIFS('Saisie'!$W$5:$W$2004,W1051,'Saisie'!$C$5:$C$2004,"&lt;&gt;"&amp;C1051)&gt;0),"⚠ Numéro déjà utilisé par un autre prospect",IF(AND(J1051&lt;&gt;"",J1051&lt;A1051),"⚠ Relance avant la date de l'action",IF(A1051&gt;TODAY(),"⚠ Date dans le futur","✓"))))))))</f>
        <v/>
      </c>
      <c r="AS1051" s="61">
        <f>IF(AND(A1051="",C1051="",E1051=""),"",ROW())</f>
        <v/>
      </c>
      <c r="AT1051" s="61">
        <f>IF(E1051&amp;F1051="","",MAX(IFERROR(INDEX('Paramètres'!$J$6:$J$33,MATCH(E1051,'Paramètres'!$I$6:$I$33,0)),0),IFERROR(INDEX('Paramètres'!$N$6:$N$17,MATCH(F1051,'Paramètres'!$M$6:$M$17,0)),0)))</f>
        <v/>
      </c>
      <c r="AU1051" s="61">
        <f>IF(E1051="","",IFERROR(IF(INDEX('Paramètres'!$K$6:$K$33,MATCH(E1051,'Paramètres'!$I$6:$I$33,0))="Oui",1,0),0))</f>
        <v/>
      </c>
      <c r="AV1051" s="61">
        <f>IF(F1051="","",IFERROR(IF(INDEX('Paramètres'!$O$6:$O$17,MATCH(F1051,'Paramètres'!$M$6:$M$17,0))="Oui",1,0),0))</f>
        <v/>
      </c>
      <c r="AW1051" s="62">
        <f>IF(E1051="","",IF(G1051&lt;&gt;"",G1051,IF(OR(E1051="Proposition envoyée",E1051="Signature"),MAX(0,N(IFERROR(INDEX('Paramètres'!$R$6:$R$15,MATCH(IF(AL1051&lt;&gt;"",AL1051,IFERROR(INDEX('Prospects'!$AN$5:$AN$504,MATCH(C1051,'Prospects'!$C$5:$C$504,0)),"")),'Paramètres'!$Q$6:$Q$15,0)),0))-N(P1051)),0)))</f>
        <v/>
      </c>
      <c r="AX1051" s="61">
        <f>IF(C1051="","",IF(COUNTIF($C$5:C1051,C1051)=1,MAX($AX$4:AX1050)+1,""))</f>
        <v/>
      </c>
      <c r="AY1051" s="61">
        <f>IF(B1051="","",HOUR(B1051))</f>
        <v/>
      </c>
      <c r="AZ1051" s="61">
        <f>IF(A1051="","",MOD(A1051-2,7)+1)</f>
        <v/>
      </c>
      <c r="BA1051" s="60">
        <f>IF(C1051="","",IFERROR(INDEX('Prospects'!$N$5:$N$504,MATCH(C1051,'Prospects'!$C$5:$C$504,0)),""))</f>
        <v/>
      </c>
      <c r="BB1051" s="61">
        <f>IF(AND(C1051&lt;&gt;"",C1051='Fiche prospect'!$C$4),COUNTIF($C$5:C1051,C1051),"")</f>
        <v/>
      </c>
    </row>
    <row r="1052">
      <c r="A1052" s="53" t="n"/>
      <c r="B1052" s="54" t="n"/>
      <c r="C1052" s="55" t="n"/>
      <c r="D1052" s="55" t="n"/>
      <c r="E1052" s="55" t="n"/>
      <c r="F1052" s="55" t="n"/>
      <c r="G1052" s="56" t="n"/>
      <c r="H1052" s="57" t="n"/>
      <c r="I1052" s="55" t="n"/>
      <c r="J1052" s="53" t="n"/>
      <c r="K1052" s="54" t="n"/>
      <c r="L1052" s="55" t="n"/>
      <c r="M1052" s="55" t="n"/>
      <c r="N1052" s="57" t="n"/>
      <c r="O1052" s="55" t="n"/>
      <c r="P1052" s="56" t="n"/>
      <c r="Q1052" s="55" t="n"/>
      <c r="R1052" s="55" t="n"/>
      <c r="S1052" s="55" t="n"/>
      <c r="T1052" s="55" t="n"/>
      <c r="U1052" s="55" t="n"/>
      <c r="V1052" s="55" t="n"/>
      <c r="W1052" s="58" t="n"/>
      <c r="X1052" s="58" t="n"/>
      <c r="Y1052" s="55" t="n"/>
      <c r="Z1052" s="55" t="n"/>
      <c r="AA1052" s="55" t="n"/>
      <c r="AB1052" s="55" t="n"/>
      <c r="AC1052" s="55" t="n"/>
      <c r="AD1052" s="53" t="n"/>
      <c r="AE1052" s="55" t="n"/>
      <c r="AF1052" s="55" t="n"/>
      <c r="AG1052" s="59" t="n"/>
      <c r="AH1052" s="57" t="n"/>
      <c r="AI1052" s="55" t="n"/>
      <c r="AJ1052" s="55" t="n"/>
      <c r="AK1052" s="55" t="n"/>
      <c r="AL1052" s="55" t="n"/>
      <c r="AM1052" s="56" t="n"/>
      <c r="AN1052" s="55" t="n"/>
      <c r="AO1052" s="55" t="n"/>
      <c r="AP1052" s="55" t="n"/>
      <c r="AQ1052" s="55" t="n"/>
      <c r="AR1052" s="60">
        <f>IF(AND(C1052="",E1052=""),"",IF(A1052="","⚠ Date manquante",IF(AND(C1052="",E1052&lt;&gt;"Dépense"),"⚠ Prospect manquant",IF(E1052="","⚠ Action manquante",IF(AND(AU1052=1,D1052=""),"⚠ Canal manquant",IF(AND(W1052&lt;&gt;"",COUNTIFS('Saisie'!$W$5:$W$2004,W1052,'Saisie'!$C$5:$C$2004,"&lt;&gt;"&amp;C1052)&gt;0),"⚠ Numéro déjà utilisé par un autre prospect",IF(AND(J1052&lt;&gt;"",J1052&lt;A1052),"⚠ Relance avant la date de l'action",IF(A1052&gt;TODAY(),"⚠ Date dans le futur","✓"))))))))</f>
        <v/>
      </c>
      <c r="AS1052" s="61">
        <f>IF(AND(A1052="",C1052="",E1052=""),"",ROW())</f>
        <v/>
      </c>
      <c r="AT1052" s="61">
        <f>IF(E1052&amp;F1052="","",MAX(IFERROR(INDEX('Paramètres'!$J$6:$J$33,MATCH(E1052,'Paramètres'!$I$6:$I$33,0)),0),IFERROR(INDEX('Paramètres'!$N$6:$N$17,MATCH(F1052,'Paramètres'!$M$6:$M$17,0)),0)))</f>
        <v/>
      </c>
      <c r="AU1052" s="61">
        <f>IF(E1052="","",IFERROR(IF(INDEX('Paramètres'!$K$6:$K$33,MATCH(E1052,'Paramètres'!$I$6:$I$33,0))="Oui",1,0),0))</f>
        <v/>
      </c>
      <c r="AV1052" s="61">
        <f>IF(F1052="","",IFERROR(IF(INDEX('Paramètres'!$O$6:$O$17,MATCH(F1052,'Paramètres'!$M$6:$M$17,0))="Oui",1,0),0))</f>
        <v/>
      </c>
      <c r="AW1052" s="62">
        <f>IF(E1052="","",IF(G1052&lt;&gt;"",G1052,IF(OR(E1052="Proposition envoyée",E1052="Signature"),MAX(0,N(IFERROR(INDEX('Paramètres'!$R$6:$R$15,MATCH(IF(AL1052&lt;&gt;"",AL1052,IFERROR(INDEX('Prospects'!$AN$5:$AN$504,MATCH(C1052,'Prospects'!$C$5:$C$504,0)),"")),'Paramètres'!$Q$6:$Q$15,0)),0))-N(P1052)),0)))</f>
        <v/>
      </c>
      <c r="AX1052" s="61">
        <f>IF(C1052="","",IF(COUNTIF($C$5:C1052,C1052)=1,MAX($AX$4:AX1051)+1,""))</f>
        <v/>
      </c>
      <c r="AY1052" s="61">
        <f>IF(B1052="","",HOUR(B1052))</f>
        <v/>
      </c>
      <c r="AZ1052" s="61">
        <f>IF(A1052="","",MOD(A1052-2,7)+1)</f>
        <v/>
      </c>
      <c r="BA1052" s="60">
        <f>IF(C1052="","",IFERROR(INDEX('Prospects'!$N$5:$N$504,MATCH(C1052,'Prospects'!$C$5:$C$504,0)),""))</f>
        <v/>
      </c>
      <c r="BB1052" s="61">
        <f>IF(AND(C1052&lt;&gt;"",C1052='Fiche prospect'!$C$4),COUNTIF($C$5:C1052,C1052),"")</f>
        <v/>
      </c>
    </row>
    <row r="1053">
      <c r="A1053" s="53" t="n"/>
      <c r="B1053" s="54" t="n"/>
      <c r="C1053" s="55" t="n"/>
      <c r="D1053" s="55" t="n"/>
      <c r="E1053" s="55" t="n"/>
      <c r="F1053" s="55" t="n"/>
      <c r="G1053" s="56" t="n"/>
      <c r="H1053" s="57" t="n"/>
      <c r="I1053" s="55" t="n"/>
      <c r="J1053" s="53" t="n"/>
      <c r="K1053" s="54" t="n"/>
      <c r="L1053" s="55" t="n"/>
      <c r="M1053" s="55" t="n"/>
      <c r="N1053" s="57" t="n"/>
      <c r="O1053" s="55" t="n"/>
      <c r="P1053" s="56" t="n"/>
      <c r="Q1053" s="55" t="n"/>
      <c r="R1053" s="55" t="n"/>
      <c r="S1053" s="55" t="n"/>
      <c r="T1053" s="55" t="n"/>
      <c r="U1053" s="55" t="n"/>
      <c r="V1053" s="55" t="n"/>
      <c r="W1053" s="58" t="n"/>
      <c r="X1053" s="58" t="n"/>
      <c r="Y1053" s="55" t="n"/>
      <c r="Z1053" s="55" t="n"/>
      <c r="AA1053" s="55" t="n"/>
      <c r="AB1053" s="55" t="n"/>
      <c r="AC1053" s="55" t="n"/>
      <c r="AD1053" s="53" t="n"/>
      <c r="AE1053" s="55" t="n"/>
      <c r="AF1053" s="55" t="n"/>
      <c r="AG1053" s="59" t="n"/>
      <c r="AH1053" s="57" t="n"/>
      <c r="AI1053" s="55" t="n"/>
      <c r="AJ1053" s="55" t="n"/>
      <c r="AK1053" s="55" t="n"/>
      <c r="AL1053" s="55" t="n"/>
      <c r="AM1053" s="56" t="n"/>
      <c r="AN1053" s="55" t="n"/>
      <c r="AO1053" s="55" t="n"/>
      <c r="AP1053" s="55" t="n"/>
      <c r="AQ1053" s="55" t="n"/>
      <c r="AR1053" s="60">
        <f>IF(AND(C1053="",E1053=""),"",IF(A1053="","⚠ Date manquante",IF(AND(C1053="",E1053&lt;&gt;"Dépense"),"⚠ Prospect manquant",IF(E1053="","⚠ Action manquante",IF(AND(AU1053=1,D1053=""),"⚠ Canal manquant",IF(AND(W1053&lt;&gt;"",COUNTIFS('Saisie'!$W$5:$W$2004,W1053,'Saisie'!$C$5:$C$2004,"&lt;&gt;"&amp;C1053)&gt;0),"⚠ Numéro déjà utilisé par un autre prospect",IF(AND(J1053&lt;&gt;"",J1053&lt;A1053),"⚠ Relance avant la date de l'action",IF(A1053&gt;TODAY(),"⚠ Date dans le futur","✓"))))))))</f>
        <v/>
      </c>
      <c r="AS1053" s="61">
        <f>IF(AND(A1053="",C1053="",E1053=""),"",ROW())</f>
        <v/>
      </c>
      <c r="AT1053" s="61">
        <f>IF(E1053&amp;F1053="","",MAX(IFERROR(INDEX('Paramètres'!$J$6:$J$33,MATCH(E1053,'Paramètres'!$I$6:$I$33,0)),0),IFERROR(INDEX('Paramètres'!$N$6:$N$17,MATCH(F1053,'Paramètres'!$M$6:$M$17,0)),0)))</f>
        <v/>
      </c>
      <c r="AU1053" s="61">
        <f>IF(E1053="","",IFERROR(IF(INDEX('Paramètres'!$K$6:$K$33,MATCH(E1053,'Paramètres'!$I$6:$I$33,0))="Oui",1,0),0))</f>
        <v/>
      </c>
      <c r="AV1053" s="61">
        <f>IF(F1053="","",IFERROR(IF(INDEX('Paramètres'!$O$6:$O$17,MATCH(F1053,'Paramètres'!$M$6:$M$17,0))="Oui",1,0),0))</f>
        <v/>
      </c>
      <c r="AW1053" s="62">
        <f>IF(E1053="","",IF(G1053&lt;&gt;"",G1053,IF(OR(E1053="Proposition envoyée",E1053="Signature"),MAX(0,N(IFERROR(INDEX('Paramètres'!$R$6:$R$15,MATCH(IF(AL1053&lt;&gt;"",AL1053,IFERROR(INDEX('Prospects'!$AN$5:$AN$504,MATCH(C1053,'Prospects'!$C$5:$C$504,0)),"")),'Paramètres'!$Q$6:$Q$15,0)),0))-N(P1053)),0)))</f>
        <v/>
      </c>
      <c r="AX1053" s="61">
        <f>IF(C1053="","",IF(COUNTIF($C$5:C1053,C1053)=1,MAX($AX$4:AX1052)+1,""))</f>
        <v/>
      </c>
      <c r="AY1053" s="61">
        <f>IF(B1053="","",HOUR(B1053))</f>
        <v/>
      </c>
      <c r="AZ1053" s="61">
        <f>IF(A1053="","",MOD(A1053-2,7)+1)</f>
        <v/>
      </c>
      <c r="BA1053" s="60">
        <f>IF(C1053="","",IFERROR(INDEX('Prospects'!$N$5:$N$504,MATCH(C1053,'Prospects'!$C$5:$C$504,0)),""))</f>
        <v/>
      </c>
      <c r="BB1053" s="61">
        <f>IF(AND(C1053&lt;&gt;"",C1053='Fiche prospect'!$C$4),COUNTIF($C$5:C1053,C1053),"")</f>
        <v/>
      </c>
    </row>
    <row r="1054">
      <c r="A1054" s="53" t="n"/>
      <c r="B1054" s="54" t="n"/>
      <c r="C1054" s="55" t="n"/>
      <c r="D1054" s="55" t="n"/>
      <c r="E1054" s="55" t="n"/>
      <c r="F1054" s="55" t="n"/>
      <c r="G1054" s="56" t="n"/>
      <c r="H1054" s="57" t="n"/>
      <c r="I1054" s="55" t="n"/>
      <c r="J1054" s="53" t="n"/>
      <c r="K1054" s="54" t="n"/>
      <c r="L1054" s="55" t="n"/>
      <c r="M1054" s="55" t="n"/>
      <c r="N1054" s="57" t="n"/>
      <c r="O1054" s="55" t="n"/>
      <c r="P1054" s="56" t="n"/>
      <c r="Q1054" s="55" t="n"/>
      <c r="R1054" s="55" t="n"/>
      <c r="S1054" s="55" t="n"/>
      <c r="T1054" s="55" t="n"/>
      <c r="U1054" s="55" t="n"/>
      <c r="V1054" s="55" t="n"/>
      <c r="W1054" s="58" t="n"/>
      <c r="X1054" s="58" t="n"/>
      <c r="Y1054" s="55" t="n"/>
      <c r="Z1054" s="55" t="n"/>
      <c r="AA1054" s="55" t="n"/>
      <c r="AB1054" s="55" t="n"/>
      <c r="AC1054" s="55" t="n"/>
      <c r="AD1054" s="53" t="n"/>
      <c r="AE1054" s="55" t="n"/>
      <c r="AF1054" s="55" t="n"/>
      <c r="AG1054" s="59" t="n"/>
      <c r="AH1054" s="57" t="n"/>
      <c r="AI1054" s="55" t="n"/>
      <c r="AJ1054" s="55" t="n"/>
      <c r="AK1054" s="55" t="n"/>
      <c r="AL1054" s="55" t="n"/>
      <c r="AM1054" s="56" t="n"/>
      <c r="AN1054" s="55" t="n"/>
      <c r="AO1054" s="55" t="n"/>
      <c r="AP1054" s="55" t="n"/>
      <c r="AQ1054" s="55" t="n"/>
      <c r="AR1054" s="60">
        <f>IF(AND(C1054="",E1054=""),"",IF(A1054="","⚠ Date manquante",IF(AND(C1054="",E1054&lt;&gt;"Dépense"),"⚠ Prospect manquant",IF(E1054="","⚠ Action manquante",IF(AND(AU1054=1,D1054=""),"⚠ Canal manquant",IF(AND(W1054&lt;&gt;"",COUNTIFS('Saisie'!$W$5:$W$2004,W1054,'Saisie'!$C$5:$C$2004,"&lt;&gt;"&amp;C1054)&gt;0),"⚠ Numéro déjà utilisé par un autre prospect",IF(AND(J1054&lt;&gt;"",J1054&lt;A1054),"⚠ Relance avant la date de l'action",IF(A1054&gt;TODAY(),"⚠ Date dans le futur","✓"))))))))</f>
        <v/>
      </c>
      <c r="AS1054" s="61">
        <f>IF(AND(A1054="",C1054="",E1054=""),"",ROW())</f>
        <v/>
      </c>
      <c r="AT1054" s="61">
        <f>IF(E1054&amp;F1054="","",MAX(IFERROR(INDEX('Paramètres'!$J$6:$J$33,MATCH(E1054,'Paramètres'!$I$6:$I$33,0)),0),IFERROR(INDEX('Paramètres'!$N$6:$N$17,MATCH(F1054,'Paramètres'!$M$6:$M$17,0)),0)))</f>
        <v/>
      </c>
      <c r="AU1054" s="61">
        <f>IF(E1054="","",IFERROR(IF(INDEX('Paramètres'!$K$6:$K$33,MATCH(E1054,'Paramètres'!$I$6:$I$33,0))="Oui",1,0),0))</f>
        <v/>
      </c>
      <c r="AV1054" s="61">
        <f>IF(F1054="","",IFERROR(IF(INDEX('Paramètres'!$O$6:$O$17,MATCH(F1054,'Paramètres'!$M$6:$M$17,0))="Oui",1,0),0))</f>
        <v/>
      </c>
      <c r="AW1054" s="62">
        <f>IF(E1054="","",IF(G1054&lt;&gt;"",G1054,IF(OR(E1054="Proposition envoyée",E1054="Signature"),MAX(0,N(IFERROR(INDEX('Paramètres'!$R$6:$R$15,MATCH(IF(AL1054&lt;&gt;"",AL1054,IFERROR(INDEX('Prospects'!$AN$5:$AN$504,MATCH(C1054,'Prospects'!$C$5:$C$504,0)),"")),'Paramètres'!$Q$6:$Q$15,0)),0))-N(P1054)),0)))</f>
        <v/>
      </c>
      <c r="AX1054" s="61">
        <f>IF(C1054="","",IF(COUNTIF($C$5:C1054,C1054)=1,MAX($AX$4:AX1053)+1,""))</f>
        <v/>
      </c>
      <c r="AY1054" s="61">
        <f>IF(B1054="","",HOUR(B1054))</f>
        <v/>
      </c>
      <c r="AZ1054" s="61">
        <f>IF(A1054="","",MOD(A1054-2,7)+1)</f>
        <v/>
      </c>
      <c r="BA1054" s="60">
        <f>IF(C1054="","",IFERROR(INDEX('Prospects'!$N$5:$N$504,MATCH(C1054,'Prospects'!$C$5:$C$504,0)),""))</f>
        <v/>
      </c>
      <c r="BB1054" s="61">
        <f>IF(AND(C1054&lt;&gt;"",C1054='Fiche prospect'!$C$4),COUNTIF($C$5:C1054,C1054),"")</f>
        <v/>
      </c>
    </row>
    <row r="1055">
      <c r="A1055" s="53" t="n"/>
      <c r="B1055" s="54" t="n"/>
      <c r="C1055" s="55" t="n"/>
      <c r="D1055" s="55" t="n"/>
      <c r="E1055" s="55" t="n"/>
      <c r="F1055" s="55" t="n"/>
      <c r="G1055" s="56" t="n"/>
      <c r="H1055" s="57" t="n"/>
      <c r="I1055" s="55" t="n"/>
      <c r="J1055" s="53" t="n"/>
      <c r="K1055" s="54" t="n"/>
      <c r="L1055" s="55" t="n"/>
      <c r="M1055" s="55" t="n"/>
      <c r="N1055" s="57" t="n"/>
      <c r="O1055" s="55" t="n"/>
      <c r="P1055" s="56" t="n"/>
      <c r="Q1055" s="55" t="n"/>
      <c r="R1055" s="55" t="n"/>
      <c r="S1055" s="55" t="n"/>
      <c r="T1055" s="55" t="n"/>
      <c r="U1055" s="55" t="n"/>
      <c r="V1055" s="55" t="n"/>
      <c r="W1055" s="58" t="n"/>
      <c r="X1055" s="58" t="n"/>
      <c r="Y1055" s="55" t="n"/>
      <c r="Z1055" s="55" t="n"/>
      <c r="AA1055" s="55" t="n"/>
      <c r="AB1055" s="55" t="n"/>
      <c r="AC1055" s="55" t="n"/>
      <c r="AD1055" s="53" t="n"/>
      <c r="AE1055" s="55" t="n"/>
      <c r="AF1055" s="55" t="n"/>
      <c r="AG1055" s="59" t="n"/>
      <c r="AH1055" s="57" t="n"/>
      <c r="AI1055" s="55" t="n"/>
      <c r="AJ1055" s="55" t="n"/>
      <c r="AK1055" s="55" t="n"/>
      <c r="AL1055" s="55" t="n"/>
      <c r="AM1055" s="56" t="n"/>
      <c r="AN1055" s="55" t="n"/>
      <c r="AO1055" s="55" t="n"/>
      <c r="AP1055" s="55" t="n"/>
      <c r="AQ1055" s="55" t="n"/>
      <c r="AR1055" s="60">
        <f>IF(AND(C1055="",E1055=""),"",IF(A1055="","⚠ Date manquante",IF(AND(C1055="",E1055&lt;&gt;"Dépense"),"⚠ Prospect manquant",IF(E1055="","⚠ Action manquante",IF(AND(AU1055=1,D1055=""),"⚠ Canal manquant",IF(AND(W1055&lt;&gt;"",COUNTIFS('Saisie'!$W$5:$W$2004,W1055,'Saisie'!$C$5:$C$2004,"&lt;&gt;"&amp;C1055)&gt;0),"⚠ Numéro déjà utilisé par un autre prospect",IF(AND(J1055&lt;&gt;"",J1055&lt;A1055),"⚠ Relance avant la date de l'action",IF(A1055&gt;TODAY(),"⚠ Date dans le futur","✓"))))))))</f>
        <v/>
      </c>
      <c r="AS1055" s="61">
        <f>IF(AND(A1055="",C1055="",E1055=""),"",ROW())</f>
        <v/>
      </c>
      <c r="AT1055" s="61">
        <f>IF(E1055&amp;F1055="","",MAX(IFERROR(INDEX('Paramètres'!$J$6:$J$33,MATCH(E1055,'Paramètres'!$I$6:$I$33,0)),0),IFERROR(INDEX('Paramètres'!$N$6:$N$17,MATCH(F1055,'Paramètres'!$M$6:$M$17,0)),0)))</f>
        <v/>
      </c>
      <c r="AU1055" s="61">
        <f>IF(E1055="","",IFERROR(IF(INDEX('Paramètres'!$K$6:$K$33,MATCH(E1055,'Paramètres'!$I$6:$I$33,0))="Oui",1,0),0))</f>
        <v/>
      </c>
      <c r="AV1055" s="61">
        <f>IF(F1055="","",IFERROR(IF(INDEX('Paramètres'!$O$6:$O$17,MATCH(F1055,'Paramètres'!$M$6:$M$17,0))="Oui",1,0),0))</f>
        <v/>
      </c>
      <c r="AW1055" s="62">
        <f>IF(E1055="","",IF(G1055&lt;&gt;"",G1055,IF(OR(E1055="Proposition envoyée",E1055="Signature"),MAX(0,N(IFERROR(INDEX('Paramètres'!$R$6:$R$15,MATCH(IF(AL1055&lt;&gt;"",AL1055,IFERROR(INDEX('Prospects'!$AN$5:$AN$504,MATCH(C1055,'Prospects'!$C$5:$C$504,0)),"")),'Paramètres'!$Q$6:$Q$15,0)),0))-N(P1055)),0)))</f>
        <v/>
      </c>
      <c r="AX1055" s="61">
        <f>IF(C1055="","",IF(COUNTIF($C$5:C1055,C1055)=1,MAX($AX$4:AX1054)+1,""))</f>
        <v/>
      </c>
      <c r="AY1055" s="61">
        <f>IF(B1055="","",HOUR(B1055))</f>
        <v/>
      </c>
      <c r="AZ1055" s="61">
        <f>IF(A1055="","",MOD(A1055-2,7)+1)</f>
        <v/>
      </c>
      <c r="BA1055" s="60">
        <f>IF(C1055="","",IFERROR(INDEX('Prospects'!$N$5:$N$504,MATCH(C1055,'Prospects'!$C$5:$C$504,0)),""))</f>
        <v/>
      </c>
      <c r="BB1055" s="61">
        <f>IF(AND(C1055&lt;&gt;"",C1055='Fiche prospect'!$C$4),COUNTIF($C$5:C1055,C1055),"")</f>
        <v/>
      </c>
    </row>
    <row r="1056">
      <c r="A1056" s="53" t="n"/>
      <c r="B1056" s="54" t="n"/>
      <c r="C1056" s="55" t="n"/>
      <c r="D1056" s="55" t="n"/>
      <c r="E1056" s="55" t="n"/>
      <c r="F1056" s="55" t="n"/>
      <c r="G1056" s="56" t="n"/>
      <c r="H1056" s="57" t="n"/>
      <c r="I1056" s="55" t="n"/>
      <c r="J1056" s="53" t="n"/>
      <c r="K1056" s="54" t="n"/>
      <c r="L1056" s="55" t="n"/>
      <c r="M1056" s="55" t="n"/>
      <c r="N1056" s="57" t="n"/>
      <c r="O1056" s="55" t="n"/>
      <c r="P1056" s="56" t="n"/>
      <c r="Q1056" s="55" t="n"/>
      <c r="R1056" s="55" t="n"/>
      <c r="S1056" s="55" t="n"/>
      <c r="T1056" s="55" t="n"/>
      <c r="U1056" s="55" t="n"/>
      <c r="V1056" s="55" t="n"/>
      <c r="W1056" s="58" t="n"/>
      <c r="X1056" s="58" t="n"/>
      <c r="Y1056" s="55" t="n"/>
      <c r="Z1056" s="55" t="n"/>
      <c r="AA1056" s="55" t="n"/>
      <c r="AB1056" s="55" t="n"/>
      <c r="AC1056" s="55" t="n"/>
      <c r="AD1056" s="53" t="n"/>
      <c r="AE1056" s="55" t="n"/>
      <c r="AF1056" s="55" t="n"/>
      <c r="AG1056" s="59" t="n"/>
      <c r="AH1056" s="57" t="n"/>
      <c r="AI1056" s="55" t="n"/>
      <c r="AJ1056" s="55" t="n"/>
      <c r="AK1056" s="55" t="n"/>
      <c r="AL1056" s="55" t="n"/>
      <c r="AM1056" s="56" t="n"/>
      <c r="AN1056" s="55" t="n"/>
      <c r="AO1056" s="55" t="n"/>
      <c r="AP1056" s="55" t="n"/>
      <c r="AQ1056" s="55" t="n"/>
      <c r="AR1056" s="60">
        <f>IF(AND(C1056="",E1056=""),"",IF(A1056="","⚠ Date manquante",IF(AND(C1056="",E1056&lt;&gt;"Dépense"),"⚠ Prospect manquant",IF(E1056="","⚠ Action manquante",IF(AND(AU1056=1,D1056=""),"⚠ Canal manquant",IF(AND(W1056&lt;&gt;"",COUNTIFS('Saisie'!$W$5:$W$2004,W1056,'Saisie'!$C$5:$C$2004,"&lt;&gt;"&amp;C1056)&gt;0),"⚠ Numéro déjà utilisé par un autre prospect",IF(AND(J1056&lt;&gt;"",J1056&lt;A1056),"⚠ Relance avant la date de l'action",IF(A1056&gt;TODAY(),"⚠ Date dans le futur","✓"))))))))</f>
        <v/>
      </c>
      <c r="AS1056" s="61">
        <f>IF(AND(A1056="",C1056="",E1056=""),"",ROW())</f>
        <v/>
      </c>
      <c r="AT1056" s="61">
        <f>IF(E1056&amp;F1056="","",MAX(IFERROR(INDEX('Paramètres'!$J$6:$J$33,MATCH(E1056,'Paramètres'!$I$6:$I$33,0)),0),IFERROR(INDEX('Paramètres'!$N$6:$N$17,MATCH(F1056,'Paramètres'!$M$6:$M$17,0)),0)))</f>
        <v/>
      </c>
      <c r="AU1056" s="61">
        <f>IF(E1056="","",IFERROR(IF(INDEX('Paramètres'!$K$6:$K$33,MATCH(E1056,'Paramètres'!$I$6:$I$33,0))="Oui",1,0),0))</f>
        <v/>
      </c>
      <c r="AV1056" s="61">
        <f>IF(F1056="","",IFERROR(IF(INDEX('Paramètres'!$O$6:$O$17,MATCH(F1056,'Paramètres'!$M$6:$M$17,0))="Oui",1,0),0))</f>
        <v/>
      </c>
      <c r="AW1056" s="62">
        <f>IF(E1056="","",IF(G1056&lt;&gt;"",G1056,IF(OR(E1056="Proposition envoyée",E1056="Signature"),MAX(0,N(IFERROR(INDEX('Paramètres'!$R$6:$R$15,MATCH(IF(AL1056&lt;&gt;"",AL1056,IFERROR(INDEX('Prospects'!$AN$5:$AN$504,MATCH(C1056,'Prospects'!$C$5:$C$504,0)),"")),'Paramètres'!$Q$6:$Q$15,0)),0))-N(P1056)),0)))</f>
        <v/>
      </c>
      <c r="AX1056" s="61">
        <f>IF(C1056="","",IF(COUNTIF($C$5:C1056,C1056)=1,MAX($AX$4:AX1055)+1,""))</f>
        <v/>
      </c>
      <c r="AY1056" s="61">
        <f>IF(B1056="","",HOUR(B1056))</f>
        <v/>
      </c>
      <c r="AZ1056" s="61">
        <f>IF(A1056="","",MOD(A1056-2,7)+1)</f>
        <v/>
      </c>
      <c r="BA1056" s="60">
        <f>IF(C1056="","",IFERROR(INDEX('Prospects'!$N$5:$N$504,MATCH(C1056,'Prospects'!$C$5:$C$504,0)),""))</f>
        <v/>
      </c>
      <c r="BB1056" s="61">
        <f>IF(AND(C1056&lt;&gt;"",C1056='Fiche prospect'!$C$4),COUNTIF($C$5:C1056,C1056),"")</f>
        <v/>
      </c>
    </row>
    <row r="1057">
      <c r="A1057" s="53" t="n"/>
      <c r="B1057" s="54" t="n"/>
      <c r="C1057" s="55" t="n"/>
      <c r="D1057" s="55" t="n"/>
      <c r="E1057" s="55" t="n"/>
      <c r="F1057" s="55" t="n"/>
      <c r="G1057" s="56" t="n"/>
      <c r="H1057" s="57" t="n"/>
      <c r="I1057" s="55" t="n"/>
      <c r="J1057" s="53" t="n"/>
      <c r="K1057" s="54" t="n"/>
      <c r="L1057" s="55" t="n"/>
      <c r="M1057" s="55" t="n"/>
      <c r="N1057" s="57" t="n"/>
      <c r="O1057" s="55" t="n"/>
      <c r="P1057" s="56" t="n"/>
      <c r="Q1057" s="55" t="n"/>
      <c r="R1057" s="55" t="n"/>
      <c r="S1057" s="55" t="n"/>
      <c r="T1057" s="55" t="n"/>
      <c r="U1057" s="55" t="n"/>
      <c r="V1057" s="55" t="n"/>
      <c r="W1057" s="58" t="n"/>
      <c r="X1057" s="58" t="n"/>
      <c r="Y1057" s="55" t="n"/>
      <c r="Z1057" s="55" t="n"/>
      <c r="AA1057" s="55" t="n"/>
      <c r="AB1057" s="55" t="n"/>
      <c r="AC1057" s="55" t="n"/>
      <c r="AD1057" s="53" t="n"/>
      <c r="AE1057" s="55" t="n"/>
      <c r="AF1057" s="55" t="n"/>
      <c r="AG1057" s="59" t="n"/>
      <c r="AH1057" s="57" t="n"/>
      <c r="AI1057" s="55" t="n"/>
      <c r="AJ1057" s="55" t="n"/>
      <c r="AK1057" s="55" t="n"/>
      <c r="AL1057" s="55" t="n"/>
      <c r="AM1057" s="56" t="n"/>
      <c r="AN1057" s="55" t="n"/>
      <c r="AO1057" s="55" t="n"/>
      <c r="AP1057" s="55" t="n"/>
      <c r="AQ1057" s="55" t="n"/>
      <c r="AR1057" s="60">
        <f>IF(AND(C1057="",E1057=""),"",IF(A1057="","⚠ Date manquante",IF(AND(C1057="",E1057&lt;&gt;"Dépense"),"⚠ Prospect manquant",IF(E1057="","⚠ Action manquante",IF(AND(AU1057=1,D1057=""),"⚠ Canal manquant",IF(AND(W1057&lt;&gt;"",COUNTIFS('Saisie'!$W$5:$W$2004,W1057,'Saisie'!$C$5:$C$2004,"&lt;&gt;"&amp;C1057)&gt;0),"⚠ Numéro déjà utilisé par un autre prospect",IF(AND(J1057&lt;&gt;"",J1057&lt;A1057),"⚠ Relance avant la date de l'action",IF(A1057&gt;TODAY(),"⚠ Date dans le futur","✓"))))))))</f>
        <v/>
      </c>
      <c r="AS1057" s="61">
        <f>IF(AND(A1057="",C1057="",E1057=""),"",ROW())</f>
        <v/>
      </c>
      <c r="AT1057" s="61">
        <f>IF(E1057&amp;F1057="","",MAX(IFERROR(INDEX('Paramètres'!$J$6:$J$33,MATCH(E1057,'Paramètres'!$I$6:$I$33,0)),0),IFERROR(INDEX('Paramètres'!$N$6:$N$17,MATCH(F1057,'Paramètres'!$M$6:$M$17,0)),0)))</f>
        <v/>
      </c>
      <c r="AU1057" s="61">
        <f>IF(E1057="","",IFERROR(IF(INDEX('Paramètres'!$K$6:$K$33,MATCH(E1057,'Paramètres'!$I$6:$I$33,0))="Oui",1,0),0))</f>
        <v/>
      </c>
      <c r="AV1057" s="61">
        <f>IF(F1057="","",IFERROR(IF(INDEX('Paramètres'!$O$6:$O$17,MATCH(F1057,'Paramètres'!$M$6:$M$17,0))="Oui",1,0),0))</f>
        <v/>
      </c>
      <c r="AW1057" s="62">
        <f>IF(E1057="","",IF(G1057&lt;&gt;"",G1057,IF(OR(E1057="Proposition envoyée",E1057="Signature"),MAX(0,N(IFERROR(INDEX('Paramètres'!$R$6:$R$15,MATCH(IF(AL1057&lt;&gt;"",AL1057,IFERROR(INDEX('Prospects'!$AN$5:$AN$504,MATCH(C1057,'Prospects'!$C$5:$C$504,0)),"")),'Paramètres'!$Q$6:$Q$15,0)),0))-N(P1057)),0)))</f>
        <v/>
      </c>
      <c r="AX1057" s="61">
        <f>IF(C1057="","",IF(COUNTIF($C$5:C1057,C1057)=1,MAX($AX$4:AX1056)+1,""))</f>
        <v/>
      </c>
      <c r="AY1057" s="61">
        <f>IF(B1057="","",HOUR(B1057))</f>
        <v/>
      </c>
      <c r="AZ1057" s="61">
        <f>IF(A1057="","",MOD(A1057-2,7)+1)</f>
        <v/>
      </c>
      <c r="BA1057" s="60">
        <f>IF(C1057="","",IFERROR(INDEX('Prospects'!$N$5:$N$504,MATCH(C1057,'Prospects'!$C$5:$C$504,0)),""))</f>
        <v/>
      </c>
      <c r="BB1057" s="61">
        <f>IF(AND(C1057&lt;&gt;"",C1057='Fiche prospect'!$C$4),COUNTIF($C$5:C1057,C1057),"")</f>
        <v/>
      </c>
    </row>
    <row r="1058">
      <c r="A1058" s="53" t="n"/>
      <c r="B1058" s="54" t="n"/>
      <c r="C1058" s="55" t="n"/>
      <c r="D1058" s="55" t="n"/>
      <c r="E1058" s="55" t="n"/>
      <c r="F1058" s="55" t="n"/>
      <c r="G1058" s="56" t="n"/>
      <c r="H1058" s="57" t="n"/>
      <c r="I1058" s="55" t="n"/>
      <c r="J1058" s="53" t="n"/>
      <c r="K1058" s="54" t="n"/>
      <c r="L1058" s="55" t="n"/>
      <c r="M1058" s="55" t="n"/>
      <c r="N1058" s="57" t="n"/>
      <c r="O1058" s="55" t="n"/>
      <c r="P1058" s="56" t="n"/>
      <c r="Q1058" s="55" t="n"/>
      <c r="R1058" s="55" t="n"/>
      <c r="S1058" s="55" t="n"/>
      <c r="T1058" s="55" t="n"/>
      <c r="U1058" s="55" t="n"/>
      <c r="V1058" s="55" t="n"/>
      <c r="W1058" s="58" t="n"/>
      <c r="X1058" s="58" t="n"/>
      <c r="Y1058" s="55" t="n"/>
      <c r="Z1058" s="55" t="n"/>
      <c r="AA1058" s="55" t="n"/>
      <c r="AB1058" s="55" t="n"/>
      <c r="AC1058" s="55" t="n"/>
      <c r="AD1058" s="53" t="n"/>
      <c r="AE1058" s="55" t="n"/>
      <c r="AF1058" s="55" t="n"/>
      <c r="AG1058" s="59" t="n"/>
      <c r="AH1058" s="57" t="n"/>
      <c r="AI1058" s="55" t="n"/>
      <c r="AJ1058" s="55" t="n"/>
      <c r="AK1058" s="55" t="n"/>
      <c r="AL1058" s="55" t="n"/>
      <c r="AM1058" s="56" t="n"/>
      <c r="AN1058" s="55" t="n"/>
      <c r="AO1058" s="55" t="n"/>
      <c r="AP1058" s="55" t="n"/>
      <c r="AQ1058" s="55" t="n"/>
      <c r="AR1058" s="60">
        <f>IF(AND(C1058="",E1058=""),"",IF(A1058="","⚠ Date manquante",IF(AND(C1058="",E1058&lt;&gt;"Dépense"),"⚠ Prospect manquant",IF(E1058="","⚠ Action manquante",IF(AND(AU1058=1,D1058=""),"⚠ Canal manquant",IF(AND(W1058&lt;&gt;"",COUNTIFS('Saisie'!$W$5:$W$2004,W1058,'Saisie'!$C$5:$C$2004,"&lt;&gt;"&amp;C1058)&gt;0),"⚠ Numéro déjà utilisé par un autre prospect",IF(AND(J1058&lt;&gt;"",J1058&lt;A1058),"⚠ Relance avant la date de l'action",IF(A1058&gt;TODAY(),"⚠ Date dans le futur","✓"))))))))</f>
        <v/>
      </c>
      <c r="AS1058" s="61">
        <f>IF(AND(A1058="",C1058="",E1058=""),"",ROW())</f>
        <v/>
      </c>
      <c r="AT1058" s="61">
        <f>IF(E1058&amp;F1058="","",MAX(IFERROR(INDEX('Paramètres'!$J$6:$J$33,MATCH(E1058,'Paramètres'!$I$6:$I$33,0)),0),IFERROR(INDEX('Paramètres'!$N$6:$N$17,MATCH(F1058,'Paramètres'!$M$6:$M$17,0)),0)))</f>
        <v/>
      </c>
      <c r="AU1058" s="61">
        <f>IF(E1058="","",IFERROR(IF(INDEX('Paramètres'!$K$6:$K$33,MATCH(E1058,'Paramètres'!$I$6:$I$33,0))="Oui",1,0),0))</f>
        <v/>
      </c>
      <c r="AV1058" s="61">
        <f>IF(F1058="","",IFERROR(IF(INDEX('Paramètres'!$O$6:$O$17,MATCH(F1058,'Paramètres'!$M$6:$M$17,0))="Oui",1,0),0))</f>
        <v/>
      </c>
      <c r="AW1058" s="62">
        <f>IF(E1058="","",IF(G1058&lt;&gt;"",G1058,IF(OR(E1058="Proposition envoyée",E1058="Signature"),MAX(0,N(IFERROR(INDEX('Paramètres'!$R$6:$R$15,MATCH(IF(AL1058&lt;&gt;"",AL1058,IFERROR(INDEX('Prospects'!$AN$5:$AN$504,MATCH(C1058,'Prospects'!$C$5:$C$504,0)),"")),'Paramètres'!$Q$6:$Q$15,0)),0))-N(P1058)),0)))</f>
        <v/>
      </c>
      <c r="AX1058" s="61">
        <f>IF(C1058="","",IF(COUNTIF($C$5:C1058,C1058)=1,MAX($AX$4:AX1057)+1,""))</f>
        <v/>
      </c>
      <c r="AY1058" s="61">
        <f>IF(B1058="","",HOUR(B1058))</f>
        <v/>
      </c>
      <c r="AZ1058" s="61">
        <f>IF(A1058="","",MOD(A1058-2,7)+1)</f>
        <v/>
      </c>
      <c r="BA1058" s="60">
        <f>IF(C1058="","",IFERROR(INDEX('Prospects'!$N$5:$N$504,MATCH(C1058,'Prospects'!$C$5:$C$504,0)),""))</f>
        <v/>
      </c>
      <c r="BB1058" s="61">
        <f>IF(AND(C1058&lt;&gt;"",C1058='Fiche prospect'!$C$4),COUNTIF($C$5:C1058,C1058),"")</f>
        <v/>
      </c>
    </row>
    <row r="1059">
      <c r="A1059" s="53" t="n"/>
      <c r="B1059" s="54" t="n"/>
      <c r="C1059" s="55" t="n"/>
      <c r="D1059" s="55" t="n"/>
      <c r="E1059" s="55" t="n"/>
      <c r="F1059" s="55" t="n"/>
      <c r="G1059" s="56" t="n"/>
      <c r="H1059" s="57" t="n"/>
      <c r="I1059" s="55" t="n"/>
      <c r="J1059" s="53" t="n"/>
      <c r="K1059" s="54" t="n"/>
      <c r="L1059" s="55" t="n"/>
      <c r="M1059" s="55" t="n"/>
      <c r="N1059" s="57" t="n"/>
      <c r="O1059" s="55" t="n"/>
      <c r="P1059" s="56" t="n"/>
      <c r="Q1059" s="55" t="n"/>
      <c r="R1059" s="55" t="n"/>
      <c r="S1059" s="55" t="n"/>
      <c r="T1059" s="55" t="n"/>
      <c r="U1059" s="55" t="n"/>
      <c r="V1059" s="55" t="n"/>
      <c r="W1059" s="58" t="n"/>
      <c r="X1059" s="58" t="n"/>
      <c r="Y1059" s="55" t="n"/>
      <c r="Z1059" s="55" t="n"/>
      <c r="AA1059" s="55" t="n"/>
      <c r="AB1059" s="55" t="n"/>
      <c r="AC1059" s="55" t="n"/>
      <c r="AD1059" s="53" t="n"/>
      <c r="AE1059" s="55" t="n"/>
      <c r="AF1059" s="55" t="n"/>
      <c r="AG1059" s="59" t="n"/>
      <c r="AH1059" s="57" t="n"/>
      <c r="AI1059" s="55" t="n"/>
      <c r="AJ1059" s="55" t="n"/>
      <c r="AK1059" s="55" t="n"/>
      <c r="AL1059" s="55" t="n"/>
      <c r="AM1059" s="56" t="n"/>
      <c r="AN1059" s="55" t="n"/>
      <c r="AO1059" s="55" t="n"/>
      <c r="AP1059" s="55" t="n"/>
      <c r="AQ1059" s="55" t="n"/>
      <c r="AR1059" s="60">
        <f>IF(AND(C1059="",E1059=""),"",IF(A1059="","⚠ Date manquante",IF(AND(C1059="",E1059&lt;&gt;"Dépense"),"⚠ Prospect manquant",IF(E1059="","⚠ Action manquante",IF(AND(AU1059=1,D1059=""),"⚠ Canal manquant",IF(AND(W1059&lt;&gt;"",COUNTIFS('Saisie'!$W$5:$W$2004,W1059,'Saisie'!$C$5:$C$2004,"&lt;&gt;"&amp;C1059)&gt;0),"⚠ Numéro déjà utilisé par un autre prospect",IF(AND(J1059&lt;&gt;"",J1059&lt;A1059),"⚠ Relance avant la date de l'action",IF(A1059&gt;TODAY(),"⚠ Date dans le futur","✓"))))))))</f>
        <v/>
      </c>
      <c r="AS1059" s="61">
        <f>IF(AND(A1059="",C1059="",E1059=""),"",ROW())</f>
        <v/>
      </c>
      <c r="AT1059" s="61">
        <f>IF(E1059&amp;F1059="","",MAX(IFERROR(INDEX('Paramètres'!$J$6:$J$33,MATCH(E1059,'Paramètres'!$I$6:$I$33,0)),0),IFERROR(INDEX('Paramètres'!$N$6:$N$17,MATCH(F1059,'Paramètres'!$M$6:$M$17,0)),0)))</f>
        <v/>
      </c>
      <c r="AU1059" s="61">
        <f>IF(E1059="","",IFERROR(IF(INDEX('Paramètres'!$K$6:$K$33,MATCH(E1059,'Paramètres'!$I$6:$I$33,0))="Oui",1,0),0))</f>
        <v/>
      </c>
      <c r="AV1059" s="61">
        <f>IF(F1059="","",IFERROR(IF(INDEX('Paramètres'!$O$6:$O$17,MATCH(F1059,'Paramètres'!$M$6:$M$17,0))="Oui",1,0),0))</f>
        <v/>
      </c>
      <c r="AW1059" s="62">
        <f>IF(E1059="","",IF(G1059&lt;&gt;"",G1059,IF(OR(E1059="Proposition envoyée",E1059="Signature"),MAX(0,N(IFERROR(INDEX('Paramètres'!$R$6:$R$15,MATCH(IF(AL1059&lt;&gt;"",AL1059,IFERROR(INDEX('Prospects'!$AN$5:$AN$504,MATCH(C1059,'Prospects'!$C$5:$C$504,0)),"")),'Paramètres'!$Q$6:$Q$15,0)),0))-N(P1059)),0)))</f>
        <v/>
      </c>
      <c r="AX1059" s="61">
        <f>IF(C1059="","",IF(COUNTIF($C$5:C1059,C1059)=1,MAX($AX$4:AX1058)+1,""))</f>
        <v/>
      </c>
      <c r="AY1059" s="61">
        <f>IF(B1059="","",HOUR(B1059))</f>
        <v/>
      </c>
      <c r="AZ1059" s="61">
        <f>IF(A1059="","",MOD(A1059-2,7)+1)</f>
        <v/>
      </c>
      <c r="BA1059" s="60">
        <f>IF(C1059="","",IFERROR(INDEX('Prospects'!$N$5:$N$504,MATCH(C1059,'Prospects'!$C$5:$C$504,0)),""))</f>
        <v/>
      </c>
      <c r="BB1059" s="61">
        <f>IF(AND(C1059&lt;&gt;"",C1059='Fiche prospect'!$C$4),COUNTIF($C$5:C1059,C1059),"")</f>
        <v/>
      </c>
    </row>
    <row r="1060">
      <c r="A1060" s="53" t="n"/>
      <c r="B1060" s="54" t="n"/>
      <c r="C1060" s="55" t="n"/>
      <c r="D1060" s="55" t="n"/>
      <c r="E1060" s="55" t="n"/>
      <c r="F1060" s="55" t="n"/>
      <c r="G1060" s="56" t="n"/>
      <c r="H1060" s="57" t="n"/>
      <c r="I1060" s="55" t="n"/>
      <c r="J1060" s="53" t="n"/>
      <c r="K1060" s="54" t="n"/>
      <c r="L1060" s="55" t="n"/>
      <c r="M1060" s="55" t="n"/>
      <c r="N1060" s="57" t="n"/>
      <c r="O1060" s="55" t="n"/>
      <c r="P1060" s="56" t="n"/>
      <c r="Q1060" s="55" t="n"/>
      <c r="R1060" s="55" t="n"/>
      <c r="S1060" s="55" t="n"/>
      <c r="T1060" s="55" t="n"/>
      <c r="U1060" s="55" t="n"/>
      <c r="V1060" s="55" t="n"/>
      <c r="W1060" s="58" t="n"/>
      <c r="X1060" s="58" t="n"/>
      <c r="Y1060" s="55" t="n"/>
      <c r="Z1060" s="55" t="n"/>
      <c r="AA1060" s="55" t="n"/>
      <c r="AB1060" s="55" t="n"/>
      <c r="AC1060" s="55" t="n"/>
      <c r="AD1060" s="53" t="n"/>
      <c r="AE1060" s="55" t="n"/>
      <c r="AF1060" s="55" t="n"/>
      <c r="AG1060" s="59" t="n"/>
      <c r="AH1060" s="57" t="n"/>
      <c r="AI1060" s="55" t="n"/>
      <c r="AJ1060" s="55" t="n"/>
      <c r="AK1060" s="55" t="n"/>
      <c r="AL1060" s="55" t="n"/>
      <c r="AM1060" s="56" t="n"/>
      <c r="AN1060" s="55" t="n"/>
      <c r="AO1060" s="55" t="n"/>
      <c r="AP1060" s="55" t="n"/>
      <c r="AQ1060" s="55" t="n"/>
      <c r="AR1060" s="60">
        <f>IF(AND(C1060="",E1060=""),"",IF(A1060="","⚠ Date manquante",IF(AND(C1060="",E1060&lt;&gt;"Dépense"),"⚠ Prospect manquant",IF(E1060="","⚠ Action manquante",IF(AND(AU1060=1,D1060=""),"⚠ Canal manquant",IF(AND(W1060&lt;&gt;"",COUNTIFS('Saisie'!$W$5:$W$2004,W1060,'Saisie'!$C$5:$C$2004,"&lt;&gt;"&amp;C1060)&gt;0),"⚠ Numéro déjà utilisé par un autre prospect",IF(AND(J1060&lt;&gt;"",J1060&lt;A1060),"⚠ Relance avant la date de l'action",IF(A1060&gt;TODAY(),"⚠ Date dans le futur","✓"))))))))</f>
        <v/>
      </c>
      <c r="AS1060" s="61">
        <f>IF(AND(A1060="",C1060="",E1060=""),"",ROW())</f>
        <v/>
      </c>
      <c r="AT1060" s="61">
        <f>IF(E1060&amp;F1060="","",MAX(IFERROR(INDEX('Paramètres'!$J$6:$J$33,MATCH(E1060,'Paramètres'!$I$6:$I$33,0)),0),IFERROR(INDEX('Paramètres'!$N$6:$N$17,MATCH(F1060,'Paramètres'!$M$6:$M$17,0)),0)))</f>
        <v/>
      </c>
      <c r="AU1060" s="61">
        <f>IF(E1060="","",IFERROR(IF(INDEX('Paramètres'!$K$6:$K$33,MATCH(E1060,'Paramètres'!$I$6:$I$33,0))="Oui",1,0),0))</f>
        <v/>
      </c>
      <c r="AV1060" s="61">
        <f>IF(F1060="","",IFERROR(IF(INDEX('Paramètres'!$O$6:$O$17,MATCH(F1060,'Paramètres'!$M$6:$M$17,0))="Oui",1,0),0))</f>
        <v/>
      </c>
      <c r="AW1060" s="62">
        <f>IF(E1060="","",IF(G1060&lt;&gt;"",G1060,IF(OR(E1060="Proposition envoyée",E1060="Signature"),MAX(0,N(IFERROR(INDEX('Paramètres'!$R$6:$R$15,MATCH(IF(AL1060&lt;&gt;"",AL1060,IFERROR(INDEX('Prospects'!$AN$5:$AN$504,MATCH(C1060,'Prospects'!$C$5:$C$504,0)),"")),'Paramètres'!$Q$6:$Q$15,0)),0))-N(P1060)),0)))</f>
        <v/>
      </c>
      <c r="AX1060" s="61">
        <f>IF(C1060="","",IF(COUNTIF($C$5:C1060,C1060)=1,MAX($AX$4:AX1059)+1,""))</f>
        <v/>
      </c>
      <c r="AY1060" s="61">
        <f>IF(B1060="","",HOUR(B1060))</f>
        <v/>
      </c>
      <c r="AZ1060" s="61">
        <f>IF(A1060="","",MOD(A1060-2,7)+1)</f>
        <v/>
      </c>
      <c r="BA1060" s="60">
        <f>IF(C1060="","",IFERROR(INDEX('Prospects'!$N$5:$N$504,MATCH(C1060,'Prospects'!$C$5:$C$504,0)),""))</f>
        <v/>
      </c>
      <c r="BB1060" s="61">
        <f>IF(AND(C1060&lt;&gt;"",C1060='Fiche prospect'!$C$4),COUNTIF($C$5:C1060,C1060),"")</f>
        <v/>
      </c>
    </row>
    <row r="1061">
      <c r="A1061" s="53" t="n"/>
      <c r="B1061" s="54" t="n"/>
      <c r="C1061" s="55" t="n"/>
      <c r="D1061" s="55" t="n"/>
      <c r="E1061" s="55" t="n"/>
      <c r="F1061" s="55" t="n"/>
      <c r="G1061" s="56" t="n"/>
      <c r="H1061" s="57" t="n"/>
      <c r="I1061" s="55" t="n"/>
      <c r="J1061" s="53" t="n"/>
      <c r="K1061" s="54" t="n"/>
      <c r="L1061" s="55" t="n"/>
      <c r="M1061" s="55" t="n"/>
      <c r="N1061" s="57" t="n"/>
      <c r="O1061" s="55" t="n"/>
      <c r="P1061" s="56" t="n"/>
      <c r="Q1061" s="55" t="n"/>
      <c r="R1061" s="55" t="n"/>
      <c r="S1061" s="55" t="n"/>
      <c r="T1061" s="55" t="n"/>
      <c r="U1061" s="55" t="n"/>
      <c r="V1061" s="55" t="n"/>
      <c r="W1061" s="58" t="n"/>
      <c r="X1061" s="58" t="n"/>
      <c r="Y1061" s="55" t="n"/>
      <c r="Z1061" s="55" t="n"/>
      <c r="AA1061" s="55" t="n"/>
      <c r="AB1061" s="55" t="n"/>
      <c r="AC1061" s="55" t="n"/>
      <c r="AD1061" s="53" t="n"/>
      <c r="AE1061" s="55" t="n"/>
      <c r="AF1061" s="55" t="n"/>
      <c r="AG1061" s="59" t="n"/>
      <c r="AH1061" s="57" t="n"/>
      <c r="AI1061" s="55" t="n"/>
      <c r="AJ1061" s="55" t="n"/>
      <c r="AK1061" s="55" t="n"/>
      <c r="AL1061" s="55" t="n"/>
      <c r="AM1061" s="56" t="n"/>
      <c r="AN1061" s="55" t="n"/>
      <c r="AO1061" s="55" t="n"/>
      <c r="AP1061" s="55" t="n"/>
      <c r="AQ1061" s="55" t="n"/>
      <c r="AR1061" s="60">
        <f>IF(AND(C1061="",E1061=""),"",IF(A1061="","⚠ Date manquante",IF(AND(C1061="",E1061&lt;&gt;"Dépense"),"⚠ Prospect manquant",IF(E1061="","⚠ Action manquante",IF(AND(AU1061=1,D1061=""),"⚠ Canal manquant",IF(AND(W1061&lt;&gt;"",COUNTIFS('Saisie'!$W$5:$W$2004,W1061,'Saisie'!$C$5:$C$2004,"&lt;&gt;"&amp;C1061)&gt;0),"⚠ Numéro déjà utilisé par un autre prospect",IF(AND(J1061&lt;&gt;"",J1061&lt;A1061),"⚠ Relance avant la date de l'action",IF(A1061&gt;TODAY(),"⚠ Date dans le futur","✓"))))))))</f>
        <v/>
      </c>
      <c r="AS1061" s="61">
        <f>IF(AND(A1061="",C1061="",E1061=""),"",ROW())</f>
        <v/>
      </c>
      <c r="AT1061" s="61">
        <f>IF(E1061&amp;F1061="","",MAX(IFERROR(INDEX('Paramètres'!$J$6:$J$33,MATCH(E1061,'Paramètres'!$I$6:$I$33,0)),0),IFERROR(INDEX('Paramètres'!$N$6:$N$17,MATCH(F1061,'Paramètres'!$M$6:$M$17,0)),0)))</f>
        <v/>
      </c>
      <c r="AU1061" s="61">
        <f>IF(E1061="","",IFERROR(IF(INDEX('Paramètres'!$K$6:$K$33,MATCH(E1061,'Paramètres'!$I$6:$I$33,0))="Oui",1,0),0))</f>
        <v/>
      </c>
      <c r="AV1061" s="61">
        <f>IF(F1061="","",IFERROR(IF(INDEX('Paramètres'!$O$6:$O$17,MATCH(F1061,'Paramètres'!$M$6:$M$17,0))="Oui",1,0),0))</f>
        <v/>
      </c>
      <c r="AW1061" s="62">
        <f>IF(E1061="","",IF(G1061&lt;&gt;"",G1061,IF(OR(E1061="Proposition envoyée",E1061="Signature"),MAX(0,N(IFERROR(INDEX('Paramètres'!$R$6:$R$15,MATCH(IF(AL1061&lt;&gt;"",AL1061,IFERROR(INDEX('Prospects'!$AN$5:$AN$504,MATCH(C1061,'Prospects'!$C$5:$C$504,0)),"")),'Paramètres'!$Q$6:$Q$15,0)),0))-N(P1061)),0)))</f>
        <v/>
      </c>
      <c r="AX1061" s="61">
        <f>IF(C1061="","",IF(COUNTIF($C$5:C1061,C1061)=1,MAX($AX$4:AX1060)+1,""))</f>
        <v/>
      </c>
      <c r="AY1061" s="61">
        <f>IF(B1061="","",HOUR(B1061))</f>
        <v/>
      </c>
      <c r="AZ1061" s="61">
        <f>IF(A1061="","",MOD(A1061-2,7)+1)</f>
        <v/>
      </c>
      <c r="BA1061" s="60">
        <f>IF(C1061="","",IFERROR(INDEX('Prospects'!$N$5:$N$504,MATCH(C1061,'Prospects'!$C$5:$C$504,0)),""))</f>
        <v/>
      </c>
      <c r="BB1061" s="61">
        <f>IF(AND(C1061&lt;&gt;"",C1061='Fiche prospect'!$C$4),COUNTIF($C$5:C1061,C1061),"")</f>
        <v/>
      </c>
    </row>
    <row r="1062">
      <c r="A1062" s="53" t="n"/>
      <c r="B1062" s="54" t="n"/>
      <c r="C1062" s="55" t="n"/>
      <c r="D1062" s="55" t="n"/>
      <c r="E1062" s="55" t="n"/>
      <c r="F1062" s="55" t="n"/>
      <c r="G1062" s="56" t="n"/>
      <c r="H1062" s="57" t="n"/>
      <c r="I1062" s="55" t="n"/>
      <c r="J1062" s="53" t="n"/>
      <c r="K1062" s="54" t="n"/>
      <c r="L1062" s="55" t="n"/>
      <c r="M1062" s="55" t="n"/>
      <c r="N1062" s="57" t="n"/>
      <c r="O1062" s="55" t="n"/>
      <c r="P1062" s="56" t="n"/>
      <c r="Q1062" s="55" t="n"/>
      <c r="R1062" s="55" t="n"/>
      <c r="S1062" s="55" t="n"/>
      <c r="T1062" s="55" t="n"/>
      <c r="U1062" s="55" t="n"/>
      <c r="V1062" s="55" t="n"/>
      <c r="W1062" s="58" t="n"/>
      <c r="X1062" s="58" t="n"/>
      <c r="Y1062" s="55" t="n"/>
      <c r="Z1062" s="55" t="n"/>
      <c r="AA1062" s="55" t="n"/>
      <c r="AB1062" s="55" t="n"/>
      <c r="AC1062" s="55" t="n"/>
      <c r="AD1062" s="53" t="n"/>
      <c r="AE1062" s="55" t="n"/>
      <c r="AF1062" s="55" t="n"/>
      <c r="AG1062" s="59" t="n"/>
      <c r="AH1062" s="57" t="n"/>
      <c r="AI1062" s="55" t="n"/>
      <c r="AJ1062" s="55" t="n"/>
      <c r="AK1062" s="55" t="n"/>
      <c r="AL1062" s="55" t="n"/>
      <c r="AM1062" s="56" t="n"/>
      <c r="AN1062" s="55" t="n"/>
      <c r="AO1062" s="55" t="n"/>
      <c r="AP1062" s="55" t="n"/>
      <c r="AQ1062" s="55" t="n"/>
      <c r="AR1062" s="60">
        <f>IF(AND(C1062="",E1062=""),"",IF(A1062="","⚠ Date manquante",IF(AND(C1062="",E1062&lt;&gt;"Dépense"),"⚠ Prospect manquant",IF(E1062="","⚠ Action manquante",IF(AND(AU1062=1,D1062=""),"⚠ Canal manquant",IF(AND(W1062&lt;&gt;"",COUNTIFS('Saisie'!$W$5:$W$2004,W1062,'Saisie'!$C$5:$C$2004,"&lt;&gt;"&amp;C1062)&gt;0),"⚠ Numéro déjà utilisé par un autre prospect",IF(AND(J1062&lt;&gt;"",J1062&lt;A1062),"⚠ Relance avant la date de l'action",IF(A1062&gt;TODAY(),"⚠ Date dans le futur","✓"))))))))</f>
        <v/>
      </c>
      <c r="AS1062" s="61">
        <f>IF(AND(A1062="",C1062="",E1062=""),"",ROW())</f>
        <v/>
      </c>
      <c r="AT1062" s="61">
        <f>IF(E1062&amp;F1062="","",MAX(IFERROR(INDEX('Paramètres'!$J$6:$J$33,MATCH(E1062,'Paramètres'!$I$6:$I$33,0)),0),IFERROR(INDEX('Paramètres'!$N$6:$N$17,MATCH(F1062,'Paramètres'!$M$6:$M$17,0)),0)))</f>
        <v/>
      </c>
      <c r="AU1062" s="61">
        <f>IF(E1062="","",IFERROR(IF(INDEX('Paramètres'!$K$6:$K$33,MATCH(E1062,'Paramètres'!$I$6:$I$33,0))="Oui",1,0),0))</f>
        <v/>
      </c>
      <c r="AV1062" s="61">
        <f>IF(F1062="","",IFERROR(IF(INDEX('Paramètres'!$O$6:$O$17,MATCH(F1062,'Paramètres'!$M$6:$M$17,0))="Oui",1,0),0))</f>
        <v/>
      </c>
      <c r="AW1062" s="62">
        <f>IF(E1062="","",IF(G1062&lt;&gt;"",G1062,IF(OR(E1062="Proposition envoyée",E1062="Signature"),MAX(0,N(IFERROR(INDEX('Paramètres'!$R$6:$R$15,MATCH(IF(AL1062&lt;&gt;"",AL1062,IFERROR(INDEX('Prospects'!$AN$5:$AN$504,MATCH(C1062,'Prospects'!$C$5:$C$504,0)),"")),'Paramètres'!$Q$6:$Q$15,0)),0))-N(P1062)),0)))</f>
        <v/>
      </c>
      <c r="AX1062" s="61">
        <f>IF(C1062="","",IF(COUNTIF($C$5:C1062,C1062)=1,MAX($AX$4:AX1061)+1,""))</f>
        <v/>
      </c>
      <c r="AY1062" s="61">
        <f>IF(B1062="","",HOUR(B1062))</f>
        <v/>
      </c>
      <c r="AZ1062" s="61">
        <f>IF(A1062="","",MOD(A1062-2,7)+1)</f>
        <v/>
      </c>
      <c r="BA1062" s="60">
        <f>IF(C1062="","",IFERROR(INDEX('Prospects'!$N$5:$N$504,MATCH(C1062,'Prospects'!$C$5:$C$504,0)),""))</f>
        <v/>
      </c>
      <c r="BB1062" s="61">
        <f>IF(AND(C1062&lt;&gt;"",C1062='Fiche prospect'!$C$4),COUNTIF($C$5:C1062,C1062),"")</f>
        <v/>
      </c>
    </row>
    <row r="1063">
      <c r="A1063" s="53" t="n"/>
      <c r="B1063" s="54" t="n"/>
      <c r="C1063" s="55" t="n"/>
      <c r="D1063" s="55" t="n"/>
      <c r="E1063" s="55" t="n"/>
      <c r="F1063" s="55" t="n"/>
      <c r="G1063" s="56" t="n"/>
      <c r="H1063" s="57" t="n"/>
      <c r="I1063" s="55" t="n"/>
      <c r="J1063" s="53" t="n"/>
      <c r="K1063" s="54" t="n"/>
      <c r="L1063" s="55" t="n"/>
      <c r="M1063" s="55" t="n"/>
      <c r="N1063" s="57" t="n"/>
      <c r="O1063" s="55" t="n"/>
      <c r="P1063" s="56" t="n"/>
      <c r="Q1063" s="55" t="n"/>
      <c r="R1063" s="55" t="n"/>
      <c r="S1063" s="55" t="n"/>
      <c r="T1063" s="55" t="n"/>
      <c r="U1063" s="55" t="n"/>
      <c r="V1063" s="55" t="n"/>
      <c r="W1063" s="58" t="n"/>
      <c r="X1063" s="58" t="n"/>
      <c r="Y1063" s="55" t="n"/>
      <c r="Z1063" s="55" t="n"/>
      <c r="AA1063" s="55" t="n"/>
      <c r="AB1063" s="55" t="n"/>
      <c r="AC1063" s="55" t="n"/>
      <c r="AD1063" s="53" t="n"/>
      <c r="AE1063" s="55" t="n"/>
      <c r="AF1063" s="55" t="n"/>
      <c r="AG1063" s="59" t="n"/>
      <c r="AH1063" s="57" t="n"/>
      <c r="AI1063" s="55" t="n"/>
      <c r="AJ1063" s="55" t="n"/>
      <c r="AK1063" s="55" t="n"/>
      <c r="AL1063" s="55" t="n"/>
      <c r="AM1063" s="56" t="n"/>
      <c r="AN1063" s="55" t="n"/>
      <c r="AO1063" s="55" t="n"/>
      <c r="AP1063" s="55" t="n"/>
      <c r="AQ1063" s="55" t="n"/>
      <c r="AR1063" s="60">
        <f>IF(AND(C1063="",E1063=""),"",IF(A1063="","⚠ Date manquante",IF(AND(C1063="",E1063&lt;&gt;"Dépense"),"⚠ Prospect manquant",IF(E1063="","⚠ Action manquante",IF(AND(AU1063=1,D1063=""),"⚠ Canal manquant",IF(AND(W1063&lt;&gt;"",COUNTIFS('Saisie'!$W$5:$W$2004,W1063,'Saisie'!$C$5:$C$2004,"&lt;&gt;"&amp;C1063)&gt;0),"⚠ Numéro déjà utilisé par un autre prospect",IF(AND(J1063&lt;&gt;"",J1063&lt;A1063),"⚠ Relance avant la date de l'action",IF(A1063&gt;TODAY(),"⚠ Date dans le futur","✓"))))))))</f>
        <v/>
      </c>
      <c r="AS1063" s="61">
        <f>IF(AND(A1063="",C1063="",E1063=""),"",ROW())</f>
        <v/>
      </c>
      <c r="AT1063" s="61">
        <f>IF(E1063&amp;F1063="","",MAX(IFERROR(INDEX('Paramètres'!$J$6:$J$33,MATCH(E1063,'Paramètres'!$I$6:$I$33,0)),0),IFERROR(INDEX('Paramètres'!$N$6:$N$17,MATCH(F1063,'Paramètres'!$M$6:$M$17,0)),0)))</f>
        <v/>
      </c>
      <c r="AU1063" s="61">
        <f>IF(E1063="","",IFERROR(IF(INDEX('Paramètres'!$K$6:$K$33,MATCH(E1063,'Paramètres'!$I$6:$I$33,0))="Oui",1,0),0))</f>
        <v/>
      </c>
      <c r="AV1063" s="61">
        <f>IF(F1063="","",IFERROR(IF(INDEX('Paramètres'!$O$6:$O$17,MATCH(F1063,'Paramètres'!$M$6:$M$17,0))="Oui",1,0),0))</f>
        <v/>
      </c>
      <c r="AW1063" s="62">
        <f>IF(E1063="","",IF(G1063&lt;&gt;"",G1063,IF(OR(E1063="Proposition envoyée",E1063="Signature"),MAX(0,N(IFERROR(INDEX('Paramètres'!$R$6:$R$15,MATCH(IF(AL1063&lt;&gt;"",AL1063,IFERROR(INDEX('Prospects'!$AN$5:$AN$504,MATCH(C1063,'Prospects'!$C$5:$C$504,0)),"")),'Paramètres'!$Q$6:$Q$15,0)),0))-N(P1063)),0)))</f>
        <v/>
      </c>
      <c r="AX1063" s="61">
        <f>IF(C1063="","",IF(COUNTIF($C$5:C1063,C1063)=1,MAX($AX$4:AX1062)+1,""))</f>
        <v/>
      </c>
      <c r="AY1063" s="61">
        <f>IF(B1063="","",HOUR(B1063))</f>
        <v/>
      </c>
      <c r="AZ1063" s="61">
        <f>IF(A1063="","",MOD(A1063-2,7)+1)</f>
        <v/>
      </c>
      <c r="BA1063" s="60">
        <f>IF(C1063="","",IFERROR(INDEX('Prospects'!$N$5:$N$504,MATCH(C1063,'Prospects'!$C$5:$C$504,0)),""))</f>
        <v/>
      </c>
      <c r="BB1063" s="61">
        <f>IF(AND(C1063&lt;&gt;"",C1063='Fiche prospect'!$C$4),COUNTIF($C$5:C1063,C1063),"")</f>
        <v/>
      </c>
    </row>
    <row r="1064">
      <c r="A1064" s="53" t="n"/>
      <c r="B1064" s="54" t="n"/>
      <c r="C1064" s="55" t="n"/>
      <c r="D1064" s="55" t="n"/>
      <c r="E1064" s="55" t="n"/>
      <c r="F1064" s="55" t="n"/>
      <c r="G1064" s="56" t="n"/>
      <c r="H1064" s="57" t="n"/>
      <c r="I1064" s="55" t="n"/>
      <c r="J1064" s="53" t="n"/>
      <c r="K1064" s="54" t="n"/>
      <c r="L1064" s="55" t="n"/>
      <c r="M1064" s="55" t="n"/>
      <c r="N1064" s="57" t="n"/>
      <c r="O1064" s="55" t="n"/>
      <c r="P1064" s="56" t="n"/>
      <c r="Q1064" s="55" t="n"/>
      <c r="R1064" s="55" t="n"/>
      <c r="S1064" s="55" t="n"/>
      <c r="T1064" s="55" t="n"/>
      <c r="U1064" s="55" t="n"/>
      <c r="V1064" s="55" t="n"/>
      <c r="W1064" s="58" t="n"/>
      <c r="X1064" s="58" t="n"/>
      <c r="Y1064" s="55" t="n"/>
      <c r="Z1064" s="55" t="n"/>
      <c r="AA1064" s="55" t="n"/>
      <c r="AB1064" s="55" t="n"/>
      <c r="AC1064" s="55" t="n"/>
      <c r="AD1064" s="53" t="n"/>
      <c r="AE1064" s="55" t="n"/>
      <c r="AF1064" s="55" t="n"/>
      <c r="AG1064" s="59" t="n"/>
      <c r="AH1064" s="57" t="n"/>
      <c r="AI1064" s="55" t="n"/>
      <c r="AJ1064" s="55" t="n"/>
      <c r="AK1064" s="55" t="n"/>
      <c r="AL1064" s="55" t="n"/>
      <c r="AM1064" s="56" t="n"/>
      <c r="AN1064" s="55" t="n"/>
      <c r="AO1064" s="55" t="n"/>
      <c r="AP1064" s="55" t="n"/>
      <c r="AQ1064" s="55" t="n"/>
      <c r="AR1064" s="60">
        <f>IF(AND(C1064="",E1064=""),"",IF(A1064="","⚠ Date manquante",IF(AND(C1064="",E1064&lt;&gt;"Dépense"),"⚠ Prospect manquant",IF(E1064="","⚠ Action manquante",IF(AND(AU1064=1,D1064=""),"⚠ Canal manquant",IF(AND(W1064&lt;&gt;"",COUNTIFS('Saisie'!$W$5:$W$2004,W1064,'Saisie'!$C$5:$C$2004,"&lt;&gt;"&amp;C1064)&gt;0),"⚠ Numéro déjà utilisé par un autre prospect",IF(AND(J1064&lt;&gt;"",J1064&lt;A1064),"⚠ Relance avant la date de l'action",IF(A1064&gt;TODAY(),"⚠ Date dans le futur","✓"))))))))</f>
        <v/>
      </c>
      <c r="AS1064" s="61">
        <f>IF(AND(A1064="",C1064="",E1064=""),"",ROW())</f>
        <v/>
      </c>
      <c r="AT1064" s="61">
        <f>IF(E1064&amp;F1064="","",MAX(IFERROR(INDEX('Paramètres'!$J$6:$J$33,MATCH(E1064,'Paramètres'!$I$6:$I$33,0)),0),IFERROR(INDEX('Paramètres'!$N$6:$N$17,MATCH(F1064,'Paramètres'!$M$6:$M$17,0)),0)))</f>
        <v/>
      </c>
      <c r="AU1064" s="61">
        <f>IF(E1064="","",IFERROR(IF(INDEX('Paramètres'!$K$6:$K$33,MATCH(E1064,'Paramètres'!$I$6:$I$33,0))="Oui",1,0),0))</f>
        <v/>
      </c>
      <c r="AV1064" s="61">
        <f>IF(F1064="","",IFERROR(IF(INDEX('Paramètres'!$O$6:$O$17,MATCH(F1064,'Paramètres'!$M$6:$M$17,0))="Oui",1,0),0))</f>
        <v/>
      </c>
      <c r="AW1064" s="62">
        <f>IF(E1064="","",IF(G1064&lt;&gt;"",G1064,IF(OR(E1064="Proposition envoyée",E1064="Signature"),MAX(0,N(IFERROR(INDEX('Paramètres'!$R$6:$R$15,MATCH(IF(AL1064&lt;&gt;"",AL1064,IFERROR(INDEX('Prospects'!$AN$5:$AN$504,MATCH(C1064,'Prospects'!$C$5:$C$504,0)),"")),'Paramètres'!$Q$6:$Q$15,0)),0))-N(P1064)),0)))</f>
        <v/>
      </c>
      <c r="AX1064" s="61">
        <f>IF(C1064="","",IF(COUNTIF($C$5:C1064,C1064)=1,MAX($AX$4:AX1063)+1,""))</f>
        <v/>
      </c>
      <c r="AY1064" s="61">
        <f>IF(B1064="","",HOUR(B1064))</f>
        <v/>
      </c>
      <c r="AZ1064" s="61">
        <f>IF(A1064="","",MOD(A1064-2,7)+1)</f>
        <v/>
      </c>
      <c r="BA1064" s="60">
        <f>IF(C1064="","",IFERROR(INDEX('Prospects'!$N$5:$N$504,MATCH(C1064,'Prospects'!$C$5:$C$504,0)),""))</f>
        <v/>
      </c>
      <c r="BB1064" s="61">
        <f>IF(AND(C1064&lt;&gt;"",C1064='Fiche prospect'!$C$4),COUNTIF($C$5:C1064,C1064),"")</f>
        <v/>
      </c>
    </row>
    <row r="1065">
      <c r="A1065" s="53" t="n"/>
      <c r="B1065" s="54" t="n"/>
      <c r="C1065" s="55" t="n"/>
      <c r="D1065" s="55" t="n"/>
      <c r="E1065" s="55" t="n"/>
      <c r="F1065" s="55" t="n"/>
      <c r="G1065" s="56" t="n"/>
      <c r="H1065" s="57" t="n"/>
      <c r="I1065" s="55" t="n"/>
      <c r="J1065" s="53" t="n"/>
      <c r="K1065" s="54" t="n"/>
      <c r="L1065" s="55" t="n"/>
      <c r="M1065" s="55" t="n"/>
      <c r="N1065" s="57" t="n"/>
      <c r="O1065" s="55" t="n"/>
      <c r="P1065" s="56" t="n"/>
      <c r="Q1065" s="55" t="n"/>
      <c r="R1065" s="55" t="n"/>
      <c r="S1065" s="55" t="n"/>
      <c r="T1065" s="55" t="n"/>
      <c r="U1065" s="55" t="n"/>
      <c r="V1065" s="55" t="n"/>
      <c r="W1065" s="58" t="n"/>
      <c r="X1065" s="58" t="n"/>
      <c r="Y1065" s="55" t="n"/>
      <c r="Z1065" s="55" t="n"/>
      <c r="AA1065" s="55" t="n"/>
      <c r="AB1065" s="55" t="n"/>
      <c r="AC1065" s="55" t="n"/>
      <c r="AD1065" s="53" t="n"/>
      <c r="AE1065" s="55" t="n"/>
      <c r="AF1065" s="55" t="n"/>
      <c r="AG1065" s="59" t="n"/>
      <c r="AH1065" s="57" t="n"/>
      <c r="AI1065" s="55" t="n"/>
      <c r="AJ1065" s="55" t="n"/>
      <c r="AK1065" s="55" t="n"/>
      <c r="AL1065" s="55" t="n"/>
      <c r="AM1065" s="56" t="n"/>
      <c r="AN1065" s="55" t="n"/>
      <c r="AO1065" s="55" t="n"/>
      <c r="AP1065" s="55" t="n"/>
      <c r="AQ1065" s="55" t="n"/>
      <c r="AR1065" s="60">
        <f>IF(AND(C1065="",E1065=""),"",IF(A1065="","⚠ Date manquante",IF(AND(C1065="",E1065&lt;&gt;"Dépense"),"⚠ Prospect manquant",IF(E1065="","⚠ Action manquante",IF(AND(AU1065=1,D1065=""),"⚠ Canal manquant",IF(AND(W1065&lt;&gt;"",COUNTIFS('Saisie'!$W$5:$W$2004,W1065,'Saisie'!$C$5:$C$2004,"&lt;&gt;"&amp;C1065)&gt;0),"⚠ Numéro déjà utilisé par un autre prospect",IF(AND(J1065&lt;&gt;"",J1065&lt;A1065),"⚠ Relance avant la date de l'action",IF(A1065&gt;TODAY(),"⚠ Date dans le futur","✓"))))))))</f>
        <v/>
      </c>
      <c r="AS1065" s="61">
        <f>IF(AND(A1065="",C1065="",E1065=""),"",ROW())</f>
        <v/>
      </c>
      <c r="AT1065" s="61">
        <f>IF(E1065&amp;F1065="","",MAX(IFERROR(INDEX('Paramètres'!$J$6:$J$33,MATCH(E1065,'Paramètres'!$I$6:$I$33,0)),0),IFERROR(INDEX('Paramètres'!$N$6:$N$17,MATCH(F1065,'Paramètres'!$M$6:$M$17,0)),0)))</f>
        <v/>
      </c>
      <c r="AU1065" s="61">
        <f>IF(E1065="","",IFERROR(IF(INDEX('Paramètres'!$K$6:$K$33,MATCH(E1065,'Paramètres'!$I$6:$I$33,0))="Oui",1,0),0))</f>
        <v/>
      </c>
      <c r="AV1065" s="61">
        <f>IF(F1065="","",IFERROR(IF(INDEX('Paramètres'!$O$6:$O$17,MATCH(F1065,'Paramètres'!$M$6:$M$17,0))="Oui",1,0),0))</f>
        <v/>
      </c>
      <c r="AW1065" s="62">
        <f>IF(E1065="","",IF(G1065&lt;&gt;"",G1065,IF(OR(E1065="Proposition envoyée",E1065="Signature"),MAX(0,N(IFERROR(INDEX('Paramètres'!$R$6:$R$15,MATCH(IF(AL1065&lt;&gt;"",AL1065,IFERROR(INDEX('Prospects'!$AN$5:$AN$504,MATCH(C1065,'Prospects'!$C$5:$C$504,0)),"")),'Paramètres'!$Q$6:$Q$15,0)),0))-N(P1065)),0)))</f>
        <v/>
      </c>
      <c r="AX1065" s="61">
        <f>IF(C1065="","",IF(COUNTIF($C$5:C1065,C1065)=1,MAX($AX$4:AX1064)+1,""))</f>
        <v/>
      </c>
      <c r="AY1065" s="61">
        <f>IF(B1065="","",HOUR(B1065))</f>
        <v/>
      </c>
      <c r="AZ1065" s="61">
        <f>IF(A1065="","",MOD(A1065-2,7)+1)</f>
        <v/>
      </c>
      <c r="BA1065" s="60">
        <f>IF(C1065="","",IFERROR(INDEX('Prospects'!$N$5:$N$504,MATCH(C1065,'Prospects'!$C$5:$C$504,0)),""))</f>
        <v/>
      </c>
      <c r="BB1065" s="61">
        <f>IF(AND(C1065&lt;&gt;"",C1065='Fiche prospect'!$C$4),COUNTIF($C$5:C1065,C1065),"")</f>
        <v/>
      </c>
    </row>
    <row r="1066">
      <c r="A1066" s="53" t="n"/>
      <c r="B1066" s="54" t="n"/>
      <c r="C1066" s="55" t="n"/>
      <c r="D1066" s="55" t="n"/>
      <c r="E1066" s="55" t="n"/>
      <c r="F1066" s="55" t="n"/>
      <c r="G1066" s="56" t="n"/>
      <c r="H1066" s="57" t="n"/>
      <c r="I1066" s="55" t="n"/>
      <c r="J1066" s="53" t="n"/>
      <c r="K1066" s="54" t="n"/>
      <c r="L1066" s="55" t="n"/>
      <c r="M1066" s="55" t="n"/>
      <c r="N1066" s="57" t="n"/>
      <c r="O1066" s="55" t="n"/>
      <c r="P1066" s="56" t="n"/>
      <c r="Q1066" s="55" t="n"/>
      <c r="R1066" s="55" t="n"/>
      <c r="S1066" s="55" t="n"/>
      <c r="T1066" s="55" t="n"/>
      <c r="U1066" s="55" t="n"/>
      <c r="V1066" s="55" t="n"/>
      <c r="W1066" s="58" t="n"/>
      <c r="X1066" s="58" t="n"/>
      <c r="Y1066" s="55" t="n"/>
      <c r="Z1066" s="55" t="n"/>
      <c r="AA1066" s="55" t="n"/>
      <c r="AB1066" s="55" t="n"/>
      <c r="AC1066" s="55" t="n"/>
      <c r="AD1066" s="53" t="n"/>
      <c r="AE1066" s="55" t="n"/>
      <c r="AF1066" s="55" t="n"/>
      <c r="AG1066" s="59" t="n"/>
      <c r="AH1066" s="57" t="n"/>
      <c r="AI1066" s="55" t="n"/>
      <c r="AJ1066" s="55" t="n"/>
      <c r="AK1066" s="55" t="n"/>
      <c r="AL1066" s="55" t="n"/>
      <c r="AM1066" s="56" t="n"/>
      <c r="AN1066" s="55" t="n"/>
      <c r="AO1066" s="55" t="n"/>
      <c r="AP1066" s="55" t="n"/>
      <c r="AQ1066" s="55" t="n"/>
      <c r="AR1066" s="60">
        <f>IF(AND(C1066="",E1066=""),"",IF(A1066="","⚠ Date manquante",IF(AND(C1066="",E1066&lt;&gt;"Dépense"),"⚠ Prospect manquant",IF(E1066="","⚠ Action manquante",IF(AND(AU1066=1,D1066=""),"⚠ Canal manquant",IF(AND(W1066&lt;&gt;"",COUNTIFS('Saisie'!$W$5:$W$2004,W1066,'Saisie'!$C$5:$C$2004,"&lt;&gt;"&amp;C1066)&gt;0),"⚠ Numéro déjà utilisé par un autre prospect",IF(AND(J1066&lt;&gt;"",J1066&lt;A1066),"⚠ Relance avant la date de l'action",IF(A1066&gt;TODAY(),"⚠ Date dans le futur","✓"))))))))</f>
        <v/>
      </c>
      <c r="AS1066" s="61">
        <f>IF(AND(A1066="",C1066="",E1066=""),"",ROW())</f>
        <v/>
      </c>
      <c r="AT1066" s="61">
        <f>IF(E1066&amp;F1066="","",MAX(IFERROR(INDEX('Paramètres'!$J$6:$J$33,MATCH(E1066,'Paramètres'!$I$6:$I$33,0)),0),IFERROR(INDEX('Paramètres'!$N$6:$N$17,MATCH(F1066,'Paramètres'!$M$6:$M$17,0)),0)))</f>
        <v/>
      </c>
      <c r="AU1066" s="61">
        <f>IF(E1066="","",IFERROR(IF(INDEX('Paramètres'!$K$6:$K$33,MATCH(E1066,'Paramètres'!$I$6:$I$33,0))="Oui",1,0),0))</f>
        <v/>
      </c>
      <c r="AV1066" s="61">
        <f>IF(F1066="","",IFERROR(IF(INDEX('Paramètres'!$O$6:$O$17,MATCH(F1066,'Paramètres'!$M$6:$M$17,0))="Oui",1,0),0))</f>
        <v/>
      </c>
      <c r="AW1066" s="62">
        <f>IF(E1066="","",IF(G1066&lt;&gt;"",G1066,IF(OR(E1066="Proposition envoyée",E1066="Signature"),MAX(0,N(IFERROR(INDEX('Paramètres'!$R$6:$R$15,MATCH(IF(AL1066&lt;&gt;"",AL1066,IFERROR(INDEX('Prospects'!$AN$5:$AN$504,MATCH(C1066,'Prospects'!$C$5:$C$504,0)),"")),'Paramètres'!$Q$6:$Q$15,0)),0))-N(P1066)),0)))</f>
        <v/>
      </c>
      <c r="AX1066" s="61">
        <f>IF(C1066="","",IF(COUNTIF($C$5:C1066,C1066)=1,MAX($AX$4:AX1065)+1,""))</f>
        <v/>
      </c>
      <c r="AY1066" s="61">
        <f>IF(B1066="","",HOUR(B1066))</f>
        <v/>
      </c>
      <c r="AZ1066" s="61">
        <f>IF(A1066="","",MOD(A1066-2,7)+1)</f>
        <v/>
      </c>
      <c r="BA1066" s="60">
        <f>IF(C1066="","",IFERROR(INDEX('Prospects'!$N$5:$N$504,MATCH(C1066,'Prospects'!$C$5:$C$504,0)),""))</f>
        <v/>
      </c>
      <c r="BB1066" s="61">
        <f>IF(AND(C1066&lt;&gt;"",C1066='Fiche prospect'!$C$4),COUNTIF($C$5:C1066,C1066),"")</f>
        <v/>
      </c>
    </row>
    <row r="1067">
      <c r="A1067" s="53" t="n"/>
      <c r="B1067" s="54" t="n"/>
      <c r="C1067" s="55" t="n"/>
      <c r="D1067" s="55" t="n"/>
      <c r="E1067" s="55" t="n"/>
      <c r="F1067" s="55" t="n"/>
      <c r="G1067" s="56" t="n"/>
      <c r="H1067" s="57" t="n"/>
      <c r="I1067" s="55" t="n"/>
      <c r="J1067" s="53" t="n"/>
      <c r="K1067" s="54" t="n"/>
      <c r="L1067" s="55" t="n"/>
      <c r="M1067" s="55" t="n"/>
      <c r="N1067" s="57" t="n"/>
      <c r="O1067" s="55" t="n"/>
      <c r="P1067" s="56" t="n"/>
      <c r="Q1067" s="55" t="n"/>
      <c r="R1067" s="55" t="n"/>
      <c r="S1067" s="55" t="n"/>
      <c r="T1067" s="55" t="n"/>
      <c r="U1067" s="55" t="n"/>
      <c r="V1067" s="55" t="n"/>
      <c r="W1067" s="58" t="n"/>
      <c r="X1067" s="58" t="n"/>
      <c r="Y1067" s="55" t="n"/>
      <c r="Z1067" s="55" t="n"/>
      <c r="AA1067" s="55" t="n"/>
      <c r="AB1067" s="55" t="n"/>
      <c r="AC1067" s="55" t="n"/>
      <c r="AD1067" s="53" t="n"/>
      <c r="AE1067" s="55" t="n"/>
      <c r="AF1067" s="55" t="n"/>
      <c r="AG1067" s="59" t="n"/>
      <c r="AH1067" s="57" t="n"/>
      <c r="AI1067" s="55" t="n"/>
      <c r="AJ1067" s="55" t="n"/>
      <c r="AK1067" s="55" t="n"/>
      <c r="AL1067" s="55" t="n"/>
      <c r="AM1067" s="56" t="n"/>
      <c r="AN1067" s="55" t="n"/>
      <c r="AO1067" s="55" t="n"/>
      <c r="AP1067" s="55" t="n"/>
      <c r="AQ1067" s="55" t="n"/>
      <c r="AR1067" s="60">
        <f>IF(AND(C1067="",E1067=""),"",IF(A1067="","⚠ Date manquante",IF(AND(C1067="",E1067&lt;&gt;"Dépense"),"⚠ Prospect manquant",IF(E1067="","⚠ Action manquante",IF(AND(AU1067=1,D1067=""),"⚠ Canal manquant",IF(AND(W1067&lt;&gt;"",COUNTIFS('Saisie'!$W$5:$W$2004,W1067,'Saisie'!$C$5:$C$2004,"&lt;&gt;"&amp;C1067)&gt;0),"⚠ Numéro déjà utilisé par un autre prospect",IF(AND(J1067&lt;&gt;"",J1067&lt;A1067),"⚠ Relance avant la date de l'action",IF(A1067&gt;TODAY(),"⚠ Date dans le futur","✓"))))))))</f>
        <v/>
      </c>
      <c r="AS1067" s="61">
        <f>IF(AND(A1067="",C1067="",E1067=""),"",ROW())</f>
        <v/>
      </c>
      <c r="AT1067" s="61">
        <f>IF(E1067&amp;F1067="","",MAX(IFERROR(INDEX('Paramètres'!$J$6:$J$33,MATCH(E1067,'Paramètres'!$I$6:$I$33,0)),0),IFERROR(INDEX('Paramètres'!$N$6:$N$17,MATCH(F1067,'Paramètres'!$M$6:$M$17,0)),0)))</f>
        <v/>
      </c>
      <c r="AU1067" s="61">
        <f>IF(E1067="","",IFERROR(IF(INDEX('Paramètres'!$K$6:$K$33,MATCH(E1067,'Paramètres'!$I$6:$I$33,0))="Oui",1,0),0))</f>
        <v/>
      </c>
      <c r="AV1067" s="61">
        <f>IF(F1067="","",IFERROR(IF(INDEX('Paramètres'!$O$6:$O$17,MATCH(F1067,'Paramètres'!$M$6:$M$17,0))="Oui",1,0),0))</f>
        <v/>
      </c>
      <c r="AW1067" s="62">
        <f>IF(E1067="","",IF(G1067&lt;&gt;"",G1067,IF(OR(E1067="Proposition envoyée",E1067="Signature"),MAX(0,N(IFERROR(INDEX('Paramètres'!$R$6:$R$15,MATCH(IF(AL1067&lt;&gt;"",AL1067,IFERROR(INDEX('Prospects'!$AN$5:$AN$504,MATCH(C1067,'Prospects'!$C$5:$C$504,0)),"")),'Paramètres'!$Q$6:$Q$15,0)),0))-N(P1067)),0)))</f>
        <v/>
      </c>
      <c r="AX1067" s="61">
        <f>IF(C1067="","",IF(COUNTIF($C$5:C1067,C1067)=1,MAX($AX$4:AX1066)+1,""))</f>
        <v/>
      </c>
      <c r="AY1067" s="61">
        <f>IF(B1067="","",HOUR(B1067))</f>
        <v/>
      </c>
      <c r="AZ1067" s="61">
        <f>IF(A1067="","",MOD(A1067-2,7)+1)</f>
        <v/>
      </c>
      <c r="BA1067" s="60">
        <f>IF(C1067="","",IFERROR(INDEX('Prospects'!$N$5:$N$504,MATCH(C1067,'Prospects'!$C$5:$C$504,0)),""))</f>
        <v/>
      </c>
      <c r="BB1067" s="61">
        <f>IF(AND(C1067&lt;&gt;"",C1067='Fiche prospect'!$C$4),COUNTIF($C$5:C1067,C1067),"")</f>
        <v/>
      </c>
    </row>
    <row r="1068">
      <c r="A1068" s="53" t="n"/>
      <c r="B1068" s="54" t="n"/>
      <c r="C1068" s="55" t="n"/>
      <c r="D1068" s="55" t="n"/>
      <c r="E1068" s="55" t="n"/>
      <c r="F1068" s="55" t="n"/>
      <c r="G1068" s="56" t="n"/>
      <c r="H1068" s="57" t="n"/>
      <c r="I1068" s="55" t="n"/>
      <c r="J1068" s="53" t="n"/>
      <c r="K1068" s="54" t="n"/>
      <c r="L1068" s="55" t="n"/>
      <c r="M1068" s="55" t="n"/>
      <c r="N1068" s="57" t="n"/>
      <c r="O1068" s="55" t="n"/>
      <c r="P1068" s="56" t="n"/>
      <c r="Q1068" s="55" t="n"/>
      <c r="R1068" s="55" t="n"/>
      <c r="S1068" s="55" t="n"/>
      <c r="T1068" s="55" t="n"/>
      <c r="U1068" s="55" t="n"/>
      <c r="V1068" s="55" t="n"/>
      <c r="W1068" s="58" t="n"/>
      <c r="X1068" s="58" t="n"/>
      <c r="Y1068" s="55" t="n"/>
      <c r="Z1068" s="55" t="n"/>
      <c r="AA1068" s="55" t="n"/>
      <c r="AB1068" s="55" t="n"/>
      <c r="AC1068" s="55" t="n"/>
      <c r="AD1068" s="53" t="n"/>
      <c r="AE1068" s="55" t="n"/>
      <c r="AF1068" s="55" t="n"/>
      <c r="AG1068" s="59" t="n"/>
      <c r="AH1068" s="57" t="n"/>
      <c r="AI1068" s="55" t="n"/>
      <c r="AJ1068" s="55" t="n"/>
      <c r="AK1068" s="55" t="n"/>
      <c r="AL1068" s="55" t="n"/>
      <c r="AM1068" s="56" t="n"/>
      <c r="AN1068" s="55" t="n"/>
      <c r="AO1068" s="55" t="n"/>
      <c r="AP1068" s="55" t="n"/>
      <c r="AQ1068" s="55" t="n"/>
      <c r="AR1068" s="60">
        <f>IF(AND(C1068="",E1068=""),"",IF(A1068="","⚠ Date manquante",IF(AND(C1068="",E1068&lt;&gt;"Dépense"),"⚠ Prospect manquant",IF(E1068="","⚠ Action manquante",IF(AND(AU1068=1,D1068=""),"⚠ Canal manquant",IF(AND(W1068&lt;&gt;"",COUNTIFS('Saisie'!$W$5:$W$2004,W1068,'Saisie'!$C$5:$C$2004,"&lt;&gt;"&amp;C1068)&gt;0),"⚠ Numéro déjà utilisé par un autre prospect",IF(AND(J1068&lt;&gt;"",J1068&lt;A1068),"⚠ Relance avant la date de l'action",IF(A1068&gt;TODAY(),"⚠ Date dans le futur","✓"))))))))</f>
        <v/>
      </c>
      <c r="AS1068" s="61">
        <f>IF(AND(A1068="",C1068="",E1068=""),"",ROW())</f>
        <v/>
      </c>
      <c r="AT1068" s="61">
        <f>IF(E1068&amp;F1068="","",MAX(IFERROR(INDEX('Paramètres'!$J$6:$J$33,MATCH(E1068,'Paramètres'!$I$6:$I$33,0)),0),IFERROR(INDEX('Paramètres'!$N$6:$N$17,MATCH(F1068,'Paramètres'!$M$6:$M$17,0)),0)))</f>
        <v/>
      </c>
      <c r="AU1068" s="61">
        <f>IF(E1068="","",IFERROR(IF(INDEX('Paramètres'!$K$6:$K$33,MATCH(E1068,'Paramètres'!$I$6:$I$33,0))="Oui",1,0),0))</f>
        <v/>
      </c>
      <c r="AV1068" s="61">
        <f>IF(F1068="","",IFERROR(IF(INDEX('Paramètres'!$O$6:$O$17,MATCH(F1068,'Paramètres'!$M$6:$M$17,0))="Oui",1,0),0))</f>
        <v/>
      </c>
      <c r="AW1068" s="62">
        <f>IF(E1068="","",IF(G1068&lt;&gt;"",G1068,IF(OR(E1068="Proposition envoyée",E1068="Signature"),MAX(0,N(IFERROR(INDEX('Paramètres'!$R$6:$R$15,MATCH(IF(AL1068&lt;&gt;"",AL1068,IFERROR(INDEX('Prospects'!$AN$5:$AN$504,MATCH(C1068,'Prospects'!$C$5:$C$504,0)),"")),'Paramètres'!$Q$6:$Q$15,0)),0))-N(P1068)),0)))</f>
        <v/>
      </c>
      <c r="AX1068" s="61">
        <f>IF(C1068="","",IF(COUNTIF($C$5:C1068,C1068)=1,MAX($AX$4:AX1067)+1,""))</f>
        <v/>
      </c>
      <c r="AY1068" s="61">
        <f>IF(B1068="","",HOUR(B1068))</f>
        <v/>
      </c>
      <c r="AZ1068" s="61">
        <f>IF(A1068="","",MOD(A1068-2,7)+1)</f>
        <v/>
      </c>
      <c r="BA1068" s="60">
        <f>IF(C1068="","",IFERROR(INDEX('Prospects'!$N$5:$N$504,MATCH(C1068,'Prospects'!$C$5:$C$504,0)),""))</f>
        <v/>
      </c>
      <c r="BB1068" s="61">
        <f>IF(AND(C1068&lt;&gt;"",C1068='Fiche prospect'!$C$4),COUNTIF($C$5:C1068,C1068),"")</f>
        <v/>
      </c>
    </row>
    <row r="1069">
      <c r="A1069" s="53" t="n"/>
      <c r="B1069" s="54" t="n"/>
      <c r="C1069" s="55" t="n"/>
      <c r="D1069" s="55" t="n"/>
      <c r="E1069" s="55" t="n"/>
      <c r="F1069" s="55" t="n"/>
      <c r="G1069" s="56" t="n"/>
      <c r="H1069" s="57" t="n"/>
      <c r="I1069" s="55" t="n"/>
      <c r="J1069" s="53" t="n"/>
      <c r="K1069" s="54" t="n"/>
      <c r="L1069" s="55" t="n"/>
      <c r="M1069" s="55" t="n"/>
      <c r="N1069" s="57" t="n"/>
      <c r="O1069" s="55" t="n"/>
      <c r="P1069" s="56" t="n"/>
      <c r="Q1069" s="55" t="n"/>
      <c r="R1069" s="55" t="n"/>
      <c r="S1069" s="55" t="n"/>
      <c r="T1069" s="55" t="n"/>
      <c r="U1069" s="55" t="n"/>
      <c r="V1069" s="55" t="n"/>
      <c r="W1069" s="58" t="n"/>
      <c r="X1069" s="58" t="n"/>
      <c r="Y1069" s="55" t="n"/>
      <c r="Z1069" s="55" t="n"/>
      <c r="AA1069" s="55" t="n"/>
      <c r="AB1069" s="55" t="n"/>
      <c r="AC1069" s="55" t="n"/>
      <c r="AD1069" s="53" t="n"/>
      <c r="AE1069" s="55" t="n"/>
      <c r="AF1069" s="55" t="n"/>
      <c r="AG1069" s="59" t="n"/>
      <c r="AH1069" s="57" t="n"/>
      <c r="AI1069" s="55" t="n"/>
      <c r="AJ1069" s="55" t="n"/>
      <c r="AK1069" s="55" t="n"/>
      <c r="AL1069" s="55" t="n"/>
      <c r="AM1069" s="56" t="n"/>
      <c r="AN1069" s="55" t="n"/>
      <c r="AO1069" s="55" t="n"/>
      <c r="AP1069" s="55" t="n"/>
      <c r="AQ1069" s="55" t="n"/>
      <c r="AR1069" s="60">
        <f>IF(AND(C1069="",E1069=""),"",IF(A1069="","⚠ Date manquante",IF(AND(C1069="",E1069&lt;&gt;"Dépense"),"⚠ Prospect manquant",IF(E1069="","⚠ Action manquante",IF(AND(AU1069=1,D1069=""),"⚠ Canal manquant",IF(AND(W1069&lt;&gt;"",COUNTIFS('Saisie'!$W$5:$W$2004,W1069,'Saisie'!$C$5:$C$2004,"&lt;&gt;"&amp;C1069)&gt;0),"⚠ Numéro déjà utilisé par un autre prospect",IF(AND(J1069&lt;&gt;"",J1069&lt;A1069),"⚠ Relance avant la date de l'action",IF(A1069&gt;TODAY(),"⚠ Date dans le futur","✓"))))))))</f>
        <v/>
      </c>
      <c r="AS1069" s="61">
        <f>IF(AND(A1069="",C1069="",E1069=""),"",ROW())</f>
        <v/>
      </c>
      <c r="AT1069" s="61">
        <f>IF(E1069&amp;F1069="","",MAX(IFERROR(INDEX('Paramètres'!$J$6:$J$33,MATCH(E1069,'Paramètres'!$I$6:$I$33,0)),0),IFERROR(INDEX('Paramètres'!$N$6:$N$17,MATCH(F1069,'Paramètres'!$M$6:$M$17,0)),0)))</f>
        <v/>
      </c>
      <c r="AU1069" s="61">
        <f>IF(E1069="","",IFERROR(IF(INDEX('Paramètres'!$K$6:$K$33,MATCH(E1069,'Paramètres'!$I$6:$I$33,0))="Oui",1,0),0))</f>
        <v/>
      </c>
      <c r="AV1069" s="61">
        <f>IF(F1069="","",IFERROR(IF(INDEX('Paramètres'!$O$6:$O$17,MATCH(F1069,'Paramètres'!$M$6:$M$17,0))="Oui",1,0),0))</f>
        <v/>
      </c>
      <c r="AW1069" s="62">
        <f>IF(E1069="","",IF(G1069&lt;&gt;"",G1069,IF(OR(E1069="Proposition envoyée",E1069="Signature"),MAX(0,N(IFERROR(INDEX('Paramètres'!$R$6:$R$15,MATCH(IF(AL1069&lt;&gt;"",AL1069,IFERROR(INDEX('Prospects'!$AN$5:$AN$504,MATCH(C1069,'Prospects'!$C$5:$C$504,0)),"")),'Paramètres'!$Q$6:$Q$15,0)),0))-N(P1069)),0)))</f>
        <v/>
      </c>
      <c r="AX1069" s="61">
        <f>IF(C1069="","",IF(COUNTIF($C$5:C1069,C1069)=1,MAX($AX$4:AX1068)+1,""))</f>
        <v/>
      </c>
      <c r="AY1069" s="61">
        <f>IF(B1069="","",HOUR(B1069))</f>
        <v/>
      </c>
      <c r="AZ1069" s="61">
        <f>IF(A1069="","",MOD(A1069-2,7)+1)</f>
        <v/>
      </c>
      <c r="BA1069" s="60">
        <f>IF(C1069="","",IFERROR(INDEX('Prospects'!$N$5:$N$504,MATCH(C1069,'Prospects'!$C$5:$C$504,0)),""))</f>
        <v/>
      </c>
      <c r="BB1069" s="61">
        <f>IF(AND(C1069&lt;&gt;"",C1069='Fiche prospect'!$C$4),COUNTIF($C$5:C1069,C1069),"")</f>
        <v/>
      </c>
    </row>
    <row r="1070">
      <c r="A1070" s="53" t="n"/>
      <c r="B1070" s="54" t="n"/>
      <c r="C1070" s="55" t="n"/>
      <c r="D1070" s="55" t="n"/>
      <c r="E1070" s="55" t="n"/>
      <c r="F1070" s="55" t="n"/>
      <c r="G1070" s="56" t="n"/>
      <c r="H1070" s="57" t="n"/>
      <c r="I1070" s="55" t="n"/>
      <c r="J1070" s="53" t="n"/>
      <c r="K1070" s="54" t="n"/>
      <c r="L1070" s="55" t="n"/>
      <c r="M1070" s="55" t="n"/>
      <c r="N1070" s="57" t="n"/>
      <c r="O1070" s="55" t="n"/>
      <c r="P1070" s="56" t="n"/>
      <c r="Q1070" s="55" t="n"/>
      <c r="R1070" s="55" t="n"/>
      <c r="S1070" s="55" t="n"/>
      <c r="T1070" s="55" t="n"/>
      <c r="U1070" s="55" t="n"/>
      <c r="V1070" s="55" t="n"/>
      <c r="W1070" s="58" t="n"/>
      <c r="X1070" s="58" t="n"/>
      <c r="Y1070" s="55" t="n"/>
      <c r="Z1070" s="55" t="n"/>
      <c r="AA1070" s="55" t="n"/>
      <c r="AB1070" s="55" t="n"/>
      <c r="AC1070" s="55" t="n"/>
      <c r="AD1070" s="53" t="n"/>
      <c r="AE1070" s="55" t="n"/>
      <c r="AF1070" s="55" t="n"/>
      <c r="AG1070" s="59" t="n"/>
      <c r="AH1070" s="57" t="n"/>
      <c r="AI1070" s="55" t="n"/>
      <c r="AJ1070" s="55" t="n"/>
      <c r="AK1070" s="55" t="n"/>
      <c r="AL1070" s="55" t="n"/>
      <c r="AM1070" s="56" t="n"/>
      <c r="AN1070" s="55" t="n"/>
      <c r="AO1070" s="55" t="n"/>
      <c r="AP1070" s="55" t="n"/>
      <c r="AQ1070" s="55" t="n"/>
      <c r="AR1070" s="60">
        <f>IF(AND(C1070="",E1070=""),"",IF(A1070="","⚠ Date manquante",IF(AND(C1070="",E1070&lt;&gt;"Dépense"),"⚠ Prospect manquant",IF(E1070="","⚠ Action manquante",IF(AND(AU1070=1,D1070=""),"⚠ Canal manquant",IF(AND(W1070&lt;&gt;"",COUNTIFS('Saisie'!$W$5:$W$2004,W1070,'Saisie'!$C$5:$C$2004,"&lt;&gt;"&amp;C1070)&gt;0),"⚠ Numéro déjà utilisé par un autre prospect",IF(AND(J1070&lt;&gt;"",J1070&lt;A1070),"⚠ Relance avant la date de l'action",IF(A1070&gt;TODAY(),"⚠ Date dans le futur","✓"))))))))</f>
        <v/>
      </c>
      <c r="AS1070" s="61">
        <f>IF(AND(A1070="",C1070="",E1070=""),"",ROW())</f>
        <v/>
      </c>
      <c r="AT1070" s="61">
        <f>IF(E1070&amp;F1070="","",MAX(IFERROR(INDEX('Paramètres'!$J$6:$J$33,MATCH(E1070,'Paramètres'!$I$6:$I$33,0)),0),IFERROR(INDEX('Paramètres'!$N$6:$N$17,MATCH(F1070,'Paramètres'!$M$6:$M$17,0)),0)))</f>
        <v/>
      </c>
      <c r="AU1070" s="61">
        <f>IF(E1070="","",IFERROR(IF(INDEX('Paramètres'!$K$6:$K$33,MATCH(E1070,'Paramètres'!$I$6:$I$33,0))="Oui",1,0),0))</f>
        <v/>
      </c>
      <c r="AV1070" s="61">
        <f>IF(F1070="","",IFERROR(IF(INDEX('Paramètres'!$O$6:$O$17,MATCH(F1070,'Paramètres'!$M$6:$M$17,0))="Oui",1,0),0))</f>
        <v/>
      </c>
      <c r="AW1070" s="62">
        <f>IF(E1070="","",IF(G1070&lt;&gt;"",G1070,IF(OR(E1070="Proposition envoyée",E1070="Signature"),MAX(0,N(IFERROR(INDEX('Paramètres'!$R$6:$R$15,MATCH(IF(AL1070&lt;&gt;"",AL1070,IFERROR(INDEX('Prospects'!$AN$5:$AN$504,MATCH(C1070,'Prospects'!$C$5:$C$504,0)),"")),'Paramètres'!$Q$6:$Q$15,0)),0))-N(P1070)),0)))</f>
        <v/>
      </c>
      <c r="AX1070" s="61">
        <f>IF(C1070="","",IF(COUNTIF($C$5:C1070,C1070)=1,MAX($AX$4:AX1069)+1,""))</f>
        <v/>
      </c>
      <c r="AY1070" s="61">
        <f>IF(B1070="","",HOUR(B1070))</f>
        <v/>
      </c>
      <c r="AZ1070" s="61">
        <f>IF(A1070="","",MOD(A1070-2,7)+1)</f>
        <v/>
      </c>
      <c r="BA1070" s="60">
        <f>IF(C1070="","",IFERROR(INDEX('Prospects'!$N$5:$N$504,MATCH(C1070,'Prospects'!$C$5:$C$504,0)),""))</f>
        <v/>
      </c>
      <c r="BB1070" s="61">
        <f>IF(AND(C1070&lt;&gt;"",C1070='Fiche prospect'!$C$4),COUNTIF($C$5:C1070,C1070),"")</f>
        <v/>
      </c>
    </row>
    <row r="1071">
      <c r="A1071" s="53" t="n"/>
      <c r="B1071" s="54" t="n"/>
      <c r="C1071" s="55" t="n"/>
      <c r="D1071" s="55" t="n"/>
      <c r="E1071" s="55" t="n"/>
      <c r="F1071" s="55" t="n"/>
      <c r="G1071" s="56" t="n"/>
      <c r="H1071" s="57" t="n"/>
      <c r="I1071" s="55" t="n"/>
      <c r="J1071" s="53" t="n"/>
      <c r="K1071" s="54" t="n"/>
      <c r="L1071" s="55" t="n"/>
      <c r="M1071" s="55" t="n"/>
      <c r="N1071" s="57" t="n"/>
      <c r="O1071" s="55" t="n"/>
      <c r="P1071" s="56" t="n"/>
      <c r="Q1071" s="55" t="n"/>
      <c r="R1071" s="55" t="n"/>
      <c r="S1071" s="55" t="n"/>
      <c r="T1071" s="55" t="n"/>
      <c r="U1071" s="55" t="n"/>
      <c r="V1071" s="55" t="n"/>
      <c r="W1071" s="58" t="n"/>
      <c r="X1071" s="58" t="n"/>
      <c r="Y1071" s="55" t="n"/>
      <c r="Z1071" s="55" t="n"/>
      <c r="AA1071" s="55" t="n"/>
      <c r="AB1071" s="55" t="n"/>
      <c r="AC1071" s="55" t="n"/>
      <c r="AD1071" s="53" t="n"/>
      <c r="AE1071" s="55" t="n"/>
      <c r="AF1071" s="55" t="n"/>
      <c r="AG1071" s="59" t="n"/>
      <c r="AH1071" s="57" t="n"/>
      <c r="AI1071" s="55" t="n"/>
      <c r="AJ1071" s="55" t="n"/>
      <c r="AK1071" s="55" t="n"/>
      <c r="AL1071" s="55" t="n"/>
      <c r="AM1071" s="56" t="n"/>
      <c r="AN1071" s="55" t="n"/>
      <c r="AO1071" s="55" t="n"/>
      <c r="AP1071" s="55" t="n"/>
      <c r="AQ1071" s="55" t="n"/>
      <c r="AR1071" s="60">
        <f>IF(AND(C1071="",E1071=""),"",IF(A1071="","⚠ Date manquante",IF(AND(C1071="",E1071&lt;&gt;"Dépense"),"⚠ Prospect manquant",IF(E1071="","⚠ Action manquante",IF(AND(AU1071=1,D1071=""),"⚠ Canal manquant",IF(AND(W1071&lt;&gt;"",COUNTIFS('Saisie'!$W$5:$W$2004,W1071,'Saisie'!$C$5:$C$2004,"&lt;&gt;"&amp;C1071)&gt;0),"⚠ Numéro déjà utilisé par un autre prospect",IF(AND(J1071&lt;&gt;"",J1071&lt;A1071),"⚠ Relance avant la date de l'action",IF(A1071&gt;TODAY(),"⚠ Date dans le futur","✓"))))))))</f>
        <v/>
      </c>
      <c r="AS1071" s="61">
        <f>IF(AND(A1071="",C1071="",E1071=""),"",ROW())</f>
        <v/>
      </c>
      <c r="AT1071" s="61">
        <f>IF(E1071&amp;F1071="","",MAX(IFERROR(INDEX('Paramètres'!$J$6:$J$33,MATCH(E1071,'Paramètres'!$I$6:$I$33,0)),0),IFERROR(INDEX('Paramètres'!$N$6:$N$17,MATCH(F1071,'Paramètres'!$M$6:$M$17,0)),0)))</f>
        <v/>
      </c>
      <c r="AU1071" s="61">
        <f>IF(E1071="","",IFERROR(IF(INDEX('Paramètres'!$K$6:$K$33,MATCH(E1071,'Paramètres'!$I$6:$I$33,0))="Oui",1,0),0))</f>
        <v/>
      </c>
      <c r="AV1071" s="61">
        <f>IF(F1071="","",IFERROR(IF(INDEX('Paramètres'!$O$6:$O$17,MATCH(F1071,'Paramètres'!$M$6:$M$17,0))="Oui",1,0),0))</f>
        <v/>
      </c>
      <c r="AW1071" s="62">
        <f>IF(E1071="","",IF(G1071&lt;&gt;"",G1071,IF(OR(E1071="Proposition envoyée",E1071="Signature"),MAX(0,N(IFERROR(INDEX('Paramètres'!$R$6:$R$15,MATCH(IF(AL1071&lt;&gt;"",AL1071,IFERROR(INDEX('Prospects'!$AN$5:$AN$504,MATCH(C1071,'Prospects'!$C$5:$C$504,0)),"")),'Paramètres'!$Q$6:$Q$15,0)),0))-N(P1071)),0)))</f>
        <v/>
      </c>
      <c r="AX1071" s="61">
        <f>IF(C1071="","",IF(COUNTIF($C$5:C1071,C1071)=1,MAX($AX$4:AX1070)+1,""))</f>
        <v/>
      </c>
      <c r="AY1071" s="61">
        <f>IF(B1071="","",HOUR(B1071))</f>
        <v/>
      </c>
      <c r="AZ1071" s="61">
        <f>IF(A1071="","",MOD(A1071-2,7)+1)</f>
        <v/>
      </c>
      <c r="BA1071" s="60">
        <f>IF(C1071="","",IFERROR(INDEX('Prospects'!$N$5:$N$504,MATCH(C1071,'Prospects'!$C$5:$C$504,0)),""))</f>
        <v/>
      </c>
      <c r="BB1071" s="61">
        <f>IF(AND(C1071&lt;&gt;"",C1071='Fiche prospect'!$C$4),COUNTIF($C$5:C1071,C1071),"")</f>
        <v/>
      </c>
    </row>
    <row r="1072">
      <c r="A1072" s="53" t="n"/>
      <c r="B1072" s="54" t="n"/>
      <c r="C1072" s="55" t="n"/>
      <c r="D1072" s="55" t="n"/>
      <c r="E1072" s="55" t="n"/>
      <c r="F1072" s="55" t="n"/>
      <c r="G1072" s="56" t="n"/>
      <c r="H1072" s="57" t="n"/>
      <c r="I1072" s="55" t="n"/>
      <c r="J1072" s="53" t="n"/>
      <c r="K1072" s="54" t="n"/>
      <c r="L1072" s="55" t="n"/>
      <c r="M1072" s="55" t="n"/>
      <c r="N1072" s="57" t="n"/>
      <c r="O1072" s="55" t="n"/>
      <c r="P1072" s="56" t="n"/>
      <c r="Q1072" s="55" t="n"/>
      <c r="R1072" s="55" t="n"/>
      <c r="S1072" s="55" t="n"/>
      <c r="T1072" s="55" t="n"/>
      <c r="U1072" s="55" t="n"/>
      <c r="V1072" s="55" t="n"/>
      <c r="W1072" s="58" t="n"/>
      <c r="X1072" s="58" t="n"/>
      <c r="Y1072" s="55" t="n"/>
      <c r="Z1072" s="55" t="n"/>
      <c r="AA1072" s="55" t="n"/>
      <c r="AB1072" s="55" t="n"/>
      <c r="AC1072" s="55" t="n"/>
      <c r="AD1072" s="53" t="n"/>
      <c r="AE1072" s="55" t="n"/>
      <c r="AF1072" s="55" t="n"/>
      <c r="AG1072" s="59" t="n"/>
      <c r="AH1072" s="57" t="n"/>
      <c r="AI1072" s="55" t="n"/>
      <c r="AJ1072" s="55" t="n"/>
      <c r="AK1072" s="55" t="n"/>
      <c r="AL1072" s="55" t="n"/>
      <c r="AM1072" s="56" t="n"/>
      <c r="AN1072" s="55" t="n"/>
      <c r="AO1072" s="55" t="n"/>
      <c r="AP1072" s="55" t="n"/>
      <c r="AQ1072" s="55" t="n"/>
      <c r="AR1072" s="60">
        <f>IF(AND(C1072="",E1072=""),"",IF(A1072="","⚠ Date manquante",IF(AND(C1072="",E1072&lt;&gt;"Dépense"),"⚠ Prospect manquant",IF(E1072="","⚠ Action manquante",IF(AND(AU1072=1,D1072=""),"⚠ Canal manquant",IF(AND(W1072&lt;&gt;"",COUNTIFS('Saisie'!$W$5:$W$2004,W1072,'Saisie'!$C$5:$C$2004,"&lt;&gt;"&amp;C1072)&gt;0),"⚠ Numéro déjà utilisé par un autre prospect",IF(AND(J1072&lt;&gt;"",J1072&lt;A1072),"⚠ Relance avant la date de l'action",IF(A1072&gt;TODAY(),"⚠ Date dans le futur","✓"))))))))</f>
        <v/>
      </c>
      <c r="AS1072" s="61">
        <f>IF(AND(A1072="",C1072="",E1072=""),"",ROW())</f>
        <v/>
      </c>
      <c r="AT1072" s="61">
        <f>IF(E1072&amp;F1072="","",MAX(IFERROR(INDEX('Paramètres'!$J$6:$J$33,MATCH(E1072,'Paramètres'!$I$6:$I$33,0)),0),IFERROR(INDEX('Paramètres'!$N$6:$N$17,MATCH(F1072,'Paramètres'!$M$6:$M$17,0)),0)))</f>
        <v/>
      </c>
      <c r="AU1072" s="61">
        <f>IF(E1072="","",IFERROR(IF(INDEX('Paramètres'!$K$6:$K$33,MATCH(E1072,'Paramètres'!$I$6:$I$33,0))="Oui",1,0),0))</f>
        <v/>
      </c>
      <c r="AV1072" s="61">
        <f>IF(F1072="","",IFERROR(IF(INDEX('Paramètres'!$O$6:$O$17,MATCH(F1072,'Paramètres'!$M$6:$M$17,0))="Oui",1,0),0))</f>
        <v/>
      </c>
      <c r="AW1072" s="62">
        <f>IF(E1072="","",IF(G1072&lt;&gt;"",G1072,IF(OR(E1072="Proposition envoyée",E1072="Signature"),MAX(0,N(IFERROR(INDEX('Paramètres'!$R$6:$R$15,MATCH(IF(AL1072&lt;&gt;"",AL1072,IFERROR(INDEX('Prospects'!$AN$5:$AN$504,MATCH(C1072,'Prospects'!$C$5:$C$504,0)),"")),'Paramètres'!$Q$6:$Q$15,0)),0))-N(P1072)),0)))</f>
        <v/>
      </c>
      <c r="AX1072" s="61">
        <f>IF(C1072="","",IF(COUNTIF($C$5:C1072,C1072)=1,MAX($AX$4:AX1071)+1,""))</f>
        <v/>
      </c>
      <c r="AY1072" s="61">
        <f>IF(B1072="","",HOUR(B1072))</f>
        <v/>
      </c>
      <c r="AZ1072" s="61">
        <f>IF(A1072="","",MOD(A1072-2,7)+1)</f>
        <v/>
      </c>
      <c r="BA1072" s="60">
        <f>IF(C1072="","",IFERROR(INDEX('Prospects'!$N$5:$N$504,MATCH(C1072,'Prospects'!$C$5:$C$504,0)),""))</f>
        <v/>
      </c>
      <c r="BB1072" s="61">
        <f>IF(AND(C1072&lt;&gt;"",C1072='Fiche prospect'!$C$4),COUNTIF($C$5:C1072,C1072),"")</f>
        <v/>
      </c>
    </row>
    <row r="1073">
      <c r="A1073" s="53" t="n"/>
      <c r="B1073" s="54" t="n"/>
      <c r="C1073" s="55" t="n"/>
      <c r="D1073" s="55" t="n"/>
      <c r="E1073" s="55" t="n"/>
      <c r="F1073" s="55" t="n"/>
      <c r="G1073" s="56" t="n"/>
      <c r="H1073" s="57" t="n"/>
      <c r="I1073" s="55" t="n"/>
      <c r="J1073" s="53" t="n"/>
      <c r="K1073" s="54" t="n"/>
      <c r="L1073" s="55" t="n"/>
      <c r="M1073" s="55" t="n"/>
      <c r="N1073" s="57" t="n"/>
      <c r="O1073" s="55" t="n"/>
      <c r="P1073" s="56" t="n"/>
      <c r="Q1073" s="55" t="n"/>
      <c r="R1073" s="55" t="n"/>
      <c r="S1073" s="55" t="n"/>
      <c r="T1073" s="55" t="n"/>
      <c r="U1073" s="55" t="n"/>
      <c r="V1073" s="55" t="n"/>
      <c r="W1073" s="58" t="n"/>
      <c r="X1073" s="58" t="n"/>
      <c r="Y1073" s="55" t="n"/>
      <c r="Z1073" s="55" t="n"/>
      <c r="AA1073" s="55" t="n"/>
      <c r="AB1073" s="55" t="n"/>
      <c r="AC1073" s="55" t="n"/>
      <c r="AD1073" s="53" t="n"/>
      <c r="AE1073" s="55" t="n"/>
      <c r="AF1073" s="55" t="n"/>
      <c r="AG1073" s="59" t="n"/>
      <c r="AH1073" s="57" t="n"/>
      <c r="AI1073" s="55" t="n"/>
      <c r="AJ1073" s="55" t="n"/>
      <c r="AK1073" s="55" t="n"/>
      <c r="AL1073" s="55" t="n"/>
      <c r="AM1073" s="56" t="n"/>
      <c r="AN1073" s="55" t="n"/>
      <c r="AO1073" s="55" t="n"/>
      <c r="AP1073" s="55" t="n"/>
      <c r="AQ1073" s="55" t="n"/>
      <c r="AR1073" s="60">
        <f>IF(AND(C1073="",E1073=""),"",IF(A1073="","⚠ Date manquante",IF(AND(C1073="",E1073&lt;&gt;"Dépense"),"⚠ Prospect manquant",IF(E1073="","⚠ Action manquante",IF(AND(AU1073=1,D1073=""),"⚠ Canal manquant",IF(AND(W1073&lt;&gt;"",COUNTIFS('Saisie'!$W$5:$W$2004,W1073,'Saisie'!$C$5:$C$2004,"&lt;&gt;"&amp;C1073)&gt;0),"⚠ Numéro déjà utilisé par un autre prospect",IF(AND(J1073&lt;&gt;"",J1073&lt;A1073),"⚠ Relance avant la date de l'action",IF(A1073&gt;TODAY(),"⚠ Date dans le futur","✓"))))))))</f>
        <v/>
      </c>
      <c r="AS1073" s="61">
        <f>IF(AND(A1073="",C1073="",E1073=""),"",ROW())</f>
        <v/>
      </c>
      <c r="AT1073" s="61">
        <f>IF(E1073&amp;F1073="","",MAX(IFERROR(INDEX('Paramètres'!$J$6:$J$33,MATCH(E1073,'Paramètres'!$I$6:$I$33,0)),0),IFERROR(INDEX('Paramètres'!$N$6:$N$17,MATCH(F1073,'Paramètres'!$M$6:$M$17,0)),0)))</f>
        <v/>
      </c>
      <c r="AU1073" s="61">
        <f>IF(E1073="","",IFERROR(IF(INDEX('Paramètres'!$K$6:$K$33,MATCH(E1073,'Paramètres'!$I$6:$I$33,0))="Oui",1,0),0))</f>
        <v/>
      </c>
      <c r="AV1073" s="61">
        <f>IF(F1073="","",IFERROR(IF(INDEX('Paramètres'!$O$6:$O$17,MATCH(F1073,'Paramètres'!$M$6:$M$17,0))="Oui",1,0),0))</f>
        <v/>
      </c>
      <c r="AW1073" s="62">
        <f>IF(E1073="","",IF(G1073&lt;&gt;"",G1073,IF(OR(E1073="Proposition envoyée",E1073="Signature"),MAX(0,N(IFERROR(INDEX('Paramètres'!$R$6:$R$15,MATCH(IF(AL1073&lt;&gt;"",AL1073,IFERROR(INDEX('Prospects'!$AN$5:$AN$504,MATCH(C1073,'Prospects'!$C$5:$C$504,0)),"")),'Paramètres'!$Q$6:$Q$15,0)),0))-N(P1073)),0)))</f>
        <v/>
      </c>
      <c r="AX1073" s="61">
        <f>IF(C1073="","",IF(COUNTIF($C$5:C1073,C1073)=1,MAX($AX$4:AX1072)+1,""))</f>
        <v/>
      </c>
      <c r="AY1073" s="61">
        <f>IF(B1073="","",HOUR(B1073))</f>
        <v/>
      </c>
      <c r="AZ1073" s="61">
        <f>IF(A1073="","",MOD(A1073-2,7)+1)</f>
        <v/>
      </c>
      <c r="BA1073" s="60">
        <f>IF(C1073="","",IFERROR(INDEX('Prospects'!$N$5:$N$504,MATCH(C1073,'Prospects'!$C$5:$C$504,0)),""))</f>
        <v/>
      </c>
      <c r="BB1073" s="61">
        <f>IF(AND(C1073&lt;&gt;"",C1073='Fiche prospect'!$C$4),COUNTIF($C$5:C1073,C1073),"")</f>
        <v/>
      </c>
    </row>
    <row r="1074">
      <c r="A1074" s="53" t="n"/>
      <c r="B1074" s="54" t="n"/>
      <c r="C1074" s="55" t="n"/>
      <c r="D1074" s="55" t="n"/>
      <c r="E1074" s="55" t="n"/>
      <c r="F1074" s="55" t="n"/>
      <c r="G1074" s="56" t="n"/>
      <c r="H1074" s="57" t="n"/>
      <c r="I1074" s="55" t="n"/>
      <c r="J1074" s="53" t="n"/>
      <c r="K1074" s="54" t="n"/>
      <c r="L1074" s="55" t="n"/>
      <c r="M1074" s="55" t="n"/>
      <c r="N1074" s="57" t="n"/>
      <c r="O1074" s="55" t="n"/>
      <c r="P1074" s="56" t="n"/>
      <c r="Q1074" s="55" t="n"/>
      <c r="R1074" s="55" t="n"/>
      <c r="S1074" s="55" t="n"/>
      <c r="T1074" s="55" t="n"/>
      <c r="U1074" s="55" t="n"/>
      <c r="V1074" s="55" t="n"/>
      <c r="W1074" s="58" t="n"/>
      <c r="X1074" s="58" t="n"/>
      <c r="Y1074" s="55" t="n"/>
      <c r="Z1074" s="55" t="n"/>
      <c r="AA1074" s="55" t="n"/>
      <c r="AB1074" s="55" t="n"/>
      <c r="AC1074" s="55" t="n"/>
      <c r="AD1074" s="53" t="n"/>
      <c r="AE1074" s="55" t="n"/>
      <c r="AF1074" s="55" t="n"/>
      <c r="AG1074" s="59" t="n"/>
      <c r="AH1074" s="57" t="n"/>
      <c r="AI1074" s="55" t="n"/>
      <c r="AJ1074" s="55" t="n"/>
      <c r="AK1074" s="55" t="n"/>
      <c r="AL1074" s="55" t="n"/>
      <c r="AM1074" s="56" t="n"/>
      <c r="AN1074" s="55" t="n"/>
      <c r="AO1074" s="55" t="n"/>
      <c r="AP1074" s="55" t="n"/>
      <c r="AQ1074" s="55" t="n"/>
      <c r="AR1074" s="60">
        <f>IF(AND(C1074="",E1074=""),"",IF(A1074="","⚠ Date manquante",IF(AND(C1074="",E1074&lt;&gt;"Dépense"),"⚠ Prospect manquant",IF(E1074="","⚠ Action manquante",IF(AND(AU1074=1,D1074=""),"⚠ Canal manquant",IF(AND(W1074&lt;&gt;"",COUNTIFS('Saisie'!$W$5:$W$2004,W1074,'Saisie'!$C$5:$C$2004,"&lt;&gt;"&amp;C1074)&gt;0),"⚠ Numéro déjà utilisé par un autre prospect",IF(AND(J1074&lt;&gt;"",J1074&lt;A1074),"⚠ Relance avant la date de l'action",IF(A1074&gt;TODAY(),"⚠ Date dans le futur","✓"))))))))</f>
        <v/>
      </c>
      <c r="AS1074" s="61">
        <f>IF(AND(A1074="",C1074="",E1074=""),"",ROW())</f>
        <v/>
      </c>
      <c r="AT1074" s="61">
        <f>IF(E1074&amp;F1074="","",MAX(IFERROR(INDEX('Paramètres'!$J$6:$J$33,MATCH(E1074,'Paramètres'!$I$6:$I$33,0)),0),IFERROR(INDEX('Paramètres'!$N$6:$N$17,MATCH(F1074,'Paramètres'!$M$6:$M$17,0)),0)))</f>
        <v/>
      </c>
      <c r="AU1074" s="61">
        <f>IF(E1074="","",IFERROR(IF(INDEX('Paramètres'!$K$6:$K$33,MATCH(E1074,'Paramètres'!$I$6:$I$33,0))="Oui",1,0),0))</f>
        <v/>
      </c>
      <c r="AV1074" s="61">
        <f>IF(F1074="","",IFERROR(IF(INDEX('Paramètres'!$O$6:$O$17,MATCH(F1074,'Paramètres'!$M$6:$M$17,0))="Oui",1,0),0))</f>
        <v/>
      </c>
      <c r="AW1074" s="62">
        <f>IF(E1074="","",IF(G1074&lt;&gt;"",G1074,IF(OR(E1074="Proposition envoyée",E1074="Signature"),MAX(0,N(IFERROR(INDEX('Paramètres'!$R$6:$R$15,MATCH(IF(AL1074&lt;&gt;"",AL1074,IFERROR(INDEX('Prospects'!$AN$5:$AN$504,MATCH(C1074,'Prospects'!$C$5:$C$504,0)),"")),'Paramètres'!$Q$6:$Q$15,0)),0))-N(P1074)),0)))</f>
        <v/>
      </c>
      <c r="AX1074" s="61">
        <f>IF(C1074="","",IF(COUNTIF($C$5:C1074,C1074)=1,MAX($AX$4:AX1073)+1,""))</f>
        <v/>
      </c>
      <c r="AY1074" s="61">
        <f>IF(B1074="","",HOUR(B1074))</f>
        <v/>
      </c>
      <c r="AZ1074" s="61">
        <f>IF(A1074="","",MOD(A1074-2,7)+1)</f>
        <v/>
      </c>
      <c r="BA1074" s="60">
        <f>IF(C1074="","",IFERROR(INDEX('Prospects'!$N$5:$N$504,MATCH(C1074,'Prospects'!$C$5:$C$504,0)),""))</f>
        <v/>
      </c>
      <c r="BB1074" s="61">
        <f>IF(AND(C1074&lt;&gt;"",C1074='Fiche prospect'!$C$4),COUNTIF($C$5:C1074,C1074),"")</f>
        <v/>
      </c>
    </row>
    <row r="1075">
      <c r="A1075" s="53" t="n"/>
      <c r="B1075" s="54" t="n"/>
      <c r="C1075" s="55" t="n"/>
      <c r="D1075" s="55" t="n"/>
      <c r="E1075" s="55" t="n"/>
      <c r="F1075" s="55" t="n"/>
      <c r="G1075" s="56" t="n"/>
      <c r="H1075" s="57" t="n"/>
      <c r="I1075" s="55" t="n"/>
      <c r="J1075" s="53" t="n"/>
      <c r="K1075" s="54" t="n"/>
      <c r="L1075" s="55" t="n"/>
      <c r="M1075" s="55" t="n"/>
      <c r="N1075" s="57" t="n"/>
      <c r="O1075" s="55" t="n"/>
      <c r="P1075" s="56" t="n"/>
      <c r="Q1075" s="55" t="n"/>
      <c r="R1075" s="55" t="n"/>
      <c r="S1075" s="55" t="n"/>
      <c r="T1075" s="55" t="n"/>
      <c r="U1075" s="55" t="n"/>
      <c r="V1075" s="55" t="n"/>
      <c r="W1075" s="58" t="n"/>
      <c r="X1075" s="58" t="n"/>
      <c r="Y1075" s="55" t="n"/>
      <c r="Z1075" s="55" t="n"/>
      <c r="AA1075" s="55" t="n"/>
      <c r="AB1075" s="55" t="n"/>
      <c r="AC1075" s="55" t="n"/>
      <c r="AD1075" s="53" t="n"/>
      <c r="AE1075" s="55" t="n"/>
      <c r="AF1075" s="55" t="n"/>
      <c r="AG1075" s="59" t="n"/>
      <c r="AH1075" s="57" t="n"/>
      <c r="AI1075" s="55" t="n"/>
      <c r="AJ1075" s="55" t="n"/>
      <c r="AK1075" s="55" t="n"/>
      <c r="AL1075" s="55" t="n"/>
      <c r="AM1075" s="56" t="n"/>
      <c r="AN1075" s="55" t="n"/>
      <c r="AO1075" s="55" t="n"/>
      <c r="AP1075" s="55" t="n"/>
      <c r="AQ1075" s="55" t="n"/>
      <c r="AR1075" s="60">
        <f>IF(AND(C1075="",E1075=""),"",IF(A1075="","⚠ Date manquante",IF(AND(C1075="",E1075&lt;&gt;"Dépense"),"⚠ Prospect manquant",IF(E1075="","⚠ Action manquante",IF(AND(AU1075=1,D1075=""),"⚠ Canal manquant",IF(AND(W1075&lt;&gt;"",COUNTIFS('Saisie'!$W$5:$W$2004,W1075,'Saisie'!$C$5:$C$2004,"&lt;&gt;"&amp;C1075)&gt;0),"⚠ Numéro déjà utilisé par un autre prospect",IF(AND(J1075&lt;&gt;"",J1075&lt;A1075),"⚠ Relance avant la date de l'action",IF(A1075&gt;TODAY(),"⚠ Date dans le futur","✓"))))))))</f>
        <v/>
      </c>
      <c r="AS1075" s="61">
        <f>IF(AND(A1075="",C1075="",E1075=""),"",ROW())</f>
        <v/>
      </c>
      <c r="AT1075" s="61">
        <f>IF(E1075&amp;F1075="","",MAX(IFERROR(INDEX('Paramètres'!$J$6:$J$33,MATCH(E1075,'Paramètres'!$I$6:$I$33,0)),0),IFERROR(INDEX('Paramètres'!$N$6:$N$17,MATCH(F1075,'Paramètres'!$M$6:$M$17,0)),0)))</f>
        <v/>
      </c>
      <c r="AU1075" s="61">
        <f>IF(E1075="","",IFERROR(IF(INDEX('Paramètres'!$K$6:$K$33,MATCH(E1075,'Paramètres'!$I$6:$I$33,0))="Oui",1,0),0))</f>
        <v/>
      </c>
      <c r="AV1075" s="61">
        <f>IF(F1075="","",IFERROR(IF(INDEX('Paramètres'!$O$6:$O$17,MATCH(F1075,'Paramètres'!$M$6:$M$17,0))="Oui",1,0),0))</f>
        <v/>
      </c>
      <c r="AW1075" s="62">
        <f>IF(E1075="","",IF(G1075&lt;&gt;"",G1075,IF(OR(E1075="Proposition envoyée",E1075="Signature"),MAX(0,N(IFERROR(INDEX('Paramètres'!$R$6:$R$15,MATCH(IF(AL1075&lt;&gt;"",AL1075,IFERROR(INDEX('Prospects'!$AN$5:$AN$504,MATCH(C1075,'Prospects'!$C$5:$C$504,0)),"")),'Paramètres'!$Q$6:$Q$15,0)),0))-N(P1075)),0)))</f>
        <v/>
      </c>
      <c r="AX1075" s="61">
        <f>IF(C1075="","",IF(COUNTIF($C$5:C1075,C1075)=1,MAX($AX$4:AX1074)+1,""))</f>
        <v/>
      </c>
      <c r="AY1075" s="61">
        <f>IF(B1075="","",HOUR(B1075))</f>
        <v/>
      </c>
      <c r="AZ1075" s="61">
        <f>IF(A1075="","",MOD(A1075-2,7)+1)</f>
        <v/>
      </c>
      <c r="BA1075" s="60">
        <f>IF(C1075="","",IFERROR(INDEX('Prospects'!$N$5:$N$504,MATCH(C1075,'Prospects'!$C$5:$C$504,0)),""))</f>
        <v/>
      </c>
      <c r="BB1075" s="61">
        <f>IF(AND(C1075&lt;&gt;"",C1075='Fiche prospect'!$C$4),COUNTIF($C$5:C1075,C1075),"")</f>
        <v/>
      </c>
    </row>
    <row r="1076">
      <c r="A1076" s="53" t="n"/>
      <c r="B1076" s="54" t="n"/>
      <c r="C1076" s="55" t="n"/>
      <c r="D1076" s="55" t="n"/>
      <c r="E1076" s="55" t="n"/>
      <c r="F1076" s="55" t="n"/>
      <c r="G1076" s="56" t="n"/>
      <c r="H1076" s="57" t="n"/>
      <c r="I1076" s="55" t="n"/>
      <c r="J1076" s="53" t="n"/>
      <c r="K1076" s="54" t="n"/>
      <c r="L1076" s="55" t="n"/>
      <c r="M1076" s="55" t="n"/>
      <c r="N1076" s="57" t="n"/>
      <c r="O1076" s="55" t="n"/>
      <c r="P1076" s="56" t="n"/>
      <c r="Q1076" s="55" t="n"/>
      <c r="R1076" s="55" t="n"/>
      <c r="S1076" s="55" t="n"/>
      <c r="T1076" s="55" t="n"/>
      <c r="U1076" s="55" t="n"/>
      <c r="V1076" s="55" t="n"/>
      <c r="W1076" s="58" t="n"/>
      <c r="X1076" s="58" t="n"/>
      <c r="Y1076" s="55" t="n"/>
      <c r="Z1076" s="55" t="n"/>
      <c r="AA1076" s="55" t="n"/>
      <c r="AB1076" s="55" t="n"/>
      <c r="AC1076" s="55" t="n"/>
      <c r="AD1076" s="53" t="n"/>
      <c r="AE1076" s="55" t="n"/>
      <c r="AF1076" s="55" t="n"/>
      <c r="AG1076" s="59" t="n"/>
      <c r="AH1076" s="57" t="n"/>
      <c r="AI1076" s="55" t="n"/>
      <c r="AJ1076" s="55" t="n"/>
      <c r="AK1076" s="55" t="n"/>
      <c r="AL1076" s="55" t="n"/>
      <c r="AM1076" s="56" t="n"/>
      <c r="AN1076" s="55" t="n"/>
      <c r="AO1076" s="55" t="n"/>
      <c r="AP1076" s="55" t="n"/>
      <c r="AQ1076" s="55" t="n"/>
      <c r="AR1076" s="60">
        <f>IF(AND(C1076="",E1076=""),"",IF(A1076="","⚠ Date manquante",IF(AND(C1076="",E1076&lt;&gt;"Dépense"),"⚠ Prospect manquant",IF(E1076="","⚠ Action manquante",IF(AND(AU1076=1,D1076=""),"⚠ Canal manquant",IF(AND(W1076&lt;&gt;"",COUNTIFS('Saisie'!$W$5:$W$2004,W1076,'Saisie'!$C$5:$C$2004,"&lt;&gt;"&amp;C1076)&gt;0),"⚠ Numéro déjà utilisé par un autre prospect",IF(AND(J1076&lt;&gt;"",J1076&lt;A1076),"⚠ Relance avant la date de l'action",IF(A1076&gt;TODAY(),"⚠ Date dans le futur","✓"))))))))</f>
        <v/>
      </c>
      <c r="AS1076" s="61">
        <f>IF(AND(A1076="",C1076="",E1076=""),"",ROW())</f>
        <v/>
      </c>
      <c r="AT1076" s="61">
        <f>IF(E1076&amp;F1076="","",MAX(IFERROR(INDEX('Paramètres'!$J$6:$J$33,MATCH(E1076,'Paramètres'!$I$6:$I$33,0)),0),IFERROR(INDEX('Paramètres'!$N$6:$N$17,MATCH(F1076,'Paramètres'!$M$6:$M$17,0)),0)))</f>
        <v/>
      </c>
      <c r="AU1076" s="61">
        <f>IF(E1076="","",IFERROR(IF(INDEX('Paramètres'!$K$6:$K$33,MATCH(E1076,'Paramètres'!$I$6:$I$33,0))="Oui",1,0),0))</f>
        <v/>
      </c>
      <c r="AV1076" s="61">
        <f>IF(F1076="","",IFERROR(IF(INDEX('Paramètres'!$O$6:$O$17,MATCH(F1076,'Paramètres'!$M$6:$M$17,0))="Oui",1,0),0))</f>
        <v/>
      </c>
      <c r="AW1076" s="62">
        <f>IF(E1076="","",IF(G1076&lt;&gt;"",G1076,IF(OR(E1076="Proposition envoyée",E1076="Signature"),MAX(0,N(IFERROR(INDEX('Paramètres'!$R$6:$R$15,MATCH(IF(AL1076&lt;&gt;"",AL1076,IFERROR(INDEX('Prospects'!$AN$5:$AN$504,MATCH(C1076,'Prospects'!$C$5:$C$504,0)),"")),'Paramètres'!$Q$6:$Q$15,0)),0))-N(P1076)),0)))</f>
        <v/>
      </c>
      <c r="AX1076" s="61">
        <f>IF(C1076="","",IF(COUNTIF($C$5:C1076,C1076)=1,MAX($AX$4:AX1075)+1,""))</f>
        <v/>
      </c>
      <c r="AY1076" s="61">
        <f>IF(B1076="","",HOUR(B1076))</f>
        <v/>
      </c>
      <c r="AZ1076" s="61">
        <f>IF(A1076="","",MOD(A1076-2,7)+1)</f>
        <v/>
      </c>
      <c r="BA1076" s="60">
        <f>IF(C1076="","",IFERROR(INDEX('Prospects'!$N$5:$N$504,MATCH(C1076,'Prospects'!$C$5:$C$504,0)),""))</f>
        <v/>
      </c>
      <c r="BB1076" s="61">
        <f>IF(AND(C1076&lt;&gt;"",C1076='Fiche prospect'!$C$4),COUNTIF($C$5:C1076,C1076),"")</f>
        <v/>
      </c>
    </row>
    <row r="1077">
      <c r="A1077" s="53" t="n"/>
      <c r="B1077" s="54" t="n"/>
      <c r="C1077" s="55" t="n"/>
      <c r="D1077" s="55" t="n"/>
      <c r="E1077" s="55" t="n"/>
      <c r="F1077" s="55" t="n"/>
      <c r="G1077" s="56" t="n"/>
      <c r="H1077" s="57" t="n"/>
      <c r="I1077" s="55" t="n"/>
      <c r="J1077" s="53" t="n"/>
      <c r="K1077" s="54" t="n"/>
      <c r="L1077" s="55" t="n"/>
      <c r="M1077" s="55" t="n"/>
      <c r="N1077" s="57" t="n"/>
      <c r="O1077" s="55" t="n"/>
      <c r="P1077" s="56" t="n"/>
      <c r="Q1077" s="55" t="n"/>
      <c r="R1077" s="55" t="n"/>
      <c r="S1077" s="55" t="n"/>
      <c r="T1077" s="55" t="n"/>
      <c r="U1077" s="55" t="n"/>
      <c r="V1077" s="55" t="n"/>
      <c r="W1077" s="58" t="n"/>
      <c r="X1077" s="58" t="n"/>
      <c r="Y1077" s="55" t="n"/>
      <c r="Z1077" s="55" t="n"/>
      <c r="AA1077" s="55" t="n"/>
      <c r="AB1077" s="55" t="n"/>
      <c r="AC1077" s="55" t="n"/>
      <c r="AD1077" s="53" t="n"/>
      <c r="AE1077" s="55" t="n"/>
      <c r="AF1077" s="55" t="n"/>
      <c r="AG1077" s="59" t="n"/>
      <c r="AH1077" s="57" t="n"/>
      <c r="AI1077" s="55" t="n"/>
      <c r="AJ1077" s="55" t="n"/>
      <c r="AK1077" s="55" t="n"/>
      <c r="AL1077" s="55" t="n"/>
      <c r="AM1077" s="56" t="n"/>
      <c r="AN1077" s="55" t="n"/>
      <c r="AO1077" s="55" t="n"/>
      <c r="AP1077" s="55" t="n"/>
      <c r="AQ1077" s="55" t="n"/>
      <c r="AR1077" s="60">
        <f>IF(AND(C1077="",E1077=""),"",IF(A1077="","⚠ Date manquante",IF(AND(C1077="",E1077&lt;&gt;"Dépense"),"⚠ Prospect manquant",IF(E1077="","⚠ Action manquante",IF(AND(AU1077=1,D1077=""),"⚠ Canal manquant",IF(AND(W1077&lt;&gt;"",COUNTIFS('Saisie'!$W$5:$W$2004,W1077,'Saisie'!$C$5:$C$2004,"&lt;&gt;"&amp;C1077)&gt;0),"⚠ Numéro déjà utilisé par un autre prospect",IF(AND(J1077&lt;&gt;"",J1077&lt;A1077),"⚠ Relance avant la date de l'action",IF(A1077&gt;TODAY(),"⚠ Date dans le futur","✓"))))))))</f>
        <v/>
      </c>
      <c r="AS1077" s="61">
        <f>IF(AND(A1077="",C1077="",E1077=""),"",ROW())</f>
        <v/>
      </c>
      <c r="AT1077" s="61">
        <f>IF(E1077&amp;F1077="","",MAX(IFERROR(INDEX('Paramètres'!$J$6:$J$33,MATCH(E1077,'Paramètres'!$I$6:$I$33,0)),0),IFERROR(INDEX('Paramètres'!$N$6:$N$17,MATCH(F1077,'Paramètres'!$M$6:$M$17,0)),0)))</f>
        <v/>
      </c>
      <c r="AU1077" s="61">
        <f>IF(E1077="","",IFERROR(IF(INDEX('Paramètres'!$K$6:$K$33,MATCH(E1077,'Paramètres'!$I$6:$I$33,0))="Oui",1,0),0))</f>
        <v/>
      </c>
      <c r="AV1077" s="61">
        <f>IF(F1077="","",IFERROR(IF(INDEX('Paramètres'!$O$6:$O$17,MATCH(F1077,'Paramètres'!$M$6:$M$17,0))="Oui",1,0),0))</f>
        <v/>
      </c>
      <c r="AW1077" s="62">
        <f>IF(E1077="","",IF(G1077&lt;&gt;"",G1077,IF(OR(E1077="Proposition envoyée",E1077="Signature"),MAX(0,N(IFERROR(INDEX('Paramètres'!$R$6:$R$15,MATCH(IF(AL1077&lt;&gt;"",AL1077,IFERROR(INDEX('Prospects'!$AN$5:$AN$504,MATCH(C1077,'Prospects'!$C$5:$C$504,0)),"")),'Paramètres'!$Q$6:$Q$15,0)),0))-N(P1077)),0)))</f>
        <v/>
      </c>
      <c r="AX1077" s="61">
        <f>IF(C1077="","",IF(COUNTIF($C$5:C1077,C1077)=1,MAX($AX$4:AX1076)+1,""))</f>
        <v/>
      </c>
      <c r="AY1077" s="61">
        <f>IF(B1077="","",HOUR(B1077))</f>
        <v/>
      </c>
      <c r="AZ1077" s="61">
        <f>IF(A1077="","",MOD(A1077-2,7)+1)</f>
        <v/>
      </c>
      <c r="BA1077" s="60">
        <f>IF(C1077="","",IFERROR(INDEX('Prospects'!$N$5:$N$504,MATCH(C1077,'Prospects'!$C$5:$C$504,0)),""))</f>
        <v/>
      </c>
      <c r="BB1077" s="61">
        <f>IF(AND(C1077&lt;&gt;"",C1077='Fiche prospect'!$C$4),COUNTIF($C$5:C1077,C1077),"")</f>
        <v/>
      </c>
    </row>
    <row r="1078">
      <c r="A1078" s="53" t="n"/>
      <c r="B1078" s="54" t="n"/>
      <c r="C1078" s="55" t="n"/>
      <c r="D1078" s="55" t="n"/>
      <c r="E1078" s="55" t="n"/>
      <c r="F1078" s="55" t="n"/>
      <c r="G1078" s="56" t="n"/>
      <c r="H1078" s="57" t="n"/>
      <c r="I1078" s="55" t="n"/>
      <c r="J1078" s="53" t="n"/>
      <c r="K1078" s="54" t="n"/>
      <c r="L1078" s="55" t="n"/>
      <c r="M1078" s="55" t="n"/>
      <c r="N1078" s="57" t="n"/>
      <c r="O1078" s="55" t="n"/>
      <c r="P1078" s="56" t="n"/>
      <c r="Q1078" s="55" t="n"/>
      <c r="R1078" s="55" t="n"/>
      <c r="S1078" s="55" t="n"/>
      <c r="T1078" s="55" t="n"/>
      <c r="U1078" s="55" t="n"/>
      <c r="V1078" s="55" t="n"/>
      <c r="W1078" s="58" t="n"/>
      <c r="X1078" s="58" t="n"/>
      <c r="Y1078" s="55" t="n"/>
      <c r="Z1078" s="55" t="n"/>
      <c r="AA1078" s="55" t="n"/>
      <c r="AB1078" s="55" t="n"/>
      <c r="AC1078" s="55" t="n"/>
      <c r="AD1078" s="53" t="n"/>
      <c r="AE1078" s="55" t="n"/>
      <c r="AF1078" s="55" t="n"/>
      <c r="AG1078" s="59" t="n"/>
      <c r="AH1078" s="57" t="n"/>
      <c r="AI1078" s="55" t="n"/>
      <c r="AJ1078" s="55" t="n"/>
      <c r="AK1078" s="55" t="n"/>
      <c r="AL1078" s="55" t="n"/>
      <c r="AM1078" s="56" t="n"/>
      <c r="AN1078" s="55" t="n"/>
      <c r="AO1078" s="55" t="n"/>
      <c r="AP1078" s="55" t="n"/>
      <c r="AQ1078" s="55" t="n"/>
      <c r="AR1078" s="60">
        <f>IF(AND(C1078="",E1078=""),"",IF(A1078="","⚠ Date manquante",IF(AND(C1078="",E1078&lt;&gt;"Dépense"),"⚠ Prospect manquant",IF(E1078="","⚠ Action manquante",IF(AND(AU1078=1,D1078=""),"⚠ Canal manquant",IF(AND(W1078&lt;&gt;"",COUNTIFS('Saisie'!$W$5:$W$2004,W1078,'Saisie'!$C$5:$C$2004,"&lt;&gt;"&amp;C1078)&gt;0),"⚠ Numéro déjà utilisé par un autre prospect",IF(AND(J1078&lt;&gt;"",J1078&lt;A1078),"⚠ Relance avant la date de l'action",IF(A1078&gt;TODAY(),"⚠ Date dans le futur","✓"))))))))</f>
        <v/>
      </c>
      <c r="AS1078" s="61">
        <f>IF(AND(A1078="",C1078="",E1078=""),"",ROW())</f>
        <v/>
      </c>
      <c r="AT1078" s="61">
        <f>IF(E1078&amp;F1078="","",MAX(IFERROR(INDEX('Paramètres'!$J$6:$J$33,MATCH(E1078,'Paramètres'!$I$6:$I$33,0)),0),IFERROR(INDEX('Paramètres'!$N$6:$N$17,MATCH(F1078,'Paramètres'!$M$6:$M$17,0)),0)))</f>
        <v/>
      </c>
      <c r="AU1078" s="61">
        <f>IF(E1078="","",IFERROR(IF(INDEX('Paramètres'!$K$6:$K$33,MATCH(E1078,'Paramètres'!$I$6:$I$33,0))="Oui",1,0),0))</f>
        <v/>
      </c>
      <c r="AV1078" s="61">
        <f>IF(F1078="","",IFERROR(IF(INDEX('Paramètres'!$O$6:$O$17,MATCH(F1078,'Paramètres'!$M$6:$M$17,0))="Oui",1,0),0))</f>
        <v/>
      </c>
      <c r="AW1078" s="62">
        <f>IF(E1078="","",IF(G1078&lt;&gt;"",G1078,IF(OR(E1078="Proposition envoyée",E1078="Signature"),MAX(0,N(IFERROR(INDEX('Paramètres'!$R$6:$R$15,MATCH(IF(AL1078&lt;&gt;"",AL1078,IFERROR(INDEX('Prospects'!$AN$5:$AN$504,MATCH(C1078,'Prospects'!$C$5:$C$504,0)),"")),'Paramètres'!$Q$6:$Q$15,0)),0))-N(P1078)),0)))</f>
        <v/>
      </c>
      <c r="AX1078" s="61">
        <f>IF(C1078="","",IF(COUNTIF($C$5:C1078,C1078)=1,MAX($AX$4:AX1077)+1,""))</f>
        <v/>
      </c>
      <c r="AY1078" s="61">
        <f>IF(B1078="","",HOUR(B1078))</f>
        <v/>
      </c>
      <c r="AZ1078" s="61">
        <f>IF(A1078="","",MOD(A1078-2,7)+1)</f>
        <v/>
      </c>
      <c r="BA1078" s="60">
        <f>IF(C1078="","",IFERROR(INDEX('Prospects'!$N$5:$N$504,MATCH(C1078,'Prospects'!$C$5:$C$504,0)),""))</f>
        <v/>
      </c>
      <c r="BB1078" s="61">
        <f>IF(AND(C1078&lt;&gt;"",C1078='Fiche prospect'!$C$4),COUNTIF($C$5:C1078,C1078),"")</f>
        <v/>
      </c>
    </row>
    <row r="1079">
      <c r="A1079" s="53" t="n"/>
      <c r="B1079" s="54" t="n"/>
      <c r="C1079" s="55" t="n"/>
      <c r="D1079" s="55" t="n"/>
      <c r="E1079" s="55" t="n"/>
      <c r="F1079" s="55" t="n"/>
      <c r="G1079" s="56" t="n"/>
      <c r="H1079" s="57" t="n"/>
      <c r="I1079" s="55" t="n"/>
      <c r="J1079" s="53" t="n"/>
      <c r="K1079" s="54" t="n"/>
      <c r="L1079" s="55" t="n"/>
      <c r="M1079" s="55" t="n"/>
      <c r="N1079" s="57" t="n"/>
      <c r="O1079" s="55" t="n"/>
      <c r="P1079" s="56" t="n"/>
      <c r="Q1079" s="55" t="n"/>
      <c r="R1079" s="55" t="n"/>
      <c r="S1079" s="55" t="n"/>
      <c r="T1079" s="55" t="n"/>
      <c r="U1079" s="55" t="n"/>
      <c r="V1079" s="55" t="n"/>
      <c r="W1079" s="58" t="n"/>
      <c r="X1079" s="58" t="n"/>
      <c r="Y1079" s="55" t="n"/>
      <c r="Z1079" s="55" t="n"/>
      <c r="AA1079" s="55" t="n"/>
      <c r="AB1079" s="55" t="n"/>
      <c r="AC1079" s="55" t="n"/>
      <c r="AD1079" s="53" t="n"/>
      <c r="AE1079" s="55" t="n"/>
      <c r="AF1079" s="55" t="n"/>
      <c r="AG1079" s="59" t="n"/>
      <c r="AH1079" s="57" t="n"/>
      <c r="AI1079" s="55" t="n"/>
      <c r="AJ1079" s="55" t="n"/>
      <c r="AK1079" s="55" t="n"/>
      <c r="AL1079" s="55" t="n"/>
      <c r="AM1079" s="56" t="n"/>
      <c r="AN1079" s="55" t="n"/>
      <c r="AO1079" s="55" t="n"/>
      <c r="AP1079" s="55" t="n"/>
      <c r="AQ1079" s="55" t="n"/>
      <c r="AR1079" s="60">
        <f>IF(AND(C1079="",E1079=""),"",IF(A1079="","⚠ Date manquante",IF(AND(C1079="",E1079&lt;&gt;"Dépense"),"⚠ Prospect manquant",IF(E1079="","⚠ Action manquante",IF(AND(AU1079=1,D1079=""),"⚠ Canal manquant",IF(AND(W1079&lt;&gt;"",COUNTIFS('Saisie'!$W$5:$W$2004,W1079,'Saisie'!$C$5:$C$2004,"&lt;&gt;"&amp;C1079)&gt;0),"⚠ Numéro déjà utilisé par un autre prospect",IF(AND(J1079&lt;&gt;"",J1079&lt;A1079),"⚠ Relance avant la date de l'action",IF(A1079&gt;TODAY(),"⚠ Date dans le futur","✓"))))))))</f>
        <v/>
      </c>
      <c r="AS1079" s="61">
        <f>IF(AND(A1079="",C1079="",E1079=""),"",ROW())</f>
        <v/>
      </c>
      <c r="AT1079" s="61">
        <f>IF(E1079&amp;F1079="","",MAX(IFERROR(INDEX('Paramètres'!$J$6:$J$33,MATCH(E1079,'Paramètres'!$I$6:$I$33,0)),0),IFERROR(INDEX('Paramètres'!$N$6:$N$17,MATCH(F1079,'Paramètres'!$M$6:$M$17,0)),0)))</f>
        <v/>
      </c>
      <c r="AU1079" s="61">
        <f>IF(E1079="","",IFERROR(IF(INDEX('Paramètres'!$K$6:$K$33,MATCH(E1079,'Paramètres'!$I$6:$I$33,0))="Oui",1,0),0))</f>
        <v/>
      </c>
      <c r="AV1079" s="61">
        <f>IF(F1079="","",IFERROR(IF(INDEX('Paramètres'!$O$6:$O$17,MATCH(F1079,'Paramètres'!$M$6:$M$17,0))="Oui",1,0),0))</f>
        <v/>
      </c>
      <c r="AW1079" s="62">
        <f>IF(E1079="","",IF(G1079&lt;&gt;"",G1079,IF(OR(E1079="Proposition envoyée",E1079="Signature"),MAX(0,N(IFERROR(INDEX('Paramètres'!$R$6:$R$15,MATCH(IF(AL1079&lt;&gt;"",AL1079,IFERROR(INDEX('Prospects'!$AN$5:$AN$504,MATCH(C1079,'Prospects'!$C$5:$C$504,0)),"")),'Paramètres'!$Q$6:$Q$15,0)),0))-N(P1079)),0)))</f>
        <v/>
      </c>
      <c r="AX1079" s="61">
        <f>IF(C1079="","",IF(COUNTIF($C$5:C1079,C1079)=1,MAX($AX$4:AX1078)+1,""))</f>
        <v/>
      </c>
      <c r="AY1079" s="61">
        <f>IF(B1079="","",HOUR(B1079))</f>
        <v/>
      </c>
      <c r="AZ1079" s="61">
        <f>IF(A1079="","",MOD(A1079-2,7)+1)</f>
        <v/>
      </c>
      <c r="BA1079" s="60">
        <f>IF(C1079="","",IFERROR(INDEX('Prospects'!$N$5:$N$504,MATCH(C1079,'Prospects'!$C$5:$C$504,0)),""))</f>
        <v/>
      </c>
      <c r="BB1079" s="61">
        <f>IF(AND(C1079&lt;&gt;"",C1079='Fiche prospect'!$C$4),COUNTIF($C$5:C1079,C1079),"")</f>
        <v/>
      </c>
    </row>
    <row r="1080">
      <c r="A1080" s="53" t="n"/>
      <c r="B1080" s="54" t="n"/>
      <c r="C1080" s="55" t="n"/>
      <c r="D1080" s="55" t="n"/>
      <c r="E1080" s="55" t="n"/>
      <c r="F1080" s="55" t="n"/>
      <c r="G1080" s="56" t="n"/>
      <c r="H1080" s="57" t="n"/>
      <c r="I1080" s="55" t="n"/>
      <c r="J1080" s="53" t="n"/>
      <c r="K1080" s="54" t="n"/>
      <c r="L1080" s="55" t="n"/>
      <c r="M1080" s="55" t="n"/>
      <c r="N1080" s="57" t="n"/>
      <c r="O1080" s="55" t="n"/>
      <c r="P1080" s="56" t="n"/>
      <c r="Q1080" s="55" t="n"/>
      <c r="R1080" s="55" t="n"/>
      <c r="S1080" s="55" t="n"/>
      <c r="T1080" s="55" t="n"/>
      <c r="U1080" s="55" t="n"/>
      <c r="V1080" s="55" t="n"/>
      <c r="W1080" s="58" t="n"/>
      <c r="X1080" s="58" t="n"/>
      <c r="Y1080" s="55" t="n"/>
      <c r="Z1080" s="55" t="n"/>
      <c r="AA1080" s="55" t="n"/>
      <c r="AB1080" s="55" t="n"/>
      <c r="AC1080" s="55" t="n"/>
      <c r="AD1080" s="53" t="n"/>
      <c r="AE1080" s="55" t="n"/>
      <c r="AF1080" s="55" t="n"/>
      <c r="AG1080" s="59" t="n"/>
      <c r="AH1080" s="57" t="n"/>
      <c r="AI1080" s="55" t="n"/>
      <c r="AJ1080" s="55" t="n"/>
      <c r="AK1080" s="55" t="n"/>
      <c r="AL1080" s="55" t="n"/>
      <c r="AM1080" s="56" t="n"/>
      <c r="AN1080" s="55" t="n"/>
      <c r="AO1080" s="55" t="n"/>
      <c r="AP1080" s="55" t="n"/>
      <c r="AQ1080" s="55" t="n"/>
      <c r="AR1080" s="60">
        <f>IF(AND(C1080="",E1080=""),"",IF(A1080="","⚠ Date manquante",IF(AND(C1080="",E1080&lt;&gt;"Dépense"),"⚠ Prospect manquant",IF(E1080="","⚠ Action manquante",IF(AND(AU1080=1,D1080=""),"⚠ Canal manquant",IF(AND(W1080&lt;&gt;"",COUNTIFS('Saisie'!$W$5:$W$2004,W1080,'Saisie'!$C$5:$C$2004,"&lt;&gt;"&amp;C1080)&gt;0),"⚠ Numéro déjà utilisé par un autre prospect",IF(AND(J1080&lt;&gt;"",J1080&lt;A1080),"⚠ Relance avant la date de l'action",IF(A1080&gt;TODAY(),"⚠ Date dans le futur","✓"))))))))</f>
        <v/>
      </c>
      <c r="AS1080" s="61">
        <f>IF(AND(A1080="",C1080="",E1080=""),"",ROW())</f>
        <v/>
      </c>
      <c r="AT1080" s="61">
        <f>IF(E1080&amp;F1080="","",MAX(IFERROR(INDEX('Paramètres'!$J$6:$J$33,MATCH(E1080,'Paramètres'!$I$6:$I$33,0)),0),IFERROR(INDEX('Paramètres'!$N$6:$N$17,MATCH(F1080,'Paramètres'!$M$6:$M$17,0)),0)))</f>
        <v/>
      </c>
      <c r="AU1080" s="61">
        <f>IF(E1080="","",IFERROR(IF(INDEX('Paramètres'!$K$6:$K$33,MATCH(E1080,'Paramètres'!$I$6:$I$33,0))="Oui",1,0),0))</f>
        <v/>
      </c>
      <c r="AV1080" s="61">
        <f>IF(F1080="","",IFERROR(IF(INDEX('Paramètres'!$O$6:$O$17,MATCH(F1080,'Paramètres'!$M$6:$M$17,0))="Oui",1,0),0))</f>
        <v/>
      </c>
      <c r="AW1080" s="62">
        <f>IF(E1080="","",IF(G1080&lt;&gt;"",G1080,IF(OR(E1080="Proposition envoyée",E1080="Signature"),MAX(0,N(IFERROR(INDEX('Paramètres'!$R$6:$R$15,MATCH(IF(AL1080&lt;&gt;"",AL1080,IFERROR(INDEX('Prospects'!$AN$5:$AN$504,MATCH(C1080,'Prospects'!$C$5:$C$504,0)),"")),'Paramètres'!$Q$6:$Q$15,0)),0))-N(P1080)),0)))</f>
        <v/>
      </c>
      <c r="AX1080" s="61">
        <f>IF(C1080="","",IF(COUNTIF($C$5:C1080,C1080)=1,MAX($AX$4:AX1079)+1,""))</f>
        <v/>
      </c>
      <c r="AY1080" s="61">
        <f>IF(B1080="","",HOUR(B1080))</f>
        <v/>
      </c>
      <c r="AZ1080" s="61">
        <f>IF(A1080="","",MOD(A1080-2,7)+1)</f>
        <v/>
      </c>
      <c r="BA1080" s="60">
        <f>IF(C1080="","",IFERROR(INDEX('Prospects'!$N$5:$N$504,MATCH(C1080,'Prospects'!$C$5:$C$504,0)),""))</f>
        <v/>
      </c>
      <c r="BB1080" s="61">
        <f>IF(AND(C1080&lt;&gt;"",C1080='Fiche prospect'!$C$4),COUNTIF($C$5:C1080,C1080),"")</f>
        <v/>
      </c>
    </row>
    <row r="1081">
      <c r="A1081" s="53" t="n"/>
      <c r="B1081" s="54" t="n"/>
      <c r="C1081" s="55" t="n"/>
      <c r="D1081" s="55" t="n"/>
      <c r="E1081" s="55" t="n"/>
      <c r="F1081" s="55" t="n"/>
      <c r="G1081" s="56" t="n"/>
      <c r="H1081" s="57" t="n"/>
      <c r="I1081" s="55" t="n"/>
      <c r="J1081" s="53" t="n"/>
      <c r="K1081" s="54" t="n"/>
      <c r="L1081" s="55" t="n"/>
      <c r="M1081" s="55" t="n"/>
      <c r="N1081" s="57" t="n"/>
      <c r="O1081" s="55" t="n"/>
      <c r="P1081" s="56" t="n"/>
      <c r="Q1081" s="55" t="n"/>
      <c r="R1081" s="55" t="n"/>
      <c r="S1081" s="55" t="n"/>
      <c r="T1081" s="55" t="n"/>
      <c r="U1081" s="55" t="n"/>
      <c r="V1081" s="55" t="n"/>
      <c r="W1081" s="58" t="n"/>
      <c r="X1081" s="58" t="n"/>
      <c r="Y1081" s="55" t="n"/>
      <c r="Z1081" s="55" t="n"/>
      <c r="AA1081" s="55" t="n"/>
      <c r="AB1081" s="55" t="n"/>
      <c r="AC1081" s="55" t="n"/>
      <c r="AD1081" s="53" t="n"/>
      <c r="AE1081" s="55" t="n"/>
      <c r="AF1081" s="55" t="n"/>
      <c r="AG1081" s="59" t="n"/>
      <c r="AH1081" s="57" t="n"/>
      <c r="AI1081" s="55" t="n"/>
      <c r="AJ1081" s="55" t="n"/>
      <c r="AK1081" s="55" t="n"/>
      <c r="AL1081" s="55" t="n"/>
      <c r="AM1081" s="56" t="n"/>
      <c r="AN1081" s="55" t="n"/>
      <c r="AO1081" s="55" t="n"/>
      <c r="AP1081" s="55" t="n"/>
      <c r="AQ1081" s="55" t="n"/>
      <c r="AR1081" s="60">
        <f>IF(AND(C1081="",E1081=""),"",IF(A1081="","⚠ Date manquante",IF(AND(C1081="",E1081&lt;&gt;"Dépense"),"⚠ Prospect manquant",IF(E1081="","⚠ Action manquante",IF(AND(AU1081=1,D1081=""),"⚠ Canal manquant",IF(AND(W1081&lt;&gt;"",COUNTIFS('Saisie'!$W$5:$W$2004,W1081,'Saisie'!$C$5:$C$2004,"&lt;&gt;"&amp;C1081)&gt;0),"⚠ Numéro déjà utilisé par un autre prospect",IF(AND(J1081&lt;&gt;"",J1081&lt;A1081),"⚠ Relance avant la date de l'action",IF(A1081&gt;TODAY(),"⚠ Date dans le futur","✓"))))))))</f>
        <v/>
      </c>
      <c r="AS1081" s="61">
        <f>IF(AND(A1081="",C1081="",E1081=""),"",ROW())</f>
        <v/>
      </c>
      <c r="AT1081" s="61">
        <f>IF(E1081&amp;F1081="","",MAX(IFERROR(INDEX('Paramètres'!$J$6:$J$33,MATCH(E1081,'Paramètres'!$I$6:$I$33,0)),0),IFERROR(INDEX('Paramètres'!$N$6:$N$17,MATCH(F1081,'Paramètres'!$M$6:$M$17,0)),0)))</f>
        <v/>
      </c>
      <c r="AU1081" s="61">
        <f>IF(E1081="","",IFERROR(IF(INDEX('Paramètres'!$K$6:$K$33,MATCH(E1081,'Paramètres'!$I$6:$I$33,0))="Oui",1,0),0))</f>
        <v/>
      </c>
      <c r="AV1081" s="61">
        <f>IF(F1081="","",IFERROR(IF(INDEX('Paramètres'!$O$6:$O$17,MATCH(F1081,'Paramètres'!$M$6:$M$17,0))="Oui",1,0),0))</f>
        <v/>
      </c>
      <c r="AW1081" s="62">
        <f>IF(E1081="","",IF(G1081&lt;&gt;"",G1081,IF(OR(E1081="Proposition envoyée",E1081="Signature"),MAX(0,N(IFERROR(INDEX('Paramètres'!$R$6:$R$15,MATCH(IF(AL1081&lt;&gt;"",AL1081,IFERROR(INDEX('Prospects'!$AN$5:$AN$504,MATCH(C1081,'Prospects'!$C$5:$C$504,0)),"")),'Paramètres'!$Q$6:$Q$15,0)),0))-N(P1081)),0)))</f>
        <v/>
      </c>
      <c r="AX1081" s="61">
        <f>IF(C1081="","",IF(COUNTIF($C$5:C1081,C1081)=1,MAX($AX$4:AX1080)+1,""))</f>
        <v/>
      </c>
      <c r="AY1081" s="61">
        <f>IF(B1081="","",HOUR(B1081))</f>
        <v/>
      </c>
      <c r="AZ1081" s="61">
        <f>IF(A1081="","",MOD(A1081-2,7)+1)</f>
        <v/>
      </c>
      <c r="BA1081" s="60">
        <f>IF(C1081="","",IFERROR(INDEX('Prospects'!$N$5:$N$504,MATCH(C1081,'Prospects'!$C$5:$C$504,0)),""))</f>
        <v/>
      </c>
      <c r="BB1081" s="61">
        <f>IF(AND(C1081&lt;&gt;"",C1081='Fiche prospect'!$C$4),COUNTIF($C$5:C1081,C1081),"")</f>
        <v/>
      </c>
    </row>
    <row r="1082">
      <c r="A1082" s="53" t="n"/>
      <c r="B1082" s="54" t="n"/>
      <c r="C1082" s="55" t="n"/>
      <c r="D1082" s="55" t="n"/>
      <c r="E1082" s="55" t="n"/>
      <c r="F1082" s="55" t="n"/>
      <c r="G1082" s="56" t="n"/>
      <c r="H1082" s="57" t="n"/>
      <c r="I1082" s="55" t="n"/>
      <c r="J1082" s="53" t="n"/>
      <c r="K1082" s="54" t="n"/>
      <c r="L1082" s="55" t="n"/>
      <c r="M1082" s="55" t="n"/>
      <c r="N1082" s="57" t="n"/>
      <c r="O1082" s="55" t="n"/>
      <c r="P1082" s="56" t="n"/>
      <c r="Q1082" s="55" t="n"/>
      <c r="R1082" s="55" t="n"/>
      <c r="S1082" s="55" t="n"/>
      <c r="T1082" s="55" t="n"/>
      <c r="U1082" s="55" t="n"/>
      <c r="V1082" s="55" t="n"/>
      <c r="W1082" s="58" t="n"/>
      <c r="X1082" s="58" t="n"/>
      <c r="Y1082" s="55" t="n"/>
      <c r="Z1082" s="55" t="n"/>
      <c r="AA1082" s="55" t="n"/>
      <c r="AB1082" s="55" t="n"/>
      <c r="AC1082" s="55" t="n"/>
      <c r="AD1082" s="53" t="n"/>
      <c r="AE1082" s="55" t="n"/>
      <c r="AF1082" s="55" t="n"/>
      <c r="AG1082" s="59" t="n"/>
      <c r="AH1082" s="57" t="n"/>
      <c r="AI1082" s="55" t="n"/>
      <c r="AJ1082" s="55" t="n"/>
      <c r="AK1082" s="55" t="n"/>
      <c r="AL1082" s="55" t="n"/>
      <c r="AM1082" s="56" t="n"/>
      <c r="AN1082" s="55" t="n"/>
      <c r="AO1082" s="55" t="n"/>
      <c r="AP1082" s="55" t="n"/>
      <c r="AQ1082" s="55" t="n"/>
      <c r="AR1082" s="60">
        <f>IF(AND(C1082="",E1082=""),"",IF(A1082="","⚠ Date manquante",IF(AND(C1082="",E1082&lt;&gt;"Dépense"),"⚠ Prospect manquant",IF(E1082="","⚠ Action manquante",IF(AND(AU1082=1,D1082=""),"⚠ Canal manquant",IF(AND(W1082&lt;&gt;"",COUNTIFS('Saisie'!$W$5:$W$2004,W1082,'Saisie'!$C$5:$C$2004,"&lt;&gt;"&amp;C1082)&gt;0),"⚠ Numéro déjà utilisé par un autre prospect",IF(AND(J1082&lt;&gt;"",J1082&lt;A1082),"⚠ Relance avant la date de l'action",IF(A1082&gt;TODAY(),"⚠ Date dans le futur","✓"))))))))</f>
        <v/>
      </c>
      <c r="AS1082" s="61">
        <f>IF(AND(A1082="",C1082="",E1082=""),"",ROW())</f>
        <v/>
      </c>
      <c r="AT1082" s="61">
        <f>IF(E1082&amp;F1082="","",MAX(IFERROR(INDEX('Paramètres'!$J$6:$J$33,MATCH(E1082,'Paramètres'!$I$6:$I$33,0)),0),IFERROR(INDEX('Paramètres'!$N$6:$N$17,MATCH(F1082,'Paramètres'!$M$6:$M$17,0)),0)))</f>
        <v/>
      </c>
      <c r="AU1082" s="61">
        <f>IF(E1082="","",IFERROR(IF(INDEX('Paramètres'!$K$6:$K$33,MATCH(E1082,'Paramètres'!$I$6:$I$33,0))="Oui",1,0),0))</f>
        <v/>
      </c>
      <c r="AV1082" s="61">
        <f>IF(F1082="","",IFERROR(IF(INDEX('Paramètres'!$O$6:$O$17,MATCH(F1082,'Paramètres'!$M$6:$M$17,0))="Oui",1,0),0))</f>
        <v/>
      </c>
      <c r="AW1082" s="62">
        <f>IF(E1082="","",IF(G1082&lt;&gt;"",G1082,IF(OR(E1082="Proposition envoyée",E1082="Signature"),MAX(0,N(IFERROR(INDEX('Paramètres'!$R$6:$R$15,MATCH(IF(AL1082&lt;&gt;"",AL1082,IFERROR(INDEX('Prospects'!$AN$5:$AN$504,MATCH(C1082,'Prospects'!$C$5:$C$504,0)),"")),'Paramètres'!$Q$6:$Q$15,0)),0))-N(P1082)),0)))</f>
        <v/>
      </c>
      <c r="AX1082" s="61">
        <f>IF(C1082="","",IF(COUNTIF($C$5:C1082,C1082)=1,MAX($AX$4:AX1081)+1,""))</f>
        <v/>
      </c>
      <c r="AY1082" s="61">
        <f>IF(B1082="","",HOUR(B1082))</f>
        <v/>
      </c>
      <c r="AZ1082" s="61">
        <f>IF(A1082="","",MOD(A1082-2,7)+1)</f>
        <v/>
      </c>
      <c r="BA1082" s="60">
        <f>IF(C1082="","",IFERROR(INDEX('Prospects'!$N$5:$N$504,MATCH(C1082,'Prospects'!$C$5:$C$504,0)),""))</f>
        <v/>
      </c>
      <c r="BB1082" s="61">
        <f>IF(AND(C1082&lt;&gt;"",C1082='Fiche prospect'!$C$4),COUNTIF($C$5:C1082,C1082),"")</f>
        <v/>
      </c>
    </row>
    <row r="1083">
      <c r="A1083" s="53" t="n"/>
      <c r="B1083" s="54" t="n"/>
      <c r="C1083" s="55" t="n"/>
      <c r="D1083" s="55" t="n"/>
      <c r="E1083" s="55" t="n"/>
      <c r="F1083" s="55" t="n"/>
      <c r="G1083" s="56" t="n"/>
      <c r="H1083" s="57" t="n"/>
      <c r="I1083" s="55" t="n"/>
      <c r="J1083" s="53" t="n"/>
      <c r="K1083" s="54" t="n"/>
      <c r="L1083" s="55" t="n"/>
      <c r="M1083" s="55" t="n"/>
      <c r="N1083" s="57" t="n"/>
      <c r="O1083" s="55" t="n"/>
      <c r="P1083" s="56" t="n"/>
      <c r="Q1083" s="55" t="n"/>
      <c r="R1083" s="55" t="n"/>
      <c r="S1083" s="55" t="n"/>
      <c r="T1083" s="55" t="n"/>
      <c r="U1083" s="55" t="n"/>
      <c r="V1083" s="55" t="n"/>
      <c r="W1083" s="58" t="n"/>
      <c r="X1083" s="58" t="n"/>
      <c r="Y1083" s="55" t="n"/>
      <c r="Z1083" s="55" t="n"/>
      <c r="AA1083" s="55" t="n"/>
      <c r="AB1083" s="55" t="n"/>
      <c r="AC1083" s="55" t="n"/>
      <c r="AD1083" s="53" t="n"/>
      <c r="AE1083" s="55" t="n"/>
      <c r="AF1083" s="55" t="n"/>
      <c r="AG1083" s="59" t="n"/>
      <c r="AH1083" s="57" t="n"/>
      <c r="AI1083" s="55" t="n"/>
      <c r="AJ1083" s="55" t="n"/>
      <c r="AK1083" s="55" t="n"/>
      <c r="AL1083" s="55" t="n"/>
      <c r="AM1083" s="56" t="n"/>
      <c r="AN1083" s="55" t="n"/>
      <c r="AO1083" s="55" t="n"/>
      <c r="AP1083" s="55" t="n"/>
      <c r="AQ1083" s="55" t="n"/>
      <c r="AR1083" s="60">
        <f>IF(AND(C1083="",E1083=""),"",IF(A1083="","⚠ Date manquante",IF(AND(C1083="",E1083&lt;&gt;"Dépense"),"⚠ Prospect manquant",IF(E1083="","⚠ Action manquante",IF(AND(AU1083=1,D1083=""),"⚠ Canal manquant",IF(AND(W1083&lt;&gt;"",COUNTIFS('Saisie'!$W$5:$W$2004,W1083,'Saisie'!$C$5:$C$2004,"&lt;&gt;"&amp;C1083)&gt;0),"⚠ Numéro déjà utilisé par un autre prospect",IF(AND(J1083&lt;&gt;"",J1083&lt;A1083),"⚠ Relance avant la date de l'action",IF(A1083&gt;TODAY(),"⚠ Date dans le futur","✓"))))))))</f>
        <v/>
      </c>
      <c r="AS1083" s="61">
        <f>IF(AND(A1083="",C1083="",E1083=""),"",ROW())</f>
        <v/>
      </c>
      <c r="AT1083" s="61">
        <f>IF(E1083&amp;F1083="","",MAX(IFERROR(INDEX('Paramètres'!$J$6:$J$33,MATCH(E1083,'Paramètres'!$I$6:$I$33,0)),0),IFERROR(INDEX('Paramètres'!$N$6:$N$17,MATCH(F1083,'Paramètres'!$M$6:$M$17,0)),0)))</f>
        <v/>
      </c>
      <c r="AU1083" s="61">
        <f>IF(E1083="","",IFERROR(IF(INDEX('Paramètres'!$K$6:$K$33,MATCH(E1083,'Paramètres'!$I$6:$I$33,0))="Oui",1,0),0))</f>
        <v/>
      </c>
      <c r="AV1083" s="61">
        <f>IF(F1083="","",IFERROR(IF(INDEX('Paramètres'!$O$6:$O$17,MATCH(F1083,'Paramètres'!$M$6:$M$17,0))="Oui",1,0),0))</f>
        <v/>
      </c>
      <c r="AW1083" s="62">
        <f>IF(E1083="","",IF(G1083&lt;&gt;"",G1083,IF(OR(E1083="Proposition envoyée",E1083="Signature"),MAX(0,N(IFERROR(INDEX('Paramètres'!$R$6:$R$15,MATCH(IF(AL1083&lt;&gt;"",AL1083,IFERROR(INDEX('Prospects'!$AN$5:$AN$504,MATCH(C1083,'Prospects'!$C$5:$C$504,0)),"")),'Paramètres'!$Q$6:$Q$15,0)),0))-N(P1083)),0)))</f>
        <v/>
      </c>
      <c r="AX1083" s="61">
        <f>IF(C1083="","",IF(COUNTIF($C$5:C1083,C1083)=1,MAX($AX$4:AX1082)+1,""))</f>
        <v/>
      </c>
      <c r="AY1083" s="61">
        <f>IF(B1083="","",HOUR(B1083))</f>
        <v/>
      </c>
      <c r="AZ1083" s="61">
        <f>IF(A1083="","",MOD(A1083-2,7)+1)</f>
        <v/>
      </c>
      <c r="BA1083" s="60">
        <f>IF(C1083="","",IFERROR(INDEX('Prospects'!$N$5:$N$504,MATCH(C1083,'Prospects'!$C$5:$C$504,0)),""))</f>
        <v/>
      </c>
      <c r="BB1083" s="61">
        <f>IF(AND(C1083&lt;&gt;"",C1083='Fiche prospect'!$C$4),COUNTIF($C$5:C1083,C1083),"")</f>
        <v/>
      </c>
    </row>
    <row r="1084">
      <c r="A1084" s="53" t="n"/>
      <c r="B1084" s="54" t="n"/>
      <c r="C1084" s="55" t="n"/>
      <c r="D1084" s="55" t="n"/>
      <c r="E1084" s="55" t="n"/>
      <c r="F1084" s="55" t="n"/>
      <c r="G1084" s="56" t="n"/>
      <c r="H1084" s="57" t="n"/>
      <c r="I1084" s="55" t="n"/>
      <c r="J1084" s="53" t="n"/>
      <c r="K1084" s="54" t="n"/>
      <c r="L1084" s="55" t="n"/>
      <c r="M1084" s="55" t="n"/>
      <c r="N1084" s="57" t="n"/>
      <c r="O1084" s="55" t="n"/>
      <c r="P1084" s="56" t="n"/>
      <c r="Q1084" s="55" t="n"/>
      <c r="R1084" s="55" t="n"/>
      <c r="S1084" s="55" t="n"/>
      <c r="T1084" s="55" t="n"/>
      <c r="U1084" s="55" t="n"/>
      <c r="V1084" s="55" t="n"/>
      <c r="W1084" s="58" t="n"/>
      <c r="X1084" s="58" t="n"/>
      <c r="Y1084" s="55" t="n"/>
      <c r="Z1084" s="55" t="n"/>
      <c r="AA1084" s="55" t="n"/>
      <c r="AB1084" s="55" t="n"/>
      <c r="AC1084" s="55" t="n"/>
      <c r="AD1084" s="53" t="n"/>
      <c r="AE1084" s="55" t="n"/>
      <c r="AF1084" s="55" t="n"/>
      <c r="AG1084" s="59" t="n"/>
      <c r="AH1084" s="57" t="n"/>
      <c r="AI1084" s="55" t="n"/>
      <c r="AJ1084" s="55" t="n"/>
      <c r="AK1084" s="55" t="n"/>
      <c r="AL1084" s="55" t="n"/>
      <c r="AM1084" s="56" t="n"/>
      <c r="AN1084" s="55" t="n"/>
      <c r="AO1084" s="55" t="n"/>
      <c r="AP1084" s="55" t="n"/>
      <c r="AQ1084" s="55" t="n"/>
      <c r="AR1084" s="60">
        <f>IF(AND(C1084="",E1084=""),"",IF(A1084="","⚠ Date manquante",IF(AND(C1084="",E1084&lt;&gt;"Dépense"),"⚠ Prospect manquant",IF(E1084="","⚠ Action manquante",IF(AND(AU1084=1,D1084=""),"⚠ Canal manquant",IF(AND(W1084&lt;&gt;"",COUNTIFS('Saisie'!$W$5:$W$2004,W1084,'Saisie'!$C$5:$C$2004,"&lt;&gt;"&amp;C1084)&gt;0),"⚠ Numéro déjà utilisé par un autre prospect",IF(AND(J1084&lt;&gt;"",J1084&lt;A1084),"⚠ Relance avant la date de l'action",IF(A1084&gt;TODAY(),"⚠ Date dans le futur","✓"))))))))</f>
        <v/>
      </c>
      <c r="AS1084" s="61">
        <f>IF(AND(A1084="",C1084="",E1084=""),"",ROW())</f>
        <v/>
      </c>
      <c r="AT1084" s="61">
        <f>IF(E1084&amp;F1084="","",MAX(IFERROR(INDEX('Paramètres'!$J$6:$J$33,MATCH(E1084,'Paramètres'!$I$6:$I$33,0)),0),IFERROR(INDEX('Paramètres'!$N$6:$N$17,MATCH(F1084,'Paramètres'!$M$6:$M$17,0)),0)))</f>
        <v/>
      </c>
      <c r="AU1084" s="61">
        <f>IF(E1084="","",IFERROR(IF(INDEX('Paramètres'!$K$6:$K$33,MATCH(E1084,'Paramètres'!$I$6:$I$33,0))="Oui",1,0),0))</f>
        <v/>
      </c>
      <c r="AV1084" s="61">
        <f>IF(F1084="","",IFERROR(IF(INDEX('Paramètres'!$O$6:$O$17,MATCH(F1084,'Paramètres'!$M$6:$M$17,0))="Oui",1,0),0))</f>
        <v/>
      </c>
      <c r="AW1084" s="62">
        <f>IF(E1084="","",IF(G1084&lt;&gt;"",G1084,IF(OR(E1084="Proposition envoyée",E1084="Signature"),MAX(0,N(IFERROR(INDEX('Paramètres'!$R$6:$R$15,MATCH(IF(AL1084&lt;&gt;"",AL1084,IFERROR(INDEX('Prospects'!$AN$5:$AN$504,MATCH(C1084,'Prospects'!$C$5:$C$504,0)),"")),'Paramètres'!$Q$6:$Q$15,0)),0))-N(P1084)),0)))</f>
        <v/>
      </c>
      <c r="AX1084" s="61">
        <f>IF(C1084="","",IF(COUNTIF($C$5:C1084,C1084)=1,MAX($AX$4:AX1083)+1,""))</f>
        <v/>
      </c>
      <c r="AY1084" s="61">
        <f>IF(B1084="","",HOUR(B1084))</f>
        <v/>
      </c>
      <c r="AZ1084" s="61">
        <f>IF(A1084="","",MOD(A1084-2,7)+1)</f>
        <v/>
      </c>
      <c r="BA1084" s="60">
        <f>IF(C1084="","",IFERROR(INDEX('Prospects'!$N$5:$N$504,MATCH(C1084,'Prospects'!$C$5:$C$504,0)),""))</f>
        <v/>
      </c>
      <c r="BB1084" s="61">
        <f>IF(AND(C1084&lt;&gt;"",C1084='Fiche prospect'!$C$4),COUNTIF($C$5:C1084,C1084),"")</f>
        <v/>
      </c>
    </row>
    <row r="1085">
      <c r="A1085" s="53" t="n"/>
      <c r="B1085" s="54" t="n"/>
      <c r="C1085" s="55" t="n"/>
      <c r="D1085" s="55" t="n"/>
      <c r="E1085" s="55" t="n"/>
      <c r="F1085" s="55" t="n"/>
      <c r="G1085" s="56" t="n"/>
      <c r="H1085" s="57" t="n"/>
      <c r="I1085" s="55" t="n"/>
      <c r="J1085" s="53" t="n"/>
      <c r="K1085" s="54" t="n"/>
      <c r="L1085" s="55" t="n"/>
      <c r="M1085" s="55" t="n"/>
      <c r="N1085" s="57" t="n"/>
      <c r="O1085" s="55" t="n"/>
      <c r="P1085" s="56" t="n"/>
      <c r="Q1085" s="55" t="n"/>
      <c r="R1085" s="55" t="n"/>
      <c r="S1085" s="55" t="n"/>
      <c r="T1085" s="55" t="n"/>
      <c r="U1085" s="55" t="n"/>
      <c r="V1085" s="55" t="n"/>
      <c r="W1085" s="58" t="n"/>
      <c r="X1085" s="58" t="n"/>
      <c r="Y1085" s="55" t="n"/>
      <c r="Z1085" s="55" t="n"/>
      <c r="AA1085" s="55" t="n"/>
      <c r="AB1085" s="55" t="n"/>
      <c r="AC1085" s="55" t="n"/>
      <c r="AD1085" s="53" t="n"/>
      <c r="AE1085" s="55" t="n"/>
      <c r="AF1085" s="55" t="n"/>
      <c r="AG1085" s="59" t="n"/>
      <c r="AH1085" s="57" t="n"/>
      <c r="AI1085" s="55" t="n"/>
      <c r="AJ1085" s="55" t="n"/>
      <c r="AK1085" s="55" t="n"/>
      <c r="AL1085" s="55" t="n"/>
      <c r="AM1085" s="56" t="n"/>
      <c r="AN1085" s="55" t="n"/>
      <c r="AO1085" s="55" t="n"/>
      <c r="AP1085" s="55" t="n"/>
      <c r="AQ1085" s="55" t="n"/>
      <c r="AR1085" s="60">
        <f>IF(AND(C1085="",E1085=""),"",IF(A1085="","⚠ Date manquante",IF(AND(C1085="",E1085&lt;&gt;"Dépense"),"⚠ Prospect manquant",IF(E1085="","⚠ Action manquante",IF(AND(AU1085=1,D1085=""),"⚠ Canal manquant",IF(AND(W1085&lt;&gt;"",COUNTIFS('Saisie'!$W$5:$W$2004,W1085,'Saisie'!$C$5:$C$2004,"&lt;&gt;"&amp;C1085)&gt;0),"⚠ Numéro déjà utilisé par un autre prospect",IF(AND(J1085&lt;&gt;"",J1085&lt;A1085),"⚠ Relance avant la date de l'action",IF(A1085&gt;TODAY(),"⚠ Date dans le futur","✓"))))))))</f>
        <v/>
      </c>
      <c r="AS1085" s="61">
        <f>IF(AND(A1085="",C1085="",E1085=""),"",ROW())</f>
        <v/>
      </c>
      <c r="AT1085" s="61">
        <f>IF(E1085&amp;F1085="","",MAX(IFERROR(INDEX('Paramètres'!$J$6:$J$33,MATCH(E1085,'Paramètres'!$I$6:$I$33,0)),0),IFERROR(INDEX('Paramètres'!$N$6:$N$17,MATCH(F1085,'Paramètres'!$M$6:$M$17,0)),0)))</f>
        <v/>
      </c>
      <c r="AU1085" s="61">
        <f>IF(E1085="","",IFERROR(IF(INDEX('Paramètres'!$K$6:$K$33,MATCH(E1085,'Paramètres'!$I$6:$I$33,0))="Oui",1,0),0))</f>
        <v/>
      </c>
      <c r="AV1085" s="61">
        <f>IF(F1085="","",IFERROR(IF(INDEX('Paramètres'!$O$6:$O$17,MATCH(F1085,'Paramètres'!$M$6:$M$17,0))="Oui",1,0),0))</f>
        <v/>
      </c>
      <c r="AW1085" s="62">
        <f>IF(E1085="","",IF(G1085&lt;&gt;"",G1085,IF(OR(E1085="Proposition envoyée",E1085="Signature"),MAX(0,N(IFERROR(INDEX('Paramètres'!$R$6:$R$15,MATCH(IF(AL1085&lt;&gt;"",AL1085,IFERROR(INDEX('Prospects'!$AN$5:$AN$504,MATCH(C1085,'Prospects'!$C$5:$C$504,0)),"")),'Paramètres'!$Q$6:$Q$15,0)),0))-N(P1085)),0)))</f>
        <v/>
      </c>
      <c r="AX1085" s="61">
        <f>IF(C1085="","",IF(COUNTIF($C$5:C1085,C1085)=1,MAX($AX$4:AX1084)+1,""))</f>
        <v/>
      </c>
      <c r="AY1085" s="61">
        <f>IF(B1085="","",HOUR(B1085))</f>
        <v/>
      </c>
      <c r="AZ1085" s="61">
        <f>IF(A1085="","",MOD(A1085-2,7)+1)</f>
        <v/>
      </c>
      <c r="BA1085" s="60">
        <f>IF(C1085="","",IFERROR(INDEX('Prospects'!$N$5:$N$504,MATCH(C1085,'Prospects'!$C$5:$C$504,0)),""))</f>
        <v/>
      </c>
      <c r="BB1085" s="61">
        <f>IF(AND(C1085&lt;&gt;"",C1085='Fiche prospect'!$C$4),COUNTIF($C$5:C1085,C1085),"")</f>
        <v/>
      </c>
    </row>
    <row r="1086">
      <c r="A1086" s="53" t="n"/>
      <c r="B1086" s="54" t="n"/>
      <c r="C1086" s="55" t="n"/>
      <c r="D1086" s="55" t="n"/>
      <c r="E1086" s="55" t="n"/>
      <c r="F1086" s="55" t="n"/>
      <c r="G1086" s="56" t="n"/>
      <c r="H1086" s="57" t="n"/>
      <c r="I1086" s="55" t="n"/>
      <c r="J1086" s="53" t="n"/>
      <c r="K1086" s="54" t="n"/>
      <c r="L1086" s="55" t="n"/>
      <c r="M1086" s="55" t="n"/>
      <c r="N1086" s="57" t="n"/>
      <c r="O1086" s="55" t="n"/>
      <c r="P1086" s="56" t="n"/>
      <c r="Q1086" s="55" t="n"/>
      <c r="R1086" s="55" t="n"/>
      <c r="S1086" s="55" t="n"/>
      <c r="T1086" s="55" t="n"/>
      <c r="U1086" s="55" t="n"/>
      <c r="V1086" s="55" t="n"/>
      <c r="W1086" s="58" t="n"/>
      <c r="X1086" s="58" t="n"/>
      <c r="Y1086" s="55" t="n"/>
      <c r="Z1086" s="55" t="n"/>
      <c r="AA1086" s="55" t="n"/>
      <c r="AB1086" s="55" t="n"/>
      <c r="AC1086" s="55" t="n"/>
      <c r="AD1086" s="53" t="n"/>
      <c r="AE1086" s="55" t="n"/>
      <c r="AF1086" s="55" t="n"/>
      <c r="AG1086" s="59" t="n"/>
      <c r="AH1086" s="57" t="n"/>
      <c r="AI1086" s="55" t="n"/>
      <c r="AJ1086" s="55" t="n"/>
      <c r="AK1086" s="55" t="n"/>
      <c r="AL1086" s="55" t="n"/>
      <c r="AM1086" s="56" t="n"/>
      <c r="AN1086" s="55" t="n"/>
      <c r="AO1086" s="55" t="n"/>
      <c r="AP1086" s="55" t="n"/>
      <c r="AQ1086" s="55" t="n"/>
      <c r="AR1086" s="60">
        <f>IF(AND(C1086="",E1086=""),"",IF(A1086="","⚠ Date manquante",IF(AND(C1086="",E1086&lt;&gt;"Dépense"),"⚠ Prospect manquant",IF(E1086="","⚠ Action manquante",IF(AND(AU1086=1,D1086=""),"⚠ Canal manquant",IF(AND(W1086&lt;&gt;"",COUNTIFS('Saisie'!$W$5:$W$2004,W1086,'Saisie'!$C$5:$C$2004,"&lt;&gt;"&amp;C1086)&gt;0),"⚠ Numéro déjà utilisé par un autre prospect",IF(AND(J1086&lt;&gt;"",J1086&lt;A1086),"⚠ Relance avant la date de l'action",IF(A1086&gt;TODAY(),"⚠ Date dans le futur","✓"))))))))</f>
        <v/>
      </c>
      <c r="AS1086" s="61">
        <f>IF(AND(A1086="",C1086="",E1086=""),"",ROW())</f>
        <v/>
      </c>
      <c r="AT1086" s="61">
        <f>IF(E1086&amp;F1086="","",MAX(IFERROR(INDEX('Paramètres'!$J$6:$J$33,MATCH(E1086,'Paramètres'!$I$6:$I$33,0)),0),IFERROR(INDEX('Paramètres'!$N$6:$N$17,MATCH(F1086,'Paramètres'!$M$6:$M$17,0)),0)))</f>
        <v/>
      </c>
      <c r="AU1086" s="61">
        <f>IF(E1086="","",IFERROR(IF(INDEX('Paramètres'!$K$6:$K$33,MATCH(E1086,'Paramètres'!$I$6:$I$33,0))="Oui",1,0),0))</f>
        <v/>
      </c>
      <c r="AV1086" s="61">
        <f>IF(F1086="","",IFERROR(IF(INDEX('Paramètres'!$O$6:$O$17,MATCH(F1086,'Paramètres'!$M$6:$M$17,0))="Oui",1,0),0))</f>
        <v/>
      </c>
      <c r="AW1086" s="62">
        <f>IF(E1086="","",IF(G1086&lt;&gt;"",G1086,IF(OR(E1086="Proposition envoyée",E1086="Signature"),MAX(0,N(IFERROR(INDEX('Paramètres'!$R$6:$R$15,MATCH(IF(AL1086&lt;&gt;"",AL1086,IFERROR(INDEX('Prospects'!$AN$5:$AN$504,MATCH(C1086,'Prospects'!$C$5:$C$504,0)),"")),'Paramètres'!$Q$6:$Q$15,0)),0))-N(P1086)),0)))</f>
        <v/>
      </c>
      <c r="AX1086" s="61">
        <f>IF(C1086="","",IF(COUNTIF($C$5:C1086,C1086)=1,MAX($AX$4:AX1085)+1,""))</f>
        <v/>
      </c>
      <c r="AY1086" s="61">
        <f>IF(B1086="","",HOUR(B1086))</f>
        <v/>
      </c>
      <c r="AZ1086" s="61">
        <f>IF(A1086="","",MOD(A1086-2,7)+1)</f>
        <v/>
      </c>
      <c r="BA1086" s="60">
        <f>IF(C1086="","",IFERROR(INDEX('Prospects'!$N$5:$N$504,MATCH(C1086,'Prospects'!$C$5:$C$504,0)),""))</f>
        <v/>
      </c>
      <c r="BB1086" s="61">
        <f>IF(AND(C1086&lt;&gt;"",C1086='Fiche prospect'!$C$4),COUNTIF($C$5:C1086,C1086),"")</f>
        <v/>
      </c>
    </row>
    <row r="1087">
      <c r="A1087" s="53" t="n"/>
      <c r="B1087" s="54" t="n"/>
      <c r="C1087" s="55" t="n"/>
      <c r="D1087" s="55" t="n"/>
      <c r="E1087" s="55" t="n"/>
      <c r="F1087" s="55" t="n"/>
      <c r="G1087" s="56" t="n"/>
      <c r="H1087" s="57" t="n"/>
      <c r="I1087" s="55" t="n"/>
      <c r="J1087" s="53" t="n"/>
      <c r="K1087" s="54" t="n"/>
      <c r="L1087" s="55" t="n"/>
      <c r="M1087" s="55" t="n"/>
      <c r="N1087" s="57" t="n"/>
      <c r="O1087" s="55" t="n"/>
      <c r="P1087" s="56" t="n"/>
      <c r="Q1087" s="55" t="n"/>
      <c r="R1087" s="55" t="n"/>
      <c r="S1087" s="55" t="n"/>
      <c r="T1087" s="55" t="n"/>
      <c r="U1087" s="55" t="n"/>
      <c r="V1087" s="55" t="n"/>
      <c r="W1087" s="58" t="n"/>
      <c r="X1087" s="58" t="n"/>
      <c r="Y1087" s="55" t="n"/>
      <c r="Z1087" s="55" t="n"/>
      <c r="AA1087" s="55" t="n"/>
      <c r="AB1087" s="55" t="n"/>
      <c r="AC1087" s="55" t="n"/>
      <c r="AD1087" s="53" t="n"/>
      <c r="AE1087" s="55" t="n"/>
      <c r="AF1087" s="55" t="n"/>
      <c r="AG1087" s="59" t="n"/>
      <c r="AH1087" s="57" t="n"/>
      <c r="AI1087" s="55" t="n"/>
      <c r="AJ1087" s="55" t="n"/>
      <c r="AK1087" s="55" t="n"/>
      <c r="AL1087" s="55" t="n"/>
      <c r="AM1087" s="56" t="n"/>
      <c r="AN1087" s="55" t="n"/>
      <c r="AO1087" s="55" t="n"/>
      <c r="AP1087" s="55" t="n"/>
      <c r="AQ1087" s="55" t="n"/>
      <c r="AR1087" s="60">
        <f>IF(AND(C1087="",E1087=""),"",IF(A1087="","⚠ Date manquante",IF(AND(C1087="",E1087&lt;&gt;"Dépense"),"⚠ Prospect manquant",IF(E1087="","⚠ Action manquante",IF(AND(AU1087=1,D1087=""),"⚠ Canal manquant",IF(AND(W1087&lt;&gt;"",COUNTIFS('Saisie'!$W$5:$W$2004,W1087,'Saisie'!$C$5:$C$2004,"&lt;&gt;"&amp;C1087)&gt;0),"⚠ Numéro déjà utilisé par un autre prospect",IF(AND(J1087&lt;&gt;"",J1087&lt;A1087),"⚠ Relance avant la date de l'action",IF(A1087&gt;TODAY(),"⚠ Date dans le futur","✓"))))))))</f>
        <v/>
      </c>
      <c r="AS1087" s="61">
        <f>IF(AND(A1087="",C1087="",E1087=""),"",ROW())</f>
        <v/>
      </c>
      <c r="AT1087" s="61">
        <f>IF(E1087&amp;F1087="","",MAX(IFERROR(INDEX('Paramètres'!$J$6:$J$33,MATCH(E1087,'Paramètres'!$I$6:$I$33,0)),0),IFERROR(INDEX('Paramètres'!$N$6:$N$17,MATCH(F1087,'Paramètres'!$M$6:$M$17,0)),0)))</f>
        <v/>
      </c>
      <c r="AU1087" s="61">
        <f>IF(E1087="","",IFERROR(IF(INDEX('Paramètres'!$K$6:$K$33,MATCH(E1087,'Paramètres'!$I$6:$I$33,0))="Oui",1,0),0))</f>
        <v/>
      </c>
      <c r="AV1087" s="61">
        <f>IF(F1087="","",IFERROR(IF(INDEX('Paramètres'!$O$6:$O$17,MATCH(F1087,'Paramètres'!$M$6:$M$17,0))="Oui",1,0),0))</f>
        <v/>
      </c>
      <c r="AW1087" s="62">
        <f>IF(E1087="","",IF(G1087&lt;&gt;"",G1087,IF(OR(E1087="Proposition envoyée",E1087="Signature"),MAX(0,N(IFERROR(INDEX('Paramètres'!$R$6:$R$15,MATCH(IF(AL1087&lt;&gt;"",AL1087,IFERROR(INDEX('Prospects'!$AN$5:$AN$504,MATCH(C1087,'Prospects'!$C$5:$C$504,0)),"")),'Paramètres'!$Q$6:$Q$15,0)),0))-N(P1087)),0)))</f>
        <v/>
      </c>
      <c r="AX1087" s="61">
        <f>IF(C1087="","",IF(COUNTIF($C$5:C1087,C1087)=1,MAX($AX$4:AX1086)+1,""))</f>
        <v/>
      </c>
      <c r="AY1087" s="61">
        <f>IF(B1087="","",HOUR(B1087))</f>
        <v/>
      </c>
      <c r="AZ1087" s="61">
        <f>IF(A1087="","",MOD(A1087-2,7)+1)</f>
        <v/>
      </c>
      <c r="BA1087" s="60">
        <f>IF(C1087="","",IFERROR(INDEX('Prospects'!$N$5:$N$504,MATCH(C1087,'Prospects'!$C$5:$C$504,0)),""))</f>
        <v/>
      </c>
      <c r="BB1087" s="61">
        <f>IF(AND(C1087&lt;&gt;"",C1087='Fiche prospect'!$C$4),COUNTIF($C$5:C1087,C1087),"")</f>
        <v/>
      </c>
    </row>
    <row r="1088">
      <c r="A1088" s="53" t="n"/>
      <c r="B1088" s="54" t="n"/>
      <c r="C1088" s="55" t="n"/>
      <c r="D1088" s="55" t="n"/>
      <c r="E1088" s="55" t="n"/>
      <c r="F1088" s="55" t="n"/>
      <c r="G1088" s="56" t="n"/>
      <c r="H1088" s="57" t="n"/>
      <c r="I1088" s="55" t="n"/>
      <c r="J1088" s="53" t="n"/>
      <c r="K1088" s="54" t="n"/>
      <c r="L1088" s="55" t="n"/>
      <c r="M1088" s="55" t="n"/>
      <c r="N1088" s="57" t="n"/>
      <c r="O1088" s="55" t="n"/>
      <c r="P1088" s="56" t="n"/>
      <c r="Q1088" s="55" t="n"/>
      <c r="R1088" s="55" t="n"/>
      <c r="S1088" s="55" t="n"/>
      <c r="T1088" s="55" t="n"/>
      <c r="U1088" s="55" t="n"/>
      <c r="V1088" s="55" t="n"/>
      <c r="W1088" s="58" t="n"/>
      <c r="X1088" s="58" t="n"/>
      <c r="Y1088" s="55" t="n"/>
      <c r="Z1088" s="55" t="n"/>
      <c r="AA1088" s="55" t="n"/>
      <c r="AB1088" s="55" t="n"/>
      <c r="AC1088" s="55" t="n"/>
      <c r="AD1088" s="53" t="n"/>
      <c r="AE1088" s="55" t="n"/>
      <c r="AF1088" s="55" t="n"/>
      <c r="AG1088" s="59" t="n"/>
      <c r="AH1088" s="57" t="n"/>
      <c r="AI1088" s="55" t="n"/>
      <c r="AJ1088" s="55" t="n"/>
      <c r="AK1088" s="55" t="n"/>
      <c r="AL1088" s="55" t="n"/>
      <c r="AM1088" s="56" t="n"/>
      <c r="AN1088" s="55" t="n"/>
      <c r="AO1088" s="55" t="n"/>
      <c r="AP1088" s="55" t="n"/>
      <c r="AQ1088" s="55" t="n"/>
      <c r="AR1088" s="60">
        <f>IF(AND(C1088="",E1088=""),"",IF(A1088="","⚠ Date manquante",IF(AND(C1088="",E1088&lt;&gt;"Dépense"),"⚠ Prospect manquant",IF(E1088="","⚠ Action manquante",IF(AND(AU1088=1,D1088=""),"⚠ Canal manquant",IF(AND(W1088&lt;&gt;"",COUNTIFS('Saisie'!$W$5:$W$2004,W1088,'Saisie'!$C$5:$C$2004,"&lt;&gt;"&amp;C1088)&gt;0),"⚠ Numéro déjà utilisé par un autre prospect",IF(AND(J1088&lt;&gt;"",J1088&lt;A1088),"⚠ Relance avant la date de l'action",IF(A1088&gt;TODAY(),"⚠ Date dans le futur","✓"))))))))</f>
        <v/>
      </c>
      <c r="AS1088" s="61">
        <f>IF(AND(A1088="",C1088="",E1088=""),"",ROW())</f>
        <v/>
      </c>
      <c r="AT1088" s="61">
        <f>IF(E1088&amp;F1088="","",MAX(IFERROR(INDEX('Paramètres'!$J$6:$J$33,MATCH(E1088,'Paramètres'!$I$6:$I$33,0)),0),IFERROR(INDEX('Paramètres'!$N$6:$N$17,MATCH(F1088,'Paramètres'!$M$6:$M$17,0)),0)))</f>
        <v/>
      </c>
      <c r="AU1088" s="61">
        <f>IF(E1088="","",IFERROR(IF(INDEX('Paramètres'!$K$6:$K$33,MATCH(E1088,'Paramètres'!$I$6:$I$33,0))="Oui",1,0),0))</f>
        <v/>
      </c>
      <c r="AV1088" s="61">
        <f>IF(F1088="","",IFERROR(IF(INDEX('Paramètres'!$O$6:$O$17,MATCH(F1088,'Paramètres'!$M$6:$M$17,0))="Oui",1,0),0))</f>
        <v/>
      </c>
      <c r="AW1088" s="62">
        <f>IF(E1088="","",IF(G1088&lt;&gt;"",G1088,IF(OR(E1088="Proposition envoyée",E1088="Signature"),MAX(0,N(IFERROR(INDEX('Paramètres'!$R$6:$R$15,MATCH(IF(AL1088&lt;&gt;"",AL1088,IFERROR(INDEX('Prospects'!$AN$5:$AN$504,MATCH(C1088,'Prospects'!$C$5:$C$504,0)),"")),'Paramètres'!$Q$6:$Q$15,0)),0))-N(P1088)),0)))</f>
        <v/>
      </c>
      <c r="AX1088" s="61">
        <f>IF(C1088="","",IF(COUNTIF($C$5:C1088,C1088)=1,MAX($AX$4:AX1087)+1,""))</f>
        <v/>
      </c>
      <c r="AY1088" s="61">
        <f>IF(B1088="","",HOUR(B1088))</f>
        <v/>
      </c>
      <c r="AZ1088" s="61">
        <f>IF(A1088="","",MOD(A1088-2,7)+1)</f>
        <v/>
      </c>
      <c r="BA1088" s="60">
        <f>IF(C1088="","",IFERROR(INDEX('Prospects'!$N$5:$N$504,MATCH(C1088,'Prospects'!$C$5:$C$504,0)),""))</f>
        <v/>
      </c>
      <c r="BB1088" s="61">
        <f>IF(AND(C1088&lt;&gt;"",C1088='Fiche prospect'!$C$4),COUNTIF($C$5:C1088,C1088),"")</f>
        <v/>
      </c>
    </row>
    <row r="1089">
      <c r="A1089" s="53" t="n"/>
      <c r="B1089" s="54" t="n"/>
      <c r="C1089" s="55" t="n"/>
      <c r="D1089" s="55" t="n"/>
      <c r="E1089" s="55" t="n"/>
      <c r="F1089" s="55" t="n"/>
      <c r="G1089" s="56" t="n"/>
      <c r="H1089" s="57" t="n"/>
      <c r="I1089" s="55" t="n"/>
      <c r="J1089" s="53" t="n"/>
      <c r="K1089" s="54" t="n"/>
      <c r="L1089" s="55" t="n"/>
      <c r="M1089" s="55" t="n"/>
      <c r="N1089" s="57" t="n"/>
      <c r="O1089" s="55" t="n"/>
      <c r="P1089" s="56" t="n"/>
      <c r="Q1089" s="55" t="n"/>
      <c r="R1089" s="55" t="n"/>
      <c r="S1089" s="55" t="n"/>
      <c r="T1089" s="55" t="n"/>
      <c r="U1089" s="55" t="n"/>
      <c r="V1089" s="55" t="n"/>
      <c r="W1089" s="58" t="n"/>
      <c r="X1089" s="58" t="n"/>
      <c r="Y1089" s="55" t="n"/>
      <c r="Z1089" s="55" t="n"/>
      <c r="AA1089" s="55" t="n"/>
      <c r="AB1089" s="55" t="n"/>
      <c r="AC1089" s="55" t="n"/>
      <c r="AD1089" s="53" t="n"/>
      <c r="AE1089" s="55" t="n"/>
      <c r="AF1089" s="55" t="n"/>
      <c r="AG1089" s="59" t="n"/>
      <c r="AH1089" s="57" t="n"/>
      <c r="AI1089" s="55" t="n"/>
      <c r="AJ1089" s="55" t="n"/>
      <c r="AK1089" s="55" t="n"/>
      <c r="AL1089" s="55" t="n"/>
      <c r="AM1089" s="56" t="n"/>
      <c r="AN1089" s="55" t="n"/>
      <c r="AO1089" s="55" t="n"/>
      <c r="AP1089" s="55" t="n"/>
      <c r="AQ1089" s="55" t="n"/>
      <c r="AR1089" s="60">
        <f>IF(AND(C1089="",E1089=""),"",IF(A1089="","⚠ Date manquante",IF(AND(C1089="",E1089&lt;&gt;"Dépense"),"⚠ Prospect manquant",IF(E1089="","⚠ Action manquante",IF(AND(AU1089=1,D1089=""),"⚠ Canal manquant",IF(AND(W1089&lt;&gt;"",COUNTIFS('Saisie'!$W$5:$W$2004,W1089,'Saisie'!$C$5:$C$2004,"&lt;&gt;"&amp;C1089)&gt;0),"⚠ Numéro déjà utilisé par un autre prospect",IF(AND(J1089&lt;&gt;"",J1089&lt;A1089),"⚠ Relance avant la date de l'action",IF(A1089&gt;TODAY(),"⚠ Date dans le futur","✓"))))))))</f>
        <v/>
      </c>
      <c r="AS1089" s="61">
        <f>IF(AND(A1089="",C1089="",E1089=""),"",ROW())</f>
        <v/>
      </c>
      <c r="AT1089" s="61">
        <f>IF(E1089&amp;F1089="","",MAX(IFERROR(INDEX('Paramètres'!$J$6:$J$33,MATCH(E1089,'Paramètres'!$I$6:$I$33,0)),0),IFERROR(INDEX('Paramètres'!$N$6:$N$17,MATCH(F1089,'Paramètres'!$M$6:$M$17,0)),0)))</f>
        <v/>
      </c>
      <c r="AU1089" s="61">
        <f>IF(E1089="","",IFERROR(IF(INDEX('Paramètres'!$K$6:$K$33,MATCH(E1089,'Paramètres'!$I$6:$I$33,0))="Oui",1,0),0))</f>
        <v/>
      </c>
      <c r="AV1089" s="61">
        <f>IF(F1089="","",IFERROR(IF(INDEX('Paramètres'!$O$6:$O$17,MATCH(F1089,'Paramètres'!$M$6:$M$17,0))="Oui",1,0),0))</f>
        <v/>
      </c>
      <c r="AW1089" s="62">
        <f>IF(E1089="","",IF(G1089&lt;&gt;"",G1089,IF(OR(E1089="Proposition envoyée",E1089="Signature"),MAX(0,N(IFERROR(INDEX('Paramètres'!$R$6:$R$15,MATCH(IF(AL1089&lt;&gt;"",AL1089,IFERROR(INDEX('Prospects'!$AN$5:$AN$504,MATCH(C1089,'Prospects'!$C$5:$C$504,0)),"")),'Paramètres'!$Q$6:$Q$15,0)),0))-N(P1089)),0)))</f>
        <v/>
      </c>
      <c r="AX1089" s="61">
        <f>IF(C1089="","",IF(COUNTIF($C$5:C1089,C1089)=1,MAX($AX$4:AX1088)+1,""))</f>
        <v/>
      </c>
      <c r="AY1089" s="61">
        <f>IF(B1089="","",HOUR(B1089))</f>
        <v/>
      </c>
      <c r="AZ1089" s="61">
        <f>IF(A1089="","",MOD(A1089-2,7)+1)</f>
        <v/>
      </c>
      <c r="BA1089" s="60">
        <f>IF(C1089="","",IFERROR(INDEX('Prospects'!$N$5:$N$504,MATCH(C1089,'Prospects'!$C$5:$C$504,0)),""))</f>
        <v/>
      </c>
      <c r="BB1089" s="61">
        <f>IF(AND(C1089&lt;&gt;"",C1089='Fiche prospect'!$C$4),COUNTIF($C$5:C1089,C1089),"")</f>
        <v/>
      </c>
    </row>
    <row r="1090">
      <c r="A1090" s="53" t="n"/>
      <c r="B1090" s="54" t="n"/>
      <c r="C1090" s="55" t="n"/>
      <c r="D1090" s="55" t="n"/>
      <c r="E1090" s="55" t="n"/>
      <c r="F1090" s="55" t="n"/>
      <c r="G1090" s="56" t="n"/>
      <c r="H1090" s="57" t="n"/>
      <c r="I1090" s="55" t="n"/>
      <c r="J1090" s="53" t="n"/>
      <c r="K1090" s="54" t="n"/>
      <c r="L1090" s="55" t="n"/>
      <c r="M1090" s="55" t="n"/>
      <c r="N1090" s="57" t="n"/>
      <c r="O1090" s="55" t="n"/>
      <c r="P1090" s="56" t="n"/>
      <c r="Q1090" s="55" t="n"/>
      <c r="R1090" s="55" t="n"/>
      <c r="S1090" s="55" t="n"/>
      <c r="T1090" s="55" t="n"/>
      <c r="U1090" s="55" t="n"/>
      <c r="V1090" s="55" t="n"/>
      <c r="W1090" s="58" t="n"/>
      <c r="X1090" s="58" t="n"/>
      <c r="Y1090" s="55" t="n"/>
      <c r="Z1090" s="55" t="n"/>
      <c r="AA1090" s="55" t="n"/>
      <c r="AB1090" s="55" t="n"/>
      <c r="AC1090" s="55" t="n"/>
      <c r="AD1090" s="53" t="n"/>
      <c r="AE1090" s="55" t="n"/>
      <c r="AF1090" s="55" t="n"/>
      <c r="AG1090" s="59" t="n"/>
      <c r="AH1090" s="57" t="n"/>
      <c r="AI1090" s="55" t="n"/>
      <c r="AJ1090" s="55" t="n"/>
      <c r="AK1090" s="55" t="n"/>
      <c r="AL1090" s="55" t="n"/>
      <c r="AM1090" s="56" t="n"/>
      <c r="AN1090" s="55" t="n"/>
      <c r="AO1090" s="55" t="n"/>
      <c r="AP1090" s="55" t="n"/>
      <c r="AQ1090" s="55" t="n"/>
      <c r="AR1090" s="60">
        <f>IF(AND(C1090="",E1090=""),"",IF(A1090="","⚠ Date manquante",IF(AND(C1090="",E1090&lt;&gt;"Dépense"),"⚠ Prospect manquant",IF(E1090="","⚠ Action manquante",IF(AND(AU1090=1,D1090=""),"⚠ Canal manquant",IF(AND(W1090&lt;&gt;"",COUNTIFS('Saisie'!$W$5:$W$2004,W1090,'Saisie'!$C$5:$C$2004,"&lt;&gt;"&amp;C1090)&gt;0),"⚠ Numéro déjà utilisé par un autre prospect",IF(AND(J1090&lt;&gt;"",J1090&lt;A1090),"⚠ Relance avant la date de l'action",IF(A1090&gt;TODAY(),"⚠ Date dans le futur","✓"))))))))</f>
        <v/>
      </c>
      <c r="AS1090" s="61">
        <f>IF(AND(A1090="",C1090="",E1090=""),"",ROW())</f>
        <v/>
      </c>
      <c r="AT1090" s="61">
        <f>IF(E1090&amp;F1090="","",MAX(IFERROR(INDEX('Paramètres'!$J$6:$J$33,MATCH(E1090,'Paramètres'!$I$6:$I$33,0)),0),IFERROR(INDEX('Paramètres'!$N$6:$N$17,MATCH(F1090,'Paramètres'!$M$6:$M$17,0)),0)))</f>
        <v/>
      </c>
      <c r="AU1090" s="61">
        <f>IF(E1090="","",IFERROR(IF(INDEX('Paramètres'!$K$6:$K$33,MATCH(E1090,'Paramètres'!$I$6:$I$33,0))="Oui",1,0),0))</f>
        <v/>
      </c>
      <c r="AV1090" s="61">
        <f>IF(F1090="","",IFERROR(IF(INDEX('Paramètres'!$O$6:$O$17,MATCH(F1090,'Paramètres'!$M$6:$M$17,0))="Oui",1,0),0))</f>
        <v/>
      </c>
      <c r="AW1090" s="62">
        <f>IF(E1090="","",IF(G1090&lt;&gt;"",G1090,IF(OR(E1090="Proposition envoyée",E1090="Signature"),MAX(0,N(IFERROR(INDEX('Paramètres'!$R$6:$R$15,MATCH(IF(AL1090&lt;&gt;"",AL1090,IFERROR(INDEX('Prospects'!$AN$5:$AN$504,MATCH(C1090,'Prospects'!$C$5:$C$504,0)),"")),'Paramètres'!$Q$6:$Q$15,0)),0))-N(P1090)),0)))</f>
        <v/>
      </c>
      <c r="AX1090" s="61">
        <f>IF(C1090="","",IF(COUNTIF($C$5:C1090,C1090)=1,MAX($AX$4:AX1089)+1,""))</f>
        <v/>
      </c>
      <c r="AY1090" s="61">
        <f>IF(B1090="","",HOUR(B1090))</f>
        <v/>
      </c>
      <c r="AZ1090" s="61">
        <f>IF(A1090="","",MOD(A1090-2,7)+1)</f>
        <v/>
      </c>
      <c r="BA1090" s="60">
        <f>IF(C1090="","",IFERROR(INDEX('Prospects'!$N$5:$N$504,MATCH(C1090,'Prospects'!$C$5:$C$504,0)),""))</f>
        <v/>
      </c>
      <c r="BB1090" s="61">
        <f>IF(AND(C1090&lt;&gt;"",C1090='Fiche prospect'!$C$4),COUNTIF($C$5:C1090,C1090),"")</f>
        <v/>
      </c>
    </row>
    <row r="1091">
      <c r="A1091" s="53" t="n"/>
      <c r="B1091" s="54" t="n"/>
      <c r="C1091" s="55" t="n"/>
      <c r="D1091" s="55" t="n"/>
      <c r="E1091" s="55" t="n"/>
      <c r="F1091" s="55" t="n"/>
      <c r="G1091" s="56" t="n"/>
      <c r="H1091" s="57" t="n"/>
      <c r="I1091" s="55" t="n"/>
      <c r="J1091" s="53" t="n"/>
      <c r="K1091" s="54" t="n"/>
      <c r="L1091" s="55" t="n"/>
      <c r="M1091" s="55" t="n"/>
      <c r="N1091" s="57" t="n"/>
      <c r="O1091" s="55" t="n"/>
      <c r="P1091" s="56" t="n"/>
      <c r="Q1091" s="55" t="n"/>
      <c r="R1091" s="55" t="n"/>
      <c r="S1091" s="55" t="n"/>
      <c r="T1091" s="55" t="n"/>
      <c r="U1091" s="55" t="n"/>
      <c r="V1091" s="55" t="n"/>
      <c r="W1091" s="58" t="n"/>
      <c r="X1091" s="58" t="n"/>
      <c r="Y1091" s="55" t="n"/>
      <c r="Z1091" s="55" t="n"/>
      <c r="AA1091" s="55" t="n"/>
      <c r="AB1091" s="55" t="n"/>
      <c r="AC1091" s="55" t="n"/>
      <c r="AD1091" s="53" t="n"/>
      <c r="AE1091" s="55" t="n"/>
      <c r="AF1091" s="55" t="n"/>
      <c r="AG1091" s="59" t="n"/>
      <c r="AH1091" s="57" t="n"/>
      <c r="AI1091" s="55" t="n"/>
      <c r="AJ1091" s="55" t="n"/>
      <c r="AK1091" s="55" t="n"/>
      <c r="AL1091" s="55" t="n"/>
      <c r="AM1091" s="56" t="n"/>
      <c r="AN1091" s="55" t="n"/>
      <c r="AO1091" s="55" t="n"/>
      <c r="AP1091" s="55" t="n"/>
      <c r="AQ1091" s="55" t="n"/>
      <c r="AR1091" s="60">
        <f>IF(AND(C1091="",E1091=""),"",IF(A1091="","⚠ Date manquante",IF(AND(C1091="",E1091&lt;&gt;"Dépense"),"⚠ Prospect manquant",IF(E1091="","⚠ Action manquante",IF(AND(AU1091=1,D1091=""),"⚠ Canal manquant",IF(AND(W1091&lt;&gt;"",COUNTIFS('Saisie'!$W$5:$W$2004,W1091,'Saisie'!$C$5:$C$2004,"&lt;&gt;"&amp;C1091)&gt;0),"⚠ Numéro déjà utilisé par un autre prospect",IF(AND(J1091&lt;&gt;"",J1091&lt;A1091),"⚠ Relance avant la date de l'action",IF(A1091&gt;TODAY(),"⚠ Date dans le futur","✓"))))))))</f>
        <v/>
      </c>
      <c r="AS1091" s="61">
        <f>IF(AND(A1091="",C1091="",E1091=""),"",ROW())</f>
        <v/>
      </c>
      <c r="AT1091" s="61">
        <f>IF(E1091&amp;F1091="","",MAX(IFERROR(INDEX('Paramètres'!$J$6:$J$33,MATCH(E1091,'Paramètres'!$I$6:$I$33,0)),0),IFERROR(INDEX('Paramètres'!$N$6:$N$17,MATCH(F1091,'Paramètres'!$M$6:$M$17,0)),0)))</f>
        <v/>
      </c>
      <c r="AU1091" s="61">
        <f>IF(E1091="","",IFERROR(IF(INDEX('Paramètres'!$K$6:$K$33,MATCH(E1091,'Paramètres'!$I$6:$I$33,0))="Oui",1,0),0))</f>
        <v/>
      </c>
      <c r="AV1091" s="61">
        <f>IF(F1091="","",IFERROR(IF(INDEX('Paramètres'!$O$6:$O$17,MATCH(F1091,'Paramètres'!$M$6:$M$17,0))="Oui",1,0),0))</f>
        <v/>
      </c>
      <c r="AW1091" s="62">
        <f>IF(E1091="","",IF(G1091&lt;&gt;"",G1091,IF(OR(E1091="Proposition envoyée",E1091="Signature"),MAX(0,N(IFERROR(INDEX('Paramètres'!$R$6:$R$15,MATCH(IF(AL1091&lt;&gt;"",AL1091,IFERROR(INDEX('Prospects'!$AN$5:$AN$504,MATCH(C1091,'Prospects'!$C$5:$C$504,0)),"")),'Paramètres'!$Q$6:$Q$15,0)),0))-N(P1091)),0)))</f>
        <v/>
      </c>
      <c r="AX1091" s="61">
        <f>IF(C1091="","",IF(COUNTIF($C$5:C1091,C1091)=1,MAX($AX$4:AX1090)+1,""))</f>
        <v/>
      </c>
      <c r="AY1091" s="61">
        <f>IF(B1091="","",HOUR(B1091))</f>
        <v/>
      </c>
      <c r="AZ1091" s="61">
        <f>IF(A1091="","",MOD(A1091-2,7)+1)</f>
        <v/>
      </c>
      <c r="BA1091" s="60">
        <f>IF(C1091="","",IFERROR(INDEX('Prospects'!$N$5:$N$504,MATCH(C1091,'Prospects'!$C$5:$C$504,0)),""))</f>
        <v/>
      </c>
      <c r="BB1091" s="61">
        <f>IF(AND(C1091&lt;&gt;"",C1091='Fiche prospect'!$C$4),COUNTIF($C$5:C1091,C1091),"")</f>
        <v/>
      </c>
    </row>
    <row r="1092">
      <c r="A1092" s="53" t="n"/>
      <c r="B1092" s="54" t="n"/>
      <c r="C1092" s="55" t="n"/>
      <c r="D1092" s="55" t="n"/>
      <c r="E1092" s="55" t="n"/>
      <c r="F1092" s="55" t="n"/>
      <c r="G1092" s="56" t="n"/>
      <c r="H1092" s="57" t="n"/>
      <c r="I1092" s="55" t="n"/>
      <c r="J1092" s="53" t="n"/>
      <c r="K1092" s="54" t="n"/>
      <c r="L1092" s="55" t="n"/>
      <c r="M1092" s="55" t="n"/>
      <c r="N1092" s="57" t="n"/>
      <c r="O1092" s="55" t="n"/>
      <c r="P1092" s="56" t="n"/>
      <c r="Q1092" s="55" t="n"/>
      <c r="R1092" s="55" t="n"/>
      <c r="S1092" s="55" t="n"/>
      <c r="T1092" s="55" t="n"/>
      <c r="U1092" s="55" t="n"/>
      <c r="V1092" s="55" t="n"/>
      <c r="W1092" s="58" t="n"/>
      <c r="X1092" s="58" t="n"/>
      <c r="Y1092" s="55" t="n"/>
      <c r="Z1092" s="55" t="n"/>
      <c r="AA1092" s="55" t="n"/>
      <c r="AB1092" s="55" t="n"/>
      <c r="AC1092" s="55" t="n"/>
      <c r="AD1092" s="53" t="n"/>
      <c r="AE1092" s="55" t="n"/>
      <c r="AF1092" s="55" t="n"/>
      <c r="AG1092" s="59" t="n"/>
      <c r="AH1092" s="57" t="n"/>
      <c r="AI1092" s="55" t="n"/>
      <c r="AJ1092" s="55" t="n"/>
      <c r="AK1092" s="55" t="n"/>
      <c r="AL1092" s="55" t="n"/>
      <c r="AM1092" s="56" t="n"/>
      <c r="AN1092" s="55" t="n"/>
      <c r="AO1092" s="55" t="n"/>
      <c r="AP1092" s="55" t="n"/>
      <c r="AQ1092" s="55" t="n"/>
      <c r="AR1092" s="60">
        <f>IF(AND(C1092="",E1092=""),"",IF(A1092="","⚠ Date manquante",IF(AND(C1092="",E1092&lt;&gt;"Dépense"),"⚠ Prospect manquant",IF(E1092="","⚠ Action manquante",IF(AND(AU1092=1,D1092=""),"⚠ Canal manquant",IF(AND(W1092&lt;&gt;"",COUNTIFS('Saisie'!$W$5:$W$2004,W1092,'Saisie'!$C$5:$C$2004,"&lt;&gt;"&amp;C1092)&gt;0),"⚠ Numéro déjà utilisé par un autre prospect",IF(AND(J1092&lt;&gt;"",J1092&lt;A1092),"⚠ Relance avant la date de l'action",IF(A1092&gt;TODAY(),"⚠ Date dans le futur","✓"))))))))</f>
        <v/>
      </c>
      <c r="AS1092" s="61">
        <f>IF(AND(A1092="",C1092="",E1092=""),"",ROW())</f>
        <v/>
      </c>
      <c r="AT1092" s="61">
        <f>IF(E1092&amp;F1092="","",MAX(IFERROR(INDEX('Paramètres'!$J$6:$J$33,MATCH(E1092,'Paramètres'!$I$6:$I$33,0)),0),IFERROR(INDEX('Paramètres'!$N$6:$N$17,MATCH(F1092,'Paramètres'!$M$6:$M$17,0)),0)))</f>
        <v/>
      </c>
      <c r="AU1092" s="61">
        <f>IF(E1092="","",IFERROR(IF(INDEX('Paramètres'!$K$6:$K$33,MATCH(E1092,'Paramètres'!$I$6:$I$33,0))="Oui",1,0),0))</f>
        <v/>
      </c>
      <c r="AV1092" s="61">
        <f>IF(F1092="","",IFERROR(IF(INDEX('Paramètres'!$O$6:$O$17,MATCH(F1092,'Paramètres'!$M$6:$M$17,0))="Oui",1,0),0))</f>
        <v/>
      </c>
      <c r="AW1092" s="62">
        <f>IF(E1092="","",IF(G1092&lt;&gt;"",G1092,IF(OR(E1092="Proposition envoyée",E1092="Signature"),MAX(0,N(IFERROR(INDEX('Paramètres'!$R$6:$R$15,MATCH(IF(AL1092&lt;&gt;"",AL1092,IFERROR(INDEX('Prospects'!$AN$5:$AN$504,MATCH(C1092,'Prospects'!$C$5:$C$504,0)),"")),'Paramètres'!$Q$6:$Q$15,0)),0))-N(P1092)),0)))</f>
        <v/>
      </c>
      <c r="AX1092" s="61">
        <f>IF(C1092="","",IF(COUNTIF($C$5:C1092,C1092)=1,MAX($AX$4:AX1091)+1,""))</f>
        <v/>
      </c>
      <c r="AY1092" s="61">
        <f>IF(B1092="","",HOUR(B1092))</f>
        <v/>
      </c>
      <c r="AZ1092" s="61">
        <f>IF(A1092="","",MOD(A1092-2,7)+1)</f>
        <v/>
      </c>
      <c r="BA1092" s="60">
        <f>IF(C1092="","",IFERROR(INDEX('Prospects'!$N$5:$N$504,MATCH(C1092,'Prospects'!$C$5:$C$504,0)),""))</f>
        <v/>
      </c>
      <c r="BB1092" s="61">
        <f>IF(AND(C1092&lt;&gt;"",C1092='Fiche prospect'!$C$4),COUNTIF($C$5:C1092,C1092),"")</f>
        <v/>
      </c>
    </row>
    <row r="1093">
      <c r="A1093" s="53" t="n"/>
      <c r="B1093" s="54" t="n"/>
      <c r="C1093" s="55" t="n"/>
      <c r="D1093" s="55" t="n"/>
      <c r="E1093" s="55" t="n"/>
      <c r="F1093" s="55" t="n"/>
      <c r="G1093" s="56" t="n"/>
      <c r="H1093" s="57" t="n"/>
      <c r="I1093" s="55" t="n"/>
      <c r="J1093" s="53" t="n"/>
      <c r="K1093" s="54" t="n"/>
      <c r="L1093" s="55" t="n"/>
      <c r="M1093" s="55" t="n"/>
      <c r="N1093" s="57" t="n"/>
      <c r="O1093" s="55" t="n"/>
      <c r="P1093" s="56" t="n"/>
      <c r="Q1093" s="55" t="n"/>
      <c r="R1093" s="55" t="n"/>
      <c r="S1093" s="55" t="n"/>
      <c r="T1093" s="55" t="n"/>
      <c r="U1093" s="55" t="n"/>
      <c r="V1093" s="55" t="n"/>
      <c r="W1093" s="58" t="n"/>
      <c r="X1093" s="58" t="n"/>
      <c r="Y1093" s="55" t="n"/>
      <c r="Z1093" s="55" t="n"/>
      <c r="AA1093" s="55" t="n"/>
      <c r="AB1093" s="55" t="n"/>
      <c r="AC1093" s="55" t="n"/>
      <c r="AD1093" s="53" t="n"/>
      <c r="AE1093" s="55" t="n"/>
      <c r="AF1093" s="55" t="n"/>
      <c r="AG1093" s="59" t="n"/>
      <c r="AH1093" s="57" t="n"/>
      <c r="AI1093" s="55" t="n"/>
      <c r="AJ1093" s="55" t="n"/>
      <c r="AK1093" s="55" t="n"/>
      <c r="AL1093" s="55" t="n"/>
      <c r="AM1093" s="56" t="n"/>
      <c r="AN1093" s="55" t="n"/>
      <c r="AO1093" s="55" t="n"/>
      <c r="AP1093" s="55" t="n"/>
      <c r="AQ1093" s="55" t="n"/>
      <c r="AR1093" s="60">
        <f>IF(AND(C1093="",E1093=""),"",IF(A1093="","⚠ Date manquante",IF(AND(C1093="",E1093&lt;&gt;"Dépense"),"⚠ Prospect manquant",IF(E1093="","⚠ Action manquante",IF(AND(AU1093=1,D1093=""),"⚠ Canal manquant",IF(AND(W1093&lt;&gt;"",COUNTIFS('Saisie'!$W$5:$W$2004,W1093,'Saisie'!$C$5:$C$2004,"&lt;&gt;"&amp;C1093)&gt;0),"⚠ Numéro déjà utilisé par un autre prospect",IF(AND(J1093&lt;&gt;"",J1093&lt;A1093),"⚠ Relance avant la date de l'action",IF(A1093&gt;TODAY(),"⚠ Date dans le futur","✓"))))))))</f>
        <v/>
      </c>
      <c r="AS1093" s="61">
        <f>IF(AND(A1093="",C1093="",E1093=""),"",ROW())</f>
        <v/>
      </c>
      <c r="AT1093" s="61">
        <f>IF(E1093&amp;F1093="","",MAX(IFERROR(INDEX('Paramètres'!$J$6:$J$33,MATCH(E1093,'Paramètres'!$I$6:$I$33,0)),0),IFERROR(INDEX('Paramètres'!$N$6:$N$17,MATCH(F1093,'Paramètres'!$M$6:$M$17,0)),0)))</f>
        <v/>
      </c>
      <c r="AU1093" s="61">
        <f>IF(E1093="","",IFERROR(IF(INDEX('Paramètres'!$K$6:$K$33,MATCH(E1093,'Paramètres'!$I$6:$I$33,0))="Oui",1,0),0))</f>
        <v/>
      </c>
      <c r="AV1093" s="61">
        <f>IF(F1093="","",IFERROR(IF(INDEX('Paramètres'!$O$6:$O$17,MATCH(F1093,'Paramètres'!$M$6:$M$17,0))="Oui",1,0),0))</f>
        <v/>
      </c>
      <c r="AW1093" s="62">
        <f>IF(E1093="","",IF(G1093&lt;&gt;"",G1093,IF(OR(E1093="Proposition envoyée",E1093="Signature"),MAX(0,N(IFERROR(INDEX('Paramètres'!$R$6:$R$15,MATCH(IF(AL1093&lt;&gt;"",AL1093,IFERROR(INDEX('Prospects'!$AN$5:$AN$504,MATCH(C1093,'Prospects'!$C$5:$C$504,0)),"")),'Paramètres'!$Q$6:$Q$15,0)),0))-N(P1093)),0)))</f>
        <v/>
      </c>
      <c r="AX1093" s="61">
        <f>IF(C1093="","",IF(COUNTIF($C$5:C1093,C1093)=1,MAX($AX$4:AX1092)+1,""))</f>
        <v/>
      </c>
      <c r="AY1093" s="61">
        <f>IF(B1093="","",HOUR(B1093))</f>
        <v/>
      </c>
      <c r="AZ1093" s="61">
        <f>IF(A1093="","",MOD(A1093-2,7)+1)</f>
        <v/>
      </c>
      <c r="BA1093" s="60">
        <f>IF(C1093="","",IFERROR(INDEX('Prospects'!$N$5:$N$504,MATCH(C1093,'Prospects'!$C$5:$C$504,0)),""))</f>
        <v/>
      </c>
      <c r="BB1093" s="61">
        <f>IF(AND(C1093&lt;&gt;"",C1093='Fiche prospect'!$C$4),COUNTIF($C$5:C1093,C1093),"")</f>
        <v/>
      </c>
    </row>
    <row r="1094">
      <c r="A1094" s="53" t="n"/>
      <c r="B1094" s="54" t="n"/>
      <c r="C1094" s="55" t="n"/>
      <c r="D1094" s="55" t="n"/>
      <c r="E1094" s="55" t="n"/>
      <c r="F1094" s="55" t="n"/>
      <c r="G1094" s="56" t="n"/>
      <c r="H1094" s="57" t="n"/>
      <c r="I1094" s="55" t="n"/>
      <c r="J1094" s="53" t="n"/>
      <c r="K1094" s="54" t="n"/>
      <c r="L1094" s="55" t="n"/>
      <c r="M1094" s="55" t="n"/>
      <c r="N1094" s="57" t="n"/>
      <c r="O1094" s="55" t="n"/>
      <c r="P1094" s="56" t="n"/>
      <c r="Q1094" s="55" t="n"/>
      <c r="R1094" s="55" t="n"/>
      <c r="S1094" s="55" t="n"/>
      <c r="T1094" s="55" t="n"/>
      <c r="U1094" s="55" t="n"/>
      <c r="V1094" s="55" t="n"/>
      <c r="W1094" s="58" t="n"/>
      <c r="X1094" s="58" t="n"/>
      <c r="Y1094" s="55" t="n"/>
      <c r="Z1094" s="55" t="n"/>
      <c r="AA1094" s="55" t="n"/>
      <c r="AB1094" s="55" t="n"/>
      <c r="AC1094" s="55" t="n"/>
      <c r="AD1094" s="53" t="n"/>
      <c r="AE1094" s="55" t="n"/>
      <c r="AF1094" s="55" t="n"/>
      <c r="AG1094" s="59" t="n"/>
      <c r="AH1094" s="57" t="n"/>
      <c r="AI1094" s="55" t="n"/>
      <c r="AJ1094" s="55" t="n"/>
      <c r="AK1094" s="55" t="n"/>
      <c r="AL1094" s="55" t="n"/>
      <c r="AM1094" s="56" t="n"/>
      <c r="AN1094" s="55" t="n"/>
      <c r="AO1094" s="55" t="n"/>
      <c r="AP1094" s="55" t="n"/>
      <c r="AQ1094" s="55" t="n"/>
      <c r="AR1094" s="60">
        <f>IF(AND(C1094="",E1094=""),"",IF(A1094="","⚠ Date manquante",IF(AND(C1094="",E1094&lt;&gt;"Dépense"),"⚠ Prospect manquant",IF(E1094="","⚠ Action manquante",IF(AND(AU1094=1,D1094=""),"⚠ Canal manquant",IF(AND(W1094&lt;&gt;"",COUNTIFS('Saisie'!$W$5:$W$2004,W1094,'Saisie'!$C$5:$C$2004,"&lt;&gt;"&amp;C1094)&gt;0),"⚠ Numéro déjà utilisé par un autre prospect",IF(AND(J1094&lt;&gt;"",J1094&lt;A1094),"⚠ Relance avant la date de l'action",IF(A1094&gt;TODAY(),"⚠ Date dans le futur","✓"))))))))</f>
        <v/>
      </c>
      <c r="AS1094" s="61">
        <f>IF(AND(A1094="",C1094="",E1094=""),"",ROW())</f>
        <v/>
      </c>
      <c r="AT1094" s="61">
        <f>IF(E1094&amp;F1094="","",MAX(IFERROR(INDEX('Paramètres'!$J$6:$J$33,MATCH(E1094,'Paramètres'!$I$6:$I$33,0)),0),IFERROR(INDEX('Paramètres'!$N$6:$N$17,MATCH(F1094,'Paramètres'!$M$6:$M$17,0)),0)))</f>
        <v/>
      </c>
      <c r="AU1094" s="61">
        <f>IF(E1094="","",IFERROR(IF(INDEX('Paramètres'!$K$6:$K$33,MATCH(E1094,'Paramètres'!$I$6:$I$33,0))="Oui",1,0),0))</f>
        <v/>
      </c>
      <c r="AV1094" s="61">
        <f>IF(F1094="","",IFERROR(IF(INDEX('Paramètres'!$O$6:$O$17,MATCH(F1094,'Paramètres'!$M$6:$M$17,0))="Oui",1,0),0))</f>
        <v/>
      </c>
      <c r="AW1094" s="62">
        <f>IF(E1094="","",IF(G1094&lt;&gt;"",G1094,IF(OR(E1094="Proposition envoyée",E1094="Signature"),MAX(0,N(IFERROR(INDEX('Paramètres'!$R$6:$R$15,MATCH(IF(AL1094&lt;&gt;"",AL1094,IFERROR(INDEX('Prospects'!$AN$5:$AN$504,MATCH(C1094,'Prospects'!$C$5:$C$504,0)),"")),'Paramètres'!$Q$6:$Q$15,0)),0))-N(P1094)),0)))</f>
        <v/>
      </c>
      <c r="AX1094" s="61">
        <f>IF(C1094="","",IF(COUNTIF($C$5:C1094,C1094)=1,MAX($AX$4:AX1093)+1,""))</f>
        <v/>
      </c>
      <c r="AY1094" s="61">
        <f>IF(B1094="","",HOUR(B1094))</f>
        <v/>
      </c>
      <c r="AZ1094" s="61">
        <f>IF(A1094="","",MOD(A1094-2,7)+1)</f>
        <v/>
      </c>
      <c r="BA1094" s="60">
        <f>IF(C1094="","",IFERROR(INDEX('Prospects'!$N$5:$N$504,MATCH(C1094,'Prospects'!$C$5:$C$504,0)),""))</f>
        <v/>
      </c>
      <c r="BB1094" s="61">
        <f>IF(AND(C1094&lt;&gt;"",C1094='Fiche prospect'!$C$4),COUNTIF($C$5:C1094,C1094),"")</f>
        <v/>
      </c>
    </row>
    <row r="1095">
      <c r="A1095" s="53" t="n"/>
      <c r="B1095" s="54" t="n"/>
      <c r="C1095" s="55" t="n"/>
      <c r="D1095" s="55" t="n"/>
      <c r="E1095" s="55" t="n"/>
      <c r="F1095" s="55" t="n"/>
      <c r="G1095" s="56" t="n"/>
      <c r="H1095" s="57" t="n"/>
      <c r="I1095" s="55" t="n"/>
      <c r="J1095" s="53" t="n"/>
      <c r="K1095" s="54" t="n"/>
      <c r="L1095" s="55" t="n"/>
      <c r="M1095" s="55" t="n"/>
      <c r="N1095" s="57" t="n"/>
      <c r="O1095" s="55" t="n"/>
      <c r="P1095" s="56" t="n"/>
      <c r="Q1095" s="55" t="n"/>
      <c r="R1095" s="55" t="n"/>
      <c r="S1095" s="55" t="n"/>
      <c r="T1095" s="55" t="n"/>
      <c r="U1095" s="55" t="n"/>
      <c r="V1095" s="55" t="n"/>
      <c r="W1095" s="58" t="n"/>
      <c r="X1095" s="58" t="n"/>
      <c r="Y1095" s="55" t="n"/>
      <c r="Z1095" s="55" t="n"/>
      <c r="AA1095" s="55" t="n"/>
      <c r="AB1095" s="55" t="n"/>
      <c r="AC1095" s="55" t="n"/>
      <c r="AD1095" s="53" t="n"/>
      <c r="AE1095" s="55" t="n"/>
      <c r="AF1095" s="55" t="n"/>
      <c r="AG1095" s="59" t="n"/>
      <c r="AH1095" s="57" t="n"/>
      <c r="AI1095" s="55" t="n"/>
      <c r="AJ1095" s="55" t="n"/>
      <c r="AK1095" s="55" t="n"/>
      <c r="AL1095" s="55" t="n"/>
      <c r="AM1095" s="56" t="n"/>
      <c r="AN1095" s="55" t="n"/>
      <c r="AO1095" s="55" t="n"/>
      <c r="AP1095" s="55" t="n"/>
      <c r="AQ1095" s="55" t="n"/>
      <c r="AR1095" s="60">
        <f>IF(AND(C1095="",E1095=""),"",IF(A1095="","⚠ Date manquante",IF(AND(C1095="",E1095&lt;&gt;"Dépense"),"⚠ Prospect manquant",IF(E1095="","⚠ Action manquante",IF(AND(AU1095=1,D1095=""),"⚠ Canal manquant",IF(AND(W1095&lt;&gt;"",COUNTIFS('Saisie'!$W$5:$W$2004,W1095,'Saisie'!$C$5:$C$2004,"&lt;&gt;"&amp;C1095)&gt;0),"⚠ Numéro déjà utilisé par un autre prospect",IF(AND(J1095&lt;&gt;"",J1095&lt;A1095),"⚠ Relance avant la date de l'action",IF(A1095&gt;TODAY(),"⚠ Date dans le futur","✓"))))))))</f>
        <v/>
      </c>
      <c r="AS1095" s="61">
        <f>IF(AND(A1095="",C1095="",E1095=""),"",ROW())</f>
        <v/>
      </c>
      <c r="AT1095" s="61">
        <f>IF(E1095&amp;F1095="","",MAX(IFERROR(INDEX('Paramètres'!$J$6:$J$33,MATCH(E1095,'Paramètres'!$I$6:$I$33,0)),0),IFERROR(INDEX('Paramètres'!$N$6:$N$17,MATCH(F1095,'Paramètres'!$M$6:$M$17,0)),0)))</f>
        <v/>
      </c>
      <c r="AU1095" s="61">
        <f>IF(E1095="","",IFERROR(IF(INDEX('Paramètres'!$K$6:$K$33,MATCH(E1095,'Paramètres'!$I$6:$I$33,0))="Oui",1,0),0))</f>
        <v/>
      </c>
      <c r="AV1095" s="61">
        <f>IF(F1095="","",IFERROR(IF(INDEX('Paramètres'!$O$6:$O$17,MATCH(F1095,'Paramètres'!$M$6:$M$17,0))="Oui",1,0),0))</f>
        <v/>
      </c>
      <c r="AW1095" s="62">
        <f>IF(E1095="","",IF(G1095&lt;&gt;"",G1095,IF(OR(E1095="Proposition envoyée",E1095="Signature"),MAX(0,N(IFERROR(INDEX('Paramètres'!$R$6:$R$15,MATCH(IF(AL1095&lt;&gt;"",AL1095,IFERROR(INDEX('Prospects'!$AN$5:$AN$504,MATCH(C1095,'Prospects'!$C$5:$C$504,0)),"")),'Paramètres'!$Q$6:$Q$15,0)),0))-N(P1095)),0)))</f>
        <v/>
      </c>
      <c r="AX1095" s="61">
        <f>IF(C1095="","",IF(COUNTIF($C$5:C1095,C1095)=1,MAX($AX$4:AX1094)+1,""))</f>
        <v/>
      </c>
      <c r="AY1095" s="61">
        <f>IF(B1095="","",HOUR(B1095))</f>
        <v/>
      </c>
      <c r="AZ1095" s="61">
        <f>IF(A1095="","",MOD(A1095-2,7)+1)</f>
        <v/>
      </c>
      <c r="BA1095" s="60">
        <f>IF(C1095="","",IFERROR(INDEX('Prospects'!$N$5:$N$504,MATCH(C1095,'Prospects'!$C$5:$C$504,0)),""))</f>
        <v/>
      </c>
      <c r="BB1095" s="61">
        <f>IF(AND(C1095&lt;&gt;"",C1095='Fiche prospect'!$C$4),COUNTIF($C$5:C1095,C1095),"")</f>
        <v/>
      </c>
    </row>
    <row r="1096">
      <c r="A1096" s="53" t="n"/>
      <c r="B1096" s="54" t="n"/>
      <c r="C1096" s="55" t="n"/>
      <c r="D1096" s="55" t="n"/>
      <c r="E1096" s="55" t="n"/>
      <c r="F1096" s="55" t="n"/>
      <c r="G1096" s="56" t="n"/>
      <c r="H1096" s="57" t="n"/>
      <c r="I1096" s="55" t="n"/>
      <c r="J1096" s="53" t="n"/>
      <c r="K1096" s="54" t="n"/>
      <c r="L1096" s="55" t="n"/>
      <c r="M1096" s="55" t="n"/>
      <c r="N1096" s="57" t="n"/>
      <c r="O1096" s="55" t="n"/>
      <c r="P1096" s="56" t="n"/>
      <c r="Q1096" s="55" t="n"/>
      <c r="R1096" s="55" t="n"/>
      <c r="S1096" s="55" t="n"/>
      <c r="T1096" s="55" t="n"/>
      <c r="U1096" s="55" t="n"/>
      <c r="V1096" s="55" t="n"/>
      <c r="W1096" s="58" t="n"/>
      <c r="X1096" s="58" t="n"/>
      <c r="Y1096" s="55" t="n"/>
      <c r="Z1096" s="55" t="n"/>
      <c r="AA1096" s="55" t="n"/>
      <c r="AB1096" s="55" t="n"/>
      <c r="AC1096" s="55" t="n"/>
      <c r="AD1096" s="53" t="n"/>
      <c r="AE1096" s="55" t="n"/>
      <c r="AF1096" s="55" t="n"/>
      <c r="AG1096" s="59" t="n"/>
      <c r="AH1096" s="57" t="n"/>
      <c r="AI1096" s="55" t="n"/>
      <c r="AJ1096" s="55" t="n"/>
      <c r="AK1096" s="55" t="n"/>
      <c r="AL1096" s="55" t="n"/>
      <c r="AM1096" s="56" t="n"/>
      <c r="AN1096" s="55" t="n"/>
      <c r="AO1096" s="55" t="n"/>
      <c r="AP1096" s="55" t="n"/>
      <c r="AQ1096" s="55" t="n"/>
      <c r="AR1096" s="60">
        <f>IF(AND(C1096="",E1096=""),"",IF(A1096="","⚠ Date manquante",IF(AND(C1096="",E1096&lt;&gt;"Dépense"),"⚠ Prospect manquant",IF(E1096="","⚠ Action manquante",IF(AND(AU1096=1,D1096=""),"⚠ Canal manquant",IF(AND(W1096&lt;&gt;"",COUNTIFS('Saisie'!$W$5:$W$2004,W1096,'Saisie'!$C$5:$C$2004,"&lt;&gt;"&amp;C1096)&gt;0),"⚠ Numéro déjà utilisé par un autre prospect",IF(AND(J1096&lt;&gt;"",J1096&lt;A1096),"⚠ Relance avant la date de l'action",IF(A1096&gt;TODAY(),"⚠ Date dans le futur","✓"))))))))</f>
        <v/>
      </c>
      <c r="AS1096" s="61">
        <f>IF(AND(A1096="",C1096="",E1096=""),"",ROW())</f>
        <v/>
      </c>
      <c r="AT1096" s="61">
        <f>IF(E1096&amp;F1096="","",MAX(IFERROR(INDEX('Paramètres'!$J$6:$J$33,MATCH(E1096,'Paramètres'!$I$6:$I$33,0)),0),IFERROR(INDEX('Paramètres'!$N$6:$N$17,MATCH(F1096,'Paramètres'!$M$6:$M$17,0)),0)))</f>
        <v/>
      </c>
      <c r="AU1096" s="61">
        <f>IF(E1096="","",IFERROR(IF(INDEX('Paramètres'!$K$6:$K$33,MATCH(E1096,'Paramètres'!$I$6:$I$33,0))="Oui",1,0),0))</f>
        <v/>
      </c>
      <c r="AV1096" s="61">
        <f>IF(F1096="","",IFERROR(IF(INDEX('Paramètres'!$O$6:$O$17,MATCH(F1096,'Paramètres'!$M$6:$M$17,0))="Oui",1,0),0))</f>
        <v/>
      </c>
      <c r="AW1096" s="62">
        <f>IF(E1096="","",IF(G1096&lt;&gt;"",G1096,IF(OR(E1096="Proposition envoyée",E1096="Signature"),MAX(0,N(IFERROR(INDEX('Paramètres'!$R$6:$R$15,MATCH(IF(AL1096&lt;&gt;"",AL1096,IFERROR(INDEX('Prospects'!$AN$5:$AN$504,MATCH(C1096,'Prospects'!$C$5:$C$504,0)),"")),'Paramètres'!$Q$6:$Q$15,0)),0))-N(P1096)),0)))</f>
        <v/>
      </c>
      <c r="AX1096" s="61">
        <f>IF(C1096="","",IF(COUNTIF($C$5:C1096,C1096)=1,MAX($AX$4:AX1095)+1,""))</f>
        <v/>
      </c>
      <c r="AY1096" s="61">
        <f>IF(B1096="","",HOUR(B1096))</f>
        <v/>
      </c>
      <c r="AZ1096" s="61">
        <f>IF(A1096="","",MOD(A1096-2,7)+1)</f>
        <v/>
      </c>
      <c r="BA1096" s="60">
        <f>IF(C1096="","",IFERROR(INDEX('Prospects'!$N$5:$N$504,MATCH(C1096,'Prospects'!$C$5:$C$504,0)),""))</f>
        <v/>
      </c>
      <c r="BB1096" s="61">
        <f>IF(AND(C1096&lt;&gt;"",C1096='Fiche prospect'!$C$4),COUNTIF($C$5:C1096,C1096),"")</f>
        <v/>
      </c>
    </row>
    <row r="1097">
      <c r="A1097" s="53" t="n"/>
      <c r="B1097" s="54" t="n"/>
      <c r="C1097" s="55" t="n"/>
      <c r="D1097" s="55" t="n"/>
      <c r="E1097" s="55" t="n"/>
      <c r="F1097" s="55" t="n"/>
      <c r="G1097" s="56" t="n"/>
      <c r="H1097" s="57" t="n"/>
      <c r="I1097" s="55" t="n"/>
      <c r="J1097" s="53" t="n"/>
      <c r="K1097" s="54" t="n"/>
      <c r="L1097" s="55" t="n"/>
      <c r="M1097" s="55" t="n"/>
      <c r="N1097" s="57" t="n"/>
      <c r="O1097" s="55" t="n"/>
      <c r="P1097" s="56" t="n"/>
      <c r="Q1097" s="55" t="n"/>
      <c r="R1097" s="55" t="n"/>
      <c r="S1097" s="55" t="n"/>
      <c r="T1097" s="55" t="n"/>
      <c r="U1097" s="55" t="n"/>
      <c r="V1097" s="55" t="n"/>
      <c r="W1097" s="58" t="n"/>
      <c r="X1097" s="58" t="n"/>
      <c r="Y1097" s="55" t="n"/>
      <c r="Z1097" s="55" t="n"/>
      <c r="AA1097" s="55" t="n"/>
      <c r="AB1097" s="55" t="n"/>
      <c r="AC1097" s="55" t="n"/>
      <c r="AD1097" s="53" t="n"/>
      <c r="AE1097" s="55" t="n"/>
      <c r="AF1097" s="55" t="n"/>
      <c r="AG1097" s="59" t="n"/>
      <c r="AH1097" s="57" t="n"/>
      <c r="AI1097" s="55" t="n"/>
      <c r="AJ1097" s="55" t="n"/>
      <c r="AK1097" s="55" t="n"/>
      <c r="AL1097" s="55" t="n"/>
      <c r="AM1097" s="56" t="n"/>
      <c r="AN1097" s="55" t="n"/>
      <c r="AO1097" s="55" t="n"/>
      <c r="AP1097" s="55" t="n"/>
      <c r="AQ1097" s="55" t="n"/>
      <c r="AR1097" s="60">
        <f>IF(AND(C1097="",E1097=""),"",IF(A1097="","⚠ Date manquante",IF(AND(C1097="",E1097&lt;&gt;"Dépense"),"⚠ Prospect manquant",IF(E1097="","⚠ Action manquante",IF(AND(AU1097=1,D1097=""),"⚠ Canal manquant",IF(AND(W1097&lt;&gt;"",COUNTIFS('Saisie'!$W$5:$W$2004,W1097,'Saisie'!$C$5:$C$2004,"&lt;&gt;"&amp;C1097)&gt;0),"⚠ Numéro déjà utilisé par un autre prospect",IF(AND(J1097&lt;&gt;"",J1097&lt;A1097),"⚠ Relance avant la date de l'action",IF(A1097&gt;TODAY(),"⚠ Date dans le futur","✓"))))))))</f>
        <v/>
      </c>
      <c r="AS1097" s="61">
        <f>IF(AND(A1097="",C1097="",E1097=""),"",ROW())</f>
        <v/>
      </c>
      <c r="AT1097" s="61">
        <f>IF(E1097&amp;F1097="","",MAX(IFERROR(INDEX('Paramètres'!$J$6:$J$33,MATCH(E1097,'Paramètres'!$I$6:$I$33,0)),0),IFERROR(INDEX('Paramètres'!$N$6:$N$17,MATCH(F1097,'Paramètres'!$M$6:$M$17,0)),0)))</f>
        <v/>
      </c>
      <c r="AU1097" s="61">
        <f>IF(E1097="","",IFERROR(IF(INDEX('Paramètres'!$K$6:$K$33,MATCH(E1097,'Paramètres'!$I$6:$I$33,0))="Oui",1,0),0))</f>
        <v/>
      </c>
      <c r="AV1097" s="61">
        <f>IF(F1097="","",IFERROR(IF(INDEX('Paramètres'!$O$6:$O$17,MATCH(F1097,'Paramètres'!$M$6:$M$17,0))="Oui",1,0),0))</f>
        <v/>
      </c>
      <c r="AW1097" s="62">
        <f>IF(E1097="","",IF(G1097&lt;&gt;"",G1097,IF(OR(E1097="Proposition envoyée",E1097="Signature"),MAX(0,N(IFERROR(INDEX('Paramètres'!$R$6:$R$15,MATCH(IF(AL1097&lt;&gt;"",AL1097,IFERROR(INDEX('Prospects'!$AN$5:$AN$504,MATCH(C1097,'Prospects'!$C$5:$C$504,0)),"")),'Paramètres'!$Q$6:$Q$15,0)),0))-N(P1097)),0)))</f>
        <v/>
      </c>
      <c r="AX1097" s="61">
        <f>IF(C1097="","",IF(COUNTIF($C$5:C1097,C1097)=1,MAX($AX$4:AX1096)+1,""))</f>
        <v/>
      </c>
      <c r="AY1097" s="61">
        <f>IF(B1097="","",HOUR(B1097))</f>
        <v/>
      </c>
      <c r="AZ1097" s="61">
        <f>IF(A1097="","",MOD(A1097-2,7)+1)</f>
        <v/>
      </c>
      <c r="BA1097" s="60">
        <f>IF(C1097="","",IFERROR(INDEX('Prospects'!$N$5:$N$504,MATCH(C1097,'Prospects'!$C$5:$C$504,0)),""))</f>
        <v/>
      </c>
      <c r="BB1097" s="61">
        <f>IF(AND(C1097&lt;&gt;"",C1097='Fiche prospect'!$C$4),COUNTIF($C$5:C1097,C1097),"")</f>
        <v/>
      </c>
    </row>
    <row r="1098">
      <c r="A1098" s="53" t="n"/>
      <c r="B1098" s="54" t="n"/>
      <c r="C1098" s="55" t="n"/>
      <c r="D1098" s="55" t="n"/>
      <c r="E1098" s="55" t="n"/>
      <c r="F1098" s="55" t="n"/>
      <c r="G1098" s="56" t="n"/>
      <c r="H1098" s="57" t="n"/>
      <c r="I1098" s="55" t="n"/>
      <c r="J1098" s="53" t="n"/>
      <c r="K1098" s="54" t="n"/>
      <c r="L1098" s="55" t="n"/>
      <c r="M1098" s="55" t="n"/>
      <c r="N1098" s="57" t="n"/>
      <c r="O1098" s="55" t="n"/>
      <c r="P1098" s="56" t="n"/>
      <c r="Q1098" s="55" t="n"/>
      <c r="R1098" s="55" t="n"/>
      <c r="S1098" s="55" t="n"/>
      <c r="T1098" s="55" t="n"/>
      <c r="U1098" s="55" t="n"/>
      <c r="V1098" s="55" t="n"/>
      <c r="W1098" s="58" t="n"/>
      <c r="X1098" s="58" t="n"/>
      <c r="Y1098" s="55" t="n"/>
      <c r="Z1098" s="55" t="n"/>
      <c r="AA1098" s="55" t="n"/>
      <c r="AB1098" s="55" t="n"/>
      <c r="AC1098" s="55" t="n"/>
      <c r="AD1098" s="53" t="n"/>
      <c r="AE1098" s="55" t="n"/>
      <c r="AF1098" s="55" t="n"/>
      <c r="AG1098" s="59" t="n"/>
      <c r="AH1098" s="57" t="n"/>
      <c r="AI1098" s="55" t="n"/>
      <c r="AJ1098" s="55" t="n"/>
      <c r="AK1098" s="55" t="n"/>
      <c r="AL1098" s="55" t="n"/>
      <c r="AM1098" s="56" t="n"/>
      <c r="AN1098" s="55" t="n"/>
      <c r="AO1098" s="55" t="n"/>
      <c r="AP1098" s="55" t="n"/>
      <c r="AQ1098" s="55" t="n"/>
      <c r="AR1098" s="60">
        <f>IF(AND(C1098="",E1098=""),"",IF(A1098="","⚠ Date manquante",IF(AND(C1098="",E1098&lt;&gt;"Dépense"),"⚠ Prospect manquant",IF(E1098="","⚠ Action manquante",IF(AND(AU1098=1,D1098=""),"⚠ Canal manquant",IF(AND(W1098&lt;&gt;"",COUNTIFS('Saisie'!$W$5:$W$2004,W1098,'Saisie'!$C$5:$C$2004,"&lt;&gt;"&amp;C1098)&gt;0),"⚠ Numéro déjà utilisé par un autre prospect",IF(AND(J1098&lt;&gt;"",J1098&lt;A1098),"⚠ Relance avant la date de l'action",IF(A1098&gt;TODAY(),"⚠ Date dans le futur","✓"))))))))</f>
        <v/>
      </c>
      <c r="AS1098" s="61">
        <f>IF(AND(A1098="",C1098="",E1098=""),"",ROW())</f>
        <v/>
      </c>
      <c r="AT1098" s="61">
        <f>IF(E1098&amp;F1098="","",MAX(IFERROR(INDEX('Paramètres'!$J$6:$J$33,MATCH(E1098,'Paramètres'!$I$6:$I$33,0)),0),IFERROR(INDEX('Paramètres'!$N$6:$N$17,MATCH(F1098,'Paramètres'!$M$6:$M$17,0)),0)))</f>
        <v/>
      </c>
      <c r="AU1098" s="61">
        <f>IF(E1098="","",IFERROR(IF(INDEX('Paramètres'!$K$6:$K$33,MATCH(E1098,'Paramètres'!$I$6:$I$33,0))="Oui",1,0),0))</f>
        <v/>
      </c>
      <c r="AV1098" s="61">
        <f>IF(F1098="","",IFERROR(IF(INDEX('Paramètres'!$O$6:$O$17,MATCH(F1098,'Paramètres'!$M$6:$M$17,0))="Oui",1,0),0))</f>
        <v/>
      </c>
      <c r="AW1098" s="62">
        <f>IF(E1098="","",IF(G1098&lt;&gt;"",G1098,IF(OR(E1098="Proposition envoyée",E1098="Signature"),MAX(0,N(IFERROR(INDEX('Paramètres'!$R$6:$R$15,MATCH(IF(AL1098&lt;&gt;"",AL1098,IFERROR(INDEX('Prospects'!$AN$5:$AN$504,MATCH(C1098,'Prospects'!$C$5:$C$504,0)),"")),'Paramètres'!$Q$6:$Q$15,0)),0))-N(P1098)),0)))</f>
        <v/>
      </c>
      <c r="AX1098" s="61">
        <f>IF(C1098="","",IF(COUNTIF($C$5:C1098,C1098)=1,MAX($AX$4:AX1097)+1,""))</f>
        <v/>
      </c>
      <c r="AY1098" s="61">
        <f>IF(B1098="","",HOUR(B1098))</f>
        <v/>
      </c>
      <c r="AZ1098" s="61">
        <f>IF(A1098="","",MOD(A1098-2,7)+1)</f>
        <v/>
      </c>
      <c r="BA1098" s="60">
        <f>IF(C1098="","",IFERROR(INDEX('Prospects'!$N$5:$N$504,MATCH(C1098,'Prospects'!$C$5:$C$504,0)),""))</f>
        <v/>
      </c>
      <c r="BB1098" s="61">
        <f>IF(AND(C1098&lt;&gt;"",C1098='Fiche prospect'!$C$4),COUNTIF($C$5:C1098,C1098),"")</f>
        <v/>
      </c>
    </row>
    <row r="1099">
      <c r="A1099" s="53" t="n"/>
      <c r="B1099" s="54" t="n"/>
      <c r="C1099" s="55" t="n"/>
      <c r="D1099" s="55" t="n"/>
      <c r="E1099" s="55" t="n"/>
      <c r="F1099" s="55" t="n"/>
      <c r="G1099" s="56" t="n"/>
      <c r="H1099" s="57" t="n"/>
      <c r="I1099" s="55" t="n"/>
      <c r="J1099" s="53" t="n"/>
      <c r="K1099" s="54" t="n"/>
      <c r="L1099" s="55" t="n"/>
      <c r="M1099" s="55" t="n"/>
      <c r="N1099" s="57" t="n"/>
      <c r="O1099" s="55" t="n"/>
      <c r="P1099" s="56" t="n"/>
      <c r="Q1099" s="55" t="n"/>
      <c r="R1099" s="55" t="n"/>
      <c r="S1099" s="55" t="n"/>
      <c r="T1099" s="55" t="n"/>
      <c r="U1099" s="55" t="n"/>
      <c r="V1099" s="55" t="n"/>
      <c r="W1099" s="58" t="n"/>
      <c r="X1099" s="58" t="n"/>
      <c r="Y1099" s="55" t="n"/>
      <c r="Z1099" s="55" t="n"/>
      <c r="AA1099" s="55" t="n"/>
      <c r="AB1099" s="55" t="n"/>
      <c r="AC1099" s="55" t="n"/>
      <c r="AD1099" s="53" t="n"/>
      <c r="AE1099" s="55" t="n"/>
      <c r="AF1099" s="55" t="n"/>
      <c r="AG1099" s="59" t="n"/>
      <c r="AH1099" s="57" t="n"/>
      <c r="AI1099" s="55" t="n"/>
      <c r="AJ1099" s="55" t="n"/>
      <c r="AK1099" s="55" t="n"/>
      <c r="AL1099" s="55" t="n"/>
      <c r="AM1099" s="56" t="n"/>
      <c r="AN1099" s="55" t="n"/>
      <c r="AO1099" s="55" t="n"/>
      <c r="AP1099" s="55" t="n"/>
      <c r="AQ1099" s="55" t="n"/>
      <c r="AR1099" s="60">
        <f>IF(AND(C1099="",E1099=""),"",IF(A1099="","⚠ Date manquante",IF(AND(C1099="",E1099&lt;&gt;"Dépense"),"⚠ Prospect manquant",IF(E1099="","⚠ Action manquante",IF(AND(AU1099=1,D1099=""),"⚠ Canal manquant",IF(AND(W1099&lt;&gt;"",COUNTIFS('Saisie'!$W$5:$W$2004,W1099,'Saisie'!$C$5:$C$2004,"&lt;&gt;"&amp;C1099)&gt;0),"⚠ Numéro déjà utilisé par un autre prospect",IF(AND(J1099&lt;&gt;"",J1099&lt;A1099),"⚠ Relance avant la date de l'action",IF(A1099&gt;TODAY(),"⚠ Date dans le futur","✓"))))))))</f>
        <v/>
      </c>
      <c r="AS1099" s="61">
        <f>IF(AND(A1099="",C1099="",E1099=""),"",ROW())</f>
        <v/>
      </c>
      <c r="AT1099" s="61">
        <f>IF(E1099&amp;F1099="","",MAX(IFERROR(INDEX('Paramètres'!$J$6:$J$33,MATCH(E1099,'Paramètres'!$I$6:$I$33,0)),0),IFERROR(INDEX('Paramètres'!$N$6:$N$17,MATCH(F1099,'Paramètres'!$M$6:$M$17,0)),0)))</f>
        <v/>
      </c>
      <c r="AU1099" s="61">
        <f>IF(E1099="","",IFERROR(IF(INDEX('Paramètres'!$K$6:$K$33,MATCH(E1099,'Paramètres'!$I$6:$I$33,0))="Oui",1,0),0))</f>
        <v/>
      </c>
      <c r="AV1099" s="61">
        <f>IF(F1099="","",IFERROR(IF(INDEX('Paramètres'!$O$6:$O$17,MATCH(F1099,'Paramètres'!$M$6:$M$17,0))="Oui",1,0),0))</f>
        <v/>
      </c>
      <c r="AW1099" s="62">
        <f>IF(E1099="","",IF(G1099&lt;&gt;"",G1099,IF(OR(E1099="Proposition envoyée",E1099="Signature"),MAX(0,N(IFERROR(INDEX('Paramètres'!$R$6:$R$15,MATCH(IF(AL1099&lt;&gt;"",AL1099,IFERROR(INDEX('Prospects'!$AN$5:$AN$504,MATCH(C1099,'Prospects'!$C$5:$C$504,0)),"")),'Paramètres'!$Q$6:$Q$15,0)),0))-N(P1099)),0)))</f>
        <v/>
      </c>
      <c r="AX1099" s="61">
        <f>IF(C1099="","",IF(COUNTIF($C$5:C1099,C1099)=1,MAX($AX$4:AX1098)+1,""))</f>
        <v/>
      </c>
      <c r="AY1099" s="61">
        <f>IF(B1099="","",HOUR(B1099))</f>
        <v/>
      </c>
      <c r="AZ1099" s="61">
        <f>IF(A1099="","",MOD(A1099-2,7)+1)</f>
        <v/>
      </c>
      <c r="BA1099" s="60">
        <f>IF(C1099="","",IFERROR(INDEX('Prospects'!$N$5:$N$504,MATCH(C1099,'Prospects'!$C$5:$C$504,0)),""))</f>
        <v/>
      </c>
      <c r="BB1099" s="61">
        <f>IF(AND(C1099&lt;&gt;"",C1099='Fiche prospect'!$C$4),COUNTIF($C$5:C1099,C1099),"")</f>
        <v/>
      </c>
    </row>
    <row r="1100">
      <c r="A1100" s="53" t="n"/>
      <c r="B1100" s="54" t="n"/>
      <c r="C1100" s="55" t="n"/>
      <c r="D1100" s="55" t="n"/>
      <c r="E1100" s="55" t="n"/>
      <c r="F1100" s="55" t="n"/>
      <c r="G1100" s="56" t="n"/>
      <c r="H1100" s="57" t="n"/>
      <c r="I1100" s="55" t="n"/>
      <c r="J1100" s="53" t="n"/>
      <c r="K1100" s="54" t="n"/>
      <c r="L1100" s="55" t="n"/>
      <c r="M1100" s="55" t="n"/>
      <c r="N1100" s="57" t="n"/>
      <c r="O1100" s="55" t="n"/>
      <c r="P1100" s="56" t="n"/>
      <c r="Q1100" s="55" t="n"/>
      <c r="R1100" s="55" t="n"/>
      <c r="S1100" s="55" t="n"/>
      <c r="T1100" s="55" t="n"/>
      <c r="U1100" s="55" t="n"/>
      <c r="V1100" s="55" t="n"/>
      <c r="W1100" s="58" t="n"/>
      <c r="X1100" s="58" t="n"/>
      <c r="Y1100" s="55" t="n"/>
      <c r="Z1100" s="55" t="n"/>
      <c r="AA1100" s="55" t="n"/>
      <c r="AB1100" s="55" t="n"/>
      <c r="AC1100" s="55" t="n"/>
      <c r="AD1100" s="53" t="n"/>
      <c r="AE1100" s="55" t="n"/>
      <c r="AF1100" s="55" t="n"/>
      <c r="AG1100" s="59" t="n"/>
      <c r="AH1100" s="57" t="n"/>
      <c r="AI1100" s="55" t="n"/>
      <c r="AJ1100" s="55" t="n"/>
      <c r="AK1100" s="55" t="n"/>
      <c r="AL1100" s="55" t="n"/>
      <c r="AM1100" s="56" t="n"/>
      <c r="AN1100" s="55" t="n"/>
      <c r="AO1100" s="55" t="n"/>
      <c r="AP1100" s="55" t="n"/>
      <c r="AQ1100" s="55" t="n"/>
      <c r="AR1100" s="60">
        <f>IF(AND(C1100="",E1100=""),"",IF(A1100="","⚠ Date manquante",IF(AND(C1100="",E1100&lt;&gt;"Dépense"),"⚠ Prospect manquant",IF(E1100="","⚠ Action manquante",IF(AND(AU1100=1,D1100=""),"⚠ Canal manquant",IF(AND(W1100&lt;&gt;"",COUNTIFS('Saisie'!$W$5:$W$2004,W1100,'Saisie'!$C$5:$C$2004,"&lt;&gt;"&amp;C1100)&gt;0),"⚠ Numéro déjà utilisé par un autre prospect",IF(AND(J1100&lt;&gt;"",J1100&lt;A1100),"⚠ Relance avant la date de l'action",IF(A1100&gt;TODAY(),"⚠ Date dans le futur","✓"))))))))</f>
        <v/>
      </c>
      <c r="AS1100" s="61">
        <f>IF(AND(A1100="",C1100="",E1100=""),"",ROW())</f>
        <v/>
      </c>
      <c r="AT1100" s="61">
        <f>IF(E1100&amp;F1100="","",MAX(IFERROR(INDEX('Paramètres'!$J$6:$J$33,MATCH(E1100,'Paramètres'!$I$6:$I$33,0)),0),IFERROR(INDEX('Paramètres'!$N$6:$N$17,MATCH(F1100,'Paramètres'!$M$6:$M$17,0)),0)))</f>
        <v/>
      </c>
      <c r="AU1100" s="61">
        <f>IF(E1100="","",IFERROR(IF(INDEX('Paramètres'!$K$6:$K$33,MATCH(E1100,'Paramètres'!$I$6:$I$33,0))="Oui",1,0),0))</f>
        <v/>
      </c>
      <c r="AV1100" s="61">
        <f>IF(F1100="","",IFERROR(IF(INDEX('Paramètres'!$O$6:$O$17,MATCH(F1100,'Paramètres'!$M$6:$M$17,0))="Oui",1,0),0))</f>
        <v/>
      </c>
      <c r="AW1100" s="62">
        <f>IF(E1100="","",IF(G1100&lt;&gt;"",G1100,IF(OR(E1100="Proposition envoyée",E1100="Signature"),MAX(0,N(IFERROR(INDEX('Paramètres'!$R$6:$R$15,MATCH(IF(AL1100&lt;&gt;"",AL1100,IFERROR(INDEX('Prospects'!$AN$5:$AN$504,MATCH(C1100,'Prospects'!$C$5:$C$504,0)),"")),'Paramètres'!$Q$6:$Q$15,0)),0))-N(P1100)),0)))</f>
        <v/>
      </c>
      <c r="AX1100" s="61">
        <f>IF(C1100="","",IF(COUNTIF($C$5:C1100,C1100)=1,MAX($AX$4:AX1099)+1,""))</f>
        <v/>
      </c>
      <c r="AY1100" s="61">
        <f>IF(B1100="","",HOUR(B1100))</f>
        <v/>
      </c>
      <c r="AZ1100" s="61">
        <f>IF(A1100="","",MOD(A1100-2,7)+1)</f>
        <v/>
      </c>
      <c r="BA1100" s="60">
        <f>IF(C1100="","",IFERROR(INDEX('Prospects'!$N$5:$N$504,MATCH(C1100,'Prospects'!$C$5:$C$504,0)),""))</f>
        <v/>
      </c>
      <c r="BB1100" s="61">
        <f>IF(AND(C1100&lt;&gt;"",C1100='Fiche prospect'!$C$4),COUNTIF($C$5:C1100,C1100),"")</f>
        <v/>
      </c>
    </row>
    <row r="1101">
      <c r="A1101" s="53" t="n"/>
      <c r="B1101" s="54" t="n"/>
      <c r="C1101" s="55" t="n"/>
      <c r="D1101" s="55" t="n"/>
      <c r="E1101" s="55" t="n"/>
      <c r="F1101" s="55" t="n"/>
      <c r="G1101" s="56" t="n"/>
      <c r="H1101" s="57" t="n"/>
      <c r="I1101" s="55" t="n"/>
      <c r="J1101" s="53" t="n"/>
      <c r="K1101" s="54" t="n"/>
      <c r="L1101" s="55" t="n"/>
      <c r="M1101" s="55" t="n"/>
      <c r="N1101" s="57" t="n"/>
      <c r="O1101" s="55" t="n"/>
      <c r="P1101" s="56" t="n"/>
      <c r="Q1101" s="55" t="n"/>
      <c r="R1101" s="55" t="n"/>
      <c r="S1101" s="55" t="n"/>
      <c r="T1101" s="55" t="n"/>
      <c r="U1101" s="55" t="n"/>
      <c r="V1101" s="55" t="n"/>
      <c r="W1101" s="58" t="n"/>
      <c r="X1101" s="58" t="n"/>
      <c r="Y1101" s="55" t="n"/>
      <c r="Z1101" s="55" t="n"/>
      <c r="AA1101" s="55" t="n"/>
      <c r="AB1101" s="55" t="n"/>
      <c r="AC1101" s="55" t="n"/>
      <c r="AD1101" s="53" t="n"/>
      <c r="AE1101" s="55" t="n"/>
      <c r="AF1101" s="55" t="n"/>
      <c r="AG1101" s="59" t="n"/>
      <c r="AH1101" s="57" t="n"/>
      <c r="AI1101" s="55" t="n"/>
      <c r="AJ1101" s="55" t="n"/>
      <c r="AK1101" s="55" t="n"/>
      <c r="AL1101" s="55" t="n"/>
      <c r="AM1101" s="56" t="n"/>
      <c r="AN1101" s="55" t="n"/>
      <c r="AO1101" s="55" t="n"/>
      <c r="AP1101" s="55" t="n"/>
      <c r="AQ1101" s="55" t="n"/>
      <c r="AR1101" s="60">
        <f>IF(AND(C1101="",E1101=""),"",IF(A1101="","⚠ Date manquante",IF(AND(C1101="",E1101&lt;&gt;"Dépense"),"⚠ Prospect manquant",IF(E1101="","⚠ Action manquante",IF(AND(AU1101=1,D1101=""),"⚠ Canal manquant",IF(AND(W1101&lt;&gt;"",COUNTIFS('Saisie'!$W$5:$W$2004,W1101,'Saisie'!$C$5:$C$2004,"&lt;&gt;"&amp;C1101)&gt;0),"⚠ Numéro déjà utilisé par un autre prospect",IF(AND(J1101&lt;&gt;"",J1101&lt;A1101),"⚠ Relance avant la date de l'action",IF(A1101&gt;TODAY(),"⚠ Date dans le futur","✓"))))))))</f>
        <v/>
      </c>
      <c r="AS1101" s="61">
        <f>IF(AND(A1101="",C1101="",E1101=""),"",ROW())</f>
        <v/>
      </c>
      <c r="AT1101" s="61">
        <f>IF(E1101&amp;F1101="","",MAX(IFERROR(INDEX('Paramètres'!$J$6:$J$33,MATCH(E1101,'Paramètres'!$I$6:$I$33,0)),0),IFERROR(INDEX('Paramètres'!$N$6:$N$17,MATCH(F1101,'Paramètres'!$M$6:$M$17,0)),0)))</f>
        <v/>
      </c>
      <c r="AU1101" s="61">
        <f>IF(E1101="","",IFERROR(IF(INDEX('Paramètres'!$K$6:$K$33,MATCH(E1101,'Paramètres'!$I$6:$I$33,0))="Oui",1,0),0))</f>
        <v/>
      </c>
      <c r="AV1101" s="61">
        <f>IF(F1101="","",IFERROR(IF(INDEX('Paramètres'!$O$6:$O$17,MATCH(F1101,'Paramètres'!$M$6:$M$17,0))="Oui",1,0),0))</f>
        <v/>
      </c>
      <c r="AW1101" s="62">
        <f>IF(E1101="","",IF(G1101&lt;&gt;"",G1101,IF(OR(E1101="Proposition envoyée",E1101="Signature"),MAX(0,N(IFERROR(INDEX('Paramètres'!$R$6:$R$15,MATCH(IF(AL1101&lt;&gt;"",AL1101,IFERROR(INDEX('Prospects'!$AN$5:$AN$504,MATCH(C1101,'Prospects'!$C$5:$C$504,0)),"")),'Paramètres'!$Q$6:$Q$15,0)),0))-N(P1101)),0)))</f>
        <v/>
      </c>
      <c r="AX1101" s="61">
        <f>IF(C1101="","",IF(COUNTIF($C$5:C1101,C1101)=1,MAX($AX$4:AX1100)+1,""))</f>
        <v/>
      </c>
      <c r="AY1101" s="61">
        <f>IF(B1101="","",HOUR(B1101))</f>
        <v/>
      </c>
      <c r="AZ1101" s="61">
        <f>IF(A1101="","",MOD(A1101-2,7)+1)</f>
        <v/>
      </c>
      <c r="BA1101" s="60">
        <f>IF(C1101="","",IFERROR(INDEX('Prospects'!$N$5:$N$504,MATCH(C1101,'Prospects'!$C$5:$C$504,0)),""))</f>
        <v/>
      </c>
      <c r="BB1101" s="61">
        <f>IF(AND(C1101&lt;&gt;"",C1101='Fiche prospect'!$C$4),COUNTIF($C$5:C1101,C1101),"")</f>
        <v/>
      </c>
    </row>
    <row r="1102">
      <c r="A1102" s="53" t="n"/>
      <c r="B1102" s="54" t="n"/>
      <c r="C1102" s="55" t="n"/>
      <c r="D1102" s="55" t="n"/>
      <c r="E1102" s="55" t="n"/>
      <c r="F1102" s="55" t="n"/>
      <c r="G1102" s="56" t="n"/>
      <c r="H1102" s="57" t="n"/>
      <c r="I1102" s="55" t="n"/>
      <c r="J1102" s="53" t="n"/>
      <c r="K1102" s="54" t="n"/>
      <c r="L1102" s="55" t="n"/>
      <c r="M1102" s="55" t="n"/>
      <c r="N1102" s="57" t="n"/>
      <c r="O1102" s="55" t="n"/>
      <c r="P1102" s="56" t="n"/>
      <c r="Q1102" s="55" t="n"/>
      <c r="R1102" s="55" t="n"/>
      <c r="S1102" s="55" t="n"/>
      <c r="T1102" s="55" t="n"/>
      <c r="U1102" s="55" t="n"/>
      <c r="V1102" s="55" t="n"/>
      <c r="W1102" s="58" t="n"/>
      <c r="X1102" s="58" t="n"/>
      <c r="Y1102" s="55" t="n"/>
      <c r="Z1102" s="55" t="n"/>
      <c r="AA1102" s="55" t="n"/>
      <c r="AB1102" s="55" t="n"/>
      <c r="AC1102" s="55" t="n"/>
      <c r="AD1102" s="53" t="n"/>
      <c r="AE1102" s="55" t="n"/>
      <c r="AF1102" s="55" t="n"/>
      <c r="AG1102" s="59" t="n"/>
      <c r="AH1102" s="57" t="n"/>
      <c r="AI1102" s="55" t="n"/>
      <c r="AJ1102" s="55" t="n"/>
      <c r="AK1102" s="55" t="n"/>
      <c r="AL1102" s="55" t="n"/>
      <c r="AM1102" s="56" t="n"/>
      <c r="AN1102" s="55" t="n"/>
      <c r="AO1102" s="55" t="n"/>
      <c r="AP1102" s="55" t="n"/>
      <c r="AQ1102" s="55" t="n"/>
      <c r="AR1102" s="60">
        <f>IF(AND(C1102="",E1102=""),"",IF(A1102="","⚠ Date manquante",IF(AND(C1102="",E1102&lt;&gt;"Dépense"),"⚠ Prospect manquant",IF(E1102="","⚠ Action manquante",IF(AND(AU1102=1,D1102=""),"⚠ Canal manquant",IF(AND(W1102&lt;&gt;"",COUNTIFS('Saisie'!$W$5:$W$2004,W1102,'Saisie'!$C$5:$C$2004,"&lt;&gt;"&amp;C1102)&gt;0),"⚠ Numéro déjà utilisé par un autre prospect",IF(AND(J1102&lt;&gt;"",J1102&lt;A1102),"⚠ Relance avant la date de l'action",IF(A1102&gt;TODAY(),"⚠ Date dans le futur","✓"))))))))</f>
        <v/>
      </c>
      <c r="AS1102" s="61">
        <f>IF(AND(A1102="",C1102="",E1102=""),"",ROW())</f>
        <v/>
      </c>
      <c r="AT1102" s="61">
        <f>IF(E1102&amp;F1102="","",MAX(IFERROR(INDEX('Paramètres'!$J$6:$J$33,MATCH(E1102,'Paramètres'!$I$6:$I$33,0)),0),IFERROR(INDEX('Paramètres'!$N$6:$N$17,MATCH(F1102,'Paramètres'!$M$6:$M$17,0)),0)))</f>
        <v/>
      </c>
      <c r="AU1102" s="61">
        <f>IF(E1102="","",IFERROR(IF(INDEX('Paramètres'!$K$6:$K$33,MATCH(E1102,'Paramètres'!$I$6:$I$33,0))="Oui",1,0),0))</f>
        <v/>
      </c>
      <c r="AV1102" s="61">
        <f>IF(F1102="","",IFERROR(IF(INDEX('Paramètres'!$O$6:$O$17,MATCH(F1102,'Paramètres'!$M$6:$M$17,0))="Oui",1,0),0))</f>
        <v/>
      </c>
      <c r="AW1102" s="62">
        <f>IF(E1102="","",IF(G1102&lt;&gt;"",G1102,IF(OR(E1102="Proposition envoyée",E1102="Signature"),MAX(0,N(IFERROR(INDEX('Paramètres'!$R$6:$R$15,MATCH(IF(AL1102&lt;&gt;"",AL1102,IFERROR(INDEX('Prospects'!$AN$5:$AN$504,MATCH(C1102,'Prospects'!$C$5:$C$504,0)),"")),'Paramètres'!$Q$6:$Q$15,0)),0))-N(P1102)),0)))</f>
        <v/>
      </c>
      <c r="AX1102" s="61">
        <f>IF(C1102="","",IF(COUNTIF($C$5:C1102,C1102)=1,MAX($AX$4:AX1101)+1,""))</f>
        <v/>
      </c>
      <c r="AY1102" s="61">
        <f>IF(B1102="","",HOUR(B1102))</f>
        <v/>
      </c>
      <c r="AZ1102" s="61">
        <f>IF(A1102="","",MOD(A1102-2,7)+1)</f>
        <v/>
      </c>
      <c r="BA1102" s="60">
        <f>IF(C1102="","",IFERROR(INDEX('Prospects'!$N$5:$N$504,MATCH(C1102,'Prospects'!$C$5:$C$504,0)),""))</f>
        <v/>
      </c>
      <c r="BB1102" s="61">
        <f>IF(AND(C1102&lt;&gt;"",C1102='Fiche prospect'!$C$4),COUNTIF($C$5:C1102,C1102),"")</f>
        <v/>
      </c>
    </row>
    <row r="1103">
      <c r="A1103" s="53" t="n"/>
      <c r="B1103" s="54" t="n"/>
      <c r="C1103" s="55" t="n"/>
      <c r="D1103" s="55" t="n"/>
      <c r="E1103" s="55" t="n"/>
      <c r="F1103" s="55" t="n"/>
      <c r="G1103" s="56" t="n"/>
      <c r="H1103" s="57" t="n"/>
      <c r="I1103" s="55" t="n"/>
      <c r="J1103" s="53" t="n"/>
      <c r="K1103" s="54" t="n"/>
      <c r="L1103" s="55" t="n"/>
      <c r="M1103" s="55" t="n"/>
      <c r="N1103" s="57" t="n"/>
      <c r="O1103" s="55" t="n"/>
      <c r="P1103" s="56" t="n"/>
      <c r="Q1103" s="55" t="n"/>
      <c r="R1103" s="55" t="n"/>
      <c r="S1103" s="55" t="n"/>
      <c r="T1103" s="55" t="n"/>
      <c r="U1103" s="55" t="n"/>
      <c r="V1103" s="55" t="n"/>
      <c r="W1103" s="58" t="n"/>
      <c r="X1103" s="58" t="n"/>
      <c r="Y1103" s="55" t="n"/>
      <c r="Z1103" s="55" t="n"/>
      <c r="AA1103" s="55" t="n"/>
      <c r="AB1103" s="55" t="n"/>
      <c r="AC1103" s="55" t="n"/>
      <c r="AD1103" s="53" t="n"/>
      <c r="AE1103" s="55" t="n"/>
      <c r="AF1103" s="55" t="n"/>
      <c r="AG1103" s="59" t="n"/>
      <c r="AH1103" s="57" t="n"/>
      <c r="AI1103" s="55" t="n"/>
      <c r="AJ1103" s="55" t="n"/>
      <c r="AK1103" s="55" t="n"/>
      <c r="AL1103" s="55" t="n"/>
      <c r="AM1103" s="56" t="n"/>
      <c r="AN1103" s="55" t="n"/>
      <c r="AO1103" s="55" t="n"/>
      <c r="AP1103" s="55" t="n"/>
      <c r="AQ1103" s="55" t="n"/>
      <c r="AR1103" s="60">
        <f>IF(AND(C1103="",E1103=""),"",IF(A1103="","⚠ Date manquante",IF(AND(C1103="",E1103&lt;&gt;"Dépense"),"⚠ Prospect manquant",IF(E1103="","⚠ Action manquante",IF(AND(AU1103=1,D1103=""),"⚠ Canal manquant",IF(AND(W1103&lt;&gt;"",COUNTIFS('Saisie'!$W$5:$W$2004,W1103,'Saisie'!$C$5:$C$2004,"&lt;&gt;"&amp;C1103)&gt;0),"⚠ Numéro déjà utilisé par un autre prospect",IF(AND(J1103&lt;&gt;"",J1103&lt;A1103),"⚠ Relance avant la date de l'action",IF(A1103&gt;TODAY(),"⚠ Date dans le futur","✓"))))))))</f>
        <v/>
      </c>
      <c r="AS1103" s="61">
        <f>IF(AND(A1103="",C1103="",E1103=""),"",ROW())</f>
        <v/>
      </c>
      <c r="AT1103" s="61">
        <f>IF(E1103&amp;F1103="","",MAX(IFERROR(INDEX('Paramètres'!$J$6:$J$33,MATCH(E1103,'Paramètres'!$I$6:$I$33,0)),0),IFERROR(INDEX('Paramètres'!$N$6:$N$17,MATCH(F1103,'Paramètres'!$M$6:$M$17,0)),0)))</f>
        <v/>
      </c>
      <c r="AU1103" s="61">
        <f>IF(E1103="","",IFERROR(IF(INDEX('Paramètres'!$K$6:$K$33,MATCH(E1103,'Paramètres'!$I$6:$I$33,0))="Oui",1,0),0))</f>
        <v/>
      </c>
      <c r="AV1103" s="61">
        <f>IF(F1103="","",IFERROR(IF(INDEX('Paramètres'!$O$6:$O$17,MATCH(F1103,'Paramètres'!$M$6:$M$17,0))="Oui",1,0),0))</f>
        <v/>
      </c>
      <c r="AW1103" s="62">
        <f>IF(E1103="","",IF(G1103&lt;&gt;"",G1103,IF(OR(E1103="Proposition envoyée",E1103="Signature"),MAX(0,N(IFERROR(INDEX('Paramètres'!$R$6:$R$15,MATCH(IF(AL1103&lt;&gt;"",AL1103,IFERROR(INDEX('Prospects'!$AN$5:$AN$504,MATCH(C1103,'Prospects'!$C$5:$C$504,0)),"")),'Paramètres'!$Q$6:$Q$15,0)),0))-N(P1103)),0)))</f>
        <v/>
      </c>
      <c r="AX1103" s="61">
        <f>IF(C1103="","",IF(COUNTIF($C$5:C1103,C1103)=1,MAX($AX$4:AX1102)+1,""))</f>
        <v/>
      </c>
      <c r="AY1103" s="61">
        <f>IF(B1103="","",HOUR(B1103))</f>
        <v/>
      </c>
      <c r="AZ1103" s="61">
        <f>IF(A1103="","",MOD(A1103-2,7)+1)</f>
        <v/>
      </c>
      <c r="BA1103" s="60">
        <f>IF(C1103="","",IFERROR(INDEX('Prospects'!$N$5:$N$504,MATCH(C1103,'Prospects'!$C$5:$C$504,0)),""))</f>
        <v/>
      </c>
      <c r="BB1103" s="61">
        <f>IF(AND(C1103&lt;&gt;"",C1103='Fiche prospect'!$C$4),COUNTIF($C$5:C1103,C1103),"")</f>
        <v/>
      </c>
    </row>
    <row r="1104">
      <c r="A1104" s="53" t="n"/>
      <c r="B1104" s="54" t="n"/>
      <c r="C1104" s="55" t="n"/>
      <c r="D1104" s="55" t="n"/>
      <c r="E1104" s="55" t="n"/>
      <c r="F1104" s="55" t="n"/>
      <c r="G1104" s="56" t="n"/>
      <c r="H1104" s="57" t="n"/>
      <c r="I1104" s="55" t="n"/>
      <c r="J1104" s="53" t="n"/>
      <c r="K1104" s="54" t="n"/>
      <c r="L1104" s="55" t="n"/>
      <c r="M1104" s="55" t="n"/>
      <c r="N1104" s="57" t="n"/>
      <c r="O1104" s="55" t="n"/>
      <c r="P1104" s="56" t="n"/>
      <c r="Q1104" s="55" t="n"/>
      <c r="R1104" s="55" t="n"/>
      <c r="S1104" s="55" t="n"/>
      <c r="T1104" s="55" t="n"/>
      <c r="U1104" s="55" t="n"/>
      <c r="V1104" s="55" t="n"/>
      <c r="W1104" s="58" t="n"/>
      <c r="X1104" s="58" t="n"/>
      <c r="Y1104" s="55" t="n"/>
      <c r="Z1104" s="55" t="n"/>
      <c r="AA1104" s="55" t="n"/>
      <c r="AB1104" s="55" t="n"/>
      <c r="AC1104" s="55" t="n"/>
      <c r="AD1104" s="53" t="n"/>
      <c r="AE1104" s="55" t="n"/>
      <c r="AF1104" s="55" t="n"/>
      <c r="AG1104" s="59" t="n"/>
      <c r="AH1104" s="57" t="n"/>
      <c r="AI1104" s="55" t="n"/>
      <c r="AJ1104" s="55" t="n"/>
      <c r="AK1104" s="55" t="n"/>
      <c r="AL1104" s="55" t="n"/>
      <c r="AM1104" s="56" t="n"/>
      <c r="AN1104" s="55" t="n"/>
      <c r="AO1104" s="55" t="n"/>
      <c r="AP1104" s="55" t="n"/>
      <c r="AQ1104" s="55" t="n"/>
      <c r="AR1104" s="60">
        <f>IF(AND(C1104="",E1104=""),"",IF(A1104="","⚠ Date manquante",IF(AND(C1104="",E1104&lt;&gt;"Dépense"),"⚠ Prospect manquant",IF(E1104="","⚠ Action manquante",IF(AND(AU1104=1,D1104=""),"⚠ Canal manquant",IF(AND(W1104&lt;&gt;"",COUNTIFS('Saisie'!$W$5:$W$2004,W1104,'Saisie'!$C$5:$C$2004,"&lt;&gt;"&amp;C1104)&gt;0),"⚠ Numéro déjà utilisé par un autre prospect",IF(AND(J1104&lt;&gt;"",J1104&lt;A1104),"⚠ Relance avant la date de l'action",IF(A1104&gt;TODAY(),"⚠ Date dans le futur","✓"))))))))</f>
        <v/>
      </c>
      <c r="AS1104" s="61">
        <f>IF(AND(A1104="",C1104="",E1104=""),"",ROW())</f>
        <v/>
      </c>
      <c r="AT1104" s="61">
        <f>IF(E1104&amp;F1104="","",MAX(IFERROR(INDEX('Paramètres'!$J$6:$J$33,MATCH(E1104,'Paramètres'!$I$6:$I$33,0)),0),IFERROR(INDEX('Paramètres'!$N$6:$N$17,MATCH(F1104,'Paramètres'!$M$6:$M$17,0)),0)))</f>
        <v/>
      </c>
      <c r="AU1104" s="61">
        <f>IF(E1104="","",IFERROR(IF(INDEX('Paramètres'!$K$6:$K$33,MATCH(E1104,'Paramètres'!$I$6:$I$33,0))="Oui",1,0),0))</f>
        <v/>
      </c>
      <c r="AV1104" s="61">
        <f>IF(F1104="","",IFERROR(IF(INDEX('Paramètres'!$O$6:$O$17,MATCH(F1104,'Paramètres'!$M$6:$M$17,0))="Oui",1,0),0))</f>
        <v/>
      </c>
      <c r="AW1104" s="62">
        <f>IF(E1104="","",IF(G1104&lt;&gt;"",G1104,IF(OR(E1104="Proposition envoyée",E1104="Signature"),MAX(0,N(IFERROR(INDEX('Paramètres'!$R$6:$R$15,MATCH(IF(AL1104&lt;&gt;"",AL1104,IFERROR(INDEX('Prospects'!$AN$5:$AN$504,MATCH(C1104,'Prospects'!$C$5:$C$504,0)),"")),'Paramètres'!$Q$6:$Q$15,0)),0))-N(P1104)),0)))</f>
        <v/>
      </c>
      <c r="AX1104" s="61">
        <f>IF(C1104="","",IF(COUNTIF($C$5:C1104,C1104)=1,MAX($AX$4:AX1103)+1,""))</f>
        <v/>
      </c>
      <c r="AY1104" s="61">
        <f>IF(B1104="","",HOUR(B1104))</f>
        <v/>
      </c>
      <c r="AZ1104" s="61">
        <f>IF(A1104="","",MOD(A1104-2,7)+1)</f>
        <v/>
      </c>
      <c r="BA1104" s="60">
        <f>IF(C1104="","",IFERROR(INDEX('Prospects'!$N$5:$N$504,MATCH(C1104,'Prospects'!$C$5:$C$504,0)),""))</f>
        <v/>
      </c>
      <c r="BB1104" s="61">
        <f>IF(AND(C1104&lt;&gt;"",C1104='Fiche prospect'!$C$4),COUNTIF($C$5:C1104,C1104),"")</f>
        <v/>
      </c>
    </row>
    <row r="1105">
      <c r="A1105" s="53" t="n"/>
      <c r="B1105" s="54" t="n"/>
      <c r="C1105" s="55" t="n"/>
      <c r="D1105" s="55" t="n"/>
      <c r="E1105" s="55" t="n"/>
      <c r="F1105" s="55" t="n"/>
      <c r="G1105" s="56" t="n"/>
      <c r="H1105" s="57" t="n"/>
      <c r="I1105" s="55" t="n"/>
      <c r="J1105" s="53" t="n"/>
      <c r="K1105" s="54" t="n"/>
      <c r="L1105" s="55" t="n"/>
      <c r="M1105" s="55" t="n"/>
      <c r="N1105" s="57" t="n"/>
      <c r="O1105" s="55" t="n"/>
      <c r="P1105" s="56" t="n"/>
      <c r="Q1105" s="55" t="n"/>
      <c r="R1105" s="55" t="n"/>
      <c r="S1105" s="55" t="n"/>
      <c r="T1105" s="55" t="n"/>
      <c r="U1105" s="55" t="n"/>
      <c r="V1105" s="55" t="n"/>
      <c r="W1105" s="58" t="n"/>
      <c r="X1105" s="58" t="n"/>
      <c r="Y1105" s="55" t="n"/>
      <c r="Z1105" s="55" t="n"/>
      <c r="AA1105" s="55" t="n"/>
      <c r="AB1105" s="55" t="n"/>
      <c r="AC1105" s="55" t="n"/>
      <c r="AD1105" s="53" t="n"/>
      <c r="AE1105" s="55" t="n"/>
      <c r="AF1105" s="55" t="n"/>
      <c r="AG1105" s="59" t="n"/>
      <c r="AH1105" s="57" t="n"/>
      <c r="AI1105" s="55" t="n"/>
      <c r="AJ1105" s="55" t="n"/>
      <c r="AK1105" s="55" t="n"/>
      <c r="AL1105" s="55" t="n"/>
      <c r="AM1105" s="56" t="n"/>
      <c r="AN1105" s="55" t="n"/>
      <c r="AO1105" s="55" t="n"/>
      <c r="AP1105" s="55" t="n"/>
      <c r="AQ1105" s="55" t="n"/>
      <c r="AR1105" s="60">
        <f>IF(AND(C1105="",E1105=""),"",IF(A1105="","⚠ Date manquante",IF(AND(C1105="",E1105&lt;&gt;"Dépense"),"⚠ Prospect manquant",IF(E1105="","⚠ Action manquante",IF(AND(AU1105=1,D1105=""),"⚠ Canal manquant",IF(AND(W1105&lt;&gt;"",COUNTIFS('Saisie'!$W$5:$W$2004,W1105,'Saisie'!$C$5:$C$2004,"&lt;&gt;"&amp;C1105)&gt;0),"⚠ Numéro déjà utilisé par un autre prospect",IF(AND(J1105&lt;&gt;"",J1105&lt;A1105),"⚠ Relance avant la date de l'action",IF(A1105&gt;TODAY(),"⚠ Date dans le futur","✓"))))))))</f>
        <v/>
      </c>
      <c r="AS1105" s="61">
        <f>IF(AND(A1105="",C1105="",E1105=""),"",ROW())</f>
        <v/>
      </c>
      <c r="AT1105" s="61">
        <f>IF(E1105&amp;F1105="","",MAX(IFERROR(INDEX('Paramètres'!$J$6:$J$33,MATCH(E1105,'Paramètres'!$I$6:$I$33,0)),0),IFERROR(INDEX('Paramètres'!$N$6:$N$17,MATCH(F1105,'Paramètres'!$M$6:$M$17,0)),0)))</f>
        <v/>
      </c>
      <c r="AU1105" s="61">
        <f>IF(E1105="","",IFERROR(IF(INDEX('Paramètres'!$K$6:$K$33,MATCH(E1105,'Paramètres'!$I$6:$I$33,0))="Oui",1,0),0))</f>
        <v/>
      </c>
      <c r="AV1105" s="61">
        <f>IF(F1105="","",IFERROR(IF(INDEX('Paramètres'!$O$6:$O$17,MATCH(F1105,'Paramètres'!$M$6:$M$17,0))="Oui",1,0),0))</f>
        <v/>
      </c>
      <c r="AW1105" s="62">
        <f>IF(E1105="","",IF(G1105&lt;&gt;"",G1105,IF(OR(E1105="Proposition envoyée",E1105="Signature"),MAX(0,N(IFERROR(INDEX('Paramètres'!$R$6:$R$15,MATCH(IF(AL1105&lt;&gt;"",AL1105,IFERROR(INDEX('Prospects'!$AN$5:$AN$504,MATCH(C1105,'Prospects'!$C$5:$C$504,0)),"")),'Paramètres'!$Q$6:$Q$15,0)),0))-N(P1105)),0)))</f>
        <v/>
      </c>
      <c r="AX1105" s="61">
        <f>IF(C1105="","",IF(COUNTIF($C$5:C1105,C1105)=1,MAX($AX$4:AX1104)+1,""))</f>
        <v/>
      </c>
      <c r="AY1105" s="61">
        <f>IF(B1105="","",HOUR(B1105))</f>
        <v/>
      </c>
      <c r="AZ1105" s="61">
        <f>IF(A1105="","",MOD(A1105-2,7)+1)</f>
        <v/>
      </c>
      <c r="BA1105" s="60">
        <f>IF(C1105="","",IFERROR(INDEX('Prospects'!$N$5:$N$504,MATCH(C1105,'Prospects'!$C$5:$C$504,0)),""))</f>
        <v/>
      </c>
      <c r="BB1105" s="61">
        <f>IF(AND(C1105&lt;&gt;"",C1105='Fiche prospect'!$C$4),COUNTIF($C$5:C1105,C1105),"")</f>
        <v/>
      </c>
    </row>
    <row r="1106">
      <c r="A1106" s="53" t="n"/>
      <c r="B1106" s="54" t="n"/>
      <c r="C1106" s="55" t="n"/>
      <c r="D1106" s="55" t="n"/>
      <c r="E1106" s="55" t="n"/>
      <c r="F1106" s="55" t="n"/>
      <c r="G1106" s="56" t="n"/>
      <c r="H1106" s="57" t="n"/>
      <c r="I1106" s="55" t="n"/>
      <c r="J1106" s="53" t="n"/>
      <c r="K1106" s="54" t="n"/>
      <c r="L1106" s="55" t="n"/>
      <c r="M1106" s="55" t="n"/>
      <c r="N1106" s="57" t="n"/>
      <c r="O1106" s="55" t="n"/>
      <c r="P1106" s="56" t="n"/>
      <c r="Q1106" s="55" t="n"/>
      <c r="R1106" s="55" t="n"/>
      <c r="S1106" s="55" t="n"/>
      <c r="T1106" s="55" t="n"/>
      <c r="U1106" s="55" t="n"/>
      <c r="V1106" s="55" t="n"/>
      <c r="W1106" s="58" t="n"/>
      <c r="X1106" s="58" t="n"/>
      <c r="Y1106" s="55" t="n"/>
      <c r="Z1106" s="55" t="n"/>
      <c r="AA1106" s="55" t="n"/>
      <c r="AB1106" s="55" t="n"/>
      <c r="AC1106" s="55" t="n"/>
      <c r="AD1106" s="53" t="n"/>
      <c r="AE1106" s="55" t="n"/>
      <c r="AF1106" s="55" t="n"/>
      <c r="AG1106" s="59" t="n"/>
      <c r="AH1106" s="57" t="n"/>
      <c r="AI1106" s="55" t="n"/>
      <c r="AJ1106" s="55" t="n"/>
      <c r="AK1106" s="55" t="n"/>
      <c r="AL1106" s="55" t="n"/>
      <c r="AM1106" s="56" t="n"/>
      <c r="AN1106" s="55" t="n"/>
      <c r="AO1106" s="55" t="n"/>
      <c r="AP1106" s="55" t="n"/>
      <c r="AQ1106" s="55" t="n"/>
      <c r="AR1106" s="60">
        <f>IF(AND(C1106="",E1106=""),"",IF(A1106="","⚠ Date manquante",IF(AND(C1106="",E1106&lt;&gt;"Dépense"),"⚠ Prospect manquant",IF(E1106="","⚠ Action manquante",IF(AND(AU1106=1,D1106=""),"⚠ Canal manquant",IF(AND(W1106&lt;&gt;"",COUNTIFS('Saisie'!$W$5:$W$2004,W1106,'Saisie'!$C$5:$C$2004,"&lt;&gt;"&amp;C1106)&gt;0),"⚠ Numéro déjà utilisé par un autre prospect",IF(AND(J1106&lt;&gt;"",J1106&lt;A1106),"⚠ Relance avant la date de l'action",IF(A1106&gt;TODAY(),"⚠ Date dans le futur","✓"))))))))</f>
        <v/>
      </c>
      <c r="AS1106" s="61">
        <f>IF(AND(A1106="",C1106="",E1106=""),"",ROW())</f>
        <v/>
      </c>
      <c r="AT1106" s="61">
        <f>IF(E1106&amp;F1106="","",MAX(IFERROR(INDEX('Paramètres'!$J$6:$J$33,MATCH(E1106,'Paramètres'!$I$6:$I$33,0)),0),IFERROR(INDEX('Paramètres'!$N$6:$N$17,MATCH(F1106,'Paramètres'!$M$6:$M$17,0)),0)))</f>
        <v/>
      </c>
      <c r="AU1106" s="61">
        <f>IF(E1106="","",IFERROR(IF(INDEX('Paramètres'!$K$6:$K$33,MATCH(E1106,'Paramètres'!$I$6:$I$33,0))="Oui",1,0),0))</f>
        <v/>
      </c>
      <c r="AV1106" s="61">
        <f>IF(F1106="","",IFERROR(IF(INDEX('Paramètres'!$O$6:$O$17,MATCH(F1106,'Paramètres'!$M$6:$M$17,0))="Oui",1,0),0))</f>
        <v/>
      </c>
      <c r="AW1106" s="62">
        <f>IF(E1106="","",IF(G1106&lt;&gt;"",G1106,IF(OR(E1106="Proposition envoyée",E1106="Signature"),MAX(0,N(IFERROR(INDEX('Paramètres'!$R$6:$R$15,MATCH(IF(AL1106&lt;&gt;"",AL1106,IFERROR(INDEX('Prospects'!$AN$5:$AN$504,MATCH(C1106,'Prospects'!$C$5:$C$504,0)),"")),'Paramètres'!$Q$6:$Q$15,0)),0))-N(P1106)),0)))</f>
        <v/>
      </c>
      <c r="AX1106" s="61">
        <f>IF(C1106="","",IF(COUNTIF($C$5:C1106,C1106)=1,MAX($AX$4:AX1105)+1,""))</f>
        <v/>
      </c>
      <c r="AY1106" s="61">
        <f>IF(B1106="","",HOUR(B1106))</f>
        <v/>
      </c>
      <c r="AZ1106" s="61">
        <f>IF(A1106="","",MOD(A1106-2,7)+1)</f>
        <v/>
      </c>
      <c r="BA1106" s="60">
        <f>IF(C1106="","",IFERROR(INDEX('Prospects'!$N$5:$N$504,MATCH(C1106,'Prospects'!$C$5:$C$504,0)),""))</f>
        <v/>
      </c>
      <c r="BB1106" s="61">
        <f>IF(AND(C1106&lt;&gt;"",C1106='Fiche prospect'!$C$4),COUNTIF($C$5:C1106,C1106),"")</f>
        <v/>
      </c>
    </row>
    <row r="1107">
      <c r="A1107" s="53" t="n"/>
      <c r="B1107" s="54" t="n"/>
      <c r="C1107" s="55" t="n"/>
      <c r="D1107" s="55" t="n"/>
      <c r="E1107" s="55" t="n"/>
      <c r="F1107" s="55" t="n"/>
      <c r="G1107" s="56" t="n"/>
      <c r="H1107" s="57" t="n"/>
      <c r="I1107" s="55" t="n"/>
      <c r="J1107" s="53" t="n"/>
      <c r="K1107" s="54" t="n"/>
      <c r="L1107" s="55" t="n"/>
      <c r="M1107" s="55" t="n"/>
      <c r="N1107" s="57" t="n"/>
      <c r="O1107" s="55" t="n"/>
      <c r="P1107" s="56" t="n"/>
      <c r="Q1107" s="55" t="n"/>
      <c r="R1107" s="55" t="n"/>
      <c r="S1107" s="55" t="n"/>
      <c r="T1107" s="55" t="n"/>
      <c r="U1107" s="55" t="n"/>
      <c r="V1107" s="55" t="n"/>
      <c r="W1107" s="58" t="n"/>
      <c r="X1107" s="58" t="n"/>
      <c r="Y1107" s="55" t="n"/>
      <c r="Z1107" s="55" t="n"/>
      <c r="AA1107" s="55" t="n"/>
      <c r="AB1107" s="55" t="n"/>
      <c r="AC1107" s="55" t="n"/>
      <c r="AD1107" s="53" t="n"/>
      <c r="AE1107" s="55" t="n"/>
      <c r="AF1107" s="55" t="n"/>
      <c r="AG1107" s="59" t="n"/>
      <c r="AH1107" s="57" t="n"/>
      <c r="AI1107" s="55" t="n"/>
      <c r="AJ1107" s="55" t="n"/>
      <c r="AK1107" s="55" t="n"/>
      <c r="AL1107" s="55" t="n"/>
      <c r="AM1107" s="56" t="n"/>
      <c r="AN1107" s="55" t="n"/>
      <c r="AO1107" s="55" t="n"/>
      <c r="AP1107" s="55" t="n"/>
      <c r="AQ1107" s="55" t="n"/>
      <c r="AR1107" s="60">
        <f>IF(AND(C1107="",E1107=""),"",IF(A1107="","⚠ Date manquante",IF(AND(C1107="",E1107&lt;&gt;"Dépense"),"⚠ Prospect manquant",IF(E1107="","⚠ Action manquante",IF(AND(AU1107=1,D1107=""),"⚠ Canal manquant",IF(AND(W1107&lt;&gt;"",COUNTIFS('Saisie'!$W$5:$W$2004,W1107,'Saisie'!$C$5:$C$2004,"&lt;&gt;"&amp;C1107)&gt;0),"⚠ Numéro déjà utilisé par un autre prospect",IF(AND(J1107&lt;&gt;"",J1107&lt;A1107),"⚠ Relance avant la date de l'action",IF(A1107&gt;TODAY(),"⚠ Date dans le futur","✓"))))))))</f>
        <v/>
      </c>
      <c r="AS1107" s="61">
        <f>IF(AND(A1107="",C1107="",E1107=""),"",ROW())</f>
        <v/>
      </c>
      <c r="AT1107" s="61">
        <f>IF(E1107&amp;F1107="","",MAX(IFERROR(INDEX('Paramètres'!$J$6:$J$33,MATCH(E1107,'Paramètres'!$I$6:$I$33,0)),0),IFERROR(INDEX('Paramètres'!$N$6:$N$17,MATCH(F1107,'Paramètres'!$M$6:$M$17,0)),0)))</f>
        <v/>
      </c>
      <c r="AU1107" s="61">
        <f>IF(E1107="","",IFERROR(IF(INDEX('Paramètres'!$K$6:$K$33,MATCH(E1107,'Paramètres'!$I$6:$I$33,0))="Oui",1,0),0))</f>
        <v/>
      </c>
      <c r="AV1107" s="61">
        <f>IF(F1107="","",IFERROR(IF(INDEX('Paramètres'!$O$6:$O$17,MATCH(F1107,'Paramètres'!$M$6:$M$17,0))="Oui",1,0),0))</f>
        <v/>
      </c>
      <c r="AW1107" s="62">
        <f>IF(E1107="","",IF(G1107&lt;&gt;"",G1107,IF(OR(E1107="Proposition envoyée",E1107="Signature"),MAX(0,N(IFERROR(INDEX('Paramètres'!$R$6:$R$15,MATCH(IF(AL1107&lt;&gt;"",AL1107,IFERROR(INDEX('Prospects'!$AN$5:$AN$504,MATCH(C1107,'Prospects'!$C$5:$C$504,0)),"")),'Paramètres'!$Q$6:$Q$15,0)),0))-N(P1107)),0)))</f>
        <v/>
      </c>
      <c r="AX1107" s="61">
        <f>IF(C1107="","",IF(COUNTIF($C$5:C1107,C1107)=1,MAX($AX$4:AX1106)+1,""))</f>
        <v/>
      </c>
      <c r="AY1107" s="61">
        <f>IF(B1107="","",HOUR(B1107))</f>
        <v/>
      </c>
      <c r="AZ1107" s="61">
        <f>IF(A1107="","",MOD(A1107-2,7)+1)</f>
        <v/>
      </c>
      <c r="BA1107" s="60">
        <f>IF(C1107="","",IFERROR(INDEX('Prospects'!$N$5:$N$504,MATCH(C1107,'Prospects'!$C$5:$C$504,0)),""))</f>
        <v/>
      </c>
      <c r="BB1107" s="61">
        <f>IF(AND(C1107&lt;&gt;"",C1107='Fiche prospect'!$C$4),COUNTIF($C$5:C1107,C1107),"")</f>
        <v/>
      </c>
    </row>
    <row r="1108">
      <c r="A1108" s="53" t="n"/>
      <c r="B1108" s="54" t="n"/>
      <c r="C1108" s="55" t="n"/>
      <c r="D1108" s="55" t="n"/>
      <c r="E1108" s="55" t="n"/>
      <c r="F1108" s="55" t="n"/>
      <c r="G1108" s="56" t="n"/>
      <c r="H1108" s="57" t="n"/>
      <c r="I1108" s="55" t="n"/>
      <c r="J1108" s="53" t="n"/>
      <c r="K1108" s="54" t="n"/>
      <c r="L1108" s="55" t="n"/>
      <c r="M1108" s="55" t="n"/>
      <c r="N1108" s="57" t="n"/>
      <c r="O1108" s="55" t="n"/>
      <c r="P1108" s="56" t="n"/>
      <c r="Q1108" s="55" t="n"/>
      <c r="R1108" s="55" t="n"/>
      <c r="S1108" s="55" t="n"/>
      <c r="T1108" s="55" t="n"/>
      <c r="U1108" s="55" t="n"/>
      <c r="V1108" s="55" t="n"/>
      <c r="W1108" s="58" t="n"/>
      <c r="X1108" s="58" t="n"/>
      <c r="Y1108" s="55" t="n"/>
      <c r="Z1108" s="55" t="n"/>
      <c r="AA1108" s="55" t="n"/>
      <c r="AB1108" s="55" t="n"/>
      <c r="AC1108" s="55" t="n"/>
      <c r="AD1108" s="53" t="n"/>
      <c r="AE1108" s="55" t="n"/>
      <c r="AF1108" s="55" t="n"/>
      <c r="AG1108" s="59" t="n"/>
      <c r="AH1108" s="57" t="n"/>
      <c r="AI1108" s="55" t="n"/>
      <c r="AJ1108" s="55" t="n"/>
      <c r="AK1108" s="55" t="n"/>
      <c r="AL1108" s="55" t="n"/>
      <c r="AM1108" s="56" t="n"/>
      <c r="AN1108" s="55" t="n"/>
      <c r="AO1108" s="55" t="n"/>
      <c r="AP1108" s="55" t="n"/>
      <c r="AQ1108" s="55" t="n"/>
      <c r="AR1108" s="60">
        <f>IF(AND(C1108="",E1108=""),"",IF(A1108="","⚠ Date manquante",IF(AND(C1108="",E1108&lt;&gt;"Dépense"),"⚠ Prospect manquant",IF(E1108="","⚠ Action manquante",IF(AND(AU1108=1,D1108=""),"⚠ Canal manquant",IF(AND(W1108&lt;&gt;"",COUNTIFS('Saisie'!$W$5:$W$2004,W1108,'Saisie'!$C$5:$C$2004,"&lt;&gt;"&amp;C1108)&gt;0),"⚠ Numéro déjà utilisé par un autre prospect",IF(AND(J1108&lt;&gt;"",J1108&lt;A1108),"⚠ Relance avant la date de l'action",IF(A1108&gt;TODAY(),"⚠ Date dans le futur","✓"))))))))</f>
        <v/>
      </c>
      <c r="AS1108" s="61">
        <f>IF(AND(A1108="",C1108="",E1108=""),"",ROW())</f>
        <v/>
      </c>
      <c r="AT1108" s="61">
        <f>IF(E1108&amp;F1108="","",MAX(IFERROR(INDEX('Paramètres'!$J$6:$J$33,MATCH(E1108,'Paramètres'!$I$6:$I$33,0)),0),IFERROR(INDEX('Paramètres'!$N$6:$N$17,MATCH(F1108,'Paramètres'!$M$6:$M$17,0)),0)))</f>
        <v/>
      </c>
      <c r="AU1108" s="61">
        <f>IF(E1108="","",IFERROR(IF(INDEX('Paramètres'!$K$6:$K$33,MATCH(E1108,'Paramètres'!$I$6:$I$33,0))="Oui",1,0),0))</f>
        <v/>
      </c>
      <c r="AV1108" s="61">
        <f>IF(F1108="","",IFERROR(IF(INDEX('Paramètres'!$O$6:$O$17,MATCH(F1108,'Paramètres'!$M$6:$M$17,0))="Oui",1,0),0))</f>
        <v/>
      </c>
      <c r="AW1108" s="62">
        <f>IF(E1108="","",IF(G1108&lt;&gt;"",G1108,IF(OR(E1108="Proposition envoyée",E1108="Signature"),MAX(0,N(IFERROR(INDEX('Paramètres'!$R$6:$R$15,MATCH(IF(AL1108&lt;&gt;"",AL1108,IFERROR(INDEX('Prospects'!$AN$5:$AN$504,MATCH(C1108,'Prospects'!$C$5:$C$504,0)),"")),'Paramètres'!$Q$6:$Q$15,0)),0))-N(P1108)),0)))</f>
        <v/>
      </c>
      <c r="AX1108" s="61">
        <f>IF(C1108="","",IF(COUNTIF($C$5:C1108,C1108)=1,MAX($AX$4:AX1107)+1,""))</f>
        <v/>
      </c>
      <c r="AY1108" s="61">
        <f>IF(B1108="","",HOUR(B1108))</f>
        <v/>
      </c>
      <c r="AZ1108" s="61">
        <f>IF(A1108="","",MOD(A1108-2,7)+1)</f>
        <v/>
      </c>
      <c r="BA1108" s="60">
        <f>IF(C1108="","",IFERROR(INDEX('Prospects'!$N$5:$N$504,MATCH(C1108,'Prospects'!$C$5:$C$504,0)),""))</f>
        <v/>
      </c>
      <c r="BB1108" s="61">
        <f>IF(AND(C1108&lt;&gt;"",C1108='Fiche prospect'!$C$4),COUNTIF($C$5:C1108,C1108),"")</f>
        <v/>
      </c>
    </row>
    <row r="1109">
      <c r="A1109" s="53" t="n"/>
      <c r="B1109" s="54" t="n"/>
      <c r="C1109" s="55" t="n"/>
      <c r="D1109" s="55" t="n"/>
      <c r="E1109" s="55" t="n"/>
      <c r="F1109" s="55" t="n"/>
      <c r="G1109" s="56" t="n"/>
      <c r="H1109" s="57" t="n"/>
      <c r="I1109" s="55" t="n"/>
      <c r="J1109" s="53" t="n"/>
      <c r="K1109" s="54" t="n"/>
      <c r="L1109" s="55" t="n"/>
      <c r="M1109" s="55" t="n"/>
      <c r="N1109" s="57" t="n"/>
      <c r="O1109" s="55" t="n"/>
      <c r="P1109" s="56" t="n"/>
      <c r="Q1109" s="55" t="n"/>
      <c r="R1109" s="55" t="n"/>
      <c r="S1109" s="55" t="n"/>
      <c r="T1109" s="55" t="n"/>
      <c r="U1109" s="55" t="n"/>
      <c r="V1109" s="55" t="n"/>
      <c r="W1109" s="58" t="n"/>
      <c r="X1109" s="58" t="n"/>
      <c r="Y1109" s="55" t="n"/>
      <c r="Z1109" s="55" t="n"/>
      <c r="AA1109" s="55" t="n"/>
      <c r="AB1109" s="55" t="n"/>
      <c r="AC1109" s="55" t="n"/>
      <c r="AD1109" s="53" t="n"/>
      <c r="AE1109" s="55" t="n"/>
      <c r="AF1109" s="55" t="n"/>
      <c r="AG1109" s="59" t="n"/>
      <c r="AH1109" s="57" t="n"/>
      <c r="AI1109" s="55" t="n"/>
      <c r="AJ1109" s="55" t="n"/>
      <c r="AK1109" s="55" t="n"/>
      <c r="AL1109" s="55" t="n"/>
      <c r="AM1109" s="56" t="n"/>
      <c r="AN1109" s="55" t="n"/>
      <c r="AO1109" s="55" t="n"/>
      <c r="AP1109" s="55" t="n"/>
      <c r="AQ1109" s="55" t="n"/>
      <c r="AR1109" s="60">
        <f>IF(AND(C1109="",E1109=""),"",IF(A1109="","⚠ Date manquante",IF(AND(C1109="",E1109&lt;&gt;"Dépense"),"⚠ Prospect manquant",IF(E1109="","⚠ Action manquante",IF(AND(AU1109=1,D1109=""),"⚠ Canal manquant",IF(AND(W1109&lt;&gt;"",COUNTIFS('Saisie'!$W$5:$W$2004,W1109,'Saisie'!$C$5:$C$2004,"&lt;&gt;"&amp;C1109)&gt;0),"⚠ Numéro déjà utilisé par un autre prospect",IF(AND(J1109&lt;&gt;"",J1109&lt;A1109),"⚠ Relance avant la date de l'action",IF(A1109&gt;TODAY(),"⚠ Date dans le futur","✓"))))))))</f>
        <v/>
      </c>
      <c r="AS1109" s="61">
        <f>IF(AND(A1109="",C1109="",E1109=""),"",ROW())</f>
        <v/>
      </c>
      <c r="AT1109" s="61">
        <f>IF(E1109&amp;F1109="","",MAX(IFERROR(INDEX('Paramètres'!$J$6:$J$33,MATCH(E1109,'Paramètres'!$I$6:$I$33,0)),0),IFERROR(INDEX('Paramètres'!$N$6:$N$17,MATCH(F1109,'Paramètres'!$M$6:$M$17,0)),0)))</f>
        <v/>
      </c>
      <c r="AU1109" s="61">
        <f>IF(E1109="","",IFERROR(IF(INDEX('Paramètres'!$K$6:$K$33,MATCH(E1109,'Paramètres'!$I$6:$I$33,0))="Oui",1,0),0))</f>
        <v/>
      </c>
      <c r="AV1109" s="61">
        <f>IF(F1109="","",IFERROR(IF(INDEX('Paramètres'!$O$6:$O$17,MATCH(F1109,'Paramètres'!$M$6:$M$17,0))="Oui",1,0),0))</f>
        <v/>
      </c>
      <c r="AW1109" s="62">
        <f>IF(E1109="","",IF(G1109&lt;&gt;"",G1109,IF(OR(E1109="Proposition envoyée",E1109="Signature"),MAX(0,N(IFERROR(INDEX('Paramètres'!$R$6:$R$15,MATCH(IF(AL1109&lt;&gt;"",AL1109,IFERROR(INDEX('Prospects'!$AN$5:$AN$504,MATCH(C1109,'Prospects'!$C$5:$C$504,0)),"")),'Paramètres'!$Q$6:$Q$15,0)),0))-N(P1109)),0)))</f>
        <v/>
      </c>
      <c r="AX1109" s="61">
        <f>IF(C1109="","",IF(COUNTIF($C$5:C1109,C1109)=1,MAX($AX$4:AX1108)+1,""))</f>
        <v/>
      </c>
      <c r="AY1109" s="61">
        <f>IF(B1109="","",HOUR(B1109))</f>
        <v/>
      </c>
      <c r="AZ1109" s="61">
        <f>IF(A1109="","",MOD(A1109-2,7)+1)</f>
        <v/>
      </c>
      <c r="BA1109" s="60">
        <f>IF(C1109="","",IFERROR(INDEX('Prospects'!$N$5:$N$504,MATCH(C1109,'Prospects'!$C$5:$C$504,0)),""))</f>
        <v/>
      </c>
      <c r="BB1109" s="61">
        <f>IF(AND(C1109&lt;&gt;"",C1109='Fiche prospect'!$C$4),COUNTIF($C$5:C1109,C1109),"")</f>
        <v/>
      </c>
    </row>
    <row r="1110">
      <c r="A1110" s="53" t="n"/>
      <c r="B1110" s="54" t="n"/>
      <c r="C1110" s="55" t="n"/>
      <c r="D1110" s="55" t="n"/>
      <c r="E1110" s="55" t="n"/>
      <c r="F1110" s="55" t="n"/>
      <c r="G1110" s="56" t="n"/>
      <c r="H1110" s="57" t="n"/>
      <c r="I1110" s="55" t="n"/>
      <c r="J1110" s="53" t="n"/>
      <c r="K1110" s="54" t="n"/>
      <c r="L1110" s="55" t="n"/>
      <c r="M1110" s="55" t="n"/>
      <c r="N1110" s="57" t="n"/>
      <c r="O1110" s="55" t="n"/>
      <c r="P1110" s="56" t="n"/>
      <c r="Q1110" s="55" t="n"/>
      <c r="R1110" s="55" t="n"/>
      <c r="S1110" s="55" t="n"/>
      <c r="T1110" s="55" t="n"/>
      <c r="U1110" s="55" t="n"/>
      <c r="V1110" s="55" t="n"/>
      <c r="W1110" s="58" t="n"/>
      <c r="X1110" s="58" t="n"/>
      <c r="Y1110" s="55" t="n"/>
      <c r="Z1110" s="55" t="n"/>
      <c r="AA1110" s="55" t="n"/>
      <c r="AB1110" s="55" t="n"/>
      <c r="AC1110" s="55" t="n"/>
      <c r="AD1110" s="53" t="n"/>
      <c r="AE1110" s="55" t="n"/>
      <c r="AF1110" s="55" t="n"/>
      <c r="AG1110" s="59" t="n"/>
      <c r="AH1110" s="57" t="n"/>
      <c r="AI1110" s="55" t="n"/>
      <c r="AJ1110" s="55" t="n"/>
      <c r="AK1110" s="55" t="n"/>
      <c r="AL1110" s="55" t="n"/>
      <c r="AM1110" s="56" t="n"/>
      <c r="AN1110" s="55" t="n"/>
      <c r="AO1110" s="55" t="n"/>
      <c r="AP1110" s="55" t="n"/>
      <c r="AQ1110" s="55" t="n"/>
      <c r="AR1110" s="60">
        <f>IF(AND(C1110="",E1110=""),"",IF(A1110="","⚠ Date manquante",IF(AND(C1110="",E1110&lt;&gt;"Dépense"),"⚠ Prospect manquant",IF(E1110="","⚠ Action manquante",IF(AND(AU1110=1,D1110=""),"⚠ Canal manquant",IF(AND(W1110&lt;&gt;"",COUNTIFS('Saisie'!$W$5:$W$2004,W1110,'Saisie'!$C$5:$C$2004,"&lt;&gt;"&amp;C1110)&gt;0),"⚠ Numéro déjà utilisé par un autre prospect",IF(AND(J1110&lt;&gt;"",J1110&lt;A1110),"⚠ Relance avant la date de l'action",IF(A1110&gt;TODAY(),"⚠ Date dans le futur","✓"))))))))</f>
        <v/>
      </c>
      <c r="AS1110" s="61">
        <f>IF(AND(A1110="",C1110="",E1110=""),"",ROW())</f>
        <v/>
      </c>
      <c r="AT1110" s="61">
        <f>IF(E1110&amp;F1110="","",MAX(IFERROR(INDEX('Paramètres'!$J$6:$J$33,MATCH(E1110,'Paramètres'!$I$6:$I$33,0)),0),IFERROR(INDEX('Paramètres'!$N$6:$N$17,MATCH(F1110,'Paramètres'!$M$6:$M$17,0)),0)))</f>
        <v/>
      </c>
      <c r="AU1110" s="61">
        <f>IF(E1110="","",IFERROR(IF(INDEX('Paramètres'!$K$6:$K$33,MATCH(E1110,'Paramètres'!$I$6:$I$33,0))="Oui",1,0),0))</f>
        <v/>
      </c>
      <c r="AV1110" s="61">
        <f>IF(F1110="","",IFERROR(IF(INDEX('Paramètres'!$O$6:$O$17,MATCH(F1110,'Paramètres'!$M$6:$M$17,0))="Oui",1,0),0))</f>
        <v/>
      </c>
      <c r="AW1110" s="62">
        <f>IF(E1110="","",IF(G1110&lt;&gt;"",G1110,IF(OR(E1110="Proposition envoyée",E1110="Signature"),MAX(0,N(IFERROR(INDEX('Paramètres'!$R$6:$R$15,MATCH(IF(AL1110&lt;&gt;"",AL1110,IFERROR(INDEX('Prospects'!$AN$5:$AN$504,MATCH(C1110,'Prospects'!$C$5:$C$504,0)),"")),'Paramètres'!$Q$6:$Q$15,0)),0))-N(P1110)),0)))</f>
        <v/>
      </c>
      <c r="AX1110" s="61">
        <f>IF(C1110="","",IF(COUNTIF($C$5:C1110,C1110)=1,MAX($AX$4:AX1109)+1,""))</f>
        <v/>
      </c>
      <c r="AY1110" s="61">
        <f>IF(B1110="","",HOUR(B1110))</f>
        <v/>
      </c>
      <c r="AZ1110" s="61">
        <f>IF(A1110="","",MOD(A1110-2,7)+1)</f>
        <v/>
      </c>
      <c r="BA1110" s="60">
        <f>IF(C1110="","",IFERROR(INDEX('Prospects'!$N$5:$N$504,MATCH(C1110,'Prospects'!$C$5:$C$504,0)),""))</f>
        <v/>
      </c>
      <c r="BB1110" s="61">
        <f>IF(AND(C1110&lt;&gt;"",C1110='Fiche prospect'!$C$4),COUNTIF($C$5:C1110,C1110),"")</f>
        <v/>
      </c>
    </row>
    <row r="1111">
      <c r="A1111" s="53" t="n"/>
      <c r="B1111" s="54" t="n"/>
      <c r="C1111" s="55" t="n"/>
      <c r="D1111" s="55" t="n"/>
      <c r="E1111" s="55" t="n"/>
      <c r="F1111" s="55" t="n"/>
      <c r="G1111" s="56" t="n"/>
      <c r="H1111" s="57" t="n"/>
      <c r="I1111" s="55" t="n"/>
      <c r="J1111" s="53" t="n"/>
      <c r="K1111" s="54" t="n"/>
      <c r="L1111" s="55" t="n"/>
      <c r="M1111" s="55" t="n"/>
      <c r="N1111" s="57" t="n"/>
      <c r="O1111" s="55" t="n"/>
      <c r="P1111" s="56" t="n"/>
      <c r="Q1111" s="55" t="n"/>
      <c r="R1111" s="55" t="n"/>
      <c r="S1111" s="55" t="n"/>
      <c r="T1111" s="55" t="n"/>
      <c r="U1111" s="55" t="n"/>
      <c r="V1111" s="55" t="n"/>
      <c r="W1111" s="58" t="n"/>
      <c r="X1111" s="58" t="n"/>
      <c r="Y1111" s="55" t="n"/>
      <c r="Z1111" s="55" t="n"/>
      <c r="AA1111" s="55" t="n"/>
      <c r="AB1111" s="55" t="n"/>
      <c r="AC1111" s="55" t="n"/>
      <c r="AD1111" s="53" t="n"/>
      <c r="AE1111" s="55" t="n"/>
      <c r="AF1111" s="55" t="n"/>
      <c r="AG1111" s="59" t="n"/>
      <c r="AH1111" s="57" t="n"/>
      <c r="AI1111" s="55" t="n"/>
      <c r="AJ1111" s="55" t="n"/>
      <c r="AK1111" s="55" t="n"/>
      <c r="AL1111" s="55" t="n"/>
      <c r="AM1111" s="56" t="n"/>
      <c r="AN1111" s="55" t="n"/>
      <c r="AO1111" s="55" t="n"/>
      <c r="AP1111" s="55" t="n"/>
      <c r="AQ1111" s="55" t="n"/>
      <c r="AR1111" s="60">
        <f>IF(AND(C1111="",E1111=""),"",IF(A1111="","⚠ Date manquante",IF(AND(C1111="",E1111&lt;&gt;"Dépense"),"⚠ Prospect manquant",IF(E1111="","⚠ Action manquante",IF(AND(AU1111=1,D1111=""),"⚠ Canal manquant",IF(AND(W1111&lt;&gt;"",COUNTIFS('Saisie'!$W$5:$W$2004,W1111,'Saisie'!$C$5:$C$2004,"&lt;&gt;"&amp;C1111)&gt;0),"⚠ Numéro déjà utilisé par un autre prospect",IF(AND(J1111&lt;&gt;"",J1111&lt;A1111),"⚠ Relance avant la date de l'action",IF(A1111&gt;TODAY(),"⚠ Date dans le futur","✓"))))))))</f>
        <v/>
      </c>
      <c r="AS1111" s="61">
        <f>IF(AND(A1111="",C1111="",E1111=""),"",ROW())</f>
        <v/>
      </c>
      <c r="AT1111" s="61">
        <f>IF(E1111&amp;F1111="","",MAX(IFERROR(INDEX('Paramètres'!$J$6:$J$33,MATCH(E1111,'Paramètres'!$I$6:$I$33,0)),0),IFERROR(INDEX('Paramètres'!$N$6:$N$17,MATCH(F1111,'Paramètres'!$M$6:$M$17,0)),0)))</f>
        <v/>
      </c>
      <c r="AU1111" s="61">
        <f>IF(E1111="","",IFERROR(IF(INDEX('Paramètres'!$K$6:$K$33,MATCH(E1111,'Paramètres'!$I$6:$I$33,0))="Oui",1,0),0))</f>
        <v/>
      </c>
      <c r="AV1111" s="61">
        <f>IF(F1111="","",IFERROR(IF(INDEX('Paramètres'!$O$6:$O$17,MATCH(F1111,'Paramètres'!$M$6:$M$17,0))="Oui",1,0),0))</f>
        <v/>
      </c>
      <c r="AW1111" s="62">
        <f>IF(E1111="","",IF(G1111&lt;&gt;"",G1111,IF(OR(E1111="Proposition envoyée",E1111="Signature"),MAX(0,N(IFERROR(INDEX('Paramètres'!$R$6:$R$15,MATCH(IF(AL1111&lt;&gt;"",AL1111,IFERROR(INDEX('Prospects'!$AN$5:$AN$504,MATCH(C1111,'Prospects'!$C$5:$C$504,0)),"")),'Paramètres'!$Q$6:$Q$15,0)),0))-N(P1111)),0)))</f>
        <v/>
      </c>
      <c r="AX1111" s="61">
        <f>IF(C1111="","",IF(COUNTIF($C$5:C1111,C1111)=1,MAX($AX$4:AX1110)+1,""))</f>
        <v/>
      </c>
      <c r="AY1111" s="61">
        <f>IF(B1111="","",HOUR(B1111))</f>
        <v/>
      </c>
      <c r="AZ1111" s="61">
        <f>IF(A1111="","",MOD(A1111-2,7)+1)</f>
        <v/>
      </c>
      <c r="BA1111" s="60">
        <f>IF(C1111="","",IFERROR(INDEX('Prospects'!$N$5:$N$504,MATCH(C1111,'Prospects'!$C$5:$C$504,0)),""))</f>
        <v/>
      </c>
      <c r="BB1111" s="61">
        <f>IF(AND(C1111&lt;&gt;"",C1111='Fiche prospect'!$C$4),COUNTIF($C$5:C1111,C1111),"")</f>
        <v/>
      </c>
    </row>
    <row r="1112">
      <c r="A1112" s="53" t="n"/>
      <c r="B1112" s="54" t="n"/>
      <c r="C1112" s="55" t="n"/>
      <c r="D1112" s="55" t="n"/>
      <c r="E1112" s="55" t="n"/>
      <c r="F1112" s="55" t="n"/>
      <c r="G1112" s="56" t="n"/>
      <c r="H1112" s="57" t="n"/>
      <c r="I1112" s="55" t="n"/>
      <c r="J1112" s="53" t="n"/>
      <c r="K1112" s="54" t="n"/>
      <c r="L1112" s="55" t="n"/>
      <c r="M1112" s="55" t="n"/>
      <c r="N1112" s="57" t="n"/>
      <c r="O1112" s="55" t="n"/>
      <c r="P1112" s="56" t="n"/>
      <c r="Q1112" s="55" t="n"/>
      <c r="R1112" s="55" t="n"/>
      <c r="S1112" s="55" t="n"/>
      <c r="T1112" s="55" t="n"/>
      <c r="U1112" s="55" t="n"/>
      <c r="V1112" s="55" t="n"/>
      <c r="W1112" s="58" t="n"/>
      <c r="X1112" s="58" t="n"/>
      <c r="Y1112" s="55" t="n"/>
      <c r="Z1112" s="55" t="n"/>
      <c r="AA1112" s="55" t="n"/>
      <c r="AB1112" s="55" t="n"/>
      <c r="AC1112" s="55" t="n"/>
      <c r="AD1112" s="53" t="n"/>
      <c r="AE1112" s="55" t="n"/>
      <c r="AF1112" s="55" t="n"/>
      <c r="AG1112" s="59" t="n"/>
      <c r="AH1112" s="57" t="n"/>
      <c r="AI1112" s="55" t="n"/>
      <c r="AJ1112" s="55" t="n"/>
      <c r="AK1112" s="55" t="n"/>
      <c r="AL1112" s="55" t="n"/>
      <c r="AM1112" s="56" t="n"/>
      <c r="AN1112" s="55" t="n"/>
      <c r="AO1112" s="55" t="n"/>
      <c r="AP1112" s="55" t="n"/>
      <c r="AQ1112" s="55" t="n"/>
      <c r="AR1112" s="60">
        <f>IF(AND(C1112="",E1112=""),"",IF(A1112="","⚠ Date manquante",IF(AND(C1112="",E1112&lt;&gt;"Dépense"),"⚠ Prospect manquant",IF(E1112="","⚠ Action manquante",IF(AND(AU1112=1,D1112=""),"⚠ Canal manquant",IF(AND(W1112&lt;&gt;"",COUNTIFS('Saisie'!$W$5:$W$2004,W1112,'Saisie'!$C$5:$C$2004,"&lt;&gt;"&amp;C1112)&gt;0),"⚠ Numéro déjà utilisé par un autre prospect",IF(AND(J1112&lt;&gt;"",J1112&lt;A1112),"⚠ Relance avant la date de l'action",IF(A1112&gt;TODAY(),"⚠ Date dans le futur","✓"))))))))</f>
        <v/>
      </c>
      <c r="AS1112" s="61">
        <f>IF(AND(A1112="",C1112="",E1112=""),"",ROW())</f>
        <v/>
      </c>
      <c r="AT1112" s="61">
        <f>IF(E1112&amp;F1112="","",MAX(IFERROR(INDEX('Paramètres'!$J$6:$J$33,MATCH(E1112,'Paramètres'!$I$6:$I$33,0)),0),IFERROR(INDEX('Paramètres'!$N$6:$N$17,MATCH(F1112,'Paramètres'!$M$6:$M$17,0)),0)))</f>
        <v/>
      </c>
      <c r="AU1112" s="61">
        <f>IF(E1112="","",IFERROR(IF(INDEX('Paramètres'!$K$6:$K$33,MATCH(E1112,'Paramètres'!$I$6:$I$33,0))="Oui",1,0),0))</f>
        <v/>
      </c>
      <c r="AV1112" s="61">
        <f>IF(F1112="","",IFERROR(IF(INDEX('Paramètres'!$O$6:$O$17,MATCH(F1112,'Paramètres'!$M$6:$M$17,0))="Oui",1,0),0))</f>
        <v/>
      </c>
      <c r="AW1112" s="62">
        <f>IF(E1112="","",IF(G1112&lt;&gt;"",G1112,IF(OR(E1112="Proposition envoyée",E1112="Signature"),MAX(0,N(IFERROR(INDEX('Paramètres'!$R$6:$R$15,MATCH(IF(AL1112&lt;&gt;"",AL1112,IFERROR(INDEX('Prospects'!$AN$5:$AN$504,MATCH(C1112,'Prospects'!$C$5:$C$504,0)),"")),'Paramètres'!$Q$6:$Q$15,0)),0))-N(P1112)),0)))</f>
        <v/>
      </c>
      <c r="AX1112" s="61">
        <f>IF(C1112="","",IF(COUNTIF($C$5:C1112,C1112)=1,MAX($AX$4:AX1111)+1,""))</f>
        <v/>
      </c>
      <c r="AY1112" s="61">
        <f>IF(B1112="","",HOUR(B1112))</f>
        <v/>
      </c>
      <c r="AZ1112" s="61">
        <f>IF(A1112="","",MOD(A1112-2,7)+1)</f>
        <v/>
      </c>
      <c r="BA1112" s="60">
        <f>IF(C1112="","",IFERROR(INDEX('Prospects'!$N$5:$N$504,MATCH(C1112,'Prospects'!$C$5:$C$504,0)),""))</f>
        <v/>
      </c>
      <c r="BB1112" s="61">
        <f>IF(AND(C1112&lt;&gt;"",C1112='Fiche prospect'!$C$4),COUNTIF($C$5:C1112,C1112),"")</f>
        <v/>
      </c>
    </row>
    <row r="1113">
      <c r="A1113" s="53" t="n"/>
      <c r="B1113" s="54" t="n"/>
      <c r="C1113" s="55" t="n"/>
      <c r="D1113" s="55" t="n"/>
      <c r="E1113" s="55" t="n"/>
      <c r="F1113" s="55" t="n"/>
      <c r="G1113" s="56" t="n"/>
      <c r="H1113" s="57" t="n"/>
      <c r="I1113" s="55" t="n"/>
      <c r="J1113" s="53" t="n"/>
      <c r="K1113" s="54" t="n"/>
      <c r="L1113" s="55" t="n"/>
      <c r="M1113" s="55" t="n"/>
      <c r="N1113" s="57" t="n"/>
      <c r="O1113" s="55" t="n"/>
      <c r="P1113" s="56" t="n"/>
      <c r="Q1113" s="55" t="n"/>
      <c r="R1113" s="55" t="n"/>
      <c r="S1113" s="55" t="n"/>
      <c r="T1113" s="55" t="n"/>
      <c r="U1113" s="55" t="n"/>
      <c r="V1113" s="55" t="n"/>
      <c r="W1113" s="58" t="n"/>
      <c r="X1113" s="58" t="n"/>
      <c r="Y1113" s="55" t="n"/>
      <c r="Z1113" s="55" t="n"/>
      <c r="AA1113" s="55" t="n"/>
      <c r="AB1113" s="55" t="n"/>
      <c r="AC1113" s="55" t="n"/>
      <c r="AD1113" s="53" t="n"/>
      <c r="AE1113" s="55" t="n"/>
      <c r="AF1113" s="55" t="n"/>
      <c r="AG1113" s="59" t="n"/>
      <c r="AH1113" s="57" t="n"/>
      <c r="AI1113" s="55" t="n"/>
      <c r="AJ1113" s="55" t="n"/>
      <c r="AK1113" s="55" t="n"/>
      <c r="AL1113" s="55" t="n"/>
      <c r="AM1113" s="56" t="n"/>
      <c r="AN1113" s="55" t="n"/>
      <c r="AO1113" s="55" t="n"/>
      <c r="AP1113" s="55" t="n"/>
      <c r="AQ1113" s="55" t="n"/>
      <c r="AR1113" s="60">
        <f>IF(AND(C1113="",E1113=""),"",IF(A1113="","⚠ Date manquante",IF(AND(C1113="",E1113&lt;&gt;"Dépense"),"⚠ Prospect manquant",IF(E1113="","⚠ Action manquante",IF(AND(AU1113=1,D1113=""),"⚠ Canal manquant",IF(AND(W1113&lt;&gt;"",COUNTIFS('Saisie'!$W$5:$W$2004,W1113,'Saisie'!$C$5:$C$2004,"&lt;&gt;"&amp;C1113)&gt;0),"⚠ Numéro déjà utilisé par un autre prospect",IF(AND(J1113&lt;&gt;"",J1113&lt;A1113),"⚠ Relance avant la date de l'action",IF(A1113&gt;TODAY(),"⚠ Date dans le futur","✓"))))))))</f>
        <v/>
      </c>
      <c r="AS1113" s="61">
        <f>IF(AND(A1113="",C1113="",E1113=""),"",ROW())</f>
        <v/>
      </c>
      <c r="AT1113" s="61">
        <f>IF(E1113&amp;F1113="","",MAX(IFERROR(INDEX('Paramètres'!$J$6:$J$33,MATCH(E1113,'Paramètres'!$I$6:$I$33,0)),0),IFERROR(INDEX('Paramètres'!$N$6:$N$17,MATCH(F1113,'Paramètres'!$M$6:$M$17,0)),0)))</f>
        <v/>
      </c>
      <c r="AU1113" s="61">
        <f>IF(E1113="","",IFERROR(IF(INDEX('Paramètres'!$K$6:$K$33,MATCH(E1113,'Paramètres'!$I$6:$I$33,0))="Oui",1,0),0))</f>
        <v/>
      </c>
      <c r="AV1113" s="61">
        <f>IF(F1113="","",IFERROR(IF(INDEX('Paramètres'!$O$6:$O$17,MATCH(F1113,'Paramètres'!$M$6:$M$17,0))="Oui",1,0),0))</f>
        <v/>
      </c>
      <c r="AW1113" s="62">
        <f>IF(E1113="","",IF(G1113&lt;&gt;"",G1113,IF(OR(E1113="Proposition envoyée",E1113="Signature"),MAX(0,N(IFERROR(INDEX('Paramètres'!$R$6:$R$15,MATCH(IF(AL1113&lt;&gt;"",AL1113,IFERROR(INDEX('Prospects'!$AN$5:$AN$504,MATCH(C1113,'Prospects'!$C$5:$C$504,0)),"")),'Paramètres'!$Q$6:$Q$15,0)),0))-N(P1113)),0)))</f>
        <v/>
      </c>
      <c r="AX1113" s="61">
        <f>IF(C1113="","",IF(COUNTIF($C$5:C1113,C1113)=1,MAX($AX$4:AX1112)+1,""))</f>
        <v/>
      </c>
      <c r="AY1113" s="61">
        <f>IF(B1113="","",HOUR(B1113))</f>
        <v/>
      </c>
      <c r="AZ1113" s="61">
        <f>IF(A1113="","",MOD(A1113-2,7)+1)</f>
        <v/>
      </c>
      <c r="BA1113" s="60">
        <f>IF(C1113="","",IFERROR(INDEX('Prospects'!$N$5:$N$504,MATCH(C1113,'Prospects'!$C$5:$C$504,0)),""))</f>
        <v/>
      </c>
      <c r="BB1113" s="61">
        <f>IF(AND(C1113&lt;&gt;"",C1113='Fiche prospect'!$C$4),COUNTIF($C$5:C1113,C1113),"")</f>
        <v/>
      </c>
    </row>
    <row r="1114">
      <c r="A1114" s="53" t="n"/>
      <c r="B1114" s="54" t="n"/>
      <c r="C1114" s="55" t="n"/>
      <c r="D1114" s="55" t="n"/>
      <c r="E1114" s="55" t="n"/>
      <c r="F1114" s="55" t="n"/>
      <c r="G1114" s="56" t="n"/>
      <c r="H1114" s="57" t="n"/>
      <c r="I1114" s="55" t="n"/>
      <c r="J1114" s="53" t="n"/>
      <c r="K1114" s="54" t="n"/>
      <c r="L1114" s="55" t="n"/>
      <c r="M1114" s="55" t="n"/>
      <c r="N1114" s="57" t="n"/>
      <c r="O1114" s="55" t="n"/>
      <c r="P1114" s="56" t="n"/>
      <c r="Q1114" s="55" t="n"/>
      <c r="R1114" s="55" t="n"/>
      <c r="S1114" s="55" t="n"/>
      <c r="T1114" s="55" t="n"/>
      <c r="U1114" s="55" t="n"/>
      <c r="V1114" s="55" t="n"/>
      <c r="W1114" s="58" t="n"/>
      <c r="X1114" s="58" t="n"/>
      <c r="Y1114" s="55" t="n"/>
      <c r="Z1114" s="55" t="n"/>
      <c r="AA1114" s="55" t="n"/>
      <c r="AB1114" s="55" t="n"/>
      <c r="AC1114" s="55" t="n"/>
      <c r="AD1114" s="53" t="n"/>
      <c r="AE1114" s="55" t="n"/>
      <c r="AF1114" s="55" t="n"/>
      <c r="AG1114" s="59" t="n"/>
      <c r="AH1114" s="57" t="n"/>
      <c r="AI1114" s="55" t="n"/>
      <c r="AJ1114" s="55" t="n"/>
      <c r="AK1114" s="55" t="n"/>
      <c r="AL1114" s="55" t="n"/>
      <c r="AM1114" s="56" t="n"/>
      <c r="AN1114" s="55" t="n"/>
      <c r="AO1114" s="55" t="n"/>
      <c r="AP1114" s="55" t="n"/>
      <c r="AQ1114" s="55" t="n"/>
      <c r="AR1114" s="60">
        <f>IF(AND(C1114="",E1114=""),"",IF(A1114="","⚠ Date manquante",IF(AND(C1114="",E1114&lt;&gt;"Dépense"),"⚠ Prospect manquant",IF(E1114="","⚠ Action manquante",IF(AND(AU1114=1,D1114=""),"⚠ Canal manquant",IF(AND(W1114&lt;&gt;"",COUNTIFS('Saisie'!$W$5:$W$2004,W1114,'Saisie'!$C$5:$C$2004,"&lt;&gt;"&amp;C1114)&gt;0),"⚠ Numéro déjà utilisé par un autre prospect",IF(AND(J1114&lt;&gt;"",J1114&lt;A1114),"⚠ Relance avant la date de l'action",IF(A1114&gt;TODAY(),"⚠ Date dans le futur","✓"))))))))</f>
        <v/>
      </c>
      <c r="AS1114" s="61">
        <f>IF(AND(A1114="",C1114="",E1114=""),"",ROW())</f>
        <v/>
      </c>
      <c r="AT1114" s="61">
        <f>IF(E1114&amp;F1114="","",MAX(IFERROR(INDEX('Paramètres'!$J$6:$J$33,MATCH(E1114,'Paramètres'!$I$6:$I$33,0)),0),IFERROR(INDEX('Paramètres'!$N$6:$N$17,MATCH(F1114,'Paramètres'!$M$6:$M$17,0)),0)))</f>
        <v/>
      </c>
      <c r="AU1114" s="61">
        <f>IF(E1114="","",IFERROR(IF(INDEX('Paramètres'!$K$6:$K$33,MATCH(E1114,'Paramètres'!$I$6:$I$33,0))="Oui",1,0),0))</f>
        <v/>
      </c>
      <c r="AV1114" s="61">
        <f>IF(F1114="","",IFERROR(IF(INDEX('Paramètres'!$O$6:$O$17,MATCH(F1114,'Paramètres'!$M$6:$M$17,0))="Oui",1,0),0))</f>
        <v/>
      </c>
      <c r="AW1114" s="62">
        <f>IF(E1114="","",IF(G1114&lt;&gt;"",G1114,IF(OR(E1114="Proposition envoyée",E1114="Signature"),MAX(0,N(IFERROR(INDEX('Paramètres'!$R$6:$R$15,MATCH(IF(AL1114&lt;&gt;"",AL1114,IFERROR(INDEX('Prospects'!$AN$5:$AN$504,MATCH(C1114,'Prospects'!$C$5:$C$504,0)),"")),'Paramètres'!$Q$6:$Q$15,0)),0))-N(P1114)),0)))</f>
        <v/>
      </c>
      <c r="AX1114" s="61">
        <f>IF(C1114="","",IF(COUNTIF($C$5:C1114,C1114)=1,MAX($AX$4:AX1113)+1,""))</f>
        <v/>
      </c>
      <c r="AY1114" s="61">
        <f>IF(B1114="","",HOUR(B1114))</f>
        <v/>
      </c>
      <c r="AZ1114" s="61">
        <f>IF(A1114="","",MOD(A1114-2,7)+1)</f>
        <v/>
      </c>
      <c r="BA1114" s="60">
        <f>IF(C1114="","",IFERROR(INDEX('Prospects'!$N$5:$N$504,MATCH(C1114,'Prospects'!$C$5:$C$504,0)),""))</f>
        <v/>
      </c>
      <c r="BB1114" s="61">
        <f>IF(AND(C1114&lt;&gt;"",C1114='Fiche prospect'!$C$4),COUNTIF($C$5:C1114,C1114),"")</f>
        <v/>
      </c>
    </row>
    <row r="1115">
      <c r="A1115" s="53" t="n"/>
      <c r="B1115" s="54" t="n"/>
      <c r="C1115" s="55" t="n"/>
      <c r="D1115" s="55" t="n"/>
      <c r="E1115" s="55" t="n"/>
      <c r="F1115" s="55" t="n"/>
      <c r="G1115" s="56" t="n"/>
      <c r="H1115" s="57" t="n"/>
      <c r="I1115" s="55" t="n"/>
      <c r="J1115" s="53" t="n"/>
      <c r="K1115" s="54" t="n"/>
      <c r="L1115" s="55" t="n"/>
      <c r="M1115" s="55" t="n"/>
      <c r="N1115" s="57" t="n"/>
      <c r="O1115" s="55" t="n"/>
      <c r="P1115" s="56" t="n"/>
      <c r="Q1115" s="55" t="n"/>
      <c r="R1115" s="55" t="n"/>
      <c r="S1115" s="55" t="n"/>
      <c r="T1115" s="55" t="n"/>
      <c r="U1115" s="55" t="n"/>
      <c r="V1115" s="55" t="n"/>
      <c r="W1115" s="58" t="n"/>
      <c r="X1115" s="58" t="n"/>
      <c r="Y1115" s="55" t="n"/>
      <c r="Z1115" s="55" t="n"/>
      <c r="AA1115" s="55" t="n"/>
      <c r="AB1115" s="55" t="n"/>
      <c r="AC1115" s="55" t="n"/>
      <c r="AD1115" s="53" t="n"/>
      <c r="AE1115" s="55" t="n"/>
      <c r="AF1115" s="55" t="n"/>
      <c r="AG1115" s="59" t="n"/>
      <c r="AH1115" s="57" t="n"/>
      <c r="AI1115" s="55" t="n"/>
      <c r="AJ1115" s="55" t="n"/>
      <c r="AK1115" s="55" t="n"/>
      <c r="AL1115" s="55" t="n"/>
      <c r="AM1115" s="56" t="n"/>
      <c r="AN1115" s="55" t="n"/>
      <c r="AO1115" s="55" t="n"/>
      <c r="AP1115" s="55" t="n"/>
      <c r="AQ1115" s="55" t="n"/>
      <c r="AR1115" s="60">
        <f>IF(AND(C1115="",E1115=""),"",IF(A1115="","⚠ Date manquante",IF(AND(C1115="",E1115&lt;&gt;"Dépense"),"⚠ Prospect manquant",IF(E1115="","⚠ Action manquante",IF(AND(AU1115=1,D1115=""),"⚠ Canal manquant",IF(AND(W1115&lt;&gt;"",COUNTIFS('Saisie'!$W$5:$W$2004,W1115,'Saisie'!$C$5:$C$2004,"&lt;&gt;"&amp;C1115)&gt;0),"⚠ Numéro déjà utilisé par un autre prospect",IF(AND(J1115&lt;&gt;"",J1115&lt;A1115),"⚠ Relance avant la date de l'action",IF(A1115&gt;TODAY(),"⚠ Date dans le futur","✓"))))))))</f>
        <v/>
      </c>
      <c r="AS1115" s="61">
        <f>IF(AND(A1115="",C1115="",E1115=""),"",ROW())</f>
        <v/>
      </c>
      <c r="AT1115" s="61">
        <f>IF(E1115&amp;F1115="","",MAX(IFERROR(INDEX('Paramètres'!$J$6:$J$33,MATCH(E1115,'Paramètres'!$I$6:$I$33,0)),0),IFERROR(INDEX('Paramètres'!$N$6:$N$17,MATCH(F1115,'Paramètres'!$M$6:$M$17,0)),0)))</f>
        <v/>
      </c>
      <c r="AU1115" s="61">
        <f>IF(E1115="","",IFERROR(IF(INDEX('Paramètres'!$K$6:$K$33,MATCH(E1115,'Paramètres'!$I$6:$I$33,0))="Oui",1,0),0))</f>
        <v/>
      </c>
      <c r="AV1115" s="61">
        <f>IF(F1115="","",IFERROR(IF(INDEX('Paramètres'!$O$6:$O$17,MATCH(F1115,'Paramètres'!$M$6:$M$17,0))="Oui",1,0),0))</f>
        <v/>
      </c>
      <c r="AW1115" s="62">
        <f>IF(E1115="","",IF(G1115&lt;&gt;"",G1115,IF(OR(E1115="Proposition envoyée",E1115="Signature"),MAX(0,N(IFERROR(INDEX('Paramètres'!$R$6:$R$15,MATCH(IF(AL1115&lt;&gt;"",AL1115,IFERROR(INDEX('Prospects'!$AN$5:$AN$504,MATCH(C1115,'Prospects'!$C$5:$C$504,0)),"")),'Paramètres'!$Q$6:$Q$15,0)),0))-N(P1115)),0)))</f>
        <v/>
      </c>
      <c r="AX1115" s="61">
        <f>IF(C1115="","",IF(COUNTIF($C$5:C1115,C1115)=1,MAX($AX$4:AX1114)+1,""))</f>
        <v/>
      </c>
      <c r="AY1115" s="61">
        <f>IF(B1115="","",HOUR(B1115))</f>
        <v/>
      </c>
      <c r="AZ1115" s="61">
        <f>IF(A1115="","",MOD(A1115-2,7)+1)</f>
        <v/>
      </c>
      <c r="BA1115" s="60">
        <f>IF(C1115="","",IFERROR(INDEX('Prospects'!$N$5:$N$504,MATCH(C1115,'Prospects'!$C$5:$C$504,0)),""))</f>
        <v/>
      </c>
      <c r="BB1115" s="61">
        <f>IF(AND(C1115&lt;&gt;"",C1115='Fiche prospect'!$C$4),COUNTIF($C$5:C1115,C1115),"")</f>
        <v/>
      </c>
    </row>
    <row r="1116">
      <c r="A1116" s="53" t="n"/>
      <c r="B1116" s="54" t="n"/>
      <c r="C1116" s="55" t="n"/>
      <c r="D1116" s="55" t="n"/>
      <c r="E1116" s="55" t="n"/>
      <c r="F1116" s="55" t="n"/>
      <c r="G1116" s="56" t="n"/>
      <c r="H1116" s="57" t="n"/>
      <c r="I1116" s="55" t="n"/>
      <c r="J1116" s="53" t="n"/>
      <c r="K1116" s="54" t="n"/>
      <c r="L1116" s="55" t="n"/>
      <c r="M1116" s="55" t="n"/>
      <c r="N1116" s="57" t="n"/>
      <c r="O1116" s="55" t="n"/>
      <c r="P1116" s="56" t="n"/>
      <c r="Q1116" s="55" t="n"/>
      <c r="R1116" s="55" t="n"/>
      <c r="S1116" s="55" t="n"/>
      <c r="T1116" s="55" t="n"/>
      <c r="U1116" s="55" t="n"/>
      <c r="V1116" s="55" t="n"/>
      <c r="W1116" s="58" t="n"/>
      <c r="X1116" s="58" t="n"/>
      <c r="Y1116" s="55" t="n"/>
      <c r="Z1116" s="55" t="n"/>
      <c r="AA1116" s="55" t="n"/>
      <c r="AB1116" s="55" t="n"/>
      <c r="AC1116" s="55" t="n"/>
      <c r="AD1116" s="53" t="n"/>
      <c r="AE1116" s="55" t="n"/>
      <c r="AF1116" s="55" t="n"/>
      <c r="AG1116" s="59" t="n"/>
      <c r="AH1116" s="57" t="n"/>
      <c r="AI1116" s="55" t="n"/>
      <c r="AJ1116" s="55" t="n"/>
      <c r="AK1116" s="55" t="n"/>
      <c r="AL1116" s="55" t="n"/>
      <c r="AM1116" s="56" t="n"/>
      <c r="AN1116" s="55" t="n"/>
      <c r="AO1116" s="55" t="n"/>
      <c r="AP1116" s="55" t="n"/>
      <c r="AQ1116" s="55" t="n"/>
      <c r="AR1116" s="60">
        <f>IF(AND(C1116="",E1116=""),"",IF(A1116="","⚠ Date manquante",IF(AND(C1116="",E1116&lt;&gt;"Dépense"),"⚠ Prospect manquant",IF(E1116="","⚠ Action manquante",IF(AND(AU1116=1,D1116=""),"⚠ Canal manquant",IF(AND(W1116&lt;&gt;"",COUNTIFS('Saisie'!$W$5:$W$2004,W1116,'Saisie'!$C$5:$C$2004,"&lt;&gt;"&amp;C1116)&gt;0),"⚠ Numéro déjà utilisé par un autre prospect",IF(AND(J1116&lt;&gt;"",J1116&lt;A1116),"⚠ Relance avant la date de l'action",IF(A1116&gt;TODAY(),"⚠ Date dans le futur","✓"))))))))</f>
        <v/>
      </c>
      <c r="AS1116" s="61">
        <f>IF(AND(A1116="",C1116="",E1116=""),"",ROW())</f>
        <v/>
      </c>
      <c r="AT1116" s="61">
        <f>IF(E1116&amp;F1116="","",MAX(IFERROR(INDEX('Paramètres'!$J$6:$J$33,MATCH(E1116,'Paramètres'!$I$6:$I$33,0)),0),IFERROR(INDEX('Paramètres'!$N$6:$N$17,MATCH(F1116,'Paramètres'!$M$6:$M$17,0)),0)))</f>
        <v/>
      </c>
      <c r="AU1116" s="61">
        <f>IF(E1116="","",IFERROR(IF(INDEX('Paramètres'!$K$6:$K$33,MATCH(E1116,'Paramètres'!$I$6:$I$33,0))="Oui",1,0),0))</f>
        <v/>
      </c>
      <c r="AV1116" s="61">
        <f>IF(F1116="","",IFERROR(IF(INDEX('Paramètres'!$O$6:$O$17,MATCH(F1116,'Paramètres'!$M$6:$M$17,0))="Oui",1,0),0))</f>
        <v/>
      </c>
      <c r="AW1116" s="62">
        <f>IF(E1116="","",IF(G1116&lt;&gt;"",G1116,IF(OR(E1116="Proposition envoyée",E1116="Signature"),MAX(0,N(IFERROR(INDEX('Paramètres'!$R$6:$R$15,MATCH(IF(AL1116&lt;&gt;"",AL1116,IFERROR(INDEX('Prospects'!$AN$5:$AN$504,MATCH(C1116,'Prospects'!$C$5:$C$504,0)),"")),'Paramètres'!$Q$6:$Q$15,0)),0))-N(P1116)),0)))</f>
        <v/>
      </c>
      <c r="AX1116" s="61">
        <f>IF(C1116="","",IF(COUNTIF($C$5:C1116,C1116)=1,MAX($AX$4:AX1115)+1,""))</f>
        <v/>
      </c>
      <c r="AY1116" s="61">
        <f>IF(B1116="","",HOUR(B1116))</f>
        <v/>
      </c>
      <c r="AZ1116" s="61">
        <f>IF(A1116="","",MOD(A1116-2,7)+1)</f>
        <v/>
      </c>
      <c r="BA1116" s="60">
        <f>IF(C1116="","",IFERROR(INDEX('Prospects'!$N$5:$N$504,MATCH(C1116,'Prospects'!$C$5:$C$504,0)),""))</f>
        <v/>
      </c>
      <c r="BB1116" s="61">
        <f>IF(AND(C1116&lt;&gt;"",C1116='Fiche prospect'!$C$4),COUNTIF($C$5:C1116,C1116),"")</f>
        <v/>
      </c>
    </row>
    <row r="1117">
      <c r="A1117" s="53" t="n"/>
      <c r="B1117" s="54" t="n"/>
      <c r="C1117" s="55" t="n"/>
      <c r="D1117" s="55" t="n"/>
      <c r="E1117" s="55" t="n"/>
      <c r="F1117" s="55" t="n"/>
      <c r="G1117" s="56" t="n"/>
      <c r="H1117" s="57" t="n"/>
      <c r="I1117" s="55" t="n"/>
      <c r="J1117" s="53" t="n"/>
      <c r="K1117" s="54" t="n"/>
      <c r="L1117" s="55" t="n"/>
      <c r="M1117" s="55" t="n"/>
      <c r="N1117" s="57" t="n"/>
      <c r="O1117" s="55" t="n"/>
      <c r="P1117" s="56" t="n"/>
      <c r="Q1117" s="55" t="n"/>
      <c r="R1117" s="55" t="n"/>
      <c r="S1117" s="55" t="n"/>
      <c r="T1117" s="55" t="n"/>
      <c r="U1117" s="55" t="n"/>
      <c r="V1117" s="55" t="n"/>
      <c r="W1117" s="58" t="n"/>
      <c r="X1117" s="58" t="n"/>
      <c r="Y1117" s="55" t="n"/>
      <c r="Z1117" s="55" t="n"/>
      <c r="AA1117" s="55" t="n"/>
      <c r="AB1117" s="55" t="n"/>
      <c r="AC1117" s="55" t="n"/>
      <c r="AD1117" s="53" t="n"/>
      <c r="AE1117" s="55" t="n"/>
      <c r="AF1117" s="55" t="n"/>
      <c r="AG1117" s="59" t="n"/>
      <c r="AH1117" s="57" t="n"/>
      <c r="AI1117" s="55" t="n"/>
      <c r="AJ1117" s="55" t="n"/>
      <c r="AK1117" s="55" t="n"/>
      <c r="AL1117" s="55" t="n"/>
      <c r="AM1117" s="56" t="n"/>
      <c r="AN1117" s="55" t="n"/>
      <c r="AO1117" s="55" t="n"/>
      <c r="AP1117" s="55" t="n"/>
      <c r="AQ1117" s="55" t="n"/>
      <c r="AR1117" s="60">
        <f>IF(AND(C1117="",E1117=""),"",IF(A1117="","⚠ Date manquante",IF(AND(C1117="",E1117&lt;&gt;"Dépense"),"⚠ Prospect manquant",IF(E1117="","⚠ Action manquante",IF(AND(AU1117=1,D1117=""),"⚠ Canal manquant",IF(AND(W1117&lt;&gt;"",COUNTIFS('Saisie'!$W$5:$W$2004,W1117,'Saisie'!$C$5:$C$2004,"&lt;&gt;"&amp;C1117)&gt;0),"⚠ Numéro déjà utilisé par un autre prospect",IF(AND(J1117&lt;&gt;"",J1117&lt;A1117),"⚠ Relance avant la date de l'action",IF(A1117&gt;TODAY(),"⚠ Date dans le futur","✓"))))))))</f>
        <v/>
      </c>
      <c r="AS1117" s="61">
        <f>IF(AND(A1117="",C1117="",E1117=""),"",ROW())</f>
        <v/>
      </c>
      <c r="AT1117" s="61">
        <f>IF(E1117&amp;F1117="","",MAX(IFERROR(INDEX('Paramètres'!$J$6:$J$33,MATCH(E1117,'Paramètres'!$I$6:$I$33,0)),0),IFERROR(INDEX('Paramètres'!$N$6:$N$17,MATCH(F1117,'Paramètres'!$M$6:$M$17,0)),0)))</f>
        <v/>
      </c>
      <c r="AU1117" s="61">
        <f>IF(E1117="","",IFERROR(IF(INDEX('Paramètres'!$K$6:$K$33,MATCH(E1117,'Paramètres'!$I$6:$I$33,0))="Oui",1,0),0))</f>
        <v/>
      </c>
      <c r="AV1117" s="61">
        <f>IF(F1117="","",IFERROR(IF(INDEX('Paramètres'!$O$6:$O$17,MATCH(F1117,'Paramètres'!$M$6:$M$17,0))="Oui",1,0),0))</f>
        <v/>
      </c>
      <c r="AW1117" s="62">
        <f>IF(E1117="","",IF(G1117&lt;&gt;"",G1117,IF(OR(E1117="Proposition envoyée",E1117="Signature"),MAX(0,N(IFERROR(INDEX('Paramètres'!$R$6:$R$15,MATCH(IF(AL1117&lt;&gt;"",AL1117,IFERROR(INDEX('Prospects'!$AN$5:$AN$504,MATCH(C1117,'Prospects'!$C$5:$C$504,0)),"")),'Paramètres'!$Q$6:$Q$15,0)),0))-N(P1117)),0)))</f>
        <v/>
      </c>
      <c r="AX1117" s="61">
        <f>IF(C1117="","",IF(COUNTIF($C$5:C1117,C1117)=1,MAX($AX$4:AX1116)+1,""))</f>
        <v/>
      </c>
      <c r="AY1117" s="61">
        <f>IF(B1117="","",HOUR(B1117))</f>
        <v/>
      </c>
      <c r="AZ1117" s="61">
        <f>IF(A1117="","",MOD(A1117-2,7)+1)</f>
        <v/>
      </c>
      <c r="BA1117" s="60">
        <f>IF(C1117="","",IFERROR(INDEX('Prospects'!$N$5:$N$504,MATCH(C1117,'Prospects'!$C$5:$C$504,0)),""))</f>
        <v/>
      </c>
      <c r="BB1117" s="61">
        <f>IF(AND(C1117&lt;&gt;"",C1117='Fiche prospect'!$C$4),COUNTIF($C$5:C1117,C1117),"")</f>
        <v/>
      </c>
    </row>
    <row r="1118">
      <c r="A1118" s="53" t="n"/>
      <c r="B1118" s="54" t="n"/>
      <c r="C1118" s="55" t="n"/>
      <c r="D1118" s="55" t="n"/>
      <c r="E1118" s="55" t="n"/>
      <c r="F1118" s="55" t="n"/>
      <c r="G1118" s="56" t="n"/>
      <c r="H1118" s="57" t="n"/>
      <c r="I1118" s="55" t="n"/>
      <c r="J1118" s="53" t="n"/>
      <c r="K1118" s="54" t="n"/>
      <c r="L1118" s="55" t="n"/>
      <c r="M1118" s="55" t="n"/>
      <c r="N1118" s="57" t="n"/>
      <c r="O1118" s="55" t="n"/>
      <c r="P1118" s="56" t="n"/>
      <c r="Q1118" s="55" t="n"/>
      <c r="R1118" s="55" t="n"/>
      <c r="S1118" s="55" t="n"/>
      <c r="T1118" s="55" t="n"/>
      <c r="U1118" s="55" t="n"/>
      <c r="V1118" s="55" t="n"/>
      <c r="W1118" s="58" t="n"/>
      <c r="X1118" s="58" t="n"/>
      <c r="Y1118" s="55" t="n"/>
      <c r="Z1118" s="55" t="n"/>
      <c r="AA1118" s="55" t="n"/>
      <c r="AB1118" s="55" t="n"/>
      <c r="AC1118" s="55" t="n"/>
      <c r="AD1118" s="53" t="n"/>
      <c r="AE1118" s="55" t="n"/>
      <c r="AF1118" s="55" t="n"/>
      <c r="AG1118" s="59" t="n"/>
      <c r="AH1118" s="57" t="n"/>
      <c r="AI1118" s="55" t="n"/>
      <c r="AJ1118" s="55" t="n"/>
      <c r="AK1118" s="55" t="n"/>
      <c r="AL1118" s="55" t="n"/>
      <c r="AM1118" s="56" t="n"/>
      <c r="AN1118" s="55" t="n"/>
      <c r="AO1118" s="55" t="n"/>
      <c r="AP1118" s="55" t="n"/>
      <c r="AQ1118" s="55" t="n"/>
      <c r="AR1118" s="60">
        <f>IF(AND(C1118="",E1118=""),"",IF(A1118="","⚠ Date manquante",IF(AND(C1118="",E1118&lt;&gt;"Dépense"),"⚠ Prospect manquant",IF(E1118="","⚠ Action manquante",IF(AND(AU1118=1,D1118=""),"⚠ Canal manquant",IF(AND(W1118&lt;&gt;"",COUNTIFS('Saisie'!$W$5:$W$2004,W1118,'Saisie'!$C$5:$C$2004,"&lt;&gt;"&amp;C1118)&gt;0),"⚠ Numéro déjà utilisé par un autre prospect",IF(AND(J1118&lt;&gt;"",J1118&lt;A1118),"⚠ Relance avant la date de l'action",IF(A1118&gt;TODAY(),"⚠ Date dans le futur","✓"))))))))</f>
        <v/>
      </c>
      <c r="AS1118" s="61">
        <f>IF(AND(A1118="",C1118="",E1118=""),"",ROW())</f>
        <v/>
      </c>
      <c r="AT1118" s="61">
        <f>IF(E1118&amp;F1118="","",MAX(IFERROR(INDEX('Paramètres'!$J$6:$J$33,MATCH(E1118,'Paramètres'!$I$6:$I$33,0)),0),IFERROR(INDEX('Paramètres'!$N$6:$N$17,MATCH(F1118,'Paramètres'!$M$6:$M$17,0)),0)))</f>
        <v/>
      </c>
      <c r="AU1118" s="61">
        <f>IF(E1118="","",IFERROR(IF(INDEX('Paramètres'!$K$6:$K$33,MATCH(E1118,'Paramètres'!$I$6:$I$33,0))="Oui",1,0),0))</f>
        <v/>
      </c>
      <c r="AV1118" s="61">
        <f>IF(F1118="","",IFERROR(IF(INDEX('Paramètres'!$O$6:$O$17,MATCH(F1118,'Paramètres'!$M$6:$M$17,0))="Oui",1,0),0))</f>
        <v/>
      </c>
      <c r="AW1118" s="62">
        <f>IF(E1118="","",IF(G1118&lt;&gt;"",G1118,IF(OR(E1118="Proposition envoyée",E1118="Signature"),MAX(0,N(IFERROR(INDEX('Paramètres'!$R$6:$R$15,MATCH(IF(AL1118&lt;&gt;"",AL1118,IFERROR(INDEX('Prospects'!$AN$5:$AN$504,MATCH(C1118,'Prospects'!$C$5:$C$504,0)),"")),'Paramètres'!$Q$6:$Q$15,0)),0))-N(P1118)),0)))</f>
        <v/>
      </c>
      <c r="AX1118" s="61">
        <f>IF(C1118="","",IF(COUNTIF($C$5:C1118,C1118)=1,MAX($AX$4:AX1117)+1,""))</f>
        <v/>
      </c>
      <c r="AY1118" s="61">
        <f>IF(B1118="","",HOUR(B1118))</f>
        <v/>
      </c>
      <c r="AZ1118" s="61">
        <f>IF(A1118="","",MOD(A1118-2,7)+1)</f>
        <v/>
      </c>
      <c r="BA1118" s="60">
        <f>IF(C1118="","",IFERROR(INDEX('Prospects'!$N$5:$N$504,MATCH(C1118,'Prospects'!$C$5:$C$504,0)),""))</f>
        <v/>
      </c>
      <c r="BB1118" s="61">
        <f>IF(AND(C1118&lt;&gt;"",C1118='Fiche prospect'!$C$4),COUNTIF($C$5:C1118,C1118),"")</f>
        <v/>
      </c>
    </row>
    <row r="1119">
      <c r="A1119" s="53" t="n"/>
      <c r="B1119" s="54" t="n"/>
      <c r="C1119" s="55" t="n"/>
      <c r="D1119" s="55" t="n"/>
      <c r="E1119" s="55" t="n"/>
      <c r="F1119" s="55" t="n"/>
      <c r="G1119" s="56" t="n"/>
      <c r="H1119" s="57" t="n"/>
      <c r="I1119" s="55" t="n"/>
      <c r="J1119" s="53" t="n"/>
      <c r="K1119" s="54" t="n"/>
      <c r="L1119" s="55" t="n"/>
      <c r="M1119" s="55" t="n"/>
      <c r="N1119" s="57" t="n"/>
      <c r="O1119" s="55" t="n"/>
      <c r="P1119" s="56" t="n"/>
      <c r="Q1119" s="55" t="n"/>
      <c r="R1119" s="55" t="n"/>
      <c r="S1119" s="55" t="n"/>
      <c r="T1119" s="55" t="n"/>
      <c r="U1119" s="55" t="n"/>
      <c r="V1119" s="55" t="n"/>
      <c r="W1119" s="58" t="n"/>
      <c r="X1119" s="58" t="n"/>
      <c r="Y1119" s="55" t="n"/>
      <c r="Z1119" s="55" t="n"/>
      <c r="AA1119" s="55" t="n"/>
      <c r="AB1119" s="55" t="n"/>
      <c r="AC1119" s="55" t="n"/>
      <c r="AD1119" s="53" t="n"/>
      <c r="AE1119" s="55" t="n"/>
      <c r="AF1119" s="55" t="n"/>
      <c r="AG1119" s="59" t="n"/>
      <c r="AH1119" s="57" t="n"/>
      <c r="AI1119" s="55" t="n"/>
      <c r="AJ1119" s="55" t="n"/>
      <c r="AK1119" s="55" t="n"/>
      <c r="AL1119" s="55" t="n"/>
      <c r="AM1119" s="56" t="n"/>
      <c r="AN1119" s="55" t="n"/>
      <c r="AO1119" s="55" t="n"/>
      <c r="AP1119" s="55" t="n"/>
      <c r="AQ1119" s="55" t="n"/>
      <c r="AR1119" s="60">
        <f>IF(AND(C1119="",E1119=""),"",IF(A1119="","⚠ Date manquante",IF(AND(C1119="",E1119&lt;&gt;"Dépense"),"⚠ Prospect manquant",IF(E1119="","⚠ Action manquante",IF(AND(AU1119=1,D1119=""),"⚠ Canal manquant",IF(AND(W1119&lt;&gt;"",COUNTIFS('Saisie'!$W$5:$W$2004,W1119,'Saisie'!$C$5:$C$2004,"&lt;&gt;"&amp;C1119)&gt;0),"⚠ Numéro déjà utilisé par un autre prospect",IF(AND(J1119&lt;&gt;"",J1119&lt;A1119),"⚠ Relance avant la date de l'action",IF(A1119&gt;TODAY(),"⚠ Date dans le futur","✓"))))))))</f>
        <v/>
      </c>
      <c r="AS1119" s="61">
        <f>IF(AND(A1119="",C1119="",E1119=""),"",ROW())</f>
        <v/>
      </c>
      <c r="AT1119" s="61">
        <f>IF(E1119&amp;F1119="","",MAX(IFERROR(INDEX('Paramètres'!$J$6:$J$33,MATCH(E1119,'Paramètres'!$I$6:$I$33,0)),0),IFERROR(INDEX('Paramètres'!$N$6:$N$17,MATCH(F1119,'Paramètres'!$M$6:$M$17,0)),0)))</f>
        <v/>
      </c>
      <c r="AU1119" s="61">
        <f>IF(E1119="","",IFERROR(IF(INDEX('Paramètres'!$K$6:$K$33,MATCH(E1119,'Paramètres'!$I$6:$I$33,0))="Oui",1,0),0))</f>
        <v/>
      </c>
      <c r="AV1119" s="61">
        <f>IF(F1119="","",IFERROR(IF(INDEX('Paramètres'!$O$6:$O$17,MATCH(F1119,'Paramètres'!$M$6:$M$17,0))="Oui",1,0),0))</f>
        <v/>
      </c>
      <c r="AW1119" s="62">
        <f>IF(E1119="","",IF(G1119&lt;&gt;"",G1119,IF(OR(E1119="Proposition envoyée",E1119="Signature"),MAX(0,N(IFERROR(INDEX('Paramètres'!$R$6:$R$15,MATCH(IF(AL1119&lt;&gt;"",AL1119,IFERROR(INDEX('Prospects'!$AN$5:$AN$504,MATCH(C1119,'Prospects'!$C$5:$C$504,0)),"")),'Paramètres'!$Q$6:$Q$15,0)),0))-N(P1119)),0)))</f>
        <v/>
      </c>
      <c r="AX1119" s="61">
        <f>IF(C1119="","",IF(COUNTIF($C$5:C1119,C1119)=1,MAX($AX$4:AX1118)+1,""))</f>
        <v/>
      </c>
      <c r="AY1119" s="61">
        <f>IF(B1119="","",HOUR(B1119))</f>
        <v/>
      </c>
      <c r="AZ1119" s="61">
        <f>IF(A1119="","",MOD(A1119-2,7)+1)</f>
        <v/>
      </c>
      <c r="BA1119" s="60">
        <f>IF(C1119="","",IFERROR(INDEX('Prospects'!$N$5:$N$504,MATCH(C1119,'Prospects'!$C$5:$C$504,0)),""))</f>
        <v/>
      </c>
      <c r="BB1119" s="61">
        <f>IF(AND(C1119&lt;&gt;"",C1119='Fiche prospect'!$C$4),COUNTIF($C$5:C1119,C1119),"")</f>
        <v/>
      </c>
    </row>
    <row r="1120">
      <c r="A1120" s="53" t="n"/>
      <c r="B1120" s="54" t="n"/>
      <c r="C1120" s="55" t="n"/>
      <c r="D1120" s="55" t="n"/>
      <c r="E1120" s="55" t="n"/>
      <c r="F1120" s="55" t="n"/>
      <c r="G1120" s="56" t="n"/>
      <c r="H1120" s="57" t="n"/>
      <c r="I1120" s="55" t="n"/>
      <c r="J1120" s="53" t="n"/>
      <c r="K1120" s="54" t="n"/>
      <c r="L1120" s="55" t="n"/>
      <c r="M1120" s="55" t="n"/>
      <c r="N1120" s="57" t="n"/>
      <c r="O1120" s="55" t="n"/>
      <c r="P1120" s="56" t="n"/>
      <c r="Q1120" s="55" t="n"/>
      <c r="R1120" s="55" t="n"/>
      <c r="S1120" s="55" t="n"/>
      <c r="T1120" s="55" t="n"/>
      <c r="U1120" s="55" t="n"/>
      <c r="V1120" s="55" t="n"/>
      <c r="W1120" s="58" t="n"/>
      <c r="X1120" s="58" t="n"/>
      <c r="Y1120" s="55" t="n"/>
      <c r="Z1120" s="55" t="n"/>
      <c r="AA1120" s="55" t="n"/>
      <c r="AB1120" s="55" t="n"/>
      <c r="AC1120" s="55" t="n"/>
      <c r="AD1120" s="53" t="n"/>
      <c r="AE1120" s="55" t="n"/>
      <c r="AF1120" s="55" t="n"/>
      <c r="AG1120" s="59" t="n"/>
      <c r="AH1120" s="57" t="n"/>
      <c r="AI1120" s="55" t="n"/>
      <c r="AJ1120" s="55" t="n"/>
      <c r="AK1120" s="55" t="n"/>
      <c r="AL1120" s="55" t="n"/>
      <c r="AM1120" s="56" t="n"/>
      <c r="AN1120" s="55" t="n"/>
      <c r="AO1120" s="55" t="n"/>
      <c r="AP1120" s="55" t="n"/>
      <c r="AQ1120" s="55" t="n"/>
      <c r="AR1120" s="60">
        <f>IF(AND(C1120="",E1120=""),"",IF(A1120="","⚠ Date manquante",IF(AND(C1120="",E1120&lt;&gt;"Dépense"),"⚠ Prospect manquant",IF(E1120="","⚠ Action manquante",IF(AND(AU1120=1,D1120=""),"⚠ Canal manquant",IF(AND(W1120&lt;&gt;"",COUNTIFS('Saisie'!$W$5:$W$2004,W1120,'Saisie'!$C$5:$C$2004,"&lt;&gt;"&amp;C1120)&gt;0),"⚠ Numéro déjà utilisé par un autre prospect",IF(AND(J1120&lt;&gt;"",J1120&lt;A1120),"⚠ Relance avant la date de l'action",IF(A1120&gt;TODAY(),"⚠ Date dans le futur","✓"))))))))</f>
        <v/>
      </c>
      <c r="AS1120" s="61">
        <f>IF(AND(A1120="",C1120="",E1120=""),"",ROW())</f>
        <v/>
      </c>
      <c r="AT1120" s="61">
        <f>IF(E1120&amp;F1120="","",MAX(IFERROR(INDEX('Paramètres'!$J$6:$J$33,MATCH(E1120,'Paramètres'!$I$6:$I$33,0)),0),IFERROR(INDEX('Paramètres'!$N$6:$N$17,MATCH(F1120,'Paramètres'!$M$6:$M$17,0)),0)))</f>
        <v/>
      </c>
      <c r="AU1120" s="61">
        <f>IF(E1120="","",IFERROR(IF(INDEX('Paramètres'!$K$6:$K$33,MATCH(E1120,'Paramètres'!$I$6:$I$33,0))="Oui",1,0),0))</f>
        <v/>
      </c>
      <c r="AV1120" s="61">
        <f>IF(F1120="","",IFERROR(IF(INDEX('Paramètres'!$O$6:$O$17,MATCH(F1120,'Paramètres'!$M$6:$M$17,0))="Oui",1,0),0))</f>
        <v/>
      </c>
      <c r="AW1120" s="62">
        <f>IF(E1120="","",IF(G1120&lt;&gt;"",G1120,IF(OR(E1120="Proposition envoyée",E1120="Signature"),MAX(0,N(IFERROR(INDEX('Paramètres'!$R$6:$R$15,MATCH(IF(AL1120&lt;&gt;"",AL1120,IFERROR(INDEX('Prospects'!$AN$5:$AN$504,MATCH(C1120,'Prospects'!$C$5:$C$504,0)),"")),'Paramètres'!$Q$6:$Q$15,0)),0))-N(P1120)),0)))</f>
        <v/>
      </c>
      <c r="AX1120" s="61">
        <f>IF(C1120="","",IF(COUNTIF($C$5:C1120,C1120)=1,MAX($AX$4:AX1119)+1,""))</f>
        <v/>
      </c>
      <c r="AY1120" s="61">
        <f>IF(B1120="","",HOUR(B1120))</f>
        <v/>
      </c>
      <c r="AZ1120" s="61">
        <f>IF(A1120="","",MOD(A1120-2,7)+1)</f>
        <v/>
      </c>
      <c r="BA1120" s="60">
        <f>IF(C1120="","",IFERROR(INDEX('Prospects'!$N$5:$N$504,MATCH(C1120,'Prospects'!$C$5:$C$504,0)),""))</f>
        <v/>
      </c>
      <c r="BB1120" s="61">
        <f>IF(AND(C1120&lt;&gt;"",C1120='Fiche prospect'!$C$4),COUNTIF($C$5:C1120,C1120),"")</f>
        <v/>
      </c>
    </row>
    <row r="1121">
      <c r="A1121" s="53" t="n"/>
      <c r="B1121" s="54" t="n"/>
      <c r="C1121" s="55" t="n"/>
      <c r="D1121" s="55" t="n"/>
      <c r="E1121" s="55" t="n"/>
      <c r="F1121" s="55" t="n"/>
      <c r="G1121" s="56" t="n"/>
      <c r="H1121" s="57" t="n"/>
      <c r="I1121" s="55" t="n"/>
      <c r="J1121" s="53" t="n"/>
      <c r="K1121" s="54" t="n"/>
      <c r="L1121" s="55" t="n"/>
      <c r="M1121" s="55" t="n"/>
      <c r="N1121" s="57" t="n"/>
      <c r="O1121" s="55" t="n"/>
      <c r="P1121" s="56" t="n"/>
      <c r="Q1121" s="55" t="n"/>
      <c r="R1121" s="55" t="n"/>
      <c r="S1121" s="55" t="n"/>
      <c r="T1121" s="55" t="n"/>
      <c r="U1121" s="55" t="n"/>
      <c r="V1121" s="55" t="n"/>
      <c r="W1121" s="58" t="n"/>
      <c r="X1121" s="58" t="n"/>
      <c r="Y1121" s="55" t="n"/>
      <c r="Z1121" s="55" t="n"/>
      <c r="AA1121" s="55" t="n"/>
      <c r="AB1121" s="55" t="n"/>
      <c r="AC1121" s="55" t="n"/>
      <c r="AD1121" s="53" t="n"/>
      <c r="AE1121" s="55" t="n"/>
      <c r="AF1121" s="55" t="n"/>
      <c r="AG1121" s="59" t="n"/>
      <c r="AH1121" s="57" t="n"/>
      <c r="AI1121" s="55" t="n"/>
      <c r="AJ1121" s="55" t="n"/>
      <c r="AK1121" s="55" t="n"/>
      <c r="AL1121" s="55" t="n"/>
      <c r="AM1121" s="56" t="n"/>
      <c r="AN1121" s="55" t="n"/>
      <c r="AO1121" s="55" t="n"/>
      <c r="AP1121" s="55" t="n"/>
      <c r="AQ1121" s="55" t="n"/>
      <c r="AR1121" s="60">
        <f>IF(AND(C1121="",E1121=""),"",IF(A1121="","⚠ Date manquante",IF(AND(C1121="",E1121&lt;&gt;"Dépense"),"⚠ Prospect manquant",IF(E1121="","⚠ Action manquante",IF(AND(AU1121=1,D1121=""),"⚠ Canal manquant",IF(AND(W1121&lt;&gt;"",COUNTIFS('Saisie'!$W$5:$W$2004,W1121,'Saisie'!$C$5:$C$2004,"&lt;&gt;"&amp;C1121)&gt;0),"⚠ Numéro déjà utilisé par un autre prospect",IF(AND(J1121&lt;&gt;"",J1121&lt;A1121),"⚠ Relance avant la date de l'action",IF(A1121&gt;TODAY(),"⚠ Date dans le futur","✓"))))))))</f>
        <v/>
      </c>
      <c r="AS1121" s="61">
        <f>IF(AND(A1121="",C1121="",E1121=""),"",ROW())</f>
        <v/>
      </c>
      <c r="AT1121" s="61">
        <f>IF(E1121&amp;F1121="","",MAX(IFERROR(INDEX('Paramètres'!$J$6:$J$33,MATCH(E1121,'Paramètres'!$I$6:$I$33,0)),0),IFERROR(INDEX('Paramètres'!$N$6:$N$17,MATCH(F1121,'Paramètres'!$M$6:$M$17,0)),0)))</f>
        <v/>
      </c>
      <c r="AU1121" s="61">
        <f>IF(E1121="","",IFERROR(IF(INDEX('Paramètres'!$K$6:$K$33,MATCH(E1121,'Paramètres'!$I$6:$I$33,0))="Oui",1,0),0))</f>
        <v/>
      </c>
      <c r="AV1121" s="61">
        <f>IF(F1121="","",IFERROR(IF(INDEX('Paramètres'!$O$6:$O$17,MATCH(F1121,'Paramètres'!$M$6:$M$17,0))="Oui",1,0),0))</f>
        <v/>
      </c>
      <c r="AW1121" s="62">
        <f>IF(E1121="","",IF(G1121&lt;&gt;"",G1121,IF(OR(E1121="Proposition envoyée",E1121="Signature"),MAX(0,N(IFERROR(INDEX('Paramètres'!$R$6:$R$15,MATCH(IF(AL1121&lt;&gt;"",AL1121,IFERROR(INDEX('Prospects'!$AN$5:$AN$504,MATCH(C1121,'Prospects'!$C$5:$C$504,0)),"")),'Paramètres'!$Q$6:$Q$15,0)),0))-N(P1121)),0)))</f>
        <v/>
      </c>
      <c r="AX1121" s="61">
        <f>IF(C1121="","",IF(COUNTIF($C$5:C1121,C1121)=1,MAX($AX$4:AX1120)+1,""))</f>
        <v/>
      </c>
      <c r="AY1121" s="61">
        <f>IF(B1121="","",HOUR(B1121))</f>
        <v/>
      </c>
      <c r="AZ1121" s="61">
        <f>IF(A1121="","",MOD(A1121-2,7)+1)</f>
        <v/>
      </c>
      <c r="BA1121" s="60">
        <f>IF(C1121="","",IFERROR(INDEX('Prospects'!$N$5:$N$504,MATCH(C1121,'Prospects'!$C$5:$C$504,0)),""))</f>
        <v/>
      </c>
      <c r="BB1121" s="61">
        <f>IF(AND(C1121&lt;&gt;"",C1121='Fiche prospect'!$C$4),COUNTIF($C$5:C1121,C1121),"")</f>
        <v/>
      </c>
    </row>
    <row r="1122">
      <c r="A1122" s="53" t="n"/>
      <c r="B1122" s="54" t="n"/>
      <c r="C1122" s="55" t="n"/>
      <c r="D1122" s="55" t="n"/>
      <c r="E1122" s="55" t="n"/>
      <c r="F1122" s="55" t="n"/>
      <c r="G1122" s="56" t="n"/>
      <c r="H1122" s="57" t="n"/>
      <c r="I1122" s="55" t="n"/>
      <c r="J1122" s="53" t="n"/>
      <c r="K1122" s="54" t="n"/>
      <c r="L1122" s="55" t="n"/>
      <c r="M1122" s="55" t="n"/>
      <c r="N1122" s="57" t="n"/>
      <c r="O1122" s="55" t="n"/>
      <c r="P1122" s="56" t="n"/>
      <c r="Q1122" s="55" t="n"/>
      <c r="R1122" s="55" t="n"/>
      <c r="S1122" s="55" t="n"/>
      <c r="T1122" s="55" t="n"/>
      <c r="U1122" s="55" t="n"/>
      <c r="V1122" s="55" t="n"/>
      <c r="W1122" s="58" t="n"/>
      <c r="X1122" s="58" t="n"/>
      <c r="Y1122" s="55" t="n"/>
      <c r="Z1122" s="55" t="n"/>
      <c r="AA1122" s="55" t="n"/>
      <c r="AB1122" s="55" t="n"/>
      <c r="AC1122" s="55" t="n"/>
      <c r="AD1122" s="53" t="n"/>
      <c r="AE1122" s="55" t="n"/>
      <c r="AF1122" s="55" t="n"/>
      <c r="AG1122" s="59" t="n"/>
      <c r="AH1122" s="57" t="n"/>
      <c r="AI1122" s="55" t="n"/>
      <c r="AJ1122" s="55" t="n"/>
      <c r="AK1122" s="55" t="n"/>
      <c r="AL1122" s="55" t="n"/>
      <c r="AM1122" s="56" t="n"/>
      <c r="AN1122" s="55" t="n"/>
      <c r="AO1122" s="55" t="n"/>
      <c r="AP1122" s="55" t="n"/>
      <c r="AQ1122" s="55" t="n"/>
      <c r="AR1122" s="60">
        <f>IF(AND(C1122="",E1122=""),"",IF(A1122="","⚠ Date manquante",IF(AND(C1122="",E1122&lt;&gt;"Dépense"),"⚠ Prospect manquant",IF(E1122="","⚠ Action manquante",IF(AND(AU1122=1,D1122=""),"⚠ Canal manquant",IF(AND(W1122&lt;&gt;"",COUNTIFS('Saisie'!$W$5:$W$2004,W1122,'Saisie'!$C$5:$C$2004,"&lt;&gt;"&amp;C1122)&gt;0),"⚠ Numéro déjà utilisé par un autre prospect",IF(AND(J1122&lt;&gt;"",J1122&lt;A1122),"⚠ Relance avant la date de l'action",IF(A1122&gt;TODAY(),"⚠ Date dans le futur","✓"))))))))</f>
        <v/>
      </c>
      <c r="AS1122" s="61">
        <f>IF(AND(A1122="",C1122="",E1122=""),"",ROW())</f>
        <v/>
      </c>
      <c r="AT1122" s="61">
        <f>IF(E1122&amp;F1122="","",MAX(IFERROR(INDEX('Paramètres'!$J$6:$J$33,MATCH(E1122,'Paramètres'!$I$6:$I$33,0)),0),IFERROR(INDEX('Paramètres'!$N$6:$N$17,MATCH(F1122,'Paramètres'!$M$6:$M$17,0)),0)))</f>
        <v/>
      </c>
      <c r="AU1122" s="61">
        <f>IF(E1122="","",IFERROR(IF(INDEX('Paramètres'!$K$6:$K$33,MATCH(E1122,'Paramètres'!$I$6:$I$33,0))="Oui",1,0),0))</f>
        <v/>
      </c>
      <c r="AV1122" s="61">
        <f>IF(F1122="","",IFERROR(IF(INDEX('Paramètres'!$O$6:$O$17,MATCH(F1122,'Paramètres'!$M$6:$M$17,0))="Oui",1,0),0))</f>
        <v/>
      </c>
      <c r="AW1122" s="62">
        <f>IF(E1122="","",IF(G1122&lt;&gt;"",G1122,IF(OR(E1122="Proposition envoyée",E1122="Signature"),MAX(0,N(IFERROR(INDEX('Paramètres'!$R$6:$R$15,MATCH(IF(AL1122&lt;&gt;"",AL1122,IFERROR(INDEX('Prospects'!$AN$5:$AN$504,MATCH(C1122,'Prospects'!$C$5:$C$504,0)),"")),'Paramètres'!$Q$6:$Q$15,0)),0))-N(P1122)),0)))</f>
        <v/>
      </c>
      <c r="AX1122" s="61">
        <f>IF(C1122="","",IF(COUNTIF($C$5:C1122,C1122)=1,MAX($AX$4:AX1121)+1,""))</f>
        <v/>
      </c>
      <c r="AY1122" s="61">
        <f>IF(B1122="","",HOUR(B1122))</f>
        <v/>
      </c>
      <c r="AZ1122" s="61">
        <f>IF(A1122="","",MOD(A1122-2,7)+1)</f>
        <v/>
      </c>
      <c r="BA1122" s="60">
        <f>IF(C1122="","",IFERROR(INDEX('Prospects'!$N$5:$N$504,MATCH(C1122,'Prospects'!$C$5:$C$504,0)),""))</f>
        <v/>
      </c>
      <c r="BB1122" s="61">
        <f>IF(AND(C1122&lt;&gt;"",C1122='Fiche prospect'!$C$4),COUNTIF($C$5:C1122,C1122),"")</f>
        <v/>
      </c>
    </row>
    <row r="1123">
      <c r="A1123" s="53" t="n"/>
      <c r="B1123" s="54" t="n"/>
      <c r="C1123" s="55" t="n"/>
      <c r="D1123" s="55" t="n"/>
      <c r="E1123" s="55" t="n"/>
      <c r="F1123" s="55" t="n"/>
      <c r="G1123" s="56" t="n"/>
      <c r="H1123" s="57" t="n"/>
      <c r="I1123" s="55" t="n"/>
      <c r="J1123" s="53" t="n"/>
      <c r="K1123" s="54" t="n"/>
      <c r="L1123" s="55" t="n"/>
      <c r="M1123" s="55" t="n"/>
      <c r="N1123" s="57" t="n"/>
      <c r="O1123" s="55" t="n"/>
      <c r="P1123" s="56" t="n"/>
      <c r="Q1123" s="55" t="n"/>
      <c r="R1123" s="55" t="n"/>
      <c r="S1123" s="55" t="n"/>
      <c r="T1123" s="55" t="n"/>
      <c r="U1123" s="55" t="n"/>
      <c r="V1123" s="55" t="n"/>
      <c r="W1123" s="58" t="n"/>
      <c r="X1123" s="58" t="n"/>
      <c r="Y1123" s="55" t="n"/>
      <c r="Z1123" s="55" t="n"/>
      <c r="AA1123" s="55" t="n"/>
      <c r="AB1123" s="55" t="n"/>
      <c r="AC1123" s="55" t="n"/>
      <c r="AD1123" s="53" t="n"/>
      <c r="AE1123" s="55" t="n"/>
      <c r="AF1123" s="55" t="n"/>
      <c r="AG1123" s="59" t="n"/>
      <c r="AH1123" s="57" t="n"/>
      <c r="AI1123" s="55" t="n"/>
      <c r="AJ1123" s="55" t="n"/>
      <c r="AK1123" s="55" t="n"/>
      <c r="AL1123" s="55" t="n"/>
      <c r="AM1123" s="56" t="n"/>
      <c r="AN1123" s="55" t="n"/>
      <c r="AO1123" s="55" t="n"/>
      <c r="AP1123" s="55" t="n"/>
      <c r="AQ1123" s="55" t="n"/>
      <c r="AR1123" s="60">
        <f>IF(AND(C1123="",E1123=""),"",IF(A1123="","⚠ Date manquante",IF(AND(C1123="",E1123&lt;&gt;"Dépense"),"⚠ Prospect manquant",IF(E1123="","⚠ Action manquante",IF(AND(AU1123=1,D1123=""),"⚠ Canal manquant",IF(AND(W1123&lt;&gt;"",COUNTIFS('Saisie'!$W$5:$W$2004,W1123,'Saisie'!$C$5:$C$2004,"&lt;&gt;"&amp;C1123)&gt;0),"⚠ Numéro déjà utilisé par un autre prospect",IF(AND(J1123&lt;&gt;"",J1123&lt;A1123),"⚠ Relance avant la date de l'action",IF(A1123&gt;TODAY(),"⚠ Date dans le futur","✓"))))))))</f>
        <v/>
      </c>
      <c r="AS1123" s="61">
        <f>IF(AND(A1123="",C1123="",E1123=""),"",ROW())</f>
        <v/>
      </c>
      <c r="AT1123" s="61">
        <f>IF(E1123&amp;F1123="","",MAX(IFERROR(INDEX('Paramètres'!$J$6:$J$33,MATCH(E1123,'Paramètres'!$I$6:$I$33,0)),0),IFERROR(INDEX('Paramètres'!$N$6:$N$17,MATCH(F1123,'Paramètres'!$M$6:$M$17,0)),0)))</f>
        <v/>
      </c>
      <c r="AU1123" s="61">
        <f>IF(E1123="","",IFERROR(IF(INDEX('Paramètres'!$K$6:$K$33,MATCH(E1123,'Paramètres'!$I$6:$I$33,0))="Oui",1,0),0))</f>
        <v/>
      </c>
      <c r="AV1123" s="61">
        <f>IF(F1123="","",IFERROR(IF(INDEX('Paramètres'!$O$6:$O$17,MATCH(F1123,'Paramètres'!$M$6:$M$17,0))="Oui",1,0),0))</f>
        <v/>
      </c>
      <c r="AW1123" s="62">
        <f>IF(E1123="","",IF(G1123&lt;&gt;"",G1123,IF(OR(E1123="Proposition envoyée",E1123="Signature"),MAX(0,N(IFERROR(INDEX('Paramètres'!$R$6:$R$15,MATCH(IF(AL1123&lt;&gt;"",AL1123,IFERROR(INDEX('Prospects'!$AN$5:$AN$504,MATCH(C1123,'Prospects'!$C$5:$C$504,0)),"")),'Paramètres'!$Q$6:$Q$15,0)),0))-N(P1123)),0)))</f>
        <v/>
      </c>
      <c r="AX1123" s="61">
        <f>IF(C1123="","",IF(COUNTIF($C$5:C1123,C1123)=1,MAX($AX$4:AX1122)+1,""))</f>
        <v/>
      </c>
      <c r="AY1123" s="61">
        <f>IF(B1123="","",HOUR(B1123))</f>
        <v/>
      </c>
      <c r="AZ1123" s="61">
        <f>IF(A1123="","",MOD(A1123-2,7)+1)</f>
        <v/>
      </c>
      <c r="BA1123" s="60">
        <f>IF(C1123="","",IFERROR(INDEX('Prospects'!$N$5:$N$504,MATCH(C1123,'Prospects'!$C$5:$C$504,0)),""))</f>
        <v/>
      </c>
      <c r="BB1123" s="61">
        <f>IF(AND(C1123&lt;&gt;"",C1123='Fiche prospect'!$C$4),COUNTIF($C$5:C1123,C1123),"")</f>
        <v/>
      </c>
    </row>
    <row r="1124">
      <c r="A1124" s="53" t="n"/>
      <c r="B1124" s="54" t="n"/>
      <c r="C1124" s="55" t="n"/>
      <c r="D1124" s="55" t="n"/>
      <c r="E1124" s="55" t="n"/>
      <c r="F1124" s="55" t="n"/>
      <c r="G1124" s="56" t="n"/>
      <c r="H1124" s="57" t="n"/>
      <c r="I1124" s="55" t="n"/>
      <c r="J1124" s="53" t="n"/>
      <c r="K1124" s="54" t="n"/>
      <c r="L1124" s="55" t="n"/>
      <c r="M1124" s="55" t="n"/>
      <c r="N1124" s="57" t="n"/>
      <c r="O1124" s="55" t="n"/>
      <c r="P1124" s="56" t="n"/>
      <c r="Q1124" s="55" t="n"/>
      <c r="R1124" s="55" t="n"/>
      <c r="S1124" s="55" t="n"/>
      <c r="T1124" s="55" t="n"/>
      <c r="U1124" s="55" t="n"/>
      <c r="V1124" s="55" t="n"/>
      <c r="W1124" s="58" t="n"/>
      <c r="X1124" s="58" t="n"/>
      <c r="Y1124" s="55" t="n"/>
      <c r="Z1124" s="55" t="n"/>
      <c r="AA1124" s="55" t="n"/>
      <c r="AB1124" s="55" t="n"/>
      <c r="AC1124" s="55" t="n"/>
      <c r="AD1124" s="53" t="n"/>
      <c r="AE1124" s="55" t="n"/>
      <c r="AF1124" s="55" t="n"/>
      <c r="AG1124" s="59" t="n"/>
      <c r="AH1124" s="57" t="n"/>
      <c r="AI1124" s="55" t="n"/>
      <c r="AJ1124" s="55" t="n"/>
      <c r="AK1124" s="55" t="n"/>
      <c r="AL1124" s="55" t="n"/>
      <c r="AM1124" s="56" t="n"/>
      <c r="AN1124" s="55" t="n"/>
      <c r="AO1124" s="55" t="n"/>
      <c r="AP1124" s="55" t="n"/>
      <c r="AQ1124" s="55" t="n"/>
      <c r="AR1124" s="60">
        <f>IF(AND(C1124="",E1124=""),"",IF(A1124="","⚠ Date manquante",IF(AND(C1124="",E1124&lt;&gt;"Dépense"),"⚠ Prospect manquant",IF(E1124="","⚠ Action manquante",IF(AND(AU1124=1,D1124=""),"⚠ Canal manquant",IF(AND(W1124&lt;&gt;"",COUNTIFS('Saisie'!$W$5:$W$2004,W1124,'Saisie'!$C$5:$C$2004,"&lt;&gt;"&amp;C1124)&gt;0),"⚠ Numéro déjà utilisé par un autre prospect",IF(AND(J1124&lt;&gt;"",J1124&lt;A1124),"⚠ Relance avant la date de l'action",IF(A1124&gt;TODAY(),"⚠ Date dans le futur","✓"))))))))</f>
        <v/>
      </c>
      <c r="AS1124" s="61">
        <f>IF(AND(A1124="",C1124="",E1124=""),"",ROW())</f>
        <v/>
      </c>
      <c r="AT1124" s="61">
        <f>IF(E1124&amp;F1124="","",MAX(IFERROR(INDEX('Paramètres'!$J$6:$J$33,MATCH(E1124,'Paramètres'!$I$6:$I$33,0)),0),IFERROR(INDEX('Paramètres'!$N$6:$N$17,MATCH(F1124,'Paramètres'!$M$6:$M$17,0)),0)))</f>
        <v/>
      </c>
      <c r="AU1124" s="61">
        <f>IF(E1124="","",IFERROR(IF(INDEX('Paramètres'!$K$6:$K$33,MATCH(E1124,'Paramètres'!$I$6:$I$33,0))="Oui",1,0),0))</f>
        <v/>
      </c>
      <c r="AV1124" s="61">
        <f>IF(F1124="","",IFERROR(IF(INDEX('Paramètres'!$O$6:$O$17,MATCH(F1124,'Paramètres'!$M$6:$M$17,0))="Oui",1,0),0))</f>
        <v/>
      </c>
      <c r="AW1124" s="62">
        <f>IF(E1124="","",IF(G1124&lt;&gt;"",G1124,IF(OR(E1124="Proposition envoyée",E1124="Signature"),MAX(0,N(IFERROR(INDEX('Paramètres'!$R$6:$R$15,MATCH(IF(AL1124&lt;&gt;"",AL1124,IFERROR(INDEX('Prospects'!$AN$5:$AN$504,MATCH(C1124,'Prospects'!$C$5:$C$504,0)),"")),'Paramètres'!$Q$6:$Q$15,0)),0))-N(P1124)),0)))</f>
        <v/>
      </c>
      <c r="AX1124" s="61">
        <f>IF(C1124="","",IF(COUNTIF($C$5:C1124,C1124)=1,MAX($AX$4:AX1123)+1,""))</f>
        <v/>
      </c>
      <c r="AY1124" s="61">
        <f>IF(B1124="","",HOUR(B1124))</f>
        <v/>
      </c>
      <c r="AZ1124" s="61">
        <f>IF(A1124="","",MOD(A1124-2,7)+1)</f>
        <v/>
      </c>
      <c r="BA1124" s="60">
        <f>IF(C1124="","",IFERROR(INDEX('Prospects'!$N$5:$N$504,MATCH(C1124,'Prospects'!$C$5:$C$504,0)),""))</f>
        <v/>
      </c>
      <c r="BB1124" s="61">
        <f>IF(AND(C1124&lt;&gt;"",C1124='Fiche prospect'!$C$4),COUNTIF($C$5:C1124,C1124),"")</f>
        <v/>
      </c>
    </row>
    <row r="1125">
      <c r="A1125" s="53" t="n"/>
      <c r="B1125" s="54" t="n"/>
      <c r="C1125" s="55" t="n"/>
      <c r="D1125" s="55" t="n"/>
      <c r="E1125" s="55" t="n"/>
      <c r="F1125" s="55" t="n"/>
      <c r="G1125" s="56" t="n"/>
      <c r="H1125" s="57" t="n"/>
      <c r="I1125" s="55" t="n"/>
      <c r="J1125" s="53" t="n"/>
      <c r="K1125" s="54" t="n"/>
      <c r="L1125" s="55" t="n"/>
      <c r="M1125" s="55" t="n"/>
      <c r="N1125" s="57" t="n"/>
      <c r="O1125" s="55" t="n"/>
      <c r="P1125" s="56" t="n"/>
      <c r="Q1125" s="55" t="n"/>
      <c r="R1125" s="55" t="n"/>
      <c r="S1125" s="55" t="n"/>
      <c r="T1125" s="55" t="n"/>
      <c r="U1125" s="55" t="n"/>
      <c r="V1125" s="55" t="n"/>
      <c r="W1125" s="58" t="n"/>
      <c r="X1125" s="58" t="n"/>
      <c r="Y1125" s="55" t="n"/>
      <c r="Z1125" s="55" t="n"/>
      <c r="AA1125" s="55" t="n"/>
      <c r="AB1125" s="55" t="n"/>
      <c r="AC1125" s="55" t="n"/>
      <c r="AD1125" s="53" t="n"/>
      <c r="AE1125" s="55" t="n"/>
      <c r="AF1125" s="55" t="n"/>
      <c r="AG1125" s="59" t="n"/>
      <c r="AH1125" s="57" t="n"/>
      <c r="AI1125" s="55" t="n"/>
      <c r="AJ1125" s="55" t="n"/>
      <c r="AK1125" s="55" t="n"/>
      <c r="AL1125" s="55" t="n"/>
      <c r="AM1125" s="56" t="n"/>
      <c r="AN1125" s="55" t="n"/>
      <c r="AO1125" s="55" t="n"/>
      <c r="AP1125" s="55" t="n"/>
      <c r="AQ1125" s="55" t="n"/>
      <c r="AR1125" s="60">
        <f>IF(AND(C1125="",E1125=""),"",IF(A1125="","⚠ Date manquante",IF(AND(C1125="",E1125&lt;&gt;"Dépense"),"⚠ Prospect manquant",IF(E1125="","⚠ Action manquante",IF(AND(AU1125=1,D1125=""),"⚠ Canal manquant",IF(AND(W1125&lt;&gt;"",COUNTIFS('Saisie'!$W$5:$W$2004,W1125,'Saisie'!$C$5:$C$2004,"&lt;&gt;"&amp;C1125)&gt;0),"⚠ Numéro déjà utilisé par un autre prospect",IF(AND(J1125&lt;&gt;"",J1125&lt;A1125),"⚠ Relance avant la date de l'action",IF(A1125&gt;TODAY(),"⚠ Date dans le futur","✓"))))))))</f>
        <v/>
      </c>
      <c r="AS1125" s="61">
        <f>IF(AND(A1125="",C1125="",E1125=""),"",ROW())</f>
        <v/>
      </c>
      <c r="AT1125" s="61">
        <f>IF(E1125&amp;F1125="","",MAX(IFERROR(INDEX('Paramètres'!$J$6:$J$33,MATCH(E1125,'Paramètres'!$I$6:$I$33,0)),0),IFERROR(INDEX('Paramètres'!$N$6:$N$17,MATCH(F1125,'Paramètres'!$M$6:$M$17,0)),0)))</f>
        <v/>
      </c>
      <c r="AU1125" s="61">
        <f>IF(E1125="","",IFERROR(IF(INDEX('Paramètres'!$K$6:$K$33,MATCH(E1125,'Paramètres'!$I$6:$I$33,0))="Oui",1,0),0))</f>
        <v/>
      </c>
      <c r="AV1125" s="61">
        <f>IF(F1125="","",IFERROR(IF(INDEX('Paramètres'!$O$6:$O$17,MATCH(F1125,'Paramètres'!$M$6:$M$17,0))="Oui",1,0),0))</f>
        <v/>
      </c>
      <c r="AW1125" s="62">
        <f>IF(E1125="","",IF(G1125&lt;&gt;"",G1125,IF(OR(E1125="Proposition envoyée",E1125="Signature"),MAX(0,N(IFERROR(INDEX('Paramètres'!$R$6:$R$15,MATCH(IF(AL1125&lt;&gt;"",AL1125,IFERROR(INDEX('Prospects'!$AN$5:$AN$504,MATCH(C1125,'Prospects'!$C$5:$C$504,0)),"")),'Paramètres'!$Q$6:$Q$15,0)),0))-N(P1125)),0)))</f>
        <v/>
      </c>
      <c r="AX1125" s="61">
        <f>IF(C1125="","",IF(COUNTIF($C$5:C1125,C1125)=1,MAX($AX$4:AX1124)+1,""))</f>
        <v/>
      </c>
      <c r="AY1125" s="61">
        <f>IF(B1125="","",HOUR(B1125))</f>
        <v/>
      </c>
      <c r="AZ1125" s="61">
        <f>IF(A1125="","",MOD(A1125-2,7)+1)</f>
        <v/>
      </c>
      <c r="BA1125" s="60">
        <f>IF(C1125="","",IFERROR(INDEX('Prospects'!$N$5:$N$504,MATCH(C1125,'Prospects'!$C$5:$C$504,0)),""))</f>
        <v/>
      </c>
      <c r="BB1125" s="61">
        <f>IF(AND(C1125&lt;&gt;"",C1125='Fiche prospect'!$C$4),COUNTIF($C$5:C1125,C1125),"")</f>
        <v/>
      </c>
    </row>
    <row r="1126">
      <c r="A1126" s="53" t="n"/>
      <c r="B1126" s="54" t="n"/>
      <c r="C1126" s="55" t="n"/>
      <c r="D1126" s="55" t="n"/>
      <c r="E1126" s="55" t="n"/>
      <c r="F1126" s="55" t="n"/>
      <c r="G1126" s="56" t="n"/>
      <c r="H1126" s="57" t="n"/>
      <c r="I1126" s="55" t="n"/>
      <c r="J1126" s="53" t="n"/>
      <c r="K1126" s="54" t="n"/>
      <c r="L1126" s="55" t="n"/>
      <c r="M1126" s="55" t="n"/>
      <c r="N1126" s="57" t="n"/>
      <c r="O1126" s="55" t="n"/>
      <c r="P1126" s="56" t="n"/>
      <c r="Q1126" s="55" t="n"/>
      <c r="R1126" s="55" t="n"/>
      <c r="S1126" s="55" t="n"/>
      <c r="T1126" s="55" t="n"/>
      <c r="U1126" s="55" t="n"/>
      <c r="V1126" s="55" t="n"/>
      <c r="W1126" s="58" t="n"/>
      <c r="X1126" s="58" t="n"/>
      <c r="Y1126" s="55" t="n"/>
      <c r="Z1126" s="55" t="n"/>
      <c r="AA1126" s="55" t="n"/>
      <c r="AB1126" s="55" t="n"/>
      <c r="AC1126" s="55" t="n"/>
      <c r="AD1126" s="53" t="n"/>
      <c r="AE1126" s="55" t="n"/>
      <c r="AF1126" s="55" t="n"/>
      <c r="AG1126" s="59" t="n"/>
      <c r="AH1126" s="57" t="n"/>
      <c r="AI1126" s="55" t="n"/>
      <c r="AJ1126" s="55" t="n"/>
      <c r="AK1126" s="55" t="n"/>
      <c r="AL1126" s="55" t="n"/>
      <c r="AM1126" s="56" t="n"/>
      <c r="AN1126" s="55" t="n"/>
      <c r="AO1126" s="55" t="n"/>
      <c r="AP1126" s="55" t="n"/>
      <c r="AQ1126" s="55" t="n"/>
      <c r="AR1126" s="60">
        <f>IF(AND(C1126="",E1126=""),"",IF(A1126="","⚠ Date manquante",IF(AND(C1126="",E1126&lt;&gt;"Dépense"),"⚠ Prospect manquant",IF(E1126="","⚠ Action manquante",IF(AND(AU1126=1,D1126=""),"⚠ Canal manquant",IF(AND(W1126&lt;&gt;"",COUNTIFS('Saisie'!$W$5:$W$2004,W1126,'Saisie'!$C$5:$C$2004,"&lt;&gt;"&amp;C1126)&gt;0),"⚠ Numéro déjà utilisé par un autre prospect",IF(AND(J1126&lt;&gt;"",J1126&lt;A1126),"⚠ Relance avant la date de l'action",IF(A1126&gt;TODAY(),"⚠ Date dans le futur","✓"))))))))</f>
        <v/>
      </c>
      <c r="AS1126" s="61">
        <f>IF(AND(A1126="",C1126="",E1126=""),"",ROW())</f>
        <v/>
      </c>
      <c r="AT1126" s="61">
        <f>IF(E1126&amp;F1126="","",MAX(IFERROR(INDEX('Paramètres'!$J$6:$J$33,MATCH(E1126,'Paramètres'!$I$6:$I$33,0)),0),IFERROR(INDEX('Paramètres'!$N$6:$N$17,MATCH(F1126,'Paramètres'!$M$6:$M$17,0)),0)))</f>
        <v/>
      </c>
      <c r="AU1126" s="61">
        <f>IF(E1126="","",IFERROR(IF(INDEX('Paramètres'!$K$6:$K$33,MATCH(E1126,'Paramètres'!$I$6:$I$33,0))="Oui",1,0),0))</f>
        <v/>
      </c>
      <c r="AV1126" s="61">
        <f>IF(F1126="","",IFERROR(IF(INDEX('Paramètres'!$O$6:$O$17,MATCH(F1126,'Paramètres'!$M$6:$M$17,0))="Oui",1,0),0))</f>
        <v/>
      </c>
      <c r="AW1126" s="62">
        <f>IF(E1126="","",IF(G1126&lt;&gt;"",G1126,IF(OR(E1126="Proposition envoyée",E1126="Signature"),MAX(0,N(IFERROR(INDEX('Paramètres'!$R$6:$R$15,MATCH(IF(AL1126&lt;&gt;"",AL1126,IFERROR(INDEX('Prospects'!$AN$5:$AN$504,MATCH(C1126,'Prospects'!$C$5:$C$504,0)),"")),'Paramètres'!$Q$6:$Q$15,0)),0))-N(P1126)),0)))</f>
        <v/>
      </c>
      <c r="AX1126" s="61">
        <f>IF(C1126="","",IF(COUNTIF($C$5:C1126,C1126)=1,MAX($AX$4:AX1125)+1,""))</f>
        <v/>
      </c>
      <c r="AY1126" s="61">
        <f>IF(B1126="","",HOUR(B1126))</f>
        <v/>
      </c>
      <c r="AZ1126" s="61">
        <f>IF(A1126="","",MOD(A1126-2,7)+1)</f>
        <v/>
      </c>
      <c r="BA1126" s="60">
        <f>IF(C1126="","",IFERROR(INDEX('Prospects'!$N$5:$N$504,MATCH(C1126,'Prospects'!$C$5:$C$504,0)),""))</f>
        <v/>
      </c>
      <c r="BB1126" s="61">
        <f>IF(AND(C1126&lt;&gt;"",C1126='Fiche prospect'!$C$4),COUNTIF($C$5:C1126,C1126),"")</f>
        <v/>
      </c>
    </row>
    <row r="1127">
      <c r="A1127" s="53" t="n"/>
      <c r="B1127" s="54" t="n"/>
      <c r="C1127" s="55" t="n"/>
      <c r="D1127" s="55" t="n"/>
      <c r="E1127" s="55" t="n"/>
      <c r="F1127" s="55" t="n"/>
      <c r="G1127" s="56" t="n"/>
      <c r="H1127" s="57" t="n"/>
      <c r="I1127" s="55" t="n"/>
      <c r="J1127" s="53" t="n"/>
      <c r="K1127" s="54" t="n"/>
      <c r="L1127" s="55" t="n"/>
      <c r="M1127" s="55" t="n"/>
      <c r="N1127" s="57" t="n"/>
      <c r="O1127" s="55" t="n"/>
      <c r="P1127" s="56" t="n"/>
      <c r="Q1127" s="55" t="n"/>
      <c r="R1127" s="55" t="n"/>
      <c r="S1127" s="55" t="n"/>
      <c r="T1127" s="55" t="n"/>
      <c r="U1127" s="55" t="n"/>
      <c r="V1127" s="55" t="n"/>
      <c r="W1127" s="58" t="n"/>
      <c r="X1127" s="58" t="n"/>
      <c r="Y1127" s="55" t="n"/>
      <c r="Z1127" s="55" t="n"/>
      <c r="AA1127" s="55" t="n"/>
      <c r="AB1127" s="55" t="n"/>
      <c r="AC1127" s="55" t="n"/>
      <c r="AD1127" s="53" t="n"/>
      <c r="AE1127" s="55" t="n"/>
      <c r="AF1127" s="55" t="n"/>
      <c r="AG1127" s="59" t="n"/>
      <c r="AH1127" s="57" t="n"/>
      <c r="AI1127" s="55" t="n"/>
      <c r="AJ1127" s="55" t="n"/>
      <c r="AK1127" s="55" t="n"/>
      <c r="AL1127" s="55" t="n"/>
      <c r="AM1127" s="56" t="n"/>
      <c r="AN1127" s="55" t="n"/>
      <c r="AO1127" s="55" t="n"/>
      <c r="AP1127" s="55" t="n"/>
      <c r="AQ1127" s="55" t="n"/>
      <c r="AR1127" s="60">
        <f>IF(AND(C1127="",E1127=""),"",IF(A1127="","⚠ Date manquante",IF(AND(C1127="",E1127&lt;&gt;"Dépense"),"⚠ Prospect manquant",IF(E1127="","⚠ Action manquante",IF(AND(AU1127=1,D1127=""),"⚠ Canal manquant",IF(AND(W1127&lt;&gt;"",COUNTIFS('Saisie'!$W$5:$W$2004,W1127,'Saisie'!$C$5:$C$2004,"&lt;&gt;"&amp;C1127)&gt;0),"⚠ Numéro déjà utilisé par un autre prospect",IF(AND(J1127&lt;&gt;"",J1127&lt;A1127),"⚠ Relance avant la date de l'action",IF(A1127&gt;TODAY(),"⚠ Date dans le futur","✓"))))))))</f>
        <v/>
      </c>
      <c r="AS1127" s="61">
        <f>IF(AND(A1127="",C1127="",E1127=""),"",ROW())</f>
        <v/>
      </c>
      <c r="AT1127" s="61">
        <f>IF(E1127&amp;F1127="","",MAX(IFERROR(INDEX('Paramètres'!$J$6:$J$33,MATCH(E1127,'Paramètres'!$I$6:$I$33,0)),0),IFERROR(INDEX('Paramètres'!$N$6:$N$17,MATCH(F1127,'Paramètres'!$M$6:$M$17,0)),0)))</f>
        <v/>
      </c>
      <c r="AU1127" s="61">
        <f>IF(E1127="","",IFERROR(IF(INDEX('Paramètres'!$K$6:$K$33,MATCH(E1127,'Paramètres'!$I$6:$I$33,0))="Oui",1,0),0))</f>
        <v/>
      </c>
      <c r="AV1127" s="61">
        <f>IF(F1127="","",IFERROR(IF(INDEX('Paramètres'!$O$6:$O$17,MATCH(F1127,'Paramètres'!$M$6:$M$17,0))="Oui",1,0),0))</f>
        <v/>
      </c>
      <c r="AW1127" s="62">
        <f>IF(E1127="","",IF(G1127&lt;&gt;"",G1127,IF(OR(E1127="Proposition envoyée",E1127="Signature"),MAX(0,N(IFERROR(INDEX('Paramètres'!$R$6:$R$15,MATCH(IF(AL1127&lt;&gt;"",AL1127,IFERROR(INDEX('Prospects'!$AN$5:$AN$504,MATCH(C1127,'Prospects'!$C$5:$C$504,0)),"")),'Paramètres'!$Q$6:$Q$15,0)),0))-N(P1127)),0)))</f>
        <v/>
      </c>
      <c r="AX1127" s="61">
        <f>IF(C1127="","",IF(COUNTIF($C$5:C1127,C1127)=1,MAX($AX$4:AX1126)+1,""))</f>
        <v/>
      </c>
      <c r="AY1127" s="61">
        <f>IF(B1127="","",HOUR(B1127))</f>
        <v/>
      </c>
      <c r="AZ1127" s="61">
        <f>IF(A1127="","",MOD(A1127-2,7)+1)</f>
        <v/>
      </c>
      <c r="BA1127" s="60">
        <f>IF(C1127="","",IFERROR(INDEX('Prospects'!$N$5:$N$504,MATCH(C1127,'Prospects'!$C$5:$C$504,0)),""))</f>
        <v/>
      </c>
      <c r="BB1127" s="61">
        <f>IF(AND(C1127&lt;&gt;"",C1127='Fiche prospect'!$C$4),COUNTIF($C$5:C1127,C1127),"")</f>
        <v/>
      </c>
    </row>
    <row r="1128">
      <c r="A1128" s="53" t="n"/>
      <c r="B1128" s="54" t="n"/>
      <c r="C1128" s="55" t="n"/>
      <c r="D1128" s="55" t="n"/>
      <c r="E1128" s="55" t="n"/>
      <c r="F1128" s="55" t="n"/>
      <c r="G1128" s="56" t="n"/>
      <c r="H1128" s="57" t="n"/>
      <c r="I1128" s="55" t="n"/>
      <c r="J1128" s="53" t="n"/>
      <c r="K1128" s="54" t="n"/>
      <c r="L1128" s="55" t="n"/>
      <c r="M1128" s="55" t="n"/>
      <c r="N1128" s="57" t="n"/>
      <c r="O1128" s="55" t="n"/>
      <c r="P1128" s="56" t="n"/>
      <c r="Q1128" s="55" t="n"/>
      <c r="R1128" s="55" t="n"/>
      <c r="S1128" s="55" t="n"/>
      <c r="T1128" s="55" t="n"/>
      <c r="U1128" s="55" t="n"/>
      <c r="V1128" s="55" t="n"/>
      <c r="W1128" s="58" t="n"/>
      <c r="X1128" s="58" t="n"/>
      <c r="Y1128" s="55" t="n"/>
      <c r="Z1128" s="55" t="n"/>
      <c r="AA1128" s="55" t="n"/>
      <c r="AB1128" s="55" t="n"/>
      <c r="AC1128" s="55" t="n"/>
      <c r="AD1128" s="53" t="n"/>
      <c r="AE1128" s="55" t="n"/>
      <c r="AF1128" s="55" t="n"/>
      <c r="AG1128" s="59" t="n"/>
      <c r="AH1128" s="57" t="n"/>
      <c r="AI1128" s="55" t="n"/>
      <c r="AJ1128" s="55" t="n"/>
      <c r="AK1128" s="55" t="n"/>
      <c r="AL1128" s="55" t="n"/>
      <c r="AM1128" s="56" t="n"/>
      <c r="AN1128" s="55" t="n"/>
      <c r="AO1128" s="55" t="n"/>
      <c r="AP1128" s="55" t="n"/>
      <c r="AQ1128" s="55" t="n"/>
      <c r="AR1128" s="60">
        <f>IF(AND(C1128="",E1128=""),"",IF(A1128="","⚠ Date manquante",IF(AND(C1128="",E1128&lt;&gt;"Dépense"),"⚠ Prospect manquant",IF(E1128="","⚠ Action manquante",IF(AND(AU1128=1,D1128=""),"⚠ Canal manquant",IF(AND(W1128&lt;&gt;"",COUNTIFS('Saisie'!$W$5:$W$2004,W1128,'Saisie'!$C$5:$C$2004,"&lt;&gt;"&amp;C1128)&gt;0),"⚠ Numéro déjà utilisé par un autre prospect",IF(AND(J1128&lt;&gt;"",J1128&lt;A1128),"⚠ Relance avant la date de l'action",IF(A1128&gt;TODAY(),"⚠ Date dans le futur","✓"))))))))</f>
        <v/>
      </c>
      <c r="AS1128" s="61">
        <f>IF(AND(A1128="",C1128="",E1128=""),"",ROW())</f>
        <v/>
      </c>
      <c r="AT1128" s="61">
        <f>IF(E1128&amp;F1128="","",MAX(IFERROR(INDEX('Paramètres'!$J$6:$J$33,MATCH(E1128,'Paramètres'!$I$6:$I$33,0)),0),IFERROR(INDEX('Paramètres'!$N$6:$N$17,MATCH(F1128,'Paramètres'!$M$6:$M$17,0)),0)))</f>
        <v/>
      </c>
      <c r="AU1128" s="61">
        <f>IF(E1128="","",IFERROR(IF(INDEX('Paramètres'!$K$6:$K$33,MATCH(E1128,'Paramètres'!$I$6:$I$33,0))="Oui",1,0),0))</f>
        <v/>
      </c>
      <c r="AV1128" s="61">
        <f>IF(F1128="","",IFERROR(IF(INDEX('Paramètres'!$O$6:$O$17,MATCH(F1128,'Paramètres'!$M$6:$M$17,0))="Oui",1,0),0))</f>
        <v/>
      </c>
      <c r="AW1128" s="62">
        <f>IF(E1128="","",IF(G1128&lt;&gt;"",G1128,IF(OR(E1128="Proposition envoyée",E1128="Signature"),MAX(0,N(IFERROR(INDEX('Paramètres'!$R$6:$R$15,MATCH(IF(AL1128&lt;&gt;"",AL1128,IFERROR(INDEX('Prospects'!$AN$5:$AN$504,MATCH(C1128,'Prospects'!$C$5:$C$504,0)),"")),'Paramètres'!$Q$6:$Q$15,0)),0))-N(P1128)),0)))</f>
        <v/>
      </c>
      <c r="AX1128" s="61">
        <f>IF(C1128="","",IF(COUNTIF($C$5:C1128,C1128)=1,MAX($AX$4:AX1127)+1,""))</f>
        <v/>
      </c>
      <c r="AY1128" s="61">
        <f>IF(B1128="","",HOUR(B1128))</f>
        <v/>
      </c>
      <c r="AZ1128" s="61">
        <f>IF(A1128="","",MOD(A1128-2,7)+1)</f>
        <v/>
      </c>
      <c r="BA1128" s="60">
        <f>IF(C1128="","",IFERROR(INDEX('Prospects'!$N$5:$N$504,MATCH(C1128,'Prospects'!$C$5:$C$504,0)),""))</f>
        <v/>
      </c>
      <c r="BB1128" s="61">
        <f>IF(AND(C1128&lt;&gt;"",C1128='Fiche prospect'!$C$4),COUNTIF($C$5:C1128,C1128),"")</f>
        <v/>
      </c>
    </row>
    <row r="1129">
      <c r="A1129" s="53" t="n"/>
      <c r="B1129" s="54" t="n"/>
      <c r="C1129" s="55" t="n"/>
      <c r="D1129" s="55" t="n"/>
      <c r="E1129" s="55" t="n"/>
      <c r="F1129" s="55" t="n"/>
      <c r="G1129" s="56" t="n"/>
      <c r="H1129" s="57" t="n"/>
      <c r="I1129" s="55" t="n"/>
      <c r="J1129" s="53" t="n"/>
      <c r="K1129" s="54" t="n"/>
      <c r="L1129" s="55" t="n"/>
      <c r="M1129" s="55" t="n"/>
      <c r="N1129" s="57" t="n"/>
      <c r="O1129" s="55" t="n"/>
      <c r="P1129" s="56" t="n"/>
      <c r="Q1129" s="55" t="n"/>
      <c r="R1129" s="55" t="n"/>
      <c r="S1129" s="55" t="n"/>
      <c r="T1129" s="55" t="n"/>
      <c r="U1129" s="55" t="n"/>
      <c r="V1129" s="55" t="n"/>
      <c r="W1129" s="58" t="n"/>
      <c r="X1129" s="58" t="n"/>
      <c r="Y1129" s="55" t="n"/>
      <c r="Z1129" s="55" t="n"/>
      <c r="AA1129" s="55" t="n"/>
      <c r="AB1129" s="55" t="n"/>
      <c r="AC1129" s="55" t="n"/>
      <c r="AD1129" s="53" t="n"/>
      <c r="AE1129" s="55" t="n"/>
      <c r="AF1129" s="55" t="n"/>
      <c r="AG1129" s="59" t="n"/>
      <c r="AH1129" s="57" t="n"/>
      <c r="AI1129" s="55" t="n"/>
      <c r="AJ1129" s="55" t="n"/>
      <c r="AK1129" s="55" t="n"/>
      <c r="AL1129" s="55" t="n"/>
      <c r="AM1129" s="56" t="n"/>
      <c r="AN1129" s="55" t="n"/>
      <c r="AO1129" s="55" t="n"/>
      <c r="AP1129" s="55" t="n"/>
      <c r="AQ1129" s="55" t="n"/>
      <c r="AR1129" s="60">
        <f>IF(AND(C1129="",E1129=""),"",IF(A1129="","⚠ Date manquante",IF(AND(C1129="",E1129&lt;&gt;"Dépense"),"⚠ Prospect manquant",IF(E1129="","⚠ Action manquante",IF(AND(AU1129=1,D1129=""),"⚠ Canal manquant",IF(AND(W1129&lt;&gt;"",COUNTIFS('Saisie'!$W$5:$W$2004,W1129,'Saisie'!$C$5:$C$2004,"&lt;&gt;"&amp;C1129)&gt;0),"⚠ Numéro déjà utilisé par un autre prospect",IF(AND(J1129&lt;&gt;"",J1129&lt;A1129),"⚠ Relance avant la date de l'action",IF(A1129&gt;TODAY(),"⚠ Date dans le futur","✓"))))))))</f>
        <v/>
      </c>
      <c r="AS1129" s="61">
        <f>IF(AND(A1129="",C1129="",E1129=""),"",ROW())</f>
        <v/>
      </c>
      <c r="AT1129" s="61">
        <f>IF(E1129&amp;F1129="","",MAX(IFERROR(INDEX('Paramètres'!$J$6:$J$33,MATCH(E1129,'Paramètres'!$I$6:$I$33,0)),0),IFERROR(INDEX('Paramètres'!$N$6:$N$17,MATCH(F1129,'Paramètres'!$M$6:$M$17,0)),0)))</f>
        <v/>
      </c>
      <c r="AU1129" s="61">
        <f>IF(E1129="","",IFERROR(IF(INDEX('Paramètres'!$K$6:$K$33,MATCH(E1129,'Paramètres'!$I$6:$I$33,0))="Oui",1,0),0))</f>
        <v/>
      </c>
      <c r="AV1129" s="61">
        <f>IF(F1129="","",IFERROR(IF(INDEX('Paramètres'!$O$6:$O$17,MATCH(F1129,'Paramètres'!$M$6:$M$17,0))="Oui",1,0),0))</f>
        <v/>
      </c>
      <c r="AW1129" s="62">
        <f>IF(E1129="","",IF(G1129&lt;&gt;"",G1129,IF(OR(E1129="Proposition envoyée",E1129="Signature"),MAX(0,N(IFERROR(INDEX('Paramètres'!$R$6:$R$15,MATCH(IF(AL1129&lt;&gt;"",AL1129,IFERROR(INDEX('Prospects'!$AN$5:$AN$504,MATCH(C1129,'Prospects'!$C$5:$C$504,0)),"")),'Paramètres'!$Q$6:$Q$15,0)),0))-N(P1129)),0)))</f>
        <v/>
      </c>
      <c r="AX1129" s="61">
        <f>IF(C1129="","",IF(COUNTIF($C$5:C1129,C1129)=1,MAX($AX$4:AX1128)+1,""))</f>
        <v/>
      </c>
      <c r="AY1129" s="61">
        <f>IF(B1129="","",HOUR(B1129))</f>
        <v/>
      </c>
      <c r="AZ1129" s="61">
        <f>IF(A1129="","",MOD(A1129-2,7)+1)</f>
        <v/>
      </c>
      <c r="BA1129" s="60">
        <f>IF(C1129="","",IFERROR(INDEX('Prospects'!$N$5:$N$504,MATCH(C1129,'Prospects'!$C$5:$C$504,0)),""))</f>
        <v/>
      </c>
      <c r="BB1129" s="61">
        <f>IF(AND(C1129&lt;&gt;"",C1129='Fiche prospect'!$C$4),COUNTIF($C$5:C1129,C1129),"")</f>
        <v/>
      </c>
    </row>
    <row r="1130">
      <c r="A1130" s="53" t="n"/>
      <c r="B1130" s="54" t="n"/>
      <c r="C1130" s="55" t="n"/>
      <c r="D1130" s="55" t="n"/>
      <c r="E1130" s="55" t="n"/>
      <c r="F1130" s="55" t="n"/>
      <c r="G1130" s="56" t="n"/>
      <c r="H1130" s="57" t="n"/>
      <c r="I1130" s="55" t="n"/>
      <c r="J1130" s="53" t="n"/>
      <c r="K1130" s="54" t="n"/>
      <c r="L1130" s="55" t="n"/>
      <c r="M1130" s="55" t="n"/>
      <c r="N1130" s="57" t="n"/>
      <c r="O1130" s="55" t="n"/>
      <c r="P1130" s="56" t="n"/>
      <c r="Q1130" s="55" t="n"/>
      <c r="R1130" s="55" t="n"/>
      <c r="S1130" s="55" t="n"/>
      <c r="T1130" s="55" t="n"/>
      <c r="U1130" s="55" t="n"/>
      <c r="V1130" s="55" t="n"/>
      <c r="W1130" s="58" t="n"/>
      <c r="X1130" s="58" t="n"/>
      <c r="Y1130" s="55" t="n"/>
      <c r="Z1130" s="55" t="n"/>
      <c r="AA1130" s="55" t="n"/>
      <c r="AB1130" s="55" t="n"/>
      <c r="AC1130" s="55" t="n"/>
      <c r="AD1130" s="53" t="n"/>
      <c r="AE1130" s="55" t="n"/>
      <c r="AF1130" s="55" t="n"/>
      <c r="AG1130" s="59" t="n"/>
      <c r="AH1130" s="57" t="n"/>
      <c r="AI1130" s="55" t="n"/>
      <c r="AJ1130" s="55" t="n"/>
      <c r="AK1130" s="55" t="n"/>
      <c r="AL1130" s="55" t="n"/>
      <c r="AM1130" s="56" t="n"/>
      <c r="AN1130" s="55" t="n"/>
      <c r="AO1130" s="55" t="n"/>
      <c r="AP1130" s="55" t="n"/>
      <c r="AQ1130" s="55" t="n"/>
      <c r="AR1130" s="60">
        <f>IF(AND(C1130="",E1130=""),"",IF(A1130="","⚠ Date manquante",IF(AND(C1130="",E1130&lt;&gt;"Dépense"),"⚠ Prospect manquant",IF(E1130="","⚠ Action manquante",IF(AND(AU1130=1,D1130=""),"⚠ Canal manquant",IF(AND(W1130&lt;&gt;"",COUNTIFS('Saisie'!$W$5:$W$2004,W1130,'Saisie'!$C$5:$C$2004,"&lt;&gt;"&amp;C1130)&gt;0),"⚠ Numéro déjà utilisé par un autre prospect",IF(AND(J1130&lt;&gt;"",J1130&lt;A1130),"⚠ Relance avant la date de l'action",IF(A1130&gt;TODAY(),"⚠ Date dans le futur","✓"))))))))</f>
        <v/>
      </c>
      <c r="AS1130" s="61">
        <f>IF(AND(A1130="",C1130="",E1130=""),"",ROW())</f>
        <v/>
      </c>
      <c r="AT1130" s="61">
        <f>IF(E1130&amp;F1130="","",MAX(IFERROR(INDEX('Paramètres'!$J$6:$J$33,MATCH(E1130,'Paramètres'!$I$6:$I$33,0)),0),IFERROR(INDEX('Paramètres'!$N$6:$N$17,MATCH(F1130,'Paramètres'!$M$6:$M$17,0)),0)))</f>
        <v/>
      </c>
      <c r="AU1130" s="61">
        <f>IF(E1130="","",IFERROR(IF(INDEX('Paramètres'!$K$6:$K$33,MATCH(E1130,'Paramètres'!$I$6:$I$33,0))="Oui",1,0),0))</f>
        <v/>
      </c>
      <c r="AV1130" s="61">
        <f>IF(F1130="","",IFERROR(IF(INDEX('Paramètres'!$O$6:$O$17,MATCH(F1130,'Paramètres'!$M$6:$M$17,0))="Oui",1,0),0))</f>
        <v/>
      </c>
      <c r="AW1130" s="62">
        <f>IF(E1130="","",IF(G1130&lt;&gt;"",G1130,IF(OR(E1130="Proposition envoyée",E1130="Signature"),MAX(0,N(IFERROR(INDEX('Paramètres'!$R$6:$R$15,MATCH(IF(AL1130&lt;&gt;"",AL1130,IFERROR(INDEX('Prospects'!$AN$5:$AN$504,MATCH(C1130,'Prospects'!$C$5:$C$504,0)),"")),'Paramètres'!$Q$6:$Q$15,0)),0))-N(P1130)),0)))</f>
        <v/>
      </c>
      <c r="AX1130" s="61">
        <f>IF(C1130="","",IF(COUNTIF($C$5:C1130,C1130)=1,MAX($AX$4:AX1129)+1,""))</f>
        <v/>
      </c>
      <c r="AY1130" s="61">
        <f>IF(B1130="","",HOUR(B1130))</f>
        <v/>
      </c>
      <c r="AZ1130" s="61">
        <f>IF(A1130="","",MOD(A1130-2,7)+1)</f>
        <v/>
      </c>
      <c r="BA1130" s="60">
        <f>IF(C1130="","",IFERROR(INDEX('Prospects'!$N$5:$N$504,MATCH(C1130,'Prospects'!$C$5:$C$504,0)),""))</f>
        <v/>
      </c>
      <c r="BB1130" s="61">
        <f>IF(AND(C1130&lt;&gt;"",C1130='Fiche prospect'!$C$4),COUNTIF($C$5:C1130,C1130),"")</f>
        <v/>
      </c>
    </row>
    <row r="1131">
      <c r="A1131" s="53" t="n"/>
      <c r="B1131" s="54" t="n"/>
      <c r="C1131" s="55" t="n"/>
      <c r="D1131" s="55" t="n"/>
      <c r="E1131" s="55" t="n"/>
      <c r="F1131" s="55" t="n"/>
      <c r="G1131" s="56" t="n"/>
      <c r="H1131" s="57" t="n"/>
      <c r="I1131" s="55" t="n"/>
      <c r="J1131" s="53" t="n"/>
      <c r="K1131" s="54" t="n"/>
      <c r="L1131" s="55" t="n"/>
      <c r="M1131" s="55" t="n"/>
      <c r="N1131" s="57" t="n"/>
      <c r="O1131" s="55" t="n"/>
      <c r="P1131" s="56" t="n"/>
      <c r="Q1131" s="55" t="n"/>
      <c r="R1131" s="55" t="n"/>
      <c r="S1131" s="55" t="n"/>
      <c r="T1131" s="55" t="n"/>
      <c r="U1131" s="55" t="n"/>
      <c r="V1131" s="55" t="n"/>
      <c r="W1131" s="58" t="n"/>
      <c r="X1131" s="58" t="n"/>
      <c r="Y1131" s="55" t="n"/>
      <c r="Z1131" s="55" t="n"/>
      <c r="AA1131" s="55" t="n"/>
      <c r="AB1131" s="55" t="n"/>
      <c r="AC1131" s="55" t="n"/>
      <c r="AD1131" s="53" t="n"/>
      <c r="AE1131" s="55" t="n"/>
      <c r="AF1131" s="55" t="n"/>
      <c r="AG1131" s="59" t="n"/>
      <c r="AH1131" s="57" t="n"/>
      <c r="AI1131" s="55" t="n"/>
      <c r="AJ1131" s="55" t="n"/>
      <c r="AK1131" s="55" t="n"/>
      <c r="AL1131" s="55" t="n"/>
      <c r="AM1131" s="56" t="n"/>
      <c r="AN1131" s="55" t="n"/>
      <c r="AO1131" s="55" t="n"/>
      <c r="AP1131" s="55" t="n"/>
      <c r="AQ1131" s="55" t="n"/>
      <c r="AR1131" s="60">
        <f>IF(AND(C1131="",E1131=""),"",IF(A1131="","⚠ Date manquante",IF(AND(C1131="",E1131&lt;&gt;"Dépense"),"⚠ Prospect manquant",IF(E1131="","⚠ Action manquante",IF(AND(AU1131=1,D1131=""),"⚠ Canal manquant",IF(AND(W1131&lt;&gt;"",COUNTIFS('Saisie'!$W$5:$W$2004,W1131,'Saisie'!$C$5:$C$2004,"&lt;&gt;"&amp;C1131)&gt;0),"⚠ Numéro déjà utilisé par un autre prospect",IF(AND(J1131&lt;&gt;"",J1131&lt;A1131),"⚠ Relance avant la date de l'action",IF(A1131&gt;TODAY(),"⚠ Date dans le futur","✓"))))))))</f>
        <v/>
      </c>
      <c r="AS1131" s="61">
        <f>IF(AND(A1131="",C1131="",E1131=""),"",ROW())</f>
        <v/>
      </c>
      <c r="AT1131" s="61">
        <f>IF(E1131&amp;F1131="","",MAX(IFERROR(INDEX('Paramètres'!$J$6:$J$33,MATCH(E1131,'Paramètres'!$I$6:$I$33,0)),0),IFERROR(INDEX('Paramètres'!$N$6:$N$17,MATCH(F1131,'Paramètres'!$M$6:$M$17,0)),0)))</f>
        <v/>
      </c>
      <c r="AU1131" s="61">
        <f>IF(E1131="","",IFERROR(IF(INDEX('Paramètres'!$K$6:$K$33,MATCH(E1131,'Paramètres'!$I$6:$I$33,0))="Oui",1,0),0))</f>
        <v/>
      </c>
      <c r="AV1131" s="61">
        <f>IF(F1131="","",IFERROR(IF(INDEX('Paramètres'!$O$6:$O$17,MATCH(F1131,'Paramètres'!$M$6:$M$17,0))="Oui",1,0),0))</f>
        <v/>
      </c>
      <c r="AW1131" s="62">
        <f>IF(E1131="","",IF(G1131&lt;&gt;"",G1131,IF(OR(E1131="Proposition envoyée",E1131="Signature"),MAX(0,N(IFERROR(INDEX('Paramètres'!$R$6:$R$15,MATCH(IF(AL1131&lt;&gt;"",AL1131,IFERROR(INDEX('Prospects'!$AN$5:$AN$504,MATCH(C1131,'Prospects'!$C$5:$C$504,0)),"")),'Paramètres'!$Q$6:$Q$15,0)),0))-N(P1131)),0)))</f>
        <v/>
      </c>
      <c r="AX1131" s="61">
        <f>IF(C1131="","",IF(COUNTIF($C$5:C1131,C1131)=1,MAX($AX$4:AX1130)+1,""))</f>
        <v/>
      </c>
      <c r="AY1131" s="61">
        <f>IF(B1131="","",HOUR(B1131))</f>
        <v/>
      </c>
      <c r="AZ1131" s="61">
        <f>IF(A1131="","",MOD(A1131-2,7)+1)</f>
        <v/>
      </c>
      <c r="BA1131" s="60">
        <f>IF(C1131="","",IFERROR(INDEX('Prospects'!$N$5:$N$504,MATCH(C1131,'Prospects'!$C$5:$C$504,0)),""))</f>
        <v/>
      </c>
      <c r="BB1131" s="61">
        <f>IF(AND(C1131&lt;&gt;"",C1131='Fiche prospect'!$C$4),COUNTIF($C$5:C1131,C1131),"")</f>
        <v/>
      </c>
    </row>
    <row r="1132">
      <c r="A1132" s="53" t="n"/>
      <c r="B1132" s="54" t="n"/>
      <c r="C1132" s="55" t="n"/>
      <c r="D1132" s="55" t="n"/>
      <c r="E1132" s="55" t="n"/>
      <c r="F1132" s="55" t="n"/>
      <c r="G1132" s="56" t="n"/>
      <c r="H1132" s="57" t="n"/>
      <c r="I1132" s="55" t="n"/>
      <c r="J1132" s="53" t="n"/>
      <c r="K1132" s="54" t="n"/>
      <c r="L1132" s="55" t="n"/>
      <c r="M1132" s="55" t="n"/>
      <c r="N1132" s="57" t="n"/>
      <c r="O1132" s="55" t="n"/>
      <c r="P1132" s="56" t="n"/>
      <c r="Q1132" s="55" t="n"/>
      <c r="R1132" s="55" t="n"/>
      <c r="S1132" s="55" t="n"/>
      <c r="T1132" s="55" t="n"/>
      <c r="U1132" s="55" t="n"/>
      <c r="V1132" s="55" t="n"/>
      <c r="W1132" s="58" t="n"/>
      <c r="X1132" s="58" t="n"/>
      <c r="Y1132" s="55" t="n"/>
      <c r="Z1132" s="55" t="n"/>
      <c r="AA1132" s="55" t="n"/>
      <c r="AB1132" s="55" t="n"/>
      <c r="AC1132" s="55" t="n"/>
      <c r="AD1132" s="53" t="n"/>
      <c r="AE1132" s="55" t="n"/>
      <c r="AF1132" s="55" t="n"/>
      <c r="AG1132" s="59" t="n"/>
      <c r="AH1132" s="57" t="n"/>
      <c r="AI1132" s="55" t="n"/>
      <c r="AJ1132" s="55" t="n"/>
      <c r="AK1132" s="55" t="n"/>
      <c r="AL1132" s="55" t="n"/>
      <c r="AM1132" s="56" t="n"/>
      <c r="AN1132" s="55" t="n"/>
      <c r="AO1132" s="55" t="n"/>
      <c r="AP1132" s="55" t="n"/>
      <c r="AQ1132" s="55" t="n"/>
      <c r="AR1132" s="60">
        <f>IF(AND(C1132="",E1132=""),"",IF(A1132="","⚠ Date manquante",IF(AND(C1132="",E1132&lt;&gt;"Dépense"),"⚠ Prospect manquant",IF(E1132="","⚠ Action manquante",IF(AND(AU1132=1,D1132=""),"⚠ Canal manquant",IF(AND(W1132&lt;&gt;"",COUNTIFS('Saisie'!$W$5:$W$2004,W1132,'Saisie'!$C$5:$C$2004,"&lt;&gt;"&amp;C1132)&gt;0),"⚠ Numéro déjà utilisé par un autre prospect",IF(AND(J1132&lt;&gt;"",J1132&lt;A1132),"⚠ Relance avant la date de l'action",IF(A1132&gt;TODAY(),"⚠ Date dans le futur","✓"))))))))</f>
        <v/>
      </c>
      <c r="AS1132" s="61">
        <f>IF(AND(A1132="",C1132="",E1132=""),"",ROW())</f>
        <v/>
      </c>
      <c r="AT1132" s="61">
        <f>IF(E1132&amp;F1132="","",MAX(IFERROR(INDEX('Paramètres'!$J$6:$J$33,MATCH(E1132,'Paramètres'!$I$6:$I$33,0)),0),IFERROR(INDEX('Paramètres'!$N$6:$N$17,MATCH(F1132,'Paramètres'!$M$6:$M$17,0)),0)))</f>
        <v/>
      </c>
      <c r="AU1132" s="61">
        <f>IF(E1132="","",IFERROR(IF(INDEX('Paramètres'!$K$6:$K$33,MATCH(E1132,'Paramètres'!$I$6:$I$33,0))="Oui",1,0),0))</f>
        <v/>
      </c>
      <c r="AV1132" s="61">
        <f>IF(F1132="","",IFERROR(IF(INDEX('Paramètres'!$O$6:$O$17,MATCH(F1132,'Paramètres'!$M$6:$M$17,0))="Oui",1,0),0))</f>
        <v/>
      </c>
      <c r="AW1132" s="62">
        <f>IF(E1132="","",IF(G1132&lt;&gt;"",G1132,IF(OR(E1132="Proposition envoyée",E1132="Signature"),MAX(0,N(IFERROR(INDEX('Paramètres'!$R$6:$R$15,MATCH(IF(AL1132&lt;&gt;"",AL1132,IFERROR(INDEX('Prospects'!$AN$5:$AN$504,MATCH(C1132,'Prospects'!$C$5:$C$504,0)),"")),'Paramètres'!$Q$6:$Q$15,0)),0))-N(P1132)),0)))</f>
        <v/>
      </c>
      <c r="AX1132" s="61">
        <f>IF(C1132="","",IF(COUNTIF($C$5:C1132,C1132)=1,MAX($AX$4:AX1131)+1,""))</f>
        <v/>
      </c>
      <c r="AY1132" s="61">
        <f>IF(B1132="","",HOUR(B1132))</f>
        <v/>
      </c>
      <c r="AZ1132" s="61">
        <f>IF(A1132="","",MOD(A1132-2,7)+1)</f>
        <v/>
      </c>
      <c r="BA1132" s="60">
        <f>IF(C1132="","",IFERROR(INDEX('Prospects'!$N$5:$N$504,MATCH(C1132,'Prospects'!$C$5:$C$504,0)),""))</f>
        <v/>
      </c>
      <c r="BB1132" s="61">
        <f>IF(AND(C1132&lt;&gt;"",C1132='Fiche prospect'!$C$4),COUNTIF($C$5:C1132,C1132),"")</f>
        <v/>
      </c>
    </row>
    <row r="1133">
      <c r="A1133" s="53" t="n"/>
      <c r="B1133" s="54" t="n"/>
      <c r="C1133" s="55" t="n"/>
      <c r="D1133" s="55" t="n"/>
      <c r="E1133" s="55" t="n"/>
      <c r="F1133" s="55" t="n"/>
      <c r="G1133" s="56" t="n"/>
      <c r="H1133" s="57" t="n"/>
      <c r="I1133" s="55" t="n"/>
      <c r="J1133" s="53" t="n"/>
      <c r="K1133" s="54" t="n"/>
      <c r="L1133" s="55" t="n"/>
      <c r="M1133" s="55" t="n"/>
      <c r="N1133" s="57" t="n"/>
      <c r="O1133" s="55" t="n"/>
      <c r="P1133" s="56" t="n"/>
      <c r="Q1133" s="55" t="n"/>
      <c r="R1133" s="55" t="n"/>
      <c r="S1133" s="55" t="n"/>
      <c r="T1133" s="55" t="n"/>
      <c r="U1133" s="55" t="n"/>
      <c r="V1133" s="55" t="n"/>
      <c r="W1133" s="58" t="n"/>
      <c r="X1133" s="58" t="n"/>
      <c r="Y1133" s="55" t="n"/>
      <c r="Z1133" s="55" t="n"/>
      <c r="AA1133" s="55" t="n"/>
      <c r="AB1133" s="55" t="n"/>
      <c r="AC1133" s="55" t="n"/>
      <c r="AD1133" s="53" t="n"/>
      <c r="AE1133" s="55" t="n"/>
      <c r="AF1133" s="55" t="n"/>
      <c r="AG1133" s="59" t="n"/>
      <c r="AH1133" s="57" t="n"/>
      <c r="AI1133" s="55" t="n"/>
      <c r="AJ1133" s="55" t="n"/>
      <c r="AK1133" s="55" t="n"/>
      <c r="AL1133" s="55" t="n"/>
      <c r="AM1133" s="56" t="n"/>
      <c r="AN1133" s="55" t="n"/>
      <c r="AO1133" s="55" t="n"/>
      <c r="AP1133" s="55" t="n"/>
      <c r="AQ1133" s="55" t="n"/>
      <c r="AR1133" s="60">
        <f>IF(AND(C1133="",E1133=""),"",IF(A1133="","⚠ Date manquante",IF(AND(C1133="",E1133&lt;&gt;"Dépense"),"⚠ Prospect manquant",IF(E1133="","⚠ Action manquante",IF(AND(AU1133=1,D1133=""),"⚠ Canal manquant",IF(AND(W1133&lt;&gt;"",COUNTIFS('Saisie'!$W$5:$W$2004,W1133,'Saisie'!$C$5:$C$2004,"&lt;&gt;"&amp;C1133)&gt;0),"⚠ Numéro déjà utilisé par un autre prospect",IF(AND(J1133&lt;&gt;"",J1133&lt;A1133),"⚠ Relance avant la date de l'action",IF(A1133&gt;TODAY(),"⚠ Date dans le futur","✓"))))))))</f>
        <v/>
      </c>
      <c r="AS1133" s="61">
        <f>IF(AND(A1133="",C1133="",E1133=""),"",ROW())</f>
        <v/>
      </c>
      <c r="AT1133" s="61">
        <f>IF(E1133&amp;F1133="","",MAX(IFERROR(INDEX('Paramètres'!$J$6:$J$33,MATCH(E1133,'Paramètres'!$I$6:$I$33,0)),0),IFERROR(INDEX('Paramètres'!$N$6:$N$17,MATCH(F1133,'Paramètres'!$M$6:$M$17,0)),0)))</f>
        <v/>
      </c>
      <c r="AU1133" s="61">
        <f>IF(E1133="","",IFERROR(IF(INDEX('Paramètres'!$K$6:$K$33,MATCH(E1133,'Paramètres'!$I$6:$I$33,0))="Oui",1,0),0))</f>
        <v/>
      </c>
      <c r="AV1133" s="61">
        <f>IF(F1133="","",IFERROR(IF(INDEX('Paramètres'!$O$6:$O$17,MATCH(F1133,'Paramètres'!$M$6:$M$17,0))="Oui",1,0),0))</f>
        <v/>
      </c>
      <c r="AW1133" s="62">
        <f>IF(E1133="","",IF(G1133&lt;&gt;"",G1133,IF(OR(E1133="Proposition envoyée",E1133="Signature"),MAX(0,N(IFERROR(INDEX('Paramètres'!$R$6:$R$15,MATCH(IF(AL1133&lt;&gt;"",AL1133,IFERROR(INDEX('Prospects'!$AN$5:$AN$504,MATCH(C1133,'Prospects'!$C$5:$C$504,0)),"")),'Paramètres'!$Q$6:$Q$15,0)),0))-N(P1133)),0)))</f>
        <v/>
      </c>
      <c r="AX1133" s="61">
        <f>IF(C1133="","",IF(COUNTIF($C$5:C1133,C1133)=1,MAX($AX$4:AX1132)+1,""))</f>
        <v/>
      </c>
      <c r="AY1133" s="61">
        <f>IF(B1133="","",HOUR(B1133))</f>
        <v/>
      </c>
      <c r="AZ1133" s="61">
        <f>IF(A1133="","",MOD(A1133-2,7)+1)</f>
        <v/>
      </c>
      <c r="BA1133" s="60">
        <f>IF(C1133="","",IFERROR(INDEX('Prospects'!$N$5:$N$504,MATCH(C1133,'Prospects'!$C$5:$C$504,0)),""))</f>
        <v/>
      </c>
      <c r="BB1133" s="61">
        <f>IF(AND(C1133&lt;&gt;"",C1133='Fiche prospect'!$C$4),COUNTIF($C$5:C1133,C1133),"")</f>
        <v/>
      </c>
    </row>
    <row r="1134">
      <c r="A1134" s="53" t="n"/>
      <c r="B1134" s="54" t="n"/>
      <c r="C1134" s="55" t="n"/>
      <c r="D1134" s="55" t="n"/>
      <c r="E1134" s="55" t="n"/>
      <c r="F1134" s="55" t="n"/>
      <c r="G1134" s="56" t="n"/>
      <c r="H1134" s="57" t="n"/>
      <c r="I1134" s="55" t="n"/>
      <c r="J1134" s="53" t="n"/>
      <c r="K1134" s="54" t="n"/>
      <c r="L1134" s="55" t="n"/>
      <c r="M1134" s="55" t="n"/>
      <c r="N1134" s="57" t="n"/>
      <c r="O1134" s="55" t="n"/>
      <c r="P1134" s="56" t="n"/>
      <c r="Q1134" s="55" t="n"/>
      <c r="R1134" s="55" t="n"/>
      <c r="S1134" s="55" t="n"/>
      <c r="T1134" s="55" t="n"/>
      <c r="U1134" s="55" t="n"/>
      <c r="V1134" s="55" t="n"/>
      <c r="W1134" s="58" t="n"/>
      <c r="X1134" s="58" t="n"/>
      <c r="Y1134" s="55" t="n"/>
      <c r="Z1134" s="55" t="n"/>
      <c r="AA1134" s="55" t="n"/>
      <c r="AB1134" s="55" t="n"/>
      <c r="AC1134" s="55" t="n"/>
      <c r="AD1134" s="53" t="n"/>
      <c r="AE1134" s="55" t="n"/>
      <c r="AF1134" s="55" t="n"/>
      <c r="AG1134" s="59" t="n"/>
      <c r="AH1134" s="57" t="n"/>
      <c r="AI1134" s="55" t="n"/>
      <c r="AJ1134" s="55" t="n"/>
      <c r="AK1134" s="55" t="n"/>
      <c r="AL1134" s="55" t="n"/>
      <c r="AM1134" s="56" t="n"/>
      <c r="AN1134" s="55" t="n"/>
      <c r="AO1134" s="55" t="n"/>
      <c r="AP1134" s="55" t="n"/>
      <c r="AQ1134" s="55" t="n"/>
      <c r="AR1134" s="60">
        <f>IF(AND(C1134="",E1134=""),"",IF(A1134="","⚠ Date manquante",IF(AND(C1134="",E1134&lt;&gt;"Dépense"),"⚠ Prospect manquant",IF(E1134="","⚠ Action manquante",IF(AND(AU1134=1,D1134=""),"⚠ Canal manquant",IF(AND(W1134&lt;&gt;"",COUNTIFS('Saisie'!$W$5:$W$2004,W1134,'Saisie'!$C$5:$C$2004,"&lt;&gt;"&amp;C1134)&gt;0),"⚠ Numéro déjà utilisé par un autre prospect",IF(AND(J1134&lt;&gt;"",J1134&lt;A1134),"⚠ Relance avant la date de l'action",IF(A1134&gt;TODAY(),"⚠ Date dans le futur","✓"))))))))</f>
        <v/>
      </c>
      <c r="AS1134" s="61">
        <f>IF(AND(A1134="",C1134="",E1134=""),"",ROW())</f>
        <v/>
      </c>
      <c r="AT1134" s="61">
        <f>IF(E1134&amp;F1134="","",MAX(IFERROR(INDEX('Paramètres'!$J$6:$J$33,MATCH(E1134,'Paramètres'!$I$6:$I$33,0)),0),IFERROR(INDEX('Paramètres'!$N$6:$N$17,MATCH(F1134,'Paramètres'!$M$6:$M$17,0)),0)))</f>
        <v/>
      </c>
      <c r="AU1134" s="61">
        <f>IF(E1134="","",IFERROR(IF(INDEX('Paramètres'!$K$6:$K$33,MATCH(E1134,'Paramètres'!$I$6:$I$33,0))="Oui",1,0),0))</f>
        <v/>
      </c>
      <c r="AV1134" s="61">
        <f>IF(F1134="","",IFERROR(IF(INDEX('Paramètres'!$O$6:$O$17,MATCH(F1134,'Paramètres'!$M$6:$M$17,0))="Oui",1,0),0))</f>
        <v/>
      </c>
      <c r="AW1134" s="62">
        <f>IF(E1134="","",IF(G1134&lt;&gt;"",G1134,IF(OR(E1134="Proposition envoyée",E1134="Signature"),MAX(0,N(IFERROR(INDEX('Paramètres'!$R$6:$R$15,MATCH(IF(AL1134&lt;&gt;"",AL1134,IFERROR(INDEX('Prospects'!$AN$5:$AN$504,MATCH(C1134,'Prospects'!$C$5:$C$504,0)),"")),'Paramètres'!$Q$6:$Q$15,0)),0))-N(P1134)),0)))</f>
        <v/>
      </c>
      <c r="AX1134" s="61">
        <f>IF(C1134="","",IF(COUNTIF($C$5:C1134,C1134)=1,MAX($AX$4:AX1133)+1,""))</f>
        <v/>
      </c>
      <c r="AY1134" s="61">
        <f>IF(B1134="","",HOUR(B1134))</f>
        <v/>
      </c>
      <c r="AZ1134" s="61">
        <f>IF(A1134="","",MOD(A1134-2,7)+1)</f>
        <v/>
      </c>
      <c r="BA1134" s="60">
        <f>IF(C1134="","",IFERROR(INDEX('Prospects'!$N$5:$N$504,MATCH(C1134,'Prospects'!$C$5:$C$504,0)),""))</f>
        <v/>
      </c>
      <c r="BB1134" s="61">
        <f>IF(AND(C1134&lt;&gt;"",C1134='Fiche prospect'!$C$4),COUNTIF($C$5:C1134,C1134),"")</f>
        <v/>
      </c>
    </row>
    <row r="1135">
      <c r="A1135" s="53" t="n"/>
      <c r="B1135" s="54" t="n"/>
      <c r="C1135" s="55" t="n"/>
      <c r="D1135" s="55" t="n"/>
      <c r="E1135" s="55" t="n"/>
      <c r="F1135" s="55" t="n"/>
      <c r="G1135" s="56" t="n"/>
      <c r="H1135" s="57" t="n"/>
      <c r="I1135" s="55" t="n"/>
      <c r="J1135" s="53" t="n"/>
      <c r="K1135" s="54" t="n"/>
      <c r="L1135" s="55" t="n"/>
      <c r="M1135" s="55" t="n"/>
      <c r="N1135" s="57" t="n"/>
      <c r="O1135" s="55" t="n"/>
      <c r="P1135" s="56" t="n"/>
      <c r="Q1135" s="55" t="n"/>
      <c r="R1135" s="55" t="n"/>
      <c r="S1135" s="55" t="n"/>
      <c r="T1135" s="55" t="n"/>
      <c r="U1135" s="55" t="n"/>
      <c r="V1135" s="55" t="n"/>
      <c r="W1135" s="58" t="n"/>
      <c r="X1135" s="58" t="n"/>
      <c r="Y1135" s="55" t="n"/>
      <c r="Z1135" s="55" t="n"/>
      <c r="AA1135" s="55" t="n"/>
      <c r="AB1135" s="55" t="n"/>
      <c r="AC1135" s="55" t="n"/>
      <c r="AD1135" s="53" t="n"/>
      <c r="AE1135" s="55" t="n"/>
      <c r="AF1135" s="55" t="n"/>
      <c r="AG1135" s="59" t="n"/>
      <c r="AH1135" s="57" t="n"/>
      <c r="AI1135" s="55" t="n"/>
      <c r="AJ1135" s="55" t="n"/>
      <c r="AK1135" s="55" t="n"/>
      <c r="AL1135" s="55" t="n"/>
      <c r="AM1135" s="56" t="n"/>
      <c r="AN1135" s="55" t="n"/>
      <c r="AO1135" s="55" t="n"/>
      <c r="AP1135" s="55" t="n"/>
      <c r="AQ1135" s="55" t="n"/>
      <c r="AR1135" s="60">
        <f>IF(AND(C1135="",E1135=""),"",IF(A1135="","⚠ Date manquante",IF(AND(C1135="",E1135&lt;&gt;"Dépense"),"⚠ Prospect manquant",IF(E1135="","⚠ Action manquante",IF(AND(AU1135=1,D1135=""),"⚠ Canal manquant",IF(AND(W1135&lt;&gt;"",COUNTIFS('Saisie'!$W$5:$W$2004,W1135,'Saisie'!$C$5:$C$2004,"&lt;&gt;"&amp;C1135)&gt;0),"⚠ Numéro déjà utilisé par un autre prospect",IF(AND(J1135&lt;&gt;"",J1135&lt;A1135),"⚠ Relance avant la date de l'action",IF(A1135&gt;TODAY(),"⚠ Date dans le futur","✓"))))))))</f>
        <v/>
      </c>
      <c r="AS1135" s="61">
        <f>IF(AND(A1135="",C1135="",E1135=""),"",ROW())</f>
        <v/>
      </c>
      <c r="AT1135" s="61">
        <f>IF(E1135&amp;F1135="","",MAX(IFERROR(INDEX('Paramètres'!$J$6:$J$33,MATCH(E1135,'Paramètres'!$I$6:$I$33,0)),0),IFERROR(INDEX('Paramètres'!$N$6:$N$17,MATCH(F1135,'Paramètres'!$M$6:$M$17,0)),0)))</f>
        <v/>
      </c>
      <c r="AU1135" s="61">
        <f>IF(E1135="","",IFERROR(IF(INDEX('Paramètres'!$K$6:$K$33,MATCH(E1135,'Paramètres'!$I$6:$I$33,0))="Oui",1,0),0))</f>
        <v/>
      </c>
      <c r="AV1135" s="61">
        <f>IF(F1135="","",IFERROR(IF(INDEX('Paramètres'!$O$6:$O$17,MATCH(F1135,'Paramètres'!$M$6:$M$17,0))="Oui",1,0),0))</f>
        <v/>
      </c>
      <c r="AW1135" s="62">
        <f>IF(E1135="","",IF(G1135&lt;&gt;"",G1135,IF(OR(E1135="Proposition envoyée",E1135="Signature"),MAX(0,N(IFERROR(INDEX('Paramètres'!$R$6:$R$15,MATCH(IF(AL1135&lt;&gt;"",AL1135,IFERROR(INDEX('Prospects'!$AN$5:$AN$504,MATCH(C1135,'Prospects'!$C$5:$C$504,0)),"")),'Paramètres'!$Q$6:$Q$15,0)),0))-N(P1135)),0)))</f>
        <v/>
      </c>
      <c r="AX1135" s="61">
        <f>IF(C1135="","",IF(COUNTIF($C$5:C1135,C1135)=1,MAX($AX$4:AX1134)+1,""))</f>
        <v/>
      </c>
      <c r="AY1135" s="61">
        <f>IF(B1135="","",HOUR(B1135))</f>
        <v/>
      </c>
      <c r="AZ1135" s="61">
        <f>IF(A1135="","",MOD(A1135-2,7)+1)</f>
        <v/>
      </c>
      <c r="BA1135" s="60">
        <f>IF(C1135="","",IFERROR(INDEX('Prospects'!$N$5:$N$504,MATCH(C1135,'Prospects'!$C$5:$C$504,0)),""))</f>
        <v/>
      </c>
      <c r="BB1135" s="61">
        <f>IF(AND(C1135&lt;&gt;"",C1135='Fiche prospect'!$C$4),COUNTIF($C$5:C1135,C1135),"")</f>
        <v/>
      </c>
    </row>
    <row r="1136">
      <c r="A1136" s="53" t="n"/>
      <c r="B1136" s="54" t="n"/>
      <c r="C1136" s="55" t="n"/>
      <c r="D1136" s="55" t="n"/>
      <c r="E1136" s="55" t="n"/>
      <c r="F1136" s="55" t="n"/>
      <c r="G1136" s="56" t="n"/>
      <c r="H1136" s="57" t="n"/>
      <c r="I1136" s="55" t="n"/>
      <c r="J1136" s="53" t="n"/>
      <c r="K1136" s="54" t="n"/>
      <c r="L1136" s="55" t="n"/>
      <c r="M1136" s="55" t="n"/>
      <c r="N1136" s="57" t="n"/>
      <c r="O1136" s="55" t="n"/>
      <c r="P1136" s="56" t="n"/>
      <c r="Q1136" s="55" t="n"/>
      <c r="R1136" s="55" t="n"/>
      <c r="S1136" s="55" t="n"/>
      <c r="T1136" s="55" t="n"/>
      <c r="U1136" s="55" t="n"/>
      <c r="V1136" s="55" t="n"/>
      <c r="W1136" s="58" t="n"/>
      <c r="X1136" s="58" t="n"/>
      <c r="Y1136" s="55" t="n"/>
      <c r="Z1136" s="55" t="n"/>
      <c r="AA1136" s="55" t="n"/>
      <c r="AB1136" s="55" t="n"/>
      <c r="AC1136" s="55" t="n"/>
      <c r="AD1136" s="53" t="n"/>
      <c r="AE1136" s="55" t="n"/>
      <c r="AF1136" s="55" t="n"/>
      <c r="AG1136" s="59" t="n"/>
      <c r="AH1136" s="57" t="n"/>
      <c r="AI1136" s="55" t="n"/>
      <c r="AJ1136" s="55" t="n"/>
      <c r="AK1136" s="55" t="n"/>
      <c r="AL1136" s="55" t="n"/>
      <c r="AM1136" s="56" t="n"/>
      <c r="AN1136" s="55" t="n"/>
      <c r="AO1136" s="55" t="n"/>
      <c r="AP1136" s="55" t="n"/>
      <c r="AQ1136" s="55" t="n"/>
      <c r="AR1136" s="60">
        <f>IF(AND(C1136="",E1136=""),"",IF(A1136="","⚠ Date manquante",IF(AND(C1136="",E1136&lt;&gt;"Dépense"),"⚠ Prospect manquant",IF(E1136="","⚠ Action manquante",IF(AND(AU1136=1,D1136=""),"⚠ Canal manquant",IF(AND(W1136&lt;&gt;"",COUNTIFS('Saisie'!$W$5:$W$2004,W1136,'Saisie'!$C$5:$C$2004,"&lt;&gt;"&amp;C1136)&gt;0),"⚠ Numéro déjà utilisé par un autre prospect",IF(AND(J1136&lt;&gt;"",J1136&lt;A1136),"⚠ Relance avant la date de l'action",IF(A1136&gt;TODAY(),"⚠ Date dans le futur","✓"))))))))</f>
        <v/>
      </c>
      <c r="AS1136" s="61">
        <f>IF(AND(A1136="",C1136="",E1136=""),"",ROW())</f>
        <v/>
      </c>
      <c r="AT1136" s="61">
        <f>IF(E1136&amp;F1136="","",MAX(IFERROR(INDEX('Paramètres'!$J$6:$J$33,MATCH(E1136,'Paramètres'!$I$6:$I$33,0)),0),IFERROR(INDEX('Paramètres'!$N$6:$N$17,MATCH(F1136,'Paramètres'!$M$6:$M$17,0)),0)))</f>
        <v/>
      </c>
      <c r="AU1136" s="61">
        <f>IF(E1136="","",IFERROR(IF(INDEX('Paramètres'!$K$6:$K$33,MATCH(E1136,'Paramètres'!$I$6:$I$33,0))="Oui",1,0),0))</f>
        <v/>
      </c>
      <c r="AV1136" s="61">
        <f>IF(F1136="","",IFERROR(IF(INDEX('Paramètres'!$O$6:$O$17,MATCH(F1136,'Paramètres'!$M$6:$M$17,0))="Oui",1,0),0))</f>
        <v/>
      </c>
      <c r="AW1136" s="62">
        <f>IF(E1136="","",IF(G1136&lt;&gt;"",G1136,IF(OR(E1136="Proposition envoyée",E1136="Signature"),MAX(0,N(IFERROR(INDEX('Paramètres'!$R$6:$R$15,MATCH(IF(AL1136&lt;&gt;"",AL1136,IFERROR(INDEX('Prospects'!$AN$5:$AN$504,MATCH(C1136,'Prospects'!$C$5:$C$504,0)),"")),'Paramètres'!$Q$6:$Q$15,0)),0))-N(P1136)),0)))</f>
        <v/>
      </c>
      <c r="AX1136" s="61">
        <f>IF(C1136="","",IF(COUNTIF($C$5:C1136,C1136)=1,MAX($AX$4:AX1135)+1,""))</f>
        <v/>
      </c>
      <c r="AY1136" s="61">
        <f>IF(B1136="","",HOUR(B1136))</f>
        <v/>
      </c>
      <c r="AZ1136" s="61">
        <f>IF(A1136="","",MOD(A1136-2,7)+1)</f>
        <v/>
      </c>
      <c r="BA1136" s="60">
        <f>IF(C1136="","",IFERROR(INDEX('Prospects'!$N$5:$N$504,MATCH(C1136,'Prospects'!$C$5:$C$504,0)),""))</f>
        <v/>
      </c>
      <c r="BB1136" s="61">
        <f>IF(AND(C1136&lt;&gt;"",C1136='Fiche prospect'!$C$4),COUNTIF($C$5:C1136,C1136),"")</f>
        <v/>
      </c>
    </row>
    <row r="1137">
      <c r="A1137" s="53" t="n"/>
      <c r="B1137" s="54" t="n"/>
      <c r="C1137" s="55" t="n"/>
      <c r="D1137" s="55" t="n"/>
      <c r="E1137" s="55" t="n"/>
      <c r="F1137" s="55" t="n"/>
      <c r="G1137" s="56" t="n"/>
      <c r="H1137" s="57" t="n"/>
      <c r="I1137" s="55" t="n"/>
      <c r="J1137" s="53" t="n"/>
      <c r="K1137" s="54" t="n"/>
      <c r="L1137" s="55" t="n"/>
      <c r="M1137" s="55" t="n"/>
      <c r="N1137" s="57" t="n"/>
      <c r="O1137" s="55" t="n"/>
      <c r="P1137" s="56" t="n"/>
      <c r="Q1137" s="55" t="n"/>
      <c r="R1137" s="55" t="n"/>
      <c r="S1137" s="55" t="n"/>
      <c r="T1137" s="55" t="n"/>
      <c r="U1137" s="55" t="n"/>
      <c r="V1137" s="55" t="n"/>
      <c r="W1137" s="58" t="n"/>
      <c r="X1137" s="58" t="n"/>
      <c r="Y1137" s="55" t="n"/>
      <c r="Z1137" s="55" t="n"/>
      <c r="AA1137" s="55" t="n"/>
      <c r="AB1137" s="55" t="n"/>
      <c r="AC1137" s="55" t="n"/>
      <c r="AD1137" s="53" t="n"/>
      <c r="AE1137" s="55" t="n"/>
      <c r="AF1137" s="55" t="n"/>
      <c r="AG1137" s="59" t="n"/>
      <c r="AH1137" s="57" t="n"/>
      <c r="AI1137" s="55" t="n"/>
      <c r="AJ1137" s="55" t="n"/>
      <c r="AK1137" s="55" t="n"/>
      <c r="AL1137" s="55" t="n"/>
      <c r="AM1137" s="56" t="n"/>
      <c r="AN1137" s="55" t="n"/>
      <c r="AO1137" s="55" t="n"/>
      <c r="AP1137" s="55" t="n"/>
      <c r="AQ1137" s="55" t="n"/>
      <c r="AR1137" s="60">
        <f>IF(AND(C1137="",E1137=""),"",IF(A1137="","⚠ Date manquante",IF(AND(C1137="",E1137&lt;&gt;"Dépense"),"⚠ Prospect manquant",IF(E1137="","⚠ Action manquante",IF(AND(AU1137=1,D1137=""),"⚠ Canal manquant",IF(AND(W1137&lt;&gt;"",COUNTIFS('Saisie'!$W$5:$W$2004,W1137,'Saisie'!$C$5:$C$2004,"&lt;&gt;"&amp;C1137)&gt;0),"⚠ Numéro déjà utilisé par un autre prospect",IF(AND(J1137&lt;&gt;"",J1137&lt;A1137),"⚠ Relance avant la date de l'action",IF(A1137&gt;TODAY(),"⚠ Date dans le futur","✓"))))))))</f>
        <v/>
      </c>
      <c r="AS1137" s="61">
        <f>IF(AND(A1137="",C1137="",E1137=""),"",ROW())</f>
        <v/>
      </c>
      <c r="AT1137" s="61">
        <f>IF(E1137&amp;F1137="","",MAX(IFERROR(INDEX('Paramètres'!$J$6:$J$33,MATCH(E1137,'Paramètres'!$I$6:$I$33,0)),0),IFERROR(INDEX('Paramètres'!$N$6:$N$17,MATCH(F1137,'Paramètres'!$M$6:$M$17,0)),0)))</f>
        <v/>
      </c>
      <c r="AU1137" s="61">
        <f>IF(E1137="","",IFERROR(IF(INDEX('Paramètres'!$K$6:$K$33,MATCH(E1137,'Paramètres'!$I$6:$I$33,0))="Oui",1,0),0))</f>
        <v/>
      </c>
      <c r="AV1137" s="61">
        <f>IF(F1137="","",IFERROR(IF(INDEX('Paramètres'!$O$6:$O$17,MATCH(F1137,'Paramètres'!$M$6:$M$17,0))="Oui",1,0),0))</f>
        <v/>
      </c>
      <c r="AW1137" s="62">
        <f>IF(E1137="","",IF(G1137&lt;&gt;"",G1137,IF(OR(E1137="Proposition envoyée",E1137="Signature"),MAX(0,N(IFERROR(INDEX('Paramètres'!$R$6:$R$15,MATCH(IF(AL1137&lt;&gt;"",AL1137,IFERROR(INDEX('Prospects'!$AN$5:$AN$504,MATCH(C1137,'Prospects'!$C$5:$C$504,0)),"")),'Paramètres'!$Q$6:$Q$15,0)),0))-N(P1137)),0)))</f>
        <v/>
      </c>
      <c r="AX1137" s="61">
        <f>IF(C1137="","",IF(COUNTIF($C$5:C1137,C1137)=1,MAX($AX$4:AX1136)+1,""))</f>
        <v/>
      </c>
      <c r="AY1137" s="61">
        <f>IF(B1137="","",HOUR(B1137))</f>
        <v/>
      </c>
      <c r="AZ1137" s="61">
        <f>IF(A1137="","",MOD(A1137-2,7)+1)</f>
        <v/>
      </c>
      <c r="BA1137" s="60">
        <f>IF(C1137="","",IFERROR(INDEX('Prospects'!$N$5:$N$504,MATCH(C1137,'Prospects'!$C$5:$C$504,0)),""))</f>
        <v/>
      </c>
      <c r="BB1137" s="61">
        <f>IF(AND(C1137&lt;&gt;"",C1137='Fiche prospect'!$C$4),COUNTIF($C$5:C1137,C1137),"")</f>
        <v/>
      </c>
    </row>
    <row r="1138">
      <c r="A1138" s="53" t="n"/>
      <c r="B1138" s="54" t="n"/>
      <c r="C1138" s="55" t="n"/>
      <c r="D1138" s="55" t="n"/>
      <c r="E1138" s="55" t="n"/>
      <c r="F1138" s="55" t="n"/>
      <c r="G1138" s="56" t="n"/>
      <c r="H1138" s="57" t="n"/>
      <c r="I1138" s="55" t="n"/>
      <c r="J1138" s="53" t="n"/>
      <c r="K1138" s="54" t="n"/>
      <c r="L1138" s="55" t="n"/>
      <c r="M1138" s="55" t="n"/>
      <c r="N1138" s="57" t="n"/>
      <c r="O1138" s="55" t="n"/>
      <c r="P1138" s="56" t="n"/>
      <c r="Q1138" s="55" t="n"/>
      <c r="R1138" s="55" t="n"/>
      <c r="S1138" s="55" t="n"/>
      <c r="T1138" s="55" t="n"/>
      <c r="U1138" s="55" t="n"/>
      <c r="V1138" s="55" t="n"/>
      <c r="W1138" s="58" t="n"/>
      <c r="X1138" s="58" t="n"/>
      <c r="Y1138" s="55" t="n"/>
      <c r="Z1138" s="55" t="n"/>
      <c r="AA1138" s="55" t="n"/>
      <c r="AB1138" s="55" t="n"/>
      <c r="AC1138" s="55" t="n"/>
      <c r="AD1138" s="53" t="n"/>
      <c r="AE1138" s="55" t="n"/>
      <c r="AF1138" s="55" t="n"/>
      <c r="AG1138" s="59" t="n"/>
      <c r="AH1138" s="57" t="n"/>
      <c r="AI1138" s="55" t="n"/>
      <c r="AJ1138" s="55" t="n"/>
      <c r="AK1138" s="55" t="n"/>
      <c r="AL1138" s="55" t="n"/>
      <c r="AM1138" s="56" t="n"/>
      <c r="AN1138" s="55" t="n"/>
      <c r="AO1138" s="55" t="n"/>
      <c r="AP1138" s="55" t="n"/>
      <c r="AQ1138" s="55" t="n"/>
      <c r="AR1138" s="60">
        <f>IF(AND(C1138="",E1138=""),"",IF(A1138="","⚠ Date manquante",IF(AND(C1138="",E1138&lt;&gt;"Dépense"),"⚠ Prospect manquant",IF(E1138="","⚠ Action manquante",IF(AND(AU1138=1,D1138=""),"⚠ Canal manquant",IF(AND(W1138&lt;&gt;"",COUNTIFS('Saisie'!$W$5:$W$2004,W1138,'Saisie'!$C$5:$C$2004,"&lt;&gt;"&amp;C1138)&gt;0),"⚠ Numéro déjà utilisé par un autre prospect",IF(AND(J1138&lt;&gt;"",J1138&lt;A1138),"⚠ Relance avant la date de l'action",IF(A1138&gt;TODAY(),"⚠ Date dans le futur","✓"))))))))</f>
        <v/>
      </c>
      <c r="AS1138" s="61">
        <f>IF(AND(A1138="",C1138="",E1138=""),"",ROW())</f>
        <v/>
      </c>
      <c r="AT1138" s="61">
        <f>IF(E1138&amp;F1138="","",MAX(IFERROR(INDEX('Paramètres'!$J$6:$J$33,MATCH(E1138,'Paramètres'!$I$6:$I$33,0)),0),IFERROR(INDEX('Paramètres'!$N$6:$N$17,MATCH(F1138,'Paramètres'!$M$6:$M$17,0)),0)))</f>
        <v/>
      </c>
      <c r="AU1138" s="61">
        <f>IF(E1138="","",IFERROR(IF(INDEX('Paramètres'!$K$6:$K$33,MATCH(E1138,'Paramètres'!$I$6:$I$33,0))="Oui",1,0),0))</f>
        <v/>
      </c>
      <c r="AV1138" s="61">
        <f>IF(F1138="","",IFERROR(IF(INDEX('Paramètres'!$O$6:$O$17,MATCH(F1138,'Paramètres'!$M$6:$M$17,0))="Oui",1,0),0))</f>
        <v/>
      </c>
      <c r="AW1138" s="62">
        <f>IF(E1138="","",IF(G1138&lt;&gt;"",G1138,IF(OR(E1138="Proposition envoyée",E1138="Signature"),MAX(0,N(IFERROR(INDEX('Paramètres'!$R$6:$R$15,MATCH(IF(AL1138&lt;&gt;"",AL1138,IFERROR(INDEX('Prospects'!$AN$5:$AN$504,MATCH(C1138,'Prospects'!$C$5:$C$504,0)),"")),'Paramètres'!$Q$6:$Q$15,0)),0))-N(P1138)),0)))</f>
        <v/>
      </c>
      <c r="AX1138" s="61">
        <f>IF(C1138="","",IF(COUNTIF($C$5:C1138,C1138)=1,MAX($AX$4:AX1137)+1,""))</f>
        <v/>
      </c>
      <c r="AY1138" s="61">
        <f>IF(B1138="","",HOUR(B1138))</f>
        <v/>
      </c>
      <c r="AZ1138" s="61">
        <f>IF(A1138="","",MOD(A1138-2,7)+1)</f>
        <v/>
      </c>
      <c r="BA1138" s="60">
        <f>IF(C1138="","",IFERROR(INDEX('Prospects'!$N$5:$N$504,MATCH(C1138,'Prospects'!$C$5:$C$504,0)),""))</f>
        <v/>
      </c>
      <c r="BB1138" s="61">
        <f>IF(AND(C1138&lt;&gt;"",C1138='Fiche prospect'!$C$4),COUNTIF($C$5:C1138,C1138),"")</f>
        <v/>
      </c>
    </row>
    <row r="1139">
      <c r="A1139" s="53" t="n"/>
      <c r="B1139" s="54" t="n"/>
      <c r="C1139" s="55" t="n"/>
      <c r="D1139" s="55" t="n"/>
      <c r="E1139" s="55" t="n"/>
      <c r="F1139" s="55" t="n"/>
      <c r="G1139" s="56" t="n"/>
      <c r="H1139" s="57" t="n"/>
      <c r="I1139" s="55" t="n"/>
      <c r="J1139" s="53" t="n"/>
      <c r="K1139" s="54" t="n"/>
      <c r="L1139" s="55" t="n"/>
      <c r="M1139" s="55" t="n"/>
      <c r="N1139" s="57" t="n"/>
      <c r="O1139" s="55" t="n"/>
      <c r="P1139" s="56" t="n"/>
      <c r="Q1139" s="55" t="n"/>
      <c r="R1139" s="55" t="n"/>
      <c r="S1139" s="55" t="n"/>
      <c r="T1139" s="55" t="n"/>
      <c r="U1139" s="55" t="n"/>
      <c r="V1139" s="55" t="n"/>
      <c r="W1139" s="58" t="n"/>
      <c r="X1139" s="58" t="n"/>
      <c r="Y1139" s="55" t="n"/>
      <c r="Z1139" s="55" t="n"/>
      <c r="AA1139" s="55" t="n"/>
      <c r="AB1139" s="55" t="n"/>
      <c r="AC1139" s="55" t="n"/>
      <c r="AD1139" s="53" t="n"/>
      <c r="AE1139" s="55" t="n"/>
      <c r="AF1139" s="55" t="n"/>
      <c r="AG1139" s="59" t="n"/>
      <c r="AH1139" s="57" t="n"/>
      <c r="AI1139" s="55" t="n"/>
      <c r="AJ1139" s="55" t="n"/>
      <c r="AK1139" s="55" t="n"/>
      <c r="AL1139" s="55" t="n"/>
      <c r="AM1139" s="56" t="n"/>
      <c r="AN1139" s="55" t="n"/>
      <c r="AO1139" s="55" t="n"/>
      <c r="AP1139" s="55" t="n"/>
      <c r="AQ1139" s="55" t="n"/>
      <c r="AR1139" s="60">
        <f>IF(AND(C1139="",E1139=""),"",IF(A1139="","⚠ Date manquante",IF(AND(C1139="",E1139&lt;&gt;"Dépense"),"⚠ Prospect manquant",IF(E1139="","⚠ Action manquante",IF(AND(AU1139=1,D1139=""),"⚠ Canal manquant",IF(AND(W1139&lt;&gt;"",COUNTIFS('Saisie'!$W$5:$W$2004,W1139,'Saisie'!$C$5:$C$2004,"&lt;&gt;"&amp;C1139)&gt;0),"⚠ Numéro déjà utilisé par un autre prospect",IF(AND(J1139&lt;&gt;"",J1139&lt;A1139),"⚠ Relance avant la date de l'action",IF(A1139&gt;TODAY(),"⚠ Date dans le futur","✓"))))))))</f>
        <v/>
      </c>
      <c r="AS1139" s="61">
        <f>IF(AND(A1139="",C1139="",E1139=""),"",ROW())</f>
        <v/>
      </c>
      <c r="AT1139" s="61">
        <f>IF(E1139&amp;F1139="","",MAX(IFERROR(INDEX('Paramètres'!$J$6:$J$33,MATCH(E1139,'Paramètres'!$I$6:$I$33,0)),0),IFERROR(INDEX('Paramètres'!$N$6:$N$17,MATCH(F1139,'Paramètres'!$M$6:$M$17,0)),0)))</f>
        <v/>
      </c>
      <c r="AU1139" s="61">
        <f>IF(E1139="","",IFERROR(IF(INDEX('Paramètres'!$K$6:$K$33,MATCH(E1139,'Paramètres'!$I$6:$I$33,0))="Oui",1,0),0))</f>
        <v/>
      </c>
      <c r="AV1139" s="61">
        <f>IF(F1139="","",IFERROR(IF(INDEX('Paramètres'!$O$6:$O$17,MATCH(F1139,'Paramètres'!$M$6:$M$17,0))="Oui",1,0),0))</f>
        <v/>
      </c>
      <c r="AW1139" s="62">
        <f>IF(E1139="","",IF(G1139&lt;&gt;"",G1139,IF(OR(E1139="Proposition envoyée",E1139="Signature"),MAX(0,N(IFERROR(INDEX('Paramètres'!$R$6:$R$15,MATCH(IF(AL1139&lt;&gt;"",AL1139,IFERROR(INDEX('Prospects'!$AN$5:$AN$504,MATCH(C1139,'Prospects'!$C$5:$C$504,0)),"")),'Paramètres'!$Q$6:$Q$15,0)),0))-N(P1139)),0)))</f>
        <v/>
      </c>
      <c r="AX1139" s="61">
        <f>IF(C1139="","",IF(COUNTIF($C$5:C1139,C1139)=1,MAX($AX$4:AX1138)+1,""))</f>
        <v/>
      </c>
      <c r="AY1139" s="61">
        <f>IF(B1139="","",HOUR(B1139))</f>
        <v/>
      </c>
      <c r="AZ1139" s="61">
        <f>IF(A1139="","",MOD(A1139-2,7)+1)</f>
        <v/>
      </c>
      <c r="BA1139" s="60">
        <f>IF(C1139="","",IFERROR(INDEX('Prospects'!$N$5:$N$504,MATCH(C1139,'Prospects'!$C$5:$C$504,0)),""))</f>
        <v/>
      </c>
      <c r="BB1139" s="61">
        <f>IF(AND(C1139&lt;&gt;"",C1139='Fiche prospect'!$C$4),COUNTIF($C$5:C1139,C1139),"")</f>
        <v/>
      </c>
    </row>
    <row r="1140">
      <c r="A1140" s="53" t="n"/>
      <c r="B1140" s="54" t="n"/>
      <c r="C1140" s="55" t="n"/>
      <c r="D1140" s="55" t="n"/>
      <c r="E1140" s="55" t="n"/>
      <c r="F1140" s="55" t="n"/>
      <c r="G1140" s="56" t="n"/>
      <c r="H1140" s="57" t="n"/>
      <c r="I1140" s="55" t="n"/>
      <c r="J1140" s="53" t="n"/>
      <c r="K1140" s="54" t="n"/>
      <c r="L1140" s="55" t="n"/>
      <c r="M1140" s="55" t="n"/>
      <c r="N1140" s="57" t="n"/>
      <c r="O1140" s="55" t="n"/>
      <c r="P1140" s="56" t="n"/>
      <c r="Q1140" s="55" t="n"/>
      <c r="R1140" s="55" t="n"/>
      <c r="S1140" s="55" t="n"/>
      <c r="T1140" s="55" t="n"/>
      <c r="U1140" s="55" t="n"/>
      <c r="V1140" s="55" t="n"/>
      <c r="W1140" s="58" t="n"/>
      <c r="X1140" s="58" t="n"/>
      <c r="Y1140" s="55" t="n"/>
      <c r="Z1140" s="55" t="n"/>
      <c r="AA1140" s="55" t="n"/>
      <c r="AB1140" s="55" t="n"/>
      <c r="AC1140" s="55" t="n"/>
      <c r="AD1140" s="53" t="n"/>
      <c r="AE1140" s="55" t="n"/>
      <c r="AF1140" s="55" t="n"/>
      <c r="AG1140" s="59" t="n"/>
      <c r="AH1140" s="57" t="n"/>
      <c r="AI1140" s="55" t="n"/>
      <c r="AJ1140" s="55" t="n"/>
      <c r="AK1140" s="55" t="n"/>
      <c r="AL1140" s="55" t="n"/>
      <c r="AM1140" s="56" t="n"/>
      <c r="AN1140" s="55" t="n"/>
      <c r="AO1140" s="55" t="n"/>
      <c r="AP1140" s="55" t="n"/>
      <c r="AQ1140" s="55" t="n"/>
      <c r="AR1140" s="60">
        <f>IF(AND(C1140="",E1140=""),"",IF(A1140="","⚠ Date manquante",IF(AND(C1140="",E1140&lt;&gt;"Dépense"),"⚠ Prospect manquant",IF(E1140="","⚠ Action manquante",IF(AND(AU1140=1,D1140=""),"⚠ Canal manquant",IF(AND(W1140&lt;&gt;"",COUNTIFS('Saisie'!$W$5:$W$2004,W1140,'Saisie'!$C$5:$C$2004,"&lt;&gt;"&amp;C1140)&gt;0),"⚠ Numéro déjà utilisé par un autre prospect",IF(AND(J1140&lt;&gt;"",J1140&lt;A1140),"⚠ Relance avant la date de l'action",IF(A1140&gt;TODAY(),"⚠ Date dans le futur","✓"))))))))</f>
        <v/>
      </c>
      <c r="AS1140" s="61">
        <f>IF(AND(A1140="",C1140="",E1140=""),"",ROW())</f>
        <v/>
      </c>
      <c r="AT1140" s="61">
        <f>IF(E1140&amp;F1140="","",MAX(IFERROR(INDEX('Paramètres'!$J$6:$J$33,MATCH(E1140,'Paramètres'!$I$6:$I$33,0)),0),IFERROR(INDEX('Paramètres'!$N$6:$N$17,MATCH(F1140,'Paramètres'!$M$6:$M$17,0)),0)))</f>
        <v/>
      </c>
      <c r="AU1140" s="61">
        <f>IF(E1140="","",IFERROR(IF(INDEX('Paramètres'!$K$6:$K$33,MATCH(E1140,'Paramètres'!$I$6:$I$33,0))="Oui",1,0),0))</f>
        <v/>
      </c>
      <c r="AV1140" s="61">
        <f>IF(F1140="","",IFERROR(IF(INDEX('Paramètres'!$O$6:$O$17,MATCH(F1140,'Paramètres'!$M$6:$M$17,0))="Oui",1,0),0))</f>
        <v/>
      </c>
      <c r="AW1140" s="62">
        <f>IF(E1140="","",IF(G1140&lt;&gt;"",G1140,IF(OR(E1140="Proposition envoyée",E1140="Signature"),MAX(0,N(IFERROR(INDEX('Paramètres'!$R$6:$R$15,MATCH(IF(AL1140&lt;&gt;"",AL1140,IFERROR(INDEX('Prospects'!$AN$5:$AN$504,MATCH(C1140,'Prospects'!$C$5:$C$504,0)),"")),'Paramètres'!$Q$6:$Q$15,0)),0))-N(P1140)),0)))</f>
        <v/>
      </c>
      <c r="AX1140" s="61">
        <f>IF(C1140="","",IF(COUNTIF($C$5:C1140,C1140)=1,MAX($AX$4:AX1139)+1,""))</f>
        <v/>
      </c>
      <c r="AY1140" s="61">
        <f>IF(B1140="","",HOUR(B1140))</f>
        <v/>
      </c>
      <c r="AZ1140" s="61">
        <f>IF(A1140="","",MOD(A1140-2,7)+1)</f>
        <v/>
      </c>
      <c r="BA1140" s="60">
        <f>IF(C1140="","",IFERROR(INDEX('Prospects'!$N$5:$N$504,MATCH(C1140,'Prospects'!$C$5:$C$504,0)),""))</f>
        <v/>
      </c>
      <c r="BB1140" s="61">
        <f>IF(AND(C1140&lt;&gt;"",C1140='Fiche prospect'!$C$4),COUNTIF($C$5:C1140,C1140),"")</f>
        <v/>
      </c>
    </row>
    <row r="1141">
      <c r="A1141" s="53" t="n"/>
      <c r="B1141" s="54" t="n"/>
      <c r="C1141" s="55" t="n"/>
      <c r="D1141" s="55" t="n"/>
      <c r="E1141" s="55" t="n"/>
      <c r="F1141" s="55" t="n"/>
      <c r="G1141" s="56" t="n"/>
      <c r="H1141" s="57" t="n"/>
      <c r="I1141" s="55" t="n"/>
      <c r="J1141" s="53" t="n"/>
      <c r="K1141" s="54" t="n"/>
      <c r="L1141" s="55" t="n"/>
      <c r="M1141" s="55" t="n"/>
      <c r="N1141" s="57" t="n"/>
      <c r="O1141" s="55" t="n"/>
      <c r="P1141" s="56" t="n"/>
      <c r="Q1141" s="55" t="n"/>
      <c r="R1141" s="55" t="n"/>
      <c r="S1141" s="55" t="n"/>
      <c r="T1141" s="55" t="n"/>
      <c r="U1141" s="55" t="n"/>
      <c r="V1141" s="55" t="n"/>
      <c r="W1141" s="58" t="n"/>
      <c r="X1141" s="58" t="n"/>
      <c r="Y1141" s="55" t="n"/>
      <c r="Z1141" s="55" t="n"/>
      <c r="AA1141" s="55" t="n"/>
      <c r="AB1141" s="55" t="n"/>
      <c r="AC1141" s="55" t="n"/>
      <c r="AD1141" s="53" t="n"/>
      <c r="AE1141" s="55" t="n"/>
      <c r="AF1141" s="55" t="n"/>
      <c r="AG1141" s="59" t="n"/>
      <c r="AH1141" s="57" t="n"/>
      <c r="AI1141" s="55" t="n"/>
      <c r="AJ1141" s="55" t="n"/>
      <c r="AK1141" s="55" t="n"/>
      <c r="AL1141" s="55" t="n"/>
      <c r="AM1141" s="56" t="n"/>
      <c r="AN1141" s="55" t="n"/>
      <c r="AO1141" s="55" t="n"/>
      <c r="AP1141" s="55" t="n"/>
      <c r="AQ1141" s="55" t="n"/>
      <c r="AR1141" s="60">
        <f>IF(AND(C1141="",E1141=""),"",IF(A1141="","⚠ Date manquante",IF(AND(C1141="",E1141&lt;&gt;"Dépense"),"⚠ Prospect manquant",IF(E1141="","⚠ Action manquante",IF(AND(AU1141=1,D1141=""),"⚠ Canal manquant",IF(AND(W1141&lt;&gt;"",COUNTIFS('Saisie'!$W$5:$W$2004,W1141,'Saisie'!$C$5:$C$2004,"&lt;&gt;"&amp;C1141)&gt;0),"⚠ Numéro déjà utilisé par un autre prospect",IF(AND(J1141&lt;&gt;"",J1141&lt;A1141),"⚠ Relance avant la date de l'action",IF(A1141&gt;TODAY(),"⚠ Date dans le futur","✓"))))))))</f>
        <v/>
      </c>
      <c r="AS1141" s="61">
        <f>IF(AND(A1141="",C1141="",E1141=""),"",ROW())</f>
        <v/>
      </c>
      <c r="AT1141" s="61">
        <f>IF(E1141&amp;F1141="","",MAX(IFERROR(INDEX('Paramètres'!$J$6:$J$33,MATCH(E1141,'Paramètres'!$I$6:$I$33,0)),0),IFERROR(INDEX('Paramètres'!$N$6:$N$17,MATCH(F1141,'Paramètres'!$M$6:$M$17,0)),0)))</f>
        <v/>
      </c>
      <c r="AU1141" s="61">
        <f>IF(E1141="","",IFERROR(IF(INDEX('Paramètres'!$K$6:$K$33,MATCH(E1141,'Paramètres'!$I$6:$I$33,0))="Oui",1,0),0))</f>
        <v/>
      </c>
      <c r="AV1141" s="61">
        <f>IF(F1141="","",IFERROR(IF(INDEX('Paramètres'!$O$6:$O$17,MATCH(F1141,'Paramètres'!$M$6:$M$17,0))="Oui",1,0),0))</f>
        <v/>
      </c>
      <c r="AW1141" s="62">
        <f>IF(E1141="","",IF(G1141&lt;&gt;"",G1141,IF(OR(E1141="Proposition envoyée",E1141="Signature"),MAX(0,N(IFERROR(INDEX('Paramètres'!$R$6:$R$15,MATCH(IF(AL1141&lt;&gt;"",AL1141,IFERROR(INDEX('Prospects'!$AN$5:$AN$504,MATCH(C1141,'Prospects'!$C$5:$C$504,0)),"")),'Paramètres'!$Q$6:$Q$15,0)),0))-N(P1141)),0)))</f>
        <v/>
      </c>
      <c r="AX1141" s="61">
        <f>IF(C1141="","",IF(COUNTIF($C$5:C1141,C1141)=1,MAX($AX$4:AX1140)+1,""))</f>
        <v/>
      </c>
      <c r="AY1141" s="61">
        <f>IF(B1141="","",HOUR(B1141))</f>
        <v/>
      </c>
      <c r="AZ1141" s="61">
        <f>IF(A1141="","",MOD(A1141-2,7)+1)</f>
        <v/>
      </c>
      <c r="BA1141" s="60">
        <f>IF(C1141="","",IFERROR(INDEX('Prospects'!$N$5:$N$504,MATCH(C1141,'Prospects'!$C$5:$C$504,0)),""))</f>
        <v/>
      </c>
      <c r="BB1141" s="61">
        <f>IF(AND(C1141&lt;&gt;"",C1141='Fiche prospect'!$C$4),COUNTIF($C$5:C1141,C1141),"")</f>
        <v/>
      </c>
    </row>
    <row r="1142">
      <c r="A1142" s="53" t="n"/>
      <c r="B1142" s="54" t="n"/>
      <c r="C1142" s="55" t="n"/>
      <c r="D1142" s="55" t="n"/>
      <c r="E1142" s="55" t="n"/>
      <c r="F1142" s="55" t="n"/>
      <c r="G1142" s="56" t="n"/>
      <c r="H1142" s="57" t="n"/>
      <c r="I1142" s="55" t="n"/>
      <c r="J1142" s="53" t="n"/>
      <c r="K1142" s="54" t="n"/>
      <c r="L1142" s="55" t="n"/>
      <c r="M1142" s="55" t="n"/>
      <c r="N1142" s="57" t="n"/>
      <c r="O1142" s="55" t="n"/>
      <c r="P1142" s="56" t="n"/>
      <c r="Q1142" s="55" t="n"/>
      <c r="R1142" s="55" t="n"/>
      <c r="S1142" s="55" t="n"/>
      <c r="T1142" s="55" t="n"/>
      <c r="U1142" s="55" t="n"/>
      <c r="V1142" s="55" t="n"/>
      <c r="W1142" s="58" t="n"/>
      <c r="X1142" s="58" t="n"/>
      <c r="Y1142" s="55" t="n"/>
      <c r="Z1142" s="55" t="n"/>
      <c r="AA1142" s="55" t="n"/>
      <c r="AB1142" s="55" t="n"/>
      <c r="AC1142" s="55" t="n"/>
      <c r="AD1142" s="53" t="n"/>
      <c r="AE1142" s="55" t="n"/>
      <c r="AF1142" s="55" t="n"/>
      <c r="AG1142" s="59" t="n"/>
      <c r="AH1142" s="57" t="n"/>
      <c r="AI1142" s="55" t="n"/>
      <c r="AJ1142" s="55" t="n"/>
      <c r="AK1142" s="55" t="n"/>
      <c r="AL1142" s="55" t="n"/>
      <c r="AM1142" s="56" t="n"/>
      <c r="AN1142" s="55" t="n"/>
      <c r="AO1142" s="55" t="n"/>
      <c r="AP1142" s="55" t="n"/>
      <c r="AQ1142" s="55" t="n"/>
      <c r="AR1142" s="60">
        <f>IF(AND(C1142="",E1142=""),"",IF(A1142="","⚠ Date manquante",IF(AND(C1142="",E1142&lt;&gt;"Dépense"),"⚠ Prospect manquant",IF(E1142="","⚠ Action manquante",IF(AND(AU1142=1,D1142=""),"⚠ Canal manquant",IF(AND(W1142&lt;&gt;"",COUNTIFS('Saisie'!$W$5:$W$2004,W1142,'Saisie'!$C$5:$C$2004,"&lt;&gt;"&amp;C1142)&gt;0),"⚠ Numéro déjà utilisé par un autre prospect",IF(AND(J1142&lt;&gt;"",J1142&lt;A1142),"⚠ Relance avant la date de l'action",IF(A1142&gt;TODAY(),"⚠ Date dans le futur","✓"))))))))</f>
        <v/>
      </c>
      <c r="AS1142" s="61">
        <f>IF(AND(A1142="",C1142="",E1142=""),"",ROW())</f>
        <v/>
      </c>
      <c r="AT1142" s="61">
        <f>IF(E1142&amp;F1142="","",MAX(IFERROR(INDEX('Paramètres'!$J$6:$J$33,MATCH(E1142,'Paramètres'!$I$6:$I$33,0)),0),IFERROR(INDEX('Paramètres'!$N$6:$N$17,MATCH(F1142,'Paramètres'!$M$6:$M$17,0)),0)))</f>
        <v/>
      </c>
      <c r="AU1142" s="61">
        <f>IF(E1142="","",IFERROR(IF(INDEX('Paramètres'!$K$6:$K$33,MATCH(E1142,'Paramètres'!$I$6:$I$33,0))="Oui",1,0),0))</f>
        <v/>
      </c>
      <c r="AV1142" s="61">
        <f>IF(F1142="","",IFERROR(IF(INDEX('Paramètres'!$O$6:$O$17,MATCH(F1142,'Paramètres'!$M$6:$M$17,0))="Oui",1,0),0))</f>
        <v/>
      </c>
      <c r="AW1142" s="62">
        <f>IF(E1142="","",IF(G1142&lt;&gt;"",G1142,IF(OR(E1142="Proposition envoyée",E1142="Signature"),MAX(0,N(IFERROR(INDEX('Paramètres'!$R$6:$R$15,MATCH(IF(AL1142&lt;&gt;"",AL1142,IFERROR(INDEX('Prospects'!$AN$5:$AN$504,MATCH(C1142,'Prospects'!$C$5:$C$504,0)),"")),'Paramètres'!$Q$6:$Q$15,0)),0))-N(P1142)),0)))</f>
        <v/>
      </c>
      <c r="AX1142" s="61">
        <f>IF(C1142="","",IF(COUNTIF($C$5:C1142,C1142)=1,MAX($AX$4:AX1141)+1,""))</f>
        <v/>
      </c>
      <c r="AY1142" s="61">
        <f>IF(B1142="","",HOUR(B1142))</f>
        <v/>
      </c>
      <c r="AZ1142" s="61">
        <f>IF(A1142="","",MOD(A1142-2,7)+1)</f>
        <v/>
      </c>
      <c r="BA1142" s="60">
        <f>IF(C1142="","",IFERROR(INDEX('Prospects'!$N$5:$N$504,MATCH(C1142,'Prospects'!$C$5:$C$504,0)),""))</f>
        <v/>
      </c>
      <c r="BB1142" s="61">
        <f>IF(AND(C1142&lt;&gt;"",C1142='Fiche prospect'!$C$4),COUNTIF($C$5:C1142,C1142),"")</f>
        <v/>
      </c>
    </row>
    <row r="1143">
      <c r="A1143" s="53" t="n"/>
      <c r="B1143" s="54" t="n"/>
      <c r="C1143" s="55" t="n"/>
      <c r="D1143" s="55" t="n"/>
      <c r="E1143" s="55" t="n"/>
      <c r="F1143" s="55" t="n"/>
      <c r="G1143" s="56" t="n"/>
      <c r="H1143" s="57" t="n"/>
      <c r="I1143" s="55" t="n"/>
      <c r="J1143" s="53" t="n"/>
      <c r="K1143" s="54" t="n"/>
      <c r="L1143" s="55" t="n"/>
      <c r="M1143" s="55" t="n"/>
      <c r="N1143" s="57" t="n"/>
      <c r="O1143" s="55" t="n"/>
      <c r="P1143" s="56" t="n"/>
      <c r="Q1143" s="55" t="n"/>
      <c r="R1143" s="55" t="n"/>
      <c r="S1143" s="55" t="n"/>
      <c r="T1143" s="55" t="n"/>
      <c r="U1143" s="55" t="n"/>
      <c r="V1143" s="55" t="n"/>
      <c r="W1143" s="58" t="n"/>
      <c r="X1143" s="58" t="n"/>
      <c r="Y1143" s="55" t="n"/>
      <c r="Z1143" s="55" t="n"/>
      <c r="AA1143" s="55" t="n"/>
      <c r="AB1143" s="55" t="n"/>
      <c r="AC1143" s="55" t="n"/>
      <c r="AD1143" s="53" t="n"/>
      <c r="AE1143" s="55" t="n"/>
      <c r="AF1143" s="55" t="n"/>
      <c r="AG1143" s="59" t="n"/>
      <c r="AH1143" s="57" t="n"/>
      <c r="AI1143" s="55" t="n"/>
      <c r="AJ1143" s="55" t="n"/>
      <c r="AK1143" s="55" t="n"/>
      <c r="AL1143" s="55" t="n"/>
      <c r="AM1143" s="56" t="n"/>
      <c r="AN1143" s="55" t="n"/>
      <c r="AO1143" s="55" t="n"/>
      <c r="AP1143" s="55" t="n"/>
      <c r="AQ1143" s="55" t="n"/>
      <c r="AR1143" s="60">
        <f>IF(AND(C1143="",E1143=""),"",IF(A1143="","⚠ Date manquante",IF(AND(C1143="",E1143&lt;&gt;"Dépense"),"⚠ Prospect manquant",IF(E1143="","⚠ Action manquante",IF(AND(AU1143=1,D1143=""),"⚠ Canal manquant",IF(AND(W1143&lt;&gt;"",COUNTIFS('Saisie'!$W$5:$W$2004,W1143,'Saisie'!$C$5:$C$2004,"&lt;&gt;"&amp;C1143)&gt;0),"⚠ Numéro déjà utilisé par un autre prospect",IF(AND(J1143&lt;&gt;"",J1143&lt;A1143),"⚠ Relance avant la date de l'action",IF(A1143&gt;TODAY(),"⚠ Date dans le futur","✓"))))))))</f>
        <v/>
      </c>
      <c r="AS1143" s="61">
        <f>IF(AND(A1143="",C1143="",E1143=""),"",ROW())</f>
        <v/>
      </c>
      <c r="AT1143" s="61">
        <f>IF(E1143&amp;F1143="","",MAX(IFERROR(INDEX('Paramètres'!$J$6:$J$33,MATCH(E1143,'Paramètres'!$I$6:$I$33,0)),0),IFERROR(INDEX('Paramètres'!$N$6:$N$17,MATCH(F1143,'Paramètres'!$M$6:$M$17,0)),0)))</f>
        <v/>
      </c>
      <c r="AU1143" s="61">
        <f>IF(E1143="","",IFERROR(IF(INDEX('Paramètres'!$K$6:$K$33,MATCH(E1143,'Paramètres'!$I$6:$I$33,0))="Oui",1,0),0))</f>
        <v/>
      </c>
      <c r="AV1143" s="61">
        <f>IF(F1143="","",IFERROR(IF(INDEX('Paramètres'!$O$6:$O$17,MATCH(F1143,'Paramètres'!$M$6:$M$17,0))="Oui",1,0),0))</f>
        <v/>
      </c>
      <c r="AW1143" s="62">
        <f>IF(E1143="","",IF(G1143&lt;&gt;"",G1143,IF(OR(E1143="Proposition envoyée",E1143="Signature"),MAX(0,N(IFERROR(INDEX('Paramètres'!$R$6:$R$15,MATCH(IF(AL1143&lt;&gt;"",AL1143,IFERROR(INDEX('Prospects'!$AN$5:$AN$504,MATCH(C1143,'Prospects'!$C$5:$C$504,0)),"")),'Paramètres'!$Q$6:$Q$15,0)),0))-N(P1143)),0)))</f>
        <v/>
      </c>
      <c r="AX1143" s="61">
        <f>IF(C1143="","",IF(COUNTIF($C$5:C1143,C1143)=1,MAX($AX$4:AX1142)+1,""))</f>
        <v/>
      </c>
      <c r="AY1143" s="61">
        <f>IF(B1143="","",HOUR(B1143))</f>
        <v/>
      </c>
      <c r="AZ1143" s="61">
        <f>IF(A1143="","",MOD(A1143-2,7)+1)</f>
        <v/>
      </c>
      <c r="BA1143" s="60">
        <f>IF(C1143="","",IFERROR(INDEX('Prospects'!$N$5:$N$504,MATCH(C1143,'Prospects'!$C$5:$C$504,0)),""))</f>
        <v/>
      </c>
      <c r="BB1143" s="61">
        <f>IF(AND(C1143&lt;&gt;"",C1143='Fiche prospect'!$C$4),COUNTIF($C$5:C1143,C1143),"")</f>
        <v/>
      </c>
    </row>
    <row r="1144">
      <c r="A1144" s="53" t="n"/>
      <c r="B1144" s="54" t="n"/>
      <c r="C1144" s="55" t="n"/>
      <c r="D1144" s="55" t="n"/>
      <c r="E1144" s="55" t="n"/>
      <c r="F1144" s="55" t="n"/>
      <c r="G1144" s="56" t="n"/>
      <c r="H1144" s="57" t="n"/>
      <c r="I1144" s="55" t="n"/>
      <c r="J1144" s="53" t="n"/>
      <c r="K1144" s="54" t="n"/>
      <c r="L1144" s="55" t="n"/>
      <c r="M1144" s="55" t="n"/>
      <c r="N1144" s="57" t="n"/>
      <c r="O1144" s="55" t="n"/>
      <c r="P1144" s="56" t="n"/>
      <c r="Q1144" s="55" t="n"/>
      <c r="R1144" s="55" t="n"/>
      <c r="S1144" s="55" t="n"/>
      <c r="T1144" s="55" t="n"/>
      <c r="U1144" s="55" t="n"/>
      <c r="V1144" s="55" t="n"/>
      <c r="W1144" s="58" t="n"/>
      <c r="X1144" s="58" t="n"/>
      <c r="Y1144" s="55" t="n"/>
      <c r="Z1144" s="55" t="n"/>
      <c r="AA1144" s="55" t="n"/>
      <c r="AB1144" s="55" t="n"/>
      <c r="AC1144" s="55" t="n"/>
      <c r="AD1144" s="53" t="n"/>
      <c r="AE1144" s="55" t="n"/>
      <c r="AF1144" s="55" t="n"/>
      <c r="AG1144" s="59" t="n"/>
      <c r="AH1144" s="57" t="n"/>
      <c r="AI1144" s="55" t="n"/>
      <c r="AJ1144" s="55" t="n"/>
      <c r="AK1144" s="55" t="n"/>
      <c r="AL1144" s="55" t="n"/>
      <c r="AM1144" s="56" t="n"/>
      <c r="AN1144" s="55" t="n"/>
      <c r="AO1144" s="55" t="n"/>
      <c r="AP1144" s="55" t="n"/>
      <c r="AQ1144" s="55" t="n"/>
      <c r="AR1144" s="60">
        <f>IF(AND(C1144="",E1144=""),"",IF(A1144="","⚠ Date manquante",IF(AND(C1144="",E1144&lt;&gt;"Dépense"),"⚠ Prospect manquant",IF(E1144="","⚠ Action manquante",IF(AND(AU1144=1,D1144=""),"⚠ Canal manquant",IF(AND(W1144&lt;&gt;"",COUNTIFS('Saisie'!$W$5:$W$2004,W1144,'Saisie'!$C$5:$C$2004,"&lt;&gt;"&amp;C1144)&gt;0),"⚠ Numéro déjà utilisé par un autre prospect",IF(AND(J1144&lt;&gt;"",J1144&lt;A1144),"⚠ Relance avant la date de l'action",IF(A1144&gt;TODAY(),"⚠ Date dans le futur","✓"))))))))</f>
        <v/>
      </c>
      <c r="AS1144" s="61">
        <f>IF(AND(A1144="",C1144="",E1144=""),"",ROW())</f>
        <v/>
      </c>
      <c r="AT1144" s="61">
        <f>IF(E1144&amp;F1144="","",MAX(IFERROR(INDEX('Paramètres'!$J$6:$J$33,MATCH(E1144,'Paramètres'!$I$6:$I$33,0)),0),IFERROR(INDEX('Paramètres'!$N$6:$N$17,MATCH(F1144,'Paramètres'!$M$6:$M$17,0)),0)))</f>
        <v/>
      </c>
      <c r="AU1144" s="61">
        <f>IF(E1144="","",IFERROR(IF(INDEX('Paramètres'!$K$6:$K$33,MATCH(E1144,'Paramètres'!$I$6:$I$33,0))="Oui",1,0),0))</f>
        <v/>
      </c>
      <c r="AV1144" s="61">
        <f>IF(F1144="","",IFERROR(IF(INDEX('Paramètres'!$O$6:$O$17,MATCH(F1144,'Paramètres'!$M$6:$M$17,0))="Oui",1,0),0))</f>
        <v/>
      </c>
      <c r="AW1144" s="62">
        <f>IF(E1144="","",IF(G1144&lt;&gt;"",G1144,IF(OR(E1144="Proposition envoyée",E1144="Signature"),MAX(0,N(IFERROR(INDEX('Paramètres'!$R$6:$R$15,MATCH(IF(AL1144&lt;&gt;"",AL1144,IFERROR(INDEX('Prospects'!$AN$5:$AN$504,MATCH(C1144,'Prospects'!$C$5:$C$504,0)),"")),'Paramètres'!$Q$6:$Q$15,0)),0))-N(P1144)),0)))</f>
        <v/>
      </c>
      <c r="AX1144" s="61">
        <f>IF(C1144="","",IF(COUNTIF($C$5:C1144,C1144)=1,MAX($AX$4:AX1143)+1,""))</f>
        <v/>
      </c>
      <c r="AY1144" s="61">
        <f>IF(B1144="","",HOUR(B1144))</f>
        <v/>
      </c>
      <c r="AZ1144" s="61">
        <f>IF(A1144="","",MOD(A1144-2,7)+1)</f>
        <v/>
      </c>
      <c r="BA1144" s="60">
        <f>IF(C1144="","",IFERROR(INDEX('Prospects'!$N$5:$N$504,MATCH(C1144,'Prospects'!$C$5:$C$504,0)),""))</f>
        <v/>
      </c>
      <c r="BB1144" s="61">
        <f>IF(AND(C1144&lt;&gt;"",C1144='Fiche prospect'!$C$4),COUNTIF($C$5:C1144,C1144),"")</f>
        <v/>
      </c>
    </row>
    <row r="1145">
      <c r="A1145" s="53" t="n"/>
      <c r="B1145" s="54" t="n"/>
      <c r="C1145" s="55" t="n"/>
      <c r="D1145" s="55" t="n"/>
      <c r="E1145" s="55" t="n"/>
      <c r="F1145" s="55" t="n"/>
      <c r="G1145" s="56" t="n"/>
      <c r="H1145" s="57" t="n"/>
      <c r="I1145" s="55" t="n"/>
      <c r="J1145" s="53" t="n"/>
      <c r="K1145" s="54" t="n"/>
      <c r="L1145" s="55" t="n"/>
      <c r="M1145" s="55" t="n"/>
      <c r="N1145" s="57" t="n"/>
      <c r="O1145" s="55" t="n"/>
      <c r="P1145" s="56" t="n"/>
      <c r="Q1145" s="55" t="n"/>
      <c r="R1145" s="55" t="n"/>
      <c r="S1145" s="55" t="n"/>
      <c r="T1145" s="55" t="n"/>
      <c r="U1145" s="55" t="n"/>
      <c r="V1145" s="55" t="n"/>
      <c r="W1145" s="58" t="n"/>
      <c r="X1145" s="58" t="n"/>
      <c r="Y1145" s="55" t="n"/>
      <c r="Z1145" s="55" t="n"/>
      <c r="AA1145" s="55" t="n"/>
      <c r="AB1145" s="55" t="n"/>
      <c r="AC1145" s="55" t="n"/>
      <c r="AD1145" s="53" t="n"/>
      <c r="AE1145" s="55" t="n"/>
      <c r="AF1145" s="55" t="n"/>
      <c r="AG1145" s="59" t="n"/>
      <c r="AH1145" s="57" t="n"/>
      <c r="AI1145" s="55" t="n"/>
      <c r="AJ1145" s="55" t="n"/>
      <c r="AK1145" s="55" t="n"/>
      <c r="AL1145" s="55" t="n"/>
      <c r="AM1145" s="56" t="n"/>
      <c r="AN1145" s="55" t="n"/>
      <c r="AO1145" s="55" t="n"/>
      <c r="AP1145" s="55" t="n"/>
      <c r="AQ1145" s="55" t="n"/>
      <c r="AR1145" s="60">
        <f>IF(AND(C1145="",E1145=""),"",IF(A1145="","⚠ Date manquante",IF(AND(C1145="",E1145&lt;&gt;"Dépense"),"⚠ Prospect manquant",IF(E1145="","⚠ Action manquante",IF(AND(AU1145=1,D1145=""),"⚠ Canal manquant",IF(AND(W1145&lt;&gt;"",COUNTIFS('Saisie'!$W$5:$W$2004,W1145,'Saisie'!$C$5:$C$2004,"&lt;&gt;"&amp;C1145)&gt;0),"⚠ Numéro déjà utilisé par un autre prospect",IF(AND(J1145&lt;&gt;"",J1145&lt;A1145),"⚠ Relance avant la date de l'action",IF(A1145&gt;TODAY(),"⚠ Date dans le futur","✓"))))))))</f>
        <v/>
      </c>
      <c r="AS1145" s="61">
        <f>IF(AND(A1145="",C1145="",E1145=""),"",ROW())</f>
        <v/>
      </c>
      <c r="AT1145" s="61">
        <f>IF(E1145&amp;F1145="","",MAX(IFERROR(INDEX('Paramètres'!$J$6:$J$33,MATCH(E1145,'Paramètres'!$I$6:$I$33,0)),0),IFERROR(INDEX('Paramètres'!$N$6:$N$17,MATCH(F1145,'Paramètres'!$M$6:$M$17,0)),0)))</f>
        <v/>
      </c>
      <c r="AU1145" s="61">
        <f>IF(E1145="","",IFERROR(IF(INDEX('Paramètres'!$K$6:$K$33,MATCH(E1145,'Paramètres'!$I$6:$I$33,0))="Oui",1,0),0))</f>
        <v/>
      </c>
      <c r="AV1145" s="61">
        <f>IF(F1145="","",IFERROR(IF(INDEX('Paramètres'!$O$6:$O$17,MATCH(F1145,'Paramètres'!$M$6:$M$17,0))="Oui",1,0),0))</f>
        <v/>
      </c>
      <c r="AW1145" s="62">
        <f>IF(E1145="","",IF(G1145&lt;&gt;"",G1145,IF(OR(E1145="Proposition envoyée",E1145="Signature"),MAX(0,N(IFERROR(INDEX('Paramètres'!$R$6:$R$15,MATCH(IF(AL1145&lt;&gt;"",AL1145,IFERROR(INDEX('Prospects'!$AN$5:$AN$504,MATCH(C1145,'Prospects'!$C$5:$C$504,0)),"")),'Paramètres'!$Q$6:$Q$15,0)),0))-N(P1145)),0)))</f>
        <v/>
      </c>
      <c r="AX1145" s="61">
        <f>IF(C1145="","",IF(COUNTIF($C$5:C1145,C1145)=1,MAX($AX$4:AX1144)+1,""))</f>
        <v/>
      </c>
      <c r="AY1145" s="61">
        <f>IF(B1145="","",HOUR(B1145))</f>
        <v/>
      </c>
      <c r="AZ1145" s="61">
        <f>IF(A1145="","",MOD(A1145-2,7)+1)</f>
        <v/>
      </c>
      <c r="BA1145" s="60">
        <f>IF(C1145="","",IFERROR(INDEX('Prospects'!$N$5:$N$504,MATCH(C1145,'Prospects'!$C$5:$C$504,0)),""))</f>
        <v/>
      </c>
      <c r="BB1145" s="61">
        <f>IF(AND(C1145&lt;&gt;"",C1145='Fiche prospect'!$C$4),COUNTIF($C$5:C1145,C1145),"")</f>
        <v/>
      </c>
    </row>
    <row r="1146">
      <c r="A1146" s="53" t="n"/>
      <c r="B1146" s="54" t="n"/>
      <c r="C1146" s="55" t="n"/>
      <c r="D1146" s="55" t="n"/>
      <c r="E1146" s="55" t="n"/>
      <c r="F1146" s="55" t="n"/>
      <c r="G1146" s="56" t="n"/>
      <c r="H1146" s="57" t="n"/>
      <c r="I1146" s="55" t="n"/>
      <c r="J1146" s="53" t="n"/>
      <c r="K1146" s="54" t="n"/>
      <c r="L1146" s="55" t="n"/>
      <c r="M1146" s="55" t="n"/>
      <c r="N1146" s="57" t="n"/>
      <c r="O1146" s="55" t="n"/>
      <c r="P1146" s="56" t="n"/>
      <c r="Q1146" s="55" t="n"/>
      <c r="R1146" s="55" t="n"/>
      <c r="S1146" s="55" t="n"/>
      <c r="T1146" s="55" t="n"/>
      <c r="U1146" s="55" t="n"/>
      <c r="V1146" s="55" t="n"/>
      <c r="W1146" s="58" t="n"/>
      <c r="X1146" s="58" t="n"/>
      <c r="Y1146" s="55" t="n"/>
      <c r="Z1146" s="55" t="n"/>
      <c r="AA1146" s="55" t="n"/>
      <c r="AB1146" s="55" t="n"/>
      <c r="AC1146" s="55" t="n"/>
      <c r="AD1146" s="53" t="n"/>
      <c r="AE1146" s="55" t="n"/>
      <c r="AF1146" s="55" t="n"/>
      <c r="AG1146" s="59" t="n"/>
      <c r="AH1146" s="57" t="n"/>
      <c r="AI1146" s="55" t="n"/>
      <c r="AJ1146" s="55" t="n"/>
      <c r="AK1146" s="55" t="n"/>
      <c r="AL1146" s="55" t="n"/>
      <c r="AM1146" s="56" t="n"/>
      <c r="AN1146" s="55" t="n"/>
      <c r="AO1146" s="55" t="n"/>
      <c r="AP1146" s="55" t="n"/>
      <c r="AQ1146" s="55" t="n"/>
      <c r="AR1146" s="60">
        <f>IF(AND(C1146="",E1146=""),"",IF(A1146="","⚠ Date manquante",IF(AND(C1146="",E1146&lt;&gt;"Dépense"),"⚠ Prospect manquant",IF(E1146="","⚠ Action manquante",IF(AND(AU1146=1,D1146=""),"⚠ Canal manquant",IF(AND(W1146&lt;&gt;"",COUNTIFS('Saisie'!$W$5:$W$2004,W1146,'Saisie'!$C$5:$C$2004,"&lt;&gt;"&amp;C1146)&gt;0),"⚠ Numéro déjà utilisé par un autre prospect",IF(AND(J1146&lt;&gt;"",J1146&lt;A1146),"⚠ Relance avant la date de l'action",IF(A1146&gt;TODAY(),"⚠ Date dans le futur","✓"))))))))</f>
        <v/>
      </c>
      <c r="AS1146" s="61">
        <f>IF(AND(A1146="",C1146="",E1146=""),"",ROW())</f>
        <v/>
      </c>
      <c r="AT1146" s="61">
        <f>IF(E1146&amp;F1146="","",MAX(IFERROR(INDEX('Paramètres'!$J$6:$J$33,MATCH(E1146,'Paramètres'!$I$6:$I$33,0)),0),IFERROR(INDEX('Paramètres'!$N$6:$N$17,MATCH(F1146,'Paramètres'!$M$6:$M$17,0)),0)))</f>
        <v/>
      </c>
      <c r="AU1146" s="61">
        <f>IF(E1146="","",IFERROR(IF(INDEX('Paramètres'!$K$6:$K$33,MATCH(E1146,'Paramètres'!$I$6:$I$33,0))="Oui",1,0),0))</f>
        <v/>
      </c>
      <c r="AV1146" s="61">
        <f>IF(F1146="","",IFERROR(IF(INDEX('Paramètres'!$O$6:$O$17,MATCH(F1146,'Paramètres'!$M$6:$M$17,0))="Oui",1,0),0))</f>
        <v/>
      </c>
      <c r="AW1146" s="62">
        <f>IF(E1146="","",IF(G1146&lt;&gt;"",G1146,IF(OR(E1146="Proposition envoyée",E1146="Signature"),MAX(0,N(IFERROR(INDEX('Paramètres'!$R$6:$R$15,MATCH(IF(AL1146&lt;&gt;"",AL1146,IFERROR(INDEX('Prospects'!$AN$5:$AN$504,MATCH(C1146,'Prospects'!$C$5:$C$504,0)),"")),'Paramètres'!$Q$6:$Q$15,0)),0))-N(P1146)),0)))</f>
        <v/>
      </c>
      <c r="AX1146" s="61">
        <f>IF(C1146="","",IF(COUNTIF($C$5:C1146,C1146)=1,MAX($AX$4:AX1145)+1,""))</f>
        <v/>
      </c>
      <c r="AY1146" s="61">
        <f>IF(B1146="","",HOUR(B1146))</f>
        <v/>
      </c>
      <c r="AZ1146" s="61">
        <f>IF(A1146="","",MOD(A1146-2,7)+1)</f>
        <v/>
      </c>
      <c r="BA1146" s="60">
        <f>IF(C1146="","",IFERROR(INDEX('Prospects'!$N$5:$N$504,MATCH(C1146,'Prospects'!$C$5:$C$504,0)),""))</f>
        <v/>
      </c>
      <c r="BB1146" s="61">
        <f>IF(AND(C1146&lt;&gt;"",C1146='Fiche prospect'!$C$4),COUNTIF($C$5:C1146,C1146),"")</f>
        <v/>
      </c>
    </row>
    <row r="1147">
      <c r="A1147" s="53" t="n"/>
      <c r="B1147" s="54" t="n"/>
      <c r="C1147" s="55" t="n"/>
      <c r="D1147" s="55" t="n"/>
      <c r="E1147" s="55" t="n"/>
      <c r="F1147" s="55" t="n"/>
      <c r="G1147" s="56" t="n"/>
      <c r="H1147" s="57" t="n"/>
      <c r="I1147" s="55" t="n"/>
      <c r="J1147" s="53" t="n"/>
      <c r="K1147" s="54" t="n"/>
      <c r="L1147" s="55" t="n"/>
      <c r="M1147" s="55" t="n"/>
      <c r="N1147" s="57" t="n"/>
      <c r="O1147" s="55" t="n"/>
      <c r="P1147" s="56" t="n"/>
      <c r="Q1147" s="55" t="n"/>
      <c r="R1147" s="55" t="n"/>
      <c r="S1147" s="55" t="n"/>
      <c r="T1147" s="55" t="n"/>
      <c r="U1147" s="55" t="n"/>
      <c r="V1147" s="55" t="n"/>
      <c r="W1147" s="58" t="n"/>
      <c r="X1147" s="58" t="n"/>
      <c r="Y1147" s="55" t="n"/>
      <c r="Z1147" s="55" t="n"/>
      <c r="AA1147" s="55" t="n"/>
      <c r="AB1147" s="55" t="n"/>
      <c r="AC1147" s="55" t="n"/>
      <c r="AD1147" s="53" t="n"/>
      <c r="AE1147" s="55" t="n"/>
      <c r="AF1147" s="55" t="n"/>
      <c r="AG1147" s="59" t="n"/>
      <c r="AH1147" s="57" t="n"/>
      <c r="AI1147" s="55" t="n"/>
      <c r="AJ1147" s="55" t="n"/>
      <c r="AK1147" s="55" t="n"/>
      <c r="AL1147" s="55" t="n"/>
      <c r="AM1147" s="56" t="n"/>
      <c r="AN1147" s="55" t="n"/>
      <c r="AO1147" s="55" t="n"/>
      <c r="AP1147" s="55" t="n"/>
      <c r="AQ1147" s="55" t="n"/>
      <c r="AR1147" s="60">
        <f>IF(AND(C1147="",E1147=""),"",IF(A1147="","⚠ Date manquante",IF(AND(C1147="",E1147&lt;&gt;"Dépense"),"⚠ Prospect manquant",IF(E1147="","⚠ Action manquante",IF(AND(AU1147=1,D1147=""),"⚠ Canal manquant",IF(AND(W1147&lt;&gt;"",COUNTIFS('Saisie'!$W$5:$W$2004,W1147,'Saisie'!$C$5:$C$2004,"&lt;&gt;"&amp;C1147)&gt;0),"⚠ Numéro déjà utilisé par un autre prospect",IF(AND(J1147&lt;&gt;"",J1147&lt;A1147),"⚠ Relance avant la date de l'action",IF(A1147&gt;TODAY(),"⚠ Date dans le futur","✓"))))))))</f>
        <v/>
      </c>
      <c r="AS1147" s="61">
        <f>IF(AND(A1147="",C1147="",E1147=""),"",ROW())</f>
        <v/>
      </c>
      <c r="AT1147" s="61">
        <f>IF(E1147&amp;F1147="","",MAX(IFERROR(INDEX('Paramètres'!$J$6:$J$33,MATCH(E1147,'Paramètres'!$I$6:$I$33,0)),0),IFERROR(INDEX('Paramètres'!$N$6:$N$17,MATCH(F1147,'Paramètres'!$M$6:$M$17,0)),0)))</f>
        <v/>
      </c>
      <c r="AU1147" s="61">
        <f>IF(E1147="","",IFERROR(IF(INDEX('Paramètres'!$K$6:$K$33,MATCH(E1147,'Paramètres'!$I$6:$I$33,0))="Oui",1,0),0))</f>
        <v/>
      </c>
      <c r="AV1147" s="61">
        <f>IF(F1147="","",IFERROR(IF(INDEX('Paramètres'!$O$6:$O$17,MATCH(F1147,'Paramètres'!$M$6:$M$17,0))="Oui",1,0),0))</f>
        <v/>
      </c>
      <c r="AW1147" s="62">
        <f>IF(E1147="","",IF(G1147&lt;&gt;"",G1147,IF(OR(E1147="Proposition envoyée",E1147="Signature"),MAX(0,N(IFERROR(INDEX('Paramètres'!$R$6:$R$15,MATCH(IF(AL1147&lt;&gt;"",AL1147,IFERROR(INDEX('Prospects'!$AN$5:$AN$504,MATCH(C1147,'Prospects'!$C$5:$C$504,0)),"")),'Paramètres'!$Q$6:$Q$15,0)),0))-N(P1147)),0)))</f>
        <v/>
      </c>
      <c r="AX1147" s="61">
        <f>IF(C1147="","",IF(COUNTIF($C$5:C1147,C1147)=1,MAX($AX$4:AX1146)+1,""))</f>
        <v/>
      </c>
      <c r="AY1147" s="61">
        <f>IF(B1147="","",HOUR(B1147))</f>
        <v/>
      </c>
      <c r="AZ1147" s="61">
        <f>IF(A1147="","",MOD(A1147-2,7)+1)</f>
        <v/>
      </c>
      <c r="BA1147" s="60">
        <f>IF(C1147="","",IFERROR(INDEX('Prospects'!$N$5:$N$504,MATCH(C1147,'Prospects'!$C$5:$C$504,0)),""))</f>
        <v/>
      </c>
      <c r="BB1147" s="61">
        <f>IF(AND(C1147&lt;&gt;"",C1147='Fiche prospect'!$C$4),COUNTIF($C$5:C1147,C1147),"")</f>
        <v/>
      </c>
    </row>
    <row r="1148">
      <c r="A1148" s="53" t="n"/>
      <c r="B1148" s="54" t="n"/>
      <c r="C1148" s="55" t="n"/>
      <c r="D1148" s="55" t="n"/>
      <c r="E1148" s="55" t="n"/>
      <c r="F1148" s="55" t="n"/>
      <c r="G1148" s="56" t="n"/>
      <c r="H1148" s="57" t="n"/>
      <c r="I1148" s="55" t="n"/>
      <c r="J1148" s="53" t="n"/>
      <c r="K1148" s="54" t="n"/>
      <c r="L1148" s="55" t="n"/>
      <c r="M1148" s="55" t="n"/>
      <c r="N1148" s="57" t="n"/>
      <c r="O1148" s="55" t="n"/>
      <c r="P1148" s="56" t="n"/>
      <c r="Q1148" s="55" t="n"/>
      <c r="R1148" s="55" t="n"/>
      <c r="S1148" s="55" t="n"/>
      <c r="T1148" s="55" t="n"/>
      <c r="U1148" s="55" t="n"/>
      <c r="V1148" s="55" t="n"/>
      <c r="W1148" s="58" t="n"/>
      <c r="X1148" s="58" t="n"/>
      <c r="Y1148" s="55" t="n"/>
      <c r="Z1148" s="55" t="n"/>
      <c r="AA1148" s="55" t="n"/>
      <c r="AB1148" s="55" t="n"/>
      <c r="AC1148" s="55" t="n"/>
      <c r="AD1148" s="53" t="n"/>
      <c r="AE1148" s="55" t="n"/>
      <c r="AF1148" s="55" t="n"/>
      <c r="AG1148" s="59" t="n"/>
      <c r="AH1148" s="57" t="n"/>
      <c r="AI1148" s="55" t="n"/>
      <c r="AJ1148" s="55" t="n"/>
      <c r="AK1148" s="55" t="n"/>
      <c r="AL1148" s="55" t="n"/>
      <c r="AM1148" s="56" t="n"/>
      <c r="AN1148" s="55" t="n"/>
      <c r="AO1148" s="55" t="n"/>
      <c r="AP1148" s="55" t="n"/>
      <c r="AQ1148" s="55" t="n"/>
      <c r="AR1148" s="60">
        <f>IF(AND(C1148="",E1148=""),"",IF(A1148="","⚠ Date manquante",IF(AND(C1148="",E1148&lt;&gt;"Dépense"),"⚠ Prospect manquant",IF(E1148="","⚠ Action manquante",IF(AND(AU1148=1,D1148=""),"⚠ Canal manquant",IF(AND(W1148&lt;&gt;"",COUNTIFS('Saisie'!$W$5:$W$2004,W1148,'Saisie'!$C$5:$C$2004,"&lt;&gt;"&amp;C1148)&gt;0),"⚠ Numéro déjà utilisé par un autre prospect",IF(AND(J1148&lt;&gt;"",J1148&lt;A1148),"⚠ Relance avant la date de l'action",IF(A1148&gt;TODAY(),"⚠ Date dans le futur","✓"))))))))</f>
        <v/>
      </c>
      <c r="AS1148" s="61">
        <f>IF(AND(A1148="",C1148="",E1148=""),"",ROW())</f>
        <v/>
      </c>
      <c r="AT1148" s="61">
        <f>IF(E1148&amp;F1148="","",MAX(IFERROR(INDEX('Paramètres'!$J$6:$J$33,MATCH(E1148,'Paramètres'!$I$6:$I$33,0)),0),IFERROR(INDEX('Paramètres'!$N$6:$N$17,MATCH(F1148,'Paramètres'!$M$6:$M$17,0)),0)))</f>
        <v/>
      </c>
      <c r="AU1148" s="61">
        <f>IF(E1148="","",IFERROR(IF(INDEX('Paramètres'!$K$6:$K$33,MATCH(E1148,'Paramètres'!$I$6:$I$33,0))="Oui",1,0),0))</f>
        <v/>
      </c>
      <c r="AV1148" s="61">
        <f>IF(F1148="","",IFERROR(IF(INDEX('Paramètres'!$O$6:$O$17,MATCH(F1148,'Paramètres'!$M$6:$M$17,0))="Oui",1,0),0))</f>
        <v/>
      </c>
      <c r="AW1148" s="62">
        <f>IF(E1148="","",IF(G1148&lt;&gt;"",G1148,IF(OR(E1148="Proposition envoyée",E1148="Signature"),MAX(0,N(IFERROR(INDEX('Paramètres'!$R$6:$R$15,MATCH(IF(AL1148&lt;&gt;"",AL1148,IFERROR(INDEX('Prospects'!$AN$5:$AN$504,MATCH(C1148,'Prospects'!$C$5:$C$504,0)),"")),'Paramètres'!$Q$6:$Q$15,0)),0))-N(P1148)),0)))</f>
        <v/>
      </c>
      <c r="AX1148" s="61">
        <f>IF(C1148="","",IF(COUNTIF($C$5:C1148,C1148)=1,MAX($AX$4:AX1147)+1,""))</f>
        <v/>
      </c>
      <c r="AY1148" s="61">
        <f>IF(B1148="","",HOUR(B1148))</f>
        <v/>
      </c>
      <c r="AZ1148" s="61">
        <f>IF(A1148="","",MOD(A1148-2,7)+1)</f>
        <v/>
      </c>
      <c r="BA1148" s="60">
        <f>IF(C1148="","",IFERROR(INDEX('Prospects'!$N$5:$N$504,MATCH(C1148,'Prospects'!$C$5:$C$504,0)),""))</f>
        <v/>
      </c>
      <c r="BB1148" s="61">
        <f>IF(AND(C1148&lt;&gt;"",C1148='Fiche prospect'!$C$4),COUNTIF($C$5:C1148,C1148),"")</f>
        <v/>
      </c>
    </row>
    <row r="1149">
      <c r="A1149" s="53" t="n"/>
      <c r="B1149" s="54" t="n"/>
      <c r="C1149" s="55" t="n"/>
      <c r="D1149" s="55" t="n"/>
      <c r="E1149" s="55" t="n"/>
      <c r="F1149" s="55" t="n"/>
      <c r="G1149" s="56" t="n"/>
      <c r="H1149" s="57" t="n"/>
      <c r="I1149" s="55" t="n"/>
      <c r="J1149" s="53" t="n"/>
      <c r="K1149" s="54" t="n"/>
      <c r="L1149" s="55" t="n"/>
      <c r="M1149" s="55" t="n"/>
      <c r="N1149" s="57" t="n"/>
      <c r="O1149" s="55" t="n"/>
      <c r="P1149" s="56" t="n"/>
      <c r="Q1149" s="55" t="n"/>
      <c r="R1149" s="55" t="n"/>
      <c r="S1149" s="55" t="n"/>
      <c r="T1149" s="55" t="n"/>
      <c r="U1149" s="55" t="n"/>
      <c r="V1149" s="55" t="n"/>
      <c r="W1149" s="58" t="n"/>
      <c r="X1149" s="58" t="n"/>
      <c r="Y1149" s="55" t="n"/>
      <c r="Z1149" s="55" t="n"/>
      <c r="AA1149" s="55" t="n"/>
      <c r="AB1149" s="55" t="n"/>
      <c r="AC1149" s="55" t="n"/>
      <c r="AD1149" s="53" t="n"/>
      <c r="AE1149" s="55" t="n"/>
      <c r="AF1149" s="55" t="n"/>
      <c r="AG1149" s="59" t="n"/>
      <c r="AH1149" s="57" t="n"/>
      <c r="AI1149" s="55" t="n"/>
      <c r="AJ1149" s="55" t="n"/>
      <c r="AK1149" s="55" t="n"/>
      <c r="AL1149" s="55" t="n"/>
      <c r="AM1149" s="56" t="n"/>
      <c r="AN1149" s="55" t="n"/>
      <c r="AO1149" s="55" t="n"/>
      <c r="AP1149" s="55" t="n"/>
      <c r="AQ1149" s="55" t="n"/>
      <c r="AR1149" s="60">
        <f>IF(AND(C1149="",E1149=""),"",IF(A1149="","⚠ Date manquante",IF(AND(C1149="",E1149&lt;&gt;"Dépense"),"⚠ Prospect manquant",IF(E1149="","⚠ Action manquante",IF(AND(AU1149=1,D1149=""),"⚠ Canal manquant",IF(AND(W1149&lt;&gt;"",COUNTIFS('Saisie'!$W$5:$W$2004,W1149,'Saisie'!$C$5:$C$2004,"&lt;&gt;"&amp;C1149)&gt;0),"⚠ Numéro déjà utilisé par un autre prospect",IF(AND(J1149&lt;&gt;"",J1149&lt;A1149),"⚠ Relance avant la date de l'action",IF(A1149&gt;TODAY(),"⚠ Date dans le futur","✓"))))))))</f>
        <v/>
      </c>
      <c r="AS1149" s="61">
        <f>IF(AND(A1149="",C1149="",E1149=""),"",ROW())</f>
        <v/>
      </c>
      <c r="AT1149" s="61">
        <f>IF(E1149&amp;F1149="","",MAX(IFERROR(INDEX('Paramètres'!$J$6:$J$33,MATCH(E1149,'Paramètres'!$I$6:$I$33,0)),0),IFERROR(INDEX('Paramètres'!$N$6:$N$17,MATCH(F1149,'Paramètres'!$M$6:$M$17,0)),0)))</f>
        <v/>
      </c>
      <c r="AU1149" s="61">
        <f>IF(E1149="","",IFERROR(IF(INDEX('Paramètres'!$K$6:$K$33,MATCH(E1149,'Paramètres'!$I$6:$I$33,0))="Oui",1,0),0))</f>
        <v/>
      </c>
      <c r="AV1149" s="61">
        <f>IF(F1149="","",IFERROR(IF(INDEX('Paramètres'!$O$6:$O$17,MATCH(F1149,'Paramètres'!$M$6:$M$17,0))="Oui",1,0),0))</f>
        <v/>
      </c>
      <c r="AW1149" s="62">
        <f>IF(E1149="","",IF(G1149&lt;&gt;"",G1149,IF(OR(E1149="Proposition envoyée",E1149="Signature"),MAX(0,N(IFERROR(INDEX('Paramètres'!$R$6:$R$15,MATCH(IF(AL1149&lt;&gt;"",AL1149,IFERROR(INDEX('Prospects'!$AN$5:$AN$504,MATCH(C1149,'Prospects'!$C$5:$C$504,0)),"")),'Paramètres'!$Q$6:$Q$15,0)),0))-N(P1149)),0)))</f>
        <v/>
      </c>
      <c r="AX1149" s="61">
        <f>IF(C1149="","",IF(COUNTIF($C$5:C1149,C1149)=1,MAX($AX$4:AX1148)+1,""))</f>
        <v/>
      </c>
      <c r="AY1149" s="61">
        <f>IF(B1149="","",HOUR(B1149))</f>
        <v/>
      </c>
      <c r="AZ1149" s="61">
        <f>IF(A1149="","",MOD(A1149-2,7)+1)</f>
        <v/>
      </c>
      <c r="BA1149" s="60">
        <f>IF(C1149="","",IFERROR(INDEX('Prospects'!$N$5:$N$504,MATCH(C1149,'Prospects'!$C$5:$C$504,0)),""))</f>
        <v/>
      </c>
      <c r="BB1149" s="61">
        <f>IF(AND(C1149&lt;&gt;"",C1149='Fiche prospect'!$C$4),COUNTIF($C$5:C1149,C1149),"")</f>
        <v/>
      </c>
    </row>
    <row r="1150">
      <c r="A1150" s="53" t="n"/>
      <c r="B1150" s="54" t="n"/>
      <c r="C1150" s="55" t="n"/>
      <c r="D1150" s="55" t="n"/>
      <c r="E1150" s="55" t="n"/>
      <c r="F1150" s="55" t="n"/>
      <c r="G1150" s="56" t="n"/>
      <c r="H1150" s="57" t="n"/>
      <c r="I1150" s="55" t="n"/>
      <c r="J1150" s="53" t="n"/>
      <c r="K1150" s="54" t="n"/>
      <c r="L1150" s="55" t="n"/>
      <c r="M1150" s="55" t="n"/>
      <c r="N1150" s="57" t="n"/>
      <c r="O1150" s="55" t="n"/>
      <c r="P1150" s="56" t="n"/>
      <c r="Q1150" s="55" t="n"/>
      <c r="R1150" s="55" t="n"/>
      <c r="S1150" s="55" t="n"/>
      <c r="T1150" s="55" t="n"/>
      <c r="U1150" s="55" t="n"/>
      <c r="V1150" s="55" t="n"/>
      <c r="W1150" s="58" t="n"/>
      <c r="X1150" s="58" t="n"/>
      <c r="Y1150" s="55" t="n"/>
      <c r="Z1150" s="55" t="n"/>
      <c r="AA1150" s="55" t="n"/>
      <c r="AB1150" s="55" t="n"/>
      <c r="AC1150" s="55" t="n"/>
      <c r="AD1150" s="53" t="n"/>
      <c r="AE1150" s="55" t="n"/>
      <c r="AF1150" s="55" t="n"/>
      <c r="AG1150" s="59" t="n"/>
      <c r="AH1150" s="57" t="n"/>
      <c r="AI1150" s="55" t="n"/>
      <c r="AJ1150" s="55" t="n"/>
      <c r="AK1150" s="55" t="n"/>
      <c r="AL1150" s="55" t="n"/>
      <c r="AM1150" s="56" t="n"/>
      <c r="AN1150" s="55" t="n"/>
      <c r="AO1150" s="55" t="n"/>
      <c r="AP1150" s="55" t="n"/>
      <c r="AQ1150" s="55" t="n"/>
      <c r="AR1150" s="60">
        <f>IF(AND(C1150="",E1150=""),"",IF(A1150="","⚠ Date manquante",IF(AND(C1150="",E1150&lt;&gt;"Dépense"),"⚠ Prospect manquant",IF(E1150="","⚠ Action manquante",IF(AND(AU1150=1,D1150=""),"⚠ Canal manquant",IF(AND(W1150&lt;&gt;"",COUNTIFS('Saisie'!$W$5:$W$2004,W1150,'Saisie'!$C$5:$C$2004,"&lt;&gt;"&amp;C1150)&gt;0),"⚠ Numéro déjà utilisé par un autre prospect",IF(AND(J1150&lt;&gt;"",J1150&lt;A1150),"⚠ Relance avant la date de l'action",IF(A1150&gt;TODAY(),"⚠ Date dans le futur","✓"))))))))</f>
        <v/>
      </c>
      <c r="AS1150" s="61">
        <f>IF(AND(A1150="",C1150="",E1150=""),"",ROW())</f>
        <v/>
      </c>
      <c r="AT1150" s="61">
        <f>IF(E1150&amp;F1150="","",MAX(IFERROR(INDEX('Paramètres'!$J$6:$J$33,MATCH(E1150,'Paramètres'!$I$6:$I$33,0)),0),IFERROR(INDEX('Paramètres'!$N$6:$N$17,MATCH(F1150,'Paramètres'!$M$6:$M$17,0)),0)))</f>
        <v/>
      </c>
      <c r="AU1150" s="61">
        <f>IF(E1150="","",IFERROR(IF(INDEX('Paramètres'!$K$6:$K$33,MATCH(E1150,'Paramètres'!$I$6:$I$33,0))="Oui",1,0),0))</f>
        <v/>
      </c>
      <c r="AV1150" s="61">
        <f>IF(F1150="","",IFERROR(IF(INDEX('Paramètres'!$O$6:$O$17,MATCH(F1150,'Paramètres'!$M$6:$M$17,0))="Oui",1,0),0))</f>
        <v/>
      </c>
      <c r="AW1150" s="62">
        <f>IF(E1150="","",IF(G1150&lt;&gt;"",G1150,IF(OR(E1150="Proposition envoyée",E1150="Signature"),MAX(0,N(IFERROR(INDEX('Paramètres'!$R$6:$R$15,MATCH(IF(AL1150&lt;&gt;"",AL1150,IFERROR(INDEX('Prospects'!$AN$5:$AN$504,MATCH(C1150,'Prospects'!$C$5:$C$504,0)),"")),'Paramètres'!$Q$6:$Q$15,0)),0))-N(P1150)),0)))</f>
        <v/>
      </c>
      <c r="AX1150" s="61">
        <f>IF(C1150="","",IF(COUNTIF($C$5:C1150,C1150)=1,MAX($AX$4:AX1149)+1,""))</f>
        <v/>
      </c>
      <c r="AY1150" s="61">
        <f>IF(B1150="","",HOUR(B1150))</f>
        <v/>
      </c>
      <c r="AZ1150" s="61">
        <f>IF(A1150="","",MOD(A1150-2,7)+1)</f>
        <v/>
      </c>
      <c r="BA1150" s="60">
        <f>IF(C1150="","",IFERROR(INDEX('Prospects'!$N$5:$N$504,MATCH(C1150,'Prospects'!$C$5:$C$504,0)),""))</f>
        <v/>
      </c>
      <c r="BB1150" s="61">
        <f>IF(AND(C1150&lt;&gt;"",C1150='Fiche prospect'!$C$4),COUNTIF($C$5:C1150,C1150),"")</f>
        <v/>
      </c>
    </row>
    <row r="1151">
      <c r="A1151" s="53" t="n"/>
      <c r="B1151" s="54" t="n"/>
      <c r="C1151" s="55" t="n"/>
      <c r="D1151" s="55" t="n"/>
      <c r="E1151" s="55" t="n"/>
      <c r="F1151" s="55" t="n"/>
      <c r="G1151" s="56" t="n"/>
      <c r="H1151" s="57" t="n"/>
      <c r="I1151" s="55" t="n"/>
      <c r="J1151" s="53" t="n"/>
      <c r="K1151" s="54" t="n"/>
      <c r="L1151" s="55" t="n"/>
      <c r="M1151" s="55" t="n"/>
      <c r="N1151" s="57" t="n"/>
      <c r="O1151" s="55" t="n"/>
      <c r="P1151" s="56" t="n"/>
      <c r="Q1151" s="55" t="n"/>
      <c r="R1151" s="55" t="n"/>
      <c r="S1151" s="55" t="n"/>
      <c r="T1151" s="55" t="n"/>
      <c r="U1151" s="55" t="n"/>
      <c r="V1151" s="55" t="n"/>
      <c r="W1151" s="58" t="n"/>
      <c r="X1151" s="58" t="n"/>
      <c r="Y1151" s="55" t="n"/>
      <c r="Z1151" s="55" t="n"/>
      <c r="AA1151" s="55" t="n"/>
      <c r="AB1151" s="55" t="n"/>
      <c r="AC1151" s="55" t="n"/>
      <c r="AD1151" s="53" t="n"/>
      <c r="AE1151" s="55" t="n"/>
      <c r="AF1151" s="55" t="n"/>
      <c r="AG1151" s="59" t="n"/>
      <c r="AH1151" s="57" t="n"/>
      <c r="AI1151" s="55" t="n"/>
      <c r="AJ1151" s="55" t="n"/>
      <c r="AK1151" s="55" t="n"/>
      <c r="AL1151" s="55" t="n"/>
      <c r="AM1151" s="56" t="n"/>
      <c r="AN1151" s="55" t="n"/>
      <c r="AO1151" s="55" t="n"/>
      <c r="AP1151" s="55" t="n"/>
      <c r="AQ1151" s="55" t="n"/>
      <c r="AR1151" s="60">
        <f>IF(AND(C1151="",E1151=""),"",IF(A1151="","⚠ Date manquante",IF(AND(C1151="",E1151&lt;&gt;"Dépense"),"⚠ Prospect manquant",IF(E1151="","⚠ Action manquante",IF(AND(AU1151=1,D1151=""),"⚠ Canal manquant",IF(AND(W1151&lt;&gt;"",COUNTIFS('Saisie'!$W$5:$W$2004,W1151,'Saisie'!$C$5:$C$2004,"&lt;&gt;"&amp;C1151)&gt;0),"⚠ Numéro déjà utilisé par un autre prospect",IF(AND(J1151&lt;&gt;"",J1151&lt;A1151),"⚠ Relance avant la date de l'action",IF(A1151&gt;TODAY(),"⚠ Date dans le futur","✓"))))))))</f>
        <v/>
      </c>
      <c r="AS1151" s="61">
        <f>IF(AND(A1151="",C1151="",E1151=""),"",ROW())</f>
        <v/>
      </c>
      <c r="AT1151" s="61">
        <f>IF(E1151&amp;F1151="","",MAX(IFERROR(INDEX('Paramètres'!$J$6:$J$33,MATCH(E1151,'Paramètres'!$I$6:$I$33,0)),0),IFERROR(INDEX('Paramètres'!$N$6:$N$17,MATCH(F1151,'Paramètres'!$M$6:$M$17,0)),0)))</f>
        <v/>
      </c>
      <c r="AU1151" s="61">
        <f>IF(E1151="","",IFERROR(IF(INDEX('Paramètres'!$K$6:$K$33,MATCH(E1151,'Paramètres'!$I$6:$I$33,0))="Oui",1,0),0))</f>
        <v/>
      </c>
      <c r="AV1151" s="61">
        <f>IF(F1151="","",IFERROR(IF(INDEX('Paramètres'!$O$6:$O$17,MATCH(F1151,'Paramètres'!$M$6:$M$17,0))="Oui",1,0),0))</f>
        <v/>
      </c>
      <c r="AW1151" s="62">
        <f>IF(E1151="","",IF(G1151&lt;&gt;"",G1151,IF(OR(E1151="Proposition envoyée",E1151="Signature"),MAX(0,N(IFERROR(INDEX('Paramètres'!$R$6:$R$15,MATCH(IF(AL1151&lt;&gt;"",AL1151,IFERROR(INDEX('Prospects'!$AN$5:$AN$504,MATCH(C1151,'Prospects'!$C$5:$C$504,0)),"")),'Paramètres'!$Q$6:$Q$15,0)),0))-N(P1151)),0)))</f>
        <v/>
      </c>
      <c r="AX1151" s="61">
        <f>IF(C1151="","",IF(COUNTIF($C$5:C1151,C1151)=1,MAX($AX$4:AX1150)+1,""))</f>
        <v/>
      </c>
      <c r="AY1151" s="61">
        <f>IF(B1151="","",HOUR(B1151))</f>
        <v/>
      </c>
      <c r="AZ1151" s="61">
        <f>IF(A1151="","",MOD(A1151-2,7)+1)</f>
        <v/>
      </c>
      <c r="BA1151" s="60">
        <f>IF(C1151="","",IFERROR(INDEX('Prospects'!$N$5:$N$504,MATCH(C1151,'Prospects'!$C$5:$C$504,0)),""))</f>
        <v/>
      </c>
      <c r="BB1151" s="61">
        <f>IF(AND(C1151&lt;&gt;"",C1151='Fiche prospect'!$C$4),COUNTIF($C$5:C1151,C1151),"")</f>
        <v/>
      </c>
    </row>
    <row r="1152">
      <c r="A1152" s="53" t="n"/>
      <c r="B1152" s="54" t="n"/>
      <c r="C1152" s="55" t="n"/>
      <c r="D1152" s="55" t="n"/>
      <c r="E1152" s="55" t="n"/>
      <c r="F1152" s="55" t="n"/>
      <c r="G1152" s="56" t="n"/>
      <c r="H1152" s="57" t="n"/>
      <c r="I1152" s="55" t="n"/>
      <c r="J1152" s="53" t="n"/>
      <c r="K1152" s="54" t="n"/>
      <c r="L1152" s="55" t="n"/>
      <c r="M1152" s="55" t="n"/>
      <c r="N1152" s="57" t="n"/>
      <c r="O1152" s="55" t="n"/>
      <c r="P1152" s="56" t="n"/>
      <c r="Q1152" s="55" t="n"/>
      <c r="R1152" s="55" t="n"/>
      <c r="S1152" s="55" t="n"/>
      <c r="T1152" s="55" t="n"/>
      <c r="U1152" s="55" t="n"/>
      <c r="V1152" s="55" t="n"/>
      <c r="W1152" s="58" t="n"/>
      <c r="X1152" s="58" t="n"/>
      <c r="Y1152" s="55" t="n"/>
      <c r="Z1152" s="55" t="n"/>
      <c r="AA1152" s="55" t="n"/>
      <c r="AB1152" s="55" t="n"/>
      <c r="AC1152" s="55" t="n"/>
      <c r="AD1152" s="53" t="n"/>
      <c r="AE1152" s="55" t="n"/>
      <c r="AF1152" s="55" t="n"/>
      <c r="AG1152" s="59" t="n"/>
      <c r="AH1152" s="57" t="n"/>
      <c r="AI1152" s="55" t="n"/>
      <c r="AJ1152" s="55" t="n"/>
      <c r="AK1152" s="55" t="n"/>
      <c r="AL1152" s="55" t="n"/>
      <c r="AM1152" s="56" t="n"/>
      <c r="AN1152" s="55" t="n"/>
      <c r="AO1152" s="55" t="n"/>
      <c r="AP1152" s="55" t="n"/>
      <c r="AQ1152" s="55" t="n"/>
      <c r="AR1152" s="60">
        <f>IF(AND(C1152="",E1152=""),"",IF(A1152="","⚠ Date manquante",IF(AND(C1152="",E1152&lt;&gt;"Dépense"),"⚠ Prospect manquant",IF(E1152="","⚠ Action manquante",IF(AND(AU1152=1,D1152=""),"⚠ Canal manquant",IF(AND(W1152&lt;&gt;"",COUNTIFS('Saisie'!$W$5:$W$2004,W1152,'Saisie'!$C$5:$C$2004,"&lt;&gt;"&amp;C1152)&gt;0),"⚠ Numéro déjà utilisé par un autre prospect",IF(AND(J1152&lt;&gt;"",J1152&lt;A1152),"⚠ Relance avant la date de l'action",IF(A1152&gt;TODAY(),"⚠ Date dans le futur","✓"))))))))</f>
        <v/>
      </c>
      <c r="AS1152" s="61">
        <f>IF(AND(A1152="",C1152="",E1152=""),"",ROW())</f>
        <v/>
      </c>
      <c r="AT1152" s="61">
        <f>IF(E1152&amp;F1152="","",MAX(IFERROR(INDEX('Paramètres'!$J$6:$J$33,MATCH(E1152,'Paramètres'!$I$6:$I$33,0)),0),IFERROR(INDEX('Paramètres'!$N$6:$N$17,MATCH(F1152,'Paramètres'!$M$6:$M$17,0)),0)))</f>
        <v/>
      </c>
      <c r="AU1152" s="61">
        <f>IF(E1152="","",IFERROR(IF(INDEX('Paramètres'!$K$6:$K$33,MATCH(E1152,'Paramètres'!$I$6:$I$33,0))="Oui",1,0),0))</f>
        <v/>
      </c>
      <c r="AV1152" s="61">
        <f>IF(F1152="","",IFERROR(IF(INDEX('Paramètres'!$O$6:$O$17,MATCH(F1152,'Paramètres'!$M$6:$M$17,0))="Oui",1,0),0))</f>
        <v/>
      </c>
      <c r="AW1152" s="62">
        <f>IF(E1152="","",IF(G1152&lt;&gt;"",G1152,IF(OR(E1152="Proposition envoyée",E1152="Signature"),MAX(0,N(IFERROR(INDEX('Paramètres'!$R$6:$R$15,MATCH(IF(AL1152&lt;&gt;"",AL1152,IFERROR(INDEX('Prospects'!$AN$5:$AN$504,MATCH(C1152,'Prospects'!$C$5:$C$504,0)),"")),'Paramètres'!$Q$6:$Q$15,0)),0))-N(P1152)),0)))</f>
        <v/>
      </c>
      <c r="AX1152" s="61">
        <f>IF(C1152="","",IF(COUNTIF($C$5:C1152,C1152)=1,MAX($AX$4:AX1151)+1,""))</f>
        <v/>
      </c>
      <c r="AY1152" s="61">
        <f>IF(B1152="","",HOUR(B1152))</f>
        <v/>
      </c>
      <c r="AZ1152" s="61">
        <f>IF(A1152="","",MOD(A1152-2,7)+1)</f>
        <v/>
      </c>
      <c r="BA1152" s="60">
        <f>IF(C1152="","",IFERROR(INDEX('Prospects'!$N$5:$N$504,MATCH(C1152,'Prospects'!$C$5:$C$504,0)),""))</f>
        <v/>
      </c>
      <c r="BB1152" s="61">
        <f>IF(AND(C1152&lt;&gt;"",C1152='Fiche prospect'!$C$4),COUNTIF($C$5:C1152,C1152),"")</f>
        <v/>
      </c>
    </row>
    <row r="1153">
      <c r="A1153" s="53" t="n"/>
      <c r="B1153" s="54" t="n"/>
      <c r="C1153" s="55" t="n"/>
      <c r="D1153" s="55" t="n"/>
      <c r="E1153" s="55" t="n"/>
      <c r="F1153" s="55" t="n"/>
      <c r="G1153" s="56" t="n"/>
      <c r="H1153" s="57" t="n"/>
      <c r="I1153" s="55" t="n"/>
      <c r="J1153" s="53" t="n"/>
      <c r="K1153" s="54" t="n"/>
      <c r="L1153" s="55" t="n"/>
      <c r="M1153" s="55" t="n"/>
      <c r="N1153" s="57" t="n"/>
      <c r="O1153" s="55" t="n"/>
      <c r="P1153" s="56" t="n"/>
      <c r="Q1153" s="55" t="n"/>
      <c r="R1153" s="55" t="n"/>
      <c r="S1153" s="55" t="n"/>
      <c r="T1153" s="55" t="n"/>
      <c r="U1153" s="55" t="n"/>
      <c r="V1153" s="55" t="n"/>
      <c r="W1153" s="58" t="n"/>
      <c r="X1153" s="58" t="n"/>
      <c r="Y1153" s="55" t="n"/>
      <c r="Z1153" s="55" t="n"/>
      <c r="AA1153" s="55" t="n"/>
      <c r="AB1153" s="55" t="n"/>
      <c r="AC1153" s="55" t="n"/>
      <c r="AD1153" s="53" t="n"/>
      <c r="AE1153" s="55" t="n"/>
      <c r="AF1153" s="55" t="n"/>
      <c r="AG1153" s="59" t="n"/>
      <c r="AH1153" s="57" t="n"/>
      <c r="AI1153" s="55" t="n"/>
      <c r="AJ1153" s="55" t="n"/>
      <c r="AK1153" s="55" t="n"/>
      <c r="AL1153" s="55" t="n"/>
      <c r="AM1153" s="56" t="n"/>
      <c r="AN1153" s="55" t="n"/>
      <c r="AO1153" s="55" t="n"/>
      <c r="AP1153" s="55" t="n"/>
      <c r="AQ1153" s="55" t="n"/>
      <c r="AR1153" s="60">
        <f>IF(AND(C1153="",E1153=""),"",IF(A1153="","⚠ Date manquante",IF(AND(C1153="",E1153&lt;&gt;"Dépense"),"⚠ Prospect manquant",IF(E1153="","⚠ Action manquante",IF(AND(AU1153=1,D1153=""),"⚠ Canal manquant",IF(AND(W1153&lt;&gt;"",COUNTIFS('Saisie'!$W$5:$W$2004,W1153,'Saisie'!$C$5:$C$2004,"&lt;&gt;"&amp;C1153)&gt;0),"⚠ Numéro déjà utilisé par un autre prospect",IF(AND(J1153&lt;&gt;"",J1153&lt;A1153),"⚠ Relance avant la date de l'action",IF(A1153&gt;TODAY(),"⚠ Date dans le futur","✓"))))))))</f>
        <v/>
      </c>
      <c r="AS1153" s="61">
        <f>IF(AND(A1153="",C1153="",E1153=""),"",ROW())</f>
        <v/>
      </c>
      <c r="AT1153" s="61">
        <f>IF(E1153&amp;F1153="","",MAX(IFERROR(INDEX('Paramètres'!$J$6:$J$33,MATCH(E1153,'Paramètres'!$I$6:$I$33,0)),0),IFERROR(INDEX('Paramètres'!$N$6:$N$17,MATCH(F1153,'Paramètres'!$M$6:$M$17,0)),0)))</f>
        <v/>
      </c>
      <c r="AU1153" s="61">
        <f>IF(E1153="","",IFERROR(IF(INDEX('Paramètres'!$K$6:$K$33,MATCH(E1153,'Paramètres'!$I$6:$I$33,0))="Oui",1,0),0))</f>
        <v/>
      </c>
      <c r="AV1153" s="61">
        <f>IF(F1153="","",IFERROR(IF(INDEX('Paramètres'!$O$6:$O$17,MATCH(F1153,'Paramètres'!$M$6:$M$17,0))="Oui",1,0),0))</f>
        <v/>
      </c>
      <c r="AW1153" s="62">
        <f>IF(E1153="","",IF(G1153&lt;&gt;"",G1153,IF(OR(E1153="Proposition envoyée",E1153="Signature"),MAX(0,N(IFERROR(INDEX('Paramètres'!$R$6:$R$15,MATCH(IF(AL1153&lt;&gt;"",AL1153,IFERROR(INDEX('Prospects'!$AN$5:$AN$504,MATCH(C1153,'Prospects'!$C$5:$C$504,0)),"")),'Paramètres'!$Q$6:$Q$15,0)),0))-N(P1153)),0)))</f>
        <v/>
      </c>
      <c r="AX1153" s="61">
        <f>IF(C1153="","",IF(COUNTIF($C$5:C1153,C1153)=1,MAX($AX$4:AX1152)+1,""))</f>
        <v/>
      </c>
      <c r="AY1153" s="61">
        <f>IF(B1153="","",HOUR(B1153))</f>
        <v/>
      </c>
      <c r="AZ1153" s="61">
        <f>IF(A1153="","",MOD(A1153-2,7)+1)</f>
        <v/>
      </c>
      <c r="BA1153" s="60">
        <f>IF(C1153="","",IFERROR(INDEX('Prospects'!$N$5:$N$504,MATCH(C1153,'Prospects'!$C$5:$C$504,0)),""))</f>
        <v/>
      </c>
      <c r="BB1153" s="61">
        <f>IF(AND(C1153&lt;&gt;"",C1153='Fiche prospect'!$C$4),COUNTIF($C$5:C1153,C1153),"")</f>
        <v/>
      </c>
    </row>
    <row r="1154">
      <c r="A1154" s="53" t="n"/>
      <c r="B1154" s="54" t="n"/>
      <c r="C1154" s="55" t="n"/>
      <c r="D1154" s="55" t="n"/>
      <c r="E1154" s="55" t="n"/>
      <c r="F1154" s="55" t="n"/>
      <c r="G1154" s="56" t="n"/>
      <c r="H1154" s="57" t="n"/>
      <c r="I1154" s="55" t="n"/>
      <c r="J1154" s="53" t="n"/>
      <c r="K1154" s="54" t="n"/>
      <c r="L1154" s="55" t="n"/>
      <c r="M1154" s="55" t="n"/>
      <c r="N1154" s="57" t="n"/>
      <c r="O1154" s="55" t="n"/>
      <c r="P1154" s="56" t="n"/>
      <c r="Q1154" s="55" t="n"/>
      <c r="R1154" s="55" t="n"/>
      <c r="S1154" s="55" t="n"/>
      <c r="T1154" s="55" t="n"/>
      <c r="U1154" s="55" t="n"/>
      <c r="V1154" s="55" t="n"/>
      <c r="W1154" s="58" t="n"/>
      <c r="X1154" s="58" t="n"/>
      <c r="Y1154" s="55" t="n"/>
      <c r="Z1154" s="55" t="n"/>
      <c r="AA1154" s="55" t="n"/>
      <c r="AB1154" s="55" t="n"/>
      <c r="AC1154" s="55" t="n"/>
      <c r="AD1154" s="53" t="n"/>
      <c r="AE1154" s="55" t="n"/>
      <c r="AF1154" s="55" t="n"/>
      <c r="AG1154" s="59" t="n"/>
      <c r="AH1154" s="57" t="n"/>
      <c r="AI1154" s="55" t="n"/>
      <c r="AJ1154" s="55" t="n"/>
      <c r="AK1154" s="55" t="n"/>
      <c r="AL1154" s="55" t="n"/>
      <c r="AM1154" s="56" t="n"/>
      <c r="AN1154" s="55" t="n"/>
      <c r="AO1154" s="55" t="n"/>
      <c r="AP1154" s="55" t="n"/>
      <c r="AQ1154" s="55" t="n"/>
      <c r="AR1154" s="60">
        <f>IF(AND(C1154="",E1154=""),"",IF(A1154="","⚠ Date manquante",IF(AND(C1154="",E1154&lt;&gt;"Dépense"),"⚠ Prospect manquant",IF(E1154="","⚠ Action manquante",IF(AND(AU1154=1,D1154=""),"⚠ Canal manquant",IF(AND(W1154&lt;&gt;"",COUNTIFS('Saisie'!$W$5:$W$2004,W1154,'Saisie'!$C$5:$C$2004,"&lt;&gt;"&amp;C1154)&gt;0),"⚠ Numéro déjà utilisé par un autre prospect",IF(AND(J1154&lt;&gt;"",J1154&lt;A1154),"⚠ Relance avant la date de l'action",IF(A1154&gt;TODAY(),"⚠ Date dans le futur","✓"))))))))</f>
        <v/>
      </c>
      <c r="AS1154" s="61">
        <f>IF(AND(A1154="",C1154="",E1154=""),"",ROW())</f>
        <v/>
      </c>
      <c r="AT1154" s="61">
        <f>IF(E1154&amp;F1154="","",MAX(IFERROR(INDEX('Paramètres'!$J$6:$J$33,MATCH(E1154,'Paramètres'!$I$6:$I$33,0)),0),IFERROR(INDEX('Paramètres'!$N$6:$N$17,MATCH(F1154,'Paramètres'!$M$6:$M$17,0)),0)))</f>
        <v/>
      </c>
      <c r="AU1154" s="61">
        <f>IF(E1154="","",IFERROR(IF(INDEX('Paramètres'!$K$6:$K$33,MATCH(E1154,'Paramètres'!$I$6:$I$33,0))="Oui",1,0),0))</f>
        <v/>
      </c>
      <c r="AV1154" s="61">
        <f>IF(F1154="","",IFERROR(IF(INDEX('Paramètres'!$O$6:$O$17,MATCH(F1154,'Paramètres'!$M$6:$M$17,0))="Oui",1,0),0))</f>
        <v/>
      </c>
      <c r="AW1154" s="62">
        <f>IF(E1154="","",IF(G1154&lt;&gt;"",G1154,IF(OR(E1154="Proposition envoyée",E1154="Signature"),MAX(0,N(IFERROR(INDEX('Paramètres'!$R$6:$R$15,MATCH(IF(AL1154&lt;&gt;"",AL1154,IFERROR(INDEX('Prospects'!$AN$5:$AN$504,MATCH(C1154,'Prospects'!$C$5:$C$504,0)),"")),'Paramètres'!$Q$6:$Q$15,0)),0))-N(P1154)),0)))</f>
        <v/>
      </c>
      <c r="AX1154" s="61">
        <f>IF(C1154="","",IF(COUNTIF($C$5:C1154,C1154)=1,MAX($AX$4:AX1153)+1,""))</f>
        <v/>
      </c>
      <c r="AY1154" s="61">
        <f>IF(B1154="","",HOUR(B1154))</f>
        <v/>
      </c>
      <c r="AZ1154" s="61">
        <f>IF(A1154="","",MOD(A1154-2,7)+1)</f>
        <v/>
      </c>
      <c r="BA1154" s="60">
        <f>IF(C1154="","",IFERROR(INDEX('Prospects'!$N$5:$N$504,MATCH(C1154,'Prospects'!$C$5:$C$504,0)),""))</f>
        <v/>
      </c>
      <c r="BB1154" s="61">
        <f>IF(AND(C1154&lt;&gt;"",C1154='Fiche prospect'!$C$4),COUNTIF($C$5:C1154,C1154),"")</f>
        <v/>
      </c>
    </row>
    <row r="1155">
      <c r="A1155" s="53" t="n"/>
      <c r="B1155" s="54" t="n"/>
      <c r="C1155" s="55" t="n"/>
      <c r="D1155" s="55" t="n"/>
      <c r="E1155" s="55" t="n"/>
      <c r="F1155" s="55" t="n"/>
      <c r="G1155" s="56" t="n"/>
      <c r="H1155" s="57" t="n"/>
      <c r="I1155" s="55" t="n"/>
      <c r="J1155" s="53" t="n"/>
      <c r="K1155" s="54" t="n"/>
      <c r="L1155" s="55" t="n"/>
      <c r="M1155" s="55" t="n"/>
      <c r="N1155" s="57" t="n"/>
      <c r="O1155" s="55" t="n"/>
      <c r="P1155" s="56" t="n"/>
      <c r="Q1155" s="55" t="n"/>
      <c r="R1155" s="55" t="n"/>
      <c r="S1155" s="55" t="n"/>
      <c r="T1155" s="55" t="n"/>
      <c r="U1155" s="55" t="n"/>
      <c r="V1155" s="55" t="n"/>
      <c r="W1155" s="58" t="n"/>
      <c r="X1155" s="58" t="n"/>
      <c r="Y1155" s="55" t="n"/>
      <c r="Z1155" s="55" t="n"/>
      <c r="AA1155" s="55" t="n"/>
      <c r="AB1155" s="55" t="n"/>
      <c r="AC1155" s="55" t="n"/>
      <c r="AD1155" s="53" t="n"/>
      <c r="AE1155" s="55" t="n"/>
      <c r="AF1155" s="55" t="n"/>
      <c r="AG1155" s="59" t="n"/>
      <c r="AH1155" s="57" t="n"/>
      <c r="AI1155" s="55" t="n"/>
      <c r="AJ1155" s="55" t="n"/>
      <c r="AK1155" s="55" t="n"/>
      <c r="AL1155" s="55" t="n"/>
      <c r="AM1155" s="56" t="n"/>
      <c r="AN1155" s="55" t="n"/>
      <c r="AO1155" s="55" t="n"/>
      <c r="AP1155" s="55" t="n"/>
      <c r="AQ1155" s="55" t="n"/>
      <c r="AR1155" s="60">
        <f>IF(AND(C1155="",E1155=""),"",IF(A1155="","⚠ Date manquante",IF(AND(C1155="",E1155&lt;&gt;"Dépense"),"⚠ Prospect manquant",IF(E1155="","⚠ Action manquante",IF(AND(AU1155=1,D1155=""),"⚠ Canal manquant",IF(AND(W1155&lt;&gt;"",COUNTIFS('Saisie'!$W$5:$W$2004,W1155,'Saisie'!$C$5:$C$2004,"&lt;&gt;"&amp;C1155)&gt;0),"⚠ Numéro déjà utilisé par un autre prospect",IF(AND(J1155&lt;&gt;"",J1155&lt;A1155),"⚠ Relance avant la date de l'action",IF(A1155&gt;TODAY(),"⚠ Date dans le futur","✓"))))))))</f>
        <v/>
      </c>
      <c r="AS1155" s="61">
        <f>IF(AND(A1155="",C1155="",E1155=""),"",ROW())</f>
        <v/>
      </c>
      <c r="AT1155" s="61">
        <f>IF(E1155&amp;F1155="","",MAX(IFERROR(INDEX('Paramètres'!$J$6:$J$33,MATCH(E1155,'Paramètres'!$I$6:$I$33,0)),0),IFERROR(INDEX('Paramètres'!$N$6:$N$17,MATCH(F1155,'Paramètres'!$M$6:$M$17,0)),0)))</f>
        <v/>
      </c>
      <c r="AU1155" s="61">
        <f>IF(E1155="","",IFERROR(IF(INDEX('Paramètres'!$K$6:$K$33,MATCH(E1155,'Paramètres'!$I$6:$I$33,0))="Oui",1,0),0))</f>
        <v/>
      </c>
      <c r="AV1155" s="61">
        <f>IF(F1155="","",IFERROR(IF(INDEX('Paramètres'!$O$6:$O$17,MATCH(F1155,'Paramètres'!$M$6:$M$17,0))="Oui",1,0),0))</f>
        <v/>
      </c>
      <c r="AW1155" s="62">
        <f>IF(E1155="","",IF(G1155&lt;&gt;"",G1155,IF(OR(E1155="Proposition envoyée",E1155="Signature"),MAX(0,N(IFERROR(INDEX('Paramètres'!$R$6:$R$15,MATCH(IF(AL1155&lt;&gt;"",AL1155,IFERROR(INDEX('Prospects'!$AN$5:$AN$504,MATCH(C1155,'Prospects'!$C$5:$C$504,0)),"")),'Paramètres'!$Q$6:$Q$15,0)),0))-N(P1155)),0)))</f>
        <v/>
      </c>
      <c r="AX1155" s="61">
        <f>IF(C1155="","",IF(COUNTIF($C$5:C1155,C1155)=1,MAX($AX$4:AX1154)+1,""))</f>
        <v/>
      </c>
      <c r="AY1155" s="61">
        <f>IF(B1155="","",HOUR(B1155))</f>
        <v/>
      </c>
      <c r="AZ1155" s="61">
        <f>IF(A1155="","",MOD(A1155-2,7)+1)</f>
        <v/>
      </c>
      <c r="BA1155" s="60">
        <f>IF(C1155="","",IFERROR(INDEX('Prospects'!$N$5:$N$504,MATCH(C1155,'Prospects'!$C$5:$C$504,0)),""))</f>
        <v/>
      </c>
      <c r="BB1155" s="61">
        <f>IF(AND(C1155&lt;&gt;"",C1155='Fiche prospect'!$C$4),COUNTIF($C$5:C1155,C1155),"")</f>
        <v/>
      </c>
    </row>
    <row r="1156">
      <c r="A1156" s="53" t="n"/>
      <c r="B1156" s="54" t="n"/>
      <c r="C1156" s="55" t="n"/>
      <c r="D1156" s="55" t="n"/>
      <c r="E1156" s="55" t="n"/>
      <c r="F1156" s="55" t="n"/>
      <c r="G1156" s="56" t="n"/>
      <c r="H1156" s="57" t="n"/>
      <c r="I1156" s="55" t="n"/>
      <c r="J1156" s="53" t="n"/>
      <c r="K1156" s="54" t="n"/>
      <c r="L1156" s="55" t="n"/>
      <c r="M1156" s="55" t="n"/>
      <c r="N1156" s="57" t="n"/>
      <c r="O1156" s="55" t="n"/>
      <c r="P1156" s="56" t="n"/>
      <c r="Q1156" s="55" t="n"/>
      <c r="R1156" s="55" t="n"/>
      <c r="S1156" s="55" t="n"/>
      <c r="T1156" s="55" t="n"/>
      <c r="U1156" s="55" t="n"/>
      <c r="V1156" s="55" t="n"/>
      <c r="W1156" s="58" t="n"/>
      <c r="X1156" s="58" t="n"/>
      <c r="Y1156" s="55" t="n"/>
      <c r="Z1156" s="55" t="n"/>
      <c r="AA1156" s="55" t="n"/>
      <c r="AB1156" s="55" t="n"/>
      <c r="AC1156" s="55" t="n"/>
      <c r="AD1156" s="53" t="n"/>
      <c r="AE1156" s="55" t="n"/>
      <c r="AF1156" s="55" t="n"/>
      <c r="AG1156" s="59" t="n"/>
      <c r="AH1156" s="57" t="n"/>
      <c r="AI1156" s="55" t="n"/>
      <c r="AJ1156" s="55" t="n"/>
      <c r="AK1156" s="55" t="n"/>
      <c r="AL1156" s="55" t="n"/>
      <c r="AM1156" s="56" t="n"/>
      <c r="AN1156" s="55" t="n"/>
      <c r="AO1156" s="55" t="n"/>
      <c r="AP1156" s="55" t="n"/>
      <c r="AQ1156" s="55" t="n"/>
      <c r="AR1156" s="60">
        <f>IF(AND(C1156="",E1156=""),"",IF(A1156="","⚠ Date manquante",IF(AND(C1156="",E1156&lt;&gt;"Dépense"),"⚠ Prospect manquant",IF(E1156="","⚠ Action manquante",IF(AND(AU1156=1,D1156=""),"⚠ Canal manquant",IF(AND(W1156&lt;&gt;"",COUNTIFS('Saisie'!$W$5:$W$2004,W1156,'Saisie'!$C$5:$C$2004,"&lt;&gt;"&amp;C1156)&gt;0),"⚠ Numéro déjà utilisé par un autre prospect",IF(AND(J1156&lt;&gt;"",J1156&lt;A1156),"⚠ Relance avant la date de l'action",IF(A1156&gt;TODAY(),"⚠ Date dans le futur","✓"))))))))</f>
        <v/>
      </c>
      <c r="AS1156" s="61">
        <f>IF(AND(A1156="",C1156="",E1156=""),"",ROW())</f>
        <v/>
      </c>
      <c r="AT1156" s="61">
        <f>IF(E1156&amp;F1156="","",MAX(IFERROR(INDEX('Paramètres'!$J$6:$J$33,MATCH(E1156,'Paramètres'!$I$6:$I$33,0)),0),IFERROR(INDEX('Paramètres'!$N$6:$N$17,MATCH(F1156,'Paramètres'!$M$6:$M$17,0)),0)))</f>
        <v/>
      </c>
      <c r="AU1156" s="61">
        <f>IF(E1156="","",IFERROR(IF(INDEX('Paramètres'!$K$6:$K$33,MATCH(E1156,'Paramètres'!$I$6:$I$33,0))="Oui",1,0),0))</f>
        <v/>
      </c>
      <c r="AV1156" s="61">
        <f>IF(F1156="","",IFERROR(IF(INDEX('Paramètres'!$O$6:$O$17,MATCH(F1156,'Paramètres'!$M$6:$M$17,0))="Oui",1,0),0))</f>
        <v/>
      </c>
      <c r="AW1156" s="62">
        <f>IF(E1156="","",IF(G1156&lt;&gt;"",G1156,IF(OR(E1156="Proposition envoyée",E1156="Signature"),MAX(0,N(IFERROR(INDEX('Paramètres'!$R$6:$R$15,MATCH(IF(AL1156&lt;&gt;"",AL1156,IFERROR(INDEX('Prospects'!$AN$5:$AN$504,MATCH(C1156,'Prospects'!$C$5:$C$504,0)),"")),'Paramètres'!$Q$6:$Q$15,0)),0))-N(P1156)),0)))</f>
        <v/>
      </c>
      <c r="AX1156" s="61">
        <f>IF(C1156="","",IF(COUNTIF($C$5:C1156,C1156)=1,MAX($AX$4:AX1155)+1,""))</f>
        <v/>
      </c>
      <c r="AY1156" s="61">
        <f>IF(B1156="","",HOUR(B1156))</f>
        <v/>
      </c>
      <c r="AZ1156" s="61">
        <f>IF(A1156="","",MOD(A1156-2,7)+1)</f>
        <v/>
      </c>
      <c r="BA1156" s="60">
        <f>IF(C1156="","",IFERROR(INDEX('Prospects'!$N$5:$N$504,MATCH(C1156,'Prospects'!$C$5:$C$504,0)),""))</f>
        <v/>
      </c>
      <c r="BB1156" s="61">
        <f>IF(AND(C1156&lt;&gt;"",C1156='Fiche prospect'!$C$4),COUNTIF($C$5:C1156,C1156),"")</f>
        <v/>
      </c>
    </row>
    <row r="1157">
      <c r="A1157" s="53" t="n"/>
      <c r="B1157" s="54" t="n"/>
      <c r="C1157" s="55" t="n"/>
      <c r="D1157" s="55" t="n"/>
      <c r="E1157" s="55" t="n"/>
      <c r="F1157" s="55" t="n"/>
      <c r="G1157" s="56" t="n"/>
      <c r="H1157" s="57" t="n"/>
      <c r="I1157" s="55" t="n"/>
      <c r="J1157" s="53" t="n"/>
      <c r="K1157" s="54" t="n"/>
      <c r="L1157" s="55" t="n"/>
      <c r="M1157" s="55" t="n"/>
      <c r="N1157" s="57" t="n"/>
      <c r="O1157" s="55" t="n"/>
      <c r="P1157" s="56" t="n"/>
      <c r="Q1157" s="55" t="n"/>
      <c r="R1157" s="55" t="n"/>
      <c r="S1157" s="55" t="n"/>
      <c r="T1157" s="55" t="n"/>
      <c r="U1157" s="55" t="n"/>
      <c r="V1157" s="55" t="n"/>
      <c r="W1157" s="58" t="n"/>
      <c r="X1157" s="58" t="n"/>
      <c r="Y1157" s="55" t="n"/>
      <c r="Z1157" s="55" t="n"/>
      <c r="AA1157" s="55" t="n"/>
      <c r="AB1157" s="55" t="n"/>
      <c r="AC1157" s="55" t="n"/>
      <c r="AD1157" s="53" t="n"/>
      <c r="AE1157" s="55" t="n"/>
      <c r="AF1157" s="55" t="n"/>
      <c r="AG1157" s="59" t="n"/>
      <c r="AH1157" s="57" t="n"/>
      <c r="AI1157" s="55" t="n"/>
      <c r="AJ1157" s="55" t="n"/>
      <c r="AK1157" s="55" t="n"/>
      <c r="AL1157" s="55" t="n"/>
      <c r="AM1157" s="56" t="n"/>
      <c r="AN1157" s="55" t="n"/>
      <c r="AO1157" s="55" t="n"/>
      <c r="AP1157" s="55" t="n"/>
      <c r="AQ1157" s="55" t="n"/>
      <c r="AR1157" s="60">
        <f>IF(AND(C1157="",E1157=""),"",IF(A1157="","⚠ Date manquante",IF(AND(C1157="",E1157&lt;&gt;"Dépense"),"⚠ Prospect manquant",IF(E1157="","⚠ Action manquante",IF(AND(AU1157=1,D1157=""),"⚠ Canal manquant",IF(AND(W1157&lt;&gt;"",COUNTIFS('Saisie'!$W$5:$W$2004,W1157,'Saisie'!$C$5:$C$2004,"&lt;&gt;"&amp;C1157)&gt;0),"⚠ Numéro déjà utilisé par un autre prospect",IF(AND(J1157&lt;&gt;"",J1157&lt;A1157),"⚠ Relance avant la date de l'action",IF(A1157&gt;TODAY(),"⚠ Date dans le futur","✓"))))))))</f>
        <v/>
      </c>
      <c r="AS1157" s="61">
        <f>IF(AND(A1157="",C1157="",E1157=""),"",ROW())</f>
        <v/>
      </c>
      <c r="AT1157" s="61">
        <f>IF(E1157&amp;F1157="","",MAX(IFERROR(INDEX('Paramètres'!$J$6:$J$33,MATCH(E1157,'Paramètres'!$I$6:$I$33,0)),0),IFERROR(INDEX('Paramètres'!$N$6:$N$17,MATCH(F1157,'Paramètres'!$M$6:$M$17,0)),0)))</f>
        <v/>
      </c>
      <c r="AU1157" s="61">
        <f>IF(E1157="","",IFERROR(IF(INDEX('Paramètres'!$K$6:$K$33,MATCH(E1157,'Paramètres'!$I$6:$I$33,0))="Oui",1,0),0))</f>
        <v/>
      </c>
      <c r="AV1157" s="61">
        <f>IF(F1157="","",IFERROR(IF(INDEX('Paramètres'!$O$6:$O$17,MATCH(F1157,'Paramètres'!$M$6:$M$17,0))="Oui",1,0),0))</f>
        <v/>
      </c>
      <c r="AW1157" s="62">
        <f>IF(E1157="","",IF(G1157&lt;&gt;"",G1157,IF(OR(E1157="Proposition envoyée",E1157="Signature"),MAX(0,N(IFERROR(INDEX('Paramètres'!$R$6:$R$15,MATCH(IF(AL1157&lt;&gt;"",AL1157,IFERROR(INDEX('Prospects'!$AN$5:$AN$504,MATCH(C1157,'Prospects'!$C$5:$C$504,0)),"")),'Paramètres'!$Q$6:$Q$15,0)),0))-N(P1157)),0)))</f>
        <v/>
      </c>
      <c r="AX1157" s="61">
        <f>IF(C1157="","",IF(COUNTIF($C$5:C1157,C1157)=1,MAX($AX$4:AX1156)+1,""))</f>
        <v/>
      </c>
      <c r="AY1157" s="61">
        <f>IF(B1157="","",HOUR(B1157))</f>
        <v/>
      </c>
      <c r="AZ1157" s="61">
        <f>IF(A1157="","",MOD(A1157-2,7)+1)</f>
        <v/>
      </c>
      <c r="BA1157" s="60">
        <f>IF(C1157="","",IFERROR(INDEX('Prospects'!$N$5:$N$504,MATCH(C1157,'Prospects'!$C$5:$C$504,0)),""))</f>
        <v/>
      </c>
      <c r="BB1157" s="61">
        <f>IF(AND(C1157&lt;&gt;"",C1157='Fiche prospect'!$C$4),COUNTIF($C$5:C1157,C1157),"")</f>
        <v/>
      </c>
    </row>
    <row r="1158">
      <c r="A1158" s="53" t="n"/>
      <c r="B1158" s="54" t="n"/>
      <c r="C1158" s="55" t="n"/>
      <c r="D1158" s="55" t="n"/>
      <c r="E1158" s="55" t="n"/>
      <c r="F1158" s="55" t="n"/>
      <c r="G1158" s="56" t="n"/>
      <c r="H1158" s="57" t="n"/>
      <c r="I1158" s="55" t="n"/>
      <c r="J1158" s="53" t="n"/>
      <c r="K1158" s="54" t="n"/>
      <c r="L1158" s="55" t="n"/>
      <c r="M1158" s="55" t="n"/>
      <c r="N1158" s="57" t="n"/>
      <c r="O1158" s="55" t="n"/>
      <c r="P1158" s="56" t="n"/>
      <c r="Q1158" s="55" t="n"/>
      <c r="R1158" s="55" t="n"/>
      <c r="S1158" s="55" t="n"/>
      <c r="T1158" s="55" t="n"/>
      <c r="U1158" s="55" t="n"/>
      <c r="V1158" s="55" t="n"/>
      <c r="W1158" s="58" t="n"/>
      <c r="X1158" s="58" t="n"/>
      <c r="Y1158" s="55" t="n"/>
      <c r="Z1158" s="55" t="n"/>
      <c r="AA1158" s="55" t="n"/>
      <c r="AB1158" s="55" t="n"/>
      <c r="AC1158" s="55" t="n"/>
      <c r="AD1158" s="53" t="n"/>
      <c r="AE1158" s="55" t="n"/>
      <c r="AF1158" s="55" t="n"/>
      <c r="AG1158" s="59" t="n"/>
      <c r="AH1158" s="57" t="n"/>
      <c r="AI1158" s="55" t="n"/>
      <c r="AJ1158" s="55" t="n"/>
      <c r="AK1158" s="55" t="n"/>
      <c r="AL1158" s="55" t="n"/>
      <c r="AM1158" s="56" t="n"/>
      <c r="AN1158" s="55" t="n"/>
      <c r="AO1158" s="55" t="n"/>
      <c r="AP1158" s="55" t="n"/>
      <c r="AQ1158" s="55" t="n"/>
      <c r="AR1158" s="60">
        <f>IF(AND(C1158="",E1158=""),"",IF(A1158="","⚠ Date manquante",IF(AND(C1158="",E1158&lt;&gt;"Dépense"),"⚠ Prospect manquant",IF(E1158="","⚠ Action manquante",IF(AND(AU1158=1,D1158=""),"⚠ Canal manquant",IF(AND(W1158&lt;&gt;"",COUNTIFS('Saisie'!$W$5:$W$2004,W1158,'Saisie'!$C$5:$C$2004,"&lt;&gt;"&amp;C1158)&gt;0),"⚠ Numéro déjà utilisé par un autre prospect",IF(AND(J1158&lt;&gt;"",J1158&lt;A1158),"⚠ Relance avant la date de l'action",IF(A1158&gt;TODAY(),"⚠ Date dans le futur","✓"))))))))</f>
        <v/>
      </c>
      <c r="AS1158" s="61">
        <f>IF(AND(A1158="",C1158="",E1158=""),"",ROW())</f>
        <v/>
      </c>
      <c r="AT1158" s="61">
        <f>IF(E1158&amp;F1158="","",MAX(IFERROR(INDEX('Paramètres'!$J$6:$J$33,MATCH(E1158,'Paramètres'!$I$6:$I$33,0)),0),IFERROR(INDEX('Paramètres'!$N$6:$N$17,MATCH(F1158,'Paramètres'!$M$6:$M$17,0)),0)))</f>
        <v/>
      </c>
      <c r="AU1158" s="61">
        <f>IF(E1158="","",IFERROR(IF(INDEX('Paramètres'!$K$6:$K$33,MATCH(E1158,'Paramètres'!$I$6:$I$33,0))="Oui",1,0),0))</f>
        <v/>
      </c>
      <c r="AV1158" s="61">
        <f>IF(F1158="","",IFERROR(IF(INDEX('Paramètres'!$O$6:$O$17,MATCH(F1158,'Paramètres'!$M$6:$M$17,0))="Oui",1,0),0))</f>
        <v/>
      </c>
      <c r="AW1158" s="62">
        <f>IF(E1158="","",IF(G1158&lt;&gt;"",G1158,IF(OR(E1158="Proposition envoyée",E1158="Signature"),MAX(0,N(IFERROR(INDEX('Paramètres'!$R$6:$R$15,MATCH(IF(AL1158&lt;&gt;"",AL1158,IFERROR(INDEX('Prospects'!$AN$5:$AN$504,MATCH(C1158,'Prospects'!$C$5:$C$504,0)),"")),'Paramètres'!$Q$6:$Q$15,0)),0))-N(P1158)),0)))</f>
        <v/>
      </c>
      <c r="AX1158" s="61">
        <f>IF(C1158="","",IF(COUNTIF($C$5:C1158,C1158)=1,MAX($AX$4:AX1157)+1,""))</f>
        <v/>
      </c>
      <c r="AY1158" s="61">
        <f>IF(B1158="","",HOUR(B1158))</f>
        <v/>
      </c>
      <c r="AZ1158" s="61">
        <f>IF(A1158="","",MOD(A1158-2,7)+1)</f>
        <v/>
      </c>
      <c r="BA1158" s="60">
        <f>IF(C1158="","",IFERROR(INDEX('Prospects'!$N$5:$N$504,MATCH(C1158,'Prospects'!$C$5:$C$504,0)),""))</f>
        <v/>
      </c>
      <c r="BB1158" s="61">
        <f>IF(AND(C1158&lt;&gt;"",C1158='Fiche prospect'!$C$4),COUNTIF($C$5:C1158,C1158),"")</f>
        <v/>
      </c>
    </row>
    <row r="1159">
      <c r="A1159" s="53" t="n"/>
      <c r="B1159" s="54" t="n"/>
      <c r="C1159" s="55" t="n"/>
      <c r="D1159" s="55" t="n"/>
      <c r="E1159" s="55" t="n"/>
      <c r="F1159" s="55" t="n"/>
      <c r="G1159" s="56" t="n"/>
      <c r="H1159" s="57" t="n"/>
      <c r="I1159" s="55" t="n"/>
      <c r="J1159" s="53" t="n"/>
      <c r="K1159" s="54" t="n"/>
      <c r="L1159" s="55" t="n"/>
      <c r="M1159" s="55" t="n"/>
      <c r="N1159" s="57" t="n"/>
      <c r="O1159" s="55" t="n"/>
      <c r="P1159" s="56" t="n"/>
      <c r="Q1159" s="55" t="n"/>
      <c r="R1159" s="55" t="n"/>
      <c r="S1159" s="55" t="n"/>
      <c r="T1159" s="55" t="n"/>
      <c r="U1159" s="55" t="n"/>
      <c r="V1159" s="55" t="n"/>
      <c r="W1159" s="58" t="n"/>
      <c r="X1159" s="58" t="n"/>
      <c r="Y1159" s="55" t="n"/>
      <c r="Z1159" s="55" t="n"/>
      <c r="AA1159" s="55" t="n"/>
      <c r="AB1159" s="55" t="n"/>
      <c r="AC1159" s="55" t="n"/>
      <c r="AD1159" s="53" t="n"/>
      <c r="AE1159" s="55" t="n"/>
      <c r="AF1159" s="55" t="n"/>
      <c r="AG1159" s="59" t="n"/>
      <c r="AH1159" s="57" t="n"/>
      <c r="AI1159" s="55" t="n"/>
      <c r="AJ1159" s="55" t="n"/>
      <c r="AK1159" s="55" t="n"/>
      <c r="AL1159" s="55" t="n"/>
      <c r="AM1159" s="56" t="n"/>
      <c r="AN1159" s="55" t="n"/>
      <c r="AO1159" s="55" t="n"/>
      <c r="AP1159" s="55" t="n"/>
      <c r="AQ1159" s="55" t="n"/>
      <c r="AR1159" s="60">
        <f>IF(AND(C1159="",E1159=""),"",IF(A1159="","⚠ Date manquante",IF(AND(C1159="",E1159&lt;&gt;"Dépense"),"⚠ Prospect manquant",IF(E1159="","⚠ Action manquante",IF(AND(AU1159=1,D1159=""),"⚠ Canal manquant",IF(AND(W1159&lt;&gt;"",COUNTIFS('Saisie'!$W$5:$W$2004,W1159,'Saisie'!$C$5:$C$2004,"&lt;&gt;"&amp;C1159)&gt;0),"⚠ Numéro déjà utilisé par un autre prospect",IF(AND(J1159&lt;&gt;"",J1159&lt;A1159),"⚠ Relance avant la date de l'action",IF(A1159&gt;TODAY(),"⚠ Date dans le futur","✓"))))))))</f>
        <v/>
      </c>
      <c r="AS1159" s="61">
        <f>IF(AND(A1159="",C1159="",E1159=""),"",ROW())</f>
        <v/>
      </c>
      <c r="AT1159" s="61">
        <f>IF(E1159&amp;F1159="","",MAX(IFERROR(INDEX('Paramètres'!$J$6:$J$33,MATCH(E1159,'Paramètres'!$I$6:$I$33,0)),0),IFERROR(INDEX('Paramètres'!$N$6:$N$17,MATCH(F1159,'Paramètres'!$M$6:$M$17,0)),0)))</f>
        <v/>
      </c>
      <c r="AU1159" s="61">
        <f>IF(E1159="","",IFERROR(IF(INDEX('Paramètres'!$K$6:$K$33,MATCH(E1159,'Paramètres'!$I$6:$I$33,0))="Oui",1,0),0))</f>
        <v/>
      </c>
      <c r="AV1159" s="61">
        <f>IF(F1159="","",IFERROR(IF(INDEX('Paramètres'!$O$6:$O$17,MATCH(F1159,'Paramètres'!$M$6:$M$17,0))="Oui",1,0),0))</f>
        <v/>
      </c>
      <c r="AW1159" s="62">
        <f>IF(E1159="","",IF(G1159&lt;&gt;"",G1159,IF(OR(E1159="Proposition envoyée",E1159="Signature"),MAX(0,N(IFERROR(INDEX('Paramètres'!$R$6:$R$15,MATCH(IF(AL1159&lt;&gt;"",AL1159,IFERROR(INDEX('Prospects'!$AN$5:$AN$504,MATCH(C1159,'Prospects'!$C$5:$C$504,0)),"")),'Paramètres'!$Q$6:$Q$15,0)),0))-N(P1159)),0)))</f>
        <v/>
      </c>
      <c r="AX1159" s="61">
        <f>IF(C1159="","",IF(COUNTIF($C$5:C1159,C1159)=1,MAX($AX$4:AX1158)+1,""))</f>
        <v/>
      </c>
      <c r="AY1159" s="61">
        <f>IF(B1159="","",HOUR(B1159))</f>
        <v/>
      </c>
      <c r="AZ1159" s="61">
        <f>IF(A1159="","",MOD(A1159-2,7)+1)</f>
        <v/>
      </c>
      <c r="BA1159" s="60">
        <f>IF(C1159="","",IFERROR(INDEX('Prospects'!$N$5:$N$504,MATCH(C1159,'Prospects'!$C$5:$C$504,0)),""))</f>
        <v/>
      </c>
      <c r="BB1159" s="61">
        <f>IF(AND(C1159&lt;&gt;"",C1159='Fiche prospect'!$C$4),COUNTIF($C$5:C1159,C1159),"")</f>
        <v/>
      </c>
    </row>
    <row r="1160">
      <c r="A1160" s="53" t="n"/>
      <c r="B1160" s="54" t="n"/>
      <c r="C1160" s="55" t="n"/>
      <c r="D1160" s="55" t="n"/>
      <c r="E1160" s="55" t="n"/>
      <c r="F1160" s="55" t="n"/>
      <c r="G1160" s="56" t="n"/>
      <c r="H1160" s="57" t="n"/>
      <c r="I1160" s="55" t="n"/>
      <c r="J1160" s="53" t="n"/>
      <c r="K1160" s="54" t="n"/>
      <c r="L1160" s="55" t="n"/>
      <c r="M1160" s="55" t="n"/>
      <c r="N1160" s="57" t="n"/>
      <c r="O1160" s="55" t="n"/>
      <c r="P1160" s="56" t="n"/>
      <c r="Q1160" s="55" t="n"/>
      <c r="R1160" s="55" t="n"/>
      <c r="S1160" s="55" t="n"/>
      <c r="T1160" s="55" t="n"/>
      <c r="U1160" s="55" t="n"/>
      <c r="V1160" s="55" t="n"/>
      <c r="W1160" s="58" t="n"/>
      <c r="X1160" s="58" t="n"/>
      <c r="Y1160" s="55" t="n"/>
      <c r="Z1160" s="55" t="n"/>
      <c r="AA1160" s="55" t="n"/>
      <c r="AB1160" s="55" t="n"/>
      <c r="AC1160" s="55" t="n"/>
      <c r="AD1160" s="53" t="n"/>
      <c r="AE1160" s="55" t="n"/>
      <c r="AF1160" s="55" t="n"/>
      <c r="AG1160" s="59" t="n"/>
      <c r="AH1160" s="57" t="n"/>
      <c r="AI1160" s="55" t="n"/>
      <c r="AJ1160" s="55" t="n"/>
      <c r="AK1160" s="55" t="n"/>
      <c r="AL1160" s="55" t="n"/>
      <c r="AM1160" s="56" t="n"/>
      <c r="AN1160" s="55" t="n"/>
      <c r="AO1160" s="55" t="n"/>
      <c r="AP1160" s="55" t="n"/>
      <c r="AQ1160" s="55" t="n"/>
      <c r="AR1160" s="60">
        <f>IF(AND(C1160="",E1160=""),"",IF(A1160="","⚠ Date manquante",IF(AND(C1160="",E1160&lt;&gt;"Dépense"),"⚠ Prospect manquant",IF(E1160="","⚠ Action manquante",IF(AND(AU1160=1,D1160=""),"⚠ Canal manquant",IF(AND(W1160&lt;&gt;"",COUNTIFS('Saisie'!$W$5:$W$2004,W1160,'Saisie'!$C$5:$C$2004,"&lt;&gt;"&amp;C1160)&gt;0),"⚠ Numéro déjà utilisé par un autre prospect",IF(AND(J1160&lt;&gt;"",J1160&lt;A1160),"⚠ Relance avant la date de l'action",IF(A1160&gt;TODAY(),"⚠ Date dans le futur","✓"))))))))</f>
        <v/>
      </c>
      <c r="AS1160" s="61">
        <f>IF(AND(A1160="",C1160="",E1160=""),"",ROW())</f>
        <v/>
      </c>
      <c r="AT1160" s="61">
        <f>IF(E1160&amp;F1160="","",MAX(IFERROR(INDEX('Paramètres'!$J$6:$J$33,MATCH(E1160,'Paramètres'!$I$6:$I$33,0)),0),IFERROR(INDEX('Paramètres'!$N$6:$N$17,MATCH(F1160,'Paramètres'!$M$6:$M$17,0)),0)))</f>
        <v/>
      </c>
      <c r="AU1160" s="61">
        <f>IF(E1160="","",IFERROR(IF(INDEX('Paramètres'!$K$6:$K$33,MATCH(E1160,'Paramètres'!$I$6:$I$33,0))="Oui",1,0),0))</f>
        <v/>
      </c>
      <c r="AV1160" s="61">
        <f>IF(F1160="","",IFERROR(IF(INDEX('Paramètres'!$O$6:$O$17,MATCH(F1160,'Paramètres'!$M$6:$M$17,0))="Oui",1,0),0))</f>
        <v/>
      </c>
      <c r="AW1160" s="62">
        <f>IF(E1160="","",IF(G1160&lt;&gt;"",G1160,IF(OR(E1160="Proposition envoyée",E1160="Signature"),MAX(0,N(IFERROR(INDEX('Paramètres'!$R$6:$R$15,MATCH(IF(AL1160&lt;&gt;"",AL1160,IFERROR(INDEX('Prospects'!$AN$5:$AN$504,MATCH(C1160,'Prospects'!$C$5:$C$504,0)),"")),'Paramètres'!$Q$6:$Q$15,0)),0))-N(P1160)),0)))</f>
        <v/>
      </c>
      <c r="AX1160" s="61">
        <f>IF(C1160="","",IF(COUNTIF($C$5:C1160,C1160)=1,MAX($AX$4:AX1159)+1,""))</f>
        <v/>
      </c>
      <c r="AY1160" s="61">
        <f>IF(B1160="","",HOUR(B1160))</f>
        <v/>
      </c>
      <c r="AZ1160" s="61">
        <f>IF(A1160="","",MOD(A1160-2,7)+1)</f>
        <v/>
      </c>
      <c r="BA1160" s="60">
        <f>IF(C1160="","",IFERROR(INDEX('Prospects'!$N$5:$N$504,MATCH(C1160,'Prospects'!$C$5:$C$504,0)),""))</f>
        <v/>
      </c>
      <c r="BB1160" s="61">
        <f>IF(AND(C1160&lt;&gt;"",C1160='Fiche prospect'!$C$4),COUNTIF($C$5:C1160,C1160),"")</f>
        <v/>
      </c>
    </row>
    <row r="1161">
      <c r="A1161" s="53" t="n"/>
      <c r="B1161" s="54" t="n"/>
      <c r="C1161" s="55" t="n"/>
      <c r="D1161" s="55" t="n"/>
      <c r="E1161" s="55" t="n"/>
      <c r="F1161" s="55" t="n"/>
      <c r="G1161" s="56" t="n"/>
      <c r="H1161" s="57" t="n"/>
      <c r="I1161" s="55" t="n"/>
      <c r="J1161" s="53" t="n"/>
      <c r="K1161" s="54" t="n"/>
      <c r="L1161" s="55" t="n"/>
      <c r="M1161" s="55" t="n"/>
      <c r="N1161" s="57" t="n"/>
      <c r="O1161" s="55" t="n"/>
      <c r="P1161" s="56" t="n"/>
      <c r="Q1161" s="55" t="n"/>
      <c r="R1161" s="55" t="n"/>
      <c r="S1161" s="55" t="n"/>
      <c r="T1161" s="55" t="n"/>
      <c r="U1161" s="55" t="n"/>
      <c r="V1161" s="55" t="n"/>
      <c r="W1161" s="58" t="n"/>
      <c r="X1161" s="58" t="n"/>
      <c r="Y1161" s="55" t="n"/>
      <c r="Z1161" s="55" t="n"/>
      <c r="AA1161" s="55" t="n"/>
      <c r="AB1161" s="55" t="n"/>
      <c r="AC1161" s="55" t="n"/>
      <c r="AD1161" s="53" t="n"/>
      <c r="AE1161" s="55" t="n"/>
      <c r="AF1161" s="55" t="n"/>
      <c r="AG1161" s="59" t="n"/>
      <c r="AH1161" s="57" t="n"/>
      <c r="AI1161" s="55" t="n"/>
      <c r="AJ1161" s="55" t="n"/>
      <c r="AK1161" s="55" t="n"/>
      <c r="AL1161" s="55" t="n"/>
      <c r="AM1161" s="56" t="n"/>
      <c r="AN1161" s="55" t="n"/>
      <c r="AO1161" s="55" t="n"/>
      <c r="AP1161" s="55" t="n"/>
      <c r="AQ1161" s="55" t="n"/>
      <c r="AR1161" s="60">
        <f>IF(AND(C1161="",E1161=""),"",IF(A1161="","⚠ Date manquante",IF(AND(C1161="",E1161&lt;&gt;"Dépense"),"⚠ Prospect manquant",IF(E1161="","⚠ Action manquante",IF(AND(AU1161=1,D1161=""),"⚠ Canal manquant",IF(AND(W1161&lt;&gt;"",COUNTIFS('Saisie'!$W$5:$W$2004,W1161,'Saisie'!$C$5:$C$2004,"&lt;&gt;"&amp;C1161)&gt;0),"⚠ Numéro déjà utilisé par un autre prospect",IF(AND(J1161&lt;&gt;"",J1161&lt;A1161),"⚠ Relance avant la date de l'action",IF(A1161&gt;TODAY(),"⚠ Date dans le futur","✓"))))))))</f>
        <v/>
      </c>
      <c r="AS1161" s="61">
        <f>IF(AND(A1161="",C1161="",E1161=""),"",ROW())</f>
        <v/>
      </c>
      <c r="AT1161" s="61">
        <f>IF(E1161&amp;F1161="","",MAX(IFERROR(INDEX('Paramètres'!$J$6:$J$33,MATCH(E1161,'Paramètres'!$I$6:$I$33,0)),0),IFERROR(INDEX('Paramètres'!$N$6:$N$17,MATCH(F1161,'Paramètres'!$M$6:$M$17,0)),0)))</f>
        <v/>
      </c>
      <c r="AU1161" s="61">
        <f>IF(E1161="","",IFERROR(IF(INDEX('Paramètres'!$K$6:$K$33,MATCH(E1161,'Paramètres'!$I$6:$I$33,0))="Oui",1,0),0))</f>
        <v/>
      </c>
      <c r="AV1161" s="61">
        <f>IF(F1161="","",IFERROR(IF(INDEX('Paramètres'!$O$6:$O$17,MATCH(F1161,'Paramètres'!$M$6:$M$17,0))="Oui",1,0),0))</f>
        <v/>
      </c>
      <c r="AW1161" s="62">
        <f>IF(E1161="","",IF(G1161&lt;&gt;"",G1161,IF(OR(E1161="Proposition envoyée",E1161="Signature"),MAX(0,N(IFERROR(INDEX('Paramètres'!$R$6:$R$15,MATCH(IF(AL1161&lt;&gt;"",AL1161,IFERROR(INDEX('Prospects'!$AN$5:$AN$504,MATCH(C1161,'Prospects'!$C$5:$C$504,0)),"")),'Paramètres'!$Q$6:$Q$15,0)),0))-N(P1161)),0)))</f>
        <v/>
      </c>
      <c r="AX1161" s="61">
        <f>IF(C1161="","",IF(COUNTIF($C$5:C1161,C1161)=1,MAX($AX$4:AX1160)+1,""))</f>
        <v/>
      </c>
      <c r="AY1161" s="61">
        <f>IF(B1161="","",HOUR(B1161))</f>
        <v/>
      </c>
      <c r="AZ1161" s="61">
        <f>IF(A1161="","",MOD(A1161-2,7)+1)</f>
        <v/>
      </c>
      <c r="BA1161" s="60">
        <f>IF(C1161="","",IFERROR(INDEX('Prospects'!$N$5:$N$504,MATCH(C1161,'Prospects'!$C$5:$C$504,0)),""))</f>
        <v/>
      </c>
      <c r="BB1161" s="61">
        <f>IF(AND(C1161&lt;&gt;"",C1161='Fiche prospect'!$C$4),COUNTIF($C$5:C1161,C1161),"")</f>
        <v/>
      </c>
    </row>
    <row r="1162">
      <c r="A1162" s="53" t="n"/>
      <c r="B1162" s="54" t="n"/>
      <c r="C1162" s="55" t="n"/>
      <c r="D1162" s="55" t="n"/>
      <c r="E1162" s="55" t="n"/>
      <c r="F1162" s="55" t="n"/>
      <c r="G1162" s="56" t="n"/>
      <c r="H1162" s="57" t="n"/>
      <c r="I1162" s="55" t="n"/>
      <c r="J1162" s="53" t="n"/>
      <c r="K1162" s="54" t="n"/>
      <c r="L1162" s="55" t="n"/>
      <c r="M1162" s="55" t="n"/>
      <c r="N1162" s="57" t="n"/>
      <c r="O1162" s="55" t="n"/>
      <c r="P1162" s="56" t="n"/>
      <c r="Q1162" s="55" t="n"/>
      <c r="R1162" s="55" t="n"/>
      <c r="S1162" s="55" t="n"/>
      <c r="T1162" s="55" t="n"/>
      <c r="U1162" s="55" t="n"/>
      <c r="V1162" s="55" t="n"/>
      <c r="W1162" s="58" t="n"/>
      <c r="X1162" s="58" t="n"/>
      <c r="Y1162" s="55" t="n"/>
      <c r="Z1162" s="55" t="n"/>
      <c r="AA1162" s="55" t="n"/>
      <c r="AB1162" s="55" t="n"/>
      <c r="AC1162" s="55" t="n"/>
      <c r="AD1162" s="53" t="n"/>
      <c r="AE1162" s="55" t="n"/>
      <c r="AF1162" s="55" t="n"/>
      <c r="AG1162" s="59" t="n"/>
      <c r="AH1162" s="57" t="n"/>
      <c r="AI1162" s="55" t="n"/>
      <c r="AJ1162" s="55" t="n"/>
      <c r="AK1162" s="55" t="n"/>
      <c r="AL1162" s="55" t="n"/>
      <c r="AM1162" s="56" t="n"/>
      <c r="AN1162" s="55" t="n"/>
      <c r="AO1162" s="55" t="n"/>
      <c r="AP1162" s="55" t="n"/>
      <c r="AQ1162" s="55" t="n"/>
      <c r="AR1162" s="60">
        <f>IF(AND(C1162="",E1162=""),"",IF(A1162="","⚠ Date manquante",IF(AND(C1162="",E1162&lt;&gt;"Dépense"),"⚠ Prospect manquant",IF(E1162="","⚠ Action manquante",IF(AND(AU1162=1,D1162=""),"⚠ Canal manquant",IF(AND(W1162&lt;&gt;"",COUNTIFS('Saisie'!$W$5:$W$2004,W1162,'Saisie'!$C$5:$C$2004,"&lt;&gt;"&amp;C1162)&gt;0),"⚠ Numéro déjà utilisé par un autre prospect",IF(AND(J1162&lt;&gt;"",J1162&lt;A1162),"⚠ Relance avant la date de l'action",IF(A1162&gt;TODAY(),"⚠ Date dans le futur","✓"))))))))</f>
        <v/>
      </c>
      <c r="AS1162" s="61">
        <f>IF(AND(A1162="",C1162="",E1162=""),"",ROW())</f>
        <v/>
      </c>
      <c r="AT1162" s="61">
        <f>IF(E1162&amp;F1162="","",MAX(IFERROR(INDEX('Paramètres'!$J$6:$J$33,MATCH(E1162,'Paramètres'!$I$6:$I$33,0)),0),IFERROR(INDEX('Paramètres'!$N$6:$N$17,MATCH(F1162,'Paramètres'!$M$6:$M$17,0)),0)))</f>
        <v/>
      </c>
      <c r="AU1162" s="61">
        <f>IF(E1162="","",IFERROR(IF(INDEX('Paramètres'!$K$6:$K$33,MATCH(E1162,'Paramètres'!$I$6:$I$33,0))="Oui",1,0),0))</f>
        <v/>
      </c>
      <c r="AV1162" s="61">
        <f>IF(F1162="","",IFERROR(IF(INDEX('Paramètres'!$O$6:$O$17,MATCH(F1162,'Paramètres'!$M$6:$M$17,0))="Oui",1,0),0))</f>
        <v/>
      </c>
      <c r="AW1162" s="62">
        <f>IF(E1162="","",IF(G1162&lt;&gt;"",G1162,IF(OR(E1162="Proposition envoyée",E1162="Signature"),MAX(0,N(IFERROR(INDEX('Paramètres'!$R$6:$R$15,MATCH(IF(AL1162&lt;&gt;"",AL1162,IFERROR(INDEX('Prospects'!$AN$5:$AN$504,MATCH(C1162,'Prospects'!$C$5:$C$504,0)),"")),'Paramètres'!$Q$6:$Q$15,0)),0))-N(P1162)),0)))</f>
        <v/>
      </c>
      <c r="AX1162" s="61">
        <f>IF(C1162="","",IF(COUNTIF($C$5:C1162,C1162)=1,MAX($AX$4:AX1161)+1,""))</f>
        <v/>
      </c>
      <c r="AY1162" s="61">
        <f>IF(B1162="","",HOUR(B1162))</f>
        <v/>
      </c>
      <c r="AZ1162" s="61">
        <f>IF(A1162="","",MOD(A1162-2,7)+1)</f>
        <v/>
      </c>
      <c r="BA1162" s="60">
        <f>IF(C1162="","",IFERROR(INDEX('Prospects'!$N$5:$N$504,MATCH(C1162,'Prospects'!$C$5:$C$504,0)),""))</f>
        <v/>
      </c>
      <c r="BB1162" s="61">
        <f>IF(AND(C1162&lt;&gt;"",C1162='Fiche prospect'!$C$4),COUNTIF($C$5:C1162,C1162),"")</f>
        <v/>
      </c>
    </row>
    <row r="1163">
      <c r="A1163" s="53" t="n"/>
      <c r="B1163" s="54" t="n"/>
      <c r="C1163" s="55" t="n"/>
      <c r="D1163" s="55" t="n"/>
      <c r="E1163" s="55" t="n"/>
      <c r="F1163" s="55" t="n"/>
      <c r="G1163" s="56" t="n"/>
      <c r="H1163" s="57" t="n"/>
      <c r="I1163" s="55" t="n"/>
      <c r="J1163" s="53" t="n"/>
      <c r="K1163" s="54" t="n"/>
      <c r="L1163" s="55" t="n"/>
      <c r="M1163" s="55" t="n"/>
      <c r="N1163" s="57" t="n"/>
      <c r="O1163" s="55" t="n"/>
      <c r="P1163" s="56" t="n"/>
      <c r="Q1163" s="55" t="n"/>
      <c r="R1163" s="55" t="n"/>
      <c r="S1163" s="55" t="n"/>
      <c r="T1163" s="55" t="n"/>
      <c r="U1163" s="55" t="n"/>
      <c r="V1163" s="55" t="n"/>
      <c r="W1163" s="58" t="n"/>
      <c r="X1163" s="58" t="n"/>
      <c r="Y1163" s="55" t="n"/>
      <c r="Z1163" s="55" t="n"/>
      <c r="AA1163" s="55" t="n"/>
      <c r="AB1163" s="55" t="n"/>
      <c r="AC1163" s="55" t="n"/>
      <c r="AD1163" s="53" t="n"/>
      <c r="AE1163" s="55" t="n"/>
      <c r="AF1163" s="55" t="n"/>
      <c r="AG1163" s="59" t="n"/>
      <c r="AH1163" s="57" t="n"/>
      <c r="AI1163" s="55" t="n"/>
      <c r="AJ1163" s="55" t="n"/>
      <c r="AK1163" s="55" t="n"/>
      <c r="AL1163" s="55" t="n"/>
      <c r="AM1163" s="56" t="n"/>
      <c r="AN1163" s="55" t="n"/>
      <c r="AO1163" s="55" t="n"/>
      <c r="AP1163" s="55" t="n"/>
      <c r="AQ1163" s="55" t="n"/>
      <c r="AR1163" s="60">
        <f>IF(AND(C1163="",E1163=""),"",IF(A1163="","⚠ Date manquante",IF(AND(C1163="",E1163&lt;&gt;"Dépense"),"⚠ Prospect manquant",IF(E1163="","⚠ Action manquante",IF(AND(AU1163=1,D1163=""),"⚠ Canal manquant",IF(AND(W1163&lt;&gt;"",COUNTIFS('Saisie'!$W$5:$W$2004,W1163,'Saisie'!$C$5:$C$2004,"&lt;&gt;"&amp;C1163)&gt;0),"⚠ Numéro déjà utilisé par un autre prospect",IF(AND(J1163&lt;&gt;"",J1163&lt;A1163),"⚠ Relance avant la date de l'action",IF(A1163&gt;TODAY(),"⚠ Date dans le futur","✓"))))))))</f>
        <v/>
      </c>
      <c r="AS1163" s="61">
        <f>IF(AND(A1163="",C1163="",E1163=""),"",ROW())</f>
        <v/>
      </c>
      <c r="AT1163" s="61">
        <f>IF(E1163&amp;F1163="","",MAX(IFERROR(INDEX('Paramètres'!$J$6:$J$33,MATCH(E1163,'Paramètres'!$I$6:$I$33,0)),0),IFERROR(INDEX('Paramètres'!$N$6:$N$17,MATCH(F1163,'Paramètres'!$M$6:$M$17,0)),0)))</f>
        <v/>
      </c>
      <c r="AU1163" s="61">
        <f>IF(E1163="","",IFERROR(IF(INDEX('Paramètres'!$K$6:$K$33,MATCH(E1163,'Paramètres'!$I$6:$I$33,0))="Oui",1,0),0))</f>
        <v/>
      </c>
      <c r="AV1163" s="61">
        <f>IF(F1163="","",IFERROR(IF(INDEX('Paramètres'!$O$6:$O$17,MATCH(F1163,'Paramètres'!$M$6:$M$17,0))="Oui",1,0),0))</f>
        <v/>
      </c>
      <c r="AW1163" s="62">
        <f>IF(E1163="","",IF(G1163&lt;&gt;"",G1163,IF(OR(E1163="Proposition envoyée",E1163="Signature"),MAX(0,N(IFERROR(INDEX('Paramètres'!$R$6:$R$15,MATCH(IF(AL1163&lt;&gt;"",AL1163,IFERROR(INDEX('Prospects'!$AN$5:$AN$504,MATCH(C1163,'Prospects'!$C$5:$C$504,0)),"")),'Paramètres'!$Q$6:$Q$15,0)),0))-N(P1163)),0)))</f>
        <v/>
      </c>
      <c r="AX1163" s="61">
        <f>IF(C1163="","",IF(COUNTIF($C$5:C1163,C1163)=1,MAX($AX$4:AX1162)+1,""))</f>
        <v/>
      </c>
      <c r="AY1163" s="61">
        <f>IF(B1163="","",HOUR(B1163))</f>
        <v/>
      </c>
      <c r="AZ1163" s="61">
        <f>IF(A1163="","",MOD(A1163-2,7)+1)</f>
        <v/>
      </c>
      <c r="BA1163" s="60">
        <f>IF(C1163="","",IFERROR(INDEX('Prospects'!$N$5:$N$504,MATCH(C1163,'Prospects'!$C$5:$C$504,0)),""))</f>
        <v/>
      </c>
      <c r="BB1163" s="61">
        <f>IF(AND(C1163&lt;&gt;"",C1163='Fiche prospect'!$C$4),COUNTIF($C$5:C1163,C1163),"")</f>
        <v/>
      </c>
    </row>
    <row r="1164">
      <c r="A1164" s="53" t="n"/>
      <c r="B1164" s="54" t="n"/>
      <c r="C1164" s="55" t="n"/>
      <c r="D1164" s="55" t="n"/>
      <c r="E1164" s="55" t="n"/>
      <c r="F1164" s="55" t="n"/>
      <c r="G1164" s="56" t="n"/>
      <c r="H1164" s="57" t="n"/>
      <c r="I1164" s="55" t="n"/>
      <c r="J1164" s="53" t="n"/>
      <c r="K1164" s="54" t="n"/>
      <c r="L1164" s="55" t="n"/>
      <c r="M1164" s="55" t="n"/>
      <c r="N1164" s="57" t="n"/>
      <c r="O1164" s="55" t="n"/>
      <c r="P1164" s="56" t="n"/>
      <c r="Q1164" s="55" t="n"/>
      <c r="R1164" s="55" t="n"/>
      <c r="S1164" s="55" t="n"/>
      <c r="T1164" s="55" t="n"/>
      <c r="U1164" s="55" t="n"/>
      <c r="V1164" s="55" t="n"/>
      <c r="W1164" s="58" t="n"/>
      <c r="X1164" s="58" t="n"/>
      <c r="Y1164" s="55" t="n"/>
      <c r="Z1164" s="55" t="n"/>
      <c r="AA1164" s="55" t="n"/>
      <c r="AB1164" s="55" t="n"/>
      <c r="AC1164" s="55" t="n"/>
      <c r="AD1164" s="53" t="n"/>
      <c r="AE1164" s="55" t="n"/>
      <c r="AF1164" s="55" t="n"/>
      <c r="AG1164" s="59" t="n"/>
      <c r="AH1164" s="57" t="n"/>
      <c r="AI1164" s="55" t="n"/>
      <c r="AJ1164" s="55" t="n"/>
      <c r="AK1164" s="55" t="n"/>
      <c r="AL1164" s="55" t="n"/>
      <c r="AM1164" s="56" t="n"/>
      <c r="AN1164" s="55" t="n"/>
      <c r="AO1164" s="55" t="n"/>
      <c r="AP1164" s="55" t="n"/>
      <c r="AQ1164" s="55" t="n"/>
      <c r="AR1164" s="60">
        <f>IF(AND(C1164="",E1164=""),"",IF(A1164="","⚠ Date manquante",IF(AND(C1164="",E1164&lt;&gt;"Dépense"),"⚠ Prospect manquant",IF(E1164="","⚠ Action manquante",IF(AND(AU1164=1,D1164=""),"⚠ Canal manquant",IF(AND(W1164&lt;&gt;"",COUNTIFS('Saisie'!$W$5:$W$2004,W1164,'Saisie'!$C$5:$C$2004,"&lt;&gt;"&amp;C1164)&gt;0),"⚠ Numéro déjà utilisé par un autre prospect",IF(AND(J1164&lt;&gt;"",J1164&lt;A1164),"⚠ Relance avant la date de l'action",IF(A1164&gt;TODAY(),"⚠ Date dans le futur","✓"))))))))</f>
        <v/>
      </c>
      <c r="AS1164" s="61">
        <f>IF(AND(A1164="",C1164="",E1164=""),"",ROW())</f>
        <v/>
      </c>
      <c r="AT1164" s="61">
        <f>IF(E1164&amp;F1164="","",MAX(IFERROR(INDEX('Paramètres'!$J$6:$J$33,MATCH(E1164,'Paramètres'!$I$6:$I$33,0)),0),IFERROR(INDEX('Paramètres'!$N$6:$N$17,MATCH(F1164,'Paramètres'!$M$6:$M$17,0)),0)))</f>
        <v/>
      </c>
      <c r="AU1164" s="61">
        <f>IF(E1164="","",IFERROR(IF(INDEX('Paramètres'!$K$6:$K$33,MATCH(E1164,'Paramètres'!$I$6:$I$33,0))="Oui",1,0),0))</f>
        <v/>
      </c>
      <c r="AV1164" s="61">
        <f>IF(F1164="","",IFERROR(IF(INDEX('Paramètres'!$O$6:$O$17,MATCH(F1164,'Paramètres'!$M$6:$M$17,0))="Oui",1,0),0))</f>
        <v/>
      </c>
      <c r="AW1164" s="62">
        <f>IF(E1164="","",IF(G1164&lt;&gt;"",G1164,IF(OR(E1164="Proposition envoyée",E1164="Signature"),MAX(0,N(IFERROR(INDEX('Paramètres'!$R$6:$R$15,MATCH(IF(AL1164&lt;&gt;"",AL1164,IFERROR(INDEX('Prospects'!$AN$5:$AN$504,MATCH(C1164,'Prospects'!$C$5:$C$504,0)),"")),'Paramètres'!$Q$6:$Q$15,0)),0))-N(P1164)),0)))</f>
        <v/>
      </c>
      <c r="AX1164" s="61">
        <f>IF(C1164="","",IF(COUNTIF($C$5:C1164,C1164)=1,MAX($AX$4:AX1163)+1,""))</f>
        <v/>
      </c>
      <c r="AY1164" s="61">
        <f>IF(B1164="","",HOUR(B1164))</f>
        <v/>
      </c>
      <c r="AZ1164" s="61">
        <f>IF(A1164="","",MOD(A1164-2,7)+1)</f>
        <v/>
      </c>
      <c r="BA1164" s="60">
        <f>IF(C1164="","",IFERROR(INDEX('Prospects'!$N$5:$N$504,MATCH(C1164,'Prospects'!$C$5:$C$504,0)),""))</f>
        <v/>
      </c>
      <c r="BB1164" s="61">
        <f>IF(AND(C1164&lt;&gt;"",C1164='Fiche prospect'!$C$4),COUNTIF($C$5:C1164,C1164),"")</f>
        <v/>
      </c>
    </row>
    <row r="1165">
      <c r="A1165" s="53" t="n"/>
      <c r="B1165" s="54" t="n"/>
      <c r="C1165" s="55" t="n"/>
      <c r="D1165" s="55" t="n"/>
      <c r="E1165" s="55" t="n"/>
      <c r="F1165" s="55" t="n"/>
      <c r="G1165" s="56" t="n"/>
      <c r="H1165" s="57" t="n"/>
      <c r="I1165" s="55" t="n"/>
      <c r="J1165" s="53" t="n"/>
      <c r="K1165" s="54" t="n"/>
      <c r="L1165" s="55" t="n"/>
      <c r="M1165" s="55" t="n"/>
      <c r="N1165" s="57" t="n"/>
      <c r="O1165" s="55" t="n"/>
      <c r="P1165" s="56" t="n"/>
      <c r="Q1165" s="55" t="n"/>
      <c r="R1165" s="55" t="n"/>
      <c r="S1165" s="55" t="n"/>
      <c r="T1165" s="55" t="n"/>
      <c r="U1165" s="55" t="n"/>
      <c r="V1165" s="55" t="n"/>
      <c r="W1165" s="58" t="n"/>
      <c r="X1165" s="58" t="n"/>
      <c r="Y1165" s="55" t="n"/>
      <c r="Z1165" s="55" t="n"/>
      <c r="AA1165" s="55" t="n"/>
      <c r="AB1165" s="55" t="n"/>
      <c r="AC1165" s="55" t="n"/>
      <c r="AD1165" s="53" t="n"/>
      <c r="AE1165" s="55" t="n"/>
      <c r="AF1165" s="55" t="n"/>
      <c r="AG1165" s="59" t="n"/>
      <c r="AH1165" s="57" t="n"/>
      <c r="AI1165" s="55" t="n"/>
      <c r="AJ1165" s="55" t="n"/>
      <c r="AK1165" s="55" t="n"/>
      <c r="AL1165" s="55" t="n"/>
      <c r="AM1165" s="56" t="n"/>
      <c r="AN1165" s="55" t="n"/>
      <c r="AO1165" s="55" t="n"/>
      <c r="AP1165" s="55" t="n"/>
      <c r="AQ1165" s="55" t="n"/>
      <c r="AR1165" s="60">
        <f>IF(AND(C1165="",E1165=""),"",IF(A1165="","⚠ Date manquante",IF(AND(C1165="",E1165&lt;&gt;"Dépense"),"⚠ Prospect manquant",IF(E1165="","⚠ Action manquante",IF(AND(AU1165=1,D1165=""),"⚠ Canal manquant",IF(AND(W1165&lt;&gt;"",COUNTIFS('Saisie'!$W$5:$W$2004,W1165,'Saisie'!$C$5:$C$2004,"&lt;&gt;"&amp;C1165)&gt;0),"⚠ Numéro déjà utilisé par un autre prospect",IF(AND(J1165&lt;&gt;"",J1165&lt;A1165),"⚠ Relance avant la date de l'action",IF(A1165&gt;TODAY(),"⚠ Date dans le futur","✓"))))))))</f>
        <v/>
      </c>
      <c r="AS1165" s="61">
        <f>IF(AND(A1165="",C1165="",E1165=""),"",ROW())</f>
        <v/>
      </c>
      <c r="AT1165" s="61">
        <f>IF(E1165&amp;F1165="","",MAX(IFERROR(INDEX('Paramètres'!$J$6:$J$33,MATCH(E1165,'Paramètres'!$I$6:$I$33,0)),0),IFERROR(INDEX('Paramètres'!$N$6:$N$17,MATCH(F1165,'Paramètres'!$M$6:$M$17,0)),0)))</f>
        <v/>
      </c>
      <c r="AU1165" s="61">
        <f>IF(E1165="","",IFERROR(IF(INDEX('Paramètres'!$K$6:$K$33,MATCH(E1165,'Paramètres'!$I$6:$I$33,0))="Oui",1,0),0))</f>
        <v/>
      </c>
      <c r="AV1165" s="61">
        <f>IF(F1165="","",IFERROR(IF(INDEX('Paramètres'!$O$6:$O$17,MATCH(F1165,'Paramètres'!$M$6:$M$17,0))="Oui",1,0),0))</f>
        <v/>
      </c>
      <c r="AW1165" s="62">
        <f>IF(E1165="","",IF(G1165&lt;&gt;"",G1165,IF(OR(E1165="Proposition envoyée",E1165="Signature"),MAX(0,N(IFERROR(INDEX('Paramètres'!$R$6:$R$15,MATCH(IF(AL1165&lt;&gt;"",AL1165,IFERROR(INDEX('Prospects'!$AN$5:$AN$504,MATCH(C1165,'Prospects'!$C$5:$C$504,0)),"")),'Paramètres'!$Q$6:$Q$15,0)),0))-N(P1165)),0)))</f>
        <v/>
      </c>
      <c r="AX1165" s="61">
        <f>IF(C1165="","",IF(COUNTIF($C$5:C1165,C1165)=1,MAX($AX$4:AX1164)+1,""))</f>
        <v/>
      </c>
      <c r="AY1165" s="61">
        <f>IF(B1165="","",HOUR(B1165))</f>
        <v/>
      </c>
      <c r="AZ1165" s="61">
        <f>IF(A1165="","",MOD(A1165-2,7)+1)</f>
        <v/>
      </c>
      <c r="BA1165" s="60">
        <f>IF(C1165="","",IFERROR(INDEX('Prospects'!$N$5:$N$504,MATCH(C1165,'Prospects'!$C$5:$C$504,0)),""))</f>
        <v/>
      </c>
      <c r="BB1165" s="61">
        <f>IF(AND(C1165&lt;&gt;"",C1165='Fiche prospect'!$C$4),COUNTIF($C$5:C1165,C1165),"")</f>
        <v/>
      </c>
    </row>
    <row r="1166">
      <c r="A1166" s="53" t="n"/>
      <c r="B1166" s="54" t="n"/>
      <c r="C1166" s="55" t="n"/>
      <c r="D1166" s="55" t="n"/>
      <c r="E1166" s="55" t="n"/>
      <c r="F1166" s="55" t="n"/>
      <c r="G1166" s="56" t="n"/>
      <c r="H1166" s="57" t="n"/>
      <c r="I1166" s="55" t="n"/>
      <c r="J1166" s="53" t="n"/>
      <c r="K1166" s="54" t="n"/>
      <c r="L1166" s="55" t="n"/>
      <c r="M1166" s="55" t="n"/>
      <c r="N1166" s="57" t="n"/>
      <c r="O1166" s="55" t="n"/>
      <c r="P1166" s="56" t="n"/>
      <c r="Q1166" s="55" t="n"/>
      <c r="R1166" s="55" t="n"/>
      <c r="S1166" s="55" t="n"/>
      <c r="T1166" s="55" t="n"/>
      <c r="U1166" s="55" t="n"/>
      <c r="V1166" s="55" t="n"/>
      <c r="W1166" s="58" t="n"/>
      <c r="X1166" s="58" t="n"/>
      <c r="Y1166" s="55" t="n"/>
      <c r="Z1166" s="55" t="n"/>
      <c r="AA1166" s="55" t="n"/>
      <c r="AB1166" s="55" t="n"/>
      <c r="AC1166" s="55" t="n"/>
      <c r="AD1166" s="53" t="n"/>
      <c r="AE1166" s="55" t="n"/>
      <c r="AF1166" s="55" t="n"/>
      <c r="AG1166" s="59" t="n"/>
      <c r="AH1166" s="57" t="n"/>
      <c r="AI1166" s="55" t="n"/>
      <c r="AJ1166" s="55" t="n"/>
      <c r="AK1166" s="55" t="n"/>
      <c r="AL1166" s="55" t="n"/>
      <c r="AM1166" s="56" t="n"/>
      <c r="AN1166" s="55" t="n"/>
      <c r="AO1166" s="55" t="n"/>
      <c r="AP1166" s="55" t="n"/>
      <c r="AQ1166" s="55" t="n"/>
      <c r="AR1166" s="60">
        <f>IF(AND(C1166="",E1166=""),"",IF(A1166="","⚠ Date manquante",IF(AND(C1166="",E1166&lt;&gt;"Dépense"),"⚠ Prospect manquant",IF(E1166="","⚠ Action manquante",IF(AND(AU1166=1,D1166=""),"⚠ Canal manquant",IF(AND(W1166&lt;&gt;"",COUNTIFS('Saisie'!$W$5:$W$2004,W1166,'Saisie'!$C$5:$C$2004,"&lt;&gt;"&amp;C1166)&gt;0),"⚠ Numéro déjà utilisé par un autre prospect",IF(AND(J1166&lt;&gt;"",J1166&lt;A1166),"⚠ Relance avant la date de l'action",IF(A1166&gt;TODAY(),"⚠ Date dans le futur","✓"))))))))</f>
        <v/>
      </c>
      <c r="AS1166" s="61">
        <f>IF(AND(A1166="",C1166="",E1166=""),"",ROW())</f>
        <v/>
      </c>
      <c r="AT1166" s="61">
        <f>IF(E1166&amp;F1166="","",MAX(IFERROR(INDEX('Paramètres'!$J$6:$J$33,MATCH(E1166,'Paramètres'!$I$6:$I$33,0)),0),IFERROR(INDEX('Paramètres'!$N$6:$N$17,MATCH(F1166,'Paramètres'!$M$6:$M$17,0)),0)))</f>
        <v/>
      </c>
      <c r="AU1166" s="61">
        <f>IF(E1166="","",IFERROR(IF(INDEX('Paramètres'!$K$6:$K$33,MATCH(E1166,'Paramètres'!$I$6:$I$33,0))="Oui",1,0),0))</f>
        <v/>
      </c>
      <c r="AV1166" s="61">
        <f>IF(F1166="","",IFERROR(IF(INDEX('Paramètres'!$O$6:$O$17,MATCH(F1166,'Paramètres'!$M$6:$M$17,0))="Oui",1,0),0))</f>
        <v/>
      </c>
      <c r="AW1166" s="62">
        <f>IF(E1166="","",IF(G1166&lt;&gt;"",G1166,IF(OR(E1166="Proposition envoyée",E1166="Signature"),MAX(0,N(IFERROR(INDEX('Paramètres'!$R$6:$R$15,MATCH(IF(AL1166&lt;&gt;"",AL1166,IFERROR(INDEX('Prospects'!$AN$5:$AN$504,MATCH(C1166,'Prospects'!$C$5:$C$504,0)),"")),'Paramètres'!$Q$6:$Q$15,0)),0))-N(P1166)),0)))</f>
        <v/>
      </c>
      <c r="AX1166" s="61">
        <f>IF(C1166="","",IF(COUNTIF($C$5:C1166,C1166)=1,MAX($AX$4:AX1165)+1,""))</f>
        <v/>
      </c>
      <c r="AY1166" s="61">
        <f>IF(B1166="","",HOUR(B1166))</f>
        <v/>
      </c>
      <c r="AZ1166" s="61">
        <f>IF(A1166="","",MOD(A1166-2,7)+1)</f>
        <v/>
      </c>
      <c r="BA1166" s="60">
        <f>IF(C1166="","",IFERROR(INDEX('Prospects'!$N$5:$N$504,MATCH(C1166,'Prospects'!$C$5:$C$504,0)),""))</f>
        <v/>
      </c>
      <c r="BB1166" s="61">
        <f>IF(AND(C1166&lt;&gt;"",C1166='Fiche prospect'!$C$4),COUNTIF($C$5:C1166,C1166),"")</f>
        <v/>
      </c>
    </row>
    <row r="1167">
      <c r="A1167" s="53" t="n"/>
      <c r="B1167" s="54" t="n"/>
      <c r="C1167" s="55" t="n"/>
      <c r="D1167" s="55" t="n"/>
      <c r="E1167" s="55" t="n"/>
      <c r="F1167" s="55" t="n"/>
      <c r="G1167" s="56" t="n"/>
      <c r="H1167" s="57" t="n"/>
      <c r="I1167" s="55" t="n"/>
      <c r="J1167" s="53" t="n"/>
      <c r="K1167" s="54" t="n"/>
      <c r="L1167" s="55" t="n"/>
      <c r="M1167" s="55" t="n"/>
      <c r="N1167" s="57" t="n"/>
      <c r="O1167" s="55" t="n"/>
      <c r="P1167" s="56" t="n"/>
      <c r="Q1167" s="55" t="n"/>
      <c r="R1167" s="55" t="n"/>
      <c r="S1167" s="55" t="n"/>
      <c r="T1167" s="55" t="n"/>
      <c r="U1167" s="55" t="n"/>
      <c r="V1167" s="55" t="n"/>
      <c r="W1167" s="58" t="n"/>
      <c r="X1167" s="58" t="n"/>
      <c r="Y1167" s="55" t="n"/>
      <c r="Z1167" s="55" t="n"/>
      <c r="AA1167" s="55" t="n"/>
      <c r="AB1167" s="55" t="n"/>
      <c r="AC1167" s="55" t="n"/>
      <c r="AD1167" s="53" t="n"/>
      <c r="AE1167" s="55" t="n"/>
      <c r="AF1167" s="55" t="n"/>
      <c r="AG1167" s="59" t="n"/>
      <c r="AH1167" s="57" t="n"/>
      <c r="AI1167" s="55" t="n"/>
      <c r="AJ1167" s="55" t="n"/>
      <c r="AK1167" s="55" t="n"/>
      <c r="AL1167" s="55" t="n"/>
      <c r="AM1167" s="56" t="n"/>
      <c r="AN1167" s="55" t="n"/>
      <c r="AO1167" s="55" t="n"/>
      <c r="AP1167" s="55" t="n"/>
      <c r="AQ1167" s="55" t="n"/>
      <c r="AR1167" s="60">
        <f>IF(AND(C1167="",E1167=""),"",IF(A1167="","⚠ Date manquante",IF(AND(C1167="",E1167&lt;&gt;"Dépense"),"⚠ Prospect manquant",IF(E1167="","⚠ Action manquante",IF(AND(AU1167=1,D1167=""),"⚠ Canal manquant",IF(AND(W1167&lt;&gt;"",COUNTIFS('Saisie'!$W$5:$W$2004,W1167,'Saisie'!$C$5:$C$2004,"&lt;&gt;"&amp;C1167)&gt;0),"⚠ Numéro déjà utilisé par un autre prospect",IF(AND(J1167&lt;&gt;"",J1167&lt;A1167),"⚠ Relance avant la date de l'action",IF(A1167&gt;TODAY(),"⚠ Date dans le futur","✓"))))))))</f>
        <v/>
      </c>
      <c r="AS1167" s="61">
        <f>IF(AND(A1167="",C1167="",E1167=""),"",ROW())</f>
        <v/>
      </c>
      <c r="AT1167" s="61">
        <f>IF(E1167&amp;F1167="","",MAX(IFERROR(INDEX('Paramètres'!$J$6:$J$33,MATCH(E1167,'Paramètres'!$I$6:$I$33,0)),0),IFERROR(INDEX('Paramètres'!$N$6:$N$17,MATCH(F1167,'Paramètres'!$M$6:$M$17,0)),0)))</f>
        <v/>
      </c>
      <c r="AU1167" s="61">
        <f>IF(E1167="","",IFERROR(IF(INDEX('Paramètres'!$K$6:$K$33,MATCH(E1167,'Paramètres'!$I$6:$I$33,0))="Oui",1,0),0))</f>
        <v/>
      </c>
      <c r="AV1167" s="61">
        <f>IF(F1167="","",IFERROR(IF(INDEX('Paramètres'!$O$6:$O$17,MATCH(F1167,'Paramètres'!$M$6:$M$17,0))="Oui",1,0),0))</f>
        <v/>
      </c>
      <c r="AW1167" s="62">
        <f>IF(E1167="","",IF(G1167&lt;&gt;"",G1167,IF(OR(E1167="Proposition envoyée",E1167="Signature"),MAX(0,N(IFERROR(INDEX('Paramètres'!$R$6:$R$15,MATCH(IF(AL1167&lt;&gt;"",AL1167,IFERROR(INDEX('Prospects'!$AN$5:$AN$504,MATCH(C1167,'Prospects'!$C$5:$C$504,0)),"")),'Paramètres'!$Q$6:$Q$15,0)),0))-N(P1167)),0)))</f>
        <v/>
      </c>
      <c r="AX1167" s="61">
        <f>IF(C1167="","",IF(COUNTIF($C$5:C1167,C1167)=1,MAX($AX$4:AX1166)+1,""))</f>
        <v/>
      </c>
      <c r="AY1167" s="61">
        <f>IF(B1167="","",HOUR(B1167))</f>
        <v/>
      </c>
      <c r="AZ1167" s="61">
        <f>IF(A1167="","",MOD(A1167-2,7)+1)</f>
        <v/>
      </c>
      <c r="BA1167" s="60">
        <f>IF(C1167="","",IFERROR(INDEX('Prospects'!$N$5:$N$504,MATCH(C1167,'Prospects'!$C$5:$C$504,0)),""))</f>
        <v/>
      </c>
      <c r="BB1167" s="61">
        <f>IF(AND(C1167&lt;&gt;"",C1167='Fiche prospect'!$C$4),COUNTIF($C$5:C1167,C1167),"")</f>
        <v/>
      </c>
    </row>
    <row r="1168">
      <c r="A1168" s="53" t="n"/>
      <c r="B1168" s="54" t="n"/>
      <c r="C1168" s="55" t="n"/>
      <c r="D1168" s="55" t="n"/>
      <c r="E1168" s="55" t="n"/>
      <c r="F1168" s="55" t="n"/>
      <c r="G1168" s="56" t="n"/>
      <c r="H1168" s="57" t="n"/>
      <c r="I1168" s="55" t="n"/>
      <c r="J1168" s="53" t="n"/>
      <c r="K1168" s="54" t="n"/>
      <c r="L1168" s="55" t="n"/>
      <c r="M1168" s="55" t="n"/>
      <c r="N1168" s="57" t="n"/>
      <c r="O1168" s="55" t="n"/>
      <c r="P1168" s="56" t="n"/>
      <c r="Q1168" s="55" t="n"/>
      <c r="R1168" s="55" t="n"/>
      <c r="S1168" s="55" t="n"/>
      <c r="T1168" s="55" t="n"/>
      <c r="U1168" s="55" t="n"/>
      <c r="V1168" s="55" t="n"/>
      <c r="W1168" s="58" t="n"/>
      <c r="X1168" s="58" t="n"/>
      <c r="Y1168" s="55" t="n"/>
      <c r="Z1168" s="55" t="n"/>
      <c r="AA1168" s="55" t="n"/>
      <c r="AB1168" s="55" t="n"/>
      <c r="AC1168" s="55" t="n"/>
      <c r="AD1168" s="53" t="n"/>
      <c r="AE1168" s="55" t="n"/>
      <c r="AF1168" s="55" t="n"/>
      <c r="AG1168" s="59" t="n"/>
      <c r="AH1168" s="57" t="n"/>
      <c r="AI1168" s="55" t="n"/>
      <c r="AJ1168" s="55" t="n"/>
      <c r="AK1168" s="55" t="n"/>
      <c r="AL1168" s="55" t="n"/>
      <c r="AM1168" s="56" t="n"/>
      <c r="AN1168" s="55" t="n"/>
      <c r="AO1168" s="55" t="n"/>
      <c r="AP1168" s="55" t="n"/>
      <c r="AQ1168" s="55" t="n"/>
      <c r="AR1168" s="60">
        <f>IF(AND(C1168="",E1168=""),"",IF(A1168="","⚠ Date manquante",IF(AND(C1168="",E1168&lt;&gt;"Dépense"),"⚠ Prospect manquant",IF(E1168="","⚠ Action manquante",IF(AND(AU1168=1,D1168=""),"⚠ Canal manquant",IF(AND(W1168&lt;&gt;"",COUNTIFS('Saisie'!$W$5:$W$2004,W1168,'Saisie'!$C$5:$C$2004,"&lt;&gt;"&amp;C1168)&gt;0),"⚠ Numéro déjà utilisé par un autre prospect",IF(AND(J1168&lt;&gt;"",J1168&lt;A1168),"⚠ Relance avant la date de l'action",IF(A1168&gt;TODAY(),"⚠ Date dans le futur","✓"))))))))</f>
        <v/>
      </c>
      <c r="AS1168" s="61">
        <f>IF(AND(A1168="",C1168="",E1168=""),"",ROW())</f>
        <v/>
      </c>
      <c r="AT1168" s="61">
        <f>IF(E1168&amp;F1168="","",MAX(IFERROR(INDEX('Paramètres'!$J$6:$J$33,MATCH(E1168,'Paramètres'!$I$6:$I$33,0)),0),IFERROR(INDEX('Paramètres'!$N$6:$N$17,MATCH(F1168,'Paramètres'!$M$6:$M$17,0)),0)))</f>
        <v/>
      </c>
      <c r="AU1168" s="61">
        <f>IF(E1168="","",IFERROR(IF(INDEX('Paramètres'!$K$6:$K$33,MATCH(E1168,'Paramètres'!$I$6:$I$33,0))="Oui",1,0),0))</f>
        <v/>
      </c>
      <c r="AV1168" s="61">
        <f>IF(F1168="","",IFERROR(IF(INDEX('Paramètres'!$O$6:$O$17,MATCH(F1168,'Paramètres'!$M$6:$M$17,0))="Oui",1,0),0))</f>
        <v/>
      </c>
      <c r="AW1168" s="62">
        <f>IF(E1168="","",IF(G1168&lt;&gt;"",G1168,IF(OR(E1168="Proposition envoyée",E1168="Signature"),MAX(0,N(IFERROR(INDEX('Paramètres'!$R$6:$R$15,MATCH(IF(AL1168&lt;&gt;"",AL1168,IFERROR(INDEX('Prospects'!$AN$5:$AN$504,MATCH(C1168,'Prospects'!$C$5:$C$504,0)),"")),'Paramètres'!$Q$6:$Q$15,0)),0))-N(P1168)),0)))</f>
        <v/>
      </c>
      <c r="AX1168" s="61">
        <f>IF(C1168="","",IF(COUNTIF($C$5:C1168,C1168)=1,MAX($AX$4:AX1167)+1,""))</f>
        <v/>
      </c>
      <c r="AY1168" s="61">
        <f>IF(B1168="","",HOUR(B1168))</f>
        <v/>
      </c>
      <c r="AZ1168" s="61">
        <f>IF(A1168="","",MOD(A1168-2,7)+1)</f>
        <v/>
      </c>
      <c r="BA1168" s="60">
        <f>IF(C1168="","",IFERROR(INDEX('Prospects'!$N$5:$N$504,MATCH(C1168,'Prospects'!$C$5:$C$504,0)),""))</f>
        <v/>
      </c>
      <c r="BB1168" s="61">
        <f>IF(AND(C1168&lt;&gt;"",C1168='Fiche prospect'!$C$4),COUNTIF($C$5:C1168,C1168),"")</f>
        <v/>
      </c>
    </row>
    <row r="1169">
      <c r="A1169" s="53" t="n"/>
      <c r="B1169" s="54" t="n"/>
      <c r="C1169" s="55" t="n"/>
      <c r="D1169" s="55" t="n"/>
      <c r="E1169" s="55" t="n"/>
      <c r="F1169" s="55" t="n"/>
      <c r="G1169" s="56" t="n"/>
      <c r="H1169" s="57" t="n"/>
      <c r="I1169" s="55" t="n"/>
      <c r="J1169" s="53" t="n"/>
      <c r="K1169" s="54" t="n"/>
      <c r="L1169" s="55" t="n"/>
      <c r="M1169" s="55" t="n"/>
      <c r="N1169" s="57" t="n"/>
      <c r="O1169" s="55" t="n"/>
      <c r="P1169" s="56" t="n"/>
      <c r="Q1169" s="55" t="n"/>
      <c r="R1169" s="55" t="n"/>
      <c r="S1169" s="55" t="n"/>
      <c r="T1169" s="55" t="n"/>
      <c r="U1169" s="55" t="n"/>
      <c r="V1169" s="55" t="n"/>
      <c r="W1169" s="58" t="n"/>
      <c r="X1169" s="58" t="n"/>
      <c r="Y1169" s="55" t="n"/>
      <c r="Z1169" s="55" t="n"/>
      <c r="AA1169" s="55" t="n"/>
      <c r="AB1169" s="55" t="n"/>
      <c r="AC1169" s="55" t="n"/>
      <c r="AD1169" s="53" t="n"/>
      <c r="AE1169" s="55" t="n"/>
      <c r="AF1169" s="55" t="n"/>
      <c r="AG1169" s="59" t="n"/>
      <c r="AH1169" s="57" t="n"/>
      <c r="AI1169" s="55" t="n"/>
      <c r="AJ1169" s="55" t="n"/>
      <c r="AK1169" s="55" t="n"/>
      <c r="AL1169" s="55" t="n"/>
      <c r="AM1169" s="56" t="n"/>
      <c r="AN1169" s="55" t="n"/>
      <c r="AO1169" s="55" t="n"/>
      <c r="AP1169" s="55" t="n"/>
      <c r="AQ1169" s="55" t="n"/>
      <c r="AR1169" s="60">
        <f>IF(AND(C1169="",E1169=""),"",IF(A1169="","⚠ Date manquante",IF(AND(C1169="",E1169&lt;&gt;"Dépense"),"⚠ Prospect manquant",IF(E1169="","⚠ Action manquante",IF(AND(AU1169=1,D1169=""),"⚠ Canal manquant",IF(AND(W1169&lt;&gt;"",COUNTIFS('Saisie'!$W$5:$W$2004,W1169,'Saisie'!$C$5:$C$2004,"&lt;&gt;"&amp;C1169)&gt;0),"⚠ Numéro déjà utilisé par un autre prospect",IF(AND(J1169&lt;&gt;"",J1169&lt;A1169),"⚠ Relance avant la date de l'action",IF(A1169&gt;TODAY(),"⚠ Date dans le futur","✓"))))))))</f>
        <v/>
      </c>
      <c r="AS1169" s="61">
        <f>IF(AND(A1169="",C1169="",E1169=""),"",ROW())</f>
        <v/>
      </c>
      <c r="AT1169" s="61">
        <f>IF(E1169&amp;F1169="","",MAX(IFERROR(INDEX('Paramètres'!$J$6:$J$33,MATCH(E1169,'Paramètres'!$I$6:$I$33,0)),0),IFERROR(INDEX('Paramètres'!$N$6:$N$17,MATCH(F1169,'Paramètres'!$M$6:$M$17,0)),0)))</f>
        <v/>
      </c>
      <c r="AU1169" s="61">
        <f>IF(E1169="","",IFERROR(IF(INDEX('Paramètres'!$K$6:$K$33,MATCH(E1169,'Paramètres'!$I$6:$I$33,0))="Oui",1,0),0))</f>
        <v/>
      </c>
      <c r="AV1169" s="61">
        <f>IF(F1169="","",IFERROR(IF(INDEX('Paramètres'!$O$6:$O$17,MATCH(F1169,'Paramètres'!$M$6:$M$17,0))="Oui",1,0),0))</f>
        <v/>
      </c>
      <c r="AW1169" s="62">
        <f>IF(E1169="","",IF(G1169&lt;&gt;"",G1169,IF(OR(E1169="Proposition envoyée",E1169="Signature"),MAX(0,N(IFERROR(INDEX('Paramètres'!$R$6:$R$15,MATCH(IF(AL1169&lt;&gt;"",AL1169,IFERROR(INDEX('Prospects'!$AN$5:$AN$504,MATCH(C1169,'Prospects'!$C$5:$C$504,0)),"")),'Paramètres'!$Q$6:$Q$15,0)),0))-N(P1169)),0)))</f>
        <v/>
      </c>
      <c r="AX1169" s="61">
        <f>IF(C1169="","",IF(COUNTIF($C$5:C1169,C1169)=1,MAX($AX$4:AX1168)+1,""))</f>
        <v/>
      </c>
      <c r="AY1169" s="61">
        <f>IF(B1169="","",HOUR(B1169))</f>
        <v/>
      </c>
      <c r="AZ1169" s="61">
        <f>IF(A1169="","",MOD(A1169-2,7)+1)</f>
        <v/>
      </c>
      <c r="BA1169" s="60">
        <f>IF(C1169="","",IFERROR(INDEX('Prospects'!$N$5:$N$504,MATCH(C1169,'Prospects'!$C$5:$C$504,0)),""))</f>
        <v/>
      </c>
      <c r="BB1169" s="61">
        <f>IF(AND(C1169&lt;&gt;"",C1169='Fiche prospect'!$C$4),COUNTIF($C$5:C1169,C1169),"")</f>
        <v/>
      </c>
    </row>
    <row r="1170">
      <c r="A1170" s="53" t="n"/>
      <c r="B1170" s="54" t="n"/>
      <c r="C1170" s="55" t="n"/>
      <c r="D1170" s="55" t="n"/>
      <c r="E1170" s="55" t="n"/>
      <c r="F1170" s="55" t="n"/>
      <c r="G1170" s="56" t="n"/>
      <c r="H1170" s="57" t="n"/>
      <c r="I1170" s="55" t="n"/>
      <c r="J1170" s="53" t="n"/>
      <c r="K1170" s="54" t="n"/>
      <c r="L1170" s="55" t="n"/>
      <c r="M1170" s="55" t="n"/>
      <c r="N1170" s="57" t="n"/>
      <c r="O1170" s="55" t="n"/>
      <c r="P1170" s="56" t="n"/>
      <c r="Q1170" s="55" t="n"/>
      <c r="R1170" s="55" t="n"/>
      <c r="S1170" s="55" t="n"/>
      <c r="T1170" s="55" t="n"/>
      <c r="U1170" s="55" t="n"/>
      <c r="V1170" s="55" t="n"/>
      <c r="W1170" s="58" t="n"/>
      <c r="X1170" s="58" t="n"/>
      <c r="Y1170" s="55" t="n"/>
      <c r="Z1170" s="55" t="n"/>
      <c r="AA1170" s="55" t="n"/>
      <c r="AB1170" s="55" t="n"/>
      <c r="AC1170" s="55" t="n"/>
      <c r="AD1170" s="53" t="n"/>
      <c r="AE1170" s="55" t="n"/>
      <c r="AF1170" s="55" t="n"/>
      <c r="AG1170" s="59" t="n"/>
      <c r="AH1170" s="57" t="n"/>
      <c r="AI1170" s="55" t="n"/>
      <c r="AJ1170" s="55" t="n"/>
      <c r="AK1170" s="55" t="n"/>
      <c r="AL1170" s="55" t="n"/>
      <c r="AM1170" s="56" t="n"/>
      <c r="AN1170" s="55" t="n"/>
      <c r="AO1170" s="55" t="n"/>
      <c r="AP1170" s="55" t="n"/>
      <c r="AQ1170" s="55" t="n"/>
      <c r="AR1170" s="60">
        <f>IF(AND(C1170="",E1170=""),"",IF(A1170="","⚠ Date manquante",IF(AND(C1170="",E1170&lt;&gt;"Dépense"),"⚠ Prospect manquant",IF(E1170="","⚠ Action manquante",IF(AND(AU1170=1,D1170=""),"⚠ Canal manquant",IF(AND(W1170&lt;&gt;"",COUNTIFS('Saisie'!$W$5:$W$2004,W1170,'Saisie'!$C$5:$C$2004,"&lt;&gt;"&amp;C1170)&gt;0),"⚠ Numéro déjà utilisé par un autre prospect",IF(AND(J1170&lt;&gt;"",J1170&lt;A1170),"⚠ Relance avant la date de l'action",IF(A1170&gt;TODAY(),"⚠ Date dans le futur","✓"))))))))</f>
        <v/>
      </c>
      <c r="AS1170" s="61">
        <f>IF(AND(A1170="",C1170="",E1170=""),"",ROW())</f>
        <v/>
      </c>
      <c r="AT1170" s="61">
        <f>IF(E1170&amp;F1170="","",MAX(IFERROR(INDEX('Paramètres'!$J$6:$J$33,MATCH(E1170,'Paramètres'!$I$6:$I$33,0)),0),IFERROR(INDEX('Paramètres'!$N$6:$N$17,MATCH(F1170,'Paramètres'!$M$6:$M$17,0)),0)))</f>
        <v/>
      </c>
      <c r="AU1170" s="61">
        <f>IF(E1170="","",IFERROR(IF(INDEX('Paramètres'!$K$6:$K$33,MATCH(E1170,'Paramètres'!$I$6:$I$33,0))="Oui",1,0),0))</f>
        <v/>
      </c>
      <c r="AV1170" s="61">
        <f>IF(F1170="","",IFERROR(IF(INDEX('Paramètres'!$O$6:$O$17,MATCH(F1170,'Paramètres'!$M$6:$M$17,0))="Oui",1,0),0))</f>
        <v/>
      </c>
      <c r="AW1170" s="62">
        <f>IF(E1170="","",IF(G1170&lt;&gt;"",G1170,IF(OR(E1170="Proposition envoyée",E1170="Signature"),MAX(0,N(IFERROR(INDEX('Paramètres'!$R$6:$R$15,MATCH(IF(AL1170&lt;&gt;"",AL1170,IFERROR(INDEX('Prospects'!$AN$5:$AN$504,MATCH(C1170,'Prospects'!$C$5:$C$504,0)),"")),'Paramètres'!$Q$6:$Q$15,0)),0))-N(P1170)),0)))</f>
        <v/>
      </c>
      <c r="AX1170" s="61">
        <f>IF(C1170="","",IF(COUNTIF($C$5:C1170,C1170)=1,MAX($AX$4:AX1169)+1,""))</f>
        <v/>
      </c>
      <c r="AY1170" s="61">
        <f>IF(B1170="","",HOUR(B1170))</f>
        <v/>
      </c>
      <c r="AZ1170" s="61">
        <f>IF(A1170="","",MOD(A1170-2,7)+1)</f>
        <v/>
      </c>
      <c r="BA1170" s="60">
        <f>IF(C1170="","",IFERROR(INDEX('Prospects'!$N$5:$N$504,MATCH(C1170,'Prospects'!$C$5:$C$504,0)),""))</f>
        <v/>
      </c>
      <c r="BB1170" s="61">
        <f>IF(AND(C1170&lt;&gt;"",C1170='Fiche prospect'!$C$4),COUNTIF($C$5:C1170,C1170),"")</f>
        <v/>
      </c>
    </row>
    <row r="1171">
      <c r="A1171" s="53" t="n"/>
      <c r="B1171" s="54" t="n"/>
      <c r="C1171" s="55" t="n"/>
      <c r="D1171" s="55" t="n"/>
      <c r="E1171" s="55" t="n"/>
      <c r="F1171" s="55" t="n"/>
      <c r="G1171" s="56" t="n"/>
      <c r="H1171" s="57" t="n"/>
      <c r="I1171" s="55" t="n"/>
      <c r="J1171" s="53" t="n"/>
      <c r="K1171" s="54" t="n"/>
      <c r="L1171" s="55" t="n"/>
      <c r="M1171" s="55" t="n"/>
      <c r="N1171" s="57" t="n"/>
      <c r="O1171" s="55" t="n"/>
      <c r="P1171" s="56" t="n"/>
      <c r="Q1171" s="55" t="n"/>
      <c r="R1171" s="55" t="n"/>
      <c r="S1171" s="55" t="n"/>
      <c r="T1171" s="55" t="n"/>
      <c r="U1171" s="55" t="n"/>
      <c r="V1171" s="55" t="n"/>
      <c r="W1171" s="58" t="n"/>
      <c r="X1171" s="58" t="n"/>
      <c r="Y1171" s="55" t="n"/>
      <c r="Z1171" s="55" t="n"/>
      <c r="AA1171" s="55" t="n"/>
      <c r="AB1171" s="55" t="n"/>
      <c r="AC1171" s="55" t="n"/>
      <c r="AD1171" s="53" t="n"/>
      <c r="AE1171" s="55" t="n"/>
      <c r="AF1171" s="55" t="n"/>
      <c r="AG1171" s="59" t="n"/>
      <c r="AH1171" s="57" t="n"/>
      <c r="AI1171" s="55" t="n"/>
      <c r="AJ1171" s="55" t="n"/>
      <c r="AK1171" s="55" t="n"/>
      <c r="AL1171" s="55" t="n"/>
      <c r="AM1171" s="56" t="n"/>
      <c r="AN1171" s="55" t="n"/>
      <c r="AO1171" s="55" t="n"/>
      <c r="AP1171" s="55" t="n"/>
      <c r="AQ1171" s="55" t="n"/>
      <c r="AR1171" s="60">
        <f>IF(AND(C1171="",E1171=""),"",IF(A1171="","⚠ Date manquante",IF(AND(C1171="",E1171&lt;&gt;"Dépense"),"⚠ Prospect manquant",IF(E1171="","⚠ Action manquante",IF(AND(AU1171=1,D1171=""),"⚠ Canal manquant",IF(AND(W1171&lt;&gt;"",COUNTIFS('Saisie'!$W$5:$W$2004,W1171,'Saisie'!$C$5:$C$2004,"&lt;&gt;"&amp;C1171)&gt;0),"⚠ Numéro déjà utilisé par un autre prospect",IF(AND(J1171&lt;&gt;"",J1171&lt;A1171),"⚠ Relance avant la date de l'action",IF(A1171&gt;TODAY(),"⚠ Date dans le futur","✓"))))))))</f>
        <v/>
      </c>
      <c r="AS1171" s="61">
        <f>IF(AND(A1171="",C1171="",E1171=""),"",ROW())</f>
        <v/>
      </c>
      <c r="AT1171" s="61">
        <f>IF(E1171&amp;F1171="","",MAX(IFERROR(INDEX('Paramètres'!$J$6:$J$33,MATCH(E1171,'Paramètres'!$I$6:$I$33,0)),0),IFERROR(INDEX('Paramètres'!$N$6:$N$17,MATCH(F1171,'Paramètres'!$M$6:$M$17,0)),0)))</f>
        <v/>
      </c>
      <c r="AU1171" s="61">
        <f>IF(E1171="","",IFERROR(IF(INDEX('Paramètres'!$K$6:$K$33,MATCH(E1171,'Paramètres'!$I$6:$I$33,0))="Oui",1,0),0))</f>
        <v/>
      </c>
      <c r="AV1171" s="61">
        <f>IF(F1171="","",IFERROR(IF(INDEX('Paramètres'!$O$6:$O$17,MATCH(F1171,'Paramètres'!$M$6:$M$17,0))="Oui",1,0),0))</f>
        <v/>
      </c>
      <c r="AW1171" s="62">
        <f>IF(E1171="","",IF(G1171&lt;&gt;"",G1171,IF(OR(E1171="Proposition envoyée",E1171="Signature"),MAX(0,N(IFERROR(INDEX('Paramètres'!$R$6:$R$15,MATCH(IF(AL1171&lt;&gt;"",AL1171,IFERROR(INDEX('Prospects'!$AN$5:$AN$504,MATCH(C1171,'Prospects'!$C$5:$C$504,0)),"")),'Paramètres'!$Q$6:$Q$15,0)),0))-N(P1171)),0)))</f>
        <v/>
      </c>
      <c r="AX1171" s="61">
        <f>IF(C1171="","",IF(COUNTIF($C$5:C1171,C1171)=1,MAX($AX$4:AX1170)+1,""))</f>
        <v/>
      </c>
      <c r="AY1171" s="61">
        <f>IF(B1171="","",HOUR(B1171))</f>
        <v/>
      </c>
      <c r="AZ1171" s="61">
        <f>IF(A1171="","",MOD(A1171-2,7)+1)</f>
        <v/>
      </c>
      <c r="BA1171" s="60">
        <f>IF(C1171="","",IFERROR(INDEX('Prospects'!$N$5:$N$504,MATCH(C1171,'Prospects'!$C$5:$C$504,0)),""))</f>
        <v/>
      </c>
      <c r="BB1171" s="61">
        <f>IF(AND(C1171&lt;&gt;"",C1171='Fiche prospect'!$C$4),COUNTIF($C$5:C1171,C1171),"")</f>
        <v/>
      </c>
    </row>
    <row r="1172">
      <c r="A1172" s="53" t="n"/>
      <c r="B1172" s="54" t="n"/>
      <c r="C1172" s="55" t="n"/>
      <c r="D1172" s="55" t="n"/>
      <c r="E1172" s="55" t="n"/>
      <c r="F1172" s="55" t="n"/>
      <c r="G1172" s="56" t="n"/>
      <c r="H1172" s="57" t="n"/>
      <c r="I1172" s="55" t="n"/>
      <c r="J1172" s="53" t="n"/>
      <c r="K1172" s="54" t="n"/>
      <c r="L1172" s="55" t="n"/>
      <c r="M1172" s="55" t="n"/>
      <c r="N1172" s="57" t="n"/>
      <c r="O1172" s="55" t="n"/>
      <c r="P1172" s="56" t="n"/>
      <c r="Q1172" s="55" t="n"/>
      <c r="R1172" s="55" t="n"/>
      <c r="S1172" s="55" t="n"/>
      <c r="T1172" s="55" t="n"/>
      <c r="U1172" s="55" t="n"/>
      <c r="V1172" s="55" t="n"/>
      <c r="W1172" s="58" t="n"/>
      <c r="X1172" s="58" t="n"/>
      <c r="Y1172" s="55" t="n"/>
      <c r="Z1172" s="55" t="n"/>
      <c r="AA1172" s="55" t="n"/>
      <c r="AB1172" s="55" t="n"/>
      <c r="AC1172" s="55" t="n"/>
      <c r="AD1172" s="53" t="n"/>
      <c r="AE1172" s="55" t="n"/>
      <c r="AF1172" s="55" t="n"/>
      <c r="AG1172" s="59" t="n"/>
      <c r="AH1172" s="57" t="n"/>
      <c r="AI1172" s="55" t="n"/>
      <c r="AJ1172" s="55" t="n"/>
      <c r="AK1172" s="55" t="n"/>
      <c r="AL1172" s="55" t="n"/>
      <c r="AM1172" s="56" t="n"/>
      <c r="AN1172" s="55" t="n"/>
      <c r="AO1172" s="55" t="n"/>
      <c r="AP1172" s="55" t="n"/>
      <c r="AQ1172" s="55" t="n"/>
      <c r="AR1172" s="60">
        <f>IF(AND(C1172="",E1172=""),"",IF(A1172="","⚠ Date manquante",IF(AND(C1172="",E1172&lt;&gt;"Dépense"),"⚠ Prospect manquant",IF(E1172="","⚠ Action manquante",IF(AND(AU1172=1,D1172=""),"⚠ Canal manquant",IF(AND(W1172&lt;&gt;"",COUNTIFS('Saisie'!$W$5:$W$2004,W1172,'Saisie'!$C$5:$C$2004,"&lt;&gt;"&amp;C1172)&gt;0),"⚠ Numéro déjà utilisé par un autre prospect",IF(AND(J1172&lt;&gt;"",J1172&lt;A1172),"⚠ Relance avant la date de l'action",IF(A1172&gt;TODAY(),"⚠ Date dans le futur","✓"))))))))</f>
        <v/>
      </c>
      <c r="AS1172" s="61">
        <f>IF(AND(A1172="",C1172="",E1172=""),"",ROW())</f>
        <v/>
      </c>
      <c r="AT1172" s="61">
        <f>IF(E1172&amp;F1172="","",MAX(IFERROR(INDEX('Paramètres'!$J$6:$J$33,MATCH(E1172,'Paramètres'!$I$6:$I$33,0)),0),IFERROR(INDEX('Paramètres'!$N$6:$N$17,MATCH(F1172,'Paramètres'!$M$6:$M$17,0)),0)))</f>
        <v/>
      </c>
      <c r="AU1172" s="61">
        <f>IF(E1172="","",IFERROR(IF(INDEX('Paramètres'!$K$6:$K$33,MATCH(E1172,'Paramètres'!$I$6:$I$33,0))="Oui",1,0),0))</f>
        <v/>
      </c>
      <c r="AV1172" s="61">
        <f>IF(F1172="","",IFERROR(IF(INDEX('Paramètres'!$O$6:$O$17,MATCH(F1172,'Paramètres'!$M$6:$M$17,0))="Oui",1,0),0))</f>
        <v/>
      </c>
      <c r="AW1172" s="62">
        <f>IF(E1172="","",IF(G1172&lt;&gt;"",G1172,IF(OR(E1172="Proposition envoyée",E1172="Signature"),MAX(0,N(IFERROR(INDEX('Paramètres'!$R$6:$R$15,MATCH(IF(AL1172&lt;&gt;"",AL1172,IFERROR(INDEX('Prospects'!$AN$5:$AN$504,MATCH(C1172,'Prospects'!$C$5:$C$504,0)),"")),'Paramètres'!$Q$6:$Q$15,0)),0))-N(P1172)),0)))</f>
        <v/>
      </c>
      <c r="AX1172" s="61">
        <f>IF(C1172="","",IF(COUNTIF($C$5:C1172,C1172)=1,MAX($AX$4:AX1171)+1,""))</f>
        <v/>
      </c>
      <c r="AY1172" s="61">
        <f>IF(B1172="","",HOUR(B1172))</f>
        <v/>
      </c>
      <c r="AZ1172" s="61">
        <f>IF(A1172="","",MOD(A1172-2,7)+1)</f>
        <v/>
      </c>
      <c r="BA1172" s="60">
        <f>IF(C1172="","",IFERROR(INDEX('Prospects'!$N$5:$N$504,MATCH(C1172,'Prospects'!$C$5:$C$504,0)),""))</f>
        <v/>
      </c>
      <c r="BB1172" s="61">
        <f>IF(AND(C1172&lt;&gt;"",C1172='Fiche prospect'!$C$4),COUNTIF($C$5:C1172,C1172),"")</f>
        <v/>
      </c>
    </row>
    <row r="1173">
      <c r="A1173" s="53" t="n"/>
      <c r="B1173" s="54" t="n"/>
      <c r="C1173" s="55" t="n"/>
      <c r="D1173" s="55" t="n"/>
      <c r="E1173" s="55" t="n"/>
      <c r="F1173" s="55" t="n"/>
      <c r="G1173" s="56" t="n"/>
      <c r="H1173" s="57" t="n"/>
      <c r="I1173" s="55" t="n"/>
      <c r="J1173" s="53" t="n"/>
      <c r="K1173" s="54" t="n"/>
      <c r="L1173" s="55" t="n"/>
      <c r="M1173" s="55" t="n"/>
      <c r="N1173" s="57" t="n"/>
      <c r="O1173" s="55" t="n"/>
      <c r="P1173" s="56" t="n"/>
      <c r="Q1173" s="55" t="n"/>
      <c r="R1173" s="55" t="n"/>
      <c r="S1173" s="55" t="n"/>
      <c r="T1173" s="55" t="n"/>
      <c r="U1173" s="55" t="n"/>
      <c r="V1173" s="55" t="n"/>
      <c r="W1173" s="58" t="n"/>
      <c r="X1173" s="58" t="n"/>
      <c r="Y1173" s="55" t="n"/>
      <c r="Z1173" s="55" t="n"/>
      <c r="AA1173" s="55" t="n"/>
      <c r="AB1173" s="55" t="n"/>
      <c r="AC1173" s="55" t="n"/>
      <c r="AD1173" s="53" t="n"/>
      <c r="AE1173" s="55" t="n"/>
      <c r="AF1173" s="55" t="n"/>
      <c r="AG1173" s="59" t="n"/>
      <c r="AH1173" s="57" t="n"/>
      <c r="AI1173" s="55" t="n"/>
      <c r="AJ1173" s="55" t="n"/>
      <c r="AK1173" s="55" t="n"/>
      <c r="AL1173" s="55" t="n"/>
      <c r="AM1173" s="56" t="n"/>
      <c r="AN1173" s="55" t="n"/>
      <c r="AO1173" s="55" t="n"/>
      <c r="AP1173" s="55" t="n"/>
      <c r="AQ1173" s="55" t="n"/>
      <c r="AR1173" s="60">
        <f>IF(AND(C1173="",E1173=""),"",IF(A1173="","⚠ Date manquante",IF(AND(C1173="",E1173&lt;&gt;"Dépense"),"⚠ Prospect manquant",IF(E1173="","⚠ Action manquante",IF(AND(AU1173=1,D1173=""),"⚠ Canal manquant",IF(AND(W1173&lt;&gt;"",COUNTIFS('Saisie'!$W$5:$W$2004,W1173,'Saisie'!$C$5:$C$2004,"&lt;&gt;"&amp;C1173)&gt;0),"⚠ Numéro déjà utilisé par un autre prospect",IF(AND(J1173&lt;&gt;"",J1173&lt;A1173),"⚠ Relance avant la date de l'action",IF(A1173&gt;TODAY(),"⚠ Date dans le futur","✓"))))))))</f>
        <v/>
      </c>
      <c r="AS1173" s="61">
        <f>IF(AND(A1173="",C1173="",E1173=""),"",ROW())</f>
        <v/>
      </c>
      <c r="AT1173" s="61">
        <f>IF(E1173&amp;F1173="","",MAX(IFERROR(INDEX('Paramètres'!$J$6:$J$33,MATCH(E1173,'Paramètres'!$I$6:$I$33,0)),0),IFERROR(INDEX('Paramètres'!$N$6:$N$17,MATCH(F1173,'Paramètres'!$M$6:$M$17,0)),0)))</f>
        <v/>
      </c>
      <c r="AU1173" s="61">
        <f>IF(E1173="","",IFERROR(IF(INDEX('Paramètres'!$K$6:$K$33,MATCH(E1173,'Paramètres'!$I$6:$I$33,0))="Oui",1,0),0))</f>
        <v/>
      </c>
      <c r="AV1173" s="61">
        <f>IF(F1173="","",IFERROR(IF(INDEX('Paramètres'!$O$6:$O$17,MATCH(F1173,'Paramètres'!$M$6:$M$17,0))="Oui",1,0),0))</f>
        <v/>
      </c>
      <c r="AW1173" s="62">
        <f>IF(E1173="","",IF(G1173&lt;&gt;"",G1173,IF(OR(E1173="Proposition envoyée",E1173="Signature"),MAX(0,N(IFERROR(INDEX('Paramètres'!$R$6:$R$15,MATCH(IF(AL1173&lt;&gt;"",AL1173,IFERROR(INDEX('Prospects'!$AN$5:$AN$504,MATCH(C1173,'Prospects'!$C$5:$C$504,0)),"")),'Paramètres'!$Q$6:$Q$15,0)),0))-N(P1173)),0)))</f>
        <v/>
      </c>
      <c r="AX1173" s="61">
        <f>IF(C1173="","",IF(COUNTIF($C$5:C1173,C1173)=1,MAX($AX$4:AX1172)+1,""))</f>
        <v/>
      </c>
      <c r="AY1173" s="61">
        <f>IF(B1173="","",HOUR(B1173))</f>
        <v/>
      </c>
      <c r="AZ1173" s="61">
        <f>IF(A1173="","",MOD(A1173-2,7)+1)</f>
        <v/>
      </c>
      <c r="BA1173" s="60">
        <f>IF(C1173="","",IFERROR(INDEX('Prospects'!$N$5:$N$504,MATCH(C1173,'Prospects'!$C$5:$C$504,0)),""))</f>
        <v/>
      </c>
      <c r="BB1173" s="61">
        <f>IF(AND(C1173&lt;&gt;"",C1173='Fiche prospect'!$C$4),COUNTIF($C$5:C1173,C1173),"")</f>
        <v/>
      </c>
    </row>
    <row r="1174">
      <c r="A1174" s="53" t="n"/>
      <c r="B1174" s="54" t="n"/>
      <c r="C1174" s="55" t="n"/>
      <c r="D1174" s="55" t="n"/>
      <c r="E1174" s="55" t="n"/>
      <c r="F1174" s="55" t="n"/>
      <c r="G1174" s="56" t="n"/>
      <c r="H1174" s="57" t="n"/>
      <c r="I1174" s="55" t="n"/>
      <c r="J1174" s="53" t="n"/>
      <c r="K1174" s="54" t="n"/>
      <c r="L1174" s="55" t="n"/>
      <c r="M1174" s="55" t="n"/>
      <c r="N1174" s="57" t="n"/>
      <c r="O1174" s="55" t="n"/>
      <c r="P1174" s="56" t="n"/>
      <c r="Q1174" s="55" t="n"/>
      <c r="R1174" s="55" t="n"/>
      <c r="S1174" s="55" t="n"/>
      <c r="T1174" s="55" t="n"/>
      <c r="U1174" s="55" t="n"/>
      <c r="V1174" s="55" t="n"/>
      <c r="W1174" s="58" t="n"/>
      <c r="X1174" s="58" t="n"/>
      <c r="Y1174" s="55" t="n"/>
      <c r="Z1174" s="55" t="n"/>
      <c r="AA1174" s="55" t="n"/>
      <c r="AB1174" s="55" t="n"/>
      <c r="AC1174" s="55" t="n"/>
      <c r="AD1174" s="53" t="n"/>
      <c r="AE1174" s="55" t="n"/>
      <c r="AF1174" s="55" t="n"/>
      <c r="AG1174" s="59" t="n"/>
      <c r="AH1174" s="57" t="n"/>
      <c r="AI1174" s="55" t="n"/>
      <c r="AJ1174" s="55" t="n"/>
      <c r="AK1174" s="55" t="n"/>
      <c r="AL1174" s="55" t="n"/>
      <c r="AM1174" s="56" t="n"/>
      <c r="AN1174" s="55" t="n"/>
      <c r="AO1174" s="55" t="n"/>
      <c r="AP1174" s="55" t="n"/>
      <c r="AQ1174" s="55" t="n"/>
      <c r="AR1174" s="60">
        <f>IF(AND(C1174="",E1174=""),"",IF(A1174="","⚠ Date manquante",IF(AND(C1174="",E1174&lt;&gt;"Dépense"),"⚠ Prospect manquant",IF(E1174="","⚠ Action manquante",IF(AND(AU1174=1,D1174=""),"⚠ Canal manquant",IF(AND(W1174&lt;&gt;"",COUNTIFS('Saisie'!$W$5:$W$2004,W1174,'Saisie'!$C$5:$C$2004,"&lt;&gt;"&amp;C1174)&gt;0),"⚠ Numéro déjà utilisé par un autre prospect",IF(AND(J1174&lt;&gt;"",J1174&lt;A1174),"⚠ Relance avant la date de l'action",IF(A1174&gt;TODAY(),"⚠ Date dans le futur","✓"))))))))</f>
        <v/>
      </c>
      <c r="AS1174" s="61">
        <f>IF(AND(A1174="",C1174="",E1174=""),"",ROW())</f>
        <v/>
      </c>
      <c r="AT1174" s="61">
        <f>IF(E1174&amp;F1174="","",MAX(IFERROR(INDEX('Paramètres'!$J$6:$J$33,MATCH(E1174,'Paramètres'!$I$6:$I$33,0)),0),IFERROR(INDEX('Paramètres'!$N$6:$N$17,MATCH(F1174,'Paramètres'!$M$6:$M$17,0)),0)))</f>
        <v/>
      </c>
      <c r="AU1174" s="61">
        <f>IF(E1174="","",IFERROR(IF(INDEX('Paramètres'!$K$6:$K$33,MATCH(E1174,'Paramètres'!$I$6:$I$33,0))="Oui",1,0),0))</f>
        <v/>
      </c>
      <c r="AV1174" s="61">
        <f>IF(F1174="","",IFERROR(IF(INDEX('Paramètres'!$O$6:$O$17,MATCH(F1174,'Paramètres'!$M$6:$M$17,0))="Oui",1,0),0))</f>
        <v/>
      </c>
      <c r="AW1174" s="62">
        <f>IF(E1174="","",IF(G1174&lt;&gt;"",G1174,IF(OR(E1174="Proposition envoyée",E1174="Signature"),MAX(0,N(IFERROR(INDEX('Paramètres'!$R$6:$R$15,MATCH(IF(AL1174&lt;&gt;"",AL1174,IFERROR(INDEX('Prospects'!$AN$5:$AN$504,MATCH(C1174,'Prospects'!$C$5:$C$504,0)),"")),'Paramètres'!$Q$6:$Q$15,0)),0))-N(P1174)),0)))</f>
        <v/>
      </c>
      <c r="AX1174" s="61">
        <f>IF(C1174="","",IF(COUNTIF($C$5:C1174,C1174)=1,MAX($AX$4:AX1173)+1,""))</f>
        <v/>
      </c>
      <c r="AY1174" s="61">
        <f>IF(B1174="","",HOUR(B1174))</f>
        <v/>
      </c>
      <c r="AZ1174" s="61">
        <f>IF(A1174="","",MOD(A1174-2,7)+1)</f>
        <v/>
      </c>
      <c r="BA1174" s="60">
        <f>IF(C1174="","",IFERROR(INDEX('Prospects'!$N$5:$N$504,MATCH(C1174,'Prospects'!$C$5:$C$504,0)),""))</f>
        <v/>
      </c>
      <c r="BB1174" s="61">
        <f>IF(AND(C1174&lt;&gt;"",C1174='Fiche prospect'!$C$4),COUNTIF($C$5:C1174,C1174),"")</f>
        <v/>
      </c>
    </row>
    <row r="1175">
      <c r="A1175" s="53" t="n"/>
      <c r="B1175" s="54" t="n"/>
      <c r="C1175" s="55" t="n"/>
      <c r="D1175" s="55" t="n"/>
      <c r="E1175" s="55" t="n"/>
      <c r="F1175" s="55" t="n"/>
      <c r="G1175" s="56" t="n"/>
      <c r="H1175" s="57" t="n"/>
      <c r="I1175" s="55" t="n"/>
      <c r="J1175" s="53" t="n"/>
      <c r="K1175" s="54" t="n"/>
      <c r="L1175" s="55" t="n"/>
      <c r="M1175" s="55" t="n"/>
      <c r="N1175" s="57" t="n"/>
      <c r="O1175" s="55" t="n"/>
      <c r="P1175" s="56" t="n"/>
      <c r="Q1175" s="55" t="n"/>
      <c r="R1175" s="55" t="n"/>
      <c r="S1175" s="55" t="n"/>
      <c r="T1175" s="55" t="n"/>
      <c r="U1175" s="55" t="n"/>
      <c r="V1175" s="55" t="n"/>
      <c r="W1175" s="58" t="n"/>
      <c r="X1175" s="58" t="n"/>
      <c r="Y1175" s="55" t="n"/>
      <c r="Z1175" s="55" t="n"/>
      <c r="AA1175" s="55" t="n"/>
      <c r="AB1175" s="55" t="n"/>
      <c r="AC1175" s="55" t="n"/>
      <c r="AD1175" s="53" t="n"/>
      <c r="AE1175" s="55" t="n"/>
      <c r="AF1175" s="55" t="n"/>
      <c r="AG1175" s="59" t="n"/>
      <c r="AH1175" s="57" t="n"/>
      <c r="AI1175" s="55" t="n"/>
      <c r="AJ1175" s="55" t="n"/>
      <c r="AK1175" s="55" t="n"/>
      <c r="AL1175" s="55" t="n"/>
      <c r="AM1175" s="56" t="n"/>
      <c r="AN1175" s="55" t="n"/>
      <c r="AO1175" s="55" t="n"/>
      <c r="AP1175" s="55" t="n"/>
      <c r="AQ1175" s="55" t="n"/>
      <c r="AR1175" s="60">
        <f>IF(AND(C1175="",E1175=""),"",IF(A1175="","⚠ Date manquante",IF(AND(C1175="",E1175&lt;&gt;"Dépense"),"⚠ Prospect manquant",IF(E1175="","⚠ Action manquante",IF(AND(AU1175=1,D1175=""),"⚠ Canal manquant",IF(AND(W1175&lt;&gt;"",COUNTIFS('Saisie'!$W$5:$W$2004,W1175,'Saisie'!$C$5:$C$2004,"&lt;&gt;"&amp;C1175)&gt;0),"⚠ Numéro déjà utilisé par un autre prospect",IF(AND(J1175&lt;&gt;"",J1175&lt;A1175),"⚠ Relance avant la date de l'action",IF(A1175&gt;TODAY(),"⚠ Date dans le futur","✓"))))))))</f>
        <v/>
      </c>
      <c r="AS1175" s="61">
        <f>IF(AND(A1175="",C1175="",E1175=""),"",ROW())</f>
        <v/>
      </c>
      <c r="AT1175" s="61">
        <f>IF(E1175&amp;F1175="","",MAX(IFERROR(INDEX('Paramètres'!$J$6:$J$33,MATCH(E1175,'Paramètres'!$I$6:$I$33,0)),0),IFERROR(INDEX('Paramètres'!$N$6:$N$17,MATCH(F1175,'Paramètres'!$M$6:$M$17,0)),0)))</f>
        <v/>
      </c>
      <c r="AU1175" s="61">
        <f>IF(E1175="","",IFERROR(IF(INDEX('Paramètres'!$K$6:$K$33,MATCH(E1175,'Paramètres'!$I$6:$I$33,0))="Oui",1,0),0))</f>
        <v/>
      </c>
      <c r="AV1175" s="61">
        <f>IF(F1175="","",IFERROR(IF(INDEX('Paramètres'!$O$6:$O$17,MATCH(F1175,'Paramètres'!$M$6:$M$17,0))="Oui",1,0),0))</f>
        <v/>
      </c>
      <c r="AW1175" s="62">
        <f>IF(E1175="","",IF(G1175&lt;&gt;"",G1175,IF(OR(E1175="Proposition envoyée",E1175="Signature"),MAX(0,N(IFERROR(INDEX('Paramètres'!$R$6:$R$15,MATCH(IF(AL1175&lt;&gt;"",AL1175,IFERROR(INDEX('Prospects'!$AN$5:$AN$504,MATCH(C1175,'Prospects'!$C$5:$C$504,0)),"")),'Paramètres'!$Q$6:$Q$15,0)),0))-N(P1175)),0)))</f>
        <v/>
      </c>
      <c r="AX1175" s="61">
        <f>IF(C1175="","",IF(COUNTIF($C$5:C1175,C1175)=1,MAX($AX$4:AX1174)+1,""))</f>
        <v/>
      </c>
      <c r="AY1175" s="61">
        <f>IF(B1175="","",HOUR(B1175))</f>
        <v/>
      </c>
      <c r="AZ1175" s="61">
        <f>IF(A1175="","",MOD(A1175-2,7)+1)</f>
        <v/>
      </c>
      <c r="BA1175" s="60">
        <f>IF(C1175="","",IFERROR(INDEX('Prospects'!$N$5:$N$504,MATCH(C1175,'Prospects'!$C$5:$C$504,0)),""))</f>
        <v/>
      </c>
      <c r="BB1175" s="61">
        <f>IF(AND(C1175&lt;&gt;"",C1175='Fiche prospect'!$C$4),COUNTIF($C$5:C1175,C1175),"")</f>
        <v/>
      </c>
    </row>
    <row r="1176">
      <c r="A1176" s="53" t="n"/>
      <c r="B1176" s="54" t="n"/>
      <c r="C1176" s="55" t="n"/>
      <c r="D1176" s="55" t="n"/>
      <c r="E1176" s="55" t="n"/>
      <c r="F1176" s="55" t="n"/>
      <c r="G1176" s="56" t="n"/>
      <c r="H1176" s="57" t="n"/>
      <c r="I1176" s="55" t="n"/>
      <c r="J1176" s="53" t="n"/>
      <c r="K1176" s="54" t="n"/>
      <c r="L1176" s="55" t="n"/>
      <c r="M1176" s="55" t="n"/>
      <c r="N1176" s="57" t="n"/>
      <c r="O1176" s="55" t="n"/>
      <c r="P1176" s="56" t="n"/>
      <c r="Q1176" s="55" t="n"/>
      <c r="R1176" s="55" t="n"/>
      <c r="S1176" s="55" t="n"/>
      <c r="T1176" s="55" t="n"/>
      <c r="U1176" s="55" t="n"/>
      <c r="V1176" s="55" t="n"/>
      <c r="W1176" s="58" t="n"/>
      <c r="X1176" s="58" t="n"/>
      <c r="Y1176" s="55" t="n"/>
      <c r="Z1176" s="55" t="n"/>
      <c r="AA1176" s="55" t="n"/>
      <c r="AB1176" s="55" t="n"/>
      <c r="AC1176" s="55" t="n"/>
      <c r="AD1176" s="53" t="n"/>
      <c r="AE1176" s="55" t="n"/>
      <c r="AF1176" s="55" t="n"/>
      <c r="AG1176" s="59" t="n"/>
      <c r="AH1176" s="57" t="n"/>
      <c r="AI1176" s="55" t="n"/>
      <c r="AJ1176" s="55" t="n"/>
      <c r="AK1176" s="55" t="n"/>
      <c r="AL1176" s="55" t="n"/>
      <c r="AM1176" s="56" t="n"/>
      <c r="AN1176" s="55" t="n"/>
      <c r="AO1176" s="55" t="n"/>
      <c r="AP1176" s="55" t="n"/>
      <c r="AQ1176" s="55" t="n"/>
      <c r="AR1176" s="60">
        <f>IF(AND(C1176="",E1176=""),"",IF(A1176="","⚠ Date manquante",IF(AND(C1176="",E1176&lt;&gt;"Dépense"),"⚠ Prospect manquant",IF(E1176="","⚠ Action manquante",IF(AND(AU1176=1,D1176=""),"⚠ Canal manquant",IF(AND(W1176&lt;&gt;"",COUNTIFS('Saisie'!$W$5:$W$2004,W1176,'Saisie'!$C$5:$C$2004,"&lt;&gt;"&amp;C1176)&gt;0),"⚠ Numéro déjà utilisé par un autre prospect",IF(AND(J1176&lt;&gt;"",J1176&lt;A1176),"⚠ Relance avant la date de l'action",IF(A1176&gt;TODAY(),"⚠ Date dans le futur","✓"))))))))</f>
        <v/>
      </c>
      <c r="AS1176" s="61">
        <f>IF(AND(A1176="",C1176="",E1176=""),"",ROW())</f>
        <v/>
      </c>
      <c r="AT1176" s="61">
        <f>IF(E1176&amp;F1176="","",MAX(IFERROR(INDEX('Paramètres'!$J$6:$J$33,MATCH(E1176,'Paramètres'!$I$6:$I$33,0)),0),IFERROR(INDEX('Paramètres'!$N$6:$N$17,MATCH(F1176,'Paramètres'!$M$6:$M$17,0)),0)))</f>
        <v/>
      </c>
      <c r="AU1176" s="61">
        <f>IF(E1176="","",IFERROR(IF(INDEX('Paramètres'!$K$6:$K$33,MATCH(E1176,'Paramètres'!$I$6:$I$33,0))="Oui",1,0),0))</f>
        <v/>
      </c>
      <c r="AV1176" s="61">
        <f>IF(F1176="","",IFERROR(IF(INDEX('Paramètres'!$O$6:$O$17,MATCH(F1176,'Paramètres'!$M$6:$M$17,0))="Oui",1,0),0))</f>
        <v/>
      </c>
      <c r="AW1176" s="62">
        <f>IF(E1176="","",IF(G1176&lt;&gt;"",G1176,IF(OR(E1176="Proposition envoyée",E1176="Signature"),MAX(0,N(IFERROR(INDEX('Paramètres'!$R$6:$R$15,MATCH(IF(AL1176&lt;&gt;"",AL1176,IFERROR(INDEX('Prospects'!$AN$5:$AN$504,MATCH(C1176,'Prospects'!$C$5:$C$504,0)),"")),'Paramètres'!$Q$6:$Q$15,0)),0))-N(P1176)),0)))</f>
        <v/>
      </c>
      <c r="AX1176" s="61">
        <f>IF(C1176="","",IF(COUNTIF($C$5:C1176,C1176)=1,MAX($AX$4:AX1175)+1,""))</f>
        <v/>
      </c>
      <c r="AY1176" s="61">
        <f>IF(B1176="","",HOUR(B1176))</f>
        <v/>
      </c>
      <c r="AZ1176" s="61">
        <f>IF(A1176="","",MOD(A1176-2,7)+1)</f>
        <v/>
      </c>
      <c r="BA1176" s="60">
        <f>IF(C1176="","",IFERROR(INDEX('Prospects'!$N$5:$N$504,MATCH(C1176,'Prospects'!$C$5:$C$504,0)),""))</f>
        <v/>
      </c>
      <c r="BB1176" s="61">
        <f>IF(AND(C1176&lt;&gt;"",C1176='Fiche prospect'!$C$4),COUNTIF($C$5:C1176,C1176),"")</f>
        <v/>
      </c>
    </row>
    <row r="1177">
      <c r="A1177" s="53" t="n"/>
      <c r="B1177" s="54" t="n"/>
      <c r="C1177" s="55" t="n"/>
      <c r="D1177" s="55" t="n"/>
      <c r="E1177" s="55" t="n"/>
      <c r="F1177" s="55" t="n"/>
      <c r="G1177" s="56" t="n"/>
      <c r="H1177" s="57" t="n"/>
      <c r="I1177" s="55" t="n"/>
      <c r="J1177" s="53" t="n"/>
      <c r="K1177" s="54" t="n"/>
      <c r="L1177" s="55" t="n"/>
      <c r="M1177" s="55" t="n"/>
      <c r="N1177" s="57" t="n"/>
      <c r="O1177" s="55" t="n"/>
      <c r="P1177" s="56" t="n"/>
      <c r="Q1177" s="55" t="n"/>
      <c r="R1177" s="55" t="n"/>
      <c r="S1177" s="55" t="n"/>
      <c r="T1177" s="55" t="n"/>
      <c r="U1177" s="55" t="n"/>
      <c r="V1177" s="55" t="n"/>
      <c r="W1177" s="58" t="n"/>
      <c r="X1177" s="58" t="n"/>
      <c r="Y1177" s="55" t="n"/>
      <c r="Z1177" s="55" t="n"/>
      <c r="AA1177" s="55" t="n"/>
      <c r="AB1177" s="55" t="n"/>
      <c r="AC1177" s="55" t="n"/>
      <c r="AD1177" s="53" t="n"/>
      <c r="AE1177" s="55" t="n"/>
      <c r="AF1177" s="55" t="n"/>
      <c r="AG1177" s="59" t="n"/>
      <c r="AH1177" s="57" t="n"/>
      <c r="AI1177" s="55" t="n"/>
      <c r="AJ1177" s="55" t="n"/>
      <c r="AK1177" s="55" t="n"/>
      <c r="AL1177" s="55" t="n"/>
      <c r="AM1177" s="56" t="n"/>
      <c r="AN1177" s="55" t="n"/>
      <c r="AO1177" s="55" t="n"/>
      <c r="AP1177" s="55" t="n"/>
      <c r="AQ1177" s="55" t="n"/>
      <c r="AR1177" s="60">
        <f>IF(AND(C1177="",E1177=""),"",IF(A1177="","⚠ Date manquante",IF(AND(C1177="",E1177&lt;&gt;"Dépense"),"⚠ Prospect manquant",IF(E1177="","⚠ Action manquante",IF(AND(AU1177=1,D1177=""),"⚠ Canal manquant",IF(AND(W1177&lt;&gt;"",COUNTIFS('Saisie'!$W$5:$W$2004,W1177,'Saisie'!$C$5:$C$2004,"&lt;&gt;"&amp;C1177)&gt;0),"⚠ Numéro déjà utilisé par un autre prospect",IF(AND(J1177&lt;&gt;"",J1177&lt;A1177),"⚠ Relance avant la date de l'action",IF(A1177&gt;TODAY(),"⚠ Date dans le futur","✓"))))))))</f>
        <v/>
      </c>
      <c r="AS1177" s="61">
        <f>IF(AND(A1177="",C1177="",E1177=""),"",ROW())</f>
        <v/>
      </c>
      <c r="AT1177" s="61">
        <f>IF(E1177&amp;F1177="","",MAX(IFERROR(INDEX('Paramètres'!$J$6:$J$33,MATCH(E1177,'Paramètres'!$I$6:$I$33,0)),0),IFERROR(INDEX('Paramètres'!$N$6:$N$17,MATCH(F1177,'Paramètres'!$M$6:$M$17,0)),0)))</f>
        <v/>
      </c>
      <c r="AU1177" s="61">
        <f>IF(E1177="","",IFERROR(IF(INDEX('Paramètres'!$K$6:$K$33,MATCH(E1177,'Paramètres'!$I$6:$I$33,0))="Oui",1,0),0))</f>
        <v/>
      </c>
      <c r="AV1177" s="61">
        <f>IF(F1177="","",IFERROR(IF(INDEX('Paramètres'!$O$6:$O$17,MATCH(F1177,'Paramètres'!$M$6:$M$17,0))="Oui",1,0),0))</f>
        <v/>
      </c>
      <c r="AW1177" s="62">
        <f>IF(E1177="","",IF(G1177&lt;&gt;"",G1177,IF(OR(E1177="Proposition envoyée",E1177="Signature"),MAX(0,N(IFERROR(INDEX('Paramètres'!$R$6:$R$15,MATCH(IF(AL1177&lt;&gt;"",AL1177,IFERROR(INDEX('Prospects'!$AN$5:$AN$504,MATCH(C1177,'Prospects'!$C$5:$C$504,0)),"")),'Paramètres'!$Q$6:$Q$15,0)),0))-N(P1177)),0)))</f>
        <v/>
      </c>
      <c r="AX1177" s="61">
        <f>IF(C1177="","",IF(COUNTIF($C$5:C1177,C1177)=1,MAX($AX$4:AX1176)+1,""))</f>
        <v/>
      </c>
      <c r="AY1177" s="61">
        <f>IF(B1177="","",HOUR(B1177))</f>
        <v/>
      </c>
      <c r="AZ1177" s="61">
        <f>IF(A1177="","",MOD(A1177-2,7)+1)</f>
        <v/>
      </c>
      <c r="BA1177" s="60">
        <f>IF(C1177="","",IFERROR(INDEX('Prospects'!$N$5:$N$504,MATCH(C1177,'Prospects'!$C$5:$C$504,0)),""))</f>
        <v/>
      </c>
      <c r="BB1177" s="61">
        <f>IF(AND(C1177&lt;&gt;"",C1177='Fiche prospect'!$C$4),COUNTIF($C$5:C1177,C1177),"")</f>
        <v/>
      </c>
    </row>
    <row r="1178">
      <c r="A1178" s="53" t="n"/>
      <c r="B1178" s="54" t="n"/>
      <c r="C1178" s="55" t="n"/>
      <c r="D1178" s="55" t="n"/>
      <c r="E1178" s="55" t="n"/>
      <c r="F1178" s="55" t="n"/>
      <c r="G1178" s="56" t="n"/>
      <c r="H1178" s="57" t="n"/>
      <c r="I1178" s="55" t="n"/>
      <c r="J1178" s="53" t="n"/>
      <c r="K1178" s="54" t="n"/>
      <c r="L1178" s="55" t="n"/>
      <c r="M1178" s="55" t="n"/>
      <c r="N1178" s="57" t="n"/>
      <c r="O1178" s="55" t="n"/>
      <c r="P1178" s="56" t="n"/>
      <c r="Q1178" s="55" t="n"/>
      <c r="R1178" s="55" t="n"/>
      <c r="S1178" s="55" t="n"/>
      <c r="T1178" s="55" t="n"/>
      <c r="U1178" s="55" t="n"/>
      <c r="V1178" s="55" t="n"/>
      <c r="W1178" s="58" t="n"/>
      <c r="X1178" s="58" t="n"/>
      <c r="Y1178" s="55" t="n"/>
      <c r="Z1178" s="55" t="n"/>
      <c r="AA1178" s="55" t="n"/>
      <c r="AB1178" s="55" t="n"/>
      <c r="AC1178" s="55" t="n"/>
      <c r="AD1178" s="53" t="n"/>
      <c r="AE1178" s="55" t="n"/>
      <c r="AF1178" s="55" t="n"/>
      <c r="AG1178" s="59" t="n"/>
      <c r="AH1178" s="57" t="n"/>
      <c r="AI1178" s="55" t="n"/>
      <c r="AJ1178" s="55" t="n"/>
      <c r="AK1178" s="55" t="n"/>
      <c r="AL1178" s="55" t="n"/>
      <c r="AM1178" s="56" t="n"/>
      <c r="AN1178" s="55" t="n"/>
      <c r="AO1178" s="55" t="n"/>
      <c r="AP1178" s="55" t="n"/>
      <c r="AQ1178" s="55" t="n"/>
      <c r="AR1178" s="60">
        <f>IF(AND(C1178="",E1178=""),"",IF(A1178="","⚠ Date manquante",IF(AND(C1178="",E1178&lt;&gt;"Dépense"),"⚠ Prospect manquant",IF(E1178="","⚠ Action manquante",IF(AND(AU1178=1,D1178=""),"⚠ Canal manquant",IF(AND(W1178&lt;&gt;"",COUNTIFS('Saisie'!$W$5:$W$2004,W1178,'Saisie'!$C$5:$C$2004,"&lt;&gt;"&amp;C1178)&gt;0),"⚠ Numéro déjà utilisé par un autre prospect",IF(AND(J1178&lt;&gt;"",J1178&lt;A1178),"⚠ Relance avant la date de l'action",IF(A1178&gt;TODAY(),"⚠ Date dans le futur","✓"))))))))</f>
        <v/>
      </c>
      <c r="AS1178" s="61">
        <f>IF(AND(A1178="",C1178="",E1178=""),"",ROW())</f>
        <v/>
      </c>
      <c r="AT1178" s="61">
        <f>IF(E1178&amp;F1178="","",MAX(IFERROR(INDEX('Paramètres'!$J$6:$J$33,MATCH(E1178,'Paramètres'!$I$6:$I$33,0)),0),IFERROR(INDEX('Paramètres'!$N$6:$N$17,MATCH(F1178,'Paramètres'!$M$6:$M$17,0)),0)))</f>
        <v/>
      </c>
      <c r="AU1178" s="61">
        <f>IF(E1178="","",IFERROR(IF(INDEX('Paramètres'!$K$6:$K$33,MATCH(E1178,'Paramètres'!$I$6:$I$33,0))="Oui",1,0),0))</f>
        <v/>
      </c>
      <c r="AV1178" s="61">
        <f>IF(F1178="","",IFERROR(IF(INDEX('Paramètres'!$O$6:$O$17,MATCH(F1178,'Paramètres'!$M$6:$M$17,0))="Oui",1,0),0))</f>
        <v/>
      </c>
      <c r="AW1178" s="62">
        <f>IF(E1178="","",IF(G1178&lt;&gt;"",G1178,IF(OR(E1178="Proposition envoyée",E1178="Signature"),MAX(0,N(IFERROR(INDEX('Paramètres'!$R$6:$R$15,MATCH(IF(AL1178&lt;&gt;"",AL1178,IFERROR(INDEX('Prospects'!$AN$5:$AN$504,MATCH(C1178,'Prospects'!$C$5:$C$504,0)),"")),'Paramètres'!$Q$6:$Q$15,0)),0))-N(P1178)),0)))</f>
        <v/>
      </c>
      <c r="AX1178" s="61">
        <f>IF(C1178="","",IF(COUNTIF($C$5:C1178,C1178)=1,MAX($AX$4:AX1177)+1,""))</f>
        <v/>
      </c>
      <c r="AY1178" s="61">
        <f>IF(B1178="","",HOUR(B1178))</f>
        <v/>
      </c>
      <c r="AZ1178" s="61">
        <f>IF(A1178="","",MOD(A1178-2,7)+1)</f>
        <v/>
      </c>
      <c r="BA1178" s="60">
        <f>IF(C1178="","",IFERROR(INDEX('Prospects'!$N$5:$N$504,MATCH(C1178,'Prospects'!$C$5:$C$504,0)),""))</f>
        <v/>
      </c>
      <c r="BB1178" s="61">
        <f>IF(AND(C1178&lt;&gt;"",C1178='Fiche prospect'!$C$4),COUNTIF($C$5:C1178,C1178),"")</f>
        <v/>
      </c>
    </row>
    <row r="1179">
      <c r="A1179" s="53" t="n"/>
      <c r="B1179" s="54" t="n"/>
      <c r="C1179" s="55" t="n"/>
      <c r="D1179" s="55" t="n"/>
      <c r="E1179" s="55" t="n"/>
      <c r="F1179" s="55" t="n"/>
      <c r="G1179" s="56" t="n"/>
      <c r="H1179" s="57" t="n"/>
      <c r="I1179" s="55" t="n"/>
      <c r="J1179" s="53" t="n"/>
      <c r="K1179" s="54" t="n"/>
      <c r="L1179" s="55" t="n"/>
      <c r="M1179" s="55" t="n"/>
      <c r="N1179" s="57" t="n"/>
      <c r="O1179" s="55" t="n"/>
      <c r="P1179" s="56" t="n"/>
      <c r="Q1179" s="55" t="n"/>
      <c r="R1179" s="55" t="n"/>
      <c r="S1179" s="55" t="n"/>
      <c r="T1179" s="55" t="n"/>
      <c r="U1179" s="55" t="n"/>
      <c r="V1179" s="55" t="n"/>
      <c r="W1179" s="58" t="n"/>
      <c r="X1179" s="58" t="n"/>
      <c r="Y1179" s="55" t="n"/>
      <c r="Z1179" s="55" t="n"/>
      <c r="AA1179" s="55" t="n"/>
      <c r="AB1179" s="55" t="n"/>
      <c r="AC1179" s="55" t="n"/>
      <c r="AD1179" s="53" t="n"/>
      <c r="AE1179" s="55" t="n"/>
      <c r="AF1179" s="55" t="n"/>
      <c r="AG1179" s="59" t="n"/>
      <c r="AH1179" s="57" t="n"/>
      <c r="AI1179" s="55" t="n"/>
      <c r="AJ1179" s="55" t="n"/>
      <c r="AK1179" s="55" t="n"/>
      <c r="AL1179" s="55" t="n"/>
      <c r="AM1179" s="56" t="n"/>
      <c r="AN1179" s="55" t="n"/>
      <c r="AO1179" s="55" t="n"/>
      <c r="AP1179" s="55" t="n"/>
      <c r="AQ1179" s="55" t="n"/>
      <c r="AR1179" s="60">
        <f>IF(AND(C1179="",E1179=""),"",IF(A1179="","⚠ Date manquante",IF(AND(C1179="",E1179&lt;&gt;"Dépense"),"⚠ Prospect manquant",IF(E1179="","⚠ Action manquante",IF(AND(AU1179=1,D1179=""),"⚠ Canal manquant",IF(AND(W1179&lt;&gt;"",COUNTIFS('Saisie'!$W$5:$W$2004,W1179,'Saisie'!$C$5:$C$2004,"&lt;&gt;"&amp;C1179)&gt;0),"⚠ Numéro déjà utilisé par un autre prospect",IF(AND(J1179&lt;&gt;"",J1179&lt;A1179),"⚠ Relance avant la date de l'action",IF(A1179&gt;TODAY(),"⚠ Date dans le futur","✓"))))))))</f>
        <v/>
      </c>
      <c r="AS1179" s="61">
        <f>IF(AND(A1179="",C1179="",E1179=""),"",ROW())</f>
        <v/>
      </c>
      <c r="AT1179" s="61">
        <f>IF(E1179&amp;F1179="","",MAX(IFERROR(INDEX('Paramètres'!$J$6:$J$33,MATCH(E1179,'Paramètres'!$I$6:$I$33,0)),0),IFERROR(INDEX('Paramètres'!$N$6:$N$17,MATCH(F1179,'Paramètres'!$M$6:$M$17,0)),0)))</f>
        <v/>
      </c>
      <c r="AU1179" s="61">
        <f>IF(E1179="","",IFERROR(IF(INDEX('Paramètres'!$K$6:$K$33,MATCH(E1179,'Paramètres'!$I$6:$I$33,0))="Oui",1,0),0))</f>
        <v/>
      </c>
      <c r="AV1179" s="61">
        <f>IF(F1179="","",IFERROR(IF(INDEX('Paramètres'!$O$6:$O$17,MATCH(F1179,'Paramètres'!$M$6:$M$17,0))="Oui",1,0),0))</f>
        <v/>
      </c>
      <c r="AW1179" s="62">
        <f>IF(E1179="","",IF(G1179&lt;&gt;"",G1179,IF(OR(E1179="Proposition envoyée",E1179="Signature"),MAX(0,N(IFERROR(INDEX('Paramètres'!$R$6:$R$15,MATCH(IF(AL1179&lt;&gt;"",AL1179,IFERROR(INDEX('Prospects'!$AN$5:$AN$504,MATCH(C1179,'Prospects'!$C$5:$C$504,0)),"")),'Paramètres'!$Q$6:$Q$15,0)),0))-N(P1179)),0)))</f>
        <v/>
      </c>
      <c r="AX1179" s="61">
        <f>IF(C1179="","",IF(COUNTIF($C$5:C1179,C1179)=1,MAX($AX$4:AX1178)+1,""))</f>
        <v/>
      </c>
      <c r="AY1179" s="61">
        <f>IF(B1179="","",HOUR(B1179))</f>
        <v/>
      </c>
      <c r="AZ1179" s="61">
        <f>IF(A1179="","",MOD(A1179-2,7)+1)</f>
        <v/>
      </c>
      <c r="BA1179" s="60">
        <f>IF(C1179="","",IFERROR(INDEX('Prospects'!$N$5:$N$504,MATCH(C1179,'Prospects'!$C$5:$C$504,0)),""))</f>
        <v/>
      </c>
      <c r="BB1179" s="61">
        <f>IF(AND(C1179&lt;&gt;"",C1179='Fiche prospect'!$C$4),COUNTIF($C$5:C1179,C1179),"")</f>
        <v/>
      </c>
    </row>
    <row r="1180">
      <c r="A1180" s="53" t="n"/>
      <c r="B1180" s="54" t="n"/>
      <c r="C1180" s="55" t="n"/>
      <c r="D1180" s="55" t="n"/>
      <c r="E1180" s="55" t="n"/>
      <c r="F1180" s="55" t="n"/>
      <c r="G1180" s="56" t="n"/>
      <c r="H1180" s="57" t="n"/>
      <c r="I1180" s="55" t="n"/>
      <c r="J1180" s="53" t="n"/>
      <c r="K1180" s="54" t="n"/>
      <c r="L1180" s="55" t="n"/>
      <c r="M1180" s="55" t="n"/>
      <c r="N1180" s="57" t="n"/>
      <c r="O1180" s="55" t="n"/>
      <c r="P1180" s="56" t="n"/>
      <c r="Q1180" s="55" t="n"/>
      <c r="R1180" s="55" t="n"/>
      <c r="S1180" s="55" t="n"/>
      <c r="T1180" s="55" t="n"/>
      <c r="U1180" s="55" t="n"/>
      <c r="V1180" s="55" t="n"/>
      <c r="W1180" s="58" t="n"/>
      <c r="X1180" s="58" t="n"/>
      <c r="Y1180" s="55" t="n"/>
      <c r="Z1180" s="55" t="n"/>
      <c r="AA1180" s="55" t="n"/>
      <c r="AB1180" s="55" t="n"/>
      <c r="AC1180" s="55" t="n"/>
      <c r="AD1180" s="53" t="n"/>
      <c r="AE1180" s="55" t="n"/>
      <c r="AF1180" s="55" t="n"/>
      <c r="AG1180" s="59" t="n"/>
      <c r="AH1180" s="57" t="n"/>
      <c r="AI1180" s="55" t="n"/>
      <c r="AJ1180" s="55" t="n"/>
      <c r="AK1180" s="55" t="n"/>
      <c r="AL1180" s="55" t="n"/>
      <c r="AM1180" s="56" t="n"/>
      <c r="AN1180" s="55" t="n"/>
      <c r="AO1180" s="55" t="n"/>
      <c r="AP1180" s="55" t="n"/>
      <c r="AQ1180" s="55" t="n"/>
      <c r="AR1180" s="60">
        <f>IF(AND(C1180="",E1180=""),"",IF(A1180="","⚠ Date manquante",IF(AND(C1180="",E1180&lt;&gt;"Dépense"),"⚠ Prospect manquant",IF(E1180="","⚠ Action manquante",IF(AND(AU1180=1,D1180=""),"⚠ Canal manquant",IF(AND(W1180&lt;&gt;"",COUNTIFS('Saisie'!$W$5:$W$2004,W1180,'Saisie'!$C$5:$C$2004,"&lt;&gt;"&amp;C1180)&gt;0),"⚠ Numéro déjà utilisé par un autre prospect",IF(AND(J1180&lt;&gt;"",J1180&lt;A1180),"⚠ Relance avant la date de l'action",IF(A1180&gt;TODAY(),"⚠ Date dans le futur","✓"))))))))</f>
        <v/>
      </c>
      <c r="AS1180" s="61">
        <f>IF(AND(A1180="",C1180="",E1180=""),"",ROW())</f>
        <v/>
      </c>
      <c r="AT1180" s="61">
        <f>IF(E1180&amp;F1180="","",MAX(IFERROR(INDEX('Paramètres'!$J$6:$J$33,MATCH(E1180,'Paramètres'!$I$6:$I$33,0)),0),IFERROR(INDEX('Paramètres'!$N$6:$N$17,MATCH(F1180,'Paramètres'!$M$6:$M$17,0)),0)))</f>
        <v/>
      </c>
      <c r="AU1180" s="61">
        <f>IF(E1180="","",IFERROR(IF(INDEX('Paramètres'!$K$6:$K$33,MATCH(E1180,'Paramètres'!$I$6:$I$33,0))="Oui",1,0),0))</f>
        <v/>
      </c>
      <c r="AV1180" s="61">
        <f>IF(F1180="","",IFERROR(IF(INDEX('Paramètres'!$O$6:$O$17,MATCH(F1180,'Paramètres'!$M$6:$M$17,0))="Oui",1,0),0))</f>
        <v/>
      </c>
      <c r="AW1180" s="62">
        <f>IF(E1180="","",IF(G1180&lt;&gt;"",G1180,IF(OR(E1180="Proposition envoyée",E1180="Signature"),MAX(0,N(IFERROR(INDEX('Paramètres'!$R$6:$R$15,MATCH(IF(AL1180&lt;&gt;"",AL1180,IFERROR(INDEX('Prospects'!$AN$5:$AN$504,MATCH(C1180,'Prospects'!$C$5:$C$504,0)),"")),'Paramètres'!$Q$6:$Q$15,0)),0))-N(P1180)),0)))</f>
        <v/>
      </c>
      <c r="AX1180" s="61">
        <f>IF(C1180="","",IF(COUNTIF($C$5:C1180,C1180)=1,MAX($AX$4:AX1179)+1,""))</f>
        <v/>
      </c>
      <c r="AY1180" s="61">
        <f>IF(B1180="","",HOUR(B1180))</f>
        <v/>
      </c>
      <c r="AZ1180" s="61">
        <f>IF(A1180="","",MOD(A1180-2,7)+1)</f>
        <v/>
      </c>
      <c r="BA1180" s="60">
        <f>IF(C1180="","",IFERROR(INDEX('Prospects'!$N$5:$N$504,MATCH(C1180,'Prospects'!$C$5:$C$504,0)),""))</f>
        <v/>
      </c>
      <c r="BB1180" s="61">
        <f>IF(AND(C1180&lt;&gt;"",C1180='Fiche prospect'!$C$4),COUNTIF($C$5:C1180,C1180),"")</f>
        <v/>
      </c>
    </row>
    <row r="1181">
      <c r="A1181" s="53" t="n"/>
      <c r="B1181" s="54" t="n"/>
      <c r="C1181" s="55" t="n"/>
      <c r="D1181" s="55" t="n"/>
      <c r="E1181" s="55" t="n"/>
      <c r="F1181" s="55" t="n"/>
      <c r="G1181" s="56" t="n"/>
      <c r="H1181" s="57" t="n"/>
      <c r="I1181" s="55" t="n"/>
      <c r="J1181" s="53" t="n"/>
      <c r="K1181" s="54" t="n"/>
      <c r="L1181" s="55" t="n"/>
      <c r="M1181" s="55" t="n"/>
      <c r="N1181" s="57" t="n"/>
      <c r="O1181" s="55" t="n"/>
      <c r="P1181" s="56" t="n"/>
      <c r="Q1181" s="55" t="n"/>
      <c r="R1181" s="55" t="n"/>
      <c r="S1181" s="55" t="n"/>
      <c r="T1181" s="55" t="n"/>
      <c r="U1181" s="55" t="n"/>
      <c r="V1181" s="55" t="n"/>
      <c r="W1181" s="58" t="n"/>
      <c r="X1181" s="58" t="n"/>
      <c r="Y1181" s="55" t="n"/>
      <c r="Z1181" s="55" t="n"/>
      <c r="AA1181" s="55" t="n"/>
      <c r="AB1181" s="55" t="n"/>
      <c r="AC1181" s="55" t="n"/>
      <c r="AD1181" s="53" t="n"/>
      <c r="AE1181" s="55" t="n"/>
      <c r="AF1181" s="55" t="n"/>
      <c r="AG1181" s="59" t="n"/>
      <c r="AH1181" s="57" t="n"/>
      <c r="AI1181" s="55" t="n"/>
      <c r="AJ1181" s="55" t="n"/>
      <c r="AK1181" s="55" t="n"/>
      <c r="AL1181" s="55" t="n"/>
      <c r="AM1181" s="56" t="n"/>
      <c r="AN1181" s="55" t="n"/>
      <c r="AO1181" s="55" t="n"/>
      <c r="AP1181" s="55" t="n"/>
      <c r="AQ1181" s="55" t="n"/>
      <c r="AR1181" s="60">
        <f>IF(AND(C1181="",E1181=""),"",IF(A1181="","⚠ Date manquante",IF(AND(C1181="",E1181&lt;&gt;"Dépense"),"⚠ Prospect manquant",IF(E1181="","⚠ Action manquante",IF(AND(AU1181=1,D1181=""),"⚠ Canal manquant",IF(AND(W1181&lt;&gt;"",COUNTIFS('Saisie'!$W$5:$W$2004,W1181,'Saisie'!$C$5:$C$2004,"&lt;&gt;"&amp;C1181)&gt;0),"⚠ Numéro déjà utilisé par un autre prospect",IF(AND(J1181&lt;&gt;"",J1181&lt;A1181),"⚠ Relance avant la date de l'action",IF(A1181&gt;TODAY(),"⚠ Date dans le futur","✓"))))))))</f>
        <v/>
      </c>
      <c r="AS1181" s="61">
        <f>IF(AND(A1181="",C1181="",E1181=""),"",ROW())</f>
        <v/>
      </c>
      <c r="AT1181" s="61">
        <f>IF(E1181&amp;F1181="","",MAX(IFERROR(INDEX('Paramètres'!$J$6:$J$33,MATCH(E1181,'Paramètres'!$I$6:$I$33,0)),0),IFERROR(INDEX('Paramètres'!$N$6:$N$17,MATCH(F1181,'Paramètres'!$M$6:$M$17,0)),0)))</f>
        <v/>
      </c>
      <c r="AU1181" s="61">
        <f>IF(E1181="","",IFERROR(IF(INDEX('Paramètres'!$K$6:$K$33,MATCH(E1181,'Paramètres'!$I$6:$I$33,0))="Oui",1,0),0))</f>
        <v/>
      </c>
      <c r="AV1181" s="61">
        <f>IF(F1181="","",IFERROR(IF(INDEX('Paramètres'!$O$6:$O$17,MATCH(F1181,'Paramètres'!$M$6:$M$17,0))="Oui",1,0),0))</f>
        <v/>
      </c>
      <c r="AW1181" s="62">
        <f>IF(E1181="","",IF(G1181&lt;&gt;"",G1181,IF(OR(E1181="Proposition envoyée",E1181="Signature"),MAX(0,N(IFERROR(INDEX('Paramètres'!$R$6:$R$15,MATCH(IF(AL1181&lt;&gt;"",AL1181,IFERROR(INDEX('Prospects'!$AN$5:$AN$504,MATCH(C1181,'Prospects'!$C$5:$C$504,0)),"")),'Paramètres'!$Q$6:$Q$15,0)),0))-N(P1181)),0)))</f>
        <v/>
      </c>
      <c r="AX1181" s="61">
        <f>IF(C1181="","",IF(COUNTIF($C$5:C1181,C1181)=1,MAX($AX$4:AX1180)+1,""))</f>
        <v/>
      </c>
      <c r="AY1181" s="61">
        <f>IF(B1181="","",HOUR(B1181))</f>
        <v/>
      </c>
      <c r="AZ1181" s="61">
        <f>IF(A1181="","",MOD(A1181-2,7)+1)</f>
        <v/>
      </c>
      <c r="BA1181" s="60">
        <f>IF(C1181="","",IFERROR(INDEX('Prospects'!$N$5:$N$504,MATCH(C1181,'Prospects'!$C$5:$C$504,0)),""))</f>
        <v/>
      </c>
      <c r="BB1181" s="61">
        <f>IF(AND(C1181&lt;&gt;"",C1181='Fiche prospect'!$C$4),COUNTIF($C$5:C1181,C1181),"")</f>
        <v/>
      </c>
    </row>
    <row r="1182">
      <c r="A1182" s="53" t="n"/>
      <c r="B1182" s="54" t="n"/>
      <c r="C1182" s="55" t="n"/>
      <c r="D1182" s="55" t="n"/>
      <c r="E1182" s="55" t="n"/>
      <c r="F1182" s="55" t="n"/>
      <c r="G1182" s="56" t="n"/>
      <c r="H1182" s="57" t="n"/>
      <c r="I1182" s="55" t="n"/>
      <c r="J1182" s="53" t="n"/>
      <c r="K1182" s="54" t="n"/>
      <c r="L1182" s="55" t="n"/>
      <c r="M1182" s="55" t="n"/>
      <c r="N1182" s="57" t="n"/>
      <c r="O1182" s="55" t="n"/>
      <c r="P1182" s="56" t="n"/>
      <c r="Q1182" s="55" t="n"/>
      <c r="R1182" s="55" t="n"/>
      <c r="S1182" s="55" t="n"/>
      <c r="T1182" s="55" t="n"/>
      <c r="U1182" s="55" t="n"/>
      <c r="V1182" s="55" t="n"/>
      <c r="W1182" s="58" t="n"/>
      <c r="X1182" s="58" t="n"/>
      <c r="Y1182" s="55" t="n"/>
      <c r="Z1182" s="55" t="n"/>
      <c r="AA1182" s="55" t="n"/>
      <c r="AB1182" s="55" t="n"/>
      <c r="AC1182" s="55" t="n"/>
      <c r="AD1182" s="53" t="n"/>
      <c r="AE1182" s="55" t="n"/>
      <c r="AF1182" s="55" t="n"/>
      <c r="AG1182" s="59" t="n"/>
      <c r="AH1182" s="57" t="n"/>
      <c r="AI1182" s="55" t="n"/>
      <c r="AJ1182" s="55" t="n"/>
      <c r="AK1182" s="55" t="n"/>
      <c r="AL1182" s="55" t="n"/>
      <c r="AM1182" s="56" t="n"/>
      <c r="AN1182" s="55" t="n"/>
      <c r="AO1182" s="55" t="n"/>
      <c r="AP1182" s="55" t="n"/>
      <c r="AQ1182" s="55" t="n"/>
      <c r="AR1182" s="60">
        <f>IF(AND(C1182="",E1182=""),"",IF(A1182="","⚠ Date manquante",IF(AND(C1182="",E1182&lt;&gt;"Dépense"),"⚠ Prospect manquant",IF(E1182="","⚠ Action manquante",IF(AND(AU1182=1,D1182=""),"⚠ Canal manquant",IF(AND(W1182&lt;&gt;"",COUNTIFS('Saisie'!$W$5:$W$2004,W1182,'Saisie'!$C$5:$C$2004,"&lt;&gt;"&amp;C1182)&gt;0),"⚠ Numéro déjà utilisé par un autre prospect",IF(AND(J1182&lt;&gt;"",J1182&lt;A1182),"⚠ Relance avant la date de l'action",IF(A1182&gt;TODAY(),"⚠ Date dans le futur","✓"))))))))</f>
        <v/>
      </c>
      <c r="AS1182" s="61">
        <f>IF(AND(A1182="",C1182="",E1182=""),"",ROW())</f>
        <v/>
      </c>
      <c r="AT1182" s="61">
        <f>IF(E1182&amp;F1182="","",MAX(IFERROR(INDEX('Paramètres'!$J$6:$J$33,MATCH(E1182,'Paramètres'!$I$6:$I$33,0)),0),IFERROR(INDEX('Paramètres'!$N$6:$N$17,MATCH(F1182,'Paramètres'!$M$6:$M$17,0)),0)))</f>
        <v/>
      </c>
      <c r="AU1182" s="61">
        <f>IF(E1182="","",IFERROR(IF(INDEX('Paramètres'!$K$6:$K$33,MATCH(E1182,'Paramètres'!$I$6:$I$33,0))="Oui",1,0),0))</f>
        <v/>
      </c>
      <c r="AV1182" s="61">
        <f>IF(F1182="","",IFERROR(IF(INDEX('Paramètres'!$O$6:$O$17,MATCH(F1182,'Paramètres'!$M$6:$M$17,0))="Oui",1,0),0))</f>
        <v/>
      </c>
      <c r="AW1182" s="62">
        <f>IF(E1182="","",IF(G1182&lt;&gt;"",G1182,IF(OR(E1182="Proposition envoyée",E1182="Signature"),MAX(0,N(IFERROR(INDEX('Paramètres'!$R$6:$R$15,MATCH(IF(AL1182&lt;&gt;"",AL1182,IFERROR(INDEX('Prospects'!$AN$5:$AN$504,MATCH(C1182,'Prospects'!$C$5:$C$504,0)),"")),'Paramètres'!$Q$6:$Q$15,0)),0))-N(P1182)),0)))</f>
        <v/>
      </c>
      <c r="AX1182" s="61">
        <f>IF(C1182="","",IF(COUNTIF($C$5:C1182,C1182)=1,MAX($AX$4:AX1181)+1,""))</f>
        <v/>
      </c>
      <c r="AY1182" s="61">
        <f>IF(B1182="","",HOUR(B1182))</f>
        <v/>
      </c>
      <c r="AZ1182" s="61">
        <f>IF(A1182="","",MOD(A1182-2,7)+1)</f>
        <v/>
      </c>
      <c r="BA1182" s="60">
        <f>IF(C1182="","",IFERROR(INDEX('Prospects'!$N$5:$N$504,MATCH(C1182,'Prospects'!$C$5:$C$504,0)),""))</f>
        <v/>
      </c>
      <c r="BB1182" s="61">
        <f>IF(AND(C1182&lt;&gt;"",C1182='Fiche prospect'!$C$4),COUNTIF($C$5:C1182,C1182),"")</f>
        <v/>
      </c>
    </row>
    <row r="1183">
      <c r="A1183" s="53" t="n"/>
      <c r="B1183" s="54" t="n"/>
      <c r="C1183" s="55" t="n"/>
      <c r="D1183" s="55" t="n"/>
      <c r="E1183" s="55" t="n"/>
      <c r="F1183" s="55" t="n"/>
      <c r="G1183" s="56" t="n"/>
      <c r="H1183" s="57" t="n"/>
      <c r="I1183" s="55" t="n"/>
      <c r="J1183" s="53" t="n"/>
      <c r="K1183" s="54" t="n"/>
      <c r="L1183" s="55" t="n"/>
      <c r="M1183" s="55" t="n"/>
      <c r="N1183" s="57" t="n"/>
      <c r="O1183" s="55" t="n"/>
      <c r="P1183" s="56" t="n"/>
      <c r="Q1183" s="55" t="n"/>
      <c r="R1183" s="55" t="n"/>
      <c r="S1183" s="55" t="n"/>
      <c r="T1183" s="55" t="n"/>
      <c r="U1183" s="55" t="n"/>
      <c r="V1183" s="55" t="n"/>
      <c r="W1183" s="58" t="n"/>
      <c r="X1183" s="58" t="n"/>
      <c r="Y1183" s="55" t="n"/>
      <c r="Z1183" s="55" t="n"/>
      <c r="AA1183" s="55" t="n"/>
      <c r="AB1183" s="55" t="n"/>
      <c r="AC1183" s="55" t="n"/>
      <c r="AD1183" s="53" t="n"/>
      <c r="AE1183" s="55" t="n"/>
      <c r="AF1183" s="55" t="n"/>
      <c r="AG1183" s="59" t="n"/>
      <c r="AH1183" s="57" t="n"/>
      <c r="AI1183" s="55" t="n"/>
      <c r="AJ1183" s="55" t="n"/>
      <c r="AK1183" s="55" t="n"/>
      <c r="AL1183" s="55" t="n"/>
      <c r="AM1183" s="56" t="n"/>
      <c r="AN1183" s="55" t="n"/>
      <c r="AO1183" s="55" t="n"/>
      <c r="AP1183" s="55" t="n"/>
      <c r="AQ1183" s="55" t="n"/>
      <c r="AR1183" s="60">
        <f>IF(AND(C1183="",E1183=""),"",IF(A1183="","⚠ Date manquante",IF(AND(C1183="",E1183&lt;&gt;"Dépense"),"⚠ Prospect manquant",IF(E1183="","⚠ Action manquante",IF(AND(AU1183=1,D1183=""),"⚠ Canal manquant",IF(AND(W1183&lt;&gt;"",COUNTIFS('Saisie'!$W$5:$W$2004,W1183,'Saisie'!$C$5:$C$2004,"&lt;&gt;"&amp;C1183)&gt;0),"⚠ Numéro déjà utilisé par un autre prospect",IF(AND(J1183&lt;&gt;"",J1183&lt;A1183),"⚠ Relance avant la date de l'action",IF(A1183&gt;TODAY(),"⚠ Date dans le futur","✓"))))))))</f>
        <v/>
      </c>
      <c r="AS1183" s="61">
        <f>IF(AND(A1183="",C1183="",E1183=""),"",ROW())</f>
        <v/>
      </c>
      <c r="AT1183" s="61">
        <f>IF(E1183&amp;F1183="","",MAX(IFERROR(INDEX('Paramètres'!$J$6:$J$33,MATCH(E1183,'Paramètres'!$I$6:$I$33,0)),0),IFERROR(INDEX('Paramètres'!$N$6:$N$17,MATCH(F1183,'Paramètres'!$M$6:$M$17,0)),0)))</f>
        <v/>
      </c>
      <c r="AU1183" s="61">
        <f>IF(E1183="","",IFERROR(IF(INDEX('Paramètres'!$K$6:$K$33,MATCH(E1183,'Paramètres'!$I$6:$I$33,0))="Oui",1,0),0))</f>
        <v/>
      </c>
      <c r="AV1183" s="61">
        <f>IF(F1183="","",IFERROR(IF(INDEX('Paramètres'!$O$6:$O$17,MATCH(F1183,'Paramètres'!$M$6:$M$17,0))="Oui",1,0),0))</f>
        <v/>
      </c>
      <c r="AW1183" s="62">
        <f>IF(E1183="","",IF(G1183&lt;&gt;"",G1183,IF(OR(E1183="Proposition envoyée",E1183="Signature"),MAX(0,N(IFERROR(INDEX('Paramètres'!$R$6:$R$15,MATCH(IF(AL1183&lt;&gt;"",AL1183,IFERROR(INDEX('Prospects'!$AN$5:$AN$504,MATCH(C1183,'Prospects'!$C$5:$C$504,0)),"")),'Paramètres'!$Q$6:$Q$15,0)),0))-N(P1183)),0)))</f>
        <v/>
      </c>
      <c r="AX1183" s="61">
        <f>IF(C1183="","",IF(COUNTIF($C$5:C1183,C1183)=1,MAX($AX$4:AX1182)+1,""))</f>
        <v/>
      </c>
      <c r="AY1183" s="61">
        <f>IF(B1183="","",HOUR(B1183))</f>
        <v/>
      </c>
      <c r="AZ1183" s="61">
        <f>IF(A1183="","",MOD(A1183-2,7)+1)</f>
        <v/>
      </c>
      <c r="BA1183" s="60">
        <f>IF(C1183="","",IFERROR(INDEX('Prospects'!$N$5:$N$504,MATCH(C1183,'Prospects'!$C$5:$C$504,0)),""))</f>
        <v/>
      </c>
      <c r="BB1183" s="61">
        <f>IF(AND(C1183&lt;&gt;"",C1183='Fiche prospect'!$C$4),COUNTIF($C$5:C1183,C1183),"")</f>
        <v/>
      </c>
    </row>
    <row r="1184">
      <c r="A1184" s="53" t="n"/>
      <c r="B1184" s="54" t="n"/>
      <c r="C1184" s="55" t="n"/>
      <c r="D1184" s="55" t="n"/>
      <c r="E1184" s="55" t="n"/>
      <c r="F1184" s="55" t="n"/>
      <c r="G1184" s="56" t="n"/>
      <c r="H1184" s="57" t="n"/>
      <c r="I1184" s="55" t="n"/>
      <c r="J1184" s="53" t="n"/>
      <c r="K1184" s="54" t="n"/>
      <c r="L1184" s="55" t="n"/>
      <c r="M1184" s="55" t="n"/>
      <c r="N1184" s="57" t="n"/>
      <c r="O1184" s="55" t="n"/>
      <c r="P1184" s="56" t="n"/>
      <c r="Q1184" s="55" t="n"/>
      <c r="R1184" s="55" t="n"/>
      <c r="S1184" s="55" t="n"/>
      <c r="T1184" s="55" t="n"/>
      <c r="U1184" s="55" t="n"/>
      <c r="V1184" s="55" t="n"/>
      <c r="W1184" s="58" t="n"/>
      <c r="X1184" s="58" t="n"/>
      <c r="Y1184" s="55" t="n"/>
      <c r="Z1184" s="55" t="n"/>
      <c r="AA1184" s="55" t="n"/>
      <c r="AB1184" s="55" t="n"/>
      <c r="AC1184" s="55" t="n"/>
      <c r="AD1184" s="53" t="n"/>
      <c r="AE1184" s="55" t="n"/>
      <c r="AF1184" s="55" t="n"/>
      <c r="AG1184" s="59" t="n"/>
      <c r="AH1184" s="57" t="n"/>
      <c r="AI1184" s="55" t="n"/>
      <c r="AJ1184" s="55" t="n"/>
      <c r="AK1184" s="55" t="n"/>
      <c r="AL1184" s="55" t="n"/>
      <c r="AM1184" s="56" t="n"/>
      <c r="AN1184" s="55" t="n"/>
      <c r="AO1184" s="55" t="n"/>
      <c r="AP1184" s="55" t="n"/>
      <c r="AQ1184" s="55" t="n"/>
      <c r="AR1184" s="60">
        <f>IF(AND(C1184="",E1184=""),"",IF(A1184="","⚠ Date manquante",IF(AND(C1184="",E1184&lt;&gt;"Dépense"),"⚠ Prospect manquant",IF(E1184="","⚠ Action manquante",IF(AND(AU1184=1,D1184=""),"⚠ Canal manquant",IF(AND(W1184&lt;&gt;"",COUNTIFS('Saisie'!$W$5:$W$2004,W1184,'Saisie'!$C$5:$C$2004,"&lt;&gt;"&amp;C1184)&gt;0),"⚠ Numéro déjà utilisé par un autre prospect",IF(AND(J1184&lt;&gt;"",J1184&lt;A1184),"⚠ Relance avant la date de l'action",IF(A1184&gt;TODAY(),"⚠ Date dans le futur","✓"))))))))</f>
        <v/>
      </c>
      <c r="AS1184" s="61">
        <f>IF(AND(A1184="",C1184="",E1184=""),"",ROW())</f>
        <v/>
      </c>
      <c r="AT1184" s="61">
        <f>IF(E1184&amp;F1184="","",MAX(IFERROR(INDEX('Paramètres'!$J$6:$J$33,MATCH(E1184,'Paramètres'!$I$6:$I$33,0)),0),IFERROR(INDEX('Paramètres'!$N$6:$N$17,MATCH(F1184,'Paramètres'!$M$6:$M$17,0)),0)))</f>
        <v/>
      </c>
      <c r="AU1184" s="61">
        <f>IF(E1184="","",IFERROR(IF(INDEX('Paramètres'!$K$6:$K$33,MATCH(E1184,'Paramètres'!$I$6:$I$33,0))="Oui",1,0),0))</f>
        <v/>
      </c>
      <c r="AV1184" s="61">
        <f>IF(F1184="","",IFERROR(IF(INDEX('Paramètres'!$O$6:$O$17,MATCH(F1184,'Paramètres'!$M$6:$M$17,0))="Oui",1,0),0))</f>
        <v/>
      </c>
      <c r="AW1184" s="62">
        <f>IF(E1184="","",IF(G1184&lt;&gt;"",G1184,IF(OR(E1184="Proposition envoyée",E1184="Signature"),MAX(0,N(IFERROR(INDEX('Paramètres'!$R$6:$R$15,MATCH(IF(AL1184&lt;&gt;"",AL1184,IFERROR(INDEX('Prospects'!$AN$5:$AN$504,MATCH(C1184,'Prospects'!$C$5:$C$504,0)),"")),'Paramètres'!$Q$6:$Q$15,0)),0))-N(P1184)),0)))</f>
        <v/>
      </c>
      <c r="AX1184" s="61">
        <f>IF(C1184="","",IF(COUNTIF($C$5:C1184,C1184)=1,MAX($AX$4:AX1183)+1,""))</f>
        <v/>
      </c>
      <c r="AY1184" s="61">
        <f>IF(B1184="","",HOUR(B1184))</f>
        <v/>
      </c>
      <c r="AZ1184" s="61">
        <f>IF(A1184="","",MOD(A1184-2,7)+1)</f>
        <v/>
      </c>
      <c r="BA1184" s="60">
        <f>IF(C1184="","",IFERROR(INDEX('Prospects'!$N$5:$N$504,MATCH(C1184,'Prospects'!$C$5:$C$504,0)),""))</f>
        <v/>
      </c>
      <c r="BB1184" s="61">
        <f>IF(AND(C1184&lt;&gt;"",C1184='Fiche prospect'!$C$4),COUNTIF($C$5:C1184,C1184),"")</f>
        <v/>
      </c>
    </row>
    <row r="1185">
      <c r="A1185" s="53" t="n"/>
      <c r="B1185" s="54" t="n"/>
      <c r="C1185" s="55" t="n"/>
      <c r="D1185" s="55" t="n"/>
      <c r="E1185" s="55" t="n"/>
      <c r="F1185" s="55" t="n"/>
      <c r="G1185" s="56" t="n"/>
      <c r="H1185" s="57" t="n"/>
      <c r="I1185" s="55" t="n"/>
      <c r="J1185" s="53" t="n"/>
      <c r="K1185" s="54" t="n"/>
      <c r="L1185" s="55" t="n"/>
      <c r="M1185" s="55" t="n"/>
      <c r="N1185" s="57" t="n"/>
      <c r="O1185" s="55" t="n"/>
      <c r="P1185" s="56" t="n"/>
      <c r="Q1185" s="55" t="n"/>
      <c r="R1185" s="55" t="n"/>
      <c r="S1185" s="55" t="n"/>
      <c r="T1185" s="55" t="n"/>
      <c r="U1185" s="55" t="n"/>
      <c r="V1185" s="55" t="n"/>
      <c r="W1185" s="58" t="n"/>
      <c r="X1185" s="58" t="n"/>
      <c r="Y1185" s="55" t="n"/>
      <c r="Z1185" s="55" t="n"/>
      <c r="AA1185" s="55" t="n"/>
      <c r="AB1185" s="55" t="n"/>
      <c r="AC1185" s="55" t="n"/>
      <c r="AD1185" s="53" t="n"/>
      <c r="AE1185" s="55" t="n"/>
      <c r="AF1185" s="55" t="n"/>
      <c r="AG1185" s="59" t="n"/>
      <c r="AH1185" s="57" t="n"/>
      <c r="AI1185" s="55" t="n"/>
      <c r="AJ1185" s="55" t="n"/>
      <c r="AK1185" s="55" t="n"/>
      <c r="AL1185" s="55" t="n"/>
      <c r="AM1185" s="56" t="n"/>
      <c r="AN1185" s="55" t="n"/>
      <c r="AO1185" s="55" t="n"/>
      <c r="AP1185" s="55" t="n"/>
      <c r="AQ1185" s="55" t="n"/>
      <c r="AR1185" s="60">
        <f>IF(AND(C1185="",E1185=""),"",IF(A1185="","⚠ Date manquante",IF(AND(C1185="",E1185&lt;&gt;"Dépense"),"⚠ Prospect manquant",IF(E1185="","⚠ Action manquante",IF(AND(AU1185=1,D1185=""),"⚠ Canal manquant",IF(AND(W1185&lt;&gt;"",COUNTIFS('Saisie'!$W$5:$W$2004,W1185,'Saisie'!$C$5:$C$2004,"&lt;&gt;"&amp;C1185)&gt;0),"⚠ Numéro déjà utilisé par un autre prospect",IF(AND(J1185&lt;&gt;"",J1185&lt;A1185),"⚠ Relance avant la date de l'action",IF(A1185&gt;TODAY(),"⚠ Date dans le futur","✓"))))))))</f>
        <v/>
      </c>
      <c r="AS1185" s="61">
        <f>IF(AND(A1185="",C1185="",E1185=""),"",ROW())</f>
        <v/>
      </c>
      <c r="AT1185" s="61">
        <f>IF(E1185&amp;F1185="","",MAX(IFERROR(INDEX('Paramètres'!$J$6:$J$33,MATCH(E1185,'Paramètres'!$I$6:$I$33,0)),0),IFERROR(INDEX('Paramètres'!$N$6:$N$17,MATCH(F1185,'Paramètres'!$M$6:$M$17,0)),0)))</f>
        <v/>
      </c>
      <c r="AU1185" s="61">
        <f>IF(E1185="","",IFERROR(IF(INDEX('Paramètres'!$K$6:$K$33,MATCH(E1185,'Paramètres'!$I$6:$I$33,0))="Oui",1,0),0))</f>
        <v/>
      </c>
      <c r="AV1185" s="61">
        <f>IF(F1185="","",IFERROR(IF(INDEX('Paramètres'!$O$6:$O$17,MATCH(F1185,'Paramètres'!$M$6:$M$17,0))="Oui",1,0),0))</f>
        <v/>
      </c>
      <c r="AW1185" s="62">
        <f>IF(E1185="","",IF(G1185&lt;&gt;"",G1185,IF(OR(E1185="Proposition envoyée",E1185="Signature"),MAX(0,N(IFERROR(INDEX('Paramètres'!$R$6:$R$15,MATCH(IF(AL1185&lt;&gt;"",AL1185,IFERROR(INDEX('Prospects'!$AN$5:$AN$504,MATCH(C1185,'Prospects'!$C$5:$C$504,0)),"")),'Paramètres'!$Q$6:$Q$15,0)),0))-N(P1185)),0)))</f>
        <v/>
      </c>
      <c r="AX1185" s="61">
        <f>IF(C1185="","",IF(COUNTIF($C$5:C1185,C1185)=1,MAX($AX$4:AX1184)+1,""))</f>
        <v/>
      </c>
      <c r="AY1185" s="61">
        <f>IF(B1185="","",HOUR(B1185))</f>
        <v/>
      </c>
      <c r="AZ1185" s="61">
        <f>IF(A1185="","",MOD(A1185-2,7)+1)</f>
        <v/>
      </c>
      <c r="BA1185" s="60">
        <f>IF(C1185="","",IFERROR(INDEX('Prospects'!$N$5:$N$504,MATCH(C1185,'Prospects'!$C$5:$C$504,0)),""))</f>
        <v/>
      </c>
      <c r="BB1185" s="61">
        <f>IF(AND(C1185&lt;&gt;"",C1185='Fiche prospect'!$C$4),COUNTIF($C$5:C1185,C1185),"")</f>
        <v/>
      </c>
    </row>
    <row r="1186">
      <c r="A1186" s="53" t="n"/>
      <c r="B1186" s="54" t="n"/>
      <c r="C1186" s="55" t="n"/>
      <c r="D1186" s="55" t="n"/>
      <c r="E1186" s="55" t="n"/>
      <c r="F1186" s="55" t="n"/>
      <c r="G1186" s="56" t="n"/>
      <c r="H1186" s="57" t="n"/>
      <c r="I1186" s="55" t="n"/>
      <c r="J1186" s="53" t="n"/>
      <c r="K1186" s="54" t="n"/>
      <c r="L1186" s="55" t="n"/>
      <c r="M1186" s="55" t="n"/>
      <c r="N1186" s="57" t="n"/>
      <c r="O1186" s="55" t="n"/>
      <c r="P1186" s="56" t="n"/>
      <c r="Q1186" s="55" t="n"/>
      <c r="R1186" s="55" t="n"/>
      <c r="S1186" s="55" t="n"/>
      <c r="T1186" s="55" t="n"/>
      <c r="U1186" s="55" t="n"/>
      <c r="V1186" s="55" t="n"/>
      <c r="W1186" s="58" t="n"/>
      <c r="X1186" s="58" t="n"/>
      <c r="Y1186" s="55" t="n"/>
      <c r="Z1186" s="55" t="n"/>
      <c r="AA1186" s="55" t="n"/>
      <c r="AB1186" s="55" t="n"/>
      <c r="AC1186" s="55" t="n"/>
      <c r="AD1186" s="53" t="n"/>
      <c r="AE1186" s="55" t="n"/>
      <c r="AF1186" s="55" t="n"/>
      <c r="AG1186" s="59" t="n"/>
      <c r="AH1186" s="57" t="n"/>
      <c r="AI1186" s="55" t="n"/>
      <c r="AJ1186" s="55" t="n"/>
      <c r="AK1186" s="55" t="n"/>
      <c r="AL1186" s="55" t="n"/>
      <c r="AM1186" s="56" t="n"/>
      <c r="AN1186" s="55" t="n"/>
      <c r="AO1186" s="55" t="n"/>
      <c r="AP1186" s="55" t="n"/>
      <c r="AQ1186" s="55" t="n"/>
      <c r="AR1186" s="60">
        <f>IF(AND(C1186="",E1186=""),"",IF(A1186="","⚠ Date manquante",IF(AND(C1186="",E1186&lt;&gt;"Dépense"),"⚠ Prospect manquant",IF(E1186="","⚠ Action manquante",IF(AND(AU1186=1,D1186=""),"⚠ Canal manquant",IF(AND(W1186&lt;&gt;"",COUNTIFS('Saisie'!$W$5:$W$2004,W1186,'Saisie'!$C$5:$C$2004,"&lt;&gt;"&amp;C1186)&gt;0),"⚠ Numéro déjà utilisé par un autre prospect",IF(AND(J1186&lt;&gt;"",J1186&lt;A1186),"⚠ Relance avant la date de l'action",IF(A1186&gt;TODAY(),"⚠ Date dans le futur","✓"))))))))</f>
        <v/>
      </c>
      <c r="AS1186" s="61">
        <f>IF(AND(A1186="",C1186="",E1186=""),"",ROW())</f>
        <v/>
      </c>
      <c r="AT1186" s="61">
        <f>IF(E1186&amp;F1186="","",MAX(IFERROR(INDEX('Paramètres'!$J$6:$J$33,MATCH(E1186,'Paramètres'!$I$6:$I$33,0)),0),IFERROR(INDEX('Paramètres'!$N$6:$N$17,MATCH(F1186,'Paramètres'!$M$6:$M$17,0)),0)))</f>
        <v/>
      </c>
      <c r="AU1186" s="61">
        <f>IF(E1186="","",IFERROR(IF(INDEX('Paramètres'!$K$6:$K$33,MATCH(E1186,'Paramètres'!$I$6:$I$33,0))="Oui",1,0),0))</f>
        <v/>
      </c>
      <c r="AV1186" s="61">
        <f>IF(F1186="","",IFERROR(IF(INDEX('Paramètres'!$O$6:$O$17,MATCH(F1186,'Paramètres'!$M$6:$M$17,0))="Oui",1,0),0))</f>
        <v/>
      </c>
      <c r="AW1186" s="62">
        <f>IF(E1186="","",IF(G1186&lt;&gt;"",G1186,IF(OR(E1186="Proposition envoyée",E1186="Signature"),MAX(0,N(IFERROR(INDEX('Paramètres'!$R$6:$R$15,MATCH(IF(AL1186&lt;&gt;"",AL1186,IFERROR(INDEX('Prospects'!$AN$5:$AN$504,MATCH(C1186,'Prospects'!$C$5:$C$504,0)),"")),'Paramètres'!$Q$6:$Q$15,0)),0))-N(P1186)),0)))</f>
        <v/>
      </c>
      <c r="AX1186" s="61">
        <f>IF(C1186="","",IF(COUNTIF($C$5:C1186,C1186)=1,MAX($AX$4:AX1185)+1,""))</f>
        <v/>
      </c>
      <c r="AY1186" s="61">
        <f>IF(B1186="","",HOUR(B1186))</f>
        <v/>
      </c>
      <c r="AZ1186" s="61">
        <f>IF(A1186="","",MOD(A1186-2,7)+1)</f>
        <v/>
      </c>
      <c r="BA1186" s="60">
        <f>IF(C1186="","",IFERROR(INDEX('Prospects'!$N$5:$N$504,MATCH(C1186,'Prospects'!$C$5:$C$504,0)),""))</f>
        <v/>
      </c>
      <c r="BB1186" s="61">
        <f>IF(AND(C1186&lt;&gt;"",C1186='Fiche prospect'!$C$4),COUNTIF($C$5:C1186,C1186),"")</f>
        <v/>
      </c>
    </row>
    <row r="1187">
      <c r="A1187" s="53" t="n"/>
      <c r="B1187" s="54" t="n"/>
      <c r="C1187" s="55" t="n"/>
      <c r="D1187" s="55" t="n"/>
      <c r="E1187" s="55" t="n"/>
      <c r="F1187" s="55" t="n"/>
      <c r="G1187" s="56" t="n"/>
      <c r="H1187" s="57" t="n"/>
      <c r="I1187" s="55" t="n"/>
      <c r="J1187" s="53" t="n"/>
      <c r="K1187" s="54" t="n"/>
      <c r="L1187" s="55" t="n"/>
      <c r="M1187" s="55" t="n"/>
      <c r="N1187" s="57" t="n"/>
      <c r="O1187" s="55" t="n"/>
      <c r="P1187" s="56" t="n"/>
      <c r="Q1187" s="55" t="n"/>
      <c r="R1187" s="55" t="n"/>
      <c r="S1187" s="55" t="n"/>
      <c r="T1187" s="55" t="n"/>
      <c r="U1187" s="55" t="n"/>
      <c r="V1187" s="55" t="n"/>
      <c r="W1187" s="58" t="n"/>
      <c r="X1187" s="58" t="n"/>
      <c r="Y1187" s="55" t="n"/>
      <c r="Z1187" s="55" t="n"/>
      <c r="AA1187" s="55" t="n"/>
      <c r="AB1187" s="55" t="n"/>
      <c r="AC1187" s="55" t="n"/>
      <c r="AD1187" s="53" t="n"/>
      <c r="AE1187" s="55" t="n"/>
      <c r="AF1187" s="55" t="n"/>
      <c r="AG1187" s="59" t="n"/>
      <c r="AH1187" s="57" t="n"/>
      <c r="AI1187" s="55" t="n"/>
      <c r="AJ1187" s="55" t="n"/>
      <c r="AK1187" s="55" t="n"/>
      <c r="AL1187" s="55" t="n"/>
      <c r="AM1187" s="56" t="n"/>
      <c r="AN1187" s="55" t="n"/>
      <c r="AO1187" s="55" t="n"/>
      <c r="AP1187" s="55" t="n"/>
      <c r="AQ1187" s="55" t="n"/>
      <c r="AR1187" s="60">
        <f>IF(AND(C1187="",E1187=""),"",IF(A1187="","⚠ Date manquante",IF(AND(C1187="",E1187&lt;&gt;"Dépense"),"⚠ Prospect manquant",IF(E1187="","⚠ Action manquante",IF(AND(AU1187=1,D1187=""),"⚠ Canal manquant",IF(AND(W1187&lt;&gt;"",COUNTIFS('Saisie'!$W$5:$W$2004,W1187,'Saisie'!$C$5:$C$2004,"&lt;&gt;"&amp;C1187)&gt;0),"⚠ Numéro déjà utilisé par un autre prospect",IF(AND(J1187&lt;&gt;"",J1187&lt;A1187),"⚠ Relance avant la date de l'action",IF(A1187&gt;TODAY(),"⚠ Date dans le futur","✓"))))))))</f>
        <v/>
      </c>
      <c r="AS1187" s="61">
        <f>IF(AND(A1187="",C1187="",E1187=""),"",ROW())</f>
        <v/>
      </c>
      <c r="AT1187" s="61">
        <f>IF(E1187&amp;F1187="","",MAX(IFERROR(INDEX('Paramètres'!$J$6:$J$33,MATCH(E1187,'Paramètres'!$I$6:$I$33,0)),0),IFERROR(INDEX('Paramètres'!$N$6:$N$17,MATCH(F1187,'Paramètres'!$M$6:$M$17,0)),0)))</f>
        <v/>
      </c>
      <c r="AU1187" s="61">
        <f>IF(E1187="","",IFERROR(IF(INDEX('Paramètres'!$K$6:$K$33,MATCH(E1187,'Paramètres'!$I$6:$I$33,0))="Oui",1,0),0))</f>
        <v/>
      </c>
      <c r="AV1187" s="61">
        <f>IF(F1187="","",IFERROR(IF(INDEX('Paramètres'!$O$6:$O$17,MATCH(F1187,'Paramètres'!$M$6:$M$17,0))="Oui",1,0),0))</f>
        <v/>
      </c>
      <c r="AW1187" s="62">
        <f>IF(E1187="","",IF(G1187&lt;&gt;"",G1187,IF(OR(E1187="Proposition envoyée",E1187="Signature"),MAX(0,N(IFERROR(INDEX('Paramètres'!$R$6:$R$15,MATCH(IF(AL1187&lt;&gt;"",AL1187,IFERROR(INDEX('Prospects'!$AN$5:$AN$504,MATCH(C1187,'Prospects'!$C$5:$C$504,0)),"")),'Paramètres'!$Q$6:$Q$15,0)),0))-N(P1187)),0)))</f>
        <v/>
      </c>
      <c r="AX1187" s="61">
        <f>IF(C1187="","",IF(COUNTIF($C$5:C1187,C1187)=1,MAX($AX$4:AX1186)+1,""))</f>
        <v/>
      </c>
      <c r="AY1187" s="61">
        <f>IF(B1187="","",HOUR(B1187))</f>
        <v/>
      </c>
      <c r="AZ1187" s="61">
        <f>IF(A1187="","",MOD(A1187-2,7)+1)</f>
        <v/>
      </c>
      <c r="BA1187" s="60">
        <f>IF(C1187="","",IFERROR(INDEX('Prospects'!$N$5:$N$504,MATCH(C1187,'Prospects'!$C$5:$C$504,0)),""))</f>
        <v/>
      </c>
      <c r="BB1187" s="61">
        <f>IF(AND(C1187&lt;&gt;"",C1187='Fiche prospect'!$C$4),COUNTIF($C$5:C1187,C1187),"")</f>
        <v/>
      </c>
    </row>
    <row r="1188">
      <c r="A1188" s="53" t="n"/>
      <c r="B1188" s="54" t="n"/>
      <c r="C1188" s="55" t="n"/>
      <c r="D1188" s="55" t="n"/>
      <c r="E1188" s="55" t="n"/>
      <c r="F1188" s="55" t="n"/>
      <c r="G1188" s="56" t="n"/>
      <c r="H1188" s="57" t="n"/>
      <c r="I1188" s="55" t="n"/>
      <c r="J1188" s="53" t="n"/>
      <c r="K1188" s="54" t="n"/>
      <c r="L1188" s="55" t="n"/>
      <c r="M1188" s="55" t="n"/>
      <c r="N1188" s="57" t="n"/>
      <c r="O1188" s="55" t="n"/>
      <c r="P1188" s="56" t="n"/>
      <c r="Q1188" s="55" t="n"/>
      <c r="R1188" s="55" t="n"/>
      <c r="S1188" s="55" t="n"/>
      <c r="T1188" s="55" t="n"/>
      <c r="U1188" s="55" t="n"/>
      <c r="V1188" s="55" t="n"/>
      <c r="W1188" s="58" t="n"/>
      <c r="X1188" s="58" t="n"/>
      <c r="Y1188" s="55" t="n"/>
      <c r="Z1188" s="55" t="n"/>
      <c r="AA1188" s="55" t="n"/>
      <c r="AB1188" s="55" t="n"/>
      <c r="AC1188" s="55" t="n"/>
      <c r="AD1188" s="53" t="n"/>
      <c r="AE1188" s="55" t="n"/>
      <c r="AF1188" s="55" t="n"/>
      <c r="AG1188" s="59" t="n"/>
      <c r="AH1188" s="57" t="n"/>
      <c r="AI1188" s="55" t="n"/>
      <c r="AJ1188" s="55" t="n"/>
      <c r="AK1188" s="55" t="n"/>
      <c r="AL1188" s="55" t="n"/>
      <c r="AM1188" s="56" t="n"/>
      <c r="AN1188" s="55" t="n"/>
      <c r="AO1188" s="55" t="n"/>
      <c r="AP1188" s="55" t="n"/>
      <c r="AQ1188" s="55" t="n"/>
      <c r="AR1188" s="60">
        <f>IF(AND(C1188="",E1188=""),"",IF(A1188="","⚠ Date manquante",IF(AND(C1188="",E1188&lt;&gt;"Dépense"),"⚠ Prospect manquant",IF(E1188="","⚠ Action manquante",IF(AND(AU1188=1,D1188=""),"⚠ Canal manquant",IF(AND(W1188&lt;&gt;"",COUNTIFS('Saisie'!$W$5:$W$2004,W1188,'Saisie'!$C$5:$C$2004,"&lt;&gt;"&amp;C1188)&gt;0),"⚠ Numéro déjà utilisé par un autre prospect",IF(AND(J1188&lt;&gt;"",J1188&lt;A1188),"⚠ Relance avant la date de l'action",IF(A1188&gt;TODAY(),"⚠ Date dans le futur","✓"))))))))</f>
        <v/>
      </c>
      <c r="AS1188" s="61">
        <f>IF(AND(A1188="",C1188="",E1188=""),"",ROW())</f>
        <v/>
      </c>
      <c r="AT1188" s="61">
        <f>IF(E1188&amp;F1188="","",MAX(IFERROR(INDEX('Paramètres'!$J$6:$J$33,MATCH(E1188,'Paramètres'!$I$6:$I$33,0)),0),IFERROR(INDEX('Paramètres'!$N$6:$N$17,MATCH(F1188,'Paramètres'!$M$6:$M$17,0)),0)))</f>
        <v/>
      </c>
      <c r="AU1188" s="61">
        <f>IF(E1188="","",IFERROR(IF(INDEX('Paramètres'!$K$6:$K$33,MATCH(E1188,'Paramètres'!$I$6:$I$33,0))="Oui",1,0),0))</f>
        <v/>
      </c>
      <c r="AV1188" s="61">
        <f>IF(F1188="","",IFERROR(IF(INDEX('Paramètres'!$O$6:$O$17,MATCH(F1188,'Paramètres'!$M$6:$M$17,0))="Oui",1,0),0))</f>
        <v/>
      </c>
      <c r="AW1188" s="62">
        <f>IF(E1188="","",IF(G1188&lt;&gt;"",G1188,IF(OR(E1188="Proposition envoyée",E1188="Signature"),MAX(0,N(IFERROR(INDEX('Paramètres'!$R$6:$R$15,MATCH(IF(AL1188&lt;&gt;"",AL1188,IFERROR(INDEX('Prospects'!$AN$5:$AN$504,MATCH(C1188,'Prospects'!$C$5:$C$504,0)),"")),'Paramètres'!$Q$6:$Q$15,0)),0))-N(P1188)),0)))</f>
        <v/>
      </c>
      <c r="AX1188" s="61">
        <f>IF(C1188="","",IF(COUNTIF($C$5:C1188,C1188)=1,MAX($AX$4:AX1187)+1,""))</f>
        <v/>
      </c>
      <c r="AY1188" s="61">
        <f>IF(B1188="","",HOUR(B1188))</f>
        <v/>
      </c>
      <c r="AZ1188" s="61">
        <f>IF(A1188="","",MOD(A1188-2,7)+1)</f>
        <v/>
      </c>
      <c r="BA1188" s="60">
        <f>IF(C1188="","",IFERROR(INDEX('Prospects'!$N$5:$N$504,MATCH(C1188,'Prospects'!$C$5:$C$504,0)),""))</f>
        <v/>
      </c>
      <c r="BB1188" s="61">
        <f>IF(AND(C1188&lt;&gt;"",C1188='Fiche prospect'!$C$4),COUNTIF($C$5:C1188,C1188),"")</f>
        <v/>
      </c>
    </row>
    <row r="1189">
      <c r="A1189" s="53" t="n"/>
      <c r="B1189" s="54" t="n"/>
      <c r="C1189" s="55" t="n"/>
      <c r="D1189" s="55" t="n"/>
      <c r="E1189" s="55" t="n"/>
      <c r="F1189" s="55" t="n"/>
      <c r="G1189" s="56" t="n"/>
      <c r="H1189" s="57" t="n"/>
      <c r="I1189" s="55" t="n"/>
      <c r="J1189" s="53" t="n"/>
      <c r="K1189" s="54" t="n"/>
      <c r="L1189" s="55" t="n"/>
      <c r="M1189" s="55" t="n"/>
      <c r="N1189" s="57" t="n"/>
      <c r="O1189" s="55" t="n"/>
      <c r="P1189" s="56" t="n"/>
      <c r="Q1189" s="55" t="n"/>
      <c r="R1189" s="55" t="n"/>
      <c r="S1189" s="55" t="n"/>
      <c r="T1189" s="55" t="n"/>
      <c r="U1189" s="55" t="n"/>
      <c r="V1189" s="55" t="n"/>
      <c r="W1189" s="58" t="n"/>
      <c r="X1189" s="58" t="n"/>
      <c r="Y1189" s="55" t="n"/>
      <c r="Z1189" s="55" t="n"/>
      <c r="AA1189" s="55" t="n"/>
      <c r="AB1189" s="55" t="n"/>
      <c r="AC1189" s="55" t="n"/>
      <c r="AD1189" s="53" t="n"/>
      <c r="AE1189" s="55" t="n"/>
      <c r="AF1189" s="55" t="n"/>
      <c r="AG1189" s="59" t="n"/>
      <c r="AH1189" s="57" t="n"/>
      <c r="AI1189" s="55" t="n"/>
      <c r="AJ1189" s="55" t="n"/>
      <c r="AK1189" s="55" t="n"/>
      <c r="AL1189" s="55" t="n"/>
      <c r="AM1189" s="56" t="n"/>
      <c r="AN1189" s="55" t="n"/>
      <c r="AO1189" s="55" t="n"/>
      <c r="AP1189" s="55" t="n"/>
      <c r="AQ1189" s="55" t="n"/>
      <c r="AR1189" s="60">
        <f>IF(AND(C1189="",E1189=""),"",IF(A1189="","⚠ Date manquante",IF(AND(C1189="",E1189&lt;&gt;"Dépense"),"⚠ Prospect manquant",IF(E1189="","⚠ Action manquante",IF(AND(AU1189=1,D1189=""),"⚠ Canal manquant",IF(AND(W1189&lt;&gt;"",COUNTIFS('Saisie'!$W$5:$W$2004,W1189,'Saisie'!$C$5:$C$2004,"&lt;&gt;"&amp;C1189)&gt;0),"⚠ Numéro déjà utilisé par un autre prospect",IF(AND(J1189&lt;&gt;"",J1189&lt;A1189),"⚠ Relance avant la date de l'action",IF(A1189&gt;TODAY(),"⚠ Date dans le futur","✓"))))))))</f>
        <v/>
      </c>
      <c r="AS1189" s="61">
        <f>IF(AND(A1189="",C1189="",E1189=""),"",ROW())</f>
        <v/>
      </c>
      <c r="AT1189" s="61">
        <f>IF(E1189&amp;F1189="","",MAX(IFERROR(INDEX('Paramètres'!$J$6:$J$33,MATCH(E1189,'Paramètres'!$I$6:$I$33,0)),0),IFERROR(INDEX('Paramètres'!$N$6:$N$17,MATCH(F1189,'Paramètres'!$M$6:$M$17,0)),0)))</f>
        <v/>
      </c>
      <c r="AU1189" s="61">
        <f>IF(E1189="","",IFERROR(IF(INDEX('Paramètres'!$K$6:$K$33,MATCH(E1189,'Paramètres'!$I$6:$I$33,0))="Oui",1,0),0))</f>
        <v/>
      </c>
      <c r="AV1189" s="61">
        <f>IF(F1189="","",IFERROR(IF(INDEX('Paramètres'!$O$6:$O$17,MATCH(F1189,'Paramètres'!$M$6:$M$17,0))="Oui",1,0),0))</f>
        <v/>
      </c>
      <c r="AW1189" s="62">
        <f>IF(E1189="","",IF(G1189&lt;&gt;"",G1189,IF(OR(E1189="Proposition envoyée",E1189="Signature"),MAX(0,N(IFERROR(INDEX('Paramètres'!$R$6:$R$15,MATCH(IF(AL1189&lt;&gt;"",AL1189,IFERROR(INDEX('Prospects'!$AN$5:$AN$504,MATCH(C1189,'Prospects'!$C$5:$C$504,0)),"")),'Paramètres'!$Q$6:$Q$15,0)),0))-N(P1189)),0)))</f>
        <v/>
      </c>
      <c r="AX1189" s="61">
        <f>IF(C1189="","",IF(COUNTIF($C$5:C1189,C1189)=1,MAX($AX$4:AX1188)+1,""))</f>
        <v/>
      </c>
      <c r="AY1189" s="61">
        <f>IF(B1189="","",HOUR(B1189))</f>
        <v/>
      </c>
      <c r="AZ1189" s="61">
        <f>IF(A1189="","",MOD(A1189-2,7)+1)</f>
        <v/>
      </c>
      <c r="BA1189" s="60">
        <f>IF(C1189="","",IFERROR(INDEX('Prospects'!$N$5:$N$504,MATCH(C1189,'Prospects'!$C$5:$C$504,0)),""))</f>
        <v/>
      </c>
      <c r="BB1189" s="61">
        <f>IF(AND(C1189&lt;&gt;"",C1189='Fiche prospect'!$C$4),COUNTIF($C$5:C1189,C1189),"")</f>
        <v/>
      </c>
    </row>
    <row r="1190">
      <c r="A1190" s="53" t="n"/>
      <c r="B1190" s="54" t="n"/>
      <c r="C1190" s="55" t="n"/>
      <c r="D1190" s="55" t="n"/>
      <c r="E1190" s="55" t="n"/>
      <c r="F1190" s="55" t="n"/>
      <c r="G1190" s="56" t="n"/>
      <c r="H1190" s="57" t="n"/>
      <c r="I1190" s="55" t="n"/>
      <c r="J1190" s="53" t="n"/>
      <c r="K1190" s="54" t="n"/>
      <c r="L1190" s="55" t="n"/>
      <c r="M1190" s="55" t="n"/>
      <c r="N1190" s="57" t="n"/>
      <c r="O1190" s="55" t="n"/>
      <c r="P1190" s="56" t="n"/>
      <c r="Q1190" s="55" t="n"/>
      <c r="R1190" s="55" t="n"/>
      <c r="S1190" s="55" t="n"/>
      <c r="T1190" s="55" t="n"/>
      <c r="U1190" s="55" t="n"/>
      <c r="V1190" s="55" t="n"/>
      <c r="W1190" s="58" t="n"/>
      <c r="X1190" s="58" t="n"/>
      <c r="Y1190" s="55" t="n"/>
      <c r="Z1190" s="55" t="n"/>
      <c r="AA1190" s="55" t="n"/>
      <c r="AB1190" s="55" t="n"/>
      <c r="AC1190" s="55" t="n"/>
      <c r="AD1190" s="53" t="n"/>
      <c r="AE1190" s="55" t="n"/>
      <c r="AF1190" s="55" t="n"/>
      <c r="AG1190" s="59" t="n"/>
      <c r="AH1190" s="57" t="n"/>
      <c r="AI1190" s="55" t="n"/>
      <c r="AJ1190" s="55" t="n"/>
      <c r="AK1190" s="55" t="n"/>
      <c r="AL1190" s="55" t="n"/>
      <c r="AM1190" s="56" t="n"/>
      <c r="AN1190" s="55" t="n"/>
      <c r="AO1190" s="55" t="n"/>
      <c r="AP1190" s="55" t="n"/>
      <c r="AQ1190" s="55" t="n"/>
      <c r="AR1190" s="60">
        <f>IF(AND(C1190="",E1190=""),"",IF(A1190="","⚠ Date manquante",IF(AND(C1190="",E1190&lt;&gt;"Dépense"),"⚠ Prospect manquant",IF(E1190="","⚠ Action manquante",IF(AND(AU1190=1,D1190=""),"⚠ Canal manquant",IF(AND(W1190&lt;&gt;"",COUNTIFS('Saisie'!$W$5:$W$2004,W1190,'Saisie'!$C$5:$C$2004,"&lt;&gt;"&amp;C1190)&gt;0),"⚠ Numéro déjà utilisé par un autre prospect",IF(AND(J1190&lt;&gt;"",J1190&lt;A1190),"⚠ Relance avant la date de l'action",IF(A1190&gt;TODAY(),"⚠ Date dans le futur","✓"))))))))</f>
        <v/>
      </c>
      <c r="AS1190" s="61">
        <f>IF(AND(A1190="",C1190="",E1190=""),"",ROW())</f>
        <v/>
      </c>
      <c r="AT1190" s="61">
        <f>IF(E1190&amp;F1190="","",MAX(IFERROR(INDEX('Paramètres'!$J$6:$J$33,MATCH(E1190,'Paramètres'!$I$6:$I$33,0)),0),IFERROR(INDEX('Paramètres'!$N$6:$N$17,MATCH(F1190,'Paramètres'!$M$6:$M$17,0)),0)))</f>
        <v/>
      </c>
      <c r="AU1190" s="61">
        <f>IF(E1190="","",IFERROR(IF(INDEX('Paramètres'!$K$6:$K$33,MATCH(E1190,'Paramètres'!$I$6:$I$33,0))="Oui",1,0),0))</f>
        <v/>
      </c>
      <c r="AV1190" s="61">
        <f>IF(F1190="","",IFERROR(IF(INDEX('Paramètres'!$O$6:$O$17,MATCH(F1190,'Paramètres'!$M$6:$M$17,0))="Oui",1,0),0))</f>
        <v/>
      </c>
      <c r="AW1190" s="62">
        <f>IF(E1190="","",IF(G1190&lt;&gt;"",G1190,IF(OR(E1190="Proposition envoyée",E1190="Signature"),MAX(0,N(IFERROR(INDEX('Paramètres'!$R$6:$R$15,MATCH(IF(AL1190&lt;&gt;"",AL1190,IFERROR(INDEX('Prospects'!$AN$5:$AN$504,MATCH(C1190,'Prospects'!$C$5:$C$504,0)),"")),'Paramètres'!$Q$6:$Q$15,0)),0))-N(P1190)),0)))</f>
        <v/>
      </c>
      <c r="AX1190" s="61">
        <f>IF(C1190="","",IF(COUNTIF($C$5:C1190,C1190)=1,MAX($AX$4:AX1189)+1,""))</f>
        <v/>
      </c>
      <c r="AY1190" s="61">
        <f>IF(B1190="","",HOUR(B1190))</f>
        <v/>
      </c>
      <c r="AZ1190" s="61">
        <f>IF(A1190="","",MOD(A1190-2,7)+1)</f>
        <v/>
      </c>
      <c r="BA1190" s="60">
        <f>IF(C1190="","",IFERROR(INDEX('Prospects'!$N$5:$N$504,MATCH(C1190,'Prospects'!$C$5:$C$504,0)),""))</f>
        <v/>
      </c>
      <c r="BB1190" s="61">
        <f>IF(AND(C1190&lt;&gt;"",C1190='Fiche prospect'!$C$4),COUNTIF($C$5:C1190,C1190),"")</f>
        <v/>
      </c>
    </row>
    <row r="1191">
      <c r="A1191" s="53" t="n"/>
      <c r="B1191" s="54" t="n"/>
      <c r="C1191" s="55" t="n"/>
      <c r="D1191" s="55" t="n"/>
      <c r="E1191" s="55" t="n"/>
      <c r="F1191" s="55" t="n"/>
      <c r="G1191" s="56" t="n"/>
      <c r="H1191" s="57" t="n"/>
      <c r="I1191" s="55" t="n"/>
      <c r="J1191" s="53" t="n"/>
      <c r="K1191" s="54" t="n"/>
      <c r="L1191" s="55" t="n"/>
      <c r="M1191" s="55" t="n"/>
      <c r="N1191" s="57" t="n"/>
      <c r="O1191" s="55" t="n"/>
      <c r="P1191" s="56" t="n"/>
      <c r="Q1191" s="55" t="n"/>
      <c r="R1191" s="55" t="n"/>
      <c r="S1191" s="55" t="n"/>
      <c r="T1191" s="55" t="n"/>
      <c r="U1191" s="55" t="n"/>
      <c r="V1191" s="55" t="n"/>
      <c r="W1191" s="58" t="n"/>
      <c r="X1191" s="58" t="n"/>
      <c r="Y1191" s="55" t="n"/>
      <c r="Z1191" s="55" t="n"/>
      <c r="AA1191" s="55" t="n"/>
      <c r="AB1191" s="55" t="n"/>
      <c r="AC1191" s="55" t="n"/>
      <c r="AD1191" s="53" t="n"/>
      <c r="AE1191" s="55" t="n"/>
      <c r="AF1191" s="55" t="n"/>
      <c r="AG1191" s="59" t="n"/>
      <c r="AH1191" s="57" t="n"/>
      <c r="AI1191" s="55" t="n"/>
      <c r="AJ1191" s="55" t="n"/>
      <c r="AK1191" s="55" t="n"/>
      <c r="AL1191" s="55" t="n"/>
      <c r="AM1191" s="56" t="n"/>
      <c r="AN1191" s="55" t="n"/>
      <c r="AO1191" s="55" t="n"/>
      <c r="AP1191" s="55" t="n"/>
      <c r="AQ1191" s="55" t="n"/>
      <c r="AR1191" s="60">
        <f>IF(AND(C1191="",E1191=""),"",IF(A1191="","⚠ Date manquante",IF(AND(C1191="",E1191&lt;&gt;"Dépense"),"⚠ Prospect manquant",IF(E1191="","⚠ Action manquante",IF(AND(AU1191=1,D1191=""),"⚠ Canal manquant",IF(AND(W1191&lt;&gt;"",COUNTIFS('Saisie'!$W$5:$W$2004,W1191,'Saisie'!$C$5:$C$2004,"&lt;&gt;"&amp;C1191)&gt;0),"⚠ Numéro déjà utilisé par un autre prospect",IF(AND(J1191&lt;&gt;"",J1191&lt;A1191),"⚠ Relance avant la date de l'action",IF(A1191&gt;TODAY(),"⚠ Date dans le futur","✓"))))))))</f>
        <v/>
      </c>
      <c r="AS1191" s="61">
        <f>IF(AND(A1191="",C1191="",E1191=""),"",ROW())</f>
        <v/>
      </c>
      <c r="AT1191" s="61">
        <f>IF(E1191&amp;F1191="","",MAX(IFERROR(INDEX('Paramètres'!$J$6:$J$33,MATCH(E1191,'Paramètres'!$I$6:$I$33,0)),0),IFERROR(INDEX('Paramètres'!$N$6:$N$17,MATCH(F1191,'Paramètres'!$M$6:$M$17,0)),0)))</f>
        <v/>
      </c>
      <c r="AU1191" s="61">
        <f>IF(E1191="","",IFERROR(IF(INDEX('Paramètres'!$K$6:$K$33,MATCH(E1191,'Paramètres'!$I$6:$I$33,0))="Oui",1,0),0))</f>
        <v/>
      </c>
      <c r="AV1191" s="61">
        <f>IF(F1191="","",IFERROR(IF(INDEX('Paramètres'!$O$6:$O$17,MATCH(F1191,'Paramètres'!$M$6:$M$17,0))="Oui",1,0),0))</f>
        <v/>
      </c>
      <c r="AW1191" s="62">
        <f>IF(E1191="","",IF(G1191&lt;&gt;"",G1191,IF(OR(E1191="Proposition envoyée",E1191="Signature"),MAX(0,N(IFERROR(INDEX('Paramètres'!$R$6:$R$15,MATCH(IF(AL1191&lt;&gt;"",AL1191,IFERROR(INDEX('Prospects'!$AN$5:$AN$504,MATCH(C1191,'Prospects'!$C$5:$C$504,0)),"")),'Paramètres'!$Q$6:$Q$15,0)),0))-N(P1191)),0)))</f>
        <v/>
      </c>
      <c r="AX1191" s="61">
        <f>IF(C1191="","",IF(COUNTIF($C$5:C1191,C1191)=1,MAX($AX$4:AX1190)+1,""))</f>
        <v/>
      </c>
      <c r="AY1191" s="61">
        <f>IF(B1191="","",HOUR(B1191))</f>
        <v/>
      </c>
      <c r="AZ1191" s="61">
        <f>IF(A1191="","",MOD(A1191-2,7)+1)</f>
        <v/>
      </c>
      <c r="BA1191" s="60">
        <f>IF(C1191="","",IFERROR(INDEX('Prospects'!$N$5:$N$504,MATCH(C1191,'Prospects'!$C$5:$C$504,0)),""))</f>
        <v/>
      </c>
      <c r="BB1191" s="61">
        <f>IF(AND(C1191&lt;&gt;"",C1191='Fiche prospect'!$C$4),COUNTIF($C$5:C1191,C1191),"")</f>
        <v/>
      </c>
    </row>
    <row r="1192">
      <c r="A1192" s="53" t="n"/>
      <c r="B1192" s="54" t="n"/>
      <c r="C1192" s="55" t="n"/>
      <c r="D1192" s="55" t="n"/>
      <c r="E1192" s="55" t="n"/>
      <c r="F1192" s="55" t="n"/>
      <c r="G1192" s="56" t="n"/>
      <c r="H1192" s="57" t="n"/>
      <c r="I1192" s="55" t="n"/>
      <c r="J1192" s="53" t="n"/>
      <c r="K1192" s="54" t="n"/>
      <c r="L1192" s="55" t="n"/>
      <c r="M1192" s="55" t="n"/>
      <c r="N1192" s="57" t="n"/>
      <c r="O1192" s="55" t="n"/>
      <c r="P1192" s="56" t="n"/>
      <c r="Q1192" s="55" t="n"/>
      <c r="R1192" s="55" t="n"/>
      <c r="S1192" s="55" t="n"/>
      <c r="T1192" s="55" t="n"/>
      <c r="U1192" s="55" t="n"/>
      <c r="V1192" s="55" t="n"/>
      <c r="W1192" s="58" t="n"/>
      <c r="X1192" s="58" t="n"/>
      <c r="Y1192" s="55" t="n"/>
      <c r="Z1192" s="55" t="n"/>
      <c r="AA1192" s="55" t="n"/>
      <c r="AB1192" s="55" t="n"/>
      <c r="AC1192" s="55" t="n"/>
      <c r="AD1192" s="53" t="n"/>
      <c r="AE1192" s="55" t="n"/>
      <c r="AF1192" s="55" t="n"/>
      <c r="AG1192" s="59" t="n"/>
      <c r="AH1192" s="57" t="n"/>
      <c r="AI1192" s="55" t="n"/>
      <c r="AJ1192" s="55" t="n"/>
      <c r="AK1192" s="55" t="n"/>
      <c r="AL1192" s="55" t="n"/>
      <c r="AM1192" s="56" t="n"/>
      <c r="AN1192" s="55" t="n"/>
      <c r="AO1192" s="55" t="n"/>
      <c r="AP1192" s="55" t="n"/>
      <c r="AQ1192" s="55" t="n"/>
      <c r="AR1192" s="60">
        <f>IF(AND(C1192="",E1192=""),"",IF(A1192="","⚠ Date manquante",IF(AND(C1192="",E1192&lt;&gt;"Dépense"),"⚠ Prospect manquant",IF(E1192="","⚠ Action manquante",IF(AND(AU1192=1,D1192=""),"⚠ Canal manquant",IF(AND(W1192&lt;&gt;"",COUNTIFS('Saisie'!$W$5:$W$2004,W1192,'Saisie'!$C$5:$C$2004,"&lt;&gt;"&amp;C1192)&gt;0),"⚠ Numéro déjà utilisé par un autre prospect",IF(AND(J1192&lt;&gt;"",J1192&lt;A1192),"⚠ Relance avant la date de l'action",IF(A1192&gt;TODAY(),"⚠ Date dans le futur","✓"))))))))</f>
        <v/>
      </c>
      <c r="AS1192" s="61">
        <f>IF(AND(A1192="",C1192="",E1192=""),"",ROW())</f>
        <v/>
      </c>
      <c r="AT1192" s="61">
        <f>IF(E1192&amp;F1192="","",MAX(IFERROR(INDEX('Paramètres'!$J$6:$J$33,MATCH(E1192,'Paramètres'!$I$6:$I$33,0)),0),IFERROR(INDEX('Paramètres'!$N$6:$N$17,MATCH(F1192,'Paramètres'!$M$6:$M$17,0)),0)))</f>
        <v/>
      </c>
      <c r="AU1192" s="61">
        <f>IF(E1192="","",IFERROR(IF(INDEX('Paramètres'!$K$6:$K$33,MATCH(E1192,'Paramètres'!$I$6:$I$33,0))="Oui",1,0),0))</f>
        <v/>
      </c>
      <c r="AV1192" s="61">
        <f>IF(F1192="","",IFERROR(IF(INDEX('Paramètres'!$O$6:$O$17,MATCH(F1192,'Paramètres'!$M$6:$M$17,0))="Oui",1,0),0))</f>
        <v/>
      </c>
      <c r="AW1192" s="62">
        <f>IF(E1192="","",IF(G1192&lt;&gt;"",G1192,IF(OR(E1192="Proposition envoyée",E1192="Signature"),MAX(0,N(IFERROR(INDEX('Paramètres'!$R$6:$R$15,MATCH(IF(AL1192&lt;&gt;"",AL1192,IFERROR(INDEX('Prospects'!$AN$5:$AN$504,MATCH(C1192,'Prospects'!$C$5:$C$504,0)),"")),'Paramètres'!$Q$6:$Q$15,0)),0))-N(P1192)),0)))</f>
        <v/>
      </c>
      <c r="AX1192" s="61">
        <f>IF(C1192="","",IF(COUNTIF($C$5:C1192,C1192)=1,MAX($AX$4:AX1191)+1,""))</f>
        <v/>
      </c>
      <c r="AY1192" s="61">
        <f>IF(B1192="","",HOUR(B1192))</f>
        <v/>
      </c>
      <c r="AZ1192" s="61">
        <f>IF(A1192="","",MOD(A1192-2,7)+1)</f>
        <v/>
      </c>
      <c r="BA1192" s="60">
        <f>IF(C1192="","",IFERROR(INDEX('Prospects'!$N$5:$N$504,MATCH(C1192,'Prospects'!$C$5:$C$504,0)),""))</f>
        <v/>
      </c>
      <c r="BB1192" s="61">
        <f>IF(AND(C1192&lt;&gt;"",C1192='Fiche prospect'!$C$4),COUNTIF($C$5:C1192,C1192),"")</f>
        <v/>
      </c>
    </row>
    <row r="1193">
      <c r="A1193" s="53" t="n"/>
      <c r="B1193" s="54" t="n"/>
      <c r="C1193" s="55" t="n"/>
      <c r="D1193" s="55" t="n"/>
      <c r="E1193" s="55" t="n"/>
      <c r="F1193" s="55" t="n"/>
      <c r="G1193" s="56" t="n"/>
      <c r="H1193" s="57" t="n"/>
      <c r="I1193" s="55" t="n"/>
      <c r="J1193" s="53" t="n"/>
      <c r="K1193" s="54" t="n"/>
      <c r="L1193" s="55" t="n"/>
      <c r="M1193" s="55" t="n"/>
      <c r="N1193" s="57" t="n"/>
      <c r="O1193" s="55" t="n"/>
      <c r="P1193" s="56" t="n"/>
      <c r="Q1193" s="55" t="n"/>
      <c r="R1193" s="55" t="n"/>
      <c r="S1193" s="55" t="n"/>
      <c r="T1193" s="55" t="n"/>
      <c r="U1193" s="55" t="n"/>
      <c r="V1193" s="55" t="n"/>
      <c r="W1193" s="58" t="n"/>
      <c r="X1193" s="58" t="n"/>
      <c r="Y1193" s="55" t="n"/>
      <c r="Z1193" s="55" t="n"/>
      <c r="AA1193" s="55" t="n"/>
      <c r="AB1193" s="55" t="n"/>
      <c r="AC1193" s="55" t="n"/>
      <c r="AD1193" s="53" t="n"/>
      <c r="AE1193" s="55" t="n"/>
      <c r="AF1193" s="55" t="n"/>
      <c r="AG1193" s="59" t="n"/>
      <c r="AH1193" s="57" t="n"/>
      <c r="AI1193" s="55" t="n"/>
      <c r="AJ1193" s="55" t="n"/>
      <c r="AK1193" s="55" t="n"/>
      <c r="AL1193" s="55" t="n"/>
      <c r="AM1193" s="56" t="n"/>
      <c r="AN1193" s="55" t="n"/>
      <c r="AO1193" s="55" t="n"/>
      <c r="AP1193" s="55" t="n"/>
      <c r="AQ1193" s="55" t="n"/>
      <c r="AR1193" s="60">
        <f>IF(AND(C1193="",E1193=""),"",IF(A1193="","⚠ Date manquante",IF(AND(C1193="",E1193&lt;&gt;"Dépense"),"⚠ Prospect manquant",IF(E1193="","⚠ Action manquante",IF(AND(AU1193=1,D1193=""),"⚠ Canal manquant",IF(AND(W1193&lt;&gt;"",COUNTIFS('Saisie'!$W$5:$W$2004,W1193,'Saisie'!$C$5:$C$2004,"&lt;&gt;"&amp;C1193)&gt;0),"⚠ Numéro déjà utilisé par un autre prospect",IF(AND(J1193&lt;&gt;"",J1193&lt;A1193),"⚠ Relance avant la date de l'action",IF(A1193&gt;TODAY(),"⚠ Date dans le futur","✓"))))))))</f>
        <v/>
      </c>
      <c r="AS1193" s="61">
        <f>IF(AND(A1193="",C1193="",E1193=""),"",ROW())</f>
        <v/>
      </c>
      <c r="AT1193" s="61">
        <f>IF(E1193&amp;F1193="","",MAX(IFERROR(INDEX('Paramètres'!$J$6:$J$33,MATCH(E1193,'Paramètres'!$I$6:$I$33,0)),0),IFERROR(INDEX('Paramètres'!$N$6:$N$17,MATCH(F1193,'Paramètres'!$M$6:$M$17,0)),0)))</f>
        <v/>
      </c>
      <c r="AU1193" s="61">
        <f>IF(E1193="","",IFERROR(IF(INDEX('Paramètres'!$K$6:$K$33,MATCH(E1193,'Paramètres'!$I$6:$I$33,0))="Oui",1,0),0))</f>
        <v/>
      </c>
      <c r="AV1193" s="61">
        <f>IF(F1193="","",IFERROR(IF(INDEX('Paramètres'!$O$6:$O$17,MATCH(F1193,'Paramètres'!$M$6:$M$17,0))="Oui",1,0),0))</f>
        <v/>
      </c>
      <c r="AW1193" s="62">
        <f>IF(E1193="","",IF(G1193&lt;&gt;"",G1193,IF(OR(E1193="Proposition envoyée",E1193="Signature"),MAX(0,N(IFERROR(INDEX('Paramètres'!$R$6:$R$15,MATCH(IF(AL1193&lt;&gt;"",AL1193,IFERROR(INDEX('Prospects'!$AN$5:$AN$504,MATCH(C1193,'Prospects'!$C$5:$C$504,0)),"")),'Paramètres'!$Q$6:$Q$15,0)),0))-N(P1193)),0)))</f>
        <v/>
      </c>
      <c r="AX1193" s="61">
        <f>IF(C1193="","",IF(COUNTIF($C$5:C1193,C1193)=1,MAX($AX$4:AX1192)+1,""))</f>
        <v/>
      </c>
      <c r="AY1193" s="61">
        <f>IF(B1193="","",HOUR(B1193))</f>
        <v/>
      </c>
      <c r="AZ1193" s="61">
        <f>IF(A1193="","",MOD(A1193-2,7)+1)</f>
        <v/>
      </c>
      <c r="BA1193" s="60">
        <f>IF(C1193="","",IFERROR(INDEX('Prospects'!$N$5:$N$504,MATCH(C1193,'Prospects'!$C$5:$C$504,0)),""))</f>
        <v/>
      </c>
      <c r="BB1193" s="61">
        <f>IF(AND(C1193&lt;&gt;"",C1193='Fiche prospect'!$C$4),COUNTIF($C$5:C1193,C1193),"")</f>
        <v/>
      </c>
    </row>
    <row r="1194">
      <c r="A1194" s="53" t="n"/>
      <c r="B1194" s="54" t="n"/>
      <c r="C1194" s="55" t="n"/>
      <c r="D1194" s="55" t="n"/>
      <c r="E1194" s="55" t="n"/>
      <c r="F1194" s="55" t="n"/>
      <c r="G1194" s="56" t="n"/>
      <c r="H1194" s="57" t="n"/>
      <c r="I1194" s="55" t="n"/>
      <c r="J1194" s="53" t="n"/>
      <c r="K1194" s="54" t="n"/>
      <c r="L1194" s="55" t="n"/>
      <c r="M1194" s="55" t="n"/>
      <c r="N1194" s="57" t="n"/>
      <c r="O1194" s="55" t="n"/>
      <c r="P1194" s="56" t="n"/>
      <c r="Q1194" s="55" t="n"/>
      <c r="R1194" s="55" t="n"/>
      <c r="S1194" s="55" t="n"/>
      <c r="T1194" s="55" t="n"/>
      <c r="U1194" s="55" t="n"/>
      <c r="V1194" s="55" t="n"/>
      <c r="W1194" s="58" t="n"/>
      <c r="X1194" s="58" t="n"/>
      <c r="Y1194" s="55" t="n"/>
      <c r="Z1194" s="55" t="n"/>
      <c r="AA1194" s="55" t="n"/>
      <c r="AB1194" s="55" t="n"/>
      <c r="AC1194" s="55" t="n"/>
      <c r="AD1194" s="53" t="n"/>
      <c r="AE1194" s="55" t="n"/>
      <c r="AF1194" s="55" t="n"/>
      <c r="AG1194" s="59" t="n"/>
      <c r="AH1194" s="57" t="n"/>
      <c r="AI1194" s="55" t="n"/>
      <c r="AJ1194" s="55" t="n"/>
      <c r="AK1194" s="55" t="n"/>
      <c r="AL1194" s="55" t="n"/>
      <c r="AM1194" s="56" t="n"/>
      <c r="AN1194" s="55" t="n"/>
      <c r="AO1194" s="55" t="n"/>
      <c r="AP1194" s="55" t="n"/>
      <c r="AQ1194" s="55" t="n"/>
      <c r="AR1194" s="60">
        <f>IF(AND(C1194="",E1194=""),"",IF(A1194="","⚠ Date manquante",IF(AND(C1194="",E1194&lt;&gt;"Dépense"),"⚠ Prospect manquant",IF(E1194="","⚠ Action manquante",IF(AND(AU1194=1,D1194=""),"⚠ Canal manquant",IF(AND(W1194&lt;&gt;"",COUNTIFS('Saisie'!$W$5:$W$2004,W1194,'Saisie'!$C$5:$C$2004,"&lt;&gt;"&amp;C1194)&gt;0),"⚠ Numéro déjà utilisé par un autre prospect",IF(AND(J1194&lt;&gt;"",J1194&lt;A1194),"⚠ Relance avant la date de l'action",IF(A1194&gt;TODAY(),"⚠ Date dans le futur","✓"))))))))</f>
        <v/>
      </c>
      <c r="AS1194" s="61">
        <f>IF(AND(A1194="",C1194="",E1194=""),"",ROW())</f>
        <v/>
      </c>
      <c r="AT1194" s="61">
        <f>IF(E1194&amp;F1194="","",MAX(IFERROR(INDEX('Paramètres'!$J$6:$J$33,MATCH(E1194,'Paramètres'!$I$6:$I$33,0)),0),IFERROR(INDEX('Paramètres'!$N$6:$N$17,MATCH(F1194,'Paramètres'!$M$6:$M$17,0)),0)))</f>
        <v/>
      </c>
      <c r="AU1194" s="61">
        <f>IF(E1194="","",IFERROR(IF(INDEX('Paramètres'!$K$6:$K$33,MATCH(E1194,'Paramètres'!$I$6:$I$33,0))="Oui",1,0),0))</f>
        <v/>
      </c>
      <c r="AV1194" s="61">
        <f>IF(F1194="","",IFERROR(IF(INDEX('Paramètres'!$O$6:$O$17,MATCH(F1194,'Paramètres'!$M$6:$M$17,0))="Oui",1,0),0))</f>
        <v/>
      </c>
      <c r="AW1194" s="62">
        <f>IF(E1194="","",IF(G1194&lt;&gt;"",G1194,IF(OR(E1194="Proposition envoyée",E1194="Signature"),MAX(0,N(IFERROR(INDEX('Paramètres'!$R$6:$R$15,MATCH(IF(AL1194&lt;&gt;"",AL1194,IFERROR(INDEX('Prospects'!$AN$5:$AN$504,MATCH(C1194,'Prospects'!$C$5:$C$504,0)),"")),'Paramètres'!$Q$6:$Q$15,0)),0))-N(P1194)),0)))</f>
        <v/>
      </c>
      <c r="AX1194" s="61">
        <f>IF(C1194="","",IF(COUNTIF($C$5:C1194,C1194)=1,MAX($AX$4:AX1193)+1,""))</f>
        <v/>
      </c>
      <c r="AY1194" s="61">
        <f>IF(B1194="","",HOUR(B1194))</f>
        <v/>
      </c>
      <c r="AZ1194" s="61">
        <f>IF(A1194="","",MOD(A1194-2,7)+1)</f>
        <v/>
      </c>
      <c r="BA1194" s="60">
        <f>IF(C1194="","",IFERROR(INDEX('Prospects'!$N$5:$N$504,MATCH(C1194,'Prospects'!$C$5:$C$504,0)),""))</f>
        <v/>
      </c>
      <c r="BB1194" s="61">
        <f>IF(AND(C1194&lt;&gt;"",C1194='Fiche prospect'!$C$4),COUNTIF($C$5:C1194,C1194),"")</f>
        <v/>
      </c>
    </row>
    <row r="1195">
      <c r="A1195" s="53" t="n"/>
      <c r="B1195" s="54" t="n"/>
      <c r="C1195" s="55" t="n"/>
      <c r="D1195" s="55" t="n"/>
      <c r="E1195" s="55" t="n"/>
      <c r="F1195" s="55" t="n"/>
      <c r="G1195" s="56" t="n"/>
      <c r="H1195" s="57" t="n"/>
      <c r="I1195" s="55" t="n"/>
      <c r="J1195" s="53" t="n"/>
      <c r="K1195" s="54" t="n"/>
      <c r="L1195" s="55" t="n"/>
      <c r="M1195" s="55" t="n"/>
      <c r="N1195" s="57" t="n"/>
      <c r="O1195" s="55" t="n"/>
      <c r="P1195" s="56" t="n"/>
      <c r="Q1195" s="55" t="n"/>
      <c r="R1195" s="55" t="n"/>
      <c r="S1195" s="55" t="n"/>
      <c r="T1195" s="55" t="n"/>
      <c r="U1195" s="55" t="n"/>
      <c r="V1195" s="55" t="n"/>
      <c r="W1195" s="58" t="n"/>
      <c r="X1195" s="58" t="n"/>
      <c r="Y1195" s="55" t="n"/>
      <c r="Z1195" s="55" t="n"/>
      <c r="AA1195" s="55" t="n"/>
      <c r="AB1195" s="55" t="n"/>
      <c r="AC1195" s="55" t="n"/>
      <c r="AD1195" s="53" t="n"/>
      <c r="AE1195" s="55" t="n"/>
      <c r="AF1195" s="55" t="n"/>
      <c r="AG1195" s="59" t="n"/>
      <c r="AH1195" s="57" t="n"/>
      <c r="AI1195" s="55" t="n"/>
      <c r="AJ1195" s="55" t="n"/>
      <c r="AK1195" s="55" t="n"/>
      <c r="AL1195" s="55" t="n"/>
      <c r="AM1195" s="56" t="n"/>
      <c r="AN1195" s="55" t="n"/>
      <c r="AO1195" s="55" t="n"/>
      <c r="AP1195" s="55" t="n"/>
      <c r="AQ1195" s="55" t="n"/>
      <c r="AR1195" s="60">
        <f>IF(AND(C1195="",E1195=""),"",IF(A1195="","⚠ Date manquante",IF(AND(C1195="",E1195&lt;&gt;"Dépense"),"⚠ Prospect manquant",IF(E1195="","⚠ Action manquante",IF(AND(AU1195=1,D1195=""),"⚠ Canal manquant",IF(AND(W1195&lt;&gt;"",COUNTIFS('Saisie'!$W$5:$W$2004,W1195,'Saisie'!$C$5:$C$2004,"&lt;&gt;"&amp;C1195)&gt;0),"⚠ Numéro déjà utilisé par un autre prospect",IF(AND(J1195&lt;&gt;"",J1195&lt;A1195),"⚠ Relance avant la date de l'action",IF(A1195&gt;TODAY(),"⚠ Date dans le futur","✓"))))))))</f>
        <v/>
      </c>
      <c r="AS1195" s="61">
        <f>IF(AND(A1195="",C1195="",E1195=""),"",ROW())</f>
        <v/>
      </c>
      <c r="AT1195" s="61">
        <f>IF(E1195&amp;F1195="","",MAX(IFERROR(INDEX('Paramètres'!$J$6:$J$33,MATCH(E1195,'Paramètres'!$I$6:$I$33,0)),0),IFERROR(INDEX('Paramètres'!$N$6:$N$17,MATCH(F1195,'Paramètres'!$M$6:$M$17,0)),0)))</f>
        <v/>
      </c>
      <c r="AU1195" s="61">
        <f>IF(E1195="","",IFERROR(IF(INDEX('Paramètres'!$K$6:$K$33,MATCH(E1195,'Paramètres'!$I$6:$I$33,0))="Oui",1,0),0))</f>
        <v/>
      </c>
      <c r="AV1195" s="61">
        <f>IF(F1195="","",IFERROR(IF(INDEX('Paramètres'!$O$6:$O$17,MATCH(F1195,'Paramètres'!$M$6:$M$17,0))="Oui",1,0),0))</f>
        <v/>
      </c>
      <c r="AW1195" s="62">
        <f>IF(E1195="","",IF(G1195&lt;&gt;"",G1195,IF(OR(E1195="Proposition envoyée",E1195="Signature"),MAX(0,N(IFERROR(INDEX('Paramètres'!$R$6:$R$15,MATCH(IF(AL1195&lt;&gt;"",AL1195,IFERROR(INDEX('Prospects'!$AN$5:$AN$504,MATCH(C1195,'Prospects'!$C$5:$C$504,0)),"")),'Paramètres'!$Q$6:$Q$15,0)),0))-N(P1195)),0)))</f>
        <v/>
      </c>
      <c r="AX1195" s="61">
        <f>IF(C1195="","",IF(COUNTIF($C$5:C1195,C1195)=1,MAX($AX$4:AX1194)+1,""))</f>
        <v/>
      </c>
      <c r="AY1195" s="61">
        <f>IF(B1195="","",HOUR(B1195))</f>
        <v/>
      </c>
      <c r="AZ1195" s="61">
        <f>IF(A1195="","",MOD(A1195-2,7)+1)</f>
        <v/>
      </c>
      <c r="BA1195" s="60">
        <f>IF(C1195="","",IFERROR(INDEX('Prospects'!$N$5:$N$504,MATCH(C1195,'Prospects'!$C$5:$C$504,0)),""))</f>
        <v/>
      </c>
      <c r="BB1195" s="61">
        <f>IF(AND(C1195&lt;&gt;"",C1195='Fiche prospect'!$C$4),COUNTIF($C$5:C1195,C1195),"")</f>
        <v/>
      </c>
    </row>
    <row r="1196">
      <c r="A1196" s="53" t="n"/>
      <c r="B1196" s="54" t="n"/>
      <c r="C1196" s="55" t="n"/>
      <c r="D1196" s="55" t="n"/>
      <c r="E1196" s="55" t="n"/>
      <c r="F1196" s="55" t="n"/>
      <c r="G1196" s="56" t="n"/>
      <c r="H1196" s="57" t="n"/>
      <c r="I1196" s="55" t="n"/>
      <c r="J1196" s="53" t="n"/>
      <c r="K1196" s="54" t="n"/>
      <c r="L1196" s="55" t="n"/>
      <c r="M1196" s="55" t="n"/>
      <c r="N1196" s="57" t="n"/>
      <c r="O1196" s="55" t="n"/>
      <c r="P1196" s="56" t="n"/>
      <c r="Q1196" s="55" t="n"/>
      <c r="R1196" s="55" t="n"/>
      <c r="S1196" s="55" t="n"/>
      <c r="T1196" s="55" t="n"/>
      <c r="U1196" s="55" t="n"/>
      <c r="V1196" s="55" t="n"/>
      <c r="W1196" s="58" t="n"/>
      <c r="X1196" s="58" t="n"/>
      <c r="Y1196" s="55" t="n"/>
      <c r="Z1196" s="55" t="n"/>
      <c r="AA1196" s="55" t="n"/>
      <c r="AB1196" s="55" t="n"/>
      <c r="AC1196" s="55" t="n"/>
      <c r="AD1196" s="53" t="n"/>
      <c r="AE1196" s="55" t="n"/>
      <c r="AF1196" s="55" t="n"/>
      <c r="AG1196" s="59" t="n"/>
      <c r="AH1196" s="57" t="n"/>
      <c r="AI1196" s="55" t="n"/>
      <c r="AJ1196" s="55" t="n"/>
      <c r="AK1196" s="55" t="n"/>
      <c r="AL1196" s="55" t="n"/>
      <c r="AM1196" s="56" t="n"/>
      <c r="AN1196" s="55" t="n"/>
      <c r="AO1196" s="55" t="n"/>
      <c r="AP1196" s="55" t="n"/>
      <c r="AQ1196" s="55" t="n"/>
      <c r="AR1196" s="60">
        <f>IF(AND(C1196="",E1196=""),"",IF(A1196="","⚠ Date manquante",IF(AND(C1196="",E1196&lt;&gt;"Dépense"),"⚠ Prospect manquant",IF(E1196="","⚠ Action manquante",IF(AND(AU1196=1,D1196=""),"⚠ Canal manquant",IF(AND(W1196&lt;&gt;"",COUNTIFS('Saisie'!$W$5:$W$2004,W1196,'Saisie'!$C$5:$C$2004,"&lt;&gt;"&amp;C1196)&gt;0),"⚠ Numéro déjà utilisé par un autre prospect",IF(AND(J1196&lt;&gt;"",J1196&lt;A1196),"⚠ Relance avant la date de l'action",IF(A1196&gt;TODAY(),"⚠ Date dans le futur","✓"))))))))</f>
        <v/>
      </c>
      <c r="AS1196" s="61">
        <f>IF(AND(A1196="",C1196="",E1196=""),"",ROW())</f>
        <v/>
      </c>
      <c r="AT1196" s="61">
        <f>IF(E1196&amp;F1196="","",MAX(IFERROR(INDEX('Paramètres'!$J$6:$J$33,MATCH(E1196,'Paramètres'!$I$6:$I$33,0)),0),IFERROR(INDEX('Paramètres'!$N$6:$N$17,MATCH(F1196,'Paramètres'!$M$6:$M$17,0)),0)))</f>
        <v/>
      </c>
      <c r="AU1196" s="61">
        <f>IF(E1196="","",IFERROR(IF(INDEX('Paramètres'!$K$6:$K$33,MATCH(E1196,'Paramètres'!$I$6:$I$33,0))="Oui",1,0),0))</f>
        <v/>
      </c>
      <c r="AV1196" s="61">
        <f>IF(F1196="","",IFERROR(IF(INDEX('Paramètres'!$O$6:$O$17,MATCH(F1196,'Paramètres'!$M$6:$M$17,0))="Oui",1,0),0))</f>
        <v/>
      </c>
      <c r="AW1196" s="62">
        <f>IF(E1196="","",IF(G1196&lt;&gt;"",G1196,IF(OR(E1196="Proposition envoyée",E1196="Signature"),MAX(0,N(IFERROR(INDEX('Paramètres'!$R$6:$R$15,MATCH(IF(AL1196&lt;&gt;"",AL1196,IFERROR(INDEX('Prospects'!$AN$5:$AN$504,MATCH(C1196,'Prospects'!$C$5:$C$504,0)),"")),'Paramètres'!$Q$6:$Q$15,0)),0))-N(P1196)),0)))</f>
        <v/>
      </c>
      <c r="AX1196" s="61">
        <f>IF(C1196="","",IF(COUNTIF($C$5:C1196,C1196)=1,MAX($AX$4:AX1195)+1,""))</f>
        <v/>
      </c>
      <c r="AY1196" s="61">
        <f>IF(B1196="","",HOUR(B1196))</f>
        <v/>
      </c>
      <c r="AZ1196" s="61">
        <f>IF(A1196="","",MOD(A1196-2,7)+1)</f>
        <v/>
      </c>
      <c r="BA1196" s="60">
        <f>IF(C1196="","",IFERROR(INDEX('Prospects'!$N$5:$N$504,MATCH(C1196,'Prospects'!$C$5:$C$504,0)),""))</f>
        <v/>
      </c>
      <c r="BB1196" s="61">
        <f>IF(AND(C1196&lt;&gt;"",C1196='Fiche prospect'!$C$4),COUNTIF($C$5:C1196,C1196),"")</f>
        <v/>
      </c>
    </row>
    <row r="1197">
      <c r="A1197" s="53" t="n"/>
      <c r="B1197" s="54" t="n"/>
      <c r="C1197" s="55" t="n"/>
      <c r="D1197" s="55" t="n"/>
      <c r="E1197" s="55" t="n"/>
      <c r="F1197" s="55" t="n"/>
      <c r="G1197" s="56" t="n"/>
      <c r="H1197" s="57" t="n"/>
      <c r="I1197" s="55" t="n"/>
      <c r="J1197" s="53" t="n"/>
      <c r="K1197" s="54" t="n"/>
      <c r="L1197" s="55" t="n"/>
      <c r="M1197" s="55" t="n"/>
      <c r="N1197" s="57" t="n"/>
      <c r="O1197" s="55" t="n"/>
      <c r="P1197" s="56" t="n"/>
      <c r="Q1197" s="55" t="n"/>
      <c r="R1197" s="55" t="n"/>
      <c r="S1197" s="55" t="n"/>
      <c r="T1197" s="55" t="n"/>
      <c r="U1197" s="55" t="n"/>
      <c r="V1197" s="55" t="n"/>
      <c r="W1197" s="58" t="n"/>
      <c r="X1197" s="58" t="n"/>
      <c r="Y1197" s="55" t="n"/>
      <c r="Z1197" s="55" t="n"/>
      <c r="AA1197" s="55" t="n"/>
      <c r="AB1197" s="55" t="n"/>
      <c r="AC1197" s="55" t="n"/>
      <c r="AD1197" s="53" t="n"/>
      <c r="AE1197" s="55" t="n"/>
      <c r="AF1197" s="55" t="n"/>
      <c r="AG1197" s="59" t="n"/>
      <c r="AH1197" s="57" t="n"/>
      <c r="AI1197" s="55" t="n"/>
      <c r="AJ1197" s="55" t="n"/>
      <c r="AK1197" s="55" t="n"/>
      <c r="AL1197" s="55" t="n"/>
      <c r="AM1197" s="56" t="n"/>
      <c r="AN1197" s="55" t="n"/>
      <c r="AO1197" s="55" t="n"/>
      <c r="AP1197" s="55" t="n"/>
      <c r="AQ1197" s="55" t="n"/>
      <c r="AR1197" s="60">
        <f>IF(AND(C1197="",E1197=""),"",IF(A1197="","⚠ Date manquante",IF(AND(C1197="",E1197&lt;&gt;"Dépense"),"⚠ Prospect manquant",IF(E1197="","⚠ Action manquante",IF(AND(AU1197=1,D1197=""),"⚠ Canal manquant",IF(AND(W1197&lt;&gt;"",COUNTIFS('Saisie'!$W$5:$W$2004,W1197,'Saisie'!$C$5:$C$2004,"&lt;&gt;"&amp;C1197)&gt;0),"⚠ Numéro déjà utilisé par un autre prospect",IF(AND(J1197&lt;&gt;"",J1197&lt;A1197),"⚠ Relance avant la date de l'action",IF(A1197&gt;TODAY(),"⚠ Date dans le futur","✓"))))))))</f>
        <v/>
      </c>
      <c r="AS1197" s="61">
        <f>IF(AND(A1197="",C1197="",E1197=""),"",ROW())</f>
        <v/>
      </c>
      <c r="AT1197" s="61">
        <f>IF(E1197&amp;F1197="","",MAX(IFERROR(INDEX('Paramètres'!$J$6:$J$33,MATCH(E1197,'Paramètres'!$I$6:$I$33,0)),0),IFERROR(INDEX('Paramètres'!$N$6:$N$17,MATCH(F1197,'Paramètres'!$M$6:$M$17,0)),0)))</f>
        <v/>
      </c>
      <c r="AU1197" s="61">
        <f>IF(E1197="","",IFERROR(IF(INDEX('Paramètres'!$K$6:$K$33,MATCH(E1197,'Paramètres'!$I$6:$I$33,0))="Oui",1,0),0))</f>
        <v/>
      </c>
      <c r="AV1197" s="61">
        <f>IF(F1197="","",IFERROR(IF(INDEX('Paramètres'!$O$6:$O$17,MATCH(F1197,'Paramètres'!$M$6:$M$17,0))="Oui",1,0),0))</f>
        <v/>
      </c>
      <c r="AW1197" s="62">
        <f>IF(E1197="","",IF(G1197&lt;&gt;"",G1197,IF(OR(E1197="Proposition envoyée",E1197="Signature"),MAX(0,N(IFERROR(INDEX('Paramètres'!$R$6:$R$15,MATCH(IF(AL1197&lt;&gt;"",AL1197,IFERROR(INDEX('Prospects'!$AN$5:$AN$504,MATCH(C1197,'Prospects'!$C$5:$C$504,0)),"")),'Paramètres'!$Q$6:$Q$15,0)),0))-N(P1197)),0)))</f>
        <v/>
      </c>
      <c r="AX1197" s="61">
        <f>IF(C1197="","",IF(COUNTIF($C$5:C1197,C1197)=1,MAX($AX$4:AX1196)+1,""))</f>
        <v/>
      </c>
      <c r="AY1197" s="61">
        <f>IF(B1197="","",HOUR(B1197))</f>
        <v/>
      </c>
      <c r="AZ1197" s="61">
        <f>IF(A1197="","",MOD(A1197-2,7)+1)</f>
        <v/>
      </c>
      <c r="BA1197" s="60">
        <f>IF(C1197="","",IFERROR(INDEX('Prospects'!$N$5:$N$504,MATCH(C1197,'Prospects'!$C$5:$C$504,0)),""))</f>
        <v/>
      </c>
      <c r="BB1197" s="61">
        <f>IF(AND(C1197&lt;&gt;"",C1197='Fiche prospect'!$C$4),COUNTIF($C$5:C1197,C1197),"")</f>
        <v/>
      </c>
    </row>
    <row r="1198">
      <c r="A1198" s="53" t="n"/>
      <c r="B1198" s="54" t="n"/>
      <c r="C1198" s="55" t="n"/>
      <c r="D1198" s="55" t="n"/>
      <c r="E1198" s="55" t="n"/>
      <c r="F1198" s="55" t="n"/>
      <c r="G1198" s="56" t="n"/>
      <c r="H1198" s="57" t="n"/>
      <c r="I1198" s="55" t="n"/>
      <c r="J1198" s="53" t="n"/>
      <c r="K1198" s="54" t="n"/>
      <c r="L1198" s="55" t="n"/>
      <c r="M1198" s="55" t="n"/>
      <c r="N1198" s="57" t="n"/>
      <c r="O1198" s="55" t="n"/>
      <c r="P1198" s="56" t="n"/>
      <c r="Q1198" s="55" t="n"/>
      <c r="R1198" s="55" t="n"/>
      <c r="S1198" s="55" t="n"/>
      <c r="T1198" s="55" t="n"/>
      <c r="U1198" s="55" t="n"/>
      <c r="V1198" s="55" t="n"/>
      <c r="W1198" s="58" t="n"/>
      <c r="X1198" s="58" t="n"/>
      <c r="Y1198" s="55" t="n"/>
      <c r="Z1198" s="55" t="n"/>
      <c r="AA1198" s="55" t="n"/>
      <c r="AB1198" s="55" t="n"/>
      <c r="AC1198" s="55" t="n"/>
      <c r="AD1198" s="53" t="n"/>
      <c r="AE1198" s="55" t="n"/>
      <c r="AF1198" s="55" t="n"/>
      <c r="AG1198" s="59" t="n"/>
      <c r="AH1198" s="57" t="n"/>
      <c r="AI1198" s="55" t="n"/>
      <c r="AJ1198" s="55" t="n"/>
      <c r="AK1198" s="55" t="n"/>
      <c r="AL1198" s="55" t="n"/>
      <c r="AM1198" s="56" t="n"/>
      <c r="AN1198" s="55" t="n"/>
      <c r="AO1198" s="55" t="n"/>
      <c r="AP1198" s="55" t="n"/>
      <c r="AQ1198" s="55" t="n"/>
      <c r="AR1198" s="60">
        <f>IF(AND(C1198="",E1198=""),"",IF(A1198="","⚠ Date manquante",IF(AND(C1198="",E1198&lt;&gt;"Dépense"),"⚠ Prospect manquant",IF(E1198="","⚠ Action manquante",IF(AND(AU1198=1,D1198=""),"⚠ Canal manquant",IF(AND(W1198&lt;&gt;"",COUNTIFS('Saisie'!$W$5:$W$2004,W1198,'Saisie'!$C$5:$C$2004,"&lt;&gt;"&amp;C1198)&gt;0),"⚠ Numéro déjà utilisé par un autre prospect",IF(AND(J1198&lt;&gt;"",J1198&lt;A1198),"⚠ Relance avant la date de l'action",IF(A1198&gt;TODAY(),"⚠ Date dans le futur","✓"))))))))</f>
        <v/>
      </c>
      <c r="AS1198" s="61">
        <f>IF(AND(A1198="",C1198="",E1198=""),"",ROW())</f>
        <v/>
      </c>
      <c r="AT1198" s="61">
        <f>IF(E1198&amp;F1198="","",MAX(IFERROR(INDEX('Paramètres'!$J$6:$J$33,MATCH(E1198,'Paramètres'!$I$6:$I$33,0)),0),IFERROR(INDEX('Paramètres'!$N$6:$N$17,MATCH(F1198,'Paramètres'!$M$6:$M$17,0)),0)))</f>
        <v/>
      </c>
      <c r="AU1198" s="61">
        <f>IF(E1198="","",IFERROR(IF(INDEX('Paramètres'!$K$6:$K$33,MATCH(E1198,'Paramètres'!$I$6:$I$33,0))="Oui",1,0),0))</f>
        <v/>
      </c>
      <c r="AV1198" s="61">
        <f>IF(F1198="","",IFERROR(IF(INDEX('Paramètres'!$O$6:$O$17,MATCH(F1198,'Paramètres'!$M$6:$M$17,0))="Oui",1,0),0))</f>
        <v/>
      </c>
      <c r="AW1198" s="62">
        <f>IF(E1198="","",IF(G1198&lt;&gt;"",G1198,IF(OR(E1198="Proposition envoyée",E1198="Signature"),MAX(0,N(IFERROR(INDEX('Paramètres'!$R$6:$R$15,MATCH(IF(AL1198&lt;&gt;"",AL1198,IFERROR(INDEX('Prospects'!$AN$5:$AN$504,MATCH(C1198,'Prospects'!$C$5:$C$504,0)),"")),'Paramètres'!$Q$6:$Q$15,0)),0))-N(P1198)),0)))</f>
        <v/>
      </c>
      <c r="AX1198" s="61">
        <f>IF(C1198="","",IF(COUNTIF($C$5:C1198,C1198)=1,MAX($AX$4:AX1197)+1,""))</f>
        <v/>
      </c>
      <c r="AY1198" s="61">
        <f>IF(B1198="","",HOUR(B1198))</f>
        <v/>
      </c>
      <c r="AZ1198" s="61">
        <f>IF(A1198="","",MOD(A1198-2,7)+1)</f>
        <v/>
      </c>
      <c r="BA1198" s="60">
        <f>IF(C1198="","",IFERROR(INDEX('Prospects'!$N$5:$N$504,MATCH(C1198,'Prospects'!$C$5:$C$504,0)),""))</f>
        <v/>
      </c>
      <c r="BB1198" s="61">
        <f>IF(AND(C1198&lt;&gt;"",C1198='Fiche prospect'!$C$4),COUNTIF($C$5:C1198,C1198),"")</f>
        <v/>
      </c>
    </row>
    <row r="1199">
      <c r="A1199" s="53" t="n"/>
      <c r="B1199" s="54" t="n"/>
      <c r="C1199" s="55" t="n"/>
      <c r="D1199" s="55" t="n"/>
      <c r="E1199" s="55" t="n"/>
      <c r="F1199" s="55" t="n"/>
      <c r="G1199" s="56" t="n"/>
      <c r="H1199" s="57" t="n"/>
      <c r="I1199" s="55" t="n"/>
      <c r="J1199" s="53" t="n"/>
      <c r="K1199" s="54" t="n"/>
      <c r="L1199" s="55" t="n"/>
      <c r="M1199" s="55" t="n"/>
      <c r="N1199" s="57" t="n"/>
      <c r="O1199" s="55" t="n"/>
      <c r="P1199" s="56" t="n"/>
      <c r="Q1199" s="55" t="n"/>
      <c r="R1199" s="55" t="n"/>
      <c r="S1199" s="55" t="n"/>
      <c r="T1199" s="55" t="n"/>
      <c r="U1199" s="55" t="n"/>
      <c r="V1199" s="55" t="n"/>
      <c r="W1199" s="58" t="n"/>
      <c r="X1199" s="58" t="n"/>
      <c r="Y1199" s="55" t="n"/>
      <c r="Z1199" s="55" t="n"/>
      <c r="AA1199" s="55" t="n"/>
      <c r="AB1199" s="55" t="n"/>
      <c r="AC1199" s="55" t="n"/>
      <c r="AD1199" s="53" t="n"/>
      <c r="AE1199" s="55" t="n"/>
      <c r="AF1199" s="55" t="n"/>
      <c r="AG1199" s="59" t="n"/>
      <c r="AH1199" s="57" t="n"/>
      <c r="AI1199" s="55" t="n"/>
      <c r="AJ1199" s="55" t="n"/>
      <c r="AK1199" s="55" t="n"/>
      <c r="AL1199" s="55" t="n"/>
      <c r="AM1199" s="56" t="n"/>
      <c r="AN1199" s="55" t="n"/>
      <c r="AO1199" s="55" t="n"/>
      <c r="AP1199" s="55" t="n"/>
      <c r="AQ1199" s="55" t="n"/>
      <c r="AR1199" s="60">
        <f>IF(AND(C1199="",E1199=""),"",IF(A1199="","⚠ Date manquante",IF(AND(C1199="",E1199&lt;&gt;"Dépense"),"⚠ Prospect manquant",IF(E1199="","⚠ Action manquante",IF(AND(AU1199=1,D1199=""),"⚠ Canal manquant",IF(AND(W1199&lt;&gt;"",COUNTIFS('Saisie'!$W$5:$W$2004,W1199,'Saisie'!$C$5:$C$2004,"&lt;&gt;"&amp;C1199)&gt;0),"⚠ Numéro déjà utilisé par un autre prospect",IF(AND(J1199&lt;&gt;"",J1199&lt;A1199),"⚠ Relance avant la date de l'action",IF(A1199&gt;TODAY(),"⚠ Date dans le futur","✓"))))))))</f>
        <v/>
      </c>
      <c r="AS1199" s="61">
        <f>IF(AND(A1199="",C1199="",E1199=""),"",ROW())</f>
        <v/>
      </c>
      <c r="AT1199" s="61">
        <f>IF(E1199&amp;F1199="","",MAX(IFERROR(INDEX('Paramètres'!$J$6:$J$33,MATCH(E1199,'Paramètres'!$I$6:$I$33,0)),0),IFERROR(INDEX('Paramètres'!$N$6:$N$17,MATCH(F1199,'Paramètres'!$M$6:$M$17,0)),0)))</f>
        <v/>
      </c>
      <c r="AU1199" s="61">
        <f>IF(E1199="","",IFERROR(IF(INDEX('Paramètres'!$K$6:$K$33,MATCH(E1199,'Paramètres'!$I$6:$I$33,0))="Oui",1,0),0))</f>
        <v/>
      </c>
      <c r="AV1199" s="61">
        <f>IF(F1199="","",IFERROR(IF(INDEX('Paramètres'!$O$6:$O$17,MATCH(F1199,'Paramètres'!$M$6:$M$17,0))="Oui",1,0),0))</f>
        <v/>
      </c>
      <c r="AW1199" s="62">
        <f>IF(E1199="","",IF(G1199&lt;&gt;"",G1199,IF(OR(E1199="Proposition envoyée",E1199="Signature"),MAX(0,N(IFERROR(INDEX('Paramètres'!$R$6:$R$15,MATCH(IF(AL1199&lt;&gt;"",AL1199,IFERROR(INDEX('Prospects'!$AN$5:$AN$504,MATCH(C1199,'Prospects'!$C$5:$C$504,0)),"")),'Paramètres'!$Q$6:$Q$15,0)),0))-N(P1199)),0)))</f>
        <v/>
      </c>
      <c r="AX1199" s="61">
        <f>IF(C1199="","",IF(COUNTIF($C$5:C1199,C1199)=1,MAX($AX$4:AX1198)+1,""))</f>
        <v/>
      </c>
      <c r="AY1199" s="61">
        <f>IF(B1199="","",HOUR(B1199))</f>
        <v/>
      </c>
      <c r="AZ1199" s="61">
        <f>IF(A1199="","",MOD(A1199-2,7)+1)</f>
        <v/>
      </c>
      <c r="BA1199" s="60">
        <f>IF(C1199="","",IFERROR(INDEX('Prospects'!$N$5:$N$504,MATCH(C1199,'Prospects'!$C$5:$C$504,0)),""))</f>
        <v/>
      </c>
      <c r="BB1199" s="61">
        <f>IF(AND(C1199&lt;&gt;"",C1199='Fiche prospect'!$C$4),COUNTIF($C$5:C1199,C1199),"")</f>
        <v/>
      </c>
    </row>
    <row r="1200">
      <c r="A1200" s="53" t="n"/>
      <c r="B1200" s="54" t="n"/>
      <c r="C1200" s="55" t="n"/>
      <c r="D1200" s="55" t="n"/>
      <c r="E1200" s="55" t="n"/>
      <c r="F1200" s="55" t="n"/>
      <c r="G1200" s="56" t="n"/>
      <c r="H1200" s="57" t="n"/>
      <c r="I1200" s="55" t="n"/>
      <c r="J1200" s="53" t="n"/>
      <c r="K1200" s="54" t="n"/>
      <c r="L1200" s="55" t="n"/>
      <c r="M1200" s="55" t="n"/>
      <c r="N1200" s="57" t="n"/>
      <c r="O1200" s="55" t="n"/>
      <c r="P1200" s="56" t="n"/>
      <c r="Q1200" s="55" t="n"/>
      <c r="R1200" s="55" t="n"/>
      <c r="S1200" s="55" t="n"/>
      <c r="T1200" s="55" t="n"/>
      <c r="U1200" s="55" t="n"/>
      <c r="V1200" s="55" t="n"/>
      <c r="W1200" s="58" t="n"/>
      <c r="X1200" s="58" t="n"/>
      <c r="Y1200" s="55" t="n"/>
      <c r="Z1200" s="55" t="n"/>
      <c r="AA1200" s="55" t="n"/>
      <c r="AB1200" s="55" t="n"/>
      <c r="AC1200" s="55" t="n"/>
      <c r="AD1200" s="53" t="n"/>
      <c r="AE1200" s="55" t="n"/>
      <c r="AF1200" s="55" t="n"/>
      <c r="AG1200" s="59" t="n"/>
      <c r="AH1200" s="57" t="n"/>
      <c r="AI1200" s="55" t="n"/>
      <c r="AJ1200" s="55" t="n"/>
      <c r="AK1200" s="55" t="n"/>
      <c r="AL1200" s="55" t="n"/>
      <c r="AM1200" s="56" t="n"/>
      <c r="AN1200" s="55" t="n"/>
      <c r="AO1200" s="55" t="n"/>
      <c r="AP1200" s="55" t="n"/>
      <c r="AQ1200" s="55" t="n"/>
      <c r="AR1200" s="60">
        <f>IF(AND(C1200="",E1200=""),"",IF(A1200="","⚠ Date manquante",IF(AND(C1200="",E1200&lt;&gt;"Dépense"),"⚠ Prospect manquant",IF(E1200="","⚠ Action manquante",IF(AND(AU1200=1,D1200=""),"⚠ Canal manquant",IF(AND(W1200&lt;&gt;"",COUNTIFS('Saisie'!$W$5:$W$2004,W1200,'Saisie'!$C$5:$C$2004,"&lt;&gt;"&amp;C1200)&gt;0),"⚠ Numéro déjà utilisé par un autre prospect",IF(AND(J1200&lt;&gt;"",J1200&lt;A1200),"⚠ Relance avant la date de l'action",IF(A1200&gt;TODAY(),"⚠ Date dans le futur","✓"))))))))</f>
        <v/>
      </c>
      <c r="AS1200" s="61">
        <f>IF(AND(A1200="",C1200="",E1200=""),"",ROW())</f>
        <v/>
      </c>
      <c r="AT1200" s="61">
        <f>IF(E1200&amp;F1200="","",MAX(IFERROR(INDEX('Paramètres'!$J$6:$J$33,MATCH(E1200,'Paramètres'!$I$6:$I$33,0)),0),IFERROR(INDEX('Paramètres'!$N$6:$N$17,MATCH(F1200,'Paramètres'!$M$6:$M$17,0)),0)))</f>
        <v/>
      </c>
      <c r="AU1200" s="61">
        <f>IF(E1200="","",IFERROR(IF(INDEX('Paramètres'!$K$6:$K$33,MATCH(E1200,'Paramètres'!$I$6:$I$33,0))="Oui",1,0),0))</f>
        <v/>
      </c>
      <c r="AV1200" s="61">
        <f>IF(F1200="","",IFERROR(IF(INDEX('Paramètres'!$O$6:$O$17,MATCH(F1200,'Paramètres'!$M$6:$M$17,0))="Oui",1,0),0))</f>
        <v/>
      </c>
      <c r="AW1200" s="62">
        <f>IF(E1200="","",IF(G1200&lt;&gt;"",G1200,IF(OR(E1200="Proposition envoyée",E1200="Signature"),MAX(0,N(IFERROR(INDEX('Paramètres'!$R$6:$R$15,MATCH(IF(AL1200&lt;&gt;"",AL1200,IFERROR(INDEX('Prospects'!$AN$5:$AN$504,MATCH(C1200,'Prospects'!$C$5:$C$504,0)),"")),'Paramètres'!$Q$6:$Q$15,0)),0))-N(P1200)),0)))</f>
        <v/>
      </c>
      <c r="AX1200" s="61">
        <f>IF(C1200="","",IF(COUNTIF($C$5:C1200,C1200)=1,MAX($AX$4:AX1199)+1,""))</f>
        <v/>
      </c>
      <c r="AY1200" s="61">
        <f>IF(B1200="","",HOUR(B1200))</f>
        <v/>
      </c>
      <c r="AZ1200" s="61">
        <f>IF(A1200="","",MOD(A1200-2,7)+1)</f>
        <v/>
      </c>
      <c r="BA1200" s="60">
        <f>IF(C1200="","",IFERROR(INDEX('Prospects'!$N$5:$N$504,MATCH(C1200,'Prospects'!$C$5:$C$504,0)),""))</f>
        <v/>
      </c>
      <c r="BB1200" s="61">
        <f>IF(AND(C1200&lt;&gt;"",C1200='Fiche prospect'!$C$4),COUNTIF($C$5:C1200,C1200),"")</f>
        <v/>
      </c>
    </row>
    <row r="1201">
      <c r="A1201" s="53" t="n"/>
      <c r="B1201" s="54" t="n"/>
      <c r="C1201" s="55" t="n"/>
      <c r="D1201" s="55" t="n"/>
      <c r="E1201" s="55" t="n"/>
      <c r="F1201" s="55" t="n"/>
      <c r="G1201" s="56" t="n"/>
      <c r="H1201" s="57" t="n"/>
      <c r="I1201" s="55" t="n"/>
      <c r="J1201" s="53" t="n"/>
      <c r="K1201" s="54" t="n"/>
      <c r="L1201" s="55" t="n"/>
      <c r="M1201" s="55" t="n"/>
      <c r="N1201" s="57" t="n"/>
      <c r="O1201" s="55" t="n"/>
      <c r="P1201" s="56" t="n"/>
      <c r="Q1201" s="55" t="n"/>
      <c r="R1201" s="55" t="n"/>
      <c r="S1201" s="55" t="n"/>
      <c r="T1201" s="55" t="n"/>
      <c r="U1201" s="55" t="n"/>
      <c r="V1201" s="55" t="n"/>
      <c r="W1201" s="58" t="n"/>
      <c r="X1201" s="58" t="n"/>
      <c r="Y1201" s="55" t="n"/>
      <c r="Z1201" s="55" t="n"/>
      <c r="AA1201" s="55" t="n"/>
      <c r="AB1201" s="55" t="n"/>
      <c r="AC1201" s="55" t="n"/>
      <c r="AD1201" s="53" t="n"/>
      <c r="AE1201" s="55" t="n"/>
      <c r="AF1201" s="55" t="n"/>
      <c r="AG1201" s="59" t="n"/>
      <c r="AH1201" s="57" t="n"/>
      <c r="AI1201" s="55" t="n"/>
      <c r="AJ1201" s="55" t="n"/>
      <c r="AK1201" s="55" t="n"/>
      <c r="AL1201" s="55" t="n"/>
      <c r="AM1201" s="56" t="n"/>
      <c r="AN1201" s="55" t="n"/>
      <c r="AO1201" s="55" t="n"/>
      <c r="AP1201" s="55" t="n"/>
      <c r="AQ1201" s="55" t="n"/>
      <c r="AR1201" s="60">
        <f>IF(AND(C1201="",E1201=""),"",IF(A1201="","⚠ Date manquante",IF(AND(C1201="",E1201&lt;&gt;"Dépense"),"⚠ Prospect manquant",IF(E1201="","⚠ Action manquante",IF(AND(AU1201=1,D1201=""),"⚠ Canal manquant",IF(AND(W1201&lt;&gt;"",COUNTIFS('Saisie'!$W$5:$W$2004,W1201,'Saisie'!$C$5:$C$2004,"&lt;&gt;"&amp;C1201)&gt;0),"⚠ Numéro déjà utilisé par un autre prospect",IF(AND(J1201&lt;&gt;"",J1201&lt;A1201),"⚠ Relance avant la date de l'action",IF(A1201&gt;TODAY(),"⚠ Date dans le futur","✓"))))))))</f>
        <v/>
      </c>
      <c r="AS1201" s="61">
        <f>IF(AND(A1201="",C1201="",E1201=""),"",ROW())</f>
        <v/>
      </c>
      <c r="AT1201" s="61">
        <f>IF(E1201&amp;F1201="","",MAX(IFERROR(INDEX('Paramètres'!$J$6:$J$33,MATCH(E1201,'Paramètres'!$I$6:$I$33,0)),0),IFERROR(INDEX('Paramètres'!$N$6:$N$17,MATCH(F1201,'Paramètres'!$M$6:$M$17,0)),0)))</f>
        <v/>
      </c>
      <c r="AU1201" s="61">
        <f>IF(E1201="","",IFERROR(IF(INDEX('Paramètres'!$K$6:$K$33,MATCH(E1201,'Paramètres'!$I$6:$I$33,0))="Oui",1,0),0))</f>
        <v/>
      </c>
      <c r="AV1201" s="61">
        <f>IF(F1201="","",IFERROR(IF(INDEX('Paramètres'!$O$6:$O$17,MATCH(F1201,'Paramètres'!$M$6:$M$17,0))="Oui",1,0),0))</f>
        <v/>
      </c>
      <c r="AW1201" s="62">
        <f>IF(E1201="","",IF(G1201&lt;&gt;"",G1201,IF(OR(E1201="Proposition envoyée",E1201="Signature"),MAX(0,N(IFERROR(INDEX('Paramètres'!$R$6:$R$15,MATCH(IF(AL1201&lt;&gt;"",AL1201,IFERROR(INDEX('Prospects'!$AN$5:$AN$504,MATCH(C1201,'Prospects'!$C$5:$C$504,0)),"")),'Paramètres'!$Q$6:$Q$15,0)),0))-N(P1201)),0)))</f>
        <v/>
      </c>
      <c r="AX1201" s="61">
        <f>IF(C1201="","",IF(COUNTIF($C$5:C1201,C1201)=1,MAX($AX$4:AX1200)+1,""))</f>
        <v/>
      </c>
      <c r="AY1201" s="61">
        <f>IF(B1201="","",HOUR(B1201))</f>
        <v/>
      </c>
      <c r="AZ1201" s="61">
        <f>IF(A1201="","",MOD(A1201-2,7)+1)</f>
        <v/>
      </c>
      <c r="BA1201" s="60">
        <f>IF(C1201="","",IFERROR(INDEX('Prospects'!$N$5:$N$504,MATCH(C1201,'Prospects'!$C$5:$C$504,0)),""))</f>
        <v/>
      </c>
      <c r="BB1201" s="61">
        <f>IF(AND(C1201&lt;&gt;"",C1201='Fiche prospect'!$C$4),COUNTIF($C$5:C1201,C1201),"")</f>
        <v/>
      </c>
    </row>
    <row r="1202">
      <c r="A1202" s="53" t="n"/>
      <c r="B1202" s="54" t="n"/>
      <c r="C1202" s="55" t="n"/>
      <c r="D1202" s="55" t="n"/>
      <c r="E1202" s="55" t="n"/>
      <c r="F1202" s="55" t="n"/>
      <c r="G1202" s="56" t="n"/>
      <c r="H1202" s="57" t="n"/>
      <c r="I1202" s="55" t="n"/>
      <c r="J1202" s="53" t="n"/>
      <c r="K1202" s="54" t="n"/>
      <c r="L1202" s="55" t="n"/>
      <c r="M1202" s="55" t="n"/>
      <c r="N1202" s="57" t="n"/>
      <c r="O1202" s="55" t="n"/>
      <c r="P1202" s="56" t="n"/>
      <c r="Q1202" s="55" t="n"/>
      <c r="R1202" s="55" t="n"/>
      <c r="S1202" s="55" t="n"/>
      <c r="T1202" s="55" t="n"/>
      <c r="U1202" s="55" t="n"/>
      <c r="V1202" s="55" t="n"/>
      <c r="W1202" s="58" t="n"/>
      <c r="X1202" s="58" t="n"/>
      <c r="Y1202" s="55" t="n"/>
      <c r="Z1202" s="55" t="n"/>
      <c r="AA1202" s="55" t="n"/>
      <c r="AB1202" s="55" t="n"/>
      <c r="AC1202" s="55" t="n"/>
      <c r="AD1202" s="53" t="n"/>
      <c r="AE1202" s="55" t="n"/>
      <c r="AF1202" s="55" t="n"/>
      <c r="AG1202" s="59" t="n"/>
      <c r="AH1202" s="57" t="n"/>
      <c r="AI1202" s="55" t="n"/>
      <c r="AJ1202" s="55" t="n"/>
      <c r="AK1202" s="55" t="n"/>
      <c r="AL1202" s="55" t="n"/>
      <c r="AM1202" s="56" t="n"/>
      <c r="AN1202" s="55" t="n"/>
      <c r="AO1202" s="55" t="n"/>
      <c r="AP1202" s="55" t="n"/>
      <c r="AQ1202" s="55" t="n"/>
      <c r="AR1202" s="60">
        <f>IF(AND(C1202="",E1202=""),"",IF(A1202="","⚠ Date manquante",IF(AND(C1202="",E1202&lt;&gt;"Dépense"),"⚠ Prospect manquant",IF(E1202="","⚠ Action manquante",IF(AND(AU1202=1,D1202=""),"⚠ Canal manquant",IF(AND(W1202&lt;&gt;"",COUNTIFS('Saisie'!$W$5:$W$2004,W1202,'Saisie'!$C$5:$C$2004,"&lt;&gt;"&amp;C1202)&gt;0),"⚠ Numéro déjà utilisé par un autre prospect",IF(AND(J1202&lt;&gt;"",J1202&lt;A1202),"⚠ Relance avant la date de l'action",IF(A1202&gt;TODAY(),"⚠ Date dans le futur","✓"))))))))</f>
        <v/>
      </c>
      <c r="AS1202" s="61">
        <f>IF(AND(A1202="",C1202="",E1202=""),"",ROW())</f>
        <v/>
      </c>
      <c r="AT1202" s="61">
        <f>IF(E1202&amp;F1202="","",MAX(IFERROR(INDEX('Paramètres'!$J$6:$J$33,MATCH(E1202,'Paramètres'!$I$6:$I$33,0)),0),IFERROR(INDEX('Paramètres'!$N$6:$N$17,MATCH(F1202,'Paramètres'!$M$6:$M$17,0)),0)))</f>
        <v/>
      </c>
      <c r="AU1202" s="61">
        <f>IF(E1202="","",IFERROR(IF(INDEX('Paramètres'!$K$6:$K$33,MATCH(E1202,'Paramètres'!$I$6:$I$33,0))="Oui",1,0),0))</f>
        <v/>
      </c>
      <c r="AV1202" s="61">
        <f>IF(F1202="","",IFERROR(IF(INDEX('Paramètres'!$O$6:$O$17,MATCH(F1202,'Paramètres'!$M$6:$M$17,0))="Oui",1,0),0))</f>
        <v/>
      </c>
      <c r="AW1202" s="62">
        <f>IF(E1202="","",IF(G1202&lt;&gt;"",G1202,IF(OR(E1202="Proposition envoyée",E1202="Signature"),MAX(0,N(IFERROR(INDEX('Paramètres'!$R$6:$R$15,MATCH(IF(AL1202&lt;&gt;"",AL1202,IFERROR(INDEX('Prospects'!$AN$5:$AN$504,MATCH(C1202,'Prospects'!$C$5:$C$504,0)),"")),'Paramètres'!$Q$6:$Q$15,0)),0))-N(P1202)),0)))</f>
        <v/>
      </c>
      <c r="AX1202" s="61">
        <f>IF(C1202="","",IF(COUNTIF($C$5:C1202,C1202)=1,MAX($AX$4:AX1201)+1,""))</f>
        <v/>
      </c>
      <c r="AY1202" s="61">
        <f>IF(B1202="","",HOUR(B1202))</f>
        <v/>
      </c>
      <c r="AZ1202" s="61">
        <f>IF(A1202="","",MOD(A1202-2,7)+1)</f>
        <v/>
      </c>
      <c r="BA1202" s="60">
        <f>IF(C1202="","",IFERROR(INDEX('Prospects'!$N$5:$N$504,MATCH(C1202,'Prospects'!$C$5:$C$504,0)),""))</f>
        <v/>
      </c>
      <c r="BB1202" s="61">
        <f>IF(AND(C1202&lt;&gt;"",C1202='Fiche prospect'!$C$4),COUNTIF($C$5:C1202,C1202),"")</f>
        <v/>
      </c>
    </row>
    <row r="1203">
      <c r="A1203" s="53" t="n"/>
      <c r="B1203" s="54" t="n"/>
      <c r="C1203" s="55" t="n"/>
      <c r="D1203" s="55" t="n"/>
      <c r="E1203" s="55" t="n"/>
      <c r="F1203" s="55" t="n"/>
      <c r="G1203" s="56" t="n"/>
      <c r="H1203" s="57" t="n"/>
      <c r="I1203" s="55" t="n"/>
      <c r="J1203" s="53" t="n"/>
      <c r="K1203" s="54" t="n"/>
      <c r="L1203" s="55" t="n"/>
      <c r="M1203" s="55" t="n"/>
      <c r="N1203" s="57" t="n"/>
      <c r="O1203" s="55" t="n"/>
      <c r="P1203" s="56" t="n"/>
      <c r="Q1203" s="55" t="n"/>
      <c r="R1203" s="55" t="n"/>
      <c r="S1203" s="55" t="n"/>
      <c r="T1203" s="55" t="n"/>
      <c r="U1203" s="55" t="n"/>
      <c r="V1203" s="55" t="n"/>
      <c r="W1203" s="58" t="n"/>
      <c r="X1203" s="58" t="n"/>
      <c r="Y1203" s="55" t="n"/>
      <c r="Z1203" s="55" t="n"/>
      <c r="AA1203" s="55" t="n"/>
      <c r="AB1203" s="55" t="n"/>
      <c r="AC1203" s="55" t="n"/>
      <c r="AD1203" s="53" t="n"/>
      <c r="AE1203" s="55" t="n"/>
      <c r="AF1203" s="55" t="n"/>
      <c r="AG1203" s="59" t="n"/>
      <c r="AH1203" s="57" t="n"/>
      <c r="AI1203" s="55" t="n"/>
      <c r="AJ1203" s="55" t="n"/>
      <c r="AK1203" s="55" t="n"/>
      <c r="AL1203" s="55" t="n"/>
      <c r="AM1203" s="56" t="n"/>
      <c r="AN1203" s="55" t="n"/>
      <c r="AO1203" s="55" t="n"/>
      <c r="AP1203" s="55" t="n"/>
      <c r="AQ1203" s="55" t="n"/>
      <c r="AR1203" s="60">
        <f>IF(AND(C1203="",E1203=""),"",IF(A1203="","⚠ Date manquante",IF(AND(C1203="",E1203&lt;&gt;"Dépense"),"⚠ Prospect manquant",IF(E1203="","⚠ Action manquante",IF(AND(AU1203=1,D1203=""),"⚠ Canal manquant",IF(AND(W1203&lt;&gt;"",COUNTIFS('Saisie'!$W$5:$W$2004,W1203,'Saisie'!$C$5:$C$2004,"&lt;&gt;"&amp;C1203)&gt;0),"⚠ Numéro déjà utilisé par un autre prospect",IF(AND(J1203&lt;&gt;"",J1203&lt;A1203),"⚠ Relance avant la date de l'action",IF(A1203&gt;TODAY(),"⚠ Date dans le futur","✓"))))))))</f>
        <v/>
      </c>
      <c r="AS1203" s="61">
        <f>IF(AND(A1203="",C1203="",E1203=""),"",ROW())</f>
        <v/>
      </c>
      <c r="AT1203" s="61">
        <f>IF(E1203&amp;F1203="","",MAX(IFERROR(INDEX('Paramètres'!$J$6:$J$33,MATCH(E1203,'Paramètres'!$I$6:$I$33,0)),0),IFERROR(INDEX('Paramètres'!$N$6:$N$17,MATCH(F1203,'Paramètres'!$M$6:$M$17,0)),0)))</f>
        <v/>
      </c>
      <c r="AU1203" s="61">
        <f>IF(E1203="","",IFERROR(IF(INDEX('Paramètres'!$K$6:$K$33,MATCH(E1203,'Paramètres'!$I$6:$I$33,0))="Oui",1,0),0))</f>
        <v/>
      </c>
      <c r="AV1203" s="61">
        <f>IF(F1203="","",IFERROR(IF(INDEX('Paramètres'!$O$6:$O$17,MATCH(F1203,'Paramètres'!$M$6:$M$17,0))="Oui",1,0),0))</f>
        <v/>
      </c>
      <c r="AW1203" s="62">
        <f>IF(E1203="","",IF(G1203&lt;&gt;"",G1203,IF(OR(E1203="Proposition envoyée",E1203="Signature"),MAX(0,N(IFERROR(INDEX('Paramètres'!$R$6:$R$15,MATCH(IF(AL1203&lt;&gt;"",AL1203,IFERROR(INDEX('Prospects'!$AN$5:$AN$504,MATCH(C1203,'Prospects'!$C$5:$C$504,0)),"")),'Paramètres'!$Q$6:$Q$15,0)),0))-N(P1203)),0)))</f>
        <v/>
      </c>
      <c r="AX1203" s="61">
        <f>IF(C1203="","",IF(COUNTIF($C$5:C1203,C1203)=1,MAX($AX$4:AX1202)+1,""))</f>
        <v/>
      </c>
      <c r="AY1203" s="61">
        <f>IF(B1203="","",HOUR(B1203))</f>
        <v/>
      </c>
      <c r="AZ1203" s="61">
        <f>IF(A1203="","",MOD(A1203-2,7)+1)</f>
        <v/>
      </c>
      <c r="BA1203" s="60">
        <f>IF(C1203="","",IFERROR(INDEX('Prospects'!$N$5:$N$504,MATCH(C1203,'Prospects'!$C$5:$C$504,0)),""))</f>
        <v/>
      </c>
      <c r="BB1203" s="61">
        <f>IF(AND(C1203&lt;&gt;"",C1203='Fiche prospect'!$C$4),COUNTIF($C$5:C1203,C1203),"")</f>
        <v/>
      </c>
    </row>
    <row r="1204">
      <c r="A1204" s="53" t="n"/>
      <c r="B1204" s="54" t="n"/>
      <c r="C1204" s="55" t="n"/>
      <c r="D1204" s="55" t="n"/>
      <c r="E1204" s="55" t="n"/>
      <c r="F1204" s="55" t="n"/>
      <c r="G1204" s="56" t="n"/>
      <c r="H1204" s="57" t="n"/>
      <c r="I1204" s="55" t="n"/>
      <c r="J1204" s="53" t="n"/>
      <c r="K1204" s="54" t="n"/>
      <c r="L1204" s="55" t="n"/>
      <c r="M1204" s="55" t="n"/>
      <c r="N1204" s="57" t="n"/>
      <c r="O1204" s="55" t="n"/>
      <c r="P1204" s="56" t="n"/>
      <c r="Q1204" s="55" t="n"/>
      <c r="R1204" s="55" t="n"/>
      <c r="S1204" s="55" t="n"/>
      <c r="T1204" s="55" t="n"/>
      <c r="U1204" s="55" t="n"/>
      <c r="V1204" s="55" t="n"/>
      <c r="W1204" s="58" t="n"/>
      <c r="X1204" s="58" t="n"/>
      <c r="Y1204" s="55" t="n"/>
      <c r="Z1204" s="55" t="n"/>
      <c r="AA1204" s="55" t="n"/>
      <c r="AB1204" s="55" t="n"/>
      <c r="AC1204" s="55" t="n"/>
      <c r="AD1204" s="53" t="n"/>
      <c r="AE1204" s="55" t="n"/>
      <c r="AF1204" s="55" t="n"/>
      <c r="AG1204" s="59" t="n"/>
      <c r="AH1204" s="57" t="n"/>
      <c r="AI1204" s="55" t="n"/>
      <c r="AJ1204" s="55" t="n"/>
      <c r="AK1204" s="55" t="n"/>
      <c r="AL1204" s="55" t="n"/>
      <c r="AM1204" s="56" t="n"/>
      <c r="AN1204" s="55" t="n"/>
      <c r="AO1204" s="55" t="n"/>
      <c r="AP1204" s="55" t="n"/>
      <c r="AQ1204" s="55" t="n"/>
      <c r="AR1204" s="60">
        <f>IF(AND(C1204="",E1204=""),"",IF(A1204="","⚠ Date manquante",IF(AND(C1204="",E1204&lt;&gt;"Dépense"),"⚠ Prospect manquant",IF(E1204="","⚠ Action manquante",IF(AND(AU1204=1,D1204=""),"⚠ Canal manquant",IF(AND(W1204&lt;&gt;"",COUNTIFS('Saisie'!$W$5:$W$2004,W1204,'Saisie'!$C$5:$C$2004,"&lt;&gt;"&amp;C1204)&gt;0),"⚠ Numéro déjà utilisé par un autre prospect",IF(AND(J1204&lt;&gt;"",J1204&lt;A1204),"⚠ Relance avant la date de l'action",IF(A1204&gt;TODAY(),"⚠ Date dans le futur","✓"))))))))</f>
        <v/>
      </c>
      <c r="AS1204" s="61">
        <f>IF(AND(A1204="",C1204="",E1204=""),"",ROW())</f>
        <v/>
      </c>
      <c r="AT1204" s="61">
        <f>IF(E1204&amp;F1204="","",MAX(IFERROR(INDEX('Paramètres'!$J$6:$J$33,MATCH(E1204,'Paramètres'!$I$6:$I$33,0)),0),IFERROR(INDEX('Paramètres'!$N$6:$N$17,MATCH(F1204,'Paramètres'!$M$6:$M$17,0)),0)))</f>
        <v/>
      </c>
      <c r="AU1204" s="61">
        <f>IF(E1204="","",IFERROR(IF(INDEX('Paramètres'!$K$6:$K$33,MATCH(E1204,'Paramètres'!$I$6:$I$33,0))="Oui",1,0),0))</f>
        <v/>
      </c>
      <c r="AV1204" s="61">
        <f>IF(F1204="","",IFERROR(IF(INDEX('Paramètres'!$O$6:$O$17,MATCH(F1204,'Paramètres'!$M$6:$M$17,0))="Oui",1,0),0))</f>
        <v/>
      </c>
      <c r="AW1204" s="62">
        <f>IF(E1204="","",IF(G1204&lt;&gt;"",G1204,IF(OR(E1204="Proposition envoyée",E1204="Signature"),MAX(0,N(IFERROR(INDEX('Paramètres'!$R$6:$R$15,MATCH(IF(AL1204&lt;&gt;"",AL1204,IFERROR(INDEX('Prospects'!$AN$5:$AN$504,MATCH(C1204,'Prospects'!$C$5:$C$504,0)),"")),'Paramètres'!$Q$6:$Q$15,0)),0))-N(P1204)),0)))</f>
        <v/>
      </c>
      <c r="AX1204" s="61">
        <f>IF(C1204="","",IF(COUNTIF($C$5:C1204,C1204)=1,MAX($AX$4:AX1203)+1,""))</f>
        <v/>
      </c>
      <c r="AY1204" s="61">
        <f>IF(B1204="","",HOUR(B1204))</f>
        <v/>
      </c>
      <c r="AZ1204" s="61">
        <f>IF(A1204="","",MOD(A1204-2,7)+1)</f>
        <v/>
      </c>
      <c r="BA1204" s="60">
        <f>IF(C1204="","",IFERROR(INDEX('Prospects'!$N$5:$N$504,MATCH(C1204,'Prospects'!$C$5:$C$504,0)),""))</f>
        <v/>
      </c>
      <c r="BB1204" s="61">
        <f>IF(AND(C1204&lt;&gt;"",C1204='Fiche prospect'!$C$4),COUNTIF($C$5:C1204,C1204),"")</f>
        <v/>
      </c>
    </row>
    <row r="1205">
      <c r="A1205" s="53" t="n"/>
      <c r="B1205" s="54" t="n"/>
      <c r="C1205" s="55" t="n"/>
      <c r="D1205" s="55" t="n"/>
      <c r="E1205" s="55" t="n"/>
      <c r="F1205" s="55" t="n"/>
      <c r="G1205" s="56" t="n"/>
      <c r="H1205" s="57" t="n"/>
      <c r="I1205" s="55" t="n"/>
      <c r="J1205" s="53" t="n"/>
      <c r="K1205" s="54" t="n"/>
      <c r="L1205" s="55" t="n"/>
      <c r="M1205" s="55" t="n"/>
      <c r="N1205" s="57" t="n"/>
      <c r="O1205" s="55" t="n"/>
      <c r="P1205" s="56" t="n"/>
      <c r="Q1205" s="55" t="n"/>
      <c r="R1205" s="55" t="n"/>
      <c r="S1205" s="55" t="n"/>
      <c r="T1205" s="55" t="n"/>
      <c r="U1205" s="55" t="n"/>
      <c r="V1205" s="55" t="n"/>
      <c r="W1205" s="58" t="n"/>
      <c r="X1205" s="58" t="n"/>
      <c r="Y1205" s="55" t="n"/>
      <c r="Z1205" s="55" t="n"/>
      <c r="AA1205" s="55" t="n"/>
      <c r="AB1205" s="55" t="n"/>
      <c r="AC1205" s="55" t="n"/>
      <c r="AD1205" s="53" t="n"/>
      <c r="AE1205" s="55" t="n"/>
      <c r="AF1205" s="55" t="n"/>
      <c r="AG1205" s="59" t="n"/>
      <c r="AH1205" s="57" t="n"/>
      <c r="AI1205" s="55" t="n"/>
      <c r="AJ1205" s="55" t="n"/>
      <c r="AK1205" s="55" t="n"/>
      <c r="AL1205" s="55" t="n"/>
      <c r="AM1205" s="56" t="n"/>
      <c r="AN1205" s="55" t="n"/>
      <c r="AO1205" s="55" t="n"/>
      <c r="AP1205" s="55" t="n"/>
      <c r="AQ1205" s="55" t="n"/>
      <c r="AR1205" s="60">
        <f>IF(AND(C1205="",E1205=""),"",IF(A1205="","⚠ Date manquante",IF(AND(C1205="",E1205&lt;&gt;"Dépense"),"⚠ Prospect manquant",IF(E1205="","⚠ Action manquante",IF(AND(AU1205=1,D1205=""),"⚠ Canal manquant",IF(AND(W1205&lt;&gt;"",COUNTIFS('Saisie'!$W$5:$W$2004,W1205,'Saisie'!$C$5:$C$2004,"&lt;&gt;"&amp;C1205)&gt;0),"⚠ Numéro déjà utilisé par un autre prospect",IF(AND(J1205&lt;&gt;"",J1205&lt;A1205),"⚠ Relance avant la date de l'action",IF(A1205&gt;TODAY(),"⚠ Date dans le futur","✓"))))))))</f>
        <v/>
      </c>
      <c r="AS1205" s="61">
        <f>IF(AND(A1205="",C1205="",E1205=""),"",ROW())</f>
        <v/>
      </c>
      <c r="AT1205" s="61">
        <f>IF(E1205&amp;F1205="","",MAX(IFERROR(INDEX('Paramètres'!$J$6:$J$33,MATCH(E1205,'Paramètres'!$I$6:$I$33,0)),0),IFERROR(INDEX('Paramètres'!$N$6:$N$17,MATCH(F1205,'Paramètres'!$M$6:$M$17,0)),0)))</f>
        <v/>
      </c>
      <c r="AU1205" s="61">
        <f>IF(E1205="","",IFERROR(IF(INDEX('Paramètres'!$K$6:$K$33,MATCH(E1205,'Paramètres'!$I$6:$I$33,0))="Oui",1,0),0))</f>
        <v/>
      </c>
      <c r="AV1205" s="61">
        <f>IF(F1205="","",IFERROR(IF(INDEX('Paramètres'!$O$6:$O$17,MATCH(F1205,'Paramètres'!$M$6:$M$17,0))="Oui",1,0),0))</f>
        <v/>
      </c>
      <c r="AW1205" s="62">
        <f>IF(E1205="","",IF(G1205&lt;&gt;"",G1205,IF(OR(E1205="Proposition envoyée",E1205="Signature"),MAX(0,N(IFERROR(INDEX('Paramètres'!$R$6:$R$15,MATCH(IF(AL1205&lt;&gt;"",AL1205,IFERROR(INDEX('Prospects'!$AN$5:$AN$504,MATCH(C1205,'Prospects'!$C$5:$C$504,0)),"")),'Paramètres'!$Q$6:$Q$15,0)),0))-N(P1205)),0)))</f>
        <v/>
      </c>
      <c r="AX1205" s="61">
        <f>IF(C1205="","",IF(COUNTIF($C$5:C1205,C1205)=1,MAX($AX$4:AX1204)+1,""))</f>
        <v/>
      </c>
      <c r="AY1205" s="61">
        <f>IF(B1205="","",HOUR(B1205))</f>
        <v/>
      </c>
      <c r="AZ1205" s="61">
        <f>IF(A1205="","",MOD(A1205-2,7)+1)</f>
        <v/>
      </c>
      <c r="BA1205" s="60">
        <f>IF(C1205="","",IFERROR(INDEX('Prospects'!$N$5:$N$504,MATCH(C1205,'Prospects'!$C$5:$C$504,0)),""))</f>
        <v/>
      </c>
      <c r="BB1205" s="61">
        <f>IF(AND(C1205&lt;&gt;"",C1205='Fiche prospect'!$C$4),COUNTIF($C$5:C1205,C1205),"")</f>
        <v/>
      </c>
    </row>
    <row r="1206">
      <c r="A1206" s="53" t="n"/>
      <c r="B1206" s="54" t="n"/>
      <c r="C1206" s="55" t="n"/>
      <c r="D1206" s="55" t="n"/>
      <c r="E1206" s="55" t="n"/>
      <c r="F1206" s="55" t="n"/>
      <c r="G1206" s="56" t="n"/>
      <c r="H1206" s="57" t="n"/>
      <c r="I1206" s="55" t="n"/>
      <c r="J1206" s="53" t="n"/>
      <c r="K1206" s="54" t="n"/>
      <c r="L1206" s="55" t="n"/>
      <c r="M1206" s="55" t="n"/>
      <c r="N1206" s="57" t="n"/>
      <c r="O1206" s="55" t="n"/>
      <c r="P1206" s="56" t="n"/>
      <c r="Q1206" s="55" t="n"/>
      <c r="R1206" s="55" t="n"/>
      <c r="S1206" s="55" t="n"/>
      <c r="T1206" s="55" t="n"/>
      <c r="U1206" s="55" t="n"/>
      <c r="V1206" s="55" t="n"/>
      <c r="W1206" s="58" t="n"/>
      <c r="X1206" s="58" t="n"/>
      <c r="Y1206" s="55" t="n"/>
      <c r="Z1206" s="55" t="n"/>
      <c r="AA1206" s="55" t="n"/>
      <c r="AB1206" s="55" t="n"/>
      <c r="AC1206" s="55" t="n"/>
      <c r="AD1206" s="53" t="n"/>
      <c r="AE1206" s="55" t="n"/>
      <c r="AF1206" s="55" t="n"/>
      <c r="AG1206" s="59" t="n"/>
      <c r="AH1206" s="57" t="n"/>
      <c r="AI1206" s="55" t="n"/>
      <c r="AJ1206" s="55" t="n"/>
      <c r="AK1206" s="55" t="n"/>
      <c r="AL1206" s="55" t="n"/>
      <c r="AM1206" s="56" t="n"/>
      <c r="AN1206" s="55" t="n"/>
      <c r="AO1206" s="55" t="n"/>
      <c r="AP1206" s="55" t="n"/>
      <c r="AQ1206" s="55" t="n"/>
      <c r="AR1206" s="60">
        <f>IF(AND(C1206="",E1206=""),"",IF(A1206="","⚠ Date manquante",IF(AND(C1206="",E1206&lt;&gt;"Dépense"),"⚠ Prospect manquant",IF(E1206="","⚠ Action manquante",IF(AND(AU1206=1,D1206=""),"⚠ Canal manquant",IF(AND(W1206&lt;&gt;"",COUNTIFS('Saisie'!$W$5:$W$2004,W1206,'Saisie'!$C$5:$C$2004,"&lt;&gt;"&amp;C1206)&gt;0),"⚠ Numéro déjà utilisé par un autre prospect",IF(AND(J1206&lt;&gt;"",J1206&lt;A1206),"⚠ Relance avant la date de l'action",IF(A1206&gt;TODAY(),"⚠ Date dans le futur","✓"))))))))</f>
        <v/>
      </c>
      <c r="AS1206" s="61">
        <f>IF(AND(A1206="",C1206="",E1206=""),"",ROW())</f>
        <v/>
      </c>
      <c r="AT1206" s="61">
        <f>IF(E1206&amp;F1206="","",MAX(IFERROR(INDEX('Paramètres'!$J$6:$J$33,MATCH(E1206,'Paramètres'!$I$6:$I$33,0)),0),IFERROR(INDEX('Paramètres'!$N$6:$N$17,MATCH(F1206,'Paramètres'!$M$6:$M$17,0)),0)))</f>
        <v/>
      </c>
      <c r="AU1206" s="61">
        <f>IF(E1206="","",IFERROR(IF(INDEX('Paramètres'!$K$6:$K$33,MATCH(E1206,'Paramètres'!$I$6:$I$33,0))="Oui",1,0),0))</f>
        <v/>
      </c>
      <c r="AV1206" s="61">
        <f>IF(F1206="","",IFERROR(IF(INDEX('Paramètres'!$O$6:$O$17,MATCH(F1206,'Paramètres'!$M$6:$M$17,0))="Oui",1,0),0))</f>
        <v/>
      </c>
      <c r="AW1206" s="62">
        <f>IF(E1206="","",IF(G1206&lt;&gt;"",G1206,IF(OR(E1206="Proposition envoyée",E1206="Signature"),MAX(0,N(IFERROR(INDEX('Paramètres'!$R$6:$R$15,MATCH(IF(AL1206&lt;&gt;"",AL1206,IFERROR(INDEX('Prospects'!$AN$5:$AN$504,MATCH(C1206,'Prospects'!$C$5:$C$504,0)),"")),'Paramètres'!$Q$6:$Q$15,0)),0))-N(P1206)),0)))</f>
        <v/>
      </c>
      <c r="AX1206" s="61">
        <f>IF(C1206="","",IF(COUNTIF($C$5:C1206,C1206)=1,MAX($AX$4:AX1205)+1,""))</f>
        <v/>
      </c>
      <c r="AY1206" s="61">
        <f>IF(B1206="","",HOUR(B1206))</f>
        <v/>
      </c>
      <c r="AZ1206" s="61">
        <f>IF(A1206="","",MOD(A1206-2,7)+1)</f>
        <v/>
      </c>
      <c r="BA1206" s="60">
        <f>IF(C1206="","",IFERROR(INDEX('Prospects'!$N$5:$N$504,MATCH(C1206,'Prospects'!$C$5:$C$504,0)),""))</f>
        <v/>
      </c>
      <c r="BB1206" s="61">
        <f>IF(AND(C1206&lt;&gt;"",C1206='Fiche prospect'!$C$4),COUNTIF($C$5:C1206,C1206),"")</f>
        <v/>
      </c>
    </row>
    <row r="1207">
      <c r="A1207" s="53" t="n"/>
      <c r="B1207" s="54" t="n"/>
      <c r="C1207" s="55" t="n"/>
      <c r="D1207" s="55" t="n"/>
      <c r="E1207" s="55" t="n"/>
      <c r="F1207" s="55" t="n"/>
      <c r="G1207" s="56" t="n"/>
      <c r="H1207" s="57" t="n"/>
      <c r="I1207" s="55" t="n"/>
      <c r="J1207" s="53" t="n"/>
      <c r="K1207" s="54" t="n"/>
      <c r="L1207" s="55" t="n"/>
      <c r="M1207" s="55" t="n"/>
      <c r="N1207" s="57" t="n"/>
      <c r="O1207" s="55" t="n"/>
      <c r="P1207" s="56" t="n"/>
      <c r="Q1207" s="55" t="n"/>
      <c r="R1207" s="55" t="n"/>
      <c r="S1207" s="55" t="n"/>
      <c r="T1207" s="55" t="n"/>
      <c r="U1207" s="55" t="n"/>
      <c r="V1207" s="55" t="n"/>
      <c r="W1207" s="58" t="n"/>
      <c r="X1207" s="58" t="n"/>
      <c r="Y1207" s="55" t="n"/>
      <c r="Z1207" s="55" t="n"/>
      <c r="AA1207" s="55" t="n"/>
      <c r="AB1207" s="55" t="n"/>
      <c r="AC1207" s="55" t="n"/>
      <c r="AD1207" s="53" t="n"/>
      <c r="AE1207" s="55" t="n"/>
      <c r="AF1207" s="55" t="n"/>
      <c r="AG1207" s="59" t="n"/>
      <c r="AH1207" s="57" t="n"/>
      <c r="AI1207" s="55" t="n"/>
      <c r="AJ1207" s="55" t="n"/>
      <c r="AK1207" s="55" t="n"/>
      <c r="AL1207" s="55" t="n"/>
      <c r="AM1207" s="56" t="n"/>
      <c r="AN1207" s="55" t="n"/>
      <c r="AO1207" s="55" t="n"/>
      <c r="AP1207" s="55" t="n"/>
      <c r="AQ1207" s="55" t="n"/>
      <c r="AR1207" s="60">
        <f>IF(AND(C1207="",E1207=""),"",IF(A1207="","⚠ Date manquante",IF(AND(C1207="",E1207&lt;&gt;"Dépense"),"⚠ Prospect manquant",IF(E1207="","⚠ Action manquante",IF(AND(AU1207=1,D1207=""),"⚠ Canal manquant",IF(AND(W1207&lt;&gt;"",COUNTIFS('Saisie'!$W$5:$W$2004,W1207,'Saisie'!$C$5:$C$2004,"&lt;&gt;"&amp;C1207)&gt;0),"⚠ Numéro déjà utilisé par un autre prospect",IF(AND(J1207&lt;&gt;"",J1207&lt;A1207),"⚠ Relance avant la date de l'action",IF(A1207&gt;TODAY(),"⚠ Date dans le futur","✓"))))))))</f>
        <v/>
      </c>
      <c r="AS1207" s="61">
        <f>IF(AND(A1207="",C1207="",E1207=""),"",ROW())</f>
        <v/>
      </c>
      <c r="AT1207" s="61">
        <f>IF(E1207&amp;F1207="","",MAX(IFERROR(INDEX('Paramètres'!$J$6:$J$33,MATCH(E1207,'Paramètres'!$I$6:$I$33,0)),0),IFERROR(INDEX('Paramètres'!$N$6:$N$17,MATCH(F1207,'Paramètres'!$M$6:$M$17,0)),0)))</f>
        <v/>
      </c>
      <c r="AU1207" s="61">
        <f>IF(E1207="","",IFERROR(IF(INDEX('Paramètres'!$K$6:$K$33,MATCH(E1207,'Paramètres'!$I$6:$I$33,0))="Oui",1,0),0))</f>
        <v/>
      </c>
      <c r="AV1207" s="61">
        <f>IF(F1207="","",IFERROR(IF(INDEX('Paramètres'!$O$6:$O$17,MATCH(F1207,'Paramètres'!$M$6:$M$17,0))="Oui",1,0),0))</f>
        <v/>
      </c>
      <c r="AW1207" s="62">
        <f>IF(E1207="","",IF(G1207&lt;&gt;"",G1207,IF(OR(E1207="Proposition envoyée",E1207="Signature"),MAX(0,N(IFERROR(INDEX('Paramètres'!$R$6:$R$15,MATCH(IF(AL1207&lt;&gt;"",AL1207,IFERROR(INDEX('Prospects'!$AN$5:$AN$504,MATCH(C1207,'Prospects'!$C$5:$C$504,0)),"")),'Paramètres'!$Q$6:$Q$15,0)),0))-N(P1207)),0)))</f>
        <v/>
      </c>
      <c r="AX1207" s="61">
        <f>IF(C1207="","",IF(COUNTIF($C$5:C1207,C1207)=1,MAX($AX$4:AX1206)+1,""))</f>
        <v/>
      </c>
      <c r="AY1207" s="61">
        <f>IF(B1207="","",HOUR(B1207))</f>
        <v/>
      </c>
      <c r="AZ1207" s="61">
        <f>IF(A1207="","",MOD(A1207-2,7)+1)</f>
        <v/>
      </c>
      <c r="BA1207" s="60">
        <f>IF(C1207="","",IFERROR(INDEX('Prospects'!$N$5:$N$504,MATCH(C1207,'Prospects'!$C$5:$C$504,0)),""))</f>
        <v/>
      </c>
      <c r="BB1207" s="61">
        <f>IF(AND(C1207&lt;&gt;"",C1207='Fiche prospect'!$C$4),COUNTIF($C$5:C1207,C1207),"")</f>
        <v/>
      </c>
    </row>
    <row r="1208">
      <c r="A1208" s="53" t="n"/>
      <c r="B1208" s="54" t="n"/>
      <c r="C1208" s="55" t="n"/>
      <c r="D1208" s="55" t="n"/>
      <c r="E1208" s="55" t="n"/>
      <c r="F1208" s="55" t="n"/>
      <c r="G1208" s="56" t="n"/>
      <c r="H1208" s="57" t="n"/>
      <c r="I1208" s="55" t="n"/>
      <c r="J1208" s="53" t="n"/>
      <c r="K1208" s="54" t="n"/>
      <c r="L1208" s="55" t="n"/>
      <c r="M1208" s="55" t="n"/>
      <c r="N1208" s="57" t="n"/>
      <c r="O1208" s="55" t="n"/>
      <c r="P1208" s="56" t="n"/>
      <c r="Q1208" s="55" t="n"/>
      <c r="R1208" s="55" t="n"/>
      <c r="S1208" s="55" t="n"/>
      <c r="T1208" s="55" t="n"/>
      <c r="U1208" s="55" t="n"/>
      <c r="V1208" s="55" t="n"/>
      <c r="W1208" s="58" t="n"/>
      <c r="X1208" s="58" t="n"/>
      <c r="Y1208" s="55" t="n"/>
      <c r="Z1208" s="55" t="n"/>
      <c r="AA1208" s="55" t="n"/>
      <c r="AB1208" s="55" t="n"/>
      <c r="AC1208" s="55" t="n"/>
      <c r="AD1208" s="53" t="n"/>
      <c r="AE1208" s="55" t="n"/>
      <c r="AF1208" s="55" t="n"/>
      <c r="AG1208" s="59" t="n"/>
      <c r="AH1208" s="57" t="n"/>
      <c r="AI1208" s="55" t="n"/>
      <c r="AJ1208" s="55" t="n"/>
      <c r="AK1208" s="55" t="n"/>
      <c r="AL1208" s="55" t="n"/>
      <c r="AM1208" s="56" t="n"/>
      <c r="AN1208" s="55" t="n"/>
      <c r="AO1208" s="55" t="n"/>
      <c r="AP1208" s="55" t="n"/>
      <c r="AQ1208" s="55" t="n"/>
      <c r="AR1208" s="60">
        <f>IF(AND(C1208="",E1208=""),"",IF(A1208="","⚠ Date manquante",IF(AND(C1208="",E1208&lt;&gt;"Dépense"),"⚠ Prospect manquant",IF(E1208="","⚠ Action manquante",IF(AND(AU1208=1,D1208=""),"⚠ Canal manquant",IF(AND(W1208&lt;&gt;"",COUNTIFS('Saisie'!$W$5:$W$2004,W1208,'Saisie'!$C$5:$C$2004,"&lt;&gt;"&amp;C1208)&gt;0),"⚠ Numéro déjà utilisé par un autre prospect",IF(AND(J1208&lt;&gt;"",J1208&lt;A1208),"⚠ Relance avant la date de l'action",IF(A1208&gt;TODAY(),"⚠ Date dans le futur","✓"))))))))</f>
        <v/>
      </c>
      <c r="AS1208" s="61">
        <f>IF(AND(A1208="",C1208="",E1208=""),"",ROW())</f>
        <v/>
      </c>
      <c r="AT1208" s="61">
        <f>IF(E1208&amp;F1208="","",MAX(IFERROR(INDEX('Paramètres'!$J$6:$J$33,MATCH(E1208,'Paramètres'!$I$6:$I$33,0)),0),IFERROR(INDEX('Paramètres'!$N$6:$N$17,MATCH(F1208,'Paramètres'!$M$6:$M$17,0)),0)))</f>
        <v/>
      </c>
      <c r="AU1208" s="61">
        <f>IF(E1208="","",IFERROR(IF(INDEX('Paramètres'!$K$6:$K$33,MATCH(E1208,'Paramètres'!$I$6:$I$33,0))="Oui",1,0),0))</f>
        <v/>
      </c>
      <c r="AV1208" s="61">
        <f>IF(F1208="","",IFERROR(IF(INDEX('Paramètres'!$O$6:$O$17,MATCH(F1208,'Paramètres'!$M$6:$M$17,0))="Oui",1,0),0))</f>
        <v/>
      </c>
      <c r="AW1208" s="62">
        <f>IF(E1208="","",IF(G1208&lt;&gt;"",G1208,IF(OR(E1208="Proposition envoyée",E1208="Signature"),MAX(0,N(IFERROR(INDEX('Paramètres'!$R$6:$R$15,MATCH(IF(AL1208&lt;&gt;"",AL1208,IFERROR(INDEX('Prospects'!$AN$5:$AN$504,MATCH(C1208,'Prospects'!$C$5:$C$504,0)),"")),'Paramètres'!$Q$6:$Q$15,0)),0))-N(P1208)),0)))</f>
        <v/>
      </c>
      <c r="AX1208" s="61">
        <f>IF(C1208="","",IF(COUNTIF($C$5:C1208,C1208)=1,MAX($AX$4:AX1207)+1,""))</f>
        <v/>
      </c>
      <c r="AY1208" s="61">
        <f>IF(B1208="","",HOUR(B1208))</f>
        <v/>
      </c>
      <c r="AZ1208" s="61">
        <f>IF(A1208="","",MOD(A1208-2,7)+1)</f>
        <v/>
      </c>
      <c r="BA1208" s="60">
        <f>IF(C1208="","",IFERROR(INDEX('Prospects'!$N$5:$N$504,MATCH(C1208,'Prospects'!$C$5:$C$504,0)),""))</f>
        <v/>
      </c>
      <c r="BB1208" s="61">
        <f>IF(AND(C1208&lt;&gt;"",C1208='Fiche prospect'!$C$4),COUNTIF($C$5:C1208,C1208),"")</f>
        <v/>
      </c>
    </row>
    <row r="1209">
      <c r="A1209" s="53" t="n"/>
      <c r="B1209" s="54" t="n"/>
      <c r="C1209" s="55" t="n"/>
      <c r="D1209" s="55" t="n"/>
      <c r="E1209" s="55" t="n"/>
      <c r="F1209" s="55" t="n"/>
      <c r="G1209" s="56" t="n"/>
      <c r="H1209" s="57" t="n"/>
      <c r="I1209" s="55" t="n"/>
      <c r="J1209" s="53" t="n"/>
      <c r="K1209" s="54" t="n"/>
      <c r="L1209" s="55" t="n"/>
      <c r="M1209" s="55" t="n"/>
      <c r="N1209" s="57" t="n"/>
      <c r="O1209" s="55" t="n"/>
      <c r="P1209" s="56" t="n"/>
      <c r="Q1209" s="55" t="n"/>
      <c r="R1209" s="55" t="n"/>
      <c r="S1209" s="55" t="n"/>
      <c r="T1209" s="55" t="n"/>
      <c r="U1209" s="55" t="n"/>
      <c r="V1209" s="55" t="n"/>
      <c r="W1209" s="58" t="n"/>
      <c r="X1209" s="58" t="n"/>
      <c r="Y1209" s="55" t="n"/>
      <c r="Z1209" s="55" t="n"/>
      <c r="AA1209" s="55" t="n"/>
      <c r="AB1209" s="55" t="n"/>
      <c r="AC1209" s="55" t="n"/>
      <c r="AD1209" s="53" t="n"/>
      <c r="AE1209" s="55" t="n"/>
      <c r="AF1209" s="55" t="n"/>
      <c r="AG1209" s="59" t="n"/>
      <c r="AH1209" s="57" t="n"/>
      <c r="AI1209" s="55" t="n"/>
      <c r="AJ1209" s="55" t="n"/>
      <c r="AK1209" s="55" t="n"/>
      <c r="AL1209" s="55" t="n"/>
      <c r="AM1209" s="56" t="n"/>
      <c r="AN1209" s="55" t="n"/>
      <c r="AO1209" s="55" t="n"/>
      <c r="AP1209" s="55" t="n"/>
      <c r="AQ1209" s="55" t="n"/>
      <c r="AR1209" s="60">
        <f>IF(AND(C1209="",E1209=""),"",IF(A1209="","⚠ Date manquante",IF(AND(C1209="",E1209&lt;&gt;"Dépense"),"⚠ Prospect manquant",IF(E1209="","⚠ Action manquante",IF(AND(AU1209=1,D1209=""),"⚠ Canal manquant",IF(AND(W1209&lt;&gt;"",COUNTIFS('Saisie'!$W$5:$W$2004,W1209,'Saisie'!$C$5:$C$2004,"&lt;&gt;"&amp;C1209)&gt;0),"⚠ Numéro déjà utilisé par un autre prospect",IF(AND(J1209&lt;&gt;"",J1209&lt;A1209),"⚠ Relance avant la date de l'action",IF(A1209&gt;TODAY(),"⚠ Date dans le futur","✓"))))))))</f>
        <v/>
      </c>
      <c r="AS1209" s="61">
        <f>IF(AND(A1209="",C1209="",E1209=""),"",ROW())</f>
        <v/>
      </c>
      <c r="AT1209" s="61">
        <f>IF(E1209&amp;F1209="","",MAX(IFERROR(INDEX('Paramètres'!$J$6:$J$33,MATCH(E1209,'Paramètres'!$I$6:$I$33,0)),0),IFERROR(INDEX('Paramètres'!$N$6:$N$17,MATCH(F1209,'Paramètres'!$M$6:$M$17,0)),0)))</f>
        <v/>
      </c>
      <c r="AU1209" s="61">
        <f>IF(E1209="","",IFERROR(IF(INDEX('Paramètres'!$K$6:$K$33,MATCH(E1209,'Paramètres'!$I$6:$I$33,0))="Oui",1,0),0))</f>
        <v/>
      </c>
      <c r="AV1209" s="61">
        <f>IF(F1209="","",IFERROR(IF(INDEX('Paramètres'!$O$6:$O$17,MATCH(F1209,'Paramètres'!$M$6:$M$17,0))="Oui",1,0),0))</f>
        <v/>
      </c>
      <c r="AW1209" s="62">
        <f>IF(E1209="","",IF(G1209&lt;&gt;"",G1209,IF(OR(E1209="Proposition envoyée",E1209="Signature"),MAX(0,N(IFERROR(INDEX('Paramètres'!$R$6:$R$15,MATCH(IF(AL1209&lt;&gt;"",AL1209,IFERROR(INDEX('Prospects'!$AN$5:$AN$504,MATCH(C1209,'Prospects'!$C$5:$C$504,0)),"")),'Paramètres'!$Q$6:$Q$15,0)),0))-N(P1209)),0)))</f>
        <v/>
      </c>
      <c r="AX1209" s="61">
        <f>IF(C1209="","",IF(COUNTIF($C$5:C1209,C1209)=1,MAX($AX$4:AX1208)+1,""))</f>
        <v/>
      </c>
      <c r="AY1209" s="61">
        <f>IF(B1209="","",HOUR(B1209))</f>
        <v/>
      </c>
      <c r="AZ1209" s="61">
        <f>IF(A1209="","",MOD(A1209-2,7)+1)</f>
        <v/>
      </c>
      <c r="BA1209" s="60">
        <f>IF(C1209="","",IFERROR(INDEX('Prospects'!$N$5:$N$504,MATCH(C1209,'Prospects'!$C$5:$C$504,0)),""))</f>
        <v/>
      </c>
      <c r="BB1209" s="61">
        <f>IF(AND(C1209&lt;&gt;"",C1209='Fiche prospect'!$C$4),COUNTIF($C$5:C1209,C1209),"")</f>
        <v/>
      </c>
    </row>
    <row r="1210">
      <c r="A1210" s="53" t="n"/>
      <c r="B1210" s="54" t="n"/>
      <c r="C1210" s="55" t="n"/>
      <c r="D1210" s="55" t="n"/>
      <c r="E1210" s="55" t="n"/>
      <c r="F1210" s="55" t="n"/>
      <c r="G1210" s="56" t="n"/>
      <c r="H1210" s="57" t="n"/>
      <c r="I1210" s="55" t="n"/>
      <c r="J1210" s="53" t="n"/>
      <c r="K1210" s="54" t="n"/>
      <c r="L1210" s="55" t="n"/>
      <c r="M1210" s="55" t="n"/>
      <c r="N1210" s="57" t="n"/>
      <c r="O1210" s="55" t="n"/>
      <c r="P1210" s="56" t="n"/>
      <c r="Q1210" s="55" t="n"/>
      <c r="R1210" s="55" t="n"/>
      <c r="S1210" s="55" t="n"/>
      <c r="T1210" s="55" t="n"/>
      <c r="U1210" s="55" t="n"/>
      <c r="V1210" s="55" t="n"/>
      <c r="W1210" s="58" t="n"/>
      <c r="X1210" s="58" t="n"/>
      <c r="Y1210" s="55" t="n"/>
      <c r="Z1210" s="55" t="n"/>
      <c r="AA1210" s="55" t="n"/>
      <c r="AB1210" s="55" t="n"/>
      <c r="AC1210" s="55" t="n"/>
      <c r="AD1210" s="53" t="n"/>
      <c r="AE1210" s="55" t="n"/>
      <c r="AF1210" s="55" t="n"/>
      <c r="AG1210" s="59" t="n"/>
      <c r="AH1210" s="57" t="n"/>
      <c r="AI1210" s="55" t="n"/>
      <c r="AJ1210" s="55" t="n"/>
      <c r="AK1210" s="55" t="n"/>
      <c r="AL1210" s="55" t="n"/>
      <c r="AM1210" s="56" t="n"/>
      <c r="AN1210" s="55" t="n"/>
      <c r="AO1210" s="55" t="n"/>
      <c r="AP1210" s="55" t="n"/>
      <c r="AQ1210" s="55" t="n"/>
      <c r="AR1210" s="60">
        <f>IF(AND(C1210="",E1210=""),"",IF(A1210="","⚠ Date manquante",IF(AND(C1210="",E1210&lt;&gt;"Dépense"),"⚠ Prospect manquant",IF(E1210="","⚠ Action manquante",IF(AND(AU1210=1,D1210=""),"⚠ Canal manquant",IF(AND(W1210&lt;&gt;"",COUNTIFS('Saisie'!$W$5:$W$2004,W1210,'Saisie'!$C$5:$C$2004,"&lt;&gt;"&amp;C1210)&gt;0),"⚠ Numéro déjà utilisé par un autre prospect",IF(AND(J1210&lt;&gt;"",J1210&lt;A1210),"⚠ Relance avant la date de l'action",IF(A1210&gt;TODAY(),"⚠ Date dans le futur","✓"))))))))</f>
        <v/>
      </c>
      <c r="AS1210" s="61">
        <f>IF(AND(A1210="",C1210="",E1210=""),"",ROW())</f>
        <v/>
      </c>
      <c r="AT1210" s="61">
        <f>IF(E1210&amp;F1210="","",MAX(IFERROR(INDEX('Paramètres'!$J$6:$J$33,MATCH(E1210,'Paramètres'!$I$6:$I$33,0)),0),IFERROR(INDEX('Paramètres'!$N$6:$N$17,MATCH(F1210,'Paramètres'!$M$6:$M$17,0)),0)))</f>
        <v/>
      </c>
      <c r="AU1210" s="61">
        <f>IF(E1210="","",IFERROR(IF(INDEX('Paramètres'!$K$6:$K$33,MATCH(E1210,'Paramètres'!$I$6:$I$33,0))="Oui",1,0),0))</f>
        <v/>
      </c>
      <c r="AV1210" s="61">
        <f>IF(F1210="","",IFERROR(IF(INDEX('Paramètres'!$O$6:$O$17,MATCH(F1210,'Paramètres'!$M$6:$M$17,0))="Oui",1,0),0))</f>
        <v/>
      </c>
      <c r="AW1210" s="62">
        <f>IF(E1210="","",IF(G1210&lt;&gt;"",G1210,IF(OR(E1210="Proposition envoyée",E1210="Signature"),MAX(0,N(IFERROR(INDEX('Paramètres'!$R$6:$R$15,MATCH(IF(AL1210&lt;&gt;"",AL1210,IFERROR(INDEX('Prospects'!$AN$5:$AN$504,MATCH(C1210,'Prospects'!$C$5:$C$504,0)),"")),'Paramètres'!$Q$6:$Q$15,0)),0))-N(P1210)),0)))</f>
        <v/>
      </c>
      <c r="AX1210" s="61">
        <f>IF(C1210="","",IF(COUNTIF($C$5:C1210,C1210)=1,MAX($AX$4:AX1209)+1,""))</f>
        <v/>
      </c>
      <c r="AY1210" s="61">
        <f>IF(B1210="","",HOUR(B1210))</f>
        <v/>
      </c>
      <c r="AZ1210" s="61">
        <f>IF(A1210="","",MOD(A1210-2,7)+1)</f>
        <v/>
      </c>
      <c r="BA1210" s="60">
        <f>IF(C1210="","",IFERROR(INDEX('Prospects'!$N$5:$N$504,MATCH(C1210,'Prospects'!$C$5:$C$504,0)),""))</f>
        <v/>
      </c>
      <c r="BB1210" s="61">
        <f>IF(AND(C1210&lt;&gt;"",C1210='Fiche prospect'!$C$4),COUNTIF($C$5:C1210,C1210),"")</f>
        <v/>
      </c>
    </row>
    <row r="1211">
      <c r="A1211" s="53" t="n"/>
      <c r="B1211" s="54" t="n"/>
      <c r="C1211" s="55" t="n"/>
      <c r="D1211" s="55" t="n"/>
      <c r="E1211" s="55" t="n"/>
      <c r="F1211" s="55" t="n"/>
      <c r="G1211" s="56" t="n"/>
      <c r="H1211" s="57" t="n"/>
      <c r="I1211" s="55" t="n"/>
      <c r="J1211" s="53" t="n"/>
      <c r="K1211" s="54" t="n"/>
      <c r="L1211" s="55" t="n"/>
      <c r="M1211" s="55" t="n"/>
      <c r="N1211" s="57" t="n"/>
      <c r="O1211" s="55" t="n"/>
      <c r="P1211" s="56" t="n"/>
      <c r="Q1211" s="55" t="n"/>
      <c r="R1211" s="55" t="n"/>
      <c r="S1211" s="55" t="n"/>
      <c r="T1211" s="55" t="n"/>
      <c r="U1211" s="55" t="n"/>
      <c r="V1211" s="55" t="n"/>
      <c r="W1211" s="58" t="n"/>
      <c r="X1211" s="58" t="n"/>
      <c r="Y1211" s="55" t="n"/>
      <c r="Z1211" s="55" t="n"/>
      <c r="AA1211" s="55" t="n"/>
      <c r="AB1211" s="55" t="n"/>
      <c r="AC1211" s="55" t="n"/>
      <c r="AD1211" s="53" t="n"/>
      <c r="AE1211" s="55" t="n"/>
      <c r="AF1211" s="55" t="n"/>
      <c r="AG1211" s="59" t="n"/>
      <c r="AH1211" s="57" t="n"/>
      <c r="AI1211" s="55" t="n"/>
      <c r="AJ1211" s="55" t="n"/>
      <c r="AK1211" s="55" t="n"/>
      <c r="AL1211" s="55" t="n"/>
      <c r="AM1211" s="56" t="n"/>
      <c r="AN1211" s="55" t="n"/>
      <c r="AO1211" s="55" t="n"/>
      <c r="AP1211" s="55" t="n"/>
      <c r="AQ1211" s="55" t="n"/>
      <c r="AR1211" s="60">
        <f>IF(AND(C1211="",E1211=""),"",IF(A1211="","⚠ Date manquante",IF(AND(C1211="",E1211&lt;&gt;"Dépense"),"⚠ Prospect manquant",IF(E1211="","⚠ Action manquante",IF(AND(AU1211=1,D1211=""),"⚠ Canal manquant",IF(AND(W1211&lt;&gt;"",COUNTIFS('Saisie'!$W$5:$W$2004,W1211,'Saisie'!$C$5:$C$2004,"&lt;&gt;"&amp;C1211)&gt;0),"⚠ Numéro déjà utilisé par un autre prospect",IF(AND(J1211&lt;&gt;"",J1211&lt;A1211),"⚠ Relance avant la date de l'action",IF(A1211&gt;TODAY(),"⚠ Date dans le futur","✓"))))))))</f>
        <v/>
      </c>
      <c r="AS1211" s="61">
        <f>IF(AND(A1211="",C1211="",E1211=""),"",ROW())</f>
        <v/>
      </c>
      <c r="AT1211" s="61">
        <f>IF(E1211&amp;F1211="","",MAX(IFERROR(INDEX('Paramètres'!$J$6:$J$33,MATCH(E1211,'Paramètres'!$I$6:$I$33,0)),0),IFERROR(INDEX('Paramètres'!$N$6:$N$17,MATCH(F1211,'Paramètres'!$M$6:$M$17,0)),0)))</f>
        <v/>
      </c>
      <c r="AU1211" s="61">
        <f>IF(E1211="","",IFERROR(IF(INDEX('Paramètres'!$K$6:$K$33,MATCH(E1211,'Paramètres'!$I$6:$I$33,0))="Oui",1,0),0))</f>
        <v/>
      </c>
      <c r="AV1211" s="61">
        <f>IF(F1211="","",IFERROR(IF(INDEX('Paramètres'!$O$6:$O$17,MATCH(F1211,'Paramètres'!$M$6:$M$17,0))="Oui",1,0),0))</f>
        <v/>
      </c>
      <c r="AW1211" s="62">
        <f>IF(E1211="","",IF(G1211&lt;&gt;"",G1211,IF(OR(E1211="Proposition envoyée",E1211="Signature"),MAX(0,N(IFERROR(INDEX('Paramètres'!$R$6:$R$15,MATCH(IF(AL1211&lt;&gt;"",AL1211,IFERROR(INDEX('Prospects'!$AN$5:$AN$504,MATCH(C1211,'Prospects'!$C$5:$C$504,0)),"")),'Paramètres'!$Q$6:$Q$15,0)),0))-N(P1211)),0)))</f>
        <v/>
      </c>
      <c r="AX1211" s="61">
        <f>IF(C1211="","",IF(COUNTIF($C$5:C1211,C1211)=1,MAX($AX$4:AX1210)+1,""))</f>
        <v/>
      </c>
      <c r="AY1211" s="61">
        <f>IF(B1211="","",HOUR(B1211))</f>
        <v/>
      </c>
      <c r="AZ1211" s="61">
        <f>IF(A1211="","",MOD(A1211-2,7)+1)</f>
        <v/>
      </c>
      <c r="BA1211" s="60">
        <f>IF(C1211="","",IFERROR(INDEX('Prospects'!$N$5:$N$504,MATCH(C1211,'Prospects'!$C$5:$C$504,0)),""))</f>
        <v/>
      </c>
      <c r="BB1211" s="61">
        <f>IF(AND(C1211&lt;&gt;"",C1211='Fiche prospect'!$C$4),COUNTIF($C$5:C1211,C1211),"")</f>
        <v/>
      </c>
    </row>
    <row r="1212">
      <c r="A1212" s="53" t="n"/>
      <c r="B1212" s="54" t="n"/>
      <c r="C1212" s="55" t="n"/>
      <c r="D1212" s="55" t="n"/>
      <c r="E1212" s="55" t="n"/>
      <c r="F1212" s="55" t="n"/>
      <c r="G1212" s="56" t="n"/>
      <c r="H1212" s="57" t="n"/>
      <c r="I1212" s="55" t="n"/>
      <c r="J1212" s="53" t="n"/>
      <c r="K1212" s="54" t="n"/>
      <c r="L1212" s="55" t="n"/>
      <c r="M1212" s="55" t="n"/>
      <c r="N1212" s="57" t="n"/>
      <c r="O1212" s="55" t="n"/>
      <c r="P1212" s="56" t="n"/>
      <c r="Q1212" s="55" t="n"/>
      <c r="R1212" s="55" t="n"/>
      <c r="S1212" s="55" t="n"/>
      <c r="T1212" s="55" t="n"/>
      <c r="U1212" s="55" t="n"/>
      <c r="V1212" s="55" t="n"/>
      <c r="W1212" s="58" t="n"/>
      <c r="X1212" s="58" t="n"/>
      <c r="Y1212" s="55" t="n"/>
      <c r="Z1212" s="55" t="n"/>
      <c r="AA1212" s="55" t="n"/>
      <c r="AB1212" s="55" t="n"/>
      <c r="AC1212" s="55" t="n"/>
      <c r="AD1212" s="53" t="n"/>
      <c r="AE1212" s="55" t="n"/>
      <c r="AF1212" s="55" t="n"/>
      <c r="AG1212" s="59" t="n"/>
      <c r="AH1212" s="57" t="n"/>
      <c r="AI1212" s="55" t="n"/>
      <c r="AJ1212" s="55" t="n"/>
      <c r="AK1212" s="55" t="n"/>
      <c r="AL1212" s="55" t="n"/>
      <c r="AM1212" s="56" t="n"/>
      <c r="AN1212" s="55" t="n"/>
      <c r="AO1212" s="55" t="n"/>
      <c r="AP1212" s="55" t="n"/>
      <c r="AQ1212" s="55" t="n"/>
      <c r="AR1212" s="60">
        <f>IF(AND(C1212="",E1212=""),"",IF(A1212="","⚠ Date manquante",IF(AND(C1212="",E1212&lt;&gt;"Dépense"),"⚠ Prospect manquant",IF(E1212="","⚠ Action manquante",IF(AND(AU1212=1,D1212=""),"⚠ Canal manquant",IF(AND(W1212&lt;&gt;"",COUNTIFS('Saisie'!$W$5:$W$2004,W1212,'Saisie'!$C$5:$C$2004,"&lt;&gt;"&amp;C1212)&gt;0),"⚠ Numéro déjà utilisé par un autre prospect",IF(AND(J1212&lt;&gt;"",J1212&lt;A1212),"⚠ Relance avant la date de l'action",IF(A1212&gt;TODAY(),"⚠ Date dans le futur","✓"))))))))</f>
        <v/>
      </c>
      <c r="AS1212" s="61">
        <f>IF(AND(A1212="",C1212="",E1212=""),"",ROW())</f>
        <v/>
      </c>
      <c r="AT1212" s="61">
        <f>IF(E1212&amp;F1212="","",MAX(IFERROR(INDEX('Paramètres'!$J$6:$J$33,MATCH(E1212,'Paramètres'!$I$6:$I$33,0)),0),IFERROR(INDEX('Paramètres'!$N$6:$N$17,MATCH(F1212,'Paramètres'!$M$6:$M$17,0)),0)))</f>
        <v/>
      </c>
      <c r="AU1212" s="61">
        <f>IF(E1212="","",IFERROR(IF(INDEX('Paramètres'!$K$6:$K$33,MATCH(E1212,'Paramètres'!$I$6:$I$33,0))="Oui",1,0),0))</f>
        <v/>
      </c>
      <c r="AV1212" s="61">
        <f>IF(F1212="","",IFERROR(IF(INDEX('Paramètres'!$O$6:$O$17,MATCH(F1212,'Paramètres'!$M$6:$M$17,0))="Oui",1,0),0))</f>
        <v/>
      </c>
      <c r="AW1212" s="62">
        <f>IF(E1212="","",IF(G1212&lt;&gt;"",G1212,IF(OR(E1212="Proposition envoyée",E1212="Signature"),MAX(0,N(IFERROR(INDEX('Paramètres'!$R$6:$R$15,MATCH(IF(AL1212&lt;&gt;"",AL1212,IFERROR(INDEX('Prospects'!$AN$5:$AN$504,MATCH(C1212,'Prospects'!$C$5:$C$504,0)),"")),'Paramètres'!$Q$6:$Q$15,0)),0))-N(P1212)),0)))</f>
        <v/>
      </c>
      <c r="AX1212" s="61">
        <f>IF(C1212="","",IF(COUNTIF($C$5:C1212,C1212)=1,MAX($AX$4:AX1211)+1,""))</f>
        <v/>
      </c>
      <c r="AY1212" s="61">
        <f>IF(B1212="","",HOUR(B1212))</f>
        <v/>
      </c>
      <c r="AZ1212" s="61">
        <f>IF(A1212="","",MOD(A1212-2,7)+1)</f>
        <v/>
      </c>
      <c r="BA1212" s="60">
        <f>IF(C1212="","",IFERROR(INDEX('Prospects'!$N$5:$N$504,MATCH(C1212,'Prospects'!$C$5:$C$504,0)),""))</f>
        <v/>
      </c>
      <c r="BB1212" s="61">
        <f>IF(AND(C1212&lt;&gt;"",C1212='Fiche prospect'!$C$4),COUNTIF($C$5:C1212,C1212),"")</f>
        <v/>
      </c>
    </row>
    <row r="1213">
      <c r="A1213" s="53" t="n"/>
      <c r="B1213" s="54" t="n"/>
      <c r="C1213" s="55" t="n"/>
      <c r="D1213" s="55" t="n"/>
      <c r="E1213" s="55" t="n"/>
      <c r="F1213" s="55" t="n"/>
      <c r="G1213" s="56" t="n"/>
      <c r="H1213" s="57" t="n"/>
      <c r="I1213" s="55" t="n"/>
      <c r="J1213" s="53" t="n"/>
      <c r="K1213" s="54" t="n"/>
      <c r="L1213" s="55" t="n"/>
      <c r="M1213" s="55" t="n"/>
      <c r="N1213" s="57" t="n"/>
      <c r="O1213" s="55" t="n"/>
      <c r="P1213" s="56" t="n"/>
      <c r="Q1213" s="55" t="n"/>
      <c r="R1213" s="55" t="n"/>
      <c r="S1213" s="55" t="n"/>
      <c r="T1213" s="55" t="n"/>
      <c r="U1213" s="55" t="n"/>
      <c r="V1213" s="55" t="n"/>
      <c r="W1213" s="58" t="n"/>
      <c r="X1213" s="58" t="n"/>
      <c r="Y1213" s="55" t="n"/>
      <c r="Z1213" s="55" t="n"/>
      <c r="AA1213" s="55" t="n"/>
      <c r="AB1213" s="55" t="n"/>
      <c r="AC1213" s="55" t="n"/>
      <c r="AD1213" s="53" t="n"/>
      <c r="AE1213" s="55" t="n"/>
      <c r="AF1213" s="55" t="n"/>
      <c r="AG1213" s="59" t="n"/>
      <c r="AH1213" s="57" t="n"/>
      <c r="AI1213" s="55" t="n"/>
      <c r="AJ1213" s="55" t="n"/>
      <c r="AK1213" s="55" t="n"/>
      <c r="AL1213" s="55" t="n"/>
      <c r="AM1213" s="56" t="n"/>
      <c r="AN1213" s="55" t="n"/>
      <c r="AO1213" s="55" t="n"/>
      <c r="AP1213" s="55" t="n"/>
      <c r="AQ1213" s="55" t="n"/>
      <c r="AR1213" s="60">
        <f>IF(AND(C1213="",E1213=""),"",IF(A1213="","⚠ Date manquante",IF(AND(C1213="",E1213&lt;&gt;"Dépense"),"⚠ Prospect manquant",IF(E1213="","⚠ Action manquante",IF(AND(AU1213=1,D1213=""),"⚠ Canal manquant",IF(AND(W1213&lt;&gt;"",COUNTIFS('Saisie'!$W$5:$W$2004,W1213,'Saisie'!$C$5:$C$2004,"&lt;&gt;"&amp;C1213)&gt;0),"⚠ Numéro déjà utilisé par un autre prospect",IF(AND(J1213&lt;&gt;"",J1213&lt;A1213),"⚠ Relance avant la date de l'action",IF(A1213&gt;TODAY(),"⚠ Date dans le futur","✓"))))))))</f>
        <v/>
      </c>
      <c r="AS1213" s="61">
        <f>IF(AND(A1213="",C1213="",E1213=""),"",ROW())</f>
        <v/>
      </c>
      <c r="AT1213" s="61">
        <f>IF(E1213&amp;F1213="","",MAX(IFERROR(INDEX('Paramètres'!$J$6:$J$33,MATCH(E1213,'Paramètres'!$I$6:$I$33,0)),0),IFERROR(INDEX('Paramètres'!$N$6:$N$17,MATCH(F1213,'Paramètres'!$M$6:$M$17,0)),0)))</f>
        <v/>
      </c>
      <c r="AU1213" s="61">
        <f>IF(E1213="","",IFERROR(IF(INDEX('Paramètres'!$K$6:$K$33,MATCH(E1213,'Paramètres'!$I$6:$I$33,0))="Oui",1,0),0))</f>
        <v/>
      </c>
      <c r="AV1213" s="61">
        <f>IF(F1213="","",IFERROR(IF(INDEX('Paramètres'!$O$6:$O$17,MATCH(F1213,'Paramètres'!$M$6:$M$17,0))="Oui",1,0),0))</f>
        <v/>
      </c>
      <c r="AW1213" s="62">
        <f>IF(E1213="","",IF(G1213&lt;&gt;"",G1213,IF(OR(E1213="Proposition envoyée",E1213="Signature"),MAX(0,N(IFERROR(INDEX('Paramètres'!$R$6:$R$15,MATCH(IF(AL1213&lt;&gt;"",AL1213,IFERROR(INDEX('Prospects'!$AN$5:$AN$504,MATCH(C1213,'Prospects'!$C$5:$C$504,0)),"")),'Paramètres'!$Q$6:$Q$15,0)),0))-N(P1213)),0)))</f>
        <v/>
      </c>
      <c r="AX1213" s="61">
        <f>IF(C1213="","",IF(COUNTIF($C$5:C1213,C1213)=1,MAX($AX$4:AX1212)+1,""))</f>
        <v/>
      </c>
      <c r="AY1213" s="61">
        <f>IF(B1213="","",HOUR(B1213))</f>
        <v/>
      </c>
      <c r="AZ1213" s="61">
        <f>IF(A1213="","",MOD(A1213-2,7)+1)</f>
        <v/>
      </c>
      <c r="BA1213" s="60">
        <f>IF(C1213="","",IFERROR(INDEX('Prospects'!$N$5:$N$504,MATCH(C1213,'Prospects'!$C$5:$C$504,0)),""))</f>
        <v/>
      </c>
      <c r="BB1213" s="61">
        <f>IF(AND(C1213&lt;&gt;"",C1213='Fiche prospect'!$C$4),COUNTIF($C$5:C1213,C1213),"")</f>
        <v/>
      </c>
    </row>
    <row r="1214">
      <c r="A1214" s="53" t="n"/>
      <c r="B1214" s="54" t="n"/>
      <c r="C1214" s="55" t="n"/>
      <c r="D1214" s="55" t="n"/>
      <c r="E1214" s="55" t="n"/>
      <c r="F1214" s="55" t="n"/>
      <c r="G1214" s="56" t="n"/>
      <c r="H1214" s="57" t="n"/>
      <c r="I1214" s="55" t="n"/>
      <c r="J1214" s="53" t="n"/>
      <c r="K1214" s="54" t="n"/>
      <c r="L1214" s="55" t="n"/>
      <c r="M1214" s="55" t="n"/>
      <c r="N1214" s="57" t="n"/>
      <c r="O1214" s="55" t="n"/>
      <c r="P1214" s="56" t="n"/>
      <c r="Q1214" s="55" t="n"/>
      <c r="R1214" s="55" t="n"/>
      <c r="S1214" s="55" t="n"/>
      <c r="T1214" s="55" t="n"/>
      <c r="U1214" s="55" t="n"/>
      <c r="V1214" s="55" t="n"/>
      <c r="W1214" s="58" t="n"/>
      <c r="X1214" s="58" t="n"/>
      <c r="Y1214" s="55" t="n"/>
      <c r="Z1214" s="55" t="n"/>
      <c r="AA1214" s="55" t="n"/>
      <c r="AB1214" s="55" t="n"/>
      <c r="AC1214" s="55" t="n"/>
      <c r="AD1214" s="53" t="n"/>
      <c r="AE1214" s="55" t="n"/>
      <c r="AF1214" s="55" t="n"/>
      <c r="AG1214" s="59" t="n"/>
      <c r="AH1214" s="57" t="n"/>
      <c r="AI1214" s="55" t="n"/>
      <c r="AJ1214" s="55" t="n"/>
      <c r="AK1214" s="55" t="n"/>
      <c r="AL1214" s="55" t="n"/>
      <c r="AM1214" s="56" t="n"/>
      <c r="AN1214" s="55" t="n"/>
      <c r="AO1214" s="55" t="n"/>
      <c r="AP1214" s="55" t="n"/>
      <c r="AQ1214" s="55" t="n"/>
      <c r="AR1214" s="60">
        <f>IF(AND(C1214="",E1214=""),"",IF(A1214="","⚠ Date manquante",IF(AND(C1214="",E1214&lt;&gt;"Dépense"),"⚠ Prospect manquant",IF(E1214="","⚠ Action manquante",IF(AND(AU1214=1,D1214=""),"⚠ Canal manquant",IF(AND(W1214&lt;&gt;"",COUNTIFS('Saisie'!$W$5:$W$2004,W1214,'Saisie'!$C$5:$C$2004,"&lt;&gt;"&amp;C1214)&gt;0),"⚠ Numéro déjà utilisé par un autre prospect",IF(AND(J1214&lt;&gt;"",J1214&lt;A1214),"⚠ Relance avant la date de l'action",IF(A1214&gt;TODAY(),"⚠ Date dans le futur","✓"))))))))</f>
        <v/>
      </c>
      <c r="AS1214" s="61">
        <f>IF(AND(A1214="",C1214="",E1214=""),"",ROW())</f>
        <v/>
      </c>
      <c r="AT1214" s="61">
        <f>IF(E1214&amp;F1214="","",MAX(IFERROR(INDEX('Paramètres'!$J$6:$J$33,MATCH(E1214,'Paramètres'!$I$6:$I$33,0)),0),IFERROR(INDEX('Paramètres'!$N$6:$N$17,MATCH(F1214,'Paramètres'!$M$6:$M$17,0)),0)))</f>
        <v/>
      </c>
      <c r="AU1214" s="61">
        <f>IF(E1214="","",IFERROR(IF(INDEX('Paramètres'!$K$6:$K$33,MATCH(E1214,'Paramètres'!$I$6:$I$33,0))="Oui",1,0),0))</f>
        <v/>
      </c>
      <c r="AV1214" s="61">
        <f>IF(F1214="","",IFERROR(IF(INDEX('Paramètres'!$O$6:$O$17,MATCH(F1214,'Paramètres'!$M$6:$M$17,0))="Oui",1,0),0))</f>
        <v/>
      </c>
      <c r="AW1214" s="62">
        <f>IF(E1214="","",IF(G1214&lt;&gt;"",G1214,IF(OR(E1214="Proposition envoyée",E1214="Signature"),MAX(0,N(IFERROR(INDEX('Paramètres'!$R$6:$R$15,MATCH(IF(AL1214&lt;&gt;"",AL1214,IFERROR(INDEX('Prospects'!$AN$5:$AN$504,MATCH(C1214,'Prospects'!$C$5:$C$504,0)),"")),'Paramètres'!$Q$6:$Q$15,0)),0))-N(P1214)),0)))</f>
        <v/>
      </c>
      <c r="AX1214" s="61">
        <f>IF(C1214="","",IF(COUNTIF($C$5:C1214,C1214)=1,MAX($AX$4:AX1213)+1,""))</f>
        <v/>
      </c>
      <c r="AY1214" s="61">
        <f>IF(B1214="","",HOUR(B1214))</f>
        <v/>
      </c>
      <c r="AZ1214" s="61">
        <f>IF(A1214="","",MOD(A1214-2,7)+1)</f>
        <v/>
      </c>
      <c r="BA1214" s="60">
        <f>IF(C1214="","",IFERROR(INDEX('Prospects'!$N$5:$N$504,MATCH(C1214,'Prospects'!$C$5:$C$504,0)),""))</f>
        <v/>
      </c>
      <c r="BB1214" s="61">
        <f>IF(AND(C1214&lt;&gt;"",C1214='Fiche prospect'!$C$4),COUNTIF($C$5:C1214,C1214),"")</f>
        <v/>
      </c>
    </row>
    <row r="1215">
      <c r="A1215" s="53" t="n"/>
      <c r="B1215" s="54" t="n"/>
      <c r="C1215" s="55" t="n"/>
      <c r="D1215" s="55" t="n"/>
      <c r="E1215" s="55" t="n"/>
      <c r="F1215" s="55" t="n"/>
      <c r="G1215" s="56" t="n"/>
      <c r="H1215" s="57" t="n"/>
      <c r="I1215" s="55" t="n"/>
      <c r="J1215" s="53" t="n"/>
      <c r="K1215" s="54" t="n"/>
      <c r="L1215" s="55" t="n"/>
      <c r="M1215" s="55" t="n"/>
      <c r="N1215" s="57" t="n"/>
      <c r="O1215" s="55" t="n"/>
      <c r="P1215" s="56" t="n"/>
      <c r="Q1215" s="55" t="n"/>
      <c r="R1215" s="55" t="n"/>
      <c r="S1215" s="55" t="n"/>
      <c r="T1215" s="55" t="n"/>
      <c r="U1215" s="55" t="n"/>
      <c r="V1215" s="55" t="n"/>
      <c r="W1215" s="58" t="n"/>
      <c r="X1215" s="58" t="n"/>
      <c r="Y1215" s="55" t="n"/>
      <c r="Z1215" s="55" t="n"/>
      <c r="AA1215" s="55" t="n"/>
      <c r="AB1215" s="55" t="n"/>
      <c r="AC1215" s="55" t="n"/>
      <c r="AD1215" s="53" t="n"/>
      <c r="AE1215" s="55" t="n"/>
      <c r="AF1215" s="55" t="n"/>
      <c r="AG1215" s="59" t="n"/>
      <c r="AH1215" s="57" t="n"/>
      <c r="AI1215" s="55" t="n"/>
      <c r="AJ1215" s="55" t="n"/>
      <c r="AK1215" s="55" t="n"/>
      <c r="AL1215" s="55" t="n"/>
      <c r="AM1215" s="56" t="n"/>
      <c r="AN1215" s="55" t="n"/>
      <c r="AO1215" s="55" t="n"/>
      <c r="AP1215" s="55" t="n"/>
      <c r="AQ1215" s="55" t="n"/>
      <c r="AR1215" s="60">
        <f>IF(AND(C1215="",E1215=""),"",IF(A1215="","⚠ Date manquante",IF(AND(C1215="",E1215&lt;&gt;"Dépense"),"⚠ Prospect manquant",IF(E1215="","⚠ Action manquante",IF(AND(AU1215=1,D1215=""),"⚠ Canal manquant",IF(AND(W1215&lt;&gt;"",COUNTIFS('Saisie'!$W$5:$W$2004,W1215,'Saisie'!$C$5:$C$2004,"&lt;&gt;"&amp;C1215)&gt;0),"⚠ Numéro déjà utilisé par un autre prospect",IF(AND(J1215&lt;&gt;"",J1215&lt;A1215),"⚠ Relance avant la date de l'action",IF(A1215&gt;TODAY(),"⚠ Date dans le futur","✓"))))))))</f>
        <v/>
      </c>
      <c r="AS1215" s="61">
        <f>IF(AND(A1215="",C1215="",E1215=""),"",ROW())</f>
        <v/>
      </c>
      <c r="AT1215" s="61">
        <f>IF(E1215&amp;F1215="","",MAX(IFERROR(INDEX('Paramètres'!$J$6:$J$33,MATCH(E1215,'Paramètres'!$I$6:$I$33,0)),0),IFERROR(INDEX('Paramètres'!$N$6:$N$17,MATCH(F1215,'Paramètres'!$M$6:$M$17,0)),0)))</f>
        <v/>
      </c>
      <c r="AU1215" s="61">
        <f>IF(E1215="","",IFERROR(IF(INDEX('Paramètres'!$K$6:$K$33,MATCH(E1215,'Paramètres'!$I$6:$I$33,0))="Oui",1,0),0))</f>
        <v/>
      </c>
      <c r="AV1215" s="61">
        <f>IF(F1215="","",IFERROR(IF(INDEX('Paramètres'!$O$6:$O$17,MATCH(F1215,'Paramètres'!$M$6:$M$17,0))="Oui",1,0),0))</f>
        <v/>
      </c>
      <c r="AW1215" s="62">
        <f>IF(E1215="","",IF(G1215&lt;&gt;"",G1215,IF(OR(E1215="Proposition envoyée",E1215="Signature"),MAX(0,N(IFERROR(INDEX('Paramètres'!$R$6:$R$15,MATCH(IF(AL1215&lt;&gt;"",AL1215,IFERROR(INDEX('Prospects'!$AN$5:$AN$504,MATCH(C1215,'Prospects'!$C$5:$C$504,0)),"")),'Paramètres'!$Q$6:$Q$15,0)),0))-N(P1215)),0)))</f>
        <v/>
      </c>
      <c r="AX1215" s="61">
        <f>IF(C1215="","",IF(COUNTIF($C$5:C1215,C1215)=1,MAX($AX$4:AX1214)+1,""))</f>
        <v/>
      </c>
      <c r="AY1215" s="61">
        <f>IF(B1215="","",HOUR(B1215))</f>
        <v/>
      </c>
      <c r="AZ1215" s="61">
        <f>IF(A1215="","",MOD(A1215-2,7)+1)</f>
        <v/>
      </c>
      <c r="BA1215" s="60">
        <f>IF(C1215="","",IFERROR(INDEX('Prospects'!$N$5:$N$504,MATCH(C1215,'Prospects'!$C$5:$C$504,0)),""))</f>
        <v/>
      </c>
      <c r="BB1215" s="61">
        <f>IF(AND(C1215&lt;&gt;"",C1215='Fiche prospect'!$C$4),COUNTIF($C$5:C1215,C1215),"")</f>
        <v/>
      </c>
    </row>
    <row r="1216">
      <c r="A1216" s="53" t="n"/>
      <c r="B1216" s="54" t="n"/>
      <c r="C1216" s="55" t="n"/>
      <c r="D1216" s="55" t="n"/>
      <c r="E1216" s="55" t="n"/>
      <c r="F1216" s="55" t="n"/>
      <c r="G1216" s="56" t="n"/>
      <c r="H1216" s="57" t="n"/>
      <c r="I1216" s="55" t="n"/>
      <c r="J1216" s="53" t="n"/>
      <c r="K1216" s="54" t="n"/>
      <c r="L1216" s="55" t="n"/>
      <c r="M1216" s="55" t="n"/>
      <c r="N1216" s="57" t="n"/>
      <c r="O1216" s="55" t="n"/>
      <c r="P1216" s="56" t="n"/>
      <c r="Q1216" s="55" t="n"/>
      <c r="R1216" s="55" t="n"/>
      <c r="S1216" s="55" t="n"/>
      <c r="T1216" s="55" t="n"/>
      <c r="U1216" s="55" t="n"/>
      <c r="V1216" s="55" t="n"/>
      <c r="W1216" s="58" t="n"/>
      <c r="X1216" s="58" t="n"/>
      <c r="Y1216" s="55" t="n"/>
      <c r="Z1216" s="55" t="n"/>
      <c r="AA1216" s="55" t="n"/>
      <c r="AB1216" s="55" t="n"/>
      <c r="AC1216" s="55" t="n"/>
      <c r="AD1216" s="53" t="n"/>
      <c r="AE1216" s="55" t="n"/>
      <c r="AF1216" s="55" t="n"/>
      <c r="AG1216" s="59" t="n"/>
      <c r="AH1216" s="57" t="n"/>
      <c r="AI1216" s="55" t="n"/>
      <c r="AJ1216" s="55" t="n"/>
      <c r="AK1216" s="55" t="n"/>
      <c r="AL1216" s="55" t="n"/>
      <c r="AM1216" s="56" t="n"/>
      <c r="AN1216" s="55" t="n"/>
      <c r="AO1216" s="55" t="n"/>
      <c r="AP1216" s="55" t="n"/>
      <c r="AQ1216" s="55" t="n"/>
      <c r="AR1216" s="60">
        <f>IF(AND(C1216="",E1216=""),"",IF(A1216="","⚠ Date manquante",IF(AND(C1216="",E1216&lt;&gt;"Dépense"),"⚠ Prospect manquant",IF(E1216="","⚠ Action manquante",IF(AND(AU1216=1,D1216=""),"⚠ Canal manquant",IF(AND(W1216&lt;&gt;"",COUNTIFS('Saisie'!$W$5:$W$2004,W1216,'Saisie'!$C$5:$C$2004,"&lt;&gt;"&amp;C1216)&gt;0),"⚠ Numéro déjà utilisé par un autre prospect",IF(AND(J1216&lt;&gt;"",J1216&lt;A1216),"⚠ Relance avant la date de l'action",IF(A1216&gt;TODAY(),"⚠ Date dans le futur","✓"))))))))</f>
        <v/>
      </c>
      <c r="AS1216" s="61">
        <f>IF(AND(A1216="",C1216="",E1216=""),"",ROW())</f>
        <v/>
      </c>
      <c r="AT1216" s="61">
        <f>IF(E1216&amp;F1216="","",MAX(IFERROR(INDEX('Paramètres'!$J$6:$J$33,MATCH(E1216,'Paramètres'!$I$6:$I$33,0)),0),IFERROR(INDEX('Paramètres'!$N$6:$N$17,MATCH(F1216,'Paramètres'!$M$6:$M$17,0)),0)))</f>
        <v/>
      </c>
      <c r="AU1216" s="61">
        <f>IF(E1216="","",IFERROR(IF(INDEX('Paramètres'!$K$6:$K$33,MATCH(E1216,'Paramètres'!$I$6:$I$33,0))="Oui",1,0),0))</f>
        <v/>
      </c>
      <c r="AV1216" s="61">
        <f>IF(F1216="","",IFERROR(IF(INDEX('Paramètres'!$O$6:$O$17,MATCH(F1216,'Paramètres'!$M$6:$M$17,0))="Oui",1,0),0))</f>
        <v/>
      </c>
      <c r="AW1216" s="62">
        <f>IF(E1216="","",IF(G1216&lt;&gt;"",G1216,IF(OR(E1216="Proposition envoyée",E1216="Signature"),MAX(0,N(IFERROR(INDEX('Paramètres'!$R$6:$R$15,MATCH(IF(AL1216&lt;&gt;"",AL1216,IFERROR(INDEX('Prospects'!$AN$5:$AN$504,MATCH(C1216,'Prospects'!$C$5:$C$504,0)),"")),'Paramètres'!$Q$6:$Q$15,0)),0))-N(P1216)),0)))</f>
        <v/>
      </c>
      <c r="AX1216" s="61">
        <f>IF(C1216="","",IF(COUNTIF($C$5:C1216,C1216)=1,MAX($AX$4:AX1215)+1,""))</f>
        <v/>
      </c>
      <c r="AY1216" s="61">
        <f>IF(B1216="","",HOUR(B1216))</f>
        <v/>
      </c>
      <c r="AZ1216" s="61">
        <f>IF(A1216="","",MOD(A1216-2,7)+1)</f>
        <v/>
      </c>
      <c r="BA1216" s="60">
        <f>IF(C1216="","",IFERROR(INDEX('Prospects'!$N$5:$N$504,MATCH(C1216,'Prospects'!$C$5:$C$504,0)),""))</f>
        <v/>
      </c>
      <c r="BB1216" s="61">
        <f>IF(AND(C1216&lt;&gt;"",C1216='Fiche prospect'!$C$4),COUNTIF($C$5:C1216,C1216),"")</f>
        <v/>
      </c>
    </row>
    <row r="1217">
      <c r="A1217" s="53" t="n"/>
      <c r="B1217" s="54" t="n"/>
      <c r="C1217" s="55" t="n"/>
      <c r="D1217" s="55" t="n"/>
      <c r="E1217" s="55" t="n"/>
      <c r="F1217" s="55" t="n"/>
      <c r="G1217" s="56" t="n"/>
      <c r="H1217" s="57" t="n"/>
      <c r="I1217" s="55" t="n"/>
      <c r="J1217" s="53" t="n"/>
      <c r="K1217" s="54" t="n"/>
      <c r="L1217" s="55" t="n"/>
      <c r="M1217" s="55" t="n"/>
      <c r="N1217" s="57" t="n"/>
      <c r="O1217" s="55" t="n"/>
      <c r="P1217" s="56" t="n"/>
      <c r="Q1217" s="55" t="n"/>
      <c r="R1217" s="55" t="n"/>
      <c r="S1217" s="55" t="n"/>
      <c r="T1217" s="55" t="n"/>
      <c r="U1217" s="55" t="n"/>
      <c r="V1217" s="55" t="n"/>
      <c r="W1217" s="58" t="n"/>
      <c r="X1217" s="58" t="n"/>
      <c r="Y1217" s="55" t="n"/>
      <c r="Z1217" s="55" t="n"/>
      <c r="AA1217" s="55" t="n"/>
      <c r="AB1217" s="55" t="n"/>
      <c r="AC1217" s="55" t="n"/>
      <c r="AD1217" s="53" t="n"/>
      <c r="AE1217" s="55" t="n"/>
      <c r="AF1217" s="55" t="n"/>
      <c r="AG1217" s="59" t="n"/>
      <c r="AH1217" s="57" t="n"/>
      <c r="AI1217" s="55" t="n"/>
      <c r="AJ1217" s="55" t="n"/>
      <c r="AK1217" s="55" t="n"/>
      <c r="AL1217" s="55" t="n"/>
      <c r="AM1217" s="56" t="n"/>
      <c r="AN1217" s="55" t="n"/>
      <c r="AO1217" s="55" t="n"/>
      <c r="AP1217" s="55" t="n"/>
      <c r="AQ1217" s="55" t="n"/>
      <c r="AR1217" s="60">
        <f>IF(AND(C1217="",E1217=""),"",IF(A1217="","⚠ Date manquante",IF(AND(C1217="",E1217&lt;&gt;"Dépense"),"⚠ Prospect manquant",IF(E1217="","⚠ Action manquante",IF(AND(AU1217=1,D1217=""),"⚠ Canal manquant",IF(AND(W1217&lt;&gt;"",COUNTIFS('Saisie'!$W$5:$W$2004,W1217,'Saisie'!$C$5:$C$2004,"&lt;&gt;"&amp;C1217)&gt;0),"⚠ Numéro déjà utilisé par un autre prospect",IF(AND(J1217&lt;&gt;"",J1217&lt;A1217),"⚠ Relance avant la date de l'action",IF(A1217&gt;TODAY(),"⚠ Date dans le futur","✓"))))))))</f>
        <v/>
      </c>
      <c r="AS1217" s="61">
        <f>IF(AND(A1217="",C1217="",E1217=""),"",ROW())</f>
        <v/>
      </c>
      <c r="AT1217" s="61">
        <f>IF(E1217&amp;F1217="","",MAX(IFERROR(INDEX('Paramètres'!$J$6:$J$33,MATCH(E1217,'Paramètres'!$I$6:$I$33,0)),0),IFERROR(INDEX('Paramètres'!$N$6:$N$17,MATCH(F1217,'Paramètres'!$M$6:$M$17,0)),0)))</f>
        <v/>
      </c>
      <c r="AU1217" s="61">
        <f>IF(E1217="","",IFERROR(IF(INDEX('Paramètres'!$K$6:$K$33,MATCH(E1217,'Paramètres'!$I$6:$I$33,0))="Oui",1,0),0))</f>
        <v/>
      </c>
      <c r="AV1217" s="61">
        <f>IF(F1217="","",IFERROR(IF(INDEX('Paramètres'!$O$6:$O$17,MATCH(F1217,'Paramètres'!$M$6:$M$17,0))="Oui",1,0),0))</f>
        <v/>
      </c>
      <c r="AW1217" s="62">
        <f>IF(E1217="","",IF(G1217&lt;&gt;"",G1217,IF(OR(E1217="Proposition envoyée",E1217="Signature"),MAX(0,N(IFERROR(INDEX('Paramètres'!$R$6:$R$15,MATCH(IF(AL1217&lt;&gt;"",AL1217,IFERROR(INDEX('Prospects'!$AN$5:$AN$504,MATCH(C1217,'Prospects'!$C$5:$C$504,0)),"")),'Paramètres'!$Q$6:$Q$15,0)),0))-N(P1217)),0)))</f>
        <v/>
      </c>
      <c r="AX1217" s="61">
        <f>IF(C1217="","",IF(COUNTIF($C$5:C1217,C1217)=1,MAX($AX$4:AX1216)+1,""))</f>
        <v/>
      </c>
      <c r="AY1217" s="61">
        <f>IF(B1217="","",HOUR(B1217))</f>
        <v/>
      </c>
      <c r="AZ1217" s="61">
        <f>IF(A1217="","",MOD(A1217-2,7)+1)</f>
        <v/>
      </c>
      <c r="BA1217" s="60">
        <f>IF(C1217="","",IFERROR(INDEX('Prospects'!$N$5:$N$504,MATCH(C1217,'Prospects'!$C$5:$C$504,0)),""))</f>
        <v/>
      </c>
      <c r="BB1217" s="61">
        <f>IF(AND(C1217&lt;&gt;"",C1217='Fiche prospect'!$C$4),COUNTIF($C$5:C1217,C1217),"")</f>
        <v/>
      </c>
    </row>
    <row r="1218">
      <c r="A1218" s="53" t="n"/>
      <c r="B1218" s="54" t="n"/>
      <c r="C1218" s="55" t="n"/>
      <c r="D1218" s="55" t="n"/>
      <c r="E1218" s="55" t="n"/>
      <c r="F1218" s="55" t="n"/>
      <c r="G1218" s="56" t="n"/>
      <c r="H1218" s="57" t="n"/>
      <c r="I1218" s="55" t="n"/>
      <c r="J1218" s="53" t="n"/>
      <c r="K1218" s="54" t="n"/>
      <c r="L1218" s="55" t="n"/>
      <c r="M1218" s="55" t="n"/>
      <c r="N1218" s="57" t="n"/>
      <c r="O1218" s="55" t="n"/>
      <c r="P1218" s="56" t="n"/>
      <c r="Q1218" s="55" t="n"/>
      <c r="R1218" s="55" t="n"/>
      <c r="S1218" s="55" t="n"/>
      <c r="T1218" s="55" t="n"/>
      <c r="U1218" s="55" t="n"/>
      <c r="V1218" s="55" t="n"/>
      <c r="W1218" s="58" t="n"/>
      <c r="X1218" s="58" t="n"/>
      <c r="Y1218" s="55" t="n"/>
      <c r="Z1218" s="55" t="n"/>
      <c r="AA1218" s="55" t="n"/>
      <c r="AB1218" s="55" t="n"/>
      <c r="AC1218" s="55" t="n"/>
      <c r="AD1218" s="53" t="n"/>
      <c r="AE1218" s="55" t="n"/>
      <c r="AF1218" s="55" t="n"/>
      <c r="AG1218" s="59" t="n"/>
      <c r="AH1218" s="57" t="n"/>
      <c r="AI1218" s="55" t="n"/>
      <c r="AJ1218" s="55" t="n"/>
      <c r="AK1218" s="55" t="n"/>
      <c r="AL1218" s="55" t="n"/>
      <c r="AM1218" s="56" t="n"/>
      <c r="AN1218" s="55" t="n"/>
      <c r="AO1218" s="55" t="n"/>
      <c r="AP1218" s="55" t="n"/>
      <c r="AQ1218" s="55" t="n"/>
      <c r="AR1218" s="60">
        <f>IF(AND(C1218="",E1218=""),"",IF(A1218="","⚠ Date manquante",IF(AND(C1218="",E1218&lt;&gt;"Dépense"),"⚠ Prospect manquant",IF(E1218="","⚠ Action manquante",IF(AND(AU1218=1,D1218=""),"⚠ Canal manquant",IF(AND(W1218&lt;&gt;"",COUNTIFS('Saisie'!$W$5:$W$2004,W1218,'Saisie'!$C$5:$C$2004,"&lt;&gt;"&amp;C1218)&gt;0),"⚠ Numéro déjà utilisé par un autre prospect",IF(AND(J1218&lt;&gt;"",J1218&lt;A1218),"⚠ Relance avant la date de l'action",IF(A1218&gt;TODAY(),"⚠ Date dans le futur","✓"))))))))</f>
        <v/>
      </c>
      <c r="AS1218" s="61">
        <f>IF(AND(A1218="",C1218="",E1218=""),"",ROW())</f>
        <v/>
      </c>
      <c r="AT1218" s="61">
        <f>IF(E1218&amp;F1218="","",MAX(IFERROR(INDEX('Paramètres'!$J$6:$J$33,MATCH(E1218,'Paramètres'!$I$6:$I$33,0)),0),IFERROR(INDEX('Paramètres'!$N$6:$N$17,MATCH(F1218,'Paramètres'!$M$6:$M$17,0)),0)))</f>
        <v/>
      </c>
      <c r="AU1218" s="61">
        <f>IF(E1218="","",IFERROR(IF(INDEX('Paramètres'!$K$6:$K$33,MATCH(E1218,'Paramètres'!$I$6:$I$33,0))="Oui",1,0),0))</f>
        <v/>
      </c>
      <c r="AV1218" s="61">
        <f>IF(F1218="","",IFERROR(IF(INDEX('Paramètres'!$O$6:$O$17,MATCH(F1218,'Paramètres'!$M$6:$M$17,0))="Oui",1,0),0))</f>
        <v/>
      </c>
      <c r="AW1218" s="62">
        <f>IF(E1218="","",IF(G1218&lt;&gt;"",G1218,IF(OR(E1218="Proposition envoyée",E1218="Signature"),MAX(0,N(IFERROR(INDEX('Paramètres'!$R$6:$R$15,MATCH(IF(AL1218&lt;&gt;"",AL1218,IFERROR(INDEX('Prospects'!$AN$5:$AN$504,MATCH(C1218,'Prospects'!$C$5:$C$504,0)),"")),'Paramètres'!$Q$6:$Q$15,0)),0))-N(P1218)),0)))</f>
        <v/>
      </c>
      <c r="AX1218" s="61">
        <f>IF(C1218="","",IF(COUNTIF($C$5:C1218,C1218)=1,MAX($AX$4:AX1217)+1,""))</f>
        <v/>
      </c>
      <c r="AY1218" s="61">
        <f>IF(B1218="","",HOUR(B1218))</f>
        <v/>
      </c>
      <c r="AZ1218" s="61">
        <f>IF(A1218="","",MOD(A1218-2,7)+1)</f>
        <v/>
      </c>
      <c r="BA1218" s="60">
        <f>IF(C1218="","",IFERROR(INDEX('Prospects'!$N$5:$N$504,MATCH(C1218,'Prospects'!$C$5:$C$504,0)),""))</f>
        <v/>
      </c>
      <c r="BB1218" s="61">
        <f>IF(AND(C1218&lt;&gt;"",C1218='Fiche prospect'!$C$4),COUNTIF($C$5:C1218,C1218),"")</f>
        <v/>
      </c>
    </row>
    <row r="1219">
      <c r="A1219" s="53" t="n"/>
      <c r="B1219" s="54" t="n"/>
      <c r="C1219" s="55" t="n"/>
      <c r="D1219" s="55" t="n"/>
      <c r="E1219" s="55" t="n"/>
      <c r="F1219" s="55" t="n"/>
      <c r="G1219" s="56" t="n"/>
      <c r="H1219" s="57" t="n"/>
      <c r="I1219" s="55" t="n"/>
      <c r="J1219" s="53" t="n"/>
      <c r="K1219" s="54" t="n"/>
      <c r="L1219" s="55" t="n"/>
      <c r="M1219" s="55" t="n"/>
      <c r="N1219" s="57" t="n"/>
      <c r="O1219" s="55" t="n"/>
      <c r="P1219" s="56" t="n"/>
      <c r="Q1219" s="55" t="n"/>
      <c r="R1219" s="55" t="n"/>
      <c r="S1219" s="55" t="n"/>
      <c r="T1219" s="55" t="n"/>
      <c r="U1219" s="55" t="n"/>
      <c r="V1219" s="55" t="n"/>
      <c r="W1219" s="58" t="n"/>
      <c r="X1219" s="58" t="n"/>
      <c r="Y1219" s="55" t="n"/>
      <c r="Z1219" s="55" t="n"/>
      <c r="AA1219" s="55" t="n"/>
      <c r="AB1219" s="55" t="n"/>
      <c r="AC1219" s="55" t="n"/>
      <c r="AD1219" s="53" t="n"/>
      <c r="AE1219" s="55" t="n"/>
      <c r="AF1219" s="55" t="n"/>
      <c r="AG1219" s="59" t="n"/>
      <c r="AH1219" s="57" t="n"/>
      <c r="AI1219" s="55" t="n"/>
      <c r="AJ1219" s="55" t="n"/>
      <c r="AK1219" s="55" t="n"/>
      <c r="AL1219" s="55" t="n"/>
      <c r="AM1219" s="56" t="n"/>
      <c r="AN1219" s="55" t="n"/>
      <c r="AO1219" s="55" t="n"/>
      <c r="AP1219" s="55" t="n"/>
      <c r="AQ1219" s="55" t="n"/>
      <c r="AR1219" s="60">
        <f>IF(AND(C1219="",E1219=""),"",IF(A1219="","⚠ Date manquante",IF(AND(C1219="",E1219&lt;&gt;"Dépense"),"⚠ Prospect manquant",IF(E1219="","⚠ Action manquante",IF(AND(AU1219=1,D1219=""),"⚠ Canal manquant",IF(AND(W1219&lt;&gt;"",COUNTIFS('Saisie'!$W$5:$W$2004,W1219,'Saisie'!$C$5:$C$2004,"&lt;&gt;"&amp;C1219)&gt;0),"⚠ Numéro déjà utilisé par un autre prospect",IF(AND(J1219&lt;&gt;"",J1219&lt;A1219),"⚠ Relance avant la date de l'action",IF(A1219&gt;TODAY(),"⚠ Date dans le futur","✓"))))))))</f>
        <v/>
      </c>
      <c r="AS1219" s="61">
        <f>IF(AND(A1219="",C1219="",E1219=""),"",ROW())</f>
        <v/>
      </c>
      <c r="AT1219" s="61">
        <f>IF(E1219&amp;F1219="","",MAX(IFERROR(INDEX('Paramètres'!$J$6:$J$33,MATCH(E1219,'Paramètres'!$I$6:$I$33,0)),0),IFERROR(INDEX('Paramètres'!$N$6:$N$17,MATCH(F1219,'Paramètres'!$M$6:$M$17,0)),0)))</f>
        <v/>
      </c>
      <c r="AU1219" s="61">
        <f>IF(E1219="","",IFERROR(IF(INDEX('Paramètres'!$K$6:$K$33,MATCH(E1219,'Paramètres'!$I$6:$I$33,0))="Oui",1,0),0))</f>
        <v/>
      </c>
      <c r="AV1219" s="61">
        <f>IF(F1219="","",IFERROR(IF(INDEX('Paramètres'!$O$6:$O$17,MATCH(F1219,'Paramètres'!$M$6:$M$17,0))="Oui",1,0),0))</f>
        <v/>
      </c>
      <c r="AW1219" s="62">
        <f>IF(E1219="","",IF(G1219&lt;&gt;"",G1219,IF(OR(E1219="Proposition envoyée",E1219="Signature"),MAX(0,N(IFERROR(INDEX('Paramètres'!$R$6:$R$15,MATCH(IF(AL1219&lt;&gt;"",AL1219,IFERROR(INDEX('Prospects'!$AN$5:$AN$504,MATCH(C1219,'Prospects'!$C$5:$C$504,0)),"")),'Paramètres'!$Q$6:$Q$15,0)),0))-N(P1219)),0)))</f>
        <v/>
      </c>
      <c r="AX1219" s="61">
        <f>IF(C1219="","",IF(COUNTIF($C$5:C1219,C1219)=1,MAX($AX$4:AX1218)+1,""))</f>
        <v/>
      </c>
      <c r="AY1219" s="61">
        <f>IF(B1219="","",HOUR(B1219))</f>
        <v/>
      </c>
      <c r="AZ1219" s="61">
        <f>IF(A1219="","",MOD(A1219-2,7)+1)</f>
        <v/>
      </c>
      <c r="BA1219" s="60">
        <f>IF(C1219="","",IFERROR(INDEX('Prospects'!$N$5:$N$504,MATCH(C1219,'Prospects'!$C$5:$C$504,0)),""))</f>
        <v/>
      </c>
      <c r="BB1219" s="61">
        <f>IF(AND(C1219&lt;&gt;"",C1219='Fiche prospect'!$C$4),COUNTIF($C$5:C1219,C1219),"")</f>
        <v/>
      </c>
    </row>
    <row r="1220">
      <c r="A1220" s="53" t="n"/>
      <c r="B1220" s="54" t="n"/>
      <c r="C1220" s="55" t="n"/>
      <c r="D1220" s="55" t="n"/>
      <c r="E1220" s="55" t="n"/>
      <c r="F1220" s="55" t="n"/>
      <c r="G1220" s="56" t="n"/>
      <c r="H1220" s="57" t="n"/>
      <c r="I1220" s="55" t="n"/>
      <c r="J1220" s="53" t="n"/>
      <c r="K1220" s="54" t="n"/>
      <c r="L1220" s="55" t="n"/>
      <c r="M1220" s="55" t="n"/>
      <c r="N1220" s="57" t="n"/>
      <c r="O1220" s="55" t="n"/>
      <c r="P1220" s="56" t="n"/>
      <c r="Q1220" s="55" t="n"/>
      <c r="R1220" s="55" t="n"/>
      <c r="S1220" s="55" t="n"/>
      <c r="T1220" s="55" t="n"/>
      <c r="U1220" s="55" t="n"/>
      <c r="V1220" s="55" t="n"/>
      <c r="W1220" s="58" t="n"/>
      <c r="X1220" s="58" t="n"/>
      <c r="Y1220" s="55" t="n"/>
      <c r="Z1220" s="55" t="n"/>
      <c r="AA1220" s="55" t="n"/>
      <c r="AB1220" s="55" t="n"/>
      <c r="AC1220" s="55" t="n"/>
      <c r="AD1220" s="53" t="n"/>
      <c r="AE1220" s="55" t="n"/>
      <c r="AF1220" s="55" t="n"/>
      <c r="AG1220" s="59" t="n"/>
      <c r="AH1220" s="57" t="n"/>
      <c r="AI1220" s="55" t="n"/>
      <c r="AJ1220" s="55" t="n"/>
      <c r="AK1220" s="55" t="n"/>
      <c r="AL1220" s="55" t="n"/>
      <c r="AM1220" s="56" t="n"/>
      <c r="AN1220" s="55" t="n"/>
      <c r="AO1220" s="55" t="n"/>
      <c r="AP1220" s="55" t="n"/>
      <c r="AQ1220" s="55" t="n"/>
      <c r="AR1220" s="60">
        <f>IF(AND(C1220="",E1220=""),"",IF(A1220="","⚠ Date manquante",IF(AND(C1220="",E1220&lt;&gt;"Dépense"),"⚠ Prospect manquant",IF(E1220="","⚠ Action manquante",IF(AND(AU1220=1,D1220=""),"⚠ Canal manquant",IF(AND(W1220&lt;&gt;"",COUNTIFS('Saisie'!$W$5:$W$2004,W1220,'Saisie'!$C$5:$C$2004,"&lt;&gt;"&amp;C1220)&gt;0),"⚠ Numéro déjà utilisé par un autre prospect",IF(AND(J1220&lt;&gt;"",J1220&lt;A1220),"⚠ Relance avant la date de l'action",IF(A1220&gt;TODAY(),"⚠ Date dans le futur","✓"))))))))</f>
        <v/>
      </c>
      <c r="AS1220" s="61">
        <f>IF(AND(A1220="",C1220="",E1220=""),"",ROW())</f>
        <v/>
      </c>
      <c r="AT1220" s="61">
        <f>IF(E1220&amp;F1220="","",MAX(IFERROR(INDEX('Paramètres'!$J$6:$J$33,MATCH(E1220,'Paramètres'!$I$6:$I$33,0)),0),IFERROR(INDEX('Paramètres'!$N$6:$N$17,MATCH(F1220,'Paramètres'!$M$6:$M$17,0)),0)))</f>
        <v/>
      </c>
      <c r="AU1220" s="61">
        <f>IF(E1220="","",IFERROR(IF(INDEX('Paramètres'!$K$6:$K$33,MATCH(E1220,'Paramètres'!$I$6:$I$33,0))="Oui",1,0),0))</f>
        <v/>
      </c>
      <c r="AV1220" s="61">
        <f>IF(F1220="","",IFERROR(IF(INDEX('Paramètres'!$O$6:$O$17,MATCH(F1220,'Paramètres'!$M$6:$M$17,0))="Oui",1,0),0))</f>
        <v/>
      </c>
      <c r="AW1220" s="62">
        <f>IF(E1220="","",IF(G1220&lt;&gt;"",G1220,IF(OR(E1220="Proposition envoyée",E1220="Signature"),MAX(0,N(IFERROR(INDEX('Paramètres'!$R$6:$R$15,MATCH(IF(AL1220&lt;&gt;"",AL1220,IFERROR(INDEX('Prospects'!$AN$5:$AN$504,MATCH(C1220,'Prospects'!$C$5:$C$504,0)),"")),'Paramètres'!$Q$6:$Q$15,0)),0))-N(P1220)),0)))</f>
        <v/>
      </c>
      <c r="AX1220" s="61">
        <f>IF(C1220="","",IF(COUNTIF($C$5:C1220,C1220)=1,MAX($AX$4:AX1219)+1,""))</f>
        <v/>
      </c>
      <c r="AY1220" s="61">
        <f>IF(B1220="","",HOUR(B1220))</f>
        <v/>
      </c>
      <c r="AZ1220" s="61">
        <f>IF(A1220="","",MOD(A1220-2,7)+1)</f>
        <v/>
      </c>
      <c r="BA1220" s="60">
        <f>IF(C1220="","",IFERROR(INDEX('Prospects'!$N$5:$N$504,MATCH(C1220,'Prospects'!$C$5:$C$504,0)),""))</f>
        <v/>
      </c>
      <c r="BB1220" s="61">
        <f>IF(AND(C1220&lt;&gt;"",C1220='Fiche prospect'!$C$4),COUNTIF($C$5:C1220,C1220),"")</f>
        <v/>
      </c>
    </row>
    <row r="1221">
      <c r="A1221" s="53" t="n"/>
      <c r="B1221" s="54" t="n"/>
      <c r="C1221" s="55" t="n"/>
      <c r="D1221" s="55" t="n"/>
      <c r="E1221" s="55" t="n"/>
      <c r="F1221" s="55" t="n"/>
      <c r="G1221" s="56" t="n"/>
      <c r="H1221" s="57" t="n"/>
      <c r="I1221" s="55" t="n"/>
      <c r="J1221" s="53" t="n"/>
      <c r="K1221" s="54" t="n"/>
      <c r="L1221" s="55" t="n"/>
      <c r="M1221" s="55" t="n"/>
      <c r="N1221" s="57" t="n"/>
      <c r="O1221" s="55" t="n"/>
      <c r="P1221" s="56" t="n"/>
      <c r="Q1221" s="55" t="n"/>
      <c r="R1221" s="55" t="n"/>
      <c r="S1221" s="55" t="n"/>
      <c r="T1221" s="55" t="n"/>
      <c r="U1221" s="55" t="n"/>
      <c r="V1221" s="55" t="n"/>
      <c r="W1221" s="58" t="n"/>
      <c r="X1221" s="58" t="n"/>
      <c r="Y1221" s="55" t="n"/>
      <c r="Z1221" s="55" t="n"/>
      <c r="AA1221" s="55" t="n"/>
      <c r="AB1221" s="55" t="n"/>
      <c r="AC1221" s="55" t="n"/>
      <c r="AD1221" s="53" t="n"/>
      <c r="AE1221" s="55" t="n"/>
      <c r="AF1221" s="55" t="n"/>
      <c r="AG1221" s="59" t="n"/>
      <c r="AH1221" s="57" t="n"/>
      <c r="AI1221" s="55" t="n"/>
      <c r="AJ1221" s="55" t="n"/>
      <c r="AK1221" s="55" t="n"/>
      <c r="AL1221" s="55" t="n"/>
      <c r="AM1221" s="56" t="n"/>
      <c r="AN1221" s="55" t="n"/>
      <c r="AO1221" s="55" t="n"/>
      <c r="AP1221" s="55" t="n"/>
      <c r="AQ1221" s="55" t="n"/>
      <c r="AR1221" s="60">
        <f>IF(AND(C1221="",E1221=""),"",IF(A1221="","⚠ Date manquante",IF(AND(C1221="",E1221&lt;&gt;"Dépense"),"⚠ Prospect manquant",IF(E1221="","⚠ Action manquante",IF(AND(AU1221=1,D1221=""),"⚠ Canal manquant",IF(AND(W1221&lt;&gt;"",COUNTIFS('Saisie'!$W$5:$W$2004,W1221,'Saisie'!$C$5:$C$2004,"&lt;&gt;"&amp;C1221)&gt;0),"⚠ Numéro déjà utilisé par un autre prospect",IF(AND(J1221&lt;&gt;"",J1221&lt;A1221),"⚠ Relance avant la date de l'action",IF(A1221&gt;TODAY(),"⚠ Date dans le futur","✓"))))))))</f>
        <v/>
      </c>
      <c r="AS1221" s="61">
        <f>IF(AND(A1221="",C1221="",E1221=""),"",ROW())</f>
        <v/>
      </c>
      <c r="AT1221" s="61">
        <f>IF(E1221&amp;F1221="","",MAX(IFERROR(INDEX('Paramètres'!$J$6:$J$33,MATCH(E1221,'Paramètres'!$I$6:$I$33,0)),0),IFERROR(INDEX('Paramètres'!$N$6:$N$17,MATCH(F1221,'Paramètres'!$M$6:$M$17,0)),0)))</f>
        <v/>
      </c>
      <c r="AU1221" s="61">
        <f>IF(E1221="","",IFERROR(IF(INDEX('Paramètres'!$K$6:$K$33,MATCH(E1221,'Paramètres'!$I$6:$I$33,0))="Oui",1,0),0))</f>
        <v/>
      </c>
      <c r="AV1221" s="61">
        <f>IF(F1221="","",IFERROR(IF(INDEX('Paramètres'!$O$6:$O$17,MATCH(F1221,'Paramètres'!$M$6:$M$17,0))="Oui",1,0),0))</f>
        <v/>
      </c>
      <c r="AW1221" s="62">
        <f>IF(E1221="","",IF(G1221&lt;&gt;"",G1221,IF(OR(E1221="Proposition envoyée",E1221="Signature"),MAX(0,N(IFERROR(INDEX('Paramètres'!$R$6:$R$15,MATCH(IF(AL1221&lt;&gt;"",AL1221,IFERROR(INDEX('Prospects'!$AN$5:$AN$504,MATCH(C1221,'Prospects'!$C$5:$C$504,0)),"")),'Paramètres'!$Q$6:$Q$15,0)),0))-N(P1221)),0)))</f>
        <v/>
      </c>
      <c r="AX1221" s="61">
        <f>IF(C1221="","",IF(COUNTIF($C$5:C1221,C1221)=1,MAX($AX$4:AX1220)+1,""))</f>
        <v/>
      </c>
      <c r="AY1221" s="61">
        <f>IF(B1221="","",HOUR(B1221))</f>
        <v/>
      </c>
      <c r="AZ1221" s="61">
        <f>IF(A1221="","",MOD(A1221-2,7)+1)</f>
        <v/>
      </c>
      <c r="BA1221" s="60">
        <f>IF(C1221="","",IFERROR(INDEX('Prospects'!$N$5:$N$504,MATCH(C1221,'Prospects'!$C$5:$C$504,0)),""))</f>
        <v/>
      </c>
      <c r="BB1221" s="61">
        <f>IF(AND(C1221&lt;&gt;"",C1221='Fiche prospect'!$C$4),COUNTIF($C$5:C1221,C1221),"")</f>
        <v/>
      </c>
    </row>
    <row r="1222">
      <c r="A1222" s="53" t="n"/>
      <c r="B1222" s="54" t="n"/>
      <c r="C1222" s="55" t="n"/>
      <c r="D1222" s="55" t="n"/>
      <c r="E1222" s="55" t="n"/>
      <c r="F1222" s="55" t="n"/>
      <c r="G1222" s="56" t="n"/>
      <c r="H1222" s="57" t="n"/>
      <c r="I1222" s="55" t="n"/>
      <c r="J1222" s="53" t="n"/>
      <c r="K1222" s="54" t="n"/>
      <c r="L1222" s="55" t="n"/>
      <c r="M1222" s="55" t="n"/>
      <c r="N1222" s="57" t="n"/>
      <c r="O1222" s="55" t="n"/>
      <c r="P1222" s="56" t="n"/>
      <c r="Q1222" s="55" t="n"/>
      <c r="R1222" s="55" t="n"/>
      <c r="S1222" s="55" t="n"/>
      <c r="T1222" s="55" t="n"/>
      <c r="U1222" s="55" t="n"/>
      <c r="V1222" s="55" t="n"/>
      <c r="W1222" s="58" t="n"/>
      <c r="X1222" s="58" t="n"/>
      <c r="Y1222" s="55" t="n"/>
      <c r="Z1222" s="55" t="n"/>
      <c r="AA1222" s="55" t="n"/>
      <c r="AB1222" s="55" t="n"/>
      <c r="AC1222" s="55" t="n"/>
      <c r="AD1222" s="53" t="n"/>
      <c r="AE1222" s="55" t="n"/>
      <c r="AF1222" s="55" t="n"/>
      <c r="AG1222" s="59" t="n"/>
      <c r="AH1222" s="57" t="n"/>
      <c r="AI1222" s="55" t="n"/>
      <c r="AJ1222" s="55" t="n"/>
      <c r="AK1222" s="55" t="n"/>
      <c r="AL1222" s="55" t="n"/>
      <c r="AM1222" s="56" t="n"/>
      <c r="AN1222" s="55" t="n"/>
      <c r="AO1222" s="55" t="n"/>
      <c r="AP1222" s="55" t="n"/>
      <c r="AQ1222" s="55" t="n"/>
      <c r="AR1222" s="60">
        <f>IF(AND(C1222="",E1222=""),"",IF(A1222="","⚠ Date manquante",IF(AND(C1222="",E1222&lt;&gt;"Dépense"),"⚠ Prospect manquant",IF(E1222="","⚠ Action manquante",IF(AND(AU1222=1,D1222=""),"⚠ Canal manquant",IF(AND(W1222&lt;&gt;"",COUNTIFS('Saisie'!$W$5:$W$2004,W1222,'Saisie'!$C$5:$C$2004,"&lt;&gt;"&amp;C1222)&gt;0),"⚠ Numéro déjà utilisé par un autre prospect",IF(AND(J1222&lt;&gt;"",J1222&lt;A1222),"⚠ Relance avant la date de l'action",IF(A1222&gt;TODAY(),"⚠ Date dans le futur","✓"))))))))</f>
        <v/>
      </c>
      <c r="AS1222" s="61">
        <f>IF(AND(A1222="",C1222="",E1222=""),"",ROW())</f>
        <v/>
      </c>
      <c r="AT1222" s="61">
        <f>IF(E1222&amp;F1222="","",MAX(IFERROR(INDEX('Paramètres'!$J$6:$J$33,MATCH(E1222,'Paramètres'!$I$6:$I$33,0)),0),IFERROR(INDEX('Paramètres'!$N$6:$N$17,MATCH(F1222,'Paramètres'!$M$6:$M$17,0)),0)))</f>
        <v/>
      </c>
      <c r="AU1222" s="61">
        <f>IF(E1222="","",IFERROR(IF(INDEX('Paramètres'!$K$6:$K$33,MATCH(E1222,'Paramètres'!$I$6:$I$33,0))="Oui",1,0),0))</f>
        <v/>
      </c>
      <c r="AV1222" s="61">
        <f>IF(F1222="","",IFERROR(IF(INDEX('Paramètres'!$O$6:$O$17,MATCH(F1222,'Paramètres'!$M$6:$M$17,0))="Oui",1,0),0))</f>
        <v/>
      </c>
      <c r="AW1222" s="62">
        <f>IF(E1222="","",IF(G1222&lt;&gt;"",G1222,IF(OR(E1222="Proposition envoyée",E1222="Signature"),MAX(0,N(IFERROR(INDEX('Paramètres'!$R$6:$R$15,MATCH(IF(AL1222&lt;&gt;"",AL1222,IFERROR(INDEX('Prospects'!$AN$5:$AN$504,MATCH(C1222,'Prospects'!$C$5:$C$504,0)),"")),'Paramètres'!$Q$6:$Q$15,0)),0))-N(P1222)),0)))</f>
        <v/>
      </c>
      <c r="AX1222" s="61">
        <f>IF(C1222="","",IF(COUNTIF($C$5:C1222,C1222)=1,MAX($AX$4:AX1221)+1,""))</f>
        <v/>
      </c>
      <c r="AY1222" s="61">
        <f>IF(B1222="","",HOUR(B1222))</f>
        <v/>
      </c>
      <c r="AZ1222" s="61">
        <f>IF(A1222="","",MOD(A1222-2,7)+1)</f>
        <v/>
      </c>
      <c r="BA1222" s="60">
        <f>IF(C1222="","",IFERROR(INDEX('Prospects'!$N$5:$N$504,MATCH(C1222,'Prospects'!$C$5:$C$504,0)),""))</f>
        <v/>
      </c>
      <c r="BB1222" s="61">
        <f>IF(AND(C1222&lt;&gt;"",C1222='Fiche prospect'!$C$4),COUNTIF($C$5:C1222,C1222),"")</f>
        <v/>
      </c>
    </row>
    <row r="1223">
      <c r="A1223" s="53" t="n"/>
      <c r="B1223" s="54" t="n"/>
      <c r="C1223" s="55" t="n"/>
      <c r="D1223" s="55" t="n"/>
      <c r="E1223" s="55" t="n"/>
      <c r="F1223" s="55" t="n"/>
      <c r="G1223" s="56" t="n"/>
      <c r="H1223" s="57" t="n"/>
      <c r="I1223" s="55" t="n"/>
      <c r="J1223" s="53" t="n"/>
      <c r="K1223" s="54" t="n"/>
      <c r="L1223" s="55" t="n"/>
      <c r="M1223" s="55" t="n"/>
      <c r="N1223" s="57" t="n"/>
      <c r="O1223" s="55" t="n"/>
      <c r="P1223" s="56" t="n"/>
      <c r="Q1223" s="55" t="n"/>
      <c r="R1223" s="55" t="n"/>
      <c r="S1223" s="55" t="n"/>
      <c r="T1223" s="55" t="n"/>
      <c r="U1223" s="55" t="n"/>
      <c r="V1223" s="55" t="n"/>
      <c r="W1223" s="58" t="n"/>
      <c r="X1223" s="58" t="n"/>
      <c r="Y1223" s="55" t="n"/>
      <c r="Z1223" s="55" t="n"/>
      <c r="AA1223" s="55" t="n"/>
      <c r="AB1223" s="55" t="n"/>
      <c r="AC1223" s="55" t="n"/>
      <c r="AD1223" s="53" t="n"/>
      <c r="AE1223" s="55" t="n"/>
      <c r="AF1223" s="55" t="n"/>
      <c r="AG1223" s="59" t="n"/>
      <c r="AH1223" s="57" t="n"/>
      <c r="AI1223" s="55" t="n"/>
      <c r="AJ1223" s="55" t="n"/>
      <c r="AK1223" s="55" t="n"/>
      <c r="AL1223" s="55" t="n"/>
      <c r="AM1223" s="56" t="n"/>
      <c r="AN1223" s="55" t="n"/>
      <c r="AO1223" s="55" t="n"/>
      <c r="AP1223" s="55" t="n"/>
      <c r="AQ1223" s="55" t="n"/>
      <c r="AR1223" s="60">
        <f>IF(AND(C1223="",E1223=""),"",IF(A1223="","⚠ Date manquante",IF(AND(C1223="",E1223&lt;&gt;"Dépense"),"⚠ Prospect manquant",IF(E1223="","⚠ Action manquante",IF(AND(AU1223=1,D1223=""),"⚠ Canal manquant",IF(AND(W1223&lt;&gt;"",COUNTIFS('Saisie'!$W$5:$W$2004,W1223,'Saisie'!$C$5:$C$2004,"&lt;&gt;"&amp;C1223)&gt;0),"⚠ Numéro déjà utilisé par un autre prospect",IF(AND(J1223&lt;&gt;"",J1223&lt;A1223),"⚠ Relance avant la date de l'action",IF(A1223&gt;TODAY(),"⚠ Date dans le futur","✓"))))))))</f>
        <v/>
      </c>
      <c r="AS1223" s="61">
        <f>IF(AND(A1223="",C1223="",E1223=""),"",ROW())</f>
        <v/>
      </c>
      <c r="AT1223" s="61">
        <f>IF(E1223&amp;F1223="","",MAX(IFERROR(INDEX('Paramètres'!$J$6:$J$33,MATCH(E1223,'Paramètres'!$I$6:$I$33,0)),0),IFERROR(INDEX('Paramètres'!$N$6:$N$17,MATCH(F1223,'Paramètres'!$M$6:$M$17,0)),0)))</f>
        <v/>
      </c>
      <c r="AU1223" s="61">
        <f>IF(E1223="","",IFERROR(IF(INDEX('Paramètres'!$K$6:$K$33,MATCH(E1223,'Paramètres'!$I$6:$I$33,0))="Oui",1,0),0))</f>
        <v/>
      </c>
      <c r="AV1223" s="61">
        <f>IF(F1223="","",IFERROR(IF(INDEX('Paramètres'!$O$6:$O$17,MATCH(F1223,'Paramètres'!$M$6:$M$17,0))="Oui",1,0),0))</f>
        <v/>
      </c>
      <c r="AW1223" s="62">
        <f>IF(E1223="","",IF(G1223&lt;&gt;"",G1223,IF(OR(E1223="Proposition envoyée",E1223="Signature"),MAX(0,N(IFERROR(INDEX('Paramètres'!$R$6:$R$15,MATCH(IF(AL1223&lt;&gt;"",AL1223,IFERROR(INDEX('Prospects'!$AN$5:$AN$504,MATCH(C1223,'Prospects'!$C$5:$C$504,0)),"")),'Paramètres'!$Q$6:$Q$15,0)),0))-N(P1223)),0)))</f>
        <v/>
      </c>
      <c r="AX1223" s="61">
        <f>IF(C1223="","",IF(COUNTIF($C$5:C1223,C1223)=1,MAX($AX$4:AX1222)+1,""))</f>
        <v/>
      </c>
      <c r="AY1223" s="61">
        <f>IF(B1223="","",HOUR(B1223))</f>
        <v/>
      </c>
      <c r="AZ1223" s="61">
        <f>IF(A1223="","",MOD(A1223-2,7)+1)</f>
        <v/>
      </c>
      <c r="BA1223" s="60">
        <f>IF(C1223="","",IFERROR(INDEX('Prospects'!$N$5:$N$504,MATCH(C1223,'Prospects'!$C$5:$C$504,0)),""))</f>
        <v/>
      </c>
      <c r="BB1223" s="61">
        <f>IF(AND(C1223&lt;&gt;"",C1223='Fiche prospect'!$C$4),COUNTIF($C$5:C1223,C1223),"")</f>
        <v/>
      </c>
    </row>
    <row r="1224">
      <c r="A1224" s="53" t="n"/>
      <c r="B1224" s="54" t="n"/>
      <c r="C1224" s="55" t="n"/>
      <c r="D1224" s="55" t="n"/>
      <c r="E1224" s="55" t="n"/>
      <c r="F1224" s="55" t="n"/>
      <c r="G1224" s="56" t="n"/>
      <c r="H1224" s="57" t="n"/>
      <c r="I1224" s="55" t="n"/>
      <c r="J1224" s="53" t="n"/>
      <c r="K1224" s="54" t="n"/>
      <c r="L1224" s="55" t="n"/>
      <c r="M1224" s="55" t="n"/>
      <c r="N1224" s="57" t="n"/>
      <c r="O1224" s="55" t="n"/>
      <c r="P1224" s="56" t="n"/>
      <c r="Q1224" s="55" t="n"/>
      <c r="R1224" s="55" t="n"/>
      <c r="S1224" s="55" t="n"/>
      <c r="T1224" s="55" t="n"/>
      <c r="U1224" s="55" t="n"/>
      <c r="V1224" s="55" t="n"/>
      <c r="W1224" s="58" t="n"/>
      <c r="X1224" s="58" t="n"/>
      <c r="Y1224" s="55" t="n"/>
      <c r="Z1224" s="55" t="n"/>
      <c r="AA1224" s="55" t="n"/>
      <c r="AB1224" s="55" t="n"/>
      <c r="AC1224" s="55" t="n"/>
      <c r="AD1224" s="53" t="n"/>
      <c r="AE1224" s="55" t="n"/>
      <c r="AF1224" s="55" t="n"/>
      <c r="AG1224" s="59" t="n"/>
      <c r="AH1224" s="57" t="n"/>
      <c r="AI1224" s="55" t="n"/>
      <c r="AJ1224" s="55" t="n"/>
      <c r="AK1224" s="55" t="n"/>
      <c r="AL1224" s="55" t="n"/>
      <c r="AM1224" s="56" t="n"/>
      <c r="AN1224" s="55" t="n"/>
      <c r="AO1224" s="55" t="n"/>
      <c r="AP1224" s="55" t="n"/>
      <c r="AQ1224" s="55" t="n"/>
      <c r="AR1224" s="60">
        <f>IF(AND(C1224="",E1224=""),"",IF(A1224="","⚠ Date manquante",IF(AND(C1224="",E1224&lt;&gt;"Dépense"),"⚠ Prospect manquant",IF(E1224="","⚠ Action manquante",IF(AND(AU1224=1,D1224=""),"⚠ Canal manquant",IF(AND(W1224&lt;&gt;"",COUNTIFS('Saisie'!$W$5:$W$2004,W1224,'Saisie'!$C$5:$C$2004,"&lt;&gt;"&amp;C1224)&gt;0),"⚠ Numéro déjà utilisé par un autre prospect",IF(AND(J1224&lt;&gt;"",J1224&lt;A1224),"⚠ Relance avant la date de l'action",IF(A1224&gt;TODAY(),"⚠ Date dans le futur","✓"))))))))</f>
        <v/>
      </c>
      <c r="AS1224" s="61">
        <f>IF(AND(A1224="",C1224="",E1224=""),"",ROW())</f>
        <v/>
      </c>
      <c r="AT1224" s="61">
        <f>IF(E1224&amp;F1224="","",MAX(IFERROR(INDEX('Paramètres'!$J$6:$J$33,MATCH(E1224,'Paramètres'!$I$6:$I$33,0)),0),IFERROR(INDEX('Paramètres'!$N$6:$N$17,MATCH(F1224,'Paramètres'!$M$6:$M$17,0)),0)))</f>
        <v/>
      </c>
      <c r="AU1224" s="61">
        <f>IF(E1224="","",IFERROR(IF(INDEX('Paramètres'!$K$6:$K$33,MATCH(E1224,'Paramètres'!$I$6:$I$33,0))="Oui",1,0),0))</f>
        <v/>
      </c>
      <c r="AV1224" s="61">
        <f>IF(F1224="","",IFERROR(IF(INDEX('Paramètres'!$O$6:$O$17,MATCH(F1224,'Paramètres'!$M$6:$M$17,0))="Oui",1,0),0))</f>
        <v/>
      </c>
      <c r="AW1224" s="62">
        <f>IF(E1224="","",IF(G1224&lt;&gt;"",G1224,IF(OR(E1224="Proposition envoyée",E1224="Signature"),MAX(0,N(IFERROR(INDEX('Paramètres'!$R$6:$R$15,MATCH(IF(AL1224&lt;&gt;"",AL1224,IFERROR(INDEX('Prospects'!$AN$5:$AN$504,MATCH(C1224,'Prospects'!$C$5:$C$504,0)),"")),'Paramètres'!$Q$6:$Q$15,0)),0))-N(P1224)),0)))</f>
        <v/>
      </c>
      <c r="AX1224" s="61">
        <f>IF(C1224="","",IF(COUNTIF($C$5:C1224,C1224)=1,MAX($AX$4:AX1223)+1,""))</f>
        <v/>
      </c>
      <c r="AY1224" s="61">
        <f>IF(B1224="","",HOUR(B1224))</f>
        <v/>
      </c>
      <c r="AZ1224" s="61">
        <f>IF(A1224="","",MOD(A1224-2,7)+1)</f>
        <v/>
      </c>
      <c r="BA1224" s="60">
        <f>IF(C1224="","",IFERROR(INDEX('Prospects'!$N$5:$N$504,MATCH(C1224,'Prospects'!$C$5:$C$504,0)),""))</f>
        <v/>
      </c>
      <c r="BB1224" s="61">
        <f>IF(AND(C1224&lt;&gt;"",C1224='Fiche prospect'!$C$4),COUNTIF($C$5:C1224,C1224),"")</f>
        <v/>
      </c>
    </row>
    <row r="1225">
      <c r="A1225" s="53" t="n"/>
      <c r="B1225" s="54" t="n"/>
      <c r="C1225" s="55" t="n"/>
      <c r="D1225" s="55" t="n"/>
      <c r="E1225" s="55" t="n"/>
      <c r="F1225" s="55" t="n"/>
      <c r="G1225" s="56" t="n"/>
      <c r="H1225" s="57" t="n"/>
      <c r="I1225" s="55" t="n"/>
      <c r="J1225" s="53" t="n"/>
      <c r="K1225" s="54" t="n"/>
      <c r="L1225" s="55" t="n"/>
      <c r="M1225" s="55" t="n"/>
      <c r="N1225" s="57" t="n"/>
      <c r="O1225" s="55" t="n"/>
      <c r="P1225" s="56" t="n"/>
      <c r="Q1225" s="55" t="n"/>
      <c r="R1225" s="55" t="n"/>
      <c r="S1225" s="55" t="n"/>
      <c r="T1225" s="55" t="n"/>
      <c r="U1225" s="55" t="n"/>
      <c r="V1225" s="55" t="n"/>
      <c r="W1225" s="58" t="n"/>
      <c r="X1225" s="58" t="n"/>
      <c r="Y1225" s="55" t="n"/>
      <c r="Z1225" s="55" t="n"/>
      <c r="AA1225" s="55" t="n"/>
      <c r="AB1225" s="55" t="n"/>
      <c r="AC1225" s="55" t="n"/>
      <c r="AD1225" s="53" t="n"/>
      <c r="AE1225" s="55" t="n"/>
      <c r="AF1225" s="55" t="n"/>
      <c r="AG1225" s="59" t="n"/>
      <c r="AH1225" s="57" t="n"/>
      <c r="AI1225" s="55" t="n"/>
      <c r="AJ1225" s="55" t="n"/>
      <c r="AK1225" s="55" t="n"/>
      <c r="AL1225" s="55" t="n"/>
      <c r="AM1225" s="56" t="n"/>
      <c r="AN1225" s="55" t="n"/>
      <c r="AO1225" s="55" t="n"/>
      <c r="AP1225" s="55" t="n"/>
      <c r="AQ1225" s="55" t="n"/>
      <c r="AR1225" s="60">
        <f>IF(AND(C1225="",E1225=""),"",IF(A1225="","⚠ Date manquante",IF(AND(C1225="",E1225&lt;&gt;"Dépense"),"⚠ Prospect manquant",IF(E1225="","⚠ Action manquante",IF(AND(AU1225=1,D1225=""),"⚠ Canal manquant",IF(AND(W1225&lt;&gt;"",COUNTIFS('Saisie'!$W$5:$W$2004,W1225,'Saisie'!$C$5:$C$2004,"&lt;&gt;"&amp;C1225)&gt;0),"⚠ Numéro déjà utilisé par un autre prospect",IF(AND(J1225&lt;&gt;"",J1225&lt;A1225),"⚠ Relance avant la date de l'action",IF(A1225&gt;TODAY(),"⚠ Date dans le futur","✓"))))))))</f>
        <v/>
      </c>
      <c r="AS1225" s="61">
        <f>IF(AND(A1225="",C1225="",E1225=""),"",ROW())</f>
        <v/>
      </c>
      <c r="AT1225" s="61">
        <f>IF(E1225&amp;F1225="","",MAX(IFERROR(INDEX('Paramètres'!$J$6:$J$33,MATCH(E1225,'Paramètres'!$I$6:$I$33,0)),0),IFERROR(INDEX('Paramètres'!$N$6:$N$17,MATCH(F1225,'Paramètres'!$M$6:$M$17,0)),0)))</f>
        <v/>
      </c>
      <c r="AU1225" s="61">
        <f>IF(E1225="","",IFERROR(IF(INDEX('Paramètres'!$K$6:$K$33,MATCH(E1225,'Paramètres'!$I$6:$I$33,0))="Oui",1,0),0))</f>
        <v/>
      </c>
      <c r="AV1225" s="61">
        <f>IF(F1225="","",IFERROR(IF(INDEX('Paramètres'!$O$6:$O$17,MATCH(F1225,'Paramètres'!$M$6:$M$17,0))="Oui",1,0),0))</f>
        <v/>
      </c>
      <c r="AW1225" s="62">
        <f>IF(E1225="","",IF(G1225&lt;&gt;"",G1225,IF(OR(E1225="Proposition envoyée",E1225="Signature"),MAX(0,N(IFERROR(INDEX('Paramètres'!$R$6:$R$15,MATCH(IF(AL1225&lt;&gt;"",AL1225,IFERROR(INDEX('Prospects'!$AN$5:$AN$504,MATCH(C1225,'Prospects'!$C$5:$C$504,0)),"")),'Paramètres'!$Q$6:$Q$15,0)),0))-N(P1225)),0)))</f>
        <v/>
      </c>
      <c r="AX1225" s="61">
        <f>IF(C1225="","",IF(COUNTIF($C$5:C1225,C1225)=1,MAX($AX$4:AX1224)+1,""))</f>
        <v/>
      </c>
      <c r="AY1225" s="61">
        <f>IF(B1225="","",HOUR(B1225))</f>
        <v/>
      </c>
      <c r="AZ1225" s="61">
        <f>IF(A1225="","",MOD(A1225-2,7)+1)</f>
        <v/>
      </c>
      <c r="BA1225" s="60">
        <f>IF(C1225="","",IFERROR(INDEX('Prospects'!$N$5:$N$504,MATCH(C1225,'Prospects'!$C$5:$C$504,0)),""))</f>
        <v/>
      </c>
      <c r="BB1225" s="61">
        <f>IF(AND(C1225&lt;&gt;"",C1225='Fiche prospect'!$C$4),COUNTIF($C$5:C1225,C1225),"")</f>
        <v/>
      </c>
    </row>
    <row r="1226">
      <c r="A1226" s="53" t="n"/>
      <c r="B1226" s="54" t="n"/>
      <c r="C1226" s="55" t="n"/>
      <c r="D1226" s="55" t="n"/>
      <c r="E1226" s="55" t="n"/>
      <c r="F1226" s="55" t="n"/>
      <c r="G1226" s="56" t="n"/>
      <c r="H1226" s="57" t="n"/>
      <c r="I1226" s="55" t="n"/>
      <c r="J1226" s="53" t="n"/>
      <c r="K1226" s="54" t="n"/>
      <c r="L1226" s="55" t="n"/>
      <c r="M1226" s="55" t="n"/>
      <c r="N1226" s="57" t="n"/>
      <c r="O1226" s="55" t="n"/>
      <c r="P1226" s="56" t="n"/>
      <c r="Q1226" s="55" t="n"/>
      <c r="R1226" s="55" t="n"/>
      <c r="S1226" s="55" t="n"/>
      <c r="T1226" s="55" t="n"/>
      <c r="U1226" s="55" t="n"/>
      <c r="V1226" s="55" t="n"/>
      <c r="W1226" s="58" t="n"/>
      <c r="X1226" s="58" t="n"/>
      <c r="Y1226" s="55" t="n"/>
      <c r="Z1226" s="55" t="n"/>
      <c r="AA1226" s="55" t="n"/>
      <c r="AB1226" s="55" t="n"/>
      <c r="AC1226" s="55" t="n"/>
      <c r="AD1226" s="53" t="n"/>
      <c r="AE1226" s="55" t="n"/>
      <c r="AF1226" s="55" t="n"/>
      <c r="AG1226" s="59" t="n"/>
      <c r="AH1226" s="57" t="n"/>
      <c r="AI1226" s="55" t="n"/>
      <c r="AJ1226" s="55" t="n"/>
      <c r="AK1226" s="55" t="n"/>
      <c r="AL1226" s="55" t="n"/>
      <c r="AM1226" s="56" t="n"/>
      <c r="AN1226" s="55" t="n"/>
      <c r="AO1226" s="55" t="n"/>
      <c r="AP1226" s="55" t="n"/>
      <c r="AQ1226" s="55" t="n"/>
      <c r="AR1226" s="60">
        <f>IF(AND(C1226="",E1226=""),"",IF(A1226="","⚠ Date manquante",IF(AND(C1226="",E1226&lt;&gt;"Dépense"),"⚠ Prospect manquant",IF(E1226="","⚠ Action manquante",IF(AND(AU1226=1,D1226=""),"⚠ Canal manquant",IF(AND(W1226&lt;&gt;"",COUNTIFS('Saisie'!$W$5:$W$2004,W1226,'Saisie'!$C$5:$C$2004,"&lt;&gt;"&amp;C1226)&gt;0),"⚠ Numéro déjà utilisé par un autre prospect",IF(AND(J1226&lt;&gt;"",J1226&lt;A1226),"⚠ Relance avant la date de l'action",IF(A1226&gt;TODAY(),"⚠ Date dans le futur","✓"))))))))</f>
        <v/>
      </c>
      <c r="AS1226" s="61">
        <f>IF(AND(A1226="",C1226="",E1226=""),"",ROW())</f>
        <v/>
      </c>
      <c r="AT1226" s="61">
        <f>IF(E1226&amp;F1226="","",MAX(IFERROR(INDEX('Paramètres'!$J$6:$J$33,MATCH(E1226,'Paramètres'!$I$6:$I$33,0)),0),IFERROR(INDEX('Paramètres'!$N$6:$N$17,MATCH(F1226,'Paramètres'!$M$6:$M$17,0)),0)))</f>
        <v/>
      </c>
      <c r="AU1226" s="61">
        <f>IF(E1226="","",IFERROR(IF(INDEX('Paramètres'!$K$6:$K$33,MATCH(E1226,'Paramètres'!$I$6:$I$33,0))="Oui",1,0),0))</f>
        <v/>
      </c>
      <c r="AV1226" s="61">
        <f>IF(F1226="","",IFERROR(IF(INDEX('Paramètres'!$O$6:$O$17,MATCH(F1226,'Paramètres'!$M$6:$M$17,0))="Oui",1,0),0))</f>
        <v/>
      </c>
      <c r="AW1226" s="62">
        <f>IF(E1226="","",IF(G1226&lt;&gt;"",G1226,IF(OR(E1226="Proposition envoyée",E1226="Signature"),MAX(0,N(IFERROR(INDEX('Paramètres'!$R$6:$R$15,MATCH(IF(AL1226&lt;&gt;"",AL1226,IFERROR(INDEX('Prospects'!$AN$5:$AN$504,MATCH(C1226,'Prospects'!$C$5:$C$504,0)),"")),'Paramètres'!$Q$6:$Q$15,0)),0))-N(P1226)),0)))</f>
        <v/>
      </c>
      <c r="AX1226" s="61">
        <f>IF(C1226="","",IF(COUNTIF($C$5:C1226,C1226)=1,MAX($AX$4:AX1225)+1,""))</f>
        <v/>
      </c>
      <c r="AY1226" s="61">
        <f>IF(B1226="","",HOUR(B1226))</f>
        <v/>
      </c>
      <c r="AZ1226" s="61">
        <f>IF(A1226="","",MOD(A1226-2,7)+1)</f>
        <v/>
      </c>
      <c r="BA1226" s="60">
        <f>IF(C1226="","",IFERROR(INDEX('Prospects'!$N$5:$N$504,MATCH(C1226,'Prospects'!$C$5:$C$504,0)),""))</f>
        <v/>
      </c>
      <c r="BB1226" s="61">
        <f>IF(AND(C1226&lt;&gt;"",C1226='Fiche prospect'!$C$4),COUNTIF($C$5:C1226,C1226),"")</f>
        <v/>
      </c>
    </row>
    <row r="1227">
      <c r="A1227" s="53" t="n"/>
      <c r="B1227" s="54" t="n"/>
      <c r="C1227" s="55" t="n"/>
      <c r="D1227" s="55" t="n"/>
      <c r="E1227" s="55" t="n"/>
      <c r="F1227" s="55" t="n"/>
      <c r="G1227" s="56" t="n"/>
      <c r="H1227" s="57" t="n"/>
      <c r="I1227" s="55" t="n"/>
      <c r="J1227" s="53" t="n"/>
      <c r="K1227" s="54" t="n"/>
      <c r="L1227" s="55" t="n"/>
      <c r="M1227" s="55" t="n"/>
      <c r="N1227" s="57" t="n"/>
      <c r="O1227" s="55" t="n"/>
      <c r="P1227" s="56" t="n"/>
      <c r="Q1227" s="55" t="n"/>
      <c r="R1227" s="55" t="n"/>
      <c r="S1227" s="55" t="n"/>
      <c r="T1227" s="55" t="n"/>
      <c r="U1227" s="55" t="n"/>
      <c r="V1227" s="55" t="n"/>
      <c r="W1227" s="58" t="n"/>
      <c r="X1227" s="58" t="n"/>
      <c r="Y1227" s="55" t="n"/>
      <c r="Z1227" s="55" t="n"/>
      <c r="AA1227" s="55" t="n"/>
      <c r="AB1227" s="55" t="n"/>
      <c r="AC1227" s="55" t="n"/>
      <c r="AD1227" s="53" t="n"/>
      <c r="AE1227" s="55" t="n"/>
      <c r="AF1227" s="55" t="n"/>
      <c r="AG1227" s="59" t="n"/>
      <c r="AH1227" s="57" t="n"/>
      <c r="AI1227" s="55" t="n"/>
      <c r="AJ1227" s="55" t="n"/>
      <c r="AK1227" s="55" t="n"/>
      <c r="AL1227" s="55" t="n"/>
      <c r="AM1227" s="56" t="n"/>
      <c r="AN1227" s="55" t="n"/>
      <c r="AO1227" s="55" t="n"/>
      <c r="AP1227" s="55" t="n"/>
      <c r="AQ1227" s="55" t="n"/>
      <c r="AR1227" s="60">
        <f>IF(AND(C1227="",E1227=""),"",IF(A1227="","⚠ Date manquante",IF(AND(C1227="",E1227&lt;&gt;"Dépense"),"⚠ Prospect manquant",IF(E1227="","⚠ Action manquante",IF(AND(AU1227=1,D1227=""),"⚠ Canal manquant",IF(AND(W1227&lt;&gt;"",COUNTIFS('Saisie'!$W$5:$W$2004,W1227,'Saisie'!$C$5:$C$2004,"&lt;&gt;"&amp;C1227)&gt;0),"⚠ Numéro déjà utilisé par un autre prospect",IF(AND(J1227&lt;&gt;"",J1227&lt;A1227),"⚠ Relance avant la date de l'action",IF(A1227&gt;TODAY(),"⚠ Date dans le futur","✓"))))))))</f>
        <v/>
      </c>
      <c r="AS1227" s="61">
        <f>IF(AND(A1227="",C1227="",E1227=""),"",ROW())</f>
        <v/>
      </c>
      <c r="AT1227" s="61">
        <f>IF(E1227&amp;F1227="","",MAX(IFERROR(INDEX('Paramètres'!$J$6:$J$33,MATCH(E1227,'Paramètres'!$I$6:$I$33,0)),0),IFERROR(INDEX('Paramètres'!$N$6:$N$17,MATCH(F1227,'Paramètres'!$M$6:$M$17,0)),0)))</f>
        <v/>
      </c>
      <c r="AU1227" s="61">
        <f>IF(E1227="","",IFERROR(IF(INDEX('Paramètres'!$K$6:$K$33,MATCH(E1227,'Paramètres'!$I$6:$I$33,0))="Oui",1,0),0))</f>
        <v/>
      </c>
      <c r="AV1227" s="61">
        <f>IF(F1227="","",IFERROR(IF(INDEX('Paramètres'!$O$6:$O$17,MATCH(F1227,'Paramètres'!$M$6:$M$17,0))="Oui",1,0),0))</f>
        <v/>
      </c>
      <c r="AW1227" s="62">
        <f>IF(E1227="","",IF(G1227&lt;&gt;"",G1227,IF(OR(E1227="Proposition envoyée",E1227="Signature"),MAX(0,N(IFERROR(INDEX('Paramètres'!$R$6:$R$15,MATCH(IF(AL1227&lt;&gt;"",AL1227,IFERROR(INDEX('Prospects'!$AN$5:$AN$504,MATCH(C1227,'Prospects'!$C$5:$C$504,0)),"")),'Paramètres'!$Q$6:$Q$15,0)),0))-N(P1227)),0)))</f>
        <v/>
      </c>
      <c r="AX1227" s="61">
        <f>IF(C1227="","",IF(COUNTIF($C$5:C1227,C1227)=1,MAX($AX$4:AX1226)+1,""))</f>
        <v/>
      </c>
      <c r="AY1227" s="61">
        <f>IF(B1227="","",HOUR(B1227))</f>
        <v/>
      </c>
      <c r="AZ1227" s="61">
        <f>IF(A1227="","",MOD(A1227-2,7)+1)</f>
        <v/>
      </c>
      <c r="BA1227" s="60">
        <f>IF(C1227="","",IFERROR(INDEX('Prospects'!$N$5:$N$504,MATCH(C1227,'Prospects'!$C$5:$C$504,0)),""))</f>
        <v/>
      </c>
      <c r="BB1227" s="61">
        <f>IF(AND(C1227&lt;&gt;"",C1227='Fiche prospect'!$C$4),COUNTIF($C$5:C1227,C1227),"")</f>
        <v/>
      </c>
    </row>
    <row r="1228">
      <c r="A1228" s="53" t="n"/>
      <c r="B1228" s="54" t="n"/>
      <c r="C1228" s="55" t="n"/>
      <c r="D1228" s="55" t="n"/>
      <c r="E1228" s="55" t="n"/>
      <c r="F1228" s="55" t="n"/>
      <c r="G1228" s="56" t="n"/>
      <c r="H1228" s="57" t="n"/>
      <c r="I1228" s="55" t="n"/>
      <c r="J1228" s="53" t="n"/>
      <c r="K1228" s="54" t="n"/>
      <c r="L1228" s="55" t="n"/>
      <c r="M1228" s="55" t="n"/>
      <c r="N1228" s="57" t="n"/>
      <c r="O1228" s="55" t="n"/>
      <c r="P1228" s="56" t="n"/>
      <c r="Q1228" s="55" t="n"/>
      <c r="R1228" s="55" t="n"/>
      <c r="S1228" s="55" t="n"/>
      <c r="T1228" s="55" t="n"/>
      <c r="U1228" s="55" t="n"/>
      <c r="V1228" s="55" t="n"/>
      <c r="W1228" s="58" t="n"/>
      <c r="X1228" s="58" t="n"/>
      <c r="Y1228" s="55" t="n"/>
      <c r="Z1228" s="55" t="n"/>
      <c r="AA1228" s="55" t="n"/>
      <c r="AB1228" s="55" t="n"/>
      <c r="AC1228" s="55" t="n"/>
      <c r="AD1228" s="53" t="n"/>
      <c r="AE1228" s="55" t="n"/>
      <c r="AF1228" s="55" t="n"/>
      <c r="AG1228" s="59" t="n"/>
      <c r="AH1228" s="57" t="n"/>
      <c r="AI1228" s="55" t="n"/>
      <c r="AJ1228" s="55" t="n"/>
      <c r="AK1228" s="55" t="n"/>
      <c r="AL1228" s="55" t="n"/>
      <c r="AM1228" s="56" t="n"/>
      <c r="AN1228" s="55" t="n"/>
      <c r="AO1228" s="55" t="n"/>
      <c r="AP1228" s="55" t="n"/>
      <c r="AQ1228" s="55" t="n"/>
      <c r="AR1228" s="60">
        <f>IF(AND(C1228="",E1228=""),"",IF(A1228="","⚠ Date manquante",IF(AND(C1228="",E1228&lt;&gt;"Dépense"),"⚠ Prospect manquant",IF(E1228="","⚠ Action manquante",IF(AND(AU1228=1,D1228=""),"⚠ Canal manquant",IF(AND(W1228&lt;&gt;"",COUNTIFS('Saisie'!$W$5:$W$2004,W1228,'Saisie'!$C$5:$C$2004,"&lt;&gt;"&amp;C1228)&gt;0),"⚠ Numéro déjà utilisé par un autre prospect",IF(AND(J1228&lt;&gt;"",J1228&lt;A1228),"⚠ Relance avant la date de l'action",IF(A1228&gt;TODAY(),"⚠ Date dans le futur","✓"))))))))</f>
        <v/>
      </c>
      <c r="AS1228" s="61">
        <f>IF(AND(A1228="",C1228="",E1228=""),"",ROW())</f>
        <v/>
      </c>
      <c r="AT1228" s="61">
        <f>IF(E1228&amp;F1228="","",MAX(IFERROR(INDEX('Paramètres'!$J$6:$J$33,MATCH(E1228,'Paramètres'!$I$6:$I$33,0)),0),IFERROR(INDEX('Paramètres'!$N$6:$N$17,MATCH(F1228,'Paramètres'!$M$6:$M$17,0)),0)))</f>
        <v/>
      </c>
      <c r="AU1228" s="61">
        <f>IF(E1228="","",IFERROR(IF(INDEX('Paramètres'!$K$6:$K$33,MATCH(E1228,'Paramètres'!$I$6:$I$33,0))="Oui",1,0),0))</f>
        <v/>
      </c>
      <c r="AV1228" s="61">
        <f>IF(F1228="","",IFERROR(IF(INDEX('Paramètres'!$O$6:$O$17,MATCH(F1228,'Paramètres'!$M$6:$M$17,0))="Oui",1,0),0))</f>
        <v/>
      </c>
      <c r="AW1228" s="62">
        <f>IF(E1228="","",IF(G1228&lt;&gt;"",G1228,IF(OR(E1228="Proposition envoyée",E1228="Signature"),MAX(0,N(IFERROR(INDEX('Paramètres'!$R$6:$R$15,MATCH(IF(AL1228&lt;&gt;"",AL1228,IFERROR(INDEX('Prospects'!$AN$5:$AN$504,MATCH(C1228,'Prospects'!$C$5:$C$504,0)),"")),'Paramètres'!$Q$6:$Q$15,0)),0))-N(P1228)),0)))</f>
        <v/>
      </c>
      <c r="AX1228" s="61">
        <f>IF(C1228="","",IF(COUNTIF($C$5:C1228,C1228)=1,MAX($AX$4:AX1227)+1,""))</f>
        <v/>
      </c>
      <c r="AY1228" s="61">
        <f>IF(B1228="","",HOUR(B1228))</f>
        <v/>
      </c>
      <c r="AZ1228" s="61">
        <f>IF(A1228="","",MOD(A1228-2,7)+1)</f>
        <v/>
      </c>
      <c r="BA1228" s="60">
        <f>IF(C1228="","",IFERROR(INDEX('Prospects'!$N$5:$N$504,MATCH(C1228,'Prospects'!$C$5:$C$504,0)),""))</f>
        <v/>
      </c>
      <c r="BB1228" s="61">
        <f>IF(AND(C1228&lt;&gt;"",C1228='Fiche prospect'!$C$4),COUNTIF($C$5:C1228,C1228),"")</f>
        <v/>
      </c>
    </row>
    <row r="1229">
      <c r="A1229" s="53" t="n"/>
      <c r="B1229" s="54" t="n"/>
      <c r="C1229" s="55" t="n"/>
      <c r="D1229" s="55" t="n"/>
      <c r="E1229" s="55" t="n"/>
      <c r="F1229" s="55" t="n"/>
      <c r="G1229" s="56" t="n"/>
      <c r="H1229" s="57" t="n"/>
      <c r="I1229" s="55" t="n"/>
      <c r="J1229" s="53" t="n"/>
      <c r="K1229" s="54" t="n"/>
      <c r="L1229" s="55" t="n"/>
      <c r="M1229" s="55" t="n"/>
      <c r="N1229" s="57" t="n"/>
      <c r="O1229" s="55" t="n"/>
      <c r="P1229" s="56" t="n"/>
      <c r="Q1229" s="55" t="n"/>
      <c r="R1229" s="55" t="n"/>
      <c r="S1229" s="55" t="n"/>
      <c r="T1229" s="55" t="n"/>
      <c r="U1229" s="55" t="n"/>
      <c r="V1229" s="55" t="n"/>
      <c r="W1229" s="58" t="n"/>
      <c r="X1229" s="58" t="n"/>
      <c r="Y1229" s="55" t="n"/>
      <c r="Z1229" s="55" t="n"/>
      <c r="AA1229" s="55" t="n"/>
      <c r="AB1229" s="55" t="n"/>
      <c r="AC1229" s="55" t="n"/>
      <c r="AD1229" s="53" t="n"/>
      <c r="AE1229" s="55" t="n"/>
      <c r="AF1229" s="55" t="n"/>
      <c r="AG1229" s="59" t="n"/>
      <c r="AH1229" s="57" t="n"/>
      <c r="AI1229" s="55" t="n"/>
      <c r="AJ1229" s="55" t="n"/>
      <c r="AK1229" s="55" t="n"/>
      <c r="AL1229" s="55" t="n"/>
      <c r="AM1229" s="56" t="n"/>
      <c r="AN1229" s="55" t="n"/>
      <c r="AO1229" s="55" t="n"/>
      <c r="AP1229" s="55" t="n"/>
      <c r="AQ1229" s="55" t="n"/>
      <c r="AR1229" s="60">
        <f>IF(AND(C1229="",E1229=""),"",IF(A1229="","⚠ Date manquante",IF(AND(C1229="",E1229&lt;&gt;"Dépense"),"⚠ Prospect manquant",IF(E1229="","⚠ Action manquante",IF(AND(AU1229=1,D1229=""),"⚠ Canal manquant",IF(AND(W1229&lt;&gt;"",COUNTIFS('Saisie'!$W$5:$W$2004,W1229,'Saisie'!$C$5:$C$2004,"&lt;&gt;"&amp;C1229)&gt;0),"⚠ Numéro déjà utilisé par un autre prospect",IF(AND(J1229&lt;&gt;"",J1229&lt;A1229),"⚠ Relance avant la date de l'action",IF(A1229&gt;TODAY(),"⚠ Date dans le futur","✓"))))))))</f>
        <v/>
      </c>
      <c r="AS1229" s="61">
        <f>IF(AND(A1229="",C1229="",E1229=""),"",ROW())</f>
        <v/>
      </c>
      <c r="AT1229" s="61">
        <f>IF(E1229&amp;F1229="","",MAX(IFERROR(INDEX('Paramètres'!$J$6:$J$33,MATCH(E1229,'Paramètres'!$I$6:$I$33,0)),0),IFERROR(INDEX('Paramètres'!$N$6:$N$17,MATCH(F1229,'Paramètres'!$M$6:$M$17,0)),0)))</f>
        <v/>
      </c>
      <c r="AU1229" s="61">
        <f>IF(E1229="","",IFERROR(IF(INDEX('Paramètres'!$K$6:$K$33,MATCH(E1229,'Paramètres'!$I$6:$I$33,0))="Oui",1,0),0))</f>
        <v/>
      </c>
      <c r="AV1229" s="61">
        <f>IF(F1229="","",IFERROR(IF(INDEX('Paramètres'!$O$6:$O$17,MATCH(F1229,'Paramètres'!$M$6:$M$17,0))="Oui",1,0),0))</f>
        <v/>
      </c>
      <c r="AW1229" s="62">
        <f>IF(E1229="","",IF(G1229&lt;&gt;"",G1229,IF(OR(E1229="Proposition envoyée",E1229="Signature"),MAX(0,N(IFERROR(INDEX('Paramètres'!$R$6:$R$15,MATCH(IF(AL1229&lt;&gt;"",AL1229,IFERROR(INDEX('Prospects'!$AN$5:$AN$504,MATCH(C1229,'Prospects'!$C$5:$C$504,0)),"")),'Paramètres'!$Q$6:$Q$15,0)),0))-N(P1229)),0)))</f>
        <v/>
      </c>
      <c r="AX1229" s="61">
        <f>IF(C1229="","",IF(COUNTIF($C$5:C1229,C1229)=1,MAX($AX$4:AX1228)+1,""))</f>
        <v/>
      </c>
      <c r="AY1229" s="61">
        <f>IF(B1229="","",HOUR(B1229))</f>
        <v/>
      </c>
      <c r="AZ1229" s="61">
        <f>IF(A1229="","",MOD(A1229-2,7)+1)</f>
        <v/>
      </c>
      <c r="BA1229" s="60">
        <f>IF(C1229="","",IFERROR(INDEX('Prospects'!$N$5:$N$504,MATCH(C1229,'Prospects'!$C$5:$C$504,0)),""))</f>
        <v/>
      </c>
      <c r="BB1229" s="61">
        <f>IF(AND(C1229&lt;&gt;"",C1229='Fiche prospect'!$C$4),COUNTIF($C$5:C1229,C1229),"")</f>
        <v/>
      </c>
    </row>
    <row r="1230">
      <c r="A1230" s="53" t="n"/>
      <c r="B1230" s="54" t="n"/>
      <c r="C1230" s="55" t="n"/>
      <c r="D1230" s="55" t="n"/>
      <c r="E1230" s="55" t="n"/>
      <c r="F1230" s="55" t="n"/>
      <c r="G1230" s="56" t="n"/>
      <c r="H1230" s="57" t="n"/>
      <c r="I1230" s="55" t="n"/>
      <c r="J1230" s="53" t="n"/>
      <c r="K1230" s="54" t="n"/>
      <c r="L1230" s="55" t="n"/>
      <c r="M1230" s="55" t="n"/>
      <c r="N1230" s="57" t="n"/>
      <c r="O1230" s="55" t="n"/>
      <c r="P1230" s="56" t="n"/>
      <c r="Q1230" s="55" t="n"/>
      <c r="R1230" s="55" t="n"/>
      <c r="S1230" s="55" t="n"/>
      <c r="T1230" s="55" t="n"/>
      <c r="U1230" s="55" t="n"/>
      <c r="V1230" s="55" t="n"/>
      <c r="W1230" s="58" t="n"/>
      <c r="X1230" s="58" t="n"/>
      <c r="Y1230" s="55" t="n"/>
      <c r="Z1230" s="55" t="n"/>
      <c r="AA1230" s="55" t="n"/>
      <c r="AB1230" s="55" t="n"/>
      <c r="AC1230" s="55" t="n"/>
      <c r="AD1230" s="53" t="n"/>
      <c r="AE1230" s="55" t="n"/>
      <c r="AF1230" s="55" t="n"/>
      <c r="AG1230" s="59" t="n"/>
      <c r="AH1230" s="57" t="n"/>
      <c r="AI1230" s="55" t="n"/>
      <c r="AJ1230" s="55" t="n"/>
      <c r="AK1230" s="55" t="n"/>
      <c r="AL1230" s="55" t="n"/>
      <c r="AM1230" s="56" t="n"/>
      <c r="AN1230" s="55" t="n"/>
      <c r="AO1230" s="55" t="n"/>
      <c r="AP1230" s="55" t="n"/>
      <c r="AQ1230" s="55" t="n"/>
      <c r="AR1230" s="60">
        <f>IF(AND(C1230="",E1230=""),"",IF(A1230="","⚠ Date manquante",IF(AND(C1230="",E1230&lt;&gt;"Dépense"),"⚠ Prospect manquant",IF(E1230="","⚠ Action manquante",IF(AND(AU1230=1,D1230=""),"⚠ Canal manquant",IF(AND(W1230&lt;&gt;"",COUNTIFS('Saisie'!$W$5:$W$2004,W1230,'Saisie'!$C$5:$C$2004,"&lt;&gt;"&amp;C1230)&gt;0),"⚠ Numéro déjà utilisé par un autre prospect",IF(AND(J1230&lt;&gt;"",J1230&lt;A1230),"⚠ Relance avant la date de l'action",IF(A1230&gt;TODAY(),"⚠ Date dans le futur","✓"))))))))</f>
        <v/>
      </c>
      <c r="AS1230" s="61">
        <f>IF(AND(A1230="",C1230="",E1230=""),"",ROW())</f>
        <v/>
      </c>
      <c r="AT1230" s="61">
        <f>IF(E1230&amp;F1230="","",MAX(IFERROR(INDEX('Paramètres'!$J$6:$J$33,MATCH(E1230,'Paramètres'!$I$6:$I$33,0)),0),IFERROR(INDEX('Paramètres'!$N$6:$N$17,MATCH(F1230,'Paramètres'!$M$6:$M$17,0)),0)))</f>
        <v/>
      </c>
      <c r="AU1230" s="61">
        <f>IF(E1230="","",IFERROR(IF(INDEX('Paramètres'!$K$6:$K$33,MATCH(E1230,'Paramètres'!$I$6:$I$33,0))="Oui",1,0),0))</f>
        <v/>
      </c>
      <c r="AV1230" s="61">
        <f>IF(F1230="","",IFERROR(IF(INDEX('Paramètres'!$O$6:$O$17,MATCH(F1230,'Paramètres'!$M$6:$M$17,0))="Oui",1,0),0))</f>
        <v/>
      </c>
      <c r="AW1230" s="62">
        <f>IF(E1230="","",IF(G1230&lt;&gt;"",G1230,IF(OR(E1230="Proposition envoyée",E1230="Signature"),MAX(0,N(IFERROR(INDEX('Paramètres'!$R$6:$R$15,MATCH(IF(AL1230&lt;&gt;"",AL1230,IFERROR(INDEX('Prospects'!$AN$5:$AN$504,MATCH(C1230,'Prospects'!$C$5:$C$504,0)),"")),'Paramètres'!$Q$6:$Q$15,0)),0))-N(P1230)),0)))</f>
        <v/>
      </c>
      <c r="AX1230" s="61">
        <f>IF(C1230="","",IF(COUNTIF($C$5:C1230,C1230)=1,MAX($AX$4:AX1229)+1,""))</f>
        <v/>
      </c>
      <c r="AY1230" s="61">
        <f>IF(B1230="","",HOUR(B1230))</f>
        <v/>
      </c>
      <c r="AZ1230" s="61">
        <f>IF(A1230="","",MOD(A1230-2,7)+1)</f>
        <v/>
      </c>
      <c r="BA1230" s="60">
        <f>IF(C1230="","",IFERROR(INDEX('Prospects'!$N$5:$N$504,MATCH(C1230,'Prospects'!$C$5:$C$504,0)),""))</f>
        <v/>
      </c>
      <c r="BB1230" s="61">
        <f>IF(AND(C1230&lt;&gt;"",C1230='Fiche prospect'!$C$4),COUNTIF($C$5:C1230,C1230),"")</f>
        <v/>
      </c>
    </row>
    <row r="1231">
      <c r="A1231" s="53" t="n"/>
      <c r="B1231" s="54" t="n"/>
      <c r="C1231" s="55" t="n"/>
      <c r="D1231" s="55" t="n"/>
      <c r="E1231" s="55" t="n"/>
      <c r="F1231" s="55" t="n"/>
      <c r="G1231" s="56" t="n"/>
      <c r="H1231" s="57" t="n"/>
      <c r="I1231" s="55" t="n"/>
      <c r="J1231" s="53" t="n"/>
      <c r="K1231" s="54" t="n"/>
      <c r="L1231" s="55" t="n"/>
      <c r="M1231" s="55" t="n"/>
      <c r="N1231" s="57" t="n"/>
      <c r="O1231" s="55" t="n"/>
      <c r="P1231" s="56" t="n"/>
      <c r="Q1231" s="55" t="n"/>
      <c r="R1231" s="55" t="n"/>
      <c r="S1231" s="55" t="n"/>
      <c r="T1231" s="55" t="n"/>
      <c r="U1231" s="55" t="n"/>
      <c r="V1231" s="55" t="n"/>
      <c r="W1231" s="58" t="n"/>
      <c r="X1231" s="58" t="n"/>
      <c r="Y1231" s="55" t="n"/>
      <c r="Z1231" s="55" t="n"/>
      <c r="AA1231" s="55" t="n"/>
      <c r="AB1231" s="55" t="n"/>
      <c r="AC1231" s="55" t="n"/>
      <c r="AD1231" s="53" t="n"/>
      <c r="AE1231" s="55" t="n"/>
      <c r="AF1231" s="55" t="n"/>
      <c r="AG1231" s="59" t="n"/>
      <c r="AH1231" s="57" t="n"/>
      <c r="AI1231" s="55" t="n"/>
      <c r="AJ1231" s="55" t="n"/>
      <c r="AK1231" s="55" t="n"/>
      <c r="AL1231" s="55" t="n"/>
      <c r="AM1231" s="56" t="n"/>
      <c r="AN1231" s="55" t="n"/>
      <c r="AO1231" s="55" t="n"/>
      <c r="AP1231" s="55" t="n"/>
      <c r="AQ1231" s="55" t="n"/>
      <c r="AR1231" s="60">
        <f>IF(AND(C1231="",E1231=""),"",IF(A1231="","⚠ Date manquante",IF(AND(C1231="",E1231&lt;&gt;"Dépense"),"⚠ Prospect manquant",IF(E1231="","⚠ Action manquante",IF(AND(AU1231=1,D1231=""),"⚠ Canal manquant",IF(AND(W1231&lt;&gt;"",COUNTIFS('Saisie'!$W$5:$W$2004,W1231,'Saisie'!$C$5:$C$2004,"&lt;&gt;"&amp;C1231)&gt;0),"⚠ Numéro déjà utilisé par un autre prospect",IF(AND(J1231&lt;&gt;"",J1231&lt;A1231),"⚠ Relance avant la date de l'action",IF(A1231&gt;TODAY(),"⚠ Date dans le futur","✓"))))))))</f>
        <v/>
      </c>
      <c r="AS1231" s="61">
        <f>IF(AND(A1231="",C1231="",E1231=""),"",ROW())</f>
        <v/>
      </c>
      <c r="AT1231" s="61">
        <f>IF(E1231&amp;F1231="","",MAX(IFERROR(INDEX('Paramètres'!$J$6:$J$33,MATCH(E1231,'Paramètres'!$I$6:$I$33,0)),0),IFERROR(INDEX('Paramètres'!$N$6:$N$17,MATCH(F1231,'Paramètres'!$M$6:$M$17,0)),0)))</f>
        <v/>
      </c>
      <c r="AU1231" s="61">
        <f>IF(E1231="","",IFERROR(IF(INDEX('Paramètres'!$K$6:$K$33,MATCH(E1231,'Paramètres'!$I$6:$I$33,0))="Oui",1,0),0))</f>
        <v/>
      </c>
      <c r="AV1231" s="61">
        <f>IF(F1231="","",IFERROR(IF(INDEX('Paramètres'!$O$6:$O$17,MATCH(F1231,'Paramètres'!$M$6:$M$17,0))="Oui",1,0),0))</f>
        <v/>
      </c>
      <c r="AW1231" s="62">
        <f>IF(E1231="","",IF(G1231&lt;&gt;"",G1231,IF(OR(E1231="Proposition envoyée",E1231="Signature"),MAX(0,N(IFERROR(INDEX('Paramètres'!$R$6:$R$15,MATCH(IF(AL1231&lt;&gt;"",AL1231,IFERROR(INDEX('Prospects'!$AN$5:$AN$504,MATCH(C1231,'Prospects'!$C$5:$C$504,0)),"")),'Paramètres'!$Q$6:$Q$15,0)),0))-N(P1231)),0)))</f>
        <v/>
      </c>
      <c r="AX1231" s="61">
        <f>IF(C1231="","",IF(COUNTIF($C$5:C1231,C1231)=1,MAX($AX$4:AX1230)+1,""))</f>
        <v/>
      </c>
      <c r="AY1231" s="61">
        <f>IF(B1231="","",HOUR(B1231))</f>
        <v/>
      </c>
      <c r="AZ1231" s="61">
        <f>IF(A1231="","",MOD(A1231-2,7)+1)</f>
        <v/>
      </c>
      <c r="BA1231" s="60">
        <f>IF(C1231="","",IFERROR(INDEX('Prospects'!$N$5:$N$504,MATCH(C1231,'Prospects'!$C$5:$C$504,0)),""))</f>
        <v/>
      </c>
      <c r="BB1231" s="61">
        <f>IF(AND(C1231&lt;&gt;"",C1231='Fiche prospect'!$C$4),COUNTIF($C$5:C1231,C1231),"")</f>
        <v/>
      </c>
    </row>
    <row r="1232">
      <c r="A1232" s="53" t="n"/>
      <c r="B1232" s="54" t="n"/>
      <c r="C1232" s="55" t="n"/>
      <c r="D1232" s="55" t="n"/>
      <c r="E1232" s="55" t="n"/>
      <c r="F1232" s="55" t="n"/>
      <c r="G1232" s="56" t="n"/>
      <c r="H1232" s="57" t="n"/>
      <c r="I1232" s="55" t="n"/>
      <c r="J1232" s="53" t="n"/>
      <c r="K1232" s="54" t="n"/>
      <c r="L1232" s="55" t="n"/>
      <c r="M1232" s="55" t="n"/>
      <c r="N1232" s="57" t="n"/>
      <c r="O1232" s="55" t="n"/>
      <c r="P1232" s="56" t="n"/>
      <c r="Q1232" s="55" t="n"/>
      <c r="R1232" s="55" t="n"/>
      <c r="S1232" s="55" t="n"/>
      <c r="T1232" s="55" t="n"/>
      <c r="U1232" s="55" t="n"/>
      <c r="V1232" s="55" t="n"/>
      <c r="W1232" s="58" t="n"/>
      <c r="X1232" s="58" t="n"/>
      <c r="Y1232" s="55" t="n"/>
      <c r="Z1232" s="55" t="n"/>
      <c r="AA1232" s="55" t="n"/>
      <c r="AB1232" s="55" t="n"/>
      <c r="AC1232" s="55" t="n"/>
      <c r="AD1232" s="53" t="n"/>
      <c r="AE1232" s="55" t="n"/>
      <c r="AF1232" s="55" t="n"/>
      <c r="AG1232" s="59" t="n"/>
      <c r="AH1232" s="57" t="n"/>
      <c r="AI1232" s="55" t="n"/>
      <c r="AJ1232" s="55" t="n"/>
      <c r="AK1232" s="55" t="n"/>
      <c r="AL1232" s="55" t="n"/>
      <c r="AM1232" s="56" t="n"/>
      <c r="AN1232" s="55" t="n"/>
      <c r="AO1232" s="55" t="n"/>
      <c r="AP1232" s="55" t="n"/>
      <c r="AQ1232" s="55" t="n"/>
      <c r="AR1232" s="60">
        <f>IF(AND(C1232="",E1232=""),"",IF(A1232="","⚠ Date manquante",IF(AND(C1232="",E1232&lt;&gt;"Dépense"),"⚠ Prospect manquant",IF(E1232="","⚠ Action manquante",IF(AND(AU1232=1,D1232=""),"⚠ Canal manquant",IF(AND(W1232&lt;&gt;"",COUNTIFS('Saisie'!$W$5:$W$2004,W1232,'Saisie'!$C$5:$C$2004,"&lt;&gt;"&amp;C1232)&gt;0),"⚠ Numéro déjà utilisé par un autre prospect",IF(AND(J1232&lt;&gt;"",J1232&lt;A1232),"⚠ Relance avant la date de l'action",IF(A1232&gt;TODAY(),"⚠ Date dans le futur","✓"))))))))</f>
        <v/>
      </c>
      <c r="AS1232" s="61">
        <f>IF(AND(A1232="",C1232="",E1232=""),"",ROW())</f>
        <v/>
      </c>
      <c r="AT1232" s="61">
        <f>IF(E1232&amp;F1232="","",MAX(IFERROR(INDEX('Paramètres'!$J$6:$J$33,MATCH(E1232,'Paramètres'!$I$6:$I$33,0)),0),IFERROR(INDEX('Paramètres'!$N$6:$N$17,MATCH(F1232,'Paramètres'!$M$6:$M$17,0)),0)))</f>
        <v/>
      </c>
      <c r="AU1232" s="61">
        <f>IF(E1232="","",IFERROR(IF(INDEX('Paramètres'!$K$6:$K$33,MATCH(E1232,'Paramètres'!$I$6:$I$33,0))="Oui",1,0),0))</f>
        <v/>
      </c>
      <c r="AV1232" s="61">
        <f>IF(F1232="","",IFERROR(IF(INDEX('Paramètres'!$O$6:$O$17,MATCH(F1232,'Paramètres'!$M$6:$M$17,0))="Oui",1,0),0))</f>
        <v/>
      </c>
      <c r="AW1232" s="62">
        <f>IF(E1232="","",IF(G1232&lt;&gt;"",G1232,IF(OR(E1232="Proposition envoyée",E1232="Signature"),MAX(0,N(IFERROR(INDEX('Paramètres'!$R$6:$R$15,MATCH(IF(AL1232&lt;&gt;"",AL1232,IFERROR(INDEX('Prospects'!$AN$5:$AN$504,MATCH(C1232,'Prospects'!$C$5:$C$504,0)),"")),'Paramètres'!$Q$6:$Q$15,0)),0))-N(P1232)),0)))</f>
        <v/>
      </c>
      <c r="AX1232" s="61">
        <f>IF(C1232="","",IF(COUNTIF($C$5:C1232,C1232)=1,MAX($AX$4:AX1231)+1,""))</f>
        <v/>
      </c>
      <c r="AY1232" s="61">
        <f>IF(B1232="","",HOUR(B1232))</f>
        <v/>
      </c>
      <c r="AZ1232" s="61">
        <f>IF(A1232="","",MOD(A1232-2,7)+1)</f>
        <v/>
      </c>
      <c r="BA1232" s="60">
        <f>IF(C1232="","",IFERROR(INDEX('Prospects'!$N$5:$N$504,MATCH(C1232,'Prospects'!$C$5:$C$504,0)),""))</f>
        <v/>
      </c>
      <c r="BB1232" s="61">
        <f>IF(AND(C1232&lt;&gt;"",C1232='Fiche prospect'!$C$4),COUNTIF($C$5:C1232,C1232),"")</f>
        <v/>
      </c>
    </row>
    <row r="1233">
      <c r="A1233" s="53" t="n"/>
      <c r="B1233" s="54" t="n"/>
      <c r="C1233" s="55" t="n"/>
      <c r="D1233" s="55" t="n"/>
      <c r="E1233" s="55" t="n"/>
      <c r="F1233" s="55" t="n"/>
      <c r="G1233" s="56" t="n"/>
      <c r="H1233" s="57" t="n"/>
      <c r="I1233" s="55" t="n"/>
      <c r="J1233" s="53" t="n"/>
      <c r="K1233" s="54" t="n"/>
      <c r="L1233" s="55" t="n"/>
      <c r="M1233" s="55" t="n"/>
      <c r="N1233" s="57" t="n"/>
      <c r="O1233" s="55" t="n"/>
      <c r="P1233" s="56" t="n"/>
      <c r="Q1233" s="55" t="n"/>
      <c r="R1233" s="55" t="n"/>
      <c r="S1233" s="55" t="n"/>
      <c r="T1233" s="55" t="n"/>
      <c r="U1233" s="55" t="n"/>
      <c r="V1233" s="55" t="n"/>
      <c r="W1233" s="58" t="n"/>
      <c r="X1233" s="58" t="n"/>
      <c r="Y1233" s="55" t="n"/>
      <c r="Z1233" s="55" t="n"/>
      <c r="AA1233" s="55" t="n"/>
      <c r="AB1233" s="55" t="n"/>
      <c r="AC1233" s="55" t="n"/>
      <c r="AD1233" s="53" t="n"/>
      <c r="AE1233" s="55" t="n"/>
      <c r="AF1233" s="55" t="n"/>
      <c r="AG1233" s="59" t="n"/>
      <c r="AH1233" s="57" t="n"/>
      <c r="AI1233" s="55" t="n"/>
      <c r="AJ1233" s="55" t="n"/>
      <c r="AK1233" s="55" t="n"/>
      <c r="AL1233" s="55" t="n"/>
      <c r="AM1233" s="56" t="n"/>
      <c r="AN1233" s="55" t="n"/>
      <c r="AO1233" s="55" t="n"/>
      <c r="AP1233" s="55" t="n"/>
      <c r="AQ1233" s="55" t="n"/>
      <c r="AR1233" s="60">
        <f>IF(AND(C1233="",E1233=""),"",IF(A1233="","⚠ Date manquante",IF(AND(C1233="",E1233&lt;&gt;"Dépense"),"⚠ Prospect manquant",IF(E1233="","⚠ Action manquante",IF(AND(AU1233=1,D1233=""),"⚠ Canal manquant",IF(AND(W1233&lt;&gt;"",COUNTIFS('Saisie'!$W$5:$W$2004,W1233,'Saisie'!$C$5:$C$2004,"&lt;&gt;"&amp;C1233)&gt;0),"⚠ Numéro déjà utilisé par un autre prospect",IF(AND(J1233&lt;&gt;"",J1233&lt;A1233),"⚠ Relance avant la date de l'action",IF(A1233&gt;TODAY(),"⚠ Date dans le futur","✓"))))))))</f>
        <v/>
      </c>
      <c r="AS1233" s="61">
        <f>IF(AND(A1233="",C1233="",E1233=""),"",ROW())</f>
        <v/>
      </c>
      <c r="AT1233" s="61">
        <f>IF(E1233&amp;F1233="","",MAX(IFERROR(INDEX('Paramètres'!$J$6:$J$33,MATCH(E1233,'Paramètres'!$I$6:$I$33,0)),0),IFERROR(INDEX('Paramètres'!$N$6:$N$17,MATCH(F1233,'Paramètres'!$M$6:$M$17,0)),0)))</f>
        <v/>
      </c>
      <c r="AU1233" s="61">
        <f>IF(E1233="","",IFERROR(IF(INDEX('Paramètres'!$K$6:$K$33,MATCH(E1233,'Paramètres'!$I$6:$I$33,0))="Oui",1,0),0))</f>
        <v/>
      </c>
      <c r="AV1233" s="61">
        <f>IF(F1233="","",IFERROR(IF(INDEX('Paramètres'!$O$6:$O$17,MATCH(F1233,'Paramètres'!$M$6:$M$17,0))="Oui",1,0),0))</f>
        <v/>
      </c>
      <c r="AW1233" s="62">
        <f>IF(E1233="","",IF(G1233&lt;&gt;"",G1233,IF(OR(E1233="Proposition envoyée",E1233="Signature"),MAX(0,N(IFERROR(INDEX('Paramètres'!$R$6:$R$15,MATCH(IF(AL1233&lt;&gt;"",AL1233,IFERROR(INDEX('Prospects'!$AN$5:$AN$504,MATCH(C1233,'Prospects'!$C$5:$C$504,0)),"")),'Paramètres'!$Q$6:$Q$15,0)),0))-N(P1233)),0)))</f>
        <v/>
      </c>
      <c r="AX1233" s="61">
        <f>IF(C1233="","",IF(COUNTIF($C$5:C1233,C1233)=1,MAX($AX$4:AX1232)+1,""))</f>
        <v/>
      </c>
      <c r="AY1233" s="61">
        <f>IF(B1233="","",HOUR(B1233))</f>
        <v/>
      </c>
      <c r="AZ1233" s="61">
        <f>IF(A1233="","",MOD(A1233-2,7)+1)</f>
        <v/>
      </c>
      <c r="BA1233" s="60">
        <f>IF(C1233="","",IFERROR(INDEX('Prospects'!$N$5:$N$504,MATCH(C1233,'Prospects'!$C$5:$C$504,0)),""))</f>
        <v/>
      </c>
      <c r="BB1233" s="61">
        <f>IF(AND(C1233&lt;&gt;"",C1233='Fiche prospect'!$C$4),COUNTIF($C$5:C1233,C1233),"")</f>
        <v/>
      </c>
    </row>
    <row r="1234">
      <c r="A1234" s="53" t="n"/>
      <c r="B1234" s="54" t="n"/>
      <c r="C1234" s="55" t="n"/>
      <c r="D1234" s="55" t="n"/>
      <c r="E1234" s="55" t="n"/>
      <c r="F1234" s="55" t="n"/>
      <c r="G1234" s="56" t="n"/>
      <c r="H1234" s="57" t="n"/>
      <c r="I1234" s="55" t="n"/>
      <c r="J1234" s="53" t="n"/>
      <c r="K1234" s="54" t="n"/>
      <c r="L1234" s="55" t="n"/>
      <c r="M1234" s="55" t="n"/>
      <c r="N1234" s="57" t="n"/>
      <c r="O1234" s="55" t="n"/>
      <c r="P1234" s="56" t="n"/>
      <c r="Q1234" s="55" t="n"/>
      <c r="R1234" s="55" t="n"/>
      <c r="S1234" s="55" t="n"/>
      <c r="T1234" s="55" t="n"/>
      <c r="U1234" s="55" t="n"/>
      <c r="V1234" s="55" t="n"/>
      <c r="W1234" s="58" t="n"/>
      <c r="X1234" s="58" t="n"/>
      <c r="Y1234" s="55" t="n"/>
      <c r="Z1234" s="55" t="n"/>
      <c r="AA1234" s="55" t="n"/>
      <c r="AB1234" s="55" t="n"/>
      <c r="AC1234" s="55" t="n"/>
      <c r="AD1234" s="53" t="n"/>
      <c r="AE1234" s="55" t="n"/>
      <c r="AF1234" s="55" t="n"/>
      <c r="AG1234" s="59" t="n"/>
      <c r="AH1234" s="57" t="n"/>
      <c r="AI1234" s="55" t="n"/>
      <c r="AJ1234" s="55" t="n"/>
      <c r="AK1234" s="55" t="n"/>
      <c r="AL1234" s="55" t="n"/>
      <c r="AM1234" s="56" t="n"/>
      <c r="AN1234" s="55" t="n"/>
      <c r="AO1234" s="55" t="n"/>
      <c r="AP1234" s="55" t="n"/>
      <c r="AQ1234" s="55" t="n"/>
      <c r="AR1234" s="60">
        <f>IF(AND(C1234="",E1234=""),"",IF(A1234="","⚠ Date manquante",IF(AND(C1234="",E1234&lt;&gt;"Dépense"),"⚠ Prospect manquant",IF(E1234="","⚠ Action manquante",IF(AND(AU1234=1,D1234=""),"⚠ Canal manquant",IF(AND(W1234&lt;&gt;"",COUNTIFS('Saisie'!$W$5:$W$2004,W1234,'Saisie'!$C$5:$C$2004,"&lt;&gt;"&amp;C1234)&gt;0),"⚠ Numéro déjà utilisé par un autre prospect",IF(AND(J1234&lt;&gt;"",J1234&lt;A1234),"⚠ Relance avant la date de l'action",IF(A1234&gt;TODAY(),"⚠ Date dans le futur","✓"))))))))</f>
        <v/>
      </c>
      <c r="AS1234" s="61">
        <f>IF(AND(A1234="",C1234="",E1234=""),"",ROW())</f>
        <v/>
      </c>
      <c r="AT1234" s="61">
        <f>IF(E1234&amp;F1234="","",MAX(IFERROR(INDEX('Paramètres'!$J$6:$J$33,MATCH(E1234,'Paramètres'!$I$6:$I$33,0)),0),IFERROR(INDEX('Paramètres'!$N$6:$N$17,MATCH(F1234,'Paramètres'!$M$6:$M$17,0)),0)))</f>
        <v/>
      </c>
      <c r="AU1234" s="61">
        <f>IF(E1234="","",IFERROR(IF(INDEX('Paramètres'!$K$6:$K$33,MATCH(E1234,'Paramètres'!$I$6:$I$33,0))="Oui",1,0),0))</f>
        <v/>
      </c>
      <c r="AV1234" s="61">
        <f>IF(F1234="","",IFERROR(IF(INDEX('Paramètres'!$O$6:$O$17,MATCH(F1234,'Paramètres'!$M$6:$M$17,0))="Oui",1,0),0))</f>
        <v/>
      </c>
      <c r="AW1234" s="62">
        <f>IF(E1234="","",IF(G1234&lt;&gt;"",G1234,IF(OR(E1234="Proposition envoyée",E1234="Signature"),MAX(0,N(IFERROR(INDEX('Paramètres'!$R$6:$R$15,MATCH(IF(AL1234&lt;&gt;"",AL1234,IFERROR(INDEX('Prospects'!$AN$5:$AN$504,MATCH(C1234,'Prospects'!$C$5:$C$504,0)),"")),'Paramètres'!$Q$6:$Q$15,0)),0))-N(P1234)),0)))</f>
        <v/>
      </c>
      <c r="AX1234" s="61">
        <f>IF(C1234="","",IF(COUNTIF($C$5:C1234,C1234)=1,MAX($AX$4:AX1233)+1,""))</f>
        <v/>
      </c>
      <c r="AY1234" s="61">
        <f>IF(B1234="","",HOUR(B1234))</f>
        <v/>
      </c>
      <c r="AZ1234" s="61">
        <f>IF(A1234="","",MOD(A1234-2,7)+1)</f>
        <v/>
      </c>
      <c r="BA1234" s="60">
        <f>IF(C1234="","",IFERROR(INDEX('Prospects'!$N$5:$N$504,MATCH(C1234,'Prospects'!$C$5:$C$504,0)),""))</f>
        <v/>
      </c>
      <c r="BB1234" s="61">
        <f>IF(AND(C1234&lt;&gt;"",C1234='Fiche prospect'!$C$4),COUNTIF($C$5:C1234,C1234),"")</f>
        <v/>
      </c>
    </row>
    <row r="1235">
      <c r="A1235" s="53" t="n"/>
      <c r="B1235" s="54" t="n"/>
      <c r="C1235" s="55" t="n"/>
      <c r="D1235" s="55" t="n"/>
      <c r="E1235" s="55" t="n"/>
      <c r="F1235" s="55" t="n"/>
      <c r="G1235" s="56" t="n"/>
      <c r="H1235" s="57" t="n"/>
      <c r="I1235" s="55" t="n"/>
      <c r="J1235" s="53" t="n"/>
      <c r="K1235" s="54" t="n"/>
      <c r="L1235" s="55" t="n"/>
      <c r="M1235" s="55" t="n"/>
      <c r="N1235" s="57" t="n"/>
      <c r="O1235" s="55" t="n"/>
      <c r="P1235" s="56" t="n"/>
      <c r="Q1235" s="55" t="n"/>
      <c r="R1235" s="55" t="n"/>
      <c r="S1235" s="55" t="n"/>
      <c r="T1235" s="55" t="n"/>
      <c r="U1235" s="55" t="n"/>
      <c r="V1235" s="55" t="n"/>
      <c r="W1235" s="58" t="n"/>
      <c r="X1235" s="58" t="n"/>
      <c r="Y1235" s="55" t="n"/>
      <c r="Z1235" s="55" t="n"/>
      <c r="AA1235" s="55" t="n"/>
      <c r="AB1235" s="55" t="n"/>
      <c r="AC1235" s="55" t="n"/>
      <c r="AD1235" s="53" t="n"/>
      <c r="AE1235" s="55" t="n"/>
      <c r="AF1235" s="55" t="n"/>
      <c r="AG1235" s="59" t="n"/>
      <c r="AH1235" s="57" t="n"/>
      <c r="AI1235" s="55" t="n"/>
      <c r="AJ1235" s="55" t="n"/>
      <c r="AK1235" s="55" t="n"/>
      <c r="AL1235" s="55" t="n"/>
      <c r="AM1235" s="56" t="n"/>
      <c r="AN1235" s="55" t="n"/>
      <c r="AO1235" s="55" t="n"/>
      <c r="AP1235" s="55" t="n"/>
      <c r="AQ1235" s="55" t="n"/>
      <c r="AR1235" s="60">
        <f>IF(AND(C1235="",E1235=""),"",IF(A1235="","⚠ Date manquante",IF(AND(C1235="",E1235&lt;&gt;"Dépense"),"⚠ Prospect manquant",IF(E1235="","⚠ Action manquante",IF(AND(AU1235=1,D1235=""),"⚠ Canal manquant",IF(AND(W1235&lt;&gt;"",COUNTIFS('Saisie'!$W$5:$W$2004,W1235,'Saisie'!$C$5:$C$2004,"&lt;&gt;"&amp;C1235)&gt;0),"⚠ Numéro déjà utilisé par un autre prospect",IF(AND(J1235&lt;&gt;"",J1235&lt;A1235),"⚠ Relance avant la date de l'action",IF(A1235&gt;TODAY(),"⚠ Date dans le futur","✓"))))))))</f>
        <v/>
      </c>
      <c r="AS1235" s="61">
        <f>IF(AND(A1235="",C1235="",E1235=""),"",ROW())</f>
        <v/>
      </c>
      <c r="AT1235" s="61">
        <f>IF(E1235&amp;F1235="","",MAX(IFERROR(INDEX('Paramètres'!$J$6:$J$33,MATCH(E1235,'Paramètres'!$I$6:$I$33,0)),0),IFERROR(INDEX('Paramètres'!$N$6:$N$17,MATCH(F1235,'Paramètres'!$M$6:$M$17,0)),0)))</f>
        <v/>
      </c>
      <c r="AU1235" s="61">
        <f>IF(E1235="","",IFERROR(IF(INDEX('Paramètres'!$K$6:$K$33,MATCH(E1235,'Paramètres'!$I$6:$I$33,0))="Oui",1,0),0))</f>
        <v/>
      </c>
      <c r="AV1235" s="61">
        <f>IF(F1235="","",IFERROR(IF(INDEX('Paramètres'!$O$6:$O$17,MATCH(F1235,'Paramètres'!$M$6:$M$17,0))="Oui",1,0),0))</f>
        <v/>
      </c>
      <c r="AW1235" s="62">
        <f>IF(E1235="","",IF(G1235&lt;&gt;"",G1235,IF(OR(E1235="Proposition envoyée",E1235="Signature"),MAX(0,N(IFERROR(INDEX('Paramètres'!$R$6:$R$15,MATCH(IF(AL1235&lt;&gt;"",AL1235,IFERROR(INDEX('Prospects'!$AN$5:$AN$504,MATCH(C1235,'Prospects'!$C$5:$C$504,0)),"")),'Paramètres'!$Q$6:$Q$15,0)),0))-N(P1235)),0)))</f>
        <v/>
      </c>
      <c r="AX1235" s="61">
        <f>IF(C1235="","",IF(COUNTIF($C$5:C1235,C1235)=1,MAX($AX$4:AX1234)+1,""))</f>
        <v/>
      </c>
      <c r="AY1235" s="61">
        <f>IF(B1235="","",HOUR(B1235))</f>
        <v/>
      </c>
      <c r="AZ1235" s="61">
        <f>IF(A1235="","",MOD(A1235-2,7)+1)</f>
        <v/>
      </c>
      <c r="BA1235" s="60">
        <f>IF(C1235="","",IFERROR(INDEX('Prospects'!$N$5:$N$504,MATCH(C1235,'Prospects'!$C$5:$C$504,0)),""))</f>
        <v/>
      </c>
      <c r="BB1235" s="61">
        <f>IF(AND(C1235&lt;&gt;"",C1235='Fiche prospect'!$C$4),COUNTIF($C$5:C1235,C1235),"")</f>
        <v/>
      </c>
    </row>
    <row r="1236">
      <c r="A1236" s="53" t="n"/>
      <c r="B1236" s="54" t="n"/>
      <c r="C1236" s="55" t="n"/>
      <c r="D1236" s="55" t="n"/>
      <c r="E1236" s="55" t="n"/>
      <c r="F1236" s="55" t="n"/>
      <c r="G1236" s="56" t="n"/>
      <c r="H1236" s="57" t="n"/>
      <c r="I1236" s="55" t="n"/>
      <c r="J1236" s="53" t="n"/>
      <c r="K1236" s="54" t="n"/>
      <c r="L1236" s="55" t="n"/>
      <c r="M1236" s="55" t="n"/>
      <c r="N1236" s="57" t="n"/>
      <c r="O1236" s="55" t="n"/>
      <c r="P1236" s="56" t="n"/>
      <c r="Q1236" s="55" t="n"/>
      <c r="R1236" s="55" t="n"/>
      <c r="S1236" s="55" t="n"/>
      <c r="T1236" s="55" t="n"/>
      <c r="U1236" s="55" t="n"/>
      <c r="V1236" s="55" t="n"/>
      <c r="W1236" s="58" t="n"/>
      <c r="X1236" s="58" t="n"/>
      <c r="Y1236" s="55" t="n"/>
      <c r="Z1236" s="55" t="n"/>
      <c r="AA1236" s="55" t="n"/>
      <c r="AB1236" s="55" t="n"/>
      <c r="AC1236" s="55" t="n"/>
      <c r="AD1236" s="53" t="n"/>
      <c r="AE1236" s="55" t="n"/>
      <c r="AF1236" s="55" t="n"/>
      <c r="AG1236" s="59" t="n"/>
      <c r="AH1236" s="57" t="n"/>
      <c r="AI1236" s="55" t="n"/>
      <c r="AJ1236" s="55" t="n"/>
      <c r="AK1236" s="55" t="n"/>
      <c r="AL1236" s="55" t="n"/>
      <c r="AM1236" s="56" t="n"/>
      <c r="AN1236" s="55" t="n"/>
      <c r="AO1236" s="55" t="n"/>
      <c r="AP1236" s="55" t="n"/>
      <c r="AQ1236" s="55" t="n"/>
      <c r="AR1236" s="60">
        <f>IF(AND(C1236="",E1236=""),"",IF(A1236="","⚠ Date manquante",IF(AND(C1236="",E1236&lt;&gt;"Dépense"),"⚠ Prospect manquant",IF(E1236="","⚠ Action manquante",IF(AND(AU1236=1,D1236=""),"⚠ Canal manquant",IF(AND(W1236&lt;&gt;"",COUNTIFS('Saisie'!$W$5:$W$2004,W1236,'Saisie'!$C$5:$C$2004,"&lt;&gt;"&amp;C1236)&gt;0),"⚠ Numéro déjà utilisé par un autre prospect",IF(AND(J1236&lt;&gt;"",J1236&lt;A1236),"⚠ Relance avant la date de l'action",IF(A1236&gt;TODAY(),"⚠ Date dans le futur","✓"))))))))</f>
        <v/>
      </c>
      <c r="AS1236" s="61">
        <f>IF(AND(A1236="",C1236="",E1236=""),"",ROW())</f>
        <v/>
      </c>
      <c r="AT1236" s="61">
        <f>IF(E1236&amp;F1236="","",MAX(IFERROR(INDEX('Paramètres'!$J$6:$J$33,MATCH(E1236,'Paramètres'!$I$6:$I$33,0)),0),IFERROR(INDEX('Paramètres'!$N$6:$N$17,MATCH(F1236,'Paramètres'!$M$6:$M$17,0)),0)))</f>
        <v/>
      </c>
      <c r="AU1236" s="61">
        <f>IF(E1236="","",IFERROR(IF(INDEX('Paramètres'!$K$6:$K$33,MATCH(E1236,'Paramètres'!$I$6:$I$33,0))="Oui",1,0),0))</f>
        <v/>
      </c>
      <c r="AV1236" s="61">
        <f>IF(F1236="","",IFERROR(IF(INDEX('Paramètres'!$O$6:$O$17,MATCH(F1236,'Paramètres'!$M$6:$M$17,0))="Oui",1,0),0))</f>
        <v/>
      </c>
      <c r="AW1236" s="62">
        <f>IF(E1236="","",IF(G1236&lt;&gt;"",G1236,IF(OR(E1236="Proposition envoyée",E1236="Signature"),MAX(0,N(IFERROR(INDEX('Paramètres'!$R$6:$R$15,MATCH(IF(AL1236&lt;&gt;"",AL1236,IFERROR(INDEX('Prospects'!$AN$5:$AN$504,MATCH(C1236,'Prospects'!$C$5:$C$504,0)),"")),'Paramètres'!$Q$6:$Q$15,0)),0))-N(P1236)),0)))</f>
        <v/>
      </c>
      <c r="AX1236" s="61">
        <f>IF(C1236="","",IF(COUNTIF($C$5:C1236,C1236)=1,MAX($AX$4:AX1235)+1,""))</f>
        <v/>
      </c>
      <c r="AY1236" s="61">
        <f>IF(B1236="","",HOUR(B1236))</f>
        <v/>
      </c>
      <c r="AZ1236" s="61">
        <f>IF(A1236="","",MOD(A1236-2,7)+1)</f>
        <v/>
      </c>
      <c r="BA1236" s="60">
        <f>IF(C1236="","",IFERROR(INDEX('Prospects'!$N$5:$N$504,MATCH(C1236,'Prospects'!$C$5:$C$504,0)),""))</f>
        <v/>
      </c>
      <c r="BB1236" s="61">
        <f>IF(AND(C1236&lt;&gt;"",C1236='Fiche prospect'!$C$4),COUNTIF($C$5:C1236,C1236),"")</f>
        <v/>
      </c>
    </row>
    <row r="1237">
      <c r="A1237" s="53" t="n"/>
      <c r="B1237" s="54" t="n"/>
      <c r="C1237" s="55" t="n"/>
      <c r="D1237" s="55" t="n"/>
      <c r="E1237" s="55" t="n"/>
      <c r="F1237" s="55" t="n"/>
      <c r="G1237" s="56" t="n"/>
      <c r="H1237" s="57" t="n"/>
      <c r="I1237" s="55" t="n"/>
      <c r="J1237" s="53" t="n"/>
      <c r="K1237" s="54" t="n"/>
      <c r="L1237" s="55" t="n"/>
      <c r="M1237" s="55" t="n"/>
      <c r="N1237" s="57" t="n"/>
      <c r="O1237" s="55" t="n"/>
      <c r="P1237" s="56" t="n"/>
      <c r="Q1237" s="55" t="n"/>
      <c r="R1237" s="55" t="n"/>
      <c r="S1237" s="55" t="n"/>
      <c r="T1237" s="55" t="n"/>
      <c r="U1237" s="55" t="n"/>
      <c r="V1237" s="55" t="n"/>
      <c r="W1237" s="58" t="n"/>
      <c r="X1237" s="58" t="n"/>
      <c r="Y1237" s="55" t="n"/>
      <c r="Z1237" s="55" t="n"/>
      <c r="AA1237" s="55" t="n"/>
      <c r="AB1237" s="55" t="n"/>
      <c r="AC1237" s="55" t="n"/>
      <c r="AD1237" s="53" t="n"/>
      <c r="AE1237" s="55" t="n"/>
      <c r="AF1237" s="55" t="n"/>
      <c r="AG1237" s="59" t="n"/>
      <c r="AH1237" s="57" t="n"/>
      <c r="AI1237" s="55" t="n"/>
      <c r="AJ1237" s="55" t="n"/>
      <c r="AK1237" s="55" t="n"/>
      <c r="AL1237" s="55" t="n"/>
      <c r="AM1237" s="56" t="n"/>
      <c r="AN1237" s="55" t="n"/>
      <c r="AO1237" s="55" t="n"/>
      <c r="AP1237" s="55" t="n"/>
      <c r="AQ1237" s="55" t="n"/>
      <c r="AR1237" s="60">
        <f>IF(AND(C1237="",E1237=""),"",IF(A1237="","⚠ Date manquante",IF(AND(C1237="",E1237&lt;&gt;"Dépense"),"⚠ Prospect manquant",IF(E1237="","⚠ Action manquante",IF(AND(AU1237=1,D1237=""),"⚠ Canal manquant",IF(AND(W1237&lt;&gt;"",COUNTIFS('Saisie'!$W$5:$W$2004,W1237,'Saisie'!$C$5:$C$2004,"&lt;&gt;"&amp;C1237)&gt;0),"⚠ Numéro déjà utilisé par un autre prospect",IF(AND(J1237&lt;&gt;"",J1237&lt;A1237),"⚠ Relance avant la date de l'action",IF(A1237&gt;TODAY(),"⚠ Date dans le futur","✓"))))))))</f>
        <v/>
      </c>
      <c r="AS1237" s="61">
        <f>IF(AND(A1237="",C1237="",E1237=""),"",ROW())</f>
        <v/>
      </c>
      <c r="AT1237" s="61">
        <f>IF(E1237&amp;F1237="","",MAX(IFERROR(INDEX('Paramètres'!$J$6:$J$33,MATCH(E1237,'Paramètres'!$I$6:$I$33,0)),0),IFERROR(INDEX('Paramètres'!$N$6:$N$17,MATCH(F1237,'Paramètres'!$M$6:$M$17,0)),0)))</f>
        <v/>
      </c>
      <c r="AU1237" s="61">
        <f>IF(E1237="","",IFERROR(IF(INDEX('Paramètres'!$K$6:$K$33,MATCH(E1237,'Paramètres'!$I$6:$I$33,0))="Oui",1,0),0))</f>
        <v/>
      </c>
      <c r="AV1237" s="61">
        <f>IF(F1237="","",IFERROR(IF(INDEX('Paramètres'!$O$6:$O$17,MATCH(F1237,'Paramètres'!$M$6:$M$17,0))="Oui",1,0),0))</f>
        <v/>
      </c>
      <c r="AW1237" s="62">
        <f>IF(E1237="","",IF(G1237&lt;&gt;"",G1237,IF(OR(E1237="Proposition envoyée",E1237="Signature"),MAX(0,N(IFERROR(INDEX('Paramètres'!$R$6:$R$15,MATCH(IF(AL1237&lt;&gt;"",AL1237,IFERROR(INDEX('Prospects'!$AN$5:$AN$504,MATCH(C1237,'Prospects'!$C$5:$C$504,0)),"")),'Paramètres'!$Q$6:$Q$15,0)),0))-N(P1237)),0)))</f>
        <v/>
      </c>
      <c r="AX1237" s="61">
        <f>IF(C1237="","",IF(COUNTIF($C$5:C1237,C1237)=1,MAX($AX$4:AX1236)+1,""))</f>
        <v/>
      </c>
      <c r="AY1237" s="61">
        <f>IF(B1237="","",HOUR(B1237))</f>
        <v/>
      </c>
      <c r="AZ1237" s="61">
        <f>IF(A1237="","",MOD(A1237-2,7)+1)</f>
        <v/>
      </c>
      <c r="BA1237" s="60">
        <f>IF(C1237="","",IFERROR(INDEX('Prospects'!$N$5:$N$504,MATCH(C1237,'Prospects'!$C$5:$C$504,0)),""))</f>
        <v/>
      </c>
      <c r="BB1237" s="61">
        <f>IF(AND(C1237&lt;&gt;"",C1237='Fiche prospect'!$C$4),COUNTIF($C$5:C1237,C1237),"")</f>
        <v/>
      </c>
    </row>
    <row r="1238">
      <c r="A1238" s="53" t="n"/>
      <c r="B1238" s="54" t="n"/>
      <c r="C1238" s="55" t="n"/>
      <c r="D1238" s="55" t="n"/>
      <c r="E1238" s="55" t="n"/>
      <c r="F1238" s="55" t="n"/>
      <c r="G1238" s="56" t="n"/>
      <c r="H1238" s="57" t="n"/>
      <c r="I1238" s="55" t="n"/>
      <c r="J1238" s="53" t="n"/>
      <c r="K1238" s="54" t="n"/>
      <c r="L1238" s="55" t="n"/>
      <c r="M1238" s="55" t="n"/>
      <c r="N1238" s="57" t="n"/>
      <c r="O1238" s="55" t="n"/>
      <c r="P1238" s="56" t="n"/>
      <c r="Q1238" s="55" t="n"/>
      <c r="R1238" s="55" t="n"/>
      <c r="S1238" s="55" t="n"/>
      <c r="T1238" s="55" t="n"/>
      <c r="U1238" s="55" t="n"/>
      <c r="V1238" s="55" t="n"/>
      <c r="W1238" s="58" t="n"/>
      <c r="X1238" s="58" t="n"/>
      <c r="Y1238" s="55" t="n"/>
      <c r="Z1238" s="55" t="n"/>
      <c r="AA1238" s="55" t="n"/>
      <c r="AB1238" s="55" t="n"/>
      <c r="AC1238" s="55" t="n"/>
      <c r="AD1238" s="53" t="n"/>
      <c r="AE1238" s="55" t="n"/>
      <c r="AF1238" s="55" t="n"/>
      <c r="AG1238" s="59" t="n"/>
      <c r="AH1238" s="57" t="n"/>
      <c r="AI1238" s="55" t="n"/>
      <c r="AJ1238" s="55" t="n"/>
      <c r="AK1238" s="55" t="n"/>
      <c r="AL1238" s="55" t="n"/>
      <c r="AM1238" s="56" t="n"/>
      <c r="AN1238" s="55" t="n"/>
      <c r="AO1238" s="55" t="n"/>
      <c r="AP1238" s="55" t="n"/>
      <c r="AQ1238" s="55" t="n"/>
      <c r="AR1238" s="60">
        <f>IF(AND(C1238="",E1238=""),"",IF(A1238="","⚠ Date manquante",IF(AND(C1238="",E1238&lt;&gt;"Dépense"),"⚠ Prospect manquant",IF(E1238="","⚠ Action manquante",IF(AND(AU1238=1,D1238=""),"⚠ Canal manquant",IF(AND(W1238&lt;&gt;"",COUNTIFS('Saisie'!$W$5:$W$2004,W1238,'Saisie'!$C$5:$C$2004,"&lt;&gt;"&amp;C1238)&gt;0),"⚠ Numéro déjà utilisé par un autre prospect",IF(AND(J1238&lt;&gt;"",J1238&lt;A1238),"⚠ Relance avant la date de l'action",IF(A1238&gt;TODAY(),"⚠ Date dans le futur","✓"))))))))</f>
        <v/>
      </c>
      <c r="AS1238" s="61">
        <f>IF(AND(A1238="",C1238="",E1238=""),"",ROW())</f>
        <v/>
      </c>
      <c r="AT1238" s="61">
        <f>IF(E1238&amp;F1238="","",MAX(IFERROR(INDEX('Paramètres'!$J$6:$J$33,MATCH(E1238,'Paramètres'!$I$6:$I$33,0)),0),IFERROR(INDEX('Paramètres'!$N$6:$N$17,MATCH(F1238,'Paramètres'!$M$6:$M$17,0)),0)))</f>
        <v/>
      </c>
      <c r="AU1238" s="61">
        <f>IF(E1238="","",IFERROR(IF(INDEX('Paramètres'!$K$6:$K$33,MATCH(E1238,'Paramètres'!$I$6:$I$33,0))="Oui",1,0),0))</f>
        <v/>
      </c>
      <c r="AV1238" s="61">
        <f>IF(F1238="","",IFERROR(IF(INDEX('Paramètres'!$O$6:$O$17,MATCH(F1238,'Paramètres'!$M$6:$M$17,0))="Oui",1,0),0))</f>
        <v/>
      </c>
      <c r="AW1238" s="62">
        <f>IF(E1238="","",IF(G1238&lt;&gt;"",G1238,IF(OR(E1238="Proposition envoyée",E1238="Signature"),MAX(0,N(IFERROR(INDEX('Paramètres'!$R$6:$R$15,MATCH(IF(AL1238&lt;&gt;"",AL1238,IFERROR(INDEX('Prospects'!$AN$5:$AN$504,MATCH(C1238,'Prospects'!$C$5:$C$504,0)),"")),'Paramètres'!$Q$6:$Q$15,0)),0))-N(P1238)),0)))</f>
        <v/>
      </c>
      <c r="AX1238" s="61">
        <f>IF(C1238="","",IF(COUNTIF($C$5:C1238,C1238)=1,MAX($AX$4:AX1237)+1,""))</f>
        <v/>
      </c>
      <c r="AY1238" s="61">
        <f>IF(B1238="","",HOUR(B1238))</f>
        <v/>
      </c>
      <c r="AZ1238" s="61">
        <f>IF(A1238="","",MOD(A1238-2,7)+1)</f>
        <v/>
      </c>
      <c r="BA1238" s="60">
        <f>IF(C1238="","",IFERROR(INDEX('Prospects'!$N$5:$N$504,MATCH(C1238,'Prospects'!$C$5:$C$504,0)),""))</f>
        <v/>
      </c>
      <c r="BB1238" s="61">
        <f>IF(AND(C1238&lt;&gt;"",C1238='Fiche prospect'!$C$4),COUNTIF($C$5:C1238,C1238),"")</f>
        <v/>
      </c>
    </row>
    <row r="1239">
      <c r="A1239" s="53" t="n"/>
      <c r="B1239" s="54" t="n"/>
      <c r="C1239" s="55" t="n"/>
      <c r="D1239" s="55" t="n"/>
      <c r="E1239" s="55" t="n"/>
      <c r="F1239" s="55" t="n"/>
      <c r="G1239" s="56" t="n"/>
      <c r="H1239" s="57" t="n"/>
      <c r="I1239" s="55" t="n"/>
      <c r="J1239" s="53" t="n"/>
      <c r="K1239" s="54" t="n"/>
      <c r="L1239" s="55" t="n"/>
      <c r="M1239" s="55" t="n"/>
      <c r="N1239" s="57" t="n"/>
      <c r="O1239" s="55" t="n"/>
      <c r="P1239" s="56" t="n"/>
      <c r="Q1239" s="55" t="n"/>
      <c r="R1239" s="55" t="n"/>
      <c r="S1239" s="55" t="n"/>
      <c r="T1239" s="55" t="n"/>
      <c r="U1239" s="55" t="n"/>
      <c r="V1239" s="55" t="n"/>
      <c r="W1239" s="58" t="n"/>
      <c r="X1239" s="58" t="n"/>
      <c r="Y1239" s="55" t="n"/>
      <c r="Z1239" s="55" t="n"/>
      <c r="AA1239" s="55" t="n"/>
      <c r="AB1239" s="55" t="n"/>
      <c r="AC1239" s="55" t="n"/>
      <c r="AD1239" s="53" t="n"/>
      <c r="AE1239" s="55" t="n"/>
      <c r="AF1239" s="55" t="n"/>
      <c r="AG1239" s="59" t="n"/>
      <c r="AH1239" s="57" t="n"/>
      <c r="AI1239" s="55" t="n"/>
      <c r="AJ1239" s="55" t="n"/>
      <c r="AK1239" s="55" t="n"/>
      <c r="AL1239" s="55" t="n"/>
      <c r="AM1239" s="56" t="n"/>
      <c r="AN1239" s="55" t="n"/>
      <c r="AO1239" s="55" t="n"/>
      <c r="AP1239" s="55" t="n"/>
      <c r="AQ1239" s="55" t="n"/>
      <c r="AR1239" s="60">
        <f>IF(AND(C1239="",E1239=""),"",IF(A1239="","⚠ Date manquante",IF(AND(C1239="",E1239&lt;&gt;"Dépense"),"⚠ Prospect manquant",IF(E1239="","⚠ Action manquante",IF(AND(AU1239=1,D1239=""),"⚠ Canal manquant",IF(AND(W1239&lt;&gt;"",COUNTIFS('Saisie'!$W$5:$W$2004,W1239,'Saisie'!$C$5:$C$2004,"&lt;&gt;"&amp;C1239)&gt;0),"⚠ Numéro déjà utilisé par un autre prospect",IF(AND(J1239&lt;&gt;"",J1239&lt;A1239),"⚠ Relance avant la date de l'action",IF(A1239&gt;TODAY(),"⚠ Date dans le futur","✓"))))))))</f>
        <v/>
      </c>
      <c r="AS1239" s="61">
        <f>IF(AND(A1239="",C1239="",E1239=""),"",ROW())</f>
        <v/>
      </c>
      <c r="AT1239" s="61">
        <f>IF(E1239&amp;F1239="","",MAX(IFERROR(INDEX('Paramètres'!$J$6:$J$33,MATCH(E1239,'Paramètres'!$I$6:$I$33,0)),0),IFERROR(INDEX('Paramètres'!$N$6:$N$17,MATCH(F1239,'Paramètres'!$M$6:$M$17,0)),0)))</f>
        <v/>
      </c>
      <c r="AU1239" s="61">
        <f>IF(E1239="","",IFERROR(IF(INDEX('Paramètres'!$K$6:$K$33,MATCH(E1239,'Paramètres'!$I$6:$I$33,0))="Oui",1,0),0))</f>
        <v/>
      </c>
      <c r="AV1239" s="61">
        <f>IF(F1239="","",IFERROR(IF(INDEX('Paramètres'!$O$6:$O$17,MATCH(F1239,'Paramètres'!$M$6:$M$17,0))="Oui",1,0),0))</f>
        <v/>
      </c>
      <c r="AW1239" s="62">
        <f>IF(E1239="","",IF(G1239&lt;&gt;"",G1239,IF(OR(E1239="Proposition envoyée",E1239="Signature"),MAX(0,N(IFERROR(INDEX('Paramètres'!$R$6:$R$15,MATCH(IF(AL1239&lt;&gt;"",AL1239,IFERROR(INDEX('Prospects'!$AN$5:$AN$504,MATCH(C1239,'Prospects'!$C$5:$C$504,0)),"")),'Paramètres'!$Q$6:$Q$15,0)),0))-N(P1239)),0)))</f>
        <v/>
      </c>
      <c r="AX1239" s="61">
        <f>IF(C1239="","",IF(COUNTIF($C$5:C1239,C1239)=1,MAX($AX$4:AX1238)+1,""))</f>
        <v/>
      </c>
      <c r="AY1239" s="61">
        <f>IF(B1239="","",HOUR(B1239))</f>
        <v/>
      </c>
      <c r="AZ1239" s="61">
        <f>IF(A1239="","",MOD(A1239-2,7)+1)</f>
        <v/>
      </c>
      <c r="BA1239" s="60">
        <f>IF(C1239="","",IFERROR(INDEX('Prospects'!$N$5:$N$504,MATCH(C1239,'Prospects'!$C$5:$C$504,0)),""))</f>
        <v/>
      </c>
      <c r="BB1239" s="61">
        <f>IF(AND(C1239&lt;&gt;"",C1239='Fiche prospect'!$C$4),COUNTIF($C$5:C1239,C1239),"")</f>
        <v/>
      </c>
    </row>
    <row r="1240">
      <c r="A1240" s="53" t="n"/>
      <c r="B1240" s="54" t="n"/>
      <c r="C1240" s="55" t="n"/>
      <c r="D1240" s="55" t="n"/>
      <c r="E1240" s="55" t="n"/>
      <c r="F1240" s="55" t="n"/>
      <c r="G1240" s="56" t="n"/>
      <c r="H1240" s="57" t="n"/>
      <c r="I1240" s="55" t="n"/>
      <c r="J1240" s="53" t="n"/>
      <c r="K1240" s="54" t="n"/>
      <c r="L1240" s="55" t="n"/>
      <c r="M1240" s="55" t="n"/>
      <c r="N1240" s="57" t="n"/>
      <c r="O1240" s="55" t="n"/>
      <c r="P1240" s="56" t="n"/>
      <c r="Q1240" s="55" t="n"/>
      <c r="R1240" s="55" t="n"/>
      <c r="S1240" s="55" t="n"/>
      <c r="T1240" s="55" t="n"/>
      <c r="U1240" s="55" t="n"/>
      <c r="V1240" s="55" t="n"/>
      <c r="W1240" s="58" t="n"/>
      <c r="X1240" s="58" t="n"/>
      <c r="Y1240" s="55" t="n"/>
      <c r="Z1240" s="55" t="n"/>
      <c r="AA1240" s="55" t="n"/>
      <c r="AB1240" s="55" t="n"/>
      <c r="AC1240" s="55" t="n"/>
      <c r="AD1240" s="53" t="n"/>
      <c r="AE1240" s="55" t="n"/>
      <c r="AF1240" s="55" t="n"/>
      <c r="AG1240" s="59" t="n"/>
      <c r="AH1240" s="57" t="n"/>
      <c r="AI1240" s="55" t="n"/>
      <c r="AJ1240" s="55" t="n"/>
      <c r="AK1240" s="55" t="n"/>
      <c r="AL1240" s="55" t="n"/>
      <c r="AM1240" s="56" t="n"/>
      <c r="AN1240" s="55" t="n"/>
      <c r="AO1240" s="55" t="n"/>
      <c r="AP1240" s="55" t="n"/>
      <c r="AQ1240" s="55" t="n"/>
      <c r="AR1240" s="60">
        <f>IF(AND(C1240="",E1240=""),"",IF(A1240="","⚠ Date manquante",IF(AND(C1240="",E1240&lt;&gt;"Dépense"),"⚠ Prospect manquant",IF(E1240="","⚠ Action manquante",IF(AND(AU1240=1,D1240=""),"⚠ Canal manquant",IF(AND(W1240&lt;&gt;"",COUNTIFS('Saisie'!$W$5:$W$2004,W1240,'Saisie'!$C$5:$C$2004,"&lt;&gt;"&amp;C1240)&gt;0),"⚠ Numéro déjà utilisé par un autre prospect",IF(AND(J1240&lt;&gt;"",J1240&lt;A1240),"⚠ Relance avant la date de l'action",IF(A1240&gt;TODAY(),"⚠ Date dans le futur","✓"))))))))</f>
        <v/>
      </c>
      <c r="AS1240" s="61">
        <f>IF(AND(A1240="",C1240="",E1240=""),"",ROW())</f>
        <v/>
      </c>
      <c r="AT1240" s="61">
        <f>IF(E1240&amp;F1240="","",MAX(IFERROR(INDEX('Paramètres'!$J$6:$J$33,MATCH(E1240,'Paramètres'!$I$6:$I$33,0)),0),IFERROR(INDEX('Paramètres'!$N$6:$N$17,MATCH(F1240,'Paramètres'!$M$6:$M$17,0)),0)))</f>
        <v/>
      </c>
      <c r="AU1240" s="61">
        <f>IF(E1240="","",IFERROR(IF(INDEX('Paramètres'!$K$6:$K$33,MATCH(E1240,'Paramètres'!$I$6:$I$33,0))="Oui",1,0),0))</f>
        <v/>
      </c>
      <c r="AV1240" s="61">
        <f>IF(F1240="","",IFERROR(IF(INDEX('Paramètres'!$O$6:$O$17,MATCH(F1240,'Paramètres'!$M$6:$M$17,0))="Oui",1,0),0))</f>
        <v/>
      </c>
      <c r="AW1240" s="62">
        <f>IF(E1240="","",IF(G1240&lt;&gt;"",G1240,IF(OR(E1240="Proposition envoyée",E1240="Signature"),MAX(0,N(IFERROR(INDEX('Paramètres'!$R$6:$R$15,MATCH(IF(AL1240&lt;&gt;"",AL1240,IFERROR(INDEX('Prospects'!$AN$5:$AN$504,MATCH(C1240,'Prospects'!$C$5:$C$504,0)),"")),'Paramètres'!$Q$6:$Q$15,0)),0))-N(P1240)),0)))</f>
        <v/>
      </c>
      <c r="AX1240" s="61">
        <f>IF(C1240="","",IF(COUNTIF($C$5:C1240,C1240)=1,MAX($AX$4:AX1239)+1,""))</f>
        <v/>
      </c>
      <c r="AY1240" s="61">
        <f>IF(B1240="","",HOUR(B1240))</f>
        <v/>
      </c>
      <c r="AZ1240" s="61">
        <f>IF(A1240="","",MOD(A1240-2,7)+1)</f>
        <v/>
      </c>
      <c r="BA1240" s="60">
        <f>IF(C1240="","",IFERROR(INDEX('Prospects'!$N$5:$N$504,MATCH(C1240,'Prospects'!$C$5:$C$504,0)),""))</f>
        <v/>
      </c>
      <c r="BB1240" s="61">
        <f>IF(AND(C1240&lt;&gt;"",C1240='Fiche prospect'!$C$4),COUNTIF($C$5:C1240,C1240),"")</f>
        <v/>
      </c>
    </row>
    <row r="1241">
      <c r="A1241" s="53" t="n"/>
      <c r="B1241" s="54" t="n"/>
      <c r="C1241" s="55" t="n"/>
      <c r="D1241" s="55" t="n"/>
      <c r="E1241" s="55" t="n"/>
      <c r="F1241" s="55" t="n"/>
      <c r="G1241" s="56" t="n"/>
      <c r="H1241" s="57" t="n"/>
      <c r="I1241" s="55" t="n"/>
      <c r="J1241" s="53" t="n"/>
      <c r="K1241" s="54" t="n"/>
      <c r="L1241" s="55" t="n"/>
      <c r="M1241" s="55" t="n"/>
      <c r="N1241" s="57" t="n"/>
      <c r="O1241" s="55" t="n"/>
      <c r="P1241" s="56" t="n"/>
      <c r="Q1241" s="55" t="n"/>
      <c r="R1241" s="55" t="n"/>
      <c r="S1241" s="55" t="n"/>
      <c r="T1241" s="55" t="n"/>
      <c r="U1241" s="55" t="n"/>
      <c r="V1241" s="55" t="n"/>
      <c r="W1241" s="58" t="n"/>
      <c r="X1241" s="58" t="n"/>
      <c r="Y1241" s="55" t="n"/>
      <c r="Z1241" s="55" t="n"/>
      <c r="AA1241" s="55" t="n"/>
      <c r="AB1241" s="55" t="n"/>
      <c r="AC1241" s="55" t="n"/>
      <c r="AD1241" s="53" t="n"/>
      <c r="AE1241" s="55" t="n"/>
      <c r="AF1241" s="55" t="n"/>
      <c r="AG1241" s="59" t="n"/>
      <c r="AH1241" s="57" t="n"/>
      <c r="AI1241" s="55" t="n"/>
      <c r="AJ1241" s="55" t="n"/>
      <c r="AK1241" s="55" t="n"/>
      <c r="AL1241" s="55" t="n"/>
      <c r="AM1241" s="56" t="n"/>
      <c r="AN1241" s="55" t="n"/>
      <c r="AO1241" s="55" t="n"/>
      <c r="AP1241" s="55" t="n"/>
      <c r="AQ1241" s="55" t="n"/>
      <c r="AR1241" s="60">
        <f>IF(AND(C1241="",E1241=""),"",IF(A1241="","⚠ Date manquante",IF(AND(C1241="",E1241&lt;&gt;"Dépense"),"⚠ Prospect manquant",IF(E1241="","⚠ Action manquante",IF(AND(AU1241=1,D1241=""),"⚠ Canal manquant",IF(AND(W1241&lt;&gt;"",COUNTIFS('Saisie'!$W$5:$W$2004,W1241,'Saisie'!$C$5:$C$2004,"&lt;&gt;"&amp;C1241)&gt;0),"⚠ Numéro déjà utilisé par un autre prospect",IF(AND(J1241&lt;&gt;"",J1241&lt;A1241),"⚠ Relance avant la date de l'action",IF(A1241&gt;TODAY(),"⚠ Date dans le futur","✓"))))))))</f>
        <v/>
      </c>
      <c r="AS1241" s="61">
        <f>IF(AND(A1241="",C1241="",E1241=""),"",ROW())</f>
        <v/>
      </c>
      <c r="AT1241" s="61">
        <f>IF(E1241&amp;F1241="","",MAX(IFERROR(INDEX('Paramètres'!$J$6:$J$33,MATCH(E1241,'Paramètres'!$I$6:$I$33,0)),0),IFERROR(INDEX('Paramètres'!$N$6:$N$17,MATCH(F1241,'Paramètres'!$M$6:$M$17,0)),0)))</f>
        <v/>
      </c>
      <c r="AU1241" s="61">
        <f>IF(E1241="","",IFERROR(IF(INDEX('Paramètres'!$K$6:$K$33,MATCH(E1241,'Paramètres'!$I$6:$I$33,0))="Oui",1,0),0))</f>
        <v/>
      </c>
      <c r="AV1241" s="61">
        <f>IF(F1241="","",IFERROR(IF(INDEX('Paramètres'!$O$6:$O$17,MATCH(F1241,'Paramètres'!$M$6:$M$17,0))="Oui",1,0),0))</f>
        <v/>
      </c>
      <c r="AW1241" s="62">
        <f>IF(E1241="","",IF(G1241&lt;&gt;"",G1241,IF(OR(E1241="Proposition envoyée",E1241="Signature"),MAX(0,N(IFERROR(INDEX('Paramètres'!$R$6:$R$15,MATCH(IF(AL1241&lt;&gt;"",AL1241,IFERROR(INDEX('Prospects'!$AN$5:$AN$504,MATCH(C1241,'Prospects'!$C$5:$C$504,0)),"")),'Paramètres'!$Q$6:$Q$15,0)),0))-N(P1241)),0)))</f>
        <v/>
      </c>
      <c r="AX1241" s="61">
        <f>IF(C1241="","",IF(COUNTIF($C$5:C1241,C1241)=1,MAX($AX$4:AX1240)+1,""))</f>
        <v/>
      </c>
      <c r="AY1241" s="61">
        <f>IF(B1241="","",HOUR(B1241))</f>
        <v/>
      </c>
      <c r="AZ1241" s="61">
        <f>IF(A1241="","",MOD(A1241-2,7)+1)</f>
        <v/>
      </c>
      <c r="BA1241" s="60">
        <f>IF(C1241="","",IFERROR(INDEX('Prospects'!$N$5:$N$504,MATCH(C1241,'Prospects'!$C$5:$C$504,0)),""))</f>
        <v/>
      </c>
      <c r="BB1241" s="61">
        <f>IF(AND(C1241&lt;&gt;"",C1241='Fiche prospect'!$C$4),COUNTIF($C$5:C1241,C1241),"")</f>
        <v/>
      </c>
    </row>
    <row r="1242">
      <c r="A1242" s="53" t="n"/>
      <c r="B1242" s="54" t="n"/>
      <c r="C1242" s="55" t="n"/>
      <c r="D1242" s="55" t="n"/>
      <c r="E1242" s="55" t="n"/>
      <c r="F1242" s="55" t="n"/>
      <c r="G1242" s="56" t="n"/>
      <c r="H1242" s="57" t="n"/>
      <c r="I1242" s="55" t="n"/>
      <c r="J1242" s="53" t="n"/>
      <c r="K1242" s="54" t="n"/>
      <c r="L1242" s="55" t="n"/>
      <c r="M1242" s="55" t="n"/>
      <c r="N1242" s="57" t="n"/>
      <c r="O1242" s="55" t="n"/>
      <c r="P1242" s="56" t="n"/>
      <c r="Q1242" s="55" t="n"/>
      <c r="R1242" s="55" t="n"/>
      <c r="S1242" s="55" t="n"/>
      <c r="T1242" s="55" t="n"/>
      <c r="U1242" s="55" t="n"/>
      <c r="V1242" s="55" t="n"/>
      <c r="W1242" s="58" t="n"/>
      <c r="X1242" s="58" t="n"/>
      <c r="Y1242" s="55" t="n"/>
      <c r="Z1242" s="55" t="n"/>
      <c r="AA1242" s="55" t="n"/>
      <c r="AB1242" s="55" t="n"/>
      <c r="AC1242" s="55" t="n"/>
      <c r="AD1242" s="53" t="n"/>
      <c r="AE1242" s="55" t="n"/>
      <c r="AF1242" s="55" t="n"/>
      <c r="AG1242" s="59" t="n"/>
      <c r="AH1242" s="57" t="n"/>
      <c r="AI1242" s="55" t="n"/>
      <c r="AJ1242" s="55" t="n"/>
      <c r="AK1242" s="55" t="n"/>
      <c r="AL1242" s="55" t="n"/>
      <c r="AM1242" s="56" t="n"/>
      <c r="AN1242" s="55" t="n"/>
      <c r="AO1242" s="55" t="n"/>
      <c r="AP1242" s="55" t="n"/>
      <c r="AQ1242" s="55" t="n"/>
      <c r="AR1242" s="60">
        <f>IF(AND(C1242="",E1242=""),"",IF(A1242="","⚠ Date manquante",IF(AND(C1242="",E1242&lt;&gt;"Dépense"),"⚠ Prospect manquant",IF(E1242="","⚠ Action manquante",IF(AND(AU1242=1,D1242=""),"⚠ Canal manquant",IF(AND(W1242&lt;&gt;"",COUNTIFS('Saisie'!$W$5:$W$2004,W1242,'Saisie'!$C$5:$C$2004,"&lt;&gt;"&amp;C1242)&gt;0),"⚠ Numéro déjà utilisé par un autre prospect",IF(AND(J1242&lt;&gt;"",J1242&lt;A1242),"⚠ Relance avant la date de l'action",IF(A1242&gt;TODAY(),"⚠ Date dans le futur","✓"))))))))</f>
        <v/>
      </c>
      <c r="AS1242" s="61">
        <f>IF(AND(A1242="",C1242="",E1242=""),"",ROW())</f>
        <v/>
      </c>
      <c r="AT1242" s="61">
        <f>IF(E1242&amp;F1242="","",MAX(IFERROR(INDEX('Paramètres'!$J$6:$J$33,MATCH(E1242,'Paramètres'!$I$6:$I$33,0)),0),IFERROR(INDEX('Paramètres'!$N$6:$N$17,MATCH(F1242,'Paramètres'!$M$6:$M$17,0)),0)))</f>
        <v/>
      </c>
      <c r="AU1242" s="61">
        <f>IF(E1242="","",IFERROR(IF(INDEX('Paramètres'!$K$6:$K$33,MATCH(E1242,'Paramètres'!$I$6:$I$33,0))="Oui",1,0),0))</f>
        <v/>
      </c>
      <c r="AV1242" s="61">
        <f>IF(F1242="","",IFERROR(IF(INDEX('Paramètres'!$O$6:$O$17,MATCH(F1242,'Paramètres'!$M$6:$M$17,0))="Oui",1,0),0))</f>
        <v/>
      </c>
      <c r="AW1242" s="62">
        <f>IF(E1242="","",IF(G1242&lt;&gt;"",G1242,IF(OR(E1242="Proposition envoyée",E1242="Signature"),MAX(0,N(IFERROR(INDEX('Paramètres'!$R$6:$R$15,MATCH(IF(AL1242&lt;&gt;"",AL1242,IFERROR(INDEX('Prospects'!$AN$5:$AN$504,MATCH(C1242,'Prospects'!$C$5:$C$504,0)),"")),'Paramètres'!$Q$6:$Q$15,0)),0))-N(P1242)),0)))</f>
        <v/>
      </c>
      <c r="AX1242" s="61">
        <f>IF(C1242="","",IF(COUNTIF($C$5:C1242,C1242)=1,MAX($AX$4:AX1241)+1,""))</f>
        <v/>
      </c>
      <c r="AY1242" s="61">
        <f>IF(B1242="","",HOUR(B1242))</f>
        <v/>
      </c>
      <c r="AZ1242" s="61">
        <f>IF(A1242="","",MOD(A1242-2,7)+1)</f>
        <v/>
      </c>
      <c r="BA1242" s="60">
        <f>IF(C1242="","",IFERROR(INDEX('Prospects'!$N$5:$N$504,MATCH(C1242,'Prospects'!$C$5:$C$504,0)),""))</f>
        <v/>
      </c>
      <c r="BB1242" s="61">
        <f>IF(AND(C1242&lt;&gt;"",C1242='Fiche prospect'!$C$4),COUNTIF($C$5:C1242,C1242),"")</f>
        <v/>
      </c>
    </row>
    <row r="1243">
      <c r="A1243" s="53" t="n"/>
      <c r="B1243" s="54" t="n"/>
      <c r="C1243" s="55" t="n"/>
      <c r="D1243" s="55" t="n"/>
      <c r="E1243" s="55" t="n"/>
      <c r="F1243" s="55" t="n"/>
      <c r="G1243" s="56" t="n"/>
      <c r="H1243" s="57" t="n"/>
      <c r="I1243" s="55" t="n"/>
      <c r="J1243" s="53" t="n"/>
      <c r="K1243" s="54" t="n"/>
      <c r="L1243" s="55" t="n"/>
      <c r="M1243" s="55" t="n"/>
      <c r="N1243" s="57" t="n"/>
      <c r="O1243" s="55" t="n"/>
      <c r="P1243" s="56" t="n"/>
      <c r="Q1243" s="55" t="n"/>
      <c r="R1243" s="55" t="n"/>
      <c r="S1243" s="55" t="n"/>
      <c r="T1243" s="55" t="n"/>
      <c r="U1243" s="55" t="n"/>
      <c r="V1243" s="55" t="n"/>
      <c r="W1243" s="58" t="n"/>
      <c r="X1243" s="58" t="n"/>
      <c r="Y1243" s="55" t="n"/>
      <c r="Z1243" s="55" t="n"/>
      <c r="AA1243" s="55" t="n"/>
      <c r="AB1243" s="55" t="n"/>
      <c r="AC1243" s="55" t="n"/>
      <c r="AD1243" s="53" t="n"/>
      <c r="AE1243" s="55" t="n"/>
      <c r="AF1243" s="55" t="n"/>
      <c r="AG1243" s="59" t="n"/>
      <c r="AH1243" s="57" t="n"/>
      <c r="AI1243" s="55" t="n"/>
      <c r="AJ1243" s="55" t="n"/>
      <c r="AK1243" s="55" t="n"/>
      <c r="AL1243" s="55" t="n"/>
      <c r="AM1243" s="56" t="n"/>
      <c r="AN1243" s="55" t="n"/>
      <c r="AO1243" s="55" t="n"/>
      <c r="AP1243" s="55" t="n"/>
      <c r="AQ1243" s="55" t="n"/>
      <c r="AR1243" s="60">
        <f>IF(AND(C1243="",E1243=""),"",IF(A1243="","⚠ Date manquante",IF(AND(C1243="",E1243&lt;&gt;"Dépense"),"⚠ Prospect manquant",IF(E1243="","⚠ Action manquante",IF(AND(AU1243=1,D1243=""),"⚠ Canal manquant",IF(AND(W1243&lt;&gt;"",COUNTIFS('Saisie'!$W$5:$W$2004,W1243,'Saisie'!$C$5:$C$2004,"&lt;&gt;"&amp;C1243)&gt;0),"⚠ Numéro déjà utilisé par un autre prospect",IF(AND(J1243&lt;&gt;"",J1243&lt;A1243),"⚠ Relance avant la date de l'action",IF(A1243&gt;TODAY(),"⚠ Date dans le futur","✓"))))))))</f>
        <v/>
      </c>
      <c r="AS1243" s="61">
        <f>IF(AND(A1243="",C1243="",E1243=""),"",ROW())</f>
        <v/>
      </c>
      <c r="AT1243" s="61">
        <f>IF(E1243&amp;F1243="","",MAX(IFERROR(INDEX('Paramètres'!$J$6:$J$33,MATCH(E1243,'Paramètres'!$I$6:$I$33,0)),0),IFERROR(INDEX('Paramètres'!$N$6:$N$17,MATCH(F1243,'Paramètres'!$M$6:$M$17,0)),0)))</f>
        <v/>
      </c>
      <c r="AU1243" s="61">
        <f>IF(E1243="","",IFERROR(IF(INDEX('Paramètres'!$K$6:$K$33,MATCH(E1243,'Paramètres'!$I$6:$I$33,0))="Oui",1,0),0))</f>
        <v/>
      </c>
      <c r="AV1243" s="61">
        <f>IF(F1243="","",IFERROR(IF(INDEX('Paramètres'!$O$6:$O$17,MATCH(F1243,'Paramètres'!$M$6:$M$17,0))="Oui",1,0),0))</f>
        <v/>
      </c>
      <c r="AW1243" s="62">
        <f>IF(E1243="","",IF(G1243&lt;&gt;"",G1243,IF(OR(E1243="Proposition envoyée",E1243="Signature"),MAX(0,N(IFERROR(INDEX('Paramètres'!$R$6:$R$15,MATCH(IF(AL1243&lt;&gt;"",AL1243,IFERROR(INDEX('Prospects'!$AN$5:$AN$504,MATCH(C1243,'Prospects'!$C$5:$C$504,0)),"")),'Paramètres'!$Q$6:$Q$15,0)),0))-N(P1243)),0)))</f>
        <v/>
      </c>
      <c r="AX1243" s="61">
        <f>IF(C1243="","",IF(COUNTIF($C$5:C1243,C1243)=1,MAX($AX$4:AX1242)+1,""))</f>
        <v/>
      </c>
      <c r="AY1243" s="61">
        <f>IF(B1243="","",HOUR(B1243))</f>
        <v/>
      </c>
      <c r="AZ1243" s="61">
        <f>IF(A1243="","",MOD(A1243-2,7)+1)</f>
        <v/>
      </c>
      <c r="BA1243" s="60">
        <f>IF(C1243="","",IFERROR(INDEX('Prospects'!$N$5:$N$504,MATCH(C1243,'Prospects'!$C$5:$C$504,0)),""))</f>
        <v/>
      </c>
      <c r="BB1243" s="61">
        <f>IF(AND(C1243&lt;&gt;"",C1243='Fiche prospect'!$C$4),COUNTIF($C$5:C1243,C1243),"")</f>
        <v/>
      </c>
    </row>
    <row r="1244">
      <c r="A1244" s="53" t="n"/>
      <c r="B1244" s="54" t="n"/>
      <c r="C1244" s="55" t="n"/>
      <c r="D1244" s="55" t="n"/>
      <c r="E1244" s="55" t="n"/>
      <c r="F1244" s="55" t="n"/>
      <c r="G1244" s="56" t="n"/>
      <c r="H1244" s="57" t="n"/>
      <c r="I1244" s="55" t="n"/>
      <c r="J1244" s="53" t="n"/>
      <c r="K1244" s="54" t="n"/>
      <c r="L1244" s="55" t="n"/>
      <c r="M1244" s="55" t="n"/>
      <c r="N1244" s="57" t="n"/>
      <c r="O1244" s="55" t="n"/>
      <c r="P1244" s="56" t="n"/>
      <c r="Q1244" s="55" t="n"/>
      <c r="R1244" s="55" t="n"/>
      <c r="S1244" s="55" t="n"/>
      <c r="T1244" s="55" t="n"/>
      <c r="U1244" s="55" t="n"/>
      <c r="V1244" s="55" t="n"/>
      <c r="W1244" s="58" t="n"/>
      <c r="X1244" s="58" t="n"/>
      <c r="Y1244" s="55" t="n"/>
      <c r="Z1244" s="55" t="n"/>
      <c r="AA1244" s="55" t="n"/>
      <c r="AB1244" s="55" t="n"/>
      <c r="AC1244" s="55" t="n"/>
      <c r="AD1244" s="53" t="n"/>
      <c r="AE1244" s="55" t="n"/>
      <c r="AF1244" s="55" t="n"/>
      <c r="AG1244" s="59" t="n"/>
      <c r="AH1244" s="57" t="n"/>
      <c r="AI1244" s="55" t="n"/>
      <c r="AJ1244" s="55" t="n"/>
      <c r="AK1244" s="55" t="n"/>
      <c r="AL1244" s="55" t="n"/>
      <c r="AM1244" s="56" t="n"/>
      <c r="AN1244" s="55" t="n"/>
      <c r="AO1244" s="55" t="n"/>
      <c r="AP1244" s="55" t="n"/>
      <c r="AQ1244" s="55" t="n"/>
      <c r="AR1244" s="60">
        <f>IF(AND(C1244="",E1244=""),"",IF(A1244="","⚠ Date manquante",IF(AND(C1244="",E1244&lt;&gt;"Dépense"),"⚠ Prospect manquant",IF(E1244="","⚠ Action manquante",IF(AND(AU1244=1,D1244=""),"⚠ Canal manquant",IF(AND(W1244&lt;&gt;"",COUNTIFS('Saisie'!$W$5:$W$2004,W1244,'Saisie'!$C$5:$C$2004,"&lt;&gt;"&amp;C1244)&gt;0),"⚠ Numéro déjà utilisé par un autre prospect",IF(AND(J1244&lt;&gt;"",J1244&lt;A1244),"⚠ Relance avant la date de l'action",IF(A1244&gt;TODAY(),"⚠ Date dans le futur","✓"))))))))</f>
        <v/>
      </c>
      <c r="AS1244" s="61">
        <f>IF(AND(A1244="",C1244="",E1244=""),"",ROW())</f>
        <v/>
      </c>
      <c r="AT1244" s="61">
        <f>IF(E1244&amp;F1244="","",MAX(IFERROR(INDEX('Paramètres'!$J$6:$J$33,MATCH(E1244,'Paramètres'!$I$6:$I$33,0)),0),IFERROR(INDEX('Paramètres'!$N$6:$N$17,MATCH(F1244,'Paramètres'!$M$6:$M$17,0)),0)))</f>
        <v/>
      </c>
      <c r="AU1244" s="61">
        <f>IF(E1244="","",IFERROR(IF(INDEX('Paramètres'!$K$6:$K$33,MATCH(E1244,'Paramètres'!$I$6:$I$33,0))="Oui",1,0),0))</f>
        <v/>
      </c>
      <c r="AV1244" s="61">
        <f>IF(F1244="","",IFERROR(IF(INDEX('Paramètres'!$O$6:$O$17,MATCH(F1244,'Paramètres'!$M$6:$M$17,0))="Oui",1,0),0))</f>
        <v/>
      </c>
      <c r="AW1244" s="62">
        <f>IF(E1244="","",IF(G1244&lt;&gt;"",G1244,IF(OR(E1244="Proposition envoyée",E1244="Signature"),MAX(0,N(IFERROR(INDEX('Paramètres'!$R$6:$R$15,MATCH(IF(AL1244&lt;&gt;"",AL1244,IFERROR(INDEX('Prospects'!$AN$5:$AN$504,MATCH(C1244,'Prospects'!$C$5:$C$504,0)),"")),'Paramètres'!$Q$6:$Q$15,0)),0))-N(P1244)),0)))</f>
        <v/>
      </c>
      <c r="AX1244" s="61">
        <f>IF(C1244="","",IF(COUNTIF($C$5:C1244,C1244)=1,MAX($AX$4:AX1243)+1,""))</f>
        <v/>
      </c>
      <c r="AY1244" s="61">
        <f>IF(B1244="","",HOUR(B1244))</f>
        <v/>
      </c>
      <c r="AZ1244" s="61">
        <f>IF(A1244="","",MOD(A1244-2,7)+1)</f>
        <v/>
      </c>
      <c r="BA1244" s="60">
        <f>IF(C1244="","",IFERROR(INDEX('Prospects'!$N$5:$N$504,MATCH(C1244,'Prospects'!$C$5:$C$504,0)),""))</f>
        <v/>
      </c>
      <c r="BB1244" s="61">
        <f>IF(AND(C1244&lt;&gt;"",C1244='Fiche prospect'!$C$4),COUNTIF($C$5:C1244,C1244),"")</f>
        <v/>
      </c>
    </row>
    <row r="1245">
      <c r="A1245" s="53" t="n"/>
      <c r="B1245" s="54" t="n"/>
      <c r="C1245" s="55" t="n"/>
      <c r="D1245" s="55" t="n"/>
      <c r="E1245" s="55" t="n"/>
      <c r="F1245" s="55" t="n"/>
      <c r="G1245" s="56" t="n"/>
      <c r="H1245" s="57" t="n"/>
      <c r="I1245" s="55" t="n"/>
      <c r="J1245" s="53" t="n"/>
      <c r="K1245" s="54" t="n"/>
      <c r="L1245" s="55" t="n"/>
      <c r="M1245" s="55" t="n"/>
      <c r="N1245" s="57" t="n"/>
      <c r="O1245" s="55" t="n"/>
      <c r="P1245" s="56" t="n"/>
      <c r="Q1245" s="55" t="n"/>
      <c r="R1245" s="55" t="n"/>
      <c r="S1245" s="55" t="n"/>
      <c r="T1245" s="55" t="n"/>
      <c r="U1245" s="55" t="n"/>
      <c r="V1245" s="55" t="n"/>
      <c r="W1245" s="58" t="n"/>
      <c r="X1245" s="58" t="n"/>
      <c r="Y1245" s="55" t="n"/>
      <c r="Z1245" s="55" t="n"/>
      <c r="AA1245" s="55" t="n"/>
      <c r="AB1245" s="55" t="n"/>
      <c r="AC1245" s="55" t="n"/>
      <c r="AD1245" s="53" t="n"/>
      <c r="AE1245" s="55" t="n"/>
      <c r="AF1245" s="55" t="n"/>
      <c r="AG1245" s="59" t="n"/>
      <c r="AH1245" s="57" t="n"/>
      <c r="AI1245" s="55" t="n"/>
      <c r="AJ1245" s="55" t="n"/>
      <c r="AK1245" s="55" t="n"/>
      <c r="AL1245" s="55" t="n"/>
      <c r="AM1245" s="56" t="n"/>
      <c r="AN1245" s="55" t="n"/>
      <c r="AO1245" s="55" t="n"/>
      <c r="AP1245" s="55" t="n"/>
      <c r="AQ1245" s="55" t="n"/>
      <c r="AR1245" s="60">
        <f>IF(AND(C1245="",E1245=""),"",IF(A1245="","⚠ Date manquante",IF(AND(C1245="",E1245&lt;&gt;"Dépense"),"⚠ Prospect manquant",IF(E1245="","⚠ Action manquante",IF(AND(AU1245=1,D1245=""),"⚠ Canal manquant",IF(AND(W1245&lt;&gt;"",COUNTIFS('Saisie'!$W$5:$W$2004,W1245,'Saisie'!$C$5:$C$2004,"&lt;&gt;"&amp;C1245)&gt;0),"⚠ Numéro déjà utilisé par un autre prospect",IF(AND(J1245&lt;&gt;"",J1245&lt;A1245),"⚠ Relance avant la date de l'action",IF(A1245&gt;TODAY(),"⚠ Date dans le futur","✓"))))))))</f>
        <v/>
      </c>
      <c r="AS1245" s="61">
        <f>IF(AND(A1245="",C1245="",E1245=""),"",ROW())</f>
        <v/>
      </c>
      <c r="AT1245" s="61">
        <f>IF(E1245&amp;F1245="","",MAX(IFERROR(INDEX('Paramètres'!$J$6:$J$33,MATCH(E1245,'Paramètres'!$I$6:$I$33,0)),0),IFERROR(INDEX('Paramètres'!$N$6:$N$17,MATCH(F1245,'Paramètres'!$M$6:$M$17,0)),0)))</f>
        <v/>
      </c>
      <c r="AU1245" s="61">
        <f>IF(E1245="","",IFERROR(IF(INDEX('Paramètres'!$K$6:$K$33,MATCH(E1245,'Paramètres'!$I$6:$I$33,0))="Oui",1,0),0))</f>
        <v/>
      </c>
      <c r="AV1245" s="61">
        <f>IF(F1245="","",IFERROR(IF(INDEX('Paramètres'!$O$6:$O$17,MATCH(F1245,'Paramètres'!$M$6:$M$17,0))="Oui",1,0),0))</f>
        <v/>
      </c>
      <c r="AW1245" s="62">
        <f>IF(E1245="","",IF(G1245&lt;&gt;"",G1245,IF(OR(E1245="Proposition envoyée",E1245="Signature"),MAX(0,N(IFERROR(INDEX('Paramètres'!$R$6:$R$15,MATCH(IF(AL1245&lt;&gt;"",AL1245,IFERROR(INDEX('Prospects'!$AN$5:$AN$504,MATCH(C1245,'Prospects'!$C$5:$C$504,0)),"")),'Paramètres'!$Q$6:$Q$15,0)),0))-N(P1245)),0)))</f>
        <v/>
      </c>
      <c r="AX1245" s="61">
        <f>IF(C1245="","",IF(COUNTIF($C$5:C1245,C1245)=1,MAX($AX$4:AX1244)+1,""))</f>
        <v/>
      </c>
      <c r="AY1245" s="61">
        <f>IF(B1245="","",HOUR(B1245))</f>
        <v/>
      </c>
      <c r="AZ1245" s="61">
        <f>IF(A1245="","",MOD(A1245-2,7)+1)</f>
        <v/>
      </c>
      <c r="BA1245" s="60">
        <f>IF(C1245="","",IFERROR(INDEX('Prospects'!$N$5:$N$504,MATCH(C1245,'Prospects'!$C$5:$C$504,0)),""))</f>
        <v/>
      </c>
      <c r="BB1245" s="61">
        <f>IF(AND(C1245&lt;&gt;"",C1245='Fiche prospect'!$C$4),COUNTIF($C$5:C1245,C1245),"")</f>
        <v/>
      </c>
    </row>
    <row r="1246">
      <c r="A1246" s="53" t="n"/>
      <c r="B1246" s="54" t="n"/>
      <c r="C1246" s="55" t="n"/>
      <c r="D1246" s="55" t="n"/>
      <c r="E1246" s="55" t="n"/>
      <c r="F1246" s="55" t="n"/>
      <c r="G1246" s="56" t="n"/>
      <c r="H1246" s="57" t="n"/>
      <c r="I1246" s="55" t="n"/>
      <c r="J1246" s="53" t="n"/>
      <c r="K1246" s="54" t="n"/>
      <c r="L1246" s="55" t="n"/>
      <c r="M1246" s="55" t="n"/>
      <c r="N1246" s="57" t="n"/>
      <c r="O1246" s="55" t="n"/>
      <c r="P1246" s="56" t="n"/>
      <c r="Q1246" s="55" t="n"/>
      <c r="R1246" s="55" t="n"/>
      <c r="S1246" s="55" t="n"/>
      <c r="T1246" s="55" t="n"/>
      <c r="U1246" s="55" t="n"/>
      <c r="V1246" s="55" t="n"/>
      <c r="W1246" s="58" t="n"/>
      <c r="X1246" s="58" t="n"/>
      <c r="Y1246" s="55" t="n"/>
      <c r="Z1246" s="55" t="n"/>
      <c r="AA1246" s="55" t="n"/>
      <c r="AB1246" s="55" t="n"/>
      <c r="AC1246" s="55" t="n"/>
      <c r="AD1246" s="53" t="n"/>
      <c r="AE1246" s="55" t="n"/>
      <c r="AF1246" s="55" t="n"/>
      <c r="AG1246" s="59" t="n"/>
      <c r="AH1246" s="57" t="n"/>
      <c r="AI1246" s="55" t="n"/>
      <c r="AJ1246" s="55" t="n"/>
      <c r="AK1246" s="55" t="n"/>
      <c r="AL1246" s="55" t="n"/>
      <c r="AM1246" s="56" t="n"/>
      <c r="AN1246" s="55" t="n"/>
      <c r="AO1246" s="55" t="n"/>
      <c r="AP1246" s="55" t="n"/>
      <c r="AQ1246" s="55" t="n"/>
      <c r="AR1246" s="60">
        <f>IF(AND(C1246="",E1246=""),"",IF(A1246="","⚠ Date manquante",IF(AND(C1246="",E1246&lt;&gt;"Dépense"),"⚠ Prospect manquant",IF(E1246="","⚠ Action manquante",IF(AND(AU1246=1,D1246=""),"⚠ Canal manquant",IF(AND(W1246&lt;&gt;"",COUNTIFS('Saisie'!$W$5:$W$2004,W1246,'Saisie'!$C$5:$C$2004,"&lt;&gt;"&amp;C1246)&gt;0),"⚠ Numéro déjà utilisé par un autre prospect",IF(AND(J1246&lt;&gt;"",J1246&lt;A1246),"⚠ Relance avant la date de l'action",IF(A1246&gt;TODAY(),"⚠ Date dans le futur","✓"))))))))</f>
        <v/>
      </c>
      <c r="AS1246" s="61">
        <f>IF(AND(A1246="",C1246="",E1246=""),"",ROW())</f>
        <v/>
      </c>
      <c r="AT1246" s="61">
        <f>IF(E1246&amp;F1246="","",MAX(IFERROR(INDEX('Paramètres'!$J$6:$J$33,MATCH(E1246,'Paramètres'!$I$6:$I$33,0)),0),IFERROR(INDEX('Paramètres'!$N$6:$N$17,MATCH(F1246,'Paramètres'!$M$6:$M$17,0)),0)))</f>
        <v/>
      </c>
      <c r="AU1246" s="61">
        <f>IF(E1246="","",IFERROR(IF(INDEX('Paramètres'!$K$6:$K$33,MATCH(E1246,'Paramètres'!$I$6:$I$33,0))="Oui",1,0),0))</f>
        <v/>
      </c>
      <c r="AV1246" s="61">
        <f>IF(F1246="","",IFERROR(IF(INDEX('Paramètres'!$O$6:$O$17,MATCH(F1246,'Paramètres'!$M$6:$M$17,0))="Oui",1,0),0))</f>
        <v/>
      </c>
      <c r="AW1246" s="62">
        <f>IF(E1246="","",IF(G1246&lt;&gt;"",G1246,IF(OR(E1246="Proposition envoyée",E1246="Signature"),MAX(0,N(IFERROR(INDEX('Paramètres'!$R$6:$R$15,MATCH(IF(AL1246&lt;&gt;"",AL1246,IFERROR(INDEX('Prospects'!$AN$5:$AN$504,MATCH(C1246,'Prospects'!$C$5:$C$504,0)),"")),'Paramètres'!$Q$6:$Q$15,0)),0))-N(P1246)),0)))</f>
        <v/>
      </c>
      <c r="AX1246" s="61">
        <f>IF(C1246="","",IF(COUNTIF($C$5:C1246,C1246)=1,MAX($AX$4:AX1245)+1,""))</f>
        <v/>
      </c>
      <c r="AY1246" s="61">
        <f>IF(B1246="","",HOUR(B1246))</f>
        <v/>
      </c>
      <c r="AZ1246" s="61">
        <f>IF(A1246="","",MOD(A1246-2,7)+1)</f>
        <v/>
      </c>
      <c r="BA1246" s="60">
        <f>IF(C1246="","",IFERROR(INDEX('Prospects'!$N$5:$N$504,MATCH(C1246,'Prospects'!$C$5:$C$504,0)),""))</f>
        <v/>
      </c>
      <c r="BB1246" s="61">
        <f>IF(AND(C1246&lt;&gt;"",C1246='Fiche prospect'!$C$4),COUNTIF($C$5:C1246,C1246),"")</f>
        <v/>
      </c>
    </row>
    <row r="1247">
      <c r="A1247" s="53" t="n"/>
      <c r="B1247" s="54" t="n"/>
      <c r="C1247" s="55" t="n"/>
      <c r="D1247" s="55" t="n"/>
      <c r="E1247" s="55" t="n"/>
      <c r="F1247" s="55" t="n"/>
      <c r="G1247" s="56" t="n"/>
      <c r="H1247" s="57" t="n"/>
      <c r="I1247" s="55" t="n"/>
      <c r="J1247" s="53" t="n"/>
      <c r="K1247" s="54" t="n"/>
      <c r="L1247" s="55" t="n"/>
      <c r="M1247" s="55" t="n"/>
      <c r="N1247" s="57" t="n"/>
      <c r="O1247" s="55" t="n"/>
      <c r="P1247" s="56" t="n"/>
      <c r="Q1247" s="55" t="n"/>
      <c r="R1247" s="55" t="n"/>
      <c r="S1247" s="55" t="n"/>
      <c r="T1247" s="55" t="n"/>
      <c r="U1247" s="55" t="n"/>
      <c r="V1247" s="55" t="n"/>
      <c r="W1247" s="58" t="n"/>
      <c r="X1247" s="58" t="n"/>
      <c r="Y1247" s="55" t="n"/>
      <c r="Z1247" s="55" t="n"/>
      <c r="AA1247" s="55" t="n"/>
      <c r="AB1247" s="55" t="n"/>
      <c r="AC1247" s="55" t="n"/>
      <c r="AD1247" s="53" t="n"/>
      <c r="AE1247" s="55" t="n"/>
      <c r="AF1247" s="55" t="n"/>
      <c r="AG1247" s="59" t="n"/>
      <c r="AH1247" s="57" t="n"/>
      <c r="AI1247" s="55" t="n"/>
      <c r="AJ1247" s="55" t="n"/>
      <c r="AK1247" s="55" t="n"/>
      <c r="AL1247" s="55" t="n"/>
      <c r="AM1247" s="56" t="n"/>
      <c r="AN1247" s="55" t="n"/>
      <c r="AO1247" s="55" t="n"/>
      <c r="AP1247" s="55" t="n"/>
      <c r="AQ1247" s="55" t="n"/>
      <c r="AR1247" s="60">
        <f>IF(AND(C1247="",E1247=""),"",IF(A1247="","⚠ Date manquante",IF(AND(C1247="",E1247&lt;&gt;"Dépense"),"⚠ Prospect manquant",IF(E1247="","⚠ Action manquante",IF(AND(AU1247=1,D1247=""),"⚠ Canal manquant",IF(AND(W1247&lt;&gt;"",COUNTIFS('Saisie'!$W$5:$W$2004,W1247,'Saisie'!$C$5:$C$2004,"&lt;&gt;"&amp;C1247)&gt;0),"⚠ Numéro déjà utilisé par un autre prospect",IF(AND(J1247&lt;&gt;"",J1247&lt;A1247),"⚠ Relance avant la date de l'action",IF(A1247&gt;TODAY(),"⚠ Date dans le futur","✓"))))))))</f>
        <v/>
      </c>
      <c r="AS1247" s="61">
        <f>IF(AND(A1247="",C1247="",E1247=""),"",ROW())</f>
        <v/>
      </c>
      <c r="AT1247" s="61">
        <f>IF(E1247&amp;F1247="","",MAX(IFERROR(INDEX('Paramètres'!$J$6:$J$33,MATCH(E1247,'Paramètres'!$I$6:$I$33,0)),0),IFERROR(INDEX('Paramètres'!$N$6:$N$17,MATCH(F1247,'Paramètres'!$M$6:$M$17,0)),0)))</f>
        <v/>
      </c>
      <c r="AU1247" s="61">
        <f>IF(E1247="","",IFERROR(IF(INDEX('Paramètres'!$K$6:$K$33,MATCH(E1247,'Paramètres'!$I$6:$I$33,0))="Oui",1,0),0))</f>
        <v/>
      </c>
      <c r="AV1247" s="61">
        <f>IF(F1247="","",IFERROR(IF(INDEX('Paramètres'!$O$6:$O$17,MATCH(F1247,'Paramètres'!$M$6:$M$17,0))="Oui",1,0),0))</f>
        <v/>
      </c>
      <c r="AW1247" s="62">
        <f>IF(E1247="","",IF(G1247&lt;&gt;"",G1247,IF(OR(E1247="Proposition envoyée",E1247="Signature"),MAX(0,N(IFERROR(INDEX('Paramètres'!$R$6:$R$15,MATCH(IF(AL1247&lt;&gt;"",AL1247,IFERROR(INDEX('Prospects'!$AN$5:$AN$504,MATCH(C1247,'Prospects'!$C$5:$C$504,0)),"")),'Paramètres'!$Q$6:$Q$15,0)),0))-N(P1247)),0)))</f>
        <v/>
      </c>
      <c r="AX1247" s="61">
        <f>IF(C1247="","",IF(COUNTIF($C$5:C1247,C1247)=1,MAX($AX$4:AX1246)+1,""))</f>
        <v/>
      </c>
      <c r="AY1247" s="61">
        <f>IF(B1247="","",HOUR(B1247))</f>
        <v/>
      </c>
      <c r="AZ1247" s="61">
        <f>IF(A1247="","",MOD(A1247-2,7)+1)</f>
        <v/>
      </c>
      <c r="BA1247" s="60">
        <f>IF(C1247="","",IFERROR(INDEX('Prospects'!$N$5:$N$504,MATCH(C1247,'Prospects'!$C$5:$C$504,0)),""))</f>
        <v/>
      </c>
      <c r="BB1247" s="61">
        <f>IF(AND(C1247&lt;&gt;"",C1247='Fiche prospect'!$C$4),COUNTIF($C$5:C1247,C1247),"")</f>
        <v/>
      </c>
    </row>
    <row r="1248">
      <c r="A1248" s="53" t="n"/>
      <c r="B1248" s="54" t="n"/>
      <c r="C1248" s="55" t="n"/>
      <c r="D1248" s="55" t="n"/>
      <c r="E1248" s="55" t="n"/>
      <c r="F1248" s="55" t="n"/>
      <c r="G1248" s="56" t="n"/>
      <c r="H1248" s="57" t="n"/>
      <c r="I1248" s="55" t="n"/>
      <c r="J1248" s="53" t="n"/>
      <c r="K1248" s="54" t="n"/>
      <c r="L1248" s="55" t="n"/>
      <c r="M1248" s="55" t="n"/>
      <c r="N1248" s="57" t="n"/>
      <c r="O1248" s="55" t="n"/>
      <c r="P1248" s="56" t="n"/>
      <c r="Q1248" s="55" t="n"/>
      <c r="R1248" s="55" t="n"/>
      <c r="S1248" s="55" t="n"/>
      <c r="T1248" s="55" t="n"/>
      <c r="U1248" s="55" t="n"/>
      <c r="V1248" s="55" t="n"/>
      <c r="W1248" s="58" t="n"/>
      <c r="X1248" s="58" t="n"/>
      <c r="Y1248" s="55" t="n"/>
      <c r="Z1248" s="55" t="n"/>
      <c r="AA1248" s="55" t="n"/>
      <c r="AB1248" s="55" t="n"/>
      <c r="AC1248" s="55" t="n"/>
      <c r="AD1248" s="53" t="n"/>
      <c r="AE1248" s="55" t="n"/>
      <c r="AF1248" s="55" t="n"/>
      <c r="AG1248" s="59" t="n"/>
      <c r="AH1248" s="57" t="n"/>
      <c r="AI1248" s="55" t="n"/>
      <c r="AJ1248" s="55" t="n"/>
      <c r="AK1248" s="55" t="n"/>
      <c r="AL1248" s="55" t="n"/>
      <c r="AM1248" s="56" t="n"/>
      <c r="AN1248" s="55" t="n"/>
      <c r="AO1248" s="55" t="n"/>
      <c r="AP1248" s="55" t="n"/>
      <c r="AQ1248" s="55" t="n"/>
      <c r="AR1248" s="60">
        <f>IF(AND(C1248="",E1248=""),"",IF(A1248="","⚠ Date manquante",IF(AND(C1248="",E1248&lt;&gt;"Dépense"),"⚠ Prospect manquant",IF(E1248="","⚠ Action manquante",IF(AND(AU1248=1,D1248=""),"⚠ Canal manquant",IF(AND(W1248&lt;&gt;"",COUNTIFS('Saisie'!$W$5:$W$2004,W1248,'Saisie'!$C$5:$C$2004,"&lt;&gt;"&amp;C1248)&gt;0),"⚠ Numéro déjà utilisé par un autre prospect",IF(AND(J1248&lt;&gt;"",J1248&lt;A1248),"⚠ Relance avant la date de l'action",IF(A1248&gt;TODAY(),"⚠ Date dans le futur","✓"))))))))</f>
        <v/>
      </c>
      <c r="AS1248" s="61">
        <f>IF(AND(A1248="",C1248="",E1248=""),"",ROW())</f>
        <v/>
      </c>
      <c r="AT1248" s="61">
        <f>IF(E1248&amp;F1248="","",MAX(IFERROR(INDEX('Paramètres'!$J$6:$J$33,MATCH(E1248,'Paramètres'!$I$6:$I$33,0)),0),IFERROR(INDEX('Paramètres'!$N$6:$N$17,MATCH(F1248,'Paramètres'!$M$6:$M$17,0)),0)))</f>
        <v/>
      </c>
      <c r="AU1248" s="61">
        <f>IF(E1248="","",IFERROR(IF(INDEX('Paramètres'!$K$6:$K$33,MATCH(E1248,'Paramètres'!$I$6:$I$33,0))="Oui",1,0),0))</f>
        <v/>
      </c>
      <c r="AV1248" s="61">
        <f>IF(F1248="","",IFERROR(IF(INDEX('Paramètres'!$O$6:$O$17,MATCH(F1248,'Paramètres'!$M$6:$M$17,0))="Oui",1,0),0))</f>
        <v/>
      </c>
      <c r="AW1248" s="62">
        <f>IF(E1248="","",IF(G1248&lt;&gt;"",G1248,IF(OR(E1248="Proposition envoyée",E1248="Signature"),MAX(0,N(IFERROR(INDEX('Paramètres'!$R$6:$R$15,MATCH(IF(AL1248&lt;&gt;"",AL1248,IFERROR(INDEX('Prospects'!$AN$5:$AN$504,MATCH(C1248,'Prospects'!$C$5:$C$504,0)),"")),'Paramètres'!$Q$6:$Q$15,0)),0))-N(P1248)),0)))</f>
        <v/>
      </c>
      <c r="AX1248" s="61">
        <f>IF(C1248="","",IF(COUNTIF($C$5:C1248,C1248)=1,MAX($AX$4:AX1247)+1,""))</f>
        <v/>
      </c>
      <c r="AY1248" s="61">
        <f>IF(B1248="","",HOUR(B1248))</f>
        <v/>
      </c>
      <c r="AZ1248" s="61">
        <f>IF(A1248="","",MOD(A1248-2,7)+1)</f>
        <v/>
      </c>
      <c r="BA1248" s="60">
        <f>IF(C1248="","",IFERROR(INDEX('Prospects'!$N$5:$N$504,MATCH(C1248,'Prospects'!$C$5:$C$504,0)),""))</f>
        <v/>
      </c>
      <c r="BB1248" s="61">
        <f>IF(AND(C1248&lt;&gt;"",C1248='Fiche prospect'!$C$4),COUNTIF($C$5:C1248,C1248),"")</f>
        <v/>
      </c>
    </row>
    <row r="1249">
      <c r="A1249" s="53" t="n"/>
      <c r="B1249" s="54" t="n"/>
      <c r="C1249" s="55" t="n"/>
      <c r="D1249" s="55" t="n"/>
      <c r="E1249" s="55" t="n"/>
      <c r="F1249" s="55" t="n"/>
      <c r="G1249" s="56" t="n"/>
      <c r="H1249" s="57" t="n"/>
      <c r="I1249" s="55" t="n"/>
      <c r="J1249" s="53" t="n"/>
      <c r="K1249" s="54" t="n"/>
      <c r="L1249" s="55" t="n"/>
      <c r="M1249" s="55" t="n"/>
      <c r="N1249" s="57" t="n"/>
      <c r="O1249" s="55" t="n"/>
      <c r="P1249" s="56" t="n"/>
      <c r="Q1249" s="55" t="n"/>
      <c r="R1249" s="55" t="n"/>
      <c r="S1249" s="55" t="n"/>
      <c r="T1249" s="55" t="n"/>
      <c r="U1249" s="55" t="n"/>
      <c r="V1249" s="55" t="n"/>
      <c r="W1249" s="58" t="n"/>
      <c r="X1249" s="58" t="n"/>
      <c r="Y1249" s="55" t="n"/>
      <c r="Z1249" s="55" t="n"/>
      <c r="AA1249" s="55" t="n"/>
      <c r="AB1249" s="55" t="n"/>
      <c r="AC1249" s="55" t="n"/>
      <c r="AD1249" s="53" t="n"/>
      <c r="AE1249" s="55" t="n"/>
      <c r="AF1249" s="55" t="n"/>
      <c r="AG1249" s="59" t="n"/>
      <c r="AH1249" s="57" t="n"/>
      <c r="AI1249" s="55" t="n"/>
      <c r="AJ1249" s="55" t="n"/>
      <c r="AK1249" s="55" t="n"/>
      <c r="AL1249" s="55" t="n"/>
      <c r="AM1249" s="56" t="n"/>
      <c r="AN1249" s="55" t="n"/>
      <c r="AO1249" s="55" t="n"/>
      <c r="AP1249" s="55" t="n"/>
      <c r="AQ1249" s="55" t="n"/>
      <c r="AR1249" s="60">
        <f>IF(AND(C1249="",E1249=""),"",IF(A1249="","⚠ Date manquante",IF(AND(C1249="",E1249&lt;&gt;"Dépense"),"⚠ Prospect manquant",IF(E1249="","⚠ Action manquante",IF(AND(AU1249=1,D1249=""),"⚠ Canal manquant",IF(AND(W1249&lt;&gt;"",COUNTIFS('Saisie'!$W$5:$W$2004,W1249,'Saisie'!$C$5:$C$2004,"&lt;&gt;"&amp;C1249)&gt;0),"⚠ Numéro déjà utilisé par un autre prospect",IF(AND(J1249&lt;&gt;"",J1249&lt;A1249),"⚠ Relance avant la date de l'action",IF(A1249&gt;TODAY(),"⚠ Date dans le futur","✓"))))))))</f>
        <v/>
      </c>
      <c r="AS1249" s="61">
        <f>IF(AND(A1249="",C1249="",E1249=""),"",ROW())</f>
        <v/>
      </c>
      <c r="AT1249" s="61">
        <f>IF(E1249&amp;F1249="","",MAX(IFERROR(INDEX('Paramètres'!$J$6:$J$33,MATCH(E1249,'Paramètres'!$I$6:$I$33,0)),0),IFERROR(INDEX('Paramètres'!$N$6:$N$17,MATCH(F1249,'Paramètres'!$M$6:$M$17,0)),0)))</f>
        <v/>
      </c>
      <c r="AU1249" s="61">
        <f>IF(E1249="","",IFERROR(IF(INDEX('Paramètres'!$K$6:$K$33,MATCH(E1249,'Paramètres'!$I$6:$I$33,0))="Oui",1,0),0))</f>
        <v/>
      </c>
      <c r="AV1249" s="61">
        <f>IF(F1249="","",IFERROR(IF(INDEX('Paramètres'!$O$6:$O$17,MATCH(F1249,'Paramètres'!$M$6:$M$17,0))="Oui",1,0),0))</f>
        <v/>
      </c>
      <c r="AW1249" s="62">
        <f>IF(E1249="","",IF(G1249&lt;&gt;"",G1249,IF(OR(E1249="Proposition envoyée",E1249="Signature"),MAX(0,N(IFERROR(INDEX('Paramètres'!$R$6:$R$15,MATCH(IF(AL1249&lt;&gt;"",AL1249,IFERROR(INDEX('Prospects'!$AN$5:$AN$504,MATCH(C1249,'Prospects'!$C$5:$C$504,0)),"")),'Paramètres'!$Q$6:$Q$15,0)),0))-N(P1249)),0)))</f>
        <v/>
      </c>
      <c r="AX1249" s="61">
        <f>IF(C1249="","",IF(COUNTIF($C$5:C1249,C1249)=1,MAX($AX$4:AX1248)+1,""))</f>
        <v/>
      </c>
      <c r="AY1249" s="61">
        <f>IF(B1249="","",HOUR(B1249))</f>
        <v/>
      </c>
      <c r="AZ1249" s="61">
        <f>IF(A1249="","",MOD(A1249-2,7)+1)</f>
        <v/>
      </c>
      <c r="BA1249" s="60">
        <f>IF(C1249="","",IFERROR(INDEX('Prospects'!$N$5:$N$504,MATCH(C1249,'Prospects'!$C$5:$C$504,0)),""))</f>
        <v/>
      </c>
      <c r="BB1249" s="61">
        <f>IF(AND(C1249&lt;&gt;"",C1249='Fiche prospect'!$C$4),COUNTIF($C$5:C1249,C1249),"")</f>
        <v/>
      </c>
    </row>
    <row r="1250">
      <c r="A1250" s="53" t="n"/>
      <c r="B1250" s="54" t="n"/>
      <c r="C1250" s="55" t="n"/>
      <c r="D1250" s="55" t="n"/>
      <c r="E1250" s="55" t="n"/>
      <c r="F1250" s="55" t="n"/>
      <c r="G1250" s="56" t="n"/>
      <c r="H1250" s="57" t="n"/>
      <c r="I1250" s="55" t="n"/>
      <c r="J1250" s="53" t="n"/>
      <c r="K1250" s="54" t="n"/>
      <c r="L1250" s="55" t="n"/>
      <c r="M1250" s="55" t="n"/>
      <c r="N1250" s="57" t="n"/>
      <c r="O1250" s="55" t="n"/>
      <c r="P1250" s="56" t="n"/>
      <c r="Q1250" s="55" t="n"/>
      <c r="R1250" s="55" t="n"/>
      <c r="S1250" s="55" t="n"/>
      <c r="T1250" s="55" t="n"/>
      <c r="U1250" s="55" t="n"/>
      <c r="V1250" s="55" t="n"/>
      <c r="W1250" s="58" t="n"/>
      <c r="X1250" s="58" t="n"/>
      <c r="Y1250" s="55" t="n"/>
      <c r="Z1250" s="55" t="n"/>
      <c r="AA1250" s="55" t="n"/>
      <c r="AB1250" s="55" t="n"/>
      <c r="AC1250" s="55" t="n"/>
      <c r="AD1250" s="53" t="n"/>
      <c r="AE1250" s="55" t="n"/>
      <c r="AF1250" s="55" t="n"/>
      <c r="AG1250" s="59" t="n"/>
      <c r="AH1250" s="57" t="n"/>
      <c r="AI1250" s="55" t="n"/>
      <c r="AJ1250" s="55" t="n"/>
      <c r="AK1250" s="55" t="n"/>
      <c r="AL1250" s="55" t="n"/>
      <c r="AM1250" s="56" t="n"/>
      <c r="AN1250" s="55" t="n"/>
      <c r="AO1250" s="55" t="n"/>
      <c r="AP1250" s="55" t="n"/>
      <c r="AQ1250" s="55" t="n"/>
      <c r="AR1250" s="60">
        <f>IF(AND(C1250="",E1250=""),"",IF(A1250="","⚠ Date manquante",IF(AND(C1250="",E1250&lt;&gt;"Dépense"),"⚠ Prospect manquant",IF(E1250="","⚠ Action manquante",IF(AND(AU1250=1,D1250=""),"⚠ Canal manquant",IF(AND(W1250&lt;&gt;"",COUNTIFS('Saisie'!$W$5:$W$2004,W1250,'Saisie'!$C$5:$C$2004,"&lt;&gt;"&amp;C1250)&gt;0),"⚠ Numéro déjà utilisé par un autre prospect",IF(AND(J1250&lt;&gt;"",J1250&lt;A1250),"⚠ Relance avant la date de l'action",IF(A1250&gt;TODAY(),"⚠ Date dans le futur","✓"))))))))</f>
        <v/>
      </c>
      <c r="AS1250" s="61">
        <f>IF(AND(A1250="",C1250="",E1250=""),"",ROW())</f>
        <v/>
      </c>
      <c r="AT1250" s="61">
        <f>IF(E1250&amp;F1250="","",MAX(IFERROR(INDEX('Paramètres'!$J$6:$J$33,MATCH(E1250,'Paramètres'!$I$6:$I$33,0)),0),IFERROR(INDEX('Paramètres'!$N$6:$N$17,MATCH(F1250,'Paramètres'!$M$6:$M$17,0)),0)))</f>
        <v/>
      </c>
      <c r="AU1250" s="61">
        <f>IF(E1250="","",IFERROR(IF(INDEX('Paramètres'!$K$6:$K$33,MATCH(E1250,'Paramètres'!$I$6:$I$33,0))="Oui",1,0),0))</f>
        <v/>
      </c>
      <c r="AV1250" s="61">
        <f>IF(F1250="","",IFERROR(IF(INDEX('Paramètres'!$O$6:$O$17,MATCH(F1250,'Paramètres'!$M$6:$M$17,0))="Oui",1,0),0))</f>
        <v/>
      </c>
      <c r="AW1250" s="62">
        <f>IF(E1250="","",IF(G1250&lt;&gt;"",G1250,IF(OR(E1250="Proposition envoyée",E1250="Signature"),MAX(0,N(IFERROR(INDEX('Paramètres'!$R$6:$R$15,MATCH(IF(AL1250&lt;&gt;"",AL1250,IFERROR(INDEX('Prospects'!$AN$5:$AN$504,MATCH(C1250,'Prospects'!$C$5:$C$504,0)),"")),'Paramètres'!$Q$6:$Q$15,0)),0))-N(P1250)),0)))</f>
        <v/>
      </c>
      <c r="AX1250" s="61">
        <f>IF(C1250="","",IF(COUNTIF($C$5:C1250,C1250)=1,MAX($AX$4:AX1249)+1,""))</f>
        <v/>
      </c>
      <c r="AY1250" s="61">
        <f>IF(B1250="","",HOUR(B1250))</f>
        <v/>
      </c>
      <c r="AZ1250" s="61">
        <f>IF(A1250="","",MOD(A1250-2,7)+1)</f>
        <v/>
      </c>
      <c r="BA1250" s="60">
        <f>IF(C1250="","",IFERROR(INDEX('Prospects'!$N$5:$N$504,MATCH(C1250,'Prospects'!$C$5:$C$504,0)),""))</f>
        <v/>
      </c>
      <c r="BB1250" s="61">
        <f>IF(AND(C1250&lt;&gt;"",C1250='Fiche prospect'!$C$4),COUNTIF($C$5:C1250,C1250),"")</f>
        <v/>
      </c>
    </row>
    <row r="1251">
      <c r="A1251" s="53" t="n"/>
      <c r="B1251" s="54" t="n"/>
      <c r="C1251" s="55" t="n"/>
      <c r="D1251" s="55" t="n"/>
      <c r="E1251" s="55" t="n"/>
      <c r="F1251" s="55" t="n"/>
      <c r="G1251" s="56" t="n"/>
      <c r="H1251" s="57" t="n"/>
      <c r="I1251" s="55" t="n"/>
      <c r="J1251" s="53" t="n"/>
      <c r="K1251" s="54" t="n"/>
      <c r="L1251" s="55" t="n"/>
      <c r="M1251" s="55" t="n"/>
      <c r="N1251" s="57" t="n"/>
      <c r="O1251" s="55" t="n"/>
      <c r="P1251" s="56" t="n"/>
      <c r="Q1251" s="55" t="n"/>
      <c r="R1251" s="55" t="n"/>
      <c r="S1251" s="55" t="n"/>
      <c r="T1251" s="55" t="n"/>
      <c r="U1251" s="55" t="n"/>
      <c r="V1251" s="55" t="n"/>
      <c r="W1251" s="58" t="n"/>
      <c r="X1251" s="58" t="n"/>
      <c r="Y1251" s="55" t="n"/>
      <c r="Z1251" s="55" t="n"/>
      <c r="AA1251" s="55" t="n"/>
      <c r="AB1251" s="55" t="n"/>
      <c r="AC1251" s="55" t="n"/>
      <c r="AD1251" s="53" t="n"/>
      <c r="AE1251" s="55" t="n"/>
      <c r="AF1251" s="55" t="n"/>
      <c r="AG1251" s="59" t="n"/>
      <c r="AH1251" s="57" t="n"/>
      <c r="AI1251" s="55" t="n"/>
      <c r="AJ1251" s="55" t="n"/>
      <c r="AK1251" s="55" t="n"/>
      <c r="AL1251" s="55" t="n"/>
      <c r="AM1251" s="56" t="n"/>
      <c r="AN1251" s="55" t="n"/>
      <c r="AO1251" s="55" t="n"/>
      <c r="AP1251" s="55" t="n"/>
      <c r="AQ1251" s="55" t="n"/>
      <c r="AR1251" s="60">
        <f>IF(AND(C1251="",E1251=""),"",IF(A1251="","⚠ Date manquante",IF(AND(C1251="",E1251&lt;&gt;"Dépense"),"⚠ Prospect manquant",IF(E1251="","⚠ Action manquante",IF(AND(AU1251=1,D1251=""),"⚠ Canal manquant",IF(AND(W1251&lt;&gt;"",COUNTIFS('Saisie'!$W$5:$W$2004,W1251,'Saisie'!$C$5:$C$2004,"&lt;&gt;"&amp;C1251)&gt;0),"⚠ Numéro déjà utilisé par un autre prospect",IF(AND(J1251&lt;&gt;"",J1251&lt;A1251),"⚠ Relance avant la date de l'action",IF(A1251&gt;TODAY(),"⚠ Date dans le futur","✓"))))))))</f>
        <v/>
      </c>
      <c r="AS1251" s="61">
        <f>IF(AND(A1251="",C1251="",E1251=""),"",ROW())</f>
        <v/>
      </c>
      <c r="AT1251" s="61">
        <f>IF(E1251&amp;F1251="","",MAX(IFERROR(INDEX('Paramètres'!$J$6:$J$33,MATCH(E1251,'Paramètres'!$I$6:$I$33,0)),0),IFERROR(INDEX('Paramètres'!$N$6:$N$17,MATCH(F1251,'Paramètres'!$M$6:$M$17,0)),0)))</f>
        <v/>
      </c>
      <c r="AU1251" s="61">
        <f>IF(E1251="","",IFERROR(IF(INDEX('Paramètres'!$K$6:$K$33,MATCH(E1251,'Paramètres'!$I$6:$I$33,0))="Oui",1,0),0))</f>
        <v/>
      </c>
      <c r="AV1251" s="61">
        <f>IF(F1251="","",IFERROR(IF(INDEX('Paramètres'!$O$6:$O$17,MATCH(F1251,'Paramètres'!$M$6:$M$17,0))="Oui",1,0),0))</f>
        <v/>
      </c>
      <c r="AW1251" s="62">
        <f>IF(E1251="","",IF(G1251&lt;&gt;"",G1251,IF(OR(E1251="Proposition envoyée",E1251="Signature"),MAX(0,N(IFERROR(INDEX('Paramètres'!$R$6:$R$15,MATCH(IF(AL1251&lt;&gt;"",AL1251,IFERROR(INDEX('Prospects'!$AN$5:$AN$504,MATCH(C1251,'Prospects'!$C$5:$C$504,0)),"")),'Paramètres'!$Q$6:$Q$15,0)),0))-N(P1251)),0)))</f>
        <v/>
      </c>
      <c r="AX1251" s="61">
        <f>IF(C1251="","",IF(COUNTIF($C$5:C1251,C1251)=1,MAX($AX$4:AX1250)+1,""))</f>
        <v/>
      </c>
      <c r="AY1251" s="61">
        <f>IF(B1251="","",HOUR(B1251))</f>
        <v/>
      </c>
      <c r="AZ1251" s="61">
        <f>IF(A1251="","",MOD(A1251-2,7)+1)</f>
        <v/>
      </c>
      <c r="BA1251" s="60">
        <f>IF(C1251="","",IFERROR(INDEX('Prospects'!$N$5:$N$504,MATCH(C1251,'Prospects'!$C$5:$C$504,0)),""))</f>
        <v/>
      </c>
      <c r="BB1251" s="61">
        <f>IF(AND(C1251&lt;&gt;"",C1251='Fiche prospect'!$C$4),COUNTIF($C$5:C1251,C1251),"")</f>
        <v/>
      </c>
    </row>
    <row r="1252">
      <c r="A1252" s="53" t="n"/>
      <c r="B1252" s="54" t="n"/>
      <c r="C1252" s="55" t="n"/>
      <c r="D1252" s="55" t="n"/>
      <c r="E1252" s="55" t="n"/>
      <c r="F1252" s="55" t="n"/>
      <c r="G1252" s="56" t="n"/>
      <c r="H1252" s="57" t="n"/>
      <c r="I1252" s="55" t="n"/>
      <c r="J1252" s="53" t="n"/>
      <c r="K1252" s="54" t="n"/>
      <c r="L1252" s="55" t="n"/>
      <c r="M1252" s="55" t="n"/>
      <c r="N1252" s="57" t="n"/>
      <c r="O1252" s="55" t="n"/>
      <c r="P1252" s="56" t="n"/>
      <c r="Q1252" s="55" t="n"/>
      <c r="R1252" s="55" t="n"/>
      <c r="S1252" s="55" t="n"/>
      <c r="T1252" s="55" t="n"/>
      <c r="U1252" s="55" t="n"/>
      <c r="V1252" s="55" t="n"/>
      <c r="W1252" s="58" t="n"/>
      <c r="X1252" s="58" t="n"/>
      <c r="Y1252" s="55" t="n"/>
      <c r="Z1252" s="55" t="n"/>
      <c r="AA1252" s="55" t="n"/>
      <c r="AB1252" s="55" t="n"/>
      <c r="AC1252" s="55" t="n"/>
      <c r="AD1252" s="53" t="n"/>
      <c r="AE1252" s="55" t="n"/>
      <c r="AF1252" s="55" t="n"/>
      <c r="AG1252" s="59" t="n"/>
      <c r="AH1252" s="57" t="n"/>
      <c r="AI1252" s="55" t="n"/>
      <c r="AJ1252" s="55" t="n"/>
      <c r="AK1252" s="55" t="n"/>
      <c r="AL1252" s="55" t="n"/>
      <c r="AM1252" s="56" t="n"/>
      <c r="AN1252" s="55" t="n"/>
      <c r="AO1252" s="55" t="n"/>
      <c r="AP1252" s="55" t="n"/>
      <c r="AQ1252" s="55" t="n"/>
      <c r="AR1252" s="60">
        <f>IF(AND(C1252="",E1252=""),"",IF(A1252="","⚠ Date manquante",IF(AND(C1252="",E1252&lt;&gt;"Dépense"),"⚠ Prospect manquant",IF(E1252="","⚠ Action manquante",IF(AND(AU1252=1,D1252=""),"⚠ Canal manquant",IF(AND(W1252&lt;&gt;"",COUNTIFS('Saisie'!$W$5:$W$2004,W1252,'Saisie'!$C$5:$C$2004,"&lt;&gt;"&amp;C1252)&gt;0),"⚠ Numéro déjà utilisé par un autre prospect",IF(AND(J1252&lt;&gt;"",J1252&lt;A1252),"⚠ Relance avant la date de l'action",IF(A1252&gt;TODAY(),"⚠ Date dans le futur","✓"))))))))</f>
        <v/>
      </c>
      <c r="AS1252" s="61">
        <f>IF(AND(A1252="",C1252="",E1252=""),"",ROW())</f>
        <v/>
      </c>
      <c r="AT1252" s="61">
        <f>IF(E1252&amp;F1252="","",MAX(IFERROR(INDEX('Paramètres'!$J$6:$J$33,MATCH(E1252,'Paramètres'!$I$6:$I$33,0)),0),IFERROR(INDEX('Paramètres'!$N$6:$N$17,MATCH(F1252,'Paramètres'!$M$6:$M$17,0)),0)))</f>
        <v/>
      </c>
      <c r="AU1252" s="61">
        <f>IF(E1252="","",IFERROR(IF(INDEX('Paramètres'!$K$6:$K$33,MATCH(E1252,'Paramètres'!$I$6:$I$33,0))="Oui",1,0),0))</f>
        <v/>
      </c>
      <c r="AV1252" s="61">
        <f>IF(F1252="","",IFERROR(IF(INDEX('Paramètres'!$O$6:$O$17,MATCH(F1252,'Paramètres'!$M$6:$M$17,0))="Oui",1,0),0))</f>
        <v/>
      </c>
      <c r="AW1252" s="62">
        <f>IF(E1252="","",IF(G1252&lt;&gt;"",G1252,IF(OR(E1252="Proposition envoyée",E1252="Signature"),MAX(0,N(IFERROR(INDEX('Paramètres'!$R$6:$R$15,MATCH(IF(AL1252&lt;&gt;"",AL1252,IFERROR(INDEX('Prospects'!$AN$5:$AN$504,MATCH(C1252,'Prospects'!$C$5:$C$504,0)),"")),'Paramètres'!$Q$6:$Q$15,0)),0))-N(P1252)),0)))</f>
        <v/>
      </c>
      <c r="AX1252" s="61">
        <f>IF(C1252="","",IF(COUNTIF($C$5:C1252,C1252)=1,MAX($AX$4:AX1251)+1,""))</f>
        <v/>
      </c>
      <c r="AY1252" s="61">
        <f>IF(B1252="","",HOUR(B1252))</f>
        <v/>
      </c>
      <c r="AZ1252" s="61">
        <f>IF(A1252="","",MOD(A1252-2,7)+1)</f>
        <v/>
      </c>
      <c r="BA1252" s="60">
        <f>IF(C1252="","",IFERROR(INDEX('Prospects'!$N$5:$N$504,MATCH(C1252,'Prospects'!$C$5:$C$504,0)),""))</f>
        <v/>
      </c>
      <c r="BB1252" s="61">
        <f>IF(AND(C1252&lt;&gt;"",C1252='Fiche prospect'!$C$4),COUNTIF($C$5:C1252,C1252),"")</f>
        <v/>
      </c>
    </row>
    <row r="1253">
      <c r="A1253" s="53" t="n"/>
      <c r="B1253" s="54" t="n"/>
      <c r="C1253" s="55" t="n"/>
      <c r="D1253" s="55" t="n"/>
      <c r="E1253" s="55" t="n"/>
      <c r="F1253" s="55" t="n"/>
      <c r="G1253" s="56" t="n"/>
      <c r="H1253" s="57" t="n"/>
      <c r="I1253" s="55" t="n"/>
      <c r="J1253" s="53" t="n"/>
      <c r="K1253" s="54" t="n"/>
      <c r="L1253" s="55" t="n"/>
      <c r="M1253" s="55" t="n"/>
      <c r="N1253" s="57" t="n"/>
      <c r="O1253" s="55" t="n"/>
      <c r="P1253" s="56" t="n"/>
      <c r="Q1253" s="55" t="n"/>
      <c r="R1253" s="55" t="n"/>
      <c r="S1253" s="55" t="n"/>
      <c r="T1253" s="55" t="n"/>
      <c r="U1253" s="55" t="n"/>
      <c r="V1253" s="55" t="n"/>
      <c r="W1253" s="58" t="n"/>
      <c r="X1253" s="58" t="n"/>
      <c r="Y1253" s="55" t="n"/>
      <c r="Z1253" s="55" t="n"/>
      <c r="AA1253" s="55" t="n"/>
      <c r="AB1253" s="55" t="n"/>
      <c r="AC1253" s="55" t="n"/>
      <c r="AD1253" s="53" t="n"/>
      <c r="AE1253" s="55" t="n"/>
      <c r="AF1253" s="55" t="n"/>
      <c r="AG1253" s="59" t="n"/>
      <c r="AH1253" s="57" t="n"/>
      <c r="AI1253" s="55" t="n"/>
      <c r="AJ1253" s="55" t="n"/>
      <c r="AK1253" s="55" t="n"/>
      <c r="AL1253" s="55" t="n"/>
      <c r="AM1253" s="56" t="n"/>
      <c r="AN1253" s="55" t="n"/>
      <c r="AO1253" s="55" t="n"/>
      <c r="AP1253" s="55" t="n"/>
      <c r="AQ1253" s="55" t="n"/>
      <c r="AR1253" s="60">
        <f>IF(AND(C1253="",E1253=""),"",IF(A1253="","⚠ Date manquante",IF(AND(C1253="",E1253&lt;&gt;"Dépense"),"⚠ Prospect manquant",IF(E1253="","⚠ Action manquante",IF(AND(AU1253=1,D1253=""),"⚠ Canal manquant",IF(AND(W1253&lt;&gt;"",COUNTIFS('Saisie'!$W$5:$W$2004,W1253,'Saisie'!$C$5:$C$2004,"&lt;&gt;"&amp;C1253)&gt;0),"⚠ Numéro déjà utilisé par un autre prospect",IF(AND(J1253&lt;&gt;"",J1253&lt;A1253),"⚠ Relance avant la date de l'action",IF(A1253&gt;TODAY(),"⚠ Date dans le futur","✓"))))))))</f>
        <v/>
      </c>
      <c r="AS1253" s="61">
        <f>IF(AND(A1253="",C1253="",E1253=""),"",ROW())</f>
        <v/>
      </c>
      <c r="AT1253" s="61">
        <f>IF(E1253&amp;F1253="","",MAX(IFERROR(INDEX('Paramètres'!$J$6:$J$33,MATCH(E1253,'Paramètres'!$I$6:$I$33,0)),0),IFERROR(INDEX('Paramètres'!$N$6:$N$17,MATCH(F1253,'Paramètres'!$M$6:$M$17,0)),0)))</f>
        <v/>
      </c>
      <c r="AU1253" s="61">
        <f>IF(E1253="","",IFERROR(IF(INDEX('Paramètres'!$K$6:$K$33,MATCH(E1253,'Paramètres'!$I$6:$I$33,0))="Oui",1,0),0))</f>
        <v/>
      </c>
      <c r="AV1253" s="61">
        <f>IF(F1253="","",IFERROR(IF(INDEX('Paramètres'!$O$6:$O$17,MATCH(F1253,'Paramètres'!$M$6:$M$17,0))="Oui",1,0),0))</f>
        <v/>
      </c>
      <c r="AW1253" s="62">
        <f>IF(E1253="","",IF(G1253&lt;&gt;"",G1253,IF(OR(E1253="Proposition envoyée",E1253="Signature"),MAX(0,N(IFERROR(INDEX('Paramètres'!$R$6:$R$15,MATCH(IF(AL1253&lt;&gt;"",AL1253,IFERROR(INDEX('Prospects'!$AN$5:$AN$504,MATCH(C1253,'Prospects'!$C$5:$C$504,0)),"")),'Paramètres'!$Q$6:$Q$15,0)),0))-N(P1253)),0)))</f>
        <v/>
      </c>
      <c r="AX1253" s="61">
        <f>IF(C1253="","",IF(COUNTIF($C$5:C1253,C1253)=1,MAX($AX$4:AX1252)+1,""))</f>
        <v/>
      </c>
      <c r="AY1253" s="61">
        <f>IF(B1253="","",HOUR(B1253))</f>
        <v/>
      </c>
      <c r="AZ1253" s="61">
        <f>IF(A1253="","",MOD(A1253-2,7)+1)</f>
        <v/>
      </c>
      <c r="BA1253" s="60">
        <f>IF(C1253="","",IFERROR(INDEX('Prospects'!$N$5:$N$504,MATCH(C1253,'Prospects'!$C$5:$C$504,0)),""))</f>
        <v/>
      </c>
      <c r="BB1253" s="61">
        <f>IF(AND(C1253&lt;&gt;"",C1253='Fiche prospect'!$C$4),COUNTIF($C$5:C1253,C1253),"")</f>
        <v/>
      </c>
    </row>
    <row r="1254">
      <c r="A1254" s="53" t="n"/>
      <c r="B1254" s="54" t="n"/>
      <c r="C1254" s="55" t="n"/>
      <c r="D1254" s="55" t="n"/>
      <c r="E1254" s="55" t="n"/>
      <c r="F1254" s="55" t="n"/>
      <c r="G1254" s="56" t="n"/>
      <c r="H1254" s="57" t="n"/>
      <c r="I1254" s="55" t="n"/>
      <c r="J1254" s="53" t="n"/>
      <c r="K1254" s="54" t="n"/>
      <c r="L1254" s="55" t="n"/>
      <c r="M1254" s="55" t="n"/>
      <c r="N1254" s="57" t="n"/>
      <c r="O1254" s="55" t="n"/>
      <c r="P1254" s="56" t="n"/>
      <c r="Q1254" s="55" t="n"/>
      <c r="R1254" s="55" t="n"/>
      <c r="S1254" s="55" t="n"/>
      <c r="T1254" s="55" t="n"/>
      <c r="U1254" s="55" t="n"/>
      <c r="V1254" s="55" t="n"/>
      <c r="W1254" s="58" t="n"/>
      <c r="X1254" s="58" t="n"/>
      <c r="Y1254" s="55" t="n"/>
      <c r="Z1254" s="55" t="n"/>
      <c r="AA1254" s="55" t="n"/>
      <c r="AB1254" s="55" t="n"/>
      <c r="AC1254" s="55" t="n"/>
      <c r="AD1254" s="53" t="n"/>
      <c r="AE1254" s="55" t="n"/>
      <c r="AF1254" s="55" t="n"/>
      <c r="AG1254" s="59" t="n"/>
      <c r="AH1254" s="57" t="n"/>
      <c r="AI1254" s="55" t="n"/>
      <c r="AJ1254" s="55" t="n"/>
      <c r="AK1254" s="55" t="n"/>
      <c r="AL1254" s="55" t="n"/>
      <c r="AM1254" s="56" t="n"/>
      <c r="AN1254" s="55" t="n"/>
      <c r="AO1254" s="55" t="n"/>
      <c r="AP1254" s="55" t="n"/>
      <c r="AQ1254" s="55" t="n"/>
      <c r="AR1254" s="60">
        <f>IF(AND(C1254="",E1254=""),"",IF(A1254="","⚠ Date manquante",IF(AND(C1254="",E1254&lt;&gt;"Dépense"),"⚠ Prospect manquant",IF(E1254="","⚠ Action manquante",IF(AND(AU1254=1,D1254=""),"⚠ Canal manquant",IF(AND(W1254&lt;&gt;"",COUNTIFS('Saisie'!$W$5:$W$2004,W1254,'Saisie'!$C$5:$C$2004,"&lt;&gt;"&amp;C1254)&gt;0),"⚠ Numéro déjà utilisé par un autre prospect",IF(AND(J1254&lt;&gt;"",J1254&lt;A1254),"⚠ Relance avant la date de l'action",IF(A1254&gt;TODAY(),"⚠ Date dans le futur","✓"))))))))</f>
        <v/>
      </c>
      <c r="AS1254" s="61">
        <f>IF(AND(A1254="",C1254="",E1254=""),"",ROW())</f>
        <v/>
      </c>
      <c r="AT1254" s="61">
        <f>IF(E1254&amp;F1254="","",MAX(IFERROR(INDEX('Paramètres'!$J$6:$J$33,MATCH(E1254,'Paramètres'!$I$6:$I$33,0)),0),IFERROR(INDEX('Paramètres'!$N$6:$N$17,MATCH(F1254,'Paramètres'!$M$6:$M$17,0)),0)))</f>
        <v/>
      </c>
      <c r="AU1254" s="61">
        <f>IF(E1254="","",IFERROR(IF(INDEX('Paramètres'!$K$6:$K$33,MATCH(E1254,'Paramètres'!$I$6:$I$33,0))="Oui",1,0),0))</f>
        <v/>
      </c>
      <c r="AV1254" s="61">
        <f>IF(F1254="","",IFERROR(IF(INDEX('Paramètres'!$O$6:$O$17,MATCH(F1254,'Paramètres'!$M$6:$M$17,0))="Oui",1,0),0))</f>
        <v/>
      </c>
      <c r="AW1254" s="62">
        <f>IF(E1254="","",IF(G1254&lt;&gt;"",G1254,IF(OR(E1254="Proposition envoyée",E1254="Signature"),MAX(0,N(IFERROR(INDEX('Paramètres'!$R$6:$R$15,MATCH(IF(AL1254&lt;&gt;"",AL1254,IFERROR(INDEX('Prospects'!$AN$5:$AN$504,MATCH(C1254,'Prospects'!$C$5:$C$504,0)),"")),'Paramètres'!$Q$6:$Q$15,0)),0))-N(P1254)),0)))</f>
        <v/>
      </c>
      <c r="AX1254" s="61">
        <f>IF(C1254="","",IF(COUNTIF($C$5:C1254,C1254)=1,MAX($AX$4:AX1253)+1,""))</f>
        <v/>
      </c>
      <c r="AY1254" s="61">
        <f>IF(B1254="","",HOUR(B1254))</f>
        <v/>
      </c>
      <c r="AZ1254" s="61">
        <f>IF(A1254="","",MOD(A1254-2,7)+1)</f>
        <v/>
      </c>
      <c r="BA1254" s="60">
        <f>IF(C1254="","",IFERROR(INDEX('Prospects'!$N$5:$N$504,MATCH(C1254,'Prospects'!$C$5:$C$504,0)),""))</f>
        <v/>
      </c>
      <c r="BB1254" s="61">
        <f>IF(AND(C1254&lt;&gt;"",C1254='Fiche prospect'!$C$4),COUNTIF($C$5:C1254,C1254),"")</f>
        <v/>
      </c>
    </row>
    <row r="1255">
      <c r="A1255" s="53" t="n"/>
      <c r="B1255" s="54" t="n"/>
      <c r="C1255" s="55" t="n"/>
      <c r="D1255" s="55" t="n"/>
      <c r="E1255" s="55" t="n"/>
      <c r="F1255" s="55" t="n"/>
      <c r="G1255" s="56" t="n"/>
      <c r="H1255" s="57" t="n"/>
      <c r="I1255" s="55" t="n"/>
      <c r="J1255" s="53" t="n"/>
      <c r="K1255" s="54" t="n"/>
      <c r="L1255" s="55" t="n"/>
      <c r="M1255" s="55" t="n"/>
      <c r="N1255" s="57" t="n"/>
      <c r="O1255" s="55" t="n"/>
      <c r="P1255" s="56" t="n"/>
      <c r="Q1255" s="55" t="n"/>
      <c r="R1255" s="55" t="n"/>
      <c r="S1255" s="55" t="n"/>
      <c r="T1255" s="55" t="n"/>
      <c r="U1255" s="55" t="n"/>
      <c r="V1255" s="55" t="n"/>
      <c r="W1255" s="58" t="n"/>
      <c r="X1255" s="58" t="n"/>
      <c r="Y1255" s="55" t="n"/>
      <c r="Z1255" s="55" t="n"/>
      <c r="AA1255" s="55" t="n"/>
      <c r="AB1255" s="55" t="n"/>
      <c r="AC1255" s="55" t="n"/>
      <c r="AD1255" s="53" t="n"/>
      <c r="AE1255" s="55" t="n"/>
      <c r="AF1255" s="55" t="n"/>
      <c r="AG1255" s="59" t="n"/>
      <c r="AH1255" s="57" t="n"/>
      <c r="AI1255" s="55" t="n"/>
      <c r="AJ1255" s="55" t="n"/>
      <c r="AK1255" s="55" t="n"/>
      <c r="AL1255" s="55" t="n"/>
      <c r="AM1255" s="56" t="n"/>
      <c r="AN1255" s="55" t="n"/>
      <c r="AO1255" s="55" t="n"/>
      <c r="AP1255" s="55" t="n"/>
      <c r="AQ1255" s="55" t="n"/>
      <c r="AR1255" s="60">
        <f>IF(AND(C1255="",E1255=""),"",IF(A1255="","⚠ Date manquante",IF(AND(C1255="",E1255&lt;&gt;"Dépense"),"⚠ Prospect manquant",IF(E1255="","⚠ Action manquante",IF(AND(AU1255=1,D1255=""),"⚠ Canal manquant",IF(AND(W1255&lt;&gt;"",COUNTIFS('Saisie'!$W$5:$W$2004,W1255,'Saisie'!$C$5:$C$2004,"&lt;&gt;"&amp;C1255)&gt;0),"⚠ Numéro déjà utilisé par un autre prospect",IF(AND(J1255&lt;&gt;"",J1255&lt;A1255),"⚠ Relance avant la date de l'action",IF(A1255&gt;TODAY(),"⚠ Date dans le futur","✓"))))))))</f>
        <v/>
      </c>
      <c r="AS1255" s="61">
        <f>IF(AND(A1255="",C1255="",E1255=""),"",ROW())</f>
        <v/>
      </c>
      <c r="AT1255" s="61">
        <f>IF(E1255&amp;F1255="","",MAX(IFERROR(INDEX('Paramètres'!$J$6:$J$33,MATCH(E1255,'Paramètres'!$I$6:$I$33,0)),0),IFERROR(INDEX('Paramètres'!$N$6:$N$17,MATCH(F1255,'Paramètres'!$M$6:$M$17,0)),0)))</f>
        <v/>
      </c>
      <c r="AU1255" s="61">
        <f>IF(E1255="","",IFERROR(IF(INDEX('Paramètres'!$K$6:$K$33,MATCH(E1255,'Paramètres'!$I$6:$I$33,0))="Oui",1,0),0))</f>
        <v/>
      </c>
      <c r="AV1255" s="61">
        <f>IF(F1255="","",IFERROR(IF(INDEX('Paramètres'!$O$6:$O$17,MATCH(F1255,'Paramètres'!$M$6:$M$17,0))="Oui",1,0),0))</f>
        <v/>
      </c>
      <c r="AW1255" s="62">
        <f>IF(E1255="","",IF(G1255&lt;&gt;"",G1255,IF(OR(E1255="Proposition envoyée",E1255="Signature"),MAX(0,N(IFERROR(INDEX('Paramètres'!$R$6:$R$15,MATCH(IF(AL1255&lt;&gt;"",AL1255,IFERROR(INDEX('Prospects'!$AN$5:$AN$504,MATCH(C1255,'Prospects'!$C$5:$C$504,0)),"")),'Paramètres'!$Q$6:$Q$15,0)),0))-N(P1255)),0)))</f>
        <v/>
      </c>
      <c r="AX1255" s="61">
        <f>IF(C1255="","",IF(COUNTIF($C$5:C1255,C1255)=1,MAX($AX$4:AX1254)+1,""))</f>
        <v/>
      </c>
      <c r="AY1255" s="61">
        <f>IF(B1255="","",HOUR(B1255))</f>
        <v/>
      </c>
      <c r="AZ1255" s="61">
        <f>IF(A1255="","",MOD(A1255-2,7)+1)</f>
        <v/>
      </c>
      <c r="BA1255" s="60">
        <f>IF(C1255="","",IFERROR(INDEX('Prospects'!$N$5:$N$504,MATCH(C1255,'Prospects'!$C$5:$C$504,0)),""))</f>
        <v/>
      </c>
      <c r="BB1255" s="61">
        <f>IF(AND(C1255&lt;&gt;"",C1255='Fiche prospect'!$C$4),COUNTIF($C$5:C1255,C1255),"")</f>
        <v/>
      </c>
    </row>
    <row r="1256">
      <c r="A1256" s="53" t="n"/>
      <c r="B1256" s="54" t="n"/>
      <c r="C1256" s="55" t="n"/>
      <c r="D1256" s="55" t="n"/>
      <c r="E1256" s="55" t="n"/>
      <c r="F1256" s="55" t="n"/>
      <c r="G1256" s="56" t="n"/>
      <c r="H1256" s="57" t="n"/>
      <c r="I1256" s="55" t="n"/>
      <c r="J1256" s="53" t="n"/>
      <c r="K1256" s="54" t="n"/>
      <c r="L1256" s="55" t="n"/>
      <c r="M1256" s="55" t="n"/>
      <c r="N1256" s="57" t="n"/>
      <c r="O1256" s="55" t="n"/>
      <c r="P1256" s="56" t="n"/>
      <c r="Q1256" s="55" t="n"/>
      <c r="R1256" s="55" t="n"/>
      <c r="S1256" s="55" t="n"/>
      <c r="T1256" s="55" t="n"/>
      <c r="U1256" s="55" t="n"/>
      <c r="V1256" s="55" t="n"/>
      <c r="W1256" s="58" t="n"/>
      <c r="X1256" s="58" t="n"/>
      <c r="Y1256" s="55" t="n"/>
      <c r="Z1256" s="55" t="n"/>
      <c r="AA1256" s="55" t="n"/>
      <c r="AB1256" s="55" t="n"/>
      <c r="AC1256" s="55" t="n"/>
      <c r="AD1256" s="53" t="n"/>
      <c r="AE1256" s="55" t="n"/>
      <c r="AF1256" s="55" t="n"/>
      <c r="AG1256" s="59" t="n"/>
      <c r="AH1256" s="57" t="n"/>
      <c r="AI1256" s="55" t="n"/>
      <c r="AJ1256" s="55" t="n"/>
      <c r="AK1256" s="55" t="n"/>
      <c r="AL1256" s="55" t="n"/>
      <c r="AM1256" s="56" t="n"/>
      <c r="AN1256" s="55" t="n"/>
      <c r="AO1256" s="55" t="n"/>
      <c r="AP1256" s="55" t="n"/>
      <c r="AQ1256" s="55" t="n"/>
      <c r="AR1256" s="60">
        <f>IF(AND(C1256="",E1256=""),"",IF(A1256="","⚠ Date manquante",IF(AND(C1256="",E1256&lt;&gt;"Dépense"),"⚠ Prospect manquant",IF(E1256="","⚠ Action manquante",IF(AND(AU1256=1,D1256=""),"⚠ Canal manquant",IF(AND(W1256&lt;&gt;"",COUNTIFS('Saisie'!$W$5:$W$2004,W1256,'Saisie'!$C$5:$C$2004,"&lt;&gt;"&amp;C1256)&gt;0),"⚠ Numéro déjà utilisé par un autre prospect",IF(AND(J1256&lt;&gt;"",J1256&lt;A1256),"⚠ Relance avant la date de l'action",IF(A1256&gt;TODAY(),"⚠ Date dans le futur","✓"))))))))</f>
        <v/>
      </c>
      <c r="AS1256" s="61">
        <f>IF(AND(A1256="",C1256="",E1256=""),"",ROW())</f>
        <v/>
      </c>
      <c r="AT1256" s="61">
        <f>IF(E1256&amp;F1256="","",MAX(IFERROR(INDEX('Paramètres'!$J$6:$J$33,MATCH(E1256,'Paramètres'!$I$6:$I$33,0)),0),IFERROR(INDEX('Paramètres'!$N$6:$N$17,MATCH(F1256,'Paramètres'!$M$6:$M$17,0)),0)))</f>
        <v/>
      </c>
      <c r="AU1256" s="61">
        <f>IF(E1256="","",IFERROR(IF(INDEX('Paramètres'!$K$6:$K$33,MATCH(E1256,'Paramètres'!$I$6:$I$33,0))="Oui",1,0),0))</f>
        <v/>
      </c>
      <c r="AV1256" s="61">
        <f>IF(F1256="","",IFERROR(IF(INDEX('Paramètres'!$O$6:$O$17,MATCH(F1256,'Paramètres'!$M$6:$M$17,0))="Oui",1,0),0))</f>
        <v/>
      </c>
      <c r="AW1256" s="62">
        <f>IF(E1256="","",IF(G1256&lt;&gt;"",G1256,IF(OR(E1256="Proposition envoyée",E1256="Signature"),MAX(0,N(IFERROR(INDEX('Paramètres'!$R$6:$R$15,MATCH(IF(AL1256&lt;&gt;"",AL1256,IFERROR(INDEX('Prospects'!$AN$5:$AN$504,MATCH(C1256,'Prospects'!$C$5:$C$504,0)),"")),'Paramètres'!$Q$6:$Q$15,0)),0))-N(P1256)),0)))</f>
        <v/>
      </c>
      <c r="AX1256" s="61">
        <f>IF(C1256="","",IF(COUNTIF($C$5:C1256,C1256)=1,MAX($AX$4:AX1255)+1,""))</f>
        <v/>
      </c>
      <c r="AY1256" s="61">
        <f>IF(B1256="","",HOUR(B1256))</f>
        <v/>
      </c>
      <c r="AZ1256" s="61">
        <f>IF(A1256="","",MOD(A1256-2,7)+1)</f>
        <v/>
      </c>
      <c r="BA1256" s="60">
        <f>IF(C1256="","",IFERROR(INDEX('Prospects'!$N$5:$N$504,MATCH(C1256,'Prospects'!$C$5:$C$504,0)),""))</f>
        <v/>
      </c>
      <c r="BB1256" s="61">
        <f>IF(AND(C1256&lt;&gt;"",C1256='Fiche prospect'!$C$4),COUNTIF($C$5:C1256,C1256),"")</f>
        <v/>
      </c>
    </row>
    <row r="1257">
      <c r="A1257" s="53" t="n"/>
      <c r="B1257" s="54" t="n"/>
      <c r="C1257" s="55" t="n"/>
      <c r="D1257" s="55" t="n"/>
      <c r="E1257" s="55" t="n"/>
      <c r="F1257" s="55" t="n"/>
      <c r="G1257" s="56" t="n"/>
      <c r="H1257" s="57" t="n"/>
      <c r="I1257" s="55" t="n"/>
      <c r="J1257" s="53" t="n"/>
      <c r="K1257" s="54" t="n"/>
      <c r="L1257" s="55" t="n"/>
      <c r="M1257" s="55" t="n"/>
      <c r="N1257" s="57" t="n"/>
      <c r="O1257" s="55" t="n"/>
      <c r="P1257" s="56" t="n"/>
      <c r="Q1257" s="55" t="n"/>
      <c r="R1257" s="55" t="n"/>
      <c r="S1257" s="55" t="n"/>
      <c r="T1257" s="55" t="n"/>
      <c r="U1257" s="55" t="n"/>
      <c r="V1257" s="55" t="n"/>
      <c r="W1257" s="58" t="n"/>
      <c r="X1257" s="58" t="n"/>
      <c r="Y1257" s="55" t="n"/>
      <c r="Z1257" s="55" t="n"/>
      <c r="AA1257" s="55" t="n"/>
      <c r="AB1257" s="55" t="n"/>
      <c r="AC1257" s="55" t="n"/>
      <c r="AD1257" s="53" t="n"/>
      <c r="AE1257" s="55" t="n"/>
      <c r="AF1257" s="55" t="n"/>
      <c r="AG1257" s="59" t="n"/>
      <c r="AH1257" s="57" t="n"/>
      <c r="AI1257" s="55" t="n"/>
      <c r="AJ1257" s="55" t="n"/>
      <c r="AK1257" s="55" t="n"/>
      <c r="AL1257" s="55" t="n"/>
      <c r="AM1257" s="56" t="n"/>
      <c r="AN1257" s="55" t="n"/>
      <c r="AO1257" s="55" t="n"/>
      <c r="AP1257" s="55" t="n"/>
      <c r="AQ1257" s="55" t="n"/>
      <c r="AR1257" s="60">
        <f>IF(AND(C1257="",E1257=""),"",IF(A1257="","⚠ Date manquante",IF(AND(C1257="",E1257&lt;&gt;"Dépense"),"⚠ Prospect manquant",IF(E1257="","⚠ Action manquante",IF(AND(AU1257=1,D1257=""),"⚠ Canal manquant",IF(AND(W1257&lt;&gt;"",COUNTIFS('Saisie'!$W$5:$W$2004,W1257,'Saisie'!$C$5:$C$2004,"&lt;&gt;"&amp;C1257)&gt;0),"⚠ Numéro déjà utilisé par un autre prospect",IF(AND(J1257&lt;&gt;"",J1257&lt;A1257),"⚠ Relance avant la date de l'action",IF(A1257&gt;TODAY(),"⚠ Date dans le futur","✓"))))))))</f>
        <v/>
      </c>
      <c r="AS1257" s="61">
        <f>IF(AND(A1257="",C1257="",E1257=""),"",ROW())</f>
        <v/>
      </c>
      <c r="AT1257" s="61">
        <f>IF(E1257&amp;F1257="","",MAX(IFERROR(INDEX('Paramètres'!$J$6:$J$33,MATCH(E1257,'Paramètres'!$I$6:$I$33,0)),0),IFERROR(INDEX('Paramètres'!$N$6:$N$17,MATCH(F1257,'Paramètres'!$M$6:$M$17,0)),0)))</f>
        <v/>
      </c>
      <c r="AU1257" s="61">
        <f>IF(E1257="","",IFERROR(IF(INDEX('Paramètres'!$K$6:$K$33,MATCH(E1257,'Paramètres'!$I$6:$I$33,0))="Oui",1,0),0))</f>
        <v/>
      </c>
      <c r="AV1257" s="61">
        <f>IF(F1257="","",IFERROR(IF(INDEX('Paramètres'!$O$6:$O$17,MATCH(F1257,'Paramètres'!$M$6:$M$17,0))="Oui",1,0),0))</f>
        <v/>
      </c>
      <c r="AW1257" s="62">
        <f>IF(E1257="","",IF(G1257&lt;&gt;"",G1257,IF(OR(E1257="Proposition envoyée",E1257="Signature"),MAX(0,N(IFERROR(INDEX('Paramètres'!$R$6:$R$15,MATCH(IF(AL1257&lt;&gt;"",AL1257,IFERROR(INDEX('Prospects'!$AN$5:$AN$504,MATCH(C1257,'Prospects'!$C$5:$C$504,0)),"")),'Paramètres'!$Q$6:$Q$15,0)),0))-N(P1257)),0)))</f>
        <v/>
      </c>
      <c r="AX1257" s="61">
        <f>IF(C1257="","",IF(COUNTIF($C$5:C1257,C1257)=1,MAX($AX$4:AX1256)+1,""))</f>
        <v/>
      </c>
      <c r="AY1257" s="61">
        <f>IF(B1257="","",HOUR(B1257))</f>
        <v/>
      </c>
      <c r="AZ1257" s="61">
        <f>IF(A1257="","",MOD(A1257-2,7)+1)</f>
        <v/>
      </c>
      <c r="BA1257" s="60">
        <f>IF(C1257="","",IFERROR(INDEX('Prospects'!$N$5:$N$504,MATCH(C1257,'Prospects'!$C$5:$C$504,0)),""))</f>
        <v/>
      </c>
      <c r="BB1257" s="61">
        <f>IF(AND(C1257&lt;&gt;"",C1257='Fiche prospect'!$C$4),COUNTIF($C$5:C1257,C1257),"")</f>
        <v/>
      </c>
    </row>
    <row r="1258">
      <c r="A1258" s="53" t="n"/>
      <c r="B1258" s="54" t="n"/>
      <c r="C1258" s="55" t="n"/>
      <c r="D1258" s="55" t="n"/>
      <c r="E1258" s="55" t="n"/>
      <c r="F1258" s="55" t="n"/>
      <c r="G1258" s="56" t="n"/>
      <c r="H1258" s="57" t="n"/>
      <c r="I1258" s="55" t="n"/>
      <c r="J1258" s="53" t="n"/>
      <c r="K1258" s="54" t="n"/>
      <c r="L1258" s="55" t="n"/>
      <c r="M1258" s="55" t="n"/>
      <c r="N1258" s="57" t="n"/>
      <c r="O1258" s="55" t="n"/>
      <c r="P1258" s="56" t="n"/>
      <c r="Q1258" s="55" t="n"/>
      <c r="R1258" s="55" t="n"/>
      <c r="S1258" s="55" t="n"/>
      <c r="T1258" s="55" t="n"/>
      <c r="U1258" s="55" t="n"/>
      <c r="V1258" s="55" t="n"/>
      <c r="W1258" s="58" t="n"/>
      <c r="X1258" s="58" t="n"/>
      <c r="Y1258" s="55" t="n"/>
      <c r="Z1258" s="55" t="n"/>
      <c r="AA1258" s="55" t="n"/>
      <c r="AB1258" s="55" t="n"/>
      <c r="AC1258" s="55" t="n"/>
      <c r="AD1258" s="53" t="n"/>
      <c r="AE1258" s="55" t="n"/>
      <c r="AF1258" s="55" t="n"/>
      <c r="AG1258" s="59" t="n"/>
      <c r="AH1258" s="57" t="n"/>
      <c r="AI1258" s="55" t="n"/>
      <c r="AJ1258" s="55" t="n"/>
      <c r="AK1258" s="55" t="n"/>
      <c r="AL1258" s="55" t="n"/>
      <c r="AM1258" s="56" t="n"/>
      <c r="AN1258" s="55" t="n"/>
      <c r="AO1258" s="55" t="n"/>
      <c r="AP1258" s="55" t="n"/>
      <c r="AQ1258" s="55" t="n"/>
      <c r="AR1258" s="60">
        <f>IF(AND(C1258="",E1258=""),"",IF(A1258="","⚠ Date manquante",IF(AND(C1258="",E1258&lt;&gt;"Dépense"),"⚠ Prospect manquant",IF(E1258="","⚠ Action manquante",IF(AND(AU1258=1,D1258=""),"⚠ Canal manquant",IF(AND(W1258&lt;&gt;"",COUNTIFS('Saisie'!$W$5:$W$2004,W1258,'Saisie'!$C$5:$C$2004,"&lt;&gt;"&amp;C1258)&gt;0),"⚠ Numéro déjà utilisé par un autre prospect",IF(AND(J1258&lt;&gt;"",J1258&lt;A1258),"⚠ Relance avant la date de l'action",IF(A1258&gt;TODAY(),"⚠ Date dans le futur","✓"))))))))</f>
        <v/>
      </c>
      <c r="AS1258" s="61">
        <f>IF(AND(A1258="",C1258="",E1258=""),"",ROW())</f>
        <v/>
      </c>
      <c r="AT1258" s="61">
        <f>IF(E1258&amp;F1258="","",MAX(IFERROR(INDEX('Paramètres'!$J$6:$J$33,MATCH(E1258,'Paramètres'!$I$6:$I$33,0)),0),IFERROR(INDEX('Paramètres'!$N$6:$N$17,MATCH(F1258,'Paramètres'!$M$6:$M$17,0)),0)))</f>
        <v/>
      </c>
      <c r="AU1258" s="61">
        <f>IF(E1258="","",IFERROR(IF(INDEX('Paramètres'!$K$6:$K$33,MATCH(E1258,'Paramètres'!$I$6:$I$33,0))="Oui",1,0),0))</f>
        <v/>
      </c>
      <c r="AV1258" s="61">
        <f>IF(F1258="","",IFERROR(IF(INDEX('Paramètres'!$O$6:$O$17,MATCH(F1258,'Paramètres'!$M$6:$M$17,0))="Oui",1,0),0))</f>
        <v/>
      </c>
      <c r="AW1258" s="62">
        <f>IF(E1258="","",IF(G1258&lt;&gt;"",G1258,IF(OR(E1258="Proposition envoyée",E1258="Signature"),MAX(0,N(IFERROR(INDEX('Paramètres'!$R$6:$R$15,MATCH(IF(AL1258&lt;&gt;"",AL1258,IFERROR(INDEX('Prospects'!$AN$5:$AN$504,MATCH(C1258,'Prospects'!$C$5:$C$504,0)),"")),'Paramètres'!$Q$6:$Q$15,0)),0))-N(P1258)),0)))</f>
        <v/>
      </c>
      <c r="AX1258" s="61">
        <f>IF(C1258="","",IF(COUNTIF($C$5:C1258,C1258)=1,MAX($AX$4:AX1257)+1,""))</f>
        <v/>
      </c>
      <c r="AY1258" s="61">
        <f>IF(B1258="","",HOUR(B1258))</f>
        <v/>
      </c>
      <c r="AZ1258" s="61">
        <f>IF(A1258="","",MOD(A1258-2,7)+1)</f>
        <v/>
      </c>
      <c r="BA1258" s="60">
        <f>IF(C1258="","",IFERROR(INDEX('Prospects'!$N$5:$N$504,MATCH(C1258,'Prospects'!$C$5:$C$504,0)),""))</f>
        <v/>
      </c>
      <c r="BB1258" s="61">
        <f>IF(AND(C1258&lt;&gt;"",C1258='Fiche prospect'!$C$4),COUNTIF($C$5:C1258,C1258),"")</f>
        <v/>
      </c>
    </row>
    <row r="1259">
      <c r="A1259" s="53" t="n"/>
      <c r="B1259" s="54" t="n"/>
      <c r="C1259" s="55" t="n"/>
      <c r="D1259" s="55" t="n"/>
      <c r="E1259" s="55" t="n"/>
      <c r="F1259" s="55" t="n"/>
      <c r="G1259" s="56" t="n"/>
      <c r="H1259" s="57" t="n"/>
      <c r="I1259" s="55" t="n"/>
      <c r="J1259" s="53" t="n"/>
      <c r="K1259" s="54" t="n"/>
      <c r="L1259" s="55" t="n"/>
      <c r="M1259" s="55" t="n"/>
      <c r="N1259" s="57" t="n"/>
      <c r="O1259" s="55" t="n"/>
      <c r="P1259" s="56" t="n"/>
      <c r="Q1259" s="55" t="n"/>
      <c r="R1259" s="55" t="n"/>
      <c r="S1259" s="55" t="n"/>
      <c r="T1259" s="55" t="n"/>
      <c r="U1259" s="55" t="n"/>
      <c r="V1259" s="55" t="n"/>
      <c r="W1259" s="58" t="n"/>
      <c r="X1259" s="58" t="n"/>
      <c r="Y1259" s="55" t="n"/>
      <c r="Z1259" s="55" t="n"/>
      <c r="AA1259" s="55" t="n"/>
      <c r="AB1259" s="55" t="n"/>
      <c r="AC1259" s="55" t="n"/>
      <c r="AD1259" s="53" t="n"/>
      <c r="AE1259" s="55" t="n"/>
      <c r="AF1259" s="55" t="n"/>
      <c r="AG1259" s="59" t="n"/>
      <c r="AH1259" s="57" t="n"/>
      <c r="AI1259" s="55" t="n"/>
      <c r="AJ1259" s="55" t="n"/>
      <c r="AK1259" s="55" t="n"/>
      <c r="AL1259" s="55" t="n"/>
      <c r="AM1259" s="56" t="n"/>
      <c r="AN1259" s="55" t="n"/>
      <c r="AO1259" s="55" t="n"/>
      <c r="AP1259" s="55" t="n"/>
      <c r="AQ1259" s="55" t="n"/>
      <c r="AR1259" s="60">
        <f>IF(AND(C1259="",E1259=""),"",IF(A1259="","⚠ Date manquante",IF(AND(C1259="",E1259&lt;&gt;"Dépense"),"⚠ Prospect manquant",IF(E1259="","⚠ Action manquante",IF(AND(AU1259=1,D1259=""),"⚠ Canal manquant",IF(AND(W1259&lt;&gt;"",COUNTIFS('Saisie'!$W$5:$W$2004,W1259,'Saisie'!$C$5:$C$2004,"&lt;&gt;"&amp;C1259)&gt;0),"⚠ Numéro déjà utilisé par un autre prospect",IF(AND(J1259&lt;&gt;"",J1259&lt;A1259),"⚠ Relance avant la date de l'action",IF(A1259&gt;TODAY(),"⚠ Date dans le futur","✓"))))))))</f>
        <v/>
      </c>
      <c r="AS1259" s="61">
        <f>IF(AND(A1259="",C1259="",E1259=""),"",ROW())</f>
        <v/>
      </c>
      <c r="AT1259" s="61">
        <f>IF(E1259&amp;F1259="","",MAX(IFERROR(INDEX('Paramètres'!$J$6:$J$33,MATCH(E1259,'Paramètres'!$I$6:$I$33,0)),0),IFERROR(INDEX('Paramètres'!$N$6:$N$17,MATCH(F1259,'Paramètres'!$M$6:$M$17,0)),0)))</f>
        <v/>
      </c>
      <c r="AU1259" s="61">
        <f>IF(E1259="","",IFERROR(IF(INDEX('Paramètres'!$K$6:$K$33,MATCH(E1259,'Paramètres'!$I$6:$I$33,0))="Oui",1,0),0))</f>
        <v/>
      </c>
      <c r="AV1259" s="61">
        <f>IF(F1259="","",IFERROR(IF(INDEX('Paramètres'!$O$6:$O$17,MATCH(F1259,'Paramètres'!$M$6:$M$17,0))="Oui",1,0),0))</f>
        <v/>
      </c>
      <c r="AW1259" s="62">
        <f>IF(E1259="","",IF(G1259&lt;&gt;"",G1259,IF(OR(E1259="Proposition envoyée",E1259="Signature"),MAX(0,N(IFERROR(INDEX('Paramètres'!$R$6:$R$15,MATCH(IF(AL1259&lt;&gt;"",AL1259,IFERROR(INDEX('Prospects'!$AN$5:$AN$504,MATCH(C1259,'Prospects'!$C$5:$C$504,0)),"")),'Paramètres'!$Q$6:$Q$15,0)),0))-N(P1259)),0)))</f>
        <v/>
      </c>
      <c r="AX1259" s="61">
        <f>IF(C1259="","",IF(COUNTIF($C$5:C1259,C1259)=1,MAX($AX$4:AX1258)+1,""))</f>
        <v/>
      </c>
      <c r="AY1259" s="61">
        <f>IF(B1259="","",HOUR(B1259))</f>
        <v/>
      </c>
      <c r="AZ1259" s="61">
        <f>IF(A1259="","",MOD(A1259-2,7)+1)</f>
        <v/>
      </c>
      <c r="BA1259" s="60">
        <f>IF(C1259="","",IFERROR(INDEX('Prospects'!$N$5:$N$504,MATCH(C1259,'Prospects'!$C$5:$C$504,0)),""))</f>
        <v/>
      </c>
      <c r="BB1259" s="61">
        <f>IF(AND(C1259&lt;&gt;"",C1259='Fiche prospect'!$C$4),COUNTIF($C$5:C1259,C1259),"")</f>
        <v/>
      </c>
    </row>
    <row r="1260">
      <c r="A1260" s="53" t="n"/>
      <c r="B1260" s="54" t="n"/>
      <c r="C1260" s="55" t="n"/>
      <c r="D1260" s="55" t="n"/>
      <c r="E1260" s="55" t="n"/>
      <c r="F1260" s="55" t="n"/>
      <c r="G1260" s="56" t="n"/>
      <c r="H1260" s="57" t="n"/>
      <c r="I1260" s="55" t="n"/>
      <c r="J1260" s="53" t="n"/>
      <c r="K1260" s="54" t="n"/>
      <c r="L1260" s="55" t="n"/>
      <c r="M1260" s="55" t="n"/>
      <c r="N1260" s="57" t="n"/>
      <c r="O1260" s="55" t="n"/>
      <c r="P1260" s="56" t="n"/>
      <c r="Q1260" s="55" t="n"/>
      <c r="R1260" s="55" t="n"/>
      <c r="S1260" s="55" t="n"/>
      <c r="T1260" s="55" t="n"/>
      <c r="U1260" s="55" t="n"/>
      <c r="V1260" s="55" t="n"/>
      <c r="W1260" s="58" t="n"/>
      <c r="X1260" s="58" t="n"/>
      <c r="Y1260" s="55" t="n"/>
      <c r="Z1260" s="55" t="n"/>
      <c r="AA1260" s="55" t="n"/>
      <c r="AB1260" s="55" t="n"/>
      <c r="AC1260" s="55" t="n"/>
      <c r="AD1260" s="53" t="n"/>
      <c r="AE1260" s="55" t="n"/>
      <c r="AF1260" s="55" t="n"/>
      <c r="AG1260" s="59" t="n"/>
      <c r="AH1260" s="57" t="n"/>
      <c r="AI1260" s="55" t="n"/>
      <c r="AJ1260" s="55" t="n"/>
      <c r="AK1260" s="55" t="n"/>
      <c r="AL1260" s="55" t="n"/>
      <c r="AM1260" s="56" t="n"/>
      <c r="AN1260" s="55" t="n"/>
      <c r="AO1260" s="55" t="n"/>
      <c r="AP1260" s="55" t="n"/>
      <c r="AQ1260" s="55" t="n"/>
      <c r="AR1260" s="60">
        <f>IF(AND(C1260="",E1260=""),"",IF(A1260="","⚠ Date manquante",IF(AND(C1260="",E1260&lt;&gt;"Dépense"),"⚠ Prospect manquant",IF(E1260="","⚠ Action manquante",IF(AND(AU1260=1,D1260=""),"⚠ Canal manquant",IF(AND(W1260&lt;&gt;"",COUNTIFS('Saisie'!$W$5:$W$2004,W1260,'Saisie'!$C$5:$C$2004,"&lt;&gt;"&amp;C1260)&gt;0),"⚠ Numéro déjà utilisé par un autre prospect",IF(AND(J1260&lt;&gt;"",J1260&lt;A1260),"⚠ Relance avant la date de l'action",IF(A1260&gt;TODAY(),"⚠ Date dans le futur","✓"))))))))</f>
        <v/>
      </c>
      <c r="AS1260" s="61">
        <f>IF(AND(A1260="",C1260="",E1260=""),"",ROW())</f>
        <v/>
      </c>
      <c r="AT1260" s="61">
        <f>IF(E1260&amp;F1260="","",MAX(IFERROR(INDEX('Paramètres'!$J$6:$J$33,MATCH(E1260,'Paramètres'!$I$6:$I$33,0)),0),IFERROR(INDEX('Paramètres'!$N$6:$N$17,MATCH(F1260,'Paramètres'!$M$6:$M$17,0)),0)))</f>
        <v/>
      </c>
      <c r="AU1260" s="61">
        <f>IF(E1260="","",IFERROR(IF(INDEX('Paramètres'!$K$6:$K$33,MATCH(E1260,'Paramètres'!$I$6:$I$33,0))="Oui",1,0),0))</f>
        <v/>
      </c>
      <c r="AV1260" s="61">
        <f>IF(F1260="","",IFERROR(IF(INDEX('Paramètres'!$O$6:$O$17,MATCH(F1260,'Paramètres'!$M$6:$M$17,0))="Oui",1,0),0))</f>
        <v/>
      </c>
      <c r="AW1260" s="62">
        <f>IF(E1260="","",IF(G1260&lt;&gt;"",G1260,IF(OR(E1260="Proposition envoyée",E1260="Signature"),MAX(0,N(IFERROR(INDEX('Paramètres'!$R$6:$R$15,MATCH(IF(AL1260&lt;&gt;"",AL1260,IFERROR(INDEX('Prospects'!$AN$5:$AN$504,MATCH(C1260,'Prospects'!$C$5:$C$504,0)),"")),'Paramètres'!$Q$6:$Q$15,0)),0))-N(P1260)),0)))</f>
        <v/>
      </c>
      <c r="AX1260" s="61">
        <f>IF(C1260="","",IF(COUNTIF($C$5:C1260,C1260)=1,MAX($AX$4:AX1259)+1,""))</f>
        <v/>
      </c>
      <c r="AY1260" s="61">
        <f>IF(B1260="","",HOUR(B1260))</f>
        <v/>
      </c>
      <c r="AZ1260" s="61">
        <f>IF(A1260="","",MOD(A1260-2,7)+1)</f>
        <v/>
      </c>
      <c r="BA1260" s="60">
        <f>IF(C1260="","",IFERROR(INDEX('Prospects'!$N$5:$N$504,MATCH(C1260,'Prospects'!$C$5:$C$504,0)),""))</f>
        <v/>
      </c>
      <c r="BB1260" s="61">
        <f>IF(AND(C1260&lt;&gt;"",C1260='Fiche prospect'!$C$4),COUNTIF($C$5:C1260,C1260),"")</f>
        <v/>
      </c>
    </row>
    <row r="1261">
      <c r="A1261" s="53" t="n"/>
      <c r="B1261" s="54" t="n"/>
      <c r="C1261" s="55" t="n"/>
      <c r="D1261" s="55" t="n"/>
      <c r="E1261" s="55" t="n"/>
      <c r="F1261" s="55" t="n"/>
      <c r="G1261" s="56" t="n"/>
      <c r="H1261" s="57" t="n"/>
      <c r="I1261" s="55" t="n"/>
      <c r="J1261" s="53" t="n"/>
      <c r="K1261" s="54" t="n"/>
      <c r="L1261" s="55" t="n"/>
      <c r="M1261" s="55" t="n"/>
      <c r="N1261" s="57" t="n"/>
      <c r="O1261" s="55" t="n"/>
      <c r="P1261" s="56" t="n"/>
      <c r="Q1261" s="55" t="n"/>
      <c r="R1261" s="55" t="n"/>
      <c r="S1261" s="55" t="n"/>
      <c r="T1261" s="55" t="n"/>
      <c r="U1261" s="55" t="n"/>
      <c r="V1261" s="55" t="n"/>
      <c r="W1261" s="58" t="n"/>
      <c r="X1261" s="58" t="n"/>
      <c r="Y1261" s="55" t="n"/>
      <c r="Z1261" s="55" t="n"/>
      <c r="AA1261" s="55" t="n"/>
      <c r="AB1261" s="55" t="n"/>
      <c r="AC1261" s="55" t="n"/>
      <c r="AD1261" s="53" t="n"/>
      <c r="AE1261" s="55" t="n"/>
      <c r="AF1261" s="55" t="n"/>
      <c r="AG1261" s="59" t="n"/>
      <c r="AH1261" s="57" t="n"/>
      <c r="AI1261" s="55" t="n"/>
      <c r="AJ1261" s="55" t="n"/>
      <c r="AK1261" s="55" t="n"/>
      <c r="AL1261" s="55" t="n"/>
      <c r="AM1261" s="56" t="n"/>
      <c r="AN1261" s="55" t="n"/>
      <c r="AO1261" s="55" t="n"/>
      <c r="AP1261" s="55" t="n"/>
      <c r="AQ1261" s="55" t="n"/>
      <c r="AR1261" s="60">
        <f>IF(AND(C1261="",E1261=""),"",IF(A1261="","⚠ Date manquante",IF(AND(C1261="",E1261&lt;&gt;"Dépense"),"⚠ Prospect manquant",IF(E1261="","⚠ Action manquante",IF(AND(AU1261=1,D1261=""),"⚠ Canal manquant",IF(AND(W1261&lt;&gt;"",COUNTIFS('Saisie'!$W$5:$W$2004,W1261,'Saisie'!$C$5:$C$2004,"&lt;&gt;"&amp;C1261)&gt;0),"⚠ Numéro déjà utilisé par un autre prospect",IF(AND(J1261&lt;&gt;"",J1261&lt;A1261),"⚠ Relance avant la date de l'action",IF(A1261&gt;TODAY(),"⚠ Date dans le futur","✓"))))))))</f>
        <v/>
      </c>
      <c r="AS1261" s="61">
        <f>IF(AND(A1261="",C1261="",E1261=""),"",ROW())</f>
        <v/>
      </c>
      <c r="AT1261" s="61">
        <f>IF(E1261&amp;F1261="","",MAX(IFERROR(INDEX('Paramètres'!$J$6:$J$33,MATCH(E1261,'Paramètres'!$I$6:$I$33,0)),0),IFERROR(INDEX('Paramètres'!$N$6:$N$17,MATCH(F1261,'Paramètres'!$M$6:$M$17,0)),0)))</f>
        <v/>
      </c>
      <c r="AU1261" s="61">
        <f>IF(E1261="","",IFERROR(IF(INDEX('Paramètres'!$K$6:$K$33,MATCH(E1261,'Paramètres'!$I$6:$I$33,0))="Oui",1,0),0))</f>
        <v/>
      </c>
      <c r="AV1261" s="61">
        <f>IF(F1261="","",IFERROR(IF(INDEX('Paramètres'!$O$6:$O$17,MATCH(F1261,'Paramètres'!$M$6:$M$17,0))="Oui",1,0),0))</f>
        <v/>
      </c>
      <c r="AW1261" s="62">
        <f>IF(E1261="","",IF(G1261&lt;&gt;"",G1261,IF(OR(E1261="Proposition envoyée",E1261="Signature"),MAX(0,N(IFERROR(INDEX('Paramètres'!$R$6:$R$15,MATCH(IF(AL1261&lt;&gt;"",AL1261,IFERROR(INDEX('Prospects'!$AN$5:$AN$504,MATCH(C1261,'Prospects'!$C$5:$C$504,0)),"")),'Paramètres'!$Q$6:$Q$15,0)),0))-N(P1261)),0)))</f>
        <v/>
      </c>
      <c r="AX1261" s="61">
        <f>IF(C1261="","",IF(COUNTIF($C$5:C1261,C1261)=1,MAX($AX$4:AX1260)+1,""))</f>
        <v/>
      </c>
      <c r="AY1261" s="61">
        <f>IF(B1261="","",HOUR(B1261))</f>
        <v/>
      </c>
      <c r="AZ1261" s="61">
        <f>IF(A1261="","",MOD(A1261-2,7)+1)</f>
        <v/>
      </c>
      <c r="BA1261" s="60">
        <f>IF(C1261="","",IFERROR(INDEX('Prospects'!$N$5:$N$504,MATCH(C1261,'Prospects'!$C$5:$C$504,0)),""))</f>
        <v/>
      </c>
      <c r="BB1261" s="61">
        <f>IF(AND(C1261&lt;&gt;"",C1261='Fiche prospect'!$C$4),COUNTIF($C$5:C1261,C1261),"")</f>
        <v/>
      </c>
    </row>
    <row r="1262">
      <c r="A1262" s="53" t="n"/>
      <c r="B1262" s="54" t="n"/>
      <c r="C1262" s="55" t="n"/>
      <c r="D1262" s="55" t="n"/>
      <c r="E1262" s="55" t="n"/>
      <c r="F1262" s="55" t="n"/>
      <c r="G1262" s="56" t="n"/>
      <c r="H1262" s="57" t="n"/>
      <c r="I1262" s="55" t="n"/>
      <c r="J1262" s="53" t="n"/>
      <c r="K1262" s="54" t="n"/>
      <c r="L1262" s="55" t="n"/>
      <c r="M1262" s="55" t="n"/>
      <c r="N1262" s="57" t="n"/>
      <c r="O1262" s="55" t="n"/>
      <c r="P1262" s="56" t="n"/>
      <c r="Q1262" s="55" t="n"/>
      <c r="R1262" s="55" t="n"/>
      <c r="S1262" s="55" t="n"/>
      <c r="T1262" s="55" t="n"/>
      <c r="U1262" s="55" t="n"/>
      <c r="V1262" s="55" t="n"/>
      <c r="W1262" s="58" t="n"/>
      <c r="X1262" s="58" t="n"/>
      <c r="Y1262" s="55" t="n"/>
      <c r="Z1262" s="55" t="n"/>
      <c r="AA1262" s="55" t="n"/>
      <c r="AB1262" s="55" t="n"/>
      <c r="AC1262" s="55" t="n"/>
      <c r="AD1262" s="53" t="n"/>
      <c r="AE1262" s="55" t="n"/>
      <c r="AF1262" s="55" t="n"/>
      <c r="AG1262" s="59" t="n"/>
      <c r="AH1262" s="57" t="n"/>
      <c r="AI1262" s="55" t="n"/>
      <c r="AJ1262" s="55" t="n"/>
      <c r="AK1262" s="55" t="n"/>
      <c r="AL1262" s="55" t="n"/>
      <c r="AM1262" s="56" t="n"/>
      <c r="AN1262" s="55" t="n"/>
      <c r="AO1262" s="55" t="n"/>
      <c r="AP1262" s="55" t="n"/>
      <c r="AQ1262" s="55" t="n"/>
      <c r="AR1262" s="60">
        <f>IF(AND(C1262="",E1262=""),"",IF(A1262="","⚠ Date manquante",IF(AND(C1262="",E1262&lt;&gt;"Dépense"),"⚠ Prospect manquant",IF(E1262="","⚠ Action manquante",IF(AND(AU1262=1,D1262=""),"⚠ Canal manquant",IF(AND(W1262&lt;&gt;"",COUNTIFS('Saisie'!$W$5:$W$2004,W1262,'Saisie'!$C$5:$C$2004,"&lt;&gt;"&amp;C1262)&gt;0),"⚠ Numéro déjà utilisé par un autre prospect",IF(AND(J1262&lt;&gt;"",J1262&lt;A1262),"⚠ Relance avant la date de l'action",IF(A1262&gt;TODAY(),"⚠ Date dans le futur","✓"))))))))</f>
        <v/>
      </c>
      <c r="AS1262" s="61">
        <f>IF(AND(A1262="",C1262="",E1262=""),"",ROW())</f>
        <v/>
      </c>
      <c r="AT1262" s="61">
        <f>IF(E1262&amp;F1262="","",MAX(IFERROR(INDEX('Paramètres'!$J$6:$J$33,MATCH(E1262,'Paramètres'!$I$6:$I$33,0)),0),IFERROR(INDEX('Paramètres'!$N$6:$N$17,MATCH(F1262,'Paramètres'!$M$6:$M$17,0)),0)))</f>
        <v/>
      </c>
      <c r="AU1262" s="61">
        <f>IF(E1262="","",IFERROR(IF(INDEX('Paramètres'!$K$6:$K$33,MATCH(E1262,'Paramètres'!$I$6:$I$33,0))="Oui",1,0),0))</f>
        <v/>
      </c>
      <c r="AV1262" s="61">
        <f>IF(F1262="","",IFERROR(IF(INDEX('Paramètres'!$O$6:$O$17,MATCH(F1262,'Paramètres'!$M$6:$M$17,0))="Oui",1,0),0))</f>
        <v/>
      </c>
      <c r="AW1262" s="62">
        <f>IF(E1262="","",IF(G1262&lt;&gt;"",G1262,IF(OR(E1262="Proposition envoyée",E1262="Signature"),MAX(0,N(IFERROR(INDEX('Paramètres'!$R$6:$R$15,MATCH(IF(AL1262&lt;&gt;"",AL1262,IFERROR(INDEX('Prospects'!$AN$5:$AN$504,MATCH(C1262,'Prospects'!$C$5:$C$504,0)),"")),'Paramètres'!$Q$6:$Q$15,0)),0))-N(P1262)),0)))</f>
        <v/>
      </c>
      <c r="AX1262" s="61">
        <f>IF(C1262="","",IF(COUNTIF($C$5:C1262,C1262)=1,MAX($AX$4:AX1261)+1,""))</f>
        <v/>
      </c>
      <c r="AY1262" s="61">
        <f>IF(B1262="","",HOUR(B1262))</f>
        <v/>
      </c>
      <c r="AZ1262" s="61">
        <f>IF(A1262="","",MOD(A1262-2,7)+1)</f>
        <v/>
      </c>
      <c r="BA1262" s="60">
        <f>IF(C1262="","",IFERROR(INDEX('Prospects'!$N$5:$N$504,MATCH(C1262,'Prospects'!$C$5:$C$504,0)),""))</f>
        <v/>
      </c>
      <c r="BB1262" s="61">
        <f>IF(AND(C1262&lt;&gt;"",C1262='Fiche prospect'!$C$4),COUNTIF($C$5:C1262,C1262),"")</f>
        <v/>
      </c>
    </row>
    <row r="1263">
      <c r="A1263" s="53" t="n"/>
      <c r="B1263" s="54" t="n"/>
      <c r="C1263" s="55" t="n"/>
      <c r="D1263" s="55" t="n"/>
      <c r="E1263" s="55" t="n"/>
      <c r="F1263" s="55" t="n"/>
      <c r="G1263" s="56" t="n"/>
      <c r="H1263" s="57" t="n"/>
      <c r="I1263" s="55" t="n"/>
      <c r="J1263" s="53" t="n"/>
      <c r="K1263" s="54" t="n"/>
      <c r="L1263" s="55" t="n"/>
      <c r="M1263" s="55" t="n"/>
      <c r="N1263" s="57" t="n"/>
      <c r="O1263" s="55" t="n"/>
      <c r="P1263" s="56" t="n"/>
      <c r="Q1263" s="55" t="n"/>
      <c r="R1263" s="55" t="n"/>
      <c r="S1263" s="55" t="n"/>
      <c r="T1263" s="55" t="n"/>
      <c r="U1263" s="55" t="n"/>
      <c r="V1263" s="55" t="n"/>
      <c r="W1263" s="58" t="n"/>
      <c r="X1263" s="58" t="n"/>
      <c r="Y1263" s="55" t="n"/>
      <c r="Z1263" s="55" t="n"/>
      <c r="AA1263" s="55" t="n"/>
      <c r="AB1263" s="55" t="n"/>
      <c r="AC1263" s="55" t="n"/>
      <c r="AD1263" s="53" t="n"/>
      <c r="AE1263" s="55" t="n"/>
      <c r="AF1263" s="55" t="n"/>
      <c r="AG1263" s="59" t="n"/>
      <c r="AH1263" s="57" t="n"/>
      <c r="AI1263" s="55" t="n"/>
      <c r="AJ1263" s="55" t="n"/>
      <c r="AK1263" s="55" t="n"/>
      <c r="AL1263" s="55" t="n"/>
      <c r="AM1263" s="56" t="n"/>
      <c r="AN1263" s="55" t="n"/>
      <c r="AO1263" s="55" t="n"/>
      <c r="AP1263" s="55" t="n"/>
      <c r="AQ1263" s="55" t="n"/>
      <c r="AR1263" s="60">
        <f>IF(AND(C1263="",E1263=""),"",IF(A1263="","⚠ Date manquante",IF(AND(C1263="",E1263&lt;&gt;"Dépense"),"⚠ Prospect manquant",IF(E1263="","⚠ Action manquante",IF(AND(AU1263=1,D1263=""),"⚠ Canal manquant",IF(AND(W1263&lt;&gt;"",COUNTIFS('Saisie'!$W$5:$W$2004,W1263,'Saisie'!$C$5:$C$2004,"&lt;&gt;"&amp;C1263)&gt;0),"⚠ Numéro déjà utilisé par un autre prospect",IF(AND(J1263&lt;&gt;"",J1263&lt;A1263),"⚠ Relance avant la date de l'action",IF(A1263&gt;TODAY(),"⚠ Date dans le futur","✓"))))))))</f>
        <v/>
      </c>
      <c r="AS1263" s="61">
        <f>IF(AND(A1263="",C1263="",E1263=""),"",ROW())</f>
        <v/>
      </c>
      <c r="AT1263" s="61">
        <f>IF(E1263&amp;F1263="","",MAX(IFERROR(INDEX('Paramètres'!$J$6:$J$33,MATCH(E1263,'Paramètres'!$I$6:$I$33,0)),0),IFERROR(INDEX('Paramètres'!$N$6:$N$17,MATCH(F1263,'Paramètres'!$M$6:$M$17,0)),0)))</f>
        <v/>
      </c>
      <c r="AU1263" s="61">
        <f>IF(E1263="","",IFERROR(IF(INDEX('Paramètres'!$K$6:$K$33,MATCH(E1263,'Paramètres'!$I$6:$I$33,0))="Oui",1,0),0))</f>
        <v/>
      </c>
      <c r="AV1263" s="61">
        <f>IF(F1263="","",IFERROR(IF(INDEX('Paramètres'!$O$6:$O$17,MATCH(F1263,'Paramètres'!$M$6:$M$17,0))="Oui",1,0),0))</f>
        <v/>
      </c>
      <c r="AW1263" s="62">
        <f>IF(E1263="","",IF(G1263&lt;&gt;"",G1263,IF(OR(E1263="Proposition envoyée",E1263="Signature"),MAX(0,N(IFERROR(INDEX('Paramètres'!$R$6:$R$15,MATCH(IF(AL1263&lt;&gt;"",AL1263,IFERROR(INDEX('Prospects'!$AN$5:$AN$504,MATCH(C1263,'Prospects'!$C$5:$C$504,0)),"")),'Paramètres'!$Q$6:$Q$15,0)),0))-N(P1263)),0)))</f>
        <v/>
      </c>
      <c r="AX1263" s="61">
        <f>IF(C1263="","",IF(COUNTIF($C$5:C1263,C1263)=1,MAX($AX$4:AX1262)+1,""))</f>
        <v/>
      </c>
      <c r="AY1263" s="61">
        <f>IF(B1263="","",HOUR(B1263))</f>
        <v/>
      </c>
      <c r="AZ1263" s="61">
        <f>IF(A1263="","",MOD(A1263-2,7)+1)</f>
        <v/>
      </c>
      <c r="BA1263" s="60">
        <f>IF(C1263="","",IFERROR(INDEX('Prospects'!$N$5:$N$504,MATCH(C1263,'Prospects'!$C$5:$C$504,0)),""))</f>
        <v/>
      </c>
      <c r="BB1263" s="61">
        <f>IF(AND(C1263&lt;&gt;"",C1263='Fiche prospect'!$C$4),COUNTIF($C$5:C1263,C1263),"")</f>
        <v/>
      </c>
    </row>
    <row r="1264">
      <c r="A1264" s="53" t="n"/>
      <c r="B1264" s="54" t="n"/>
      <c r="C1264" s="55" t="n"/>
      <c r="D1264" s="55" t="n"/>
      <c r="E1264" s="55" t="n"/>
      <c r="F1264" s="55" t="n"/>
      <c r="G1264" s="56" t="n"/>
      <c r="H1264" s="57" t="n"/>
      <c r="I1264" s="55" t="n"/>
      <c r="J1264" s="53" t="n"/>
      <c r="K1264" s="54" t="n"/>
      <c r="L1264" s="55" t="n"/>
      <c r="M1264" s="55" t="n"/>
      <c r="N1264" s="57" t="n"/>
      <c r="O1264" s="55" t="n"/>
      <c r="P1264" s="56" t="n"/>
      <c r="Q1264" s="55" t="n"/>
      <c r="R1264" s="55" t="n"/>
      <c r="S1264" s="55" t="n"/>
      <c r="T1264" s="55" t="n"/>
      <c r="U1264" s="55" t="n"/>
      <c r="V1264" s="55" t="n"/>
      <c r="W1264" s="58" t="n"/>
      <c r="X1264" s="58" t="n"/>
      <c r="Y1264" s="55" t="n"/>
      <c r="Z1264" s="55" t="n"/>
      <c r="AA1264" s="55" t="n"/>
      <c r="AB1264" s="55" t="n"/>
      <c r="AC1264" s="55" t="n"/>
      <c r="AD1264" s="53" t="n"/>
      <c r="AE1264" s="55" t="n"/>
      <c r="AF1264" s="55" t="n"/>
      <c r="AG1264" s="59" t="n"/>
      <c r="AH1264" s="57" t="n"/>
      <c r="AI1264" s="55" t="n"/>
      <c r="AJ1264" s="55" t="n"/>
      <c r="AK1264" s="55" t="n"/>
      <c r="AL1264" s="55" t="n"/>
      <c r="AM1264" s="56" t="n"/>
      <c r="AN1264" s="55" t="n"/>
      <c r="AO1264" s="55" t="n"/>
      <c r="AP1264" s="55" t="n"/>
      <c r="AQ1264" s="55" t="n"/>
      <c r="AR1264" s="60">
        <f>IF(AND(C1264="",E1264=""),"",IF(A1264="","⚠ Date manquante",IF(AND(C1264="",E1264&lt;&gt;"Dépense"),"⚠ Prospect manquant",IF(E1264="","⚠ Action manquante",IF(AND(AU1264=1,D1264=""),"⚠ Canal manquant",IF(AND(W1264&lt;&gt;"",COUNTIFS('Saisie'!$W$5:$W$2004,W1264,'Saisie'!$C$5:$C$2004,"&lt;&gt;"&amp;C1264)&gt;0),"⚠ Numéro déjà utilisé par un autre prospect",IF(AND(J1264&lt;&gt;"",J1264&lt;A1264),"⚠ Relance avant la date de l'action",IF(A1264&gt;TODAY(),"⚠ Date dans le futur","✓"))))))))</f>
        <v/>
      </c>
      <c r="AS1264" s="61">
        <f>IF(AND(A1264="",C1264="",E1264=""),"",ROW())</f>
        <v/>
      </c>
      <c r="AT1264" s="61">
        <f>IF(E1264&amp;F1264="","",MAX(IFERROR(INDEX('Paramètres'!$J$6:$J$33,MATCH(E1264,'Paramètres'!$I$6:$I$33,0)),0),IFERROR(INDEX('Paramètres'!$N$6:$N$17,MATCH(F1264,'Paramètres'!$M$6:$M$17,0)),0)))</f>
        <v/>
      </c>
      <c r="AU1264" s="61">
        <f>IF(E1264="","",IFERROR(IF(INDEX('Paramètres'!$K$6:$K$33,MATCH(E1264,'Paramètres'!$I$6:$I$33,0))="Oui",1,0),0))</f>
        <v/>
      </c>
      <c r="AV1264" s="61">
        <f>IF(F1264="","",IFERROR(IF(INDEX('Paramètres'!$O$6:$O$17,MATCH(F1264,'Paramètres'!$M$6:$M$17,0))="Oui",1,0),0))</f>
        <v/>
      </c>
      <c r="AW1264" s="62">
        <f>IF(E1264="","",IF(G1264&lt;&gt;"",G1264,IF(OR(E1264="Proposition envoyée",E1264="Signature"),MAX(0,N(IFERROR(INDEX('Paramètres'!$R$6:$R$15,MATCH(IF(AL1264&lt;&gt;"",AL1264,IFERROR(INDEX('Prospects'!$AN$5:$AN$504,MATCH(C1264,'Prospects'!$C$5:$C$504,0)),"")),'Paramètres'!$Q$6:$Q$15,0)),0))-N(P1264)),0)))</f>
        <v/>
      </c>
      <c r="AX1264" s="61">
        <f>IF(C1264="","",IF(COUNTIF($C$5:C1264,C1264)=1,MAX($AX$4:AX1263)+1,""))</f>
        <v/>
      </c>
      <c r="AY1264" s="61">
        <f>IF(B1264="","",HOUR(B1264))</f>
        <v/>
      </c>
      <c r="AZ1264" s="61">
        <f>IF(A1264="","",MOD(A1264-2,7)+1)</f>
        <v/>
      </c>
      <c r="BA1264" s="60">
        <f>IF(C1264="","",IFERROR(INDEX('Prospects'!$N$5:$N$504,MATCH(C1264,'Prospects'!$C$5:$C$504,0)),""))</f>
        <v/>
      </c>
      <c r="BB1264" s="61">
        <f>IF(AND(C1264&lt;&gt;"",C1264='Fiche prospect'!$C$4),COUNTIF($C$5:C1264,C1264),"")</f>
        <v/>
      </c>
    </row>
    <row r="1265">
      <c r="A1265" s="53" t="n"/>
      <c r="B1265" s="54" t="n"/>
      <c r="C1265" s="55" t="n"/>
      <c r="D1265" s="55" t="n"/>
      <c r="E1265" s="55" t="n"/>
      <c r="F1265" s="55" t="n"/>
      <c r="G1265" s="56" t="n"/>
      <c r="H1265" s="57" t="n"/>
      <c r="I1265" s="55" t="n"/>
      <c r="J1265" s="53" t="n"/>
      <c r="K1265" s="54" t="n"/>
      <c r="L1265" s="55" t="n"/>
      <c r="M1265" s="55" t="n"/>
      <c r="N1265" s="57" t="n"/>
      <c r="O1265" s="55" t="n"/>
      <c r="P1265" s="56" t="n"/>
      <c r="Q1265" s="55" t="n"/>
      <c r="R1265" s="55" t="n"/>
      <c r="S1265" s="55" t="n"/>
      <c r="T1265" s="55" t="n"/>
      <c r="U1265" s="55" t="n"/>
      <c r="V1265" s="55" t="n"/>
      <c r="W1265" s="58" t="n"/>
      <c r="X1265" s="58" t="n"/>
      <c r="Y1265" s="55" t="n"/>
      <c r="Z1265" s="55" t="n"/>
      <c r="AA1265" s="55" t="n"/>
      <c r="AB1265" s="55" t="n"/>
      <c r="AC1265" s="55" t="n"/>
      <c r="AD1265" s="53" t="n"/>
      <c r="AE1265" s="55" t="n"/>
      <c r="AF1265" s="55" t="n"/>
      <c r="AG1265" s="59" t="n"/>
      <c r="AH1265" s="57" t="n"/>
      <c r="AI1265" s="55" t="n"/>
      <c r="AJ1265" s="55" t="n"/>
      <c r="AK1265" s="55" t="n"/>
      <c r="AL1265" s="55" t="n"/>
      <c r="AM1265" s="56" t="n"/>
      <c r="AN1265" s="55" t="n"/>
      <c r="AO1265" s="55" t="n"/>
      <c r="AP1265" s="55" t="n"/>
      <c r="AQ1265" s="55" t="n"/>
      <c r="AR1265" s="60">
        <f>IF(AND(C1265="",E1265=""),"",IF(A1265="","⚠ Date manquante",IF(AND(C1265="",E1265&lt;&gt;"Dépense"),"⚠ Prospect manquant",IF(E1265="","⚠ Action manquante",IF(AND(AU1265=1,D1265=""),"⚠ Canal manquant",IF(AND(W1265&lt;&gt;"",COUNTIFS('Saisie'!$W$5:$W$2004,W1265,'Saisie'!$C$5:$C$2004,"&lt;&gt;"&amp;C1265)&gt;0),"⚠ Numéro déjà utilisé par un autre prospect",IF(AND(J1265&lt;&gt;"",J1265&lt;A1265),"⚠ Relance avant la date de l'action",IF(A1265&gt;TODAY(),"⚠ Date dans le futur","✓"))))))))</f>
        <v/>
      </c>
      <c r="AS1265" s="61">
        <f>IF(AND(A1265="",C1265="",E1265=""),"",ROW())</f>
        <v/>
      </c>
      <c r="AT1265" s="61">
        <f>IF(E1265&amp;F1265="","",MAX(IFERROR(INDEX('Paramètres'!$J$6:$J$33,MATCH(E1265,'Paramètres'!$I$6:$I$33,0)),0),IFERROR(INDEX('Paramètres'!$N$6:$N$17,MATCH(F1265,'Paramètres'!$M$6:$M$17,0)),0)))</f>
        <v/>
      </c>
      <c r="AU1265" s="61">
        <f>IF(E1265="","",IFERROR(IF(INDEX('Paramètres'!$K$6:$K$33,MATCH(E1265,'Paramètres'!$I$6:$I$33,0))="Oui",1,0),0))</f>
        <v/>
      </c>
      <c r="AV1265" s="61">
        <f>IF(F1265="","",IFERROR(IF(INDEX('Paramètres'!$O$6:$O$17,MATCH(F1265,'Paramètres'!$M$6:$M$17,0))="Oui",1,0),0))</f>
        <v/>
      </c>
      <c r="AW1265" s="62">
        <f>IF(E1265="","",IF(G1265&lt;&gt;"",G1265,IF(OR(E1265="Proposition envoyée",E1265="Signature"),MAX(0,N(IFERROR(INDEX('Paramètres'!$R$6:$R$15,MATCH(IF(AL1265&lt;&gt;"",AL1265,IFERROR(INDEX('Prospects'!$AN$5:$AN$504,MATCH(C1265,'Prospects'!$C$5:$C$504,0)),"")),'Paramètres'!$Q$6:$Q$15,0)),0))-N(P1265)),0)))</f>
        <v/>
      </c>
      <c r="AX1265" s="61">
        <f>IF(C1265="","",IF(COUNTIF($C$5:C1265,C1265)=1,MAX($AX$4:AX1264)+1,""))</f>
        <v/>
      </c>
      <c r="AY1265" s="61">
        <f>IF(B1265="","",HOUR(B1265))</f>
        <v/>
      </c>
      <c r="AZ1265" s="61">
        <f>IF(A1265="","",MOD(A1265-2,7)+1)</f>
        <v/>
      </c>
      <c r="BA1265" s="60">
        <f>IF(C1265="","",IFERROR(INDEX('Prospects'!$N$5:$N$504,MATCH(C1265,'Prospects'!$C$5:$C$504,0)),""))</f>
        <v/>
      </c>
      <c r="BB1265" s="61">
        <f>IF(AND(C1265&lt;&gt;"",C1265='Fiche prospect'!$C$4),COUNTIF($C$5:C1265,C1265),"")</f>
        <v/>
      </c>
    </row>
    <row r="1266">
      <c r="A1266" s="53" t="n"/>
      <c r="B1266" s="54" t="n"/>
      <c r="C1266" s="55" t="n"/>
      <c r="D1266" s="55" t="n"/>
      <c r="E1266" s="55" t="n"/>
      <c r="F1266" s="55" t="n"/>
      <c r="G1266" s="56" t="n"/>
      <c r="H1266" s="57" t="n"/>
      <c r="I1266" s="55" t="n"/>
      <c r="J1266" s="53" t="n"/>
      <c r="K1266" s="54" t="n"/>
      <c r="L1266" s="55" t="n"/>
      <c r="M1266" s="55" t="n"/>
      <c r="N1266" s="57" t="n"/>
      <c r="O1266" s="55" t="n"/>
      <c r="P1266" s="56" t="n"/>
      <c r="Q1266" s="55" t="n"/>
      <c r="R1266" s="55" t="n"/>
      <c r="S1266" s="55" t="n"/>
      <c r="T1266" s="55" t="n"/>
      <c r="U1266" s="55" t="n"/>
      <c r="V1266" s="55" t="n"/>
      <c r="W1266" s="58" t="n"/>
      <c r="X1266" s="58" t="n"/>
      <c r="Y1266" s="55" t="n"/>
      <c r="Z1266" s="55" t="n"/>
      <c r="AA1266" s="55" t="n"/>
      <c r="AB1266" s="55" t="n"/>
      <c r="AC1266" s="55" t="n"/>
      <c r="AD1266" s="53" t="n"/>
      <c r="AE1266" s="55" t="n"/>
      <c r="AF1266" s="55" t="n"/>
      <c r="AG1266" s="59" t="n"/>
      <c r="AH1266" s="57" t="n"/>
      <c r="AI1266" s="55" t="n"/>
      <c r="AJ1266" s="55" t="n"/>
      <c r="AK1266" s="55" t="n"/>
      <c r="AL1266" s="55" t="n"/>
      <c r="AM1266" s="56" t="n"/>
      <c r="AN1266" s="55" t="n"/>
      <c r="AO1266" s="55" t="n"/>
      <c r="AP1266" s="55" t="n"/>
      <c r="AQ1266" s="55" t="n"/>
      <c r="AR1266" s="60">
        <f>IF(AND(C1266="",E1266=""),"",IF(A1266="","⚠ Date manquante",IF(AND(C1266="",E1266&lt;&gt;"Dépense"),"⚠ Prospect manquant",IF(E1266="","⚠ Action manquante",IF(AND(AU1266=1,D1266=""),"⚠ Canal manquant",IF(AND(W1266&lt;&gt;"",COUNTIFS('Saisie'!$W$5:$W$2004,W1266,'Saisie'!$C$5:$C$2004,"&lt;&gt;"&amp;C1266)&gt;0),"⚠ Numéro déjà utilisé par un autre prospect",IF(AND(J1266&lt;&gt;"",J1266&lt;A1266),"⚠ Relance avant la date de l'action",IF(A1266&gt;TODAY(),"⚠ Date dans le futur","✓"))))))))</f>
        <v/>
      </c>
      <c r="AS1266" s="61">
        <f>IF(AND(A1266="",C1266="",E1266=""),"",ROW())</f>
        <v/>
      </c>
      <c r="AT1266" s="61">
        <f>IF(E1266&amp;F1266="","",MAX(IFERROR(INDEX('Paramètres'!$J$6:$J$33,MATCH(E1266,'Paramètres'!$I$6:$I$33,0)),0),IFERROR(INDEX('Paramètres'!$N$6:$N$17,MATCH(F1266,'Paramètres'!$M$6:$M$17,0)),0)))</f>
        <v/>
      </c>
      <c r="AU1266" s="61">
        <f>IF(E1266="","",IFERROR(IF(INDEX('Paramètres'!$K$6:$K$33,MATCH(E1266,'Paramètres'!$I$6:$I$33,0))="Oui",1,0),0))</f>
        <v/>
      </c>
      <c r="AV1266" s="61">
        <f>IF(F1266="","",IFERROR(IF(INDEX('Paramètres'!$O$6:$O$17,MATCH(F1266,'Paramètres'!$M$6:$M$17,0))="Oui",1,0),0))</f>
        <v/>
      </c>
      <c r="AW1266" s="62">
        <f>IF(E1266="","",IF(G1266&lt;&gt;"",G1266,IF(OR(E1266="Proposition envoyée",E1266="Signature"),MAX(0,N(IFERROR(INDEX('Paramètres'!$R$6:$R$15,MATCH(IF(AL1266&lt;&gt;"",AL1266,IFERROR(INDEX('Prospects'!$AN$5:$AN$504,MATCH(C1266,'Prospects'!$C$5:$C$504,0)),"")),'Paramètres'!$Q$6:$Q$15,0)),0))-N(P1266)),0)))</f>
        <v/>
      </c>
      <c r="AX1266" s="61">
        <f>IF(C1266="","",IF(COUNTIF($C$5:C1266,C1266)=1,MAX($AX$4:AX1265)+1,""))</f>
        <v/>
      </c>
      <c r="AY1266" s="61">
        <f>IF(B1266="","",HOUR(B1266))</f>
        <v/>
      </c>
      <c r="AZ1266" s="61">
        <f>IF(A1266="","",MOD(A1266-2,7)+1)</f>
        <v/>
      </c>
      <c r="BA1266" s="60">
        <f>IF(C1266="","",IFERROR(INDEX('Prospects'!$N$5:$N$504,MATCH(C1266,'Prospects'!$C$5:$C$504,0)),""))</f>
        <v/>
      </c>
      <c r="BB1266" s="61">
        <f>IF(AND(C1266&lt;&gt;"",C1266='Fiche prospect'!$C$4),COUNTIF($C$5:C1266,C1266),"")</f>
        <v/>
      </c>
    </row>
    <row r="1267">
      <c r="A1267" s="53" t="n"/>
      <c r="B1267" s="54" t="n"/>
      <c r="C1267" s="55" t="n"/>
      <c r="D1267" s="55" t="n"/>
      <c r="E1267" s="55" t="n"/>
      <c r="F1267" s="55" t="n"/>
      <c r="G1267" s="56" t="n"/>
      <c r="H1267" s="57" t="n"/>
      <c r="I1267" s="55" t="n"/>
      <c r="J1267" s="53" t="n"/>
      <c r="K1267" s="54" t="n"/>
      <c r="L1267" s="55" t="n"/>
      <c r="M1267" s="55" t="n"/>
      <c r="N1267" s="57" t="n"/>
      <c r="O1267" s="55" t="n"/>
      <c r="P1267" s="56" t="n"/>
      <c r="Q1267" s="55" t="n"/>
      <c r="R1267" s="55" t="n"/>
      <c r="S1267" s="55" t="n"/>
      <c r="T1267" s="55" t="n"/>
      <c r="U1267" s="55" t="n"/>
      <c r="V1267" s="55" t="n"/>
      <c r="W1267" s="58" t="n"/>
      <c r="X1267" s="58" t="n"/>
      <c r="Y1267" s="55" t="n"/>
      <c r="Z1267" s="55" t="n"/>
      <c r="AA1267" s="55" t="n"/>
      <c r="AB1267" s="55" t="n"/>
      <c r="AC1267" s="55" t="n"/>
      <c r="AD1267" s="53" t="n"/>
      <c r="AE1267" s="55" t="n"/>
      <c r="AF1267" s="55" t="n"/>
      <c r="AG1267" s="59" t="n"/>
      <c r="AH1267" s="57" t="n"/>
      <c r="AI1267" s="55" t="n"/>
      <c r="AJ1267" s="55" t="n"/>
      <c r="AK1267" s="55" t="n"/>
      <c r="AL1267" s="55" t="n"/>
      <c r="AM1267" s="56" t="n"/>
      <c r="AN1267" s="55" t="n"/>
      <c r="AO1267" s="55" t="n"/>
      <c r="AP1267" s="55" t="n"/>
      <c r="AQ1267" s="55" t="n"/>
      <c r="AR1267" s="60">
        <f>IF(AND(C1267="",E1267=""),"",IF(A1267="","⚠ Date manquante",IF(AND(C1267="",E1267&lt;&gt;"Dépense"),"⚠ Prospect manquant",IF(E1267="","⚠ Action manquante",IF(AND(AU1267=1,D1267=""),"⚠ Canal manquant",IF(AND(W1267&lt;&gt;"",COUNTIFS('Saisie'!$W$5:$W$2004,W1267,'Saisie'!$C$5:$C$2004,"&lt;&gt;"&amp;C1267)&gt;0),"⚠ Numéro déjà utilisé par un autre prospect",IF(AND(J1267&lt;&gt;"",J1267&lt;A1267),"⚠ Relance avant la date de l'action",IF(A1267&gt;TODAY(),"⚠ Date dans le futur","✓"))))))))</f>
        <v/>
      </c>
      <c r="AS1267" s="61">
        <f>IF(AND(A1267="",C1267="",E1267=""),"",ROW())</f>
        <v/>
      </c>
      <c r="AT1267" s="61">
        <f>IF(E1267&amp;F1267="","",MAX(IFERROR(INDEX('Paramètres'!$J$6:$J$33,MATCH(E1267,'Paramètres'!$I$6:$I$33,0)),0),IFERROR(INDEX('Paramètres'!$N$6:$N$17,MATCH(F1267,'Paramètres'!$M$6:$M$17,0)),0)))</f>
        <v/>
      </c>
      <c r="AU1267" s="61">
        <f>IF(E1267="","",IFERROR(IF(INDEX('Paramètres'!$K$6:$K$33,MATCH(E1267,'Paramètres'!$I$6:$I$33,0))="Oui",1,0),0))</f>
        <v/>
      </c>
      <c r="AV1267" s="61">
        <f>IF(F1267="","",IFERROR(IF(INDEX('Paramètres'!$O$6:$O$17,MATCH(F1267,'Paramètres'!$M$6:$M$17,0))="Oui",1,0),0))</f>
        <v/>
      </c>
      <c r="AW1267" s="62">
        <f>IF(E1267="","",IF(G1267&lt;&gt;"",G1267,IF(OR(E1267="Proposition envoyée",E1267="Signature"),MAX(0,N(IFERROR(INDEX('Paramètres'!$R$6:$R$15,MATCH(IF(AL1267&lt;&gt;"",AL1267,IFERROR(INDEX('Prospects'!$AN$5:$AN$504,MATCH(C1267,'Prospects'!$C$5:$C$504,0)),"")),'Paramètres'!$Q$6:$Q$15,0)),0))-N(P1267)),0)))</f>
        <v/>
      </c>
      <c r="AX1267" s="61">
        <f>IF(C1267="","",IF(COUNTIF($C$5:C1267,C1267)=1,MAX($AX$4:AX1266)+1,""))</f>
        <v/>
      </c>
      <c r="AY1267" s="61">
        <f>IF(B1267="","",HOUR(B1267))</f>
        <v/>
      </c>
      <c r="AZ1267" s="61">
        <f>IF(A1267="","",MOD(A1267-2,7)+1)</f>
        <v/>
      </c>
      <c r="BA1267" s="60">
        <f>IF(C1267="","",IFERROR(INDEX('Prospects'!$N$5:$N$504,MATCH(C1267,'Prospects'!$C$5:$C$504,0)),""))</f>
        <v/>
      </c>
      <c r="BB1267" s="61">
        <f>IF(AND(C1267&lt;&gt;"",C1267='Fiche prospect'!$C$4),COUNTIF($C$5:C1267,C1267),"")</f>
        <v/>
      </c>
    </row>
    <row r="1268">
      <c r="A1268" s="53" t="n"/>
      <c r="B1268" s="54" t="n"/>
      <c r="C1268" s="55" t="n"/>
      <c r="D1268" s="55" t="n"/>
      <c r="E1268" s="55" t="n"/>
      <c r="F1268" s="55" t="n"/>
      <c r="G1268" s="56" t="n"/>
      <c r="H1268" s="57" t="n"/>
      <c r="I1268" s="55" t="n"/>
      <c r="J1268" s="53" t="n"/>
      <c r="K1268" s="54" t="n"/>
      <c r="L1268" s="55" t="n"/>
      <c r="M1268" s="55" t="n"/>
      <c r="N1268" s="57" t="n"/>
      <c r="O1268" s="55" t="n"/>
      <c r="P1268" s="56" t="n"/>
      <c r="Q1268" s="55" t="n"/>
      <c r="R1268" s="55" t="n"/>
      <c r="S1268" s="55" t="n"/>
      <c r="T1268" s="55" t="n"/>
      <c r="U1268" s="55" t="n"/>
      <c r="V1268" s="55" t="n"/>
      <c r="W1268" s="58" t="n"/>
      <c r="X1268" s="58" t="n"/>
      <c r="Y1268" s="55" t="n"/>
      <c r="Z1268" s="55" t="n"/>
      <c r="AA1268" s="55" t="n"/>
      <c r="AB1268" s="55" t="n"/>
      <c r="AC1268" s="55" t="n"/>
      <c r="AD1268" s="53" t="n"/>
      <c r="AE1268" s="55" t="n"/>
      <c r="AF1268" s="55" t="n"/>
      <c r="AG1268" s="59" t="n"/>
      <c r="AH1268" s="57" t="n"/>
      <c r="AI1268" s="55" t="n"/>
      <c r="AJ1268" s="55" t="n"/>
      <c r="AK1268" s="55" t="n"/>
      <c r="AL1268" s="55" t="n"/>
      <c r="AM1268" s="56" t="n"/>
      <c r="AN1268" s="55" t="n"/>
      <c r="AO1268" s="55" t="n"/>
      <c r="AP1268" s="55" t="n"/>
      <c r="AQ1268" s="55" t="n"/>
      <c r="AR1268" s="60">
        <f>IF(AND(C1268="",E1268=""),"",IF(A1268="","⚠ Date manquante",IF(AND(C1268="",E1268&lt;&gt;"Dépense"),"⚠ Prospect manquant",IF(E1268="","⚠ Action manquante",IF(AND(AU1268=1,D1268=""),"⚠ Canal manquant",IF(AND(W1268&lt;&gt;"",COUNTIFS('Saisie'!$W$5:$W$2004,W1268,'Saisie'!$C$5:$C$2004,"&lt;&gt;"&amp;C1268)&gt;0),"⚠ Numéro déjà utilisé par un autre prospect",IF(AND(J1268&lt;&gt;"",J1268&lt;A1268),"⚠ Relance avant la date de l'action",IF(A1268&gt;TODAY(),"⚠ Date dans le futur","✓"))))))))</f>
        <v/>
      </c>
      <c r="AS1268" s="61">
        <f>IF(AND(A1268="",C1268="",E1268=""),"",ROW())</f>
        <v/>
      </c>
      <c r="AT1268" s="61">
        <f>IF(E1268&amp;F1268="","",MAX(IFERROR(INDEX('Paramètres'!$J$6:$J$33,MATCH(E1268,'Paramètres'!$I$6:$I$33,0)),0),IFERROR(INDEX('Paramètres'!$N$6:$N$17,MATCH(F1268,'Paramètres'!$M$6:$M$17,0)),0)))</f>
        <v/>
      </c>
      <c r="AU1268" s="61">
        <f>IF(E1268="","",IFERROR(IF(INDEX('Paramètres'!$K$6:$K$33,MATCH(E1268,'Paramètres'!$I$6:$I$33,0))="Oui",1,0),0))</f>
        <v/>
      </c>
      <c r="AV1268" s="61">
        <f>IF(F1268="","",IFERROR(IF(INDEX('Paramètres'!$O$6:$O$17,MATCH(F1268,'Paramètres'!$M$6:$M$17,0))="Oui",1,0),0))</f>
        <v/>
      </c>
      <c r="AW1268" s="62">
        <f>IF(E1268="","",IF(G1268&lt;&gt;"",G1268,IF(OR(E1268="Proposition envoyée",E1268="Signature"),MAX(0,N(IFERROR(INDEX('Paramètres'!$R$6:$R$15,MATCH(IF(AL1268&lt;&gt;"",AL1268,IFERROR(INDEX('Prospects'!$AN$5:$AN$504,MATCH(C1268,'Prospects'!$C$5:$C$504,0)),"")),'Paramètres'!$Q$6:$Q$15,0)),0))-N(P1268)),0)))</f>
        <v/>
      </c>
      <c r="AX1268" s="61">
        <f>IF(C1268="","",IF(COUNTIF($C$5:C1268,C1268)=1,MAX($AX$4:AX1267)+1,""))</f>
        <v/>
      </c>
      <c r="AY1268" s="61">
        <f>IF(B1268="","",HOUR(B1268))</f>
        <v/>
      </c>
      <c r="AZ1268" s="61">
        <f>IF(A1268="","",MOD(A1268-2,7)+1)</f>
        <v/>
      </c>
      <c r="BA1268" s="60">
        <f>IF(C1268="","",IFERROR(INDEX('Prospects'!$N$5:$N$504,MATCH(C1268,'Prospects'!$C$5:$C$504,0)),""))</f>
        <v/>
      </c>
      <c r="BB1268" s="61">
        <f>IF(AND(C1268&lt;&gt;"",C1268='Fiche prospect'!$C$4),COUNTIF($C$5:C1268,C1268),"")</f>
        <v/>
      </c>
    </row>
    <row r="1269">
      <c r="A1269" s="53" t="n"/>
      <c r="B1269" s="54" t="n"/>
      <c r="C1269" s="55" t="n"/>
      <c r="D1269" s="55" t="n"/>
      <c r="E1269" s="55" t="n"/>
      <c r="F1269" s="55" t="n"/>
      <c r="G1269" s="56" t="n"/>
      <c r="H1269" s="57" t="n"/>
      <c r="I1269" s="55" t="n"/>
      <c r="J1269" s="53" t="n"/>
      <c r="K1269" s="54" t="n"/>
      <c r="L1269" s="55" t="n"/>
      <c r="M1269" s="55" t="n"/>
      <c r="N1269" s="57" t="n"/>
      <c r="O1269" s="55" t="n"/>
      <c r="P1269" s="56" t="n"/>
      <c r="Q1269" s="55" t="n"/>
      <c r="R1269" s="55" t="n"/>
      <c r="S1269" s="55" t="n"/>
      <c r="T1269" s="55" t="n"/>
      <c r="U1269" s="55" t="n"/>
      <c r="V1269" s="55" t="n"/>
      <c r="W1269" s="58" t="n"/>
      <c r="X1269" s="58" t="n"/>
      <c r="Y1269" s="55" t="n"/>
      <c r="Z1269" s="55" t="n"/>
      <c r="AA1269" s="55" t="n"/>
      <c r="AB1269" s="55" t="n"/>
      <c r="AC1269" s="55" t="n"/>
      <c r="AD1269" s="53" t="n"/>
      <c r="AE1269" s="55" t="n"/>
      <c r="AF1269" s="55" t="n"/>
      <c r="AG1269" s="59" t="n"/>
      <c r="AH1269" s="57" t="n"/>
      <c r="AI1269" s="55" t="n"/>
      <c r="AJ1269" s="55" t="n"/>
      <c r="AK1269" s="55" t="n"/>
      <c r="AL1269" s="55" t="n"/>
      <c r="AM1269" s="56" t="n"/>
      <c r="AN1269" s="55" t="n"/>
      <c r="AO1269" s="55" t="n"/>
      <c r="AP1269" s="55" t="n"/>
      <c r="AQ1269" s="55" t="n"/>
      <c r="AR1269" s="60">
        <f>IF(AND(C1269="",E1269=""),"",IF(A1269="","⚠ Date manquante",IF(AND(C1269="",E1269&lt;&gt;"Dépense"),"⚠ Prospect manquant",IF(E1269="","⚠ Action manquante",IF(AND(AU1269=1,D1269=""),"⚠ Canal manquant",IF(AND(W1269&lt;&gt;"",COUNTIFS('Saisie'!$W$5:$W$2004,W1269,'Saisie'!$C$5:$C$2004,"&lt;&gt;"&amp;C1269)&gt;0),"⚠ Numéro déjà utilisé par un autre prospect",IF(AND(J1269&lt;&gt;"",J1269&lt;A1269),"⚠ Relance avant la date de l'action",IF(A1269&gt;TODAY(),"⚠ Date dans le futur","✓"))))))))</f>
        <v/>
      </c>
      <c r="AS1269" s="61">
        <f>IF(AND(A1269="",C1269="",E1269=""),"",ROW())</f>
        <v/>
      </c>
      <c r="AT1269" s="61">
        <f>IF(E1269&amp;F1269="","",MAX(IFERROR(INDEX('Paramètres'!$J$6:$J$33,MATCH(E1269,'Paramètres'!$I$6:$I$33,0)),0),IFERROR(INDEX('Paramètres'!$N$6:$N$17,MATCH(F1269,'Paramètres'!$M$6:$M$17,0)),0)))</f>
        <v/>
      </c>
      <c r="AU1269" s="61">
        <f>IF(E1269="","",IFERROR(IF(INDEX('Paramètres'!$K$6:$K$33,MATCH(E1269,'Paramètres'!$I$6:$I$33,0))="Oui",1,0),0))</f>
        <v/>
      </c>
      <c r="AV1269" s="61">
        <f>IF(F1269="","",IFERROR(IF(INDEX('Paramètres'!$O$6:$O$17,MATCH(F1269,'Paramètres'!$M$6:$M$17,0))="Oui",1,0),0))</f>
        <v/>
      </c>
      <c r="AW1269" s="62">
        <f>IF(E1269="","",IF(G1269&lt;&gt;"",G1269,IF(OR(E1269="Proposition envoyée",E1269="Signature"),MAX(0,N(IFERROR(INDEX('Paramètres'!$R$6:$R$15,MATCH(IF(AL1269&lt;&gt;"",AL1269,IFERROR(INDEX('Prospects'!$AN$5:$AN$504,MATCH(C1269,'Prospects'!$C$5:$C$504,0)),"")),'Paramètres'!$Q$6:$Q$15,0)),0))-N(P1269)),0)))</f>
        <v/>
      </c>
      <c r="AX1269" s="61">
        <f>IF(C1269="","",IF(COUNTIF($C$5:C1269,C1269)=1,MAX($AX$4:AX1268)+1,""))</f>
        <v/>
      </c>
      <c r="AY1269" s="61">
        <f>IF(B1269="","",HOUR(B1269))</f>
        <v/>
      </c>
      <c r="AZ1269" s="61">
        <f>IF(A1269="","",MOD(A1269-2,7)+1)</f>
        <v/>
      </c>
      <c r="BA1269" s="60">
        <f>IF(C1269="","",IFERROR(INDEX('Prospects'!$N$5:$N$504,MATCH(C1269,'Prospects'!$C$5:$C$504,0)),""))</f>
        <v/>
      </c>
      <c r="BB1269" s="61">
        <f>IF(AND(C1269&lt;&gt;"",C1269='Fiche prospect'!$C$4),COUNTIF($C$5:C1269,C1269),"")</f>
        <v/>
      </c>
    </row>
    <row r="1270">
      <c r="A1270" s="53" t="n"/>
      <c r="B1270" s="54" t="n"/>
      <c r="C1270" s="55" t="n"/>
      <c r="D1270" s="55" t="n"/>
      <c r="E1270" s="55" t="n"/>
      <c r="F1270" s="55" t="n"/>
      <c r="G1270" s="56" t="n"/>
      <c r="H1270" s="57" t="n"/>
      <c r="I1270" s="55" t="n"/>
      <c r="J1270" s="53" t="n"/>
      <c r="K1270" s="54" t="n"/>
      <c r="L1270" s="55" t="n"/>
      <c r="M1270" s="55" t="n"/>
      <c r="N1270" s="57" t="n"/>
      <c r="O1270" s="55" t="n"/>
      <c r="P1270" s="56" t="n"/>
      <c r="Q1270" s="55" t="n"/>
      <c r="R1270" s="55" t="n"/>
      <c r="S1270" s="55" t="n"/>
      <c r="T1270" s="55" t="n"/>
      <c r="U1270" s="55" t="n"/>
      <c r="V1270" s="55" t="n"/>
      <c r="W1270" s="58" t="n"/>
      <c r="X1270" s="58" t="n"/>
      <c r="Y1270" s="55" t="n"/>
      <c r="Z1270" s="55" t="n"/>
      <c r="AA1270" s="55" t="n"/>
      <c r="AB1270" s="55" t="n"/>
      <c r="AC1270" s="55" t="n"/>
      <c r="AD1270" s="53" t="n"/>
      <c r="AE1270" s="55" t="n"/>
      <c r="AF1270" s="55" t="n"/>
      <c r="AG1270" s="59" t="n"/>
      <c r="AH1270" s="57" t="n"/>
      <c r="AI1270" s="55" t="n"/>
      <c r="AJ1270" s="55" t="n"/>
      <c r="AK1270" s="55" t="n"/>
      <c r="AL1270" s="55" t="n"/>
      <c r="AM1270" s="56" t="n"/>
      <c r="AN1270" s="55" t="n"/>
      <c r="AO1270" s="55" t="n"/>
      <c r="AP1270" s="55" t="n"/>
      <c r="AQ1270" s="55" t="n"/>
      <c r="AR1270" s="60">
        <f>IF(AND(C1270="",E1270=""),"",IF(A1270="","⚠ Date manquante",IF(AND(C1270="",E1270&lt;&gt;"Dépense"),"⚠ Prospect manquant",IF(E1270="","⚠ Action manquante",IF(AND(AU1270=1,D1270=""),"⚠ Canal manquant",IF(AND(W1270&lt;&gt;"",COUNTIFS('Saisie'!$W$5:$W$2004,W1270,'Saisie'!$C$5:$C$2004,"&lt;&gt;"&amp;C1270)&gt;0),"⚠ Numéro déjà utilisé par un autre prospect",IF(AND(J1270&lt;&gt;"",J1270&lt;A1270),"⚠ Relance avant la date de l'action",IF(A1270&gt;TODAY(),"⚠ Date dans le futur","✓"))))))))</f>
        <v/>
      </c>
      <c r="AS1270" s="61">
        <f>IF(AND(A1270="",C1270="",E1270=""),"",ROW())</f>
        <v/>
      </c>
      <c r="AT1270" s="61">
        <f>IF(E1270&amp;F1270="","",MAX(IFERROR(INDEX('Paramètres'!$J$6:$J$33,MATCH(E1270,'Paramètres'!$I$6:$I$33,0)),0),IFERROR(INDEX('Paramètres'!$N$6:$N$17,MATCH(F1270,'Paramètres'!$M$6:$M$17,0)),0)))</f>
        <v/>
      </c>
      <c r="AU1270" s="61">
        <f>IF(E1270="","",IFERROR(IF(INDEX('Paramètres'!$K$6:$K$33,MATCH(E1270,'Paramètres'!$I$6:$I$33,0))="Oui",1,0),0))</f>
        <v/>
      </c>
      <c r="AV1270" s="61">
        <f>IF(F1270="","",IFERROR(IF(INDEX('Paramètres'!$O$6:$O$17,MATCH(F1270,'Paramètres'!$M$6:$M$17,0))="Oui",1,0),0))</f>
        <v/>
      </c>
      <c r="AW1270" s="62">
        <f>IF(E1270="","",IF(G1270&lt;&gt;"",G1270,IF(OR(E1270="Proposition envoyée",E1270="Signature"),MAX(0,N(IFERROR(INDEX('Paramètres'!$R$6:$R$15,MATCH(IF(AL1270&lt;&gt;"",AL1270,IFERROR(INDEX('Prospects'!$AN$5:$AN$504,MATCH(C1270,'Prospects'!$C$5:$C$504,0)),"")),'Paramètres'!$Q$6:$Q$15,0)),0))-N(P1270)),0)))</f>
        <v/>
      </c>
      <c r="AX1270" s="61">
        <f>IF(C1270="","",IF(COUNTIF($C$5:C1270,C1270)=1,MAX($AX$4:AX1269)+1,""))</f>
        <v/>
      </c>
      <c r="AY1270" s="61">
        <f>IF(B1270="","",HOUR(B1270))</f>
        <v/>
      </c>
      <c r="AZ1270" s="61">
        <f>IF(A1270="","",MOD(A1270-2,7)+1)</f>
        <v/>
      </c>
      <c r="BA1270" s="60">
        <f>IF(C1270="","",IFERROR(INDEX('Prospects'!$N$5:$N$504,MATCH(C1270,'Prospects'!$C$5:$C$504,0)),""))</f>
        <v/>
      </c>
      <c r="BB1270" s="61">
        <f>IF(AND(C1270&lt;&gt;"",C1270='Fiche prospect'!$C$4),COUNTIF($C$5:C1270,C1270),"")</f>
        <v/>
      </c>
    </row>
    <row r="1271">
      <c r="A1271" s="53" t="n"/>
      <c r="B1271" s="54" t="n"/>
      <c r="C1271" s="55" t="n"/>
      <c r="D1271" s="55" t="n"/>
      <c r="E1271" s="55" t="n"/>
      <c r="F1271" s="55" t="n"/>
      <c r="G1271" s="56" t="n"/>
      <c r="H1271" s="57" t="n"/>
      <c r="I1271" s="55" t="n"/>
      <c r="J1271" s="53" t="n"/>
      <c r="K1271" s="54" t="n"/>
      <c r="L1271" s="55" t="n"/>
      <c r="M1271" s="55" t="n"/>
      <c r="N1271" s="57" t="n"/>
      <c r="O1271" s="55" t="n"/>
      <c r="P1271" s="56" t="n"/>
      <c r="Q1271" s="55" t="n"/>
      <c r="R1271" s="55" t="n"/>
      <c r="S1271" s="55" t="n"/>
      <c r="T1271" s="55" t="n"/>
      <c r="U1271" s="55" t="n"/>
      <c r="V1271" s="55" t="n"/>
      <c r="W1271" s="58" t="n"/>
      <c r="X1271" s="58" t="n"/>
      <c r="Y1271" s="55" t="n"/>
      <c r="Z1271" s="55" t="n"/>
      <c r="AA1271" s="55" t="n"/>
      <c r="AB1271" s="55" t="n"/>
      <c r="AC1271" s="55" t="n"/>
      <c r="AD1271" s="53" t="n"/>
      <c r="AE1271" s="55" t="n"/>
      <c r="AF1271" s="55" t="n"/>
      <c r="AG1271" s="59" t="n"/>
      <c r="AH1271" s="57" t="n"/>
      <c r="AI1271" s="55" t="n"/>
      <c r="AJ1271" s="55" t="n"/>
      <c r="AK1271" s="55" t="n"/>
      <c r="AL1271" s="55" t="n"/>
      <c r="AM1271" s="56" t="n"/>
      <c r="AN1271" s="55" t="n"/>
      <c r="AO1271" s="55" t="n"/>
      <c r="AP1271" s="55" t="n"/>
      <c r="AQ1271" s="55" t="n"/>
      <c r="AR1271" s="60">
        <f>IF(AND(C1271="",E1271=""),"",IF(A1271="","⚠ Date manquante",IF(AND(C1271="",E1271&lt;&gt;"Dépense"),"⚠ Prospect manquant",IF(E1271="","⚠ Action manquante",IF(AND(AU1271=1,D1271=""),"⚠ Canal manquant",IF(AND(W1271&lt;&gt;"",COUNTIFS('Saisie'!$W$5:$W$2004,W1271,'Saisie'!$C$5:$C$2004,"&lt;&gt;"&amp;C1271)&gt;0),"⚠ Numéro déjà utilisé par un autre prospect",IF(AND(J1271&lt;&gt;"",J1271&lt;A1271),"⚠ Relance avant la date de l'action",IF(A1271&gt;TODAY(),"⚠ Date dans le futur","✓"))))))))</f>
        <v/>
      </c>
      <c r="AS1271" s="61">
        <f>IF(AND(A1271="",C1271="",E1271=""),"",ROW())</f>
        <v/>
      </c>
      <c r="AT1271" s="61">
        <f>IF(E1271&amp;F1271="","",MAX(IFERROR(INDEX('Paramètres'!$J$6:$J$33,MATCH(E1271,'Paramètres'!$I$6:$I$33,0)),0),IFERROR(INDEX('Paramètres'!$N$6:$N$17,MATCH(F1271,'Paramètres'!$M$6:$M$17,0)),0)))</f>
        <v/>
      </c>
      <c r="AU1271" s="61">
        <f>IF(E1271="","",IFERROR(IF(INDEX('Paramètres'!$K$6:$K$33,MATCH(E1271,'Paramètres'!$I$6:$I$33,0))="Oui",1,0),0))</f>
        <v/>
      </c>
      <c r="AV1271" s="61">
        <f>IF(F1271="","",IFERROR(IF(INDEX('Paramètres'!$O$6:$O$17,MATCH(F1271,'Paramètres'!$M$6:$M$17,0))="Oui",1,0),0))</f>
        <v/>
      </c>
      <c r="AW1271" s="62">
        <f>IF(E1271="","",IF(G1271&lt;&gt;"",G1271,IF(OR(E1271="Proposition envoyée",E1271="Signature"),MAX(0,N(IFERROR(INDEX('Paramètres'!$R$6:$R$15,MATCH(IF(AL1271&lt;&gt;"",AL1271,IFERROR(INDEX('Prospects'!$AN$5:$AN$504,MATCH(C1271,'Prospects'!$C$5:$C$504,0)),"")),'Paramètres'!$Q$6:$Q$15,0)),0))-N(P1271)),0)))</f>
        <v/>
      </c>
      <c r="AX1271" s="61">
        <f>IF(C1271="","",IF(COUNTIF($C$5:C1271,C1271)=1,MAX($AX$4:AX1270)+1,""))</f>
        <v/>
      </c>
      <c r="AY1271" s="61">
        <f>IF(B1271="","",HOUR(B1271))</f>
        <v/>
      </c>
      <c r="AZ1271" s="61">
        <f>IF(A1271="","",MOD(A1271-2,7)+1)</f>
        <v/>
      </c>
      <c r="BA1271" s="60">
        <f>IF(C1271="","",IFERROR(INDEX('Prospects'!$N$5:$N$504,MATCH(C1271,'Prospects'!$C$5:$C$504,0)),""))</f>
        <v/>
      </c>
      <c r="BB1271" s="61">
        <f>IF(AND(C1271&lt;&gt;"",C1271='Fiche prospect'!$C$4),COUNTIF($C$5:C1271,C1271),"")</f>
        <v/>
      </c>
    </row>
    <row r="1272">
      <c r="A1272" s="53" t="n"/>
      <c r="B1272" s="54" t="n"/>
      <c r="C1272" s="55" t="n"/>
      <c r="D1272" s="55" t="n"/>
      <c r="E1272" s="55" t="n"/>
      <c r="F1272" s="55" t="n"/>
      <c r="G1272" s="56" t="n"/>
      <c r="H1272" s="57" t="n"/>
      <c r="I1272" s="55" t="n"/>
      <c r="J1272" s="53" t="n"/>
      <c r="K1272" s="54" t="n"/>
      <c r="L1272" s="55" t="n"/>
      <c r="M1272" s="55" t="n"/>
      <c r="N1272" s="57" t="n"/>
      <c r="O1272" s="55" t="n"/>
      <c r="P1272" s="56" t="n"/>
      <c r="Q1272" s="55" t="n"/>
      <c r="R1272" s="55" t="n"/>
      <c r="S1272" s="55" t="n"/>
      <c r="T1272" s="55" t="n"/>
      <c r="U1272" s="55" t="n"/>
      <c r="V1272" s="55" t="n"/>
      <c r="W1272" s="58" t="n"/>
      <c r="X1272" s="58" t="n"/>
      <c r="Y1272" s="55" t="n"/>
      <c r="Z1272" s="55" t="n"/>
      <c r="AA1272" s="55" t="n"/>
      <c r="AB1272" s="55" t="n"/>
      <c r="AC1272" s="55" t="n"/>
      <c r="AD1272" s="53" t="n"/>
      <c r="AE1272" s="55" t="n"/>
      <c r="AF1272" s="55" t="n"/>
      <c r="AG1272" s="59" t="n"/>
      <c r="AH1272" s="57" t="n"/>
      <c r="AI1272" s="55" t="n"/>
      <c r="AJ1272" s="55" t="n"/>
      <c r="AK1272" s="55" t="n"/>
      <c r="AL1272" s="55" t="n"/>
      <c r="AM1272" s="56" t="n"/>
      <c r="AN1272" s="55" t="n"/>
      <c r="AO1272" s="55" t="n"/>
      <c r="AP1272" s="55" t="n"/>
      <c r="AQ1272" s="55" t="n"/>
      <c r="AR1272" s="60">
        <f>IF(AND(C1272="",E1272=""),"",IF(A1272="","⚠ Date manquante",IF(AND(C1272="",E1272&lt;&gt;"Dépense"),"⚠ Prospect manquant",IF(E1272="","⚠ Action manquante",IF(AND(AU1272=1,D1272=""),"⚠ Canal manquant",IF(AND(W1272&lt;&gt;"",COUNTIFS('Saisie'!$W$5:$W$2004,W1272,'Saisie'!$C$5:$C$2004,"&lt;&gt;"&amp;C1272)&gt;0),"⚠ Numéro déjà utilisé par un autre prospect",IF(AND(J1272&lt;&gt;"",J1272&lt;A1272),"⚠ Relance avant la date de l'action",IF(A1272&gt;TODAY(),"⚠ Date dans le futur","✓"))))))))</f>
        <v/>
      </c>
      <c r="AS1272" s="61">
        <f>IF(AND(A1272="",C1272="",E1272=""),"",ROW())</f>
        <v/>
      </c>
      <c r="AT1272" s="61">
        <f>IF(E1272&amp;F1272="","",MAX(IFERROR(INDEX('Paramètres'!$J$6:$J$33,MATCH(E1272,'Paramètres'!$I$6:$I$33,0)),0),IFERROR(INDEX('Paramètres'!$N$6:$N$17,MATCH(F1272,'Paramètres'!$M$6:$M$17,0)),0)))</f>
        <v/>
      </c>
      <c r="AU1272" s="61">
        <f>IF(E1272="","",IFERROR(IF(INDEX('Paramètres'!$K$6:$K$33,MATCH(E1272,'Paramètres'!$I$6:$I$33,0))="Oui",1,0),0))</f>
        <v/>
      </c>
      <c r="AV1272" s="61">
        <f>IF(F1272="","",IFERROR(IF(INDEX('Paramètres'!$O$6:$O$17,MATCH(F1272,'Paramètres'!$M$6:$M$17,0))="Oui",1,0),0))</f>
        <v/>
      </c>
      <c r="AW1272" s="62">
        <f>IF(E1272="","",IF(G1272&lt;&gt;"",G1272,IF(OR(E1272="Proposition envoyée",E1272="Signature"),MAX(0,N(IFERROR(INDEX('Paramètres'!$R$6:$R$15,MATCH(IF(AL1272&lt;&gt;"",AL1272,IFERROR(INDEX('Prospects'!$AN$5:$AN$504,MATCH(C1272,'Prospects'!$C$5:$C$504,0)),"")),'Paramètres'!$Q$6:$Q$15,0)),0))-N(P1272)),0)))</f>
        <v/>
      </c>
      <c r="AX1272" s="61">
        <f>IF(C1272="","",IF(COUNTIF($C$5:C1272,C1272)=1,MAX($AX$4:AX1271)+1,""))</f>
        <v/>
      </c>
      <c r="AY1272" s="61">
        <f>IF(B1272="","",HOUR(B1272))</f>
        <v/>
      </c>
      <c r="AZ1272" s="61">
        <f>IF(A1272="","",MOD(A1272-2,7)+1)</f>
        <v/>
      </c>
      <c r="BA1272" s="60">
        <f>IF(C1272="","",IFERROR(INDEX('Prospects'!$N$5:$N$504,MATCH(C1272,'Prospects'!$C$5:$C$504,0)),""))</f>
        <v/>
      </c>
      <c r="BB1272" s="61">
        <f>IF(AND(C1272&lt;&gt;"",C1272='Fiche prospect'!$C$4),COUNTIF($C$5:C1272,C1272),"")</f>
        <v/>
      </c>
    </row>
    <row r="1273">
      <c r="A1273" s="53" t="n"/>
      <c r="B1273" s="54" t="n"/>
      <c r="C1273" s="55" t="n"/>
      <c r="D1273" s="55" t="n"/>
      <c r="E1273" s="55" t="n"/>
      <c r="F1273" s="55" t="n"/>
      <c r="G1273" s="56" t="n"/>
      <c r="H1273" s="57" t="n"/>
      <c r="I1273" s="55" t="n"/>
      <c r="J1273" s="53" t="n"/>
      <c r="K1273" s="54" t="n"/>
      <c r="L1273" s="55" t="n"/>
      <c r="M1273" s="55" t="n"/>
      <c r="N1273" s="57" t="n"/>
      <c r="O1273" s="55" t="n"/>
      <c r="P1273" s="56" t="n"/>
      <c r="Q1273" s="55" t="n"/>
      <c r="R1273" s="55" t="n"/>
      <c r="S1273" s="55" t="n"/>
      <c r="T1273" s="55" t="n"/>
      <c r="U1273" s="55" t="n"/>
      <c r="V1273" s="55" t="n"/>
      <c r="W1273" s="58" t="n"/>
      <c r="X1273" s="58" t="n"/>
      <c r="Y1273" s="55" t="n"/>
      <c r="Z1273" s="55" t="n"/>
      <c r="AA1273" s="55" t="n"/>
      <c r="AB1273" s="55" t="n"/>
      <c r="AC1273" s="55" t="n"/>
      <c r="AD1273" s="53" t="n"/>
      <c r="AE1273" s="55" t="n"/>
      <c r="AF1273" s="55" t="n"/>
      <c r="AG1273" s="59" t="n"/>
      <c r="AH1273" s="57" t="n"/>
      <c r="AI1273" s="55" t="n"/>
      <c r="AJ1273" s="55" t="n"/>
      <c r="AK1273" s="55" t="n"/>
      <c r="AL1273" s="55" t="n"/>
      <c r="AM1273" s="56" t="n"/>
      <c r="AN1273" s="55" t="n"/>
      <c r="AO1273" s="55" t="n"/>
      <c r="AP1273" s="55" t="n"/>
      <c r="AQ1273" s="55" t="n"/>
      <c r="AR1273" s="60">
        <f>IF(AND(C1273="",E1273=""),"",IF(A1273="","⚠ Date manquante",IF(AND(C1273="",E1273&lt;&gt;"Dépense"),"⚠ Prospect manquant",IF(E1273="","⚠ Action manquante",IF(AND(AU1273=1,D1273=""),"⚠ Canal manquant",IF(AND(W1273&lt;&gt;"",COUNTIFS('Saisie'!$W$5:$W$2004,W1273,'Saisie'!$C$5:$C$2004,"&lt;&gt;"&amp;C1273)&gt;0),"⚠ Numéro déjà utilisé par un autre prospect",IF(AND(J1273&lt;&gt;"",J1273&lt;A1273),"⚠ Relance avant la date de l'action",IF(A1273&gt;TODAY(),"⚠ Date dans le futur","✓"))))))))</f>
        <v/>
      </c>
      <c r="AS1273" s="61">
        <f>IF(AND(A1273="",C1273="",E1273=""),"",ROW())</f>
        <v/>
      </c>
      <c r="AT1273" s="61">
        <f>IF(E1273&amp;F1273="","",MAX(IFERROR(INDEX('Paramètres'!$J$6:$J$33,MATCH(E1273,'Paramètres'!$I$6:$I$33,0)),0),IFERROR(INDEX('Paramètres'!$N$6:$N$17,MATCH(F1273,'Paramètres'!$M$6:$M$17,0)),0)))</f>
        <v/>
      </c>
      <c r="AU1273" s="61">
        <f>IF(E1273="","",IFERROR(IF(INDEX('Paramètres'!$K$6:$K$33,MATCH(E1273,'Paramètres'!$I$6:$I$33,0))="Oui",1,0),0))</f>
        <v/>
      </c>
      <c r="AV1273" s="61">
        <f>IF(F1273="","",IFERROR(IF(INDEX('Paramètres'!$O$6:$O$17,MATCH(F1273,'Paramètres'!$M$6:$M$17,0))="Oui",1,0),0))</f>
        <v/>
      </c>
      <c r="AW1273" s="62">
        <f>IF(E1273="","",IF(G1273&lt;&gt;"",G1273,IF(OR(E1273="Proposition envoyée",E1273="Signature"),MAX(0,N(IFERROR(INDEX('Paramètres'!$R$6:$R$15,MATCH(IF(AL1273&lt;&gt;"",AL1273,IFERROR(INDEX('Prospects'!$AN$5:$AN$504,MATCH(C1273,'Prospects'!$C$5:$C$504,0)),"")),'Paramètres'!$Q$6:$Q$15,0)),0))-N(P1273)),0)))</f>
        <v/>
      </c>
      <c r="AX1273" s="61">
        <f>IF(C1273="","",IF(COUNTIF($C$5:C1273,C1273)=1,MAX($AX$4:AX1272)+1,""))</f>
        <v/>
      </c>
      <c r="AY1273" s="61">
        <f>IF(B1273="","",HOUR(B1273))</f>
        <v/>
      </c>
      <c r="AZ1273" s="61">
        <f>IF(A1273="","",MOD(A1273-2,7)+1)</f>
        <v/>
      </c>
      <c r="BA1273" s="60">
        <f>IF(C1273="","",IFERROR(INDEX('Prospects'!$N$5:$N$504,MATCH(C1273,'Prospects'!$C$5:$C$504,0)),""))</f>
        <v/>
      </c>
      <c r="BB1273" s="61">
        <f>IF(AND(C1273&lt;&gt;"",C1273='Fiche prospect'!$C$4),COUNTIF($C$5:C1273,C1273),"")</f>
        <v/>
      </c>
    </row>
    <row r="1274">
      <c r="A1274" s="53" t="n"/>
      <c r="B1274" s="54" t="n"/>
      <c r="C1274" s="55" t="n"/>
      <c r="D1274" s="55" t="n"/>
      <c r="E1274" s="55" t="n"/>
      <c r="F1274" s="55" t="n"/>
      <c r="G1274" s="56" t="n"/>
      <c r="H1274" s="57" t="n"/>
      <c r="I1274" s="55" t="n"/>
      <c r="J1274" s="53" t="n"/>
      <c r="K1274" s="54" t="n"/>
      <c r="L1274" s="55" t="n"/>
      <c r="M1274" s="55" t="n"/>
      <c r="N1274" s="57" t="n"/>
      <c r="O1274" s="55" t="n"/>
      <c r="P1274" s="56" t="n"/>
      <c r="Q1274" s="55" t="n"/>
      <c r="R1274" s="55" t="n"/>
      <c r="S1274" s="55" t="n"/>
      <c r="T1274" s="55" t="n"/>
      <c r="U1274" s="55" t="n"/>
      <c r="V1274" s="55" t="n"/>
      <c r="W1274" s="58" t="n"/>
      <c r="X1274" s="58" t="n"/>
      <c r="Y1274" s="55" t="n"/>
      <c r="Z1274" s="55" t="n"/>
      <c r="AA1274" s="55" t="n"/>
      <c r="AB1274" s="55" t="n"/>
      <c r="AC1274" s="55" t="n"/>
      <c r="AD1274" s="53" t="n"/>
      <c r="AE1274" s="55" t="n"/>
      <c r="AF1274" s="55" t="n"/>
      <c r="AG1274" s="59" t="n"/>
      <c r="AH1274" s="57" t="n"/>
      <c r="AI1274" s="55" t="n"/>
      <c r="AJ1274" s="55" t="n"/>
      <c r="AK1274" s="55" t="n"/>
      <c r="AL1274" s="55" t="n"/>
      <c r="AM1274" s="56" t="n"/>
      <c r="AN1274" s="55" t="n"/>
      <c r="AO1274" s="55" t="n"/>
      <c r="AP1274" s="55" t="n"/>
      <c r="AQ1274" s="55" t="n"/>
      <c r="AR1274" s="60">
        <f>IF(AND(C1274="",E1274=""),"",IF(A1274="","⚠ Date manquante",IF(AND(C1274="",E1274&lt;&gt;"Dépense"),"⚠ Prospect manquant",IF(E1274="","⚠ Action manquante",IF(AND(AU1274=1,D1274=""),"⚠ Canal manquant",IF(AND(W1274&lt;&gt;"",COUNTIFS('Saisie'!$W$5:$W$2004,W1274,'Saisie'!$C$5:$C$2004,"&lt;&gt;"&amp;C1274)&gt;0),"⚠ Numéro déjà utilisé par un autre prospect",IF(AND(J1274&lt;&gt;"",J1274&lt;A1274),"⚠ Relance avant la date de l'action",IF(A1274&gt;TODAY(),"⚠ Date dans le futur","✓"))))))))</f>
        <v/>
      </c>
      <c r="AS1274" s="61">
        <f>IF(AND(A1274="",C1274="",E1274=""),"",ROW())</f>
        <v/>
      </c>
      <c r="AT1274" s="61">
        <f>IF(E1274&amp;F1274="","",MAX(IFERROR(INDEX('Paramètres'!$J$6:$J$33,MATCH(E1274,'Paramètres'!$I$6:$I$33,0)),0),IFERROR(INDEX('Paramètres'!$N$6:$N$17,MATCH(F1274,'Paramètres'!$M$6:$M$17,0)),0)))</f>
        <v/>
      </c>
      <c r="AU1274" s="61">
        <f>IF(E1274="","",IFERROR(IF(INDEX('Paramètres'!$K$6:$K$33,MATCH(E1274,'Paramètres'!$I$6:$I$33,0))="Oui",1,0),0))</f>
        <v/>
      </c>
      <c r="AV1274" s="61">
        <f>IF(F1274="","",IFERROR(IF(INDEX('Paramètres'!$O$6:$O$17,MATCH(F1274,'Paramètres'!$M$6:$M$17,0))="Oui",1,0),0))</f>
        <v/>
      </c>
      <c r="AW1274" s="62">
        <f>IF(E1274="","",IF(G1274&lt;&gt;"",G1274,IF(OR(E1274="Proposition envoyée",E1274="Signature"),MAX(0,N(IFERROR(INDEX('Paramètres'!$R$6:$R$15,MATCH(IF(AL1274&lt;&gt;"",AL1274,IFERROR(INDEX('Prospects'!$AN$5:$AN$504,MATCH(C1274,'Prospects'!$C$5:$C$504,0)),"")),'Paramètres'!$Q$6:$Q$15,0)),0))-N(P1274)),0)))</f>
        <v/>
      </c>
      <c r="AX1274" s="61">
        <f>IF(C1274="","",IF(COUNTIF($C$5:C1274,C1274)=1,MAX($AX$4:AX1273)+1,""))</f>
        <v/>
      </c>
      <c r="AY1274" s="61">
        <f>IF(B1274="","",HOUR(B1274))</f>
        <v/>
      </c>
      <c r="AZ1274" s="61">
        <f>IF(A1274="","",MOD(A1274-2,7)+1)</f>
        <v/>
      </c>
      <c r="BA1274" s="60">
        <f>IF(C1274="","",IFERROR(INDEX('Prospects'!$N$5:$N$504,MATCH(C1274,'Prospects'!$C$5:$C$504,0)),""))</f>
        <v/>
      </c>
      <c r="BB1274" s="61">
        <f>IF(AND(C1274&lt;&gt;"",C1274='Fiche prospect'!$C$4),COUNTIF($C$5:C1274,C1274),"")</f>
        <v/>
      </c>
    </row>
    <row r="1275">
      <c r="A1275" s="53" t="n"/>
      <c r="B1275" s="54" t="n"/>
      <c r="C1275" s="55" t="n"/>
      <c r="D1275" s="55" t="n"/>
      <c r="E1275" s="55" t="n"/>
      <c r="F1275" s="55" t="n"/>
      <c r="G1275" s="56" t="n"/>
      <c r="H1275" s="57" t="n"/>
      <c r="I1275" s="55" t="n"/>
      <c r="J1275" s="53" t="n"/>
      <c r="K1275" s="54" t="n"/>
      <c r="L1275" s="55" t="n"/>
      <c r="M1275" s="55" t="n"/>
      <c r="N1275" s="57" t="n"/>
      <c r="O1275" s="55" t="n"/>
      <c r="P1275" s="56" t="n"/>
      <c r="Q1275" s="55" t="n"/>
      <c r="R1275" s="55" t="n"/>
      <c r="S1275" s="55" t="n"/>
      <c r="T1275" s="55" t="n"/>
      <c r="U1275" s="55" t="n"/>
      <c r="V1275" s="55" t="n"/>
      <c r="W1275" s="58" t="n"/>
      <c r="X1275" s="58" t="n"/>
      <c r="Y1275" s="55" t="n"/>
      <c r="Z1275" s="55" t="n"/>
      <c r="AA1275" s="55" t="n"/>
      <c r="AB1275" s="55" t="n"/>
      <c r="AC1275" s="55" t="n"/>
      <c r="AD1275" s="53" t="n"/>
      <c r="AE1275" s="55" t="n"/>
      <c r="AF1275" s="55" t="n"/>
      <c r="AG1275" s="59" t="n"/>
      <c r="AH1275" s="57" t="n"/>
      <c r="AI1275" s="55" t="n"/>
      <c r="AJ1275" s="55" t="n"/>
      <c r="AK1275" s="55" t="n"/>
      <c r="AL1275" s="55" t="n"/>
      <c r="AM1275" s="56" t="n"/>
      <c r="AN1275" s="55" t="n"/>
      <c r="AO1275" s="55" t="n"/>
      <c r="AP1275" s="55" t="n"/>
      <c r="AQ1275" s="55" t="n"/>
      <c r="AR1275" s="60">
        <f>IF(AND(C1275="",E1275=""),"",IF(A1275="","⚠ Date manquante",IF(AND(C1275="",E1275&lt;&gt;"Dépense"),"⚠ Prospect manquant",IF(E1275="","⚠ Action manquante",IF(AND(AU1275=1,D1275=""),"⚠ Canal manquant",IF(AND(W1275&lt;&gt;"",COUNTIFS('Saisie'!$W$5:$W$2004,W1275,'Saisie'!$C$5:$C$2004,"&lt;&gt;"&amp;C1275)&gt;0),"⚠ Numéro déjà utilisé par un autre prospect",IF(AND(J1275&lt;&gt;"",J1275&lt;A1275),"⚠ Relance avant la date de l'action",IF(A1275&gt;TODAY(),"⚠ Date dans le futur","✓"))))))))</f>
        <v/>
      </c>
      <c r="AS1275" s="61">
        <f>IF(AND(A1275="",C1275="",E1275=""),"",ROW())</f>
        <v/>
      </c>
      <c r="AT1275" s="61">
        <f>IF(E1275&amp;F1275="","",MAX(IFERROR(INDEX('Paramètres'!$J$6:$J$33,MATCH(E1275,'Paramètres'!$I$6:$I$33,0)),0),IFERROR(INDEX('Paramètres'!$N$6:$N$17,MATCH(F1275,'Paramètres'!$M$6:$M$17,0)),0)))</f>
        <v/>
      </c>
      <c r="AU1275" s="61">
        <f>IF(E1275="","",IFERROR(IF(INDEX('Paramètres'!$K$6:$K$33,MATCH(E1275,'Paramètres'!$I$6:$I$33,0))="Oui",1,0),0))</f>
        <v/>
      </c>
      <c r="AV1275" s="61">
        <f>IF(F1275="","",IFERROR(IF(INDEX('Paramètres'!$O$6:$O$17,MATCH(F1275,'Paramètres'!$M$6:$M$17,0))="Oui",1,0),0))</f>
        <v/>
      </c>
      <c r="AW1275" s="62">
        <f>IF(E1275="","",IF(G1275&lt;&gt;"",G1275,IF(OR(E1275="Proposition envoyée",E1275="Signature"),MAX(0,N(IFERROR(INDEX('Paramètres'!$R$6:$R$15,MATCH(IF(AL1275&lt;&gt;"",AL1275,IFERROR(INDEX('Prospects'!$AN$5:$AN$504,MATCH(C1275,'Prospects'!$C$5:$C$504,0)),"")),'Paramètres'!$Q$6:$Q$15,0)),0))-N(P1275)),0)))</f>
        <v/>
      </c>
      <c r="AX1275" s="61">
        <f>IF(C1275="","",IF(COUNTIF($C$5:C1275,C1275)=1,MAX($AX$4:AX1274)+1,""))</f>
        <v/>
      </c>
      <c r="AY1275" s="61">
        <f>IF(B1275="","",HOUR(B1275))</f>
        <v/>
      </c>
      <c r="AZ1275" s="61">
        <f>IF(A1275="","",MOD(A1275-2,7)+1)</f>
        <v/>
      </c>
      <c r="BA1275" s="60">
        <f>IF(C1275="","",IFERROR(INDEX('Prospects'!$N$5:$N$504,MATCH(C1275,'Prospects'!$C$5:$C$504,0)),""))</f>
        <v/>
      </c>
      <c r="BB1275" s="61">
        <f>IF(AND(C1275&lt;&gt;"",C1275='Fiche prospect'!$C$4),COUNTIF($C$5:C1275,C1275),"")</f>
        <v/>
      </c>
    </row>
    <row r="1276">
      <c r="A1276" s="53" t="n"/>
      <c r="B1276" s="54" t="n"/>
      <c r="C1276" s="55" t="n"/>
      <c r="D1276" s="55" t="n"/>
      <c r="E1276" s="55" t="n"/>
      <c r="F1276" s="55" t="n"/>
      <c r="G1276" s="56" t="n"/>
      <c r="H1276" s="57" t="n"/>
      <c r="I1276" s="55" t="n"/>
      <c r="J1276" s="53" t="n"/>
      <c r="K1276" s="54" t="n"/>
      <c r="L1276" s="55" t="n"/>
      <c r="M1276" s="55" t="n"/>
      <c r="N1276" s="57" t="n"/>
      <c r="O1276" s="55" t="n"/>
      <c r="P1276" s="56" t="n"/>
      <c r="Q1276" s="55" t="n"/>
      <c r="R1276" s="55" t="n"/>
      <c r="S1276" s="55" t="n"/>
      <c r="T1276" s="55" t="n"/>
      <c r="U1276" s="55" t="n"/>
      <c r="V1276" s="55" t="n"/>
      <c r="W1276" s="58" t="n"/>
      <c r="X1276" s="58" t="n"/>
      <c r="Y1276" s="55" t="n"/>
      <c r="Z1276" s="55" t="n"/>
      <c r="AA1276" s="55" t="n"/>
      <c r="AB1276" s="55" t="n"/>
      <c r="AC1276" s="55" t="n"/>
      <c r="AD1276" s="53" t="n"/>
      <c r="AE1276" s="55" t="n"/>
      <c r="AF1276" s="55" t="n"/>
      <c r="AG1276" s="59" t="n"/>
      <c r="AH1276" s="57" t="n"/>
      <c r="AI1276" s="55" t="n"/>
      <c r="AJ1276" s="55" t="n"/>
      <c r="AK1276" s="55" t="n"/>
      <c r="AL1276" s="55" t="n"/>
      <c r="AM1276" s="56" t="n"/>
      <c r="AN1276" s="55" t="n"/>
      <c r="AO1276" s="55" t="n"/>
      <c r="AP1276" s="55" t="n"/>
      <c r="AQ1276" s="55" t="n"/>
      <c r="AR1276" s="60">
        <f>IF(AND(C1276="",E1276=""),"",IF(A1276="","⚠ Date manquante",IF(AND(C1276="",E1276&lt;&gt;"Dépense"),"⚠ Prospect manquant",IF(E1276="","⚠ Action manquante",IF(AND(AU1276=1,D1276=""),"⚠ Canal manquant",IF(AND(W1276&lt;&gt;"",COUNTIFS('Saisie'!$W$5:$W$2004,W1276,'Saisie'!$C$5:$C$2004,"&lt;&gt;"&amp;C1276)&gt;0),"⚠ Numéro déjà utilisé par un autre prospect",IF(AND(J1276&lt;&gt;"",J1276&lt;A1276),"⚠ Relance avant la date de l'action",IF(A1276&gt;TODAY(),"⚠ Date dans le futur","✓"))))))))</f>
        <v/>
      </c>
      <c r="AS1276" s="61">
        <f>IF(AND(A1276="",C1276="",E1276=""),"",ROW())</f>
        <v/>
      </c>
      <c r="AT1276" s="61">
        <f>IF(E1276&amp;F1276="","",MAX(IFERROR(INDEX('Paramètres'!$J$6:$J$33,MATCH(E1276,'Paramètres'!$I$6:$I$33,0)),0),IFERROR(INDEX('Paramètres'!$N$6:$N$17,MATCH(F1276,'Paramètres'!$M$6:$M$17,0)),0)))</f>
        <v/>
      </c>
      <c r="AU1276" s="61">
        <f>IF(E1276="","",IFERROR(IF(INDEX('Paramètres'!$K$6:$K$33,MATCH(E1276,'Paramètres'!$I$6:$I$33,0))="Oui",1,0),0))</f>
        <v/>
      </c>
      <c r="AV1276" s="61">
        <f>IF(F1276="","",IFERROR(IF(INDEX('Paramètres'!$O$6:$O$17,MATCH(F1276,'Paramètres'!$M$6:$M$17,0))="Oui",1,0),0))</f>
        <v/>
      </c>
      <c r="AW1276" s="62">
        <f>IF(E1276="","",IF(G1276&lt;&gt;"",G1276,IF(OR(E1276="Proposition envoyée",E1276="Signature"),MAX(0,N(IFERROR(INDEX('Paramètres'!$R$6:$R$15,MATCH(IF(AL1276&lt;&gt;"",AL1276,IFERROR(INDEX('Prospects'!$AN$5:$AN$504,MATCH(C1276,'Prospects'!$C$5:$C$504,0)),"")),'Paramètres'!$Q$6:$Q$15,0)),0))-N(P1276)),0)))</f>
        <v/>
      </c>
      <c r="AX1276" s="61">
        <f>IF(C1276="","",IF(COUNTIF($C$5:C1276,C1276)=1,MAX($AX$4:AX1275)+1,""))</f>
        <v/>
      </c>
      <c r="AY1276" s="61">
        <f>IF(B1276="","",HOUR(B1276))</f>
        <v/>
      </c>
      <c r="AZ1276" s="61">
        <f>IF(A1276="","",MOD(A1276-2,7)+1)</f>
        <v/>
      </c>
      <c r="BA1276" s="60">
        <f>IF(C1276="","",IFERROR(INDEX('Prospects'!$N$5:$N$504,MATCH(C1276,'Prospects'!$C$5:$C$504,0)),""))</f>
        <v/>
      </c>
      <c r="BB1276" s="61">
        <f>IF(AND(C1276&lt;&gt;"",C1276='Fiche prospect'!$C$4),COUNTIF($C$5:C1276,C1276),"")</f>
        <v/>
      </c>
    </row>
    <row r="1277">
      <c r="A1277" s="53" t="n"/>
      <c r="B1277" s="54" t="n"/>
      <c r="C1277" s="55" t="n"/>
      <c r="D1277" s="55" t="n"/>
      <c r="E1277" s="55" t="n"/>
      <c r="F1277" s="55" t="n"/>
      <c r="G1277" s="56" t="n"/>
      <c r="H1277" s="57" t="n"/>
      <c r="I1277" s="55" t="n"/>
      <c r="J1277" s="53" t="n"/>
      <c r="K1277" s="54" t="n"/>
      <c r="L1277" s="55" t="n"/>
      <c r="M1277" s="55" t="n"/>
      <c r="N1277" s="57" t="n"/>
      <c r="O1277" s="55" t="n"/>
      <c r="P1277" s="56" t="n"/>
      <c r="Q1277" s="55" t="n"/>
      <c r="R1277" s="55" t="n"/>
      <c r="S1277" s="55" t="n"/>
      <c r="T1277" s="55" t="n"/>
      <c r="U1277" s="55" t="n"/>
      <c r="V1277" s="55" t="n"/>
      <c r="W1277" s="58" t="n"/>
      <c r="X1277" s="58" t="n"/>
      <c r="Y1277" s="55" t="n"/>
      <c r="Z1277" s="55" t="n"/>
      <c r="AA1277" s="55" t="n"/>
      <c r="AB1277" s="55" t="n"/>
      <c r="AC1277" s="55" t="n"/>
      <c r="AD1277" s="53" t="n"/>
      <c r="AE1277" s="55" t="n"/>
      <c r="AF1277" s="55" t="n"/>
      <c r="AG1277" s="59" t="n"/>
      <c r="AH1277" s="57" t="n"/>
      <c r="AI1277" s="55" t="n"/>
      <c r="AJ1277" s="55" t="n"/>
      <c r="AK1277" s="55" t="n"/>
      <c r="AL1277" s="55" t="n"/>
      <c r="AM1277" s="56" t="n"/>
      <c r="AN1277" s="55" t="n"/>
      <c r="AO1277" s="55" t="n"/>
      <c r="AP1277" s="55" t="n"/>
      <c r="AQ1277" s="55" t="n"/>
      <c r="AR1277" s="60">
        <f>IF(AND(C1277="",E1277=""),"",IF(A1277="","⚠ Date manquante",IF(AND(C1277="",E1277&lt;&gt;"Dépense"),"⚠ Prospect manquant",IF(E1277="","⚠ Action manquante",IF(AND(AU1277=1,D1277=""),"⚠ Canal manquant",IF(AND(W1277&lt;&gt;"",COUNTIFS('Saisie'!$W$5:$W$2004,W1277,'Saisie'!$C$5:$C$2004,"&lt;&gt;"&amp;C1277)&gt;0),"⚠ Numéro déjà utilisé par un autre prospect",IF(AND(J1277&lt;&gt;"",J1277&lt;A1277),"⚠ Relance avant la date de l'action",IF(A1277&gt;TODAY(),"⚠ Date dans le futur","✓"))))))))</f>
        <v/>
      </c>
      <c r="AS1277" s="61">
        <f>IF(AND(A1277="",C1277="",E1277=""),"",ROW())</f>
        <v/>
      </c>
      <c r="AT1277" s="61">
        <f>IF(E1277&amp;F1277="","",MAX(IFERROR(INDEX('Paramètres'!$J$6:$J$33,MATCH(E1277,'Paramètres'!$I$6:$I$33,0)),0),IFERROR(INDEX('Paramètres'!$N$6:$N$17,MATCH(F1277,'Paramètres'!$M$6:$M$17,0)),0)))</f>
        <v/>
      </c>
      <c r="AU1277" s="61">
        <f>IF(E1277="","",IFERROR(IF(INDEX('Paramètres'!$K$6:$K$33,MATCH(E1277,'Paramètres'!$I$6:$I$33,0))="Oui",1,0),0))</f>
        <v/>
      </c>
      <c r="AV1277" s="61">
        <f>IF(F1277="","",IFERROR(IF(INDEX('Paramètres'!$O$6:$O$17,MATCH(F1277,'Paramètres'!$M$6:$M$17,0))="Oui",1,0),0))</f>
        <v/>
      </c>
      <c r="AW1277" s="62">
        <f>IF(E1277="","",IF(G1277&lt;&gt;"",G1277,IF(OR(E1277="Proposition envoyée",E1277="Signature"),MAX(0,N(IFERROR(INDEX('Paramètres'!$R$6:$R$15,MATCH(IF(AL1277&lt;&gt;"",AL1277,IFERROR(INDEX('Prospects'!$AN$5:$AN$504,MATCH(C1277,'Prospects'!$C$5:$C$504,0)),"")),'Paramètres'!$Q$6:$Q$15,0)),0))-N(P1277)),0)))</f>
        <v/>
      </c>
      <c r="AX1277" s="61">
        <f>IF(C1277="","",IF(COUNTIF($C$5:C1277,C1277)=1,MAX($AX$4:AX1276)+1,""))</f>
        <v/>
      </c>
      <c r="AY1277" s="61">
        <f>IF(B1277="","",HOUR(B1277))</f>
        <v/>
      </c>
      <c r="AZ1277" s="61">
        <f>IF(A1277="","",MOD(A1277-2,7)+1)</f>
        <v/>
      </c>
      <c r="BA1277" s="60">
        <f>IF(C1277="","",IFERROR(INDEX('Prospects'!$N$5:$N$504,MATCH(C1277,'Prospects'!$C$5:$C$504,0)),""))</f>
        <v/>
      </c>
      <c r="BB1277" s="61">
        <f>IF(AND(C1277&lt;&gt;"",C1277='Fiche prospect'!$C$4),COUNTIF($C$5:C1277,C1277),"")</f>
        <v/>
      </c>
    </row>
    <row r="1278">
      <c r="A1278" s="53" t="n"/>
      <c r="B1278" s="54" t="n"/>
      <c r="C1278" s="55" t="n"/>
      <c r="D1278" s="55" t="n"/>
      <c r="E1278" s="55" t="n"/>
      <c r="F1278" s="55" t="n"/>
      <c r="G1278" s="56" t="n"/>
      <c r="H1278" s="57" t="n"/>
      <c r="I1278" s="55" t="n"/>
      <c r="J1278" s="53" t="n"/>
      <c r="K1278" s="54" t="n"/>
      <c r="L1278" s="55" t="n"/>
      <c r="M1278" s="55" t="n"/>
      <c r="N1278" s="57" t="n"/>
      <c r="O1278" s="55" t="n"/>
      <c r="P1278" s="56" t="n"/>
      <c r="Q1278" s="55" t="n"/>
      <c r="R1278" s="55" t="n"/>
      <c r="S1278" s="55" t="n"/>
      <c r="T1278" s="55" t="n"/>
      <c r="U1278" s="55" t="n"/>
      <c r="V1278" s="55" t="n"/>
      <c r="W1278" s="58" t="n"/>
      <c r="X1278" s="58" t="n"/>
      <c r="Y1278" s="55" t="n"/>
      <c r="Z1278" s="55" t="n"/>
      <c r="AA1278" s="55" t="n"/>
      <c r="AB1278" s="55" t="n"/>
      <c r="AC1278" s="55" t="n"/>
      <c r="AD1278" s="53" t="n"/>
      <c r="AE1278" s="55" t="n"/>
      <c r="AF1278" s="55" t="n"/>
      <c r="AG1278" s="59" t="n"/>
      <c r="AH1278" s="57" t="n"/>
      <c r="AI1278" s="55" t="n"/>
      <c r="AJ1278" s="55" t="n"/>
      <c r="AK1278" s="55" t="n"/>
      <c r="AL1278" s="55" t="n"/>
      <c r="AM1278" s="56" t="n"/>
      <c r="AN1278" s="55" t="n"/>
      <c r="AO1278" s="55" t="n"/>
      <c r="AP1278" s="55" t="n"/>
      <c r="AQ1278" s="55" t="n"/>
      <c r="AR1278" s="60">
        <f>IF(AND(C1278="",E1278=""),"",IF(A1278="","⚠ Date manquante",IF(AND(C1278="",E1278&lt;&gt;"Dépense"),"⚠ Prospect manquant",IF(E1278="","⚠ Action manquante",IF(AND(AU1278=1,D1278=""),"⚠ Canal manquant",IF(AND(W1278&lt;&gt;"",COUNTIFS('Saisie'!$W$5:$W$2004,W1278,'Saisie'!$C$5:$C$2004,"&lt;&gt;"&amp;C1278)&gt;0),"⚠ Numéro déjà utilisé par un autre prospect",IF(AND(J1278&lt;&gt;"",J1278&lt;A1278),"⚠ Relance avant la date de l'action",IF(A1278&gt;TODAY(),"⚠ Date dans le futur","✓"))))))))</f>
        <v/>
      </c>
      <c r="AS1278" s="61">
        <f>IF(AND(A1278="",C1278="",E1278=""),"",ROW())</f>
        <v/>
      </c>
      <c r="AT1278" s="61">
        <f>IF(E1278&amp;F1278="","",MAX(IFERROR(INDEX('Paramètres'!$J$6:$J$33,MATCH(E1278,'Paramètres'!$I$6:$I$33,0)),0),IFERROR(INDEX('Paramètres'!$N$6:$N$17,MATCH(F1278,'Paramètres'!$M$6:$M$17,0)),0)))</f>
        <v/>
      </c>
      <c r="AU1278" s="61">
        <f>IF(E1278="","",IFERROR(IF(INDEX('Paramètres'!$K$6:$K$33,MATCH(E1278,'Paramètres'!$I$6:$I$33,0))="Oui",1,0),0))</f>
        <v/>
      </c>
      <c r="AV1278" s="61">
        <f>IF(F1278="","",IFERROR(IF(INDEX('Paramètres'!$O$6:$O$17,MATCH(F1278,'Paramètres'!$M$6:$M$17,0))="Oui",1,0),0))</f>
        <v/>
      </c>
      <c r="AW1278" s="62">
        <f>IF(E1278="","",IF(G1278&lt;&gt;"",G1278,IF(OR(E1278="Proposition envoyée",E1278="Signature"),MAX(0,N(IFERROR(INDEX('Paramètres'!$R$6:$R$15,MATCH(IF(AL1278&lt;&gt;"",AL1278,IFERROR(INDEX('Prospects'!$AN$5:$AN$504,MATCH(C1278,'Prospects'!$C$5:$C$504,0)),"")),'Paramètres'!$Q$6:$Q$15,0)),0))-N(P1278)),0)))</f>
        <v/>
      </c>
      <c r="AX1278" s="61">
        <f>IF(C1278="","",IF(COUNTIF($C$5:C1278,C1278)=1,MAX($AX$4:AX1277)+1,""))</f>
        <v/>
      </c>
      <c r="AY1278" s="61">
        <f>IF(B1278="","",HOUR(B1278))</f>
        <v/>
      </c>
      <c r="AZ1278" s="61">
        <f>IF(A1278="","",MOD(A1278-2,7)+1)</f>
        <v/>
      </c>
      <c r="BA1278" s="60">
        <f>IF(C1278="","",IFERROR(INDEX('Prospects'!$N$5:$N$504,MATCH(C1278,'Prospects'!$C$5:$C$504,0)),""))</f>
        <v/>
      </c>
      <c r="BB1278" s="61">
        <f>IF(AND(C1278&lt;&gt;"",C1278='Fiche prospect'!$C$4),COUNTIF($C$5:C1278,C1278),"")</f>
        <v/>
      </c>
    </row>
    <row r="1279">
      <c r="A1279" s="53" t="n"/>
      <c r="B1279" s="54" t="n"/>
      <c r="C1279" s="55" t="n"/>
      <c r="D1279" s="55" t="n"/>
      <c r="E1279" s="55" t="n"/>
      <c r="F1279" s="55" t="n"/>
      <c r="G1279" s="56" t="n"/>
      <c r="H1279" s="57" t="n"/>
      <c r="I1279" s="55" t="n"/>
      <c r="J1279" s="53" t="n"/>
      <c r="K1279" s="54" t="n"/>
      <c r="L1279" s="55" t="n"/>
      <c r="M1279" s="55" t="n"/>
      <c r="N1279" s="57" t="n"/>
      <c r="O1279" s="55" t="n"/>
      <c r="P1279" s="56" t="n"/>
      <c r="Q1279" s="55" t="n"/>
      <c r="R1279" s="55" t="n"/>
      <c r="S1279" s="55" t="n"/>
      <c r="T1279" s="55" t="n"/>
      <c r="U1279" s="55" t="n"/>
      <c r="V1279" s="55" t="n"/>
      <c r="W1279" s="58" t="n"/>
      <c r="X1279" s="58" t="n"/>
      <c r="Y1279" s="55" t="n"/>
      <c r="Z1279" s="55" t="n"/>
      <c r="AA1279" s="55" t="n"/>
      <c r="AB1279" s="55" t="n"/>
      <c r="AC1279" s="55" t="n"/>
      <c r="AD1279" s="53" t="n"/>
      <c r="AE1279" s="55" t="n"/>
      <c r="AF1279" s="55" t="n"/>
      <c r="AG1279" s="59" t="n"/>
      <c r="AH1279" s="57" t="n"/>
      <c r="AI1279" s="55" t="n"/>
      <c r="AJ1279" s="55" t="n"/>
      <c r="AK1279" s="55" t="n"/>
      <c r="AL1279" s="55" t="n"/>
      <c r="AM1279" s="56" t="n"/>
      <c r="AN1279" s="55" t="n"/>
      <c r="AO1279" s="55" t="n"/>
      <c r="AP1279" s="55" t="n"/>
      <c r="AQ1279" s="55" t="n"/>
      <c r="AR1279" s="60">
        <f>IF(AND(C1279="",E1279=""),"",IF(A1279="","⚠ Date manquante",IF(AND(C1279="",E1279&lt;&gt;"Dépense"),"⚠ Prospect manquant",IF(E1279="","⚠ Action manquante",IF(AND(AU1279=1,D1279=""),"⚠ Canal manquant",IF(AND(W1279&lt;&gt;"",COUNTIFS('Saisie'!$W$5:$W$2004,W1279,'Saisie'!$C$5:$C$2004,"&lt;&gt;"&amp;C1279)&gt;0),"⚠ Numéro déjà utilisé par un autre prospect",IF(AND(J1279&lt;&gt;"",J1279&lt;A1279),"⚠ Relance avant la date de l'action",IF(A1279&gt;TODAY(),"⚠ Date dans le futur","✓"))))))))</f>
        <v/>
      </c>
      <c r="AS1279" s="61">
        <f>IF(AND(A1279="",C1279="",E1279=""),"",ROW())</f>
        <v/>
      </c>
      <c r="AT1279" s="61">
        <f>IF(E1279&amp;F1279="","",MAX(IFERROR(INDEX('Paramètres'!$J$6:$J$33,MATCH(E1279,'Paramètres'!$I$6:$I$33,0)),0),IFERROR(INDEX('Paramètres'!$N$6:$N$17,MATCH(F1279,'Paramètres'!$M$6:$M$17,0)),0)))</f>
        <v/>
      </c>
      <c r="AU1279" s="61">
        <f>IF(E1279="","",IFERROR(IF(INDEX('Paramètres'!$K$6:$K$33,MATCH(E1279,'Paramètres'!$I$6:$I$33,0))="Oui",1,0),0))</f>
        <v/>
      </c>
      <c r="AV1279" s="61">
        <f>IF(F1279="","",IFERROR(IF(INDEX('Paramètres'!$O$6:$O$17,MATCH(F1279,'Paramètres'!$M$6:$M$17,0))="Oui",1,0),0))</f>
        <v/>
      </c>
      <c r="AW1279" s="62">
        <f>IF(E1279="","",IF(G1279&lt;&gt;"",G1279,IF(OR(E1279="Proposition envoyée",E1279="Signature"),MAX(0,N(IFERROR(INDEX('Paramètres'!$R$6:$R$15,MATCH(IF(AL1279&lt;&gt;"",AL1279,IFERROR(INDEX('Prospects'!$AN$5:$AN$504,MATCH(C1279,'Prospects'!$C$5:$C$504,0)),"")),'Paramètres'!$Q$6:$Q$15,0)),0))-N(P1279)),0)))</f>
        <v/>
      </c>
      <c r="AX1279" s="61">
        <f>IF(C1279="","",IF(COUNTIF($C$5:C1279,C1279)=1,MAX($AX$4:AX1278)+1,""))</f>
        <v/>
      </c>
      <c r="AY1279" s="61">
        <f>IF(B1279="","",HOUR(B1279))</f>
        <v/>
      </c>
      <c r="AZ1279" s="61">
        <f>IF(A1279="","",MOD(A1279-2,7)+1)</f>
        <v/>
      </c>
      <c r="BA1279" s="60">
        <f>IF(C1279="","",IFERROR(INDEX('Prospects'!$N$5:$N$504,MATCH(C1279,'Prospects'!$C$5:$C$504,0)),""))</f>
        <v/>
      </c>
      <c r="BB1279" s="61">
        <f>IF(AND(C1279&lt;&gt;"",C1279='Fiche prospect'!$C$4),COUNTIF($C$5:C1279,C1279),"")</f>
        <v/>
      </c>
    </row>
    <row r="1280">
      <c r="A1280" s="53" t="n"/>
      <c r="B1280" s="54" t="n"/>
      <c r="C1280" s="55" t="n"/>
      <c r="D1280" s="55" t="n"/>
      <c r="E1280" s="55" t="n"/>
      <c r="F1280" s="55" t="n"/>
      <c r="G1280" s="56" t="n"/>
      <c r="H1280" s="57" t="n"/>
      <c r="I1280" s="55" t="n"/>
      <c r="J1280" s="53" t="n"/>
      <c r="K1280" s="54" t="n"/>
      <c r="L1280" s="55" t="n"/>
      <c r="M1280" s="55" t="n"/>
      <c r="N1280" s="57" t="n"/>
      <c r="O1280" s="55" t="n"/>
      <c r="P1280" s="56" t="n"/>
      <c r="Q1280" s="55" t="n"/>
      <c r="R1280" s="55" t="n"/>
      <c r="S1280" s="55" t="n"/>
      <c r="T1280" s="55" t="n"/>
      <c r="U1280" s="55" t="n"/>
      <c r="V1280" s="55" t="n"/>
      <c r="W1280" s="58" t="n"/>
      <c r="X1280" s="58" t="n"/>
      <c r="Y1280" s="55" t="n"/>
      <c r="Z1280" s="55" t="n"/>
      <c r="AA1280" s="55" t="n"/>
      <c r="AB1280" s="55" t="n"/>
      <c r="AC1280" s="55" t="n"/>
      <c r="AD1280" s="53" t="n"/>
      <c r="AE1280" s="55" t="n"/>
      <c r="AF1280" s="55" t="n"/>
      <c r="AG1280" s="59" t="n"/>
      <c r="AH1280" s="57" t="n"/>
      <c r="AI1280" s="55" t="n"/>
      <c r="AJ1280" s="55" t="n"/>
      <c r="AK1280" s="55" t="n"/>
      <c r="AL1280" s="55" t="n"/>
      <c r="AM1280" s="56" t="n"/>
      <c r="AN1280" s="55" t="n"/>
      <c r="AO1280" s="55" t="n"/>
      <c r="AP1280" s="55" t="n"/>
      <c r="AQ1280" s="55" t="n"/>
      <c r="AR1280" s="60">
        <f>IF(AND(C1280="",E1280=""),"",IF(A1280="","⚠ Date manquante",IF(AND(C1280="",E1280&lt;&gt;"Dépense"),"⚠ Prospect manquant",IF(E1280="","⚠ Action manquante",IF(AND(AU1280=1,D1280=""),"⚠ Canal manquant",IF(AND(W1280&lt;&gt;"",COUNTIFS('Saisie'!$W$5:$W$2004,W1280,'Saisie'!$C$5:$C$2004,"&lt;&gt;"&amp;C1280)&gt;0),"⚠ Numéro déjà utilisé par un autre prospect",IF(AND(J1280&lt;&gt;"",J1280&lt;A1280),"⚠ Relance avant la date de l'action",IF(A1280&gt;TODAY(),"⚠ Date dans le futur","✓"))))))))</f>
        <v/>
      </c>
      <c r="AS1280" s="61">
        <f>IF(AND(A1280="",C1280="",E1280=""),"",ROW())</f>
        <v/>
      </c>
      <c r="AT1280" s="61">
        <f>IF(E1280&amp;F1280="","",MAX(IFERROR(INDEX('Paramètres'!$J$6:$J$33,MATCH(E1280,'Paramètres'!$I$6:$I$33,0)),0),IFERROR(INDEX('Paramètres'!$N$6:$N$17,MATCH(F1280,'Paramètres'!$M$6:$M$17,0)),0)))</f>
        <v/>
      </c>
      <c r="AU1280" s="61">
        <f>IF(E1280="","",IFERROR(IF(INDEX('Paramètres'!$K$6:$K$33,MATCH(E1280,'Paramètres'!$I$6:$I$33,0))="Oui",1,0),0))</f>
        <v/>
      </c>
      <c r="AV1280" s="61">
        <f>IF(F1280="","",IFERROR(IF(INDEX('Paramètres'!$O$6:$O$17,MATCH(F1280,'Paramètres'!$M$6:$M$17,0))="Oui",1,0),0))</f>
        <v/>
      </c>
      <c r="AW1280" s="62">
        <f>IF(E1280="","",IF(G1280&lt;&gt;"",G1280,IF(OR(E1280="Proposition envoyée",E1280="Signature"),MAX(0,N(IFERROR(INDEX('Paramètres'!$R$6:$R$15,MATCH(IF(AL1280&lt;&gt;"",AL1280,IFERROR(INDEX('Prospects'!$AN$5:$AN$504,MATCH(C1280,'Prospects'!$C$5:$C$504,0)),"")),'Paramètres'!$Q$6:$Q$15,0)),0))-N(P1280)),0)))</f>
        <v/>
      </c>
      <c r="AX1280" s="61">
        <f>IF(C1280="","",IF(COUNTIF($C$5:C1280,C1280)=1,MAX($AX$4:AX1279)+1,""))</f>
        <v/>
      </c>
      <c r="AY1280" s="61">
        <f>IF(B1280="","",HOUR(B1280))</f>
        <v/>
      </c>
      <c r="AZ1280" s="61">
        <f>IF(A1280="","",MOD(A1280-2,7)+1)</f>
        <v/>
      </c>
      <c r="BA1280" s="60">
        <f>IF(C1280="","",IFERROR(INDEX('Prospects'!$N$5:$N$504,MATCH(C1280,'Prospects'!$C$5:$C$504,0)),""))</f>
        <v/>
      </c>
      <c r="BB1280" s="61">
        <f>IF(AND(C1280&lt;&gt;"",C1280='Fiche prospect'!$C$4),COUNTIF($C$5:C1280,C1280),"")</f>
        <v/>
      </c>
    </row>
    <row r="1281">
      <c r="A1281" s="53" t="n"/>
      <c r="B1281" s="54" t="n"/>
      <c r="C1281" s="55" t="n"/>
      <c r="D1281" s="55" t="n"/>
      <c r="E1281" s="55" t="n"/>
      <c r="F1281" s="55" t="n"/>
      <c r="G1281" s="56" t="n"/>
      <c r="H1281" s="57" t="n"/>
      <c r="I1281" s="55" t="n"/>
      <c r="J1281" s="53" t="n"/>
      <c r="K1281" s="54" t="n"/>
      <c r="L1281" s="55" t="n"/>
      <c r="M1281" s="55" t="n"/>
      <c r="N1281" s="57" t="n"/>
      <c r="O1281" s="55" t="n"/>
      <c r="P1281" s="56" t="n"/>
      <c r="Q1281" s="55" t="n"/>
      <c r="R1281" s="55" t="n"/>
      <c r="S1281" s="55" t="n"/>
      <c r="T1281" s="55" t="n"/>
      <c r="U1281" s="55" t="n"/>
      <c r="V1281" s="55" t="n"/>
      <c r="W1281" s="58" t="n"/>
      <c r="X1281" s="58" t="n"/>
      <c r="Y1281" s="55" t="n"/>
      <c r="Z1281" s="55" t="n"/>
      <c r="AA1281" s="55" t="n"/>
      <c r="AB1281" s="55" t="n"/>
      <c r="AC1281" s="55" t="n"/>
      <c r="AD1281" s="53" t="n"/>
      <c r="AE1281" s="55" t="n"/>
      <c r="AF1281" s="55" t="n"/>
      <c r="AG1281" s="59" t="n"/>
      <c r="AH1281" s="57" t="n"/>
      <c r="AI1281" s="55" t="n"/>
      <c r="AJ1281" s="55" t="n"/>
      <c r="AK1281" s="55" t="n"/>
      <c r="AL1281" s="55" t="n"/>
      <c r="AM1281" s="56" t="n"/>
      <c r="AN1281" s="55" t="n"/>
      <c r="AO1281" s="55" t="n"/>
      <c r="AP1281" s="55" t="n"/>
      <c r="AQ1281" s="55" t="n"/>
      <c r="AR1281" s="60">
        <f>IF(AND(C1281="",E1281=""),"",IF(A1281="","⚠ Date manquante",IF(AND(C1281="",E1281&lt;&gt;"Dépense"),"⚠ Prospect manquant",IF(E1281="","⚠ Action manquante",IF(AND(AU1281=1,D1281=""),"⚠ Canal manquant",IF(AND(W1281&lt;&gt;"",COUNTIFS('Saisie'!$W$5:$W$2004,W1281,'Saisie'!$C$5:$C$2004,"&lt;&gt;"&amp;C1281)&gt;0),"⚠ Numéro déjà utilisé par un autre prospect",IF(AND(J1281&lt;&gt;"",J1281&lt;A1281),"⚠ Relance avant la date de l'action",IF(A1281&gt;TODAY(),"⚠ Date dans le futur","✓"))))))))</f>
        <v/>
      </c>
      <c r="AS1281" s="61">
        <f>IF(AND(A1281="",C1281="",E1281=""),"",ROW())</f>
        <v/>
      </c>
      <c r="AT1281" s="61">
        <f>IF(E1281&amp;F1281="","",MAX(IFERROR(INDEX('Paramètres'!$J$6:$J$33,MATCH(E1281,'Paramètres'!$I$6:$I$33,0)),0),IFERROR(INDEX('Paramètres'!$N$6:$N$17,MATCH(F1281,'Paramètres'!$M$6:$M$17,0)),0)))</f>
        <v/>
      </c>
      <c r="AU1281" s="61">
        <f>IF(E1281="","",IFERROR(IF(INDEX('Paramètres'!$K$6:$K$33,MATCH(E1281,'Paramètres'!$I$6:$I$33,0))="Oui",1,0),0))</f>
        <v/>
      </c>
      <c r="AV1281" s="61">
        <f>IF(F1281="","",IFERROR(IF(INDEX('Paramètres'!$O$6:$O$17,MATCH(F1281,'Paramètres'!$M$6:$M$17,0))="Oui",1,0),0))</f>
        <v/>
      </c>
      <c r="AW1281" s="62">
        <f>IF(E1281="","",IF(G1281&lt;&gt;"",G1281,IF(OR(E1281="Proposition envoyée",E1281="Signature"),MAX(0,N(IFERROR(INDEX('Paramètres'!$R$6:$R$15,MATCH(IF(AL1281&lt;&gt;"",AL1281,IFERROR(INDEX('Prospects'!$AN$5:$AN$504,MATCH(C1281,'Prospects'!$C$5:$C$504,0)),"")),'Paramètres'!$Q$6:$Q$15,0)),0))-N(P1281)),0)))</f>
        <v/>
      </c>
      <c r="AX1281" s="61">
        <f>IF(C1281="","",IF(COUNTIF($C$5:C1281,C1281)=1,MAX($AX$4:AX1280)+1,""))</f>
        <v/>
      </c>
      <c r="AY1281" s="61">
        <f>IF(B1281="","",HOUR(B1281))</f>
        <v/>
      </c>
      <c r="AZ1281" s="61">
        <f>IF(A1281="","",MOD(A1281-2,7)+1)</f>
        <v/>
      </c>
      <c r="BA1281" s="60">
        <f>IF(C1281="","",IFERROR(INDEX('Prospects'!$N$5:$N$504,MATCH(C1281,'Prospects'!$C$5:$C$504,0)),""))</f>
        <v/>
      </c>
      <c r="BB1281" s="61">
        <f>IF(AND(C1281&lt;&gt;"",C1281='Fiche prospect'!$C$4),COUNTIF($C$5:C1281,C1281),"")</f>
        <v/>
      </c>
    </row>
    <row r="1282">
      <c r="A1282" s="53" t="n"/>
      <c r="B1282" s="54" t="n"/>
      <c r="C1282" s="55" t="n"/>
      <c r="D1282" s="55" t="n"/>
      <c r="E1282" s="55" t="n"/>
      <c r="F1282" s="55" t="n"/>
      <c r="G1282" s="56" t="n"/>
      <c r="H1282" s="57" t="n"/>
      <c r="I1282" s="55" t="n"/>
      <c r="J1282" s="53" t="n"/>
      <c r="K1282" s="54" t="n"/>
      <c r="L1282" s="55" t="n"/>
      <c r="M1282" s="55" t="n"/>
      <c r="N1282" s="57" t="n"/>
      <c r="O1282" s="55" t="n"/>
      <c r="P1282" s="56" t="n"/>
      <c r="Q1282" s="55" t="n"/>
      <c r="R1282" s="55" t="n"/>
      <c r="S1282" s="55" t="n"/>
      <c r="T1282" s="55" t="n"/>
      <c r="U1282" s="55" t="n"/>
      <c r="V1282" s="55" t="n"/>
      <c r="W1282" s="58" t="n"/>
      <c r="X1282" s="58" t="n"/>
      <c r="Y1282" s="55" t="n"/>
      <c r="Z1282" s="55" t="n"/>
      <c r="AA1282" s="55" t="n"/>
      <c r="AB1282" s="55" t="n"/>
      <c r="AC1282" s="55" t="n"/>
      <c r="AD1282" s="53" t="n"/>
      <c r="AE1282" s="55" t="n"/>
      <c r="AF1282" s="55" t="n"/>
      <c r="AG1282" s="59" t="n"/>
      <c r="AH1282" s="57" t="n"/>
      <c r="AI1282" s="55" t="n"/>
      <c r="AJ1282" s="55" t="n"/>
      <c r="AK1282" s="55" t="n"/>
      <c r="AL1282" s="55" t="n"/>
      <c r="AM1282" s="56" t="n"/>
      <c r="AN1282" s="55" t="n"/>
      <c r="AO1282" s="55" t="n"/>
      <c r="AP1282" s="55" t="n"/>
      <c r="AQ1282" s="55" t="n"/>
      <c r="AR1282" s="60">
        <f>IF(AND(C1282="",E1282=""),"",IF(A1282="","⚠ Date manquante",IF(AND(C1282="",E1282&lt;&gt;"Dépense"),"⚠ Prospect manquant",IF(E1282="","⚠ Action manquante",IF(AND(AU1282=1,D1282=""),"⚠ Canal manquant",IF(AND(W1282&lt;&gt;"",COUNTIFS('Saisie'!$W$5:$W$2004,W1282,'Saisie'!$C$5:$C$2004,"&lt;&gt;"&amp;C1282)&gt;0),"⚠ Numéro déjà utilisé par un autre prospect",IF(AND(J1282&lt;&gt;"",J1282&lt;A1282),"⚠ Relance avant la date de l'action",IF(A1282&gt;TODAY(),"⚠ Date dans le futur","✓"))))))))</f>
        <v/>
      </c>
      <c r="AS1282" s="61">
        <f>IF(AND(A1282="",C1282="",E1282=""),"",ROW())</f>
        <v/>
      </c>
      <c r="AT1282" s="61">
        <f>IF(E1282&amp;F1282="","",MAX(IFERROR(INDEX('Paramètres'!$J$6:$J$33,MATCH(E1282,'Paramètres'!$I$6:$I$33,0)),0),IFERROR(INDEX('Paramètres'!$N$6:$N$17,MATCH(F1282,'Paramètres'!$M$6:$M$17,0)),0)))</f>
        <v/>
      </c>
      <c r="AU1282" s="61">
        <f>IF(E1282="","",IFERROR(IF(INDEX('Paramètres'!$K$6:$K$33,MATCH(E1282,'Paramètres'!$I$6:$I$33,0))="Oui",1,0),0))</f>
        <v/>
      </c>
      <c r="AV1282" s="61">
        <f>IF(F1282="","",IFERROR(IF(INDEX('Paramètres'!$O$6:$O$17,MATCH(F1282,'Paramètres'!$M$6:$M$17,0))="Oui",1,0),0))</f>
        <v/>
      </c>
      <c r="AW1282" s="62">
        <f>IF(E1282="","",IF(G1282&lt;&gt;"",G1282,IF(OR(E1282="Proposition envoyée",E1282="Signature"),MAX(0,N(IFERROR(INDEX('Paramètres'!$R$6:$R$15,MATCH(IF(AL1282&lt;&gt;"",AL1282,IFERROR(INDEX('Prospects'!$AN$5:$AN$504,MATCH(C1282,'Prospects'!$C$5:$C$504,0)),"")),'Paramètres'!$Q$6:$Q$15,0)),0))-N(P1282)),0)))</f>
        <v/>
      </c>
      <c r="AX1282" s="61">
        <f>IF(C1282="","",IF(COUNTIF($C$5:C1282,C1282)=1,MAX($AX$4:AX1281)+1,""))</f>
        <v/>
      </c>
      <c r="AY1282" s="61">
        <f>IF(B1282="","",HOUR(B1282))</f>
        <v/>
      </c>
      <c r="AZ1282" s="61">
        <f>IF(A1282="","",MOD(A1282-2,7)+1)</f>
        <v/>
      </c>
      <c r="BA1282" s="60">
        <f>IF(C1282="","",IFERROR(INDEX('Prospects'!$N$5:$N$504,MATCH(C1282,'Prospects'!$C$5:$C$504,0)),""))</f>
        <v/>
      </c>
      <c r="BB1282" s="61">
        <f>IF(AND(C1282&lt;&gt;"",C1282='Fiche prospect'!$C$4),COUNTIF($C$5:C1282,C1282),"")</f>
        <v/>
      </c>
    </row>
    <row r="1283">
      <c r="A1283" s="53" t="n"/>
      <c r="B1283" s="54" t="n"/>
      <c r="C1283" s="55" t="n"/>
      <c r="D1283" s="55" t="n"/>
      <c r="E1283" s="55" t="n"/>
      <c r="F1283" s="55" t="n"/>
      <c r="G1283" s="56" t="n"/>
      <c r="H1283" s="57" t="n"/>
      <c r="I1283" s="55" t="n"/>
      <c r="J1283" s="53" t="n"/>
      <c r="K1283" s="54" t="n"/>
      <c r="L1283" s="55" t="n"/>
      <c r="M1283" s="55" t="n"/>
      <c r="N1283" s="57" t="n"/>
      <c r="O1283" s="55" t="n"/>
      <c r="P1283" s="56" t="n"/>
      <c r="Q1283" s="55" t="n"/>
      <c r="R1283" s="55" t="n"/>
      <c r="S1283" s="55" t="n"/>
      <c r="T1283" s="55" t="n"/>
      <c r="U1283" s="55" t="n"/>
      <c r="V1283" s="55" t="n"/>
      <c r="W1283" s="58" t="n"/>
      <c r="X1283" s="58" t="n"/>
      <c r="Y1283" s="55" t="n"/>
      <c r="Z1283" s="55" t="n"/>
      <c r="AA1283" s="55" t="n"/>
      <c r="AB1283" s="55" t="n"/>
      <c r="AC1283" s="55" t="n"/>
      <c r="AD1283" s="53" t="n"/>
      <c r="AE1283" s="55" t="n"/>
      <c r="AF1283" s="55" t="n"/>
      <c r="AG1283" s="59" t="n"/>
      <c r="AH1283" s="57" t="n"/>
      <c r="AI1283" s="55" t="n"/>
      <c r="AJ1283" s="55" t="n"/>
      <c r="AK1283" s="55" t="n"/>
      <c r="AL1283" s="55" t="n"/>
      <c r="AM1283" s="56" t="n"/>
      <c r="AN1283" s="55" t="n"/>
      <c r="AO1283" s="55" t="n"/>
      <c r="AP1283" s="55" t="n"/>
      <c r="AQ1283" s="55" t="n"/>
      <c r="AR1283" s="60">
        <f>IF(AND(C1283="",E1283=""),"",IF(A1283="","⚠ Date manquante",IF(AND(C1283="",E1283&lt;&gt;"Dépense"),"⚠ Prospect manquant",IF(E1283="","⚠ Action manquante",IF(AND(AU1283=1,D1283=""),"⚠ Canal manquant",IF(AND(W1283&lt;&gt;"",COUNTIFS('Saisie'!$W$5:$W$2004,W1283,'Saisie'!$C$5:$C$2004,"&lt;&gt;"&amp;C1283)&gt;0),"⚠ Numéro déjà utilisé par un autre prospect",IF(AND(J1283&lt;&gt;"",J1283&lt;A1283),"⚠ Relance avant la date de l'action",IF(A1283&gt;TODAY(),"⚠ Date dans le futur","✓"))))))))</f>
        <v/>
      </c>
      <c r="AS1283" s="61">
        <f>IF(AND(A1283="",C1283="",E1283=""),"",ROW())</f>
        <v/>
      </c>
      <c r="AT1283" s="61">
        <f>IF(E1283&amp;F1283="","",MAX(IFERROR(INDEX('Paramètres'!$J$6:$J$33,MATCH(E1283,'Paramètres'!$I$6:$I$33,0)),0),IFERROR(INDEX('Paramètres'!$N$6:$N$17,MATCH(F1283,'Paramètres'!$M$6:$M$17,0)),0)))</f>
        <v/>
      </c>
      <c r="AU1283" s="61">
        <f>IF(E1283="","",IFERROR(IF(INDEX('Paramètres'!$K$6:$K$33,MATCH(E1283,'Paramètres'!$I$6:$I$33,0))="Oui",1,0),0))</f>
        <v/>
      </c>
      <c r="AV1283" s="61">
        <f>IF(F1283="","",IFERROR(IF(INDEX('Paramètres'!$O$6:$O$17,MATCH(F1283,'Paramètres'!$M$6:$M$17,0))="Oui",1,0),0))</f>
        <v/>
      </c>
      <c r="AW1283" s="62">
        <f>IF(E1283="","",IF(G1283&lt;&gt;"",G1283,IF(OR(E1283="Proposition envoyée",E1283="Signature"),MAX(0,N(IFERROR(INDEX('Paramètres'!$R$6:$R$15,MATCH(IF(AL1283&lt;&gt;"",AL1283,IFERROR(INDEX('Prospects'!$AN$5:$AN$504,MATCH(C1283,'Prospects'!$C$5:$C$504,0)),"")),'Paramètres'!$Q$6:$Q$15,0)),0))-N(P1283)),0)))</f>
        <v/>
      </c>
      <c r="AX1283" s="61">
        <f>IF(C1283="","",IF(COUNTIF($C$5:C1283,C1283)=1,MAX($AX$4:AX1282)+1,""))</f>
        <v/>
      </c>
      <c r="AY1283" s="61">
        <f>IF(B1283="","",HOUR(B1283))</f>
        <v/>
      </c>
      <c r="AZ1283" s="61">
        <f>IF(A1283="","",MOD(A1283-2,7)+1)</f>
        <v/>
      </c>
      <c r="BA1283" s="60">
        <f>IF(C1283="","",IFERROR(INDEX('Prospects'!$N$5:$N$504,MATCH(C1283,'Prospects'!$C$5:$C$504,0)),""))</f>
        <v/>
      </c>
      <c r="BB1283" s="61">
        <f>IF(AND(C1283&lt;&gt;"",C1283='Fiche prospect'!$C$4),COUNTIF($C$5:C1283,C1283),"")</f>
        <v/>
      </c>
    </row>
    <row r="1284">
      <c r="A1284" s="53" t="n"/>
      <c r="B1284" s="54" t="n"/>
      <c r="C1284" s="55" t="n"/>
      <c r="D1284" s="55" t="n"/>
      <c r="E1284" s="55" t="n"/>
      <c r="F1284" s="55" t="n"/>
      <c r="G1284" s="56" t="n"/>
      <c r="H1284" s="57" t="n"/>
      <c r="I1284" s="55" t="n"/>
      <c r="J1284" s="53" t="n"/>
      <c r="K1284" s="54" t="n"/>
      <c r="L1284" s="55" t="n"/>
      <c r="M1284" s="55" t="n"/>
      <c r="N1284" s="57" t="n"/>
      <c r="O1284" s="55" t="n"/>
      <c r="P1284" s="56" t="n"/>
      <c r="Q1284" s="55" t="n"/>
      <c r="R1284" s="55" t="n"/>
      <c r="S1284" s="55" t="n"/>
      <c r="T1284" s="55" t="n"/>
      <c r="U1284" s="55" t="n"/>
      <c r="V1284" s="55" t="n"/>
      <c r="W1284" s="58" t="n"/>
      <c r="X1284" s="58" t="n"/>
      <c r="Y1284" s="55" t="n"/>
      <c r="Z1284" s="55" t="n"/>
      <c r="AA1284" s="55" t="n"/>
      <c r="AB1284" s="55" t="n"/>
      <c r="AC1284" s="55" t="n"/>
      <c r="AD1284" s="53" t="n"/>
      <c r="AE1284" s="55" t="n"/>
      <c r="AF1284" s="55" t="n"/>
      <c r="AG1284" s="59" t="n"/>
      <c r="AH1284" s="57" t="n"/>
      <c r="AI1284" s="55" t="n"/>
      <c r="AJ1284" s="55" t="n"/>
      <c r="AK1284" s="55" t="n"/>
      <c r="AL1284" s="55" t="n"/>
      <c r="AM1284" s="56" t="n"/>
      <c r="AN1284" s="55" t="n"/>
      <c r="AO1284" s="55" t="n"/>
      <c r="AP1284" s="55" t="n"/>
      <c r="AQ1284" s="55" t="n"/>
      <c r="AR1284" s="60">
        <f>IF(AND(C1284="",E1284=""),"",IF(A1284="","⚠ Date manquante",IF(AND(C1284="",E1284&lt;&gt;"Dépense"),"⚠ Prospect manquant",IF(E1284="","⚠ Action manquante",IF(AND(AU1284=1,D1284=""),"⚠ Canal manquant",IF(AND(W1284&lt;&gt;"",COUNTIFS('Saisie'!$W$5:$W$2004,W1284,'Saisie'!$C$5:$C$2004,"&lt;&gt;"&amp;C1284)&gt;0),"⚠ Numéro déjà utilisé par un autre prospect",IF(AND(J1284&lt;&gt;"",J1284&lt;A1284),"⚠ Relance avant la date de l'action",IF(A1284&gt;TODAY(),"⚠ Date dans le futur","✓"))))))))</f>
        <v/>
      </c>
      <c r="AS1284" s="61">
        <f>IF(AND(A1284="",C1284="",E1284=""),"",ROW())</f>
        <v/>
      </c>
      <c r="AT1284" s="61">
        <f>IF(E1284&amp;F1284="","",MAX(IFERROR(INDEX('Paramètres'!$J$6:$J$33,MATCH(E1284,'Paramètres'!$I$6:$I$33,0)),0),IFERROR(INDEX('Paramètres'!$N$6:$N$17,MATCH(F1284,'Paramètres'!$M$6:$M$17,0)),0)))</f>
        <v/>
      </c>
      <c r="AU1284" s="61">
        <f>IF(E1284="","",IFERROR(IF(INDEX('Paramètres'!$K$6:$K$33,MATCH(E1284,'Paramètres'!$I$6:$I$33,0))="Oui",1,0),0))</f>
        <v/>
      </c>
      <c r="AV1284" s="61">
        <f>IF(F1284="","",IFERROR(IF(INDEX('Paramètres'!$O$6:$O$17,MATCH(F1284,'Paramètres'!$M$6:$M$17,0))="Oui",1,0),0))</f>
        <v/>
      </c>
      <c r="AW1284" s="62">
        <f>IF(E1284="","",IF(G1284&lt;&gt;"",G1284,IF(OR(E1284="Proposition envoyée",E1284="Signature"),MAX(0,N(IFERROR(INDEX('Paramètres'!$R$6:$R$15,MATCH(IF(AL1284&lt;&gt;"",AL1284,IFERROR(INDEX('Prospects'!$AN$5:$AN$504,MATCH(C1284,'Prospects'!$C$5:$C$504,0)),"")),'Paramètres'!$Q$6:$Q$15,0)),0))-N(P1284)),0)))</f>
        <v/>
      </c>
      <c r="AX1284" s="61">
        <f>IF(C1284="","",IF(COUNTIF($C$5:C1284,C1284)=1,MAX($AX$4:AX1283)+1,""))</f>
        <v/>
      </c>
      <c r="AY1284" s="61">
        <f>IF(B1284="","",HOUR(B1284))</f>
        <v/>
      </c>
      <c r="AZ1284" s="61">
        <f>IF(A1284="","",MOD(A1284-2,7)+1)</f>
        <v/>
      </c>
      <c r="BA1284" s="60">
        <f>IF(C1284="","",IFERROR(INDEX('Prospects'!$N$5:$N$504,MATCH(C1284,'Prospects'!$C$5:$C$504,0)),""))</f>
        <v/>
      </c>
      <c r="BB1284" s="61">
        <f>IF(AND(C1284&lt;&gt;"",C1284='Fiche prospect'!$C$4),COUNTIF($C$5:C1284,C1284),"")</f>
        <v/>
      </c>
    </row>
    <row r="1285">
      <c r="A1285" s="53" t="n"/>
      <c r="B1285" s="54" t="n"/>
      <c r="C1285" s="55" t="n"/>
      <c r="D1285" s="55" t="n"/>
      <c r="E1285" s="55" t="n"/>
      <c r="F1285" s="55" t="n"/>
      <c r="G1285" s="56" t="n"/>
      <c r="H1285" s="57" t="n"/>
      <c r="I1285" s="55" t="n"/>
      <c r="J1285" s="53" t="n"/>
      <c r="K1285" s="54" t="n"/>
      <c r="L1285" s="55" t="n"/>
      <c r="M1285" s="55" t="n"/>
      <c r="N1285" s="57" t="n"/>
      <c r="O1285" s="55" t="n"/>
      <c r="P1285" s="56" t="n"/>
      <c r="Q1285" s="55" t="n"/>
      <c r="R1285" s="55" t="n"/>
      <c r="S1285" s="55" t="n"/>
      <c r="T1285" s="55" t="n"/>
      <c r="U1285" s="55" t="n"/>
      <c r="V1285" s="55" t="n"/>
      <c r="W1285" s="58" t="n"/>
      <c r="X1285" s="58" t="n"/>
      <c r="Y1285" s="55" t="n"/>
      <c r="Z1285" s="55" t="n"/>
      <c r="AA1285" s="55" t="n"/>
      <c r="AB1285" s="55" t="n"/>
      <c r="AC1285" s="55" t="n"/>
      <c r="AD1285" s="53" t="n"/>
      <c r="AE1285" s="55" t="n"/>
      <c r="AF1285" s="55" t="n"/>
      <c r="AG1285" s="59" t="n"/>
      <c r="AH1285" s="57" t="n"/>
      <c r="AI1285" s="55" t="n"/>
      <c r="AJ1285" s="55" t="n"/>
      <c r="AK1285" s="55" t="n"/>
      <c r="AL1285" s="55" t="n"/>
      <c r="AM1285" s="56" t="n"/>
      <c r="AN1285" s="55" t="n"/>
      <c r="AO1285" s="55" t="n"/>
      <c r="AP1285" s="55" t="n"/>
      <c r="AQ1285" s="55" t="n"/>
      <c r="AR1285" s="60">
        <f>IF(AND(C1285="",E1285=""),"",IF(A1285="","⚠ Date manquante",IF(AND(C1285="",E1285&lt;&gt;"Dépense"),"⚠ Prospect manquant",IF(E1285="","⚠ Action manquante",IF(AND(AU1285=1,D1285=""),"⚠ Canal manquant",IF(AND(W1285&lt;&gt;"",COUNTIFS('Saisie'!$W$5:$W$2004,W1285,'Saisie'!$C$5:$C$2004,"&lt;&gt;"&amp;C1285)&gt;0),"⚠ Numéro déjà utilisé par un autre prospect",IF(AND(J1285&lt;&gt;"",J1285&lt;A1285),"⚠ Relance avant la date de l'action",IF(A1285&gt;TODAY(),"⚠ Date dans le futur","✓"))))))))</f>
        <v/>
      </c>
      <c r="AS1285" s="61">
        <f>IF(AND(A1285="",C1285="",E1285=""),"",ROW())</f>
        <v/>
      </c>
      <c r="AT1285" s="61">
        <f>IF(E1285&amp;F1285="","",MAX(IFERROR(INDEX('Paramètres'!$J$6:$J$33,MATCH(E1285,'Paramètres'!$I$6:$I$33,0)),0),IFERROR(INDEX('Paramètres'!$N$6:$N$17,MATCH(F1285,'Paramètres'!$M$6:$M$17,0)),0)))</f>
        <v/>
      </c>
      <c r="AU1285" s="61">
        <f>IF(E1285="","",IFERROR(IF(INDEX('Paramètres'!$K$6:$K$33,MATCH(E1285,'Paramètres'!$I$6:$I$33,0))="Oui",1,0),0))</f>
        <v/>
      </c>
      <c r="AV1285" s="61">
        <f>IF(F1285="","",IFERROR(IF(INDEX('Paramètres'!$O$6:$O$17,MATCH(F1285,'Paramètres'!$M$6:$M$17,0))="Oui",1,0),0))</f>
        <v/>
      </c>
      <c r="AW1285" s="62">
        <f>IF(E1285="","",IF(G1285&lt;&gt;"",G1285,IF(OR(E1285="Proposition envoyée",E1285="Signature"),MAX(0,N(IFERROR(INDEX('Paramètres'!$R$6:$R$15,MATCH(IF(AL1285&lt;&gt;"",AL1285,IFERROR(INDEX('Prospects'!$AN$5:$AN$504,MATCH(C1285,'Prospects'!$C$5:$C$504,0)),"")),'Paramètres'!$Q$6:$Q$15,0)),0))-N(P1285)),0)))</f>
        <v/>
      </c>
      <c r="AX1285" s="61">
        <f>IF(C1285="","",IF(COUNTIF($C$5:C1285,C1285)=1,MAX($AX$4:AX1284)+1,""))</f>
        <v/>
      </c>
      <c r="AY1285" s="61">
        <f>IF(B1285="","",HOUR(B1285))</f>
        <v/>
      </c>
      <c r="AZ1285" s="61">
        <f>IF(A1285="","",MOD(A1285-2,7)+1)</f>
        <v/>
      </c>
      <c r="BA1285" s="60">
        <f>IF(C1285="","",IFERROR(INDEX('Prospects'!$N$5:$N$504,MATCH(C1285,'Prospects'!$C$5:$C$504,0)),""))</f>
        <v/>
      </c>
      <c r="BB1285" s="61">
        <f>IF(AND(C1285&lt;&gt;"",C1285='Fiche prospect'!$C$4),COUNTIF($C$5:C1285,C1285),"")</f>
        <v/>
      </c>
    </row>
    <row r="1286">
      <c r="A1286" s="53" t="n"/>
      <c r="B1286" s="54" t="n"/>
      <c r="C1286" s="55" t="n"/>
      <c r="D1286" s="55" t="n"/>
      <c r="E1286" s="55" t="n"/>
      <c r="F1286" s="55" t="n"/>
      <c r="G1286" s="56" t="n"/>
      <c r="H1286" s="57" t="n"/>
      <c r="I1286" s="55" t="n"/>
      <c r="J1286" s="53" t="n"/>
      <c r="K1286" s="54" t="n"/>
      <c r="L1286" s="55" t="n"/>
      <c r="M1286" s="55" t="n"/>
      <c r="N1286" s="57" t="n"/>
      <c r="O1286" s="55" t="n"/>
      <c r="P1286" s="56" t="n"/>
      <c r="Q1286" s="55" t="n"/>
      <c r="R1286" s="55" t="n"/>
      <c r="S1286" s="55" t="n"/>
      <c r="T1286" s="55" t="n"/>
      <c r="U1286" s="55" t="n"/>
      <c r="V1286" s="55" t="n"/>
      <c r="W1286" s="58" t="n"/>
      <c r="X1286" s="58" t="n"/>
      <c r="Y1286" s="55" t="n"/>
      <c r="Z1286" s="55" t="n"/>
      <c r="AA1286" s="55" t="n"/>
      <c r="AB1286" s="55" t="n"/>
      <c r="AC1286" s="55" t="n"/>
      <c r="AD1286" s="53" t="n"/>
      <c r="AE1286" s="55" t="n"/>
      <c r="AF1286" s="55" t="n"/>
      <c r="AG1286" s="59" t="n"/>
      <c r="AH1286" s="57" t="n"/>
      <c r="AI1286" s="55" t="n"/>
      <c r="AJ1286" s="55" t="n"/>
      <c r="AK1286" s="55" t="n"/>
      <c r="AL1286" s="55" t="n"/>
      <c r="AM1286" s="56" t="n"/>
      <c r="AN1286" s="55" t="n"/>
      <c r="AO1286" s="55" t="n"/>
      <c r="AP1286" s="55" t="n"/>
      <c r="AQ1286" s="55" t="n"/>
      <c r="AR1286" s="60">
        <f>IF(AND(C1286="",E1286=""),"",IF(A1286="","⚠ Date manquante",IF(AND(C1286="",E1286&lt;&gt;"Dépense"),"⚠ Prospect manquant",IF(E1286="","⚠ Action manquante",IF(AND(AU1286=1,D1286=""),"⚠ Canal manquant",IF(AND(W1286&lt;&gt;"",COUNTIFS('Saisie'!$W$5:$W$2004,W1286,'Saisie'!$C$5:$C$2004,"&lt;&gt;"&amp;C1286)&gt;0),"⚠ Numéro déjà utilisé par un autre prospect",IF(AND(J1286&lt;&gt;"",J1286&lt;A1286),"⚠ Relance avant la date de l'action",IF(A1286&gt;TODAY(),"⚠ Date dans le futur","✓"))))))))</f>
        <v/>
      </c>
      <c r="AS1286" s="61">
        <f>IF(AND(A1286="",C1286="",E1286=""),"",ROW())</f>
        <v/>
      </c>
      <c r="AT1286" s="61">
        <f>IF(E1286&amp;F1286="","",MAX(IFERROR(INDEX('Paramètres'!$J$6:$J$33,MATCH(E1286,'Paramètres'!$I$6:$I$33,0)),0),IFERROR(INDEX('Paramètres'!$N$6:$N$17,MATCH(F1286,'Paramètres'!$M$6:$M$17,0)),0)))</f>
        <v/>
      </c>
      <c r="AU1286" s="61">
        <f>IF(E1286="","",IFERROR(IF(INDEX('Paramètres'!$K$6:$K$33,MATCH(E1286,'Paramètres'!$I$6:$I$33,0))="Oui",1,0),0))</f>
        <v/>
      </c>
      <c r="AV1286" s="61">
        <f>IF(F1286="","",IFERROR(IF(INDEX('Paramètres'!$O$6:$O$17,MATCH(F1286,'Paramètres'!$M$6:$M$17,0))="Oui",1,0),0))</f>
        <v/>
      </c>
      <c r="AW1286" s="62">
        <f>IF(E1286="","",IF(G1286&lt;&gt;"",G1286,IF(OR(E1286="Proposition envoyée",E1286="Signature"),MAX(0,N(IFERROR(INDEX('Paramètres'!$R$6:$R$15,MATCH(IF(AL1286&lt;&gt;"",AL1286,IFERROR(INDEX('Prospects'!$AN$5:$AN$504,MATCH(C1286,'Prospects'!$C$5:$C$504,0)),"")),'Paramètres'!$Q$6:$Q$15,0)),0))-N(P1286)),0)))</f>
        <v/>
      </c>
      <c r="AX1286" s="61">
        <f>IF(C1286="","",IF(COUNTIF($C$5:C1286,C1286)=1,MAX($AX$4:AX1285)+1,""))</f>
        <v/>
      </c>
      <c r="AY1286" s="61">
        <f>IF(B1286="","",HOUR(B1286))</f>
        <v/>
      </c>
      <c r="AZ1286" s="61">
        <f>IF(A1286="","",MOD(A1286-2,7)+1)</f>
        <v/>
      </c>
      <c r="BA1286" s="60">
        <f>IF(C1286="","",IFERROR(INDEX('Prospects'!$N$5:$N$504,MATCH(C1286,'Prospects'!$C$5:$C$504,0)),""))</f>
        <v/>
      </c>
      <c r="BB1286" s="61">
        <f>IF(AND(C1286&lt;&gt;"",C1286='Fiche prospect'!$C$4),COUNTIF($C$5:C1286,C1286),"")</f>
        <v/>
      </c>
    </row>
    <row r="1287">
      <c r="A1287" s="53" t="n"/>
      <c r="B1287" s="54" t="n"/>
      <c r="C1287" s="55" t="n"/>
      <c r="D1287" s="55" t="n"/>
      <c r="E1287" s="55" t="n"/>
      <c r="F1287" s="55" t="n"/>
      <c r="G1287" s="56" t="n"/>
      <c r="H1287" s="57" t="n"/>
      <c r="I1287" s="55" t="n"/>
      <c r="J1287" s="53" t="n"/>
      <c r="K1287" s="54" t="n"/>
      <c r="L1287" s="55" t="n"/>
      <c r="M1287" s="55" t="n"/>
      <c r="N1287" s="57" t="n"/>
      <c r="O1287" s="55" t="n"/>
      <c r="P1287" s="56" t="n"/>
      <c r="Q1287" s="55" t="n"/>
      <c r="R1287" s="55" t="n"/>
      <c r="S1287" s="55" t="n"/>
      <c r="T1287" s="55" t="n"/>
      <c r="U1287" s="55" t="n"/>
      <c r="V1287" s="55" t="n"/>
      <c r="W1287" s="58" t="n"/>
      <c r="X1287" s="58" t="n"/>
      <c r="Y1287" s="55" t="n"/>
      <c r="Z1287" s="55" t="n"/>
      <c r="AA1287" s="55" t="n"/>
      <c r="AB1287" s="55" t="n"/>
      <c r="AC1287" s="55" t="n"/>
      <c r="AD1287" s="53" t="n"/>
      <c r="AE1287" s="55" t="n"/>
      <c r="AF1287" s="55" t="n"/>
      <c r="AG1287" s="59" t="n"/>
      <c r="AH1287" s="57" t="n"/>
      <c r="AI1287" s="55" t="n"/>
      <c r="AJ1287" s="55" t="n"/>
      <c r="AK1287" s="55" t="n"/>
      <c r="AL1287" s="55" t="n"/>
      <c r="AM1287" s="56" t="n"/>
      <c r="AN1287" s="55" t="n"/>
      <c r="AO1287" s="55" t="n"/>
      <c r="AP1287" s="55" t="n"/>
      <c r="AQ1287" s="55" t="n"/>
      <c r="AR1287" s="60">
        <f>IF(AND(C1287="",E1287=""),"",IF(A1287="","⚠ Date manquante",IF(AND(C1287="",E1287&lt;&gt;"Dépense"),"⚠ Prospect manquant",IF(E1287="","⚠ Action manquante",IF(AND(AU1287=1,D1287=""),"⚠ Canal manquant",IF(AND(W1287&lt;&gt;"",COUNTIFS('Saisie'!$W$5:$W$2004,W1287,'Saisie'!$C$5:$C$2004,"&lt;&gt;"&amp;C1287)&gt;0),"⚠ Numéro déjà utilisé par un autre prospect",IF(AND(J1287&lt;&gt;"",J1287&lt;A1287),"⚠ Relance avant la date de l'action",IF(A1287&gt;TODAY(),"⚠ Date dans le futur","✓"))))))))</f>
        <v/>
      </c>
      <c r="AS1287" s="61">
        <f>IF(AND(A1287="",C1287="",E1287=""),"",ROW())</f>
        <v/>
      </c>
      <c r="AT1287" s="61">
        <f>IF(E1287&amp;F1287="","",MAX(IFERROR(INDEX('Paramètres'!$J$6:$J$33,MATCH(E1287,'Paramètres'!$I$6:$I$33,0)),0),IFERROR(INDEX('Paramètres'!$N$6:$N$17,MATCH(F1287,'Paramètres'!$M$6:$M$17,0)),0)))</f>
        <v/>
      </c>
      <c r="AU1287" s="61">
        <f>IF(E1287="","",IFERROR(IF(INDEX('Paramètres'!$K$6:$K$33,MATCH(E1287,'Paramètres'!$I$6:$I$33,0))="Oui",1,0),0))</f>
        <v/>
      </c>
      <c r="AV1287" s="61">
        <f>IF(F1287="","",IFERROR(IF(INDEX('Paramètres'!$O$6:$O$17,MATCH(F1287,'Paramètres'!$M$6:$M$17,0))="Oui",1,0),0))</f>
        <v/>
      </c>
      <c r="AW1287" s="62">
        <f>IF(E1287="","",IF(G1287&lt;&gt;"",G1287,IF(OR(E1287="Proposition envoyée",E1287="Signature"),MAX(0,N(IFERROR(INDEX('Paramètres'!$R$6:$R$15,MATCH(IF(AL1287&lt;&gt;"",AL1287,IFERROR(INDEX('Prospects'!$AN$5:$AN$504,MATCH(C1287,'Prospects'!$C$5:$C$504,0)),"")),'Paramètres'!$Q$6:$Q$15,0)),0))-N(P1287)),0)))</f>
        <v/>
      </c>
      <c r="AX1287" s="61">
        <f>IF(C1287="","",IF(COUNTIF($C$5:C1287,C1287)=1,MAX($AX$4:AX1286)+1,""))</f>
        <v/>
      </c>
      <c r="AY1287" s="61">
        <f>IF(B1287="","",HOUR(B1287))</f>
        <v/>
      </c>
      <c r="AZ1287" s="61">
        <f>IF(A1287="","",MOD(A1287-2,7)+1)</f>
        <v/>
      </c>
      <c r="BA1287" s="60">
        <f>IF(C1287="","",IFERROR(INDEX('Prospects'!$N$5:$N$504,MATCH(C1287,'Prospects'!$C$5:$C$504,0)),""))</f>
        <v/>
      </c>
      <c r="BB1287" s="61">
        <f>IF(AND(C1287&lt;&gt;"",C1287='Fiche prospect'!$C$4),COUNTIF($C$5:C1287,C1287),"")</f>
        <v/>
      </c>
    </row>
    <row r="1288">
      <c r="A1288" s="53" t="n"/>
      <c r="B1288" s="54" t="n"/>
      <c r="C1288" s="55" t="n"/>
      <c r="D1288" s="55" t="n"/>
      <c r="E1288" s="55" t="n"/>
      <c r="F1288" s="55" t="n"/>
      <c r="G1288" s="56" t="n"/>
      <c r="H1288" s="57" t="n"/>
      <c r="I1288" s="55" t="n"/>
      <c r="J1288" s="53" t="n"/>
      <c r="K1288" s="54" t="n"/>
      <c r="L1288" s="55" t="n"/>
      <c r="M1288" s="55" t="n"/>
      <c r="N1288" s="57" t="n"/>
      <c r="O1288" s="55" t="n"/>
      <c r="P1288" s="56" t="n"/>
      <c r="Q1288" s="55" t="n"/>
      <c r="R1288" s="55" t="n"/>
      <c r="S1288" s="55" t="n"/>
      <c r="T1288" s="55" t="n"/>
      <c r="U1288" s="55" t="n"/>
      <c r="V1288" s="55" t="n"/>
      <c r="W1288" s="58" t="n"/>
      <c r="X1288" s="58" t="n"/>
      <c r="Y1288" s="55" t="n"/>
      <c r="Z1288" s="55" t="n"/>
      <c r="AA1288" s="55" t="n"/>
      <c r="AB1288" s="55" t="n"/>
      <c r="AC1288" s="55" t="n"/>
      <c r="AD1288" s="53" t="n"/>
      <c r="AE1288" s="55" t="n"/>
      <c r="AF1288" s="55" t="n"/>
      <c r="AG1288" s="59" t="n"/>
      <c r="AH1288" s="57" t="n"/>
      <c r="AI1288" s="55" t="n"/>
      <c r="AJ1288" s="55" t="n"/>
      <c r="AK1288" s="55" t="n"/>
      <c r="AL1288" s="55" t="n"/>
      <c r="AM1288" s="56" t="n"/>
      <c r="AN1288" s="55" t="n"/>
      <c r="AO1288" s="55" t="n"/>
      <c r="AP1288" s="55" t="n"/>
      <c r="AQ1288" s="55" t="n"/>
      <c r="AR1288" s="60">
        <f>IF(AND(C1288="",E1288=""),"",IF(A1288="","⚠ Date manquante",IF(AND(C1288="",E1288&lt;&gt;"Dépense"),"⚠ Prospect manquant",IF(E1288="","⚠ Action manquante",IF(AND(AU1288=1,D1288=""),"⚠ Canal manquant",IF(AND(W1288&lt;&gt;"",COUNTIFS('Saisie'!$W$5:$W$2004,W1288,'Saisie'!$C$5:$C$2004,"&lt;&gt;"&amp;C1288)&gt;0),"⚠ Numéro déjà utilisé par un autre prospect",IF(AND(J1288&lt;&gt;"",J1288&lt;A1288),"⚠ Relance avant la date de l'action",IF(A1288&gt;TODAY(),"⚠ Date dans le futur","✓"))))))))</f>
        <v/>
      </c>
      <c r="AS1288" s="61">
        <f>IF(AND(A1288="",C1288="",E1288=""),"",ROW())</f>
        <v/>
      </c>
      <c r="AT1288" s="61">
        <f>IF(E1288&amp;F1288="","",MAX(IFERROR(INDEX('Paramètres'!$J$6:$J$33,MATCH(E1288,'Paramètres'!$I$6:$I$33,0)),0),IFERROR(INDEX('Paramètres'!$N$6:$N$17,MATCH(F1288,'Paramètres'!$M$6:$M$17,0)),0)))</f>
        <v/>
      </c>
      <c r="AU1288" s="61">
        <f>IF(E1288="","",IFERROR(IF(INDEX('Paramètres'!$K$6:$K$33,MATCH(E1288,'Paramètres'!$I$6:$I$33,0))="Oui",1,0),0))</f>
        <v/>
      </c>
      <c r="AV1288" s="61">
        <f>IF(F1288="","",IFERROR(IF(INDEX('Paramètres'!$O$6:$O$17,MATCH(F1288,'Paramètres'!$M$6:$M$17,0))="Oui",1,0),0))</f>
        <v/>
      </c>
      <c r="AW1288" s="62">
        <f>IF(E1288="","",IF(G1288&lt;&gt;"",G1288,IF(OR(E1288="Proposition envoyée",E1288="Signature"),MAX(0,N(IFERROR(INDEX('Paramètres'!$R$6:$R$15,MATCH(IF(AL1288&lt;&gt;"",AL1288,IFERROR(INDEX('Prospects'!$AN$5:$AN$504,MATCH(C1288,'Prospects'!$C$5:$C$504,0)),"")),'Paramètres'!$Q$6:$Q$15,0)),0))-N(P1288)),0)))</f>
        <v/>
      </c>
      <c r="AX1288" s="61">
        <f>IF(C1288="","",IF(COUNTIF($C$5:C1288,C1288)=1,MAX($AX$4:AX1287)+1,""))</f>
        <v/>
      </c>
      <c r="AY1288" s="61">
        <f>IF(B1288="","",HOUR(B1288))</f>
        <v/>
      </c>
      <c r="AZ1288" s="61">
        <f>IF(A1288="","",MOD(A1288-2,7)+1)</f>
        <v/>
      </c>
      <c r="BA1288" s="60">
        <f>IF(C1288="","",IFERROR(INDEX('Prospects'!$N$5:$N$504,MATCH(C1288,'Prospects'!$C$5:$C$504,0)),""))</f>
        <v/>
      </c>
      <c r="BB1288" s="61">
        <f>IF(AND(C1288&lt;&gt;"",C1288='Fiche prospect'!$C$4),COUNTIF($C$5:C1288,C1288),"")</f>
        <v/>
      </c>
    </row>
    <row r="1289">
      <c r="A1289" s="53" t="n"/>
      <c r="B1289" s="54" t="n"/>
      <c r="C1289" s="55" t="n"/>
      <c r="D1289" s="55" t="n"/>
      <c r="E1289" s="55" t="n"/>
      <c r="F1289" s="55" t="n"/>
      <c r="G1289" s="56" t="n"/>
      <c r="H1289" s="57" t="n"/>
      <c r="I1289" s="55" t="n"/>
      <c r="J1289" s="53" t="n"/>
      <c r="K1289" s="54" t="n"/>
      <c r="L1289" s="55" t="n"/>
      <c r="M1289" s="55" t="n"/>
      <c r="N1289" s="57" t="n"/>
      <c r="O1289" s="55" t="n"/>
      <c r="P1289" s="56" t="n"/>
      <c r="Q1289" s="55" t="n"/>
      <c r="R1289" s="55" t="n"/>
      <c r="S1289" s="55" t="n"/>
      <c r="T1289" s="55" t="n"/>
      <c r="U1289" s="55" t="n"/>
      <c r="V1289" s="55" t="n"/>
      <c r="W1289" s="58" t="n"/>
      <c r="X1289" s="58" t="n"/>
      <c r="Y1289" s="55" t="n"/>
      <c r="Z1289" s="55" t="n"/>
      <c r="AA1289" s="55" t="n"/>
      <c r="AB1289" s="55" t="n"/>
      <c r="AC1289" s="55" t="n"/>
      <c r="AD1289" s="53" t="n"/>
      <c r="AE1289" s="55" t="n"/>
      <c r="AF1289" s="55" t="n"/>
      <c r="AG1289" s="59" t="n"/>
      <c r="AH1289" s="57" t="n"/>
      <c r="AI1289" s="55" t="n"/>
      <c r="AJ1289" s="55" t="n"/>
      <c r="AK1289" s="55" t="n"/>
      <c r="AL1289" s="55" t="n"/>
      <c r="AM1289" s="56" t="n"/>
      <c r="AN1289" s="55" t="n"/>
      <c r="AO1289" s="55" t="n"/>
      <c r="AP1289" s="55" t="n"/>
      <c r="AQ1289" s="55" t="n"/>
      <c r="AR1289" s="60">
        <f>IF(AND(C1289="",E1289=""),"",IF(A1289="","⚠ Date manquante",IF(AND(C1289="",E1289&lt;&gt;"Dépense"),"⚠ Prospect manquant",IF(E1289="","⚠ Action manquante",IF(AND(AU1289=1,D1289=""),"⚠ Canal manquant",IF(AND(W1289&lt;&gt;"",COUNTIFS('Saisie'!$W$5:$W$2004,W1289,'Saisie'!$C$5:$C$2004,"&lt;&gt;"&amp;C1289)&gt;0),"⚠ Numéro déjà utilisé par un autre prospect",IF(AND(J1289&lt;&gt;"",J1289&lt;A1289),"⚠ Relance avant la date de l'action",IF(A1289&gt;TODAY(),"⚠ Date dans le futur","✓"))))))))</f>
        <v/>
      </c>
      <c r="AS1289" s="61">
        <f>IF(AND(A1289="",C1289="",E1289=""),"",ROW())</f>
        <v/>
      </c>
      <c r="AT1289" s="61">
        <f>IF(E1289&amp;F1289="","",MAX(IFERROR(INDEX('Paramètres'!$J$6:$J$33,MATCH(E1289,'Paramètres'!$I$6:$I$33,0)),0),IFERROR(INDEX('Paramètres'!$N$6:$N$17,MATCH(F1289,'Paramètres'!$M$6:$M$17,0)),0)))</f>
        <v/>
      </c>
      <c r="AU1289" s="61">
        <f>IF(E1289="","",IFERROR(IF(INDEX('Paramètres'!$K$6:$K$33,MATCH(E1289,'Paramètres'!$I$6:$I$33,0))="Oui",1,0),0))</f>
        <v/>
      </c>
      <c r="AV1289" s="61">
        <f>IF(F1289="","",IFERROR(IF(INDEX('Paramètres'!$O$6:$O$17,MATCH(F1289,'Paramètres'!$M$6:$M$17,0))="Oui",1,0),0))</f>
        <v/>
      </c>
      <c r="AW1289" s="62">
        <f>IF(E1289="","",IF(G1289&lt;&gt;"",G1289,IF(OR(E1289="Proposition envoyée",E1289="Signature"),MAX(0,N(IFERROR(INDEX('Paramètres'!$R$6:$R$15,MATCH(IF(AL1289&lt;&gt;"",AL1289,IFERROR(INDEX('Prospects'!$AN$5:$AN$504,MATCH(C1289,'Prospects'!$C$5:$C$504,0)),"")),'Paramètres'!$Q$6:$Q$15,0)),0))-N(P1289)),0)))</f>
        <v/>
      </c>
      <c r="AX1289" s="61">
        <f>IF(C1289="","",IF(COUNTIF($C$5:C1289,C1289)=1,MAX($AX$4:AX1288)+1,""))</f>
        <v/>
      </c>
      <c r="AY1289" s="61">
        <f>IF(B1289="","",HOUR(B1289))</f>
        <v/>
      </c>
      <c r="AZ1289" s="61">
        <f>IF(A1289="","",MOD(A1289-2,7)+1)</f>
        <v/>
      </c>
      <c r="BA1289" s="60">
        <f>IF(C1289="","",IFERROR(INDEX('Prospects'!$N$5:$N$504,MATCH(C1289,'Prospects'!$C$5:$C$504,0)),""))</f>
        <v/>
      </c>
      <c r="BB1289" s="61">
        <f>IF(AND(C1289&lt;&gt;"",C1289='Fiche prospect'!$C$4),COUNTIF($C$5:C1289,C1289),"")</f>
        <v/>
      </c>
    </row>
    <row r="1290">
      <c r="A1290" s="53" t="n"/>
      <c r="B1290" s="54" t="n"/>
      <c r="C1290" s="55" t="n"/>
      <c r="D1290" s="55" t="n"/>
      <c r="E1290" s="55" t="n"/>
      <c r="F1290" s="55" t="n"/>
      <c r="G1290" s="56" t="n"/>
      <c r="H1290" s="57" t="n"/>
      <c r="I1290" s="55" t="n"/>
      <c r="J1290" s="53" t="n"/>
      <c r="K1290" s="54" t="n"/>
      <c r="L1290" s="55" t="n"/>
      <c r="M1290" s="55" t="n"/>
      <c r="N1290" s="57" t="n"/>
      <c r="O1290" s="55" t="n"/>
      <c r="P1290" s="56" t="n"/>
      <c r="Q1290" s="55" t="n"/>
      <c r="R1290" s="55" t="n"/>
      <c r="S1290" s="55" t="n"/>
      <c r="T1290" s="55" t="n"/>
      <c r="U1290" s="55" t="n"/>
      <c r="V1290" s="55" t="n"/>
      <c r="W1290" s="58" t="n"/>
      <c r="X1290" s="58" t="n"/>
      <c r="Y1290" s="55" t="n"/>
      <c r="Z1290" s="55" t="n"/>
      <c r="AA1290" s="55" t="n"/>
      <c r="AB1290" s="55" t="n"/>
      <c r="AC1290" s="55" t="n"/>
      <c r="AD1290" s="53" t="n"/>
      <c r="AE1290" s="55" t="n"/>
      <c r="AF1290" s="55" t="n"/>
      <c r="AG1290" s="59" t="n"/>
      <c r="AH1290" s="57" t="n"/>
      <c r="AI1290" s="55" t="n"/>
      <c r="AJ1290" s="55" t="n"/>
      <c r="AK1290" s="55" t="n"/>
      <c r="AL1290" s="55" t="n"/>
      <c r="AM1290" s="56" t="n"/>
      <c r="AN1290" s="55" t="n"/>
      <c r="AO1290" s="55" t="n"/>
      <c r="AP1290" s="55" t="n"/>
      <c r="AQ1290" s="55" t="n"/>
      <c r="AR1290" s="60">
        <f>IF(AND(C1290="",E1290=""),"",IF(A1290="","⚠ Date manquante",IF(AND(C1290="",E1290&lt;&gt;"Dépense"),"⚠ Prospect manquant",IF(E1290="","⚠ Action manquante",IF(AND(AU1290=1,D1290=""),"⚠ Canal manquant",IF(AND(W1290&lt;&gt;"",COUNTIFS('Saisie'!$W$5:$W$2004,W1290,'Saisie'!$C$5:$C$2004,"&lt;&gt;"&amp;C1290)&gt;0),"⚠ Numéro déjà utilisé par un autre prospect",IF(AND(J1290&lt;&gt;"",J1290&lt;A1290),"⚠ Relance avant la date de l'action",IF(A1290&gt;TODAY(),"⚠ Date dans le futur","✓"))))))))</f>
        <v/>
      </c>
      <c r="AS1290" s="61">
        <f>IF(AND(A1290="",C1290="",E1290=""),"",ROW())</f>
        <v/>
      </c>
      <c r="AT1290" s="61">
        <f>IF(E1290&amp;F1290="","",MAX(IFERROR(INDEX('Paramètres'!$J$6:$J$33,MATCH(E1290,'Paramètres'!$I$6:$I$33,0)),0),IFERROR(INDEX('Paramètres'!$N$6:$N$17,MATCH(F1290,'Paramètres'!$M$6:$M$17,0)),0)))</f>
        <v/>
      </c>
      <c r="AU1290" s="61">
        <f>IF(E1290="","",IFERROR(IF(INDEX('Paramètres'!$K$6:$K$33,MATCH(E1290,'Paramètres'!$I$6:$I$33,0))="Oui",1,0),0))</f>
        <v/>
      </c>
      <c r="AV1290" s="61">
        <f>IF(F1290="","",IFERROR(IF(INDEX('Paramètres'!$O$6:$O$17,MATCH(F1290,'Paramètres'!$M$6:$M$17,0))="Oui",1,0),0))</f>
        <v/>
      </c>
      <c r="AW1290" s="62">
        <f>IF(E1290="","",IF(G1290&lt;&gt;"",G1290,IF(OR(E1290="Proposition envoyée",E1290="Signature"),MAX(0,N(IFERROR(INDEX('Paramètres'!$R$6:$R$15,MATCH(IF(AL1290&lt;&gt;"",AL1290,IFERROR(INDEX('Prospects'!$AN$5:$AN$504,MATCH(C1290,'Prospects'!$C$5:$C$504,0)),"")),'Paramètres'!$Q$6:$Q$15,0)),0))-N(P1290)),0)))</f>
        <v/>
      </c>
      <c r="AX1290" s="61">
        <f>IF(C1290="","",IF(COUNTIF($C$5:C1290,C1290)=1,MAX($AX$4:AX1289)+1,""))</f>
        <v/>
      </c>
      <c r="AY1290" s="61">
        <f>IF(B1290="","",HOUR(B1290))</f>
        <v/>
      </c>
      <c r="AZ1290" s="61">
        <f>IF(A1290="","",MOD(A1290-2,7)+1)</f>
        <v/>
      </c>
      <c r="BA1290" s="60">
        <f>IF(C1290="","",IFERROR(INDEX('Prospects'!$N$5:$N$504,MATCH(C1290,'Prospects'!$C$5:$C$504,0)),""))</f>
        <v/>
      </c>
      <c r="BB1290" s="61">
        <f>IF(AND(C1290&lt;&gt;"",C1290='Fiche prospect'!$C$4),COUNTIF($C$5:C1290,C1290),"")</f>
        <v/>
      </c>
    </row>
    <row r="1291">
      <c r="A1291" s="53" t="n"/>
      <c r="B1291" s="54" t="n"/>
      <c r="C1291" s="55" t="n"/>
      <c r="D1291" s="55" t="n"/>
      <c r="E1291" s="55" t="n"/>
      <c r="F1291" s="55" t="n"/>
      <c r="G1291" s="56" t="n"/>
      <c r="H1291" s="57" t="n"/>
      <c r="I1291" s="55" t="n"/>
      <c r="J1291" s="53" t="n"/>
      <c r="K1291" s="54" t="n"/>
      <c r="L1291" s="55" t="n"/>
      <c r="M1291" s="55" t="n"/>
      <c r="N1291" s="57" t="n"/>
      <c r="O1291" s="55" t="n"/>
      <c r="P1291" s="56" t="n"/>
      <c r="Q1291" s="55" t="n"/>
      <c r="R1291" s="55" t="n"/>
      <c r="S1291" s="55" t="n"/>
      <c r="T1291" s="55" t="n"/>
      <c r="U1291" s="55" t="n"/>
      <c r="V1291" s="55" t="n"/>
      <c r="W1291" s="58" t="n"/>
      <c r="X1291" s="58" t="n"/>
      <c r="Y1291" s="55" t="n"/>
      <c r="Z1291" s="55" t="n"/>
      <c r="AA1291" s="55" t="n"/>
      <c r="AB1291" s="55" t="n"/>
      <c r="AC1291" s="55" t="n"/>
      <c r="AD1291" s="53" t="n"/>
      <c r="AE1291" s="55" t="n"/>
      <c r="AF1291" s="55" t="n"/>
      <c r="AG1291" s="59" t="n"/>
      <c r="AH1291" s="57" t="n"/>
      <c r="AI1291" s="55" t="n"/>
      <c r="AJ1291" s="55" t="n"/>
      <c r="AK1291" s="55" t="n"/>
      <c r="AL1291" s="55" t="n"/>
      <c r="AM1291" s="56" t="n"/>
      <c r="AN1291" s="55" t="n"/>
      <c r="AO1291" s="55" t="n"/>
      <c r="AP1291" s="55" t="n"/>
      <c r="AQ1291" s="55" t="n"/>
      <c r="AR1291" s="60">
        <f>IF(AND(C1291="",E1291=""),"",IF(A1291="","⚠ Date manquante",IF(AND(C1291="",E1291&lt;&gt;"Dépense"),"⚠ Prospect manquant",IF(E1291="","⚠ Action manquante",IF(AND(AU1291=1,D1291=""),"⚠ Canal manquant",IF(AND(W1291&lt;&gt;"",COUNTIFS('Saisie'!$W$5:$W$2004,W1291,'Saisie'!$C$5:$C$2004,"&lt;&gt;"&amp;C1291)&gt;0),"⚠ Numéro déjà utilisé par un autre prospect",IF(AND(J1291&lt;&gt;"",J1291&lt;A1291),"⚠ Relance avant la date de l'action",IF(A1291&gt;TODAY(),"⚠ Date dans le futur","✓"))))))))</f>
        <v/>
      </c>
      <c r="AS1291" s="61">
        <f>IF(AND(A1291="",C1291="",E1291=""),"",ROW())</f>
        <v/>
      </c>
      <c r="AT1291" s="61">
        <f>IF(E1291&amp;F1291="","",MAX(IFERROR(INDEX('Paramètres'!$J$6:$J$33,MATCH(E1291,'Paramètres'!$I$6:$I$33,0)),0),IFERROR(INDEX('Paramètres'!$N$6:$N$17,MATCH(F1291,'Paramètres'!$M$6:$M$17,0)),0)))</f>
        <v/>
      </c>
      <c r="AU1291" s="61">
        <f>IF(E1291="","",IFERROR(IF(INDEX('Paramètres'!$K$6:$K$33,MATCH(E1291,'Paramètres'!$I$6:$I$33,0))="Oui",1,0),0))</f>
        <v/>
      </c>
      <c r="AV1291" s="61">
        <f>IF(F1291="","",IFERROR(IF(INDEX('Paramètres'!$O$6:$O$17,MATCH(F1291,'Paramètres'!$M$6:$M$17,0))="Oui",1,0),0))</f>
        <v/>
      </c>
      <c r="AW1291" s="62">
        <f>IF(E1291="","",IF(G1291&lt;&gt;"",G1291,IF(OR(E1291="Proposition envoyée",E1291="Signature"),MAX(0,N(IFERROR(INDEX('Paramètres'!$R$6:$R$15,MATCH(IF(AL1291&lt;&gt;"",AL1291,IFERROR(INDEX('Prospects'!$AN$5:$AN$504,MATCH(C1291,'Prospects'!$C$5:$C$504,0)),"")),'Paramètres'!$Q$6:$Q$15,0)),0))-N(P1291)),0)))</f>
        <v/>
      </c>
      <c r="AX1291" s="61">
        <f>IF(C1291="","",IF(COUNTIF($C$5:C1291,C1291)=1,MAX($AX$4:AX1290)+1,""))</f>
        <v/>
      </c>
      <c r="AY1291" s="61">
        <f>IF(B1291="","",HOUR(B1291))</f>
        <v/>
      </c>
      <c r="AZ1291" s="61">
        <f>IF(A1291="","",MOD(A1291-2,7)+1)</f>
        <v/>
      </c>
      <c r="BA1291" s="60">
        <f>IF(C1291="","",IFERROR(INDEX('Prospects'!$N$5:$N$504,MATCH(C1291,'Prospects'!$C$5:$C$504,0)),""))</f>
        <v/>
      </c>
      <c r="BB1291" s="61">
        <f>IF(AND(C1291&lt;&gt;"",C1291='Fiche prospect'!$C$4),COUNTIF($C$5:C1291,C1291),"")</f>
        <v/>
      </c>
    </row>
    <row r="1292">
      <c r="A1292" s="53" t="n"/>
      <c r="B1292" s="54" t="n"/>
      <c r="C1292" s="55" t="n"/>
      <c r="D1292" s="55" t="n"/>
      <c r="E1292" s="55" t="n"/>
      <c r="F1292" s="55" t="n"/>
      <c r="G1292" s="56" t="n"/>
      <c r="H1292" s="57" t="n"/>
      <c r="I1292" s="55" t="n"/>
      <c r="J1292" s="53" t="n"/>
      <c r="K1292" s="54" t="n"/>
      <c r="L1292" s="55" t="n"/>
      <c r="M1292" s="55" t="n"/>
      <c r="N1292" s="57" t="n"/>
      <c r="O1292" s="55" t="n"/>
      <c r="P1292" s="56" t="n"/>
      <c r="Q1292" s="55" t="n"/>
      <c r="R1292" s="55" t="n"/>
      <c r="S1292" s="55" t="n"/>
      <c r="T1292" s="55" t="n"/>
      <c r="U1292" s="55" t="n"/>
      <c r="V1292" s="55" t="n"/>
      <c r="W1292" s="58" t="n"/>
      <c r="X1292" s="58" t="n"/>
      <c r="Y1292" s="55" t="n"/>
      <c r="Z1292" s="55" t="n"/>
      <c r="AA1292" s="55" t="n"/>
      <c r="AB1292" s="55" t="n"/>
      <c r="AC1292" s="55" t="n"/>
      <c r="AD1292" s="53" t="n"/>
      <c r="AE1292" s="55" t="n"/>
      <c r="AF1292" s="55" t="n"/>
      <c r="AG1292" s="59" t="n"/>
      <c r="AH1292" s="57" t="n"/>
      <c r="AI1292" s="55" t="n"/>
      <c r="AJ1292" s="55" t="n"/>
      <c r="AK1292" s="55" t="n"/>
      <c r="AL1292" s="55" t="n"/>
      <c r="AM1292" s="56" t="n"/>
      <c r="AN1292" s="55" t="n"/>
      <c r="AO1292" s="55" t="n"/>
      <c r="AP1292" s="55" t="n"/>
      <c r="AQ1292" s="55" t="n"/>
      <c r="AR1292" s="60">
        <f>IF(AND(C1292="",E1292=""),"",IF(A1292="","⚠ Date manquante",IF(AND(C1292="",E1292&lt;&gt;"Dépense"),"⚠ Prospect manquant",IF(E1292="","⚠ Action manquante",IF(AND(AU1292=1,D1292=""),"⚠ Canal manquant",IF(AND(W1292&lt;&gt;"",COUNTIFS('Saisie'!$W$5:$W$2004,W1292,'Saisie'!$C$5:$C$2004,"&lt;&gt;"&amp;C1292)&gt;0),"⚠ Numéro déjà utilisé par un autre prospect",IF(AND(J1292&lt;&gt;"",J1292&lt;A1292),"⚠ Relance avant la date de l'action",IF(A1292&gt;TODAY(),"⚠ Date dans le futur","✓"))))))))</f>
        <v/>
      </c>
      <c r="AS1292" s="61">
        <f>IF(AND(A1292="",C1292="",E1292=""),"",ROW())</f>
        <v/>
      </c>
      <c r="AT1292" s="61">
        <f>IF(E1292&amp;F1292="","",MAX(IFERROR(INDEX('Paramètres'!$J$6:$J$33,MATCH(E1292,'Paramètres'!$I$6:$I$33,0)),0),IFERROR(INDEX('Paramètres'!$N$6:$N$17,MATCH(F1292,'Paramètres'!$M$6:$M$17,0)),0)))</f>
        <v/>
      </c>
      <c r="AU1292" s="61">
        <f>IF(E1292="","",IFERROR(IF(INDEX('Paramètres'!$K$6:$K$33,MATCH(E1292,'Paramètres'!$I$6:$I$33,0))="Oui",1,0),0))</f>
        <v/>
      </c>
      <c r="AV1292" s="61">
        <f>IF(F1292="","",IFERROR(IF(INDEX('Paramètres'!$O$6:$O$17,MATCH(F1292,'Paramètres'!$M$6:$M$17,0))="Oui",1,0),0))</f>
        <v/>
      </c>
      <c r="AW1292" s="62">
        <f>IF(E1292="","",IF(G1292&lt;&gt;"",G1292,IF(OR(E1292="Proposition envoyée",E1292="Signature"),MAX(0,N(IFERROR(INDEX('Paramètres'!$R$6:$R$15,MATCH(IF(AL1292&lt;&gt;"",AL1292,IFERROR(INDEX('Prospects'!$AN$5:$AN$504,MATCH(C1292,'Prospects'!$C$5:$C$504,0)),"")),'Paramètres'!$Q$6:$Q$15,0)),0))-N(P1292)),0)))</f>
        <v/>
      </c>
      <c r="AX1292" s="61">
        <f>IF(C1292="","",IF(COUNTIF($C$5:C1292,C1292)=1,MAX($AX$4:AX1291)+1,""))</f>
        <v/>
      </c>
      <c r="AY1292" s="61">
        <f>IF(B1292="","",HOUR(B1292))</f>
        <v/>
      </c>
      <c r="AZ1292" s="61">
        <f>IF(A1292="","",MOD(A1292-2,7)+1)</f>
        <v/>
      </c>
      <c r="BA1292" s="60">
        <f>IF(C1292="","",IFERROR(INDEX('Prospects'!$N$5:$N$504,MATCH(C1292,'Prospects'!$C$5:$C$504,0)),""))</f>
        <v/>
      </c>
      <c r="BB1292" s="61">
        <f>IF(AND(C1292&lt;&gt;"",C1292='Fiche prospect'!$C$4),COUNTIF($C$5:C1292,C1292),"")</f>
        <v/>
      </c>
    </row>
    <row r="1293">
      <c r="A1293" s="53" t="n"/>
      <c r="B1293" s="54" t="n"/>
      <c r="C1293" s="55" t="n"/>
      <c r="D1293" s="55" t="n"/>
      <c r="E1293" s="55" t="n"/>
      <c r="F1293" s="55" t="n"/>
      <c r="G1293" s="56" t="n"/>
      <c r="H1293" s="57" t="n"/>
      <c r="I1293" s="55" t="n"/>
      <c r="J1293" s="53" t="n"/>
      <c r="K1293" s="54" t="n"/>
      <c r="L1293" s="55" t="n"/>
      <c r="M1293" s="55" t="n"/>
      <c r="N1293" s="57" t="n"/>
      <c r="O1293" s="55" t="n"/>
      <c r="P1293" s="56" t="n"/>
      <c r="Q1293" s="55" t="n"/>
      <c r="R1293" s="55" t="n"/>
      <c r="S1293" s="55" t="n"/>
      <c r="T1293" s="55" t="n"/>
      <c r="U1293" s="55" t="n"/>
      <c r="V1293" s="55" t="n"/>
      <c r="W1293" s="58" t="n"/>
      <c r="X1293" s="58" t="n"/>
      <c r="Y1293" s="55" t="n"/>
      <c r="Z1293" s="55" t="n"/>
      <c r="AA1293" s="55" t="n"/>
      <c r="AB1293" s="55" t="n"/>
      <c r="AC1293" s="55" t="n"/>
      <c r="AD1293" s="53" t="n"/>
      <c r="AE1293" s="55" t="n"/>
      <c r="AF1293" s="55" t="n"/>
      <c r="AG1293" s="59" t="n"/>
      <c r="AH1293" s="57" t="n"/>
      <c r="AI1293" s="55" t="n"/>
      <c r="AJ1293" s="55" t="n"/>
      <c r="AK1293" s="55" t="n"/>
      <c r="AL1293" s="55" t="n"/>
      <c r="AM1293" s="56" t="n"/>
      <c r="AN1293" s="55" t="n"/>
      <c r="AO1293" s="55" t="n"/>
      <c r="AP1293" s="55" t="n"/>
      <c r="AQ1293" s="55" t="n"/>
      <c r="AR1293" s="60">
        <f>IF(AND(C1293="",E1293=""),"",IF(A1293="","⚠ Date manquante",IF(AND(C1293="",E1293&lt;&gt;"Dépense"),"⚠ Prospect manquant",IF(E1293="","⚠ Action manquante",IF(AND(AU1293=1,D1293=""),"⚠ Canal manquant",IF(AND(W1293&lt;&gt;"",COUNTIFS('Saisie'!$W$5:$W$2004,W1293,'Saisie'!$C$5:$C$2004,"&lt;&gt;"&amp;C1293)&gt;0),"⚠ Numéro déjà utilisé par un autre prospect",IF(AND(J1293&lt;&gt;"",J1293&lt;A1293),"⚠ Relance avant la date de l'action",IF(A1293&gt;TODAY(),"⚠ Date dans le futur","✓"))))))))</f>
        <v/>
      </c>
      <c r="AS1293" s="61">
        <f>IF(AND(A1293="",C1293="",E1293=""),"",ROW())</f>
        <v/>
      </c>
      <c r="AT1293" s="61">
        <f>IF(E1293&amp;F1293="","",MAX(IFERROR(INDEX('Paramètres'!$J$6:$J$33,MATCH(E1293,'Paramètres'!$I$6:$I$33,0)),0),IFERROR(INDEX('Paramètres'!$N$6:$N$17,MATCH(F1293,'Paramètres'!$M$6:$M$17,0)),0)))</f>
        <v/>
      </c>
      <c r="AU1293" s="61">
        <f>IF(E1293="","",IFERROR(IF(INDEX('Paramètres'!$K$6:$K$33,MATCH(E1293,'Paramètres'!$I$6:$I$33,0))="Oui",1,0),0))</f>
        <v/>
      </c>
      <c r="AV1293" s="61">
        <f>IF(F1293="","",IFERROR(IF(INDEX('Paramètres'!$O$6:$O$17,MATCH(F1293,'Paramètres'!$M$6:$M$17,0))="Oui",1,0),0))</f>
        <v/>
      </c>
      <c r="AW1293" s="62">
        <f>IF(E1293="","",IF(G1293&lt;&gt;"",G1293,IF(OR(E1293="Proposition envoyée",E1293="Signature"),MAX(0,N(IFERROR(INDEX('Paramètres'!$R$6:$R$15,MATCH(IF(AL1293&lt;&gt;"",AL1293,IFERROR(INDEX('Prospects'!$AN$5:$AN$504,MATCH(C1293,'Prospects'!$C$5:$C$504,0)),"")),'Paramètres'!$Q$6:$Q$15,0)),0))-N(P1293)),0)))</f>
        <v/>
      </c>
      <c r="AX1293" s="61">
        <f>IF(C1293="","",IF(COUNTIF($C$5:C1293,C1293)=1,MAX($AX$4:AX1292)+1,""))</f>
        <v/>
      </c>
      <c r="AY1293" s="61">
        <f>IF(B1293="","",HOUR(B1293))</f>
        <v/>
      </c>
      <c r="AZ1293" s="61">
        <f>IF(A1293="","",MOD(A1293-2,7)+1)</f>
        <v/>
      </c>
      <c r="BA1293" s="60">
        <f>IF(C1293="","",IFERROR(INDEX('Prospects'!$N$5:$N$504,MATCH(C1293,'Prospects'!$C$5:$C$504,0)),""))</f>
        <v/>
      </c>
      <c r="BB1293" s="61">
        <f>IF(AND(C1293&lt;&gt;"",C1293='Fiche prospect'!$C$4),COUNTIF($C$5:C1293,C1293),"")</f>
        <v/>
      </c>
    </row>
    <row r="1294">
      <c r="A1294" s="53" t="n"/>
      <c r="B1294" s="54" t="n"/>
      <c r="C1294" s="55" t="n"/>
      <c r="D1294" s="55" t="n"/>
      <c r="E1294" s="55" t="n"/>
      <c r="F1294" s="55" t="n"/>
      <c r="G1294" s="56" t="n"/>
      <c r="H1294" s="57" t="n"/>
      <c r="I1294" s="55" t="n"/>
      <c r="J1294" s="53" t="n"/>
      <c r="K1294" s="54" t="n"/>
      <c r="L1294" s="55" t="n"/>
      <c r="M1294" s="55" t="n"/>
      <c r="N1294" s="57" t="n"/>
      <c r="O1294" s="55" t="n"/>
      <c r="P1294" s="56" t="n"/>
      <c r="Q1294" s="55" t="n"/>
      <c r="R1294" s="55" t="n"/>
      <c r="S1294" s="55" t="n"/>
      <c r="T1294" s="55" t="n"/>
      <c r="U1294" s="55" t="n"/>
      <c r="V1294" s="55" t="n"/>
      <c r="W1294" s="58" t="n"/>
      <c r="X1294" s="58" t="n"/>
      <c r="Y1294" s="55" t="n"/>
      <c r="Z1294" s="55" t="n"/>
      <c r="AA1294" s="55" t="n"/>
      <c r="AB1294" s="55" t="n"/>
      <c r="AC1294" s="55" t="n"/>
      <c r="AD1294" s="53" t="n"/>
      <c r="AE1294" s="55" t="n"/>
      <c r="AF1294" s="55" t="n"/>
      <c r="AG1294" s="59" t="n"/>
      <c r="AH1294" s="57" t="n"/>
      <c r="AI1294" s="55" t="n"/>
      <c r="AJ1294" s="55" t="n"/>
      <c r="AK1294" s="55" t="n"/>
      <c r="AL1294" s="55" t="n"/>
      <c r="AM1294" s="56" t="n"/>
      <c r="AN1294" s="55" t="n"/>
      <c r="AO1294" s="55" t="n"/>
      <c r="AP1294" s="55" t="n"/>
      <c r="AQ1294" s="55" t="n"/>
      <c r="AR1294" s="60">
        <f>IF(AND(C1294="",E1294=""),"",IF(A1294="","⚠ Date manquante",IF(AND(C1294="",E1294&lt;&gt;"Dépense"),"⚠ Prospect manquant",IF(E1294="","⚠ Action manquante",IF(AND(AU1294=1,D1294=""),"⚠ Canal manquant",IF(AND(W1294&lt;&gt;"",COUNTIFS('Saisie'!$W$5:$W$2004,W1294,'Saisie'!$C$5:$C$2004,"&lt;&gt;"&amp;C1294)&gt;0),"⚠ Numéro déjà utilisé par un autre prospect",IF(AND(J1294&lt;&gt;"",J1294&lt;A1294),"⚠ Relance avant la date de l'action",IF(A1294&gt;TODAY(),"⚠ Date dans le futur","✓"))))))))</f>
        <v/>
      </c>
      <c r="AS1294" s="61">
        <f>IF(AND(A1294="",C1294="",E1294=""),"",ROW())</f>
        <v/>
      </c>
      <c r="AT1294" s="61">
        <f>IF(E1294&amp;F1294="","",MAX(IFERROR(INDEX('Paramètres'!$J$6:$J$33,MATCH(E1294,'Paramètres'!$I$6:$I$33,0)),0),IFERROR(INDEX('Paramètres'!$N$6:$N$17,MATCH(F1294,'Paramètres'!$M$6:$M$17,0)),0)))</f>
        <v/>
      </c>
      <c r="AU1294" s="61">
        <f>IF(E1294="","",IFERROR(IF(INDEX('Paramètres'!$K$6:$K$33,MATCH(E1294,'Paramètres'!$I$6:$I$33,0))="Oui",1,0),0))</f>
        <v/>
      </c>
      <c r="AV1294" s="61">
        <f>IF(F1294="","",IFERROR(IF(INDEX('Paramètres'!$O$6:$O$17,MATCH(F1294,'Paramètres'!$M$6:$M$17,0))="Oui",1,0),0))</f>
        <v/>
      </c>
      <c r="AW1294" s="62">
        <f>IF(E1294="","",IF(G1294&lt;&gt;"",G1294,IF(OR(E1294="Proposition envoyée",E1294="Signature"),MAX(0,N(IFERROR(INDEX('Paramètres'!$R$6:$R$15,MATCH(IF(AL1294&lt;&gt;"",AL1294,IFERROR(INDEX('Prospects'!$AN$5:$AN$504,MATCH(C1294,'Prospects'!$C$5:$C$504,0)),"")),'Paramètres'!$Q$6:$Q$15,0)),0))-N(P1294)),0)))</f>
        <v/>
      </c>
      <c r="AX1294" s="61">
        <f>IF(C1294="","",IF(COUNTIF($C$5:C1294,C1294)=1,MAX($AX$4:AX1293)+1,""))</f>
        <v/>
      </c>
      <c r="AY1294" s="61">
        <f>IF(B1294="","",HOUR(B1294))</f>
        <v/>
      </c>
      <c r="AZ1294" s="61">
        <f>IF(A1294="","",MOD(A1294-2,7)+1)</f>
        <v/>
      </c>
      <c r="BA1294" s="60">
        <f>IF(C1294="","",IFERROR(INDEX('Prospects'!$N$5:$N$504,MATCH(C1294,'Prospects'!$C$5:$C$504,0)),""))</f>
        <v/>
      </c>
      <c r="BB1294" s="61">
        <f>IF(AND(C1294&lt;&gt;"",C1294='Fiche prospect'!$C$4),COUNTIF($C$5:C1294,C1294),"")</f>
        <v/>
      </c>
    </row>
    <row r="1295">
      <c r="A1295" s="53" t="n"/>
      <c r="B1295" s="54" t="n"/>
      <c r="C1295" s="55" t="n"/>
      <c r="D1295" s="55" t="n"/>
      <c r="E1295" s="55" t="n"/>
      <c r="F1295" s="55" t="n"/>
      <c r="G1295" s="56" t="n"/>
      <c r="H1295" s="57" t="n"/>
      <c r="I1295" s="55" t="n"/>
      <c r="J1295" s="53" t="n"/>
      <c r="K1295" s="54" t="n"/>
      <c r="L1295" s="55" t="n"/>
      <c r="M1295" s="55" t="n"/>
      <c r="N1295" s="57" t="n"/>
      <c r="O1295" s="55" t="n"/>
      <c r="P1295" s="56" t="n"/>
      <c r="Q1295" s="55" t="n"/>
      <c r="R1295" s="55" t="n"/>
      <c r="S1295" s="55" t="n"/>
      <c r="T1295" s="55" t="n"/>
      <c r="U1295" s="55" t="n"/>
      <c r="V1295" s="55" t="n"/>
      <c r="W1295" s="58" t="n"/>
      <c r="X1295" s="58" t="n"/>
      <c r="Y1295" s="55" t="n"/>
      <c r="Z1295" s="55" t="n"/>
      <c r="AA1295" s="55" t="n"/>
      <c r="AB1295" s="55" t="n"/>
      <c r="AC1295" s="55" t="n"/>
      <c r="AD1295" s="53" t="n"/>
      <c r="AE1295" s="55" t="n"/>
      <c r="AF1295" s="55" t="n"/>
      <c r="AG1295" s="59" t="n"/>
      <c r="AH1295" s="57" t="n"/>
      <c r="AI1295" s="55" t="n"/>
      <c r="AJ1295" s="55" t="n"/>
      <c r="AK1295" s="55" t="n"/>
      <c r="AL1295" s="55" t="n"/>
      <c r="AM1295" s="56" t="n"/>
      <c r="AN1295" s="55" t="n"/>
      <c r="AO1295" s="55" t="n"/>
      <c r="AP1295" s="55" t="n"/>
      <c r="AQ1295" s="55" t="n"/>
      <c r="AR1295" s="60">
        <f>IF(AND(C1295="",E1295=""),"",IF(A1295="","⚠ Date manquante",IF(AND(C1295="",E1295&lt;&gt;"Dépense"),"⚠ Prospect manquant",IF(E1295="","⚠ Action manquante",IF(AND(AU1295=1,D1295=""),"⚠ Canal manquant",IF(AND(W1295&lt;&gt;"",COUNTIFS('Saisie'!$W$5:$W$2004,W1295,'Saisie'!$C$5:$C$2004,"&lt;&gt;"&amp;C1295)&gt;0),"⚠ Numéro déjà utilisé par un autre prospect",IF(AND(J1295&lt;&gt;"",J1295&lt;A1295),"⚠ Relance avant la date de l'action",IF(A1295&gt;TODAY(),"⚠ Date dans le futur","✓"))))))))</f>
        <v/>
      </c>
      <c r="AS1295" s="61">
        <f>IF(AND(A1295="",C1295="",E1295=""),"",ROW())</f>
        <v/>
      </c>
      <c r="AT1295" s="61">
        <f>IF(E1295&amp;F1295="","",MAX(IFERROR(INDEX('Paramètres'!$J$6:$J$33,MATCH(E1295,'Paramètres'!$I$6:$I$33,0)),0),IFERROR(INDEX('Paramètres'!$N$6:$N$17,MATCH(F1295,'Paramètres'!$M$6:$M$17,0)),0)))</f>
        <v/>
      </c>
      <c r="AU1295" s="61">
        <f>IF(E1295="","",IFERROR(IF(INDEX('Paramètres'!$K$6:$K$33,MATCH(E1295,'Paramètres'!$I$6:$I$33,0))="Oui",1,0),0))</f>
        <v/>
      </c>
      <c r="AV1295" s="61">
        <f>IF(F1295="","",IFERROR(IF(INDEX('Paramètres'!$O$6:$O$17,MATCH(F1295,'Paramètres'!$M$6:$M$17,0))="Oui",1,0),0))</f>
        <v/>
      </c>
      <c r="AW1295" s="62">
        <f>IF(E1295="","",IF(G1295&lt;&gt;"",G1295,IF(OR(E1295="Proposition envoyée",E1295="Signature"),MAX(0,N(IFERROR(INDEX('Paramètres'!$R$6:$R$15,MATCH(IF(AL1295&lt;&gt;"",AL1295,IFERROR(INDEX('Prospects'!$AN$5:$AN$504,MATCH(C1295,'Prospects'!$C$5:$C$504,0)),"")),'Paramètres'!$Q$6:$Q$15,0)),0))-N(P1295)),0)))</f>
        <v/>
      </c>
      <c r="AX1295" s="61">
        <f>IF(C1295="","",IF(COUNTIF($C$5:C1295,C1295)=1,MAX($AX$4:AX1294)+1,""))</f>
        <v/>
      </c>
      <c r="AY1295" s="61">
        <f>IF(B1295="","",HOUR(B1295))</f>
        <v/>
      </c>
      <c r="AZ1295" s="61">
        <f>IF(A1295="","",MOD(A1295-2,7)+1)</f>
        <v/>
      </c>
      <c r="BA1295" s="60">
        <f>IF(C1295="","",IFERROR(INDEX('Prospects'!$N$5:$N$504,MATCH(C1295,'Prospects'!$C$5:$C$504,0)),""))</f>
        <v/>
      </c>
      <c r="BB1295" s="61">
        <f>IF(AND(C1295&lt;&gt;"",C1295='Fiche prospect'!$C$4),COUNTIF($C$5:C1295,C1295),"")</f>
        <v/>
      </c>
    </row>
    <row r="1296">
      <c r="A1296" s="53" t="n"/>
      <c r="B1296" s="54" t="n"/>
      <c r="C1296" s="55" t="n"/>
      <c r="D1296" s="55" t="n"/>
      <c r="E1296" s="55" t="n"/>
      <c r="F1296" s="55" t="n"/>
      <c r="G1296" s="56" t="n"/>
      <c r="H1296" s="57" t="n"/>
      <c r="I1296" s="55" t="n"/>
      <c r="J1296" s="53" t="n"/>
      <c r="K1296" s="54" t="n"/>
      <c r="L1296" s="55" t="n"/>
      <c r="M1296" s="55" t="n"/>
      <c r="N1296" s="57" t="n"/>
      <c r="O1296" s="55" t="n"/>
      <c r="P1296" s="56" t="n"/>
      <c r="Q1296" s="55" t="n"/>
      <c r="R1296" s="55" t="n"/>
      <c r="S1296" s="55" t="n"/>
      <c r="T1296" s="55" t="n"/>
      <c r="U1296" s="55" t="n"/>
      <c r="V1296" s="55" t="n"/>
      <c r="W1296" s="58" t="n"/>
      <c r="X1296" s="58" t="n"/>
      <c r="Y1296" s="55" t="n"/>
      <c r="Z1296" s="55" t="n"/>
      <c r="AA1296" s="55" t="n"/>
      <c r="AB1296" s="55" t="n"/>
      <c r="AC1296" s="55" t="n"/>
      <c r="AD1296" s="53" t="n"/>
      <c r="AE1296" s="55" t="n"/>
      <c r="AF1296" s="55" t="n"/>
      <c r="AG1296" s="59" t="n"/>
      <c r="AH1296" s="57" t="n"/>
      <c r="AI1296" s="55" t="n"/>
      <c r="AJ1296" s="55" t="n"/>
      <c r="AK1296" s="55" t="n"/>
      <c r="AL1296" s="55" t="n"/>
      <c r="AM1296" s="56" t="n"/>
      <c r="AN1296" s="55" t="n"/>
      <c r="AO1296" s="55" t="n"/>
      <c r="AP1296" s="55" t="n"/>
      <c r="AQ1296" s="55" t="n"/>
      <c r="AR1296" s="60">
        <f>IF(AND(C1296="",E1296=""),"",IF(A1296="","⚠ Date manquante",IF(AND(C1296="",E1296&lt;&gt;"Dépense"),"⚠ Prospect manquant",IF(E1296="","⚠ Action manquante",IF(AND(AU1296=1,D1296=""),"⚠ Canal manquant",IF(AND(W1296&lt;&gt;"",COUNTIFS('Saisie'!$W$5:$W$2004,W1296,'Saisie'!$C$5:$C$2004,"&lt;&gt;"&amp;C1296)&gt;0),"⚠ Numéro déjà utilisé par un autre prospect",IF(AND(J1296&lt;&gt;"",J1296&lt;A1296),"⚠ Relance avant la date de l'action",IF(A1296&gt;TODAY(),"⚠ Date dans le futur","✓"))))))))</f>
        <v/>
      </c>
      <c r="AS1296" s="61">
        <f>IF(AND(A1296="",C1296="",E1296=""),"",ROW())</f>
        <v/>
      </c>
      <c r="AT1296" s="61">
        <f>IF(E1296&amp;F1296="","",MAX(IFERROR(INDEX('Paramètres'!$J$6:$J$33,MATCH(E1296,'Paramètres'!$I$6:$I$33,0)),0),IFERROR(INDEX('Paramètres'!$N$6:$N$17,MATCH(F1296,'Paramètres'!$M$6:$M$17,0)),0)))</f>
        <v/>
      </c>
      <c r="AU1296" s="61">
        <f>IF(E1296="","",IFERROR(IF(INDEX('Paramètres'!$K$6:$K$33,MATCH(E1296,'Paramètres'!$I$6:$I$33,0))="Oui",1,0),0))</f>
        <v/>
      </c>
      <c r="AV1296" s="61">
        <f>IF(F1296="","",IFERROR(IF(INDEX('Paramètres'!$O$6:$O$17,MATCH(F1296,'Paramètres'!$M$6:$M$17,0))="Oui",1,0),0))</f>
        <v/>
      </c>
      <c r="AW1296" s="62">
        <f>IF(E1296="","",IF(G1296&lt;&gt;"",G1296,IF(OR(E1296="Proposition envoyée",E1296="Signature"),MAX(0,N(IFERROR(INDEX('Paramètres'!$R$6:$R$15,MATCH(IF(AL1296&lt;&gt;"",AL1296,IFERROR(INDEX('Prospects'!$AN$5:$AN$504,MATCH(C1296,'Prospects'!$C$5:$C$504,0)),"")),'Paramètres'!$Q$6:$Q$15,0)),0))-N(P1296)),0)))</f>
        <v/>
      </c>
      <c r="AX1296" s="61">
        <f>IF(C1296="","",IF(COUNTIF($C$5:C1296,C1296)=1,MAX($AX$4:AX1295)+1,""))</f>
        <v/>
      </c>
      <c r="AY1296" s="61">
        <f>IF(B1296="","",HOUR(B1296))</f>
        <v/>
      </c>
      <c r="AZ1296" s="61">
        <f>IF(A1296="","",MOD(A1296-2,7)+1)</f>
        <v/>
      </c>
      <c r="BA1296" s="60">
        <f>IF(C1296="","",IFERROR(INDEX('Prospects'!$N$5:$N$504,MATCH(C1296,'Prospects'!$C$5:$C$504,0)),""))</f>
        <v/>
      </c>
      <c r="BB1296" s="61">
        <f>IF(AND(C1296&lt;&gt;"",C1296='Fiche prospect'!$C$4),COUNTIF($C$5:C1296,C1296),"")</f>
        <v/>
      </c>
    </row>
    <row r="1297">
      <c r="A1297" s="53" t="n"/>
      <c r="B1297" s="54" t="n"/>
      <c r="C1297" s="55" t="n"/>
      <c r="D1297" s="55" t="n"/>
      <c r="E1297" s="55" t="n"/>
      <c r="F1297" s="55" t="n"/>
      <c r="G1297" s="56" t="n"/>
      <c r="H1297" s="57" t="n"/>
      <c r="I1297" s="55" t="n"/>
      <c r="J1297" s="53" t="n"/>
      <c r="K1297" s="54" t="n"/>
      <c r="L1297" s="55" t="n"/>
      <c r="M1297" s="55" t="n"/>
      <c r="N1297" s="57" t="n"/>
      <c r="O1297" s="55" t="n"/>
      <c r="P1297" s="56" t="n"/>
      <c r="Q1297" s="55" t="n"/>
      <c r="R1297" s="55" t="n"/>
      <c r="S1297" s="55" t="n"/>
      <c r="T1297" s="55" t="n"/>
      <c r="U1297" s="55" t="n"/>
      <c r="V1297" s="55" t="n"/>
      <c r="W1297" s="58" t="n"/>
      <c r="X1297" s="58" t="n"/>
      <c r="Y1297" s="55" t="n"/>
      <c r="Z1297" s="55" t="n"/>
      <c r="AA1297" s="55" t="n"/>
      <c r="AB1297" s="55" t="n"/>
      <c r="AC1297" s="55" t="n"/>
      <c r="AD1297" s="53" t="n"/>
      <c r="AE1297" s="55" t="n"/>
      <c r="AF1297" s="55" t="n"/>
      <c r="AG1297" s="59" t="n"/>
      <c r="AH1297" s="57" t="n"/>
      <c r="AI1297" s="55" t="n"/>
      <c r="AJ1297" s="55" t="n"/>
      <c r="AK1297" s="55" t="n"/>
      <c r="AL1297" s="55" t="n"/>
      <c r="AM1297" s="56" t="n"/>
      <c r="AN1297" s="55" t="n"/>
      <c r="AO1297" s="55" t="n"/>
      <c r="AP1297" s="55" t="n"/>
      <c r="AQ1297" s="55" t="n"/>
      <c r="AR1297" s="60">
        <f>IF(AND(C1297="",E1297=""),"",IF(A1297="","⚠ Date manquante",IF(AND(C1297="",E1297&lt;&gt;"Dépense"),"⚠ Prospect manquant",IF(E1297="","⚠ Action manquante",IF(AND(AU1297=1,D1297=""),"⚠ Canal manquant",IF(AND(W1297&lt;&gt;"",COUNTIFS('Saisie'!$W$5:$W$2004,W1297,'Saisie'!$C$5:$C$2004,"&lt;&gt;"&amp;C1297)&gt;0),"⚠ Numéro déjà utilisé par un autre prospect",IF(AND(J1297&lt;&gt;"",J1297&lt;A1297),"⚠ Relance avant la date de l'action",IF(A1297&gt;TODAY(),"⚠ Date dans le futur","✓"))))))))</f>
        <v/>
      </c>
      <c r="AS1297" s="61">
        <f>IF(AND(A1297="",C1297="",E1297=""),"",ROW())</f>
        <v/>
      </c>
      <c r="AT1297" s="61">
        <f>IF(E1297&amp;F1297="","",MAX(IFERROR(INDEX('Paramètres'!$J$6:$J$33,MATCH(E1297,'Paramètres'!$I$6:$I$33,0)),0),IFERROR(INDEX('Paramètres'!$N$6:$N$17,MATCH(F1297,'Paramètres'!$M$6:$M$17,0)),0)))</f>
        <v/>
      </c>
      <c r="AU1297" s="61">
        <f>IF(E1297="","",IFERROR(IF(INDEX('Paramètres'!$K$6:$K$33,MATCH(E1297,'Paramètres'!$I$6:$I$33,0))="Oui",1,0),0))</f>
        <v/>
      </c>
      <c r="AV1297" s="61">
        <f>IF(F1297="","",IFERROR(IF(INDEX('Paramètres'!$O$6:$O$17,MATCH(F1297,'Paramètres'!$M$6:$M$17,0))="Oui",1,0),0))</f>
        <v/>
      </c>
      <c r="AW1297" s="62">
        <f>IF(E1297="","",IF(G1297&lt;&gt;"",G1297,IF(OR(E1297="Proposition envoyée",E1297="Signature"),MAX(0,N(IFERROR(INDEX('Paramètres'!$R$6:$R$15,MATCH(IF(AL1297&lt;&gt;"",AL1297,IFERROR(INDEX('Prospects'!$AN$5:$AN$504,MATCH(C1297,'Prospects'!$C$5:$C$504,0)),"")),'Paramètres'!$Q$6:$Q$15,0)),0))-N(P1297)),0)))</f>
        <v/>
      </c>
      <c r="AX1297" s="61">
        <f>IF(C1297="","",IF(COUNTIF($C$5:C1297,C1297)=1,MAX($AX$4:AX1296)+1,""))</f>
        <v/>
      </c>
      <c r="AY1297" s="61">
        <f>IF(B1297="","",HOUR(B1297))</f>
        <v/>
      </c>
      <c r="AZ1297" s="61">
        <f>IF(A1297="","",MOD(A1297-2,7)+1)</f>
        <v/>
      </c>
      <c r="BA1297" s="60">
        <f>IF(C1297="","",IFERROR(INDEX('Prospects'!$N$5:$N$504,MATCH(C1297,'Prospects'!$C$5:$C$504,0)),""))</f>
        <v/>
      </c>
      <c r="BB1297" s="61">
        <f>IF(AND(C1297&lt;&gt;"",C1297='Fiche prospect'!$C$4),COUNTIF($C$5:C1297,C1297),"")</f>
        <v/>
      </c>
    </row>
    <row r="1298">
      <c r="A1298" s="53" t="n"/>
      <c r="B1298" s="54" t="n"/>
      <c r="C1298" s="55" t="n"/>
      <c r="D1298" s="55" t="n"/>
      <c r="E1298" s="55" t="n"/>
      <c r="F1298" s="55" t="n"/>
      <c r="G1298" s="56" t="n"/>
      <c r="H1298" s="57" t="n"/>
      <c r="I1298" s="55" t="n"/>
      <c r="J1298" s="53" t="n"/>
      <c r="K1298" s="54" t="n"/>
      <c r="L1298" s="55" t="n"/>
      <c r="M1298" s="55" t="n"/>
      <c r="N1298" s="57" t="n"/>
      <c r="O1298" s="55" t="n"/>
      <c r="P1298" s="56" t="n"/>
      <c r="Q1298" s="55" t="n"/>
      <c r="R1298" s="55" t="n"/>
      <c r="S1298" s="55" t="n"/>
      <c r="T1298" s="55" t="n"/>
      <c r="U1298" s="55" t="n"/>
      <c r="V1298" s="55" t="n"/>
      <c r="W1298" s="58" t="n"/>
      <c r="X1298" s="58" t="n"/>
      <c r="Y1298" s="55" t="n"/>
      <c r="Z1298" s="55" t="n"/>
      <c r="AA1298" s="55" t="n"/>
      <c r="AB1298" s="55" t="n"/>
      <c r="AC1298" s="55" t="n"/>
      <c r="AD1298" s="53" t="n"/>
      <c r="AE1298" s="55" t="n"/>
      <c r="AF1298" s="55" t="n"/>
      <c r="AG1298" s="59" t="n"/>
      <c r="AH1298" s="57" t="n"/>
      <c r="AI1298" s="55" t="n"/>
      <c r="AJ1298" s="55" t="n"/>
      <c r="AK1298" s="55" t="n"/>
      <c r="AL1298" s="55" t="n"/>
      <c r="AM1298" s="56" t="n"/>
      <c r="AN1298" s="55" t="n"/>
      <c r="AO1298" s="55" t="n"/>
      <c r="AP1298" s="55" t="n"/>
      <c r="AQ1298" s="55" t="n"/>
      <c r="AR1298" s="60">
        <f>IF(AND(C1298="",E1298=""),"",IF(A1298="","⚠ Date manquante",IF(AND(C1298="",E1298&lt;&gt;"Dépense"),"⚠ Prospect manquant",IF(E1298="","⚠ Action manquante",IF(AND(AU1298=1,D1298=""),"⚠ Canal manquant",IF(AND(W1298&lt;&gt;"",COUNTIFS('Saisie'!$W$5:$W$2004,W1298,'Saisie'!$C$5:$C$2004,"&lt;&gt;"&amp;C1298)&gt;0),"⚠ Numéro déjà utilisé par un autre prospect",IF(AND(J1298&lt;&gt;"",J1298&lt;A1298),"⚠ Relance avant la date de l'action",IF(A1298&gt;TODAY(),"⚠ Date dans le futur","✓"))))))))</f>
        <v/>
      </c>
      <c r="AS1298" s="61">
        <f>IF(AND(A1298="",C1298="",E1298=""),"",ROW())</f>
        <v/>
      </c>
      <c r="AT1298" s="61">
        <f>IF(E1298&amp;F1298="","",MAX(IFERROR(INDEX('Paramètres'!$J$6:$J$33,MATCH(E1298,'Paramètres'!$I$6:$I$33,0)),0),IFERROR(INDEX('Paramètres'!$N$6:$N$17,MATCH(F1298,'Paramètres'!$M$6:$M$17,0)),0)))</f>
        <v/>
      </c>
      <c r="AU1298" s="61">
        <f>IF(E1298="","",IFERROR(IF(INDEX('Paramètres'!$K$6:$K$33,MATCH(E1298,'Paramètres'!$I$6:$I$33,0))="Oui",1,0),0))</f>
        <v/>
      </c>
      <c r="AV1298" s="61">
        <f>IF(F1298="","",IFERROR(IF(INDEX('Paramètres'!$O$6:$O$17,MATCH(F1298,'Paramètres'!$M$6:$M$17,0))="Oui",1,0),0))</f>
        <v/>
      </c>
      <c r="AW1298" s="62">
        <f>IF(E1298="","",IF(G1298&lt;&gt;"",G1298,IF(OR(E1298="Proposition envoyée",E1298="Signature"),MAX(0,N(IFERROR(INDEX('Paramètres'!$R$6:$R$15,MATCH(IF(AL1298&lt;&gt;"",AL1298,IFERROR(INDEX('Prospects'!$AN$5:$AN$504,MATCH(C1298,'Prospects'!$C$5:$C$504,0)),"")),'Paramètres'!$Q$6:$Q$15,0)),0))-N(P1298)),0)))</f>
        <v/>
      </c>
      <c r="AX1298" s="61">
        <f>IF(C1298="","",IF(COUNTIF($C$5:C1298,C1298)=1,MAX($AX$4:AX1297)+1,""))</f>
        <v/>
      </c>
      <c r="AY1298" s="61">
        <f>IF(B1298="","",HOUR(B1298))</f>
        <v/>
      </c>
      <c r="AZ1298" s="61">
        <f>IF(A1298="","",MOD(A1298-2,7)+1)</f>
        <v/>
      </c>
      <c r="BA1298" s="60">
        <f>IF(C1298="","",IFERROR(INDEX('Prospects'!$N$5:$N$504,MATCH(C1298,'Prospects'!$C$5:$C$504,0)),""))</f>
        <v/>
      </c>
      <c r="BB1298" s="61">
        <f>IF(AND(C1298&lt;&gt;"",C1298='Fiche prospect'!$C$4),COUNTIF($C$5:C1298,C1298),"")</f>
        <v/>
      </c>
    </row>
    <row r="1299">
      <c r="A1299" s="53" t="n"/>
      <c r="B1299" s="54" t="n"/>
      <c r="C1299" s="55" t="n"/>
      <c r="D1299" s="55" t="n"/>
      <c r="E1299" s="55" t="n"/>
      <c r="F1299" s="55" t="n"/>
      <c r="G1299" s="56" t="n"/>
      <c r="H1299" s="57" t="n"/>
      <c r="I1299" s="55" t="n"/>
      <c r="J1299" s="53" t="n"/>
      <c r="K1299" s="54" t="n"/>
      <c r="L1299" s="55" t="n"/>
      <c r="M1299" s="55" t="n"/>
      <c r="N1299" s="57" t="n"/>
      <c r="O1299" s="55" t="n"/>
      <c r="P1299" s="56" t="n"/>
      <c r="Q1299" s="55" t="n"/>
      <c r="R1299" s="55" t="n"/>
      <c r="S1299" s="55" t="n"/>
      <c r="T1299" s="55" t="n"/>
      <c r="U1299" s="55" t="n"/>
      <c r="V1299" s="55" t="n"/>
      <c r="W1299" s="58" t="n"/>
      <c r="X1299" s="58" t="n"/>
      <c r="Y1299" s="55" t="n"/>
      <c r="Z1299" s="55" t="n"/>
      <c r="AA1299" s="55" t="n"/>
      <c r="AB1299" s="55" t="n"/>
      <c r="AC1299" s="55" t="n"/>
      <c r="AD1299" s="53" t="n"/>
      <c r="AE1299" s="55" t="n"/>
      <c r="AF1299" s="55" t="n"/>
      <c r="AG1299" s="59" t="n"/>
      <c r="AH1299" s="57" t="n"/>
      <c r="AI1299" s="55" t="n"/>
      <c r="AJ1299" s="55" t="n"/>
      <c r="AK1299" s="55" t="n"/>
      <c r="AL1299" s="55" t="n"/>
      <c r="AM1299" s="56" t="n"/>
      <c r="AN1299" s="55" t="n"/>
      <c r="AO1299" s="55" t="n"/>
      <c r="AP1299" s="55" t="n"/>
      <c r="AQ1299" s="55" t="n"/>
      <c r="AR1299" s="60">
        <f>IF(AND(C1299="",E1299=""),"",IF(A1299="","⚠ Date manquante",IF(AND(C1299="",E1299&lt;&gt;"Dépense"),"⚠ Prospect manquant",IF(E1299="","⚠ Action manquante",IF(AND(AU1299=1,D1299=""),"⚠ Canal manquant",IF(AND(W1299&lt;&gt;"",COUNTIFS('Saisie'!$W$5:$W$2004,W1299,'Saisie'!$C$5:$C$2004,"&lt;&gt;"&amp;C1299)&gt;0),"⚠ Numéro déjà utilisé par un autre prospect",IF(AND(J1299&lt;&gt;"",J1299&lt;A1299),"⚠ Relance avant la date de l'action",IF(A1299&gt;TODAY(),"⚠ Date dans le futur","✓"))))))))</f>
        <v/>
      </c>
      <c r="AS1299" s="61">
        <f>IF(AND(A1299="",C1299="",E1299=""),"",ROW())</f>
        <v/>
      </c>
      <c r="AT1299" s="61">
        <f>IF(E1299&amp;F1299="","",MAX(IFERROR(INDEX('Paramètres'!$J$6:$J$33,MATCH(E1299,'Paramètres'!$I$6:$I$33,0)),0),IFERROR(INDEX('Paramètres'!$N$6:$N$17,MATCH(F1299,'Paramètres'!$M$6:$M$17,0)),0)))</f>
        <v/>
      </c>
      <c r="AU1299" s="61">
        <f>IF(E1299="","",IFERROR(IF(INDEX('Paramètres'!$K$6:$K$33,MATCH(E1299,'Paramètres'!$I$6:$I$33,0))="Oui",1,0),0))</f>
        <v/>
      </c>
      <c r="AV1299" s="61">
        <f>IF(F1299="","",IFERROR(IF(INDEX('Paramètres'!$O$6:$O$17,MATCH(F1299,'Paramètres'!$M$6:$M$17,0))="Oui",1,0),0))</f>
        <v/>
      </c>
      <c r="AW1299" s="62">
        <f>IF(E1299="","",IF(G1299&lt;&gt;"",G1299,IF(OR(E1299="Proposition envoyée",E1299="Signature"),MAX(0,N(IFERROR(INDEX('Paramètres'!$R$6:$R$15,MATCH(IF(AL1299&lt;&gt;"",AL1299,IFERROR(INDEX('Prospects'!$AN$5:$AN$504,MATCH(C1299,'Prospects'!$C$5:$C$504,0)),"")),'Paramètres'!$Q$6:$Q$15,0)),0))-N(P1299)),0)))</f>
        <v/>
      </c>
      <c r="AX1299" s="61">
        <f>IF(C1299="","",IF(COUNTIF($C$5:C1299,C1299)=1,MAX($AX$4:AX1298)+1,""))</f>
        <v/>
      </c>
      <c r="AY1299" s="61">
        <f>IF(B1299="","",HOUR(B1299))</f>
        <v/>
      </c>
      <c r="AZ1299" s="61">
        <f>IF(A1299="","",MOD(A1299-2,7)+1)</f>
        <v/>
      </c>
      <c r="BA1299" s="60">
        <f>IF(C1299="","",IFERROR(INDEX('Prospects'!$N$5:$N$504,MATCH(C1299,'Prospects'!$C$5:$C$504,0)),""))</f>
        <v/>
      </c>
      <c r="BB1299" s="61">
        <f>IF(AND(C1299&lt;&gt;"",C1299='Fiche prospect'!$C$4),COUNTIF($C$5:C1299,C1299),"")</f>
        <v/>
      </c>
    </row>
    <row r="1300">
      <c r="A1300" s="53" t="n"/>
      <c r="B1300" s="54" t="n"/>
      <c r="C1300" s="55" t="n"/>
      <c r="D1300" s="55" t="n"/>
      <c r="E1300" s="55" t="n"/>
      <c r="F1300" s="55" t="n"/>
      <c r="G1300" s="56" t="n"/>
      <c r="H1300" s="57" t="n"/>
      <c r="I1300" s="55" t="n"/>
      <c r="J1300" s="53" t="n"/>
      <c r="K1300" s="54" t="n"/>
      <c r="L1300" s="55" t="n"/>
      <c r="M1300" s="55" t="n"/>
      <c r="N1300" s="57" t="n"/>
      <c r="O1300" s="55" t="n"/>
      <c r="P1300" s="56" t="n"/>
      <c r="Q1300" s="55" t="n"/>
      <c r="R1300" s="55" t="n"/>
      <c r="S1300" s="55" t="n"/>
      <c r="T1300" s="55" t="n"/>
      <c r="U1300" s="55" t="n"/>
      <c r="V1300" s="55" t="n"/>
      <c r="W1300" s="58" t="n"/>
      <c r="X1300" s="58" t="n"/>
      <c r="Y1300" s="55" t="n"/>
      <c r="Z1300" s="55" t="n"/>
      <c r="AA1300" s="55" t="n"/>
      <c r="AB1300" s="55" t="n"/>
      <c r="AC1300" s="55" t="n"/>
      <c r="AD1300" s="53" t="n"/>
      <c r="AE1300" s="55" t="n"/>
      <c r="AF1300" s="55" t="n"/>
      <c r="AG1300" s="59" t="n"/>
      <c r="AH1300" s="57" t="n"/>
      <c r="AI1300" s="55" t="n"/>
      <c r="AJ1300" s="55" t="n"/>
      <c r="AK1300" s="55" t="n"/>
      <c r="AL1300" s="55" t="n"/>
      <c r="AM1300" s="56" t="n"/>
      <c r="AN1300" s="55" t="n"/>
      <c r="AO1300" s="55" t="n"/>
      <c r="AP1300" s="55" t="n"/>
      <c r="AQ1300" s="55" t="n"/>
      <c r="AR1300" s="60">
        <f>IF(AND(C1300="",E1300=""),"",IF(A1300="","⚠ Date manquante",IF(AND(C1300="",E1300&lt;&gt;"Dépense"),"⚠ Prospect manquant",IF(E1300="","⚠ Action manquante",IF(AND(AU1300=1,D1300=""),"⚠ Canal manquant",IF(AND(W1300&lt;&gt;"",COUNTIFS('Saisie'!$W$5:$W$2004,W1300,'Saisie'!$C$5:$C$2004,"&lt;&gt;"&amp;C1300)&gt;0),"⚠ Numéro déjà utilisé par un autre prospect",IF(AND(J1300&lt;&gt;"",J1300&lt;A1300),"⚠ Relance avant la date de l'action",IF(A1300&gt;TODAY(),"⚠ Date dans le futur","✓"))))))))</f>
        <v/>
      </c>
      <c r="AS1300" s="61">
        <f>IF(AND(A1300="",C1300="",E1300=""),"",ROW())</f>
        <v/>
      </c>
      <c r="AT1300" s="61">
        <f>IF(E1300&amp;F1300="","",MAX(IFERROR(INDEX('Paramètres'!$J$6:$J$33,MATCH(E1300,'Paramètres'!$I$6:$I$33,0)),0),IFERROR(INDEX('Paramètres'!$N$6:$N$17,MATCH(F1300,'Paramètres'!$M$6:$M$17,0)),0)))</f>
        <v/>
      </c>
      <c r="AU1300" s="61">
        <f>IF(E1300="","",IFERROR(IF(INDEX('Paramètres'!$K$6:$K$33,MATCH(E1300,'Paramètres'!$I$6:$I$33,0))="Oui",1,0),0))</f>
        <v/>
      </c>
      <c r="AV1300" s="61">
        <f>IF(F1300="","",IFERROR(IF(INDEX('Paramètres'!$O$6:$O$17,MATCH(F1300,'Paramètres'!$M$6:$M$17,0))="Oui",1,0),0))</f>
        <v/>
      </c>
      <c r="AW1300" s="62">
        <f>IF(E1300="","",IF(G1300&lt;&gt;"",G1300,IF(OR(E1300="Proposition envoyée",E1300="Signature"),MAX(0,N(IFERROR(INDEX('Paramètres'!$R$6:$R$15,MATCH(IF(AL1300&lt;&gt;"",AL1300,IFERROR(INDEX('Prospects'!$AN$5:$AN$504,MATCH(C1300,'Prospects'!$C$5:$C$504,0)),"")),'Paramètres'!$Q$6:$Q$15,0)),0))-N(P1300)),0)))</f>
        <v/>
      </c>
      <c r="AX1300" s="61">
        <f>IF(C1300="","",IF(COUNTIF($C$5:C1300,C1300)=1,MAX($AX$4:AX1299)+1,""))</f>
        <v/>
      </c>
      <c r="AY1300" s="61">
        <f>IF(B1300="","",HOUR(B1300))</f>
        <v/>
      </c>
      <c r="AZ1300" s="61">
        <f>IF(A1300="","",MOD(A1300-2,7)+1)</f>
        <v/>
      </c>
      <c r="BA1300" s="60">
        <f>IF(C1300="","",IFERROR(INDEX('Prospects'!$N$5:$N$504,MATCH(C1300,'Prospects'!$C$5:$C$504,0)),""))</f>
        <v/>
      </c>
      <c r="BB1300" s="61">
        <f>IF(AND(C1300&lt;&gt;"",C1300='Fiche prospect'!$C$4),COUNTIF($C$5:C1300,C1300),"")</f>
        <v/>
      </c>
    </row>
    <row r="1301">
      <c r="A1301" s="53" t="n"/>
      <c r="B1301" s="54" t="n"/>
      <c r="C1301" s="55" t="n"/>
      <c r="D1301" s="55" t="n"/>
      <c r="E1301" s="55" t="n"/>
      <c r="F1301" s="55" t="n"/>
      <c r="G1301" s="56" t="n"/>
      <c r="H1301" s="57" t="n"/>
      <c r="I1301" s="55" t="n"/>
      <c r="J1301" s="53" t="n"/>
      <c r="K1301" s="54" t="n"/>
      <c r="L1301" s="55" t="n"/>
      <c r="M1301" s="55" t="n"/>
      <c r="N1301" s="57" t="n"/>
      <c r="O1301" s="55" t="n"/>
      <c r="P1301" s="56" t="n"/>
      <c r="Q1301" s="55" t="n"/>
      <c r="R1301" s="55" t="n"/>
      <c r="S1301" s="55" t="n"/>
      <c r="T1301" s="55" t="n"/>
      <c r="U1301" s="55" t="n"/>
      <c r="V1301" s="55" t="n"/>
      <c r="W1301" s="58" t="n"/>
      <c r="X1301" s="58" t="n"/>
      <c r="Y1301" s="55" t="n"/>
      <c r="Z1301" s="55" t="n"/>
      <c r="AA1301" s="55" t="n"/>
      <c r="AB1301" s="55" t="n"/>
      <c r="AC1301" s="55" t="n"/>
      <c r="AD1301" s="53" t="n"/>
      <c r="AE1301" s="55" t="n"/>
      <c r="AF1301" s="55" t="n"/>
      <c r="AG1301" s="59" t="n"/>
      <c r="AH1301" s="57" t="n"/>
      <c r="AI1301" s="55" t="n"/>
      <c r="AJ1301" s="55" t="n"/>
      <c r="AK1301" s="55" t="n"/>
      <c r="AL1301" s="55" t="n"/>
      <c r="AM1301" s="56" t="n"/>
      <c r="AN1301" s="55" t="n"/>
      <c r="AO1301" s="55" t="n"/>
      <c r="AP1301" s="55" t="n"/>
      <c r="AQ1301" s="55" t="n"/>
      <c r="AR1301" s="60">
        <f>IF(AND(C1301="",E1301=""),"",IF(A1301="","⚠ Date manquante",IF(AND(C1301="",E1301&lt;&gt;"Dépense"),"⚠ Prospect manquant",IF(E1301="","⚠ Action manquante",IF(AND(AU1301=1,D1301=""),"⚠ Canal manquant",IF(AND(W1301&lt;&gt;"",COUNTIFS('Saisie'!$W$5:$W$2004,W1301,'Saisie'!$C$5:$C$2004,"&lt;&gt;"&amp;C1301)&gt;0),"⚠ Numéro déjà utilisé par un autre prospect",IF(AND(J1301&lt;&gt;"",J1301&lt;A1301),"⚠ Relance avant la date de l'action",IF(A1301&gt;TODAY(),"⚠ Date dans le futur","✓"))))))))</f>
        <v/>
      </c>
      <c r="AS1301" s="61">
        <f>IF(AND(A1301="",C1301="",E1301=""),"",ROW())</f>
        <v/>
      </c>
      <c r="AT1301" s="61">
        <f>IF(E1301&amp;F1301="","",MAX(IFERROR(INDEX('Paramètres'!$J$6:$J$33,MATCH(E1301,'Paramètres'!$I$6:$I$33,0)),0),IFERROR(INDEX('Paramètres'!$N$6:$N$17,MATCH(F1301,'Paramètres'!$M$6:$M$17,0)),0)))</f>
        <v/>
      </c>
      <c r="AU1301" s="61">
        <f>IF(E1301="","",IFERROR(IF(INDEX('Paramètres'!$K$6:$K$33,MATCH(E1301,'Paramètres'!$I$6:$I$33,0))="Oui",1,0),0))</f>
        <v/>
      </c>
      <c r="AV1301" s="61">
        <f>IF(F1301="","",IFERROR(IF(INDEX('Paramètres'!$O$6:$O$17,MATCH(F1301,'Paramètres'!$M$6:$M$17,0))="Oui",1,0),0))</f>
        <v/>
      </c>
      <c r="AW1301" s="62">
        <f>IF(E1301="","",IF(G1301&lt;&gt;"",G1301,IF(OR(E1301="Proposition envoyée",E1301="Signature"),MAX(0,N(IFERROR(INDEX('Paramètres'!$R$6:$R$15,MATCH(IF(AL1301&lt;&gt;"",AL1301,IFERROR(INDEX('Prospects'!$AN$5:$AN$504,MATCH(C1301,'Prospects'!$C$5:$C$504,0)),"")),'Paramètres'!$Q$6:$Q$15,0)),0))-N(P1301)),0)))</f>
        <v/>
      </c>
      <c r="AX1301" s="61">
        <f>IF(C1301="","",IF(COUNTIF($C$5:C1301,C1301)=1,MAX($AX$4:AX1300)+1,""))</f>
        <v/>
      </c>
      <c r="AY1301" s="61">
        <f>IF(B1301="","",HOUR(B1301))</f>
        <v/>
      </c>
      <c r="AZ1301" s="61">
        <f>IF(A1301="","",MOD(A1301-2,7)+1)</f>
        <v/>
      </c>
      <c r="BA1301" s="60">
        <f>IF(C1301="","",IFERROR(INDEX('Prospects'!$N$5:$N$504,MATCH(C1301,'Prospects'!$C$5:$C$504,0)),""))</f>
        <v/>
      </c>
      <c r="BB1301" s="61">
        <f>IF(AND(C1301&lt;&gt;"",C1301='Fiche prospect'!$C$4),COUNTIF($C$5:C1301,C1301),"")</f>
        <v/>
      </c>
    </row>
    <row r="1302">
      <c r="A1302" s="53" t="n"/>
      <c r="B1302" s="54" t="n"/>
      <c r="C1302" s="55" t="n"/>
      <c r="D1302" s="55" t="n"/>
      <c r="E1302" s="55" t="n"/>
      <c r="F1302" s="55" t="n"/>
      <c r="G1302" s="56" t="n"/>
      <c r="H1302" s="57" t="n"/>
      <c r="I1302" s="55" t="n"/>
      <c r="J1302" s="53" t="n"/>
      <c r="K1302" s="54" t="n"/>
      <c r="L1302" s="55" t="n"/>
      <c r="M1302" s="55" t="n"/>
      <c r="N1302" s="57" t="n"/>
      <c r="O1302" s="55" t="n"/>
      <c r="P1302" s="56" t="n"/>
      <c r="Q1302" s="55" t="n"/>
      <c r="R1302" s="55" t="n"/>
      <c r="S1302" s="55" t="n"/>
      <c r="T1302" s="55" t="n"/>
      <c r="U1302" s="55" t="n"/>
      <c r="V1302" s="55" t="n"/>
      <c r="W1302" s="58" t="n"/>
      <c r="X1302" s="58" t="n"/>
      <c r="Y1302" s="55" t="n"/>
      <c r="Z1302" s="55" t="n"/>
      <c r="AA1302" s="55" t="n"/>
      <c r="AB1302" s="55" t="n"/>
      <c r="AC1302" s="55" t="n"/>
      <c r="AD1302" s="53" t="n"/>
      <c r="AE1302" s="55" t="n"/>
      <c r="AF1302" s="55" t="n"/>
      <c r="AG1302" s="59" t="n"/>
      <c r="AH1302" s="57" t="n"/>
      <c r="AI1302" s="55" t="n"/>
      <c r="AJ1302" s="55" t="n"/>
      <c r="AK1302" s="55" t="n"/>
      <c r="AL1302" s="55" t="n"/>
      <c r="AM1302" s="56" t="n"/>
      <c r="AN1302" s="55" t="n"/>
      <c r="AO1302" s="55" t="n"/>
      <c r="AP1302" s="55" t="n"/>
      <c r="AQ1302" s="55" t="n"/>
      <c r="AR1302" s="60">
        <f>IF(AND(C1302="",E1302=""),"",IF(A1302="","⚠ Date manquante",IF(AND(C1302="",E1302&lt;&gt;"Dépense"),"⚠ Prospect manquant",IF(E1302="","⚠ Action manquante",IF(AND(AU1302=1,D1302=""),"⚠ Canal manquant",IF(AND(W1302&lt;&gt;"",COUNTIFS('Saisie'!$W$5:$W$2004,W1302,'Saisie'!$C$5:$C$2004,"&lt;&gt;"&amp;C1302)&gt;0),"⚠ Numéro déjà utilisé par un autre prospect",IF(AND(J1302&lt;&gt;"",J1302&lt;A1302),"⚠ Relance avant la date de l'action",IF(A1302&gt;TODAY(),"⚠ Date dans le futur","✓"))))))))</f>
        <v/>
      </c>
      <c r="AS1302" s="61">
        <f>IF(AND(A1302="",C1302="",E1302=""),"",ROW())</f>
        <v/>
      </c>
      <c r="AT1302" s="61">
        <f>IF(E1302&amp;F1302="","",MAX(IFERROR(INDEX('Paramètres'!$J$6:$J$33,MATCH(E1302,'Paramètres'!$I$6:$I$33,0)),0),IFERROR(INDEX('Paramètres'!$N$6:$N$17,MATCH(F1302,'Paramètres'!$M$6:$M$17,0)),0)))</f>
        <v/>
      </c>
      <c r="AU1302" s="61">
        <f>IF(E1302="","",IFERROR(IF(INDEX('Paramètres'!$K$6:$K$33,MATCH(E1302,'Paramètres'!$I$6:$I$33,0))="Oui",1,0),0))</f>
        <v/>
      </c>
      <c r="AV1302" s="61">
        <f>IF(F1302="","",IFERROR(IF(INDEX('Paramètres'!$O$6:$O$17,MATCH(F1302,'Paramètres'!$M$6:$M$17,0))="Oui",1,0),0))</f>
        <v/>
      </c>
      <c r="AW1302" s="62">
        <f>IF(E1302="","",IF(G1302&lt;&gt;"",G1302,IF(OR(E1302="Proposition envoyée",E1302="Signature"),MAX(0,N(IFERROR(INDEX('Paramètres'!$R$6:$R$15,MATCH(IF(AL1302&lt;&gt;"",AL1302,IFERROR(INDEX('Prospects'!$AN$5:$AN$504,MATCH(C1302,'Prospects'!$C$5:$C$504,0)),"")),'Paramètres'!$Q$6:$Q$15,0)),0))-N(P1302)),0)))</f>
        <v/>
      </c>
      <c r="AX1302" s="61">
        <f>IF(C1302="","",IF(COUNTIF($C$5:C1302,C1302)=1,MAX($AX$4:AX1301)+1,""))</f>
        <v/>
      </c>
      <c r="AY1302" s="61">
        <f>IF(B1302="","",HOUR(B1302))</f>
        <v/>
      </c>
      <c r="AZ1302" s="61">
        <f>IF(A1302="","",MOD(A1302-2,7)+1)</f>
        <v/>
      </c>
      <c r="BA1302" s="60">
        <f>IF(C1302="","",IFERROR(INDEX('Prospects'!$N$5:$N$504,MATCH(C1302,'Prospects'!$C$5:$C$504,0)),""))</f>
        <v/>
      </c>
      <c r="BB1302" s="61">
        <f>IF(AND(C1302&lt;&gt;"",C1302='Fiche prospect'!$C$4),COUNTIF($C$5:C1302,C1302),"")</f>
        <v/>
      </c>
    </row>
    <row r="1303">
      <c r="A1303" s="53" t="n"/>
      <c r="B1303" s="54" t="n"/>
      <c r="C1303" s="55" t="n"/>
      <c r="D1303" s="55" t="n"/>
      <c r="E1303" s="55" t="n"/>
      <c r="F1303" s="55" t="n"/>
      <c r="G1303" s="56" t="n"/>
      <c r="H1303" s="57" t="n"/>
      <c r="I1303" s="55" t="n"/>
      <c r="J1303" s="53" t="n"/>
      <c r="K1303" s="54" t="n"/>
      <c r="L1303" s="55" t="n"/>
      <c r="M1303" s="55" t="n"/>
      <c r="N1303" s="57" t="n"/>
      <c r="O1303" s="55" t="n"/>
      <c r="P1303" s="56" t="n"/>
      <c r="Q1303" s="55" t="n"/>
      <c r="R1303" s="55" t="n"/>
      <c r="S1303" s="55" t="n"/>
      <c r="T1303" s="55" t="n"/>
      <c r="U1303" s="55" t="n"/>
      <c r="V1303" s="55" t="n"/>
      <c r="W1303" s="58" t="n"/>
      <c r="X1303" s="58" t="n"/>
      <c r="Y1303" s="55" t="n"/>
      <c r="Z1303" s="55" t="n"/>
      <c r="AA1303" s="55" t="n"/>
      <c r="AB1303" s="55" t="n"/>
      <c r="AC1303" s="55" t="n"/>
      <c r="AD1303" s="53" t="n"/>
      <c r="AE1303" s="55" t="n"/>
      <c r="AF1303" s="55" t="n"/>
      <c r="AG1303" s="59" t="n"/>
      <c r="AH1303" s="57" t="n"/>
      <c r="AI1303" s="55" t="n"/>
      <c r="AJ1303" s="55" t="n"/>
      <c r="AK1303" s="55" t="n"/>
      <c r="AL1303" s="55" t="n"/>
      <c r="AM1303" s="56" t="n"/>
      <c r="AN1303" s="55" t="n"/>
      <c r="AO1303" s="55" t="n"/>
      <c r="AP1303" s="55" t="n"/>
      <c r="AQ1303" s="55" t="n"/>
      <c r="AR1303" s="60">
        <f>IF(AND(C1303="",E1303=""),"",IF(A1303="","⚠ Date manquante",IF(AND(C1303="",E1303&lt;&gt;"Dépense"),"⚠ Prospect manquant",IF(E1303="","⚠ Action manquante",IF(AND(AU1303=1,D1303=""),"⚠ Canal manquant",IF(AND(W1303&lt;&gt;"",COUNTIFS('Saisie'!$W$5:$W$2004,W1303,'Saisie'!$C$5:$C$2004,"&lt;&gt;"&amp;C1303)&gt;0),"⚠ Numéro déjà utilisé par un autre prospect",IF(AND(J1303&lt;&gt;"",J1303&lt;A1303),"⚠ Relance avant la date de l'action",IF(A1303&gt;TODAY(),"⚠ Date dans le futur","✓"))))))))</f>
        <v/>
      </c>
      <c r="AS1303" s="61">
        <f>IF(AND(A1303="",C1303="",E1303=""),"",ROW())</f>
        <v/>
      </c>
      <c r="AT1303" s="61">
        <f>IF(E1303&amp;F1303="","",MAX(IFERROR(INDEX('Paramètres'!$J$6:$J$33,MATCH(E1303,'Paramètres'!$I$6:$I$33,0)),0),IFERROR(INDEX('Paramètres'!$N$6:$N$17,MATCH(F1303,'Paramètres'!$M$6:$M$17,0)),0)))</f>
        <v/>
      </c>
      <c r="AU1303" s="61">
        <f>IF(E1303="","",IFERROR(IF(INDEX('Paramètres'!$K$6:$K$33,MATCH(E1303,'Paramètres'!$I$6:$I$33,0))="Oui",1,0),0))</f>
        <v/>
      </c>
      <c r="AV1303" s="61">
        <f>IF(F1303="","",IFERROR(IF(INDEX('Paramètres'!$O$6:$O$17,MATCH(F1303,'Paramètres'!$M$6:$M$17,0))="Oui",1,0),0))</f>
        <v/>
      </c>
      <c r="AW1303" s="62">
        <f>IF(E1303="","",IF(G1303&lt;&gt;"",G1303,IF(OR(E1303="Proposition envoyée",E1303="Signature"),MAX(0,N(IFERROR(INDEX('Paramètres'!$R$6:$R$15,MATCH(IF(AL1303&lt;&gt;"",AL1303,IFERROR(INDEX('Prospects'!$AN$5:$AN$504,MATCH(C1303,'Prospects'!$C$5:$C$504,0)),"")),'Paramètres'!$Q$6:$Q$15,0)),0))-N(P1303)),0)))</f>
        <v/>
      </c>
      <c r="AX1303" s="61">
        <f>IF(C1303="","",IF(COUNTIF($C$5:C1303,C1303)=1,MAX($AX$4:AX1302)+1,""))</f>
        <v/>
      </c>
      <c r="AY1303" s="61">
        <f>IF(B1303="","",HOUR(B1303))</f>
        <v/>
      </c>
      <c r="AZ1303" s="61">
        <f>IF(A1303="","",MOD(A1303-2,7)+1)</f>
        <v/>
      </c>
      <c r="BA1303" s="60">
        <f>IF(C1303="","",IFERROR(INDEX('Prospects'!$N$5:$N$504,MATCH(C1303,'Prospects'!$C$5:$C$504,0)),""))</f>
        <v/>
      </c>
      <c r="BB1303" s="61">
        <f>IF(AND(C1303&lt;&gt;"",C1303='Fiche prospect'!$C$4),COUNTIF($C$5:C1303,C1303),"")</f>
        <v/>
      </c>
    </row>
    <row r="1304">
      <c r="A1304" s="53" t="n"/>
      <c r="B1304" s="54" t="n"/>
      <c r="C1304" s="55" t="n"/>
      <c r="D1304" s="55" t="n"/>
      <c r="E1304" s="55" t="n"/>
      <c r="F1304" s="55" t="n"/>
      <c r="G1304" s="56" t="n"/>
      <c r="H1304" s="57" t="n"/>
      <c r="I1304" s="55" t="n"/>
      <c r="J1304" s="53" t="n"/>
      <c r="K1304" s="54" t="n"/>
      <c r="L1304" s="55" t="n"/>
      <c r="M1304" s="55" t="n"/>
      <c r="N1304" s="57" t="n"/>
      <c r="O1304" s="55" t="n"/>
      <c r="P1304" s="56" t="n"/>
      <c r="Q1304" s="55" t="n"/>
      <c r="R1304" s="55" t="n"/>
      <c r="S1304" s="55" t="n"/>
      <c r="T1304" s="55" t="n"/>
      <c r="U1304" s="55" t="n"/>
      <c r="V1304" s="55" t="n"/>
      <c r="W1304" s="58" t="n"/>
      <c r="X1304" s="58" t="n"/>
      <c r="Y1304" s="55" t="n"/>
      <c r="Z1304" s="55" t="n"/>
      <c r="AA1304" s="55" t="n"/>
      <c r="AB1304" s="55" t="n"/>
      <c r="AC1304" s="55" t="n"/>
      <c r="AD1304" s="53" t="n"/>
      <c r="AE1304" s="55" t="n"/>
      <c r="AF1304" s="55" t="n"/>
      <c r="AG1304" s="59" t="n"/>
      <c r="AH1304" s="57" t="n"/>
      <c r="AI1304" s="55" t="n"/>
      <c r="AJ1304" s="55" t="n"/>
      <c r="AK1304" s="55" t="n"/>
      <c r="AL1304" s="55" t="n"/>
      <c r="AM1304" s="56" t="n"/>
      <c r="AN1304" s="55" t="n"/>
      <c r="AO1304" s="55" t="n"/>
      <c r="AP1304" s="55" t="n"/>
      <c r="AQ1304" s="55" t="n"/>
      <c r="AR1304" s="60">
        <f>IF(AND(C1304="",E1304=""),"",IF(A1304="","⚠ Date manquante",IF(AND(C1304="",E1304&lt;&gt;"Dépense"),"⚠ Prospect manquant",IF(E1304="","⚠ Action manquante",IF(AND(AU1304=1,D1304=""),"⚠ Canal manquant",IF(AND(W1304&lt;&gt;"",COUNTIFS('Saisie'!$W$5:$W$2004,W1304,'Saisie'!$C$5:$C$2004,"&lt;&gt;"&amp;C1304)&gt;0),"⚠ Numéro déjà utilisé par un autre prospect",IF(AND(J1304&lt;&gt;"",J1304&lt;A1304),"⚠ Relance avant la date de l'action",IF(A1304&gt;TODAY(),"⚠ Date dans le futur","✓"))))))))</f>
        <v/>
      </c>
      <c r="AS1304" s="61">
        <f>IF(AND(A1304="",C1304="",E1304=""),"",ROW())</f>
        <v/>
      </c>
      <c r="AT1304" s="61">
        <f>IF(E1304&amp;F1304="","",MAX(IFERROR(INDEX('Paramètres'!$J$6:$J$33,MATCH(E1304,'Paramètres'!$I$6:$I$33,0)),0),IFERROR(INDEX('Paramètres'!$N$6:$N$17,MATCH(F1304,'Paramètres'!$M$6:$M$17,0)),0)))</f>
        <v/>
      </c>
      <c r="AU1304" s="61">
        <f>IF(E1304="","",IFERROR(IF(INDEX('Paramètres'!$K$6:$K$33,MATCH(E1304,'Paramètres'!$I$6:$I$33,0))="Oui",1,0),0))</f>
        <v/>
      </c>
      <c r="AV1304" s="61">
        <f>IF(F1304="","",IFERROR(IF(INDEX('Paramètres'!$O$6:$O$17,MATCH(F1304,'Paramètres'!$M$6:$M$17,0))="Oui",1,0),0))</f>
        <v/>
      </c>
      <c r="AW1304" s="62">
        <f>IF(E1304="","",IF(G1304&lt;&gt;"",G1304,IF(OR(E1304="Proposition envoyée",E1304="Signature"),MAX(0,N(IFERROR(INDEX('Paramètres'!$R$6:$R$15,MATCH(IF(AL1304&lt;&gt;"",AL1304,IFERROR(INDEX('Prospects'!$AN$5:$AN$504,MATCH(C1304,'Prospects'!$C$5:$C$504,0)),"")),'Paramètres'!$Q$6:$Q$15,0)),0))-N(P1304)),0)))</f>
        <v/>
      </c>
      <c r="AX1304" s="61">
        <f>IF(C1304="","",IF(COUNTIF($C$5:C1304,C1304)=1,MAX($AX$4:AX1303)+1,""))</f>
        <v/>
      </c>
      <c r="AY1304" s="61">
        <f>IF(B1304="","",HOUR(B1304))</f>
        <v/>
      </c>
      <c r="AZ1304" s="61">
        <f>IF(A1304="","",MOD(A1304-2,7)+1)</f>
        <v/>
      </c>
      <c r="BA1304" s="60">
        <f>IF(C1304="","",IFERROR(INDEX('Prospects'!$N$5:$N$504,MATCH(C1304,'Prospects'!$C$5:$C$504,0)),""))</f>
        <v/>
      </c>
      <c r="BB1304" s="61">
        <f>IF(AND(C1304&lt;&gt;"",C1304='Fiche prospect'!$C$4),COUNTIF($C$5:C1304,C1304),"")</f>
        <v/>
      </c>
    </row>
    <row r="1305">
      <c r="A1305" s="53" t="n"/>
      <c r="B1305" s="54" t="n"/>
      <c r="C1305" s="55" t="n"/>
      <c r="D1305" s="55" t="n"/>
      <c r="E1305" s="55" t="n"/>
      <c r="F1305" s="55" t="n"/>
      <c r="G1305" s="56" t="n"/>
      <c r="H1305" s="57" t="n"/>
      <c r="I1305" s="55" t="n"/>
      <c r="J1305" s="53" t="n"/>
      <c r="K1305" s="54" t="n"/>
      <c r="L1305" s="55" t="n"/>
      <c r="M1305" s="55" t="n"/>
      <c r="N1305" s="57" t="n"/>
      <c r="O1305" s="55" t="n"/>
      <c r="P1305" s="56" t="n"/>
      <c r="Q1305" s="55" t="n"/>
      <c r="R1305" s="55" t="n"/>
      <c r="S1305" s="55" t="n"/>
      <c r="T1305" s="55" t="n"/>
      <c r="U1305" s="55" t="n"/>
      <c r="V1305" s="55" t="n"/>
      <c r="W1305" s="58" t="n"/>
      <c r="X1305" s="58" t="n"/>
      <c r="Y1305" s="55" t="n"/>
      <c r="Z1305" s="55" t="n"/>
      <c r="AA1305" s="55" t="n"/>
      <c r="AB1305" s="55" t="n"/>
      <c r="AC1305" s="55" t="n"/>
      <c r="AD1305" s="53" t="n"/>
      <c r="AE1305" s="55" t="n"/>
      <c r="AF1305" s="55" t="n"/>
      <c r="AG1305" s="59" t="n"/>
      <c r="AH1305" s="57" t="n"/>
      <c r="AI1305" s="55" t="n"/>
      <c r="AJ1305" s="55" t="n"/>
      <c r="AK1305" s="55" t="n"/>
      <c r="AL1305" s="55" t="n"/>
      <c r="AM1305" s="56" t="n"/>
      <c r="AN1305" s="55" t="n"/>
      <c r="AO1305" s="55" t="n"/>
      <c r="AP1305" s="55" t="n"/>
      <c r="AQ1305" s="55" t="n"/>
      <c r="AR1305" s="60">
        <f>IF(AND(C1305="",E1305=""),"",IF(A1305="","⚠ Date manquante",IF(AND(C1305="",E1305&lt;&gt;"Dépense"),"⚠ Prospect manquant",IF(E1305="","⚠ Action manquante",IF(AND(AU1305=1,D1305=""),"⚠ Canal manquant",IF(AND(W1305&lt;&gt;"",COUNTIFS('Saisie'!$W$5:$W$2004,W1305,'Saisie'!$C$5:$C$2004,"&lt;&gt;"&amp;C1305)&gt;0),"⚠ Numéro déjà utilisé par un autre prospect",IF(AND(J1305&lt;&gt;"",J1305&lt;A1305),"⚠ Relance avant la date de l'action",IF(A1305&gt;TODAY(),"⚠ Date dans le futur","✓"))))))))</f>
        <v/>
      </c>
      <c r="AS1305" s="61">
        <f>IF(AND(A1305="",C1305="",E1305=""),"",ROW())</f>
        <v/>
      </c>
      <c r="AT1305" s="61">
        <f>IF(E1305&amp;F1305="","",MAX(IFERROR(INDEX('Paramètres'!$J$6:$J$33,MATCH(E1305,'Paramètres'!$I$6:$I$33,0)),0),IFERROR(INDEX('Paramètres'!$N$6:$N$17,MATCH(F1305,'Paramètres'!$M$6:$M$17,0)),0)))</f>
        <v/>
      </c>
      <c r="AU1305" s="61">
        <f>IF(E1305="","",IFERROR(IF(INDEX('Paramètres'!$K$6:$K$33,MATCH(E1305,'Paramètres'!$I$6:$I$33,0))="Oui",1,0),0))</f>
        <v/>
      </c>
      <c r="AV1305" s="61">
        <f>IF(F1305="","",IFERROR(IF(INDEX('Paramètres'!$O$6:$O$17,MATCH(F1305,'Paramètres'!$M$6:$M$17,0))="Oui",1,0),0))</f>
        <v/>
      </c>
      <c r="AW1305" s="62">
        <f>IF(E1305="","",IF(G1305&lt;&gt;"",G1305,IF(OR(E1305="Proposition envoyée",E1305="Signature"),MAX(0,N(IFERROR(INDEX('Paramètres'!$R$6:$R$15,MATCH(IF(AL1305&lt;&gt;"",AL1305,IFERROR(INDEX('Prospects'!$AN$5:$AN$504,MATCH(C1305,'Prospects'!$C$5:$C$504,0)),"")),'Paramètres'!$Q$6:$Q$15,0)),0))-N(P1305)),0)))</f>
        <v/>
      </c>
      <c r="AX1305" s="61">
        <f>IF(C1305="","",IF(COUNTIF($C$5:C1305,C1305)=1,MAX($AX$4:AX1304)+1,""))</f>
        <v/>
      </c>
      <c r="AY1305" s="61">
        <f>IF(B1305="","",HOUR(B1305))</f>
        <v/>
      </c>
      <c r="AZ1305" s="61">
        <f>IF(A1305="","",MOD(A1305-2,7)+1)</f>
        <v/>
      </c>
      <c r="BA1305" s="60">
        <f>IF(C1305="","",IFERROR(INDEX('Prospects'!$N$5:$N$504,MATCH(C1305,'Prospects'!$C$5:$C$504,0)),""))</f>
        <v/>
      </c>
      <c r="BB1305" s="61">
        <f>IF(AND(C1305&lt;&gt;"",C1305='Fiche prospect'!$C$4),COUNTIF($C$5:C1305,C1305),"")</f>
        <v/>
      </c>
    </row>
    <row r="1306">
      <c r="A1306" s="53" t="n"/>
      <c r="B1306" s="54" t="n"/>
      <c r="C1306" s="55" t="n"/>
      <c r="D1306" s="55" t="n"/>
      <c r="E1306" s="55" t="n"/>
      <c r="F1306" s="55" t="n"/>
      <c r="G1306" s="56" t="n"/>
      <c r="H1306" s="57" t="n"/>
      <c r="I1306" s="55" t="n"/>
      <c r="J1306" s="53" t="n"/>
      <c r="K1306" s="54" t="n"/>
      <c r="L1306" s="55" t="n"/>
      <c r="M1306" s="55" t="n"/>
      <c r="N1306" s="57" t="n"/>
      <c r="O1306" s="55" t="n"/>
      <c r="P1306" s="56" t="n"/>
      <c r="Q1306" s="55" t="n"/>
      <c r="R1306" s="55" t="n"/>
      <c r="S1306" s="55" t="n"/>
      <c r="T1306" s="55" t="n"/>
      <c r="U1306" s="55" t="n"/>
      <c r="V1306" s="55" t="n"/>
      <c r="W1306" s="58" t="n"/>
      <c r="X1306" s="58" t="n"/>
      <c r="Y1306" s="55" t="n"/>
      <c r="Z1306" s="55" t="n"/>
      <c r="AA1306" s="55" t="n"/>
      <c r="AB1306" s="55" t="n"/>
      <c r="AC1306" s="55" t="n"/>
      <c r="AD1306" s="53" t="n"/>
      <c r="AE1306" s="55" t="n"/>
      <c r="AF1306" s="55" t="n"/>
      <c r="AG1306" s="59" t="n"/>
      <c r="AH1306" s="57" t="n"/>
      <c r="AI1306" s="55" t="n"/>
      <c r="AJ1306" s="55" t="n"/>
      <c r="AK1306" s="55" t="n"/>
      <c r="AL1306" s="55" t="n"/>
      <c r="AM1306" s="56" t="n"/>
      <c r="AN1306" s="55" t="n"/>
      <c r="AO1306" s="55" t="n"/>
      <c r="AP1306" s="55" t="n"/>
      <c r="AQ1306" s="55" t="n"/>
      <c r="AR1306" s="60">
        <f>IF(AND(C1306="",E1306=""),"",IF(A1306="","⚠ Date manquante",IF(AND(C1306="",E1306&lt;&gt;"Dépense"),"⚠ Prospect manquant",IF(E1306="","⚠ Action manquante",IF(AND(AU1306=1,D1306=""),"⚠ Canal manquant",IF(AND(W1306&lt;&gt;"",COUNTIFS('Saisie'!$W$5:$W$2004,W1306,'Saisie'!$C$5:$C$2004,"&lt;&gt;"&amp;C1306)&gt;0),"⚠ Numéro déjà utilisé par un autre prospect",IF(AND(J1306&lt;&gt;"",J1306&lt;A1306),"⚠ Relance avant la date de l'action",IF(A1306&gt;TODAY(),"⚠ Date dans le futur","✓"))))))))</f>
        <v/>
      </c>
      <c r="AS1306" s="61">
        <f>IF(AND(A1306="",C1306="",E1306=""),"",ROW())</f>
        <v/>
      </c>
      <c r="AT1306" s="61">
        <f>IF(E1306&amp;F1306="","",MAX(IFERROR(INDEX('Paramètres'!$J$6:$J$33,MATCH(E1306,'Paramètres'!$I$6:$I$33,0)),0),IFERROR(INDEX('Paramètres'!$N$6:$N$17,MATCH(F1306,'Paramètres'!$M$6:$M$17,0)),0)))</f>
        <v/>
      </c>
      <c r="AU1306" s="61">
        <f>IF(E1306="","",IFERROR(IF(INDEX('Paramètres'!$K$6:$K$33,MATCH(E1306,'Paramètres'!$I$6:$I$33,0))="Oui",1,0),0))</f>
        <v/>
      </c>
      <c r="AV1306" s="61">
        <f>IF(F1306="","",IFERROR(IF(INDEX('Paramètres'!$O$6:$O$17,MATCH(F1306,'Paramètres'!$M$6:$M$17,0))="Oui",1,0),0))</f>
        <v/>
      </c>
      <c r="AW1306" s="62">
        <f>IF(E1306="","",IF(G1306&lt;&gt;"",G1306,IF(OR(E1306="Proposition envoyée",E1306="Signature"),MAX(0,N(IFERROR(INDEX('Paramètres'!$R$6:$R$15,MATCH(IF(AL1306&lt;&gt;"",AL1306,IFERROR(INDEX('Prospects'!$AN$5:$AN$504,MATCH(C1306,'Prospects'!$C$5:$C$504,0)),"")),'Paramètres'!$Q$6:$Q$15,0)),0))-N(P1306)),0)))</f>
        <v/>
      </c>
      <c r="AX1306" s="61">
        <f>IF(C1306="","",IF(COUNTIF($C$5:C1306,C1306)=1,MAX($AX$4:AX1305)+1,""))</f>
        <v/>
      </c>
      <c r="AY1306" s="61">
        <f>IF(B1306="","",HOUR(B1306))</f>
        <v/>
      </c>
      <c r="AZ1306" s="61">
        <f>IF(A1306="","",MOD(A1306-2,7)+1)</f>
        <v/>
      </c>
      <c r="BA1306" s="60">
        <f>IF(C1306="","",IFERROR(INDEX('Prospects'!$N$5:$N$504,MATCH(C1306,'Prospects'!$C$5:$C$504,0)),""))</f>
        <v/>
      </c>
      <c r="BB1306" s="61">
        <f>IF(AND(C1306&lt;&gt;"",C1306='Fiche prospect'!$C$4),COUNTIF($C$5:C1306,C1306),"")</f>
        <v/>
      </c>
    </row>
    <row r="1307">
      <c r="A1307" s="53" t="n"/>
      <c r="B1307" s="54" t="n"/>
      <c r="C1307" s="55" t="n"/>
      <c r="D1307" s="55" t="n"/>
      <c r="E1307" s="55" t="n"/>
      <c r="F1307" s="55" t="n"/>
      <c r="G1307" s="56" t="n"/>
      <c r="H1307" s="57" t="n"/>
      <c r="I1307" s="55" t="n"/>
      <c r="J1307" s="53" t="n"/>
      <c r="K1307" s="54" t="n"/>
      <c r="L1307" s="55" t="n"/>
      <c r="M1307" s="55" t="n"/>
      <c r="N1307" s="57" t="n"/>
      <c r="O1307" s="55" t="n"/>
      <c r="P1307" s="56" t="n"/>
      <c r="Q1307" s="55" t="n"/>
      <c r="R1307" s="55" t="n"/>
      <c r="S1307" s="55" t="n"/>
      <c r="T1307" s="55" t="n"/>
      <c r="U1307" s="55" t="n"/>
      <c r="V1307" s="55" t="n"/>
      <c r="W1307" s="58" t="n"/>
      <c r="X1307" s="58" t="n"/>
      <c r="Y1307" s="55" t="n"/>
      <c r="Z1307" s="55" t="n"/>
      <c r="AA1307" s="55" t="n"/>
      <c r="AB1307" s="55" t="n"/>
      <c r="AC1307" s="55" t="n"/>
      <c r="AD1307" s="53" t="n"/>
      <c r="AE1307" s="55" t="n"/>
      <c r="AF1307" s="55" t="n"/>
      <c r="AG1307" s="59" t="n"/>
      <c r="AH1307" s="57" t="n"/>
      <c r="AI1307" s="55" t="n"/>
      <c r="AJ1307" s="55" t="n"/>
      <c r="AK1307" s="55" t="n"/>
      <c r="AL1307" s="55" t="n"/>
      <c r="AM1307" s="56" t="n"/>
      <c r="AN1307" s="55" t="n"/>
      <c r="AO1307" s="55" t="n"/>
      <c r="AP1307" s="55" t="n"/>
      <c r="AQ1307" s="55" t="n"/>
      <c r="AR1307" s="60">
        <f>IF(AND(C1307="",E1307=""),"",IF(A1307="","⚠ Date manquante",IF(AND(C1307="",E1307&lt;&gt;"Dépense"),"⚠ Prospect manquant",IF(E1307="","⚠ Action manquante",IF(AND(AU1307=1,D1307=""),"⚠ Canal manquant",IF(AND(W1307&lt;&gt;"",COUNTIFS('Saisie'!$W$5:$W$2004,W1307,'Saisie'!$C$5:$C$2004,"&lt;&gt;"&amp;C1307)&gt;0),"⚠ Numéro déjà utilisé par un autre prospect",IF(AND(J1307&lt;&gt;"",J1307&lt;A1307),"⚠ Relance avant la date de l'action",IF(A1307&gt;TODAY(),"⚠ Date dans le futur","✓"))))))))</f>
        <v/>
      </c>
      <c r="AS1307" s="61">
        <f>IF(AND(A1307="",C1307="",E1307=""),"",ROW())</f>
        <v/>
      </c>
      <c r="AT1307" s="61">
        <f>IF(E1307&amp;F1307="","",MAX(IFERROR(INDEX('Paramètres'!$J$6:$J$33,MATCH(E1307,'Paramètres'!$I$6:$I$33,0)),0),IFERROR(INDEX('Paramètres'!$N$6:$N$17,MATCH(F1307,'Paramètres'!$M$6:$M$17,0)),0)))</f>
        <v/>
      </c>
      <c r="AU1307" s="61">
        <f>IF(E1307="","",IFERROR(IF(INDEX('Paramètres'!$K$6:$K$33,MATCH(E1307,'Paramètres'!$I$6:$I$33,0))="Oui",1,0),0))</f>
        <v/>
      </c>
      <c r="AV1307" s="61">
        <f>IF(F1307="","",IFERROR(IF(INDEX('Paramètres'!$O$6:$O$17,MATCH(F1307,'Paramètres'!$M$6:$M$17,0))="Oui",1,0),0))</f>
        <v/>
      </c>
      <c r="AW1307" s="62">
        <f>IF(E1307="","",IF(G1307&lt;&gt;"",G1307,IF(OR(E1307="Proposition envoyée",E1307="Signature"),MAX(0,N(IFERROR(INDEX('Paramètres'!$R$6:$R$15,MATCH(IF(AL1307&lt;&gt;"",AL1307,IFERROR(INDEX('Prospects'!$AN$5:$AN$504,MATCH(C1307,'Prospects'!$C$5:$C$504,0)),"")),'Paramètres'!$Q$6:$Q$15,0)),0))-N(P1307)),0)))</f>
        <v/>
      </c>
      <c r="AX1307" s="61">
        <f>IF(C1307="","",IF(COUNTIF($C$5:C1307,C1307)=1,MAX($AX$4:AX1306)+1,""))</f>
        <v/>
      </c>
      <c r="AY1307" s="61">
        <f>IF(B1307="","",HOUR(B1307))</f>
        <v/>
      </c>
      <c r="AZ1307" s="61">
        <f>IF(A1307="","",MOD(A1307-2,7)+1)</f>
        <v/>
      </c>
      <c r="BA1307" s="60">
        <f>IF(C1307="","",IFERROR(INDEX('Prospects'!$N$5:$N$504,MATCH(C1307,'Prospects'!$C$5:$C$504,0)),""))</f>
        <v/>
      </c>
      <c r="BB1307" s="61">
        <f>IF(AND(C1307&lt;&gt;"",C1307='Fiche prospect'!$C$4),COUNTIF($C$5:C1307,C1307),"")</f>
        <v/>
      </c>
    </row>
    <row r="1308">
      <c r="A1308" s="53" t="n"/>
      <c r="B1308" s="54" t="n"/>
      <c r="C1308" s="55" t="n"/>
      <c r="D1308" s="55" t="n"/>
      <c r="E1308" s="55" t="n"/>
      <c r="F1308" s="55" t="n"/>
      <c r="G1308" s="56" t="n"/>
      <c r="H1308" s="57" t="n"/>
      <c r="I1308" s="55" t="n"/>
      <c r="J1308" s="53" t="n"/>
      <c r="K1308" s="54" t="n"/>
      <c r="L1308" s="55" t="n"/>
      <c r="M1308" s="55" t="n"/>
      <c r="N1308" s="57" t="n"/>
      <c r="O1308" s="55" t="n"/>
      <c r="P1308" s="56" t="n"/>
      <c r="Q1308" s="55" t="n"/>
      <c r="R1308" s="55" t="n"/>
      <c r="S1308" s="55" t="n"/>
      <c r="T1308" s="55" t="n"/>
      <c r="U1308" s="55" t="n"/>
      <c r="V1308" s="55" t="n"/>
      <c r="W1308" s="58" t="n"/>
      <c r="X1308" s="58" t="n"/>
      <c r="Y1308" s="55" t="n"/>
      <c r="Z1308" s="55" t="n"/>
      <c r="AA1308" s="55" t="n"/>
      <c r="AB1308" s="55" t="n"/>
      <c r="AC1308" s="55" t="n"/>
      <c r="AD1308" s="53" t="n"/>
      <c r="AE1308" s="55" t="n"/>
      <c r="AF1308" s="55" t="n"/>
      <c r="AG1308" s="59" t="n"/>
      <c r="AH1308" s="57" t="n"/>
      <c r="AI1308" s="55" t="n"/>
      <c r="AJ1308" s="55" t="n"/>
      <c r="AK1308" s="55" t="n"/>
      <c r="AL1308" s="55" t="n"/>
      <c r="AM1308" s="56" t="n"/>
      <c r="AN1308" s="55" t="n"/>
      <c r="AO1308" s="55" t="n"/>
      <c r="AP1308" s="55" t="n"/>
      <c r="AQ1308" s="55" t="n"/>
      <c r="AR1308" s="60">
        <f>IF(AND(C1308="",E1308=""),"",IF(A1308="","⚠ Date manquante",IF(AND(C1308="",E1308&lt;&gt;"Dépense"),"⚠ Prospect manquant",IF(E1308="","⚠ Action manquante",IF(AND(AU1308=1,D1308=""),"⚠ Canal manquant",IF(AND(W1308&lt;&gt;"",COUNTIFS('Saisie'!$W$5:$W$2004,W1308,'Saisie'!$C$5:$C$2004,"&lt;&gt;"&amp;C1308)&gt;0),"⚠ Numéro déjà utilisé par un autre prospect",IF(AND(J1308&lt;&gt;"",J1308&lt;A1308),"⚠ Relance avant la date de l'action",IF(A1308&gt;TODAY(),"⚠ Date dans le futur","✓"))))))))</f>
        <v/>
      </c>
      <c r="AS1308" s="61">
        <f>IF(AND(A1308="",C1308="",E1308=""),"",ROW())</f>
        <v/>
      </c>
      <c r="AT1308" s="61">
        <f>IF(E1308&amp;F1308="","",MAX(IFERROR(INDEX('Paramètres'!$J$6:$J$33,MATCH(E1308,'Paramètres'!$I$6:$I$33,0)),0),IFERROR(INDEX('Paramètres'!$N$6:$N$17,MATCH(F1308,'Paramètres'!$M$6:$M$17,0)),0)))</f>
        <v/>
      </c>
      <c r="AU1308" s="61">
        <f>IF(E1308="","",IFERROR(IF(INDEX('Paramètres'!$K$6:$K$33,MATCH(E1308,'Paramètres'!$I$6:$I$33,0))="Oui",1,0),0))</f>
        <v/>
      </c>
      <c r="AV1308" s="61">
        <f>IF(F1308="","",IFERROR(IF(INDEX('Paramètres'!$O$6:$O$17,MATCH(F1308,'Paramètres'!$M$6:$M$17,0))="Oui",1,0),0))</f>
        <v/>
      </c>
      <c r="AW1308" s="62">
        <f>IF(E1308="","",IF(G1308&lt;&gt;"",G1308,IF(OR(E1308="Proposition envoyée",E1308="Signature"),MAX(0,N(IFERROR(INDEX('Paramètres'!$R$6:$R$15,MATCH(IF(AL1308&lt;&gt;"",AL1308,IFERROR(INDEX('Prospects'!$AN$5:$AN$504,MATCH(C1308,'Prospects'!$C$5:$C$504,0)),"")),'Paramètres'!$Q$6:$Q$15,0)),0))-N(P1308)),0)))</f>
        <v/>
      </c>
      <c r="AX1308" s="61">
        <f>IF(C1308="","",IF(COUNTIF($C$5:C1308,C1308)=1,MAX($AX$4:AX1307)+1,""))</f>
        <v/>
      </c>
      <c r="AY1308" s="61">
        <f>IF(B1308="","",HOUR(B1308))</f>
        <v/>
      </c>
      <c r="AZ1308" s="61">
        <f>IF(A1308="","",MOD(A1308-2,7)+1)</f>
        <v/>
      </c>
      <c r="BA1308" s="60">
        <f>IF(C1308="","",IFERROR(INDEX('Prospects'!$N$5:$N$504,MATCH(C1308,'Prospects'!$C$5:$C$504,0)),""))</f>
        <v/>
      </c>
      <c r="BB1308" s="61">
        <f>IF(AND(C1308&lt;&gt;"",C1308='Fiche prospect'!$C$4),COUNTIF($C$5:C1308,C1308),"")</f>
        <v/>
      </c>
    </row>
    <row r="1309">
      <c r="A1309" s="53" t="n"/>
      <c r="B1309" s="54" t="n"/>
      <c r="C1309" s="55" t="n"/>
      <c r="D1309" s="55" t="n"/>
      <c r="E1309" s="55" t="n"/>
      <c r="F1309" s="55" t="n"/>
      <c r="G1309" s="56" t="n"/>
      <c r="H1309" s="57" t="n"/>
      <c r="I1309" s="55" t="n"/>
      <c r="J1309" s="53" t="n"/>
      <c r="K1309" s="54" t="n"/>
      <c r="L1309" s="55" t="n"/>
      <c r="M1309" s="55" t="n"/>
      <c r="N1309" s="57" t="n"/>
      <c r="O1309" s="55" t="n"/>
      <c r="P1309" s="56" t="n"/>
      <c r="Q1309" s="55" t="n"/>
      <c r="R1309" s="55" t="n"/>
      <c r="S1309" s="55" t="n"/>
      <c r="T1309" s="55" t="n"/>
      <c r="U1309" s="55" t="n"/>
      <c r="V1309" s="55" t="n"/>
      <c r="W1309" s="58" t="n"/>
      <c r="X1309" s="58" t="n"/>
      <c r="Y1309" s="55" t="n"/>
      <c r="Z1309" s="55" t="n"/>
      <c r="AA1309" s="55" t="n"/>
      <c r="AB1309" s="55" t="n"/>
      <c r="AC1309" s="55" t="n"/>
      <c r="AD1309" s="53" t="n"/>
      <c r="AE1309" s="55" t="n"/>
      <c r="AF1309" s="55" t="n"/>
      <c r="AG1309" s="59" t="n"/>
      <c r="AH1309" s="57" t="n"/>
      <c r="AI1309" s="55" t="n"/>
      <c r="AJ1309" s="55" t="n"/>
      <c r="AK1309" s="55" t="n"/>
      <c r="AL1309" s="55" t="n"/>
      <c r="AM1309" s="56" t="n"/>
      <c r="AN1309" s="55" t="n"/>
      <c r="AO1309" s="55" t="n"/>
      <c r="AP1309" s="55" t="n"/>
      <c r="AQ1309" s="55" t="n"/>
      <c r="AR1309" s="60">
        <f>IF(AND(C1309="",E1309=""),"",IF(A1309="","⚠ Date manquante",IF(AND(C1309="",E1309&lt;&gt;"Dépense"),"⚠ Prospect manquant",IF(E1309="","⚠ Action manquante",IF(AND(AU1309=1,D1309=""),"⚠ Canal manquant",IF(AND(W1309&lt;&gt;"",COUNTIFS('Saisie'!$W$5:$W$2004,W1309,'Saisie'!$C$5:$C$2004,"&lt;&gt;"&amp;C1309)&gt;0),"⚠ Numéro déjà utilisé par un autre prospect",IF(AND(J1309&lt;&gt;"",J1309&lt;A1309),"⚠ Relance avant la date de l'action",IF(A1309&gt;TODAY(),"⚠ Date dans le futur","✓"))))))))</f>
        <v/>
      </c>
      <c r="AS1309" s="61">
        <f>IF(AND(A1309="",C1309="",E1309=""),"",ROW())</f>
        <v/>
      </c>
      <c r="AT1309" s="61">
        <f>IF(E1309&amp;F1309="","",MAX(IFERROR(INDEX('Paramètres'!$J$6:$J$33,MATCH(E1309,'Paramètres'!$I$6:$I$33,0)),0),IFERROR(INDEX('Paramètres'!$N$6:$N$17,MATCH(F1309,'Paramètres'!$M$6:$M$17,0)),0)))</f>
        <v/>
      </c>
      <c r="AU1309" s="61">
        <f>IF(E1309="","",IFERROR(IF(INDEX('Paramètres'!$K$6:$K$33,MATCH(E1309,'Paramètres'!$I$6:$I$33,0))="Oui",1,0),0))</f>
        <v/>
      </c>
      <c r="AV1309" s="61">
        <f>IF(F1309="","",IFERROR(IF(INDEX('Paramètres'!$O$6:$O$17,MATCH(F1309,'Paramètres'!$M$6:$M$17,0))="Oui",1,0),0))</f>
        <v/>
      </c>
      <c r="AW1309" s="62">
        <f>IF(E1309="","",IF(G1309&lt;&gt;"",G1309,IF(OR(E1309="Proposition envoyée",E1309="Signature"),MAX(0,N(IFERROR(INDEX('Paramètres'!$R$6:$R$15,MATCH(IF(AL1309&lt;&gt;"",AL1309,IFERROR(INDEX('Prospects'!$AN$5:$AN$504,MATCH(C1309,'Prospects'!$C$5:$C$504,0)),"")),'Paramètres'!$Q$6:$Q$15,0)),0))-N(P1309)),0)))</f>
        <v/>
      </c>
      <c r="AX1309" s="61">
        <f>IF(C1309="","",IF(COUNTIF($C$5:C1309,C1309)=1,MAX($AX$4:AX1308)+1,""))</f>
        <v/>
      </c>
      <c r="AY1309" s="61">
        <f>IF(B1309="","",HOUR(B1309))</f>
        <v/>
      </c>
      <c r="AZ1309" s="61">
        <f>IF(A1309="","",MOD(A1309-2,7)+1)</f>
        <v/>
      </c>
      <c r="BA1309" s="60">
        <f>IF(C1309="","",IFERROR(INDEX('Prospects'!$N$5:$N$504,MATCH(C1309,'Prospects'!$C$5:$C$504,0)),""))</f>
        <v/>
      </c>
      <c r="BB1309" s="61">
        <f>IF(AND(C1309&lt;&gt;"",C1309='Fiche prospect'!$C$4),COUNTIF($C$5:C1309,C1309),"")</f>
        <v/>
      </c>
    </row>
    <row r="1310">
      <c r="A1310" s="53" t="n"/>
      <c r="B1310" s="54" t="n"/>
      <c r="C1310" s="55" t="n"/>
      <c r="D1310" s="55" t="n"/>
      <c r="E1310" s="55" t="n"/>
      <c r="F1310" s="55" t="n"/>
      <c r="G1310" s="56" t="n"/>
      <c r="H1310" s="57" t="n"/>
      <c r="I1310" s="55" t="n"/>
      <c r="J1310" s="53" t="n"/>
      <c r="K1310" s="54" t="n"/>
      <c r="L1310" s="55" t="n"/>
      <c r="M1310" s="55" t="n"/>
      <c r="N1310" s="57" t="n"/>
      <c r="O1310" s="55" t="n"/>
      <c r="P1310" s="56" t="n"/>
      <c r="Q1310" s="55" t="n"/>
      <c r="R1310" s="55" t="n"/>
      <c r="S1310" s="55" t="n"/>
      <c r="T1310" s="55" t="n"/>
      <c r="U1310" s="55" t="n"/>
      <c r="V1310" s="55" t="n"/>
      <c r="W1310" s="58" t="n"/>
      <c r="X1310" s="58" t="n"/>
      <c r="Y1310" s="55" t="n"/>
      <c r="Z1310" s="55" t="n"/>
      <c r="AA1310" s="55" t="n"/>
      <c r="AB1310" s="55" t="n"/>
      <c r="AC1310" s="55" t="n"/>
      <c r="AD1310" s="53" t="n"/>
      <c r="AE1310" s="55" t="n"/>
      <c r="AF1310" s="55" t="n"/>
      <c r="AG1310" s="59" t="n"/>
      <c r="AH1310" s="57" t="n"/>
      <c r="AI1310" s="55" t="n"/>
      <c r="AJ1310" s="55" t="n"/>
      <c r="AK1310" s="55" t="n"/>
      <c r="AL1310" s="55" t="n"/>
      <c r="AM1310" s="56" t="n"/>
      <c r="AN1310" s="55" t="n"/>
      <c r="AO1310" s="55" t="n"/>
      <c r="AP1310" s="55" t="n"/>
      <c r="AQ1310" s="55" t="n"/>
      <c r="AR1310" s="60">
        <f>IF(AND(C1310="",E1310=""),"",IF(A1310="","⚠ Date manquante",IF(AND(C1310="",E1310&lt;&gt;"Dépense"),"⚠ Prospect manquant",IF(E1310="","⚠ Action manquante",IF(AND(AU1310=1,D1310=""),"⚠ Canal manquant",IF(AND(W1310&lt;&gt;"",COUNTIFS('Saisie'!$W$5:$W$2004,W1310,'Saisie'!$C$5:$C$2004,"&lt;&gt;"&amp;C1310)&gt;0),"⚠ Numéro déjà utilisé par un autre prospect",IF(AND(J1310&lt;&gt;"",J1310&lt;A1310),"⚠ Relance avant la date de l'action",IF(A1310&gt;TODAY(),"⚠ Date dans le futur","✓"))))))))</f>
        <v/>
      </c>
      <c r="AS1310" s="61">
        <f>IF(AND(A1310="",C1310="",E1310=""),"",ROW())</f>
        <v/>
      </c>
      <c r="AT1310" s="61">
        <f>IF(E1310&amp;F1310="","",MAX(IFERROR(INDEX('Paramètres'!$J$6:$J$33,MATCH(E1310,'Paramètres'!$I$6:$I$33,0)),0),IFERROR(INDEX('Paramètres'!$N$6:$N$17,MATCH(F1310,'Paramètres'!$M$6:$M$17,0)),0)))</f>
        <v/>
      </c>
      <c r="AU1310" s="61">
        <f>IF(E1310="","",IFERROR(IF(INDEX('Paramètres'!$K$6:$K$33,MATCH(E1310,'Paramètres'!$I$6:$I$33,0))="Oui",1,0),0))</f>
        <v/>
      </c>
      <c r="AV1310" s="61">
        <f>IF(F1310="","",IFERROR(IF(INDEX('Paramètres'!$O$6:$O$17,MATCH(F1310,'Paramètres'!$M$6:$M$17,0))="Oui",1,0),0))</f>
        <v/>
      </c>
      <c r="AW1310" s="62">
        <f>IF(E1310="","",IF(G1310&lt;&gt;"",G1310,IF(OR(E1310="Proposition envoyée",E1310="Signature"),MAX(0,N(IFERROR(INDEX('Paramètres'!$R$6:$R$15,MATCH(IF(AL1310&lt;&gt;"",AL1310,IFERROR(INDEX('Prospects'!$AN$5:$AN$504,MATCH(C1310,'Prospects'!$C$5:$C$504,0)),"")),'Paramètres'!$Q$6:$Q$15,0)),0))-N(P1310)),0)))</f>
        <v/>
      </c>
      <c r="AX1310" s="61">
        <f>IF(C1310="","",IF(COUNTIF($C$5:C1310,C1310)=1,MAX($AX$4:AX1309)+1,""))</f>
        <v/>
      </c>
      <c r="AY1310" s="61">
        <f>IF(B1310="","",HOUR(B1310))</f>
        <v/>
      </c>
      <c r="AZ1310" s="61">
        <f>IF(A1310="","",MOD(A1310-2,7)+1)</f>
        <v/>
      </c>
      <c r="BA1310" s="60">
        <f>IF(C1310="","",IFERROR(INDEX('Prospects'!$N$5:$N$504,MATCH(C1310,'Prospects'!$C$5:$C$504,0)),""))</f>
        <v/>
      </c>
      <c r="BB1310" s="61">
        <f>IF(AND(C1310&lt;&gt;"",C1310='Fiche prospect'!$C$4),COUNTIF($C$5:C1310,C1310),"")</f>
        <v/>
      </c>
    </row>
    <row r="1311">
      <c r="A1311" s="53" t="n"/>
      <c r="B1311" s="54" t="n"/>
      <c r="C1311" s="55" t="n"/>
      <c r="D1311" s="55" t="n"/>
      <c r="E1311" s="55" t="n"/>
      <c r="F1311" s="55" t="n"/>
      <c r="G1311" s="56" t="n"/>
      <c r="H1311" s="57" t="n"/>
      <c r="I1311" s="55" t="n"/>
      <c r="J1311" s="53" t="n"/>
      <c r="K1311" s="54" t="n"/>
      <c r="L1311" s="55" t="n"/>
      <c r="M1311" s="55" t="n"/>
      <c r="N1311" s="57" t="n"/>
      <c r="O1311" s="55" t="n"/>
      <c r="P1311" s="56" t="n"/>
      <c r="Q1311" s="55" t="n"/>
      <c r="R1311" s="55" t="n"/>
      <c r="S1311" s="55" t="n"/>
      <c r="T1311" s="55" t="n"/>
      <c r="U1311" s="55" t="n"/>
      <c r="V1311" s="55" t="n"/>
      <c r="W1311" s="58" t="n"/>
      <c r="X1311" s="58" t="n"/>
      <c r="Y1311" s="55" t="n"/>
      <c r="Z1311" s="55" t="n"/>
      <c r="AA1311" s="55" t="n"/>
      <c r="AB1311" s="55" t="n"/>
      <c r="AC1311" s="55" t="n"/>
      <c r="AD1311" s="53" t="n"/>
      <c r="AE1311" s="55" t="n"/>
      <c r="AF1311" s="55" t="n"/>
      <c r="AG1311" s="59" t="n"/>
      <c r="AH1311" s="57" t="n"/>
      <c r="AI1311" s="55" t="n"/>
      <c r="AJ1311" s="55" t="n"/>
      <c r="AK1311" s="55" t="n"/>
      <c r="AL1311" s="55" t="n"/>
      <c r="AM1311" s="56" t="n"/>
      <c r="AN1311" s="55" t="n"/>
      <c r="AO1311" s="55" t="n"/>
      <c r="AP1311" s="55" t="n"/>
      <c r="AQ1311" s="55" t="n"/>
      <c r="AR1311" s="60">
        <f>IF(AND(C1311="",E1311=""),"",IF(A1311="","⚠ Date manquante",IF(AND(C1311="",E1311&lt;&gt;"Dépense"),"⚠ Prospect manquant",IF(E1311="","⚠ Action manquante",IF(AND(AU1311=1,D1311=""),"⚠ Canal manquant",IF(AND(W1311&lt;&gt;"",COUNTIFS('Saisie'!$W$5:$W$2004,W1311,'Saisie'!$C$5:$C$2004,"&lt;&gt;"&amp;C1311)&gt;0),"⚠ Numéro déjà utilisé par un autre prospect",IF(AND(J1311&lt;&gt;"",J1311&lt;A1311),"⚠ Relance avant la date de l'action",IF(A1311&gt;TODAY(),"⚠ Date dans le futur","✓"))))))))</f>
        <v/>
      </c>
      <c r="AS1311" s="61">
        <f>IF(AND(A1311="",C1311="",E1311=""),"",ROW())</f>
        <v/>
      </c>
      <c r="AT1311" s="61">
        <f>IF(E1311&amp;F1311="","",MAX(IFERROR(INDEX('Paramètres'!$J$6:$J$33,MATCH(E1311,'Paramètres'!$I$6:$I$33,0)),0),IFERROR(INDEX('Paramètres'!$N$6:$N$17,MATCH(F1311,'Paramètres'!$M$6:$M$17,0)),0)))</f>
        <v/>
      </c>
      <c r="AU1311" s="61">
        <f>IF(E1311="","",IFERROR(IF(INDEX('Paramètres'!$K$6:$K$33,MATCH(E1311,'Paramètres'!$I$6:$I$33,0))="Oui",1,0),0))</f>
        <v/>
      </c>
      <c r="AV1311" s="61">
        <f>IF(F1311="","",IFERROR(IF(INDEX('Paramètres'!$O$6:$O$17,MATCH(F1311,'Paramètres'!$M$6:$M$17,0))="Oui",1,0),0))</f>
        <v/>
      </c>
      <c r="AW1311" s="62">
        <f>IF(E1311="","",IF(G1311&lt;&gt;"",G1311,IF(OR(E1311="Proposition envoyée",E1311="Signature"),MAX(0,N(IFERROR(INDEX('Paramètres'!$R$6:$R$15,MATCH(IF(AL1311&lt;&gt;"",AL1311,IFERROR(INDEX('Prospects'!$AN$5:$AN$504,MATCH(C1311,'Prospects'!$C$5:$C$504,0)),"")),'Paramètres'!$Q$6:$Q$15,0)),0))-N(P1311)),0)))</f>
        <v/>
      </c>
      <c r="AX1311" s="61">
        <f>IF(C1311="","",IF(COUNTIF($C$5:C1311,C1311)=1,MAX($AX$4:AX1310)+1,""))</f>
        <v/>
      </c>
      <c r="AY1311" s="61">
        <f>IF(B1311="","",HOUR(B1311))</f>
        <v/>
      </c>
      <c r="AZ1311" s="61">
        <f>IF(A1311="","",MOD(A1311-2,7)+1)</f>
        <v/>
      </c>
      <c r="BA1311" s="60">
        <f>IF(C1311="","",IFERROR(INDEX('Prospects'!$N$5:$N$504,MATCH(C1311,'Prospects'!$C$5:$C$504,0)),""))</f>
        <v/>
      </c>
      <c r="BB1311" s="61">
        <f>IF(AND(C1311&lt;&gt;"",C1311='Fiche prospect'!$C$4),COUNTIF($C$5:C1311,C1311),"")</f>
        <v/>
      </c>
    </row>
    <row r="1312">
      <c r="A1312" s="53" t="n"/>
      <c r="B1312" s="54" t="n"/>
      <c r="C1312" s="55" t="n"/>
      <c r="D1312" s="55" t="n"/>
      <c r="E1312" s="55" t="n"/>
      <c r="F1312" s="55" t="n"/>
      <c r="G1312" s="56" t="n"/>
      <c r="H1312" s="57" t="n"/>
      <c r="I1312" s="55" t="n"/>
      <c r="J1312" s="53" t="n"/>
      <c r="K1312" s="54" t="n"/>
      <c r="L1312" s="55" t="n"/>
      <c r="M1312" s="55" t="n"/>
      <c r="N1312" s="57" t="n"/>
      <c r="O1312" s="55" t="n"/>
      <c r="P1312" s="56" t="n"/>
      <c r="Q1312" s="55" t="n"/>
      <c r="R1312" s="55" t="n"/>
      <c r="S1312" s="55" t="n"/>
      <c r="T1312" s="55" t="n"/>
      <c r="U1312" s="55" t="n"/>
      <c r="V1312" s="55" t="n"/>
      <c r="W1312" s="58" t="n"/>
      <c r="X1312" s="58" t="n"/>
      <c r="Y1312" s="55" t="n"/>
      <c r="Z1312" s="55" t="n"/>
      <c r="AA1312" s="55" t="n"/>
      <c r="AB1312" s="55" t="n"/>
      <c r="AC1312" s="55" t="n"/>
      <c r="AD1312" s="53" t="n"/>
      <c r="AE1312" s="55" t="n"/>
      <c r="AF1312" s="55" t="n"/>
      <c r="AG1312" s="59" t="n"/>
      <c r="AH1312" s="57" t="n"/>
      <c r="AI1312" s="55" t="n"/>
      <c r="AJ1312" s="55" t="n"/>
      <c r="AK1312" s="55" t="n"/>
      <c r="AL1312" s="55" t="n"/>
      <c r="AM1312" s="56" t="n"/>
      <c r="AN1312" s="55" t="n"/>
      <c r="AO1312" s="55" t="n"/>
      <c r="AP1312" s="55" t="n"/>
      <c r="AQ1312" s="55" t="n"/>
      <c r="AR1312" s="60">
        <f>IF(AND(C1312="",E1312=""),"",IF(A1312="","⚠ Date manquante",IF(AND(C1312="",E1312&lt;&gt;"Dépense"),"⚠ Prospect manquant",IF(E1312="","⚠ Action manquante",IF(AND(AU1312=1,D1312=""),"⚠ Canal manquant",IF(AND(W1312&lt;&gt;"",COUNTIFS('Saisie'!$W$5:$W$2004,W1312,'Saisie'!$C$5:$C$2004,"&lt;&gt;"&amp;C1312)&gt;0),"⚠ Numéro déjà utilisé par un autre prospect",IF(AND(J1312&lt;&gt;"",J1312&lt;A1312),"⚠ Relance avant la date de l'action",IF(A1312&gt;TODAY(),"⚠ Date dans le futur","✓"))))))))</f>
        <v/>
      </c>
      <c r="AS1312" s="61">
        <f>IF(AND(A1312="",C1312="",E1312=""),"",ROW())</f>
        <v/>
      </c>
      <c r="AT1312" s="61">
        <f>IF(E1312&amp;F1312="","",MAX(IFERROR(INDEX('Paramètres'!$J$6:$J$33,MATCH(E1312,'Paramètres'!$I$6:$I$33,0)),0),IFERROR(INDEX('Paramètres'!$N$6:$N$17,MATCH(F1312,'Paramètres'!$M$6:$M$17,0)),0)))</f>
        <v/>
      </c>
      <c r="AU1312" s="61">
        <f>IF(E1312="","",IFERROR(IF(INDEX('Paramètres'!$K$6:$K$33,MATCH(E1312,'Paramètres'!$I$6:$I$33,0))="Oui",1,0),0))</f>
        <v/>
      </c>
      <c r="AV1312" s="61">
        <f>IF(F1312="","",IFERROR(IF(INDEX('Paramètres'!$O$6:$O$17,MATCH(F1312,'Paramètres'!$M$6:$M$17,0))="Oui",1,0),0))</f>
        <v/>
      </c>
      <c r="AW1312" s="62">
        <f>IF(E1312="","",IF(G1312&lt;&gt;"",G1312,IF(OR(E1312="Proposition envoyée",E1312="Signature"),MAX(0,N(IFERROR(INDEX('Paramètres'!$R$6:$R$15,MATCH(IF(AL1312&lt;&gt;"",AL1312,IFERROR(INDEX('Prospects'!$AN$5:$AN$504,MATCH(C1312,'Prospects'!$C$5:$C$504,0)),"")),'Paramètres'!$Q$6:$Q$15,0)),0))-N(P1312)),0)))</f>
        <v/>
      </c>
      <c r="AX1312" s="61">
        <f>IF(C1312="","",IF(COUNTIF($C$5:C1312,C1312)=1,MAX($AX$4:AX1311)+1,""))</f>
        <v/>
      </c>
      <c r="AY1312" s="61">
        <f>IF(B1312="","",HOUR(B1312))</f>
        <v/>
      </c>
      <c r="AZ1312" s="61">
        <f>IF(A1312="","",MOD(A1312-2,7)+1)</f>
        <v/>
      </c>
      <c r="BA1312" s="60">
        <f>IF(C1312="","",IFERROR(INDEX('Prospects'!$N$5:$N$504,MATCH(C1312,'Prospects'!$C$5:$C$504,0)),""))</f>
        <v/>
      </c>
      <c r="BB1312" s="61">
        <f>IF(AND(C1312&lt;&gt;"",C1312='Fiche prospect'!$C$4),COUNTIF($C$5:C1312,C1312),"")</f>
        <v/>
      </c>
    </row>
    <row r="1313">
      <c r="A1313" s="53" t="n"/>
      <c r="B1313" s="54" t="n"/>
      <c r="C1313" s="55" t="n"/>
      <c r="D1313" s="55" t="n"/>
      <c r="E1313" s="55" t="n"/>
      <c r="F1313" s="55" t="n"/>
      <c r="G1313" s="56" t="n"/>
      <c r="H1313" s="57" t="n"/>
      <c r="I1313" s="55" t="n"/>
      <c r="J1313" s="53" t="n"/>
      <c r="K1313" s="54" t="n"/>
      <c r="L1313" s="55" t="n"/>
      <c r="M1313" s="55" t="n"/>
      <c r="N1313" s="57" t="n"/>
      <c r="O1313" s="55" t="n"/>
      <c r="P1313" s="56" t="n"/>
      <c r="Q1313" s="55" t="n"/>
      <c r="R1313" s="55" t="n"/>
      <c r="S1313" s="55" t="n"/>
      <c r="T1313" s="55" t="n"/>
      <c r="U1313" s="55" t="n"/>
      <c r="V1313" s="55" t="n"/>
      <c r="W1313" s="58" t="n"/>
      <c r="X1313" s="58" t="n"/>
      <c r="Y1313" s="55" t="n"/>
      <c r="Z1313" s="55" t="n"/>
      <c r="AA1313" s="55" t="n"/>
      <c r="AB1313" s="55" t="n"/>
      <c r="AC1313" s="55" t="n"/>
      <c r="AD1313" s="53" t="n"/>
      <c r="AE1313" s="55" t="n"/>
      <c r="AF1313" s="55" t="n"/>
      <c r="AG1313" s="59" t="n"/>
      <c r="AH1313" s="57" t="n"/>
      <c r="AI1313" s="55" t="n"/>
      <c r="AJ1313" s="55" t="n"/>
      <c r="AK1313" s="55" t="n"/>
      <c r="AL1313" s="55" t="n"/>
      <c r="AM1313" s="56" t="n"/>
      <c r="AN1313" s="55" t="n"/>
      <c r="AO1313" s="55" t="n"/>
      <c r="AP1313" s="55" t="n"/>
      <c r="AQ1313" s="55" t="n"/>
      <c r="AR1313" s="60">
        <f>IF(AND(C1313="",E1313=""),"",IF(A1313="","⚠ Date manquante",IF(AND(C1313="",E1313&lt;&gt;"Dépense"),"⚠ Prospect manquant",IF(E1313="","⚠ Action manquante",IF(AND(AU1313=1,D1313=""),"⚠ Canal manquant",IF(AND(W1313&lt;&gt;"",COUNTIFS('Saisie'!$W$5:$W$2004,W1313,'Saisie'!$C$5:$C$2004,"&lt;&gt;"&amp;C1313)&gt;0),"⚠ Numéro déjà utilisé par un autre prospect",IF(AND(J1313&lt;&gt;"",J1313&lt;A1313),"⚠ Relance avant la date de l'action",IF(A1313&gt;TODAY(),"⚠ Date dans le futur","✓"))))))))</f>
        <v/>
      </c>
      <c r="AS1313" s="61">
        <f>IF(AND(A1313="",C1313="",E1313=""),"",ROW())</f>
        <v/>
      </c>
      <c r="AT1313" s="61">
        <f>IF(E1313&amp;F1313="","",MAX(IFERROR(INDEX('Paramètres'!$J$6:$J$33,MATCH(E1313,'Paramètres'!$I$6:$I$33,0)),0),IFERROR(INDEX('Paramètres'!$N$6:$N$17,MATCH(F1313,'Paramètres'!$M$6:$M$17,0)),0)))</f>
        <v/>
      </c>
      <c r="AU1313" s="61">
        <f>IF(E1313="","",IFERROR(IF(INDEX('Paramètres'!$K$6:$K$33,MATCH(E1313,'Paramètres'!$I$6:$I$33,0))="Oui",1,0),0))</f>
        <v/>
      </c>
      <c r="AV1313" s="61">
        <f>IF(F1313="","",IFERROR(IF(INDEX('Paramètres'!$O$6:$O$17,MATCH(F1313,'Paramètres'!$M$6:$M$17,0))="Oui",1,0),0))</f>
        <v/>
      </c>
      <c r="AW1313" s="62">
        <f>IF(E1313="","",IF(G1313&lt;&gt;"",G1313,IF(OR(E1313="Proposition envoyée",E1313="Signature"),MAX(0,N(IFERROR(INDEX('Paramètres'!$R$6:$R$15,MATCH(IF(AL1313&lt;&gt;"",AL1313,IFERROR(INDEX('Prospects'!$AN$5:$AN$504,MATCH(C1313,'Prospects'!$C$5:$C$504,0)),"")),'Paramètres'!$Q$6:$Q$15,0)),0))-N(P1313)),0)))</f>
        <v/>
      </c>
      <c r="AX1313" s="61">
        <f>IF(C1313="","",IF(COUNTIF($C$5:C1313,C1313)=1,MAX($AX$4:AX1312)+1,""))</f>
        <v/>
      </c>
      <c r="AY1313" s="61">
        <f>IF(B1313="","",HOUR(B1313))</f>
        <v/>
      </c>
      <c r="AZ1313" s="61">
        <f>IF(A1313="","",MOD(A1313-2,7)+1)</f>
        <v/>
      </c>
      <c r="BA1313" s="60">
        <f>IF(C1313="","",IFERROR(INDEX('Prospects'!$N$5:$N$504,MATCH(C1313,'Prospects'!$C$5:$C$504,0)),""))</f>
        <v/>
      </c>
      <c r="BB1313" s="61">
        <f>IF(AND(C1313&lt;&gt;"",C1313='Fiche prospect'!$C$4),COUNTIF($C$5:C1313,C1313),"")</f>
        <v/>
      </c>
    </row>
    <row r="1314">
      <c r="A1314" s="53" t="n"/>
      <c r="B1314" s="54" t="n"/>
      <c r="C1314" s="55" t="n"/>
      <c r="D1314" s="55" t="n"/>
      <c r="E1314" s="55" t="n"/>
      <c r="F1314" s="55" t="n"/>
      <c r="G1314" s="56" t="n"/>
      <c r="H1314" s="57" t="n"/>
      <c r="I1314" s="55" t="n"/>
      <c r="J1314" s="53" t="n"/>
      <c r="K1314" s="54" t="n"/>
      <c r="L1314" s="55" t="n"/>
      <c r="M1314" s="55" t="n"/>
      <c r="N1314" s="57" t="n"/>
      <c r="O1314" s="55" t="n"/>
      <c r="P1314" s="56" t="n"/>
      <c r="Q1314" s="55" t="n"/>
      <c r="R1314" s="55" t="n"/>
      <c r="S1314" s="55" t="n"/>
      <c r="T1314" s="55" t="n"/>
      <c r="U1314" s="55" t="n"/>
      <c r="V1314" s="55" t="n"/>
      <c r="W1314" s="58" t="n"/>
      <c r="X1314" s="58" t="n"/>
      <c r="Y1314" s="55" t="n"/>
      <c r="Z1314" s="55" t="n"/>
      <c r="AA1314" s="55" t="n"/>
      <c r="AB1314" s="55" t="n"/>
      <c r="AC1314" s="55" t="n"/>
      <c r="AD1314" s="53" t="n"/>
      <c r="AE1314" s="55" t="n"/>
      <c r="AF1314" s="55" t="n"/>
      <c r="AG1314" s="59" t="n"/>
      <c r="AH1314" s="57" t="n"/>
      <c r="AI1314" s="55" t="n"/>
      <c r="AJ1314" s="55" t="n"/>
      <c r="AK1314" s="55" t="n"/>
      <c r="AL1314" s="55" t="n"/>
      <c r="AM1314" s="56" t="n"/>
      <c r="AN1314" s="55" t="n"/>
      <c r="AO1314" s="55" t="n"/>
      <c r="AP1314" s="55" t="n"/>
      <c r="AQ1314" s="55" t="n"/>
      <c r="AR1314" s="60">
        <f>IF(AND(C1314="",E1314=""),"",IF(A1314="","⚠ Date manquante",IF(AND(C1314="",E1314&lt;&gt;"Dépense"),"⚠ Prospect manquant",IF(E1314="","⚠ Action manquante",IF(AND(AU1314=1,D1314=""),"⚠ Canal manquant",IF(AND(W1314&lt;&gt;"",COUNTIFS('Saisie'!$W$5:$W$2004,W1314,'Saisie'!$C$5:$C$2004,"&lt;&gt;"&amp;C1314)&gt;0),"⚠ Numéro déjà utilisé par un autre prospect",IF(AND(J1314&lt;&gt;"",J1314&lt;A1314),"⚠ Relance avant la date de l'action",IF(A1314&gt;TODAY(),"⚠ Date dans le futur","✓"))))))))</f>
        <v/>
      </c>
      <c r="AS1314" s="61">
        <f>IF(AND(A1314="",C1314="",E1314=""),"",ROW())</f>
        <v/>
      </c>
      <c r="AT1314" s="61">
        <f>IF(E1314&amp;F1314="","",MAX(IFERROR(INDEX('Paramètres'!$J$6:$J$33,MATCH(E1314,'Paramètres'!$I$6:$I$33,0)),0),IFERROR(INDEX('Paramètres'!$N$6:$N$17,MATCH(F1314,'Paramètres'!$M$6:$M$17,0)),0)))</f>
        <v/>
      </c>
      <c r="AU1314" s="61">
        <f>IF(E1314="","",IFERROR(IF(INDEX('Paramètres'!$K$6:$K$33,MATCH(E1314,'Paramètres'!$I$6:$I$33,0))="Oui",1,0),0))</f>
        <v/>
      </c>
      <c r="AV1314" s="61">
        <f>IF(F1314="","",IFERROR(IF(INDEX('Paramètres'!$O$6:$O$17,MATCH(F1314,'Paramètres'!$M$6:$M$17,0))="Oui",1,0),0))</f>
        <v/>
      </c>
      <c r="AW1314" s="62">
        <f>IF(E1314="","",IF(G1314&lt;&gt;"",G1314,IF(OR(E1314="Proposition envoyée",E1314="Signature"),MAX(0,N(IFERROR(INDEX('Paramètres'!$R$6:$R$15,MATCH(IF(AL1314&lt;&gt;"",AL1314,IFERROR(INDEX('Prospects'!$AN$5:$AN$504,MATCH(C1314,'Prospects'!$C$5:$C$504,0)),"")),'Paramètres'!$Q$6:$Q$15,0)),0))-N(P1314)),0)))</f>
        <v/>
      </c>
      <c r="AX1314" s="61">
        <f>IF(C1314="","",IF(COUNTIF($C$5:C1314,C1314)=1,MAX($AX$4:AX1313)+1,""))</f>
        <v/>
      </c>
      <c r="AY1314" s="61">
        <f>IF(B1314="","",HOUR(B1314))</f>
        <v/>
      </c>
      <c r="AZ1314" s="61">
        <f>IF(A1314="","",MOD(A1314-2,7)+1)</f>
        <v/>
      </c>
      <c r="BA1314" s="60">
        <f>IF(C1314="","",IFERROR(INDEX('Prospects'!$N$5:$N$504,MATCH(C1314,'Prospects'!$C$5:$C$504,0)),""))</f>
        <v/>
      </c>
      <c r="BB1314" s="61">
        <f>IF(AND(C1314&lt;&gt;"",C1314='Fiche prospect'!$C$4),COUNTIF($C$5:C1314,C1314),"")</f>
        <v/>
      </c>
    </row>
    <row r="1315">
      <c r="A1315" s="53" t="n"/>
      <c r="B1315" s="54" t="n"/>
      <c r="C1315" s="55" t="n"/>
      <c r="D1315" s="55" t="n"/>
      <c r="E1315" s="55" t="n"/>
      <c r="F1315" s="55" t="n"/>
      <c r="G1315" s="56" t="n"/>
      <c r="H1315" s="57" t="n"/>
      <c r="I1315" s="55" t="n"/>
      <c r="J1315" s="53" t="n"/>
      <c r="K1315" s="54" t="n"/>
      <c r="L1315" s="55" t="n"/>
      <c r="M1315" s="55" t="n"/>
      <c r="N1315" s="57" t="n"/>
      <c r="O1315" s="55" t="n"/>
      <c r="P1315" s="56" t="n"/>
      <c r="Q1315" s="55" t="n"/>
      <c r="R1315" s="55" t="n"/>
      <c r="S1315" s="55" t="n"/>
      <c r="T1315" s="55" t="n"/>
      <c r="U1315" s="55" t="n"/>
      <c r="V1315" s="55" t="n"/>
      <c r="W1315" s="58" t="n"/>
      <c r="X1315" s="58" t="n"/>
      <c r="Y1315" s="55" t="n"/>
      <c r="Z1315" s="55" t="n"/>
      <c r="AA1315" s="55" t="n"/>
      <c r="AB1315" s="55" t="n"/>
      <c r="AC1315" s="55" t="n"/>
      <c r="AD1315" s="53" t="n"/>
      <c r="AE1315" s="55" t="n"/>
      <c r="AF1315" s="55" t="n"/>
      <c r="AG1315" s="59" t="n"/>
      <c r="AH1315" s="57" t="n"/>
      <c r="AI1315" s="55" t="n"/>
      <c r="AJ1315" s="55" t="n"/>
      <c r="AK1315" s="55" t="n"/>
      <c r="AL1315" s="55" t="n"/>
      <c r="AM1315" s="56" t="n"/>
      <c r="AN1315" s="55" t="n"/>
      <c r="AO1315" s="55" t="n"/>
      <c r="AP1315" s="55" t="n"/>
      <c r="AQ1315" s="55" t="n"/>
      <c r="AR1315" s="60">
        <f>IF(AND(C1315="",E1315=""),"",IF(A1315="","⚠ Date manquante",IF(AND(C1315="",E1315&lt;&gt;"Dépense"),"⚠ Prospect manquant",IF(E1315="","⚠ Action manquante",IF(AND(AU1315=1,D1315=""),"⚠ Canal manquant",IF(AND(W1315&lt;&gt;"",COUNTIFS('Saisie'!$W$5:$W$2004,W1315,'Saisie'!$C$5:$C$2004,"&lt;&gt;"&amp;C1315)&gt;0),"⚠ Numéro déjà utilisé par un autre prospect",IF(AND(J1315&lt;&gt;"",J1315&lt;A1315),"⚠ Relance avant la date de l'action",IF(A1315&gt;TODAY(),"⚠ Date dans le futur","✓"))))))))</f>
        <v/>
      </c>
      <c r="AS1315" s="61">
        <f>IF(AND(A1315="",C1315="",E1315=""),"",ROW())</f>
        <v/>
      </c>
      <c r="AT1315" s="61">
        <f>IF(E1315&amp;F1315="","",MAX(IFERROR(INDEX('Paramètres'!$J$6:$J$33,MATCH(E1315,'Paramètres'!$I$6:$I$33,0)),0),IFERROR(INDEX('Paramètres'!$N$6:$N$17,MATCH(F1315,'Paramètres'!$M$6:$M$17,0)),0)))</f>
        <v/>
      </c>
      <c r="AU1315" s="61">
        <f>IF(E1315="","",IFERROR(IF(INDEX('Paramètres'!$K$6:$K$33,MATCH(E1315,'Paramètres'!$I$6:$I$33,0))="Oui",1,0),0))</f>
        <v/>
      </c>
      <c r="AV1315" s="61">
        <f>IF(F1315="","",IFERROR(IF(INDEX('Paramètres'!$O$6:$O$17,MATCH(F1315,'Paramètres'!$M$6:$M$17,0))="Oui",1,0),0))</f>
        <v/>
      </c>
      <c r="AW1315" s="62">
        <f>IF(E1315="","",IF(G1315&lt;&gt;"",G1315,IF(OR(E1315="Proposition envoyée",E1315="Signature"),MAX(0,N(IFERROR(INDEX('Paramètres'!$R$6:$R$15,MATCH(IF(AL1315&lt;&gt;"",AL1315,IFERROR(INDEX('Prospects'!$AN$5:$AN$504,MATCH(C1315,'Prospects'!$C$5:$C$504,0)),"")),'Paramètres'!$Q$6:$Q$15,0)),0))-N(P1315)),0)))</f>
        <v/>
      </c>
      <c r="AX1315" s="61">
        <f>IF(C1315="","",IF(COUNTIF($C$5:C1315,C1315)=1,MAX($AX$4:AX1314)+1,""))</f>
        <v/>
      </c>
      <c r="AY1315" s="61">
        <f>IF(B1315="","",HOUR(B1315))</f>
        <v/>
      </c>
      <c r="AZ1315" s="61">
        <f>IF(A1315="","",MOD(A1315-2,7)+1)</f>
        <v/>
      </c>
      <c r="BA1315" s="60">
        <f>IF(C1315="","",IFERROR(INDEX('Prospects'!$N$5:$N$504,MATCH(C1315,'Prospects'!$C$5:$C$504,0)),""))</f>
        <v/>
      </c>
      <c r="BB1315" s="61">
        <f>IF(AND(C1315&lt;&gt;"",C1315='Fiche prospect'!$C$4),COUNTIF($C$5:C1315,C1315),"")</f>
        <v/>
      </c>
    </row>
    <row r="1316">
      <c r="A1316" s="53" t="n"/>
      <c r="B1316" s="54" t="n"/>
      <c r="C1316" s="55" t="n"/>
      <c r="D1316" s="55" t="n"/>
      <c r="E1316" s="55" t="n"/>
      <c r="F1316" s="55" t="n"/>
      <c r="G1316" s="56" t="n"/>
      <c r="H1316" s="57" t="n"/>
      <c r="I1316" s="55" t="n"/>
      <c r="J1316" s="53" t="n"/>
      <c r="K1316" s="54" t="n"/>
      <c r="L1316" s="55" t="n"/>
      <c r="M1316" s="55" t="n"/>
      <c r="N1316" s="57" t="n"/>
      <c r="O1316" s="55" t="n"/>
      <c r="P1316" s="56" t="n"/>
      <c r="Q1316" s="55" t="n"/>
      <c r="R1316" s="55" t="n"/>
      <c r="S1316" s="55" t="n"/>
      <c r="T1316" s="55" t="n"/>
      <c r="U1316" s="55" t="n"/>
      <c r="V1316" s="55" t="n"/>
      <c r="W1316" s="58" t="n"/>
      <c r="X1316" s="58" t="n"/>
      <c r="Y1316" s="55" t="n"/>
      <c r="Z1316" s="55" t="n"/>
      <c r="AA1316" s="55" t="n"/>
      <c r="AB1316" s="55" t="n"/>
      <c r="AC1316" s="55" t="n"/>
      <c r="AD1316" s="53" t="n"/>
      <c r="AE1316" s="55" t="n"/>
      <c r="AF1316" s="55" t="n"/>
      <c r="AG1316" s="59" t="n"/>
      <c r="AH1316" s="57" t="n"/>
      <c r="AI1316" s="55" t="n"/>
      <c r="AJ1316" s="55" t="n"/>
      <c r="AK1316" s="55" t="n"/>
      <c r="AL1316" s="55" t="n"/>
      <c r="AM1316" s="56" t="n"/>
      <c r="AN1316" s="55" t="n"/>
      <c r="AO1316" s="55" t="n"/>
      <c r="AP1316" s="55" t="n"/>
      <c r="AQ1316" s="55" t="n"/>
      <c r="AR1316" s="60">
        <f>IF(AND(C1316="",E1316=""),"",IF(A1316="","⚠ Date manquante",IF(AND(C1316="",E1316&lt;&gt;"Dépense"),"⚠ Prospect manquant",IF(E1316="","⚠ Action manquante",IF(AND(AU1316=1,D1316=""),"⚠ Canal manquant",IF(AND(W1316&lt;&gt;"",COUNTIFS('Saisie'!$W$5:$W$2004,W1316,'Saisie'!$C$5:$C$2004,"&lt;&gt;"&amp;C1316)&gt;0),"⚠ Numéro déjà utilisé par un autre prospect",IF(AND(J1316&lt;&gt;"",J1316&lt;A1316),"⚠ Relance avant la date de l'action",IF(A1316&gt;TODAY(),"⚠ Date dans le futur","✓"))))))))</f>
        <v/>
      </c>
      <c r="AS1316" s="61">
        <f>IF(AND(A1316="",C1316="",E1316=""),"",ROW())</f>
        <v/>
      </c>
      <c r="AT1316" s="61">
        <f>IF(E1316&amp;F1316="","",MAX(IFERROR(INDEX('Paramètres'!$J$6:$J$33,MATCH(E1316,'Paramètres'!$I$6:$I$33,0)),0),IFERROR(INDEX('Paramètres'!$N$6:$N$17,MATCH(F1316,'Paramètres'!$M$6:$M$17,0)),0)))</f>
        <v/>
      </c>
      <c r="AU1316" s="61">
        <f>IF(E1316="","",IFERROR(IF(INDEX('Paramètres'!$K$6:$K$33,MATCH(E1316,'Paramètres'!$I$6:$I$33,0))="Oui",1,0),0))</f>
        <v/>
      </c>
      <c r="AV1316" s="61">
        <f>IF(F1316="","",IFERROR(IF(INDEX('Paramètres'!$O$6:$O$17,MATCH(F1316,'Paramètres'!$M$6:$M$17,0))="Oui",1,0),0))</f>
        <v/>
      </c>
      <c r="AW1316" s="62">
        <f>IF(E1316="","",IF(G1316&lt;&gt;"",G1316,IF(OR(E1316="Proposition envoyée",E1316="Signature"),MAX(0,N(IFERROR(INDEX('Paramètres'!$R$6:$R$15,MATCH(IF(AL1316&lt;&gt;"",AL1316,IFERROR(INDEX('Prospects'!$AN$5:$AN$504,MATCH(C1316,'Prospects'!$C$5:$C$504,0)),"")),'Paramètres'!$Q$6:$Q$15,0)),0))-N(P1316)),0)))</f>
        <v/>
      </c>
      <c r="AX1316" s="61">
        <f>IF(C1316="","",IF(COUNTIF($C$5:C1316,C1316)=1,MAX($AX$4:AX1315)+1,""))</f>
        <v/>
      </c>
      <c r="AY1316" s="61">
        <f>IF(B1316="","",HOUR(B1316))</f>
        <v/>
      </c>
      <c r="AZ1316" s="61">
        <f>IF(A1316="","",MOD(A1316-2,7)+1)</f>
        <v/>
      </c>
      <c r="BA1316" s="60">
        <f>IF(C1316="","",IFERROR(INDEX('Prospects'!$N$5:$N$504,MATCH(C1316,'Prospects'!$C$5:$C$504,0)),""))</f>
        <v/>
      </c>
      <c r="BB1316" s="61">
        <f>IF(AND(C1316&lt;&gt;"",C1316='Fiche prospect'!$C$4),COUNTIF($C$5:C1316,C1316),"")</f>
        <v/>
      </c>
    </row>
    <row r="1317">
      <c r="A1317" s="53" t="n"/>
      <c r="B1317" s="54" t="n"/>
      <c r="C1317" s="55" t="n"/>
      <c r="D1317" s="55" t="n"/>
      <c r="E1317" s="55" t="n"/>
      <c r="F1317" s="55" t="n"/>
      <c r="G1317" s="56" t="n"/>
      <c r="H1317" s="57" t="n"/>
      <c r="I1317" s="55" t="n"/>
      <c r="J1317" s="53" t="n"/>
      <c r="K1317" s="54" t="n"/>
      <c r="L1317" s="55" t="n"/>
      <c r="M1317" s="55" t="n"/>
      <c r="N1317" s="57" t="n"/>
      <c r="O1317" s="55" t="n"/>
      <c r="P1317" s="56" t="n"/>
      <c r="Q1317" s="55" t="n"/>
      <c r="R1317" s="55" t="n"/>
      <c r="S1317" s="55" t="n"/>
      <c r="T1317" s="55" t="n"/>
      <c r="U1317" s="55" t="n"/>
      <c r="V1317" s="55" t="n"/>
      <c r="W1317" s="58" t="n"/>
      <c r="X1317" s="58" t="n"/>
      <c r="Y1317" s="55" t="n"/>
      <c r="Z1317" s="55" t="n"/>
      <c r="AA1317" s="55" t="n"/>
      <c r="AB1317" s="55" t="n"/>
      <c r="AC1317" s="55" t="n"/>
      <c r="AD1317" s="53" t="n"/>
      <c r="AE1317" s="55" t="n"/>
      <c r="AF1317" s="55" t="n"/>
      <c r="AG1317" s="59" t="n"/>
      <c r="AH1317" s="57" t="n"/>
      <c r="AI1317" s="55" t="n"/>
      <c r="AJ1317" s="55" t="n"/>
      <c r="AK1317" s="55" t="n"/>
      <c r="AL1317" s="55" t="n"/>
      <c r="AM1317" s="56" t="n"/>
      <c r="AN1317" s="55" t="n"/>
      <c r="AO1317" s="55" t="n"/>
      <c r="AP1317" s="55" t="n"/>
      <c r="AQ1317" s="55" t="n"/>
      <c r="AR1317" s="60">
        <f>IF(AND(C1317="",E1317=""),"",IF(A1317="","⚠ Date manquante",IF(AND(C1317="",E1317&lt;&gt;"Dépense"),"⚠ Prospect manquant",IF(E1317="","⚠ Action manquante",IF(AND(AU1317=1,D1317=""),"⚠ Canal manquant",IF(AND(W1317&lt;&gt;"",COUNTIFS('Saisie'!$W$5:$W$2004,W1317,'Saisie'!$C$5:$C$2004,"&lt;&gt;"&amp;C1317)&gt;0),"⚠ Numéro déjà utilisé par un autre prospect",IF(AND(J1317&lt;&gt;"",J1317&lt;A1317),"⚠ Relance avant la date de l'action",IF(A1317&gt;TODAY(),"⚠ Date dans le futur","✓"))))))))</f>
        <v/>
      </c>
      <c r="AS1317" s="61">
        <f>IF(AND(A1317="",C1317="",E1317=""),"",ROW())</f>
        <v/>
      </c>
      <c r="AT1317" s="61">
        <f>IF(E1317&amp;F1317="","",MAX(IFERROR(INDEX('Paramètres'!$J$6:$J$33,MATCH(E1317,'Paramètres'!$I$6:$I$33,0)),0),IFERROR(INDEX('Paramètres'!$N$6:$N$17,MATCH(F1317,'Paramètres'!$M$6:$M$17,0)),0)))</f>
        <v/>
      </c>
      <c r="AU1317" s="61">
        <f>IF(E1317="","",IFERROR(IF(INDEX('Paramètres'!$K$6:$K$33,MATCH(E1317,'Paramètres'!$I$6:$I$33,0))="Oui",1,0),0))</f>
        <v/>
      </c>
      <c r="AV1317" s="61">
        <f>IF(F1317="","",IFERROR(IF(INDEX('Paramètres'!$O$6:$O$17,MATCH(F1317,'Paramètres'!$M$6:$M$17,0))="Oui",1,0),0))</f>
        <v/>
      </c>
      <c r="AW1317" s="62">
        <f>IF(E1317="","",IF(G1317&lt;&gt;"",G1317,IF(OR(E1317="Proposition envoyée",E1317="Signature"),MAX(0,N(IFERROR(INDEX('Paramètres'!$R$6:$R$15,MATCH(IF(AL1317&lt;&gt;"",AL1317,IFERROR(INDEX('Prospects'!$AN$5:$AN$504,MATCH(C1317,'Prospects'!$C$5:$C$504,0)),"")),'Paramètres'!$Q$6:$Q$15,0)),0))-N(P1317)),0)))</f>
        <v/>
      </c>
      <c r="AX1317" s="61">
        <f>IF(C1317="","",IF(COUNTIF($C$5:C1317,C1317)=1,MAX($AX$4:AX1316)+1,""))</f>
        <v/>
      </c>
      <c r="AY1317" s="61">
        <f>IF(B1317="","",HOUR(B1317))</f>
        <v/>
      </c>
      <c r="AZ1317" s="61">
        <f>IF(A1317="","",MOD(A1317-2,7)+1)</f>
        <v/>
      </c>
      <c r="BA1317" s="60">
        <f>IF(C1317="","",IFERROR(INDEX('Prospects'!$N$5:$N$504,MATCH(C1317,'Prospects'!$C$5:$C$504,0)),""))</f>
        <v/>
      </c>
      <c r="BB1317" s="61">
        <f>IF(AND(C1317&lt;&gt;"",C1317='Fiche prospect'!$C$4),COUNTIF($C$5:C1317,C1317),"")</f>
        <v/>
      </c>
    </row>
    <row r="1318">
      <c r="A1318" s="53" t="n"/>
      <c r="B1318" s="54" t="n"/>
      <c r="C1318" s="55" t="n"/>
      <c r="D1318" s="55" t="n"/>
      <c r="E1318" s="55" t="n"/>
      <c r="F1318" s="55" t="n"/>
      <c r="G1318" s="56" t="n"/>
      <c r="H1318" s="57" t="n"/>
      <c r="I1318" s="55" t="n"/>
      <c r="J1318" s="53" t="n"/>
      <c r="K1318" s="54" t="n"/>
      <c r="L1318" s="55" t="n"/>
      <c r="M1318" s="55" t="n"/>
      <c r="N1318" s="57" t="n"/>
      <c r="O1318" s="55" t="n"/>
      <c r="P1318" s="56" t="n"/>
      <c r="Q1318" s="55" t="n"/>
      <c r="R1318" s="55" t="n"/>
      <c r="S1318" s="55" t="n"/>
      <c r="T1318" s="55" t="n"/>
      <c r="U1318" s="55" t="n"/>
      <c r="V1318" s="55" t="n"/>
      <c r="W1318" s="58" t="n"/>
      <c r="X1318" s="58" t="n"/>
      <c r="Y1318" s="55" t="n"/>
      <c r="Z1318" s="55" t="n"/>
      <c r="AA1318" s="55" t="n"/>
      <c r="AB1318" s="55" t="n"/>
      <c r="AC1318" s="55" t="n"/>
      <c r="AD1318" s="53" t="n"/>
      <c r="AE1318" s="55" t="n"/>
      <c r="AF1318" s="55" t="n"/>
      <c r="AG1318" s="59" t="n"/>
      <c r="AH1318" s="57" t="n"/>
      <c r="AI1318" s="55" t="n"/>
      <c r="AJ1318" s="55" t="n"/>
      <c r="AK1318" s="55" t="n"/>
      <c r="AL1318" s="55" t="n"/>
      <c r="AM1318" s="56" t="n"/>
      <c r="AN1318" s="55" t="n"/>
      <c r="AO1318" s="55" t="n"/>
      <c r="AP1318" s="55" t="n"/>
      <c r="AQ1318" s="55" t="n"/>
      <c r="AR1318" s="60">
        <f>IF(AND(C1318="",E1318=""),"",IF(A1318="","⚠ Date manquante",IF(AND(C1318="",E1318&lt;&gt;"Dépense"),"⚠ Prospect manquant",IF(E1318="","⚠ Action manquante",IF(AND(AU1318=1,D1318=""),"⚠ Canal manquant",IF(AND(W1318&lt;&gt;"",COUNTIFS('Saisie'!$W$5:$W$2004,W1318,'Saisie'!$C$5:$C$2004,"&lt;&gt;"&amp;C1318)&gt;0),"⚠ Numéro déjà utilisé par un autre prospect",IF(AND(J1318&lt;&gt;"",J1318&lt;A1318),"⚠ Relance avant la date de l'action",IF(A1318&gt;TODAY(),"⚠ Date dans le futur","✓"))))))))</f>
        <v/>
      </c>
      <c r="AS1318" s="61">
        <f>IF(AND(A1318="",C1318="",E1318=""),"",ROW())</f>
        <v/>
      </c>
      <c r="AT1318" s="61">
        <f>IF(E1318&amp;F1318="","",MAX(IFERROR(INDEX('Paramètres'!$J$6:$J$33,MATCH(E1318,'Paramètres'!$I$6:$I$33,0)),0),IFERROR(INDEX('Paramètres'!$N$6:$N$17,MATCH(F1318,'Paramètres'!$M$6:$M$17,0)),0)))</f>
        <v/>
      </c>
      <c r="AU1318" s="61">
        <f>IF(E1318="","",IFERROR(IF(INDEX('Paramètres'!$K$6:$K$33,MATCH(E1318,'Paramètres'!$I$6:$I$33,0))="Oui",1,0),0))</f>
        <v/>
      </c>
      <c r="AV1318" s="61">
        <f>IF(F1318="","",IFERROR(IF(INDEX('Paramètres'!$O$6:$O$17,MATCH(F1318,'Paramètres'!$M$6:$M$17,0))="Oui",1,0),0))</f>
        <v/>
      </c>
      <c r="AW1318" s="62">
        <f>IF(E1318="","",IF(G1318&lt;&gt;"",G1318,IF(OR(E1318="Proposition envoyée",E1318="Signature"),MAX(0,N(IFERROR(INDEX('Paramètres'!$R$6:$R$15,MATCH(IF(AL1318&lt;&gt;"",AL1318,IFERROR(INDEX('Prospects'!$AN$5:$AN$504,MATCH(C1318,'Prospects'!$C$5:$C$504,0)),"")),'Paramètres'!$Q$6:$Q$15,0)),0))-N(P1318)),0)))</f>
        <v/>
      </c>
      <c r="AX1318" s="61">
        <f>IF(C1318="","",IF(COUNTIF($C$5:C1318,C1318)=1,MAX($AX$4:AX1317)+1,""))</f>
        <v/>
      </c>
      <c r="AY1318" s="61">
        <f>IF(B1318="","",HOUR(B1318))</f>
        <v/>
      </c>
      <c r="AZ1318" s="61">
        <f>IF(A1318="","",MOD(A1318-2,7)+1)</f>
        <v/>
      </c>
      <c r="BA1318" s="60">
        <f>IF(C1318="","",IFERROR(INDEX('Prospects'!$N$5:$N$504,MATCH(C1318,'Prospects'!$C$5:$C$504,0)),""))</f>
        <v/>
      </c>
      <c r="BB1318" s="61">
        <f>IF(AND(C1318&lt;&gt;"",C1318='Fiche prospect'!$C$4),COUNTIF($C$5:C1318,C1318),"")</f>
        <v/>
      </c>
    </row>
    <row r="1319">
      <c r="A1319" s="53" t="n"/>
      <c r="B1319" s="54" t="n"/>
      <c r="C1319" s="55" t="n"/>
      <c r="D1319" s="55" t="n"/>
      <c r="E1319" s="55" t="n"/>
      <c r="F1319" s="55" t="n"/>
      <c r="G1319" s="56" t="n"/>
      <c r="H1319" s="57" t="n"/>
      <c r="I1319" s="55" t="n"/>
      <c r="J1319" s="53" t="n"/>
      <c r="K1319" s="54" t="n"/>
      <c r="L1319" s="55" t="n"/>
      <c r="M1319" s="55" t="n"/>
      <c r="N1319" s="57" t="n"/>
      <c r="O1319" s="55" t="n"/>
      <c r="P1319" s="56" t="n"/>
      <c r="Q1319" s="55" t="n"/>
      <c r="R1319" s="55" t="n"/>
      <c r="S1319" s="55" t="n"/>
      <c r="T1319" s="55" t="n"/>
      <c r="U1319" s="55" t="n"/>
      <c r="V1319" s="55" t="n"/>
      <c r="W1319" s="58" t="n"/>
      <c r="X1319" s="58" t="n"/>
      <c r="Y1319" s="55" t="n"/>
      <c r="Z1319" s="55" t="n"/>
      <c r="AA1319" s="55" t="n"/>
      <c r="AB1319" s="55" t="n"/>
      <c r="AC1319" s="55" t="n"/>
      <c r="AD1319" s="53" t="n"/>
      <c r="AE1319" s="55" t="n"/>
      <c r="AF1319" s="55" t="n"/>
      <c r="AG1319" s="59" t="n"/>
      <c r="AH1319" s="57" t="n"/>
      <c r="AI1319" s="55" t="n"/>
      <c r="AJ1319" s="55" t="n"/>
      <c r="AK1319" s="55" t="n"/>
      <c r="AL1319" s="55" t="n"/>
      <c r="AM1319" s="56" t="n"/>
      <c r="AN1319" s="55" t="n"/>
      <c r="AO1319" s="55" t="n"/>
      <c r="AP1319" s="55" t="n"/>
      <c r="AQ1319" s="55" t="n"/>
      <c r="AR1319" s="60">
        <f>IF(AND(C1319="",E1319=""),"",IF(A1319="","⚠ Date manquante",IF(AND(C1319="",E1319&lt;&gt;"Dépense"),"⚠ Prospect manquant",IF(E1319="","⚠ Action manquante",IF(AND(AU1319=1,D1319=""),"⚠ Canal manquant",IF(AND(W1319&lt;&gt;"",COUNTIFS('Saisie'!$W$5:$W$2004,W1319,'Saisie'!$C$5:$C$2004,"&lt;&gt;"&amp;C1319)&gt;0),"⚠ Numéro déjà utilisé par un autre prospect",IF(AND(J1319&lt;&gt;"",J1319&lt;A1319),"⚠ Relance avant la date de l'action",IF(A1319&gt;TODAY(),"⚠ Date dans le futur","✓"))))))))</f>
        <v/>
      </c>
      <c r="AS1319" s="61">
        <f>IF(AND(A1319="",C1319="",E1319=""),"",ROW())</f>
        <v/>
      </c>
      <c r="AT1319" s="61">
        <f>IF(E1319&amp;F1319="","",MAX(IFERROR(INDEX('Paramètres'!$J$6:$J$33,MATCH(E1319,'Paramètres'!$I$6:$I$33,0)),0),IFERROR(INDEX('Paramètres'!$N$6:$N$17,MATCH(F1319,'Paramètres'!$M$6:$M$17,0)),0)))</f>
        <v/>
      </c>
      <c r="AU1319" s="61">
        <f>IF(E1319="","",IFERROR(IF(INDEX('Paramètres'!$K$6:$K$33,MATCH(E1319,'Paramètres'!$I$6:$I$33,0))="Oui",1,0),0))</f>
        <v/>
      </c>
      <c r="AV1319" s="61">
        <f>IF(F1319="","",IFERROR(IF(INDEX('Paramètres'!$O$6:$O$17,MATCH(F1319,'Paramètres'!$M$6:$M$17,0))="Oui",1,0),0))</f>
        <v/>
      </c>
      <c r="AW1319" s="62">
        <f>IF(E1319="","",IF(G1319&lt;&gt;"",G1319,IF(OR(E1319="Proposition envoyée",E1319="Signature"),MAX(0,N(IFERROR(INDEX('Paramètres'!$R$6:$R$15,MATCH(IF(AL1319&lt;&gt;"",AL1319,IFERROR(INDEX('Prospects'!$AN$5:$AN$504,MATCH(C1319,'Prospects'!$C$5:$C$504,0)),"")),'Paramètres'!$Q$6:$Q$15,0)),0))-N(P1319)),0)))</f>
        <v/>
      </c>
      <c r="AX1319" s="61">
        <f>IF(C1319="","",IF(COUNTIF($C$5:C1319,C1319)=1,MAX($AX$4:AX1318)+1,""))</f>
        <v/>
      </c>
      <c r="AY1319" s="61">
        <f>IF(B1319="","",HOUR(B1319))</f>
        <v/>
      </c>
      <c r="AZ1319" s="61">
        <f>IF(A1319="","",MOD(A1319-2,7)+1)</f>
        <v/>
      </c>
      <c r="BA1319" s="60">
        <f>IF(C1319="","",IFERROR(INDEX('Prospects'!$N$5:$N$504,MATCH(C1319,'Prospects'!$C$5:$C$504,0)),""))</f>
        <v/>
      </c>
      <c r="BB1319" s="61">
        <f>IF(AND(C1319&lt;&gt;"",C1319='Fiche prospect'!$C$4),COUNTIF($C$5:C1319,C1319),"")</f>
        <v/>
      </c>
    </row>
    <row r="1320">
      <c r="A1320" s="53" t="n"/>
      <c r="B1320" s="54" t="n"/>
      <c r="C1320" s="55" t="n"/>
      <c r="D1320" s="55" t="n"/>
      <c r="E1320" s="55" t="n"/>
      <c r="F1320" s="55" t="n"/>
      <c r="G1320" s="56" t="n"/>
      <c r="H1320" s="57" t="n"/>
      <c r="I1320" s="55" t="n"/>
      <c r="J1320" s="53" t="n"/>
      <c r="K1320" s="54" t="n"/>
      <c r="L1320" s="55" t="n"/>
      <c r="M1320" s="55" t="n"/>
      <c r="N1320" s="57" t="n"/>
      <c r="O1320" s="55" t="n"/>
      <c r="P1320" s="56" t="n"/>
      <c r="Q1320" s="55" t="n"/>
      <c r="R1320" s="55" t="n"/>
      <c r="S1320" s="55" t="n"/>
      <c r="T1320" s="55" t="n"/>
      <c r="U1320" s="55" t="n"/>
      <c r="V1320" s="55" t="n"/>
      <c r="W1320" s="58" t="n"/>
      <c r="X1320" s="58" t="n"/>
      <c r="Y1320" s="55" t="n"/>
      <c r="Z1320" s="55" t="n"/>
      <c r="AA1320" s="55" t="n"/>
      <c r="AB1320" s="55" t="n"/>
      <c r="AC1320" s="55" t="n"/>
      <c r="AD1320" s="53" t="n"/>
      <c r="AE1320" s="55" t="n"/>
      <c r="AF1320" s="55" t="n"/>
      <c r="AG1320" s="59" t="n"/>
      <c r="AH1320" s="57" t="n"/>
      <c r="AI1320" s="55" t="n"/>
      <c r="AJ1320" s="55" t="n"/>
      <c r="AK1320" s="55" t="n"/>
      <c r="AL1320" s="55" t="n"/>
      <c r="AM1320" s="56" t="n"/>
      <c r="AN1320" s="55" t="n"/>
      <c r="AO1320" s="55" t="n"/>
      <c r="AP1320" s="55" t="n"/>
      <c r="AQ1320" s="55" t="n"/>
      <c r="AR1320" s="60">
        <f>IF(AND(C1320="",E1320=""),"",IF(A1320="","⚠ Date manquante",IF(AND(C1320="",E1320&lt;&gt;"Dépense"),"⚠ Prospect manquant",IF(E1320="","⚠ Action manquante",IF(AND(AU1320=1,D1320=""),"⚠ Canal manquant",IF(AND(W1320&lt;&gt;"",COUNTIFS('Saisie'!$W$5:$W$2004,W1320,'Saisie'!$C$5:$C$2004,"&lt;&gt;"&amp;C1320)&gt;0),"⚠ Numéro déjà utilisé par un autre prospect",IF(AND(J1320&lt;&gt;"",J1320&lt;A1320),"⚠ Relance avant la date de l'action",IF(A1320&gt;TODAY(),"⚠ Date dans le futur","✓"))))))))</f>
        <v/>
      </c>
      <c r="AS1320" s="61">
        <f>IF(AND(A1320="",C1320="",E1320=""),"",ROW())</f>
        <v/>
      </c>
      <c r="AT1320" s="61">
        <f>IF(E1320&amp;F1320="","",MAX(IFERROR(INDEX('Paramètres'!$J$6:$J$33,MATCH(E1320,'Paramètres'!$I$6:$I$33,0)),0),IFERROR(INDEX('Paramètres'!$N$6:$N$17,MATCH(F1320,'Paramètres'!$M$6:$M$17,0)),0)))</f>
        <v/>
      </c>
      <c r="AU1320" s="61">
        <f>IF(E1320="","",IFERROR(IF(INDEX('Paramètres'!$K$6:$K$33,MATCH(E1320,'Paramètres'!$I$6:$I$33,0))="Oui",1,0),0))</f>
        <v/>
      </c>
      <c r="AV1320" s="61">
        <f>IF(F1320="","",IFERROR(IF(INDEX('Paramètres'!$O$6:$O$17,MATCH(F1320,'Paramètres'!$M$6:$M$17,0))="Oui",1,0),0))</f>
        <v/>
      </c>
      <c r="AW1320" s="62">
        <f>IF(E1320="","",IF(G1320&lt;&gt;"",G1320,IF(OR(E1320="Proposition envoyée",E1320="Signature"),MAX(0,N(IFERROR(INDEX('Paramètres'!$R$6:$R$15,MATCH(IF(AL1320&lt;&gt;"",AL1320,IFERROR(INDEX('Prospects'!$AN$5:$AN$504,MATCH(C1320,'Prospects'!$C$5:$C$504,0)),"")),'Paramètres'!$Q$6:$Q$15,0)),0))-N(P1320)),0)))</f>
        <v/>
      </c>
      <c r="AX1320" s="61">
        <f>IF(C1320="","",IF(COUNTIF($C$5:C1320,C1320)=1,MAX($AX$4:AX1319)+1,""))</f>
        <v/>
      </c>
      <c r="AY1320" s="61">
        <f>IF(B1320="","",HOUR(B1320))</f>
        <v/>
      </c>
      <c r="AZ1320" s="61">
        <f>IF(A1320="","",MOD(A1320-2,7)+1)</f>
        <v/>
      </c>
      <c r="BA1320" s="60">
        <f>IF(C1320="","",IFERROR(INDEX('Prospects'!$N$5:$N$504,MATCH(C1320,'Prospects'!$C$5:$C$504,0)),""))</f>
        <v/>
      </c>
      <c r="BB1320" s="61">
        <f>IF(AND(C1320&lt;&gt;"",C1320='Fiche prospect'!$C$4),COUNTIF($C$5:C1320,C1320),"")</f>
        <v/>
      </c>
    </row>
    <row r="1321">
      <c r="A1321" s="53" t="n"/>
      <c r="B1321" s="54" t="n"/>
      <c r="C1321" s="55" t="n"/>
      <c r="D1321" s="55" t="n"/>
      <c r="E1321" s="55" t="n"/>
      <c r="F1321" s="55" t="n"/>
      <c r="G1321" s="56" t="n"/>
      <c r="H1321" s="57" t="n"/>
      <c r="I1321" s="55" t="n"/>
      <c r="J1321" s="53" t="n"/>
      <c r="K1321" s="54" t="n"/>
      <c r="L1321" s="55" t="n"/>
      <c r="M1321" s="55" t="n"/>
      <c r="N1321" s="57" t="n"/>
      <c r="O1321" s="55" t="n"/>
      <c r="P1321" s="56" t="n"/>
      <c r="Q1321" s="55" t="n"/>
      <c r="R1321" s="55" t="n"/>
      <c r="S1321" s="55" t="n"/>
      <c r="T1321" s="55" t="n"/>
      <c r="U1321" s="55" t="n"/>
      <c r="V1321" s="55" t="n"/>
      <c r="W1321" s="58" t="n"/>
      <c r="X1321" s="58" t="n"/>
      <c r="Y1321" s="55" t="n"/>
      <c r="Z1321" s="55" t="n"/>
      <c r="AA1321" s="55" t="n"/>
      <c r="AB1321" s="55" t="n"/>
      <c r="AC1321" s="55" t="n"/>
      <c r="AD1321" s="53" t="n"/>
      <c r="AE1321" s="55" t="n"/>
      <c r="AF1321" s="55" t="n"/>
      <c r="AG1321" s="59" t="n"/>
      <c r="AH1321" s="57" t="n"/>
      <c r="AI1321" s="55" t="n"/>
      <c r="AJ1321" s="55" t="n"/>
      <c r="AK1321" s="55" t="n"/>
      <c r="AL1321" s="55" t="n"/>
      <c r="AM1321" s="56" t="n"/>
      <c r="AN1321" s="55" t="n"/>
      <c r="AO1321" s="55" t="n"/>
      <c r="AP1321" s="55" t="n"/>
      <c r="AQ1321" s="55" t="n"/>
      <c r="AR1321" s="60">
        <f>IF(AND(C1321="",E1321=""),"",IF(A1321="","⚠ Date manquante",IF(AND(C1321="",E1321&lt;&gt;"Dépense"),"⚠ Prospect manquant",IF(E1321="","⚠ Action manquante",IF(AND(AU1321=1,D1321=""),"⚠ Canal manquant",IF(AND(W1321&lt;&gt;"",COUNTIFS('Saisie'!$W$5:$W$2004,W1321,'Saisie'!$C$5:$C$2004,"&lt;&gt;"&amp;C1321)&gt;0),"⚠ Numéro déjà utilisé par un autre prospect",IF(AND(J1321&lt;&gt;"",J1321&lt;A1321),"⚠ Relance avant la date de l'action",IF(A1321&gt;TODAY(),"⚠ Date dans le futur","✓"))))))))</f>
        <v/>
      </c>
      <c r="AS1321" s="61">
        <f>IF(AND(A1321="",C1321="",E1321=""),"",ROW())</f>
        <v/>
      </c>
      <c r="AT1321" s="61">
        <f>IF(E1321&amp;F1321="","",MAX(IFERROR(INDEX('Paramètres'!$J$6:$J$33,MATCH(E1321,'Paramètres'!$I$6:$I$33,0)),0),IFERROR(INDEX('Paramètres'!$N$6:$N$17,MATCH(F1321,'Paramètres'!$M$6:$M$17,0)),0)))</f>
        <v/>
      </c>
      <c r="AU1321" s="61">
        <f>IF(E1321="","",IFERROR(IF(INDEX('Paramètres'!$K$6:$K$33,MATCH(E1321,'Paramètres'!$I$6:$I$33,0))="Oui",1,0),0))</f>
        <v/>
      </c>
      <c r="AV1321" s="61">
        <f>IF(F1321="","",IFERROR(IF(INDEX('Paramètres'!$O$6:$O$17,MATCH(F1321,'Paramètres'!$M$6:$M$17,0))="Oui",1,0),0))</f>
        <v/>
      </c>
      <c r="AW1321" s="62">
        <f>IF(E1321="","",IF(G1321&lt;&gt;"",G1321,IF(OR(E1321="Proposition envoyée",E1321="Signature"),MAX(0,N(IFERROR(INDEX('Paramètres'!$R$6:$R$15,MATCH(IF(AL1321&lt;&gt;"",AL1321,IFERROR(INDEX('Prospects'!$AN$5:$AN$504,MATCH(C1321,'Prospects'!$C$5:$C$504,0)),"")),'Paramètres'!$Q$6:$Q$15,0)),0))-N(P1321)),0)))</f>
        <v/>
      </c>
      <c r="AX1321" s="61">
        <f>IF(C1321="","",IF(COUNTIF($C$5:C1321,C1321)=1,MAX($AX$4:AX1320)+1,""))</f>
        <v/>
      </c>
      <c r="AY1321" s="61">
        <f>IF(B1321="","",HOUR(B1321))</f>
        <v/>
      </c>
      <c r="AZ1321" s="61">
        <f>IF(A1321="","",MOD(A1321-2,7)+1)</f>
        <v/>
      </c>
      <c r="BA1321" s="60">
        <f>IF(C1321="","",IFERROR(INDEX('Prospects'!$N$5:$N$504,MATCH(C1321,'Prospects'!$C$5:$C$504,0)),""))</f>
        <v/>
      </c>
      <c r="BB1321" s="61">
        <f>IF(AND(C1321&lt;&gt;"",C1321='Fiche prospect'!$C$4),COUNTIF($C$5:C1321,C1321),"")</f>
        <v/>
      </c>
    </row>
    <row r="1322">
      <c r="A1322" s="53" t="n"/>
      <c r="B1322" s="54" t="n"/>
      <c r="C1322" s="55" t="n"/>
      <c r="D1322" s="55" t="n"/>
      <c r="E1322" s="55" t="n"/>
      <c r="F1322" s="55" t="n"/>
      <c r="G1322" s="56" t="n"/>
      <c r="H1322" s="57" t="n"/>
      <c r="I1322" s="55" t="n"/>
      <c r="J1322" s="53" t="n"/>
      <c r="K1322" s="54" t="n"/>
      <c r="L1322" s="55" t="n"/>
      <c r="M1322" s="55" t="n"/>
      <c r="N1322" s="57" t="n"/>
      <c r="O1322" s="55" t="n"/>
      <c r="P1322" s="56" t="n"/>
      <c r="Q1322" s="55" t="n"/>
      <c r="R1322" s="55" t="n"/>
      <c r="S1322" s="55" t="n"/>
      <c r="T1322" s="55" t="n"/>
      <c r="U1322" s="55" t="n"/>
      <c r="V1322" s="55" t="n"/>
      <c r="W1322" s="58" t="n"/>
      <c r="X1322" s="58" t="n"/>
      <c r="Y1322" s="55" t="n"/>
      <c r="Z1322" s="55" t="n"/>
      <c r="AA1322" s="55" t="n"/>
      <c r="AB1322" s="55" t="n"/>
      <c r="AC1322" s="55" t="n"/>
      <c r="AD1322" s="53" t="n"/>
      <c r="AE1322" s="55" t="n"/>
      <c r="AF1322" s="55" t="n"/>
      <c r="AG1322" s="59" t="n"/>
      <c r="AH1322" s="57" t="n"/>
      <c r="AI1322" s="55" t="n"/>
      <c r="AJ1322" s="55" t="n"/>
      <c r="AK1322" s="55" t="n"/>
      <c r="AL1322" s="55" t="n"/>
      <c r="AM1322" s="56" t="n"/>
      <c r="AN1322" s="55" t="n"/>
      <c r="AO1322" s="55" t="n"/>
      <c r="AP1322" s="55" t="n"/>
      <c r="AQ1322" s="55" t="n"/>
      <c r="AR1322" s="60">
        <f>IF(AND(C1322="",E1322=""),"",IF(A1322="","⚠ Date manquante",IF(AND(C1322="",E1322&lt;&gt;"Dépense"),"⚠ Prospect manquant",IF(E1322="","⚠ Action manquante",IF(AND(AU1322=1,D1322=""),"⚠ Canal manquant",IF(AND(W1322&lt;&gt;"",COUNTIFS('Saisie'!$W$5:$W$2004,W1322,'Saisie'!$C$5:$C$2004,"&lt;&gt;"&amp;C1322)&gt;0),"⚠ Numéro déjà utilisé par un autre prospect",IF(AND(J1322&lt;&gt;"",J1322&lt;A1322),"⚠ Relance avant la date de l'action",IF(A1322&gt;TODAY(),"⚠ Date dans le futur","✓"))))))))</f>
        <v/>
      </c>
      <c r="AS1322" s="61">
        <f>IF(AND(A1322="",C1322="",E1322=""),"",ROW())</f>
        <v/>
      </c>
      <c r="AT1322" s="61">
        <f>IF(E1322&amp;F1322="","",MAX(IFERROR(INDEX('Paramètres'!$J$6:$J$33,MATCH(E1322,'Paramètres'!$I$6:$I$33,0)),0),IFERROR(INDEX('Paramètres'!$N$6:$N$17,MATCH(F1322,'Paramètres'!$M$6:$M$17,0)),0)))</f>
        <v/>
      </c>
      <c r="AU1322" s="61">
        <f>IF(E1322="","",IFERROR(IF(INDEX('Paramètres'!$K$6:$K$33,MATCH(E1322,'Paramètres'!$I$6:$I$33,0))="Oui",1,0),0))</f>
        <v/>
      </c>
      <c r="AV1322" s="61">
        <f>IF(F1322="","",IFERROR(IF(INDEX('Paramètres'!$O$6:$O$17,MATCH(F1322,'Paramètres'!$M$6:$M$17,0))="Oui",1,0),0))</f>
        <v/>
      </c>
      <c r="AW1322" s="62">
        <f>IF(E1322="","",IF(G1322&lt;&gt;"",G1322,IF(OR(E1322="Proposition envoyée",E1322="Signature"),MAX(0,N(IFERROR(INDEX('Paramètres'!$R$6:$R$15,MATCH(IF(AL1322&lt;&gt;"",AL1322,IFERROR(INDEX('Prospects'!$AN$5:$AN$504,MATCH(C1322,'Prospects'!$C$5:$C$504,0)),"")),'Paramètres'!$Q$6:$Q$15,0)),0))-N(P1322)),0)))</f>
        <v/>
      </c>
      <c r="AX1322" s="61">
        <f>IF(C1322="","",IF(COUNTIF($C$5:C1322,C1322)=1,MAX($AX$4:AX1321)+1,""))</f>
        <v/>
      </c>
      <c r="AY1322" s="61">
        <f>IF(B1322="","",HOUR(B1322))</f>
        <v/>
      </c>
      <c r="AZ1322" s="61">
        <f>IF(A1322="","",MOD(A1322-2,7)+1)</f>
        <v/>
      </c>
      <c r="BA1322" s="60">
        <f>IF(C1322="","",IFERROR(INDEX('Prospects'!$N$5:$N$504,MATCH(C1322,'Prospects'!$C$5:$C$504,0)),""))</f>
        <v/>
      </c>
      <c r="BB1322" s="61">
        <f>IF(AND(C1322&lt;&gt;"",C1322='Fiche prospect'!$C$4),COUNTIF($C$5:C1322,C1322),"")</f>
        <v/>
      </c>
    </row>
    <row r="1323">
      <c r="A1323" s="53" t="n"/>
      <c r="B1323" s="54" t="n"/>
      <c r="C1323" s="55" t="n"/>
      <c r="D1323" s="55" t="n"/>
      <c r="E1323" s="55" t="n"/>
      <c r="F1323" s="55" t="n"/>
      <c r="G1323" s="56" t="n"/>
      <c r="H1323" s="57" t="n"/>
      <c r="I1323" s="55" t="n"/>
      <c r="J1323" s="53" t="n"/>
      <c r="K1323" s="54" t="n"/>
      <c r="L1323" s="55" t="n"/>
      <c r="M1323" s="55" t="n"/>
      <c r="N1323" s="57" t="n"/>
      <c r="O1323" s="55" t="n"/>
      <c r="P1323" s="56" t="n"/>
      <c r="Q1323" s="55" t="n"/>
      <c r="R1323" s="55" t="n"/>
      <c r="S1323" s="55" t="n"/>
      <c r="T1323" s="55" t="n"/>
      <c r="U1323" s="55" t="n"/>
      <c r="V1323" s="55" t="n"/>
      <c r="W1323" s="58" t="n"/>
      <c r="X1323" s="58" t="n"/>
      <c r="Y1323" s="55" t="n"/>
      <c r="Z1323" s="55" t="n"/>
      <c r="AA1323" s="55" t="n"/>
      <c r="AB1323" s="55" t="n"/>
      <c r="AC1323" s="55" t="n"/>
      <c r="AD1323" s="53" t="n"/>
      <c r="AE1323" s="55" t="n"/>
      <c r="AF1323" s="55" t="n"/>
      <c r="AG1323" s="59" t="n"/>
      <c r="AH1323" s="57" t="n"/>
      <c r="AI1323" s="55" t="n"/>
      <c r="AJ1323" s="55" t="n"/>
      <c r="AK1323" s="55" t="n"/>
      <c r="AL1323" s="55" t="n"/>
      <c r="AM1323" s="56" t="n"/>
      <c r="AN1323" s="55" t="n"/>
      <c r="AO1323" s="55" t="n"/>
      <c r="AP1323" s="55" t="n"/>
      <c r="AQ1323" s="55" t="n"/>
      <c r="AR1323" s="60">
        <f>IF(AND(C1323="",E1323=""),"",IF(A1323="","⚠ Date manquante",IF(AND(C1323="",E1323&lt;&gt;"Dépense"),"⚠ Prospect manquant",IF(E1323="","⚠ Action manquante",IF(AND(AU1323=1,D1323=""),"⚠ Canal manquant",IF(AND(W1323&lt;&gt;"",COUNTIFS('Saisie'!$W$5:$W$2004,W1323,'Saisie'!$C$5:$C$2004,"&lt;&gt;"&amp;C1323)&gt;0),"⚠ Numéro déjà utilisé par un autre prospect",IF(AND(J1323&lt;&gt;"",J1323&lt;A1323),"⚠ Relance avant la date de l'action",IF(A1323&gt;TODAY(),"⚠ Date dans le futur","✓"))))))))</f>
        <v/>
      </c>
      <c r="AS1323" s="61">
        <f>IF(AND(A1323="",C1323="",E1323=""),"",ROW())</f>
        <v/>
      </c>
      <c r="AT1323" s="61">
        <f>IF(E1323&amp;F1323="","",MAX(IFERROR(INDEX('Paramètres'!$J$6:$J$33,MATCH(E1323,'Paramètres'!$I$6:$I$33,0)),0),IFERROR(INDEX('Paramètres'!$N$6:$N$17,MATCH(F1323,'Paramètres'!$M$6:$M$17,0)),0)))</f>
        <v/>
      </c>
      <c r="AU1323" s="61">
        <f>IF(E1323="","",IFERROR(IF(INDEX('Paramètres'!$K$6:$K$33,MATCH(E1323,'Paramètres'!$I$6:$I$33,0))="Oui",1,0),0))</f>
        <v/>
      </c>
      <c r="AV1323" s="61">
        <f>IF(F1323="","",IFERROR(IF(INDEX('Paramètres'!$O$6:$O$17,MATCH(F1323,'Paramètres'!$M$6:$M$17,0))="Oui",1,0),0))</f>
        <v/>
      </c>
      <c r="AW1323" s="62">
        <f>IF(E1323="","",IF(G1323&lt;&gt;"",G1323,IF(OR(E1323="Proposition envoyée",E1323="Signature"),MAX(0,N(IFERROR(INDEX('Paramètres'!$R$6:$R$15,MATCH(IF(AL1323&lt;&gt;"",AL1323,IFERROR(INDEX('Prospects'!$AN$5:$AN$504,MATCH(C1323,'Prospects'!$C$5:$C$504,0)),"")),'Paramètres'!$Q$6:$Q$15,0)),0))-N(P1323)),0)))</f>
        <v/>
      </c>
      <c r="AX1323" s="61">
        <f>IF(C1323="","",IF(COUNTIF($C$5:C1323,C1323)=1,MAX($AX$4:AX1322)+1,""))</f>
        <v/>
      </c>
      <c r="AY1323" s="61">
        <f>IF(B1323="","",HOUR(B1323))</f>
        <v/>
      </c>
      <c r="AZ1323" s="61">
        <f>IF(A1323="","",MOD(A1323-2,7)+1)</f>
        <v/>
      </c>
      <c r="BA1323" s="60">
        <f>IF(C1323="","",IFERROR(INDEX('Prospects'!$N$5:$N$504,MATCH(C1323,'Prospects'!$C$5:$C$504,0)),""))</f>
        <v/>
      </c>
      <c r="BB1323" s="61">
        <f>IF(AND(C1323&lt;&gt;"",C1323='Fiche prospect'!$C$4),COUNTIF($C$5:C1323,C1323),"")</f>
        <v/>
      </c>
    </row>
    <row r="1324">
      <c r="A1324" s="53" t="n"/>
      <c r="B1324" s="54" t="n"/>
      <c r="C1324" s="55" t="n"/>
      <c r="D1324" s="55" t="n"/>
      <c r="E1324" s="55" t="n"/>
      <c r="F1324" s="55" t="n"/>
      <c r="G1324" s="56" t="n"/>
      <c r="H1324" s="57" t="n"/>
      <c r="I1324" s="55" t="n"/>
      <c r="J1324" s="53" t="n"/>
      <c r="K1324" s="54" t="n"/>
      <c r="L1324" s="55" t="n"/>
      <c r="M1324" s="55" t="n"/>
      <c r="N1324" s="57" t="n"/>
      <c r="O1324" s="55" t="n"/>
      <c r="P1324" s="56" t="n"/>
      <c r="Q1324" s="55" t="n"/>
      <c r="R1324" s="55" t="n"/>
      <c r="S1324" s="55" t="n"/>
      <c r="T1324" s="55" t="n"/>
      <c r="U1324" s="55" t="n"/>
      <c r="V1324" s="55" t="n"/>
      <c r="W1324" s="58" t="n"/>
      <c r="X1324" s="58" t="n"/>
      <c r="Y1324" s="55" t="n"/>
      <c r="Z1324" s="55" t="n"/>
      <c r="AA1324" s="55" t="n"/>
      <c r="AB1324" s="55" t="n"/>
      <c r="AC1324" s="55" t="n"/>
      <c r="AD1324" s="53" t="n"/>
      <c r="AE1324" s="55" t="n"/>
      <c r="AF1324" s="55" t="n"/>
      <c r="AG1324" s="59" t="n"/>
      <c r="AH1324" s="57" t="n"/>
      <c r="AI1324" s="55" t="n"/>
      <c r="AJ1324" s="55" t="n"/>
      <c r="AK1324" s="55" t="n"/>
      <c r="AL1324" s="55" t="n"/>
      <c r="AM1324" s="56" t="n"/>
      <c r="AN1324" s="55" t="n"/>
      <c r="AO1324" s="55" t="n"/>
      <c r="AP1324" s="55" t="n"/>
      <c r="AQ1324" s="55" t="n"/>
      <c r="AR1324" s="60">
        <f>IF(AND(C1324="",E1324=""),"",IF(A1324="","⚠ Date manquante",IF(AND(C1324="",E1324&lt;&gt;"Dépense"),"⚠ Prospect manquant",IF(E1324="","⚠ Action manquante",IF(AND(AU1324=1,D1324=""),"⚠ Canal manquant",IF(AND(W1324&lt;&gt;"",COUNTIFS('Saisie'!$W$5:$W$2004,W1324,'Saisie'!$C$5:$C$2004,"&lt;&gt;"&amp;C1324)&gt;0),"⚠ Numéro déjà utilisé par un autre prospect",IF(AND(J1324&lt;&gt;"",J1324&lt;A1324),"⚠ Relance avant la date de l'action",IF(A1324&gt;TODAY(),"⚠ Date dans le futur","✓"))))))))</f>
        <v/>
      </c>
      <c r="AS1324" s="61">
        <f>IF(AND(A1324="",C1324="",E1324=""),"",ROW())</f>
        <v/>
      </c>
      <c r="AT1324" s="61">
        <f>IF(E1324&amp;F1324="","",MAX(IFERROR(INDEX('Paramètres'!$J$6:$J$33,MATCH(E1324,'Paramètres'!$I$6:$I$33,0)),0),IFERROR(INDEX('Paramètres'!$N$6:$N$17,MATCH(F1324,'Paramètres'!$M$6:$M$17,0)),0)))</f>
        <v/>
      </c>
      <c r="AU1324" s="61">
        <f>IF(E1324="","",IFERROR(IF(INDEX('Paramètres'!$K$6:$K$33,MATCH(E1324,'Paramètres'!$I$6:$I$33,0))="Oui",1,0),0))</f>
        <v/>
      </c>
      <c r="AV1324" s="61">
        <f>IF(F1324="","",IFERROR(IF(INDEX('Paramètres'!$O$6:$O$17,MATCH(F1324,'Paramètres'!$M$6:$M$17,0))="Oui",1,0),0))</f>
        <v/>
      </c>
      <c r="AW1324" s="62">
        <f>IF(E1324="","",IF(G1324&lt;&gt;"",G1324,IF(OR(E1324="Proposition envoyée",E1324="Signature"),MAX(0,N(IFERROR(INDEX('Paramètres'!$R$6:$R$15,MATCH(IF(AL1324&lt;&gt;"",AL1324,IFERROR(INDEX('Prospects'!$AN$5:$AN$504,MATCH(C1324,'Prospects'!$C$5:$C$504,0)),"")),'Paramètres'!$Q$6:$Q$15,0)),0))-N(P1324)),0)))</f>
        <v/>
      </c>
      <c r="AX1324" s="61">
        <f>IF(C1324="","",IF(COUNTIF($C$5:C1324,C1324)=1,MAX($AX$4:AX1323)+1,""))</f>
        <v/>
      </c>
      <c r="AY1324" s="61">
        <f>IF(B1324="","",HOUR(B1324))</f>
        <v/>
      </c>
      <c r="AZ1324" s="61">
        <f>IF(A1324="","",MOD(A1324-2,7)+1)</f>
        <v/>
      </c>
      <c r="BA1324" s="60">
        <f>IF(C1324="","",IFERROR(INDEX('Prospects'!$N$5:$N$504,MATCH(C1324,'Prospects'!$C$5:$C$504,0)),""))</f>
        <v/>
      </c>
      <c r="BB1324" s="61">
        <f>IF(AND(C1324&lt;&gt;"",C1324='Fiche prospect'!$C$4),COUNTIF($C$5:C1324,C1324),"")</f>
        <v/>
      </c>
    </row>
    <row r="1325">
      <c r="A1325" s="53" t="n"/>
      <c r="B1325" s="54" t="n"/>
      <c r="C1325" s="55" t="n"/>
      <c r="D1325" s="55" t="n"/>
      <c r="E1325" s="55" t="n"/>
      <c r="F1325" s="55" t="n"/>
      <c r="G1325" s="56" t="n"/>
      <c r="H1325" s="57" t="n"/>
      <c r="I1325" s="55" t="n"/>
      <c r="J1325" s="53" t="n"/>
      <c r="K1325" s="54" t="n"/>
      <c r="L1325" s="55" t="n"/>
      <c r="M1325" s="55" t="n"/>
      <c r="N1325" s="57" t="n"/>
      <c r="O1325" s="55" t="n"/>
      <c r="P1325" s="56" t="n"/>
      <c r="Q1325" s="55" t="n"/>
      <c r="R1325" s="55" t="n"/>
      <c r="S1325" s="55" t="n"/>
      <c r="T1325" s="55" t="n"/>
      <c r="U1325" s="55" t="n"/>
      <c r="V1325" s="55" t="n"/>
      <c r="W1325" s="58" t="n"/>
      <c r="X1325" s="58" t="n"/>
      <c r="Y1325" s="55" t="n"/>
      <c r="Z1325" s="55" t="n"/>
      <c r="AA1325" s="55" t="n"/>
      <c r="AB1325" s="55" t="n"/>
      <c r="AC1325" s="55" t="n"/>
      <c r="AD1325" s="53" t="n"/>
      <c r="AE1325" s="55" t="n"/>
      <c r="AF1325" s="55" t="n"/>
      <c r="AG1325" s="59" t="n"/>
      <c r="AH1325" s="57" t="n"/>
      <c r="AI1325" s="55" t="n"/>
      <c r="AJ1325" s="55" t="n"/>
      <c r="AK1325" s="55" t="n"/>
      <c r="AL1325" s="55" t="n"/>
      <c r="AM1325" s="56" t="n"/>
      <c r="AN1325" s="55" t="n"/>
      <c r="AO1325" s="55" t="n"/>
      <c r="AP1325" s="55" t="n"/>
      <c r="AQ1325" s="55" t="n"/>
      <c r="AR1325" s="60">
        <f>IF(AND(C1325="",E1325=""),"",IF(A1325="","⚠ Date manquante",IF(AND(C1325="",E1325&lt;&gt;"Dépense"),"⚠ Prospect manquant",IF(E1325="","⚠ Action manquante",IF(AND(AU1325=1,D1325=""),"⚠ Canal manquant",IF(AND(W1325&lt;&gt;"",COUNTIFS('Saisie'!$W$5:$W$2004,W1325,'Saisie'!$C$5:$C$2004,"&lt;&gt;"&amp;C1325)&gt;0),"⚠ Numéro déjà utilisé par un autre prospect",IF(AND(J1325&lt;&gt;"",J1325&lt;A1325),"⚠ Relance avant la date de l'action",IF(A1325&gt;TODAY(),"⚠ Date dans le futur","✓"))))))))</f>
        <v/>
      </c>
      <c r="AS1325" s="61">
        <f>IF(AND(A1325="",C1325="",E1325=""),"",ROW())</f>
        <v/>
      </c>
      <c r="AT1325" s="61">
        <f>IF(E1325&amp;F1325="","",MAX(IFERROR(INDEX('Paramètres'!$J$6:$J$33,MATCH(E1325,'Paramètres'!$I$6:$I$33,0)),0),IFERROR(INDEX('Paramètres'!$N$6:$N$17,MATCH(F1325,'Paramètres'!$M$6:$M$17,0)),0)))</f>
        <v/>
      </c>
      <c r="AU1325" s="61">
        <f>IF(E1325="","",IFERROR(IF(INDEX('Paramètres'!$K$6:$K$33,MATCH(E1325,'Paramètres'!$I$6:$I$33,0))="Oui",1,0),0))</f>
        <v/>
      </c>
      <c r="AV1325" s="61">
        <f>IF(F1325="","",IFERROR(IF(INDEX('Paramètres'!$O$6:$O$17,MATCH(F1325,'Paramètres'!$M$6:$M$17,0))="Oui",1,0),0))</f>
        <v/>
      </c>
      <c r="AW1325" s="62">
        <f>IF(E1325="","",IF(G1325&lt;&gt;"",G1325,IF(OR(E1325="Proposition envoyée",E1325="Signature"),MAX(0,N(IFERROR(INDEX('Paramètres'!$R$6:$R$15,MATCH(IF(AL1325&lt;&gt;"",AL1325,IFERROR(INDEX('Prospects'!$AN$5:$AN$504,MATCH(C1325,'Prospects'!$C$5:$C$504,0)),"")),'Paramètres'!$Q$6:$Q$15,0)),0))-N(P1325)),0)))</f>
        <v/>
      </c>
      <c r="AX1325" s="61">
        <f>IF(C1325="","",IF(COUNTIF($C$5:C1325,C1325)=1,MAX($AX$4:AX1324)+1,""))</f>
        <v/>
      </c>
      <c r="AY1325" s="61">
        <f>IF(B1325="","",HOUR(B1325))</f>
        <v/>
      </c>
      <c r="AZ1325" s="61">
        <f>IF(A1325="","",MOD(A1325-2,7)+1)</f>
        <v/>
      </c>
      <c r="BA1325" s="60">
        <f>IF(C1325="","",IFERROR(INDEX('Prospects'!$N$5:$N$504,MATCH(C1325,'Prospects'!$C$5:$C$504,0)),""))</f>
        <v/>
      </c>
      <c r="BB1325" s="61">
        <f>IF(AND(C1325&lt;&gt;"",C1325='Fiche prospect'!$C$4),COUNTIF($C$5:C1325,C1325),"")</f>
        <v/>
      </c>
    </row>
    <row r="1326">
      <c r="A1326" s="53" t="n"/>
      <c r="B1326" s="54" t="n"/>
      <c r="C1326" s="55" t="n"/>
      <c r="D1326" s="55" t="n"/>
      <c r="E1326" s="55" t="n"/>
      <c r="F1326" s="55" t="n"/>
      <c r="G1326" s="56" t="n"/>
      <c r="H1326" s="57" t="n"/>
      <c r="I1326" s="55" t="n"/>
      <c r="J1326" s="53" t="n"/>
      <c r="K1326" s="54" t="n"/>
      <c r="L1326" s="55" t="n"/>
      <c r="M1326" s="55" t="n"/>
      <c r="N1326" s="57" t="n"/>
      <c r="O1326" s="55" t="n"/>
      <c r="P1326" s="56" t="n"/>
      <c r="Q1326" s="55" t="n"/>
      <c r="R1326" s="55" t="n"/>
      <c r="S1326" s="55" t="n"/>
      <c r="T1326" s="55" t="n"/>
      <c r="U1326" s="55" t="n"/>
      <c r="V1326" s="55" t="n"/>
      <c r="W1326" s="58" t="n"/>
      <c r="X1326" s="58" t="n"/>
      <c r="Y1326" s="55" t="n"/>
      <c r="Z1326" s="55" t="n"/>
      <c r="AA1326" s="55" t="n"/>
      <c r="AB1326" s="55" t="n"/>
      <c r="AC1326" s="55" t="n"/>
      <c r="AD1326" s="53" t="n"/>
      <c r="AE1326" s="55" t="n"/>
      <c r="AF1326" s="55" t="n"/>
      <c r="AG1326" s="59" t="n"/>
      <c r="AH1326" s="57" t="n"/>
      <c r="AI1326" s="55" t="n"/>
      <c r="AJ1326" s="55" t="n"/>
      <c r="AK1326" s="55" t="n"/>
      <c r="AL1326" s="55" t="n"/>
      <c r="AM1326" s="56" t="n"/>
      <c r="AN1326" s="55" t="n"/>
      <c r="AO1326" s="55" t="n"/>
      <c r="AP1326" s="55" t="n"/>
      <c r="AQ1326" s="55" t="n"/>
      <c r="AR1326" s="60">
        <f>IF(AND(C1326="",E1326=""),"",IF(A1326="","⚠ Date manquante",IF(AND(C1326="",E1326&lt;&gt;"Dépense"),"⚠ Prospect manquant",IF(E1326="","⚠ Action manquante",IF(AND(AU1326=1,D1326=""),"⚠ Canal manquant",IF(AND(W1326&lt;&gt;"",COUNTIFS('Saisie'!$W$5:$W$2004,W1326,'Saisie'!$C$5:$C$2004,"&lt;&gt;"&amp;C1326)&gt;0),"⚠ Numéro déjà utilisé par un autre prospect",IF(AND(J1326&lt;&gt;"",J1326&lt;A1326),"⚠ Relance avant la date de l'action",IF(A1326&gt;TODAY(),"⚠ Date dans le futur","✓"))))))))</f>
        <v/>
      </c>
      <c r="AS1326" s="61">
        <f>IF(AND(A1326="",C1326="",E1326=""),"",ROW())</f>
        <v/>
      </c>
      <c r="AT1326" s="61">
        <f>IF(E1326&amp;F1326="","",MAX(IFERROR(INDEX('Paramètres'!$J$6:$J$33,MATCH(E1326,'Paramètres'!$I$6:$I$33,0)),0),IFERROR(INDEX('Paramètres'!$N$6:$N$17,MATCH(F1326,'Paramètres'!$M$6:$M$17,0)),0)))</f>
        <v/>
      </c>
      <c r="AU1326" s="61">
        <f>IF(E1326="","",IFERROR(IF(INDEX('Paramètres'!$K$6:$K$33,MATCH(E1326,'Paramètres'!$I$6:$I$33,0))="Oui",1,0),0))</f>
        <v/>
      </c>
      <c r="AV1326" s="61">
        <f>IF(F1326="","",IFERROR(IF(INDEX('Paramètres'!$O$6:$O$17,MATCH(F1326,'Paramètres'!$M$6:$M$17,0))="Oui",1,0),0))</f>
        <v/>
      </c>
      <c r="AW1326" s="62">
        <f>IF(E1326="","",IF(G1326&lt;&gt;"",G1326,IF(OR(E1326="Proposition envoyée",E1326="Signature"),MAX(0,N(IFERROR(INDEX('Paramètres'!$R$6:$R$15,MATCH(IF(AL1326&lt;&gt;"",AL1326,IFERROR(INDEX('Prospects'!$AN$5:$AN$504,MATCH(C1326,'Prospects'!$C$5:$C$504,0)),"")),'Paramètres'!$Q$6:$Q$15,0)),0))-N(P1326)),0)))</f>
        <v/>
      </c>
      <c r="AX1326" s="61">
        <f>IF(C1326="","",IF(COUNTIF($C$5:C1326,C1326)=1,MAX($AX$4:AX1325)+1,""))</f>
        <v/>
      </c>
      <c r="AY1326" s="61">
        <f>IF(B1326="","",HOUR(B1326))</f>
        <v/>
      </c>
      <c r="AZ1326" s="61">
        <f>IF(A1326="","",MOD(A1326-2,7)+1)</f>
        <v/>
      </c>
      <c r="BA1326" s="60">
        <f>IF(C1326="","",IFERROR(INDEX('Prospects'!$N$5:$N$504,MATCH(C1326,'Prospects'!$C$5:$C$504,0)),""))</f>
        <v/>
      </c>
      <c r="BB1326" s="61">
        <f>IF(AND(C1326&lt;&gt;"",C1326='Fiche prospect'!$C$4),COUNTIF($C$5:C1326,C1326),"")</f>
        <v/>
      </c>
    </row>
    <row r="1327">
      <c r="A1327" s="53" t="n"/>
      <c r="B1327" s="54" t="n"/>
      <c r="C1327" s="55" t="n"/>
      <c r="D1327" s="55" t="n"/>
      <c r="E1327" s="55" t="n"/>
      <c r="F1327" s="55" t="n"/>
      <c r="G1327" s="56" t="n"/>
      <c r="H1327" s="57" t="n"/>
      <c r="I1327" s="55" t="n"/>
      <c r="J1327" s="53" t="n"/>
      <c r="K1327" s="54" t="n"/>
      <c r="L1327" s="55" t="n"/>
      <c r="M1327" s="55" t="n"/>
      <c r="N1327" s="57" t="n"/>
      <c r="O1327" s="55" t="n"/>
      <c r="P1327" s="56" t="n"/>
      <c r="Q1327" s="55" t="n"/>
      <c r="R1327" s="55" t="n"/>
      <c r="S1327" s="55" t="n"/>
      <c r="T1327" s="55" t="n"/>
      <c r="U1327" s="55" t="n"/>
      <c r="V1327" s="55" t="n"/>
      <c r="W1327" s="58" t="n"/>
      <c r="X1327" s="58" t="n"/>
      <c r="Y1327" s="55" t="n"/>
      <c r="Z1327" s="55" t="n"/>
      <c r="AA1327" s="55" t="n"/>
      <c r="AB1327" s="55" t="n"/>
      <c r="AC1327" s="55" t="n"/>
      <c r="AD1327" s="53" t="n"/>
      <c r="AE1327" s="55" t="n"/>
      <c r="AF1327" s="55" t="n"/>
      <c r="AG1327" s="59" t="n"/>
      <c r="AH1327" s="57" t="n"/>
      <c r="AI1327" s="55" t="n"/>
      <c r="AJ1327" s="55" t="n"/>
      <c r="AK1327" s="55" t="n"/>
      <c r="AL1327" s="55" t="n"/>
      <c r="AM1327" s="56" t="n"/>
      <c r="AN1327" s="55" t="n"/>
      <c r="AO1327" s="55" t="n"/>
      <c r="AP1327" s="55" t="n"/>
      <c r="AQ1327" s="55" t="n"/>
      <c r="AR1327" s="60">
        <f>IF(AND(C1327="",E1327=""),"",IF(A1327="","⚠ Date manquante",IF(AND(C1327="",E1327&lt;&gt;"Dépense"),"⚠ Prospect manquant",IF(E1327="","⚠ Action manquante",IF(AND(AU1327=1,D1327=""),"⚠ Canal manquant",IF(AND(W1327&lt;&gt;"",COUNTIFS('Saisie'!$W$5:$W$2004,W1327,'Saisie'!$C$5:$C$2004,"&lt;&gt;"&amp;C1327)&gt;0),"⚠ Numéro déjà utilisé par un autre prospect",IF(AND(J1327&lt;&gt;"",J1327&lt;A1327),"⚠ Relance avant la date de l'action",IF(A1327&gt;TODAY(),"⚠ Date dans le futur","✓"))))))))</f>
        <v/>
      </c>
      <c r="AS1327" s="61">
        <f>IF(AND(A1327="",C1327="",E1327=""),"",ROW())</f>
        <v/>
      </c>
      <c r="AT1327" s="61">
        <f>IF(E1327&amp;F1327="","",MAX(IFERROR(INDEX('Paramètres'!$J$6:$J$33,MATCH(E1327,'Paramètres'!$I$6:$I$33,0)),0),IFERROR(INDEX('Paramètres'!$N$6:$N$17,MATCH(F1327,'Paramètres'!$M$6:$M$17,0)),0)))</f>
        <v/>
      </c>
      <c r="AU1327" s="61">
        <f>IF(E1327="","",IFERROR(IF(INDEX('Paramètres'!$K$6:$K$33,MATCH(E1327,'Paramètres'!$I$6:$I$33,0))="Oui",1,0),0))</f>
        <v/>
      </c>
      <c r="AV1327" s="61">
        <f>IF(F1327="","",IFERROR(IF(INDEX('Paramètres'!$O$6:$O$17,MATCH(F1327,'Paramètres'!$M$6:$M$17,0))="Oui",1,0),0))</f>
        <v/>
      </c>
      <c r="AW1327" s="62">
        <f>IF(E1327="","",IF(G1327&lt;&gt;"",G1327,IF(OR(E1327="Proposition envoyée",E1327="Signature"),MAX(0,N(IFERROR(INDEX('Paramètres'!$R$6:$R$15,MATCH(IF(AL1327&lt;&gt;"",AL1327,IFERROR(INDEX('Prospects'!$AN$5:$AN$504,MATCH(C1327,'Prospects'!$C$5:$C$504,0)),"")),'Paramètres'!$Q$6:$Q$15,0)),0))-N(P1327)),0)))</f>
        <v/>
      </c>
      <c r="AX1327" s="61">
        <f>IF(C1327="","",IF(COUNTIF($C$5:C1327,C1327)=1,MAX($AX$4:AX1326)+1,""))</f>
        <v/>
      </c>
      <c r="AY1327" s="61">
        <f>IF(B1327="","",HOUR(B1327))</f>
        <v/>
      </c>
      <c r="AZ1327" s="61">
        <f>IF(A1327="","",MOD(A1327-2,7)+1)</f>
        <v/>
      </c>
      <c r="BA1327" s="60">
        <f>IF(C1327="","",IFERROR(INDEX('Prospects'!$N$5:$N$504,MATCH(C1327,'Prospects'!$C$5:$C$504,0)),""))</f>
        <v/>
      </c>
      <c r="BB1327" s="61">
        <f>IF(AND(C1327&lt;&gt;"",C1327='Fiche prospect'!$C$4),COUNTIF($C$5:C1327,C1327),"")</f>
        <v/>
      </c>
    </row>
    <row r="1328">
      <c r="A1328" s="53" t="n"/>
      <c r="B1328" s="54" t="n"/>
      <c r="C1328" s="55" t="n"/>
      <c r="D1328" s="55" t="n"/>
      <c r="E1328" s="55" t="n"/>
      <c r="F1328" s="55" t="n"/>
      <c r="G1328" s="56" t="n"/>
      <c r="H1328" s="57" t="n"/>
      <c r="I1328" s="55" t="n"/>
      <c r="J1328" s="53" t="n"/>
      <c r="K1328" s="54" t="n"/>
      <c r="L1328" s="55" t="n"/>
      <c r="M1328" s="55" t="n"/>
      <c r="N1328" s="57" t="n"/>
      <c r="O1328" s="55" t="n"/>
      <c r="P1328" s="56" t="n"/>
      <c r="Q1328" s="55" t="n"/>
      <c r="R1328" s="55" t="n"/>
      <c r="S1328" s="55" t="n"/>
      <c r="T1328" s="55" t="n"/>
      <c r="U1328" s="55" t="n"/>
      <c r="V1328" s="55" t="n"/>
      <c r="W1328" s="58" t="n"/>
      <c r="X1328" s="58" t="n"/>
      <c r="Y1328" s="55" t="n"/>
      <c r="Z1328" s="55" t="n"/>
      <c r="AA1328" s="55" t="n"/>
      <c r="AB1328" s="55" t="n"/>
      <c r="AC1328" s="55" t="n"/>
      <c r="AD1328" s="53" t="n"/>
      <c r="AE1328" s="55" t="n"/>
      <c r="AF1328" s="55" t="n"/>
      <c r="AG1328" s="59" t="n"/>
      <c r="AH1328" s="57" t="n"/>
      <c r="AI1328" s="55" t="n"/>
      <c r="AJ1328" s="55" t="n"/>
      <c r="AK1328" s="55" t="n"/>
      <c r="AL1328" s="55" t="n"/>
      <c r="AM1328" s="56" t="n"/>
      <c r="AN1328" s="55" t="n"/>
      <c r="AO1328" s="55" t="n"/>
      <c r="AP1328" s="55" t="n"/>
      <c r="AQ1328" s="55" t="n"/>
      <c r="AR1328" s="60">
        <f>IF(AND(C1328="",E1328=""),"",IF(A1328="","⚠ Date manquante",IF(AND(C1328="",E1328&lt;&gt;"Dépense"),"⚠ Prospect manquant",IF(E1328="","⚠ Action manquante",IF(AND(AU1328=1,D1328=""),"⚠ Canal manquant",IF(AND(W1328&lt;&gt;"",COUNTIFS('Saisie'!$W$5:$W$2004,W1328,'Saisie'!$C$5:$C$2004,"&lt;&gt;"&amp;C1328)&gt;0),"⚠ Numéro déjà utilisé par un autre prospect",IF(AND(J1328&lt;&gt;"",J1328&lt;A1328),"⚠ Relance avant la date de l'action",IF(A1328&gt;TODAY(),"⚠ Date dans le futur","✓"))))))))</f>
        <v/>
      </c>
      <c r="AS1328" s="61">
        <f>IF(AND(A1328="",C1328="",E1328=""),"",ROW())</f>
        <v/>
      </c>
      <c r="AT1328" s="61">
        <f>IF(E1328&amp;F1328="","",MAX(IFERROR(INDEX('Paramètres'!$J$6:$J$33,MATCH(E1328,'Paramètres'!$I$6:$I$33,0)),0),IFERROR(INDEX('Paramètres'!$N$6:$N$17,MATCH(F1328,'Paramètres'!$M$6:$M$17,0)),0)))</f>
        <v/>
      </c>
      <c r="AU1328" s="61">
        <f>IF(E1328="","",IFERROR(IF(INDEX('Paramètres'!$K$6:$K$33,MATCH(E1328,'Paramètres'!$I$6:$I$33,0))="Oui",1,0),0))</f>
        <v/>
      </c>
      <c r="AV1328" s="61">
        <f>IF(F1328="","",IFERROR(IF(INDEX('Paramètres'!$O$6:$O$17,MATCH(F1328,'Paramètres'!$M$6:$M$17,0))="Oui",1,0),0))</f>
        <v/>
      </c>
      <c r="AW1328" s="62">
        <f>IF(E1328="","",IF(G1328&lt;&gt;"",G1328,IF(OR(E1328="Proposition envoyée",E1328="Signature"),MAX(0,N(IFERROR(INDEX('Paramètres'!$R$6:$R$15,MATCH(IF(AL1328&lt;&gt;"",AL1328,IFERROR(INDEX('Prospects'!$AN$5:$AN$504,MATCH(C1328,'Prospects'!$C$5:$C$504,0)),"")),'Paramètres'!$Q$6:$Q$15,0)),0))-N(P1328)),0)))</f>
        <v/>
      </c>
      <c r="AX1328" s="61">
        <f>IF(C1328="","",IF(COUNTIF($C$5:C1328,C1328)=1,MAX($AX$4:AX1327)+1,""))</f>
        <v/>
      </c>
      <c r="AY1328" s="61">
        <f>IF(B1328="","",HOUR(B1328))</f>
        <v/>
      </c>
      <c r="AZ1328" s="61">
        <f>IF(A1328="","",MOD(A1328-2,7)+1)</f>
        <v/>
      </c>
      <c r="BA1328" s="60">
        <f>IF(C1328="","",IFERROR(INDEX('Prospects'!$N$5:$N$504,MATCH(C1328,'Prospects'!$C$5:$C$504,0)),""))</f>
        <v/>
      </c>
      <c r="BB1328" s="61">
        <f>IF(AND(C1328&lt;&gt;"",C1328='Fiche prospect'!$C$4),COUNTIF($C$5:C1328,C1328),"")</f>
        <v/>
      </c>
    </row>
    <row r="1329">
      <c r="A1329" s="53" t="n"/>
      <c r="B1329" s="54" t="n"/>
      <c r="C1329" s="55" t="n"/>
      <c r="D1329" s="55" t="n"/>
      <c r="E1329" s="55" t="n"/>
      <c r="F1329" s="55" t="n"/>
      <c r="G1329" s="56" t="n"/>
      <c r="H1329" s="57" t="n"/>
      <c r="I1329" s="55" t="n"/>
      <c r="J1329" s="53" t="n"/>
      <c r="K1329" s="54" t="n"/>
      <c r="L1329" s="55" t="n"/>
      <c r="M1329" s="55" t="n"/>
      <c r="N1329" s="57" t="n"/>
      <c r="O1329" s="55" t="n"/>
      <c r="P1329" s="56" t="n"/>
      <c r="Q1329" s="55" t="n"/>
      <c r="R1329" s="55" t="n"/>
      <c r="S1329" s="55" t="n"/>
      <c r="T1329" s="55" t="n"/>
      <c r="U1329" s="55" t="n"/>
      <c r="V1329" s="55" t="n"/>
      <c r="W1329" s="58" t="n"/>
      <c r="X1329" s="58" t="n"/>
      <c r="Y1329" s="55" t="n"/>
      <c r="Z1329" s="55" t="n"/>
      <c r="AA1329" s="55" t="n"/>
      <c r="AB1329" s="55" t="n"/>
      <c r="AC1329" s="55" t="n"/>
      <c r="AD1329" s="53" t="n"/>
      <c r="AE1329" s="55" t="n"/>
      <c r="AF1329" s="55" t="n"/>
      <c r="AG1329" s="59" t="n"/>
      <c r="AH1329" s="57" t="n"/>
      <c r="AI1329" s="55" t="n"/>
      <c r="AJ1329" s="55" t="n"/>
      <c r="AK1329" s="55" t="n"/>
      <c r="AL1329" s="55" t="n"/>
      <c r="AM1329" s="56" t="n"/>
      <c r="AN1329" s="55" t="n"/>
      <c r="AO1329" s="55" t="n"/>
      <c r="AP1329" s="55" t="n"/>
      <c r="AQ1329" s="55" t="n"/>
      <c r="AR1329" s="60">
        <f>IF(AND(C1329="",E1329=""),"",IF(A1329="","⚠ Date manquante",IF(AND(C1329="",E1329&lt;&gt;"Dépense"),"⚠ Prospect manquant",IF(E1329="","⚠ Action manquante",IF(AND(AU1329=1,D1329=""),"⚠ Canal manquant",IF(AND(W1329&lt;&gt;"",COUNTIFS('Saisie'!$W$5:$W$2004,W1329,'Saisie'!$C$5:$C$2004,"&lt;&gt;"&amp;C1329)&gt;0),"⚠ Numéro déjà utilisé par un autre prospect",IF(AND(J1329&lt;&gt;"",J1329&lt;A1329),"⚠ Relance avant la date de l'action",IF(A1329&gt;TODAY(),"⚠ Date dans le futur","✓"))))))))</f>
        <v/>
      </c>
      <c r="AS1329" s="61">
        <f>IF(AND(A1329="",C1329="",E1329=""),"",ROW())</f>
        <v/>
      </c>
      <c r="AT1329" s="61">
        <f>IF(E1329&amp;F1329="","",MAX(IFERROR(INDEX('Paramètres'!$J$6:$J$33,MATCH(E1329,'Paramètres'!$I$6:$I$33,0)),0),IFERROR(INDEX('Paramètres'!$N$6:$N$17,MATCH(F1329,'Paramètres'!$M$6:$M$17,0)),0)))</f>
        <v/>
      </c>
      <c r="AU1329" s="61">
        <f>IF(E1329="","",IFERROR(IF(INDEX('Paramètres'!$K$6:$K$33,MATCH(E1329,'Paramètres'!$I$6:$I$33,0))="Oui",1,0),0))</f>
        <v/>
      </c>
      <c r="AV1329" s="61">
        <f>IF(F1329="","",IFERROR(IF(INDEX('Paramètres'!$O$6:$O$17,MATCH(F1329,'Paramètres'!$M$6:$M$17,0))="Oui",1,0),0))</f>
        <v/>
      </c>
      <c r="AW1329" s="62">
        <f>IF(E1329="","",IF(G1329&lt;&gt;"",G1329,IF(OR(E1329="Proposition envoyée",E1329="Signature"),MAX(0,N(IFERROR(INDEX('Paramètres'!$R$6:$R$15,MATCH(IF(AL1329&lt;&gt;"",AL1329,IFERROR(INDEX('Prospects'!$AN$5:$AN$504,MATCH(C1329,'Prospects'!$C$5:$C$504,0)),"")),'Paramètres'!$Q$6:$Q$15,0)),0))-N(P1329)),0)))</f>
        <v/>
      </c>
      <c r="AX1329" s="61">
        <f>IF(C1329="","",IF(COUNTIF($C$5:C1329,C1329)=1,MAX($AX$4:AX1328)+1,""))</f>
        <v/>
      </c>
      <c r="AY1329" s="61">
        <f>IF(B1329="","",HOUR(B1329))</f>
        <v/>
      </c>
      <c r="AZ1329" s="61">
        <f>IF(A1329="","",MOD(A1329-2,7)+1)</f>
        <v/>
      </c>
      <c r="BA1329" s="60">
        <f>IF(C1329="","",IFERROR(INDEX('Prospects'!$N$5:$N$504,MATCH(C1329,'Prospects'!$C$5:$C$504,0)),""))</f>
        <v/>
      </c>
      <c r="BB1329" s="61">
        <f>IF(AND(C1329&lt;&gt;"",C1329='Fiche prospect'!$C$4),COUNTIF($C$5:C1329,C1329),"")</f>
        <v/>
      </c>
    </row>
    <row r="1330">
      <c r="A1330" s="53" t="n"/>
      <c r="B1330" s="54" t="n"/>
      <c r="C1330" s="55" t="n"/>
      <c r="D1330" s="55" t="n"/>
      <c r="E1330" s="55" t="n"/>
      <c r="F1330" s="55" t="n"/>
      <c r="G1330" s="56" t="n"/>
      <c r="H1330" s="57" t="n"/>
      <c r="I1330" s="55" t="n"/>
      <c r="J1330" s="53" t="n"/>
      <c r="K1330" s="54" t="n"/>
      <c r="L1330" s="55" t="n"/>
      <c r="M1330" s="55" t="n"/>
      <c r="N1330" s="57" t="n"/>
      <c r="O1330" s="55" t="n"/>
      <c r="P1330" s="56" t="n"/>
      <c r="Q1330" s="55" t="n"/>
      <c r="R1330" s="55" t="n"/>
      <c r="S1330" s="55" t="n"/>
      <c r="T1330" s="55" t="n"/>
      <c r="U1330" s="55" t="n"/>
      <c r="V1330" s="55" t="n"/>
      <c r="W1330" s="58" t="n"/>
      <c r="X1330" s="58" t="n"/>
      <c r="Y1330" s="55" t="n"/>
      <c r="Z1330" s="55" t="n"/>
      <c r="AA1330" s="55" t="n"/>
      <c r="AB1330" s="55" t="n"/>
      <c r="AC1330" s="55" t="n"/>
      <c r="AD1330" s="53" t="n"/>
      <c r="AE1330" s="55" t="n"/>
      <c r="AF1330" s="55" t="n"/>
      <c r="AG1330" s="59" t="n"/>
      <c r="AH1330" s="57" t="n"/>
      <c r="AI1330" s="55" t="n"/>
      <c r="AJ1330" s="55" t="n"/>
      <c r="AK1330" s="55" t="n"/>
      <c r="AL1330" s="55" t="n"/>
      <c r="AM1330" s="56" t="n"/>
      <c r="AN1330" s="55" t="n"/>
      <c r="AO1330" s="55" t="n"/>
      <c r="AP1330" s="55" t="n"/>
      <c r="AQ1330" s="55" t="n"/>
      <c r="AR1330" s="60">
        <f>IF(AND(C1330="",E1330=""),"",IF(A1330="","⚠ Date manquante",IF(AND(C1330="",E1330&lt;&gt;"Dépense"),"⚠ Prospect manquant",IF(E1330="","⚠ Action manquante",IF(AND(AU1330=1,D1330=""),"⚠ Canal manquant",IF(AND(W1330&lt;&gt;"",COUNTIFS('Saisie'!$W$5:$W$2004,W1330,'Saisie'!$C$5:$C$2004,"&lt;&gt;"&amp;C1330)&gt;0),"⚠ Numéro déjà utilisé par un autre prospect",IF(AND(J1330&lt;&gt;"",J1330&lt;A1330),"⚠ Relance avant la date de l'action",IF(A1330&gt;TODAY(),"⚠ Date dans le futur","✓"))))))))</f>
        <v/>
      </c>
      <c r="AS1330" s="61">
        <f>IF(AND(A1330="",C1330="",E1330=""),"",ROW())</f>
        <v/>
      </c>
      <c r="AT1330" s="61">
        <f>IF(E1330&amp;F1330="","",MAX(IFERROR(INDEX('Paramètres'!$J$6:$J$33,MATCH(E1330,'Paramètres'!$I$6:$I$33,0)),0),IFERROR(INDEX('Paramètres'!$N$6:$N$17,MATCH(F1330,'Paramètres'!$M$6:$M$17,0)),0)))</f>
        <v/>
      </c>
      <c r="AU1330" s="61">
        <f>IF(E1330="","",IFERROR(IF(INDEX('Paramètres'!$K$6:$K$33,MATCH(E1330,'Paramètres'!$I$6:$I$33,0))="Oui",1,0),0))</f>
        <v/>
      </c>
      <c r="AV1330" s="61">
        <f>IF(F1330="","",IFERROR(IF(INDEX('Paramètres'!$O$6:$O$17,MATCH(F1330,'Paramètres'!$M$6:$M$17,0))="Oui",1,0),0))</f>
        <v/>
      </c>
      <c r="AW1330" s="62">
        <f>IF(E1330="","",IF(G1330&lt;&gt;"",G1330,IF(OR(E1330="Proposition envoyée",E1330="Signature"),MAX(0,N(IFERROR(INDEX('Paramètres'!$R$6:$R$15,MATCH(IF(AL1330&lt;&gt;"",AL1330,IFERROR(INDEX('Prospects'!$AN$5:$AN$504,MATCH(C1330,'Prospects'!$C$5:$C$504,0)),"")),'Paramètres'!$Q$6:$Q$15,0)),0))-N(P1330)),0)))</f>
        <v/>
      </c>
      <c r="AX1330" s="61">
        <f>IF(C1330="","",IF(COUNTIF($C$5:C1330,C1330)=1,MAX($AX$4:AX1329)+1,""))</f>
        <v/>
      </c>
      <c r="AY1330" s="61">
        <f>IF(B1330="","",HOUR(B1330))</f>
        <v/>
      </c>
      <c r="AZ1330" s="61">
        <f>IF(A1330="","",MOD(A1330-2,7)+1)</f>
        <v/>
      </c>
      <c r="BA1330" s="60">
        <f>IF(C1330="","",IFERROR(INDEX('Prospects'!$N$5:$N$504,MATCH(C1330,'Prospects'!$C$5:$C$504,0)),""))</f>
        <v/>
      </c>
      <c r="BB1330" s="61">
        <f>IF(AND(C1330&lt;&gt;"",C1330='Fiche prospect'!$C$4),COUNTIF($C$5:C1330,C1330),"")</f>
        <v/>
      </c>
    </row>
    <row r="1331">
      <c r="A1331" s="53" t="n"/>
      <c r="B1331" s="54" t="n"/>
      <c r="C1331" s="55" t="n"/>
      <c r="D1331" s="55" t="n"/>
      <c r="E1331" s="55" t="n"/>
      <c r="F1331" s="55" t="n"/>
      <c r="G1331" s="56" t="n"/>
      <c r="H1331" s="57" t="n"/>
      <c r="I1331" s="55" t="n"/>
      <c r="J1331" s="53" t="n"/>
      <c r="K1331" s="54" t="n"/>
      <c r="L1331" s="55" t="n"/>
      <c r="M1331" s="55" t="n"/>
      <c r="N1331" s="57" t="n"/>
      <c r="O1331" s="55" t="n"/>
      <c r="P1331" s="56" t="n"/>
      <c r="Q1331" s="55" t="n"/>
      <c r="R1331" s="55" t="n"/>
      <c r="S1331" s="55" t="n"/>
      <c r="T1331" s="55" t="n"/>
      <c r="U1331" s="55" t="n"/>
      <c r="V1331" s="55" t="n"/>
      <c r="W1331" s="58" t="n"/>
      <c r="X1331" s="58" t="n"/>
      <c r="Y1331" s="55" t="n"/>
      <c r="Z1331" s="55" t="n"/>
      <c r="AA1331" s="55" t="n"/>
      <c r="AB1331" s="55" t="n"/>
      <c r="AC1331" s="55" t="n"/>
      <c r="AD1331" s="53" t="n"/>
      <c r="AE1331" s="55" t="n"/>
      <c r="AF1331" s="55" t="n"/>
      <c r="AG1331" s="59" t="n"/>
      <c r="AH1331" s="57" t="n"/>
      <c r="AI1331" s="55" t="n"/>
      <c r="AJ1331" s="55" t="n"/>
      <c r="AK1331" s="55" t="n"/>
      <c r="AL1331" s="55" t="n"/>
      <c r="AM1331" s="56" t="n"/>
      <c r="AN1331" s="55" t="n"/>
      <c r="AO1331" s="55" t="n"/>
      <c r="AP1331" s="55" t="n"/>
      <c r="AQ1331" s="55" t="n"/>
      <c r="AR1331" s="60">
        <f>IF(AND(C1331="",E1331=""),"",IF(A1331="","⚠ Date manquante",IF(AND(C1331="",E1331&lt;&gt;"Dépense"),"⚠ Prospect manquant",IF(E1331="","⚠ Action manquante",IF(AND(AU1331=1,D1331=""),"⚠ Canal manquant",IF(AND(W1331&lt;&gt;"",COUNTIFS('Saisie'!$W$5:$W$2004,W1331,'Saisie'!$C$5:$C$2004,"&lt;&gt;"&amp;C1331)&gt;0),"⚠ Numéro déjà utilisé par un autre prospect",IF(AND(J1331&lt;&gt;"",J1331&lt;A1331),"⚠ Relance avant la date de l'action",IF(A1331&gt;TODAY(),"⚠ Date dans le futur","✓"))))))))</f>
        <v/>
      </c>
      <c r="AS1331" s="61">
        <f>IF(AND(A1331="",C1331="",E1331=""),"",ROW())</f>
        <v/>
      </c>
      <c r="AT1331" s="61">
        <f>IF(E1331&amp;F1331="","",MAX(IFERROR(INDEX('Paramètres'!$J$6:$J$33,MATCH(E1331,'Paramètres'!$I$6:$I$33,0)),0),IFERROR(INDEX('Paramètres'!$N$6:$N$17,MATCH(F1331,'Paramètres'!$M$6:$M$17,0)),0)))</f>
        <v/>
      </c>
      <c r="AU1331" s="61">
        <f>IF(E1331="","",IFERROR(IF(INDEX('Paramètres'!$K$6:$K$33,MATCH(E1331,'Paramètres'!$I$6:$I$33,0))="Oui",1,0),0))</f>
        <v/>
      </c>
      <c r="AV1331" s="61">
        <f>IF(F1331="","",IFERROR(IF(INDEX('Paramètres'!$O$6:$O$17,MATCH(F1331,'Paramètres'!$M$6:$M$17,0))="Oui",1,0),0))</f>
        <v/>
      </c>
      <c r="AW1331" s="62">
        <f>IF(E1331="","",IF(G1331&lt;&gt;"",G1331,IF(OR(E1331="Proposition envoyée",E1331="Signature"),MAX(0,N(IFERROR(INDEX('Paramètres'!$R$6:$R$15,MATCH(IF(AL1331&lt;&gt;"",AL1331,IFERROR(INDEX('Prospects'!$AN$5:$AN$504,MATCH(C1331,'Prospects'!$C$5:$C$504,0)),"")),'Paramètres'!$Q$6:$Q$15,0)),0))-N(P1331)),0)))</f>
        <v/>
      </c>
      <c r="AX1331" s="61">
        <f>IF(C1331="","",IF(COUNTIF($C$5:C1331,C1331)=1,MAX($AX$4:AX1330)+1,""))</f>
        <v/>
      </c>
      <c r="AY1331" s="61">
        <f>IF(B1331="","",HOUR(B1331))</f>
        <v/>
      </c>
      <c r="AZ1331" s="61">
        <f>IF(A1331="","",MOD(A1331-2,7)+1)</f>
        <v/>
      </c>
      <c r="BA1331" s="60">
        <f>IF(C1331="","",IFERROR(INDEX('Prospects'!$N$5:$N$504,MATCH(C1331,'Prospects'!$C$5:$C$504,0)),""))</f>
        <v/>
      </c>
      <c r="BB1331" s="61">
        <f>IF(AND(C1331&lt;&gt;"",C1331='Fiche prospect'!$C$4),COUNTIF($C$5:C1331,C1331),"")</f>
        <v/>
      </c>
    </row>
    <row r="1332">
      <c r="A1332" s="53" t="n"/>
      <c r="B1332" s="54" t="n"/>
      <c r="C1332" s="55" t="n"/>
      <c r="D1332" s="55" t="n"/>
      <c r="E1332" s="55" t="n"/>
      <c r="F1332" s="55" t="n"/>
      <c r="G1332" s="56" t="n"/>
      <c r="H1332" s="57" t="n"/>
      <c r="I1332" s="55" t="n"/>
      <c r="J1332" s="53" t="n"/>
      <c r="K1332" s="54" t="n"/>
      <c r="L1332" s="55" t="n"/>
      <c r="M1332" s="55" t="n"/>
      <c r="N1332" s="57" t="n"/>
      <c r="O1332" s="55" t="n"/>
      <c r="P1332" s="56" t="n"/>
      <c r="Q1332" s="55" t="n"/>
      <c r="R1332" s="55" t="n"/>
      <c r="S1332" s="55" t="n"/>
      <c r="T1332" s="55" t="n"/>
      <c r="U1332" s="55" t="n"/>
      <c r="V1332" s="55" t="n"/>
      <c r="W1332" s="58" t="n"/>
      <c r="X1332" s="58" t="n"/>
      <c r="Y1332" s="55" t="n"/>
      <c r="Z1332" s="55" t="n"/>
      <c r="AA1332" s="55" t="n"/>
      <c r="AB1332" s="55" t="n"/>
      <c r="AC1332" s="55" t="n"/>
      <c r="AD1332" s="53" t="n"/>
      <c r="AE1332" s="55" t="n"/>
      <c r="AF1332" s="55" t="n"/>
      <c r="AG1332" s="59" t="n"/>
      <c r="AH1332" s="57" t="n"/>
      <c r="AI1332" s="55" t="n"/>
      <c r="AJ1332" s="55" t="n"/>
      <c r="AK1332" s="55" t="n"/>
      <c r="AL1332" s="55" t="n"/>
      <c r="AM1332" s="56" t="n"/>
      <c r="AN1332" s="55" t="n"/>
      <c r="AO1332" s="55" t="n"/>
      <c r="AP1332" s="55" t="n"/>
      <c r="AQ1332" s="55" t="n"/>
      <c r="AR1332" s="60">
        <f>IF(AND(C1332="",E1332=""),"",IF(A1332="","⚠ Date manquante",IF(AND(C1332="",E1332&lt;&gt;"Dépense"),"⚠ Prospect manquant",IF(E1332="","⚠ Action manquante",IF(AND(AU1332=1,D1332=""),"⚠ Canal manquant",IF(AND(W1332&lt;&gt;"",COUNTIFS('Saisie'!$W$5:$W$2004,W1332,'Saisie'!$C$5:$C$2004,"&lt;&gt;"&amp;C1332)&gt;0),"⚠ Numéro déjà utilisé par un autre prospect",IF(AND(J1332&lt;&gt;"",J1332&lt;A1332),"⚠ Relance avant la date de l'action",IF(A1332&gt;TODAY(),"⚠ Date dans le futur","✓"))))))))</f>
        <v/>
      </c>
      <c r="AS1332" s="61">
        <f>IF(AND(A1332="",C1332="",E1332=""),"",ROW())</f>
        <v/>
      </c>
      <c r="AT1332" s="61">
        <f>IF(E1332&amp;F1332="","",MAX(IFERROR(INDEX('Paramètres'!$J$6:$J$33,MATCH(E1332,'Paramètres'!$I$6:$I$33,0)),0),IFERROR(INDEX('Paramètres'!$N$6:$N$17,MATCH(F1332,'Paramètres'!$M$6:$M$17,0)),0)))</f>
        <v/>
      </c>
      <c r="AU1332" s="61">
        <f>IF(E1332="","",IFERROR(IF(INDEX('Paramètres'!$K$6:$K$33,MATCH(E1332,'Paramètres'!$I$6:$I$33,0))="Oui",1,0),0))</f>
        <v/>
      </c>
      <c r="AV1332" s="61">
        <f>IF(F1332="","",IFERROR(IF(INDEX('Paramètres'!$O$6:$O$17,MATCH(F1332,'Paramètres'!$M$6:$M$17,0))="Oui",1,0),0))</f>
        <v/>
      </c>
      <c r="AW1332" s="62">
        <f>IF(E1332="","",IF(G1332&lt;&gt;"",G1332,IF(OR(E1332="Proposition envoyée",E1332="Signature"),MAX(0,N(IFERROR(INDEX('Paramètres'!$R$6:$R$15,MATCH(IF(AL1332&lt;&gt;"",AL1332,IFERROR(INDEX('Prospects'!$AN$5:$AN$504,MATCH(C1332,'Prospects'!$C$5:$C$504,0)),"")),'Paramètres'!$Q$6:$Q$15,0)),0))-N(P1332)),0)))</f>
        <v/>
      </c>
      <c r="AX1332" s="61">
        <f>IF(C1332="","",IF(COUNTIF($C$5:C1332,C1332)=1,MAX($AX$4:AX1331)+1,""))</f>
        <v/>
      </c>
      <c r="AY1332" s="61">
        <f>IF(B1332="","",HOUR(B1332))</f>
        <v/>
      </c>
      <c r="AZ1332" s="61">
        <f>IF(A1332="","",MOD(A1332-2,7)+1)</f>
        <v/>
      </c>
      <c r="BA1332" s="60">
        <f>IF(C1332="","",IFERROR(INDEX('Prospects'!$N$5:$N$504,MATCH(C1332,'Prospects'!$C$5:$C$504,0)),""))</f>
        <v/>
      </c>
      <c r="BB1332" s="61">
        <f>IF(AND(C1332&lt;&gt;"",C1332='Fiche prospect'!$C$4),COUNTIF($C$5:C1332,C1332),"")</f>
        <v/>
      </c>
    </row>
    <row r="1333">
      <c r="A1333" s="53" t="n"/>
      <c r="B1333" s="54" t="n"/>
      <c r="C1333" s="55" t="n"/>
      <c r="D1333" s="55" t="n"/>
      <c r="E1333" s="55" t="n"/>
      <c r="F1333" s="55" t="n"/>
      <c r="G1333" s="56" t="n"/>
      <c r="H1333" s="57" t="n"/>
      <c r="I1333" s="55" t="n"/>
      <c r="J1333" s="53" t="n"/>
      <c r="K1333" s="54" t="n"/>
      <c r="L1333" s="55" t="n"/>
      <c r="M1333" s="55" t="n"/>
      <c r="N1333" s="57" t="n"/>
      <c r="O1333" s="55" t="n"/>
      <c r="P1333" s="56" t="n"/>
      <c r="Q1333" s="55" t="n"/>
      <c r="R1333" s="55" t="n"/>
      <c r="S1333" s="55" t="n"/>
      <c r="T1333" s="55" t="n"/>
      <c r="U1333" s="55" t="n"/>
      <c r="V1333" s="55" t="n"/>
      <c r="W1333" s="58" t="n"/>
      <c r="X1333" s="58" t="n"/>
      <c r="Y1333" s="55" t="n"/>
      <c r="Z1333" s="55" t="n"/>
      <c r="AA1333" s="55" t="n"/>
      <c r="AB1333" s="55" t="n"/>
      <c r="AC1333" s="55" t="n"/>
      <c r="AD1333" s="53" t="n"/>
      <c r="AE1333" s="55" t="n"/>
      <c r="AF1333" s="55" t="n"/>
      <c r="AG1333" s="59" t="n"/>
      <c r="AH1333" s="57" t="n"/>
      <c r="AI1333" s="55" t="n"/>
      <c r="AJ1333" s="55" t="n"/>
      <c r="AK1333" s="55" t="n"/>
      <c r="AL1333" s="55" t="n"/>
      <c r="AM1333" s="56" t="n"/>
      <c r="AN1333" s="55" t="n"/>
      <c r="AO1333" s="55" t="n"/>
      <c r="AP1333" s="55" t="n"/>
      <c r="AQ1333" s="55" t="n"/>
      <c r="AR1333" s="60">
        <f>IF(AND(C1333="",E1333=""),"",IF(A1333="","⚠ Date manquante",IF(AND(C1333="",E1333&lt;&gt;"Dépense"),"⚠ Prospect manquant",IF(E1333="","⚠ Action manquante",IF(AND(AU1333=1,D1333=""),"⚠ Canal manquant",IF(AND(W1333&lt;&gt;"",COUNTIFS('Saisie'!$W$5:$W$2004,W1333,'Saisie'!$C$5:$C$2004,"&lt;&gt;"&amp;C1333)&gt;0),"⚠ Numéro déjà utilisé par un autre prospect",IF(AND(J1333&lt;&gt;"",J1333&lt;A1333),"⚠ Relance avant la date de l'action",IF(A1333&gt;TODAY(),"⚠ Date dans le futur","✓"))))))))</f>
        <v/>
      </c>
      <c r="AS1333" s="61">
        <f>IF(AND(A1333="",C1333="",E1333=""),"",ROW())</f>
        <v/>
      </c>
      <c r="AT1333" s="61">
        <f>IF(E1333&amp;F1333="","",MAX(IFERROR(INDEX('Paramètres'!$J$6:$J$33,MATCH(E1333,'Paramètres'!$I$6:$I$33,0)),0),IFERROR(INDEX('Paramètres'!$N$6:$N$17,MATCH(F1333,'Paramètres'!$M$6:$M$17,0)),0)))</f>
        <v/>
      </c>
      <c r="AU1333" s="61">
        <f>IF(E1333="","",IFERROR(IF(INDEX('Paramètres'!$K$6:$K$33,MATCH(E1333,'Paramètres'!$I$6:$I$33,0))="Oui",1,0),0))</f>
        <v/>
      </c>
      <c r="AV1333" s="61">
        <f>IF(F1333="","",IFERROR(IF(INDEX('Paramètres'!$O$6:$O$17,MATCH(F1333,'Paramètres'!$M$6:$M$17,0))="Oui",1,0),0))</f>
        <v/>
      </c>
      <c r="AW1333" s="62">
        <f>IF(E1333="","",IF(G1333&lt;&gt;"",G1333,IF(OR(E1333="Proposition envoyée",E1333="Signature"),MAX(0,N(IFERROR(INDEX('Paramètres'!$R$6:$R$15,MATCH(IF(AL1333&lt;&gt;"",AL1333,IFERROR(INDEX('Prospects'!$AN$5:$AN$504,MATCH(C1333,'Prospects'!$C$5:$C$504,0)),"")),'Paramètres'!$Q$6:$Q$15,0)),0))-N(P1333)),0)))</f>
        <v/>
      </c>
      <c r="AX1333" s="61">
        <f>IF(C1333="","",IF(COUNTIF($C$5:C1333,C1333)=1,MAX($AX$4:AX1332)+1,""))</f>
        <v/>
      </c>
      <c r="AY1333" s="61">
        <f>IF(B1333="","",HOUR(B1333))</f>
        <v/>
      </c>
      <c r="AZ1333" s="61">
        <f>IF(A1333="","",MOD(A1333-2,7)+1)</f>
        <v/>
      </c>
      <c r="BA1333" s="60">
        <f>IF(C1333="","",IFERROR(INDEX('Prospects'!$N$5:$N$504,MATCH(C1333,'Prospects'!$C$5:$C$504,0)),""))</f>
        <v/>
      </c>
      <c r="BB1333" s="61">
        <f>IF(AND(C1333&lt;&gt;"",C1333='Fiche prospect'!$C$4),COUNTIF($C$5:C1333,C1333),"")</f>
        <v/>
      </c>
    </row>
    <row r="1334">
      <c r="A1334" s="53" t="n"/>
      <c r="B1334" s="54" t="n"/>
      <c r="C1334" s="55" t="n"/>
      <c r="D1334" s="55" t="n"/>
      <c r="E1334" s="55" t="n"/>
      <c r="F1334" s="55" t="n"/>
      <c r="G1334" s="56" t="n"/>
      <c r="H1334" s="57" t="n"/>
      <c r="I1334" s="55" t="n"/>
      <c r="J1334" s="53" t="n"/>
      <c r="K1334" s="54" t="n"/>
      <c r="L1334" s="55" t="n"/>
      <c r="M1334" s="55" t="n"/>
      <c r="N1334" s="57" t="n"/>
      <c r="O1334" s="55" t="n"/>
      <c r="P1334" s="56" t="n"/>
      <c r="Q1334" s="55" t="n"/>
      <c r="R1334" s="55" t="n"/>
      <c r="S1334" s="55" t="n"/>
      <c r="T1334" s="55" t="n"/>
      <c r="U1334" s="55" t="n"/>
      <c r="V1334" s="55" t="n"/>
      <c r="W1334" s="58" t="n"/>
      <c r="X1334" s="58" t="n"/>
      <c r="Y1334" s="55" t="n"/>
      <c r="Z1334" s="55" t="n"/>
      <c r="AA1334" s="55" t="n"/>
      <c r="AB1334" s="55" t="n"/>
      <c r="AC1334" s="55" t="n"/>
      <c r="AD1334" s="53" t="n"/>
      <c r="AE1334" s="55" t="n"/>
      <c r="AF1334" s="55" t="n"/>
      <c r="AG1334" s="59" t="n"/>
      <c r="AH1334" s="57" t="n"/>
      <c r="AI1334" s="55" t="n"/>
      <c r="AJ1334" s="55" t="n"/>
      <c r="AK1334" s="55" t="n"/>
      <c r="AL1334" s="55" t="n"/>
      <c r="AM1334" s="56" t="n"/>
      <c r="AN1334" s="55" t="n"/>
      <c r="AO1334" s="55" t="n"/>
      <c r="AP1334" s="55" t="n"/>
      <c r="AQ1334" s="55" t="n"/>
      <c r="AR1334" s="60">
        <f>IF(AND(C1334="",E1334=""),"",IF(A1334="","⚠ Date manquante",IF(AND(C1334="",E1334&lt;&gt;"Dépense"),"⚠ Prospect manquant",IF(E1334="","⚠ Action manquante",IF(AND(AU1334=1,D1334=""),"⚠ Canal manquant",IF(AND(W1334&lt;&gt;"",COUNTIFS('Saisie'!$W$5:$W$2004,W1334,'Saisie'!$C$5:$C$2004,"&lt;&gt;"&amp;C1334)&gt;0),"⚠ Numéro déjà utilisé par un autre prospect",IF(AND(J1334&lt;&gt;"",J1334&lt;A1334),"⚠ Relance avant la date de l'action",IF(A1334&gt;TODAY(),"⚠ Date dans le futur","✓"))))))))</f>
        <v/>
      </c>
      <c r="AS1334" s="61">
        <f>IF(AND(A1334="",C1334="",E1334=""),"",ROW())</f>
        <v/>
      </c>
      <c r="AT1334" s="61">
        <f>IF(E1334&amp;F1334="","",MAX(IFERROR(INDEX('Paramètres'!$J$6:$J$33,MATCH(E1334,'Paramètres'!$I$6:$I$33,0)),0),IFERROR(INDEX('Paramètres'!$N$6:$N$17,MATCH(F1334,'Paramètres'!$M$6:$M$17,0)),0)))</f>
        <v/>
      </c>
      <c r="AU1334" s="61">
        <f>IF(E1334="","",IFERROR(IF(INDEX('Paramètres'!$K$6:$K$33,MATCH(E1334,'Paramètres'!$I$6:$I$33,0))="Oui",1,0),0))</f>
        <v/>
      </c>
      <c r="AV1334" s="61">
        <f>IF(F1334="","",IFERROR(IF(INDEX('Paramètres'!$O$6:$O$17,MATCH(F1334,'Paramètres'!$M$6:$M$17,0))="Oui",1,0),0))</f>
        <v/>
      </c>
      <c r="AW1334" s="62">
        <f>IF(E1334="","",IF(G1334&lt;&gt;"",G1334,IF(OR(E1334="Proposition envoyée",E1334="Signature"),MAX(0,N(IFERROR(INDEX('Paramètres'!$R$6:$R$15,MATCH(IF(AL1334&lt;&gt;"",AL1334,IFERROR(INDEX('Prospects'!$AN$5:$AN$504,MATCH(C1334,'Prospects'!$C$5:$C$504,0)),"")),'Paramètres'!$Q$6:$Q$15,0)),0))-N(P1334)),0)))</f>
        <v/>
      </c>
      <c r="AX1334" s="61">
        <f>IF(C1334="","",IF(COUNTIF($C$5:C1334,C1334)=1,MAX($AX$4:AX1333)+1,""))</f>
        <v/>
      </c>
      <c r="AY1334" s="61">
        <f>IF(B1334="","",HOUR(B1334))</f>
        <v/>
      </c>
      <c r="AZ1334" s="61">
        <f>IF(A1334="","",MOD(A1334-2,7)+1)</f>
        <v/>
      </c>
      <c r="BA1334" s="60">
        <f>IF(C1334="","",IFERROR(INDEX('Prospects'!$N$5:$N$504,MATCH(C1334,'Prospects'!$C$5:$C$504,0)),""))</f>
        <v/>
      </c>
      <c r="BB1334" s="61">
        <f>IF(AND(C1334&lt;&gt;"",C1334='Fiche prospect'!$C$4),COUNTIF($C$5:C1334,C1334),"")</f>
        <v/>
      </c>
    </row>
    <row r="1335">
      <c r="A1335" s="53" t="n"/>
      <c r="B1335" s="54" t="n"/>
      <c r="C1335" s="55" t="n"/>
      <c r="D1335" s="55" t="n"/>
      <c r="E1335" s="55" t="n"/>
      <c r="F1335" s="55" t="n"/>
      <c r="G1335" s="56" t="n"/>
      <c r="H1335" s="57" t="n"/>
      <c r="I1335" s="55" t="n"/>
      <c r="J1335" s="53" t="n"/>
      <c r="K1335" s="54" t="n"/>
      <c r="L1335" s="55" t="n"/>
      <c r="M1335" s="55" t="n"/>
      <c r="N1335" s="57" t="n"/>
      <c r="O1335" s="55" t="n"/>
      <c r="P1335" s="56" t="n"/>
      <c r="Q1335" s="55" t="n"/>
      <c r="R1335" s="55" t="n"/>
      <c r="S1335" s="55" t="n"/>
      <c r="T1335" s="55" t="n"/>
      <c r="U1335" s="55" t="n"/>
      <c r="V1335" s="55" t="n"/>
      <c r="W1335" s="58" t="n"/>
      <c r="X1335" s="58" t="n"/>
      <c r="Y1335" s="55" t="n"/>
      <c r="Z1335" s="55" t="n"/>
      <c r="AA1335" s="55" t="n"/>
      <c r="AB1335" s="55" t="n"/>
      <c r="AC1335" s="55" t="n"/>
      <c r="AD1335" s="53" t="n"/>
      <c r="AE1335" s="55" t="n"/>
      <c r="AF1335" s="55" t="n"/>
      <c r="AG1335" s="59" t="n"/>
      <c r="AH1335" s="57" t="n"/>
      <c r="AI1335" s="55" t="n"/>
      <c r="AJ1335" s="55" t="n"/>
      <c r="AK1335" s="55" t="n"/>
      <c r="AL1335" s="55" t="n"/>
      <c r="AM1335" s="56" t="n"/>
      <c r="AN1335" s="55" t="n"/>
      <c r="AO1335" s="55" t="n"/>
      <c r="AP1335" s="55" t="n"/>
      <c r="AQ1335" s="55" t="n"/>
      <c r="AR1335" s="60">
        <f>IF(AND(C1335="",E1335=""),"",IF(A1335="","⚠ Date manquante",IF(AND(C1335="",E1335&lt;&gt;"Dépense"),"⚠ Prospect manquant",IF(E1335="","⚠ Action manquante",IF(AND(AU1335=1,D1335=""),"⚠ Canal manquant",IF(AND(W1335&lt;&gt;"",COUNTIFS('Saisie'!$W$5:$W$2004,W1335,'Saisie'!$C$5:$C$2004,"&lt;&gt;"&amp;C1335)&gt;0),"⚠ Numéro déjà utilisé par un autre prospect",IF(AND(J1335&lt;&gt;"",J1335&lt;A1335),"⚠ Relance avant la date de l'action",IF(A1335&gt;TODAY(),"⚠ Date dans le futur","✓"))))))))</f>
        <v/>
      </c>
      <c r="AS1335" s="61">
        <f>IF(AND(A1335="",C1335="",E1335=""),"",ROW())</f>
        <v/>
      </c>
      <c r="AT1335" s="61">
        <f>IF(E1335&amp;F1335="","",MAX(IFERROR(INDEX('Paramètres'!$J$6:$J$33,MATCH(E1335,'Paramètres'!$I$6:$I$33,0)),0),IFERROR(INDEX('Paramètres'!$N$6:$N$17,MATCH(F1335,'Paramètres'!$M$6:$M$17,0)),0)))</f>
        <v/>
      </c>
      <c r="AU1335" s="61">
        <f>IF(E1335="","",IFERROR(IF(INDEX('Paramètres'!$K$6:$K$33,MATCH(E1335,'Paramètres'!$I$6:$I$33,0))="Oui",1,0),0))</f>
        <v/>
      </c>
      <c r="AV1335" s="61">
        <f>IF(F1335="","",IFERROR(IF(INDEX('Paramètres'!$O$6:$O$17,MATCH(F1335,'Paramètres'!$M$6:$M$17,0))="Oui",1,0),0))</f>
        <v/>
      </c>
      <c r="AW1335" s="62">
        <f>IF(E1335="","",IF(G1335&lt;&gt;"",G1335,IF(OR(E1335="Proposition envoyée",E1335="Signature"),MAX(0,N(IFERROR(INDEX('Paramètres'!$R$6:$R$15,MATCH(IF(AL1335&lt;&gt;"",AL1335,IFERROR(INDEX('Prospects'!$AN$5:$AN$504,MATCH(C1335,'Prospects'!$C$5:$C$504,0)),"")),'Paramètres'!$Q$6:$Q$15,0)),0))-N(P1335)),0)))</f>
        <v/>
      </c>
      <c r="AX1335" s="61">
        <f>IF(C1335="","",IF(COUNTIF($C$5:C1335,C1335)=1,MAX($AX$4:AX1334)+1,""))</f>
        <v/>
      </c>
      <c r="AY1335" s="61">
        <f>IF(B1335="","",HOUR(B1335))</f>
        <v/>
      </c>
      <c r="AZ1335" s="61">
        <f>IF(A1335="","",MOD(A1335-2,7)+1)</f>
        <v/>
      </c>
      <c r="BA1335" s="60">
        <f>IF(C1335="","",IFERROR(INDEX('Prospects'!$N$5:$N$504,MATCH(C1335,'Prospects'!$C$5:$C$504,0)),""))</f>
        <v/>
      </c>
      <c r="BB1335" s="61">
        <f>IF(AND(C1335&lt;&gt;"",C1335='Fiche prospect'!$C$4),COUNTIF($C$5:C1335,C1335),"")</f>
        <v/>
      </c>
    </row>
    <row r="1336">
      <c r="A1336" s="53" t="n"/>
      <c r="B1336" s="54" t="n"/>
      <c r="C1336" s="55" t="n"/>
      <c r="D1336" s="55" t="n"/>
      <c r="E1336" s="55" t="n"/>
      <c r="F1336" s="55" t="n"/>
      <c r="G1336" s="56" t="n"/>
      <c r="H1336" s="57" t="n"/>
      <c r="I1336" s="55" t="n"/>
      <c r="J1336" s="53" t="n"/>
      <c r="K1336" s="54" t="n"/>
      <c r="L1336" s="55" t="n"/>
      <c r="M1336" s="55" t="n"/>
      <c r="N1336" s="57" t="n"/>
      <c r="O1336" s="55" t="n"/>
      <c r="P1336" s="56" t="n"/>
      <c r="Q1336" s="55" t="n"/>
      <c r="R1336" s="55" t="n"/>
      <c r="S1336" s="55" t="n"/>
      <c r="T1336" s="55" t="n"/>
      <c r="U1336" s="55" t="n"/>
      <c r="V1336" s="55" t="n"/>
      <c r="W1336" s="58" t="n"/>
      <c r="X1336" s="58" t="n"/>
      <c r="Y1336" s="55" t="n"/>
      <c r="Z1336" s="55" t="n"/>
      <c r="AA1336" s="55" t="n"/>
      <c r="AB1336" s="55" t="n"/>
      <c r="AC1336" s="55" t="n"/>
      <c r="AD1336" s="53" t="n"/>
      <c r="AE1336" s="55" t="n"/>
      <c r="AF1336" s="55" t="n"/>
      <c r="AG1336" s="59" t="n"/>
      <c r="AH1336" s="57" t="n"/>
      <c r="AI1336" s="55" t="n"/>
      <c r="AJ1336" s="55" t="n"/>
      <c r="AK1336" s="55" t="n"/>
      <c r="AL1336" s="55" t="n"/>
      <c r="AM1336" s="56" t="n"/>
      <c r="AN1336" s="55" t="n"/>
      <c r="AO1336" s="55" t="n"/>
      <c r="AP1336" s="55" t="n"/>
      <c r="AQ1336" s="55" t="n"/>
      <c r="AR1336" s="60">
        <f>IF(AND(C1336="",E1336=""),"",IF(A1336="","⚠ Date manquante",IF(AND(C1336="",E1336&lt;&gt;"Dépense"),"⚠ Prospect manquant",IF(E1336="","⚠ Action manquante",IF(AND(AU1336=1,D1336=""),"⚠ Canal manquant",IF(AND(W1336&lt;&gt;"",COUNTIFS('Saisie'!$W$5:$W$2004,W1336,'Saisie'!$C$5:$C$2004,"&lt;&gt;"&amp;C1336)&gt;0),"⚠ Numéro déjà utilisé par un autre prospect",IF(AND(J1336&lt;&gt;"",J1336&lt;A1336),"⚠ Relance avant la date de l'action",IF(A1336&gt;TODAY(),"⚠ Date dans le futur","✓"))))))))</f>
        <v/>
      </c>
      <c r="AS1336" s="61">
        <f>IF(AND(A1336="",C1336="",E1336=""),"",ROW())</f>
        <v/>
      </c>
      <c r="AT1336" s="61">
        <f>IF(E1336&amp;F1336="","",MAX(IFERROR(INDEX('Paramètres'!$J$6:$J$33,MATCH(E1336,'Paramètres'!$I$6:$I$33,0)),0),IFERROR(INDEX('Paramètres'!$N$6:$N$17,MATCH(F1336,'Paramètres'!$M$6:$M$17,0)),0)))</f>
        <v/>
      </c>
      <c r="AU1336" s="61">
        <f>IF(E1336="","",IFERROR(IF(INDEX('Paramètres'!$K$6:$K$33,MATCH(E1336,'Paramètres'!$I$6:$I$33,0))="Oui",1,0),0))</f>
        <v/>
      </c>
      <c r="AV1336" s="61">
        <f>IF(F1336="","",IFERROR(IF(INDEX('Paramètres'!$O$6:$O$17,MATCH(F1336,'Paramètres'!$M$6:$M$17,0))="Oui",1,0),0))</f>
        <v/>
      </c>
      <c r="AW1336" s="62">
        <f>IF(E1336="","",IF(G1336&lt;&gt;"",G1336,IF(OR(E1336="Proposition envoyée",E1336="Signature"),MAX(0,N(IFERROR(INDEX('Paramètres'!$R$6:$R$15,MATCH(IF(AL1336&lt;&gt;"",AL1336,IFERROR(INDEX('Prospects'!$AN$5:$AN$504,MATCH(C1336,'Prospects'!$C$5:$C$504,0)),"")),'Paramètres'!$Q$6:$Q$15,0)),0))-N(P1336)),0)))</f>
        <v/>
      </c>
      <c r="AX1336" s="61">
        <f>IF(C1336="","",IF(COUNTIF($C$5:C1336,C1336)=1,MAX($AX$4:AX1335)+1,""))</f>
        <v/>
      </c>
      <c r="AY1336" s="61">
        <f>IF(B1336="","",HOUR(B1336))</f>
        <v/>
      </c>
      <c r="AZ1336" s="61">
        <f>IF(A1336="","",MOD(A1336-2,7)+1)</f>
        <v/>
      </c>
      <c r="BA1336" s="60">
        <f>IF(C1336="","",IFERROR(INDEX('Prospects'!$N$5:$N$504,MATCH(C1336,'Prospects'!$C$5:$C$504,0)),""))</f>
        <v/>
      </c>
      <c r="BB1336" s="61">
        <f>IF(AND(C1336&lt;&gt;"",C1336='Fiche prospect'!$C$4),COUNTIF($C$5:C1336,C1336),"")</f>
        <v/>
      </c>
    </row>
    <row r="1337">
      <c r="A1337" s="53" t="n"/>
      <c r="B1337" s="54" t="n"/>
      <c r="C1337" s="55" t="n"/>
      <c r="D1337" s="55" t="n"/>
      <c r="E1337" s="55" t="n"/>
      <c r="F1337" s="55" t="n"/>
      <c r="G1337" s="56" t="n"/>
      <c r="H1337" s="57" t="n"/>
      <c r="I1337" s="55" t="n"/>
      <c r="J1337" s="53" t="n"/>
      <c r="K1337" s="54" t="n"/>
      <c r="L1337" s="55" t="n"/>
      <c r="M1337" s="55" t="n"/>
      <c r="N1337" s="57" t="n"/>
      <c r="O1337" s="55" t="n"/>
      <c r="P1337" s="56" t="n"/>
      <c r="Q1337" s="55" t="n"/>
      <c r="R1337" s="55" t="n"/>
      <c r="S1337" s="55" t="n"/>
      <c r="T1337" s="55" t="n"/>
      <c r="U1337" s="55" t="n"/>
      <c r="V1337" s="55" t="n"/>
      <c r="W1337" s="58" t="n"/>
      <c r="X1337" s="58" t="n"/>
      <c r="Y1337" s="55" t="n"/>
      <c r="Z1337" s="55" t="n"/>
      <c r="AA1337" s="55" t="n"/>
      <c r="AB1337" s="55" t="n"/>
      <c r="AC1337" s="55" t="n"/>
      <c r="AD1337" s="53" t="n"/>
      <c r="AE1337" s="55" t="n"/>
      <c r="AF1337" s="55" t="n"/>
      <c r="AG1337" s="59" t="n"/>
      <c r="AH1337" s="57" t="n"/>
      <c r="AI1337" s="55" t="n"/>
      <c r="AJ1337" s="55" t="n"/>
      <c r="AK1337" s="55" t="n"/>
      <c r="AL1337" s="55" t="n"/>
      <c r="AM1337" s="56" t="n"/>
      <c r="AN1337" s="55" t="n"/>
      <c r="AO1337" s="55" t="n"/>
      <c r="AP1337" s="55" t="n"/>
      <c r="AQ1337" s="55" t="n"/>
      <c r="AR1337" s="60">
        <f>IF(AND(C1337="",E1337=""),"",IF(A1337="","⚠ Date manquante",IF(AND(C1337="",E1337&lt;&gt;"Dépense"),"⚠ Prospect manquant",IF(E1337="","⚠ Action manquante",IF(AND(AU1337=1,D1337=""),"⚠ Canal manquant",IF(AND(W1337&lt;&gt;"",COUNTIFS('Saisie'!$W$5:$W$2004,W1337,'Saisie'!$C$5:$C$2004,"&lt;&gt;"&amp;C1337)&gt;0),"⚠ Numéro déjà utilisé par un autre prospect",IF(AND(J1337&lt;&gt;"",J1337&lt;A1337),"⚠ Relance avant la date de l'action",IF(A1337&gt;TODAY(),"⚠ Date dans le futur","✓"))))))))</f>
        <v/>
      </c>
      <c r="AS1337" s="61">
        <f>IF(AND(A1337="",C1337="",E1337=""),"",ROW())</f>
        <v/>
      </c>
      <c r="AT1337" s="61">
        <f>IF(E1337&amp;F1337="","",MAX(IFERROR(INDEX('Paramètres'!$J$6:$J$33,MATCH(E1337,'Paramètres'!$I$6:$I$33,0)),0),IFERROR(INDEX('Paramètres'!$N$6:$N$17,MATCH(F1337,'Paramètres'!$M$6:$M$17,0)),0)))</f>
        <v/>
      </c>
      <c r="AU1337" s="61">
        <f>IF(E1337="","",IFERROR(IF(INDEX('Paramètres'!$K$6:$K$33,MATCH(E1337,'Paramètres'!$I$6:$I$33,0))="Oui",1,0),0))</f>
        <v/>
      </c>
      <c r="AV1337" s="61">
        <f>IF(F1337="","",IFERROR(IF(INDEX('Paramètres'!$O$6:$O$17,MATCH(F1337,'Paramètres'!$M$6:$M$17,0))="Oui",1,0),0))</f>
        <v/>
      </c>
      <c r="AW1337" s="62">
        <f>IF(E1337="","",IF(G1337&lt;&gt;"",G1337,IF(OR(E1337="Proposition envoyée",E1337="Signature"),MAX(0,N(IFERROR(INDEX('Paramètres'!$R$6:$R$15,MATCH(IF(AL1337&lt;&gt;"",AL1337,IFERROR(INDEX('Prospects'!$AN$5:$AN$504,MATCH(C1337,'Prospects'!$C$5:$C$504,0)),"")),'Paramètres'!$Q$6:$Q$15,0)),0))-N(P1337)),0)))</f>
        <v/>
      </c>
      <c r="AX1337" s="61">
        <f>IF(C1337="","",IF(COUNTIF($C$5:C1337,C1337)=1,MAX($AX$4:AX1336)+1,""))</f>
        <v/>
      </c>
      <c r="AY1337" s="61">
        <f>IF(B1337="","",HOUR(B1337))</f>
        <v/>
      </c>
      <c r="AZ1337" s="61">
        <f>IF(A1337="","",MOD(A1337-2,7)+1)</f>
        <v/>
      </c>
      <c r="BA1337" s="60">
        <f>IF(C1337="","",IFERROR(INDEX('Prospects'!$N$5:$N$504,MATCH(C1337,'Prospects'!$C$5:$C$504,0)),""))</f>
        <v/>
      </c>
      <c r="BB1337" s="61">
        <f>IF(AND(C1337&lt;&gt;"",C1337='Fiche prospect'!$C$4),COUNTIF($C$5:C1337,C1337),"")</f>
        <v/>
      </c>
    </row>
    <row r="1338">
      <c r="A1338" s="53" t="n"/>
      <c r="B1338" s="54" t="n"/>
      <c r="C1338" s="55" t="n"/>
      <c r="D1338" s="55" t="n"/>
      <c r="E1338" s="55" t="n"/>
      <c r="F1338" s="55" t="n"/>
      <c r="G1338" s="56" t="n"/>
      <c r="H1338" s="57" t="n"/>
      <c r="I1338" s="55" t="n"/>
      <c r="J1338" s="53" t="n"/>
      <c r="K1338" s="54" t="n"/>
      <c r="L1338" s="55" t="n"/>
      <c r="M1338" s="55" t="n"/>
      <c r="N1338" s="57" t="n"/>
      <c r="O1338" s="55" t="n"/>
      <c r="P1338" s="56" t="n"/>
      <c r="Q1338" s="55" t="n"/>
      <c r="R1338" s="55" t="n"/>
      <c r="S1338" s="55" t="n"/>
      <c r="T1338" s="55" t="n"/>
      <c r="U1338" s="55" t="n"/>
      <c r="V1338" s="55" t="n"/>
      <c r="W1338" s="58" t="n"/>
      <c r="X1338" s="58" t="n"/>
      <c r="Y1338" s="55" t="n"/>
      <c r="Z1338" s="55" t="n"/>
      <c r="AA1338" s="55" t="n"/>
      <c r="AB1338" s="55" t="n"/>
      <c r="AC1338" s="55" t="n"/>
      <c r="AD1338" s="53" t="n"/>
      <c r="AE1338" s="55" t="n"/>
      <c r="AF1338" s="55" t="n"/>
      <c r="AG1338" s="59" t="n"/>
      <c r="AH1338" s="57" t="n"/>
      <c r="AI1338" s="55" t="n"/>
      <c r="AJ1338" s="55" t="n"/>
      <c r="AK1338" s="55" t="n"/>
      <c r="AL1338" s="55" t="n"/>
      <c r="AM1338" s="56" t="n"/>
      <c r="AN1338" s="55" t="n"/>
      <c r="AO1338" s="55" t="n"/>
      <c r="AP1338" s="55" t="n"/>
      <c r="AQ1338" s="55" t="n"/>
      <c r="AR1338" s="60">
        <f>IF(AND(C1338="",E1338=""),"",IF(A1338="","⚠ Date manquante",IF(AND(C1338="",E1338&lt;&gt;"Dépense"),"⚠ Prospect manquant",IF(E1338="","⚠ Action manquante",IF(AND(AU1338=1,D1338=""),"⚠ Canal manquant",IF(AND(W1338&lt;&gt;"",COUNTIFS('Saisie'!$W$5:$W$2004,W1338,'Saisie'!$C$5:$C$2004,"&lt;&gt;"&amp;C1338)&gt;0),"⚠ Numéro déjà utilisé par un autre prospect",IF(AND(J1338&lt;&gt;"",J1338&lt;A1338),"⚠ Relance avant la date de l'action",IF(A1338&gt;TODAY(),"⚠ Date dans le futur","✓"))))))))</f>
        <v/>
      </c>
      <c r="AS1338" s="61">
        <f>IF(AND(A1338="",C1338="",E1338=""),"",ROW())</f>
        <v/>
      </c>
      <c r="AT1338" s="61">
        <f>IF(E1338&amp;F1338="","",MAX(IFERROR(INDEX('Paramètres'!$J$6:$J$33,MATCH(E1338,'Paramètres'!$I$6:$I$33,0)),0),IFERROR(INDEX('Paramètres'!$N$6:$N$17,MATCH(F1338,'Paramètres'!$M$6:$M$17,0)),0)))</f>
        <v/>
      </c>
      <c r="AU1338" s="61">
        <f>IF(E1338="","",IFERROR(IF(INDEX('Paramètres'!$K$6:$K$33,MATCH(E1338,'Paramètres'!$I$6:$I$33,0))="Oui",1,0),0))</f>
        <v/>
      </c>
      <c r="AV1338" s="61">
        <f>IF(F1338="","",IFERROR(IF(INDEX('Paramètres'!$O$6:$O$17,MATCH(F1338,'Paramètres'!$M$6:$M$17,0))="Oui",1,0),0))</f>
        <v/>
      </c>
      <c r="AW1338" s="62">
        <f>IF(E1338="","",IF(G1338&lt;&gt;"",G1338,IF(OR(E1338="Proposition envoyée",E1338="Signature"),MAX(0,N(IFERROR(INDEX('Paramètres'!$R$6:$R$15,MATCH(IF(AL1338&lt;&gt;"",AL1338,IFERROR(INDEX('Prospects'!$AN$5:$AN$504,MATCH(C1338,'Prospects'!$C$5:$C$504,0)),"")),'Paramètres'!$Q$6:$Q$15,0)),0))-N(P1338)),0)))</f>
        <v/>
      </c>
      <c r="AX1338" s="61">
        <f>IF(C1338="","",IF(COUNTIF($C$5:C1338,C1338)=1,MAX($AX$4:AX1337)+1,""))</f>
        <v/>
      </c>
      <c r="AY1338" s="61">
        <f>IF(B1338="","",HOUR(B1338))</f>
        <v/>
      </c>
      <c r="AZ1338" s="61">
        <f>IF(A1338="","",MOD(A1338-2,7)+1)</f>
        <v/>
      </c>
      <c r="BA1338" s="60">
        <f>IF(C1338="","",IFERROR(INDEX('Prospects'!$N$5:$N$504,MATCH(C1338,'Prospects'!$C$5:$C$504,0)),""))</f>
        <v/>
      </c>
      <c r="BB1338" s="61">
        <f>IF(AND(C1338&lt;&gt;"",C1338='Fiche prospect'!$C$4),COUNTIF($C$5:C1338,C1338),"")</f>
        <v/>
      </c>
    </row>
    <row r="1339">
      <c r="A1339" s="53" t="n"/>
      <c r="B1339" s="54" t="n"/>
      <c r="C1339" s="55" t="n"/>
      <c r="D1339" s="55" t="n"/>
      <c r="E1339" s="55" t="n"/>
      <c r="F1339" s="55" t="n"/>
      <c r="G1339" s="56" t="n"/>
      <c r="H1339" s="57" t="n"/>
      <c r="I1339" s="55" t="n"/>
      <c r="J1339" s="53" t="n"/>
      <c r="K1339" s="54" t="n"/>
      <c r="L1339" s="55" t="n"/>
      <c r="M1339" s="55" t="n"/>
      <c r="N1339" s="57" t="n"/>
      <c r="O1339" s="55" t="n"/>
      <c r="P1339" s="56" t="n"/>
      <c r="Q1339" s="55" t="n"/>
      <c r="R1339" s="55" t="n"/>
      <c r="S1339" s="55" t="n"/>
      <c r="T1339" s="55" t="n"/>
      <c r="U1339" s="55" t="n"/>
      <c r="V1339" s="55" t="n"/>
      <c r="W1339" s="58" t="n"/>
      <c r="X1339" s="58" t="n"/>
      <c r="Y1339" s="55" t="n"/>
      <c r="Z1339" s="55" t="n"/>
      <c r="AA1339" s="55" t="n"/>
      <c r="AB1339" s="55" t="n"/>
      <c r="AC1339" s="55" t="n"/>
      <c r="AD1339" s="53" t="n"/>
      <c r="AE1339" s="55" t="n"/>
      <c r="AF1339" s="55" t="n"/>
      <c r="AG1339" s="59" t="n"/>
      <c r="AH1339" s="57" t="n"/>
      <c r="AI1339" s="55" t="n"/>
      <c r="AJ1339" s="55" t="n"/>
      <c r="AK1339" s="55" t="n"/>
      <c r="AL1339" s="55" t="n"/>
      <c r="AM1339" s="56" t="n"/>
      <c r="AN1339" s="55" t="n"/>
      <c r="AO1339" s="55" t="n"/>
      <c r="AP1339" s="55" t="n"/>
      <c r="AQ1339" s="55" t="n"/>
      <c r="AR1339" s="60">
        <f>IF(AND(C1339="",E1339=""),"",IF(A1339="","⚠ Date manquante",IF(AND(C1339="",E1339&lt;&gt;"Dépense"),"⚠ Prospect manquant",IF(E1339="","⚠ Action manquante",IF(AND(AU1339=1,D1339=""),"⚠ Canal manquant",IF(AND(W1339&lt;&gt;"",COUNTIFS('Saisie'!$W$5:$W$2004,W1339,'Saisie'!$C$5:$C$2004,"&lt;&gt;"&amp;C1339)&gt;0),"⚠ Numéro déjà utilisé par un autre prospect",IF(AND(J1339&lt;&gt;"",J1339&lt;A1339),"⚠ Relance avant la date de l'action",IF(A1339&gt;TODAY(),"⚠ Date dans le futur","✓"))))))))</f>
        <v/>
      </c>
      <c r="AS1339" s="61">
        <f>IF(AND(A1339="",C1339="",E1339=""),"",ROW())</f>
        <v/>
      </c>
      <c r="AT1339" s="61">
        <f>IF(E1339&amp;F1339="","",MAX(IFERROR(INDEX('Paramètres'!$J$6:$J$33,MATCH(E1339,'Paramètres'!$I$6:$I$33,0)),0),IFERROR(INDEX('Paramètres'!$N$6:$N$17,MATCH(F1339,'Paramètres'!$M$6:$M$17,0)),0)))</f>
        <v/>
      </c>
      <c r="AU1339" s="61">
        <f>IF(E1339="","",IFERROR(IF(INDEX('Paramètres'!$K$6:$K$33,MATCH(E1339,'Paramètres'!$I$6:$I$33,0))="Oui",1,0),0))</f>
        <v/>
      </c>
      <c r="AV1339" s="61">
        <f>IF(F1339="","",IFERROR(IF(INDEX('Paramètres'!$O$6:$O$17,MATCH(F1339,'Paramètres'!$M$6:$M$17,0))="Oui",1,0),0))</f>
        <v/>
      </c>
      <c r="AW1339" s="62">
        <f>IF(E1339="","",IF(G1339&lt;&gt;"",G1339,IF(OR(E1339="Proposition envoyée",E1339="Signature"),MAX(0,N(IFERROR(INDEX('Paramètres'!$R$6:$R$15,MATCH(IF(AL1339&lt;&gt;"",AL1339,IFERROR(INDEX('Prospects'!$AN$5:$AN$504,MATCH(C1339,'Prospects'!$C$5:$C$504,0)),"")),'Paramètres'!$Q$6:$Q$15,0)),0))-N(P1339)),0)))</f>
        <v/>
      </c>
      <c r="AX1339" s="61">
        <f>IF(C1339="","",IF(COUNTIF($C$5:C1339,C1339)=1,MAX($AX$4:AX1338)+1,""))</f>
        <v/>
      </c>
      <c r="AY1339" s="61">
        <f>IF(B1339="","",HOUR(B1339))</f>
        <v/>
      </c>
      <c r="AZ1339" s="61">
        <f>IF(A1339="","",MOD(A1339-2,7)+1)</f>
        <v/>
      </c>
      <c r="BA1339" s="60">
        <f>IF(C1339="","",IFERROR(INDEX('Prospects'!$N$5:$N$504,MATCH(C1339,'Prospects'!$C$5:$C$504,0)),""))</f>
        <v/>
      </c>
      <c r="BB1339" s="61">
        <f>IF(AND(C1339&lt;&gt;"",C1339='Fiche prospect'!$C$4),COUNTIF($C$5:C1339,C1339),"")</f>
        <v/>
      </c>
    </row>
    <row r="1340">
      <c r="A1340" s="53" t="n"/>
      <c r="B1340" s="54" t="n"/>
      <c r="C1340" s="55" t="n"/>
      <c r="D1340" s="55" t="n"/>
      <c r="E1340" s="55" t="n"/>
      <c r="F1340" s="55" t="n"/>
      <c r="G1340" s="56" t="n"/>
      <c r="H1340" s="57" t="n"/>
      <c r="I1340" s="55" t="n"/>
      <c r="J1340" s="53" t="n"/>
      <c r="K1340" s="54" t="n"/>
      <c r="L1340" s="55" t="n"/>
      <c r="M1340" s="55" t="n"/>
      <c r="N1340" s="57" t="n"/>
      <c r="O1340" s="55" t="n"/>
      <c r="P1340" s="56" t="n"/>
      <c r="Q1340" s="55" t="n"/>
      <c r="R1340" s="55" t="n"/>
      <c r="S1340" s="55" t="n"/>
      <c r="T1340" s="55" t="n"/>
      <c r="U1340" s="55" t="n"/>
      <c r="V1340" s="55" t="n"/>
      <c r="W1340" s="58" t="n"/>
      <c r="X1340" s="58" t="n"/>
      <c r="Y1340" s="55" t="n"/>
      <c r="Z1340" s="55" t="n"/>
      <c r="AA1340" s="55" t="n"/>
      <c r="AB1340" s="55" t="n"/>
      <c r="AC1340" s="55" t="n"/>
      <c r="AD1340" s="53" t="n"/>
      <c r="AE1340" s="55" t="n"/>
      <c r="AF1340" s="55" t="n"/>
      <c r="AG1340" s="59" t="n"/>
      <c r="AH1340" s="57" t="n"/>
      <c r="AI1340" s="55" t="n"/>
      <c r="AJ1340" s="55" t="n"/>
      <c r="AK1340" s="55" t="n"/>
      <c r="AL1340" s="55" t="n"/>
      <c r="AM1340" s="56" t="n"/>
      <c r="AN1340" s="55" t="n"/>
      <c r="AO1340" s="55" t="n"/>
      <c r="AP1340" s="55" t="n"/>
      <c r="AQ1340" s="55" t="n"/>
      <c r="AR1340" s="60">
        <f>IF(AND(C1340="",E1340=""),"",IF(A1340="","⚠ Date manquante",IF(AND(C1340="",E1340&lt;&gt;"Dépense"),"⚠ Prospect manquant",IF(E1340="","⚠ Action manquante",IF(AND(AU1340=1,D1340=""),"⚠ Canal manquant",IF(AND(W1340&lt;&gt;"",COUNTIFS('Saisie'!$W$5:$W$2004,W1340,'Saisie'!$C$5:$C$2004,"&lt;&gt;"&amp;C1340)&gt;0),"⚠ Numéro déjà utilisé par un autre prospect",IF(AND(J1340&lt;&gt;"",J1340&lt;A1340),"⚠ Relance avant la date de l'action",IF(A1340&gt;TODAY(),"⚠ Date dans le futur","✓"))))))))</f>
        <v/>
      </c>
      <c r="AS1340" s="61">
        <f>IF(AND(A1340="",C1340="",E1340=""),"",ROW())</f>
        <v/>
      </c>
      <c r="AT1340" s="61">
        <f>IF(E1340&amp;F1340="","",MAX(IFERROR(INDEX('Paramètres'!$J$6:$J$33,MATCH(E1340,'Paramètres'!$I$6:$I$33,0)),0),IFERROR(INDEX('Paramètres'!$N$6:$N$17,MATCH(F1340,'Paramètres'!$M$6:$M$17,0)),0)))</f>
        <v/>
      </c>
      <c r="AU1340" s="61">
        <f>IF(E1340="","",IFERROR(IF(INDEX('Paramètres'!$K$6:$K$33,MATCH(E1340,'Paramètres'!$I$6:$I$33,0))="Oui",1,0),0))</f>
        <v/>
      </c>
      <c r="AV1340" s="61">
        <f>IF(F1340="","",IFERROR(IF(INDEX('Paramètres'!$O$6:$O$17,MATCH(F1340,'Paramètres'!$M$6:$M$17,0))="Oui",1,0),0))</f>
        <v/>
      </c>
      <c r="AW1340" s="62">
        <f>IF(E1340="","",IF(G1340&lt;&gt;"",G1340,IF(OR(E1340="Proposition envoyée",E1340="Signature"),MAX(0,N(IFERROR(INDEX('Paramètres'!$R$6:$R$15,MATCH(IF(AL1340&lt;&gt;"",AL1340,IFERROR(INDEX('Prospects'!$AN$5:$AN$504,MATCH(C1340,'Prospects'!$C$5:$C$504,0)),"")),'Paramètres'!$Q$6:$Q$15,0)),0))-N(P1340)),0)))</f>
        <v/>
      </c>
      <c r="AX1340" s="61">
        <f>IF(C1340="","",IF(COUNTIF($C$5:C1340,C1340)=1,MAX($AX$4:AX1339)+1,""))</f>
        <v/>
      </c>
      <c r="AY1340" s="61">
        <f>IF(B1340="","",HOUR(B1340))</f>
        <v/>
      </c>
      <c r="AZ1340" s="61">
        <f>IF(A1340="","",MOD(A1340-2,7)+1)</f>
        <v/>
      </c>
      <c r="BA1340" s="60">
        <f>IF(C1340="","",IFERROR(INDEX('Prospects'!$N$5:$N$504,MATCH(C1340,'Prospects'!$C$5:$C$504,0)),""))</f>
        <v/>
      </c>
      <c r="BB1340" s="61">
        <f>IF(AND(C1340&lt;&gt;"",C1340='Fiche prospect'!$C$4),COUNTIF($C$5:C1340,C1340),"")</f>
        <v/>
      </c>
    </row>
    <row r="1341">
      <c r="A1341" s="53" t="n"/>
      <c r="B1341" s="54" t="n"/>
      <c r="C1341" s="55" t="n"/>
      <c r="D1341" s="55" t="n"/>
      <c r="E1341" s="55" t="n"/>
      <c r="F1341" s="55" t="n"/>
      <c r="G1341" s="56" t="n"/>
      <c r="H1341" s="57" t="n"/>
      <c r="I1341" s="55" t="n"/>
      <c r="J1341" s="53" t="n"/>
      <c r="K1341" s="54" t="n"/>
      <c r="L1341" s="55" t="n"/>
      <c r="M1341" s="55" t="n"/>
      <c r="N1341" s="57" t="n"/>
      <c r="O1341" s="55" t="n"/>
      <c r="P1341" s="56" t="n"/>
      <c r="Q1341" s="55" t="n"/>
      <c r="R1341" s="55" t="n"/>
      <c r="S1341" s="55" t="n"/>
      <c r="T1341" s="55" t="n"/>
      <c r="U1341" s="55" t="n"/>
      <c r="V1341" s="55" t="n"/>
      <c r="W1341" s="58" t="n"/>
      <c r="X1341" s="58" t="n"/>
      <c r="Y1341" s="55" t="n"/>
      <c r="Z1341" s="55" t="n"/>
      <c r="AA1341" s="55" t="n"/>
      <c r="AB1341" s="55" t="n"/>
      <c r="AC1341" s="55" t="n"/>
      <c r="AD1341" s="53" t="n"/>
      <c r="AE1341" s="55" t="n"/>
      <c r="AF1341" s="55" t="n"/>
      <c r="AG1341" s="59" t="n"/>
      <c r="AH1341" s="57" t="n"/>
      <c r="AI1341" s="55" t="n"/>
      <c r="AJ1341" s="55" t="n"/>
      <c r="AK1341" s="55" t="n"/>
      <c r="AL1341" s="55" t="n"/>
      <c r="AM1341" s="56" t="n"/>
      <c r="AN1341" s="55" t="n"/>
      <c r="AO1341" s="55" t="n"/>
      <c r="AP1341" s="55" t="n"/>
      <c r="AQ1341" s="55" t="n"/>
      <c r="AR1341" s="60">
        <f>IF(AND(C1341="",E1341=""),"",IF(A1341="","⚠ Date manquante",IF(AND(C1341="",E1341&lt;&gt;"Dépense"),"⚠ Prospect manquant",IF(E1341="","⚠ Action manquante",IF(AND(AU1341=1,D1341=""),"⚠ Canal manquant",IF(AND(W1341&lt;&gt;"",COUNTIFS('Saisie'!$W$5:$W$2004,W1341,'Saisie'!$C$5:$C$2004,"&lt;&gt;"&amp;C1341)&gt;0),"⚠ Numéro déjà utilisé par un autre prospect",IF(AND(J1341&lt;&gt;"",J1341&lt;A1341),"⚠ Relance avant la date de l'action",IF(A1341&gt;TODAY(),"⚠ Date dans le futur","✓"))))))))</f>
        <v/>
      </c>
      <c r="AS1341" s="61">
        <f>IF(AND(A1341="",C1341="",E1341=""),"",ROW())</f>
        <v/>
      </c>
      <c r="AT1341" s="61">
        <f>IF(E1341&amp;F1341="","",MAX(IFERROR(INDEX('Paramètres'!$J$6:$J$33,MATCH(E1341,'Paramètres'!$I$6:$I$33,0)),0),IFERROR(INDEX('Paramètres'!$N$6:$N$17,MATCH(F1341,'Paramètres'!$M$6:$M$17,0)),0)))</f>
        <v/>
      </c>
      <c r="AU1341" s="61">
        <f>IF(E1341="","",IFERROR(IF(INDEX('Paramètres'!$K$6:$K$33,MATCH(E1341,'Paramètres'!$I$6:$I$33,0))="Oui",1,0),0))</f>
        <v/>
      </c>
      <c r="AV1341" s="61">
        <f>IF(F1341="","",IFERROR(IF(INDEX('Paramètres'!$O$6:$O$17,MATCH(F1341,'Paramètres'!$M$6:$M$17,0))="Oui",1,0),0))</f>
        <v/>
      </c>
      <c r="AW1341" s="62">
        <f>IF(E1341="","",IF(G1341&lt;&gt;"",G1341,IF(OR(E1341="Proposition envoyée",E1341="Signature"),MAX(0,N(IFERROR(INDEX('Paramètres'!$R$6:$R$15,MATCH(IF(AL1341&lt;&gt;"",AL1341,IFERROR(INDEX('Prospects'!$AN$5:$AN$504,MATCH(C1341,'Prospects'!$C$5:$C$504,0)),"")),'Paramètres'!$Q$6:$Q$15,0)),0))-N(P1341)),0)))</f>
        <v/>
      </c>
      <c r="AX1341" s="61">
        <f>IF(C1341="","",IF(COUNTIF($C$5:C1341,C1341)=1,MAX($AX$4:AX1340)+1,""))</f>
        <v/>
      </c>
      <c r="AY1341" s="61">
        <f>IF(B1341="","",HOUR(B1341))</f>
        <v/>
      </c>
      <c r="AZ1341" s="61">
        <f>IF(A1341="","",MOD(A1341-2,7)+1)</f>
        <v/>
      </c>
      <c r="BA1341" s="60">
        <f>IF(C1341="","",IFERROR(INDEX('Prospects'!$N$5:$N$504,MATCH(C1341,'Prospects'!$C$5:$C$504,0)),""))</f>
        <v/>
      </c>
      <c r="BB1341" s="61">
        <f>IF(AND(C1341&lt;&gt;"",C1341='Fiche prospect'!$C$4),COUNTIF($C$5:C1341,C1341),"")</f>
        <v/>
      </c>
    </row>
    <row r="1342">
      <c r="A1342" s="53" t="n"/>
      <c r="B1342" s="54" t="n"/>
      <c r="C1342" s="55" t="n"/>
      <c r="D1342" s="55" t="n"/>
      <c r="E1342" s="55" t="n"/>
      <c r="F1342" s="55" t="n"/>
      <c r="G1342" s="56" t="n"/>
      <c r="H1342" s="57" t="n"/>
      <c r="I1342" s="55" t="n"/>
      <c r="J1342" s="53" t="n"/>
      <c r="K1342" s="54" t="n"/>
      <c r="L1342" s="55" t="n"/>
      <c r="M1342" s="55" t="n"/>
      <c r="N1342" s="57" t="n"/>
      <c r="O1342" s="55" t="n"/>
      <c r="P1342" s="56" t="n"/>
      <c r="Q1342" s="55" t="n"/>
      <c r="R1342" s="55" t="n"/>
      <c r="S1342" s="55" t="n"/>
      <c r="T1342" s="55" t="n"/>
      <c r="U1342" s="55" t="n"/>
      <c r="V1342" s="55" t="n"/>
      <c r="W1342" s="58" t="n"/>
      <c r="X1342" s="58" t="n"/>
      <c r="Y1342" s="55" t="n"/>
      <c r="Z1342" s="55" t="n"/>
      <c r="AA1342" s="55" t="n"/>
      <c r="AB1342" s="55" t="n"/>
      <c r="AC1342" s="55" t="n"/>
      <c r="AD1342" s="53" t="n"/>
      <c r="AE1342" s="55" t="n"/>
      <c r="AF1342" s="55" t="n"/>
      <c r="AG1342" s="59" t="n"/>
      <c r="AH1342" s="57" t="n"/>
      <c r="AI1342" s="55" t="n"/>
      <c r="AJ1342" s="55" t="n"/>
      <c r="AK1342" s="55" t="n"/>
      <c r="AL1342" s="55" t="n"/>
      <c r="AM1342" s="56" t="n"/>
      <c r="AN1342" s="55" t="n"/>
      <c r="AO1342" s="55" t="n"/>
      <c r="AP1342" s="55" t="n"/>
      <c r="AQ1342" s="55" t="n"/>
      <c r="AR1342" s="60">
        <f>IF(AND(C1342="",E1342=""),"",IF(A1342="","⚠ Date manquante",IF(AND(C1342="",E1342&lt;&gt;"Dépense"),"⚠ Prospect manquant",IF(E1342="","⚠ Action manquante",IF(AND(AU1342=1,D1342=""),"⚠ Canal manquant",IF(AND(W1342&lt;&gt;"",COUNTIFS('Saisie'!$W$5:$W$2004,W1342,'Saisie'!$C$5:$C$2004,"&lt;&gt;"&amp;C1342)&gt;0),"⚠ Numéro déjà utilisé par un autre prospect",IF(AND(J1342&lt;&gt;"",J1342&lt;A1342),"⚠ Relance avant la date de l'action",IF(A1342&gt;TODAY(),"⚠ Date dans le futur","✓"))))))))</f>
        <v/>
      </c>
      <c r="AS1342" s="61">
        <f>IF(AND(A1342="",C1342="",E1342=""),"",ROW())</f>
        <v/>
      </c>
      <c r="AT1342" s="61">
        <f>IF(E1342&amp;F1342="","",MAX(IFERROR(INDEX('Paramètres'!$J$6:$J$33,MATCH(E1342,'Paramètres'!$I$6:$I$33,0)),0),IFERROR(INDEX('Paramètres'!$N$6:$N$17,MATCH(F1342,'Paramètres'!$M$6:$M$17,0)),0)))</f>
        <v/>
      </c>
      <c r="AU1342" s="61">
        <f>IF(E1342="","",IFERROR(IF(INDEX('Paramètres'!$K$6:$K$33,MATCH(E1342,'Paramètres'!$I$6:$I$33,0))="Oui",1,0),0))</f>
        <v/>
      </c>
      <c r="AV1342" s="61">
        <f>IF(F1342="","",IFERROR(IF(INDEX('Paramètres'!$O$6:$O$17,MATCH(F1342,'Paramètres'!$M$6:$M$17,0))="Oui",1,0),0))</f>
        <v/>
      </c>
      <c r="AW1342" s="62">
        <f>IF(E1342="","",IF(G1342&lt;&gt;"",G1342,IF(OR(E1342="Proposition envoyée",E1342="Signature"),MAX(0,N(IFERROR(INDEX('Paramètres'!$R$6:$R$15,MATCH(IF(AL1342&lt;&gt;"",AL1342,IFERROR(INDEX('Prospects'!$AN$5:$AN$504,MATCH(C1342,'Prospects'!$C$5:$C$504,0)),"")),'Paramètres'!$Q$6:$Q$15,0)),0))-N(P1342)),0)))</f>
        <v/>
      </c>
      <c r="AX1342" s="61">
        <f>IF(C1342="","",IF(COUNTIF($C$5:C1342,C1342)=1,MAX($AX$4:AX1341)+1,""))</f>
        <v/>
      </c>
      <c r="AY1342" s="61">
        <f>IF(B1342="","",HOUR(B1342))</f>
        <v/>
      </c>
      <c r="AZ1342" s="61">
        <f>IF(A1342="","",MOD(A1342-2,7)+1)</f>
        <v/>
      </c>
      <c r="BA1342" s="60">
        <f>IF(C1342="","",IFERROR(INDEX('Prospects'!$N$5:$N$504,MATCH(C1342,'Prospects'!$C$5:$C$504,0)),""))</f>
        <v/>
      </c>
      <c r="BB1342" s="61">
        <f>IF(AND(C1342&lt;&gt;"",C1342='Fiche prospect'!$C$4),COUNTIF($C$5:C1342,C1342),"")</f>
        <v/>
      </c>
    </row>
    <row r="1343">
      <c r="A1343" s="53" t="n"/>
      <c r="B1343" s="54" t="n"/>
      <c r="C1343" s="55" t="n"/>
      <c r="D1343" s="55" t="n"/>
      <c r="E1343" s="55" t="n"/>
      <c r="F1343" s="55" t="n"/>
      <c r="G1343" s="56" t="n"/>
      <c r="H1343" s="57" t="n"/>
      <c r="I1343" s="55" t="n"/>
      <c r="J1343" s="53" t="n"/>
      <c r="K1343" s="54" t="n"/>
      <c r="L1343" s="55" t="n"/>
      <c r="M1343" s="55" t="n"/>
      <c r="N1343" s="57" t="n"/>
      <c r="O1343" s="55" t="n"/>
      <c r="P1343" s="56" t="n"/>
      <c r="Q1343" s="55" t="n"/>
      <c r="R1343" s="55" t="n"/>
      <c r="S1343" s="55" t="n"/>
      <c r="T1343" s="55" t="n"/>
      <c r="U1343" s="55" t="n"/>
      <c r="V1343" s="55" t="n"/>
      <c r="W1343" s="58" t="n"/>
      <c r="X1343" s="58" t="n"/>
      <c r="Y1343" s="55" t="n"/>
      <c r="Z1343" s="55" t="n"/>
      <c r="AA1343" s="55" t="n"/>
      <c r="AB1343" s="55" t="n"/>
      <c r="AC1343" s="55" t="n"/>
      <c r="AD1343" s="53" t="n"/>
      <c r="AE1343" s="55" t="n"/>
      <c r="AF1343" s="55" t="n"/>
      <c r="AG1343" s="59" t="n"/>
      <c r="AH1343" s="57" t="n"/>
      <c r="AI1343" s="55" t="n"/>
      <c r="AJ1343" s="55" t="n"/>
      <c r="AK1343" s="55" t="n"/>
      <c r="AL1343" s="55" t="n"/>
      <c r="AM1343" s="56" t="n"/>
      <c r="AN1343" s="55" t="n"/>
      <c r="AO1343" s="55" t="n"/>
      <c r="AP1343" s="55" t="n"/>
      <c r="AQ1343" s="55" t="n"/>
      <c r="AR1343" s="60">
        <f>IF(AND(C1343="",E1343=""),"",IF(A1343="","⚠ Date manquante",IF(AND(C1343="",E1343&lt;&gt;"Dépense"),"⚠ Prospect manquant",IF(E1343="","⚠ Action manquante",IF(AND(AU1343=1,D1343=""),"⚠ Canal manquant",IF(AND(W1343&lt;&gt;"",COUNTIFS('Saisie'!$W$5:$W$2004,W1343,'Saisie'!$C$5:$C$2004,"&lt;&gt;"&amp;C1343)&gt;0),"⚠ Numéro déjà utilisé par un autre prospect",IF(AND(J1343&lt;&gt;"",J1343&lt;A1343),"⚠ Relance avant la date de l'action",IF(A1343&gt;TODAY(),"⚠ Date dans le futur","✓"))))))))</f>
        <v/>
      </c>
      <c r="AS1343" s="61">
        <f>IF(AND(A1343="",C1343="",E1343=""),"",ROW())</f>
        <v/>
      </c>
      <c r="AT1343" s="61">
        <f>IF(E1343&amp;F1343="","",MAX(IFERROR(INDEX('Paramètres'!$J$6:$J$33,MATCH(E1343,'Paramètres'!$I$6:$I$33,0)),0),IFERROR(INDEX('Paramètres'!$N$6:$N$17,MATCH(F1343,'Paramètres'!$M$6:$M$17,0)),0)))</f>
        <v/>
      </c>
      <c r="AU1343" s="61">
        <f>IF(E1343="","",IFERROR(IF(INDEX('Paramètres'!$K$6:$K$33,MATCH(E1343,'Paramètres'!$I$6:$I$33,0))="Oui",1,0),0))</f>
        <v/>
      </c>
      <c r="AV1343" s="61">
        <f>IF(F1343="","",IFERROR(IF(INDEX('Paramètres'!$O$6:$O$17,MATCH(F1343,'Paramètres'!$M$6:$M$17,0))="Oui",1,0),0))</f>
        <v/>
      </c>
      <c r="AW1343" s="62">
        <f>IF(E1343="","",IF(G1343&lt;&gt;"",G1343,IF(OR(E1343="Proposition envoyée",E1343="Signature"),MAX(0,N(IFERROR(INDEX('Paramètres'!$R$6:$R$15,MATCH(IF(AL1343&lt;&gt;"",AL1343,IFERROR(INDEX('Prospects'!$AN$5:$AN$504,MATCH(C1343,'Prospects'!$C$5:$C$504,0)),"")),'Paramètres'!$Q$6:$Q$15,0)),0))-N(P1343)),0)))</f>
        <v/>
      </c>
      <c r="AX1343" s="61">
        <f>IF(C1343="","",IF(COUNTIF($C$5:C1343,C1343)=1,MAX($AX$4:AX1342)+1,""))</f>
        <v/>
      </c>
      <c r="AY1343" s="61">
        <f>IF(B1343="","",HOUR(B1343))</f>
        <v/>
      </c>
      <c r="AZ1343" s="61">
        <f>IF(A1343="","",MOD(A1343-2,7)+1)</f>
        <v/>
      </c>
      <c r="BA1343" s="60">
        <f>IF(C1343="","",IFERROR(INDEX('Prospects'!$N$5:$N$504,MATCH(C1343,'Prospects'!$C$5:$C$504,0)),""))</f>
        <v/>
      </c>
      <c r="BB1343" s="61">
        <f>IF(AND(C1343&lt;&gt;"",C1343='Fiche prospect'!$C$4),COUNTIF($C$5:C1343,C1343),"")</f>
        <v/>
      </c>
    </row>
    <row r="1344">
      <c r="A1344" s="53" t="n"/>
      <c r="B1344" s="54" t="n"/>
      <c r="C1344" s="55" t="n"/>
      <c r="D1344" s="55" t="n"/>
      <c r="E1344" s="55" t="n"/>
      <c r="F1344" s="55" t="n"/>
      <c r="G1344" s="56" t="n"/>
      <c r="H1344" s="57" t="n"/>
      <c r="I1344" s="55" t="n"/>
      <c r="J1344" s="53" t="n"/>
      <c r="K1344" s="54" t="n"/>
      <c r="L1344" s="55" t="n"/>
      <c r="M1344" s="55" t="n"/>
      <c r="N1344" s="57" t="n"/>
      <c r="O1344" s="55" t="n"/>
      <c r="P1344" s="56" t="n"/>
      <c r="Q1344" s="55" t="n"/>
      <c r="R1344" s="55" t="n"/>
      <c r="S1344" s="55" t="n"/>
      <c r="T1344" s="55" t="n"/>
      <c r="U1344" s="55" t="n"/>
      <c r="V1344" s="55" t="n"/>
      <c r="W1344" s="58" t="n"/>
      <c r="X1344" s="58" t="n"/>
      <c r="Y1344" s="55" t="n"/>
      <c r="Z1344" s="55" t="n"/>
      <c r="AA1344" s="55" t="n"/>
      <c r="AB1344" s="55" t="n"/>
      <c r="AC1344" s="55" t="n"/>
      <c r="AD1344" s="53" t="n"/>
      <c r="AE1344" s="55" t="n"/>
      <c r="AF1344" s="55" t="n"/>
      <c r="AG1344" s="59" t="n"/>
      <c r="AH1344" s="57" t="n"/>
      <c r="AI1344" s="55" t="n"/>
      <c r="AJ1344" s="55" t="n"/>
      <c r="AK1344" s="55" t="n"/>
      <c r="AL1344" s="55" t="n"/>
      <c r="AM1344" s="56" t="n"/>
      <c r="AN1344" s="55" t="n"/>
      <c r="AO1344" s="55" t="n"/>
      <c r="AP1344" s="55" t="n"/>
      <c r="AQ1344" s="55" t="n"/>
      <c r="AR1344" s="60">
        <f>IF(AND(C1344="",E1344=""),"",IF(A1344="","⚠ Date manquante",IF(AND(C1344="",E1344&lt;&gt;"Dépense"),"⚠ Prospect manquant",IF(E1344="","⚠ Action manquante",IF(AND(AU1344=1,D1344=""),"⚠ Canal manquant",IF(AND(W1344&lt;&gt;"",COUNTIFS('Saisie'!$W$5:$W$2004,W1344,'Saisie'!$C$5:$C$2004,"&lt;&gt;"&amp;C1344)&gt;0),"⚠ Numéro déjà utilisé par un autre prospect",IF(AND(J1344&lt;&gt;"",J1344&lt;A1344),"⚠ Relance avant la date de l'action",IF(A1344&gt;TODAY(),"⚠ Date dans le futur","✓"))))))))</f>
        <v/>
      </c>
      <c r="AS1344" s="61">
        <f>IF(AND(A1344="",C1344="",E1344=""),"",ROW())</f>
        <v/>
      </c>
      <c r="AT1344" s="61">
        <f>IF(E1344&amp;F1344="","",MAX(IFERROR(INDEX('Paramètres'!$J$6:$J$33,MATCH(E1344,'Paramètres'!$I$6:$I$33,0)),0),IFERROR(INDEX('Paramètres'!$N$6:$N$17,MATCH(F1344,'Paramètres'!$M$6:$M$17,0)),0)))</f>
        <v/>
      </c>
      <c r="AU1344" s="61">
        <f>IF(E1344="","",IFERROR(IF(INDEX('Paramètres'!$K$6:$K$33,MATCH(E1344,'Paramètres'!$I$6:$I$33,0))="Oui",1,0),0))</f>
        <v/>
      </c>
      <c r="AV1344" s="61">
        <f>IF(F1344="","",IFERROR(IF(INDEX('Paramètres'!$O$6:$O$17,MATCH(F1344,'Paramètres'!$M$6:$M$17,0))="Oui",1,0),0))</f>
        <v/>
      </c>
      <c r="AW1344" s="62">
        <f>IF(E1344="","",IF(G1344&lt;&gt;"",G1344,IF(OR(E1344="Proposition envoyée",E1344="Signature"),MAX(0,N(IFERROR(INDEX('Paramètres'!$R$6:$R$15,MATCH(IF(AL1344&lt;&gt;"",AL1344,IFERROR(INDEX('Prospects'!$AN$5:$AN$504,MATCH(C1344,'Prospects'!$C$5:$C$504,0)),"")),'Paramètres'!$Q$6:$Q$15,0)),0))-N(P1344)),0)))</f>
        <v/>
      </c>
      <c r="AX1344" s="61">
        <f>IF(C1344="","",IF(COUNTIF($C$5:C1344,C1344)=1,MAX($AX$4:AX1343)+1,""))</f>
        <v/>
      </c>
      <c r="AY1344" s="61">
        <f>IF(B1344="","",HOUR(B1344))</f>
        <v/>
      </c>
      <c r="AZ1344" s="61">
        <f>IF(A1344="","",MOD(A1344-2,7)+1)</f>
        <v/>
      </c>
      <c r="BA1344" s="60">
        <f>IF(C1344="","",IFERROR(INDEX('Prospects'!$N$5:$N$504,MATCH(C1344,'Prospects'!$C$5:$C$504,0)),""))</f>
        <v/>
      </c>
      <c r="BB1344" s="61">
        <f>IF(AND(C1344&lt;&gt;"",C1344='Fiche prospect'!$C$4),COUNTIF($C$5:C1344,C1344),"")</f>
        <v/>
      </c>
    </row>
    <row r="1345">
      <c r="A1345" s="53" t="n"/>
      <c r="B1345" s="54" t="n"/>
      <c r="C1345" s="55" t="n"/>
      <c r="D1345" s="55" t="n"/>
      <c r="E1345" s="55" t="n"/>
      <c r="F1345" s="55" t="n"/>
      <c r="G1345" s="56" t="n"/>
      <c r="H1345" s="57" t="n"/>
      <c r="I1345" s="55" t="n"/>
      <c r="J1345" s="53" t="n"/>
      <c r="K1345" s="54" t="n"/>
      <c r="L1345" s="55" t="n"/>
      <c r="M1345" s="55" t="n"/>
      <c r="N1345" s="57" t="n"/>
      <c r="O1345" s="55" t="n"/>
      <c r="P1345" s="56" t="n"/>
      <c r="Q1345" s="55" t="n"/>
      <c r="R1345" s="55" t="n"/>
      <c r="S1345" s="55" t="n"/>
      <c r="T1345" s="55" t="n"/>
      <c r="U1345" s="55" t="n"/>
      <c r="V1345" s="55" t="n"/>
      <c r="W1345" s="58" t="n"/>
      <c r="X1345" s="58" t="n"/>
      <c r="Y1345" s="55" t="n"/>
      <c r="Z1345" s="55" t="n"/>
      <c r="AA1345" s="55" t="n"/>
      <c r="AB1345" s="55" t="n"/>
      <c r="AC1345" s="55" t="n"/>
      <c r="AD1345" s="53" t="n"/>
      <c r="AE1345" s="55" t="n"/>
      <c r="AF1345" s="55" t="n"/>
      <c r="AG1345" s="59" t="n"/>
      <c r="AH1345" s="57" t="n"/>
      <c r="AI1345" s="55" t="n"/>
      <c r="AJ1345" s="55" t="n"/>
      <c r="AK1345" s="55" t="n"/>
      <c r="AL1345" s="55" t="n"/>
      <c r="AM1345" s="56" t="n"/>
      <c r="AN1345" s="55" t="n"/>
      <c r="AO1345" s="55" t="n"/>
      <c r="AP1345" s="55" t="n"/>
      <c r="AQ1345" s="55" t="n"/>
      <c r="AR1345" s="60">
        <f>IF(AND(C1345="",E1345=""),"",IF(A1345="","⚠ Date manquante",IF(AND(C1345="",E1345&lt;&gt;"Dépense"),"⚠ Prospect manquant",IF(E1345="","⚠ Action manquante",IF(AND(AU1345=1,D1345=""),"⚠ Canal manquant",IF(AND(W1345&lt;&gt;"",COUNTIFS('Saisie'!$W$5:$W$2004,W1345,'Saisie'!$C$5:$C$2004,"&lt;&gt;"&amp;C1345)&gt;0),"⚠ Numéro déjà utilisé par un autre prospect",IF(AND(J1345&lt;&gt;"",J1345&lt;A1345),"⚠ Relance avant la date de l'action",IF(A1345&gt;TODAY(),"⚠ Date dans le futur","✓"))))))))</f>
        <v/>
      </c>
      <c r="AS1345" s="61">
        <f>IF(AND(A1345="",C1345="",E1345=""),"",ROW())</f>
        <v/>
      </c>
      <c r="AT1345" s="61">
        <f>IF(E1345&amp;F1345="","",MAX(IFERROR(INDEX('Paramètres'!$J$6:$J$33,MATCH(E1345,'Paramètres'!$I$6:$I$33,0)),0),IFERROR(INDEX('Paramètres'!$N$6:$N$17,MATCH(F1345,'Paramètres'!$M$6:$M$17,0)),0)))</f>
        <v/>
      </c>
      <c r="AU1345" s="61">
        <f>IF(E1345="","",IFERROR(IF(INDEX('Paramètres'!$K$6:$K$33,MATCH(E1345,'Paramètres'!$I$6:$I$33,0))="Oui",1,0),0))</f>
        <v/>
      </c>
      <c r="AV1345" s="61">
        <f>IF(F1345="","",IFERROR(IF(INDEX('Paramètres'!$O$6:$O$17,MATCH(F1345,'Paramètres'!$M$6:$M$17,0))="Oui",1,0),0))</f>
        <v/>
      </c>
      <c r="AW1345" s="62">
        <f>IF(E1345="","",IF(G1345&lt;&gt;"",G1345,IF(OR(E1345="Proposition envoyée",E1345="Signature"),MAX(0,N(IFERROR(INDEX('Paramètres'!$R$6:$R$15,MATCH(IF(AL1345&lt;&gt;"",AL1345,IFERROR(INDEX('Prospects'!$AN$5:$AN$504,MATCH(C1345,'Prospects'!$C$5:$C$504,0)),"")),'Paramètres'!$Q$6:$Q$15,0)),0))-N(P1345)),0)))</f>
        <v/>
      </c>
      <c r="AX1345" s="61">
        <f>IF(C1345="","",IF(COUNTIF($C$5:C1345,C1345)=1,MAX($AX$4:AX1344)+1,""))</f>
        <v/>
      </c>
      <c r="AY1345" s="61">
        <f>IF(B1345="","",HOUR(B1345))</f>
        <v/>
      </c>
      <c r="AZ1345" s="61">
        <f>IF(A1345="","",MOD(A1345-2,7)+1)</f>
        <v/>
      </c>
      <c r="BA1345" s="60">
        <f>IF(C1345="","",IFERROR(INDEX('Prospects'!$N$5:$N$504,MATCH(C1345,'Prospects'!$C$5:$C$504,0)),""))</f>
        <v/>
      </c>
      <c r="BB1345" s="61">
        <f>IF(AND(C1345&lt;&gt;"",C1345='Fiche prospect'!$C$4),COUNTIF($C$5:C1345,C1345),"")</f>
        <v/>
      </c>
    </row>
    <row r="1346">
      <c r="A1346" s="53" t="n"/>
      <c r="B1346" s="54" t="n"/>
      <c r="C1346" s="55" t="n"/>
      <c r="D1346" s="55" t="n"/>
      <c r="E1346" s="55" t="n"/>
      <c r="F1346" s="55" t="n"/>
      <c r="G1346" s="56" t="n"/>
      <c r="H1346" s="57" t="n"/>
      <c r="I1346" s="55" t="n"/>
      <c r="J1346" s="53" t="n"/>
      <c r="K1346" s="54" t="n"/>
      <c r="L1346" s="55" t="n"/>
      <c r="M1346" s="55" t="n"/>
      <c r="N1346" s="57" t="n"/>
      <c r="O1346" s="55" t="n"/>
      <c r="P1346" s="56" t="n"/>
      <c r="Q1346" s="55" t="n"/>
      <c r="R1346" s="55" t="n"/>
      <c r="S1346" s="55" t="n"/>
      <c r="T1346" s="55" t="n"/>
      <c r="U1346" s="55" t="n"/>
      <c r="V1346" s="55" t="n"/>
      <c r="W1346" s="58" t="n"/>
      <c r="X1346" s="58" t="n"/>
      <c r="Y1346" s="55" t="n"/>
      <c r="Z1346" s="55" t="n"/>
      <c r="AA1346" s="55" t="n"/>
      <c r="AB1346" s="55" t="n"/>
      <c r="AC1346" s="55" t="n"/>
      <c r="AD1346" s="53" t="n"/>
      <c r="AE1346" s="55" t="n"/>
      <c r="AF1346" s="55" t="n"/>
      <c r="AG1346" s="59" t="n"/>
      <c r="AH1346" s="57" t="n"/>
      <c r="AI1346" s="55" t="n"/>
      <c r="AJ1346" s="55" t="n"/>
      <c r="AK1346" s="55" t="n"/>
      <c r="AL1346" s="55" t="n"/>
      <c r="AM1346" s="56" t="n"/>
      <c r="AN1346" s="55" t="n"/>
      <c r="AO1346" s="55" t="n"/>
      <c r="AP1346" s="55" t="n"/>
      <c r="AQ1346" s="55" t="n"/>
      <c r="AR1346" s="60">
        <f>IF(AND(C1346="",E1346=""),"",IF(A1346="","⚠ Date manquante",IF(AND(C1346="",E1346&lt;&gt;"Dépense"),"⚠ Prospect manquant",IF(E1346="","⚠ Action manquante",IF(AND(AU1346=1,D1346=""),"⚠ Canal manquant",IF(AND(W1346&lt;&gt;"",COUNTIFS('Saisie'!$W$5:$W$2004,W1346,'Saisie'!$C$5:$C$2004,"&lt;&gt;"&amp;C1346)&gt;0),"⚠ Numéro déjà utilisé par un autre prospect",IF(AND(J1346&lt;&gt;"",J1346&lt;A1346),"⚠ Relance avant la date de l'action",IF(A1346&gt;TODAY(),"⚠ Date dans le futur","✓"))))))))</f>
        <v/>
      </c>
      <c r="AS1346" s="61">
        <f>IF(AND(A1346="",C1346="",E1346=""),"",ROW())</f>
        <v/>
      </c>
      <c r="AT1346" s="61">
        <f>IF(E1346&amp;F1346="","",MAX(IFERROR(INDEX('Paramètres'!$J$6:$J$33,MATCH(E1346,'Paramètres'!$I$6:$I$33,0)),0),IFERROR(INDEX('Paramètres'!$N$6:$N$17,MATCH(F1346,'Paramètres'!$M$6:$M$17,0)),0)))</f>
        <v/>
      </c>
      <c r="AU1346" s="61">
        <f>IF(E1346="","",IFERROR(IF(INDEX('Paramètres'!$K$6:$K$33,MATCH(E1346,'Paramètres'!$I$6:$I$33,0))="Oui",1,0),0))</f>
        <v/>
      </c>
      <c r="AV1346" s="61">
        <f>IF(F1346="","",IFERROR(IF(INDEX('Paramètres'!$O$6:$O$17,MATCH(F1346,'Paramètres'!$M$6:$M$17,0))="Oui",1,0),0))</f>
        <v/>
      </c>
      <c r="AW1346" s="62">
        <f>IF(E1346="","",IF(G1346&lt;&gt;"",G1346,IF(OR(E1346="Proposition envoyée",E1346="Signature"),MAX(0,N(IFERROR(INDEX('Paramètres'!$R$6:$R$15,MATCH(IF(AL1346&lt;&gt;"",AL1346,IFERROR(INDEX('Prospects'!$AN$5:$AN$504,MATCH(C1346,'Prospects'!$C$5:$C$504,0)),"")),'Paramètres'!$Q$6:$Q$15,0)),0))-N(P1346)),0)))</f>
        <v/>
      </c>
      <c r="AX1346" s="61">
        <f>IF(C1346="","",IF(COUNTIF($C$5:C1346,C1346)=1,MAX($AX$4:AX1345)+1,""))</f>
        <v/>
      </c>
      <c r="AY1346" s="61">
        <f>IF(B1346="","",HOUR(B1346))</f>
        <v/>
      </c>
      <c r="AZ1346" s="61">
        <f>IF(A1346="","",MOD(A1346-2,7)+1)</f>
        <v/>
      </c>
      <c r="BA1346" s="60">
        <f>IF(C1346="","",IFERROR(INDEX('Prospects'!$N$5:$N$504,MATCH(C1346,'Prospects'!$C$5:$C$504,0)),""))</f>
        <v/>
      </c>
      <c r="BB1346" s="61">
        <f>IF(AND(C1346&lt;&gt;"",C1346='Fiche prospect'!$C$4),COUNTIF($C$5:C1346,C1346),"")</f>
        <v/>
      </c>
    </row>
    <row r="1347">
      <c r="A1347" s="53" t="n"/>
      <c r="B1347" s="54" t="n"/>
      <c r="C1347" s="55" t="n"/>
      <c r="D1347" s="55" t="n"/>
      <c r="E1347" s="55" t="n"/>
      <c r="F1347" s="55" t="n"/>
      <c r="G1347" s="56" t="n"/>
      <c r="H1347" s="57" t="n"/>
      <c r="I1347" s="55" t="n"/>
      <c r="J1347" s="53" t="n"/>
      <c r="K1347" s="54" t="n"/>
      <c r="L1347" s="55" t="n"/>
      <c r="M1347" s="55" t="n"/>
      <c r="N1347" s="57" t="n"/>
      <c r="O1347" s="55" t="n"/>
      <c r="P1347" s="56" t="n"/>
      <c r="Q1347" s="55" t="n"/>
      <c r="R1347" s="55" t="n"/>
      <c r="S1347" s="55" t="n"/>
      <c r="T1347" s="55" t="n"/>
      <c r="U1347" s="55" t="n"/>
      <c r="V1347" s="55" t="n"/>
      <c r="W1347" s="58" t="n"/>
      <c r="X1347" s="58" t="n"/>
      <c r="Y1347" s="55" t="n"/>
      <c r="Z1347" s="55" t="n"/>
      <c r="AA1347" s="55" t="n"/>
      <c r="AB1347" s="55" t="n"/>
      <c r="AC1347" s="55" t="n"/>
      <c r="AD1347" s="53" t="n"/>
      <c r="AE1347" s="55" t="n"/>
      <c r="AF1347" s="55" t="n"/>
      <c r="AG1347" s="59" t="n"/>
      <c r="AH1347" s="57" t="n"/>
      <c r="AI1347" s="55" t="n"/>
      <c r="AJ1347" s="55" t="n"/>
      <c r="AK1347" s="55" t="n"/>
      <c r="AL1347" s="55" t="n"/>
      <c r="AM1347" s="56" t="n"/>
      <c r="AN1347" s="55" t="n"/>
      <c r="AO1347" s="55" t="n"/>
      <c r="AP1347" s="55" t="n"/>
      <c r="AQ1347" s="55" t="n"/>
      <c r="AR1347" s="60">
        <f>IF(AND(C1347="",E1347=""),"",IF(A1347="","⚠ Date manquante",IF(AND(C1347="",E1347&lt;&gt;"Dépense"),"⚠ Prospect manquant",IF(E1347="","⚠ Action manquante",IF(AND(AU1347=1,D1347=""),"⚠ Canal manquant",IF(AND(W1347&lt;&gt;"",COUNTIFS('Saisie'!$W$5:$W$2004,W1347,'Saisie'!$C$5:$C$2004,"&lt;&gt;"&amp;C1347)&gt;0),"⚠ Numéro déjà utilisé par un autre prospect",IF(AND(J1347&lt;&gt;"",J1347&lt;A1347),"⚠ Relance avant la date de l'action",IF(A1347&gt;TODAY(),"⚠ Date dans le futur","✓"))))))))</f>
        <v/>
      </c>
      <c r="AS1347" s="61">
        <f>IF(AND(A1347="",C1347="",E1347=""),"",ROW())</f>
        <v/>
      </c>
      <c r="AT1347" s="61">
        <f>IF(E1347&amp;F1347="","",MAX(IFERROR(INDEX('Paramètres'!$J$6:$J$33,MATCH(E1347,'Paramètres'!$I$6:$I$33,0)),0),IFERROR(INDEX('Paramètres'!$N$6:$N$17,MATCH(F1347,'Paramètres'!$M$6:$M$17,0)),0)))</f>
        <v/>
      </c>
      <c r="AU1347" s="61">
        <f>IF(E1347="","",IFERROR(IF(INDEX('Paramètres'!$K$6:$K$33,MATCH(E1347,'Paramètres'!$I$6:$I$33,0))="Oui",1,0),0))</f>
        <v/>
      </c>
      <c r="AV1347" s="61">
        <f>IF(F1347="","",IFERROR(IF(INDEX('Paramètres'!$O$6:$O$17,MATCH(F1347,'Paramètres'!$M$6:$M$17,0))="Oui",1,0),0))</f>
        <v/>
      </c>
      <c r="AW1347" s="62">
        <f>IF(E1347="","",IF(G1347&lt;&gt;"",G1347,IF(OR(E1347="Proposition envoyée",E1347="Signature"),MAX(0,N(IFERROR(INDEX('Paramètres'!$R$6:$R$15,MATCH(IF(AL1347&lt;&gt;"",AL1347,IFERROR(INDEX('Prospects'!$AN$5:$AN$504,MATCH(C1347,'Prospects'!$C$5:$C$504,0)),"")),'Paramètres'!$Q$6:$Q$15,0)),0))-N(P1347)),0)))</f>
        <v/>
      </c>
      <c r="AX1347" s="61">
        <f>IF(C1347="","",IF(COUNTIF($C$5:C1347,C1347)=1,MAX($AX$4:AX1346)+1,""))</f>
        <v/>
      </c>
      <c r="AY1347" s="61">
        <f>IF(B1347="","",HOUR(B1347))</f>
        <v/>
      </c>
      <c r="AZ1347" s="61">
        <f>IF(A1347="","",MOD(A1347-2,7)+1)</f>
        <v/>
      </c>
      <c r="BA1347" s="60">
        <f>IF(C1347="","",IFERROR(INDEX('Prospects'!$N$5:$N$504,MATCH(C1347,'Prospects'!$C$5:$C$504,0)),""))</f>
        <v/>
      </c>
      <c r="BB1347" s="61">
        <f>IF(AND(C1347&lt;&gt;"",C1347='Fiche prospect'!$C$4),COUNTIF($C$5:C1347,C1347),"")</f>
        <v/>
      </c>
    </row>
    <row r="1348">
      <c r="A1348" s="53" t="n"/>
      <c r="B1348" s="54" t="n"/>
      <c r="C1348" s="55" t="n"/>
      <c r="D1348" s="55" t="n"/>
      <c r="E1348" s="55" t="n"/>
      <c r="F1348" s="55" t="n"/>
      <c r="G1348" s="56" t="n"/>
      <c r="H1348" s="57" t="n"/>
      <c r="I1348" s="55" t="n"/>
      <c r="J1348" s="53" t="n"/>
      <c r="K1348" s="54" t="n"/>
      <c r="L1348" s="55" t="n"/>
      <c r="M1348" s="55" t="n"/>
      <c r="N1348" s="57" t="n"/>
      <c r="O1348" s="55" t="n"/>
      <c r="P1348" s="56" t="n"/>
      <c r="Q1348" s="55" t="n"/>
      <c r="R1348" s="55" t="n"/>
      <c r="S1348" s="55" t="n"/>
      <c r="T1348" s="55" t="n"/>
      <c r="U1348" s="55" t="n"/>
      <c r="V1348" s="55" t="n"/>
      <c r="W1348" s="58" t="n"/>
      <c r="X1348" s="58" t="n"/>
      <c r="Y1348" s="55" t="n"/>
      <c r="Z1348" s="55" t="n"/>
      <c r="AA1348" s="55" t="n"/>
      <c r="AB1348" s="55" t="n"/>
      <c r="AC1348" s="55" t="n"/>
      <c r="AD1348" s="53" t="n"/>
      <c r="AE1348" s="55" t="n"/>
      <c r="AF1348" s="55" t="n"/>
      <c r="AG1348" s="59" t="n"/>
      <c r="AH1348" s="57" t="n"/>
      <c r="AI1348" s="55" t="n"/>
      <c r="AJ1348" s="55" t="n"/>
      <c r="AK1348" s="55" t="n"/>
      <c r="AL1348" s="55" t="n"/>
      <c r="AM1348" s="56" t="n"/>
      <c r="AN1348" s="55" t="n"/>
      <c r="AO1348" s="55" t="n"/>
      <c r="AP1348" s="55" t="n"/>
      <c r="AQ1348" s="55" t="n"/>
      <c r="AR1348" s="60">
        <f>IF(AND(C1348="",E1348=""),"",IF(A1348="","⚠ Date manquante",IF(AND(C1348="",E1348&lt;&gt;"Dépense"),"⚠ Prospect manquant",IF(E1348="","⚠ Action manquante",IF(AND(AU1348=1,D1348=""),"⚠ Canal manquant",IF(AND(W1348&lt;&gt;"",COUNTIFS('Saisie'!$W$5:$W$2004,W1348,'Saisie'!$C$5:$C$2004,"&lt;&gt;"&amp;C1348)&gt;0),"⚠ Numéro déjà utilisé par un autre prospect",IF(AND(J1348&lt;&gt;"",J1348&lt;A1348),"⚠ Relance avant la date de l'action",IF(A1348&gt;TODAY(),"⚠ Date dans le futur","✓"))))))))</f>
        <v/>
      </c>
      <c r="AS1348" s="61">
        <f>IF(AND(A1348="",C1348="",E1348=""),"",ROW())</f>
        <v/>
      </c>
      <c r="AT1348" s="61">
        <f>IF(E1348&amp;F1348="","",MAX(IFERROR(INDEX('Paramètres'!$J$6:$J$33,MATCH(E1348,'Paramètres'!$I$6:$I$33,0)),0),IFERROR(INDEX('Paramètres'!$N$6:$N$17,MATCH(F1348,'Paramètres'!$M$6:$M$17,0)),0)))</f>
        <v/>
      </c>
      <c r="AU1348" s="61">
        <f>IF(E1348="","",IFERROR(IF(INDEX('Paramètres'!$K$6:$K$33,MATCH(E1348,'Paramètres'!$I$6:$I$33,0))="Oui",1,0),0))</f>
        <v/>
      </c>
      <c r="AV1348" s="61">
        <f>IF(F1348="","",IFERROR(IF(INDEX('Paramètres'!$O$6:$O$17,MATCH(F1348,'Paramètres'!$M$6:$M$17,0))="Oui",1,0),0))</f>
        <v/>
      </c>
      <c r="AW1348" s="62">
        <f>IF(E1348="","",IF(G1348&lt;&gt;"",G1348,IF(OR(E1348="Proposition envoyée",E1348="Signature"),MAX(0,N(IFERROR(INDEX('Paramètres'!$R$6:$R$15,MATCH(IF(AL1348&lt;&gt;"",AL1348,IFERROR(INDEX('Prospects'!$AN$5:$AN$504,MATCH(C1348,'Prospects'!$C$5:$C$504,0)),"")),'Paramètres'!$Q$6:$Q$15,0)),0))-N(P1348)),0)))</f>
        <v/>
      </c>
      <c r="AX1348" s="61">
        <f>IF(C1348="","",IF(COUNTIF($C$5:C1348,C1348)=1,MAX($AX$4:AX1347)+1,""))</f>
        <v/>
      </c>
      <c r="AY1348" s="61">
        <f>IF(B1348="","",HOUR(B1348))</f>
        <v/>
      </c>
      <c r="AZ1348" s="61">
        <f>IF(A1348="","",MOD(A1348-2,7)+1)</f>
        <v/>
      </c>
      <c r="BA1348" s="60">
        <f>IF(C1348="","",IFERROR(INDEX('Prospects'!$N$5:$N$504,MATCH(C1348,'Prospects'!$C$5:$C$504,0)),""))</f>
        <v/>
      </c>
      <c r="BB1348" s="61">
        <f>IF(AND(C1348&lt;&gt;"",C1348='Fiche prospect'!$C$4),COUNTIF($C$5:C1348,C1348),"")</f>
        <v/>
      </c>
    </row>
    <row r="1349">
      <c r="A1349" s="53" t="n"/>
      <c r="B1349" s="54" t="n"/>
      <c r="C1349" s="55" t="n"/>
      <c r="D1349" s="55" t="n"/>
      <c r="E1349" s="55" t="n"/>
      <c r="F1349" s="55" t="n"/>
      <c r="G1349" s="56" t="n"/>
      <c r="H1349" s="57" t="n"/>
      <c r="I1349" s="55" t="n"/>
      <c r="J1349" s="53" t="n"/>
      <c r="K1349" s="54" t="n"/>
      <c r="L1349" s="55" t="n"/>
      <c r="M1349" s="55" t="n"/>
      <c r="N1349" s="57" t="n"/>
      <c r="O1349" s="55" t="n"/>
      <c r="P1349" s="56" t="n"/>
      <c r="Q1349" s="55" t="n"/>
      <c r="R1349" s="55" t="n"/>
      <c r="S1349" s="55" t="n"/>
      <c r="T1349" s="55" t="n"/>
      <c r="U1349" s="55" t="n"/>
      <c r="V1349" s="55" t="n"/>
      <c r="W1349" s="58" t="n"/>
      <c r="X1349" s="58" t="n"/>
      <c r="Y1349" s="55" t="n"/>
      <c r="Z1349" s="55" t="n"/>
      <c r="AA1349" s="55" t="n"/>
      <c r="AB1349" s="55" t="n"/>
      <c r="AC1349" s="55" t="n"/>
      <c r="AD1349" s="53" t="n"/>
      <c r="AE1349" s="55" t="n"/>
      <c r="AF1349" s="55" t="n"/>
      <c r="AG1349" s="59" t="n"/>
      <c r="AH1349" s="57" t="n"/>
      <c r="AI1349" s="55" t="n"/>
      <c r="AJ1349" s="55" t="n"/>
      <c r="AK1349" s="55" t="n"/>
      <c r="AL1349" s="55" t="n"/>
      <c r="AM1349" s="56" t="n"/>
      <c r="AN1349" s="55" t="n"/>
      <c r="AO1349" s="55" t="n"/>
      <c r="AP1349" s="55" t="n"/>
      <c r="AQ1349" s="55" t="n"/>
      <c r="AR1349" s="60">
        <f>IF(AND(C1349="",E1349=""),"",IF(A1349="","⚠ Date manquante",IF(AND(C1349="",E1349&lt;&gt;"Dépense"),"⚠ Prospect manquant",IF(E1349="","⚠ Action manquante",IF(AND(AU1349=1,D1349=""),"⚠ Canal manquant",IF(AND(W1349&lt;&gt;"",COUNTIFS('Saisie'!$W$5:$W$2004,W1349,'Saisie'!$C$5:$C$2004,"&lt;&gt;"&amp;C1349)&gt;0),"⚠ Numéro déjà utilisé par un autre prospect",IF(AND(J1349&lt;&gt;"",J1349&lt;A1349),"⚠ Relance avant la date de l'action",IF(A1349&gt;TODAY(),"⚠ Date dans le futur","✓"))))))))</f>
        <v/>
      </c>
      <c r="AS1349" s="61">
        <f>IF(AND(A1349="",C1349="",E1349=""),"",ROW())</f>
        <v/>
      </c>
      <c r="AT1349" s="61">
        <f>IF(E1349&amp;F1349="","",MAX(IFERROR(INDEX('Paramètres'!$J$6:$J$33,MATCH(E1349,'Paramètres'!$I$6:$I$33,0)),0),IFERROR(INDEX('Paramètres'!$N$6:$N$17,MATCH(F1349,'Paramètres'!$M$6:$M$17,0)),0)))</f>
        <v/>
      </c>
      <c r="AU1349" s="61">
        <f>IF(E1349="","",IFERROR(IF(INDEX('Paramètres'!$K$6:$K$33,MATCH(E1349,'Paramètres'!$I$6:$I$33,0))="Oui",1,0),0))</f>
        <v/>
      </c>
      <c r="AV1349" s="61">
        <f>IF(F1349="","",IFERROR(IF(INDEX('Paramètres'!$O$6:$O$17,MATCH(F1349,'Paramètres'!$M$6:$M$17,0))="Oui",1,0),0))</f>
        <v/>
      </c>
      <c r="AW1349" s="62">
        <f>IF(E1349="","",IF(G1349&lt;&gt;"",G1349,IF(OR(E1349="Proposition envoyée",E1349="Signature"),MAX(0,N(IFERROR(INDEX('Paramètres'!$R$6:$R$15,MATCH(IF(AL1349&lt;&gt;"",AL1349,IFERROR(INDEX('Prospects'!$AN$5:$AN$504,MATCH(C1349,'Prospects'!$C$5:$C$504,0)),"")),'Paramètres'!$Q$6:$Q$15,0)),0))-N(P1349)),0)))</f>
        <v/>
      </c>
      <c r="AX1349" s="61">
        <f>IF(C1349="","",IF(COUNTIF($C$5:C1349,C1349)=1,MAX($AX$4:AX1348)+1,""))</f>
        <v/>
      </c>
      <c r="AY1349" s="61">
        <f>IF(B1349="","",HOUR(B1349))</f>
        <v/>
      </c>
      <c r="AZ1349" s="61">
        <f>IF(A1349="","",MOD(A1349-2,7)+1)</f>
        <v/>
      </c>
      <c r="BA1349" s="60">
        <f>IF(C1349="","",IFERROR(INDEX('Prospects'!$N$5:$N$504,MATCH(C1349,'Prospects'!$C$5:$C$504,0)),""))</f>
        <v/>
      </c>
      <c r="BB1349" s="61">
        <f>IF(AND(C1349&lt;&gt;"",C1349='Fiche prospect'!$C$4),COUNTIF($C$5:C1349,C1349),"")</f>
        <v/>
      </c>
    </row>
    <row r="1350">
      <c r="A1350" s="53" t="n"/>
      <c r="B1350" s="54" t="n"/>
      <c r="C1350" s="55" t="n"/>
      <c r="D1350" s="55" t="n"/>
      <c r="E1350" s="55" t="n"/>
      <c r="F1350" s="55" t="n"/>
      <c r="G1350" s="56" t="n"/>
      <c r="H1350" s="57" t="n"/>
      <c r="I1350" s="55" t="n"/>
      <c r="J1350" s="53" t="n"/>
      <c r="K1350" s="54" t="n"/>
      <c r="L1350" s="55" t="n"/>
      <c r="M1350" s="55" t="n"/>
      <c r="N1350" s="57" t="n"/>
      <c r="O1350" s="55" t="n"/>
      <c r="P1350" s="56" t="n"/>
      <c r="Q1350" s="55" t="n"/>
      <c r="R1350" s="55" t="n"/>
      <c r="S1350" s="55" t="n"/>
      <c r="T1350" s="55" t="n"/>
      <c r="U1350" s="55" t="n"/>
      <c r="V1350" s="55" t="n"/>
      <c r="W1350" s="58" t="n"/>
      <c r="X1350" s="58" t="n"/>
      <c r="Y1350" s="55" t="n"/>
      <c r="Z1350" s="55" t="n"/>
      <c r="AA1350" s="55" t="n"/>
      <c r="AB1350" s="55" t="n"/>
      <c r="AC1350" s="55" t="n"/>
      <c r="AD1350" s="53" t="n"/>
      <c r="AE1350" s="55" t="n"/>
      <c r="AF1350" s="55" t="n"/>
      <c r="AG1350" s="59" t="n"/>
      <c r="AH1350" s="57" t="n"/>
      <c r="AI1350" s="55" t="n"/>
      <c r="AJ1350" s="55" t="n"/>
      <c r="AK1350" s="55" t="n"/>
      <c r="AL1350" s="55" t="n"/>
      <c r="AM1350" s="56" t="n"/>
      <c r="AN1350" s="55" t="n"/>
      <c r="AO1350" s="55" t="n"/>
      <c r="AP1350" s="55" t="n"/>
      <c r="AQ1350" s="55" t="n"/>
      <c r="AR1350" s="60">
        <f>IF(AND(C1350="",E1350=""),"",IF(A1350="","⚠ Date manquante",IF(AND(C1350="",E1350&lt;&gt;"Dépense"),"⚠ Prospect manquant",IF(E1350="","⚠ Action manquante",IF(AND(AU1350=1,D1350=""),"⚠ Canal manquant",IF(AND(W1350&lt;&gt;"",COUNTIFS('Saisie'!$W$5:$W$2004,W1350,'Saisie'!$C$5:$C$2004,"&lt;&gt;"&amp;C1350)&gt;0),"⚠ Numéro déjà utilisé par un autre prospect",IF(AND(J1350&lt;&gt;"",J1350&lt;A1350),"⚠ Relance avant la date de l'action",IF(A1350&gt;TODAY(),"⚠ Date dans le futur","✓"))))))))</f>
        <v/>
      </c>
      <c r="AS1350" s="61">
        <f>IF(AND(A1350="",C1350="",E1350=""),"",ROW())</f>
        <v/>
      </c>
      <c r="AT1350" s="61">
        <f>IF(E1350&amp;F1350="","",MAX(IFERROR(INDEX('Paramètres'!$J$6:$J$33,MATCH(E1350,'Paramètres'!$I$6:$I$33,0)),0),IFERROR(INDEX('Paramètres'!$N$6:$N$17,MATCH(F1350,'Paramètres'!$M$6:$M$17,0)),0)))</f>
        <v/>
      </c>
      <c r="AU1350" s="61">
        <f>IF(E1350="","",IFERROR(IF(INDEX('Paramètres'!$K$6:$K$33,MATCH(E1350,'Paramètres'!$I$6:$I$33,0))="Oui",1,0),0))</f>
        <v/>
      </c>
      <c r="AV1350" s="61">
        <f>IF(F1350="","",IFERROR(IF(INDEX('Paramètres'!$O$6:$O$17,MATCH(F1350,'Paramètres'!$M$6:$M$17,0))="Oui",1,0),0))</f>
        <v/>
      </c>
      <c r="AW1350" s="62">
        <f>IF(E1350="","",IF(G1350&lt;&gt;"",G1350,IF(OR(E1350="Proposition envoyée",E1350="Signature"),MAX(0,N(IFERROR(INDEX('Paramètres'!$R$6:$R$15,MATCH(IF(AL1350&lt;&gt;"",AL1350,IFERROR(INDEX('Prospects'!$AN$5:$AN$504,MATCH(C1350,'Prospects'!$C$5:$C$504,0)),"")),'Paramètres'!$Q$6:$Q$15,0)),0))-N(P1350)),0)))</f>
        <v/>
      </c>
      <c r="AX1350" s="61">
        <f>IF(C1350="","",IF(COUNTIF($C$5:C1350,C1350)=1,MAX($AX$4:AX1349)+1,""))</f>
        <v/>
      </c>
      <c r="AY1350" s="61">
        <f>IF(B1350="","",HOUR(B1350))</f>
        <v/>
      </c>
      <c r="AZ1350" s="61">
        <f>IF(A1350="","",MOD(A1350-2,7)+1)</f>
        <v/>
      </c>
      <c r="BA1350" s="60">
        <f>IF(C1350="","",IFERROR(INDEX('Prospects'!$N$5:$N$504,MATCH(C1350,'Prospects'!$C$5:$C$504,0)),""))</f>
        <v/>
      </c>
      <c r="BB1350" s="61">
        <f>IF(AND(C1350&lt;&gt;"",C1350='Fiche prospect'!$C$4),COUNTIF($C$5:C1350,C1350),"")</f>
        <v/>
      </c>
    </row>
    <row r="1351">
      <c r="A1351" s="53" t="n"/>
      <c r="B1351" s="54" t="n"/>
      <c r="C1351" s="55" t="n"/>
      <c r="D1351" s="55" t="n"/>
      <c r="E1351" s="55" t="n"/>
      <c r="F1351" s="55" t="n"/>
      <c r="G1351" s="56" t="n"/>
      <c r="H1351" s="57" t="n"/>
      <c r="I1351" s="55" t="n"/>
      <c r="J1351" s="53" t="n"/>
      <c r="K1351" s="54" t="n"/>
      <c r="L1351" s="55" t="n"/>
      <c r="M1351" s="55" t="n"/>
      <c r="N1351" s="57" t="n"/>
      <c r="O1351" s="55" t="n"/>
      <c r="P1351" s="56" t="n"/>
      <c r="Q1351" s="55" t="n"/>
      <c r="R1351" s="55" t="n"/>
      <c r="S1351" s="55" t="n"/>
      <c r="T1351" s="55" t="n"/>
      <c r="U1351" s="55" t="n"/>
      <c r="V1351" s="55" t="n"/>
      <c r="W1351" s="58" t="n"/>
      <c r="X1351" s="58" t="n"/>
      <c r="Y1351" s="55" t="n"/>
      <c r="Z1351" s="55" t="n"/>
      <c r="AA1351" s="55" t="n"/>
      <c r="AB1351" s="55" t="n"/>
      <c r="AC1351" s="55" t="n"/>
      <c r="AD1351" s="53" t="n"/>
      <c r="AE1351" s="55" t="n"/>
      <c r="AF1351" s="55" t="n"/>
      <c r="AG1351" s="59" t="n"/>
      <c r="AH1351" s="57" t="n"/>
      <c r="AI1351" s="55" t="n"/>
      <c r="AJ1351" s="55" t="n"/>
      <c r="AK1351" s="55" t="n"/>
      <c r="AL1351" s="55" t="n"/>
      <c r="AM1351" s="56" t="n"/>
      <c r="AN1351" s="55" t="n"/>
      <c r="AO1351" s="55" t="n"/>
      <c r="AP1351" s="55" t="n"/>
      <c r="AQ1351" s="55" t="n"/>
      <c r="AR1351" s="60">
        <f>IF(AND(C1351="",E1351=""),"",IF(A1351="","⚠ Date manquante",IF(AND(C1351="",E1351&lt;&gt;"Dépense"),"⚠ Prospect manquant",IF(E1351="","⚠ Action manquante",IF(AND(AU1351=1,D1351=""),"⚠ Canal manquant",IF(AND(W1351&lt;&gt;"",COUNTIFS('Saisie'!$W$5:$W$2004,W1351,'Saisie'!$C$5:$C$2004,"&lt;&gt;"&amp;C1351)&gt;0),"⚠ Numéro déjà utilisé par un autre prospect",IF(AND(J1351&lt;&gt;"",J1351&lt;A1351),"⚠ Relance avant la date de l'action",IF(A1351&gt;TODAY(),"⚠ Date dans le futur","✓"))))))))</f>
        <v/>
      </c>
      <c r="AS1351" s="61">
        <f>IF(AND(A1351="",C1351="",E1351=""),"",ROW())</f>
        <v/>
      </c>
      <c r="AT1351" s="61">
        <f>IF(E1351&amp;F1351="","",MAX(IFERROR(INDEX('Paramètres'!$J$6:$J$33,MATCH(E1351,'Paramètres'!$I$6:$I$33,0)),0),IFERROR(INDEX('Paramètres'!$N$6:$N$17,MATCH(F1351,'Paramètres'!$M$6:$M$17,0)),0)))</f>
        <v/>
      </c>
      <c r="AU1351" s="61">
        <f>IF(E1351="","",IFERROR(IF(INDEX('Paramètres'!$K$6:$K$33,MATCH(E1351,'Paramètres'!$I$6:$I$33,0))="Oui",1,0),0))</f>
        <v/>
      </c>
      <c r="AV1351" s="61">
        <f>IF(F1351="","",IFERROR(IF(INDEX('Paramètres'!$O$6:$O$17,MATCH(F1351,'Paramètres'!$M$6:$M$17,0))="Oui",1,0),0))</f>
        <v/>
      </c>
      <c r="AW1351" s="62">
        <f>IF(E1351="","",IF(G1351&lt;&gt;"",G1351,IF(OR(E1351="Proposition envoyée",E1351="Signature"),MAX(0,N(IFERROR(INDEX('Paramètres'!$R$6:$R$15,MATCH(IF(AL1351&lt;&gt;"",AL1351,IFERROR(INDEX('Prospects'!$AN$5:$AN$504,MATCH(C1351,'Prospects'!$C$5:$C$504,0)),"")),'Paramètres'!$Q$6:$Q$15,0)),0))-N(P1351)),0)))</f>
        <v/>
      </c>
      <c r="AX1351" s="61">
        <f>IF(C1351="","",IF(COUNTIF($C$5:C1351,C1351)=1,MAX($AX$4:AX1350)+1,""))</f>
        <v/>
      </c>
      <c r="AY1351" s="61">
        <f>IF(B1351="","",HOUR(B1351))</f>
        <v/>
      </c>
      <c r="AZ1351" s="61">
        <f>IF(A1351="","",MOD(A1351-2,7)+1)</f>
        <v/>
      </c>
      <c r="BA1351" s="60">
        <f>IF(C1351="","",IFERROR(INDEX('Prospects'!$N$5:$N$504,MATCH(C1351,'Prospects'!$C$5:$C$504,0)),""))</f>
        <v/>
      </c>
      <c r="BB1351" s="61">
        <f>IF(AND(C1351&lt;&gt;"",C1351='Fiche prospect'!$C$4),COUNTIF($C$5:C1351,C1351),"")</f>
        <v/>
      </c>
    </row>
    <row r="1352">
      <c r="A1352" s="53" t="n"/>
      <c r="B1352" s="54" t="n"/>
      <c r="C1352" s="55" t="n"/>
      <c r="D1352" s="55" t="n"/>
      <c r="E1352" s="55" t="n"/>
      <c r="F1352" s="55" t="n"/>
      <c r="G1352" s="56" t="n"/>
      <c r="H1352" s="57" t="n"/>
      <c r="I1352" s="55" t="n"/>
      <c r="J1352" s="53" t="n"/>
      <c r="K1352" s="54" t="n"/>
      <c r="L1352" s="55" t="n"/>
      <c r="M1352" s="55" t="n"/>
      <c r="N1352" s="57" t="n"/>
      <c r="O1352" s="55" t="n"/>
      <c r="P1352" s="56" t="n"/>
      <c r="Q1352" s="55" t="n"/>
      <c r="R1352" s="55" t="n"/>
      <c r="S1352" s="55" t="n"/>
      <c r="T1352" s="55" t="n"/>
      <c r="U1352" s="55" t="n"/>
      <c r="V1352" s="55" t="n"/>
      <c r="W1352" s="58" t="n"/>
      <c r="X1352" s="58" t="n"/>
      <c r="Y1352" s="55" t="n"/>
      <c r="Z1352" s="55" t="n"/>
      <c r="AA1352" s="55" t="n"/>
      <c r="AB1352" s="55" t="n"/>
      <c r="AC1352" s="55" t="n"/>
      <c r="AD1352" s="53" t="n"/>
      <c r="AE1352" s="55" t="n"/>
      <c r="AF1352" s="55" t="n"/>
      <c r="AG1352" s="59" t="n"/>
      <c r="AH1352" s="57" t="n"/>
      <c r="AI1352" s="55" t="n"/>
      <c r="AJ1352" s="55" t="n"/>
      <c r="AK1352" s="55" t="n"/>
      <c r="AL1352" s="55" t="n"/>
      <c r="AM1352" s="56" t="n"/>
      <c r="AN1352" s="55" t="n"/>
      <c r="AO1352" s="55" t="n"/>
      <c r="AP1352" s="55" t="n"/>
      <c r="AQ1352" s="55" t="n"/>
      <c r="AR1352" s="60">
        <f>IF(AND(C1352="",E1352=""),"",IF(A1352="","⚠ Date manquante",IF(AND(C1352="",E1352&lt;&gt;"Dépense"),"⚠ Prospect manquant",IF(E1352="","⚠ Action manquante",IF(AND(AU1352=1,D1352=""),"⚠ Canal manquant",IF(AND(W1352&lt;&gt;"",COUNTIFS('Saisie'!$W$5:$W$2004,W1352,'Saisie'!$C$5:$C$2004,"&lt;&gt;"&amp;C1352)&gt;0),"⚠ Numéro déjà utilisé par un autre prospect",IF(AND(J1352&lt;&gt;"",J1352&lt;A1352),"⚠ Relance avant la date de l'action",IF(A1352&gt;TODAY(),"⚠ Date dans le futur","✓"))))))))</f>
        <v/>
      </c>
      <c r="AS1352" s="61">
        <f>IF(AND(A1352="",C1352="",E1352=""),"",ROW())</f>
        <v/>
      </c>
      <c r="AT1352" s="61">
        <f>IF(E1352&amp;F1352="","",MAX(IFERROR(INDEX('Paramètres'!$J$6:$J$33,MATCH(E1352,'Paramètres'!$I$6:$I$33,0)),0),IFERROR(INDEX('Paramètres'!$N$6:$N$17,MATCH(F1352,'Paramètres'!$M$6:$M$17,0)),0)))</f>
        <v/>
      </c>
      <c r="AU1352" s="61">
        <f>IF(E1352="","",IFERROR(IF(INDEX('Paramètres'!$K$6:$K$33,MATCH(E1352,'Paramètres'!$I$6:$I$33,0))="Oui",1,0),0))</f>
        <v/>
      </c>
      <c r="AV1352" s="61">
        <f>IF(F1352="","",IFERROR(IF(INDEX('Paramètres'!$O$6:$O$17,MATCH(F1352,'Paramètres'!$M$6:$M$17,0))="Oui",1,0),0))</f>
        <v/>
      </c>
      <c r="AW1352" s="62">
        <f>IF(E1352="","",IF(G1352&lt;&gt;"",G1352,IF(OR(E1352="Proposition envoyée",E1352="Signature"),MAX(0,N(IFERROR(INDEX('Paramètres'!$R$6:$R$15,MATCH(IF(AL1352&lt;&gt;"",AL1352,IFERROR(INDEX('Prospects'!$AN$5:$AN$504,MATCH(C1352,'Prospects'!$C$5:$C$504,0)),"")),'Paramètres'!$Q$6:$Q$15,0)),0))-N(P1352)),0)))</f>
        <v/>
      </c>
      <c r="AX1352" s="61">
        <f>IF(C1352="","",IF(COUNTIF($C$5:C1352,C1352)=1,MAX($AX$4:AX1351)+1,""))</f>
        <v/>
      </c>
      <c r="AY1352" s="61">
        <f>IF(B1352="","",HOUR(B1352))</f>
        <v/>
      </c>
      <c r="AZ1352" s="61">
        <f>IF(A1352="","",MOD(A1352-2,7)+1)</f>
        <v/>
      </c>
      <c r="BA1352" s="60">
        <f>IF(C1352="","",IFERROR(INDEX('Prospects'!$N$5:$N$504,MATCH(C1352,'Prospects'!$C$5:$C$504,0)),""))</f>
        <v/>
      </c>
      <c r="BB1352" s="61">
        <f>IF(AND(C1352&lt;&gt;"",C1352='Fiche prospect'!$C$4),COUNTIF($C$5:C1352,C1352),"")</f>
        <v/>
      </c>
    </row>
    <row r="1353">
      <c r="A1353" s="53" t="n"/>
      <c r="B1353" s="54" t="n"/>
      <c r="C1353" s="55" t="n"/>
      <c r="D1353" s="55" t="n"/>
      <c r="E1353" s="55" t="n"/>
      <c r="F1353" s="55" t="n"/>
      <c r="G1353" s="56" t="n"/>
      <c r="H1353" s="57" t="n"/>
      <c r="I1353" s="55" t="n"/>
      <c r="J1353" s="53" t="n"/>
      <c r="K1353" s="54" t="n"/>
      <c r="L1353" s="55" t="n"/>
      <c r="M1353" s="55" t="n"/>
      <c r="N1353" s="57" t="n"/>
      <c r="O1353" s="55" t="n"/>
      <c r="P1353" s="56" t="n"/>
      <c r="Q1353" s="55" t="n"/>
      <c r="R1353" s="55" t="n"/>
      <c r="S1353" s="55" t="n"/>
      <c r="T1353" s="55" t="n"/>
      <c r="U1353" s="55" t="n"/>
      <c r="V1353" s="55" t="n"/>
      <c r="W1353" s="58" t="n"/>
      <c r="X1353" s="58" t="n"/>
      <c r="Y1353" s="55" t="n"/>
      <c r="Z1353" s="55" t="n"/>
      <c r="AA1353" s="55" t="n"/>
      <c r="AB1353" s="55" t="n"/>
      <c r="AC1353" s="55" t="n"/>
      <c r="AD1353" s="53" t="n"/>
      <c r="AE1353" s="55" t="n"/>
      <c r="AF1353" s="55" t="n"/>
      <c r="AG1353" s="59" t="n"/>
      <c r="AH1353" s="57" t="n"/>
      <c r="AI1353" s="55" t="n"/>
      <c r="AJ1353" s="55" t="n"/>
      <c r="AK1353" s="55" t="n"/>
      <c r="AL1353" s="55" t="n"/>
      <c r="AM1353" s="56" t="n"/>
      <c r="AN1353" s="55" t="n"/>
      <c r="AO1353" s="55" t="n"/>
      <c r="AP1353" s="55" t="n"/>
      <c r="AQ1353" s="55" t="n"/>
      <c r="AR1353" s="60">
        <f>IF(AND(C1353="",E1353=""),"",IF(A1353="","⚠ Date manquante",IF(AND(C1353="",E1353&lt;&gt;"Dépense"),"⚠ Prospect manquant",IF(E1353="","⚠ Action manquante",IF(AND(AU1353=1,D1353=""),"⚠ Canal manquant",IF(AND(W1353&lt;&gt;"",COUNTIFS('Saisie'!$W$5:$W$2004,W1353,'Saisie'!$C$5:$C$2004,"&lt;&gt;"&amp;C1353)&gt;0),"⚠ Numéro déjà utilisé par un autre prospect",IF(AND(J1353&lt;&gt;"",J1353&lt;A1353),"⚠ Relance avant la date de l'action",IF(A1353&gt;TODAY(),"⚠ Date dans le futur","✓"))))))))</f>
        <v/>
      </c>
      <c r="AS1353" s="61">
        <f>IF(AND(A1353="",C1353="",E1353=""),"",ROW())</f>
        <v/>
      </c>
      <c r="AT1353" s="61">
        <f>IF(E1353&amp;F1353="","",MAX(IFERROR(INDEX('Paramètres'!$J$6:$J$33,MATCH(E1353,'Paramètres'!$I$6:$I$33,0)),0),IFERROR(INDEX('Paramètres'!$N$6:$N$17,MATCH(F1353,'Paramètres'!$M$6:$M$17,0)),0)))</f>
        <v/>
      </c>
      <c r="AU1353" s="61">
        <f>IF(E1353="","",IFERROR(IF(INDEX('Paramètres'!$K$6:$K$33,MATCH(E1353,'Paramètres'!$I$6:$I$33,0))="Oui",1,0),0))</f>
        <v/>
      </c>
      <c r="AV1353" s="61">
        <f>IF(F1353="","",IFERROR(IF(INDEX('Paramètres'!$O$6:$O$17,MATCH(F1353,'Paramètres'!$M$6:$M$17,0))="Oui",1,0),0))</f>
        <v/>
      </c>
      <c r="AW1353" s="62">
        <f>IF(E1353="","",IF(G1353&lt;&gt;"",G1353,IF(OR(E1353="Proposition envoyée",E1353="Signature"),MAX(0,N(IFERROR(INDEX('Paramètres'!$R$6:$R$15,MATCH(IF(AL1353&lt;&gt;"",AL1353,IFERROR(INDEX('Prospects'!$AN$5:$AN$504,MATCH(C1353,'Prospects'!$C$5:$C$504,0)),"")),'Paramètres'!$Q$6:$Q$15,0)),0))-N(P1353)),0)))</f>
        <v/>
      </c>
      <c r="AX1353" s="61">
        <f>IF(C1353="","",IF(COUNTIF($C$5:C1353,C1353)=1,MAX($AX$4:AX1352)+1,""))</f>
        <v/>
      </c>
      <c r="AY1353" s="61">
        <f>IF(B1353="","",HOUR(B1353))</f>
        <v/>
      </c>
      <c r="AZ1353" s="61">
        <f>IF(A1353="","",MOD(A1353-2,7)+1)</f>
        <v/>
      </c>
      <c r="BA1353" s="60">
        <f>IF(C1353="","",IFERROR(INDEX('Prospects'!$N$5:$N$504,MATCH(C1353,'Prospects'!$C$5:$C$504,0)),""))</f>
        <v/>
      </c>
      <c r="BB1353" s="61">
        <f>IF(AND(C1353&lt;&gt;"",C1353='Fiche prospect'!$C$4),COUNTIF($C$5:C1353,C1353),"")</f>
        <v/>
      </c>
    </row>
    <row r="1354">
      <c r="A1354" s="53" t="n"/>
      <c r="B1354" s="54" t="n"/>
      <c r="C1354" s="55" t="n"/>
      <c r="D1354" s="55" t="n"/>
      <c r="E1354" s="55" t="n"/>
      <c r="F1354" s="55" t="n"/>
      <c r="G1354" s="56" t="n"/>
      <c r="H1354" s="57" t="n"/>
      <c r="I1354" s="55" t="n"/>
      <c r="J1354" s="53" t="n"/>
      <c r="K1354" s="54" t="n"/>
      <c r="L1354" s="55" t="n"/>
      <c r="M1354" s="55" t="n"/>
      <c r="N1354" s="57" t="n"/>
      <c r="O1354" s="55" t="n"/>
      <c r="P1354" s="56" t="n"/>
      <c r="Q1354" s="55" t="n"/>
      <c r="R1354" s="55" t="n"/>
      <c r="S1354" s="55" t="n"/>
      <c r="T1354" s="55" t="n"/>
      <c r="U1354" s="55" t="n"/>
      <c r="V1354" s="55" t="n"/>
      <c r="W1354" s="58" t="n"/>
      <c r="X1354" s="58" t="n"/>
      <c r="Y1354" s="55" t="n"/>
      <c r="Z1354" s="55" t="n"/>
      <c r="AA1354" s="55" t="n"/>
      <c r="AB1354" s="55" t="n"/>
      <c r="AC1354" s="55" t="n"/>
      <c r="AD1354" s="53" t="n"/>
      <c r="AE1354" s="55" t="n"/>
      <c r="AF1354" s="55" t="n"/>
      <c r="AG1354" s="59" t="n"/>
      <c r="AH1354" s="57" t="n"/>
      <c r="AI1354" s="55" t="n"/>
      <c r="AJ1354" s="55" t="n"/>
      <c r="AK1354" s="55" t="n"/>
      <c r="AL1354" s="55" t="n"/>
      <c r="AM1354" s="56" t="n"/>
      <c r="AN1354" s="55" t="n"/>
      <c r="AO1354" s="55" t="n"/>
      <c r="AP1354" s="55" t="n"/>
      <c r="AQ1354" s="55" t="n"/>
      <c r="AR1354" s="60">
        <f>IF(AND(C1354="",E1354=""),"",IF(A1354="","⚠ Date manquante",IF(AND(C1354="",E1354&lt;&gt;"Dépense"),"⚠ Prospect manquant",IF(E1354="","⚠ Action manquante",IF(AND(AU1354=1,D1354=""),"⚠ Canal manquant",IF(AND(W1354&lt;&gt;"",COUNTIFS('Saisie'!$W$5:$W$2004,W1354,'Saisie'!$C$5:$C$2004,"&lt;&gt;"&amp;C1354)&gt;0),"⚠ Numéro déjà utilisé par un autre prospect",IF(AND(J1354&lt;&gt;"",J1354&lt;A1354),"⚠ Relance avant la date de l'action",IF(A1354&gt;TODAY(),"⚠ Date dans le futur","✓"))))))))</f>
        <v/>
      </c>
      <c r="AS1354" s="61">
        <f>IF(AND(A1354="",C1354="",E1354=""),"",ROW())</f>
        <v/>
      </c>
      <c r="AT1354" s="61">
        <f>IF(E1354&amp;F1354="","",MAX(IFERROR(INDEX('Paramètres'!$J$6:$J$33,MATCH(E1354,'Paramètres'!$I$6:$I$33,0)),0),IFERROR(INDEX('Paramètres'!$N$6:$N$17,MATCH(F1354,'Paramètres'!$M$6:$M$17,0)),0)))</f>
        <v/>
      </c>
      <c r="AU1354" s="61">
        <f>IF(E1354="","",IFERROR(IF(INDEX('Paramètres'!$K$6:$K$33,MATCH(E1354,'Paramètres'!$I$6:$I$33,0))="Oui",1,0),0))</f>
        <v/>
      </c>
      <c r="AV1354" s="61">
        <f>IF(F1354="","",IFERROR(IF(INDEX('Paramètres'!$O$6:$O$17,MATCH(F1354,'Paramètres'!$M$6:$M$17,0))="Oui",1,0),0))</f>
        <v/>
      </c>
      <c r="AW1354" s="62">
        <f>IF(E1354="","",IF(G1354&lt;&gt;"",G1354,IF(OR(E1354="Proposition envoyée",E1354="Signature"),MAX(0,N(IFERROR(INDEX('Paramètres'!$R$6:$R$15,MATCH(IF(AL1354&lt;&gt;"",AL1354,IFERROR(INDEX('Prospects'!$AN$5:$AN$504,MATCH(C1354,'Prospects'!$C$5:$C$504,0)),"")),'Paramètres'!$Q$6:$Q$15,0)),0))-N(P1354)),0)))</f>
        <v/>
      </c>
      <c r="AX1354" s="61">
        <f>IF(C1354="","",IF(COUNTIF($C$5:C1354,C1354)=1,MAX($AX$4:AX1353)+1,""))</f>
        <v/>
      </c>
      <c r="AY1354" s="61">
        <f>IF(B1354="","",HOUR(B1354))</f>
        <v/>
      </c>
      <c r="AZ1354" s="61">
        <f>IF(A1354="","",MOD(A1354-2,7)+1)</f>
        <v/>
      </c>
      <c r="BA1354" s="60">
        <f>IF(C1354="","",IFERROR(INDEX('Prospects'!$N$5:$N$504,MATCH(C1354,'Prospects'!$C$5:$C$504,0)),""))</f>
        <v/>
      </c>
      <c r="BB1354" s="61">
        <f>IF(AND(C1354&lt;&gt;"",C1354='Fiche prospect'!$C$4),COUNTIF($C$5:C1354,C1354),"")</f>
        <v/>
      </c>
    </row>
    <row r="1355">
      <c r="A1355" s="53" t="n"/>
      <c r="B1355" s="54" t="n"/>
      <c r="C1355" s="55" t="n"/>
      <c r="D1355" s="55" t="n"/>
      <c r="E1355" s="55" t="n"/>
      <c r="F1355" s="55" t="n"/>
      <c r="G1355" s="56" t="n"/>
      <c r="H1355" s="57" t="n"/>
      <c r="I1355" s="55" t="n"/>
      <c r="J1355" s="53" t="n"/>
      <c r="K1355" s="54" t="n"/>
      <c r="L1355" s="55" t="n"/>
      <c r="M1355" s="55" t="n"/>
      <c r="N1355" s="57" t="n"/>
      <c r="O1355" s="55" t="n"/>
      <c r="P1355" s="56" t="n"/>
      <c r="Q1355" s="55" t="n"/>
      <c r="R1355" s="55" t="n"/>
      <c r="S1355" s="55" t="n"/>
      <c r="T1355" s="55" t="n"/>
      <c r="U1355" s="55" t="n"/>
      <c r="V1355" s="55" t="n"/>
      <c r="W1355" s="58" t="n"/>
      <c r="X1355" s="58" t="n"/>
      <c r="Y1355" s="55" t="n"/>
      <c r="Z1355" s="55" t="n"/>
      <c r="AA1355" s="55" t="n"/>
      <c r="AB1355" s="55" t="n"/>
      <c r="AC1355" s="55" t="n"/>
      <c r="AD1355" s="53" t="n"/>
      <c r="AE1355" s="55" t="n"/>
      <c r="AF1355" s="55" t="n"/>
      <c r="AG1355" s="59" t="n"/>
      <c r="AH1355" s="57" t="n"/>
      <c r="AI1355" s="55" t="n"/>
      <c r="AJ1355" s="55" t="n"/>
      <c r="AK1355" s="55" t="n"/>
      <c r="AL1355" s="55" t="n"/>
      <c r="AM1355" s="56" t="n"/>
      <c r="AN1355" s="55" t="n"/>
      <c r="AO1355" s="55" t="n"/>
      <c r="AP1355" s="55" t="n"/>
      <c r="AQ1355" s="55" t="n"/>
      <c r="AR1355" s="60">
        <f>IF(AND(C1355="",E1355=""),"",IF(A1355="","⚠ Date manquante",IF(AND(C1355="",E1355&lt;&gt;"Dépense"),"⚠ Prospect manquant",IF(E1355="","⚠ Action manquante",IF(AND(AU1355=1,D1355=""),"⚠ Canal manquant",IF(AND(W1355&lt;&gt;"",COUNTIFS('Saisie'!$W$5:$W$2004,W1355,'Saisie'!$C$5:$C$2004,"&lt;&gt;"&amp;C1355)&gt;0),"⚠ Numéro déjà utilisé par un autre prospect",IF(AND(J1355&lt;&gt;"",J1355&lt;A1355),"⚠ Relance avant la date de l'action",IF(A1355&gt;TODAY(),"⚠ Date dans le futur","✓"))))))))</f>
        <v/>
      </c>
      <c r="AS1355" s="61">
        <f>IF(AND(A1355="",C1355="",E1355=""),"",ROW())</f>
        <v/>
      </c>
      <c r="AT1355" s="61">
        <f>IF(E1355&amp;F1355="","",MAX(IFERROR(INDEX('Paramètres'!$J$6:$J$33,MATCH(E1355,'Paramètres'!$I$6:$I$33,0)),0),IFERROR(INDEX('Paramètres'!$N$6:$N$17,MATCH(F1355,'Paramètres'!$M$6:$M$17,0)),0)))</f>
        <v/>
      </c>
      <c r="AU1355" s="61">
        <f>IF(E1355="","",IFERROR(IF(INDEX('Paramètres'!$K$6:$K$33,MATCH(E1355,'Paramètres'!$I$6:$I$33,0))="Oui",1,0),0))</f>
        <v/>
      </c>
      <c r="AV1355" s="61">
        <f>IF(F1355="","",IFERROR(IF(INDEX('Paramètres'!$O$6:$O$17,MATCH(F1355,'Paramètres'!$M$6:$M$17,0))="Oui",1,0),0))</f>
        <v/>
      </c>
      <c r="AW1355" s="62">
        <f>IF(E1355="","",IF(G1355&lt;&gt;"",G1355,IF(OR(E1355="Proposition envoyée",E1355="Signature"),MAX(0,N(IFERROR(INDEX('Paramètres'!$R$6:$R$15,MATCH(IF(AL1355&lt;&gt;"",AL1355,IFERROR(INDEX('Prospects'!$AN$5:$AN$504,MATCH(C1355,'Prospects'!$C$5:$C$504,0)),"")),'Paramètres'!$Q$6:$Q$15,0)),0))-N(P1355)),0)))</f>
        <v/>
      </c>
      <c r="AX1355" s="61">
        <f>IF(C1355="","",IF(COUNTIF($C$5:C1355,C1355)=1,MAX($AX$4:AX1354)+1,""))</f>
        <v/>
      </c>
      <c r="AY1355" s="61">
        <f>IF(B1355="","",HOUR(B1355))</f>
        <v/>
      </c>
      <c r="AZ1355" s="61">
        <f>IF(A1355="","",MOD(A1355-2,7)+1)</f>
        <v/>
      </c>
      <c r="BA1355" s="60">
        <f>IF(C1355="","",IFERROR(INDEX('Prospects'!$N$5:$N$504,MATCH(C1355,'Prospects'!$C$5:$C$504,0)),""))</f>
        <v/>
      </c>
      <c r="BB1355" s="61">
        <f>IF(AND(C1355&lt;&gt;"",C1355='Fiche prospect'!$C$4),COUNTIF($C$5:C1355,C1355),"")</f>
        <v/>
      </c>
    </row>
    <row r="1356">
      <c r="A1356" s="53" t="n"/>
      <c r="B1356" s="54" t="n"/>
      <c r="C1356" s="55" t="n"/>
      <c r="D1356" s="55" t="n"/>
      <c r="E1356" s="55" t="n"/>
      <c r="F1356" s="55" t="n"/>
      <c r="G1356" s="56" t="n"/>
      <c r="H1356" s="57" t="n"/>
      <c r="I1356" s="55" t="n"/>
      <c r="J1356" s="53" t="n"/>
      <c r="K1356" s="54" t="n"/>
      <c r="L1356" s="55" t="n"/>
      <c r="M1356" s="55" t="n"/>
      <c r="N1356" s="57" t="n"/>
      <c r="O1356" s="55" t="n"/>
      <c r="P1356" s="56" t="n"/>
      <c r="Q1356" s="55" t="n"/>
      <c r="R1356" s="55" t="n"/>
      <c r="S1356" s="55" t="n"/>
      <c r="T1356" s="55" t="n"/>
      <c r="U1356" s="55" t="n"/>
      <c r="V1356" s="55" t="n"/>
      <c r="W1356" s="58" t="n"/>
      <c r="X1356" s="58" t="n"/>
      <c r="Y1356" s="55" t="n"/>
      <c r="Z1356" s="55" t="n"/>
      <c r="AA1356" s="55" t="n"/>
      <c r="AB1356" s="55" t="n"/>
      <c r="AC1356" s="55" t="n"/>
      <c r="AD1356" s="53" t="n"/>
      <c r="AE1356" s="55" t="n"/>
      <c r="AF1356" s="55" t="n"/>
      <c r="AG1356" s="59" t="n"/>
      <c r="AH1356" s="57" t="n"/>
      <c r="AI1356" s="55" t="n"/>
      <c r="AJ1356" s="55" t="n"/>
      <c r="AK1356" s="55" t="n"/>
      <c r="AL1356" s="55" t="n"/>
      <c r="AM1356" s="56" t="n"/>
      <c r="AN1356" s="55" t="n"/>
      <c r="AO1356" s="55" t="n"/>
      <c r="AP1356" s="55" t="n"/>
      <c r="AQ1356" s="55" t="n"/>
      <c r="AR1356" s="60">
        <f>IF(AND(C1356="",E1356=""),"",IF(A1356="","⚠ Date manquante",IF(AND(C1356="",E1356&lt;&gt;"Dépense"),"⚠ Prospect manquant",IF(E1356="","⚠ Action manquante",IF(AND(AU1356=1,D1356=""),"⚠ Canal manquant",IF(AND(W1356&lt;&gt;"",COUNTIFS('Saisie'!$W$5:$W$2004,W1356,'Saisie'!$C$5:$C$2004,"&lt;&gt;"&amp;C1356)&gt;0),"⚠ Numéro déjà utilisé par un autre prospect",IF(AND(J1356&lt;&gt;"",J1356&lt;A1356),"⚠ Relance avant la date de l'action",IF(A1356&gt;TODAY(),"⚠ Date dans le futur","✓"))))))))</f>
        <v/>
      </c>
      <c r="AS1356" s="61">
        <f>IF(AND(A1356="",C1356="",E1356=""),"",ROW())</f>
        <v/>
      </c>
      <c r="AT1356" s="61">
        <f>IF(E1356&amp;F1356="","",MAX(IFERROR(INDEX('Paramètres'!$J$6:$J$33,MATCH(E1356,'Paramètres'!$I$6:$I$33,0)),0),IFERROR(INDEX('Paramètres'!$N$6:$N$17,MATCH(F1356,'Paramètres'!$M$6:$M$17,0)),0)))</f>
        <v/>
      </c>
      <c r="AU1356" s="61">
        <f>IF(E1356="","",IFERROR(IF(INDEX('Paramètres'!$K$6:$K$33,MATCH(E1356,'Paramètres'!$I$6:$I$33,0))="Oui",1,0),0))</f>
        <v/>
      </c>
      <c r="AV1356" s="61">
        <f>IF(F1356="","",IFERROR(IF(INDEX('Paramètres'!$O$6:$O$17,MATCH(F1356,'Paramètres'!$M$6:$M$17,0))="Oui",1,0),0))</f>
        <v/>
      </c>
      <c r="AW1356" s="62">
        <f>IF(E1356="","",IF(G1356&lt;&gt;"",G1356,IF(OR(E1356="Proposition envoyée",E1356="Signature"),MAX(0,N(IFERROR(INDEX('Paramètres'!$R$6:$R$15,MATCH(IF(AL1356&lt;&gt;"",AL1356,IFERROR(INDEX('Prospects'!$AN$5:$AN$504,MATCH(C1356,'Prospects'!$C$5:$C$504,0)),"")),'Paramètres'!$Q$6:$Q$15,0)),0))-N(P1356)),0)))</f>
        <v/>
      </c>
      <c r="AX1356" s="61">
        <f>IF(C1356="","",IF(COUNTIF($C$5:C1356,C1356)=1,MAX($AX$4:AX1355)+1,""))</f>
        <v/>
      </c>
      <c r="AY1356" s="61">
        <f>IF(B1356="","",HOUR(B1356))</f>
        <v/>
      </c>
      <c r="AZ1356" s="61">
        <f>IF(A1356="","",MOD(A1356-2,7)+1)</f>
        <v/>
      </c>
      <c r="BA1356" s="60">
        <f>IF(C1356="","",IFERROR(INDEX('Prospects'!$N$5:$N$504,MATCH(C1356,'Prospects'!$C$5:$C$504,0)),""))</f>
        <v/>
      </c>
      <c r="BB1356" s="61">
        <f>IF(AND(C1356&lt;&gt;"",C1356='Fiche prospect'!$C$4),COUNTIF($C$5:C1356,C1356),"")</f>
        <v/>
      </c>
    </row>
    <row r="1357">
      <c r="A1357" s="53" t="n"/>
      <c r="B1357" s="54" t="n"/>
      <c r="C1357" s="55" t="n"/>
      <c r="D1357" s="55" t="n"/>
      <c r="E1357" s="55" t="n"/>
      <c r="F1357" s="55" t="n"/>
      <c r="G1357" s="56" t="n"/>
      <c r="H1357" s="57" t="n"/>
      <c r="I1357" s="55" t="n"/>
      <c r="J1357" s="53" t="n"/>
      <c r="K1357" s="54" t="n"/>
      <c r="L1357" s="55" t="n"/>
      <c r="M1357" s="55" t="n"/>
      <c r="N1357" s="57" t="n"/>
      <c r="O1357" s="55" t="n"/>
      <c r="P1357" s="56" t="n"/>
      <c r="Q1357" s="55" t="n"/>
      <c r="R1357" s="55" t="n"/>
      <c r="S1357" s="55" t="n"/>
      <c r="T1357" s="55" t="n"/>
      <c r="U1357" s="55" t="n"/>
      <c r="V1357" s="55" t="n"/>
      <c r="W1357" s="58" t="n"/>
      <c r="X1357" s="58" t="n"/>
      <c r="Y1357" s="55" t="n"/>
      <c r="Z1357" s="55" t="n"/>
      <c r="AA1357" s="55" t="n"/>
      <c r="AB1357" s="55" t="n"/>
      <c r="AC1357" s="55" t="n"/>
      <c r="AD1357" s="53" t="n"/>
      <c r="AE1357" s="55" t="n"/>
      <c r="AF1357" s="55" t="n"/>
      <c r="AG1357" s="59" t="n"/>
      <c r="AH1357" s="57" t="n"/>
      <c r="AI1357" s="55" t="n"/>
      <c r="AJ1357" s="55" t="n"/>
      <c r="AK1357" s="55" t="n"/>
      <c r="AL1357" s="55" t="n"/>
      <c r="AM1357" s="56" t="n"/>
      <c r="AN1357" s="55" t="n"/>
      <c r="AO1357" s="55" t="n"/>
      <c r="AP1357" s="55" t="n"/>
      <c r="AQ1357" s="55" t="n"/>
      <c r="AR1357" s="60">
        <f>IF(AND(C1357="",E1357=""),"",IF(A1357="","⚠ Date manquante",IF(AND(C1357="",E1357&lt;&gt;"Dépense"),"⚠ Prospect manquant",IF(E1357="","⚠ Action manquante",IF(AND(AU1357=1,D1357=""),"⚠ Canal manquant",IF(AND(W1357&lt;&gt;"",COUNTIFS('Saisie'!$W$5:$W$2004,W1357,'Saisie'!$C$5:$C$2004,"&lt;&gt;"&amp;C1357)&gt;0),"⚠ Numéro déjà utilisé par un autre prospect",IF(AND(J1357&lt;&gt;"",J1357&lt;A1357),"⚠ Relance avant la date de l'action",IF(A1357&gt;TODAY(),"⚠ Date dans le futur","✓"))))))))</f>
        <v/>
      </c>
      <c r="AS1357" s="61">
        <f>IF(AND(A1357="",C1357="",E1357=""),"",ROW())</f>
        <v/>
      </c>
      <c r="AT1357" s="61">
        <f>IF(E1357&amp;F1357="","",MAX(IFERROR(INDEX('Paramètres'!$J$6:$J$33,MATCH(E1357,'Paramètres'!$I$6:$I$33,0)),0),IFERROR(INDEX('Paramètres'!$N$6:$N$17,MATCH(F1357,'Paramètres'!$M$6:$M$17,0)),0)))</f>
        <v/>
      </c>
      <c r="AU1357" s="61">
        <f>IF(E1357="","",IFERROR(IF(INDEX('Paramètres'!$K$6:$K$33,MATCH(E1357,'Paramètres'!$I$6:$I$33,0))="Oui",1,0),0))</f>
        <v/>
      </c>
      <c r="AV1357" s="61">
        <f>IF(F1357="","",IFERROR(IF(INDEX('Paramètres'!$O$6:$O$17,MATCH(F1357,'Paramètres'!$M$6:$M$17,0))="Oui",1,0),0))</f>
        <v/>
      </c>
      <c r="AW1357" s="62">
        <f>IF(E1357="","",IF(G1357&lt;&gt;"",G1357,IF(OR(E1357="Proposition envoyée",E1357="Signature"),MAX(0,N(IFERROR(INDEX('Paramètres'!$R$6:$R$15,MATCH(IF(AL1357&lt;&gt;"",AL1357,IFERROR(INDEX('Prospects'!$AN$5:$AN$504,MATCH(C1357,'Prospects'!$C$5:$C$504,0)),"")),'Paramètres'!$Q$6:$Q$15,0)),0))-N(P1357)),0)))</f>
        <v/>
      </c>
      <c r="AX1357" s="61">
        <f>IF(C1357="","",IF(COUNTIF($C$5:C1357,C1357)=1,MAX($AX$4:AX1356)+1,""))</f>
        <v/>
      </c>
      <c r="AY1357" s="61">
        <f>IF(B1357="","",HOUR(B1357))</f>
        <v/>
      </c>
      <c r="AZ1357" s="61">
        <f>IF(A1357="","",MOD(A1357-2,7)+1)</f>
        <v/>
      </c>
      <c r="BA1357" s="60">
        <f>IF(C1357="","",IFERROR(INDEX('Prospects'!$N$5:$N$504,MATCH(C1357,'Prospects'!$C$5:$C$504,0)),""))</f>
        <v/>
      </c>
      <c r="BB1357" s="61">
        <f>IF(AND(C1357&lt;&gt;"",C1357='Fiche prospect'!$C$4),COUNTIF($C$5:C1357,C1357),"")</f>
        <v/>
      </c>
    </row>
    <row r="1358">
      <c r="A1358" s="53" t="n"/>
      <c r="B1358" s="54" t="n"/>
      <c r="C1358" s="55" t="n"/>
      <c r="D1358" s="55" t="n"/>
      <c r="E1358" s="55" t="n"/>
      <c r="F1358" s="55" t="n"/>
      <c r="G1358" s="56" t="n"/>
      <c r="H1358" s="57" t="n"/>
      <c r="I1358" s="55" t="n"/>
      <c r="J1358" s="53" t="n"/>
      <c r="K1358" s="54" t="n"/>
      <c r="L1358" s="55" t="n"/>
      <c r="M1358" s="55" t="n"/>
      <c r="N1358" s="57" t="n"/>
      <c r="O1358" s="55" t="n"/>
      <c r="P1358" s="56" t="n"/>
      <c r="Q1358" s="55" t="n"/>
      <c r="R1358" s="55" t="n"/>
      <c r="S1358" s="55" t="n"/>
      <c r="T1358" s="55" t="n"/>
      <c r="U1358" s="55" t="n"/>
      <c r="V1358" s="55" t="n"/>
      <c r="W1358" s="58" t="n"/>
      <c r="X1358" s="58" t="n"/>
      <c r="Y1358" s="55" t="n"/>
      <c r="Z1358" s="55" t="n"/>
      <c r="AA1358" s="55" t="n"/>
      <c r="AB1358" s="55" t="n"/>
      <c r="AC1358" s="55" t="n"/>
      <c r="AD1358" s="53" t="n"/>
      <c r="AE1358" s="55" t="n"/>
      <c r="AF1358" s="55" t="n"/>
      <c r="AG1358" s="59" t="n"/>
      <c r="AH1358" s="57" t="n"/>
      <c r="AI1358" s="55" t="n"/>
      <c r="AJ1358" s="55" t="n"/>
      <c r="AK1358" s="55" t="n"/>
      <c r="AL1358" s="55" t="n"/>
      <c r="AM1358" s="56" t="n"/>
      <c r="AN1358" s="55" t="n"/>
      <c r="AO1358" s="55" t="n"/>
      <c r="AP1358" s="55" t="n"/>
      <c r="AQ1358" s="55" t="n"/>
      <c r="AR1358" s="60">
        <f>IF(AND(C1358="",E1358=""),"",IF(A1358="","⚠ Date manquante",IF(AND(C1358="",E1358&lt;&gt;"Dépense"),"⚠ Prospect manquant",IF(E1358="","⚠ Action manquante",IF(AND(AU1358=1,D1358=""),"⚠ Canal manquant",IF(AND(W1358&lt;&gt;"",COUNTIFS('Saisie'!$W$5:$W$2004,W1358,'Saisie'!$C$5:$C$2004,"&lt;&gt;"&amp;C1358)&gt;0),"⚠ Numéro déjà utilisé par un autre prospect",IF(AND(J1358&lt;&gt;"",J1358&lt;A1358),"⚠ Relance avant la date de l'action",IF(A1358&gt;TODAY(),"⚠ Date dans le futur","✓"))))))))</f>
        <v/>
      </c>
      <c r="AS1358" s="61">
        <f>IF(AND(A1358="",C1358="",E1358=""),"",ROW())</f>
        <v/>
      </c>
      <c r="AT1358" s="61">
        <f>IF(E1358&amp;F1358="","",MAX(IFERROR(INDEX('Paramètres'!$J$6:$J$33,MATCH(E1358,'Paramètres'!$I$6:$I$33,0)),0),IFERROR(INDEX('Paramètres'!$N$6:$N$17,MATCH(F1358,'Paramètres'!$M$6:$M$17,0)),0)))</f>
        <v/>
      </c>
      <c r="AU1358" s="61">
        <f>IF(E1358="","",IFERROR(IF(INDEX('Paramètres'!$K$6:$K$33,MATCH(E1358,'Paramètres'!$I$6:$I$33,0))="Oui",1,0),0))</f>
        <v/>
      </c>
      <c r="AV1358" s="61">
        <f>IF(F1358="","",IFERROR(IF(INDEX('Paramètres'!$O$6:$O$17,MATCH(F1358,'Paramètres'!$M$6:$M$17,0))="Oui",1,0),0))</f>
        <v/>
      </c>
      <c r="AW1358" s="62">
        <f>IF(E1358="","",IF(G1358&lt;&gt;"",G1358,IF(OR(E1358="Proposition envoyée",E1358="Signature"),MAX(0,N(IFERROR(INDEX('Paramètres'!$R$6:$R$15,MATCH(IF(AL1358&lt;&gt;"",AL1358,IFERROR(INDEX('Prospects'!$AN$5:$AN$504,MATCH(C1358,'Prospects'!$C$5:$C$504,0)),"")),'Paramètres'!$Q$6:$Q$15,0)),0))-N(P1358)),0)))</f>
        <v/>
      </c>
      <c r="AX1358" s="61">
        <f>IF(C1358="","",IF(COUNTIF($C$5:C1358,C1358)=1,MAX($AX$4:AX1357)+1,""))</f>
        <v/>
      </c>
      <c r="AY1358" s="61">
        <f>IF(B1358="","",HOUR(B1358))</f>
        <v/>
      </c>
      <c r="AZ1358" s="61">
        <f>IF(A1358="","",MOD(A1358-2,7)+1)</f>
        <v/>
      </c>
      <c r="BA1358" s="60">
        <f>IF(C1358="","",IFERROR(INDEX('Prospects'!$N$5:$N$504,MATCH(C1358,'Prospects'!$C$5:$C$504,0)),""))</f>
        <v/>
      </c>
      <c r="BB1358" s="61">
        <f>IF(AND(C1358&lt;&gt;"",C1358='Fiche prospect'!$C$4),COUNTIF($C$5:C1358,C1358),"")</f>
        <v/>
      </c>
    </row>
    <row r="1359">
      <c r="A1359" s="53" t="n"/>
      <c r="B1359" s="54" t="n"/>
      <c r="C1359" s="55" t="n"/>
      <c r="D1359" s="55" t="n"/>
      <c r="E1359" s="55" t="n"/>
      <c r="F1359" s="55" t="n"/>
      <c r="G1359" s="56" t="n"/>
      <c r="H1359" s="57" t="n"/>
      <c r="I1359" s="55" t="n"/>
      <c r="J1359" s="53" t="n"/>
      <c r="K1359" s="54" t="n"/>
      <c r="L1359" s="55" t="n"/>
      <c r="M1359" s="55" t="n"/>
      <c r="N1359" s="57" t="n"/>
      <c r="O1359" s="55" t="n"/>
      <c r="P1359" s="56" t="n"/>
      <c r="Q1359" s="55" t="n"/>
      <c r="R1359" s="55" t="n"/>
      <c r="S1359" s="55" t="n"/>
      <c r="T1359" s="55" t="n"/>
      <c r="U1359" s="55" t="n"/>
      <c r="V1359" s="55" t="n"/>
      <c r="W1359" s="58" t="n"/>
      <c r="X1359" s="58" t="n"/>
      <c r="Y1359" s="55" t="n"/>
      <c r="Z1359" s="55" t="n"/>
      <c r="AA1359" s="55" t="n"/>
      <c r="AB1359" s="55" t="n"/>
      <c r="AC1359" s="55" t="n"/>
      <c r="AD1359" s="53" t="n"/>
      <c r="AE1359" s="55" t="n"/>
      <c r="AF1359" s="55" t="n"/>
      <c r="AG1359" s="59" t="n"/>
      <c r="AH1359" s="57" t="n"/>
      <c r="AI1359" s="55" t="n"/>
      <c r="AJ1359" s="55" t="n"/>
      <c r="AK1359" s="55" t="n"/>
      <c r="AL1359" s="55" t="n"/>
      <c r="AM1359" s="56" t="n"/>
      <c r="AN1359" s="55" t="n"/>
      <c r="AO1359" s="55" t="n"/>
      <c r="AP1359" s="55" t="n"/>
      <c r="AQ1359" s="55" t="n"/>
      <c r="AR1359" s="60">
        <f>IF(AND(C1359="",E1359=""),"",IF(A1359="","⚠ Date manquante",IF(AND(C1359="",E1359&lt;&gt;"Dépense"),"⚠ Prospect manquant",IF(E1359="","⚠ Action manquante",IF(AND(AU1359=1,D1359=""),"⚠ Canal manquant",IF(AND(W1359&lt;&gt;"",COUNTIFS('Saisie'!$W$5:$W$2004,W1359,'Saisie'!$C$5:$C$2004,"&lt;&gt;"&amp;C1359)&gt;0),"⚠ Numéro déjà utilisé par un autre prospect",IF(AND(J1359&lt;&gt;"",J1359&lt;A1359),"⚠ Relance avant la date de l'action",IF(A1359&gt;TODAY(),"⚠ Date dans le futur","✓"))))))))</f>
        <v/>
      </c>
      <c r="AS1359" s="61">
        <f>IF(AND(A1359="",C1359="",E1359=""),"",ROW())</f>
        <v/>
      </c>
      <c r="AT1359" s="61">
        <f>IF(E1359&amp;F1359="","",MAX(IFERROR(INDEX('Paramètres'!$J$6:$J$33,MATCH(E1359,'Paramètres'!$I$6:$I$33,0)),0),IFERROR(INDEX('Paramètres'!$N$6:$N$17,MATCH(F1359,'Paramètres'!$M$6:$M$17,0)),0)))</f>
        <v/>
      </c>
      <c r="AU1359" s="61">
        <f>IF(E1359="","",IFERROR(IF(INDEX('Paramètres'!$K$6:$K$33,MATCH(E1359,'Paramètres'!$I$6:$I$33,0))="Oui",1,0),0))</f>
        <v/>
      </c>
      <c r="AV1359" s="61">
        <f>IF(F1359="","",IFERROR(IF(INDEX('Paramètres'!$O$6:$O$17,MATCH(F1359,'Paramètres'!$M$6:$M$17,0))="Oui",1,0),0))</f>
        <v/>
      </c>
      <c r="AW1359" s="62">
        <f>IF(E1359="","",IF(G1359&lt;&gt;"",G1359,IF(OR(E1359="Proposition envoyée",E1359="Signature"),MAX(0,N(IFERROR(INDEX('Paramètres'!$R$6:$R$15,MATCH(IF(AL1359&lt;&gt;"",AL1359,IFERROR(INDEX('Prospects'!$AN$5:$AN$504,MATCH(C1359,'Prospects'!$C$5:$C$504,0)),"")),'Paramètres'!$Q$6:$Q$15,0)),0))-N(P1359)),0)))</f>
        <v/>
      </c>
      <c r="AX1359" s="61">
        <f>IF(C1359="","",IF(COUNTIF($C$5:C1359,C1359)=1,MAX($AX$4:AX1358)+1,""))</f>
        <v/>
      </c>
      <c r="AY1359" s="61">
        <f>IF(B1359="","",HOUR(B1359))</f>
        <v/>
      </c>
      <c r="AZ1359" s="61">
        <f>IF(A1359="","",MOD(A1359-2,7)+1)</f>
        <v/>
      </c>
      <c r="BA1359" s="60">
        <f>IF(C1359="","",IFERROR(INDEX('Prospects'!$N$5:$N$504,MATCH(C1359,'Prospects'!$C$5:$C$504,0)),""))</f>
        <v/>
      </c>
      <c r="BB1359" s="61">
        <f>IF(AND(C1359&lt;&gt;"",C1359='Fiche prospect'!$C$4),COUNTIF($C$5:C1359,C1359),"")</f>
        <v/>
      </c>
    </row>
    <row r="1360">
      <c r="A1360" s="53" t="n"/>
      <c r="B1360" s="54" t="n"/>
      <c r="C1360" s="55" t="n"/>
      <c r="D1360" s="55" t="n"/>
      <c r="E1360" s="55" t="n"/>
      <c r="F1360" s="55" t="n"/>
      <c r="G1360" s="56" t="n"/>
      <c r="H1360" s="57" t="n"/>
      <c r="I1360" s="55" t="n"/>
      <c r="J1360" s="53" t="n"/>
      <c r="K1360" s="54" t="n"/>
      <c r="L1360" s="55" t="n"/>
      <c r="M1360" s="55" t="n"/>
      <c r="N1360" s="57" t="n"/>
      <c r="O1360" s="55" t="n"/>
      <c r="P1360" s="56" t="n"/>
      <c r="Q1360" s="55" t="n"/>
      <c r="R1360" s="55" t="n"/>
      <c r="S1360" s="55" t="n"/>
      <c r="T1360" s="55" t="n"/>
      <c r="U1360" s="55" t="n"/>
      <c r="V1360" s="55" t="n"/>
      <c r="W1360" s="58" t="n"/>
      <c r="X1360" s="58" t="n"/>
      <c r="Y1360" s="55" t="n"/>
      <c r="Z1360" s="55" t="n"/>
      <c r="AA1360" s="55" t="n"/>
      <c r="AB1360" s="55" t="n"/>
      <c r="AC1360" s="55" t="n"/>
      <c r="AD1360" s="53" t="n"/>
      <c r="AE1360" s="55" t="n"/>
      <c r="AF1360" s="55" t="n"/>
      <c r="AG1360" s="59" t="n"/>
      <c r="AH1360" s="57" t="n"/>
      <c r="AI1360" s="55" t="n"/>
      <c r="AJ1360" s="55" t="n"/>
      <c r="AK1360" s="55" t="n"/>
      <c r="AL1360" s="55" t="n"/>
      <c r="AM1360" s="56" t="n"/>
      <c r="AN1360" s="55" t="n"/>
      <c r="AO1360" s="55" t="n"/>
      <c r="AP1360" s="55" t="n"/>
      <c r="AQ1360" s="55" t="n"/>
      <c r="AR1360" s="60">
        <f>IF(AND(C1360="",E1360=""),"",IF(A1360="","⚠ Date manquante",IF(AND(C1360="",E1360&lt;&gt;"Dépense"),"⚠ Prospect manquant",IF(E1360="","⚠ Action manquante",IF(AND(AU1360=1,D1360=""),"⚠ Canal manquant",IF(AND(W1360&lt;&gt;"",COUNTIFS('Saisie'!$W$5:$W$2004,W1360,'Saisie'!$C$5:$C$2004,"&lt;&gt;"&amp;C1360)&gt;0),"⚠ Numéro déjà utilisé par un autre prospect",IF(AND(J1360&lt;&gt;"",J1360&lt;A1360),"⚠ Relance avant la date de l'action",IF(A1360&gt;TODAY(),"⚠ Date dans le futur","✓"))))))))</f>
        <v/>
      </c>
      <c r="AS1360" s="61">
        <f>IF(AND(A1360="",C1360="",E1360=""),"",ROW())</f>
        <v/>
      </c>
      <c r="AT1360" s="61">
        <f>IF(E1360&amp;F1360="","",MAX(IFERROR(INDEX('Paramètres'!$J$6:$J$33,MATCH(E1360,'Paramètres'!$I$6:$I$33,0)),0),IFERROR(INDEX('Paramètres'!$N$6:$N$17,MATCH(F1360,'Paramètres'!$M$6:$M$17,0)),0)))</f>
        <v/>
      </c>
      <c r="AU1360" s="61">
        <f>IF(E1360="","",IFERROR(IF(INDEX('Paramètres'!$K$6:$K$33,MATCH(E1360,'Paramètres'!$I$6:$I$33,0))="Oui",1,0),0))</f>
        <v/>
      </c>
      <c r="AV1360" s="61">
        <f>IF(F1360="","",IFERROR(IF(INDEX('Paramètres'!$O$6:$O$17,MATCH(F1360,'Paramètres'!$M$6:$M$17,0))="Oui",1,0),0))</f>
        <v/>
      </c>
      <c r="AW1360" s="62">
        <f>IF(E1360="","",IF(G1360&lt;&gt;"",G1360,IF(OR(E1360="Proposition envoyée",E1360="Signature"),MAX(0,N(IFERROR(INDEX('Paramètres'!$R$6:$R$15,MATCH(IF(AL1360&lt;&gt;"",AL1360,IFERROR(INDEX('Prospects'!$AN$5:$AN$504,MATCH(C1360,'Prospects'!$C$5:$C$504,0)),"")),'Paramètres'!$Q$6:$Q$15,0)),0))-N(P1360)),0)))</f>
        <v/>
      </c>
      <c r="AX1360" s="61">
        <f>IF(C1360="","",IF(COUNTIF($C$5:C1360,C1360)=1,MAX($AX$4:AX1359)+1,""))</f>
        <v/>
      </c>
      <c r="AY1360" s="61">
        <f>IF(B1360="","",HOUR(B1360))</f>
        <v/>
      </c>
      <c r="AZ1360" s="61">
        <f>IF(A1360="","",MOD(A1360-2,7)+1)</f>
        <v/>
      </c>
      <c r="BA1360" s="60">
        <f>IF(C1360="","",IFERROR(INDEX('Prospects'!$N$5:$N$504,MATCH(C1360,'Prospects'!$C$5:$C$504,0)),""))</f>
        <v/>
      </c>
      <c r="BB1360" s="61">
        <f>IF(AND(C1360&lt;&gt;"",C1360='Fiche prospect'!$C$4),COUNTIF($C$5:C1360,C1360),"")</f>
        <v/>
      </c>
    </row>
    <row r="1361">
      <c r="A1361" s="53" t="n"/>
      <c r="B1361" s="54" t="n"/>
      <c r="C1361" s="55" t="n"/>
      <c r="D1361" s="55" t="n"/>
      <c r="E1361" s="55" t="n"/>
      <c r="F1361" s="55" t="n"/>
      <c r="G1361" s="56" t="n"/>
      <c r="H1361" s="57" t="n"/>
      <c r="I1361" s="55" t="n"/>
      <c r="J1361" s="53" t="n"/>
      <c r="K1361" s="54" t="n"/>
      <c r="L1361" s="55" t="n"/>
      <c r="M1361" s="55" t="n"/>
      <c r="N1361" s="57" t="n"/>
      <c r="O1361" s="55" t="n"/>
      <c r="P1361" s="56" t="n"/>
      <c r="Q1361" s="55" t="n"/>
      <c r="R1361" s="55" t="n"/>
      <c r="S1361" s="55" t="n"/>
      <c r="T1361" s="55" t="n"/>
      <c r="U1361" s="55" t="n"/>
      <c r="V1361" s="55" t="n"/>
      <c r="W1361" s="58" t="n"/>
      <c r="X1361" s="58" t="n"/>
      <c r="Y1361" s="55" t="n"/>
      <c r="Z1361" s="55" t="n"/>
      <c r="AA1361" s="55" t="n"/>
      <c r="AB1361" s="55" t="n"/>
      <c r="AC1361" s="55" t="n"/>
      <c r="AD1361" s="53" t="n"/>
      <c r="AE1361" s="55" t="n"/>
      <c r="AF1361" s="55" t="n"/>
      <c r="AG1361" s="59" t="n"/>
      <c r="AH1361" s="57" t="n"/>
      <c r="AI1361" s="55" t="n"/>
      <c r="AJ1361" s="55" t="n"/>
      <c r="AK1361" s="55" t="n"/>
      <c r="AL1361" s="55" t="n"/>
      <c r="AM1361" s="56" t="n"/>
      <c r="AN1361" s="55" t="n"/>
      <c r="AO1361" s="55" t="n"/>
      <c r="AP1361" s="55" t="n"/>
      <c r="AQ1361" s="55" t="n"/>
      <c r="AR1361" s="60">
        <f>IF(AND(C1361="",E1361=""),"",IF(A1361="","⚠ Date manquante",IF(AND(C1361="",E1361&lt;&gt;"Dépense"),"⚠ Prospect manquant",IF(E1361="","⚠ Action manquante",IF(AND(AU1361=1,D1361=""),"⚠ Canal manquant",IF(AND(W1361&lt;&gt;"",COUNTIFS('Saisie'!$W$5:$W$2004,W1361,'Saisie'!$C$5:$C$2004,"&lt;&gt;"&amp;C1361)&gt;0),"⚠ Numéro déjà utilisé par un autre prospect",IF(AND(J1361&lt;&gt;"",J1361&lt;A1361),"⚠ Relance avant la date de l'action",IF(A1361&gt;TODAY(),"⚠ Date dans le futur","✓"))))))))</f>
        <v/>
      </c>
      <c r="AS1361" s="61">
        <f>IF(AND(A1361="",C1361="",E1361=""),"",ROW())</f>
        <v/>
      </c>
      <c r="AT1361" s="61">
        <f>IF(E1361&amp;F1361="","",MAX(IFERROR(INDEX('Paramètres'!$J$6:$J$33,MATCH(E1361,'Paramètres'!$I$6:$I$33,0)),0),IFERROR(INDEX('Paramètres'!$N$6:$N$17,MATCH(F1361,'Paramètres'!$M$6:$M$17,0)),0)))</f>
        <v/>
      </c>
      <c r="AU1361" s="61">
        <f>IF(E1361="","",IFERROR(IF(INDEX('Paramètres'!$K$6:$K$33,MATCH(E1361,'Paramètres'!$I$6:$I$33,0))="Oui",1,0),0))</f>
        <v/>
      </c>
      <c r="AV1361" s="61">
        <f>IF(F1361="","",IFERROR(IF(INDEX('Paramètres'!$O$6:$O$17,MATCH(F1361,'Paramètres'!$M$6:$M$17,0))="Oui",1,0),0))</f>
        <v/>
      </c>
      <c r="AW1361" s="62">
        <f>IF(E1361="","",IF(G1361&lt;&gt;"",G1361,IF(OR(E1361="Proposition envoyée",E1361="Signature"),MAX(0,N(IFERROR(INDEX('Paramètres'!$R$6:$R$15,MATCH(IF(AL1361&lt;&gt;"",AL1361,IFERROR(INDEX('Prospects'!$AN$5:$AN$504,MATCH(C1361,'Prospects'!$C$5:$C$504,0)),"")),'Paramètres'!$Q$6:$Q$15,0)),0))-N(P1361)),0)))</f>
        <v/>
      </c>
      <c r="AX1361" s="61">
        <f>IF(C1361="","",IF(COUNTIF($C$5:C1361,C1361)=1,MAX($AX$4:AX1360)+1,""))</f>
        <v/>
      </c>
      <c r="AY1361" s="61">
        <f>IF(B1361="","",HOUR(B1361))</f>
        <v/>
      </c>
      <c r="AZ1361" s="61">
        <f>IF(A1361="","",MOD(A1361-2,7)+1)</f>
        <v/>
      </c>
      <c r="BA1361" s="60">
        <f>IF(C1361="","",IFERROR(INDEX('Prospects'!$N$5:$N$504,MATCH(C1361,'Prospects'!$C$5:$C$504,0)),""))</f>
        <v/>
      </c>
      <c r="BB1361" s="61">
        <f>IF(AND(C1361&lt;&gt;"",C1361='Fiche prospect'!$C$4),COUNTIF($C$5:C1361,C1361),"")</f>
        <v/>
      </c>
    </row>
    <row r="1362">
      <c r="A1362" s="53" t="n"/>
      <c r="B1362" s="54" t="n"/>
      <c r="C1362" s="55" t="n"/>
      <c r="D1362" s="55" t="n"/>
      <c r="E1362" s="55" t="n"/>
      <c r="F1362" s="55" t="n"/>
      <c r="G1362" s="56" t="n"/>
      <c r="H1362" s="57" t="n"/>
      <c r="I1362" s="55" t="n"/>
      <c r="J1362" s="53" t="n"/>
      <c r="K1362" s="54" t="n"/>
      <c r="L1362" s="55" t="n"/>
      <c r="M1362" s="55" t="n"/>
      <c r="N1362" s="57" t="n"/>
      <c r="O1362" s="55" t="n"/>
      <c r="P1362" s="56" t="n"/>
      <c r="Q1362" s="55" t="n"/>
      <c r="R1362" s="55" t="n"/>
      <c r="S1362" s="55" t="n"/>
      <c r="T1362" s="55" t="n"/>
      <c r="U1362" s="55" t="n"/>
      <c r="V1362" s="55" t="n"/>
      <c r="W1362" s="58" t="n"/>
      <c r="X1362" s="58" t="n"/>
      <c r="Y1362" s="55" t="n"/>
      <c r="Z1362" s="55" t="n"/>
      <c r="AA1362" s="55" t="n"/>
      <c r="AB1362" s="55" t="n"/>
      <c r="AC1362" s="55" t="n"/>
      <c r="AD1362" s="53" t="n"/>
      <c r="AE1362" s="55" t="n"/>
      <c r="AF1362" s="55" t="n"/>
      <c r="AG1362" s="59" t="n"/>
      <c r="AH1362" s="57" t="n"/>
      <c r="AI1362" s="55" t="n"/>
      <c r="AJ1362" s="55" t="n"/>
      <c r="AK1362" s="55" t="n"/>
      <c r="AL1362" s="55" t="n"/>
      <c r="AM1362" s="56" t="n"/>
      <c r="AN1362" s="55" t="n"/>
      <c r="AO1362" s="55" t="n"/>
      <c r="AP1362" s="55" t="n"/>
      <c r="AQ1362" s="55" t="n"/>
      <c r="AR1362" s="60">
        <f>IF(AND(C1362="",E1362=""),"",IF(A1362="","⚠ Date manquante",IF(AND(C1362="",E1362&lt;&gt;"Dépense"),"⚠ Prospect manquant",IF(E1362="","⚠ Action manquante",IF(AND(AU1362=1,D1362=""),"⚠ Canal manquant",IF(AND(W1362&lt;&gt;"",COUNTIFS('Saisie'!$W$5:$W$2004,W1362,'Saisie'!$C$5:$C$2004,"&lt;&gt;"&amp;C1362)&gt;0),"⚠ Numéro déjà utilisé par un autre prospect",IF(AND(J1362&lt;&gt;"",J1362&lt;A1362),"⚠ Relance avant la date de l'action",IF(A1362&gt;TODAY(),"⚠ Date dans le futur","✓"))))))))</f>
        <v/>
      </c>
      <c r="AS1362" s="61">
        <f>IF(AND(A1362="",C1362="",E1362=""),"",ROW())</f>
        <v/>
      </c>
      <c r="AT1362" s="61">
        <f>IF(E1362&amp;F1362="","",MAX(IFERROR(INDEX('Paramètres'!$J$6:$J$33,MATCH(E1362,'Paramètres'!$I$6:$I$33,0)),0),IFERROR(INDEX('Paramètres'!$N$6:$N$17,MATCH(F1362,'Paramètres'!$M$6:$M$17,0)),0)))</f>
        <v/>
      </c>
      <c r="AU1362" s="61">
        <f>IF(E1362="","",IFERROR(IF(INDEX('Paramètres'!$K$6:$K$33,MATCH(E1362,'Paramètres'!$I$6:$I$33,0))="Oui",1,0),0))</f>
        <v/>
      </c>
      <c r="AV1362" s="61">
        <f>IF(F1362="","",IFERROR(IF(INDEX('Paramètres'!$O$6:$O$17,MATCH(F1362,'Paramètres'!$M$6:$M$17,0))="Oui",1,0),0))</f>
        <v/>
      </c>
      <c r="AW1362" s="62">
        <f>IF(E1362="","",IF(G1362&lt;&gt;"",G1362,IF(OR(E1362="Proposition envoyée",E1362="Signature"),MAX(0,N(IFERROR(INDEX('Paramètres'!$R$6:$R$15,MATCH(IF(AL1362&lt;&gt;"",AL1362,IFERROR(INDEX('Prospects'!$AN$5:$AN$504,MATCH(C1362,'Prospects'!$C$5:$C$504,0)),"")),'Paramètres'!$Q$6:$Q$15,0)),0))-N(P1362)),0)))</f>
        <v/>
      </c>
      <c r="AX1362" s="61">
        <f>IF(C1362="","",IF(COUNTIF($C$5:C1362,C1362)=1,MAX($AX$4:AX1361)+1,""))</f>
        <v/>
      </c>
      <c r="AY1362" s="61">
        <f>IF(B1362="","",HOUR(B1362))</f>
        <v/>
      </c>
      <c r="AZ1362" s="61">
        <f>IF(A1362="","",MOD(A1362-2,7)+1)</f>
        <v/>
      </c>
      <c r="BA1362" s="60">
        <f>IF(C1362="","",IFERROR(INDEX('Prospects'!$N$5:$N$504,MATCH(C1362,'Prospects'!$C$5:$C$504,0)),""))</f>
        <v/>
      </c>
      <c r="BB1362" s="61">
        <f>IF(AND(C1362&lt;&gt;"",C1362='Fiche prospect'!$C$4),COUNTIF($C$5:C1362,C1362),"")</f>
        <v/>
      </c>
    </row>
    <row r="1363">
      <c r="A1363" s="53" t="n"/>
      <c r="B1363" s="54" t="n"/>
      <c r="C1363" s="55" t="n"/>
      <c r="D1363" s="55" t="n"/>
      <c r="E1363" s="55" t="n"/>
      <c r="F1363" s="55" t="n"/>
      <c r="G1363" s="56" t="n"/>
      <c r="H1363" s="57" t="n"/>
      <c r="I1363" s="55" t="n"/>
      <c r="J1363" s="53" t="n"/>
      <c r="K1363" s="54" t="n"/>
      <c r="L1363" s="55" t="n"/>
      <c r="M1363" s="55" t="n"/>
      <c r="N1363" s="57" t="n"/>
      <c r="O1363" s="55" t="n"/>
      <c r="P1363" s="56" t="n"/>
      <c r="Q1363" s="55" t="n"/>
      <c r="R1363" s="55" t="n"/>
      <c r="S1363" s="55" t="n"/>
      <c r="T1363" s="55" t="n"/>
      <c r="U1363" s="55" t="n"/>
      <c r="V1363" s="55" t="n"/>
      <c r="W1363" s="58" t="n"/>
      <c r="X1363" s="58" t="n"/>
      <c r="Y1363" s="55" t="n"/>
      <c r="Z1363" s="55" t="n"/>
      <c r="AA1363" s="55" t="n"/>
      <c r="AB1363" s="55" t="n"/>
      <c r="AC1363" s="55" t="n"/>
      <c r="AD1363" s="53" t="n"/>
      <c r="AE1363" s="55" t="n"/>
      <c r="AF1363" s="55" t="n"/>
      <c r="AG1363" s="59" t="n"/>
      <c r="AH1363" s="57" t="n"/>
      <c r="AI1363" s="55" t="n"/>
      <c r="AJ1363" s="55" t="n"/>
      <c r="AK1363" s="55" t="n"/>
      <c r="AL1363" s="55" t="n"/>
      <c r="AM1363" s="56" t="n"/>
      <c r="AN1363" s="55" t="n"/>
      <c r="AO1363" s="55" t="n"/>
      <c r="AP1363" s="55" t="n"/>
      <c r="AQ1363" s="55" t="n"/>
      <c r="AR1363" s="60">
        <f>IF(AND(C1363="",E1363=""),"",IF(A1363="","⚠ Date manquante",IF(AND(C1363="",E1363&lt;&gt;"Dépense"),"⚠ Prospect manquant",IF(E1363="","⚠ Action manquante",IF(AND(AU1363=1,D1363=""),"⚠ Canal manquant",IF(AND(W1363&lt;&gt;"",COUNTIFS('Saisie'!$W$5:$W$2004,W1363,'Saisie'!$C$5:$C$2004,"&lt;&gt;"&amp;C1363)&gt;0),"⚠ Numéro déjà utilisé par un autre prospect",IF(AND(J1363&lt;&gt;"",J1363&lt;A1363),"⚠ Relance avant la date de l'action",IF(A1363&gt;TODAY(),"⚠ Date dans le futur","✓"))))))))</f>
        <v/>
      </c>
      <c r="AS1363" s="61">
        <f>IF(AND(A1363="",C1363="",E1363=""),"",ROW())</f>
        <v/>
      </c>
      <c r="AT1363" s="61">
        <f>IF(E1363&amp;F1363="","",MAX(IFERROR(INDEX('Paramètres'!$J$6:$J$33,MATCH(E1363,'Paramètres'!$I$6:$I$33,0)),0),IFERROR(INDEX('Paramètres'!$N$6:$N$17,MATCH(F1363,'Paramètres'!$M$6:$M$17,0)),0)))</f>
        <v/>
      </c>
      <c r="AU1363" s="61">
        <f>IF(E1363="","",IFERROR(IF(INDEX('Paramètres'!$K$6:$K$33,MATCH(E1363,'Paramètres'!$I$6:$I$33,0))="Oui",1,0),0))</f>
        <v/>
      </c>
      <c r="AV1363" s="61">
        <f>IF(F1363="","",IFERROR(IF(INDEX('Paramètres'!$O$6:$O$17,MATCH(F1363,'Paramètres'!$M$6:$M$17,0))="Oui",1,0),0))</f>
        <v/>
      </c>
      <c r="AW1363" s="62">
        <f>IF(E1363="","",IF(G1363&lt;&gt;"",G1363,IF(OR(E1363="Proposition envoyée",E1363="Signature"),MAX(0,N(IFERROR(INDEX('Paramètres'!$R$6:$R$15,MATCH(IF(AL1363&lt;&gt;"",AL1363,IFERROR(INDEX('Prospects'!$AN$5:$AN$504,MATCH(C1363,'Prospects'!$C$5:$C$504,0)),"")),'Paramètres'!$Q$6:$Q$15,0)),0))-N(P1363)),0)))</f>
        <v/>
      </c>
      <c r="AX1363" s="61">
        <f>IF(C1363="","",IF(COUNTIF($C$5:C1363,C1363)=1,MAX($AX$4:AX1362)+1,""))</f>
        <v/>
      </c>
      <c r="AY1363" s="61">
        <f>IF(B1363="","",HOUR(B1363))</f>
        <v/>
      </c>
      <c r="AZ1363" s="61">
        <f>IF(A1363="","",MOD(A1363-2,7)+1)</f>
        <v/>
      </c>
      <c r="BA1363" s="60">
        <f>IF(C1363="","",IFERROR(INDEX('Prospects'!$N$5:$N$504,MATCH(C1363,'Prospects'!$C$5:$C$504,0)),""))</f>
        <v/>
      </c>
      <c r="BB1363" s="61">
        <f>IF(AND(C1363&lt;&gt;"",C1363='Fiche prospect'!$C$4),COUNTIF($C$5:C1363,C1363),"")</f>
        <v/>
      </c>
    </row>
    <row r="1364">
      <c r="A1364" s="53" t="n"/>
      <c r="B1364" s="54" t="n"/>
      <c r="C1364" s="55" t="n"/>
      <c r="D1364" s="55" t="n"/>
      <c r="E1364" s="55" t="n"/>
      <c r="F1364" s="55" t="n"/>
      <c r="G1364" s="56" t="n"/>
      <c r="H1364" s="57" t="n"/>
      <c r="I1364" s="55" t="n"/>
      <c r="J1364" s="53" t="n"/>
      <c r="K1364" s="54" t="n"/>
      <c r="L1364" s="55" t="n"/>
      <c r="M1364" s="55" t="n"/>
      <c r="N1364" s="57" t="n"/>
      <c r="O1364" s="55" t="n"/>
      <c r="P1364" s="56" t="n"/>
      <c r="Q1364" s="55" t="n"/>
      <c r="R1364" s="55" t="n"/>
      <c r="S1364" s="55" t="n"/>
      <c r="T1364" s="55" t="n"/>
      <c r="U1364" s="55" t="n"/>
      <c r="V1364" s="55" t="n"/>
      <c r="W1364" s="58" t="n"/>
      <c r="X1364" s="58" t="n"/>
      <c r="Y1364" s="55" t="n"/>
      <c r="Z1364" s="55" t="n"/>
      <c r="AA1364" s="55" t="n"/>
      <c r="AB1364" s="55" t="n"/>
      <c r="AC1364" s="55" t="n"/>
      <c r="AD1364" s="53" t="n"/>
      <c r="AE1364" s="55" t="n"/>
      <c r="AF1364" s="55" t="n"/>
      <c r="AG1364" s="59" t="n"/>
      <c r="AH1364" s="57" t="n"/>
      <c r="AI1364" s="55" t="n"/>
      <c r="AJ1364" s="55" t="n"/>
      <c r="AK1364" s="55" t="n"/>
      <c r="AL1364" s="55" t="n"/>
      <c r="AM1364" s="56" t="n"/>
      <c r="AN1364" s="55" t="n"/>
      <c r="AO1364" s="55" t="n"/>
      <c r="AP1364" s="55" t="n"/>
      <c r="AQ1364" s="55" t="n"/>
      <c r="AR1364" s="60">
        <f>IF(AND(C1364="",E1364=""),"",IF(A1364="","⚠ Date manquante",IF(AND(C1364="",E1364&lt;&gt;"Dépense"),"⚠ Prospect manquant",IF(E1364="","⚠ Action manquante",IF(AND(AU1364=1,D1364=""),"⚠ Canal manquant",IF(AND(W1364&lt;&gt;"",COUNTIFS('Saisie'!$W$5:$W$2004,W1364,'Saisie'!$C$5:$C$2004,"&lt;&gt;"&amp;C1364)&gt;0),"⚠ Numéro déjà utilisé par un autre prospect",IF(AND(J1364&lt;&gt;"",J1364&lt;A1364),"⚠ Relance avant la date de l'action",IF(A1364&gt;TODAY(),"⚠ Date dans le futur","✓"))))))))</f>
        <v/>
      </c>
      <c r="AS1364" s="61">
        <f>IF(AND(A1364="",C1364="",E1364=""),"",ROW())</f>
        <v/>
      </c>
      <c r="AT1364" s="61">
        <f>IF(E1364&amp;F1364="","",MAX(IFERROR(INDEX('Paramètres'!$J$6:$J$33,MATCH(E1364,'Paramètres'!$I$6:$I$33,0)),0),IFERROR(INDEX('Paramètres'!$N$6:$N$17,MATCH(F1364,'Paramètres'!$M$6:$M$17,0)),0)))</f>
        <v/>
      </c>
      <c r="AU1364" s="61">
        <f>IF(E1364="","",IFERROR(IF(INDEX('Paramètres'!$K$6:$K$33,MATCH(E1364,'Paramètres'!$I$6:$I$33,0))="Oui",1,0),0))</f>
        <v/>
      </c>
      <c r="AV1364" s="61">
        <f>IF(F1364="","",IFERROR(IF(INDEX('Paramètres'!$O$6:$O$17,MATCH(F1364,'Paramètres'!$M$6:$M$17,0))="Oui",1,0),0))</f>
        <v/>
      </c>
      <c r="AW1364" s="62">
        <f>IF(E1364="","",IF(G1364&lt;&gt;"",G1364,IF(OR(E1364="Proposition envoyée",E1364="Signature"),MAX(0,N(IFERROR(INDEX('Paramètres'!$R$6:$R$15,MATCH(IF(AL1364&lt;&gt;"",AL1364,IFERROR(INDEX('Prospects'!$AN$5:$AN$504,MATCH(C1364,'Prospects'!$C$5:$C$504,0)),"")),'Paramètres'!$Q$6:$Q$15,0)),0))-N(P1364)),0)))</f>
        <v/>
      </c>
      <c r="AX1364" s="61">
        <f>IF(C1364="","",IF(COUNTIF($C$5:C1364,C1364)=1,MAX($AX$4:AX1363)+1,""))</f>
        <v/>
      </c>
      <c r="AY1364" s="61">
        <f>IF(B1364="","",HOUR(B1364))</f>
        <v/>
      </c>
      <c r="AZ1364" s="61">
        <f>IF(A1364="","",MOD(A1364-2,7)+1)</f>
        <v/>
      </c>
      <c r="BA1364" s="60">
        <f>IF(C1364="","",IFERROR(INDEX('Prospects'!$N$5:$N$504,MATCH(C1364,'Prospects'!$C$5:$C$504,0)),""))</f>
        <v/>
      </c>
      <c r="BB1364" s="61">
        <f>IF(AND(C1364&lt;&gt;"",C1364='Fiche prospect'!$C$4),COUNTIF($C$5:C1364,C1364),"")</f>
        <v/>
      </c>
    </row>
    <row r="1365">
      <c r="A1365" s="53" t="n"/>
      <c r="B1365" s="54" t="n"/>
      <c r="C1365" s="55" t="n"/>
      <c r="D1365" s="55" t="n"/>
      <c r="E1365" s="55" t="n"/>
      <c r="F1365" s="55" t="n"/>
      <c r="G1365" s="56" t="n"/>
      <c r="H1365" s="57" t="n"/>
      <c r="I1365" s="55" t="n"/>
      <c r="J1365" s="53" t="n"/>
      <c r="K1365" s="54" t="n"/>
      <c r="L1365" s="55" t="n"/>
      <c r="M1365" s="55" t="n"/>
      <c r="N1365" s="57" t="n"/>
      <c r="O1365" s="55" t="n"/>
      <c r="P1365" s="56" t="n"/>
      <c r="Q1365" s="55" t="n"/>
      <c r="R1365" s="55" t="n"/>
      <c r="S1365" s="55" t="n"/>
      <c r="T1365" s="55" t="n"/>
      <c r="U1365" s="55" t="n"/>
      <c r="V1365" s="55" t="n"/>
      <c r="W1365" s="58" t="n"/>
      <c r="X1365" s="58" t="n"/>
      <c r="Y1365" s="55" t="n"/>
      <c r="Z1365" s="55" t="n"/>
      <c r="AA1365" s="55" t="n"/>
      <c r="AB1365" s="55" t="n"/>
      <c r="AC1365" s="55" t="n"/>
      <c r="AD1365" s="53" t="n"/>
      <c r="AE1365" s="55" t="n"/>
      <c r="AF1365" s="55" t="n"/>
      <c r="AG1365" s="59" t="n"/>
      <c r="AH1365" s="57" t="n"/>
      <c r="AI1365" s="55" t="n"/>
      <c r="AJ1365" s="55" t="n"/>
      <c r="AK1365" s="55" t="n"/>
      <c r="AL1365" s="55" t="n"/>
      <c r="AM1365" s="56" t="n"/>
      <c r="AN1365" s="55" t="n"/>
      <c r="AO1365" s="55" t="n"/>
      <c r="AP1365" s="55" t="n"/>
      <c r="AQ1365" s="55" t="n"/>
      <c r="AR1365" s="60">
        <f>IF(AND(C1365="",E1365=""),"",IF(A1365="","⚠ Date manquante",IF(AND(C1365="",E1365&lt;&gt;"Dépense"),"⚠ Prospect manquant",IF(E1365="","⚠ Action manquante",IF(AND(AU1365=1,D1365=""),"⚠ Canal manquant",IF(AND(W1365&lt;&gt;"",COUNTIFS('Saisie'!$W$5:$W$2004,W1365,'Saisie'!$C$5:$C$2004,"&lt;&gt;"&amp;C1365)&gt;0),"⚠ Numéro déjà utilisé par un autre prospect",IF(AND(J1365&lt;&gt;"",J1365&lt;A1365),"⚠ Relance avant la date de l'action",IF(A1365&gt;TODAY(),"⚠ Date dans le futur","✓"))))))))</f>
        <v/>
      </c>
      <c r="AS1365" s="61">
        <f>IF(AND(A1365="",C1365="",E1365=""),"",ROW())</f>
        <v/>
      </c>
      <c r="AT1365" s="61">
        <f>IF(E1365&amp;F1365="","",MAX(IFERROR(INDEX('Paramètres'!$J$6:$J$33,MATCH(E1365,'Paramètres'!$I$6:$I$33,0)),0),IFERROR(INDEX('Paramètres'!$N$6:$N$17,MATCH(F1365,'Paramètres'!$M$6:$M$17,0)),0)))</f>
        <v/>
      </c>
      <c r="AU1365" s="61">
        <f>IF(E1365="","",IFERROR(IF(INDEX('Paramètres'!$K$6:$K$33,MATCH(E1365,'Paramètres'!$I$6:$I$33,0))="Oui",1,0),0))</f>
        <v/>
      </c>
      <c r="AV1365" s="61">
        <f>IF(F1365="","",IFERROR(IF(INDEX('Paramètres'!$O$6:$O$17,MATCH(F1365,'Paramètres'!$M$6:$M$17,0))="Oui",1,0),0))</f>
        <v/>
      </c>
      <c r="AW1365" s="62">
        <f>IF(E1365="","",IF(G1365&lt;&gt;"",G1365,IF(OR(E1365="Proposition envoyée",E1365="Signature"),MAX(0,N(IFERROR(INDEX('Paramètres'!$R$6:$R$15,MATCH(IF(AL1365&lt;&gt;"",AL1365,IFERROR(INDEX('Prospects'!$AN$5:$AN$504,MATCH(C1365,'Prospects'!$C$5:$C$504,0)),"")),'Paramètres'!$Q$6:$Q$15,0)),0))-N(P1365)),0)))</f>
        <v/>
      </c>
      <c r="AX1365" s="61">
        <f>IF(C1365="","",IF(COUNTIF($C$5:C1365,C1365)=1,MAX($AX$4:AX1364)+1,""))</f>
        <v/>
      </c>
      <c r="AY1365" s="61">
        <f>IF(B1365="","",HOUR(B1365))</f>
        <v/>
      </c>
      <c r="AZ1365" s="61">
        <f>IF(A1365="","",MOD(A1365-2,7)+1)</f>
        <v/>
      </c>
      <c r="BA1365" s="60">
        <f>IF(C1365="","",IFERROR(INDEX('Prospects'!$N$5:$N$504,MATCH(C1365,'Prospects'!$C$5:$C$504,0)),""))</f>
        <v/>
      </c>
      <c r="BB1365" s="61">
        <f>IF(AND(C1365&lt;&gt;"",C1365='Fiche prospect'!$C$4),COUNTIF($C$5:C1365,C1365),"")</f>
        <v/>
      </c>
    </row>
    <row r="1366">
      <c r="A1366" s="53" t="n"/>
      <c r="B1366" s="54" t="n"/>
      <c r="C1366" s="55" t="n"/>
      <c r="D1366" s="55" t="n"/>
      <c r="E1366" s="55" t="n"/>
      <c r="F1366" s="55" t="n"/>
      <c r="G1366" s="56" t="n"/>
      <c r="H1366" s="57" t="n"/>
      <c r="I1366" s="55" t="n"/>
      <c r="J1366" s="53" t="n"/>
      <c r="K1366" s="54" t="n"/>
      <c r="L1366" s="55" t="n"/>
      <c r="M1366" s="55" t="n"/>
      <c r="N1366" s="57" t="n"/>
      <c r="O1366" s="55" t="n"/>
      <c r="P1366" s="56" t="n"/>
      <c r="Q1366" s="55" t="n"/>
      <c r="R1366" s="55" t="n"/>
      <c r="S1366" s="55" t="n"/>
      <c r="T1366" s="55" t="n"/>
      <c r="U1366" s="55" t="n"/>
      <c r="V1366" s="55" t="n"/>
      <c r="W1366" s="58" t="n"/>
      <c r="X1366" s="58" t="n"/>
      <c r="Y1366" s="55" t="n"/>
      <c r="Z1366" s="55" t="n"/>
      <c r="AA1366" s="55" t="n"/>
      <c r="AB1366" s="55" t="n"/>
      <c r="AC1366" s="55" t="n"/>
      <c r="AD1366" s="53" t="n"/>
      <c r="AE1366" s="55" t="n"/>
      <c r="AF1366" s="55" t="n"/>
      <c r="AG1366" s="59" t="n"/>
      <c r="AH1366" s="57" t="n"/>
      <c r="AI1366" s="55" t="n"/>
      <c r="AJ1366" s="55" t="n"/>
      <c r="AK1366" s="55" t="n"/>
      <c r="AL1366" s="55" t="n"/>
      <c r="AM1366" s="56" t="n"/>
      <c r="AN1366" s="55" t="n"/>
      <c r="AO1366" s="55" t="n"/>
      <c r="AP1366" s="55" t="n"/>
      <c r="AQ1366" s="55" t="n"/>
      <c r="AR1366" s="60">
        <f>IF(AND(C1366="",E1366=""),"",IF(A1366="","⚠ Date manquante",IF(AND(C1366="",E1366&lt;&gt;"Dépense"),"⚠ Prospect manquant",IF(E1366="","⚠ Action manquante",IF(AND(AU1366=1,D1366=""),"⚠ Canal manquant",IF(AND(W1366&lt;&gt;"",COUNTIFS('Saisie'!$W$5:$W$2004,W1366,'Saisie'!$C$5:$C$2004,"&lt;&gt;"&amp;C1366)&gt;0),"⚠ Numéro déjà utilisé par un autre prospect",IF(AND(J1366&lt;&gt;"",J1366&lt;A1366),"⚠ Relance avant la date de l'action",IF(A1366&gt;TODAY(),"⚠ Date dans le futur","✓"))))))))</f>
        <v/>
      </c>
      <c r="AS1366" s="61">
        <f>IF(AND(A1366="",C1366="",E1366=""),"",ROW())</f>
        <v/>
      </c>
      <c r="AT1366" s="61">
        <f>IF(E1366&amp;F1366="","",MAX(IFERROR(INDEX('Paramètres'!$J$6:$J$33,MATCH(E1366,'Paramètres'!$I$6:$I$33,0)),0),IFERROR(INDEX('Paramètres'!$N$6:$N$17,MATCH(F1366,'Paramètres'!$M$6:$M$17,0)),0)))</f>
        <v/>
      </c>
      <c r="AU1366" s="61">
        <f>IF(E1366="","",IFERROR(IF(INDEX('Paramètres'!$K$6:$K$33,MATCH(E1366,'Paramètres'!$I$6:$I$33,0))="Oui",1,0),0))</f>
        <v/>
      </c>
      <c r="AV1366" s="61">
        <f>IF(F1366="","",IFERROR(IF(INDEX('Paramètres'!$O$6:$O$17,MATCH(F1366,'Paramètres'!$M$6:$M$17,0))="Oui",1,0),0))</f>
        <v/>
      </c>
      <c r="AW1366" s="62">
        <f>IF(E1366="","",IF(G1366&lt;&gt;"",G1366,IF(OR(E1366="Proposition envoyée",E1366="Signature"),MAX(0,N(IFERROR(INDEX('Paramètres'!$R$6:$R$15,MATCH(IF(AL1366&lt;&gt;"",AL1366,IFERROR(INDEX('Prospects'!$AN$5:$AN$504,MATCH(C1366,'Prospects'!$C$5:$C$504,0)),"")),'Paramètres'!$Q$6:$Q$15,0)),0))-N(P1366)),0)))</f>
        <v/>
      </c>
      <c r="AX1366" s="61">
        <f>IF(C1366="","",IF(COUNTIF($C$5:C1366,C1366)=1,MAX($AX$4:AX1365)+1,""))</f>
        <v/>
      </c>
      <c r="AY1366" s="61">
        <f>IF(B1366="","",HOUR(B1366))</f>
        <v/>
      </c>
      <c r="AZ1366" s="61">
        <f>IF(A1366="","",MOD(A1366-2,7)+1)</f>
        <v/>
      </c>
      <c r="BA1366" s="60">
        <f>IF(C1366="","",IFERROR(INDEX('Prospects'!$N$5:$N$504,MATCH(C1366,'Prospects'!$C$5:$C$504,0)),""))</f>
        <v/>
      </c>
      <c r="BB1366" s="61">
        <f>IF(AND(C1366&lt;&gt;"",C1366='Fiche prospect'!$C$4),COUNTIF($C$5:C1366,C1366),"")</f>
        <v/>
      </c>
    </row>
    <row r="1367">
      <c r="A1367" s="53" t="n"/>
      <c r="B1367" s="54" t="n"/>
      <c r="C1367" s="55" t="n"/>
      <c r="D1367" s="55" t="n"/>
      <c r="E1367" s="55" t="n"/>
      <c r="F1367" s="55" t="n"/>
      <c r="G1367" s="56" t="n"/>
      <c r="H1367" s="57" t="n"/>
      <c r="I1367" s="55" t="n"/>
      <c r="J1367" s="53" t="n"/>
      <c r="K1367" s="54" t="n"/>
      <c r="L1367" s="55" t="n"/>
      <c r="M1367" s="55" t="n"/>
      <c r="N1367" s="57" t="n"/>
      <c r="O1367" s="55" t="n"/>
      <c r="P1367" s="56" t="n"/>
      <c r="Q1367" s="55" t="n"/>
      <c r="R1367" s="55" t="n"/>
      <c r="S1367" s="55" t="n"/>
      <c r="T1367" s="55" t="n"/>
      <c r="U1367" s="55" t="n"/>
      <c r="V1367" s="55" t="n"/>
      <c r="W1367" s="58" t="n"/>
      <c r="X1367" s="58" t="n"/>
      <c r="Y1367" s="55" t="n"/>
      <c r="Z1367" s="55" t="n"/>
      <c r="AA1367" s="55" t="n"/>
      <c r="AB1367" s="55" t="n"/>
      <c r="AC1367" s="55" t="n"/>
      <c r="AD1367" s="53" t="n"/>
      <c r="AE1367" s="55" t="n"/>
      <c r="AF1367" s="55" t="n"/>
      <c r="AG1367" s="59" t="n"/>
      <c r="AH1367" s="57" t="n"/>
      <c r="AI1367" s="55" t="n"/>
      <c r="AJ1367" s="55" t="n"/>
      <c r="AK1367" s="55" t="n"/>
      <c r="AL1367" s="55" t="n"/>
      <c r="AM1367" s="56" t="n"/>
      <c r="AN1367" s="55" t="n"/>
      <c r="AO1367" s="55" t="n"/>
      <c r="AP1367" s="55" t="n"/>
      <c r="AQ1367" s="55" t="n"/>
      <c r="AR1367" s="60">
        <f>IF(AND(C1367="",E1367=""),"",IF(A1367="","⚠ Date manquante",IF(AND(C1367="",E1367&lt;&gt;"Dépense"),"⚠ Prospect manquant",IF(E1367="","⚠ Action manquante",IF(AND(AU1367=1,D1367=""),"⚠ Canal manquant",IF(AND(W1367&lt;&gt;"",COUNTIFS('Saisie'!$W$5:$W$2004,W1367,'Saisie'!$C$5:$C$2004,"&lt;&gt;"&amp;C1367)&gt;0),"⚠ Numéro déjà utilisé par un autre prospect",IF(AND(J1367&lt;&gt;"",J1367&lt;A1367),"⚠ Relance avant la date de l'action",IF(A1367&gt;TODAY(),"⚠ Date dans le futur","✓"))))))))</f>
        <v/>
      </c>
      <c r="AS1367" s="61">
        <f>IF(AND(A1367="",C1367="",E1367=""),"",ROW())</f>
        <v/>
      </c>
      <c r="AT1367" s="61">
        <f>IF(E1367&amp;F1367="","",MAX(IFERROR(INDEX('Paramètres'!$J$6:$J$33,MATCH(E1367,'Paramètres'!$I$6:$I$33,0)),0),IFERROR(INDEX('Paramètres'!$N$6:$N$17,MATCH(F1367,'Paramètres'!$M$6:$M$17,0)),0)))</f>
        <v/>
      </c>
      <c r="AU1367" s="61">
        <f>IF(E1367="","",IFERROR(IF(INDEX('Paramètres'!$K$6:$K$33,MATCH(E1367,'Paramètres'!$I$6:$I$33,0))="Oui",1,0),0))</f>
        <v/>
      </c>
      <c r="AV1367" s="61">
        <f>IF(F1367="","",IFERROR(IF(INDEX('Paramètres'!$O$6:$O$17,MATCH(F1367,'Paramètres'!$M$6:$M$17,0))="Oui",1,0),0))</f>
        <v/>
      </c>
      <c r="AW1367" s="62">
        <f>IF(E1367="","",IF(G1367&lt;&gt;"",G1367,IF(OR(E1367="Proposition envoyée",E1367="Signature"),MAX(0,N(IFERROR(INDEX('Paramètres'!$R$6:$R$15,MATCH(IF(AL1367&lt;&gt;"",AL1367,IFERROR(INDEX('Prospects'!$AN$5:$AN$504,MATCH(C1367,'Prospects'!$C$5:$C$504,0)),"")),'Paramètres'!$Q$6:$Q$15,0)),0))-N(P1367)),0)))</f>
        <v/>
      </c>
      <c r="AX1367" s="61">
        <f>IF(C1367="","",IF(COUNTIF($C$5:C1367,C1367)=1,MAX($AX$4:AX1366)+1,""))</f>
        <v/>
      </c>
      <c r="AY1367" s="61">
        <f>IF(B1367="","",HOUR(B1367))</f>
        <v/>
      </c>
      <c r="AZ1367" s="61">
        <f>IF(A1367="","",MOD(A1367-2,7)+1)</f>
        <v/>
      </c>
      <c r="BA1367" s="60">
        <f>IF(C1367="","",IFERROR(INDEX('Prospects'!$N$5:$N$504,MATCH(C1367,'Prospects'!$C$5:$C$504,0)),""))</f>
        <v/>
      </c>
      <c r="BB1367" s="61">
        <f>IF(AND(C1367&lt;&gt;"",C1367='Fiche prospect'!$C$4),COUNTIF($C$5:C1367,C1367),"")</f>
        <v/>
      </c>
    </row>
    <row r="1368">
      <c r="A1368" s="53" t="n"/>
      <c r="B1368" s="54" t="n"/>
      <c r="C1368" s="55" t="n"/>
      <c r="D1368" s="55" t="n"/>
      <c r="E1368" s="55" t="n"/>
      <c r="F1368" s="55" t="n"/>
      <c r="G1368" s="56" t="n"/>
      <c r="H1368" s="57" t="n"/>
      <c r="I1368" s="55" t="n"/>
      <c r="J1368" s="53" t="n"/>
      <c r="K1368" s="54" t="n"/>
      <c r="L1368" s="55" t="n"/>
      <c r="M1368" s="55" t="n"/>
      <c r="N1368" s="57" t="n"/>
      <c r="O1368" s="55" t="n"/>
      <c r="P1368" s="56" t="n"/>
      <c r="Q1368" s="55" t="n"/>
      <c r="R1368" s="55" t="n"/>
      <c r="S1368" s="55" t="n"/>
      <c r="T1368" s="55" t="n"/>
      <c r="U1368" s="55" t="n"/>
      <c r="V1368" s="55" t="n"/>
      <c r="W1368" s="58" t="n"/>
      <c r="X1368" s="58" t="n"/>
      <c r="Y1368" s="55" t="n"/>
      <c r="Z1368" s="55" t="n"/>
      <c r="AA1368" s="55" t="n"/>
      <c r="AB1368" s="55" t="n"/>
      <c r="AC1368" s="55" t="n"/>
      <c r="AD1368" s="53" t="n"/>
      <c r="AE1368" s="55" t="n"/>
      <c r="AF1368" s="55" t="n"/>
      <c r="AG1368" s="59" t="n"/>
      <c r="AH1368" s="57" t="n"/>
      <c r="AI1368" s="55" t="n"/>
      <c r="AJ1368" s="55" t="n"/>
      <c r="AK1368" s="55" t="n"/>
      <c r="AL1368" s="55" t="n"/>
      <c r="AM1368" s="56" t="n"/>
      <c r="AN1368" s="55" t="n"/>
      <c r="AO1368" s="55" t="n"/>
      <c r="AP1368" s="55" t="n"/>
      <c r="AQ1368" s="55" t="n"/>
      <c r="AR1368" s="60">
        <f>IF(AND(C1368="",E1368=""),"",IF(A1368="","⚠ Date manquante",IF(AND(C1368="",E1368&lt;&gt;"Dépense"),"⚠ Prospect manquant",IF(E1368="","⚠ Action manquante",IF(AND(AU1368=1,D1368=""),"⚠ Canal manquant",IF(AND(W1368&lt;&gt;"",COUNTIFS('Saisie'!$W$5:$W$2004,W1368,'Saisie'!$C$5:$C$2004,"&lt;&gt;"&amp;C1368)&gt;0),"⚠ Numéro déjà utilisé par un autre prospect",IF(AND(J1368&lt;&gt;"",J1368&lt;A1368),"⚠ Relance avant la date de l'action",IF(A1368&gt;TODAY(),"⚠ Date dans le futur","✓"))))))))</f>
        <v/>
      </c>
      <c r="AS1368" s="61">
        <f>IF(AND(A1368="",C1368="",E1368=""),"",ROW())</f>
        <v/>
      </c>
      <c r="AT1368" s="61">
        <f>IF(E1368&amp;F1368="","",MAX(IFERROR(INDEX('Paramètres'!$J$6:$J$33,MATCH(E1368,'Paramètres'!$I$6:$I$33,0)),0),IFERROR(INDEX('Paramètres'!$N$6:$N$17,MATCH(F1368,'Paramètres'!$M$6:$M$17,0)),0)))</f>
        <v/>
      </c>
      <c r="AU1368" s="61">
        <f>IF(E1368="","",IFERROR(IF(INDEX('Paramètres'!$K$6:$K$33,MATCH(E1368,'Paramètres'!$I$6:$I$33,0))="Oui",1,0),0))</f>
        <v/>
      </c>
      <c r="AV1368" s="61">
        <f>IF(F1368="","",IFERROR(IF(INDEX('Paramètres'!$O$6:$O$17,MATCH(F1368,'Paramètres'!$M$6:$M$17,0))="Oui",1,0),0))</f>
        <v/>
      </c>
      <c r="AW1368" s="62">
        <f>IF(E1368="","",IF(G1368&lt;&gt;"",G1368,IF(OR(E1368="Proposition envoyée",E1368="Signature"),MAX(0,N(IFERROR(INDEX('Paramètres'!$R$6:$R$15,MATCH(IF(AL1368&lt;&gt;"",AL1368,IFERROR(INDEX('Prospects'!$AN$5:$AN$504,MATCH(C1368,'Prospects'!$C$5:$C$504,0)),"")),'Paramètres'!$Q$6:$Q$15,0)),0))-N(P1368)),0)))</f>
        <v/>
      </c>
      <c r="AX1368" s="61">
        <f>IF(C1368="","",IF(COUNTIF($C$5:C1368,C1368)=1,MAX($AX$4:AX1367)+1,""))</f>
        <v/>
      </c>
      <c r="AY1368" s="61">
        <f>IF(B1368="","",HOUR(B1368))</f>
        <v/>
      </c>
      <c r="AZ1368" s="61">
        <f>IF(A1368="","",MOD(A1368-2,7)+1)</f>
        <v/>
      </c>
      <c r="BA1368" s="60">
        <f>IF(C1368="","",IFERROR(INDEX('Prospects'!$N$5:$N$504,MATCH(C1368,'Prospects'!$C$5:$C$504,0)),""))</f>
        <v/>
      </c>
      <c r="BB1368" s="61">
        <f>IF(AND(C1368&lt;&gt;"",C1368='Fiche prospect'!$C$4),COUNTIF($C$5:C1368,C1368),"")</f>
        <v/>
      </c>
    </row>
    <row r="1369">
      <c r="A1369" s="53" t="n"/>
      <c r="B1369" s="54" t="n"/>
      <c r="C1369" s="55" t="n"/>
      <c r="D1369" s="55" t="n"/>
      <c r="E1369" s="55" t="n"/>
      <c r="F1369" s="55" t="n"/>
      <c r="G1369" s="56" t="n"/>
      <c r="H1369" s="57" t="n"/>
      <c r="I1369" s="55" t="n"/>
      <c r="J1369" s="53" t="n"/>
      <c r="K1369" s="54" t="n"/>
      <c r="L1369" s="55" t="n"/>
      <c r="M1369" s="55" t="n"/>
      <c r="N1369" s="57" t="n"/>
      <c r="O1369" s="55" t="n"/>
      <c r="P1369" s="56" t="n"/>
      <c r="Q1369" s="55" t="n"/>
      <c r="R1369" s="55" t="n"/>
      <c r="S1369" s="55" t="n"/>
      <c r="T1369" s="55" t="n"/>
      <c r="U1369" s="55" t="n"/>
      <c r="V1369" s="55" t="n"/>
      <c r="W1369" s="58" t="n"/>
      <c r="X1369" s="58" t="n"/>
      <c r="Y1369" s="55" t="n"/>
      <c r="Z1369" s="55" t="n"/>
      <c r="AA1369" s="55" t="n"/>
      <c r="AB1369" s="55" t="n"/>
      <c r="AC1369" s="55" t="n"/>
      <c r="AD1369" s="53" t="n"/>
      <c r="AE1369" s="55" t="n"/>
      <c r="AF1369" s="55" t="n"/>
      <c r="AG1369" s="59" t="n"/>
      <c r="AH1369" s="57" t="n"/>
      <c r="AI1369" s="55" t="n"/>
      <c r="AJ1369" s="55" t="n"/>
      <c r="AK1369" s="55" t="n"/>
      <c r="AL1369" s="55" t="n"/>
      <c r="AM1369" s="56" t="n"/>
      <c r="AN1369" s="55" t="n"/>
      <c r="AO1369" s="55" t="n"/>
      <c r="AP1369" s="55" t="n"/>
      <c r="AQ1369" s="55" t="n"/>
      <c r="AR1369" s="60">
        <f>IF(AND(C1369="",E1369=""),"",IF(A1369="","⚠ Date manquante",IF(AND(C1369="",E1369&lt;&gt;"Dépense"),"⚠ Prospect manquant",IF(E1369="","⚠ Action manquante",IF(AND(AU1369=1,D1369=""),"⚠ Canal manquant",IF(AND(W1369&lt;&gt;"",COUNTIFS('Saisie'!$W$5:$W$2004,W1369,'Saisie'!$C$5:$C$2004,"&lt;&gt;"&amp;C1369)&gt;0),"⚠ Numéro déjà utilisé par un autre prospect",IF(AND(J1369&lt;&gt;"",J1369&lt;A1369),"⚠ Relance avant la date de l'action",IF(A1369&gt;TODAY(),"⚠ Date dans le futur","✓"))))))))</f>
        <v/>
      </c>
      <c r="AS1369" s="61">
        <f>IF(AND(A1369="",C1369="",E1369=""),"",ROW())</f>
        <v/>
      </c>
      <c r="AT1369" s="61">
        <f>IF(E1369&amp;F1369="","",MAX(IFERROR(INDEX('Paramètres'!$J$6:$J$33,MATCH(E1369,'Paramètres'!$I$6:$I$33,0)),0),IFERROR(INDEX('Paramètres'!$N$6:$N$17,MATCH(F1369,'Paramètres'!$M$6:$M$17,0)),0)))</f>
        <v/>
      </c>
      <c r="AU1369" s="61">
        <f>IF(E1369="","",IFERROR(IF(INDEX('Paramètres'!$K$6:$K$33,MATCH(E1369,'Paramètres'!$I$6:$I$33,0))="Oui",1,0),0))</f>
        <v/>
      </c>
      <c r="AV1369" s="61">
        <f>IF(F1369="","",IFERROR(IF(INDEX('Paramètres'!$O$6:$O$17,MATCH(F1369,'Paramètres'!$M$6:$M$17,0))="Oui",1,0),0))</f>
        <v/>
      </c>
      <c r="AW1369" s="62">
        <f>IF(E1369="","",IF(G1369&lt;&gt;"",G1369,IF(OR(E1369="Proposition envoyée",E1369="Signature"),MAX(0,N(IFERROR(INDEX('Paramètres'!$R$6:$R$15,MATCH(IF(AL1369&lt;&gt;"",AL1369,IFERROR(INDEX('Prospects'!$AN$5:$AN$504,MATCH(C1369,'Prospects'!$C$5:$C$504,0)),"")),'Paramètres'!$Q$6:$Q$15,0)),0))-N(P1369)),0)))</f>
        <v/>
      </c>
      <c r="AX1369" s="61">
        <f>IF(C1369="","",IF(COUNTIF($C$5:C1369,C1369)=1,MAX($AX$4:AX1368)+1,""))</f>
        <v/>
      </c>
      <c r="AY1369" s="61">
        <f>IF(B1369="","",HOUR(B1369))</f>
        <v/>
      </c>
      <c r="AZ1369" s="61">
        <f>IF(A1369="","",MOD(A1369-2,7)+1)</f>
        <v/>
      </c>
      <c r="BA1369" s="60">
        <f>IF(C1369="","",IFERROR(INDEX('Prospects'!$N$5:$N$504,MATCH(C1369,'Prospects'!$C$5:$C$504,0)),""))</f>
        <v/>
      </c>
      <c r="BB1369" s="61">
        <f>IF(AND(C1369&lt;&gt;"",C1369='Fiche prospect'!$C$4),COUNTIF($C$5:C1369,C1369),"")</f>
        <v/>
      </c>
    </row>
    <row r="1370">
      <c r="A1370" s="53" t="n"/>
      <c r="B1370" s="54" t="n"/>
      <c r="C1370" s="55" t="n"/>
      <c r="D1370" s="55" t="n"/>
      <c r="E1370" s="55" t="n"/>
      <c r="F1370" s="55" t="n"/>
      <c r="G1370" s="56" t="n"/>
      <c r="H1370" s="57" t="n"/>
      <c r="I1370" s="55" t="n"/>
      <c r="J1370" s="53" t="n"/>
      <c r="K1370" s="54" t="n"/>
      <c r="L1370" s="55" t="n"/>
      <c r="M1370" s="55" t="n"/>
      <c r="N1370" s="57" t="n"/>
      <c r="O1370" s="55" t="n"/>
      <c r="P1370" s="56" t="n"/>
      <c r="Q1370" s="55" t="n"/>
      <c r="R1370" s="55" t="n"/>
      <c r="S1370" s="55" t="n"/>
      <c r="T1370" s="55" t="n"/>
      <c r="U1370" s="55" t="n"/>
      <c r="V1370" s="55" t="n"/>
      <c r="W1370" s="58" t="n"/>
      <c r="X1370" s="58" t="n"/>
      <c r="Y1370" s="55" t="n"/>
      <c r="Z1370" s="55" t="n"/>
      <c r="AA1370" s="55" t="n"/>
      <c r="AB1370" s="55" t="n"/>
      <c r="AC1370" s="55" t="n"/>
      <c r="AD1370" s="53" t="n"/>
      <c r="AE1370" s="55" t="n"/>
      <c r="AF1370" s="55" t="n"/>
      <c r="AG1370" s="59" t="n"/>
      <c r="AH1370" s="57" t="n"/>
      <c r="AI1370" s="55" t="n"/>
      <c r="AJ1370" s="55" t="n"/>
      <c r="AK1370" s="55" t="n"/>
      <c r="AL1370" s="55" t="n"/>
      <c r="AM1370" s="56" t="n"/>
      <c r="AN1370" s="55" t="n"/>
      <c r="AO1370" s="55" t="n"/>
      <c r="AP1370" s="55" t="n"/>
      <c r="AQ1370" s="55" t="n"/>
      <c r="AR1370" s="60">
        <f>IF(AND(C1370="",E1370=""),"",IF(A1370="","⚠ Date manquante",IF(AND(C1370="",E1370&lt;&gt;"Dépense"),"⚠ Prospect manquant",IF(E1370="","⚠ Action manquante",IF(AND(AU1370=1,D1370=""),"⚠ Canal manquant",IF(AND(W1370&lt;&gt;"",COUNTIFS('Saisie'!$W$5:$W$2004,W1370,'Saisie'!$C$5:$C$2004,"&lt;&gt;"&amp;C1370)&gt;0),"⚠ Numéro déjà utilisé par un autre prospect",IF(AND(J1370&lt;&gt;"",J1370&lt;A1370),"⚠ Relance avant la date de l'action",IF(A1370&gt;TODAY(),"⚠ Date dans le futur","✓"))))))))</f>
        <v/>
      </c>
      <c r="AS1370" s="61">
        <f>IF(AND(A1370="",C1370="",E1370=""),"",ROW())</f>
        <v/>
      </c>
      <c r="AT1370" s="61">
        <f>IF(E1370&amp;F1370="","",MAX(IFERROR(INDEX('Paramètres'!$J$6:$J$33,MATCH(E1370,'Paramètres'!$I$6:$I$33,0)),0),IFERROR(INDEX('Paramètres'!$N$6:$N$17,MATCH(F1370,'Paramètres'!$M$6:$M$17,0)),0)))</f>
        <v/>
      </c>
      <c r="AU1370" s="61">
        <f>IF(E1370="","",IFERROR(IF(INDEX('Paramètres'!$K$6:$K$33,MATCH(E1370,'Paramètres'!$I$6:$I$33,0))="Oui",1,0),0))</f>
        <v/>
      </c>
      <c r="AV1370" s="61">
        <f>IF(F1370="","",IFERROR(IF(INDEX('Paramètres'!$O$6:$O$17,MATCH(F1370,'Paramètres'!$M$6:$M$17,0))="Oui",1,0),0))</f>
        <v/>
      </c>
      <c r="AW1370" s="62">
        <f>IF(E1370="","",IF(G1370&lt;&gt;"",G1370,IF(OR(E1370="Proposition envoyée",E1370="Signature"),MAX(0,N(IFERROR(INDEX('Paramètres'!$R$6:$R$15,MATCH(IF(AL1370&lt;&gt;"",AL1370,IFERROR(INDEX('Prospects'!$AN$5:$AN$504,MATCH(C1370,'Prospects'!$C$5:$C$504,0)),"")),'Paramètres'!$Q$6:$Q$15,0)),0))-N(P1370)),0)))</f>
        <v/>
      </c>
      <c r="AX1370" s="61">
        <f>IF(C1370="","",IF(COUNTIF($C$5:C1370,C1370)=1,MAX($AX$4:AX1369)+1,""))</f>
        <v/>
      </c>
      <c r="AY1370" s="61">
        <f>IF(B1370="","",HOUR(B1370))</f>
        <v/>
      </c>
      <c r="AZ1370" s="61">
        <f>IF(A1370="","",MOD(A1370-2,7)+1)</f>
        <v/>
      </c>
      <c r="BA1370" s="60">
        <f>IF(C1370="","",IFERROR(INDEX('Prospects'!$N$5:$N$504,MATCH(C1370,'Prospects'!$C$5:$C$504,0)),""))</f>
        <v/>
      </c>
      <c r="BB1370" s="61">
        <f>IF(AND(C1370&lt;&gt;"",C1370='Fiche prospect'!$C$4),COUNTIF($C$5:C1370,C1370),"")</f>
        <v/>
      </c>
    </row>
    <row r="1371">
      <c r="A1371" s="53" t="n"/>
      <c r="B1371" s="54" t="n"/>
      <c r="C1371" s="55" t="n"/>
      <c r="D1371" s="55" t="n"/>
      <c r="E1371" s="55" t="n"/>
      <c r="F1371" s="55" t="n"/>
      <c r="G1371" s="56" t="n"/>
      <c r="H1371" s="57" t="n"/>
      <c r="I1371" s="55" t="n"/>
      <c r="J1371" s="53" t="n"/>
      <c r="K1371" s="54" t="n"/>
      <c r="L1371" s="55" t="n"/>
      <c r="M1371" s="55" t="n"/>
      <c r="N1371" s="57" t="n"/>
      <c r="O1371" s="55" t="n"/>
      <c r="P1371" s="56" t="n"/>
      <c r="Q1371" s="55" t="n"/>
      <c r="R1371" s="55" t="n"/>
      <c r="S1371" s="55" t="n"/>
      <c r="T1371" s="55" t="n"/>
      <c r="U1371" s="55" t="n"/>
      <c r="V1371" s="55" t="n"/>
      <c r="W1371" s="58" t="n"/>
      <c r="X1371" s="58" t="n"/>
      <c r="Y1371" s="55" t="n"/>
      <c r="Z1371" s="55" t="n"/>
      <c r="AA1371" s="55" t="n"/>
      <c r="AB1371" s="55" t="n"/>
      <c r="AC1371" s="55" t="n"/>
      <c r="AD1371" s="53" t="n"/>
      <c r="AE1371" s="55" t="n"/>
      <c r="AF1371" s="55" t="n"/>
      <c r="AG1371" s="59" t="n"/>
      <c r="AH1371" s="57" t="n"/>
      <c r="AI1371" s="55" t="n"/>
      <c r="AJ1371" s="55" t="n"/>
      <c r="AK1371" s="55" t="n"/>
      <c r="AL1371" s="55" t="n"/>
      <c r="AM1371" s="56" t="n"/>
      <c r="AN1371" s="55" t="n"/>
      <c r="AO1371" s="55" t="n"/>
      <c r="AP1371" s="55" t="n"/>
      <c r="AQ1371" s="55" t="n"/>
      <c r="AR1371" s="60">
        <f>IF(AND(C1371="",E1371=""),"",IF(A1371="","⚠ Date manquante",IF(AND(C1371="",E1371&lt;&gt;"Dépense"),"⚠ Prospect manquant",IF(E1371="","⚠ Action manquante",IF(AND(AU1371=1,D1371=""),"⚠ Canal manquant",IF(AND(W1371&lt;&gt;"",COUNTIFS('Saisie'!$W$5:$W$2004,W1371,'Saisie'!$C$5:$C$2004,"&lt;&gt;"&amp;C1371)&gt;0),"⚠ Numéro déjà utilisé par un autre prospect",IF(AND(J1371&lt;&gt;"",J1371&lt;A1371),"⚠ Relance avant la date de l'action",IF(A1371&gt;TODAY(),"⚠ Date dans le futur","✓"))))))))</f>
        <v/>
      </c>
      <c r="AS1371" s="61">
        <f>IF(AND(A1371="",C1371="",E1371=""),"",ROW())</f>
        <v/>
      </c>
      <c r="AT1371" s="61">
        <f>IF(E1371&amp;F1371="","",MAX(IFERROR(INDEX('Paramètres'!$J$6:$J$33,MATCH(E1371,'Paramètres'!$I$6:$I$33,0)),0),IFERROR(INDEX('Paramètres'!$N$6:$N$17,MATCH(F1371,'Paramètres'!$M$6:$M$17,0)),0)))</f>
        <v/>
      </c>
      <c r="AU1371" s="61">
        <f>IF(E1371="","",IFERROR(IF(INDEX('Paramètres'!$K$6:$K$33,MATCH(E1371,'Paramètres'!$I$6:$I$33,0))="Oui",1,0),0))</f>
        <v/>
      </c>
      <c r="AV1371" s="61">
        <f>IF(F1371="","",IFERROR(IF(INDEX('Paramètres'!$O$6:$O$17,MATCH(F1371,'Paramètres'!$M$6:$M$17,0))="Oui",1,0),0))</f>
        <v/>
      </c>
      <c r="AW1371" s="62">
        <f>IF(E1371="","",IF(G1371&lt;&gt;"",G1371,IF(OR(E1371="Proposition envoyée",E1371="Signature"),MAX(0,N(IFERROR(INDEX('Paramètres'!$R$6:$R$15,MATCH(IF(AL1371&lt;&gt;"",AL1371,IFERROR(INDEX('Prospects'!$AN$5:$AN$504,MATCH(C1371,'Prospects'!$C$5:$C$504,0)),"")),'Paramètres'!$Q$6:$Q$15,0)),0))-N(P1371)),0)))</f>
        <v/>
      </c>
      <c r="AX1371" s="61">
        <f>IF(C1371="","",IF(COUNTIF($C$5:C1371,C1371)=1,MAX($AX$4:AX1370)+1,""))</f>
        <v/>
      </c>
      <c r="AY1371" s="61">
        <f>IF(B1371="","",HOUR(B1371))</f>
        <v/>
      </c>
      <c r="AZ1371" s="61">
        <f>IF(A1371="","",MOD(A1371-2,7)+1)</f>
        <v/>
      </c>
      <c r="BA1371" s="60">
        <f>IF(C1371="","",IFERROR(INDEX('Prospects'!$N$5:$N$504,MATCH(C1371,'Prospects'!$C$5:$C$504,0)),""))</f>
        <v/>
      </c>
      <c r="BB1371" s="61">
        <f>IF(AND(C1371&lt;&gt;"",C1371='Fiche prospect'!$C$4),COUNTIF($C$5:C1371,C1371),"")</f>
        <v/>
      </c>
    </row>
    <row r="1372">
      <c r="A1372" s="53" t="n"/>
      <c r="B1372" s="54" t="n"/>
      <c r="C1372" s="55" t="n"/>
      <c r="D1372" s="55" t="n"/>
      <c r="E1372" s="55" t="n"/>
      <c r="F1372" s="55" t="n"/>
      <c r="G1372" s="56" t="n"/>
      <c r="H1372" s="57" t="n"/>
      <c r="I1372" s="55" t="n"/>
      <c r="J1372" s="53" t="n"/>
      <c r="K1372" s="54" t="n"/>
      <c r="L1372" s="55" t="n"/>
      <c r="M1372" s="55" t="n"/>
      <c r="N1372" s="57" t="n"/>
      <c r="O1372" s="55" t="n"/>
      <c r="P1372" s="56" t="n"/>
      <c r="Q1372" s="55" t="n"/>
      <c r="R1372" s="55" t="n"/>
      <c r="S1372" s="55" t="n"/>
      <c r="T1372" s="55" t="n"/>
      <c r="U1372" s="55" t="n"/>
      <c r="V1372" s="55" t="n"/>
      <c r="W1372" s="58" t="n"/>
      <c r="X1372" s="58" t="n"/>
      <c r="Y1372" s="55" t="n"/>
      <c r="Z1372" s="55" t="n"/>
      <c r="AA1372" s="55" t="n"/>
      <c r="AB1372" s="55" t="n"/>
      <c r="AC1372" s="55" t="n"/>
      <c r="AD1372" s="53" t="n"/>
      <c r="AE1372" s="55" t="n"/>
      <c r="AF1372" s="55" t="n"/>
      <c r="AG1372" s="59" t="n"/>
      <c r="AH1372" s="57" t="n"/>
      <c r="AI1372" s="55" t="n"/>
      <c r="AJ1372" s="55" t="n"/>
      <c r="AK1372" s="55" t="n"/>
      <c r="AL1372" s="55" t="n"/>
      <c r="AM1372" s="56" t="n"/>
      <c r="AN1372" s="55" t="n"/>
      <c r="AO1372" s="55" t="n"/>
      <c r="AP1372" s="55" t="n"/>
      <c r="AQ1372" s="55" t="n"/>
      <c r="AR1372" s="60">
        <f>IF(AND(C1372="",E1372=""),"",IF(A1372="","⚠ Date manquante",IF(AND(C1372="",E1372&lt;&gt;"Dépense"),"⚠ Prospect manquant",IF(E1372="","⚠ Action manquante",IF(AND(AU1372=1,D1372=""),"⚠ Canal manquant",IF(AND(W1372&lt;&gt;"",COUNTIFS('Saisie'!$W$5:$W$2004,W1372,'Saisie'!$C$5:$C$2004,"&lt;&gt;"&amp;C1372)&gt;0),"⚠ Numéro déjà utilisé par un autre prospect",IF(AND(J1372&lt;&gt;"",J1372&lt;A1372),"⚠ Relance avant la date de l'action",IF(A1372&gt;TODAY(),"⚠ Date dans le futur","✓"))))))))</f>
        <v/>
      </c>
      <c r="AS1372" s="61">
        <f>IF(AND(A1372="",C1372="",E1372=""),"",ROW())</f>
        <v/>
      </c>
      <c r="AT1372" s="61">
        <f>IF(E1372&amp;F1372="","",MAX(IFERROR(INDEX('Paramètres'!$J$6:$J$33,MATCH(E1372,'Paramètres'!$I$6:$I$33,0)),0),IFERROR(INDEX('Paramètres'!$N$6:$N$17,MATCH(F1372,'Paramètres'!$M$6:$M$17,0)),0)))</f>
        <v/>
      </c>
      <c r="AU1372" s="61">
        <f>IF(E1372="","",IFERROR(IF(INDEX('Paramètres'!$K$6:$K$33,MATCH(E1372,'Paramètres'!$I$6:$I$33,0))="Oui",1,0),0))</f>
        <v/>
      </c>
      <c r="AV1372" s="61">
        <f>IF(F1372="","",IFERROR(IF(INDEX('Paramètres'!$O$6:$O$17,MATCH(F1372,'Paramètres'!$M$6:$M$17,0))="Oui",1,0),0))</f>
        <v/>
      </c>
      <c r="AW1372" s="62">
        <f>IF(E1372="","",IF(G1372&lt;&gt;"",G1372,IF(OR(E1372="Proposition envoyée",E1372="Signature"),MAX(0,N(IFERROR(INDEX('Paramètres'!$R$6:$R$15,MATCH(IF(AL1372&lt;&gt;"",AL1372,IFERROR(INDEX('Prospects'!$AN$5:$AN$504,MATCH(C1372,'Prospects'!$C$5:$C$504,0)),"")),'Paramètres'!$Q$6:$Q$15,0)),0))-N(P1372)),0)))</f>
        <v/>
      </c>
      <c r="AX1372" s="61">
        <f>IF(C1372="","",IF(COUNTIF($C$5:C1372,C1372)=1,MAX($AX$4:AX1371)+1,""))</f>
        <v/>
      </c>
      <c r="AY1372" s="61">
        <f>IF(B1372="","",HOUR(B1372))</f>
        <v/>
      </c>
      <c r="AZ1372" s="61">
        <f>IF(A1372="","",MOD(A1372-2,7)+1)</f>
        <v/>
      </c>
      <c r="BA1372" s="60">
        <f>IF(C1372="","",IFERROR(INDEX('Prospects'!$N$5:$N$504,MATCH(C1372,'Prospects'!$C$5:$C$504,0)),""))</f>
        <v/>
      </c>
      <c r="BB1372" s="61">
        <f>IF(AND(C1372&lt;&gt;"",C1372='Fiche prospect'!$C$4),COUNTIF($C$5:C1372,C1372),"")</f>
        <v/>
      </c>
    </row>
    <row r="1373">
      <c r="A1373" s="53" t="n"/>
      <c r="B1373" s="54" t="n"/>
      <c r="C1373" s="55" t="n"/>
      <c r="D1373" s="55" t="n"/>
      <c r="E1373" s="55" t="n"/>
      <c r="F1373" s="55" t="n"/>
      <c r="G1373" s="56" t="n"/>
      <c r="H1373" s="57" t="n"/>
      <c r="I1373" s="55" t="n"/>
      <c r="J1373" s="53" t="n"/>
      <c r="K1373" s="54" t="n"/>
      <c r="L1373" s="55" t="n"/>
      <c r="M1373" s="55" t="n"/>
      <c r="N1373" s="57" t="n"/>
      <c r="O1373" s="55" t="n"/>
      <c r="P1373" s="56" t="n"/>
      <c r="Q1373" s="55" t="n"/>
      <c r="R1373" s="55" t="n"/>
      <c r="S1373" s="55" t="n"/>
      <c r="T1373" s="55" t="n"/>
      <c r="U1373" s="55" t="n"/>
      <c r="V1373" s="55" t="n"/>
      <c r="W1373" s="58" t="n"/>
      <c r="X1373" s="58" t="n"/>
      <c r="Y1373" s="55" t="n"/>
      <c r="Z1373" s="55" t="n"/>
      <c r="AA1373" s="55" t="n"/>
      <c r="AB1373" s="55" t="n"/>
      <c r="AC1373" s="55" t="n"/>
      <c r="AD1373" s="53" t="n"/>
      <c r="AE1373" s="55" t="n"/>
      <c r="AF1373" s="55" t="n"/>
      <c r="AG1373" s="59" t="n"/>
      <c r="AH1373" s="57" t="n"/>
      <c r="AI1373" s="55" t="n"/>
      <c r="AJ1373" s="55" t="n"/>
      <c r="AK1373" s="55" t="n"/>
      <c r="AL1373" s="55" t="n"/>
      <c r="AM1373" s="56" t="n"/>
      <c r="AN1373" s="55" t="n"/>
      <c r="AO1373" s="55" t="n"/>
      <c r="AP1373" s="55" t="n"/>
      <c r="AQ1373" s="55" t="n"/>
      <c r="AR1373" s="60">
        <f>IF(AND(C1373="",E1373=""),"",IF(A1373="","⚠ Date manquante",IF(AND(C1373="",E1373&lt;&gt;"Dépense"),"⚠ Prospect manquant",IF(E1373="","⚠ Action manquante",IF(AND(AU1373=1,D1373=""),"⚠ Canal manquant",IF(AND(W1373&lt;&gt;"",COUNTIFS('Saisie'!$W$5:$W$2004,W1373,'Saisie'!$C$5:$C$2004,"&lt;&gt;"&amp;C1373)&gt;0),"⚠ Numéro déjà utilisé par un autre prospect",IF(AND(J1373&lt;&gt;"",J1373&lt;A1373),"⚠ Relance avant la date de l'action",IF(A1373&gt;TODAY(),"⚠ Date dans le futur","✓"))))))))</f>
        <v/>
      </c>
      <c r="AS1373" s="61">
        <f>IF(AND(A1373="",C1373="",E1373=""),"",ROW())</f>
        <v/>
      </c>
      <c r="AT1373" s="61">
        <f>IF(E1373&amp;F1373="","",MAX(IFERROR(INDEX('Paramètres'!$J$6:$J$33,MATCH(E1373,'Paramètres'!$I$6:$I$33,0)),0),IFERROR(INDEX('Paramètres'!$N$6:$N$17,MATCH(F1373,'Paramètres'!$M$6:$M$17,0)),0)))</f>
        <v/>
      </c>
      <c r="AU1373" s="61">
        <f>IF(E1373="","",IFERROR(IF(INDEX('Paramètres'!$K$6:$K$33,MATCH(E1373,'Paramètres'!$I$6:$I$33,0))="Oui",1,0),0))</f>
        <v/>
      </c>
      <c r="AV1373" s="61">
        <f>IF(F1373="","",IFERROR(IF(INDEX('Paramètres'!$O$6:$O$17,MATCH(F1373,'Paramètres'!$M$6:$M$17,0))="Oui",1,0),0))</f>
        <v/>
      </c>
      <c r="AW1373" s="62">
        <f>IF(E1373="","",IF(G1373&lt;&gt;"",G1373,IF(OR(E1373="Proposition envoyée",E1373="Signature"),MAX(0,N(IFERROR(INDEX('Paramètres'!$R$6:$R$15,MATCH(IF(AL1373&lt;&gt;"",AL1373,IFERROR(INDEX('Prospects'!$AN$5:$AN$504,MATCH(C1373,'Prospects'!$C$5:$C$504,0)),"")),'Paramètres'!$Q$6:$Q$15,0)),0))-N(P1373)),0)))</f>
        <v/>
      </c>
      <c r="AX1373" s="61">
        <f>IF(C1373="","",IF(COUNTIF($C$5:C1373,C1373)=1,MAX($AX$4:AX1372)+1,""))</f>
        <v/>
      </c>
      <c r="AY1373" s="61">
        <f>IF(B1373="","",HOUR(B1373))</f>
        <v/>
      </c>
      <c r="AZ1373" s="61">
        <f>IF(A1373="","",MOD(A1373-2,7)+1)</f>
        <v/>
      </c>
      <c r="BA1373" s="60">
        <f>IF(C1373="","",IFERROR(INDEX('Prospects'!$N$5:$N$504,MATCH(C1373,'Prospects'!$C$5:$C$504,0)),""))</f>
        <v/>
      </c>
      <c r="BB1373" s="61">
        <f>IF(AND(C1373&lt;&gt;"",C1373='Fiche prospect'!$C$4),COUNTIF($C$5:C1373,C1373),"")</f>
        <v/>
      </c>
    </row>
    <row r="1374">
      <c r="A1374" s="53" t="n"/>
      <c r="B1374" s="54" t="n"/>
      <c r="C1374" s="55" t="n"/>
      <c r="D1374" s="55" t="n"/>
      <c r="E1374" s="55" t="n"/>
      <c r="F1374" s="55" t="n"/>
      <c r="G1374" s="56" t="n"/>
      <c r="H1374" s="57" t="n"/>
      <c r="I1374" s="55" t="n"/>
      <c r="J1374" s="53" t="n"/>
      <c r="K1374" s="54" t="n"/>
      <c r="L1374" s="55" t="n"/>
      <c r="M1374" s="55" t="n"/>
      <c r="N1374" s="57" t="n"/>
      <c r="O1374" s="55" t="n"/>
      <c r="P1374" s="56" t="n"/>
      <c r="Q1374" s="55" t="n"/>
      <c r="R1374" s="55" t="n"/>
      <c r="S1374" s="55" t="n"/>
      <c r="T1374" s="55" t="n"/>
      <c r="U1374" s="55" t="n"/>
      <c r="V1374" s="55" t="n"/>
      <c r="W1374" s="58" t="n"/>
      <c r="X1374" s="58" t="n"/>
      <c r="Y1374" s="55" t="n"/>
      <c r="Z1374" s="55" t="n"/>
      <c r="AA1374" s="55" t="n"/>
      <c r="AB1374" s="55" t="n"/>
      <c r="AC1374" s="55" t="n"/>
      <c r="AD1374" s="53" t="n"/>
      <c r="AE1374" s="55" t="n"/>
      <c r="AF1374" s="55" t="n"/>
      <c r="AG1374" s="59" t="n"/>
      <c r="AH1374" s="57" t="n"/>
      <c r="AI1374" s="55" t="n"/>
      <c r="AJ1374" s="55" t="n"/>
      <c r="AK1374" s="55" t="n"/>
      <c r="AL1374" s="55" t="n"/>
      <c r="AM1374" s="56" t="n"/>
      <c r="AN1374" s="55" t="n"/>
      <c r="AO1374" s="55" t="n"/>
      <c r="AP1374" s="55" t="n"/>
      <c r="AQ1374" s="55" t="n"/>
      <c r="AR1374" s="60">
        <f>IF(AND(C1374="",E1374=""),"",IF(A1374="","⚠ Date manquante",IF(AND(C1374="",E1374&lt;&gt;"Dépense"),"⚠ Prospect manquant",IF(E1374="","⚠ Action manquante",IF(AND(AU1374=1,D1374=""),"⚠ Canal manquant",IF(AND(W1374&lt;&gt;"",COUNTIFS('Saisie'!$W$5:$W$2004,W1374,'Saisie'!$C$5:$C$2004,"&lt;&gt;"&amp;C1374)&gt;0),"⚠ Numéro déjà utilisé par un autre prospect",IF(AND(J1374&lt;&gt;"",J1374&lt;A1374),"⚠ Relance avant la date de l'action",IF(A1374&gt;TODAY(),"⚠ Date dans le futur","✓"))))))))</f>
        <v/>
      </c>
      <c r="AS1374" s="61">
        <f>IF(AND(A1374="",C1374="",E1374=""),"",ROW())</f>
        <v/>
      </c>
      <c r="AT1374" s="61">
        <f>IF(E1374&amp;F1374="","",MAX(IFERROR(INDEX('Paramètres'!$J$6:$J$33,MATCH(E1374,'Paramètres'!$I$6:$I$33,0)),0),IFERROR(INDEX('Paramètres'!$N$6:$N$17,MATCH(F1374,'Paramètres'!$M$6:$M$17,0)),0)))</f>
        <v/>
      </c>
      <c r="AU1374" s="61">
        <f>IF(E1374="","",IFERROR(IF(INDEX('Paramètres'!$K$6:$K$33,MATCH(E1374,'Paramètres'!$I$6:$I$33,0))="Oui",1,0),0))</f>
        <v/>
      </c>
      <c r="AV1374" s="61">
        <f>IF(F1374="","",IFERROR(IF(INDEX('Paramètres'!$O$6:$O$17,MATCH(F1374,'Paramètres'!$M$6:$M$17,0))="Oui",1,0),0))</f>
        <v/>
      </c>
      <c r="AW1374" s="62">
        <f>IF(E1374="","",IF(G1374&lt;&gt;"",G1374,IF(OR(E1374="Proposition envoyée",E1374="Signature"),MAX(0,N(IFERROR(INDEX('Paramètres'!$R$6:$R$15,MATCH(IF(AL1374&lt;&gt;"",AL1374,IFERROR(INDEX('Prospects'!$AN$5:$AN$504,MATCH(C1374,'Prospects'!$C$5:$C$504,0)),"")),'Paramètres'!$Q$6:$Q$15,0)),0))-N(P1374)),0)))</f>
        <v/>
      </c>
      <c r="AX1374" s="61">
        <f>IF(C1374="","",IF(COUNTIF($C$5:C1374,C1374)=1,MAX($AX$4:AX1373)+1,""))</f>
        <v/>
      </c>
      <c r="AY1374" s="61">
        <f>IF(B1374="","",HOUR(B1374))</f>
        <v/>
      </c>
      <c r="AZ1374" s="61">
        <f>IF(A1374="","",MOD(A1374-2,7)+1)</f>
        <v/>
      </c>
      <c r="BA1374" s="60">
        <f>IF(C1374="","",IFERROR(INDEX('Prospects'!$N$5:$N$504,MATCH(C1374,'Prospects'!$C$5:$C$504,0)),""))</f>
        <v/>
      </c>
      <c r="BB1374" s="61">
        <f>IF(AND(C1374&lt;&gt;"",C1374='Fiche prospect'!$C$4),COUNTIF($C$5:C1374,C1374),"")</f>
        <v/>
      </c>
    </row>
    <row r="1375">
      <c r="A1375" s="53" t="n"/>
      <c r="B1375" s="54" t="n"/>
      <c r="C1375" s="55" t="n"/>
      <c r="D1375" s="55" t="n"/>
      <c r="E1375" s="55" t="n"/>
      <c r="F1375" s="55" t="n"/>
      <c r="G1375" s="56" t="n"/>
      <c r="H1375" s="57" t="n"/>
      <c r="I1375" s="55" t="n"/>
      <c r="J1375" s="53" t="n"/>
      <c r="K1375" s="54" t="n"/>
      <c r="L1375" s="55" t="n"/>
      <c r="M1375" s="55" t="n"/>
      <c r="N1375" s="57" t="n"/>
      <c r="O1375" s="55" t="n"/>
      <c r="P1375" s="56" t="n"/>
      <c r="Q1375" s="55" t="n"/>
      <c r="R1375" s="55" t="n"/>
      <c r="S1375" s="55" t="n"/>
      <c r="T1375" s="55" t="n"/>
      <c r="U1375" s="55" t="n"/>
      <c r="V1375" s="55" t="n"/>
      <c r="W1375" s="58" t="n"/>
      <c r="X1375" s="58" t="n"/>
      <c r="Y1375" s="55" t="n"/>
      <c r="Z1375" s="55" t="n"/>
      <c r="AA1375" s="55" t="n"/>
      <c r="AB1375" s="55" t="n"/>
      <c r="AC1375" s="55" t="n"/>
      <c r="AD1375" s="53" t="n"/>
      <c r="AE1375" s="55" t="n"/>
      <c r="AF1375" s="55" t="n"/>
      <c r="AG1375" s="59" t="n"/>
      <c r="AH1375" s="57" t="n"/>
      <c r="AI1375" s="55" t="n"/>
      <c r="AJ1375" s="55" t="n"/>
      <c r="AK1375" s="55" t="n"/>
      <c r="AL1375" s="55" t="n"/>
      <c r="AM1375" s="56" t="n"/>
      <c r="AN1375" s="55" t="n"/>
      <c r="AO1375" s="55" t="n"/>
      <c r="AP1375" s="55" t="n"/>
      <c r="AQ1375" s="55" t="n"/>
      <c r="AR1375" s="60">
        <f>IF(AND(C1375="",E1375=""),"",IF(A1375="","⚠ Date manquante",IF(AND(C1375="",E1375&lt;&gt;"Dépense"),"⚠ Prospect manquant",IF(E1375="","⚠ Action manquante",IF(AND(AU1375=1,D1375=""),"⚠ Canal manquant",IF(AND(W1375&lt;&gt;"",COUNTIFS('Saisie'!$W$5:$W$2004,W1375,'Saisie'!$C$5:$C$2004,"&lt;&gt;"&amp;C1375)&gt;0),"⚠ Numéro déjà utilisé par un autre prospect",IF(AND(J1375&lt;&gt;"",J1375&lt;A1375),"⚠ Relance avant la date de l'action",IF(A1375&gt;TODAY(),"⚠ Date dans le futur","✓"))))))))</f>
        <v/>
      </c>
      <c r="AS1375" s="61">
        <f>IF(AND(A1375="",C1375="",E1375=""),"",ROW())</f>
        <v/>
      </c>
      <c r="AT1375" s="61">
        <f>IF(E1375&amp;F1375="","",MAX(IFERROR(INDEX('Paramètres'!$J$6:$J$33,MATCH(E1375,'Paramètres'!$I$6:$I$33,0)),0),IFERROR(INDEX('Paramètres'!$N$6:$N$17,MATCH(F1375,'Paramètres'!$M$6:$M$17,0)),0)))</f>
        <v/>
      </c>
      <c r="AU1375" s="61">
        <f>IF(E1375="","",IFERROR(IF(INDEX('Paramètres'!$K$6:$K$33,MATCH(E1375,'Paramètres'!$I$6:$I$33,0))="Oui",1,0),0))</f>
        <v/>
      </c>
      <c r="AV1375" s="61">
        <f>IF(F1375="","",IFERROR(IF(INDEX('Paramètres'!$O$6:$O$17,MATCH(F1375,'Paramètres'!$M$6:$M$17,0))="Oui",1,0),0))</f>
        <v/>
      </c>
      <c r="AW1375" s="62">
        <f>IF(E1375="","",IF(G1375&lt;&gt;"",G1375,IF(OR(E1375="Proposition envoyée",E1375="Signature"),MAX(0,N(IFERROR(INDEX('Paramètres'!$R$6:$R$15,MATCH(IF(AL1375&lt;&gt;"",AL1375,IFERROR(INDEX('Prospects'!$AN$5:$AN$504,MATCH(C1375,'Prospects'!$C$5:$C$504,0)),"")),'Paramètres'!$Q$6:$Q$15,0)),0))-N(P1375)),0)))</f>
        <v/>
      </c>
      <c r="AX1375" s="61">
        <f>IF(C1375="","",IF(COUNTIF($C$5:C1375,C1375)=1,MAX($AX$4:AX1374)+1,""))</f>
        <v/>
      </c>
      <c r="AY1375" s="61">
        <f>IF(B1375="","",HOUR(B1375))</f>
        <v/>
      </c>
      <c r="AZ1375" s="61">
        <f>IF(A1375="","",MOD(A1375-2,7)+1)</f>
        <v/>
      </c>
      <c r="BA1375" s="60">
        <f>IF(C1375="","",IFERROR(INDEX('Prospects'!$N$5:$N$504,MATCH(C1375,'Prospects'!$C$5:$C$504,0)),""))</f>
        <v/>
      </c>
      <c r="BB1375" s="61">
        <f>IF(AND(C1375&lt;&gt;"",C1375='Fiche prospect'!$C$4),COUNTIF($C$5:C1375,C1375),"")</f>
        <v/>
      </c>
    </row>
    <row r="1376">
      <c r="A1376" s="53" t="n"/>
      <c r="B1376" s="54" t="n"/>
      <c r="C1376" s="55" t="n"/>
      <c r="D1376" s="55" t="n"/>
      <c r="E1376" s="55" t="n"/>
      <c r="F1376" s="55" t="n"/>
      <c r="G1376" s="56" t="n"/>
      <c r="H1376" s="57" t="n"/>
      <c r="I1376" s="55" t="n"/>
      <c r="J1376" s="53" t="n"/>
      <c r="K1376" s="54" t="n"/>
      <c r="L1376" s="55" t="n"/>
      <c r="M1376" s="55" t="n"/>
      <c r="N1376" s="57" t="n"/>
      <c r="O1376" s="55" t="n"/>
      <c r="P1376" s="56" t="n"/>
      <c r="Q1376" s="55" t="n"/>
      <c r="R1376" s="55" t="n"/>
      <c r="S1376" s="55" t="n"/>
      <c r="T1376" s="55" t="n"/>
      <c r="U1376" s="55" t="n"/>
      <c r="V1376" s="55" t="n"/>
      <c r="W1376" s="58" t="n"/>
      <c r="X1376" s="58" t="n"/>
      <c r="Y1376" s="55" t="n"/>
      <c r="Z1376" s="55" t="n"/>
      <c r="AA1376" s="55" t="n"/>
      <c r="AB1376" s="55" t="n"/>
      <c r="AC1376" s="55" t="n"/>
      <c r="AD1376" s="53" t="n"/>
      <c r="AE1376" s="55" t="n"/>
      <c r="AF1376" s="55" t="n"/>
      <c r="AG1376" s="59" t="n"/>
      <c r="AH1376" s="57" t="n"/>
      <c r="AI1376" s="55" t="n"/>
      <c r="AJ1376" s="55" t="n"/>
      <c r="AK1376" s="55" t="n"/>
      <c r="AL1376" s="55" t="n"/>
      <c r="AM1376" s="56" t="n"/>
      <c r="AN1376" s="55" t="n"/>
      <c r="AO1376" s="55" t="n"/>
      <c r="AP1376" s="55" t="n"/>
      <c r="AQ1376" s="55" t="n"/>
      <c r="AR1376" s="60">
        <f>IF(AND(C1376="",E1376=""),"",IF(A1376="","⚠ Date manquante",IF(AND(C1376="",E1376&lt;&gt;"Dépense"),"⚠ Prospect manquant",IF(E1376="","⚠ Action manquante",IF(AND(AU1376=1,D1376=""),"⚠ Canal manquant",IF(AND(W1376&lt;&gt;"",COUNTIFS('Saisie'!$W$5:$W$2004,W1376,'Saisie'!$C$5:$C$2004,"&lt;&gt;"&amp;C1376)&gt;0),"⚠ Numéro déjà utilisé par un autre prospect",IF(AND(J1376&lt;&gt;"",J1376&lt;A1376),"⚠ Relance avant la date de l'action",IF(A1376&gt;TODAY(),"⚠ Date dans le futur","✓"))))))))</f>
        <v/>
      </c>
      <c r="AS1376" s="61">
        <f>IF(AND(A1376="",C1376="",E1376=""),"",ROW())</f>
        <v/>
      </c>
      <c r="AT1376" s="61">
        <f>IF(E1376&amp;F1376="","",MAX(IFERROR(INDEX('Paramètres'!$J$6:$J$33,MATCH(E1376,'Paramètres'!$I$6:$I$33,0)),0),IFERROR(INDEX('Paramètres'!$N$6:$N$17,MATCH(F1376,'Paramètres'!$M$6:$M$17,0)),0)))</f>
        <v/>
      </c>
      <c r="AU1376" s="61">
        <f>IF(E1376="","",IFERROR(IF(INDEX('Paramètres'!$K$6:$K$33,MATCH(E1376,'Paramètres'!$I$6:$I$33,0))="Oui",1,0),0))</f>
        <v/>
      </c>
      <c r="AV1376" s="61">
        <f>IF(F1376="","",IFERROR(IF(INDEX('Paramètres'!$O$6:$O$17,MATCH(F1376,'Paramètres'!$M$6:$M$17,0))="Oui",1,0),0))</f>
        <v/>
      </c>
      <c r="AW1376" s="62">
        <f>IF(E1376="","",IF(G1376&lt;&gt;"",G1376,IF(OR(E1376="Proposition envoyée",E1376="Signature"),MAX(0,N(IFERROR(INDEX('Paramètres'!$R$6:$R$15,MATCH(IF(AL1376&lt;&gt;"",AL1376,IFERROR(INDEX('Prospects'!$AN$5:$AN$504,MATCH(C1376,'Prospects'!$C$5:$C$504,0)),"")),'Paramètres'!$Q$6:$Q$15,0)),0))-N(P1376)),0)))</f>
        <v/>
      </c>
      <c r="AX1376" s="61">
        <f>IF(C1376="","",IF(COUNTIF($C$5:C1376,C1376)=1,MAX($AX$4:AX1375)+1,""))</f>
        <v/>
      </c>
      <c r="AY1376" s="61">
        <f>IF(B1376="","",HOUR(B1376))</f>
        <v/>
      </c>
      <c r="AZ1376" s="61">
        <f>IF(A1376="","",MOD(A1376-2,7)+1)</f>
        <v/>
      </c>
      <c r="BA1376" s="60">
        <f>IF(C1376="","",IFERROR(INDEX('Prospects'!$N$5:$N$504,MATCH(C1376,'Prospects'!$C$5:$C$504,0)),""))</f>
        <v/>
      </c>
      <c r="BB1376" s="61">
        <f>IF(AND(C1376&lt;&gt;"",C1376='Fiche prospect'!$C$4),COUNTIF($C$5:C1376,C1376),"")</f>
        <v/>
      </c>
    </row>
    <row r="1377">
      <c r="A1377" s="53" t="n"/>
      <c r="B1377" s="54" t="n"/>
      <c r="C1377" s="55" t="n"/>
      <c r="D1377" s="55" t="n"/>
      <c r="E1377" s="55" t="n"/>
      <c r="F1377" s="55" t="n"/>
      <c r="G1377" s="56" t="n"/>
      <c r="H1377" s="57" t="n"/>
      <c r="I1377" s="55" t="n"/>
      <c r="J1377" s="53" t="n"/>
      <c r="K1377" s="54" t="n"/>
      <c r="L1377" s="55" t="n"/>
      <c r="M1377" s="55" t="n"/>
      <c r="N1377" s="57" t="n"/>
      <c r="O1377" s="55" t="n"/>
      <c r="P1377" s="56" t="n"/>
      <c r="Q1377" s="55" t="n"/>
      <c r="R1377" s="55" t="n"/>
      <c r="S1377" s="55" t="n"/>
      <c r="T1377" s="55" t="n"/>
      <c r="U1377" s="55" t="n"/>
      <c r="V1377" s="55" t="n"/>
      <c r="W1377" s="58" t="n"/>
      <c r="X1377" s="58" t="n"/>
      <c r="Y1377" s="55" t="n"/>
      <c r="Z1377" s="55" t="n"/>
      <c r="AA1377" s="55" t="n"/>
      <c r="AB1377" s="55" t="n"/>
      <c r="AC1377" s="55" t="n"/>
      <c r="AD1377" s="53" t="n"/>
      <c r="AE1377" s="55" t="n"/>
      <c r="AF1377" s="55" t="n"/>
      <c r="AG1377" s="59" t="n"/>
      <c r="AH1377" s="57" t="n"/>
      <c r="AI1377" s="55" t="n"/>
      <c r="AJ1377" s="55" t="n"/>
      <c r="AK1377" s="55" t="n"/>
      <c r="AL1377" s="55" t="n"/>
      <c r="AM1377" s="56" t="n"/>
      <c r="AN1377" s="55" t="n"/>
      <c r="AO1377" s="55" t="n"/>
      <c r="AP1377" s="55" t="n"/>
      <c r="AQ1377" s="55" t="n"/>
      <c r="AR1377" s="60">
        <f>IF(AND(C1377="",E1377=""),"",IF(A1377="","⚠ Date manquante",IF(AND(C1377="",E1377&lt;&gt;"Dépense"),"⚠ Prospect manquant",IF(E1377="","⚠ Action manquante",IF(AND(AU1377=1,D1377=""),"⚠ Canal manquant",IF(AND(W1377&lt;&gt;"",COUNTIFS('Saisie'!$W$5:$W$2004,W1377,'Saisie'!$C$5:$C$2004,"&lt;&gt;"&amp;C1377)&gt;0),"⚠ Numéro déjà utilisé par un autre prospect",IF(AND(J1377&lt;&gt;"",J1377&lt;A1377),"⚠ Relance avant la date de l'action",IF(A1377&gt;TODAY(),"⚠ Date dans le futur","✓"))))))))</f>
        <v/>
      </c>
      <c r="AS1377" s="61">
        <f>IF(AND(A1377="",C1377="",E1377=""),"",ROW())</f>
        <v/>
      </c>
      <c r="AT1377" s="61">
        <f>IF(E1377&amp;F1377="","",MAX(IFERROR(INDEX('Paramètres'!$J$6:$J$33,MATCH(E1377,'Paramètres'!$I$6:$I$33,0)),0),IFERROR(INDEX('Paramètres'!$N$6:$N$17,MATCH(F1377,'Paramètres'!$M$6:$M$17,0)),0)))</f>
        <v/>
      </c>
      <c r="AU1377" s="61">
        <f>IF(E1377="","",IFERROR(IF(INDEX('Paramètres'!$K$6:$K$33,MATCH(E1377,'Paramètres'!$I$6:$I$33,0))="Oui",1,0),0))</f>
        <v/>
      </c>
      <c r="AV1377" s="61">
        <f>IF(F1377="","",IFERROR(IF(INDEX('Paramètres'!$O$6:$O$17,MATCH(F1377,'Paramètres'!$M$6:$M$17,0))="Oui",1,0),0))</f>
        <v/>
      </c>
      <c r="AW1377" s="62">
        <f>IF(E1377="","",IF(G1377&lt;&gt;"",G1377,IF(OR(E1377="Proposition envoyée",E1377="Signature"),MAX(0,N(IFERROR(INDEX('Paramètres'!$R$6:$R$15,MATCH(IF(AL1377&lt;&gt;"",AL1377,IFERROR(INDEX('Prospects'!$AN$5:$AN$504,MATCH(C1377,'Prospects'!$C$5:$C$504,0)),"")),'Paramètres'!$Q$6:$Q$15,0)),0))-N(P1377)),0)))</f>
        <v/>
      </c>
      <c r="AX1377" s="61">
        <f>IF(C1377="","",IF(COUNTIF($C$5:C1377,C1377)=1,MAX($AX$4:AX1376)+1,""))</f>
        <v/>
      </c>
      <c r="AY1377" s="61">
        <f>IF(B1377="","",HOUR(B1377))</f>
        <v/>
      </c>
      <c r="AZ1377" s="61">
        <f>IF(A1377="","",MOD(A1377-2,7)+1)</f>
        <v/>
      </c>
      <c r="BA1377" s="60">
        <f>IF(C1377="","",IFERROR(INDEX('Prospects'!$N$5:$N$504,MATCH(C1377,'Prospects'!$C$5:$C$504,0)),""))</f>
        <v/>
      </c>
      <c r="BB1377" s="61">
        <f>IF(AND(C1377&lt;&gt;"",C1377='Fiche prospect'!$C$4),COUNTIF($C$5:C1377,C1377),"")</f>
        <v/>
      </c>
    </row>
    <row r="1378">
      <c r="A1378" s="53" t="n"/>
      <c r="B1378" s="54" t="n"/>
      <c r="C1378" s="55" t="n"/>
      <c r="D1378" s="55" t="n"/>
      <c r="E1378" s="55" t="n"/>
      <c r="F1378" s="55" t="n"/>
      <c r="G1378" s="56" t="n"/>
      <c r="H1378" s="57" t="n"/>
      <c r="I1378" s="55" t="n"/>
      <c r="J1378" s="53" t="n"/>
      <c r="K1378" s="54" t="n"/>
      <c r="L1378" s="55" t="n"/>
      <c r="M1378" s="55" t="n"/>
      <c r="N1378" s="57" t="n"/>
      <c r="O1378" s="55" t="n"/>
      <c r="P1378" s="56" t="n"/>
      <c r="Q1378" s="55" t="n"/>
      <c r="R1378" s="55" t="n"/>
      <c r="S1378" s="55" t="n"/>
      <c r="T1378" s="55" t="n"/>
      <c r="U1378" s="55" t="n"/>
      <c r="V1378" s="55" t="n"/>
      <c r="W1378" s="58" t="n"/>
      <c r="X1378" s="58" t="n"/>
      <c r="Y1378" s="55" t="n"/>
      <c r="Z1378" s="55" t="n"/>
      <c r="AA1378" s="55" t="n"/>
      <c r="AB1378" s="55" t="n"/>
      <c r="AC1378" s="55" t="n"/>
      <c r="AD1378" s="53" t="n"/>
      <c r="AE1378" s="55" t="n"/>
      <c r="AF1378" s="55" t="n"/>
      <c r="AG1378" s="59" t="n"/>
      <c r="AH1378" s="57" t="n"/>
      <c r="AI1378" s="55" t="n"/>
      <c r="AJ1378" s="55" t="n"/>
      <c r="AK1378" s="55" t="n"/>
      <c r="AL1378" s="55" t="n"/>
      <c r="AM1378" s="56" t="n"/>
      <c r="AN1378" s="55" t="n"/>
      <c r="AO1378" s="55" t="n"/>
      <c r="AP1378" s="55" t="n"/>
      <c r="AQ1378" s="55" t="n"/>
      <c r="AR1378" s="60">
        <f>IF(AND(C1378="",E1378=""),"",IF(A1378="","⚠ Date manquante",IF(AND(C1378="",E1378&lt;&gt;"Dépense"),"⚠ Prospect manquant",IF(E1378="","⚠ Action manquante",IF(AND(AU1378=1,D1378=""),"⚠ Canal manquant",IF(AND(W1378&lt;&gt;"",COUNTIFS('Saisie'!$W$5:$W$2004,W1378,'Saisie'!$C$5:$C$2004,"&lt;&gt;"&amp;C1378)&gt;0),"⚠ Numéro déjà utilisé par un autre prospect",IF(AND(J1378&lt;&gt;"",J1378&lt;A1378),"⚠ Relance avant la date de l'action",IF(A1378&gt;TODAY(),"⚠ Date dans le futur","✓"))))))))</f>
        <v/>
      </c>
      <c r="AS1378" s="61">
        <f>IF(AND(A1378="",C1378="",E1378=""),"",ROW())</f>
        <v/>
      </c>
      <c r="AT1378" s="61">
        <f>IF(E1378&amp;F1378="","",MAX(IFERROR(INDEX('Paramètres'!$J$6:$J$33,MATCH(E1378,'Paramètres'!$I$6:$I$33,0)),0),IFERROR(INDEX('Paramètres'!$N$6:$N$17,MATCH(F1378,'Paramètres'!$M$6:$M$17,0)),0)))</f>
        <v/>
      </c>
      <c r="AU1378" s="61">
        <f>IF(E1378="","",IFERROR(IF(INDEX('Paramètres'!$K$6:$K$33,MATCH(E1378,'Paramètres'!$I$6:$I$33,0))="Oui",1,0),0))</f>
        <v/>
      </c>
      <c r="AV1378" s="61">
        <f>IF(F1378="","",IFERROR(IF(INDEX('Paramètres'!$O$6:$O$17,MATCH(F1378,'Paramètres'!$M$6:$M$17,0))="Oui",1,0),0))</f>
        <v/>
      </c>
      <c r="AW1378" s="62">
        <f>IF(E1378="","",IF(G1378&lt;&gt;"",G1378,IF(OR(E1378="Proposition envoyée",E1378="Signature"),MAX(0,N(IFERROR(INDEX('Paramètres'!$R$6:$R$15,MATCH(IF(AL1378&lt;&gt;"",AL1378,IFERROR(INDEX('Prospects'!$AN$5:$AN$504,MATCH(C1378,'Prospects'!$C$5:$C$504,0)),"")),'Paramètres'!$Q$6:$Q$15,0)),0))-N(P1378)),0)))</f>
        <v/>
      </c>
      <c r="AX1378" s="61">
        <f>IF(C1378="","",IF(COUNTIF($C$5:C1378,C1378)=1,MAX($AX$4:AX1377)+1,""))</f>
        <v/>
      </c>
      <c r="AY1378" s="61">
        <f>IF(B1378="","",HOUR(B1378))</f>
        <v/>
      </c>
      <c r="AZ1378" s="61">
        <f>IF(A1378="","",MOD(A1378-2,7)+1)</f>
        <v/>
      </c>
      <c r="BA1378" s="60">
        <f>IF(C1378="","",IFERROR(INDEX('Prospects'!$N$5:$N$504,MATCH(C1378,'Prospects'!$C$5:$C$504,0)),""))</f>
        <v/>
      </c>
      <c r="BB1378" s="61">
        <f>IF(AND(C1378&lt;&gt;"",C1378='Fiche prospect'!$C$4),COUNTIF($C$5:C1378,C1378),"")</f>
        <v/>
      </c>
    </row>
    <row r="1379">
      <c r="A1379" s="53" t="n"/>
      <c r="B1379" s="54" t="n"/>
      <c r="C1379" s="55" t="n"/>
      <c r="D1379" s="55" t="n"/>
      <c r="E1379" s="55" t="n"/>
      <c r="F1379" s="55" t="n"/>
      <c r="G1379" s="56" t="n"/>
      <c r="H1379" s="57" t="n"/>
      <c r="I1379" s="55" t="n"/>
      <c r="J1379" s="53" t="n"/>
      <c r="K1379" s="54" t="n"/>
      <c r="L1379" s="55" t="n"/>
      <c r="M1379" s="55" t="n"/>
      <c r="N1379" s="57" t="n"/>
      <c r="O1379" s="55" t="n"/>
      <c r="P1379" s="56" t="n"/>
      <c r="Q1379" s="55" t="n"/>
      <c r="R1379" s="55" t="n"/>
      <c r="S1379" s="55" t="n"/>
      <c r="T1379" s="55" t="n"/>
      <c r="U1379" s="55" t="n"/>
      <c r="V1379" s="55" t="n"/>
      <c r="W1379" s="58" t="n"/>
      <c r="X1379" s="58" t="n"/>
      <c r="Y1379" s="55" t="n"/>
      <c r="Z1379" s="55" t="n"/>
      <c r="AA1379" s="55" t="n"/>
      <c r="AB1379" s="55" t="n"/>
      <c r="AC1379" s="55" t="n"/>
      <c r="AD1379" s="53" t="n"/>
      <c r="AE1379" s="55" t="n"/>
      <c r="AF1379" s="55" t="n"/>
      <c r="AG1379" s="59" t="n"/>
      <c r="AH1379" s="57" t="n"/>
      <c r="AI1379" s="55" t="n"/>
      <c r="AJ1379" s="55" t="n"/>
      <c r="AK1379" s="55" t="n"/>
      <c r="AL1379" s="55" t="n"/>
      <c r="AM1379" s="56" t="n"/>
      <c r="AN1379" s="55" t="n"/>
      <c r="AO1379" s="55" t="n"/>
      <c r="AP1379" s="55" t="n"/>
      <c r="AQ1379" s="55" t="n"/>
      <c r="AR1379" s="60">
        <f>IF(AND(C1379="",E1379=""),"",IF(A1379="","⚠ Date manquante",IF(AND(C1379="",E1379&lt;&gt;"Dépense"),"⚠ Prospect manquant",IF(E1379="","⚠ Action manquante",IF(AND(AU1379=1,D1379=""),"⚠ Canal manquant",IF(AND(W1379&lt;&gt;"",COUNTIFS('Saisie'!$W$5:$W$2004,W1379,'Saisie'!$C$5:$C$2004,"&lt;&gt;"&amp;C1379)&gt;0),"⚠ Numéro déjà utilisé par un autre prospect",IF(AND(J1379&lt;&gt;"",J1379&lt;A1379),"⚠ Relance avant la date de l'action",IF(A1379&gt;TODAY(),"⚠ Date dans le futur","✓"))))))))</f>
        <v/>
      </c>
      <c r="AS1379" s="61">
        <f>IF(AND(A1379="",C1379="",E1379=""),"",ROW())</f>
        <v/>
      </c>
      <c r="AT1379" s="61">
        <f>IF(E1379&amp;F1379="","",MAX(IFERROR(INDEX('Paramètres'!$J$6:$J$33,MATCH(E1379,'Paramètres'!$I$6:$I$33,0)),0),IFERROR(INDEX('Paramètres'!$N$6:$N$17,MATCH(F1379,'Paramètres'!$M$6:$M$17,0)),0)))</f>
        <v/>
      </c>
      <c r="AU1379" s="61">
        <f>IF(E1379="","",IFERROR(IF(INDEX('Paramètres'!$K$6:$K$33,MATCH(E1379,'Paramètres'!$I$6:$I$33,0))="Oui",1,0),0))</f>
        <v/>
      </c>
      <c r="AV1379" s="61">
        <f>IF(F1379="","",IFERROR(IF(INDEX('Paramètres'!$O$6:$O$17,MATCH(F1379,'Paramètres'!$M$6:$M$17,0))="Oui",1,0),0))</f>
        <v/>
      </c>
      <c r="AW1379" s="62">
        <f>IF(E1379="","",IF(G1379&lt;&gt;"",G1379,IF(OR(E1379="Proposition envoyée",E1379="Signature"),MAX(0,N(IFERROR(INDEX('Paramètres'!$R$6:$R$15,MATCH(IF(AL1379&lt;&gt;"",AL1379,IFERROR(INDEX('Prospects'!$AN$5:$AN$504,MATCH(C1379,'Prospects'!$C$5:$C$504,0)),"")),'Paramètres'!$Q$6:$Q$15,0)),0))-N(P1379)),0)))</f>
        <v/>
      </c>
      <c r="AX1379" s="61">
        <f>IF(C1379="","",IF(COUNTIF($C$5:C1379,C1379)=1,MAX($AX$4:AX1378)+1,""))</f>
        <v/>
      </c>
      <c r="AY1379" s="61">
        <f>IF(B1379="","",HOUR(B1379))</f>
        <v/>
      </c>
      <c r="AZ1379" s="61">
        <f>IF(A1379="","",MOD(A1379-2,7)+1)</f>
        <v/>
      </c>
      <c r="BA1379" s="60">
        <f>IF(C1379="","",IFERROR(INDEX('Prospects'!$N$5:$N$504,MATCH(C1379,'Prospects'!$C$5:$C$504,0)),""))</f>
        <v/>
      </c>
      <c r="BB1379" s="61">
        <f>IF(AND(C1379&lt;&gt;"",C1379='Fiche prospect'!$C$4),COUNTIF($C$5:C1379,C1379),"")</f>
        <v/>
      </c>
    </row>
    <row r="1380">
      <c r="A1380" s="53" t="n"/>
      <c r="B1380" s="54" t="n"/>
      <c r="C1380" s="55" t="n"/>
      <c r="D1380" s="55" t="n"/>
      <c r="E1380" s="55" t="n"/>
      <c r="F1380" s="55" t="n"/>
      <c r="G1380" s="56" t="n"/>
      <c r="H1380" s="57" t="n"/>
      <c r="I1380" s="55" t="n"/>
      <c r="J1380" s="53" t="n"/>
      <c r="K1380" s="54" t="n"/>
      <c r="L1380" s="55" t="n"/>
      <c r="M1380" s="55" t="n"/>
      <c r="N1380" s="57" t="n"/>
      <c r="O1380" s="55" t="n"/>
      <c r="P1380" s="56" t="n"/>
      <c r="Q1380" s="55" t="n"/>
      <c r="R1380" s="55" t="n"/>
      <c r="S1380" s="55" t="n"/>
      <c r="T1380" s="55" t="n"/>
      <c r="U1380" s="55" t="n"/>
      <c r="V1380" s="55" t="n"/>
      <c r="W1380" s="58" t="n"/>
      <c r="X1380" s="58" t="n"/>
      <c r="Y1380" s="55" t="n"/>
      <c r="Z1380" s="55" t="n"/>
      <c r="AA1380" s="55" t="n"/>
      <c r="AB1380" s="55" t="n"/>
      <c r="AC1380" s="55" t="n"/>
      <c r="AD1380" s="53" t="n"/>
      <c r="AE1380" s="55" t="n"/>
      <c r="AF1380" s="55" t="n"/>
      <c r="AG1380" s="59" t="n"/>
      <c r="AH1380" s="57" t="n"/>
      <c r="AI1380" s="55" t="n"/>
      <c r="AJ1380" s="55" t="n"/>
      <c r="AK1380" s="55" t="n"/>
      <c r="AL1380" s="55" t="n"/>
      <c r="AM1380" s="56" t="n"/>
      <c r="AN1380" s="55" t="n"/>
      <c r="AO1380" s="55" t="n"/>
      <c r="AP1380" s="55" t="n"/>
      <c r="AQ1380" s="55" t="n"/>
      <c r="AR1380" s="60">
        <f>IF(AND(C1380="",E1380=""),"",IF(A1380="","⚠ Date manquante",IF(AND(C1380="",E1380&lt;&gt;"Dépense"),"⚠ Prospect manquant",IF(E1380="","⚠ Action manquante",IF(AND(AU1380=1,D1380=""),"⚠ Canal manquant",IF(AND(W1380&lt;&gt;"",COUNTIFS('Saisie'!$W$5:$W$2004,W1380,'Saisie'!$C$5:$C$2004,"&lt;&gt;"&amp;C1380)&gt;0),"⚠ Numéro déjà utilisé par un autre prospect",IF(AND(J1380&lt;&gt;"",J1380&lt;A1380),"⚠ Relance avant la date de l'action",IF(A1380&gt;TODAY(),"⚠ Date dans le futur","✓"))))))))</f>
        <v/>
      </c>
      <c r="AS1380" s="61">
        <f>IF(AND(A1380="",C1380="",E1380=""),"",ROW())</f>
        <v/>
      </c>
      <c r="AT1380" s="61">
        <f>IF(E1380&amp;F1380="","",MAX(IFERROR(INDEX('Paramètres'!$J$6:$J$33,MATCH(E1380,'Paramètres'!$I$6:$I$33,0)),0),IFERROR(INDEX('Paramètres'!$N$6:$N$17,MATCH(F1380,'Paramètres'!$M$6:$M$17,0)),0)))</f>
        <v/>
      </c>
      <c r="AU1380" s="61">
        <f>IF(E1380="","",IFERROR(IF(INDEX('Paramètres'!$K$6:$K$33,MATCH(E1380,'Paramètres'!$I$6:$I$33,0))="Oui",1,0),0))</f>
        <v/>
      </c>
      <c r="AV1380" s="61">
        <f>IF(F1380="","",IFERROR(IF(INDEX('Paramètres'!$O$6:$O$17,MATCH(F1380,'Paramètres'!$M$6:$M$17,0))="Oui",1,0),0))</f>
        <v/>
      </c>
      <c r="AW1380" s="62">
        <f>IF(E1380="","",IF(G1380&lt;&gt;"",G1380,IF(OR(E1380="Proposition envoyée",E1380="Signature"),MAX(0,N(IFERROR(INDEX('Paramètres'!$R$6:$R$15,MATCH(IF(AL1380&lt;&gt;"",AL1380,IFERROR(INDEX('Prospects'!$AN$5:$AN$504,MATCH(C1380,'Prospects'!$C$5:$C$504,0)),"")),'Paramètres'!$Q$6:$Q$15,0)),0))-N(P1380)),0)))</f>
        <v/>
      </c>
      <c r="AX1380" s="61">
        <f>IF(C1380="","",IF(COUNTIF($C$5:C1380,C1380)=1,MAX($AX$4:AX1379)+1,""))</f>
        <v/>
      </c>
      <c r="AY1380" s="61">
        <f>IF(B1380="","",HOUR(B1380))</f>
        <v/>
      </c>
      <c r="AZ1380" s="61">
        <f>IF(A1380="","",MOD(A1380-2,7)+1)</f>
        <v/>
      </c>
      <c r="BA1380" s="60">
        <f>IF(C1380="","",IFERROR(INDEX('Prospects'!$N$5:$N$504,MATCH(C1380,'Prospects'!$C$5:$C$504,0)),""))</f>
        <v/>
      </c>
      <c r="BB1380" s="61">
        <f>IF(AND(C1380&lt;&gt;"",C1380='Fiche prospect'!$C$4),COUNTIF($C$5:C1380,C1380),"")</f>
        <v/>
      </c>
    </row>
    <row r="1381">
      <c r="A1381" s="53" t="n"/>
      <c r="B1381" s="54" t="n"/>
      <c r="C1381" s="55" t="n"/>
      <c r="D1381" s="55" t="n"/>
      <c r="E1381" s="55" t="n"/>
      <c r="F1381" s="55" t="n"/>
      <c r="G1381" s="56" t="n"/>
      <c r="H1381" s="57" t="n"/>
      <c r="I1381" s="55" t="n"/>
      <c r="J1381" s="53" t="n"/>
      <c r="K1381" s="54" t="n"/>
      <c r="L1381" s="55" t="n"/>
      <c r="M1381" s="55" t="n"/>
      <c r="N1381" s="57" t="n"/>
      <c r="O1381" s="55" t="n"/>
      <c r="P1381" s="56" t="n"/>
      <c r="Q1381" s="55" t="n"/>
      <c r="R1381" s="55" t="n"/>
      <c r="S1381" s="55" t="n"/>
      <c r="T1381" s="55" t="n"/>
      <c r="U1381" s="55" t="n"/>
      <c r="V1381" s="55" t="n"/>
      <c r="W1381" s="58" t="n"/>
      <c r="X1381" s="58" t="n"/>
      <c r="Y1381" s="55" t="n"/>
      <c r="Z1381" s="55" t="n"/>
      <c r="AA1381" s="55" t="n"/>
      <c r="AB1381" s="55" t="n"/>
      <c r="AC1381" s="55" t="n"/>
      <c r="AD1381" s="53" t="n"/>
      <c r="AE1381" s="55" t="n"/>
      <c r="AF1381" s="55" t="n"/>
      <c r="AG1381" s="59" t="n"/>
      <c r="AH1381" s="57" t="n"/>
      <c r="AI1381" s="55" t="n"/>
      <c r="AJ1381" s="55" t="n"/>
      <c r="AK1381" s="55" t="n"/>
      <c r="AL1381" s="55" t="n"/>
      <c r="AM1381" s="56" t="n"/>
      <c r="AN1381" s="55" t="n"/>
      <c r="AO1381" s="55" t="n"/>
      <c r="AP1381" s="55" t="n"/>
      <c r="AQ1381" s="55" t="n"/>
      <c r="AR1381" s="60">
        <f>IF(AND(C1381="",E1381=""),"",IF(A1381="","⚠ Date manquante",IF(AND(C1381="",E1381&lt;&gt;"Dépense"),"⚠ Prospect manquant",IF(E1381="","⚠ Action manquante",IF(AND(AU1381=1,D1381=""),"⚠ Canal manquant",IF(AND(W1381&lt;&gt;"",COUNTIFS('Saisie'!$W$5:$W$2004,W1381,'Saisie'!$C$5:$C$2004,"&lt;&gt;"&amp;C1381)&gt;0),"⚠ Numéro déjà utilisé par un autre prospect",IF(AND(J1381&lt;&gt;"",J1381&lt;A1381),"⚠ Relance avant la date de l'action",IF(A1381&gt;TODAY(),"⚠ Date dans le futur","✓"))))))))</f>
        <v/>
      </c>
      <c r="AS1381" s="61">
        <f>IF(AND(A1381="",C1381="",E1381=""),"",ROW())</f>
        <v/>
      </c>
      <c r="AT1381" s="61">
        <f>IF(E1381&amp;F1381="","",MAX(IFERROR(INDEX('Paramètres'!$J$6:$J$33,MATCH(E1381,'Paramètres'!$I$6:$I$33,0)),0),IFERROR(INDEX('Paramètres'!$N$6:$N$17,MATCH(F1381,'Paramètres'!$M$6:$M$17,0)),0)))</f>
        <v/>
      </c>
      <c r="AU1381" s="61">
        <f>IF(E1381="","",IFERROR(IF(INDEX('Paramètres'!$K$6:$K$33,MATCH(E1381,'Paramètres'!$I$6:$I$33,0))="Oui",1,0),0))</f>
        <v/>
      </c>
      <c r="AV1381" s="61">
        <f>IF(F1381="","",IFERROR(IF(INDEX('Paramètres'!$O$6:$O$17,MATCH(F1381,'Paramètres'!$M$6:$M$17,0))="Oui",1,0),0))</f>
        <v/>
      </c>
      <c r="AW1381" s="62">
        <f>IF(E1381="","",IF(G1381&lt;&gt;"",G1381,IF(OR(E1381="Proposition envoyée",E1381="Signature"),MAX(0,N(IFERROR(INDEX('Paramètres'!$R$6:$R$15,MATCH(IF(AL1381&lt;&gt;"",AL1381,IFERROR(INDEX('Prospects'!$AN$5:$AN$504,MATCH(C1381,'Prospects'!$C$5:$C$504,0)),"")),'Paramètres'!$Q$6:$Q$15,0)),0))-N(P1381)),0)))</f>
        <v/>
      </c>
      <c r="AX1381" s="61">
        <f>IF(C1381="","",IF(COUNTIF($C$5:C1381,C1381)=1,MAX($AX$4:AX1380)+1,""))</f>
        <v/>
      </c>
      <c r="AY1381" s="61">
        <f>IF(B1381="","",HOUR(B1381))</f>
        <v/>
      </c>
      <c r="AZ1381" s="61">
        <f>IF(A1381="","",MOD(A1381-2,7)+1)</f>
        <v/>
      </c>
      <c r="BA1381" s="60">
        <f>IF(C1381="","",IFERROR(INDEX('Prospects'!$N$5:$N$504,MATCH(C1381,'Prospects'!$C$5:$C$504,0)),""))</f>
        <v/>
      </c>
      <c r="BB1381" s="61">
        <f>IF(AND(C1381&lt;&gt;"",C1381='Fiche prospect'!$C$4),COUNTIF($C$5:C1381,C1381),"")</f>
        <v/>
      </c>
    </row>
    <row r="1382">
      <c r="A1382" s="53" t="n"/>
      <c r="B1382" s="54" t="n"/>
      <c r="C1382" s="55" t="n"/>
      <c r="D1382" s="55" t="n"/>
      <c r="E1382" s="55" t="n"/>
      <c r="F1382" s="55" t="n"/>
      <c r="G1382" s="56" t="n"/>
      <c r="H1382" s="57" t="n"/>
      <c r="I1382" s="55" t="n"/>
      <c r="J1382" s="53" t="n"/>
      <c r="K1382" s="54" t="n"/>
      <c r="L1382" s="55" t="n"/>
      <c r="M1382" s="55" t="n"/>
      <c r="N1382" s="57" t="n"/>
      <c r="O1382" s="55" t="n"/>
      <c r="P1382" s="56" t="n"/>
      <c r="Q1382" s="55" t="n"/>
      <c r="R1382" s="55" t="n"/>
      <c r="S1382" s="55" t="n"/>
      <c r="T1382" s="55" t="n"/>
      <c r="U1382" s="55" t="n"/>
      <c r="V1382" s="55" t="n"/>
      <c r="W1382" s="58" t="n"/>
      <c r="X1382" s="58" t="n"/>
      <c r="Y1382" s="55" t="n"/>
      <c r="Z1382" s="55" t="n"/>
      <c r="AA1382" s="55" t="n"/>
      <c r="AB1382" s="55" t="n"/>
      <c r="AC1382" s="55" t="n"/>
      <c r="AD1382" s="53" t="n"/>
      <c r="AE1382" s="55" t="n"/>
      <c r="AF1382" s="55" t="n"/>
      <c r="AG1382" s="59" t="n"/>
      <c r="AH1382" s="57" t="n"/>
      <c r="AI1382" s="55" t="n"/>
      <c r="AJ1382" s="55" t="n"/>
      <c r="AK1382" s="55" t="n"/>
      <c r="AL1382" s="55" t="n"/>
      <c r="AM1382" s="56" t="n"/>
      <c r="AN1382" s="55" t="n"/>
      <c r="AO1382" s="55" t="n"/>
      <c r="AP1382" s="55" t="n"/>
      <c r="AQ1382" s="55" t="n"/>
      <c r="AR1382" s="60">
        <f>IF(AND(C1382="",E1382=""),"",IF(A1382="","⚠ Date manquante",IF(AND(C1382="",E1382&lt;&gt;"Dépense"),"⚠ Prospect manquant",IF(E1382="","⚠ Action manquante",IF(AND(AU1382=1,D1382=""),"⚠ Canal manquant",IF(AND(W1382&lt;&gt;"",COUNTIFS('Saisie'!$W$5:$W$2004,W1382,'Saisie'!$C$5:$C$2004,"&lt;&gt;"&amp;C1382)&gt;0),"⚠ Numéro déjà utilisé par un autre prospect",IF(AND(J1382&lt;&gt;"",J1382&lt;A1382),"⚠ Relance avant la date de l'action",IF(A1382&gt;TODAY(),"⚠ Date dans le futur","✓"))))))))</f>
        <v/>
      </c>
      <c r="AS1382" s="61">
        <f>IF(AND(A1382="",C1382="",E1382=""),"",ROW())</f>
        <v/>
      </c>
      <c r="AT1382" s="61">
        <f>IF(E1382&amp;F1382="","",MAX(IFERROR(INDEX('Paramètres'!$J$6:$J$33,MATCH(E1382,'Paramètres'!$I$6:$I$33,0)),0),IFERROR(INDEX('Paramètres'!$N$6:$N$17,MATCH(F1382,'Paramètres'!$M$6:$M$17,0)),0)))</f>
        <v/>
      </c>
      <c r="AU1382" s="61">
        <f>IF(E1382="","",IFERROR(IF(INDEX('Paramètres'!$K$6:$K$33,MATCH(E1382,'Paramètres'!$I$6:$I$33,0))="Oui",1,0),0))</f>
        <v/>
      </c>
      <c r="AV1382" s="61">
        <f>IF(F1382="","",IFERROR(IF(INDEX('Paramètres'!$O$6:$O$17,MATCH(F1382,'Paramètres'!$M$6:$M$17,0))="Oui",1,0),0))</f>
        <v/>
      </c>
      <c r="AW1382" s="62">
        <f>IF(E1382="","",IF(G1382&lt;&gt;"",G1382,IF(OR(E1382="Proposition envoyée",E1382="Signature"),MAX(0,N(IFERROR(INDEX('Paramètres'!$R$6:$R$15,MATCH(IF(AL1382&lt;&gt;"",AL1382,IFERROR(INDEX('Prospects'!$AN$5:$AN$504,MATCH(C1382,'Prospects'!$C$5:$C$504,0)),"")),'Paramètres'!$Q$6:$Q$15,0)),0))-N(P1382)),0)))</f>
        <v/>
      </c>
      <c r="AX1382" s="61">
        <f>IF(C1382="","",IF(COUNTIF($C$5:C1382,C1382)=1,MAX($AX$4:AX1381)+1,""))</f>
        <v/>
      </c>
      <c r="AY1382" s="61">
        <f>IF(B1382="","",HOUR(B1382))</f>
        <v/>
      </c>
      <c r="AZ1382" s="61">
        <f>IF(A1382="","",MOD(A1382-2,7)+1)</f>
        <v/>
      </c>
      <c r="BA1382" s="60">
        <f>IF(C1382="","",IFERROR(INDEX('Prospects'!$N$5:$N$504,MATCH(C1382,'Prospects'!$C$5:$C$504,0)),""))</f>
        <v/>
      </c>
      <c r="BB1382" s="61">
        <f>IF(AND(C1382&lt;&gt;"",C1382='Fiche prospect'!$C$4),COUNTIF($C$5:C1382,C1382),"")</f>
        <v/>
      </c>
    </row>
    <row r="1383">
      <c r="A1383" s="53" t="n"/>
      <c r="B1383" s="54" t="n"/>
      <c r="C1383" s="55" t="n"/>
      <c r="D1383" s="55" t="n"/>
      <c r="E1383" s="55" t="n"/>
      <c r="F1383" s="55" t="n"/>
      <c r="G1383" s="56" t="n"/>
      <c r="H1383" s="57" t="n"/>
      <c r="I1383" s="55" t="n"/>
      <c r="J1383" s="53" t="n"/>
      <c r="K1383" s="54" t="n"/>
      <c r="L1383" s="55" t="n"/>
      <c r="M1383" s="55" t="n"/>
      <c r="N1383" s="57" t="n"/>
      <c r="O1383" s="55" t="n"/>
      <c r="P1383" s="56" t="n"/>
      <c r="Q1383" s="55" t="n"/>
      <c r="R1383" s="55" t="n"/>
      <c r="S1383" s="55" t="n"/>
      <c r="T1383" s="55" t="n"/>
      <c r="U1383" s="55" t="n"/>
      <c r="V1383" s="55" t="n"/>
      <c r="W1383" s="58" t="n"/>
      <c r="X1383" s="58" t="n"/>
      <c r="Y1383" s="55" t="n"/>
      <c r="Z1383" s="55" t="n"/>
      <c r="AA1383" s="55" t="n"/>
      <c r="AB1383" s="55" t="n"/>
      <c r="AC1383" s="55" t="n"/>
      <c r="AD1383" s="53" t="n"/>
      <c r="AE1383" s="55" t="n"/>
      <c r="AF1383" s="55" t="n"/>
      <c r="AG1383" s="59" t="n"/>
      <c r="AH1383" s="57" t="n"/>
      <c r="AI1383" s="55" t="n"/>
      <c r="AJ1383" s="55" t="n"/>
      <c r="AK1383" s="55" t="n"/>
      <c r="AL1383" s="55" t="n"/>
      <c r="AM1383" s="56" t="n"/>
      <c r="AN1383" s="55" t="n"/>
      <c r="AO1383" s="55" t="n"/>
      <c r="AP1383" s="55" t="n"/>
      <c r="AQ1383" s="55" t="n"/>
      <c r="AR1383" s="60">
        <f>IF(AND(C1383="",E1383=""),"",IF(A1383="","⚠ Date manquante",IF(AND(C1383="",E1383&lt;&gt;"Dépense"),"⚠ Prospect manquant",IF(E1383="","⚠ Action manquante",IF(AND(AU1383=1,D1383=""),"⚠ Canal manquant",IF(AND(W1383&lt;&gt;"",COUNTIFS('Saisie'!$W$5:$W$2004,W1383,'Saisie'!$C$5:$C$2004,"&lt;&gt;"&amp;C1383)&gt;0),"⚠ Numéro déjà utilisé par un autre prospect",IF(AND(J1383&lt;&gt;"",J1383&lt;A1383),"⚠ Relance avant la date de l'action",IF(A1383&gt;TODAY(),"⚠ Date dans le futur","✓"))))))))</f>
        <v/>
      </c>
      <c r="AS1383" s="61">
        <f>IF(AND(A1383="",C1383="",E1383=""),"",ROW())</f>
        <v/>
      </c>
      <c r="AT1383" s="61">
        <f>IF(E1383&amp;F1383="","",MAX(IFERROR(INDEX('Paramètres'!$J$6:$J$33,MATCH(E1383,'Paramètres'!$I$6:$I$33,0)),0),IFERROR(INDEX('Paramètres'!$N$6:$N$17,MATCH(F1383,'Paramètres'!$M$6:$M$17,0)),0)))</f>
        <v/>
      </c>
      <c r="AU1383" s="61">
        <f>IF(E1383="","",IFERROR(IF(INDEX('Paramètres'!$K$6:$K$33,MATCH(E1383,'Paramètres'!$I$6:$I$33,0))="Oui",1,0),0))</f>
        <v/>
      </c>
      <c r="AV1383" s="61">
        <f>IF(F1383="","",IFERROR(IF(INDEX('Paramètres'!$O$6:$O$17,MATCH(F1383,'Paramètres'!$M$6:$M$17,0))="Oui",1,0),0))</f>
        <v/>
      </c>
      <c r="AW1383" s="62">
        <f>IF(E1383="","",IF(G1383&lt;&gt;"",G1383,IF(OR(E1383="Proposition envoyée",E1383="Signature"),MAX(0,N(IFERROR(INDEX('Paramètres'!$R$6:$R$15,MATCH(IF(AL1383&lt;&gt;"",AL1383,IFERROR(INDEX('Prospects'!$AN$5:$AN$504,MATCH(C1383,'Prospects'!$C$5:$C$504,0)),"")),'Paramètres'!$Q$6:$Q$15,0)),0))-N(P1383)),0)))</f>
        <v/>
      </c>
      <c r="AX1383" s="61">
        <f>IF(C1383="","",IF(COUNTIF($C$5:C1383,C1383)=1,MAX($AX$4:AX1382)+1,""))</f>
        <v/>
      </c>
      <c r="AY1383" s="61">
        <f>IF(B1383="","",HOUR(B1383))</f>
        <v/>
      </c>
      <c r="AZ1383" s="61">
        <f>IF(A1383="","",MOD(A1383-2,7)+1)</f>
        <v/>
      </c>
      <c r="BA1383" s="60">
        <f>IF(C1383="","",IFERROR(INDEX('Prospects'!$N$5:$N$504,MATCH(C1383,'Prospects'!$C$5:$C$504,0)),""))</f>
        <v/>
      </c>
      <c r="BB1383" s="61">
        <f>IF(AND(C1383&lt;&gt;"",C1383='Fiche prospect'!$C$4),COUNTIF($C$5:C1383,C1383),"")</f>
        <v/>
      </c>
    </row>
    <row r="1384">
      <c r="A1384" s="53" t="n"/>
      <c r="B1384" s="54" t="n"/>
      <c r="C1384" s="55" t="n"/>
      <c r="D1384" s="55" t="n"/>
      <c r="E1384" s="55" t="n"/>
      <c r="F1384" s="55" t="n"/>
      <c r="G1384" s="56" t="n"/>
      <c r="H1384" s="57" t="n"/>
      <c r="I1384" s="55" t="n"/>
      <c r="J1384" s="53" t="n"/>
      <c r="K1384" s="54" t="n"/>
      <c r="L1384" s="55" t="n"/>
      <c r="M1384" s="55" t="n"/>
      <c r="N1384" s="57" t="n"/>
      <c r="O1384" s="55" t="n"/>
      <c r="P1384" s="56" t="n"/>
      <c r="Q1384" s="55" t="n"/>
      <c r="R1384" s="55" t="n"/>
      <c r="S1384" s="55" t="n"/>
      <c r="T1384" s="55" t="n"/>
      <c r="U1384" s="55" t="n"/>
      <c r="V1384" s="55" t="n"/>
      <c r="W1384" s="58" t="n"/>
      <c r="X1384" s="58" t="n"/>
      <c r="Y1384" s="55" t="n"/>
      <c r="Z1384" s="55" t="n"/>
      <c r="AA1384" s="55" t="n"/>
      <c r="AB1384" s="55" t="n"/>
      <c r="AC1384" s="55" t="n"/>
      <c r="AD1384" s="53" t="n"/>
      <c r="AE1384" s="55" t="n"/>
      <c r="AF1384" s="55" t="n"/>
      <c r="AG1384" s="59" t="n"/>
      <c r="AH1384" s="57" t="n"/>
      <c r="AI1384" s="55" t="n"/>
      <c r="AJ1384" s="55" t="n"/>
      <c r="AK1384" s="55" t="n"/>
      <c r="AL1384" s="55" t="n"/>
      <c r="AM1384" s="56" t="n"/>
      <c r="AN1384" s="55" t="n"/>
      <c r="AO1384" s="55" t="n"/>
      <c r="AP1384" s="55" t="n"/>
      <c r="AQ1384" s="55" t="n"/>
      <c r="AR1384" s="60">
        <f>IF(AND(C1384="",E1384=""),"",IF(A1384="","⚠ Date manquante",IF(AND(C1384="",E1384&lt;&gt;"Dépense"),"⚠ Prospect manquant",IF(E1384="","⚠ Action manquante",IF(AND(AU1384=1,D1384=""),"⚠ Canal manquant",IF(AND(W1384&lt;&gt;"",COUNTIFS('Saisie'!$W$5:$W$2004,W1384,'Saisie'!$C$5:$C$2004,"&lt;&gt;"&amp;C1384)&gt;0),"⚠ Numéro déjà utilisé par un autre prospect",IF(AND(J1384&lt;&gt;"",J1384&lt;A1384),"⚠ Relance avant la date de l'action",IF(A1384&gt;TODAY(),"⚠ Date dans le futur","✓"))))))))</f>
        <v/>
      </c>
      <c r="AS1384" s="61">
        <f>IF(AND(A1384="",C1384="",E1384=""),"",ROW())</f>
        <v/>
      </c>
      <c r="AT1384" s="61">
        <f>IF(E1384&amp;F1384="","",MAX(IFERROR(INDEX('Paramètres'!$J$6:$J$33,MATCH(E1384,'Paramètres'!$I$6:$I$33,0)),0),IFERROR(INDEX('Paramètres'!$N$6:$N$17,MATCH(F1384,'Paramètres'!$M$6:$M$17,0)),0)))</f>
        <v/>
      </c>
      <c r="AU1384" s="61">
        <f>IF(E1384="","",IFERROR(IF(INDEX('Paramètres'!$K$6:$K$33,MATCH(E1384,'Paramètres'!$I$6:$I$33,0))="Oui",1,0),0))</f>
        <v/>
      </c>
      <c r="AV1384" s="61">
        <f>IF(F1384="","",IFERROR(IF(INDEX('Paramètres'!$O$6:$O$17,MATCH(F1384,'Paramètres'!$M$6:$M$17,0))="Oui",1,0),0))</f>
        <v/>
      </c>
      <c r="AW1384" s="62">
        <f>IF(E1384="","",IF(G1384&lt;&gt;"",G1384,IF(OR(E1384="Proposition envoyée",E1384="Signature"),MAX(0,N(IFERROR(INDEX('Paramètres'!$R$6:$R$15,MATCH(IF(AL1384&lt;&gt;"",AL1384,IFERROR(INDEX('Prospects'!$AN$5:$AN$504,MATCH(C1384,'Prospects'!$C$5:$C$504,0)),"")),'Paramètres'!$Q$6:$Q$15,0)),0))-N(P1384)),0)))</f>
        <v/>
      </c>
      <c r="AX1384" s="61">
        <f>IF(C1384="","",IF(COUNTIF($C$5:C1384,C1384)=1,MAX($AX$4:AX1383)+1,""))</f>
        <v/>
      </c>
      <c r="AY1384" s="61">
        <f>IF(B1384="","",HOUR(B1384))</f>
        <v/>
      </c>
      <c r="AZ1384" s="61">
        <f>IF(A1384="","",MOD(A1384-2,7)+1)</f>
        <v/>
      </c>
      <c r="BA1384" s="60">
        <f>IF(C1384="","",IFERROR(INDEX('Prospects'!$N$5:$N$504,MATCH(C1384,'Prospects'!$C$5:$C$504,0)),""))</f>
        <v/>
      </c>
      <c r="BB1384" s="61">
        <f>IF(AND(C1384&lt;&gt;"",C1384='Fiche prospect'!$C$4),COUNTIF($C$5:C1384,C1384),"")</f>
        <v/>
      </c>
    </row>
    <row r="1385">
      <c r="A1385" s="53" t="n"/>
      <c r="B1385" s="54" t="n"/>
      <c r="C1385" s="55" t="n"/>
      <c r="D1385" s="55" t="n"/>
      <c r="E1385" s="55" t="n"/>
      <c r="F1385" s="55" t="n"/>
      <c r="G1385" s="56" t="n"/>
      <c r="H1385" s="57" t="n"/>
      <c r="I1385" s="55" t="n"/>
      <c r="J1385" s="53" t="n"/>
      <c r="K1385" s="54" t="n"/>
      <c r="L1385" s="55" t="n"/>
      <c r="M1385" s="55" t="n"/>
      <c r="N1385" s="57" t="n"/>
      <c r="O1385" s="55" t="n"/>
      <c r="P1385" s="56" t="n"/>
      <c r="Q1385" s="55" t="n"/>
      <c r="R1385" s="55" t="n"/>
      <c r="S1385" s="55" t="n"/>
      <c r="T1385" s="55" t="n"/>
      <c r="U1385" s="55" t="n"/>
      <c r="V1385" s="55" t="n"/>
      <c r="W1385" s="58" t="n"/>
      <c r="X1385" s="58" t="n"/>
      <c r="Y1385" s="55" t="n"/>
      <c r="Z1385" s="55" t="n"/>
      <c r="AA1385" s="55" t="n"/>
      <c r="AB1385" s="55" t="n"/>
      <c r="AC1385" s="55" t="n"/>
      <c r="AD1385" s="53" t="n"/>
      <c r="AE1385" s="55" t="n"/>
      <c r="AF1385" s="55" t="n"/>
      <c r="AG1385" s="59" t="n"/>
      <c r="AH1385" s="57" t="n"/>
      <c r="AI1385" s="55" t="n"/>
      <c r="AJ1385" s="55" t="n"/>
      <c r="AK1385" s="55" t="n"/>
      <c r="AL1385" s="55" t="n"/>
      <c r="AM1385" s="56" t="n"/>
      <c r="AN1385" s="55" t="n"/>
      <c r="AO1385" s="55" t="n"/>
      <c r="AP1385" s="55" t="n"/>
      <c r="AQ1385" s="55" t="n"/>
      <c r="AR1385" s="60">
        <f>IF(AND(C1385="",E1385=""),"",IF(A1385="","⚠ Date manquante",IF(AND(C1385="",E1385&lt;&gt;"Dépense"),"⚠ Prospect manquant",IF(E1385="","⚠ Action manquante",IF(AND(AU1385=1,D1385=""),"⚠ Canal manquant",IF(AND(W1385&lt;&gt;"",COUNTIFS('Saisie'!$W$5:$W$2004,W1385,'Saisie'!$C$5:$C$2004,"&lt;&gt;"&amp;C1385)&gt;0),"⚠ Numéro déjà utilisé par un autre prospect",IF(AND(J1385&lt;&gt;"",J1385&lt;A1385),"⚠ Relance avant la date de l'action",IF(A1385&gt;TODAY(),"⚠ Date dans le futur","✓"))))))))</f>
        <v/>
      </c>
      <c r="AS1385" s="61">
        <f>IF(AND(A1385="",C1385="",E1385=""),"",ROW())</f>
        <v/>
      </c>
      <c r="AT1385" s="61">
        <f>IF(E1385&amp;F1385="","",MAX(IFERROR(INDEX('Paramètres'!$J$6:$J$33,MATCH(E1385,'Paramètres'!$I$6:$I$33,0)),0),IFERROR(INDEX('Paramètres'!$N$6:$N$17,MATCH(F1385,'Paramètres'!$M$6:$M$17,0)),0)))</f>
        <v/>
      </c>
      <c r="AU1385" s="61">
        <f>IF(E1385="","",IFERROR(IF(INDEX('Paramètres'!$K$6:$K$33,MATCH(E1385,'Paramètres'!$I$6:$I$33,0))="Oui",1,0),0))</f>
        <v/>
      </c>
      <c r="AV1385" s="61">
        <f>IF(F1385="","",IFERROR(IF(INDEX('Paramètres'!$O$6:$O$17,MATCH(F1385,'Paramètres'!$M$6:$M$17,0))="Oui",1,0),0))</f>
        <v/>
      </c>
      <c r="AW1385" s="62">
        <f>IF(E1385="","",IF(G1385&lt;&gt;"",G1385,IF(OR(E1385="Proposition envoyée",E1385="Signature"),MAX(0,N(IFERROR(INDEX('Paramètres'!$R$6:$R$15,MATCH(IF(AL1385&lt;&gt;"",AL1385,IFERROR(INDEX('Prospects'!$AN$5:$AN$504,MATCH(C1385,'Prospects'!$C$5:$C$504,0)),"")),'Paramètres'!$Q$6:$Q$15,0)),0))-N(P1385)),0)))</f>
        <v/>
      </c>
      <c r="AX1385" s="61">
        <f>IF(C1385="","",IF(COUNTIF($C$5:C1385,C1385)=1,MAX($AX$4:AX1384)+1,""))</f>
        <v/>
      </c>
      <c r="AY1385" s="61">
        <f>IF(B1385="","",HOUR(B1385))</f>
        <v/>
      </c>
      <c r="AZ1385" s="61">
        <f>IF(A1385="","",MOD(A1385-2,7)+1)</f>
        <v/>
      </c>
      <c r="BA1385" s="60">
        <f>IF(C1385="","",IFERROR(INDEX('Prospects'!$N$5:$N$504,MATCH(C1385,'Prospects'!$C$5:$C$504,0)),""))</f>
        <v/>
      </c>
      <c r="BB1385" s="61">
        <f>IF(AND(C1385&lt;&gt;"",C1385='Fiche prospect'!$C$4),COUNTIF($C$5:C1385,C1385),"")</f>
        <v/>
      </c>
    </row>
    <row r="1386">
      <c r="A1386" s="53" t="n"/>
      <c r="B1386" s="54" t="n"/>
      <c r="C1386" s="55" t="n"/>
      <c r="D1386" s="55" t="n"/>
      <c r="E1386" s="55" t="n"/>
      <c r="F1386" s="55" t="n"/>
      <c r="G1386" s="56" t="n"/>
      <c r="H1386" s="57" t="n"/>
      <c r="I1386" s="55" t="n"/>
      <c r="J1386" s="53" t="n"/>
      <c r="K1386" s="54" t="n"/>
      <c r="L1386" s="55" t="n"/>
      <c r="M1386" s="55" t="n"/>
      <c r="N1386" s="57" t="n"/>
      <c r="O1386" s="55" t="n"/>
      <c r="P1386" s="56" t="n"/>
      <c r="Q1386" s="55" t="n"/>
      <c r="R1386" s="55" t="n"/>
      <c r="S1386" s="55" t="n"/>
      <c r="T1386" s="55" t="n"/>
      <c r="U1386" s="55" t="n"/>
      <c r="V1386" s="55" t="n"/>
      <c r="W1386" s="58" t="n"/>
      <c r="X1386" s="58" t="n"/>
      <c r="Y1386" s="55" t="n"/>
      <c r="Z1386" s="55" t="n"/>
      <c r="AA1386" s="55" t="n"/>
      <c r="AB1386" s="55" t="n"/>
      <c r="AC1386" s="55" t="n"/>
      <c r="AD1386" s="53" t="n"/>
      <c r="AE1386" s="55" t="n"/>
      <c r="AF1386" s="55" t="n"/>
      <c r="AG1386" s="59" t="n"/>
      <c r="AH1386" s="57" t="n"/>
      <c r="AI1386" s="55" t="n"/>
      <c r="AJ1386" s="55" t="n"/>
      <c r="AK1386" s="55" t="n"/>
      <c r="AL1386" s="55" t="n"/>
      <c r="AM1386" s="56" t="n"/>
      <c r="AN1386" s="55" t="n"/>
      <c r="AO1386" s="55" t="n"/>
      <c r="AP1386" s="55" t="n"/>
      <c r="AQ1386" s="55" t="n"/>
      <c r="AR1386" s="60">
        <f>IF(AND(C1386="",E1386=""),"",IF(A1386="","⚠ Date manquante",IF(AND(C1386="",E1386&lt;&gt;"Dépense"),"⚠ Prospect manquant",IF(E1386="","⚠ Action manquante",IF(AND(AU1386=1,D1386=""),"⚠ Canal manquant",IF(AND(W1386&lt;&gt;"",COUNTIFS('Saisie'!$W$5:$W$2004,W1386,'Saisie'!$C$5:$C$2004,"&lt;&gt;"&amp;C1386)&gt;0),"⚠ Numéro déjà utilisé par un autre prospect",IF(AND(J1386&lt;&gt;"",J1386&lt;A1386),"⚠ Relance avant la date de l'action",IF(A1386&gt;TODAY(),"⚠ Date dans le futur","✓"))))))))</f>
        <v/>
      </c>
      <c r="AS1386" s="61">
        <f>IF(AND(A1386="",C1386="",E1386=""),"",ROW())</f>
        <v/>
      </c>
      <c r="AT1386" s="61">
        <f>IF(E1386&amp;F1386="","",MAX(IFERROR(INDEX('Paramètres'!$J$6:$J$33,MATCH(E1386,'Paramètres'!$I$6:$I$33,0)),0),IFERROR(INDEX('Paramètres'!$N$6:$N$17,MATCH(F1386,'Paramètres'!$M$6:$M$17,0)),0)))</f>
        <v/>
      </c>
      <c r="AU1386" s="61">
        <f>IF(E1386="","",IFERROR(IF(INDEX('Paramètres'!$K$6:$K$33,MATCH(E1386,'Paramètres'!$I$6:$I$33,0))="Oui",1,0),0))</f>
        <v/>
      </c>
      <c r="AV1386" s="61">
        <f>IF(F1386="","",IFERROR(IF(INDEX('Paramètres'!$O$6:$O$17,MATCH(F1386,'Paramètres'!$M$6:$M$17,0))="Oui",1,0),0))</f>
        <v/>
      </c>
      <c r="AW1386" s="62">
        <f>IF(E1386="","",IF(G1386&lt;&gt;"",G1386,IF(OR(E1386="Proposition envoyée",E1386="Signature"),MAX(0,N(IFERROR(INDEX('Paramètres'!$R$6:$R$15,MATCH(IF(AL1386&lt;&gt;"",AL1386,IFERROR(INDEX('Prospects'!$AN$5:$AN$504,MATCH(C1386,'Prospects'!$C$5:$C$504,0)),"")),'Paramètres'!$Q$6:$Q$15,0)),0))-N(P1386)),0)))</f>
        <v/>
      </c>
      <c r="AX1386" s="61">
        <f>IF(C1386="","",IF(COUNTIF($C$5:C1386,C1386)=1,MAX($AX$4:AX1385)+1,""))</f>
        <v/>
      </c>
      <c r="AY1386" s="61">
        <f>IF(B1386="","",HOUR(B1386))</f>
        <v/>
      </c>
      <c r="AZ1386" s="61">
        <f>IF(A1386="","",MOD(A1386-2,7)+1)</f>
        <v/>
      </c>
      <c r="BA1386" s="60">
        <f>IF(C1386="","",IFERROR(INDEX('Prospects'!$N$5:$N$504,MATCH(C1386,'Prospects'!$C$5:$C$504,0)),""))</f>
        <v/>
      </c>
      <c r="BB1386" s="61">
        <f>IF(AND(C1386&lt;&gt;"",C1386='Fiche prospect'!$C$4),COUNTIF($C$5:C1386,C1386),"")</f>
        <v/>
      </c>
    </row>
    <row r="1387">
      <c r="A1387" s="53" t="n"/>
      <c r="B1387" s="54" t="n"/>
      <c r="C1387" s="55" t="n"/>
      <c r="D1387" s="55" t="n"/>
      <c r="E1387" s="55" t="n"/>
      <c r="F1387" s="55" t="n"/>
      <c r="G1387" s="56" t="n"/>
      <c r="H1387" s="57" t="n"/>
      <c r="I1387" s="55" t="n"/>
      <c r="J1387" s="53" t="n"/>
      <c r="K1387" s="54" t="n"/>
      <c r="L1387" s="55" t="n"/>
      <c r="M1387" s="55" t="n"/>
      <c r="N1387" s="57" t="n"/>
      <c r="O1387" s="55" t="n"/>
      <c r="P1387" s="56" t="n"/>
      <c r="Q1387" s="55" t="n"/>
      <c r="R1387" s="55" t="n"/>
      <c r="S1387" s="55" t="n"/>
      <c r="T1387" s="55" t="n"/>
      <c r="U1387" s="55" t="n"/>
      <c r="V1387" s="55" t="n"/>
      <c r="W1387" s="58" t="n"/>
      <c r="X1387" s="58" t="n"/>
      <c r="Y1387" s="55" t="n"/>
      <c r="Z1387" s="55" t="n"/>
      <c r="AA1387" s="55" t="n"/>
      <c r="AB1387" s="55" t="n"/>
      <c r="AC1387" s="55" t="n"/>
      <c r="AD1387" s="53" t="n"/>
      <c r="AE1387" s="55" t="n"/>
      <c r="AF1387" s="55" t="n"/>
      <c r="AG1387" s="59" t="n"/>
      <c r="AH1387" s="57" t="n"/>
      <c r="AI1387" s="55" t="n"/>
      <c r="AJ1387" s="55" t="n"/>
      <c r="AK1387" s="55" t="n"/>
      <c r="AL1387" s="55" t="n"/>
      <c r="AM1387" s="56" t="n"/>
      <c r="AN1387" s="55" t="n"/>
      <c r="AO1387" s="55" t="n"/>
      <c r="AP1387" s="55" t="n"/>
      <c r="AQ1387" s="55" t="n"/>
      <c r="AR1387" s="60">
        <f>IF(AND(C1387="",E1387=""),"",IF(A1387="","⚠ Date manquante",IF(AND(C1387="",E1387&lt;&gt;"Dépense"),"⚠ Prospect manquant",IF(E1387="","⚠ Action manquante",IF(AND(AU1387=1,D1387=""),"⚠ Canal manquant",IF(AND(W1387&lt;&gt;"",COUNTIFS('Saisie'!$W$5:$W$2004,W1387,'Saisie'!$C$5:$C$2004,"&lt;&gt;"&amp;C1387)&gt;0),"⚠ Numéro déjà utilisé par un autre prospect",IF(AND(J1387&lt;&gt;"",J1387&lt;A1387),"⚠ Relance avant la date de l'action",IF(A1387&gt;TODAY(),"⚠ Date dans le futur","✓"))))))))</f>
        <v/>
      </c>
      <c r="AS1387" s="61">
        <f>IF(AND(A1387="",C1387="",E1387=""),"",ROW())</f>
        <v/>
      </c>
      <c r="AT1387" s="61">
        <f>IF(E1387&amp;F1387="","",MAX(IFERROR(INDEX('Paramètres'!$J$6:$J$33,MATCH(E1387,'Paramètres'!$I$6:$I$33,0)),0),IFERROR(INDEX('Paramètres'!$N$6:$N$17,MATCH(F1387,'Paramètres'!$M$6:$M$17,0)),0)))</f>
        <v/>
      </c>
      <c r="AU1387" s="61">
        <f>IF(E1387="","",IFERROR(IF(INDEX('Paramètres'!$K$6:$K$33,MATCH(E1387,'Paramètres'!$I$6:$I$33,0))="Oui",1,0),0))</f>
        <v/>
      </c>
      <c r="AV1387" s="61">
        <f>IF(F1387="","",IFERROR(IF(INDEX('Paramètres'!$O$6:$O$17,MATCH(F1387,'Paramètres'!$M$6:$M$17,0))="Oui",1,0),0))</f>
        <v/>
      </c>
      <c r="AW1387" s="62">
        <f>IF(E1387="","",IF(G1387&lt;&gt;"",G1387,IF(OR(E1387="Proposition envoyée",E1387="Signature"),MAX(0,N(IFERROR(INDEX('Paramètres'!$R$6:$R$15,MATCH(IF(AL1387&lt;&gt;"",AL1387,IFERROR(INDEX('Prospects'!$AN$5:$AN$504,MATCH(C1387,'Prospects'!$C$5:$C$504,0)),"")),'Paramètres'!$Q$6:$Q$15,0)),0))-N(P1387)),0)))</f>
        <v/>
      </c>
      <c r="AX1387" s="61">
        <f>IF(C1387="","",IF(COUNTIF($C$5:C1387,C1387)=1,MAX($AX$4:AX1386)+1,""))</f>
        <v/>
      </c>
      <c r="AY1387" s="61">
        <f>IF(B1387="","",HOUR(B1387))</f>
        <v/>
      </c>
      <c r="AZ1387" s="61">
        <f>IF(A1387="","",MOD(A1387-2,7)+1)</f>
        <v/>
      </c>
      <c r="BA1387" s="60">
        <f>IF(C1387="","",IFERROR(INDEX('Prospects'!$N$5:$N$504,MATCH(C1387,'Prospects'!$C$5:$C$504,0)),""))</f>
        <v/>
      </c>
      <c r="BB1387" s="61">
        <f>IF(AND(C1387&lt;&gt;"",C1387='Fiche prospect'!$C$4),COUNTIF($C$5:C1387,C1387),"")</f>
        <v/>
      </c>
    </row>
    <row r="1388">
      <c r="A1388" s="53" t="n"/>
      <c r="B1388" s="54" t="n"/>
      <c r="C1388" s="55" t="n"/>
      <c r="D1388" s="55" t="n"/>
      <c r="E1388" s="55" t="n"/>
      <c r="F1388" s="55" t="n"/>
      <c r="G1388" s="56" t="n"/>
      <c r="H1388" s="57" t="n"/>
      <c r="I1388" s="55" t="n"/>
      <c r="J1388" s="53" t="n"/>
      <c r="K1388" s="54" t="n"/>
      <c r="L1388" s="55" t="n"/>
      <c r="M1388" s="55" t="n"/>
      <c r="N1388" s="57" t="n"/>
      <c r="O1388" s="55" t="n"/>
      <c r="P1388" s="56" t="n"/>
      <c r="Q1388" s="55" t="n"/>
      <c r="R1388" s="55" t="n"/>
      <c r="S1388" s="55" t="n"/>
      <c r="T1388" s="55" t="n"/>
      <c r="U1388" s="55" t="n"/>
      <c r="V1388" s="55" t="n"/>
      <c r="W1388" s="58" t="n"/>
      <c r="X1388" s="58" t="n"/>
      <c r="Y1388" s="55" t="n"/>
      <c r="Z1388" s="55" t="n"/>
      <c r="AA1388" s="55" t="n"/>
      <c r="AB1388" s="55" t="n"/>
      <c r="AC1388" s="55" t="n"/>
      <c r="AD1388" s="53" t="n"/>
      <c r="AE1388" s="55" t="n"/>
      <c r="AF1388" s="55" t="n"/>
      <c r="AG1388" s="59" t="n"/>
      <c r="AH1388" s="57" t="n"/>
      <c r="AI1388" s="55" t="n"/>
      <c r="AJ1388" s="55" t="n"/>
      <c r="AK1388" s="55" t="n"/>
      <c r="AL1388" s="55" t="n"/>
      <c r="AM1388" s="56" t="n"/>
      <c r="AN1388" s="55" t="n"/>
      <c r="AO1388" s="55" t="n"/>
      <c r="AP1388" s="55" t="n"/>
      <c r="AQ1388" s="55" t="n"/>
      <c r="AR1388" s="60">
        <f>IF(AND(C1388="",E1388=""),"",IF(A1388="","⚠ Date manquante",IF(AND(C1388="",E1388&lt;&gt;"Dépense"),"⚠ Prospect manquant",IF(E1388="","⚠ Action manquante",IF(AND(AU1388=1,D1388=""),"⚠ Canal manquant",IF(AND(W1388&lt;&gt;"",COUNTIFS('Saisie'!$W$5:$W$2004,W1388,'Saisie'!$C$5:$C$2004,"&lt;&gt;"&amp;C1388)&gt;0),"⚠ Numéro déjà utilisé par un autre prospect",IF(AND(J1388&lt;&gt;"",J1388&lt;A1388),"⚠ Relance avant la date de l'action",IF(A1388&gt;TODAY(),"⚠ Date dans le futur","✓"))))))))</f>
        <v/>
      </c>
      <c r="AS1388" s="61">
        <f>IF(AND(A1388="",C1388="",E1388=""),"",ROW())</f>
        <v/>
      </c>
      <c r="AT1388" s="61">
        <f>IF(E1388&amp;F1388="","",MAX(IFERROR(INDEX('Paramètres'!$J$6:$J$33,MATCH(E1388,'Paramètres'!$I$6:$I$33,0)),0),IFERROR(INDEX('Paramètres'!$N$6:$N$17,MATCH(F1388,'Paramètres'!$M$6:$M$17,0)),0)))</f>
        <v/>
      </c>
      <c r="AU1388" s="61">
        <f>IF(E1388="","",IFERROR(IF(INDEX('Paramètres'!$K$6:$K$33,MATCH(E1388,'Paramètres'!$I$6:$I$33,0))="Oui",1,0),0))</f>
        <v/>
      </c>
      <c r="AV1388" s="61">
        <f>IF(F1388="","",IFERROR(IF(INDEX('Paramètres'!$O$6:$O$17,MATCH(F1388,'Paramètres'!$M$6:$M$17,0))="Oui",1,0),0))</f>
        <v/>
      </c>
      <c r="AW1388" s="62">
        <f>IF(E1388="","",IF(G1388&lt;&gt;"",G1388,IF(OR(E1388="Proposition envoyée",E1388="Signature"),MAX(0,N(IFERROR(INDEX('Paramètres'!$R$6:$R$15,MATCH(IF(AL1388&lt;&gt;"",AL1388,IFERROR(INDEX('Prospects'!$AN$5:$AN$504,MATCH(C1388,'Prospects'!$C$5:$C$504,0)),"")),'Paramètres'!$Q$6:$Q$15,0)),0))-N(P1388)),0)))</f>
        <v/>
      </c>
      <c r="AX1388" s="61">
        <f>IF(C1388="","",IF(COUNTIF($C$5:C1388,C1388)=1,MAX($AX$4:AX1387)+1,""))</f>
        <v/>
      </c>
      <c r="AY1388" s="61">
        <f>IF(B1388="","",HOUR(B1388))</f>
        <v/>
      </c>
      <c r="AZ1388" s="61">
        <f>IF(A1388="","",MOD(A1388-2,7)+1)</f>
        <v/>
      </c>
      <c r="BA1388" s="60">
        <f>IF(C1388="","",IFERROR(INDEX('Prospects'!$N$5:$N$504,MATCH(C1388,'Prospects'!$C$5:$C$504,0)),""))</f>
        <v/>
      </c>
      <c r="BB1388" s="61">
        <f>IF(AND(C1388&lt;&gt;"",C1388='Fiche prospect'!$C$4),COUNTIF($C$5:C1388,C1388),"")</f>
        <v/>
      </c>
    </row>
    <row r="1389">
      <c r="A1389" s="53" t="n"/>
      <c r="B1389" s="54" t="n"/>
      <c r="C1389" s="55" t="n"/>
      <c r="D1389" s="55" t="n"/>
      <c r="E1389" s="55" t="n"/>
      <c r="F1389" s="55" t="n"/>
      <c r="G1389" s="56" t="n"/>
      <c r="H1389" s="57" t="n"/>
      <c r="I1389" s="55" t="n"/>
      <c r="J1389" s="53" t="n"/>
      <c r="K1389" s="54" t="n"/>
      <c r="L1389" s="55" t="n"/>
      <c r="M1389" s="55" t="n"/>
      <c r="N1389" s="57" t="n"/>
      <c r="O1389" s="55" t="n"/>
      <c r="P1389" s="56" t="n"/>
      <c r="Q1389" s="55" t="n"/>
      <c r="R1389" s="55" t="n"/>
      <c r="S1389" s="55" t="n"/>
      <c r="T1389" s="55" t="n"/>
      <c r="U1389" s="55" t="n"/>
      <c r="V1389" s="55" t="n"/>
      <c r="W1389" s="58" t="n"/>
      <c r="X1389" s="58" t="n"/>
      <c r="Y1389" s="55" t="n"/>
      <c r="Z1389" s="55" t="n"/>
      <c r="AA1389" s="55" t="n"/>
      <c r="AB1389" s="55" t="n"/>
      <c r="AC1389" s="55" t="n"/>
      <c r="AD1389" s="53" t="n"/>
      <c r="AE1389" s="55" t="n"/>
      <c r="AF1389" s="55" t="n"/>
      <c r="AG1389" s="59" t="n"/>
      <c r="AH1389" s="57" t="n"/>
      <c r="AI1389" s="55" t="n"/>
      <c r="AJ1389" s="55" t="n"/>
      <c r="AK1389" s="55" t="n"/>
      <c r="AL1389" s="55" t="n"/>
      <c r="AM1389" s="56" t="n"/>
      <c r="AN1389" s="55" t="n"/>
      <c r="AO1389" s="55" t="n"/>
      <c r="AP1389" s="55" t="n"/>
      <c r="AQ1389" s="55" t="n"/>
      <c r="AR1389" s="60">
        <f>IF(AND(C1389="",E1389=""),"",IF(A1389="","⚠ Date manquante",IF(AND(C1389="",E1389&lt;&gt;"Dépense"),"⚠ Prospect manquant",IF(E1389="","⚠ Action manquante",IF(AND(AU1389=1,D1389=""),"⚠ Canal manquant",IF(AND(W1389&lt;&gt;"",COUNTIFS('Saisie'!$W$5:$W$2004,W1389,'Saisie'!$C$5:$C$2004,"&lt;&gt;"&amp;C1389)&gt;0),"⚠ Numéro déjà utilisé par un autre prospect",IF(AND(J1389&lt;&gt;"",J1389&lt;A1389),"⚠ Relance avant la date de l'action",IF(A1389&gt;TODAY(),"⚠ Date dans le futur","✓"))))))))</f>
        <v/>
      </c>
      <c r="AS1389" s="61">
        <f>IF(AND(A1389="",C1389="",E1389=""),"",ROW())</f>
        <v/>
      </c>
      <c r="AT1389" s="61">
        <f>IF(E1389&amp;F1389="","",MAX(IFERROR(INDEX('Paramètres'!$J$6:$J$33,MATCH(E1389,'Paramètres'!$I$6:$I$33,0)),0),IFERROR(INDEX('Paramètres'!$N$6:$N$17,MATCH(F1389,'Paramètres'!$M$6:$M$17,0)),0)))</f>
        <v/>
      </c>
      <c r="AU1389" s="61">
        <f>IF(E1389="","",IFERROR(IF(INDEX('Paramètres'!$K$6:$K$33,MATCH(E1389,'Paramètres'!$I$6:$I$33,0))="Oui",1,0),0))</f>
        <v/>
      </c>
      <c r="AV1389" s="61">
        <f>IF(F1389="","",IFERROR(IF(INDEX('Paramètres'!$O$6:$O$17,MATCH(F1389,'Paramètres'!$M$6:$M$17,0))="Oui",1,0),0))</f>
        <v/>
      </c>
      <c r="AW1389" s="62">
        <f>IF(E1389="","",IF(G1389&lt;&gt;"",G1389,IF(OR(E1389="Proposition envoyée",E1389="Signature"),MAX(0,N(IFERROR(INDEX('Paramètres'!$R$6:$R$15,MATCH(IF(AL1389&lt;&gt;"",AL1389,IFERROR(INDEX('Prospects'!$AN$5:$AN$504,MATCH(C1389,'Prospects'!$C$5:$C$504,0)),"")),'Paramètres'!$Q$6:$Q$15,0)),0))-N(P1389)),0)))</f>
        <v/>
      </c>
      <c r="AX1389" s="61">
        <f>IF(C1389="","",IF(COUNTIF($C$5:C1389,C1389)=1,MAX($AX$4:AX1388)+1,""))</f>
        <v/>
      </c>
      <c r="AY1389" s="61">
        <f>IF(B1389="","",HOUR(B1389))</f>
        <v/>
      </c>
      <c r="AZ1389" s="61">
        <f>IF(A1389="","",MOD(A1389-2,7)+1)</f>
        <v/>
      </c>
      <c r="BA1389" s="60">
        <f>IF(C1389="","",IFERROR(INDEX('Prospects'!$N$5:$N$504,MATCH(C1389,'Prospects'!$C$5:$C$504,0)),""))</f>
        <v/>
      </c>
      <c r="BB1389" s="61">
        <f>IF(AND(C1389&lt;&gt;"",C1389='Fiche prospect'!$C$4),COUNTIF($C$5:C1389,C1389),"")</f>
        <v/>
      </c>
    </row>
    <row r="1390">
      <c r="A1390" s="53" t="n"/>
      <c r="B1390" s="54" t="n"/>
      <c r="C1390" s="55" t="n"/>
      <c r="D1390" s="55" t="n"/>
      <c r="E1390" s="55" t="n"/>
      <c r="F1390" s="55" t="n"/>
      <c r="G1390" s="56" t="n"/>
      <c r="H1390" s="57" t="n"/>
      <c r="I1390" s="55" t="n"/>
      <c r="J1390" s="53" t="n"/>
      <c r="K1390" s="54" t="n"/>
      <c r="L1390" s="55" t="n"/>
      <c r="M1390" s="55" t="n"/>
      <c r="N1390" s="57" t="n"/>
      <c r="O1390" s="55" t="n"/>
      <c r="P1390" s="56" t="n"/>
      <c r="Q1390" s="55" t="n"/>
      <c r="R1390" s="55" t="n"/>
      <c r="S1390" s="55" t="n"/>
      <c r="T1390" s="55" t="n"/>
      <c r="U1390" s="55" t="n"/>
      <c r="V1390" s="55" t="n"/>
      <c r="W1390" s="58" t="n"/>
      <c r="X1390" s="58" t="n"/>
      <c r="Y1390" s="55" t="n"/>
      <c r="Z1390" s="55" t="n"/>
      <c r="AA1390" s="55" t="n"/>
      <c r="AB1390" s="55" t="n"/>
      <c r="AC1390" s="55" t="n"/>
      <c r="AD1390" s="53" t="n"/>
      <c r="AE1390" s="55" t="n"/>
      <c r="AF1390" s="55" t="n"/>
      <c r="AG1390" s="59" t="n"/>
      <c r="AH1390" s="57" t="n"/>
      <c r="AI1390" s="55" t="n"/>
      <c r="AJ1390" s="55" t="n"/>
      <c r="AK1390" s="55" t="n"/>
      <c r="AL1390" s="55" t="n"/>
      <c r="AM1390" s="56" t="n"/>
      <c r="AN1390" s="55" t="n"/>
      <c r="AO1390" s="55" t="n"/>
      <c r="AP1390" s="55" t="n"/>
      <c r="AQ1390" s="55" t="n"/>
      <c r="AR1390" s="60">
        <f>IF(AND(C1390="",E1390=""),"",IF(A1390="","⚠ Date manquante",IF(AND(C1390="",E1390&lt;&gt;"Dépense"),"⚠ Prospect manquant",IF(E1390="","⚠ Action manquante",IF(AND(AU1390=1,D1390=""),"⚠ Canal manquant",IF(AND(W1390&lt;&gt;"",COUNTIFS('Saisie'!$W$5:$W$2004,W1390,'Saisie'!$C$5:$C$2004,"&lt;&gt;"&amp;C1390)&gt;0),"⚠ Numéro déjà utilisé par un autre prospect",IF(AND(J1390&lt;&gt;"",J1390&lt;A1390),"⚠ Relance avant la date de l'action",IF(A1390&gt;TODAY(),"⚠ Date dans le futur","✓"))))))))</f>
        <v/>
      </c>
      <c r="AS1390" s="61">
        <f>IF(AND(A1390="",C1390="",E1390=""),"",ROW())</f>
        <v/>
      </c>
      <c r="AT1390" s="61">
        <f>IF(E1390&amp;F1390="","",MAX(IFERROR(INDEX('Paramètres'!$J$6:$J$33,MATCH(E1390,'Paramètres'!$I$6:$I$33,0)),0),IFERROR(INDEX('Paramètres'!$N$6:$N$17,MATCH(F1390,'Paramètres'!$M$6:$M$17,0)),0)))</f>
        <v/>
      </c>
      <c r="AU1390" s="61">
        <f>IF(E1390="","",IFERROR(IF(INDEX('Paramètres'!$K$6:$K$33,MATCH(E1390,'Paramètres'!$I$6:$I$33,0))="Oui",1,0),0))</f>
        <v/>
      </c>
      <c r="AV1390" s="61">
        <f>IF(F1390="","",IFERROR(IF(INDEX('Paramètres'!$O$6:$O$17,MATCH(F1390,'Paramètres'!$M$6:$M$17,0))="Oui",1,0),0))</f>
        <v/>
      </c>
      <c r="AW1390" s="62">
        <f>IF(E1390="","",IF(G1390&lt;&gt;"",G1390,IF(OR(E1390="Proposition envoyée",E1390="Signature"),MAX(0,N(IFERROR(INDEX('Paramètres'!$R$6:$R$15,MATCH(IF(AL1390&lt;&gt;"",AL1390,IFERROR(INDEX('Prospects'!$AN$5:$AN$504,MATCH(C1390,'Prospects'!$C$5:$C$504,0)),"")),'Paramètres'!$Q$6:$Q$15,0)),0))-N(P1390)),0)))</f>
        <v/>
      </c>
      <c r="AX1390" s="61">
        <f>IF(C1390="","",IF(COUNTIF($C$5:C1390,C1390)=1,MAX($AX$4:AX1389)+1,""))</f>
        <v/>
      </c>
      <c r="AY1390" s="61">
        <f>IF(B1390="","",HOUR(B1390))</f>
        <v/>
      </c>
      <c r="AZ1390" s="61">
        <f>IF(A1390="","",MOD(A1390-2,7)+1)</f>
        <v/>
      </c>
      <c r="BA1390" s="60">
        <f>IF(C1390="","",IFERROR(INDEX('Prospects'!$N$5:$N$504,MATCH(C1390,'Prospects'!$C$5:$C$504,0)),""))</f>
        <v/>
      </c>
      <c r="BB1390" s="61">
        <f>IF(AND(C1390&lt;&gt;"",C1390='Fiche prospect'!$C$4),COUNTIF($C$5:C1390,C1390),"")</f>
        <v/>
      </c>
    </row>
    <row r="1391">
      <c r="A1391" s="53" t="n"/>
      <c r="B1391" s="54" t="n"/>
      <c r="C1391" s="55" t="n"/>
      <c r="D1391" s="55" t="n"/>
      <c r="E1391" s="55" t="n"/>
      <c r="F1391" s="55" t="n"/>
      <c r="G1391" s="56" t="n"/>
      <c r="H1391" s="57" t="n"/>
      <c r="I1391" s="55" t="n"/>
      <c r="J1391" s="53" t="n"/>
      <c r="K1391" s="54" t="n"/>
      <c r="L1391" s="55" t="n"/>
      <c r="M1391" s="55" t="n"/>
      <c r="N1391" s="57" t="n"/>
      <c r="O1391" s="55" t="n"/>
      <c r="P1391" s="56" t="n"/>
      <c r="Q1391" s="55" t="n"/>
      <c r="R1391" s="55" t="n"/>
      <c r="S1391" s="55" t="n"/>
      <c r="T1391" s="55" t="n"/>
      <c r="U1391" s="55" t="n"/>
      <c r="V1391" s="55" t="n"/>
      <c r="W1391" s="58" t="n"/>
      <c r="X1391" s="58" t="n"/>
      <c r="Y1391" s="55" t="n"/>
      <c r="Z1391" s="55" t="n"/>
      <c r="AA1391" s="55" t="n"/>
      <c r="AB1391" s="55" t="n"/>
      <c r="AC1391" s="55" t="n"/>
      <c r="AD1391" s="53" t="n"/>
      <c r="AE1391" s="55" t="n"/>
      <c r="AF1391" s="55" t="n"/>
      <c r="AG1391" s="59" t="n"/>
      <c r="AH1391" s="57" t="n"/>
      <c r="AI1391" s="55" t="n"/>
      <c r="AJ1391" s="55" t="n"/>
      <c r="AK1391" s="55" t="n"/>
      <c r="AL1391" s="55" t="n"/>
      <c r="AM1391" s="56" t="n"/>
      <c r="AN1391" s="55" t="n"/>
      <c r="AO1391" s="55" t="n"/>
      <c r="AP1391" s="55" t="n"/>
      <c r="AQ1391" s="55" t="n"/>
      <c r="AR1391" s="60">
        <f>IF(AND(C1391="",E1391=""),"",IF(A1391="","⚠ Date manquante",IF(AND(C1391="",E1391&lt;&gt;"Dépense"),"⚠ Prospect manquant",IF(E1391="","⚠ Action manquante",IF(AND(AU1391=1,D1391=""),"⚠ Canal manquant",IF(AND(W1391&lt;&gt;"",COUNTIFS('Saisie'!$W$5:$W$2004,W1391,'Saisie'!$C$5:$C$2004,"&lt;&gt;"&amp;C1391)&gt;0),"⚠ Numéro déjà utilisé par un autre prospect",IF(AND(J1391&lt;&gt;"",J1391&lt;A1391),"⚠ Relance avant la date de l'action",IF(A1391&gt;TODAY(),"⚠ Date dans le futur","✓"))))))))</f>
        <v/>
      </c>
      <c r="AS1391" s="61">
        <f>IF(AND(A1391="",C1391="",E1391=""),"",ROW())</f>
        <v/>
      </c>
      <c r="AT1391" s="61">
        <f>IF(E1391&amp;F1391="","",MAX(IFERROR(INDEX('Paramètres'!$J$6:$J$33,MATCH(E1391,'Paramètres'!$I$6:$I$33,0)),0),IFERROR(INDEX('Paramètres'!$N$6:$N$17,MATCH(F1391,'Paramètres'!$M$6:$M$17,0)),0)))</f>
        <v/>
      </c>
      <c r="AU1391" s="61">
        <f>IF(E1391="","",IFERROR(IF(INDEX('Paramètres'!$K$6:$K$33,MATCH(E1391,'Paramètres'!$I$6:$I$33,0))="Oui",1,0),0))</f>
        <v/>
      </c>
      <c r="AV1391" s="61">
        <f>IF(F1391="","",IFERROR(IF(INDEX('Paramètres'!$O$6:$O$17,MATCH(F1391,'Paramètres'!$M$6:$M$17,0))="Oui",1,0),0))</f>
        <v/>
      </c>
      <c r="AW1391" s="62">
        <f>IF(E1391="","",IF(G1391&lt;&gt;"",G1391,IF(OR(E1391="Proposition envoyée",E1391="Signature"),MAX(0,N(IFERROR(INDEX('Paramètres'!$R$6:$R$15,MATCH(IF(AL1391&lt;&gt;"",AL1391,IFERROR(INDEX('Prospects'!$AN$5:$AN$504,MATCH(C1391,'Prospects'!$C$5:$C$504,0)),"")),'Paramètres'!$Q$6:$Q$15,0)),0))-N(P1391)),0)))</f>
        <v/>
      </c>
      <c r="AX1391" s="61">
        <f>IF(C1391="","",IF(COUNTIF($C$5:C1391,C1391)=1,MAX($AX$4:AX1390)+1,""))</f>
        <v/>
      </c>
      <c r="AY1391" s="61">
        <f>IF(B1391="","",HOUR(B1391))</f>
        <v/>
      </c>
      <c r="AZ1391" s="61">
        <f>IF(A1391="","",MOD(A1391-2,7)+1)</f>
        <v/>
      </c>
      <c r="BA1391" s="60">
        <f>IF(C1391="","",IFERROR(INDEX('Prospects'!$N$5:$N$504,MATCH(C1391,'Prospects'!$C$5:$C$504,0)),""))</f>
        <v/>
      </c>
      <c r="BB1391" s="61">
        <f>IF(AND(C1391&lt;&gt;"",C1391='Fiche prospect'!$C$4),COUNTIF($C$5:C1391,C1391),"")</f>
        <v/>
      </c>
    </row>
    <row r="1392">
      <c r="A1392" s="53" t="n"/>
      <c r="B1392" s="54" t="n"/>
      <c r="C1392" s="55" t="n"/>
      <c r="D1392" s="55" t="n"/>
      <c r="E1392" s="55" t="n"/>
      <c r="F1392" s="55" t="n"/>
      <c r="G1392" s="56" t="n"/>
      <c r="H1392" s="57" t="n"/>
      <c r="I1392" s="55" t="n"/>
      <c r="J1392" s="53" t="n"/>
      <c r="K1392" s="54" t="n"/>
      <c r="L1392" s="55" t="n"/>
      <c r="M1392" s="55" t="n"/>
      <c r="N1392" s="57" t="n"/>
      <c r="O1392" s="55" t="n"/>
      <c r="P1392" s="56" t="n"/>
      <c r="Q1392" s="55" t="n"/>
      <c r="R1392" s="55" t="n"/>
      <c r="S1392" s="55" t="n"/>
      <c r="T1392" s="55" t="n"/>
      <c r="U1392" s="55" t="n"/>
      <c r="V1392" s="55" t="n"/>
      <c r="W1392" s="58" t="n"/>
      <c r="X1392" s="58" t="n"/>
      <c r="Y1392" s="55" t="n"/>
      <c r="Z1392" s="55" t="n"/>
      <c r="AA1392" s="55" t="n"/>
      <c r="AB1392" s="55" t="n"/>
      <c r="AC1392" s="55" t="n"/>
      <c r="AD1392" s="53" t="n"/>
      <c r="AE1392" s="55" t="n"/>
      <c r="AF1392" s="55" t="n"/>
      <c r="AG1392" s="59" t="n"/>
      <c r="AH1392" s="57" t="n"/>
      <c r="AI1392" s="55" t="n"/>
      <c r="AJ1392" s="55" t="n"/>
      <c r="AK1392" s="55" t="n"/>
      <c r="AL1392" s="55" t="n"/>
      <c r="AM1392" s="56" t="n"/>
      <c r="AN1392" s="55" t="n"/>
      <c r="AO1392" s="55" t="n"/>
      <c r="AP1392" s="55" t="n"/>
      <c r="AQ1392" s="55" t="n"/>
      <c r="AR1392" s="60">
        <f>IF(AND(C1392="",E1392=""),"",IF(A1392="","⚠ Date manquante",IF(AND(C1392="",E1392&lt;&gt;"Dépense"),"⚠ Prospect manquant",IF(E1392="","⚠ Action manquante",IF(AND(AU1392=1,D1392=""),"⚠ Canal manquant",IF(AND(W1392&lt;&gt;"",COUNTIFS('Saisie'!$W$5:$W$2004,W1392,'Saisie'!$C$5:$C$2004,"&lt;&gt;"&amp;C1392)&gt;0),"⚠ Numéro déjà utilisé par un autre prospect",IF(AND(J1392&lt;&gt;"",J1392&lt;A1392),"⚠ Relance avant la date de l'action",IF(A1392&gt;TODAY(),"⚠ Date dans le futur","✓"))))))))</f>
        <v/>
      </c>
      <c r="AS1392" s="61">
        <f>IF(AND(A1392="",C1392="",E1392=""),"",ROW())</f>
        <v/>
      </c>
      <c r="AT1392" s="61">
        <f>IF(E1392&amp;F1392="","",MAX(IFERROR(INDEX('Paramètres'!$J$6:$J$33,MATCH(E1392,'Paramètres'!$I$6:$I$33,0)),0),IFERROR(INDEX('Paramètres'!$N$6:$N$17,MATCH(F1392,'Paramètres'!$M$6:$M$17,0)),0)))</f>
        <v/>
      </c>
      <c r="AU1392" s="61">
        <f>IF(E1392="","",IFERROR(IF(INDEX('Paramètres'!$K$6:$K$33,MATCH(E1392,'Paramètres'!$I$6:$I$33,0))="Oui",1,0),0))</f>
        <v/>
      </c>
      <c r="AV1392" s="61">
        <f>IF(F1392="","",IFERROR(IF(INDEX('Paramètres'!$O$6:$O$17,MATCH(F1392,'Paramètres'!$M$6:$M$17,0))="Oui",1,0),0))</f>
        <v/>
      </c>
      <c r="AW1392" s="62">
        <f>IF(E1392="","",IF(G1392&lt;&gt;"",G1392,IF(OR(E1392="Proposition envoyée",E1392="Signature"),MAX(0,N(IFERROR(INDEX('Paramètres'!$R$6:$R$15,MATCH(IF(AL1392&lt;&gt;"",AL1392,IFERROR(INDEX('Prospects'!$AN$5:$AN$504,MATCH(C1392,'Prospects'!$C$5:$C$504,0)),"")),'Paramètres'!$Q$6:$Q$15,0)),0))-N(P1392)),0)))</f>
        <v/>
      </c>
      <c r="AX1392" s="61">
        <f>IF(C1392="","",IF(COUNTIF($C$5:C1392,C1392)=1,MAX($AX$4:AX1391)+1,""))</f>
        <v/>
      </c>
      <c r="AY1392" s="61">
        <f>IF(B1392="","",HOUR(B1392))</f>
        <v/>
      </c>
      <c r="AZ1392" s="61">
        <f>IF(A1392="","",MOD(A1392-2,7)+1)</f>
        <v/>
      </c>
      <c r="BA1392" s="60">
        <f>IF(C1392="","",IFERROR(INDEX('Prospects'!$N$5:$N$504,MATCH(C1392,'Prospects'!$C$5:$C$504,0)),""))</f>
        <v/>
      </c>
      <c r="BB1392" s="61">
        <f>IF(AND(C1392&lt;&gt;"",C1392='Fiche prospect'!$C$4),COUNTIF($C$5:C1392,C1392),"")</f>
        <v/>
      </c>
    </row>
    <row r="1393">
      <c r="A1393" s="53" t="n"/>
      <c r="B1393" s="54" t="n"/>
      <c r="C1393" s="55" t="n"/>
      <c r="D1393" s="55" t="n"/>
      <c r="E1393" s="55" t="n"/>
      <c r="F1393" s="55" t="n"/>
      <c r="G1393" s="56" t="n"/>
      <c r="H1393" s="57" t="n"/>
      <c r="I1393" s="55" t="n"/>
      <c r="J1393" s="53" t="n"/>
      <c r="K1393" s="54" t="n"/>
      <c r="L1393" s="55" t="n"/>
      <c r="M1393" s="55" t="n"/>
      <c r="N1393" s="57" t="n"/>
      <c r="O1393" s="55" t="n"/>
      <c r="P1393" s="56" t="n"/>
      <c r="Q1393" s="55" t="n"/>
      <c r="R1393" s="55" t="n"/>
      <c r="S1393" s="55" t="n"/>
      <c r="T1393" s="55" t="n"/>
      <c r="U1393" s="55" t="n"/>
      <c r="V1393" s="55" t="n"/>
      <c r="W1393" s="58" t="n"/>
      <c r="X1393" s="58" t="n"/>
      <c r="Y1393" s="55" t="n"/>
      <c r="Z1393" s="55" t="n"/>
      <c r="AA1393" s="55" t="n"/>
      <c r="AB1393" s="55" t="n"/>
      <c r="AC1393" s="55" t="n"/>
      <c r="AD1393" s="53" t="n"/>
      <c r="AE1393" s="55" t="n"/>
      <c r="AF1393" s="55" t="n"/>
      <c r="AG1393" s="59" t="n"/>
      <c r="AH1393" s="57" t="n"/>
      <c r="AI1393" s="55" t="n"/>
      <c r="AJ1393" s="55" t="n"/>
      <c r="AK1393" s="55" t="n"/>
      <c r="AL1393" s="55" t="n"/>
      <c r="AM1393" s="56" t="n"/>
      <c r="AN1393" s="55" t="n"/>
      <c r="AO1393" s="55" t="n"/>
      <c r="AP1393" s="55" t="n"/>
      <c r="AQ1393" s="55" t="n"/>
      <c r="AR1393" s="60">
        <f>IF(AND(C1393="",E1393=""),"",IF(A1393="","⚠ Date manquante",IF(AND(C1393="",E1393&lt;&gt;"Dépense"),"⚠ Prospect manquant",IF(E1393="","⚠ Action manquante",IF(AND(AU1393=1,D1393=""),"⚠ Canal manquant",IF(AND(W1393&lt;&gt;"",COUNTIFS('Saisie'!$W$5:$W$2004,W1393,'Saisie'!$C$5:$C$2004,"&lt;&gt;"&amp;C1393)&gt;0),"⚠ Numéro déjà utilisé par un autre prospect",IF(AND(J1393&lt;&gt;"",J1393&lt;A1393),"⚠ Relance avant la date de l'action",IF(A1393&gt;TODAY(),"⚠ Date dans le futur","✓"))))))))</f>
        <v/>
      </c>
      <c r="AS1393" s="61">
        <f>IF(AND(A1393="",C1393="",E1393=""),"",ROW())</f>
        <v/>
      </c>
      <c r="AT1393" s="61">
        <f>IF(E1393&amp;F1393="","",MAX(IFERROR(INDEX('Paramètres'!$J$6:$J$33,MATCH(E1393,'Paramètres'!$I$6:$I$33,0)),0),IFERROR(INDEX('Paramètres'!$N$6:$N$17,MATCH(F1393,'Paramètres'!$M$6:$M$17,0)),0)))</f>
        <v/>
      </c>
      <c r="AU1393" s="61">
        <f>IF(E1393="","",IFERROR(IF(INDEX('Paramètres'!$K$6:$K$33,MATCH(E1393,'Paramètres'!$I$6:$I$33,0))="Oui",1,0),0))</f>
        <v/>
      </c>
      <c r="AV1393" s="61">
        <f>IF(F1393="","",IFERROR(IF(INDEX('Paramètres'!$O$6:$O$17,MATCH(F1393,'Paramètres'!$M$6:$M$17,0))="Oui",1,0),0))</f>
        <v/>
      </c>
      <c r="AW1393" s="62">
        <f>IF(E1393="","",IF(G1393&lt;&gt;"",G1393,IF(OR(E1393="Proposition envoyée",E1393="Signature"),MAX(0,N(IFERROR(INDEX('Paramètres'!$R$6:$R$15,MATCH(IF(AL1393&lt;&gt;"",AL1393,IFERROR(INDEX('Prospects'!$AN$5:$AN$504,MATCH(C1393,'Prospects'!$C$5:$C$504,0)),"")),'Paramètres'!$Q$6:$Q$15,0)),0))-N(P1393)),0)))</f>
        <v/>
      </c>
      <c r="AX1393" s="61">
        <f>IF(C1393="","",IF(COUNTIF($C$5:C1393,C1393)=1,MAX($AX$4:AX1392)+1,""))</f>
        <v/>
      </c>
      <c r="AY1393" s="61">
        <f>IF(B1393="","",HOUR(B1393))</f>
        <v/>
      </c>
      <c r="AZ1393" s="61">
        <f>IF(A1393="","",MOD(A1393-2,7)+1)</f>
        <v/>
      </c>
      <c r="BA1393" s="60">
        <f>IF(C1393="","",IFERROR(INDEX('Prospects'!$N$5:$N$504,MATCH(C1393,'Prospects'!$C$5:$C$504,0)),""))</f>
        <v/>
      </c>
      <c r="BB1393" s="61">
        <f>IF(AND(C1393&lt;&gt;"",C1393='Fiche prospect'!$C$4),COUNTIF($C$5:C1393,C1393),"")</f>
        <v/>
      </c>
    </row>
    <row r="1394">
      <c r="A1394" s="53" t="n"/>
      <c r="B1394" s="54" t="n"/>
      <c r="C1394" s="55" t="n"/>
      <c r="D1394" s="55" t="n"/>
      <c r="E1394" s="55" t="n"/>
      <c r="F1394" s="55" t="n"/>
      <c r="G1394" s="56" t="n"/>
      <c r="H1394" s="57" t="n"/>
      <c r="I1394" s="55" t="n"/>
      <c r="J1394" s="53" t="n"/>
      <c r="K1394" s="54" t="n"/>
      <c r="L1394" s="55" t="n"/>
      <c r="M1394" s="55" t="n"/>
      <c r="N1394" s="57" t="n"/>
      <c r="O1394" s="55" t="n"/>
      <c r="P1394" s="56" t="n"/>
      <c r="Q1394" s="55" t="n"/>
      <c r="R1394" s="55" t="n"/>
      <c r="S1394" s="55" t="n"/>
      <c r="T1394" s="55" t="n"/>
      <c r="U1394" s="55" t="n"/>
      <c r="V1394" s="55" t="n"/>
      <c r="W1394" s="58" t="n"/>
      <c r="X1394" s="58" t="n"/>
      <c r="Y1394" s="55" t="n"/>
      <c r="Z1394" s="55" t="n"/>
      <c r="AA1394" s="55" t="n"/>
      <c r="AB1394" s="55" t="n"/>
      <c r="AC1394" s="55" t="n"/>
      <c r="AD1394" s="53" t="n"/>
      <c r="AE1394" s="55" t="n"/>
      <c r="AF1394" s="55" t="n"/>
      <c r="AG1394" s="59" t="n"/>
      <c r="AH1394" s="57" t="n"/>
      <c r="AI1394" s="55" t="n"/>
      <c r="AJ1394" s="55" t="n"/>
      <c r="AK1394" s="55" t="n"/>
      <c r="AL1394" s="55" t="n"/>
      <c r="AM1394" s="56" t="n"/>
      <c r="AN1394" s="55" t="n"/>
      <c r="AO1394" s="55" t="n"/>
      <c r="AP1394" s="55" t="n"/>
      <c r="AQ1394" s="55" t="n"/>
      <c r="AR1394" s="60">
        <f>IF(AND(C1394="",E1394=""),"",IF(A1394="","⚠ Date manquante",IF(AND(C1394="",E1394&lt;&gt;"Dépense"),"⚠ Prospect manquant",IF(E1394="","⚠ Action manquante",IF(AND(AU1394=1,D1394=""),"⚠ Canal manquant",IF(AND(W1394&lt;&gt;"",COUNTIFS('Saisie'!$W$5:$W$2004,W1394,'Saisie'!$C$5:$C$2004,"&lt;&gt;"&amp;C1394)&gt;0),"⚠ Numéro déjà utilisé par un autre prospect",IF(AND(J1394&lt;&gt;"",J1394&lt;A1394),"⚠ Relance avant la date de l'action",IF(A1394&gt;TODAY(),"⚠ Date dans le futur","✓"))))))))</f>
        <v/>
      </c>
      <c r="AS1394" s="61">
        <f>IF(AND(A1394="",C1394="",E1394=""),"",ROW())</f>
        <v/>
      </c>
      <c r="AT1394" s="61">
        <f>IF(E1394&amp;F1394="","",MAX(IFERROR(INDEX('Paramètres'!$J$6:$J$33,MATCH(E1394,'Paramètres'!$I$6:$I$33,0)),0),IFERROR(INDEX('Paramètres'!$N$6:$N$17,MATCH(F1394,'Paramètres'!$M$6:$M$17,0)),0)))</f>
        <v/>
      </c>
      <c r="AU1394" s="61">
        <f>IF(E1394="","",IFERROR(IF(INDEX('Paramètres'!$K$6:$K$33,MATCH(E1394,'Paramètres'!$I$6:$I$33,0))="Oui",1,0),0))</f>
        <v/>
      </c>
      <c r="AV1394" s="61">
        <f>IF(F1394="","",IFERROR(IF(INDEX('Paramètres'!$O$6:$O$17,MATCH(F1394,'Paramètres'!$M$6:$M$17,0))="Oui",1,0),0))</f>
        <v/>
      </c>
      <c r="AW1394" s="62">
        <f>IF(E1394="","",IF(G1394&lt;&gt;"",G1394,IF(OR(E1394="Proposition envoyée",E1394="Signature"),MAX(0,N(IFERROR(INDEX('Paramètres'!$R$6:$R$15,MATCH(IF(AL1394&lt;&gt;"",AL1394,IFERROR(INDEX('Prospects'!$AN$5:$AN$504,MATCH(C1394,'Prospects'!$C$5:$C$504,0)),"")),'Paramètres'!$Q$6:$Q$15,0)),0))-N(P1394)),0)))</f>
        <v/>
      </c>
      <c r="AX1394" s="61">
        <f>IF(C1394="","",IF(COUNTIF($C$5:C1394,C1394)=1,MAX($AX$4:AX1393)+1,""))</f>
        <v/>
      </c>
      <c r="AY1394" s="61">
        <f>IF(B1394="","",HOUR(B1394))</f>
        <v/>
      </c>
      <c r="AZ1394" s="61">
        <f>IF(A1394="","",MOD(A1394-2,7)+1)</f>
        <v/>
      </c>
      <c r="BA1394" s="60">
        <f>IF(C1394="","",IFERROR(INDEX('Prospects'!$N$5:$N$504,MATCH(C1394,'Prospects'!$C$5:$C$504,0)),""))</f>
        <v/>
      </c>
      <c r="BB1394" s="61">
        <f>IF(AND(C1394&lt;&gt;"",C1394='Fiche prospect'!$C$4),COUNTIF($C$5:C1394,C1394),"")</f>
        <v/>
      </c>
    </row>
    <row r="1395">
      <c r="A1395" s="53" t="n"/>
      <c r="B1395" s="54" t="n"/>
      <c r="C1395" s="55" t="n"/>
      <c r="D1395" s="55" t="n"/>
      <c r="E1395" s="55" t="n"/>
      <c r="F1395" s="55" t="n"/>
      <c r="G1395" s="56" t="n"/>
      <c r="H1395" s="57" t="n"/>
      <c r="I1395" s="55" t="n"/>
      <c r="J1395" s="53" t="n"/>
      <c r="K1395" s="54" t="n"/>
      <c r="L1395" s="55" t="n"/>
      <c r="M1395" s="55" t="n"/>
      <c r="N1395" s="57" t="n"/>
      <c r="O1395" s="55" t="n"/>
      <c r="P1395" s="56" t="n"/>
      <c r="Q1395" s="55" t="n"/>
      <c r="R1395" s="55" t="n"/>
      <c r="S1395" s="55" t="n"/>
      <c r="T1395" s="55" t="n"/>
      <c r="U1395" s="55" t="n"/>
      <c r="V1395" s="55" t="n"/>
      <c r="W1395" s="58" t="n"/>
      <c r="X1395" s="58" t="n"/>
      <c r="Y1395" s="55" t="n"/>
      <c r="Z1395" s="55" t="n"/>
      <c r="AA1395" s="55" t="n"/>
      <c r="AB1395" s="55" t="n"/>
      <c r="AC1395" s="55" t="n"/>
      <c r="AD1395" s="53" t="n"/>
      <c r="AE1395" s="55" t="n"/>
      <c r="AF1395" s="55" t="n"/>
      <c r="AG1395" s="59" t="n"/>
      <c r="AH1395" s="57" t="n"/>
      <c r="AI1395" s="55" t="n"/>
      <c r="AJ1395" s="55" t="n"/>
      <c r="AK1395" s="55" t="n"/>
      <c r="AL1395" s="55" t="n"/>
      <c r="AM1395" s="56" t="n"/>
      <c r="AN1395" s="55" t="n"/>
      <c r="AO1395" s="55" t="n"/>
      <c r="AP1395" s="55" t="n"/>
      <c r="AQ1395" s="55" t="n"/>
      <c r="AR1395" s="60">
        <f>IF(AND(C1395="",E1395=""),"",IF(A1395="","⚠ Date manquante",IF(AND(C1395="",E1395&lt;&gt;"Dépense"),"⚠ Prospect manquant",IF(E1395="","⚠ Action manquante",IF(AND(AU1395=1,D1395=""),"⚠ Canal manquant",IF(AND(W1395&lt;&gt;"",COUNTIFS('Saisie'!$W$5:$W$2004,W1395,'Saisie'!$C$5:$C$2004,"&lt;&gt;"&amp;C1395)&gt;0),"⚠ Numéro déjà utilisé par un autre prospect",IF(AND(J1395&lt;&gt;"",J1395&lt;A1395),"⚠ Relance avant la date de l'action",IF(A1395&gt;TODAY(),"⚠ Date dans le futur","✓"))))))))</f>
        <v/>
      </c>
      <c r="AS1395" s="61">
        <f>IF(AND(A1395="",C1395="",E1395=""),"",ROW())</f>
        <v/>
      </c>
      <c r="AT1395" s="61">
        <f>IF(E1395&amp;F1395="","",MAX(IFERROR(INDEX('Paramètres'!$J$6:$J$33,MATCH(E1395,'Paramètres'!$I$6:$I$33,0)),0),IFERROR(INDEX('Paramètres'!$N$6:$N$17,MATCH(F1395,'Paramètres'!$M$6:$M$17,0)),0)))</f>
        <v/>
      </c>
      <c r="AU1395" s="61">
        <f>IF(E1395="","",IFERROR(IF(INDEX('Paramètres'!$K$6:$K$33,MATCH(E1395,'Paramètres'!$I$6:$I$33,0))="Oui",1,0),0))</f>
        <v/>
      </c>
      <c r="AV1395" s="61">
        <f>IF(F1395="","",IFERROR(IF(INDEX('Paramètres'!$O$6:$O$17,MATCH(F1395,'Paramètres'!$M$6:$M$17,0))="Oui",1,0),0))</f>
        <v/>
      </c>
      <c r="AW1395" s="62">
        <f>IF(E1395="","",IF(G1395&lt;&gt;"",G1395,IF(OR(E1395="Proposition envoyée",E1395="Signature"),MAX(0,N(IFERROR(INDEX('Paramètres'!$R$6:$R$15,MATCH(IF(AL1395&lt;&gt;"",AL1395,IFERROR(INDEX('Prospects'!$AN$5:$AN$504,MATCH(C1395,'Prospects'!$C$5:$C$504,0)),"")),'Paramètres'!$Q$6:$Q$15,0)),0))-N(P1395)),0)))</f>
        <v/>
      </c>
      <c r="AX1395" s="61">
        <f>IF(C1395="","",IF(COUNTIF($C$5:C1395,C1395)=1,MAX($AX$4:AX1394)+1,""))</f>
        <v/>
      </c>
      <c r="AY1395" s="61">
        <f>IF(B1395="","",HOUR(B1395))</f>
        <v/>
      </c>
      <c r="AZ1395" s="61">
        <f>IF(A1395="","",MOD(A1395-2,7)+1)</f>
        <v/>
      </c>
      <c r="BA1395" s="60">
        <f>IF(C1395="","",IFERROR(INDEX('Prospects'!$N$5:$N$504,MATCH(C1395,'Prospects'!$C$5:$C$504,0)),""))</f>
        <v/>
      </c>
      <c r="BB1395" s="61">
        <f>IF(AND(C1395&lt;&gt;"",C1395='Fiche prospect'!$C$4),COUNTIF($C$5:C1395,C1395),"")</f>
        <v/>
      </c>
    </row>
    <row r="1396">
      <c r="A1396" s="53" t="n"/>
      <c r="B1396" s="54" t="n"/>
      <c r="C1396" s="55" t="n"/>
      <c r="D1396" s="55" t="n"/>
      <c r="E1396" s="55" t="n"/>
      <c r="F1396" s="55" t="n"/>
      <c r="G1396" s="56" t="n"/>
      <c r="H1396" s="57" t="n"/>
      <c r="I1396" s="55" t="n"/>
      <c r="J1396" s="53" t="n"/>
      <c r="K1396" s="54" t="n"/>
      <c r="L1396" s="55" t="n"/>
      <c r="M1396" s="55" t="n"/>
      <c r="N1396" s="57" t="n"/>
      <c r="O1396" s="55" t="n"/>
      <c r="P1396" s="56" t="n"/>
      <c r="Q1396" s="55" t="n"/>
      <c r="R1396" s="55" t="n"/>
      <c r="S1396" s="55" t="n"/>
      <c r="T1396" s="55" t="n"/>
      <c r="U1396" s="55" t="n"/>
      <c r="V1396" s="55" t="n"/>
      <c r="W1396" s="58" t="n"/>
      <c r="X1396" s="58" t="n"/>
      <c r="Y1396" s="55" t="n"/>
      <c r="Z1396" s="55" t="n"/>
      <c r="AA1396" s="55" t="n"/>
      <c r="AB1396" s="55" t="n"/>
      <c r="AC1396" s="55" t="n"/>
      <c r="AD1396" s="53" t="n"/>
      <c r="AE1396" s="55" t="n"/>
      <c r="AF1396" s="55" t="n"/>
      <c r="AG1396" s="59" t="n"/>
      <c r="AH1396" s="57" t="n"/>
      <c r="AI1396" s="55" t="n"/>
      <c r="AJ1396" s="55" t="n"/>
      <c r="AK1396" s="55" t="n"/>
      <c r="AL1396" s="55" t="n"/>
      <c r="AM1396" s="56" t="n"/>
      <c r="AN1396" s="55" t="n"/>
      <c r="AO1396" s="55" t="n"/>
      <c r="AP1396" s="55" t="n"/>
      <c r="AQ1396" s="55" t="n"/>
      <c r="AR1396" s="60">
        <f>IF(AND(C1396="",E1396=""),"",IF(A1396="","⚠ Date manquante",IF(AND(C1396="",E1396&lt;&gt;"Dépense"),"⚠ Prospect manquant",IF(E1396="","⚠ Action manquante",IF(AND(AU1396=1,D1396=""),"⚠ Canal manquant",IF(AND(W1396&lt;&gt;"",COUNTIFS('Saisie'!$W$5:$W$2004,W1396,'Saisie'!$C$5:$C$2004,"&lt;&gt;"&amp;C1396)&gt;0),"⚠ Numéro déjà utilisé par un autre prospect",IF(AND(J1396&lt;&gt;"",J1396&lt;A1396),"⚠ Relance avant la date de l'action",IF(A1396&gt;TODAY(),"⚠ Date dans le futur","✓"))))))))</f>
        <v/>
      </c>
      <c r="AS1396" s="61">
        <f>IF(AND(A1396="",C1396="",E1396=""),"",ROW())</f>
        <v/>
      </c>
      <c r="AT1396" s="61">
        <f>IF(E1396&amp;F1396="","",MAX(IFERROR(INDEX('Paramètres'!$J$6:$J$33,MATCH(E1396,'Paramètres'!$I$6:$I$33,0)),0),IFERROR(INDEX('Paramètres'!$N$6:$N$17,MATCH(F1396,'Paramètres'!$M$6:$M$17,0)),0)))</f>
        <v/>
      </c>
      <c r="AU1396" s="61">
        <f>IF(E1396="","",IFERROR(IF(INDEX('Paramètres'!$K$6:$K$33,MATCH(E1396,'Paramètres'!$I$6:$I$33,0))="Oui",1,0),0))</f>
        <v/>
      </c>
      <c r="AV1396" s="61">
        <f>IF(F1396="","",IFERROR(IF(INDEX('Paramètres'!$O$6:$O$17,MATCH(F1396,'Paramètres'!$M$6:$M$17,0))="Oui",1,0),0))</f>
        <v/>
      </c>
      <c r="AW1396" s="62">
        <f>IF(E1396="","",IF(G1396&lt;&gt;"",G1396,IF(OR(E1396="Proposition envoyée",E1396="Signature"),MAX(0,N(IFERROR(INDEX('Paramètres'!$R$6:$R$15,MATCH(IF(AL1396&lt;&gt;"",AL1396,IFERROR(INDEX('Prospects'!$AN$5:$AN$504,MATCH(C1396,'Prospects'!$C$5:$C$504,0)),"")),'Paramètres'!$Q$6:$Q$15,0)),0))-N(P1396)),0)))</f>
        <v/>
      </c>
      <c r="AX1396" s="61">
        <f>IF(C1396="","",IF(COUNTIF($C$5:C1396,C1396)=1,MAX($AX$4:AX1395)+1,""))</f>
        <v/>
      </c>
      <c r="AY1396" s="61">
        <f>IF(B1396="","",HOUR(B1396))</f>
        <v/>
      </c>
      <c r="AZ1396" s="61">
        <f>IF(A1396="","",MOD(A1396-2,7)+1)</f>
        <v/>
      </c>
      <c r="BA1396" s="60">
        <f>IF(C1396="","",IFERROR(INDEX('Prospects'!$N$5:$N$504,MATCH(C1396,'Prospects'!$C$5:$C$504,0)),""))</f>
        <v/>
      </c>
      <c r="BB1396" s="61">
        <f>IF(AND(C1396&lt;&gt;"",C1396='Fiche prospect'!$C$4),COUNTIF($C$5:C1396,C1396),"")</f>
        <v/>
      </c>
    </row>
    <row r="1397">
      <c r="A1397" s="53" t="n"/>
      <c r="B1397" s="54" t="n"/>
      <c r="C1397" s="55" t="n"/>
      <c r="D1397" s="55" t="n"/>
      <c r="E1397" s="55" t="n"/>
      <c r="F1397" s="55" t="n"/>
      <c r="G1397" s="56" t="n"/>
      <c r="H1397" s="57" t="n"/>
      <c r="I1397" s="55" t="n"/>
      <c r="J1397" s="53" t="n"/>
      <c r="K1397" s="54" t="n"/>
      <c r="L1397" s="55" t="n"/>
      <c r="M1397" s="55" t="n"/>
      <c r="N1397" s="57" t="n"/>
      <c r="O1397" s="55" t="n"/>
      <c r="P1397" s="56" t="n"/>
      <c r="Q1397" s="55" t="n"/>
      <c r="R1397" s="55" t="n"/>
      <c r="S1397" s="55" t="n"/>
      <c r="T1397" s="55" t="n"/>
      <c r="U1397" s="55" t="n"/>
      <c r="V1397" s="55" t="n"/>
      <c r="W1397" s="58" t="n"/>
      <c r="X1397" s="58" t="n"/>
      <c r="Y1397" s="55" t="n"/>
      <c r="Z1397" s="55" t="n"/>
      <c r="AA1397" s="55" t="n"/>
      <c r="AB1397" s="55" t="n"/>
      <c r="AC1397" s="55" t="n"/>
      <c r="AD1397" s="53" t="n"/>
      <c r="AE1397" s="55" t="n"/>
      <c r="AF1397" s="55" t="n"/>
      <c r="AG1397" s="59" t="n"/>
      <c r="AH1397" s="57" t="n"/>
      <c r="AI1397" s="55" t="n"/>
      <c r="AJ1397" s="55" t="n"/>
      <c r="AK1397" s="55" t="n"/>
      <c r="AL1397" s="55" t="n"/>
      <c r="AM1397" s="56" t="n"/>
      <c r="AN1397" s="55" t="n"/>
      <c r="AO1397" s="55" t="n"/>
      <c r="AP1397" s="55" t="n"/>
      <c r="AQ1397" s="55" t="n"/>
      <c r="AR1397" s="60">
        <f>IF(AND(C1397="",E1397=""),"",IF(A1397="","⚠ Date manquante",IF(AND(C1397="",E1397&lt;&gt;"Dépense"),"⚠ Prospect manquant",IF(E1397="","⚠ Action manquante",IF(AND(AU1397=1,D1397=""),"⚠ Canal manquant",IF(AND(W1397&lt;&gt;"",COUNTIFS('Saisie'!$W$5:$W$2004,W1397,'Saisie'!$C$5:$C$2004,"&lt;&gt;"&amp;C1397)&gt;0),"⚠ Numéro déjà utilisé par un autre prospect",IF(AND(J1397&lt;&gt;"",J1397&lt;A1397),"⚠ Relance avant la date de l'action",IF(A1397&gt;TODAY(),"⚠ Date dans le futur","✓"))))))))</f>
        <v/>
      </c>
      <c r="AS1397" s="61">
        <f>IF(AND(A1397="",C1397="",E1397=""),"",ROW())</f>
        <v/>
      </c>
      <c r="AT1397" s="61">
        <f>IF(E1397&amp;F1397="","",MAX(IFERROR(INDEX('Paramètres'!$J$6:$J$33,MATCH(E1397,'Paramètres'!$I$6:$I$33,0)),0),IFERROR(INDEX('Paramètres'!$N$6:$N$17,MATCH(F1397,'Paramètres'!$M$6:$M$17,0)),0)))</f>
        <v/>
      </c>
      <c r="AU1397" s="61">
        <f>IF(E1397="","",IFERROR(IF(INDEX('Paramètres'!$K$6:$K$33,MATCH(E1397,'Paramètres'!$I$6:$I$33,0))="Oui",1,0),0))</f>
        <v/>
      </c>
      <c r="AV1397" s="61">
        <f>IF(F1397="","",IFERROR(IF(INDEX('Paramètres'!$O$6:$O$17,MATCH(F1397,'Paramètres'!$M$6:$M$17,0))="Oui",1,0),0))</f>
        <v/>
      </c>
      <c r="AW1397" s="62">
        <f>IF(E1397="","",IF(G1397&lt;&gt;"",G1397,IF(OR(E1397="Proposition envoyée",E1397="Signature"),MAX(0,N(IFERROR(INDEX('Paramètres'!$R$6:$R$15,MATCH(IF(AL1397&lt;&gt;"",AL1397,IFERROR(INDEX('Prospects'!$AN$5:$AN$504,MATCH(C1397,'Prospects'!$C$5:$C$504,0)),"")),'Paramètres'!$Q$6:$Q$15,0)),0))-N(P1397)),0)))</f>
        <v/>
      </c>
      <c r="AX1397" s="61">
        <f>IF(C1397="","",IF(COUNTIF($C$5:C1397,C1397)=1,MAX($AX$4:AX1396)+1,""))</f>
        <v/>
      </c>
      <c r="AY1397" s="61">
        <f>IF(B1397="","",HOUR(B1397))</f>
        <v/>
      </c>
      <c r="AZ1397" s="61">
        <f>IF(A1397="","",MOD(A1397-2,7)+1)</f>
        <v/>
      </c>
      <c r="BA1397" s="60">
        <f>IF(C1397="","",IFERROR(INDEX('Prospects'!$N$5:$N$504,MATCH(C1397,'Prospects'!$C$5:$C$504,0)),""))</f>
        <v/>
      </c>
      <c r="BB1397" s="61">
        <f>IF(AND(C1397&lt;&gt;"",C1397='Fiche prospect'!$C$4),COUNTIF($C$5:C1397,C1397),"")</f>
        <v/>
      </c>
    </row>
    <row r="1398">
      <c r="A1398" s="53" t="n"/>
      <c r="B1398" s="54" t="n"/>
      <c r="C1398" s="55" t="n"/>
      <c r="D1398" s="55" t="n"/>
      <c r="E1398" s="55" t="n"/>
      <c r="F1398" s="55" t="n"/>
      <c r="G1398" s="56" t="n"/>
      <c r="H1398" s="57" t="n"/>
      <c r="I1398" s="55" t="n"/>
      <c r="J1398" s="53" t="n"/>
      <c r="K1398" s="54" t="n"/>
      <c r="L1398" s="55" t="n"/>
      <c r="M1398" s="55" t="n"/>
      <c r="N1398" s="57" t="n"/>
      <c r="O1398" s="55" t="n"/>
      <c r="P1398" s="56" t="n"/>
      <c r="Q1398" s="55" t="n"/>
      <c r="R1398" s="55" t="n"/>
      <c r="S1398" s="55" t="n"/>
      <c r="T1398" s="55" t="n"/>
      <c r="U1398" s="55" t="n"/>
      <c r="V1398" s="55" t="n"/>
      <c r="W1398" s="58" t="n"/>
      <c r="X1398" s="58" t="n"/>
      <c r="Y1398" s="55" t="n"/>
      <c r="Z1398" s="55" t="n"/>
      <c r="AA1398" s="55" t="n"/>
      <c r="AB1398" s="55" t="n"/>
      <c r="AC1398" s="55" t="n"/>
      <c r="AD1398" s="53" t="n"/>
      <c r="AE1398" s="55" t="n"/>
      <c r="AF1398" s="55" t="n"/>
      <c r="AG1398" s="59" t="n"/>
      <c r="AH1398" s="57" t="n"/>
      <c r="AI1398" s="55" t="n"/>
      <c r="AJ1398" s="55" t="n"/>
      <c r="AK1398" s="55" t="n"/>
      <c r="AL1398" s="55" t="n"/>
      <c r="AM1398" s="56" t="n"/>
      <c r="AN1398" s="55" t="n"/>
      <c r="AO1398" s="55" t="n"/>
      <c r="AP1398" s="55" t="n"/>
      <c r="AQ1398" s="55" t="n"/>
      <c r="AR1398" s="60">
        <f>IF(AND(C1398="",E1398=""),"",IF(A1398="","⚠ Date manquante",IF(AND(C1398="",E1398&lt;&gt;"Dépense"),"⚠ Prospect manquant",IF(E1398="","⚠ Action manquante",IF(AND(AU1398=1,D1398=""),"⚠ Canal manquant",IF(AND(W1398&lt;&gt;"",COUNTIFS('Saisie'!$W$5:$W$2004,W1398,'Saisie'!$C$5:$C$2004,"&lt;&gt;"&amp;C1398)&gt;0),"⚠ Numéro déjà utilisé par un autre prospect",IF(AND(J1398&lt;&gt;"",J1398&lt;A1398),"⚠ Relance avant la date de l'action",IF(A1398&gt;TODAY(),"⚠ Date dans le futur","✓"))))))))</f>
        <v/>
      </c>
      <c r="AS1398" s="61">
        <f>IF(AND(A1398="",C1398="",E1398=""),"",ROW())</f>
        <v/>
      </c>
      <c r="AT1398" s="61">
        <f>IF(E1398&amp;F1398="","",MAX(IFERROR(INDEX('Paramètres'!$J$6:$J$33,MATCH(E1398,'Paramètres'!$I$6:$I$33,0)),0),IFERROR(INDEX('Paramètres'!$N$6:$N$17,MATCH(F1398,'Paramètres'!$M$6:$M$17,0)),0)))</f>
        <v/>
      </c>
      <c r="AU1398" s="61">
        <f>IF(E1398="","",IFERROR(IF(INDEX('Paramètres'!$K$6:$K$33,MATCH(E1398,'Paramètres'!$I$6:$I$33,0))="Oui",1,0),0))</f>
        <v/>
      </c>
      <c r="AV1398" s="61">
        <f>IF(F1398="","",IFERROR(IF(INDEX('Paramètres'!$O$6:$O$17,MATCH(F1398,'Paramètres'!$M$6:$M$17,0))="Oui",1,0),0))</f>
        <v/>
      </c>
      <c r="AW1398" s="62">
        <f>IF(E1398="","",IF(G1398&lt;&gt;"",G1398,IF(OR(E1398="Proposition envoyée",E1398="Signature"),MAX(0,N(IFERROR(INDEX('Paramètres'!$R$6:$R$15,MATCH(IF(AL1398&lt;&gt;"",AL1398,IFERROR(INDEX('Prospects'!$AN$5:$AN$504,MATCH(C1398,'Prospects'!$C$5:$C$504,0)),"")),'Paramètres'!$Q$6:$Q$15,0)),0))-N(P1398)),0)))</f>
        <v/>
      </c>
      <c r="AX1398" s="61">
        <f>IF(C1398="","",IF(COUNTIF($C$5:C1398,C1398)=1,MAX($AX$4:AX1397)+1,""))</f>
        <v/>
      </c>
      <c r="AY1398" s="61">
        <f>IF(B1398="","",HOUR(B1398))</f>
        <v/>
      </c>
      <c r="AZ1398" s="61">
        <f>IF(A1398="","",MOD(A1398-2,7)+1)</f>
        <v/>
      </c>
      <c r="BA1398" s="60">
        <f>IF(C1398="","",IFERROR(INDEX('Prospects'!$N$5:$N$504,MATCH(C1398,'Prospects'!$C$5:$C$504,0)),""))</f>
        <v/>
      </c>
      <c r="BB1398" s="61">
        <f>IF(AND(C1398&lt;&gt;"",C1398='Fiche prospect'!$C$4),COUNTIF($C$5:C1398,C1398),"")</f>
        <v/>
      </c>
    </row>
    <row r="1399">
      <c r="A1399" s="53" t="n"/>
      <c r="B1399" s="54" t="n"/>
      <c r="C1399" s="55" t="n"/>
      <c r="D1399" s="55" t="n"/>
      <c r="E1399" s="55" t="n"/>
      <c r="F1399" s="55" t="n"/>
      <c r="G1399" s="56" t="n"/>
      <c r="H1399" s="57" t="n"/>
      <c r="I1399" s="55" t="n"/>
      <c r="J1399" s="53" t="n"/>
      <c r="K1399" s="54" t="n"/>
      <c r="L1399" s="55" t="n"/>
      <c r="M1399" s="55" t="n"/>
      <c r="N1399" s="57" t="n"/>
      <c r="O1399" s="55" t="n"/>
      <c r="P1399" s="56" t="n"/>
      <c r="Q1399" s="55" t="n"/>
      <c r="R1399" s="55" t="n"/>
      <c r="S1399" s="55" t="n"/>
      <c r="T1399" s="55" t="n"/>
      <c r="U1399" s="55" t="n"/>
      <c r="V1399" s="55" t="n"/>
      <c r="W1399" s="58" t="n"/>
      <c r="X1399" s="58" t="n"/>
      <c r="Y1399" s="55" t="n"/>
      <c r="Z1399" s="55" t="n"/>
      <c r="AA1399" s="55" t="n"/>
      <c r="AB1399" s="55" t="n"/>
      <c r="AC1399" s="55" t="n"/>
      <c r="AD1399" s="53" t="n"/>
      <c r="AE1399" s="55" t="n"/>
      <c r="AF1399" s="55" t="n"/>
      <c r="AG1399" s="59" t="n"/>
      <c r="AH1399" s="57" t="n"/>
      <c r="AI1399" s="55" t="n"/>
      <c r="AJ1399" s="55" t="n"/>
      <c r="AK1399" s="55" t="n"/>
      <c r="AL1399" s="55" t="n"/>
      <c r="AM1399" s="56" t="n"/>
      <c r="AN1399" s="55" t="n"/>
      <c r="AO1399" s="55" t="n"/>
      <c r="AP1399" s="55" t="n"/>
      <c r="AQ1399" s="55" t="n"/>
      <c r="AR1399" s="60">
        <f>IF(AND(C1399="",E1399=""),"",IF(A1399="","⚠ Date manquante",IF(AND(C1399="",E1399&lt;&gt;"Dépense"),"⚠ Prospect manquant",IF(E1399="","⚠ Action manquante",IF(AND(AU1399=1,D1399=""),"⚠ Canal manquant",IF(AND(W1399&lt;&gt;"",COUNTIFS('Saisie'!$W$5:$W$2004,W1399,'Saisie'!$C$5:$C$2004,"&lt;&gt;"&amp;C1399)&gt;0),"⚠ Numéro déjà utilisé par un autre prospect",IF(AND(J1399&lt;&gt;"",J1399&lt;A1399),"⚠ Relance avant la date de l'action",IF(A1399&gt;TODAY(),"⚠ Date dans le futur","✓"))))))))</f>
        <v/>
      </c>
      <c r="AS1399" s="61">
        <f>IF(AND(A1399="",C1399="",E1399=""),"",ROW())</f>
        <v/>
      </c>
      <c r="AT1399" s="61">
        <f>IF(E1399&amp;F1399="","",MAX(IFERROR(INDEX('Paramètres'!$J$6:$J$33,MATCH(E1399,'Paramètres'!$I$6:$I$33,0)),0),IFERROR(INDEX('Paramètres'!$N$6:$N$17,MATCH(F1399,'Paramètres'!$M$6:$M$17,0)),0)))</f>
        <v/>
      </c>
      <c r="AU1399" s="61">
        <f>IF(E1399="","",IFERROR(IF(INDEX('Paramètres'!$K$6:$K$33,MATCH(E1399,'Paramètres'!$I$6:$I$33,0))="Oui",1,0),0))</f>
        <v/>
      </c>
      <c r="AV1399" s="61">
        <f>IF(F1399="","",IFERROR(IF(INDEX('Paramètres'!$O$6:$O$17,MATCH(F1399,'Paramètres'!$M$6:$M$17,0))="Oui",1,0),0))</f>
        <v/>
      </c>
      <c r="AW1399" s="62">
        <f>IF(E1399="","",IF(G1399&lt;&gt;"",G1399,IF(OR(E1399="Proposition envoyée",E1399="Signature"),MAX(0,N(IFERROR(INDEX('Paramètres'!$R$6:$R$15,MATCH(IF(AL1399&lt;&gt;"",AL1399,IFERROR(INDEX('Prospects'!$AN$5:$AN$504,MATCH(C1399,'Prospects'!$C$5:$C$504,0)),"")),'Paramètres'!$Q$6:$Q$15,0)),0))-N(P1399)),0)))</f>
        <v/>
      </c>
      <c r="AX1399" s="61">
        <f>IF(C1399="","",IF(COUNTIF($C$5:C1399,C1399)=1,MAX($AX$4:AX1398)+1,""))</f>
        <v/>
      </c>
      <c r="AY1399" s="61">
        <f>IF(B1399="","",HOUR(B1399))</f>
        <v/>
      </c>
      <c r="AZ1399" s="61">
        <f>IF(A1399="","",MOD(A1399-2,7)+1)</f>
        <v/>
      </c>
      <c r="BA1399" s="60">
        <f>IF(C1399="","",IFERROR(INDEX('Prospects'!$N$5:$N$504,MATCH(C1399,'Prospects'!$C$5:$C$504,0)),""))</f>
        <v/>
      </c>
      <c r="BB1399" s="61">
        <f>IF(AND(C1399&lt;&gt;"",C1399='Fiche prospect'!$C$4),COUNTIF($C$5:C1399,C1399),"")</f>
        <v/>
      </c>
    </row>
    <row r="1400">
      <c r="A1400" s="53" t="n"/>
      <c r="B1400" s="54" t="n"/>
      <c r="C1400" s="55" t="n"/>
      <c r="D1400" s="55" t="n"/>
      <c r="E1400" s="55" t="n"/>
      <c r="F1400" s="55" t="n"/>
      <c r="G1400" s="56" t="n"/>
      <c r="H1400" s="57" t="n"/>
      <c r="I1400" s="55" t="n"/>
      <c r="J1400" s="53" t="n"/>
      <c r="K1400" s="54" t="n"/>
      <c r="L1400" s="55" t="n"/>
      <c r="M1400" s="55" t="n"/>
      <c r="N1400" s="57" t="n"/>
      <c r="O1400" s="55" t="n"/>
      <c r="P1400" s="56" t="n"/>
      <c r="Q1400" s="55" t="n"/>
      <c r="R1400" s="55" t="n"/>
      <c r="S1400" s="55" t="n"/>
      <c r="T1400" s="55" t="n"/>
      <c r="U1400" s="55" t="n"/>
      <c r="V1400" s="55" t="n"/>
      <c r="W1400" s="58" t="n"/>
      <c r="X1400" s="58" t="n"/>
      <c r="Y1400" s="55" t="n"/>
      <c r="Z1400" s="55" t="n"/>
      <c r="AA1400" s="55" t="n"/>
      <c r="AB1400" s="55" t="n"/>
      <c r="AC1400" s="55" t="n"/>
      <c r="AD1400" s="53" t="n"/>
      <c r="AE1400" s="55" t="n"/>
      <c r="AF1400" s="55" t="n"/>
      <c r="AG1400" s="59" t="n"/>
      <c r="AH1400" s="57" t="n"/>
      <c r="AI1400" s="55" t="n"/>
      <c r="AJ1400" s="55" t="n"/>
      <c r="AK1400" s="55" t="n"/>
      <c r="AL1400" s="55" t="n"/>
      <c r="AM1400" s="56" t="n"/>
      <c r="AN1400" s="55" t="n"/>
      <c r="AO1400" s="55" t="n"/>
      <c r="AP1400" s="55" t="n"/>
      <c r="AQ1400" s="55" t="n"/>
      <c r="AR1400" s="60">
        <f>IF(AND(C1400="",E1400=""),"",IF(A1400="","⚠ Date manquante",IF(AND(C1400="",E1400&lt;&gt;"Dépense"),"⚠ Prospect manquant",IF(E1400="","⚠ Action manquante",IF(AND(AU1400=1,D1400=""),"⚠ Canal manquant",IF(AND(W1400&lt;&gt;"",COUNTIFS('Saisie'!$W$5:$W$2004,W1400,'Saisie'!$C$5:$C$2004,"&lt;&gt;"&amp;C1400)&gt;0),"⚠ Numéro déjà utilisé par un autre prospect",IF(AND(J1400&lt;&gt;"",J1400&lt;A1400),"⚠ Relance avant la date de l'action",IF(A1400&gt;TODAY(),"⚠ Date dans le futur","✓"))))))))</f>
        <v/>
      </c>
      <c r="AS1400" s="61">
        <f>IF(AND(A1400="",C1400="",E1400=""),"",ROW())</f>
        <v/>
      </c>
      <c r="AT1400" s="61">
        <f>IF(E1400&amp;F1400="","",MAX(IFERROR(INDEX('Paramètres'!$J$6:$J$33,MATCH(E1400,'Paramètres'!$I$6:$I$33,0)),0),IFERROR(INDEX('Paramètres'!$N$6:$N$17,MATCH(F1400,'Paramètres'!$M$6:$M$17,0)),0)))</f>
        <v/>
      </c>
      <c r="AU1400" s="61">
        <f>IF(E1400="","",IFERROR(IF(INDEX('Paramètres'!$K$6:$K$33,MATCH(E1400,'Paramètres'!$I$6:$I$33,0))="Oui",1,0),0))</f>
        <v/>
      </c>
      <c r="AV1400" s="61">
        <f>IF(F1400="","",IFERROR(IF(INDEX('Paramètres'!$O$6:$O$17,MATCH(F1400,'Paramètres'!$M$6:$M$17,0))="Oui",1,0),0))</f>
        <v/>
      </c>
      <c r="AW1400" s="62">
        <f>IF(E1400="","",IF(G1400&lt;&gt;"",G1400,IF(OR(E1400="Proposition envoyée",E1400="Signature"),MAX(0,N(IFERROR(INDEX('Paramètres'!$R$6:$R$15,MATCH(IF(AL1400&lt;&gt;"",AL1400,IFERROR(INDEX('Prospects'!$AN$5:$AN$504,MATCH(C1400,'Prospects'!$C$5:$C$504,0)),"")),'Paramètres'!$Q$6:$Q$15,0)),0))-N(P1400)),0)))</f>
        <v/>
      </c>
      <c r="AX1400" s="61">
        <f>IF(C1400="","",IF(COUNTIF($C$5:C1400,C1400)=1,MAX($AX$4:AX1399)+1,""))</f>
        <v/>
      </c>
      <c r="AY1400" s="61">
        <f>IF(B1400="","",HOUR(B1400))</f>
        <v/>
      </c>
      <c r="AZ1400" s="61">
        <f>IF(A1400="","",MOD(A1400-2,7)+1)</f>
        <v/>
      </c>
      <c r="BA1400" s="60">
        <f>IF(C1400="","",IFERROR(INDEX('Prospects'!$N$5:$N$504,MATCH(C1400,'Prospects'!$C$5:$C$504,0)),""))</f>
        <v/>
      </c>
      <c r="BB1400" s="61">
        <f>IF(AND(C1400&lt;&gt;"",C1400='Fiche prospect'!$C$4),COUNTIF($C$5:C1400,C1400),"")</f>
        <v/>
      </c>
    </row>
    <row r="1401">
      <c r="A1401" s="53" t="n"/>
      <c r="B1401" s="54" t="n"/>
      <c r="C1401" s="55" t="n"/>
      <c r="D1401" s="55" t="n"/>
      <c r="E1401" s="55" t="n"/>
      <c r="F1401" s="55" t="n"/>
      <c r="G1401" s="56" t="n"/>
      <c r="H1401" s="57" t="n"/>
      <c r="I1401" s="55" t="n"/>
      <c r="J1401" s="53" t="n"/>
      <c r="K1401" s="54" t="n"/>
      <c r="L1401" s="55" t="n"/>
      <c r="M1401" s="55" t="n"/>
      <c r="N1401" s="57" t="n"/>
      <c r="O1401" s="55" t="n"/>
      <c r="P1401" s="56" t="n"/>
      <c r="Q1401" s="55" t="n"/>
      <c r="R1401" s="55" t="n"/>
      <c r="S1401" s="55" t="n"/>
      <c r="T1401" s="55" t="n"/>
      <c r="U1401" s="55" t="n"/>
      <c r="V1401" s="55" t="n"/>
      <c r="W1401" s="58" t="n"/>
      <c r="X1401" s="58" t="n"/>
      <c r="Y1401" s="55" t="n"/>
      <c r="Z1401" s="55" t="n"/>
      <c r="AA1401" s="55" t="n"/>
      <c r="AB1401" s="55" t="n"/>
      <c r="AC1401" s="55" t="n"/>
      <c r="AD1401" s="53" t="n"/>
      <c r="AE1401" s="55" t="n"/>
      <c r="AF1401" s="55" t="n"/>
      <c r="AG1401" s="59" t="n"/>
      <c r="AH1401" s="57" t="n"/>
      <c r="AI1401" s="55" t="n"/>
      <c r="AJ1401" s="55" t="n"/>
      <c r="AK1401" s="55" t="n"/>
      <c r="AL1401" s="55" t="n"/>
      <c r="AM1401" s="56" t="n"/>
      <c r="AN1401" s="55" t="n"/>
      <c r="AO1401" s="55" t="n"/>
      <c r="AP1401" s="55" t="n"/>
      <c r="AQ1401" s="55" t="n"/>
      <c r="AR1401" s="60">
        <f>IF(AND(C1401="",E1401=""),"",IF(A1401="","⚠ Date manquante",IF(AND(C1401="",E1401&lt;&gt;"Dépense"),"⚠ Prospect manquant",IF(E1401="","⚠ Action manquante",IF(AND(AU1401=1,D1401=""),"⚠ Canal manquant",IF(AND(W1401&lt;&gt;"",COUNTIFS('Saisie'!$W$5:$W$2004,W1401,'Saisie'!$C$5:$C$2004,"&lt;&gt;"&amp;C1401)&gt;0),"⚠ Numéro déjà utilisé par un autre prospect",IF(AND(J1401&lt;&gt;"",J1401&lt;A1401),"⚠ Relance avant la date de l'action",IF(A1401&gt;TODAY(),"⚠ Date dans le futur","✓"))))))))</f>
        <v/>
      </c>
      <c r="AS1401" s="61">
        <f>IF(AND(A1401="",C1401="",E1401=""),"",ROW())</f>
        <v/>
      </c>
      <c r="AT1401" s="61">
        <f>IF(E1401&amp;F1401="","",MAX(IFERROR(INDEX('Paramètres'!$J$6:$J$33,MATCH(E1401,'Paramètres'!$I$6:$I$33,0)),0),IFERROR(INDEX('Paramètres'!$N$6:$N$17,MATCH(F1401,'Paramètres'!$M$6:$M$17,0)),0)))</f>
        <v/>
      </c>
      <c r="AU1401" s="61">
        <f>IF(E1401="","",IFERROR(IF(INDEX('Paramètres'!$K$6:$K$33,MATCH(E1401,'Paramètres'!$I$6:$I$33,0))="Oui",1,0),0))</f>
        <v/>
      </c>
      <c r="AV1401" s="61">
        <f>IF(F1401="","",IFERROR(IF(INDEX('Paramètres'!$O$6:$O$17,MATCH(F1401,'Paramètres'!$M$6:$M$17,0))="Oui",1,0),0))</f>
        <v/>
      </c>
      <c r="AW1401" s="62">
        <f>IF(E1401="","",IF(G1401&lt;&gt;"",G1401,IF(OR(E1401="Proposition envoyée",E1401="Signature"),MAX(0,N(IFERROR(INDEX('Paramètres'!$R$6:$R$15,MATCH(IF(AL1401&lt;&gt;"",AL1401,IFERROR(INDEX('Prospects'!$AN$5:$AN$504,MATCH(C1401,'Prospects'!$C$5:$C$504,0)),"")),'Paramètres'!$Q$6:$Q$15,0)),0))-N(P1401)),0)))</f>
        <v/>
      </c>
      <c r="AX1401" s="61">
        <f>IF(C1401="","",IF(COUNTIF($C$5:C1401,C1401)=1,MAX($AX$4:AX1400)+1,""))</f>
        <v/>
      </c>
      <c r="AY1401" s="61">
        <f>IF(B1401="","",HOUR(B1401))</f>
        <v/>
      </c>
      <c r="AZ1401" s="61">
        <f>IF(A1401="","",MOD(A1401-2,7)+1)</f>
        <v/>
      </c>
      <c r="BA1401" s="60">
        <f>IF(C1401="","",IFERROR(INDEX('Prospects'!$N$5:$N$504,MATCH(C1401,'Prospects'!$C$5:$C$504,0)),""))</f>
        <v/>
      </c>
      <c r="BB1401" s="61">
        <f>IF(AND(C1401&lt;&gt;"",C1401='Fiche prospect'!$C$4),COUNTIF($C$5:C1401,C1401),"")</f>
        <v/>
      </c>
    </row>
    <row r="1402">
      <c r="A1402" s="53" t="n"/>
      <c r="B1402" s="54" t="n"/>
      <c r="C1402" s="55" t="n"/>
      <c r="D1402" s="55" t="n"/>
      <c r="E1402" s="55" t="n"/>
      <c r="F1402" s="55" t="n"/>
      <c r="G1402" s="56" t="n"/>
      <c r="H1402" s="57" t="n"/>
      <c r="I1402" s="55" t="n"/>
      <c r="J1402" s="53" t="n"/>
      <c r="K1402" s="54" t="n"/>
      <c r="L1402" s="55" t="n"/>
      <c r="M1402" s="55" t="n"/>
      <c r="N1402" s="57" t="n"/>
      <c r="O1402" s="55" t="n"/>
      <c r="P1402" s="56" t="n"/>
      <c r="Q1402" s="55" t="n"/>
      <c r="R1402" s="55" t="n"/>
      <c r="S1402" s="55" t="n"/>
      <c r="T1402" s="55" t="n"/>
      <c r="U1402" s="55" t="n"/>
      <c r="V1402" s="55" t="n"/>
      <c r="W1402" s="58" t="n"/>
      <c r="X1402" s="58" t="n"/>
      <c r="Y1402" s="55" t="n"/>
      <c r="Z1402" s="55" t="n"/>
      <c r="AA1402" s="55" t="n"/>
      <c r="AB1402" s="55" t="n"/>
      <c r="AC1402" s="55" t="n"/>
      <c r="AD1402" s="53" t="n"/>
      <c r="AE1402" s="55" t="n"/>
      <c r="AF1402" s="55" t="n"/>
      <c r="AG1402" s="59" t="n"/>
      <c r="AH1402" s="57" t="n"/>
      <c r="AI1402" s="55" t="n"/>
      <c r="AJ1402" s="55" t="n"/>
      <c r="AK1402" s="55" t="n"/>
      <c r="AL1402" s="55" t="n"/>
      <c r="AM1402" s="56" t="n"/>
      <c r="AN1402" s="55" t="n"/>
      <c r="AO1402" s="55" t="n"/>
      <c r="AP1402" s="55" t="n"/>
      <c r="AQ1402" s="55" t="n"/>
      <c r="AR1402" s="60">
        <f>IF(AND(C1402="",E1402=""),"",IF(A1402="","⚠ Date manquante",IF(AND(C1402="",E1402&lt;&gt;"Dépense"),"⚠ Prospect manquant",IF(E1402="","⚠ Action manquante",IF(AND(AU1402=1,D1402=""),"⚠ Canal manquant",IF(AND(W1402&lt;&gt;"",COUNTIFS('Saisie'!$W$5:$W$2004,W1402,'Saisie'!$C$5:$C$2004,"&lt;&gt;"&amp;C1402)&gt;0),"⚠ Numéro déjà utilisé par un autre prospect",IF(AND(J1402&lt;&gt;"",J1402&lt;A1402),"⚠ Relance avant la date de l'action",IF(A1402&gt;TODAY(),"⚠ Date dans le futur","✓"))))))))</f>
        <v/>
      </c>
      <c r="AS1402" s="61">
        <f>IF(AND(A1402="",C1402="",E1402=""),"",ROW())</f>
        <v/>
      </c>
      <c r="AT1402" s="61">
        <f>IF(E1402&amp;F1402="","",MAX(IFERROR(INDEX('Paramètres'!$J$6:$J$33,MATCH(E1402,'Paramètres'!$I$6:$I$33,0)),0),IFERROR(INDEX('Paramètres'!$N$6:$N$17,MATCH(F1402,'Paramètres'!$M$6:$M$17,0)),0)))</f>
        <v/>
      </c>
      <c r="AU1402" s="61">
        <f>IF(E1402="","",IFERROR(IF(INDEX('Paramètres'!$K$6:$K$33,MATCH(E1402,'Paramètres'!$I$6:$I$33,0))="Oui",1,0),0))</f>
        <v/>
      </c>
      <c r="AV1402" s="61">
        <f>IF(F1402="","",IFERROR(IF(INDEX('Paramètres'!$O$6:$O$17,MATCH(F1402,'Paramètres'!$M$6:$M$17,0))="Oui",1,0),0))</f>
        <v/>
      </c>
      <c r="AW1402" s="62">
        <f>IF(E1402="","",IF(G1402&lt;&gt;"",G1402,IF(OR(E1402="Proposition envoyée",E1402="Signature"),MAX(0,N(IFERROR(INDEX('Paramètres'!$R$6:$R$15,MATCH(IF(AL1402&lt;&gt;"",AL1402,IFERROR(INDEX('Prospects'!$AN$5:$AN$504,MATCH(C1402,'Prospects'!$C$5:$C$504,0)),"")),'Paramètres'!$Q$6:$Q$15,0)),0))-N(P1402)),0)))</f>
        <v/>
      </c>
      <c r="AX1402" s="61">
        <f>IF(C1402="","",IF(COUNTIF($C$5:C1402,C1402)=1,MAX($AX$4:AX1401)+1,""))</f>
        <v/>
      </c>
      <c r="AY1402" s="61">
        <f>IF(B1402="","",HOUR(B1402))</f>
        <v/>
      </c>
      <c r="AZ1402" s="61">
        <f>IF(A1402="","",MOD(A1402-2,7)+1)</f>
        <v/>
      </c>
      <c r="BA1402" s="60">
        <f>IF(C1402="","",IFERROR(INDEX('Prospects'!$N$5:$N$504,MATCH(C1402,'Prospects'!$C$5:$C$504,0)),""))</f>
        <v/>
      </c>
      <c r="BB1402" s="61">
        <f>IF(AND(C1402&lt;&gt;"",C1402='Fiche prospect'!$C$4),COUNTIF($C$5:C1402,C1402),"")</f>
        <v/>
      </c>
    </row>
    <row r="1403">
      <c r="A1403" s="53" t="n"/>
      <c r="B1403" s="54" t="n"/>
      <c r="C1403" s="55" t="n"/>
      <c r="D1403" s="55" t="n"/>
      <c r="E1403" s="55" t="n"/>
      <c r="F1403" s="55" t="n"/>
      <c r="G1403" s="56" t="n"/>
      <c r="H1403" s="57" t="n"/>
      <c r="I1403" s="55" t="n"/>
      <c r="J1403" s="53" t="n"/>
      <c r="K1403" s="54" t="n"/>
      <c r="L1403" s="55" t="n"/>
      <c r="M1403" s="55" t="n"/>
      <c r="N1403" s="57" t="n"/>
      <c r="O1403" s="55" t="n"/>
      <c r="P1403" s="56" t="n"/>
      <c r="Q1403" s="55" t="n"/>
      <c r="R1403" s="55" t="n"/>
      <c r="S1403" s="55" t="n"/>
      <c r="T1403" s="55" t="n"/>
      <c r="U1403" s="55" t="n"/>
      <c r="V1403" s="55" t="n"/>
      <c r="W1403" s="58" t="n"/>
      <c r="X1403" s="58" t="n"/>
      <c r="Y1403" s="55" t="n"/>
      <c r="Z1403" s="55" t="n"/>
      <c r="AA1403" s="55" t="n"/>
      <c r="AB1403" s="55" t="n"/>
      <c r="AC1403" s="55" t="n"/>
      <c r="AD1403" s="53" t="n"/>
      <c r="AE1403" s="55" t="n"/>
      <c r="AF1403" s="55" t="n"/>
      <c r="AG1403" s="59" t="n"/>
      <c r="AH1403" s="57" t="n"/>
      <c r="AI1403" s="55" t="n"/>
      <c r="AJ1403" s="55" t="n"/>
      <c r="AK1403" s="55" t="n"/>
      <c r="AL1403" s="55" t="n"/>
      <c r="AM1403" s="56" t="n"/>
      <c r="AN1403" s="55" t="n"/>
      <c r="AO1403" s="55" t="n"/>
      <c r="AP1403" s="55" t="n"/>
      <c r="AQ1403" s="55" t="n"/>
      <c r="AR1403" s="60">
        <f>IF(AND(C1403="",E1403=""),"",IF(A1403="","⚠ Date manquante",IF(AND(C1403="",E1403&lt;&gt;"Dépense"),"⚠ Prospect manquant",IF(E1403="","⚠ Action manquante",IF(AND(AU1403=1,D1403=""),"⚠ Canal manquant",IF(AND(W1403&lt;&gt;"",COUNTIFS('Saisie'!$W$5:$W$2004,W1403,'Saisie'!$C$5:$C$2004,"&lt;&gt;"&amp;C1403)&gt;0),"⚠ Numéro déjà utilisé par un autre prospect",IF(AND(J1403&lt;&gt;"",J1403&lt;A1403),"⚠ Relance avant la date de l'action",IF(A1403&gt;TODAY(),"⚠ Date dans le futur","✓"))))))))</f>
        <v/>
      </c>
      <c r="AS1403" s="61">
        <f>IF(AND(A1403="",C1403="",E1403=""),"",ROW())</f>
        <v/>
      </c>
      <c r="AT1403" s="61">
        <f>IF(E1403&amp;F1403="","",MAX(IFERROR(INDEX('Paramètres'!$J$6:$J$33,MATCH(E1403,'Paramètres'!$I$6:$I$33,0)),0),IFERROR(INDEX('Paramètres'!$N$6:$N$17,MATCH(F1403,'Paramètres'!$M$6:$M$17,0)),0)))</f>
        <v/>
      </c>
      <c r="AU1403" s="61">
        <f>IF(E1403="","",IFERROR(IF(INDEX('Paramètres'!$K$6:$K$33,MATCH(E1403,'Paramètres'!$I$6:$I$33,0))="Oui",1,0),0))</f>
        <v/>
      </c>
      <c r="AV1403" s="61">
        <f>IF(F1403="","",IFERROR(IF(INDEX('Paramètres'!$O$6:$O$17,MATCH(F1403,'Paramètres'!$M$6:$M$17,0))="Oui",1,0),0))</f>
        <v/>
      </c>
      <c r="AW1403" s="62">
        <f>IF(E1403="","",IF(G1403&lt;&gt;"",G1403,IF(OR(E1403="Proposition envoyée",E1403="Signature"),MAX(0,N(IFERROR(INDEX('Paramètres'!$R$6:$R$15,MATCH(IF(AL1403&lt;&gt;"",AL1403,IFERROR(INDEX('Prospects'!$AN$5:$AN$504,MATCH(C1403,'Prospects'!$C$5:$C$504,0)),"")),'Paramètres'!$Q$6:$Q$15,0)),0))-N(P1403)),0)))</f>
        <v/>
      </c>
      <c r="AX1403" s="61">
        <f>IF(C1403="","",IF(COUNTIF($C$5:C1403,C1403)=1,MAX($AX$4:AX1402)+1,""))</f>
        <v/>
      </c>
      <c r="AY1403" s="61">
        <f>IF(B1403="","",HOUR(B1403))</f>
        <v/>
      </c>
      <c r="AZ1403" s="61">
        <f>IF(A1403="","",MOD(A1403-2,7)+1)</f>
        <v/>
      </c>
      <c r="BA1403" s="60">
        <f>IF(C1403="","",IFERROR(INDEX('Prospects'!$N$5:$N$504,MATCH(C1403,'Prospects'!$C$5:$C$504,0)),""))</f>
        <v/>
      </c>
      <c r="BB1403" s="61">
        <f>IF(AND(C1403&lt;&gt;"",C1403='Fiche prospect'!$C$4),COUNTIF($C$5:C1403,C1403),"")</f>
        <v/>
      </c>
    </row>
    <row r="1404">
      <c r="A1404" s="53" t="n"/>
      <c r="B1404" s="54" t="n"/>
      <c r="C1404" s="55" t="n"/>
      <c r="D1404" s="55" t="n"/>
      <c r="E1404" s="55" t="n"/>
      <c r="F1404" s="55" t="n"/>
      <c r="G1404" s="56" t="n"/>
      <c r="H1404" s="57" t="n"/>
      <c r="I1404" s="55" t="n"/>
      <c r="J1404" s="53" t="n"/>
      <c r="K1404" s="54" t="n"/>
      <c r="L1404" s="55" t="n"/>
      <c r="M1404" s="55" t="n"/>
      <c r="N1404" s="57" t="n"/>
      <c r="O1404" s="55" t="n"/>
      <c r="P1404" s="56" t="n"/>
      <c r="Q1404" s="55" t="n"/>
      <c r="R1404" s="55" t="n"/>
      <c r="S1404" s="55" t="n"/>
      <c r="T1404" s="55" t="n"/>
      <c r="U1404" s="55" t="n"/>
      <c r="V1404" s="55" t="n"/>
      <c r="W1404" s="58" t="n"/>
      <c r="X1404" s="58" t="n"/>
      <c r="Y1404" s="55" t="n"/>
      <c r="Z1404" s="55" t="n"/>
      <c r="AA1404" s="55" t="n"/>
      <c r="AB1404" s="55" t="n"/>
      <c r="AC1404" s="55" t="n"/>
      <c r="AD1404" s="53" t="n"/>
      <c r="AE1404" s="55" t="n"/>
      <c r="AF1404" s="55" t="n"/>
      <c r="AG1404" s="59" t="n"/>
      <c r="AH1404" s="57" t="n"/>
      <c r="AI1404" s="55" t="n"/>
      <c r="AJ1404" s="55" t="n"/>
      <c r="AK1404" s="55" t="n"/>
      <c r="AL1404" s="55" t="n"/>
      <c r="AM1404" s="56" t="n"/>
      <c r="AN1404" s="55" t="n"/>
      <c r="AO1404" s="55" t="n"/>
      <c r="AP1404" s="55" t="n"/>
      <c r="AQ1404" s="55" t="n"/>
      <c r="AR1404" s="60">
        <f>IF(AND(C1404="",E1404=""),"",IF(A1404="","⚠ Date manquante",IF(AND(C1404="",E1404&lt;&gt;"Dépense"),"⚠ Prospect manquant",IF(E1404="","⚠ Action manquante",IF(AND(AU1404=1,D1404=""),"⚠ Canal manquant",IF(AND(W1404&lt;&gt;"",COUNTIFS('Saisie'!$W$5:$W$2004,W1404,'Saisie'!$C$5:$C$2004,"&lt;&gt;"&amp;C1404)&gt;0),"⚠ Numéro déjà utilisé par un autre prospect",IF(AND(J1404&lt;&gt;"",J1404&lt;A1404),"⚠ Relance avant la date de l'action",IF(A1404&gt;TODAY(),"⚠ Date dans le futur","✓"))))))))</f>
        <v/>
      </c>
      <c r="AS1404" s="61">
        <f>IF(AND(A1404="",C1404="",E1404=""),"",ROW())</f>
        <v/>
      </c>
      <c r="AT1404" s="61">
        <f>IF(E1404&amp;F1404="","",MAX(IFERROR(INDEX('Paramètres'!$J$6:$J$33,MATCH(E1404,'Paramètres'!$I$6:$I$33,0)),0),IFERROR(INDEX('Paramètres'!$N$6:$N$17,MATCH(F1404,'Paramètres'!$M$6:$M$17,0)),0)))</f>
        <v/>
      </c>
      <c r="AU1404" s="61">
        <f>IF(E1404="","",IFERROR(IF(INDEX('Paramètres'!$K$6:$K$33,MATCH(E1404,'Paramètres'!$I$6:$I$33,0))="Oui",1,0),0))</f>
        <v/>
      </c>
      <c r="AV1404" s="61">
        <f>IF(F1404="","",IFERROR(IF(INDEX('Paramètres'!$O$6:$O$17,MATCH(F1404,'Paramètres'!$M$6:$M$17,0))="Oui",1,0),0))</f>
        <v/>
      </c>
      <c r="AW1404" s="62">
        <f>IF(E1404="","",IF(G1404&lt;&gt;"",G1404,IF(OR(E1404="Proposition envoyée",E1404="Signature"),MAX(0,N(IFERROR(INDEX('Paramètres'!$R$6:$R$15,MATCH(IF(AL1404&lt;&gt;"",AL1404,IFERROR(INDEX('Prospects'!$AN$5:$AN$504,MATCH(C1404,'Prospects'!$C$5:$C$504,0)),"")),'Paramètres'!$Q$6:$Q$15,0)),0))-N(P1404)),0)))</f>
        <v/>
      </c>
      <c r="AX1404" s="61">
        <f>IF(C1404="","",IF(COUNTIF($C$5:C1404,C1404)=1,MAX($AX$4:AX1403)+1,""))</f>
        <v/>
      </c>
      <c r="AY1404" s="61">
        <f>IF(B1404="","",HOUR(B1404))</f>
        <v/>
      </c>
      <c r="AZ1404" s="61">
        <f>IF(A1404="","",MOD(A1404-2,7)+1)</f>
        <v/>
      </c>
      <c r="BA1404" s="60">
        <f>IF(C1404="","",IFERROR(INDEX('Prospects'!$N$5:$N$504,MATCH(C1404,'Prospects'!$C$5:$C$504,0)),""))</f>
        <v/>
      </c>
      <c r="BB1404" s="61">
        <f>IF(AND(C1404&lt;&gt;"",C1404='Fiche prospect'!$C$4),COUNTIF($C$5:C1404,C1404),"")</f>
        <v/>
      </c>
    </row>
    <row r="1405">
      <c r="A1405" s="53" t="n"/>
      <c r="B1405" s="54" t="n"/>
      <c r="C1405" s="55" t="n"/>
      <c r="D1405" s="55" t="n"/>
      <c r="E1405" s="55" t="n"/>
      <c r="F1405" s="55" t="n"/>
      <c r="G1405" s="56" t="n"/>
      <c r="H1405" s="57" t="n"/>
      <c r="I1405" s="55" t="n"/>
      <c r="J1405" s="53" t="n"/>
      <c r="K1405" s="54" t="n"/>
      <c r="L1405" s="55" t="n"/>
      <c r="M1405" s="55" t="n"/>
      <c r="N1405" s="57" t="n"/>
      <c r="O1405" s="55" t="n"/>
      <c r="P1405" s="56" t="n"/>
      <c r="Q1405" s="55" t="n"/>
      <c r="R1405" s="55" t="n"/>
      <c r="S1405" s="55" t="n"/>
      <c r="T1405" s="55" t="n"/>
      <c r="U1405" s="55" t="n"/>
      <c r="V1405" s="55" t="n"/>
      <c r="W1405" s="58" t="n"/>
      <c r="X1405" s="58" t="n"/>
      <c r="Y1405" s="55" t="n"/>
      <c r="Z1405" s="55" t="n"/>
      <c r="AA1405" s="55" t="n"/>
      <c r="AB1405" s="55" t="n"/>
      <c r="AC1405" s="55" t="n"/>
      <c r="AD1405" s="53" t="n"/>
      <c r="AE1405" s="55" t="n"/>
      <c r="AF1405" s="55" t="n"/>
      <c r="AG1405" s="59" t="n"/>
      <c r="AH1405" s="57" t="n"/>
      <c r="AI1405" s="55" t="n"/>
      <c r="AJ1405" s="55" t="n"/>
      <c r="AK1405" s="55" t="n"/>
      <c r="AL1405" s="55" t="n"/>
      <c r="AM1405" s="56" t="n"/>
      <c r="AN1405" s="55" t="n"/>
      <c r="AO1405" s="55" t="n"/>
      <c r="AP1405" s="55" t="n"/>
      <c r="AQ1405" s="55" t="n"/>
      <c r="AR1405" s="60">
        <f>IF(AND(C1405="",E1405=""),"",IF(A1405="","⚠ Date manquante",IF(AND(C1405="",E1405&lt;&gt;"Dépense"),"⚠ Prospect manquant",IF(E1405="","⚠ Action manquante",IF(AND(AU1405=1,D1405=""),"⚠ Canal manquant",IF(AND(W1405&lt;&gt;"",COUNTIFS('Saisie'!$W$5:$W$2004,W1405,'Saisie'!$C$5:$C$2004,"&lt;&gt;"&amp;C1405)&gt;0),"⚠ Numéro déjà utilisé par un autre prospect",IF(AND(J1405&lt;&gt;"",J1405&lt;A1405),"⚠ Relance avant la date de l'action",IF(A1405&gt;TODAY(),"⚠ Date dans le futur","✓"))))))))</f>
        <v/>
      </c>
      <c r="AS1405" s="61">
        <f>IF(AND(A1405="",C1405="",E1405=""),"",ROW())</f>
        <v/>
      </c>
      <c r="AT1405" s="61">
        <f>IF(E1405&amp;F1405="","",MAX(IFERROR(INDEX('Paramètres'!$J$6:$J$33,MATCH(E1405,'Paramètres'!$I$6:$I$33,0)),0),IFERROR(INDEX('Paramètres'!$N$6:$N$17,MATCH(F1405,'Paramètres'!$M$6:$M$17,0)),0)))</f>
        <v/>
      </c>
      <c r="AU1405" s="61">
        <f>IF(E1405="","",IFERROR(IF(INDEX('Paramètres'!$K$6:$K$33,MATCH(E1405,'Paramètres'!$I$6:$I$33,0))="Oui",1,0),0))</f>
        <v/>
      </c>
      <c r="AV1405" s="61">
        <f>IF(F1405="","",IFERROR(IF(INDEX('Paramètres'!$O$6:$O$17,MATCH(F1405,'Paramètres'!$M$6:$M$17,0))="Oui",1,0),0))</f>
        <v/>
      </c>
      <c r="AW1405" s="62">
        <f>IF(E1405="","",IF(G1405&lt;&gt;"",G1405,IF(OR(E1405="Proposition envoyée",E1405="Signature"),MAX(0,N(IFERROR(INDEX('Paramètres'!$R$6:$R$15,MATCH(IF(AL1405&lt;&gt;"",AL1405,IFERROR(INDEX('Prospects'!$AN$5:$AN$504,MATCH(C1405,'Prospects'!$C$5:$C$504,0)),"")),'Paramètres'!$Q$6:$Q$15,0)),0))-N(P1405)),0)))</f>
        <v/>
      </c>
      <c r="AX1405" s="61">
        <f>IF(C1405="","",IF(COUNTIF($C$5:C1405,C1405)=1,MAX($AX$4:AX1404)+1,""))</f>
        <v/>
      </c>
      <c r="AY1405" s="61">
        <f>IF(B1405="","",HOUR(B1405))</f>
        <v/>
      </c>
      <c r="AZ1405" s="61">
        <f>IF(A1405="","",MOD(A1405-2,7)+1)</f>
        <v/>
      </c>
      <c r="BA1405" s="60">
        <f>IF(C1405="","",IFERROR(INDEX('Prospects'!$N$5:$N$504,MATCH(C1405,'Prospects'!$C$5:$C$504,0)),""))</f>
        <v/>
      </c>
      <c r="BB1405" s="61">
        <f>IF(AND(C1405&lt;&gt;"",C1405='Fiche prospect'!$C$4),COUNTIF($C$5:C1405,C1405),"")</f>
        <v/>
      </c>
    </row>
    <row r="1406">
      <c r="A1406" s="53" t="n"/>
      <c r="B1406" s="54" t="n"/>
      <c r="C1406" s="55" t="n"/>
      <c r="D1406" s="55" t="n"/>
      <c r="E1406" s="55" t="n"/>
      <c r="F1406" s="55" t="n"/>
      <c r="G1406" s="56" t="n"/>
      <c r="H1406" s="57" t="n"/>
      <c r="I1406" s="55" t="n"/>
      <c r="J1406" s="53" t="n"/>
      <c r="K1406" s="54" t="n"/>
      <c r="L1406" s="55" t="n"/>
      <c r="M1406" s="55" t="n"/>
      <c r="N1406" s="57" t="n"/>
      <c r="O1406" s="55" t="n"/>
      <c r="P1406" s="56" t="n"/>
      <c r="Q1406" s="55" t="n"/>
      <c r="R1406" s="55" t="n"/>
      <c r="S1406" s="55" t="n"/>
      <c r="T1406" s="55" t="n"/>
      <c r="U1406" s="55" t="n"/>
      <c r="V1406" s="55" t="n"/>
      <c r="W1406" s="58" t="n"/>
      <c r="X1406" s="58" t="n"/>
      <c r="Y1406" s="55" t="n"/>
      <c r="Z1406" s="55" t="n"/>
      <c r="AA1406" s="55" t="n"/>
      <c r="AB1406" s="55" t="n"/>
      <c r="AC1406" s="55" t="n"/>
      <c r="AD1406" s="53" t="n"/>
      <c r="AE1406" s="55" t="n"/>
      <c r="AF1406" s="55" t="n"/>
      <c r="AG1406" s="59" t="n"/>
      <c r="AH1406" s="57" t="n"/>
      <c r="AI1406" s="55" t="n"/>
      <c r="AJ1406" s="55" t="n"/>
      <c r="AK1406" s="55" t="n"/>
      <c r="AL1406" s="55" t="n"/>
      <c r="AM1406" s="56" t="n"/>
      <c r="AN1406" s="55" t="n"/>
      <c r="AO1406" s="55" t="n"/>
      <c r="AP1406" s="55" t="n"/>
      <c r="AQ1406" s="55" t="n"/>
      <c r="AR1406" s="60">
        <f>IF(AND(C1406="",E1406=""),"",IF(A1406="","⚠ Date manquante",IF(AND(C1406="",E1406&lt;&gt;"Dépense"),"⚠ Prospect manquant",IF(E1406="","⚠ Action manquante",IF(AND(AU1406=1,D1406=""),"⚠ Canal manquant",IF(AND(W1406&lt;&gt;"",COUNTIFS('Saisie'!$W$5:$W$2004,W1406,'Saisie'!$C$5:$C$2004,"&lt;&gt;"&amp;C1406)&gt;0),"⚠ Numéro déjà utilisé par un autre prospect",IF(AND(J1406&lt;&gt;"",J1406&lt;A1406),"⚠ Relance avant la date de l'action",IF(A1406&gt;TODAY(),"⚠ Date dans le futur","✓"))))))))</f>
        <v/>
      </c>
      <c r="AS1406" s="61">
        <f>IF(AND(A1406="",C1406="",E1406=""),"",ROW())</f>
        <v/>
      </c>
      <c r="AT1406" s="61">
        <f>IF(E1406&amp;F1406="","",MAX(IFERROR(INDEX('Paramètres'!$J$6:$J$33,MATCH(E1406,'Paramètres'!$I$6:$I$33,0)),0),IFERROR(INDEX('Paramètres'!$N$6:$N$17,MATCH(F1406,'Paramètres'!$M$6:$M$17,0)),0)))</f>
        <v/>
      </c>
      <c r="AU1406" s="61">
        <f>IF(E1406="","",IFERROR(IF(INDEX('Paramètres'!$K$6:$K$33,MATCH(E1406,'Paramètres'!$I$6:$I$33,0))="Oui",1,0),0))</f>
        <v/>
      </c>
      <c r="AV1406" s="61">
        <f>IF(F1406="","",IFERROR(IF(INDEX('Paramètres'!$O$6:$O$17,MATCH(F1406,'Paramètres'!$M$6:$M$17,0))="Oui",1,0),0))</f>
        <v/>
      </c>
      <c r="AW1406" s="62">
        <f>IF(E1406="","",IF(G1406&lt;&gt;"",G1406,IF(OR(E1406="Proposition envoyée",E1406="Signature"),MAX(0,N(IFERROR(INDEX('Paramètres'!$R$6:$R$15,MATCH(IF(AL1406&lt;&gt;"",AL1406,IFERROR(INDEX('Prospects'!$AN$5:$AN$504,MATCH(C1406,'Prospects'!$C$5:$C$504,0)),"")),'Paramètres'!$Q$6:$Q$15,0)),0))-N(P1406)),0)))</f>
        <v/>
      </c>
      <c r="AX1406" s="61">
        <f>IF(C1406="","",IF(COUNTIF($C$5:C1406,C1406)=1,MAX($AX$4:AX1405)+1,""))</f>
        <v/>
      </c>
      <c r="AY1406" s="61">
        <f>IF(B1406="","",HOUR(B1406))</f>
        <v/>
      </c>
      <c r="AZ1406" s="61">
        <f>IF(A1406="","",MOD(A1406-2,7)+1)</f>
        <v/>
      </c>
      <c r="BA1406" s="60">
        <f>IF(C1406="","",IFERROR(INDEX('Prospects'!$N$5:$N$504,MATCH(C1406,'Prospects'!$C$5:$C$504,0)),""))</f>
        <v/>
      </c>
      <c r="BB1406" s="61">
        <f>IF(AND(C1406&lt;&gt;"",C1406='Fiche prospect'!$C$4),COUNTIF($C$5:C1406,C1406),"")</f>
        <v/>
      </c>
    </row>
    <row r="1407">
      <c r="A1407" s="53" t="n"/>
      <c r="B1407" s="54" t="n"/>
      <c r="C1407" s="55" t="n"/>
      <c r="D1407" s="55" t="n"/>
      <c r="E1407" s="55" t="n"/>
      <c r="F1407" s="55" t="n"/>
      <c r="G1407" s="56" t="n"/>
      <c r="H1407" s="57" t="n"/>
      <c r="I1407" s="55" t="n"/>
      <c r="J1407" s="53" t="n"/>
      <c r="K1407" s="54" t="n"/>
      <c r="L1407" s="55" t="n"/>
      <c r="M1407" s="55" t="n"/>
      <c r="N1407" s="57" t="n"/>
      <c r="O1407" s="55" t="n"/>
      <c r="P1407" s="56" t="n"/>
      <c r="Q1407" s="55" t="n"/>
      <c r="R1407" s="55" t="n"/>
      <c r="S1407" s="55" t="n"/>
      <c r="T1407" s="55" t="n"/>
      <c r="U1407" s="55" t="n"/>
      <c r="V1407" s="55" t="n"/>
      <c r="W1407" s="58" t="n"/>
      <c r="X1407" s="58" t="n"/>
      <c r="Y1407" s="55" t="n"/>
      <c r="Z1407" s="55" t="n"/>
      <c r="AA1407" s="55" t="n"/>
      <c r="AB1407" s="55" t="n"/>
      <c r="AC1407" s="55" t="n"/>
      <c r="AD1407" s="53" t="n"/>
      <c r="AE1407" s="55" t="n"/>
      <c r="AF1407" s="55" t="n"/>
      <c r="AG1407" s="59" t="n"/>
      <c r="AH1407" s="57" t="n"/>
      <c r="AI1407" s="55" t="n"/>
      <c r="AJ1407" s="55" t="n"/>
      <c r="AK1407" s="55" t="n"/>
      <c r="AL1407" s="55" t="n"/>
      <c r="AM1407" s="56" t="n"/>
      <c r="AN1407" s="55" t="n"/>
      <c r="AO1407" s="55" t="n"/>
      <c r="AP1407" s="55" t="n"/>
      <c r="AQ1407" s="55" t="n"/>
      <c r="AR1407" s="60">
        <f>IF(AND(C1407="",E1407=""),"",IF(A1407="","⚠ Date manquante",IF(AND(C1407="",E1407&lt;&gt;"Dépense"),"⚠ Prospect manquant",IF(E1407="","⚠ Action manquante",IF(AND(AU1407=1,D1407=""),"⚠ Canal manquant",IF(AND(W1407&lt;&gt;"",COUNTIFS('Saisie'!$W$5:$W$2004,W1407,'Saisie'!$C$5:$C$2004,"&lt;&gt;"&amp;C1407)&gt;0),"⚠ Numéro déjà utilisé par un autre prospect",IF(AND(J1407&lt;&gt;"",J1407&lt;A1407),"⚠ Relance avant la date de l'action",IF(A1407&gt;TODAY(),"⚠ Date dans le futur","✓"))))))))</f>
        <v/>
      </c>
      <c r="AS1407" s="61">
        <f>IF(AND(A1407="",C1407="",E1407=""),"",ROW())</f>
        <v/>
      </c>
      <c r="AT1407" s="61">
        <f>IF(E1407&amp;F1407="","",MAX(IFERROR(INDEX('Paramètres'!$J$6:$J$33,MATCH(E1407,'Paramètres'!$I$6:$I$33,0)),0),IFERROR(INDEX('Paramètres'!$N$6:$N$17,MATCH(F1407,'Paramètres'!$M$6:$M$17,0)),0)))</f>
        <v/>
      </c>
      <c r="AU1407" s="61">
        <f>IF(E1407="","",IFERROR(IF(INDEX('Paramètres'!$K$6:$K$33,MATCH(E1407,'Paramètres'!$I$6:$I$33,0))="Oui",1,0),0))</f>
        <v/>
      </c>
      <c r="AV1407" s="61">
        <f>IF(F1407="","",IFERROR(IF(INDEX('Paramètres'!$O$6:$O$17,MATCH(F1407,'Paramètres'!$M$6:$M$17,0))="Oui",1,0),0))</f>
        <v/>
      </c>
      <c r="AW1407" s="62">
        <f>IF(E1407="","",IF(G1407&lt;&gt;"",G1407,IF(OR(E1407="Proposition envoyée",E1407="Signature"),MAX(0,N(IFERROR(INDEX('Paramètres'!$R$6:$R$15,MATCH(IF(AL1407&lt;&gt;"",AL1407,IFERROR(INDEX('Prospects'!$AN$5:$AN$504,MATCH(C1407,'Prospects'!$C$5:$C$504,0)),"")),'Paramètres'!$Q$6:$Q$15,0)),0))-N(P1407)),0)))</f>
        <v/>
      </c>
      <c r="AX1407" s="61">
        <f>IF(C1407="","",IF(COUNTIF($C$5:C1407,C1407)=1,MAX($AX$4:AX1406)+1,""))</f>
        <v/>
      </c>
      <c r="AY1407" s="61">
        <f>IF(B1407="","",HOUR(B1407))</f>
        <v/>
      </c>
      <c r="AZ1407" s="61">
        <f>IF(A1407="","",MOD(A1407-2,7)+1)</f>
        <v/>
      </c>
      <c r="BA1407" s="60">
        <f>IF(C1407="","",IFERROR(INDEX('Prospects'!$N$5:$N$504,MATCH(C1407,'Prospects'!$C$5:$C$504,0)),""))</f>
        <v/>
      </c>
      <c r="BB1407" s="61">
        <f>IF(AND(C1407&lt;&gt;"",C1407='Fiche prospect'!$C$4),COUNTIF($C$5:C1407,C1407),"")</f>
        <v/>
      </c>
    </row>
    <row r="1408">
      <c r="A1408" s="53" t="n"/>
      <c r="B1408" s="54" t="n"/>
      <c r="C1408" s="55" t="n"/>
      <c r="D1408" s="55" t="n"/>
      <c r="E1408" s="55" t="n"/>
      <c r="F1408" s="55" t="n"/>
      <c r="G1408" s="56" t="n"/>
      <c r="H1408" s="57" t="n"/>
      <c r="I1408" s="55" t="n"/>
      <c r="J1408" s="53" t="n"/>
      <c r="K1408" s="54" t="n"/>
      <c r="L1408" s="55" t="n"/>
      <c r="M1408" s="55" t="n"/>
      <c r="N1408" s="57" t="n"/>
      <c r="O1408" s="55" t="n"/>
      <c r="P1408" s="56" t="n"/>
      <c r="Q1408" s="55" t="n"/>
      <c r="R1408" s="55" t="n"/>
      <c r="S1408" s="55" t="n"/>
      <c r="T1408" s="55" t="n"/>
      <c r="U1408" s="55" t="n"/>
      <c r="V1408" s="55" t="n"/>
      <c r="W1408" s="58" t="n"/>
      <c r="X1408" s="58" t="n"/>
      <c r="Y1408" s="55" t="n"/>
      <c r="Z1408" s="55" t="n"/>
      <c r="AA1408" s="55" t="n"/>
      <c r="AB1408" s="55" t="n"/>
      <c r="AC1408" s="55" t="n"/>
      <c r="AD1408" s="53" t="n"/>
      <c r="AE1408" s="55" t="n"/>
      <c r="AF1408" s="55" t="n"/>
      <c r="AG1408" s="59" t="n"/>
      <c r="AH1408" s="57" t="n"/>
      <c r="AI1408" s="55" t="n"/>
      <c r="AJ1408" s="55" t="n"/>
      <c r="AK1408" s="55" t="n"/>
      <c r="AL1408" s="55" t="n"/>
      <c r="AM1408" s="56" t="n"/>
      <c r="AN1408" s="55" t="n"/>
      <c r="AO1408" s="55" t="n"/>
      <c r="AP1408" s="55" t="n"/>
      <c r="AQ1408" s="55" t="n"/>
      <c r="AR1408" s="60">
        <f>IF(AND(C1408="",E1408=""),"",IF(A1408="","⚠ Date manquante",IF(AND(C1408="",E1408&lt;&gt;"Dépense"),"⚠ Prospect manquant",IF(E1408="","⚠ Action manquante",IF(AND(AU1408=1,D1408=""),"⚠ Canal manquant",IF(AND(W1408&lt;&gt;"",COUNTIFS('Saisie'!$W$5:$W$2004,W1408,'Saisie'!$C$5:$C$2004,"&lt;&gt;"&amp;C1408)&gt;0),"⚠ Numéro déjà utilisé par un autre prospect",IF(AND(J1408&lt;&gt;"",J1408&lt;A1408),"⚠ Relance avant la date de l'action",IF(A1408&gt;TODAY(),"⚠ Date dans le futur","✓"))))))))</f>
        <v/>
      </c>
      <c r="AS1408" s="61">
        <f>IF(AND(A1408="",C1408="",E1408=""),"",ROW())</f>
        <v/>
      </c>
      <c r="AT1408" s="61">
        <f>IF(E1408&amp;F1408="","",MAX(IFERROR(INDEX('Paramètres'!$J$6:$J$33,MATCH(E1408,'Paramètres'!$I$6:$I$33,0)),0),IFERROR(INDEX('Paramètres'!$N$6:$N$17,MATCH(F1408,'Paramètres'!$M$6:$M$17,0)),0)))</f>
        <v/>
      </c>
      <c r="AU1408" s="61">
        <f>IF(E1408="","",IFERROR(IF(INDEX('Paramètres'!$K$6:$K$33,MATCH(E1408,'Paramètres'!$I$6:$I$33,0))="Oui",1,0),0))</f>
        <v/>
      </c>
      <c r="AV1408" s="61">
        <f>IF(F1408="","",IFERROR(IF(INDEX('Paramètres'!$O$6:$O$17,MATCH(F1408,'Paramètres'!$M$6:$M$17,0))="Oui",1,0),0))</f>
        <v/>
      </c>
      <c r="AW1408" s="62">
        <f>IF(E1408="","",IF(G1408&lt;&gt;"",G1408,IF(OR(E1408="Proposition envoyée",E1408="Signature"),MAX(0,N(IFERROR(INDEX('Paramètres'!$R$6:$R$15,MATCH(IF(AL1408&lt;&gt;"",AL1408,IFERROR(INDEX('Prospects'!$AN$5:$AN$504,MATCH(C1408,'Prospects'!$C$5:$C$504,0)),"")),'Paramètres'!$Q$6:$Q$15,0)),0))-N(P1408)),0)))</f>
        <v/>
      </c>
      <c r="AX1408" s="61">
        <f>IF(C1408="","",IF(COUNTIF($C$5:C1408,C1408)=1,MAX($AX$4:AX1407)+1,""))</f>
        <v/>
      </c>
      <c r="AY1408" s="61">
        <f>IF(B1408="","",HOUR(B1408))</f>
        <v/>
      </c>
      <c r="AZ1408" s="61">
        <f>IF(A1408="","",MOD(A1408-2,7)+1)</f>
        <v/>
      </c>
      <c r="BA1408" s="60">
        <f>IF(C1408="","",IFERROR(INDEX('Prospects'!$N$5:$N$504,MATCH(C1408,'Prospects'!$C$5:$C$504,0)),""))</f>
        <v/>
      </c>
      <c r="BB1408" s="61">
        <f>IF(AND(C1408&lt;&gt;"",C1408='Fiche prospect'!$C$4),COUNTIF($C$5:C1408,C1408),"")</f>
        <v/>
      </c>
    </row>
    <row r="1409">
      <c r="A1409" s="53" t="n"/>
      <c r="B1409" s="54" t="n"/>
      <c r="C1409" s="55" t="n"/>
      <c r="D1409" s="55" t="n"/>
      <c r="E1409" s="55" t="n"/>
      <c r="F1409" s="55" t="n"/>
      <c r="G1409" s="56" t="n"/>
      <c r="H1409" s="57" t="n"/>
      <c r="I1409" s="55" t="n"/>
      <c r="J1409" s="53" t="n"/>
      <c r="K1409" s="54" t="n"/>
      <c r="L1409" s="55" t="n"/>
      <c r="M1409" s="55" t="n"/>
      <c r="N1409" s="57" t="n"/>
      <c r="O1409" s="55" t="n"/>
      <c r="P1409" s="56" t="n"/>
      <c r="Q1409" s="55" t="n"/>
      <c r="R1409" s="55" t="n"/>
      <c r="S1409" s="55" t="n"/>
      <c r="T1409" s="55" t="n"/>
      <c r="U1409" s="55" t="n"/>
      <c r="V1409" s="55" t="n"/>
      <c r="W1409" s="58" t="n"/>
      <c r="X1409" s="58" t="n"/>
      <c r="Y1409" s="55" t="n"/>
      <c r="Z1409" s="55" t="n"/>
      <c r="AA1409" s="55" t="n"/>
      <c r="AB1409" s="55" t="n"/>
      <c r="AC1409" s="55" t="n"/>
      <c r="AD1409" s="53" t="n"/>
      <c r="AE1409" s="55" t="n"/>
      <c r="AF1409" s="55" t="n"/>
      <c r="AG1409" s="59" t="n"/>
      <c r="AH1409" s="57" t="n"/>
      <c r="AI1409" s="55" t="n"/>
      <c r="AJ1409" s="55" t="n"/>
      <c r="AK1409" s="55" t="n"/>
      <c r="AL1409" s="55" t="n"/>
      <c r="AM1409" s="56" t="n"/>
      <c r="AN1409" s="55" t="n"/>
      <c r="AO1409" s="55" t="n"/>
      <c r="AP1409" s="55" t="n"/>
      <c r="AQ1409" s="55" t="n"/>
      <c r="AR1409" s="60">
        <f>IF(AND(C1409="",E1409=""),"",IF(A1409="","⚠ Date manquante",IF(AND(C1409="",E1409&lt;&gt;"Dépense"),"⚠ Prospect manquant",IF(E1409="","⚠ Action manquante",IF(AND(AU1409=1,D1409=""),"⚠ Canal manquant",IF(AND(W1409&lt;&gt;"",COUNTIFS('Saisie'!$W$5:$W$2004,W1409,'Saisie'!$C$5:$C$2004,"&lt;&gt;"&amp;C1409)&gt;0),"⚠ Numéro déjà utilisé par un autre prospect",IF(AND(J1409&lt;&gt;"",J1409&lt;A1409),"⚠ Relance avant la date de l'action",IF(A1409&gt;TODAY(),"⚠ Date dans le futur","✓"))))))))</f>
        <v/>
      </c>
      <c r="AS1409" s="61">
        <f>IF(AND(A1409="",C1409="",E1409=""),"",ROW())</f>
        <v/>
      </c>
      <c r="AT1409" s="61">
        <f>IF(E1409&amp;F1409="","",MAX(IFERROR(INDEX('Paramètres'!$J$6:$J$33,MATCH(E1409,'Paramètres'!$I$6:$I$33,0)),0),IFERROR(INDEX('Paramètres'!$N$6:$N$17,MATCH(F1409,'Paramètres'!$M$6:$M$17,0)),0)))</f>
        <v/>
      </c>
      <c r="AU1409" s="61">
        <f>IF(E1409="","",IFERROR(IF(INDEX('Paramètres'!$K$6:$K$33,MATCH(E1409,'Paramètres'!$I$6:$I$33,0))="Oui",1,0),0))</f>
        <v/>
      </c>
      <c r="AV1409" s="61">
        <f>IF(F1409="","",IFERROR(IF(INDEX('Paramètres'!$O$6:$O$17,MATCH(F1409,'Paramètres'!$M$6:$M$17,0))="Oui",1,0),0))</f>
        <v/>
      </c>
      <c r="AW1409" s="62">
        <f>IF(E1409="","",IF(G1409&lt;&gt;"",G1409,IF(OR(E1409="Proposition envoyée",E1409="Signature"),MAX(0,N(IFERROR(INDEX('Paramètres'!$R$6:$R$15,MATCH(IF(AL1409&lt;&gt;"",AL1409,IFERROR(INDEX('Prospects'!$AN$5:$AN$504,MATCH(C1409,'Prospects'!$C$5:$C$504,0)),"")),'Paramètres'!$Q$6:$Q$15,0)),0))-N(P1409)),0)))</f>
        <v/>
      </c>
      <c r="AX1409" s="61">
        <f>IF(C1409="","",IF(COUNTIF($C$5:C1409,C1409)=1,MAX($AX$4:AX1408)+1,""))</f>
        <v/>
      </c>
      <c r="AY1409" s="61">
        <f>IF(B1409="","",HOUR(B1409))</f>
        <v/>
      </c>
      <c r="AZ1409" s="61">
        <f>IF(A1409="","",MOD(A1409-2,7)+1)</f>
        <v/>
      </c>
      <c r="BA1409" s="60">
        <f>IF(C1409="","",IFERROR(INDEX('Prospects'!$N$5:$N$504,MATCH(C1409,'Prospects'!$C$5:$C$504,0)),""))</f>
        <v/>
      </c>
      <c r="BB1409" s="61">
        <f>IF(AND(C1409&lt;&gt;"",C1409='Fiche prospect'!$C$4),COUNTIF($C$5:C1409,C1409),"")</f>
        <v/>
      </c>
    </row>
    <row r="1410">
      <c r="A1410" s="53" t="n"/>
      <c r="B1410" s="54" t="n"/>
      <c r="C1410" s="55" t="n"/>
      <c r="D1410" s="55" t="n"/>
      <c r="E1410" s="55" t="n"/>
      <c r="F1410" s="55" t="n"/>
      <c r="G1410" s="56" t="n"/>
      <c r="H1410" s="57" t="n"/>
      <c r="I1410" s="55" t="n"/>
      <c r="J1410" s="53" t="n"/>
      <c r="K1410" s="54" t="n"/>
      <c r="L1410" s="55" t="n"/>
      <c r="M1410" s="55" t="n"/>
      <c r="N1410" s="57" t="n"/>
      <c r="O1410" s="55" t="n"/>
      <c r="P1410" s="56" t="n"/>
      <c r="Q1410" s="55" t="n"/>
      <c r="R1410" s="55" t="n"/>
      <c r="S1410" s="55" t="n"/>
      <c r="T1410" s="55" t="n"/>
      <c r="U1410" s="55" t="n"/>
      <c r="V1410" s="55" t="n"/>
      <c r="W1410" s="58" t="n"/>
      <c r="X1410" s="58" t="n"/>
      <c r="Y1410" s="55" t="n"/>
      <c r="Z1410" s="55" t="n"/>
      <c r="AA1410" s="55" t="n"/>
      <c r="AB1410" s="55" t="n"/>
      <c r="AC1410" s="55" t="n"/>
      <c r="AD1410" s="53" t="n"/>
      <c r="AE1410" s="55" t="n"/>
      <c r="AF1410" s="55" t="n"/>
      <c r="AG1410" s="59" t="n"/>
      <c r="AH1410" s="57" t="n"/>
      <c r="AI1410" s="55" t="n"/>
      <c r="AJ1410" s="55" t="n"/>
      <c r="AK1410" s="55" t="n"/>
      <c r="AL1410" s="55" t="n"/>
      <c r="AM1410" s="56" t="n"/>
      <c r="AN1410" s="55" t="n"/>
      <c r="AO1410" s="55" t="n"/>
      <c r="AP1410" s="55" t="n"/>
      <c r="AQ1410" s="55" t="n"/>
      <c r="AR1410" s="60">
        <f>IF(AND(C1410="",E1410=""),"",IF(A1410="","⚠ Date manquante",IF(AND(C1410="",E1410&lt;&gt;"Dépense"),"⚠ Prospect manquant",IF(E1410="","⚠ Action manquante",IF(AND(AU1410=1,D1410=""),"⚠ Canal manquant",IF(AND(W1410&lt;&gt;"",COUNTIFS('Saisie'!$W$5:$W$2004,W1410,'Saisie'!$C$5:$C$2004,"&lt;&gt;"&amp;C1410)&gt;0),"⚠ Numéro déjà utilisé par un autre prospect",IF(AND(J1410&lt;&gt;"",J1410&lt;A1410),"⚠ Relance avant la date de l'action",IF(A1410&gt;TODAY(),"⚠ Date dans le futur","✓"))))))))</f>
        <v/>
      </c>
      <c r="AS1410" s="61">
        <f>IF(AND(A1410="",C1410="",E1410=""),"",ROW())</f>
        <v/>
      </c>
      <c r="AT1410" s="61">
        <f>IF(E1410&amp;F1410="","",MAX(IFERROR(INDEX('Paramètres'!$J$6:$J$33,MATCH(E1410,'Paramètres'!$I$6:$I$33,0)),0),IFERROR(INDEX('Paramètres'!$N$6:$N$17,MATCH(F1410,'Paramètres'!$M$6:$M$17,0)),0)))</f>
        <v/>
      </c>
      <c r="AU1410" s="61">
        <f>IF(E1410="","",IFERROR(IF(INDEX('Paramètres'!$K$6:$K$33,MATCH(E1410,'Paramètres'!$I$6:$I$33,0))="Oui",1,0),0))</f>
        <v/>
      </c>
      <c r="AV1410" s="61">
        <f>IF(F1410="","",IFERROR(IF(INDEX('Paramètres'!$O$6:$O$17,MATCH(F1410,'Paramètres'!$M$6:$M$17,0))="Oui",1,0),0))</f>
        <v/>
      </c>
      <c r="AW1410" s="62">
        <f>IF(E1410="","",IF(G1410&lt;&gt;"",G1410,IF(OR(E1410="Proposition envoyée",E1410="Signature"),MAX(0,N(IFERROR(INDEX('Paramètres'!$R$6:$R$15,MATCH(IF(AL1410&lt;&gt;"",AL1410,IFERROR(INDEX('Prospects'!$AN$5:$AN$504,MATCH(C1410,'Prospects'!$C$5:$C$504,0)),"")),'Paramètres'!$Q$6:$Q$15,0)),0))-N(P1410)),0)))</f>
        <v/>
      </c>
      <c r="AX1410" s="61">
        <f>IF(C1410="","",IF(COUNTIF($C$5:C1410,C1410)=1,MAX($AX$4:AX1409)+1,""))</f>
        <v/>
      </c>
      <c r="AY1410" s="61">
        <f>IF(B1410="","",HOUR(B1410))</f>
        <v/>
      </c>
      <c r="AZ1410" s="61">
        <f>IF(A1410="","",MOD(A1410-2,7)+1)</f>
        <v/>
      </c>
      <c r="BA1410" s="60">
        <f>IF(C1410="","",IFERROR(INDEX('Prospects'!$N$5:$N$504,MATCH(C1410,'Prospects'!$C$5:$C$504,0)),""))</f>
        <v/>
      </c>
      <c r="BB1410" s="61">
        <f>IF(AND(C1410&lt;&gt;"",C1410='Fiche prospect'!$C$4),COUNTIF($C$5:C1410,C1410),"")</f>
        <v/>
      </c>
    </row>
    <row r="1411">
      <c r="A1411" s="53" t="n"/>
      <c r="B1411" s="54" t="n"/>
      <c r="C1411" s="55" t="n"/>
      <c r="D1411" s="55" t="n"/>
      <c r="E1411" s="55" t="n"/>
      <c r="F1411" s="55" t="n"/>
      <c r="G1411" s="56" t="n"/>
      <c r="H1411" s="57" t="n"/>
      <c r="I1411" s="55" t="n"/>
      <c r="J1411" s="53" t="n"/>
      <c r="K1411" s="54" t="n"/>
      <c r="L1411" s="55" t="n"/>
      <c r="M1411" s="55" t="n"/>
      <c r="N1411" s="57" t="n"/>
      <c r="O1411" s="55" t="n"/>
      <c r="P1411" s="56" t="n"/>
      <c r="Q1411" s="55" t="n"/>
      <c r="R1411" s="55" t="n"/>
      <c r="S1411" s="55" t="n"/>
      <c r="T1411" s="55" t="n"/>
      <c r="U1411" s="55" t="n"/>
      <c r="V1411" s="55" t="n"/>
      <c r="W1411" s="58" t="n"/>
      <c r="X1411" s="58" t="n"/>
      <c r="Y1411" s="55" t="n"/>
      <c r="Z1411" s="55" t="n"/>
      <c r="AA1411" s="55" t="n"/>
      <c r="AB1411" s="55" t="n"/>
      <c r="AC1411" s="55" t="n"/>
      <c r="AD1411" s="53" t="n"/>
      <c r="AE1411" s="55" t="n"/>
      <c r="AF1411" s="55" t="n"/>
      <c r="AG1411" s="59" t="n"/>
      <c r="AH1411" s="57" t="n"/>
      <c r="AI1411" s="55" t="n"/>
      <c r="AJ1411" s="55" t="n"/>
      <c r="AK1411" s="55" t="n"/>
      <c r="AL1411" s="55" t="n"/>
      <c r="AM1411" s="56" t="n"/>
      <c r="AN1411" s="55" t="n"/>
      <c r="AO1411" s="55" t="n"/>
      <c r="AP1411" s="55" t="n"/>
      <c r="AQ1411" s="55" t="n"/>
      <c r="AR1411" s="60">
        <f>IF(AND(C1411="",E1411=""),"",IF(A1411="","⚠ Date manquante",IF(AND(C1411="",E1411&lt;&gt;"Dépense"),"⚠ Prospect manquant",IF(E1411="","⚠ Action manquante",IF(AND(AU1411=1,D1411=""),"⚠ Canal manquant",IF(AND(W1411&lt;&gt;"",COUNTIFS('Saisie'!$W$5:$W$2004,W1411,'Saisie'!$C$5:$C$2004,"&lt;&gt;"&amp;C1411)&gt;0),"⚠ Numéro déjà utilisé par un autre prospect",IF(AND(J1411&lt;&gt;"",J1411&lt;A1411),"⚠ Relance avant la date de l'action",IF(A1411&gt;TODAY(),"⚠ Date dans le futur","✓"))))))))</f>
        <v/>
      </c>
      <c r="AS1411" s="61">
        <f>IF(AND(A1411="",C1411="",E1411=""),"",ROW())</f>
        <v/>
      </c>
      <c r="AT1411" s="61">
        <f>IF(E1411&amp;F1411="","",MAX(IFERROR(INDEX('Paramètres'!$J$6:$J$33,MATCH(E1411,'Paramètres'!$I$6:$I$33,0)),0),IFERROR(INDEX('Paramètres'!$N$6:$N$17,MATCH(F1411,'Paramètres'!$M$6:$M$17,0)),0)))</f>
        <v/>
      </c>
      <c r="AU1411" s="61">
        <f>IF(E1411="","",IFERROR(IF(INDEX('Paramètres'!$K$6:$K$33,MATCH(E1411,'Paramètres'!$I$6:$I$33,0))="Oui",1,0),0))</f>
        <v/>
      </c>
      <c r="AV1411" s="61">
        <f>IF(F1411="","",IFERROR(IF(INDEX('Paramètres'!$O$6:$O$17,MATCH(F1411,'Paramètres'!$M$6:$M$17,0))="Oui",1,0),0))</f>
        <v/>
      </c>
      <c r="AW1411" s="62">
        <f>IF(E1411="","",IF(G1411&lt;&gt;"",G1411,IF(OR(E1411="Proposition envoyée",E1411="Signature"),MAX(0,N(IFERROR(INDEX('Paramètres'!$R$6:$R$15,MATCH(IF(AL1411&lt;&gt;"",AL1411,IFERROR(INDEX('Prospects'!$AN$5:$AN$504,MATCH(C1411,'Prospects'!$C$5:$C$504,0)),"")),'Paramètres'!$Q$6:$Q$15,0)),0))-N(P1411)),0)))</f>
        <v/>
      </c>
      <c r="AX1411" s="61">
        <f>IF(C1411="","",IF(COUNTIF($C$5:C1411,C1411)=1,MAX($AX$4:AX1410)+1,""))</f>
        <v/>
      </c>
      <c r="AY1411" s="61">
        <f>IF(B1411="","",HOUR(B1411))</f>
        <v/>
      </c>
      <c r="AZ1411" s="61">
        <f>IF(A1411="","",MOD(A1411-2,7)+1)</f>
        <v/>
      </c>
      <c r="BA1411" s="60">
        <f>IF(C1411="","",IFERROR(INDEX('Prospects'!$N$5:$N$504,MATCH(C1411,'Prospects'!$C$5:$C$504,0)),""))</f>
        <v/>
      </c>
      <c r="BB1411" s="61">
        <f>IF(AND(C1411&lt;&gt;"",C1411='Fiche prospect'!$C$4),COUNTIF($C$5:C1411,C1411),"")</f>
        <v/>
      </c>
    </row>
    <row r="1412">
      <c r="A1412" s="53" t="n"/>
      <c r="B1412" s="54" t="n"/>
      <c r="C1412" s="55" t="n"/>
      <c r="D1412" s="55" t="n"/>
      <c r="E1412" s="55" t="n"/>
      <c r="F1412" s="55" t="n"/>
      <c r="G1412" s="56" t="n"/>
      <c r="H1412" s="57" t="n"/>
      <c r="I1412" s="55" t="n"/>
      <c r="J1412" s="53" t="n"/>
      <c r="K1412" s="54" t="n"/>
      <c r="L1412" s="55" t="n"/>
      <c r="M1412" s="55" t="n"/>
      <c r="N1412" s="57" t="n"/>
      <c r="O1412" s="55" t="n"/>
      <c r="P1412" s="56" t="n"/>
      <c r="Q1412" s="55" t="n"/>
      <c r="R1412" s="55" t="n"/>
      <c r="S1412" s="55" t="n"/>
      <c r="T1412" s="55" t="n"/>
      <c r="U1412" s="55" t="n"/>
      <c r="V1412" s="55" t="n"/>
      <c r="W1412" s="58" t="n"/>
      <c r="X1412" s="58" t="n"/>
      <c r="Y1412" s="55" t="n"/>
      <c r="Z1412" s="55" t="n"/>
      <c r="AA1412" s="55" t="n"/>
      <c r="AB1412" s="55" t="n"/>
      <c r="AC1412" s="55" t="n"/>
      <c r="AD1412" s="53" t="n"/>
      <c r="AE1412" s="55" t="n"/>
      <c r="AF1412" s="55" t="n"/>
      <c r="AG1412" s="59" t="n"/>
      <c r="AH1412" s="57" t="n"/>
      <c r="AI1412" s="55" t="n"/>
      <c r="AJ1412" s="55" t="n"/>
      <c r="AK1412" s="55" t="n"/>
      <c r="AL1412" s="55" t="n"/>
      <c r="AM1412" s="56" t="n"/>
      <c r="AN1412" s="55" t="n"/>
      <c r="AO1412" s="55" t="n"/>
      <c r="AP1412" s="55" t="n"/>
      <c r="AQ1412" s="55" t="n"/>
      <c r="AR1412" s="60">
        <f>IF(AND(C1412="",E1412=""),"",IF(A1412="","⚠ Date manquante",IF(AND(C1412="",E1412&lt;&gt;"Dépense"),"⚠ Prospect manquant",IF(E1412="","⚠ Action manquante",IF(AND(AU1412=1,D1412=""),"⚠ Canal manquant",IF(AND(W1412&lt;&gt;"",COUNTIFS('Saisie'!$W$5:$W$2004,W1412,'Saisie'!$C$5:$C$2004,"&lt;&gt;"&amp;C1412)&gt;0),"⚠ Numéro déjà utilisé par un autre prospect",IF(AND(J1412&lt;&gt;"",J1412&lt;A1412),"⚠ Relance avant la date de l'action",IF(A1412&gt;TODAY(),"⚠ Date dans le futur","✓"))))))))</f>
        <v/>
      </c>
      <c r="AS1412" s="61">
        <f>IF(AND(A1412="",C1412="",E1412=""),"",ROW())</f>
        <v/>
      </c>
      <c r="AT1412" s="61">
        <f>IF(E1412&amp;F1412="","",MAX(IFERROR(INDEX('Paramètres'!$J$6:$J$33,MATCH(E1412,'Paramètres'!$I$6:$I$33,0)),0),IFERROR(INDEX('Paramètres'!$N$6:$N$17,MATCH(F1412,'Paramètres'!$M$6:$M$17,0)),0)))</f>
        <v/>
      </c>
      <c r="AU1412" s="61">
        <f>IF(E1412="","",IFERROR(IF(INDEX('Paramètres'!$K$6:$K$33,MATCH(E1412,'Paramètres'!$I$6:$I$33,0))="Oui",1,0),0))</f>
        <v/>
      </c>
      <c r="AV1412" s="61">
        <f>IF(F1412="","",IFERROR(IF(INDEX('Paramètres'!$O$6:$O$17,MATCH(F1412,'Paramètres'!$M$6:$M$17,0))="Oui",1,0),0))</f>
        <v/>
      </c>
      <c r="AW1412" s="62">
        <f>IF(E1412="","",IF(G1412&lt;&gt;"",G1412,IF(OR(E1412="Proposition envoyée",E1412="Signature"),MAX(0,N(IFERROR(INDEX('Paramètres'!$R$6:$R$15,MATCH(IF(AL1412&lt;&gt;"",AL1412,IFERROR(INDEX('Prospects'!$AN$5:$AN$504,MATCH(C1412,'Prospects'!$C$5:$C$504,0)),"")),'Paramètres'!$Q$6:$Q$15,0)),0))-N(P1412)),0)))</f>
        <v/>
      </c>
      <c r="AX1412" s="61">
        <f>IF(C1412="","",IF(COUNTIF($C$5:C1412,C1412)=1,MAX($AX$4:AX1411)+1,""))</f>
        <v/>
      </c>
      <c r="AY1412" s="61">
        <f>IF(B1412="","",HOUR(B1412))</f>
        <v/>
      </c>
      <c r="AZ1412" s="61">
        <f>IF(A1412="","",MOD(A1412-2,7)+1)</f>
        <v/>
      </c>
      <c r="BA1412" s="60">
        <f>IF(C1412="","",IFERROR(INDEX('Prospects'!$N$5:$N$504,MATCH(C1412,'Prospects'!$C$5:$C$504,0)),""))</f>
        <v/>
      </c>
      <c r="BB1412" s="61">
        <f>IF(AND(C1412&lt;&gt;"",C1412='Fiche prospect'!$C$4),COUNTIF($C$5:C1412,C1412),"")</f>
        <v/>
      </c>
    </row>
    <row r="1413">
      <c r="A1413" s="53" t="n"/>
      <c r="B1413" s="54" t="n"/>
      <c r="C1413" s="55" t="n"/>
      <c r="D1413" s="55" t="n"/>
      <c r="E1413" s="55" t="n"/>
      <c r="F1413" s="55" t="n"/>
      <c r="G1413" s="56" t="n"/>
      <c r="H1413" s="57" t="n"/>
      <c r="I1413" s="55" t="n"/>
      <c r="J1413" s="53" t="n"/>
      <c r="K1413" s="54" t="n"/>
      <c r="L1413" s="55" t="n"/>
      <c r="M1413" s="55" t="n"/>
      <c r="N1413" s="57" t="n"/>
      <c r="O1413" s="55" t="n"/>
      <c r="P1413" s="56" t="n"/>
      <c r="Q1413" s="55" t="n"/>
      <c r="R1413" s="55" t="n"/>
      <c r="S1413" s="55" t="n"/>
      <c r="T1413" s="55" t="n"/>
      <c r="U1413" s="55" t="n"/>
      <c r="V1413" s="55" t="n"/>
      <c r="W1413" s="58" t="n"/>
      <c r="X1413" s="58" t="n"/>
      <c r="Y1413" s="55" t="n"/>
      <c r="Z1413" s="55" t="n"/>
      <c r="AA1413" s="55" t="n"/>
      <c r="AB1413" s="55" t="n"/>
      <c r="AC1413" s="55" t="n"/>
      <c r="AD1413" s="53" t="n"/>
      <c r="AE1413" s="55" t="n"/>
      <c r="AF1413" s="55" t="n"/>
      <c r="AG1413" s="59" t="n"/>
      <c r="AH1413" s="57" t="n"/>
      <c r="AI1413" s="55" t="n"/>
      <c r="AJ1413" s="55" t="n"/>
      <c r="AK1413" s="55" t="n"/>
      <c r="AL1413" s="55" t="n"/>
      <c r="AM1413" s="56" t="n"/>
      <c r="AN1413" s="55" t="n"/>
      <c r="AO1413" s="55" t="n"/>
      <c r="AP1413" s="55" t="n"/>
      <c r="AQ1413" s="55" t="n"/>
      <c r="AR1413" s="60">
        <f>IF(AND(C1413="",E1413=""),"",IF(A1413="","⚠ Date manquante",IF(AND(C1413="",E1413&lt;&gt;"Dépense"),"⚠ Prospect manquant",IF(E1413="","⚠ Action manquante",IF(AND(AU1413=1,D1413=""),"⚠ Canal manquant",IF(AND(W1413&lt;&gt;"",COUNTIFS('Saisie'!$W$5:$W$2004,W1413,'Saisie'!$C$5:$C$2004,"&lt;&gt;"&amp;C1413)&gt;0),"⚠ Numéro déjà utilisé par un autre prospect",IF(AND(J1413&lt;&gt;"",J1413&lt;A1413),"⚠ Relance avant la date de l'action",IF(A1413&gt;TODAY(),"⚠ Date dans le futur","✓"))))))))</f>
        <v/>
      </c>
      <c r="AS1413" s="61">
        <f>IF(AND(A1413="",C1413="",E1413=""),"",ROW())</f>
        <v/>
      </c>
      <c r="AT1413" s="61">
        <f>IF(E1413&amp;F1413="","",MAX(IFERROR(INDEX('Paramètres'!$J$6:$J$33,MATCH(E1413,'Paramètres'!$I$6:$I$33,0)),0),IFERROR(INDEX('Paramètres'!$N$6:$N$17,MATCH(F1413,'Paramètres'!$M$6:$M$17,0)),0)))</f>
        <v/>
      </c>
      <c r="AU1413" s="61">
        <f>IF(E1413="","",IFERROR(IF(INDEX('Paramètres'!$K$6:$K$33,MATCH(E1413,'Paramètres'!$I$6:$I$33,0))="Oui",1,0),0))</f>
        <v/>
      </c>
      <c r="AV1413" s="61">
        <f>IF(F1413="","",IFERROR(IF(INDEX('Paramètres'!$O$6:$O$17,MATCH(F1413,'Paramètres'!$M$6:$M$17,0))="Oui",1,0),0))</f>
        <v/>
      </c>
      <c r="AW1413" s="62">
        <f>IF(E1413="","",IF(G1413&lt;&gt;"",G1413,IF(OR(E1413="Proposition envoyée",E1413="Signature"),MAX(0,N(IFERROR(INDEX('Paramètres'!$R$6:$R$15,MATCH(IF(AL1413&lt;&gt;"",AL1413,IFERROR(INDEX('Prospects'!$AN$5:$AN$504,MATCH(C1413,'Prospects'!$C$5:$C$504,0)),"")),'Paramètres'!$Q$6:$Q$15,0)),0))-N(P1413)),0)))</f>
        <v/>
      </c>
      <c r="AX1413" s="61">
        <f>IF(C1413="","",IF(COUNTIF($C$5:C1413,C1413)=1,MAX($AX$4:AX1412)+1,""))</f>
        <v/>
      </c>
      <c r="AY1413" s="61">
        <f>IF(B1413="","",HOUR(B1413))</f>
        <v/>
      </c>
      <c r="AZ1413" s="61">
        <f>IF(A1413="","",MOD(A1413-2,7)+1)</f>
        <v/>
      </c>
      <c r="BA1413" s="60">
        <f>IF(C1413="","",IFERROR(INDEX('Prospects'!$N$5:$N$504,MATCH(C1413,'Prospects'!$C$5:$C$504,0)),""))</f>
        <v/>
      </c>
      <c r="BB1413" s="61">
        <f>IF(AND(C1413&lt;&gt;"",C1413='Fiche prospect'!$C$4),COUNTIF($C$5:C1413,C1413),"")</f>
        <v/>
      </c>
    </row>
    <row r="1414">
      <c r="A1414" s="53" t="n"/>
      <c r="B1414" s="54" t="n"/>
      <c r="C1414" s="55" t="n"/>
      <c r="D1414" s="55" t="n"/>
      <c r="E1414" s="55" t="n"/>
      <c r="F1414" s="55" t="n"/>
      <c r="G1414" s="56" t="n"/>
      <c r="H1414" s="57" t="n"/>
      <c r="I1414" s="55" t="n"/>
      <c r="J1414" s="53" t="n"/>
      <c r="K1414" s="54" t="n"/>
      <c r="L1414" s="55" t="n"/>
      <c r="M1414" s="55" t="n"/>
      <c r="N1414" s="57" t="n"/>
      <c r="O1414" s="55" t="n"/>
      <c r="P1414" s="56" t="n"/>
      <c r="Q1414" s="55" t="n"/>
      <c r="R1414" s="55" t="n"/>
      <c r="S1414" s="55" t="n"/>
      <c r="T1414" s="55" t="n"/>
      <c r="U1414" s="55" t="n"/>
      <c r="V1414" s="55" t="n"/>
      <c r="W1414" s="58" t="n"/>
      <c r="X1414" s="58" t="n"/>
      <c r="Y1414" s="55" t="n"/>
      <c r="Z1414" s="55" t="n"/>
      <c r="AA1414" s="55" t="n"/>
      <c r="AB1414" s="55" t="n"/>
      <c r="AC1414" s="55" t="n"/>
      <c r="AD1414" s="53" t="n"/>
      <c r="AE1414" s="55" t="n"/>
      <c r="AF1414" s="55" t="n"/>
      <c r="AG1414" s="59" t="n"/>
      <c r="AH1414" s="57" t="n"/>
      <c r="AI1414" s="55" t="n"/>
      <c r="AJ1414" s="55" t="n"/>
      <c r="AK1414" s="55" t="n"/>
      <c r="AL1414" s="55" t="n"/>
      <c r="AM1414" s="56" t="n"/>
      <c r="AN1414" s="55" t="n"/>
      <c r="AO1414" s="55" t="n"/>
      <c r="AP1414" s="55" t="n"/>
      <c r="AQ1414" s="55" t="n"/>
      <c r="AR1414" s="60">
        <f>IF(AND(C1414="",E1414=""),"",IF(A1414="","⚠ Date manquante",IF(AND(C1414="",E1414&lt;&gt;"Dépense"),"⚠ Prospect manquant",IF(E1414="","⚠ Action manquante",IF(AND(AU1414=1,D1414=""),"⚠ Canal manquant",IF(AND(W1414&lt;&gt;"",COUNTIFS('Saisie'!$W$5:$W$2004,W1414,'Saisie'!$C$5:$C$2004,"&lt;&gt;"&amp;C1414)&gt;0),"⚠ Numéro déjà utilisé par un autre prospect",IF(AND(J1414&lt;&gt;"",J1414&lt;A1414),"⚠ Relance avant la date de l'action",IF(A1414&gt;TODAY(),"⚠ Date dans le futur","✓"))))))))</f>
        <v/>
      </c>
      <c r="AS1414" s="61">
        <f>IF(AND(A1414="",C1414="",E1414=""),"",ROW())</f>
        <v/>
      </c>
      <c r="AT1414" s="61">
        <f>IF(E1414&amp;F1414="","",MAX(IFERROR(INDEX('Paramètres'!$J$6:$J$33,MATCH(E1414,'Paramètres'!$I$6:$I$33,0)),0),IFERROR(INDEX('Paramètres'!$N$6:$N$17,MATCH(F1414,'Paramètres'!$M$6:$M$17,0)),0)))</f>
        <v/>
      </c>
      <c r="AU1414" s="61">
        <f>IF(E1414="","",IFERROR(IF(INDEX('Paramètres'!$K$6:$K$33,MATCH(E1414,'Paramètres'!$I$6:$I$33,0))="Oui",1,0),0))</f>
        <v/>
      </c>
      <c r="AV1414" s="61">
        <f>IF(F1414="","",IFERROR(IF(INDEX('Paramètres'!$O$6:$O$17,MATCH(F1414,'Paramètres'!$M$6:$M$17,0))="Oui",1,0),0))</f>
        <v/>
      </c>
      <c r="AW1414" s="62">
        <f>IF(E1414="","",IF(G1414&lt;&gt;"",G1414,IF(OR(E1414="Proposition envoyée",E1414="Signature"),MAX(0,N(IFERROR(INDEX('Paramètres'!$R$6:$R$15,MATCH(IF(AL1414&lt;&gt;"",AL1414,IFERROR(INDEX('Prospects'!$AN$5:$AN$504,MATCH(C1414,'Prospects'!$C$5:$C$504,0)),"")),'Paramètres'!$Q$6:$Q$15,0)),0))-N(P1414)),0)))</f>
        <v/>
      </c>
      <c r="AX1414" s="61">
        <f>IF(C1414="","",IF(COUNTIF($C$5:C1414,C1414)=1,MAX($AX$4:AX1413)+1,""))</f>
        <v/>
      </c>
      <c r="AY1414" s="61">
        <f>IF(B1414="","",HOUR(B1414))</f>
        <v/>
      </c>
      <c r="AZ1414" s="61">
        <f>IF(A1414="","",MOD(A1414-2,7)+1)</f>
        <v/>
      </c>
      <c r="BA1414" s="60">
        <f>IF(C1414="","",IFERROR(INDEX('Prospects'!$N$5:$N$504,MATCH(C1414,'Prospects'!$C$5:$C$504,0)),""))</f>
        <v/>
      </c>
      <c r="BB1414" s="61">
        <f>IF(AND(C1414&lt;&gt;"",C1414='Fiche prospect'!$C$4),COUNTIF($C$5:C1414,C1414),"")</f>
        <v/>
      </c>
    </row>
    <row r="1415">
      <c r="A1415" s="53" t="n"/>
      <c r="B1415" s="54" t="n"/>
      <c r="C1415" s="55" t="n"/>
      <c r="D1415" s="55" t="n"/>
      <c r="E1415" s="55" t="n"/>
      <c r="F1415" s="55" t="n"/>
      <c r="G1415" s="56" t="n"/>
      <c r="H1415" s="57" t="n"/>
      <c r="I1415" s="55" t="n"/>
      <c r="J1415" s="53" t="n"/>
      <c r="K1415" s="54" t="n"/>
      <c r="L1415" s="55" t="n"/>
      <c r="M1415" s="55" t="n"/>
      <c r="N1415" s="57" t="n"/>
      <c r="O1415" s="55" t="n"/>
      <c r="P1415" s="56" t="n"/>
      <c r="Q1415" s="55" t="n"/>
      <c r="R1415" s="55" t="n"/>
      <c r="S1415" s="55" t="n"/>
      <c r="T1415" s="55" t="n"/>
      <c r="U1415" s="55" t="n"/>
      <c r="V1415" s="55" t="n"/>
      <c r="W1415" s="58" t="n"/>
      <c r="X1415" s="58" t="n"/>
      <c r="Y1415" s="55" t="n"/>
      <c r="Z1415" s="55" t="n"/>
      <c r="AA1415" s="55" t="n"/>
      <c r="AB1415" s="55" t="n"/>
      <c r="AC1415" s="55" t="n"/>
      <c r="AD1415" s="53" t="n"/>
      <c r="AE1415" s="55" t="n"/>
      <c r="AF1415" s="55" t="n"/>
      <c r="AG1415" s="59" t="n"/>
      <c r="AH1415" s="57" t="n"/>
      <c r="AI1415" s="55" t="n"/>
      <c r="AJ1415" s="55" t="n"/>
      <c r="AK1415" s="55" t="n"/>
      <c r="AL1415" s="55" t="n"/>
      <c r="AM1415" s="56" t="n"/>
      <c r="AN1415" s="55" t="n"/>
      <c r="AO1415" s="55" t="n"/>
      <c r="AP1415" s="55" t="n"/>
      <c r="AQ1415" s="55" t="n"/>
      <c r="AR1415" s="60">
        <f>IF(AND(C1415="",E1415=""),"",IF(A1415="","⚠ Date manquante",IF(AND(C1415="",E1415&lt;&gt;"Dépense"),"⚠ Prospect manquant",IF(E1415="","⚠ Action manquante",IF(AND(AU1415=1,D1415=""),"⚠ Canal manquant",IF(AND(W1415&lt;&gt;"",COUNTIFS('Saisie'!$W$5:$W$2004,W1415,'Saisie'!$C$5:$C$2004,"&lt;&gt;"&amp;C1415)&gt;0),"⚠ Numéro déjà utilisé par un autre prospect",IF(AND(J1415&lt;&gt;"",J1415&lt;A1415),"⚠ Relance avant la date de l'action",IF(A1415&gt;TODAY(),"⚠ Date dans le futur","✓"))))))))</f>
        <v/>
      </c>
      <c r="AS1415" s="61">
        <f>IF(AND(A1415="",C1415="",E1415=""),"",ROW())</f>
        <v/>
      </c>
      <c r="AT1415" s="61">
        <f>IF(E1415&amp;F1415="","",MAX(IFERROR(INDEX('Paramètres'!$J$6:$J$33,MATCH(E1415,'Paramètres'!$I$6:$I$33,0)),0),IFERROR(INDEX('Paramètres'!$N$6:$N$17,MATCH(F1415,'Paramètres'!$M$6:$M$17,0)),0)))</f>
        <v/>
      </c>
      <c r="AU1415" s="61">
        <f>IF(E1415="","",IFERROR(IF(INDEX('Paramètres'!$K$6:$K$33,MATCH(E1415,'Paramètres'!$I$6:$I$33,0))="Oui",1,0),0))</f>
        <v/>
      </c>
      <c r="AV1415" s="61">
        <f>IF(F1415="","",IFERROR(IF(INDEX('Paramètres'!$O$6:$O$17,MATCH(F1415,'Paramètres'!$M$6:$M$17,0))="Oui",1,0),0))</f>
        <v/>
      </c>
      <c r="AW1415" s="62">
        <f>IF(E1415="","",IF(G1415&lt;&gt;"",G1415,IF(OR(E1415="Proposition envoyée",E1415="Signature"),MAX(0,N(IFERROR(INDEX('Paramètres'!$R$6:$R$15,MATCH(IF(AL1415&lt;&gt;"",AL1415,IFERROR(INDEX('Prospects'!$AN$5:$AN$504,MATCH(C1415,'Prospects'!$C$5:$C$504,0)),"")),'Paramètres'!$Q$6:$Q$15,0)),0))-N(P1415)),0)))</f>
        <v/>
      </c>
      <c r="AX1415" s="61">
        <f>IF(C1415="","",IF(COUNTIF($C$5:C1415,C1415)=1,MAX($AX$4:AX1414)+1,""))</f>
        <v/>
      </c>
      <c r="AY1415" s="61">
        <f>IF(B1415="","",HOUR(B1415))</f>
        <v/>
      </c>
      <c r="AZ1415" s="61">
        <f>IF(A1415="","",MOD(A1415-2,7)+1)</f>
        <v/>
      </c>
      <c r="BA1415" s="60">
        <f>IF(C1415="","",IFERROR(INDEX('Prospects'!$N$5:$N$504,MATCH(C1415,'Prospects'!$C$5:$C$504,0)),""))</f>
        <v/>
      </c>
      <c r="BB1415" s="61">
        <f>IF(AND(C1415&lt;&gt;"",C1415='Fiche prospect'!$C$4),COUNTIF($C$5:C1415,C1415),"")</f>
        <v/>
      </c>
    </row>
    <row r="1416">
      <c r="A1416" s="53" t="n"/>
      <c r="B1416" s="54" t="n"/>
      <c r="C1416" s="55" t="n"/>
      <c r="D1416" s="55" t="n"/>
      <c r="E1416" s="55" t="n"/>
      <c r="F1416" s="55" t="n"/>
      <c r="G1416" s="56" t="n"/>
      <c r="H1416" s="57" t="n"/>
      <c r="I1416" s="55" t="n"/>
      <c r="J1416" s="53" t="n"/>
      <c r="K1416" s="54" t="n"/>
      <c r="L1416" s="55" t="n"/>
      <c r="M1416" s="55" t="n"/>
      <c r="N1416" s="57" t="n"/>
      <c r="O1416" s="55" t="n"/>
      <c r="P1416" s="56" t="n"/>
      <c r="Q1416" s="55" t="n"/>
      <c r="R1416" s="55" t="n"/>
      <c r="S1416" s="55" t="n"/>
      <c r="T1416" s="55" t="n"/>
      <c r="U1416" s="55" t="n"/>
      <c r="V1416" s="55" t="n"/>
      <c r="W1416" s="58" t="n"/>
      <c r="X1416" s="58" t="n"/>
      <c r="Y1416" s="55" t="n"/>
      <c r="Z1416" s="55" t="n"/>
      <c r="AA1416" s="55" t="n"/>
      <c r="AB1416" s="55" t="n"/>
      <c r="AC1416" s="55" t="n"/>
      <c r="AD1416" s="53" t="n"/>
      <c r="AE1416" s="55" t="n"/>
      <c r="AF1416" s="55" t="n"/>
      <c r="AG1416" s="59" t="n"/>
      <c r="AH1416" s="57" t="n"/>
      <c r="AI1416" s="55" t="n"/>
      <c r="AJ1416" s="55" t="n"/>
      <c r="AK1416" s="55" t="n"/>
      <c r="AL1416" s="55" t="n"/>
      <c r="AM1416" s="56" t="n"/>
      <c r="AN1416" s="55" t="n"/>
      <c r="AO1416" s="55" t="n"/>
      <c r="AP1416" s="55" t="n"/>
      <c r="AQ1416" s="55" t="n"/>
      <c r="AR1416" s="60">
        <f>IF(AND(C1416="",E1416=""),"",IF(A1416="","⚠ Date manquante",IF(AND(C1416="",E1416&lt;&gt;"Dépense"),"⚠ Prospect manquant",IF(E1416="","⚠ Action manquante",IF(AND(AU1416=1,D1416=""),"⚠ Canal manquant",IF(AND(W1416&lt;&gt;"",COUNTIFS('Saisie'!$W$5:$W$2004,W1416,'Saisie'!$C$5:$C$2004,"&lt;&gt;"&amp;C1416)&gt;0),"⚠ Numéro déjà utilisé par un autre prospect",IF(AND(J1416&lt;&gt;"",J1416&lt;A1416),"⚠ Relance avant la date de l'action",IF(A1416&gt;TODAY(),"⚠ Date dans le futur","✓"))))))))</f>
        <v/>
      </c>
      <c r="AS1416" s="61">
        <f>IF(AND(A1416="",C1416="",E1416=""),"",ROW())</f>
        <v/>
      </c>
      <c r="AT1416" s="61">
        <f>IF(E1416&amp;F1416="","",MAX(IFERROR(INDEX('Paramètres'!$J$6:$J$33,MATCH(E1416,'Paramètres'!$I$6:$I$33,0)),0),IFERROR(INDEX('Paramètres'!$N$6:$N$17,MATCH(F1416,'Paramètres'!$M$6:$M$17,0)),0)))</f>
        <v/>
      </c>
      <c r="AU1416" s="61">
        <f>IF(E1416="","",IFERROR(IF(INDEX('Paramètres'!$K$6:$K$33,MATCH(E1416,'Paramètres'!$I$6:$I$33,0))="Oui",1,0),0))</f>
        <v/>
      </c>
      <c r="AV1416" s="61">
        <f>IF(F1416="","",IFERROR(IF(INDEX('Paramètres'!$O$6:$O$17,MATCH(F1416,'Paramètres'!$M$6:$M$17,0))="Oui",1,0),0))</f>
        <v/>
      </c>
      <c r="AW1416" s="62">
        <f>IF(E1416="","",IF(G1416&lt;&gt;"",G1416,IF(OR(E1416="Proposition envoyée",E1416="Signature"),MAX(0,N(IFERROR(INDEX('Paramètres'!$R$6:$R$15,MATCH(IF(AL1416&lt;&gt;"",AL1416,IFERROR(INDEX('Prospects'!$AN$5:$AN$504,MATCH(C1416,'Prospects'!$C$5:$C$504,0)),"")),'Paramètres'!$Q$6:$Q$15,0)),0))-N(P1416)),0)))</f>
        <v/>
      </c>
      <c r="AX1416" s="61">
        <f>IF(C1416="","",IF(COUNTIF($C$5:C1416,C1416)=1,MAX($AX$4:AX1415)+1,""))</f>
        <v/>
      </c>
      <c r="AY1416" s="61">
        <f>IF(B1416="","",HOUR(B1416))</f>
        <v/>
      </c>
      <c r="AZ1416" s="61">
        <f>IF(A1416="","",MOD(A1416-2,7)+1)</f>
        <v/>
      </c>
      <c r="BA1416" s="60">
        <f>IF(C1416="","",IFERROR(INDEX('Prospects'!$N$5:$N$504,MATCH(C1416,'Prospects'!$C$5:$C$504,0)),""))</f>
        <v/>
      </c>
      <c r="BB1416" s="61">
        <f>IF(AND(C1416&lt;&gt;"",C1416='Fiche prospect'!$C$4),COUNTIF($C$5:C1416,C1416),"")</f>
        <v/>
      </c>
    </row>
    <row r="1417">
      <c r="A1417" s="53" t="n"/>
      <c r="B1417" s="54" t="n"/>
      <c r="C1417" s="55" t="n"/>
      <c r="D1417" s="55" t="n"/>
      <c r="E1417" s="55" t="n"/>
      <c r="F1417" s="55" t="n"/>
      <c r="G1417" s="56" t="n"/>
      <c r="H1417" s="57" t="n"/>
      <c r="I1417" s="55" t="n"/>
      <c r="J1417" s="53" t="n"/>
      <c r="K1417" s="54" t="n"/>
      <c r="L1417" s="55" t="n"/>
      <c r="M1417" s="55" t="n"/>
      <c r="N1417" s="57" t="n"/>
      <c r="O1417" s="55" t="n"/>
      <c r="P1417" s="56" t="n"/>
      <c r="Q1417" s="55" t="n"/>
      <c r="R1417" s="55" t="n"/>
      <c r="S1417" s="55" t="n"/>
      <c r="T1417" s="55" t="n"/>
      <c r="U1417" s="55" t="n"/>
      <c r="V1417" s="55" t="n"/>
      <c r="W1417" s="58" t="n"/>
      <c r="X1417" s="58" t="n"/>
      <c r="Y1417" s="55" t="n"/>
      <c r="Z1417" s="55" t="n"/>
      <c r="AA1417" s="55" t="n"/>
      <c r="AB1417" s="55" t="n"/>
      <c r="AC1417" s="55" t="n"/>
      <c r="AD1417" s="53" t="n"/>
      <c r="AE1417" s="55" t="n"/>
      <c r="AF1417" s="55" t="n"/>
      <c r="AG1417" s="59" t="n"/>
      <c r="AH1417" s="57" t="n"/>
      <c r="AI1417" s="55" t="n"/>
      <c r="AJ1417" s="55" t="n"/>
      <c r="AK1417" s="55" t="n"/>
      <c r="AL1417" s="55" t="n"/>
      <c r="AM1417" s="56" t="n"/>
      <c r="AN1417" s="55" t="n"/>
      <c r="AO1417" s="55" t="n"/>
      <c r="AP1417" s="55" t="n"/>
      <c r="AQ1417" s="55" t="n"/>
      <c r="AR1417" s="60">
        <f>IF(AND(C1417="",E1417=""),"",IF(A1417="","⚠ Date manquante",IF(AND(C1417="",E1417&lt;&gt;"Dépense"),"⚠ Prospect manquant",IF(E1417="","⚠ Action manquante",IF(AND(AU1417=1,D1417=""),"⚠ Canal manquant",IF(AND(W1417&lt;&gt;"",COUNTIFS('Saisie'!$W$5:$W$2004,W1417,'Saisie'!$C$5:$C$2004,"&lt;&gt;"&amp;C1417)&gt;0),"⚠ Numéro déjà utilisé par un autre prospect",IF(AND(J1417&lt;&gt;"",J1417&lt;A1417),"⚠ Relance avant la date de l'action",IF(A1417&gt;TODAY(),"⚠ Date dans le futur","✓"))))))))</f>
        <v/>
      </c>
      <c r="AS1417" s="61">
        <f>IF(AND(A1417="",C1417="",E1417=""),"",ROW())</f>
        <v/>
      </c>
      <c r="AT1417" s="61">
        <f>IF(E1417&amp;F1417="","",MAX(IFERROR(INDEX('Paramètres'!$J$6:$J$33,MATCH(E1417,'Paramètres'!$I$6:$I$33,0)),0),IFERROR(INDEX('Paramètres'!$N$6:$N$17,MATCH(F1417,'Paramètres'!$M$6:$M$17,0)),0)))</f>
        <v/>
      </c>
      <c r="AU1417" s="61">
        <f>IF(E1417="","",IFERROR(IF(INDEX('Paramètres'!$K$6:$K$33,MATCH(E1417,'Paramètres'!$I$6:$I$33,0))="Oui",1,0),0))</f>
        <v/>
      </c>
      <c r="AV1417" s="61">
        <f>IF(F1417="","",IFERROR(IF(INDEX('Paramètres'!$O$6:$O$17,MATCH(F1417,'Paramètres'!$M$6:$M$17,0))="Oui",1,0),0))</f>
        <v/>
      </c>
      <c r="AW1417" s="62">
        <f>IF(E1417="","",IF(G1417&lt;&gt;"",G1417,IF(OR(E1417="Proposition envoyée",E1417="Signature"),MAX(0,N(IFERROR(INDEX('Paramètres'!$R$6:$R$15,MATCH(IF(AL1417&lt;&gt;"",AL1417,IFERROR(INDEX('Prospects'!$AN$5:$AN$504,MATCH(C1417,'Prospects'!$C$5:$C$504,0)),"")),'Paramètres'!$Q$6:$Q$15,0)),0))-N(P1417)),0)))</f>
        <v/>
      </c>
      <c r="AX1417" s="61">
        <f>IF(C1417="","",IF(COUNTIF($C$5:C1417,C1417)=1,MAX($AX$4:AX1416)+1,""))</f>
        <v/>
      </c>
      <c r="AY1417" s="61">
        <f>IF(B1417="","",HOUR(B1417))</f>
        <v/>
      </c>
      <c r="AZ1417" s="61">
        <f>IF(A1417="","",MOD(A1417-2,7)+1)</f>
        <v/>
      </c>
      <c r="BA1417" s="60">
        <f>IF(C1417="","",IFERROR(INDEX('Prospects'!$N$5:$N$504,MATCH(C1417,'Prospects'!$C$5:$C$504,0)),""))</f>
        <v/>
      </c>
      <c r="BB1417" s="61">
        <f>IF(AND(C1417&lt;&gt;"",C1417='Fiche prospect'!$C$4),COUNTIF($C$5:C1417,C1417),"")</f>
        <v/>
      </c>
    </row>
    <row r="1418">
      <c r="A1418" s="53" t="n"/>
      <c r="B1418" s="54" t="n"/>
      <c r="C1418" s="55" t="n"/>
      <c r="D1418" s="55" t="n"/>
      <c r="E1418" s="55" t="n"/>
      <c r="F1418" s="55" t="n"/>
      <c r="G1418" s="56" t="n"/>
      <c r="H1418" s="57" t="n"/>
      <c r="I1418" s="55" t="n"/>
      <c r="J1418" s="53" t="n"/>
      <c r="K1418" s="54" t="n"/>
      <c r="L1418" s="55" t="n"/>
      <c r="M1418" s="55" t="n"/>
      <c r="N1418" s="57" t="n"/>
      <c r="O1418" s="55" t="n"/>
      <c r="P1418" s="56" t="n"/>
      <c r="Q1418" s="55" t="n"/>
      <c r="R1418" s="55" t="n"/>
      <c r="S1418" s="55" t="n"/>
      <c r="T1418" s="55" t="n"/>
      <c r="U1418" s="55" t="n"/>
      <c r="V1418" s="55" t="n"/>
      <c r="W1418" s="58" t="n"/>
      <c r="X1418" s="58" t="n"/>
      <c r="Y1418" s="55" t="n"/>
      <c r="Z1418" s="55" t="n"/>
      <c r="AA1418" s="55" t="n"/>
      <c r="AB1418" s="55" t="n"/>
      <c r="AC1418" s="55" t="n"/>
      <c r="AD1418" s="53" t="n"/>
      <c r="AE1418" s="55" t="n"/>
      <c r="AF1418" s="55" t="n"/>
      <c r="AG1418" s="59" t="n"/>
      <c r="AH1418" s="57" t="n"/>
      <c r="AI1418" s="55" t="n"/>
      <c r="AJ1418" s="55" t="n"/>
      <c r="AK1418" s="55" t="n"/>
      <c r="AL1418" s="55" t="n"/>
      <c r="AM1418" s="56" t="n"/>
      <c r="AN1418" s="55" t="n"/>
      <c r="AO1418" s="55" t="n"/>
      <c r="AP1418" s="55" t="n"/>
      <c r="AQ1418" s="55" t="n"/>
      <c r="AR1418" s="60">
        <f>IF(AND(C1418="",E1418=""),"",IF(A1418="","⚠ Date manquante",IF(AND(C1418="",E1418&lt;&gt;"Dépense"),"⚠ Prospect manquant",IF(E1418="","⚠ Action manquante",IF(AND(AU1418=1,D1418=""),"⚠ Canal manquant",IF(AND(W1418&lt;&gt;"",COUNTIFS('Saisie'!$W$5:$W$2004,W1418,'Saisie'!$C$5:$C$2004,"&lt;&gt;"&amp;C1418)&gt;0),"⚠ Numéro déjà utilisé par un autre prospect",IF(AND(J1418&lt;&gt;"",J1418&lt;A1418),"⚠ Relance avant la date de l'action",IF(A1418&gt;TODAY(),"⚠ Date dans le futur","✓"))))))))</f>
        <v/>
      </c>
      <c r="AS1418" s="61">
        <f>IF(AND(A1418="",C1418="",E1418=""),"",ROW())</f>
        <v/>
      </c>
      <c r="AT1418" s="61">
        <f>IF(E1418&amp;F1418="","",MAX(IFERROR(INDEX('Paramètres'!$J$6:$J$33,MATCH(E1418,'Paramètres'!$I$6:$I$33,0)),0),IFERROR(INDEX('Paramètres'!$N$6:$N$17,MATCH(F1418,'Paramètres'!$M$6:$M$17,0)),0)))</f>
        <v/>
      </c>
      <c r="AU1418" s="61">
        <f>IF(E1418="","",IFERROR(IF(INDEX('Paramètres'!$K$6:$K$33,MATCH(E1418,'Paramètres'!$I$6:$I$33,0))="Oui",1,0),0))</f>
        <v/>
      </c>
      <c r="AV1418" s="61">
        <f>IF(F1418="","",IFERROR(IF(INDEX('Paramètres'!$O$6:$O$17,MATCH(F1418,'Paramètres'!$M$6:$M$17,0))="Oui",1,0),0))</f>
        <v/>
      </c>
      <c r="AW1418" s="62">
        <f>IF(E1418="","",IF(G1418&lt;&gt;"",G1418,IF(OR(E1418="Proposition envoyée",E1418="Signature"),MAX(0,N(IFERROR(INDEX('Paramètres'!$R$6:$R$15,MATCH(IF(AL1418&lt;&gt;"",AL1418,IFERROR(INDEX('Prospects'!$AN$5:$AN$504,MATCH(C1418,'Prospects'!$C$5:$C$504,0)),"")),'Paramètres'!$Q$6:$Q$15,0)),0))-N(P1418)),0)))</f>
        <v/>
      </c>
      <c r="AX1418" s="61">
        <f>IF(C1418="","",IF(COUNTIF($C$5:C1418,C1418)=1,MAX($AX$4:AX1417)+1,""))</f>
        <v/>
      </c>
      <c r="AY1418" s="61">
        <f>IF(B1418="","",HOUR(B1418))</f>
        <v/>
      </c>
      <c r="AZ1418" s="61">
        <f>IF(A1418="","",MOD(A1418-2,7)+1)</f>
        <v/>
      </c>
      <c r="BA1418" s="60">
        <f>IF(C1418="","",IFERROR(INDEX('Prospects'!$N$5:$N$504,MATCH(C1418,'Prospects'!$C$5:$C$504,0)),""))</f>
        <v/>
      </c>
      <c r="BB1418" s="61">
        <f>IF(AND(C1418&lt;&gt;"",C1418='Fiche prospect'!$C$4),COUNTIF($C$5:C1418,C1418),"")</f>
        <v/>
      </c>
    </row>
    <row r="1419">
      <c r="A1419" s="53" t="n"/>
      <c r="B1419" s="54" t="n"/>
      <c r="C1419" s="55" t="n"/>
      <c r="D1419" s="55" t="n"/>
      <c r="E1419" s="55" t="n"/>
      <c r="F1419" s="55" t="n"/>
      <c r="G1419" s="56" t="n"/>
      <c r="H1419" s="57" t="n"/>
      <c r="I1419" s="55" t="n"/>
      <c r="J1419" s="53" t="n"/>
      <c r="K1419" s="54" t="n"/>
      <c r="L1419" s="55" t="n"/>
      <c r="M1419" s="55" t="n"/>
      <c r="N1419" s="57" t="n"/>
      <c r="O1419" s="55" t="n"/>
      <c r="P1419" s="56" t="n"/>
      <c r="Q1419" s="55" t="n"/>
      <c r="R1419" s="55" t="n"/>
      <c r="S1419" s="55" t="n"/>
      <c r="T1419" s="55" t="n"/>
      <c r="U1419" s="55" t="n"/>
      <c r="V1419" s="55" t="n"/>
      <c r="W1419" s="58" t="n"/>
      <c r="X1419" s="58" t="n"/>
      <c r="Y1419" s="55" t="n"/>
      <c r="Z1419" s="55" t="n"/>
      <c r="AA1419" s="55" t="n"/>
      <c r="AB1419" s="55" t="n"/>
      <c r="AC1419" s="55" t="n"/>
      <c r="AD1419" s="53" t="n"/>
      <c r="AE1419" s="55" t="n"/>
      <c r="AF1419" s="55" t="n"/>
      <c r="AG1419" s="59" t="n"/>
      <c r="AH1419" s="57" t="n"/>
      <c r="AI1419" s="55" t="n"/>
      <c r="AJ1419" s="55" t="n"/>
      <c r="AK1419" s="55" t="n"/>
      <c r="AL1419" s="55" t="n"/>
      <c r="AM1419" s="56" t="n"/>
      <c r="AN1419" s="55" t="n"/>
      <c r="AO1419" s="55" t="n"/>
      <c r="AP1419" s="55" t="n"/>
      <c r="AQ1419" s="55" t="n"/>
      <c r="AR1419" s="60">
        <f>IF(AND(C1419="",E1419=""),"",IF(A1419="","⚠ Date manquante",IF(AND(C1419="",E1419&lt;&gt;"Dépense"),"⚠ Prospect manquant",IF(E1419="","⚠ Action manquante",IF(AND(AU1419=1,D1419=""),"⚠ Canal manquant",IF(AND(W1419&lt;&gt;"",COUNTIFS('Saisie'!$W$5:$W$2004,W1419,'Saisie'!$C$5:$C$2004,"&lt;&gt;"&amp;C1419)&gt;0),"⚠ Numéro déjà utilisé par un autre prospect",IF(AND(J1419&lt;&gt;"",J1419&lt;A1419),"⚠ Relance avant la date de l'action",IF(A1419&gt;TODAY(),"⚠ Date dans le futur","✓"))))))))</f>
        <v/>
      </c>
      <c r="AS1419" s="61">
        <f>IF(AND(A1419="",C1419="",E1419=""),"",ROW())</f>
        <v/>
      </c>
      <c r="AT1419" s="61">
        <f>IF(E1419&amp;F1419="","",MAX(IFERROR(INDEX('Paramètres'!$J$6:$J$33,MATCH(E1419,'Paramètres'!$I$6:$I$33,0)),0),IFERROR(INDEX('Paramètres'!$N$6:$N$17,MATCH(F1419,'Paramètres'!$M$6:$M$17,0)),0)))</f>
        <v/>
      </c>
      <c r="AU1419" s="61">
        <f>IF(E1419="","",IFERROR(IF(INDEX('Paramètres'!$K$6:$K$33,MATCH(E1419,'Paramètres'!$I$6:$I$33,0))="Oui",1,0),0))</f>
        <v/>
      </c>
      <c r="AV1419" s="61">
        <f>IF(F1419="","",IFERROR(IF(INDEX('Paramètres'!$O$6:$O$17,MATCH(F1419,'Paramètres'!$M$6:$M$17,0))="Oui",1,0),0))</f>
        <v/>
      </c>
      <c r="AW1419" s="62">
        <f>IF(E1419="","",IF(G1419&lt;&gt;"",G1419,IF(OR(E1419="Proposition envoyée",E1419="Signature"),MAX(0,N(IFERROR(INDEX('Paramètres'!$R$6:$R$15,MATCH(IF(AL1419&lt;&gt;"",AL1419,IFERROR(INDEX('Prospects'!$AN$5:$AN$504,MATCH(C1419,'Prospects'!$C$5:$C$504,0)),"")),'Paramètres'!$Q$6:$Q$15,0)),0))-N(P1419)),0)))</f>
        <v/>
      </c>
      <c r="AX1419" s="61">
        <f>IF(C1419="","",IF(COUNTIF($C$5:C1419,C1419)=1,MAX($AX$4:AX1418)+1,""))</f>
        <v/>
      </c>
      <c r="AY1419" s="61">
        <f>IF(B1419="","",HOUR(B1419))</f>
        <v/>
      </c>
      <c r="AZ1419" s="61">
        <f>IF(A1419="","",MOD(A1419-2,7)+1)</f>
        <v/>
      </c>
      <c r="BA1419" s="60">
        <f>IF(C1419="","",IFERROR(INDEX('Prospects'!$N$5:$N$504,MATCH(C1419,'Prospects'!$C$5:$C$504,0)),""))</f>
        <v/>
      </c>
      <c r="BB1419" s="61">
        <f>IF(AND(C1419&lt;&gt;"",C1419='Fiche prospect'!$C$4),COUNTIF($C$5:C1419,C1419),"")</f>
        <v/>
      </c>
    </row>
    <row r="1420">
      <c r="A1420" s="53" t="n"/>
      <c r="B1420" s="54" t="n"/>
      <c r="C1420" s="55" t="n"/>
      <c r="D1420" s="55" t="n"/>
      <c r="E1420" s="55" t="n"/>
      <c r="F1420" s="55" t="n"/>
      <c r="G1420" s="56" t="n"/>
      <c r="H1420" s="57" t="n"/>
      <c r="I1420" s="55" t="n"/>
      <c r="J1420" s="53" t="n"/>
      <c r="K1420" s="54" t="n"/>
      <c r="L1420" s="55" t="n"/>
      <c r="M1420" s="55" t="n"/>
      <c r="N1420" s="57" t="n"/>
      <c r="O1420" s="55" t="n"/>
      <c r="P1420" s="56" t="n"/>
      <c r="Q1420" s="55" t="n"/>
      <c r="R1420" s="55" t="n"/>
      <c r="S1420" s="55" t="n"/>
      <c r="T1420" s="55" t="n"/>
      <c r="U1420" s="55" t="n"/>
      <c r="V1420" s="55" t="n"/>
      <c r="W1420" s="58" t="n"/>
      <c r="X1420" s="58" t="n"/>
      <c r="Y1420" s="55" t="n"/>
      <c r="Z1420" s="55" t="n"/>
      <c r="AA1420" s="55" t="n"/>
      <c r="AB1420" s="55" t="n"/>
      <c r="AC1420" s="55" t="n"/>
      <c r="AD1420" s="53" t="n"/>
      <c r="AE1420" s="55" t="n"/>
      <c r="AF1420" s="55" t="n"/>
      <c r="AG1420" s="59" t="n"/>
      <c r="AH1420" s="57" t="n"/>
      <c r="AI1420" s="55" t="n"/>
      <c r="AJ1420" s="55" t="n"/>
      <c r="AK1420" s="55" t="n"/>
      <c r="AL1420" s="55" t="n"/>
      <c r="AM1420" s="56" t="n"/>
      <c r="AN1420" s="55" t="n"/>
      <c r="AO1420" s="55" t="n"/>
      <c r="AP1420" s="55" t="n"/>
      <c r="AQ1420" s="55" t="n"/>
      <c r="AR1420" s="60">
        <f>IF(AND(C1420="",E1420=""),"",IF(A1420="","⚠ Date manquante",IF(AND(C1420="",E1420&lt;&gt;"Dépense"),"⚠ Prospect manquant",IF(E1420="","⚠ Action manquante",IF(AND(AU1420=1,D1420=""),"⚠ Canal manquant",IF(AND(W1420&lt;&gt;"",COUNTIFS('Saisie'!$W$5:$W$2004,W1420,'Saisie'!$C$5:$C$2004,"&lt;&gt;"&amp;C1420)&gt;0),"⚠ Numéro déjà utilisé par un autre prospect",IF(AND(J1420&lt;&gt;"",J1420&lt;A1420),"⚠ Relance avant la date de l'action",IF(A1420&gt;TODAY(),"⚠ Date dans le futur","✓"))))))))</f>
        <v/>
      </c>
      <c r="AS1420" s="61">
        <f>IF(AND(A1420="",C1420="",E1420=""),"",ROW())</f>
        <v/>
      </c>
      <c r="AT1420" s="61">
        <f>IF(E1420&amp;F1420="","",MAX(IFERROR(INDEX('Paramètres'!$J$6:$J$33,MATCH(E1420,'Paramètres'!$I$6:$I$33,0)),0),IFERROR(INDEX('Paramètres'!$N$6:$N$17,MATCH(F1420,'Paramètres'!$M$6:$M$17,0)),0)))</f>
        <v/>
      </c>
      <c r="AU1420" s="61">
        <f>IF(E1420="","",IFERROR(IF(INDEX('Paramètres'!$K$6:$K$33,MATCH(E1420,'Paramètres'!$I$6:$I$33,0))="Oui",1,0),0))</f>
        <v/>
      </c>
      <c r="AV1420" s="61">
        <f>IF(F1420="","",IFERROR(IF(INDEX('Paramètres'!$O$6:$O$17,MATCH(F1420,'Paramètres'!$M$6:$M$17,0))="Oui",1,0),0))</f>
        <v/>
      </c>
      <c r="AW1420" s="62">
        <f>IF(E1420="","",IF(G1420&lt;&gt;"",G1420,IF(OR(E1420="Proposition envoyée",E1420="Signature"),MAX(0,N(IFERROR(INDEX('Paramètres'!$R$6:$R$15,MATCH(IF(AL1420&lt;&gt;"",AL1420,IFERROR(INDEX('Prospects'!$AN$5:$AN$504,MATCH(C1420,'Prospects'!$C$5:$C$504,0)),"")),'Paramètres'!$Q$6:$Q$15,0)),0))-N(P1420)),0)))</f>
        <v/>
      </c>
      <c r="AX1420" s="61">
        <f>IF(C1420="","",IF(COUNTIF($C$5:C1420,C1420)=1,MAX($AX$4:AX1419)+1,""))</f>
        <v/>
      </c>
      <c r="AY1420" s="61">
        <f>IF(B1420="","",HOUR(B1420))</f>
        <v/>
      </c>
      <c r="AZ1420" s="61">
        <f>IF(A1420="","",MOD(A1420-2,7)+1)</f>
        <v/>
      </c>
      <c r="BA1420" s="60">
        <f>IF(C1420="","",IFERROR(INDEX('Prospects'!$N$5:$N$504,MATCH(C1420,'Prospects'!$C$5:$C$504,0)),""))</f>
        <v/>
      </c>
      <c r="BB1420" s="61">
        <f>IF(AND(C1420&lt;&gt;"",C1420='Fiche prospect'!$C$4),COUNTIF($C$5:C1420,C1420),"")</f>
        <v/>
      </c>
    </row>
    <row r="1421">
      <c r="A1421" s="53" t="n"/>
      <c r="B1421" s="54" t="n"/>
      <c r="C1421" s="55" t="n"/>
      <c r="D1421" s="55" t="n"/>
      <c r="E1421" s="55" t="n"/>
      <c r="F1421" s="55" t="n"/>
      <c r="G1421" s="56" t="n"/>
      <c r="H1421" s="57" t="n"/>
      <c r="I1421" s="55" t="n"/>
      <c r="J1421" s="53" t="n"/>
      <c r="K1421" s="54" t="n"/>
      <c r="L1421" s="55" t="n"/>
      <c r="M1421" s="55" t="n"/>
      <c r="N1421" s="57" t="n"/>
      <c r="O1421" s="55" t="n"/>
      <c r="P1421" s="56" t="n"/>
      <c r="Q1421" s="55" t="n"/>
      <c r="R1421" s="55" t="n"/>
      <c r="S1421" s="55" t="n"/>
      <c r="T1421" s="55" t="n"/>
      <c r="U1421" s="55" t="n"/>
      <c r="V1421" s="55" t="n"/>
      <c r="W1421" s="58" t="n"/>
      <c r="X1421" s="58" t="n"/>
      <c r="Y1421" s="55" t="n"/>
      <c r="Z1421" s="55" t="n"/>
      <c r="AA1421" s="55" t="n"/>
      <c r="AB1421" s="55" t="n"/>
      <c r="AC1421" s="55" t="n"/>
      <c r="AD1421" s="53" t="n"/>
      <c r="AE1421" s="55" t="n"/>
      <c r="AF1421" s="55" t="n"/>
      <c r="AG1421" s="59" t="n"/>
      <c r="AH1421" s="57" t="n"/>
      <c r="AI1421" s="55" t="n"/>
      <c r="AJ1421" s="55" t="n"/>
      <c r="AK1421" s="55" t="n"/>
      <c r="AL1421" s="55" t="n"/>
      <c r="AM1421" s="56" t="n"/>
      <c r="AN1421" s="55" t="n"/>
      <c r="AO1421" s="55" t="n"/>
      <c r="AP1421" s="55" t="n"/>
      <c r="AQ1421" s="55" t="n"/>
      <c r="AR1421" s="60">
        <f>IF(AND(C1421="",E1421=""),"",IF(A1421="","⚠ Date manquante",IF(AND(C1421="",E1421&lt;&gt;"Dépense"),"⚠ Prospect manquant",IF(E1421="","⚠ Action manquante",IF(AND(AU1421=1,D1421=""),"⚠ Canal manquant",IF(AND(W1421&lt;&gt;"",COUNTIFS('Saisie'!$W$5:$W$2004,W1421,'Saisie'!$C$5:$C$2004,"&lt;&gt;"&amp;C1421)&gt;0),"⚠ Numéro déjà utilisé par un autre prospect",IF(AND(J1421&lt;&gt;"",J1421&lt;A1421),"⚠ Relance avant la date de l'action",IF(A1421&gt;TODAY(),"⚠ Date dans le futur","✓"))))))))</f>
        <v/>
      </c>
      <c r="AS1421" s="61">
        <f>IF(AND(A1421="",C1421="",E1421=""),"",ROW())</f>
        <v/>
      </c>
      <c r="AT1421" s="61">
        <f>IF(E1421&amp;F1421="","",MAX(IFERROR(INDEX('Paramètres'!$J$6:$J$33,MATCH(E1421,'Paramètres'!$I$6:$I$33,0)),0),IFERROR(INDEX('Paramètres'!$N$6:$N$17,MATCH(F1421,'Paramètres'!$M$6:$M$17,0)),0)))</f>
        <v/>
      </c>
      <c r="AU1421" s="61">
        <f>IF(E1421="","",IFERROR(IF(INDEX('Paramètres'!$K$6:$K$33,MATCH(E1421,'Paramètres'!$I$6:$I$33,0))="Oui",1,0),0))</f>
        <v/>
      </c>
      <c r="AV1421" s="61">
        <f>IF(F1421="","",IFERROR(IF(INDEX('Paramètres'!$O$6:$O$17,MATCH(F1421,'Paramètres'!$M$6:$M$17,0))="Oui",1,0),0))</f>
        <v/>
      </c>
      <c r="AW1421" s="62">
        <f>IF(E1421="","",IF(G1421&lt;&gt;"",G1421,IF(OR(E1421="Proposition envoyée",E1421="Signature"),MAX(0,N(IFERROR(INDEX('Paramètres'!$R$6:$R$15,MATCH(IF(AL1421&lt;&gt;"",AL1421,IFERROR(INDEX('Prospects'!$AN$5:$AN$504,MATCH(C1421,'Prospects'!$C$5:$C$504,0)),"")),'Paramètres'!$Q$6:$Q$15,0)),0))-N(P1421)),0)))</f>
        <v/>
      </c>
      <c r="AX1421" s="61">
        <f>IF(C1421="","",IF(COUNTIF($C$5:C1421,C1421)=1,MAX($AX$4:AX1420)+1,""))</f>
        <v/>
      </c>
      <c r="AY1421" s="61">
        <f>IF(B1421="","",HOUR(B1421))</f>
        <v/>
      </c>
      <c r="AZ1421" s="61">
        <f>IF(A1421="","",MOD(A1421-2,7)+1)</f>
        <v/>
      </c>
      <c r="BA1421" s="60">
        <f>IF(C1421="","",IFERROR(INDEX('Prospects'!$N$5:$N$504,MATCH(C1421,'Prospects'!$C$5:$C$504,0)),""))</f>
        <v/>
      </c>
      <c r="BB1421" s="61">
        <f>IF(AND(C1421&lt;&gt;"",C1421='Fiche prospect'!$C$4),COUNTIF($C$5:C1421,C1421),"")</f>
        <v/>
      </c>
    </row>
    <row r="1422">
      <c r="A1422" s="53" t="n"/>
      <c r="B1422" s="54" t="n"/>
      <c r="C1422" s="55" t="n"/>
      <c r="D1422" s="55" t="n"/>
      <c r="E1422" s="55" t="n"/>
      <c r="F1422" s="55" t="n"/>
      <c r="G1422" s="56" t="n"/>
      <c r="H1422" s="57" t="n"/>
      <c r="I1422" s="55" t="n"/>
      <c r="J1422" s="53" t="n"/>
      <c r="K1422" s="54" t="n"/>
      <c r="L1422" s="55" t="n"/>
      <c r="M1422" s="55" t="n"/>
      <c r="N1422" s="57" t="n"/>
      <c r="O1422" s="55" t="n"/>
      <c r="P1422" s="56" t="n"/>
      <c r="Q1422" s="55" t="n"/>
      <c r="R1422" s="55" t="n"/>
      <c r="S1422" s="55" t="n"/>
      <c r="T1422" s="55" t="n"/>
      <c r="U1422" s="55" t="n"/>
      <c r="V1422" s="55" t="n"/>
      <c r="W1422" s="58" t="n"/>
      <c r="X1422" s="58" t="n"/>
      <c r="Y1422" s="55" t="n"/>
      <c r="Z1422" s="55" t="n"/>
      <c r="AA1422" s="55" t="n"/>
      <c r="AB1422" s="55" t="n"/>
      <c r="AC1422" s="55" t="n"/>
      <c r="AD1422" s="53" t="n"/>
      <c r="AE1422" s="55" t="n"/>
      <c r="AF1422" s="55" t="n"/>
      <c r="AG1422" s="59" t="n"/>
      <c r="AH1422" s="57" t="n"/>
      <c r="AI1422" s="55" t="n"/>
      <c r="AJ1422" s="55" t="n"/>
      <c r="AK1422" s="55" t="n"/>
      <c r="AL1422" s="55" t="n"/>
      <c r="AM1422" s="56" t="n"/>
      <c r="AN1422" s="55" t="n"/>
      <c r="AO1422" s="55" t="n"/>
      <c r="AP1422" s="55" t="n"/>
      <c r="AQ1422" s="55" t="n"/>
      <c r="AR1422" s="60">
        <f>IF(AND(C1422="",E1422=""),"",IF(A1422="","⚠ Date manquante",IF(AND(C1422="",E1422&lt;&gt;"Dépense"),"⚠ Prospect manquant",IF(E1422="","⚠ Action manquante",IF(AND(AU1422=1,D1422=""),"⚠ Canal manquant",IF(AND(W1422&lt;&gt;"",COUNTIFS('Saisie'!$W$5:$W$2004,W1422,'Saisie'!$C$5:$C$2004,"&lt;&gt;"&amp;C1422)&gt;0),"⚠ Numéro déjà utilisé par un autre prospect",IF(AND(J1422&lt;&gt;"",J1422&lt;A1422),"⚠ Relance avant la date de l'action",IF(A1422&gt;TODAY(),"⚠ Date dans le futur","✓"))))))))</f>
        <v/>
      </c>
      <c r="AS1422" s="61">
        <f>IF(AND(A1422="",C1422="",E1422=""),"",ROW())</f>
        <v/>
      </c>
      <c r="AT1422" s="61">
        <f>IF(E1422&amp;F1422="","",MAX(IFERROR(INDEX('Paramètres'!$J$6:$J$33,MATCH(E1422,'Paramètres'!$I$6:$I$33,0)),0),IFERROR(INDEX('Paramètres'!$N$6:$N$17,MATCH(F1422,'Paramètres'!$M$6:$M$17,0)),0)))</f>
        <v/>
      </c>
      <c r="AU1422" s="61">
        <f>IF(E1422="","",IFERROR(IF(INDEX('Paramètres'!$K$6:$K$33,MATCH(E1422,'Paramètres'!$I$6:$I$33,0))="Oui",1,0),0))</f>
        <v/>
      </c>
      <c r="AV1422" s="61">
        <f>IF(F1422="","",IFERROR(IF(INDEX('Paramètres'!$O$6:$O$17,MATCH(F1422,'Paramètres'!$M$6:$M$17,0))="Oui",1,0),0))</f>
        <v/>
      </c>
      <c r="AW1422" s="62">
        <f>IF(E1422="","",IF(G1422&lt;&gt;"",G1422,IF(OR(E1422="Proposition envoyée",E1422="Signature"),MAX(0,N(IFERROR(INDEX('Paramètres'!$R$6:$R$15,MATCH(IF(AL1422&lt;&gt;"",AL1422,IFERROR(INDEX('Prospects'!$AN$5:$AN$504,MATCH(C1422,'Prospects'!$C$5:$C$504,0)),"")),'Paramètres'!$Q$6:$Q$15,0)),0))-N(P1422)),0)))</f>
        <v/>
      </c>
      <c r="AX1422" s="61">
        <f>IF(C1422="","",IF(COUNTIF($C$5:C1422,C1422)=1,MAX($AX$4:AX1421)+1,""))</f>
        <v/>
      </c>
      <c r="AY1422" s="61">
        <f>IF(B1422="","",HOUR(B1422))</f>
        <v/>
      </c>
      <c r="AZ1422" s="61">
        <f>IF(A1422="","",MOD(A1422-2,7)+1)</f>
        <v/>
      </c>
      <c r="BA1422" s="60">
        <f>IF(C1422="","",IFERROR(INDEX('Prospects'!$N$5:$N$504,MATCH(C1422,'Prospects'!$C$5:$C$504,0)),""))</f>
        <v/>
      </c>
      <c r="BB1422" s="61">
        <f>IF(AND(C1422&lt;&gt;"",C1422='Fiche prospect'!$C$4),COUNTIF($C$5:C1422,C1422),"")</f>
        <v/>
      </c>
    </row>
    <row r="1423">
      <c r="A1423" s="53" t="n"/>
      <c r="B1423" s="54" t="n"/>
      <c r="C1423" s="55" t="n"/>
      <c r="D1423" s="55" t="n"/>
      <c r="E1423" s="55" t="n"/>
      <c r="F1423" s="55" t="n"/>
      <c r="G1423" s="56" t="n"/>
      <c r="H1423" s="57" t="n"/>
      <c r="I1423" s="55" t="n"/>
      <c r="J1423" s="53" t="n"/>
      <c r="K1423" s="54" t="n"/>
      <c r="L1423" s="55" t="n"/>
      <c r="M1423" s="55" t="n"/>
      <c r="N1423" s="57" t="n"/>
      <c r="O1423" s="55" t="n"/>
      <c r="P1423" s="56" t="n"/>
      <c r="Q1423" s="55" t="n"/>
      <c r="R1423" s="55" t="n"/>
      <c r="S1423" s="55" t="n"/>
      <c r="T1423" s="55" t="n"/>
      <c r="U1423" s="55" t="n"/>
      <c r="V1423" s="55" t="n"/>
      <c r="W1423" s="58" t="n"/>
      <c r="X1423" s="58" t="n"/>
      <c r="Y1423" s="55" t="n"/>
      <c r="Z1423" s="55" t="n"/>
      <c r="AA1423" s="55" t="n"/>
      <c r="AB1423" s="55" t="n"/>
      <c r="AC1423" s="55" t="n"/>
      <c r="AD1423" s="53" t="n"/>
      <c r="AE1423" s="55" t="n"/>
      <c r="AF1423" s="55" t="n"/>
      <c r="AG1423" s="59" t="n"/>
      <c r="AH1423" s="57" t="n"/>
      <c r="AI1423" s="55" t="n"/>
      <c r="AJ1423" s="55" t="n"/>
      <c r="AK1423" s="55" t="n"/>
      <c r="AL1423" s="55" t="n"/>
      <c r="AM1423" s="56" t="n"/>
      <c r="AN1423" s="55" t="n"/>
      <c r="AO1423" s="55" t="n"/>
      <c r="AP1423" s="55" t="n"/>
      <c r="AQ1423" s="55" t="n"/>
      <c r="AR1423" s="60">
        <f>IF(AND(C1423="",E1423=""),"",IF(A1423="","⚠ Date manquante",IF(AND(C1423="",E1423&lt;&gt;"Dépense"),"⚠ Prospect manquant",IF(E1423="","⚠ Action manquante",IF(AND(AU1423=1,D1423=""),"⚠ Canal manquant",IF(AND(W1423&lt;&gt;"",COUNTIFS('Saisie'!$W$5:$W$2004,W1423,'Saisie'!$C$5:$C$2004,"&lt;&gt;"&amp;C1423)&gt;0),"⚠ Numéro déjà utilisé par un autre prospect",IF(AND(J1423&lt;&gt;"",J1423&lt;A1423),"⚠ Relance avant la date de l'action",IF(A1423&gt;TODAY(),"⚠ Date dans le futur","✓"))))))))</f>
        <v/>
      </c>
      <c r="AS1423" s="61">
        <f>IF(AND(A1423="",C1423="",E1423=""),"",ROW())</f>
        <v/>
      </c>
      <c r="AT1423" s="61">
        <f>IF(E1423&amp;F1423="","",MAX(IFERROR(INDEX('Paramètres'!$J$6:$J$33,MATCH(E1423,'Paramètres'!$I$6:$I$33,0)),0),IFERROR(INDEX('Paramètres'!$N$6:$N$17,MATCH(F1423,'Paramètres'!$M$6:$M$17,0)),0)))</f>
        <v/>
      </c>
      <c r="AU1423" s="61">
        <f>IF(E1423="","",IFERROR(IF(INDEX('Paramètres'!$K$6:$K$33,MATCH(E1423,'Paramètres'!$I$6:$I$33,0))="Oui",1,0),0))</f>
        <v/>
      </c>
      <c r="AV1423" s="61">
        <f>IF(F1423="","",IFERROR(IF(INDEX('Paramètres'!$O$6:$O$17,MATCH(F1423,'Paramètres'!$M$6:$M$17,0))="Oui",1,0),0))</f>
        <v/>
      </c>
      <c r="AW1423" s="62">
        <f>IF(E1423="","",IF(G1423&lt;&gt;"",G1423,IF(OR(E1423="Proposition envoyée",E1423="Signature"),MAX(0,N(IFERROR(INDEX('Paramètres'!$R$6:$R$15,MATCH(IF(AL1423&lt;&gt;"",AL1423,IFERROR(INDEX('Prospects'!$AN$5:$AN$504,MATCH(C1423,'Prospects'!$C$5:$C$504,0)),"")),'Paramètres'!$Q$6:$Q$15,0)),0))-N(P1423)),0)))</f>
        <v/>
      </c>
      <c r="AX1423" s="61">
        <f>IF(C1423="","",IF(COUNTIF($C$5:C1423,C1423)=1,MAX($AX$4:AX1422)+1,""))</f>
        <v/>
      </c>
      <c r="AY1423" s="61">
        <f>IF(B1423="","",HOUR(B1423))</f>
        <v/>
      </c>
      <c r="AZ1423" s="61">
        <f>IF(A1423="","",MOD(A1423-2,7)+1)</f>
        <v/>
      </c>
      <c r="BA1423" s="60">
        <f>IF(C1423="","",IFERROR(INDEX('Prospects'!$N$5:$N$504,MATCH(C1423,'Prospects'!$C$5:$C$504,0)),""))</f>
        <v/>
      </c>
      <c r="BB1423" s="61">
        <f>IF(AND(C1423&lt;&gt;"",C1423='Fiche prospect'!$C$4),COUNTIF($C$5:C1423,C1423),"")</f>
        <v/>
      </c>
    </row>
    <row r="1424">
      <c r="A1424" s="53" t="n"/>
      <c r="B1424" s="54" t="n"/>
      <c r="C1424" s="55" t="n"/>
      <c r="D1424" s="55" t="n"/>
      <c r="E1424" s="55" t="n"/>
      <c r="F1424" s="55" t="n"/>
      <c r="G1424" s="56" t="n"/>
      <c r="H1424" s="57" t="n"/>
      <c r="I1424" s="55" t="n"/>
      <c r="J1424" s="53" t="n"/>
      <c r="K1424" s="54" t="n"/>
      <c r="L1424" s="55" t="n"/>
      <c r="M1424" s="55" t="n"/>
      <c r="N1424" s="57" t="n"/>
      <c r="O1424" s="55" t="n"/>
      <c r="P1424" s="56" t="n"/>
      <c r="Q1424" s="55" t="n"/>
      <c r="R1424" s="55" t="n"/>
      <c r="S1424" s="55" t="n"/>
      <c r="T1424" s="55" t="n"/>
      <c r="U1424" s="55" t="n"/>
      <c r="V1424" s="55" t="n"/>
      <c r="W1424" s="58" t="n"/>
      <c r="X1424" s="58" t="n"/>
      <c r="Y1424" s="55" t="n"/>
      <c r="Z1424" s="55" t="n"/>
      <c r="AA1424" s="55" t="n"/>
      <c r="AB1424" s="55" t="n"/>
      <c r="AC1424" s="55" t="n"/>
      <c r="AD1424" s="53" t="n"/>
      <c r="AE1424" s="55" t="n"/>
      <c r="AF1424" s="55" t="n"/>
      <c r="AG1424" s="59" t="n"/>
      <c r="AH1424" s="57" t="n"/>
      <c r="AI1424" s="55" t="n"/>
      <c r="AJ1424" s="55" t="n"/>
      <c r="AK1424" s="55" t="n"/>
      <c r="AL1424" s="55" t="n"/>
      <c r="AM1424" s="56" t="n"/>
      <c r="AN1424" s="55" t="n"/>
      <c r="AO1424" s="55" t="n"/>
      <c r="AP1424" s="55" t="n"/>
      <c r="AQ1424" s="55" t="n"/>
      <c r="AR1424" s="60">
        <f>IF(AND(C1424="",E1424=""),"",IF(A1424="","⚠ Date manquante",IF(AND(C1424="",E1424&lt;&gt;"Dépense"),"⚠ Prospect manquant",IF(E1424="","⚠ Action manquante",IF(AND(AU1424=1,D1424=""),"⚠ Canal manquant",IF(AND(W1424&lt;&gt;"",COUNTIFS('Saisie'!$W$5:$W$2004,W1424,'Saisie'!$C$5:$C$2004,"&lt;&gt;"&amp;C1424)&gt;0),"⚠ Numéro déjà utilisé par un autre prospect",IF(AND(J1424&lt;&gt;"",J1424&lt;A1424),"⚠ Relance avant la date de l'action",IF(A1424&gt;TODAY(),"⚠ Date dans le futur","✓"))))))))</f>
        <v/>
      </c>
      <c r="AS1424" s="61">
        <f>IF(AND(A1424="",C1424="",E1424=""),"",ROW())</f>
        <v/>
      </c>
      <c r="AT1424" s="61">
        <f>IF(E1424&amp;F1424="","",MAX(IFERROR(INDEX('Paramètres'!$J$6:$J$33,MATCH(E1424,'Paramètres'!$I$6:$I$33,0)),0),IFERROR(INDEX('Paramètres'!$N$6:$N$17,MATCH(F1424,'Paramètres'!$M$6:$M$17,0)),0)))</f>
        <v/>
      </c>
      <c r="AU1424" s="61">
        <f>IF(E1424="","",IFERROR(IF(INDEX('Paramètres'!$K$6:$K$33,MATCH(E1424,'Paramètres'!$I$6:$I$33,0))="Oui",1,0),0))</f>
        <v/>
      </c>
      <c r="AV1424" s="61">
        <f>IF(F1424="","",IFERROR(IF(INDEX('Paramètres'!$O$6:$O$17,MATCH(F1424,'Paramètres'!$M$6:$M$17,0))="Oui",1,0),0))</f>
        <v/>
      </c>
      <c r="AW1424" s="62">
        <f>IF(E1424="","",IF(G1424&lt;&gt;"",G1424,IF(OR(E1424="Proposition envoyée",E1424="Signature"),MAX(0,N(IFERROR(INDEX('Paramètres'!$R$6:$R$15,MATCH(IF(AL1424&lt;&gt;"",AL1424,IFERROR(INDEX('Prospects'!$AN$5:$AN$504,MATCH(C1424,'Prospects'!$C$5:$C$504,0)),"")),'Paramètres'!$Q$6:$Q$15,0)),0))-N(P1424)),0)))</f>
        <v/>
      </c>
      <c r="AX1424" s="61">
        <f>IF(C1424="","",IF(COUNTIF($C$5:C1424,C1424)=1,MAX($AX$4:AX1423)+1,""))</f>
        <v/>
      </c>
      <c r="AY1424" s="61">
        <f>IF(B1424="","",HOUR(B1424))</f>
        <v/>
      </c>
      <c r="AZ1424" s="61">
        <f>IF(A1424="","",MOD(A1424-2,7)+1)</f>
        <v/>
      </c>
      <c r="BA1424" s="60">
        <f>IF(C1424="","",IFERROR(INDEX('Prospects'!$N$5:$N$504,MATCH(C1424,'Prospects'!$C$5:$C$504,0)),""))</f>
        <v/>
      </c>
      <c r="BB1424" s="61">
        <f>IF(AND(C1424&lt;&gt;"",C1424='Fiche prospect'!$C$4),COUNTIF($C$5:C1424,C1424),"")</f>
        <v/>
      </c>
    </row>
    <row r="1425">
      <c r="A1425" s="53" t="n"/>
      <c r="B1425" s="54" t="n"/>
      <c r="C1425" s="55" t="n"/>
      <c r="D1425" s="55" t="n"/>
      <c r="E1425" s="55" t="n"/>
      <c r="F1425" s="55" t="n"/>
      <c r="G1425" s="56" t="n"/>
      <c r="H1425" s="57" t="n"/>
      <c r="I1425" s="55" t="n"/>
      <c r="J1425" s="53" t="n"/>
      <c r="K1425" s="54" t="n"/>
      <c r="L1425" s="55" t="n"/>
      <c r="M1425" s="55" t="n"/>
      <c r="N1425" s="57" t="n"/>
      <c r="O1425" s="55" t="n"/>
      <c r="P1425" s="56" t="n"/>
      <c r="Q1425" s="55" t="n"/>
      <c r="R1425" s="55" t="n"/>
      <c r="S1425" s="55" t="n"/>
      <c r="T1425" s="55" t="n"/>
      <c r="U1425" s="55" t="n"/>
      <c r="V1425" s="55" t="n"/>
      <c r="W1425" s="58" t="n"/>
      <c r="X1425" s="58" t="n"/>
      <c r="Y1425" s="55" t="n"/>
      <c r="Z1425" s="55" t="n"/>
      <c r="AA1425" s="55" t="n"/>
      <c r="AB1425" s="55" t="n"/>
      <c r="AC1425" s="55" t="n"/>
      <c r="AD1425" s="53" t="n"/>
      <c r="AE1425" s="55" t="n"/>
      <c r="AF1425" s="55" t="n"/>
      <c r="AG1425" s="59" t="n"/>
      <c r="AH1425" s="57" t="n"/>
      <c r="AI1425" s="55" t="n"/>
      <c r="AJ1425" s="55" t="n"/>
      <c r="AK1425" s="55" t="n"/>
      <c r="AL1425" s="55" t="n"/>
      <c r="AM1425" s="56" t="n"/>
      <c r="AN1425" s="55" t="n"/>
      <c r="AO1425" s="55" t="n"/>
      <c r="AP1425" s="55" t="n"/>
      <c r="AQ1425" s="55" t="n"/>
      <c r="AR1425" s="60">
        <f>IF(AND(C1425="",E1425=""),"",IF(A1425="","⚠ Date manquante",IF(AND(C1425="",E1425&lt;&gt;"Dépense"),"⚠ Prospect manquant",IF(E1425="","⚠ Action manquante",IF(AND(AU1425=1,D1425=""),"⚠ Canal manquant",IF(AND(W1425&lt;&gt;"",COUNTIFS('Saisie'!$W$5:$W$2004,W1425,'Saisie'!$C$5:$C$2004,"&lt;&gt;"&amp;C1425)&gt;0),"⚠ Numéro déjà utilisé par un autre prospect",IF(AND(J1425&lt;&gt;"",J1425&lt;A1425),"⚠ Relance avant la date de l'action",IF(A1425&gt;TODAY(),"⚠ Date dans le futur","✓"))))))))</f>
        <v/>
      </c>
      <c r="AS1425" s="61">
        <f>IF(AND(A1425="",C1425="",E1425=""),"",ROW())</f>
        <v/>
      </c>
      <c r="AT1425" s="61">
        <f>IF(E1425&amp;F1425="","",MAX(IFERROR(INDEX('Paramètres'!$J$6:$J$33,MATCH(E1425,'Paramètres'!$I$6:$I$33,0)),0),IFERROR(INDEX('Paramètres'!$N$6:$N$17,MATCH(F1425,'Paramètres'!$M$6:$M$17,0)),0)))</f>
        <v/>
      </c>
      <c r="AU1425" s="61">
        <f>IF(E1425="","",IFERROR(IF(INDEX('Paramètres'!$K$6:$K$33,MATCH(E1425,'Paramètres'!$I$6:$I$33,0))="Oui",1,0),0))</f>
        <v/>
      </c>
      <c r="AV1425" s="61">
        <f>IF(F1425="","",IFERROR(IF(INDEX('Paramètres'!$O$6:$O$17,MATCH(F1425,'Paramètres'!$M$6:$M$17,0))="Oui",1,0),0))</f>
        <v/>
      </c>
      <c r="AW1425" s="62">
        <f>IF(E1425="","",IF(G1425&lt;&gt;"",G1425,IF(OR(E1425="Proposition envoyée",E1425="Signature"),MAX(0,N(IFERROR(INDEX('Paramètres'!$R$6:$R$15,MATCH(IF(AL1425&lt;&gt;"",AL1425,IFERROR(INDEX('Prospects'!$AN$5:$AN$504,MATCH(C1425,'Prospects'!$C$5:$C$504,0)),"")),'Paramètres'!$Q$6:$Q$15,0)),0))-N(P1425)),0)))</f>
        <v/>
      </c>
      <c r="AX1425" s="61">
        <f>IF(C1425="","",IF(COUNTIF($C$5:C1425,C1425)=1,MAX($AX$4:AX1424)+1,""))</f>
        <v/>
      </c>
      <c r="AY1425" s="61">
        <f>IF(B1425="","",HOUR(B1425))</f>
        <v/>
      </c>
      <c r="AZ1425" s="61">
        <f>IF(A1425="","",MOD(A1425-2,7)+1)</f>
        <v/>
      </c>
      <c r="BA1425" s="60">
        <f>IF(C1425="","",IFERROR(INDEX('Prospects'!$N$5:$N$504,MATCH(C1425,'Prospects'!$C$5:$C$504,0)),""))</f>
        <v/>
      </c>
      <c r="BB1425" s="61">
        <f>IF(AND(C1425&lt;&gt;"",C1425='Fiche prospect'!$C$4),COUNTIF($C$5:C1425,C1425),"")</f>
        <v/>
      </c>
    </row>
    <row r="1426">
      <c r="A1426" s="53" t="n"/>
      <c r="B1426" s="54" t="n"/>
      <c r="C1426" s="55" t="n"/>
      <c r="D1426" s="55" t="n"/>
      <c r="E1426" s="55" t="n"/>
      <c r="F1426" s="55" t="n"/>
      <c r="G1426" s="56" t="n"/>
      <c r="H1426" s="57" t="n"/>
      <c r="I1426" s="55" t="n"/>
      <c r="J1426" s="53" t="n"/>
      <c r="K1426" s="54" t="n"/>
      <c r="L1426" s="55" t="n"/>
      <c r="M1426" s="55" t="n"/>
      <c r="N1426" s="57" t="n"/>
      <c r="O1426" s="55" t="n"/>
      <c r="P1426" s="56" t="n"/>
      <c r="Q1426" s="55" t="n"/>
      <c r="R1426" s="55" t="n"/>
      <c r="S1426" s="55" t="n"/>
      <c r="T1426" s="55" t="n"/>
      <c r="U1426" s="55" t="n"/>
      <c r="V1426" s="55" t="n"/>
      <c r="W1426" s="58" t="n"/>
      <c r="X1426" s="58" t="n"/>
      <c r="Y1426" s="55" t="n"/>
      <c r="Z1426" s="55" t="n"/>
      <c r="AA1426" s="55" t="n"/>
      <c r="AB1426" s="55" t="n"/>
      <c r="AC1426" s="55" t="n"/>
      <c r="AD1426" s="53" t="n"/>
      <c r="AE1426" s="55" t="n"/>
      <c r="AF1426" s="55" t="n"/>
      <c r="AG1426" s="59" t="n"/>
      <c r="AH1426" s="57" t="n"/>
      <c r="AI1426" s="55" t="n"/>
      <c r="AJ1426" s="55" t="n"/>
      <c r="AK1426" s="55" t="n"/>
      <c r="AL1426" s="55" t="n"/>
      <c r="AM1426" s="56" t="n"/>
      <c r="AN1426" s="55" t="n"/>
      <c r="AO1426" s="55" t="n"/>
      <c r="AP1426" s="55" t="n"/>
      <c r="AQ1426" s="55" t="n"/>
      <c r="AR1426" s="60">
        <f>IF(AND(C1426="",E1426=""),"",IF(A1426="","⚠ Date manquante",IF(AND(C1426="",E1426&lt;&gt;"Dépense"),"⚠ Prospect manquant",IF(E1426="","⚠ Action manquante",IF(AND(AU1426=1,D1426=""),"⚠ Canal manquant",IF(AND(W1426&lt;&gt;"",COUNTIFS('Saisie'!$W$5:$W$2004,W1426,'Saisie'!$C$5:$C$2004,"&lt;&gt;"&amp;C1426)&gt;0),"⚠ Numéro déjà utilisé par un autre prospect",IF(AND(J1426&lt;&gt;"",J1426&lt;A1426),"⚠ Relance avant la date de l'action",IF(A1426&gt;TODAY(),"⚠ Date dans le futur","✓"))))))))</f>
        <v/>
      </c>
      <c r="AS1426" s="61">
        <f>IF(AND(A1426="",C1426="",E1426=""),"",ROW())</f>
        <v/>
      </c>
      <c r="AT1426" s="61">
        <f>IF(E1426&amp;F1426="","",MAX(IFERROR(INDEX('Paramètres'!$J$6:$J$33,MATCH(E1426,'Paramètres'!$I$6:$I$33,0)),0),IFERROR(INDEX('Paramètres'!$N$6:$N$17,MATCH(F1426,'Paramètres'!$M$6:$M$17,0)),0)))</f>
        <v/>
      </c>
      <c r="AU1426" s="61">
        <f>IF(E1426="","",IFERROR(IF(INDEX('Paramètres'!$K$6:$K$33,MATCH(E1426,'Paramètres'!$I$6:$I$33,0))="Oui",1,0),0))</f>
        <v/>
      </c>
      <c r="AV1426" s="61">
        <f>IF(F1426="","",IFERROR(IF(INDEX('Paramètres'!$O$6:$O$17,MATCH(F1426,'Paramètres'!$M$6:$M$17,0))="Oui",1,0),0))</f>
        <v/>
      </c>
      <c r="AW1426" s="62">
        <f>IF(E1426="","",IF(G1426&lt;&gt;"",G1426,IF(OR(E1426="Proposition envoyée",E1426="Signature"),MAX(0,N(IFERROR(INDEX('Paramètres'!$R$6:$R$15,MATCH(IF(AL1426&lt;&gt;"",AL1426,IFERROR(INDEX('Prospects'!$AN$5:$AN$504,MATCH(C1426,'Prospects'!$C$5:$C$504,0)),"")),'Paramètres'!$Q$6:$Q$15,0)),0))-N(P1426)),0)))</f>
        <v/>
      </c>
      <c r="AX1426" s="61">
        <f>IF(C1426="","",IF(COUNTIF($C$5:C1426,C1426)=1,MAX($AX$4:AX1425)+1,""))</f>
        <v/>
      </c>
      <c r="AY1426" s="61">
        <f>IF(B1426="","",HOUR(B1426))</f>
        <v/>
      </c>
      <c r="AZ1426" s="61">
        <f>IF(A1426="","",MOD(A1426-2,7)+1)</f>
        <v/>
      </c>
      <c r="BA1426" s="60">
        <f>IF(C1426="","",IFERROR(INDEX('Prospects'!$N$5:$N$504,MATCH(C1426,'Prospects'!$C$5:$C$504,0)),""))</f>
        <v/>
      </c>
      <c r="BB1426" s="61">
        <f>IF(AND(C1426&lt;&gt;"",C1426='Fiche prospect'!$C$4),COUNTIF($C$5:C1426,C1426),"")</f>
        <v/>
      </c>
    </row>
    <row r="1427">
      <c r="A1427" s="53" t="n"/>
      <c r="B1427" s="54" t="n"/>
      <c r="C1427" s="55" t="n"/>
      <c r="D1427" s="55" t="n"/>
      <c r="E1427" s="55" t="n"/>
      <c r="F1427" s="55" t="n"/>
      <c r="G1427" s="56" t="n"/>
      <c r="H1427" s="57" t="n"/>
      <c r="I1427" s="55" t="n"/>
      <c r="J1427" s="53" t="n"/>
      <c r="K1427" s="54" t="n"/>
      <c r="L1427" s="55" t="n"/>
      <c r="M1427" s="55" t="n"/>
      <c r="N1427" s="57" t="n"/>
      <c r="O1427" s="55" t="n"/>
      <c r="P1427" s="56" t="n"/>
      <c r="Q1427" s="55" t="n"/>
      <c r="R1427" s="55" t="n"/>
      <c r="S1427" s="55" t="n"/>
      <c r="T1427" s="55" t="n"/>
      <c r="U1427" s="55" t="n"/>
      <c r="V1427" s="55" t="n"/>
      <c r="W1427" s="58" t="n"/>
      <c r="X1427" s="58" t="n"/>
      <c r="Y1427" s="55" t="n"/>
      <c r="Z1427" s="55" t="n"/>
      <c r="AA1427" s="55" t="n"/>
      <c r="AB1427" s="55" t="n"/>
      <c r="AC1427" s="55" t="n"/>
      <c r="AD1427" s="53" t="n"/>
      <c r="AE1427" s="55" t="n"/>
      <c r="AF1427" s="55" t="n"/>
      <c r="AG1427" s="59" t="n"/>
      <c r="AH1427" s="57" t="n"/>
      <c r="AI1427" s="55" t="n"/>
      <c r="AJ1427" s="55" t="n"/>
      <c r="AK1427" s="55" t="n"/>
      <c r="AL1427" s="55" t="n"/>
      <c r="AM1427" s="56" t="n"/>
      <c r="AN1427" s="55" t="n"/>
      <c r="AO1427" s="55" t="n"/>
      <c r="AP1427" s="55" t="n"/>
      <c r="AQ1427" s="55" t="n"/>
      <c r="AR1427" s="60">
        <f>IF(AND(C1427="",E1427=""),"",IF(A1427="","⚠ Date manquante",IF(AND(C1427="",E1427&lt;&gt;"Dépense"),"⚠ Prospect manquant",IF(E1427="","⚠ Action manquante",IF(AND(AU1427=1,D1427=""),"⚠ Canal manquant",IF(AND(W1427&lt;&gt;"",COUNTIFS('Saisie'!$W$5:$W$2004,W1427,'Saisie'!$C$5:$C$2004,"&lt;&gt;"&amp;C1427)&gt;0),"⚠ Numéro déjà utilisé par un autre prospect",IF(AND(J1427&lt;&gt;"",J1427&lt;A1427),"⚠ Relance avant la date de l'action",IF(A1427&gt;TODAY(),"⚠ Date dans le futur","✓"))))))))</f>
        <v/>
      </c>
      <c r="AS1427" s="61">
        <f>IF(AND(A1427="",C1427="",E1427=""),"",ROW())</f>
        <v/>
      </c>
      <c r="AT1427" s="61">
        <f>IF(E1427&amp;F1427="","",MAX(IFERROR(INDEX('Paramètres'!$J$6:$J$33,MATCH(E1427,'Paramètres'!$I$6:$I$33,0)),0),IFERROR(INDEX('Paramètres'!$N$6:$N$17,MATCH(F1427,'Paramètres'!$M$6:$M$17,0)),0)))</f>
        <v/>
      </c>
      <c r="AU1427" s="61">
        <f>IF(E1427="","",IFERROR(IF(INDEX('Paramètres'!$K$6:$K$33,MATCH(E1427,'Paramètres'!$I$6:$I$33,0))="Oui",1,0),0))</f>
        <v/>
      </c>
      <c r="AV1427" s="61">
        <f>IF(F1427="","",IFERROR(IF(INDEX('Paramètres'!$O$6:$O$17,MATCH(F1427,'Paramètres'!$M$6:$M$17,0))="Oui",1,0),0))</f>
        <v/>
      </c>
      <c r="AW1427" s="62">
        <f>IF(E1427="","",IF(G1427&lt;&gt;"",G1427,IF(OR(E1427="Proposition envoyée",E1427="Signature"),MAX(0,N(IFERROR(INDEX('Paramètres'!$R$6:$R$15,MATCH(IF(AL1427&lt;&gt;"",AL1427,IFERROR(INDEX('Prospects'!$AN$5:$AN$504,MATCH(C1427,'Prospects'!$C$5:$C$504,0)),"")),'Paramètres'!$Q$6:$Q$15,0)),0))-N(P1427)),0)))</f>
        <v/>
      </c>
      <c r="AX1427" s="61">
        <f>IF(C1427="","",IF(COUNTIF($C$5:C1427,C1427)=1,MAX($AX$4:AX1426)+1,""))</f>
        <v/>
      </c>
      <c r="AY1427" s="61">
        <f>IF(B1427="","",HOUR(B1427))</f>
        <v/>
      </c>
      <c r="AZ1427" s="61">
        <f>IF(A1427="","",MOD(A1427-2,7)+1)</f>
        <v/>
      </c>
      <c r="BA1427" s="60">
        <f>IF(C1427="","",IFERROR(INDEX('Prospects'!$N$5:$N$504,MATCH(C1427,'Prospects'!$C$5:$C$504,0)),""))</f>
        <v/>
      </c>
      <c r="BB1427" s="61">
        <f>IF(AND(C1427&lt;&gt;"",C1427='Fiche prospect'!$C$4),COUNTIF($C$5:C1427,C1427),"")</f>
        <v/>
      </c>
    </row>
    <row r="1428">
      <c r="A1428" s="53" t="n"/>
      <c r="B1428" s="54" t="n"/>
      <c r="C1428" s="55" t="n"/>
      <c r="D1428" s="55" t="n"/>
      <c r="E1428" s="55" t="n"/>
      <c r="F1428" s="55" t="n"/>
      <c r="G1428" s="56" t="n"/>
      <c r="H1428" s="57" t="n"/>
      <c r="I1428" s="55" t="n"/>
      <c r="J1428" s="53" t="n"/>
      <c r="K1428" s="54" t="n"/>
      <c r="L1428" s="55" t="n"/>
      <c r="M1428" s="55" t="n"/>
      <c r="N1428" s="57" t="n"/>
      <c r="O1428" s="55" t="n"/>
      <c r="P1428" s="56" t="n"/>
      <c r="Q1428" s="55" t="n"/>
      <c r="R1428" s="55" t="n"/>
      <c r="S1428" s="55" t="n"/>
      <c r="T1428" s="55" t="n"/>
      <c r="U1428" s="55" t="n"/>
      <c r="V1428" s="55" t="n"/>
      <c r="W1428" s="58" t="n"/>
      <c r="X1428" s="58" t="n"/>
      <c r="Y1428" s="55" t="n"/>
      <c r="Z1428" s="55" t="n"/>
      <c r="AA1428" s="55" t="n"/>
      <c r="AB1428" s="55" t="n"/>
      <c r="AC1428" s="55" t="n"/>
      <c r="AD1428" s="53" t="n"/>
      <c r="AE1428" s="55" t="n"/>
      <c r="AF1428" s="55" t="n"/>
      <c r="AG1428" s="59" t="n"/>
      <c r="AH1428" s="57" t="n"/>
      <c r="AI1428" s="55" t="n"/>
      <c r="AJ1428" s="55" t="n"/>
      <c r="AK1428" s="55" t="n"/>
      <c r="AL1428" s="55" t="n"/>
      <c r="AM1428" s="56" t="n"/>
      <c r="AN1428" s="55" t="n"/>
      <c r="AO1428" s="55" t="n"/>
      <c r="AP1428" s="55" t="n"/>
      <c r="AQ1428" s="55" t="n"/>
      <c r="AR1428" s="60">
        <f>IF(AND(C1428="",E1428=""),"",IF(A1428="","⚠ Date manquante",IF(AND(C1428="",E1428&lt;&gt;"Dépense"),"⚠ Prospect manquant",IF(E1428="","⚠ Action manquante",IF(AND(AU1428=1,D1428=""),"⚠ Canal manquant",IF(AND(W1428&lt;&gt;"",COUNTIFS('Saisie'!$W$5:$W$2004,W1428,'Saisie'!$C$5:$C$2004,"&lt;&gt;"&amp;C1428)&gt;0),"⚠ Numéro déjà utilisé par un autre prospect",IF(AND(J1428&lt;&gt;"",J1428&lt;A1428),"⚠ Relance avant la date de l'action",IF(A1428&gt;TODAY(),"⚠ Date dans le futur","✓"))))))))</f>
        <v/>
      </c>
      <c r="AS1428" s="61">
        <f>IF(AND(A1428="",C1428="",E1428=""),"",ROW())</f>
        <v/>
      </c>
      <c r="AT1428" s="61">
        <f>IF(E1428&amp;F1428="","",MAX(IFERROR(INDEX('Paramètres'!$J$6:$J$33,MATCH(E1428,'Paramètres'!$I$6:$I$33,0)),0),IFERROR(INDEX('Paramètres'!$N$6:$N$17,MATCH(F1428,'Paramètres'!$M$6:$M$17,0)),0)))</f>
        <v/>
      </c>
      <c r="AU1428" s="61">
        <f>IF(E1428="","",IFERROR(IF(INDEX('Paramètres'!$K$6:$K$33,MATCH(E1428,'Paramètres'!$I$6:$I$33,0))="Oui",1,0),0))</f>
        <v/>
      </c>
      <c r="AV1428" s="61">
        <f>IF(F1428="","",IFERROR(IF(INDEX('Paramètres'!$O$6:$O$17,MATCH(F1428,'Paramètres'!$M$6:$M$17,0))="Oui",1,0),0))</f>
        <v/>
      </c>
      <c r="AW1428" s="62">
        <f>IF(E1428="","",IF(G1428&lt;&gt;"",G1428,IF(OR(E1428="Proposition envoyée",E1428="Signature"),MAX(0,N(IFERROR(INDEX('Paramètres'!$R$6:$R$15,MATCH(IF(AL1428&lt;&gt;"",AL1428,IFERROR(INDEX('Prospects'!$AN$5:$AN$504,MATCH(C1428,'Prospects'!$C$5:$C$504,0)),"")),'Paramètres'!$Q$6:$Q$15,0)),0))-N(P1428)),0)))</f>
        <v/>
      </c>
      <c r="AX1428" s="61">
        <f>IF(C1428="","",IF(COUNTIF($C$5:C1428,C1428)=1,MAX($AX$4:AX1427)+1,""))</f>
        <v/>
      </c>
      <c r="AY1428" s="61">
        <f>IF(B1428="","",HOUR(B1428))</f>
        <v/>
      </c>
      <c r="AZ1428" s="61">
        <f>IF(A1428="","",MOD(A1428-2,7)+1)</f>
        <v/>
      </c>
      <c r="BA1428" s="60">
        <f>IF(C1428="","",IFERROR(INDEX('Prospects'!$N$5:$N$504,MATCH(C1428,'Prospects'!$C$5:$C$504,0)),""))</f>
        <v/>
      </c>
      <c r="BB1428" s="61">
        <f>IF(AND(C1428&lt;&gt;"",C1428='Fiche prospect'!$C$4),COUNTIF($C$5:C1428,C1428),"")</f>
        <v/>
      </c>
    </row>
    <row r="1429">
      <c r="A1429" s="53" t="n"/>
      <c r="B1429" s="54" t="n"/>
      <c r="C1429" s="55" t="n"/>
      <c r="D1429" s="55" t="n"/>
      <c r="E1429" s="55" t="n"/>
      <c r="F1429" s="55" t="n"/>
      <c r="G1429" s="56" t="n"/>
      <c r="H1429" s="57" t="n"/>
      <c r="I1429" s="55" t="n"/>
      <c r="J1429" s="53" t="n"/>
      <c r="K1429" s="54" t="n"/>
      <c r="L1429" s="55" t="n"/>
      <c r="M1429" s="55" t="n"/>
      <c r="N1429" s="57" t="n"/>
      <c r="O1429" s="55" t="n"/>
      <c r="P1429" s="56" t="n"/>
      <c r="Q1429" s="55" t="n"/>
      <c r="R1429" s="55" t="n"/>
      <c r="S1429" s="55" t="n"/>
      <c r="T1429" s="55" t="n"/>
      <c r="U1429" s="55" t="n"/>
      <c r="V1429" s="55" t="n"/>
      <c r="W1429" s="58" t="n"/>
      <c r="X1429" s="58" t="n"/>
      <c r="Y1429" s="55" t="n"/>
      <c r="Z1429" s="55" t="n"/>
      <c r="AA1429" s="55" t="n"/>
      <c r="AB1429" s="55" t="n"/>
      <c r="AC1429" s="55" t="n"/>
      <c r="AD1429" s="53" t="n"/>
      <c r="AE1429" s="55" t="n"/>
      <c r="AF1429" s="55" t="n"/>
      <c r="AG1429" s="59" t="n"/>
      <c r="AH1429" s="57" t="n"/>
      <c r="AI1429" s="55" t="n"/>
      <c r="AJ1429" s="55" t="n"/>
      <c r="AK1429" s="55" t="n"/>
      <c r="AL1429" s="55" t="n"/>
      <c r="AM1429" s="56" t="n"/>
      <c r="AN1429" s="55" t="n"/>
      <c r="AO1429" s="55" t="n"/>
      <c r="AP1429" s="55" t="n"/>
      <c r="AQ1429" s="55" t="n"/>
      <c r="AR1429" s="60">
        <f>IF(AND(C1429="",E1429=""),"",IF(A1429="","⚠ Date manquante",IF(AND(C1429="",E1429&lt;&gt;"Dépense"),"⚠ Prospect manquant",IF(E1429="","⚠ Action manquante",IF(AND(AU1429=1,D1429=""),"⚠ Canal manquant",IF(AND(W1429&lt;&gt;"",COUNTIFS('Saisie'!$W$5:$W$2004,W1429,'Saisie'!$C$5:$C$2004,"&lt;&gt;"&amp;C1429)&gt;0),"⚠ Numéro déjà utilisé par un autre prospect",IF(AND(J1429&lt;&gt;"",J1429&lt;A1429),"⚠ Relance avant la date de l'action",IF(A1429&gt;TODAY(),"⚠ Date dans le futur","✓"))))))))</f>
        <v/>
      </c>
      <c r="AS1429" s="61">
        <f>IF(AND(A1429="",C1429="",E1429=""),"",ROW())</f>
        <v/>
      </c>
      <c r="AT1429" s="61">
        <f>IF(E1429&amp;F1429="","",MAX(IFERROR(INDEX('Paramètres'!$J$6:$J$33,MATCH(E1429,'Paramètres'!$I$6:$I$33,0)),0),IFERROR(INDEX('Paramètres'!$N$6:$N$17,MATCH(F1429,'Paramètres'!$M$6:$M$17,0)),0)))</f>
        <v/>
      </c>
      <c r="AU1429" s="61">
        <f>IF(E1429="","",IFERROR(IF(INDEX('Paramètres'!$K$6:$K$33,MATCH(E1429,'Paramètres'!$I$6:$I$33,0))="Oui",1,0),0))</f>
        <v/>
      </c>
      <c r="AV1429" s="61">
        <f>IF(F1429="","",IFERROR(IF(INDEX('Paramètres'!$O$6:$O$17,MATCH(F1429,'Paramètres'!$M$6:$M$17,0))="Oui",1,0),0))</f>
        <v/>
      </c>
      <c r="AW1429" s="62">
        <f>IF(E1429="","",IF(G1429&lt;&gt;"",G1429,IF(OR(E1429="Proposition envoyée",E1429="Signature"),MAX(0,N(IFERROR(INDEX('Paramètres'!$R$6:$R$15,MATCH(IF(AL1429&lt;&gt;"",AL1429,IFERROR(INDEX('Prospects'!$AN$5:$AN$504,MATCH(C1429,'Prospects'!$C$5:$C$504,0)),"")),'Paramètres'!$Q$6:$Q$15,0)),0))-N(P1429)),0)))</f>
        <v/>
      </c>
      <c r="AX1429" s="61">
        <f>IF(C1429="","",IF(COUNTIF($C$5:C1429,C1429)=1,MAX($AX$4:AX1428)+1,""))</f>
        <v/>
      </c>
      <c r="AY1429" s="61">
        <f>IF(B1429="","",HOUR(B1429))</f>
        <v/>
      </c>
      <c r="AZ1429" s="61">
        <f>IF(A1429="","",MOD(A1429-2,7)+1)</f>
        <v/>
      </c>
      <c r="BA1429" s="60">
        <f>IF(C1429="","",IFERROR(INDEX('Prospects'!$N$5:$N$504,MATCH(C1429,'Prospects'!$C$5:$C$504,0)),""))</f>
        <v/>
      </c>
      <c r="BB1429" s="61">
        <f>IF(AND(C1429&lt;&gt;"",C1429='Fiche prospect'!$C$4),COUNTIF($C$5:C1429,C1429),"")</f>
        <v/>
      </c>
    </row>
    <row r="1430">
      <c r="A1430" s="53" t="n"/>
      <c r="B1430" s="54" t="n"/>
      <c r="C1430" s="55" t="n"/>
      <c r="D1430" s="55" t="n"/>
      <c r="E1430" s="55" t="n"/>
      <c r="F1430" s="55" t="n"/>
      <c r="G1430" s="56" t="n"/>
      <c r="H1430" s="57" t="n"/>
      <c r="I1430" s="55" t="n"/>
      <c r="J1430" s="53" t="n"/>
      <c r="K1430" s="54" t="n"/>
      <c r="L1430" s="55" t="n"/>
      <c r="M1430" s="55" t="n"/>
      <c r="N1430" s="57" t="n"/>
      <c r="O1430" s="55" t="n"/>
      <c r="P1430" s="56" t="n"/>
      <c r="Q1430" s="55" t="n"/>
      <c r="R1430" s="55" t="n"/>
      <c r="S1430" s="55" t="n"/>
      <c r="T1430" s="55" t="n"/>
      <c r="U1430" s="55" t="n"/>
      <c r="V1430" s="55" t="n"/>
      <c r="W1430" s="58" t="n"/>
      <c r="X1430" s="58" t="n"/>
      <c r="Y1430" s="55" t="n"/>
      <c r="Z1430" s="55" t="n"/>
      <c r="AA1430" s="55" t="n"/>
      <c r="AB1430" s="55" t="n"/>
      <c r="AC1430" s="55" t="n"/>
      <c r="AD1430" s="53" t="n"/>
      <c r="AE1430" s="55" t="n"/>
      <c r="AF1430" s="55" t="n"/>
      <c r="AG1430" s="59" t="n"/>
      <c r="AH1430" s="57" t="n"/>
      <c r="AI1430" s="55" t="n"/>
      <c r="AJ1430" s="55" t="n"/>
      <c r="AK1430" s="55" t="n"/>
      <c r="AL1430" s="55" t="n"/>
      <c r="AM1430" s="56" t="n"/>
      <c r="AN1430" s="55" t="n"/>
      <c r="AO1430" s="55" t="n"/>
      <c r="AP1430" s="55" t="n"/>
      <c r="AQ1430" s="55" t="n"/>
      <c r="AR1430" s="60">
        <f>IF(AND(C1430="",E1430=""),"",IF(A1430="","⚠ Date manquante",IF(AND(C1430="",E1430&lt;&gt;"Dépense"),"⚠ Prospect manquant",IF(E1430="","⚠ Action manquante",IF(AND(AU1430=1,D1430=""),"⚠ Canal manquant",IF(AND(W1430&lt;&gt;"",COUNTIFS('Saisie'!$W$5:$W$2004,W1430,'Saisie'!$C$5:$C$2004,"&lt;&gt;"&amp;C1430)&gt;0),"⚠ Numéro déjà utilisé par un autre prospect",IF(AND(J1430&lt;&gt;"",J1430&lt;A1430),"⚠ Relance avant la date de l'action",IF(A1430&gt;TODAY(),"⚠ Date dans le futur","✓"))))))))</f>
        <v/>
      </c>
      <c r="AS1430" s="61">
        <f>IF(AND(A1430="",C1430="",E1430=""),"",ROW())</f>
        <v/>
      </c>
      <c r="AT1430" s="61">
        <f>IF(E1430&amp;F1430="","",MAX(IFERROR(INDEX('Paramètres'!$J$6:$J$33,MATCH(E1430,'Paramètres'!$I$6:$I$33,0)),0),IFERROR(INDEX('Paramètres'!$N$6:$N$17,MATCH(F1430,'Paramètres'!$M$6:$M$17,0)),0)))</f>
        <v/>
      </c>
      <c r="AU1430" s="61">
        <f>IF(E1430="","",IFERROR(IF(INDEX('Paramètres'!$K$6:$K$33,MATCH(E1430,'Paramètres'!$I$6:$I$33,0))="Oui",1,0),0))</f>
        <v/>
      </c>
      <c r="AV1430" s="61">
        <f>IF(F1430="","",IFERROR(IF(INDEX('Paramètres'!$O$6:$O$17,MATCH(F1430,'Paramètres'!$M$6:$M$17,0))="Oui",1,0),0))</f>
        <v/>
      </c>
      <c r="AW1430" s="62">
        <f>IF(E1430="","",IF(G1430&lt;&gt;"",G1430,IF(OR(E1430="Proposition envoyée",E1430="Signature"),MAX(0,N(IFERROR(INDEX('Paramètres'!$R$6:$R$15,MATCH(IF(AL1430&lt;&gt;"",AL1430,IFERROR(INDEX('Prospects'!$AN$5:$AN$504,MATCH(C1430,'Prospects'!$C$5:$C$504,0)),"")),'Paramètres'!$Q$6:$Q$15,0)),0))-N(P1430)),0)))</f>
        <v/>
      </c>
      <c r="AX1430" s="61">
        <f>IF(C1430="","",IF(COUNTIF($C$5:C1430,C1430)=1,MAX($AX$4:AX1429)+1,""))</f>
        <v/>
      </c>
      <c r="AY1430" s="61">
        <f>IF(B1430="","",HOUR(B1430))</f>
        <v/>
      </c>
      <c r="AZ1430" s="61">
        <f>IF(A1430="","",MOD(A1430-2,7)+1)</f>
        <v/>
      </c>
      <c r="BA1430" s="60">
        <f>IF(C1430="","",IFERROR(INDEX('Prospects'!$N$5:$N$504,MATCH(C1430,'Prospects'!$C$5:$C$504,0)),""))</f>
        <v/>
      </c>
      <c r="BB1430" s="61">
        <f>IF(AND(C1430&lt;&gt;"",C1430='Fiche prospect'!$C$4),COUNTIF($C$5:C1430,C1430),"")</f>
        <v/>
      </c>
    </row>
    <row r="1431">
      <c r="A1431" s="53" t="n"/>
      <c r="B1431" s="54" t="n"/>
      <c r="C1431" s="55" t="n"/>
      <c r="D1431" s="55" t="n"/>
      <c r="E1431" s="55" t="n"/>
      <c r="F1431" s="55" t="n"/>
      <c r="G1431" s="56" t="n"/>
      <c r="H1431" s="57" t="n"/>
      <c r="I1431" s="55" t="n"/>
      <c r="J1431" s="53" t="n"/>
      <c r="K1431" s="54" t="n"/>
      <c r="L1431" s="55" t="n"/>
      <c r="M1431" s="55" t="n"/>
      <c r="N1431" s="57" t="n"/>
      <c r="O1431" s="55" t="n"/>
      <c r="P1431" s="56" t="n"/>
      <c r="Q1431" s="55" t="n"/>
      <c r="R1431" s="55" t="n"/>
      <c r="S1431" s="55" t="n"/>
      <c r="T1431" s="55" t="n"/>
      <c r="U1431" s="55" t="n"/>
      <c r="V1431" s="55" t="n"/>
      <c r="W1431" s="58" t="n"/>
      <c r="X1431" s="58" t="n"/>
      <c r="Y1431" s="55" t="n"/>
      <c r="Z1431" s="55" t="n"/>
      <c r="AA1431" s="55" t="n"/>
      <c r="AB1431" s="55" t="n"/>
      <c r="AC1431" s="55" t="n"/>
      <c r="AD1431" s="53" t="n"/>
      <c r="AE1431" s="55" t="n"/>
      <c r="AF1431" s="55" t="n"/>
      <c r="AG1431" s="59" t="n"/>
      <c r="AH1431" s="57" t="n"/>
      <c r="AI1431" s="55" t="n"/>
      <c r="AJ1431" s="55" t="n"/>
      <c r="AK1431" s="55" t="n"/>
      <c r="AL1431" s="55" t="n"/>
      <c r="AM1431" s="56" t="n"/>
      <c r="AN1431" s="55" t="n"/>
      <c r="AO1431" s="55" t="n"/>
      <c r="AP1431" s="55" t="n"/>
      <c r="AQ1431" s="55" t="n"/>
      <c r="AR1431" s="60">
        <f>IF(AND(C1431="",E1431=""),"",IF(A1431="","⚠ Date manquante",IF(AND(C1431="",E1431&lt;&gt;"Dépense"),"⚠ Prospect manquant",IF(E1431="","⚠ Action manquante",IF(AND(AU1431=1,D1431=""),"⚠ Canal manquant",IF(AND(W1431&lt;&gt;"",COUNTIFS('Saisie'!$W$5:$W$2004,W1431,'Saisie'!$C$5:$C$2004,"&lt;&gt;"&amp;C1431)&gt;0),"⚠ Numéro déjà utilisé par un autre prospect",IF(AND(J1431&lt;&gt;"",J1431&lt;A1431),"⚠ Relance avant la date de l'action",IF(A1431&gt;TODAY(),"⚠ Date dans le futur","✓"))))))))</f>
        <v/>
      </c>
      <c r="AS1431" s="61">
        <f>IF(AND(A1431="",C1431="",E1431=""),"",ROW())</f>
        <v/>
      </c>
      <c r="AT1431" s="61">
        <f>IF(E1431&amp;F1431="","",MAX(IFERROR(INDEX('Paramètres'!$J$6:$J$33,MATCH(E1431,'Paramètres'!$I$6:$I$33,0)),0),IFERROR(INDEX('Paramètres'!$N$6:$N$17,MATCH(F1431,'Paramètres'!$M$6:$M$17,0)),0)))</f>
        <v/>
      </c>
      <c r="AU1431" s="61">
        <f>IF(E1431="","",IFERROR(IF(INDEX('Paramètres'!$K$6:$K$33,MATCH(E1431,'Paramètres'!$I$6:$I$33,0))="Oui",1,0),0))</f>
        <v/>
      </c>
      <c r="AV1431" s="61">
        <f>IF(F1431="","",IFERROR(IF(INDEX('Paramètres'!$O$6:$O$17,MATCH(F1431,'Paramètres'!$M$6:$M$17,0))="Oui",1,0),0))</f>
        <v/>
      </c>
      <c r="AW1431" s="62">
        <f>IF(E1431="","",IF(G1431&lt;&gt;"",G1431,IF(OR(E1431="Proposition envoyée",E1431="Signature"),MAX(0,N(IFERROR(INDEX('Paramètres'!$R$6:$R$15,MATCH(IF(AL1431&lt;&gt;"",AL1431,IFERROR(INDEX('Prospects'!$AN$5:$AN$504,MATCH(C1431,'Prospects'!$C$5:$C$504,0)),"")),'Paramètres'!$Q$6:$Q$15,0)),0))-N(P1431)),0)))</f>
        <v/>
      </c>
      <c r="AX1431" s="61">
        <f>IF(C1431="","",IF(COUNTIF($C$5:C1431,C1431)=1,MAX($AX$4:AX1430)+1,""))</f>
        <v/>
      </c>
      <c r="AY1431" s="61">
        <f>IF(B1431="","",HOUR(B1431))</f>
        <v/>
      </c>
      <c r="AZ1431" s="61">
        <f>IF(A1431="","",MOD(A1431-2,7)+1)</f>
        <v/>
      </c>
      <c r="BA1431" s="60">
        <f>IF(C1431="","",IFERROR(INDEX('Prospects'!$N$5:$N$504,MATCH(C1431,'Prospects'!$C$5:$C$504,0)),""))</f>
        <v/>
      </c>
      <c r="BB1431" s="61">
        <f>IF(AND(C1431&lt;&gt;"",C1431='Fiche prospect'!$C$4),COUNTIF($C$5:C1431,C1431),"")</f>
        <v/>
      </c>
    </row>
    <row r="1432">
      <c r="A1432" s="53" t="n"/>
      <c r="B1432" s="54" t="n"/>
      <c r="C1432" s="55" t="n"/>
      <c r="D1432" s="55" t="n"/>
      <c r="E1432" s="55" t="n"/>
      <c r="F1432" s="55" t="n"/>
      <c r="G1432" s="56" t="n"/>
      <c r="H1432" s="57" t="n"/>
      <c r="I1432" s="55" t="n"/>
      <c r="J1432" s="53" t="n"/>
      <c r="K1432" s="54" t="n"/>
      <c r="L1432" s="55" t="n"/>
      <c r="M1432" s="55" t="n"/>
      <c r="N1432" s="57" t="n"/>
      <c r="O1432" s="55" t="n"/>
      <c r="P1432" s="56" t="n"/>
      <c r="Q1432" s="55" t="n"/>
      <c r="R1432" s="55" t="n"/>
      <c r="S1432" s="55" t="n"/>
      <c r="T1432" s="55" t="n"/>
      <c r="U1432" s="55" t="n"/>
      <c r="V1432" s="55" t="n"/>
      <c r="W1432" s="58" t="n"/>
      <c r="X1432" s="58" t="n"/>
      <c r="Y1432" s="55" t="n"/>
      <c r="Z1432" s="55" t="n"/>
      <c r="AA1432" s="55" t="n"/>
      <c r="AB1432" s="55" t="n"/>
      <c r="AC1432" s="55" t="n"/>
      <c r="AD1432" s="53" t="n"/>
      <c r="AE1432" s="55" t="n"/>
      <c r="AF1432" s="55" t="n"/>
      <c r="AG1432" s="59" t="n"/>
      <c r="AH1432" s="57" t="n"/>
      <c r="AI1432" s="55" t="n"/>
      <c r="AJ1432" s="55" t="n"/>
      <c r="AK1432" s="55" t="n"/>
      <c r="AL1432" s="55" t="n"/>
      <c r="AM1432" s="56" t="n"/>
      <c r="AN1432" s="55" t="n"/>
      <c r="AO1432" s="55" t="n"/>
      <c r="AP1432" s="55" t="n"/>
      <c r="AQ1432" s="55" t="n"/>
      <c r="AR1432" s="60">
        <f>IF(AND(C1432="",E1432=""),"",IF(A1432="","⚠ Date manquante",IF(AND(C1432="",E1432&lt;&gt;"Dépense"),"⚠ Prospect manquant",IF(E1432="","⚠ Action manquante",IF(AND(AU1432=1,D1432=""),"⚠ Canal manquant",IF(AND(W1432&lt;&gt;"",COUNTIFS('Saisie'!$W$5:$W$2004,W1432,'Saisie'!$C$5:$C$2004,"&lt;&gt;"&amp;C1432)&gt;0),"⚠ Numéro déjà utilisé par un autre prospect",IF(AND(J1432&lt;&gt;"",J1432&lt;A1432),"⚠ Relance avant la date de l'action",IF(A1432&gt;TODAY(),"⚠ Date dans le futur","✓"))))))))</f>
        <v/>
      </c>
      <c r="AS1432" s="61">
        <f>IF(AND(A1432="",C1432="",E1432=""),"",ROW())</f>
        <v/>
      </c>
      <c r="AT1432" s="61">
        <f>IF(E1432&amp;F1432="","",MAX(IFERROR(INDEX('Paramètres'!$J$6:$J$33,MATCH(E1432,'Paramètres'!$I$6:$I$33,0)),0),IFERROR(INDEX('Paramètres'!$N$6:$N$17,MATCH(F1432,'Paramètres'!$M$6:$M$17,0)),0)))</f>
        <v/>
      </c>
      <c r="AU1432" s="61">
        <f>IF(E1432="","",IFERROR(IF(INDEX('Paramètres'!$K$6:$K$33,MATCH(E1432,'Paramètres'!$I$6:$I$33,0))="Oui",1,0),0))</f>
        <v/>
      </c>
      <c r="AV1432" s="61">
        <f>IF(F1432="","",IFERROR(IF(INDEX('Paramètres'!$O$6:$O$17,MATCH(F1432,'Paramètres'!$M$6:$M$17,0))="Oui",1,0),0))</f>
        <v/>
      </c>
      <c r="AW1432" s="62">
        <f>IF(E1432="","",IF(G1432&lt;&gt;"",G1432,IF(OR(E1432="Proposition envoyée",E1432="Signature"),MAX(0,N(IFERROR(INDEX('Paramètres'!$R$6:$R$15,MATCH(IF(AL1432&lt;&gt;"",AL1432,IFERROR(INDEX('Prospects'!$AN$5:$AN$504,MATCH(C1432,'Prospects'!$C$5:$C$504,0)),"")),'Paramètres'!$Q$6:$Q$15,0)),0))-N(P1432)),0)))</f>
        <v/>
      </c>
      <c r="AX1432" s="61">
        <f>IF(C1432="","",IF(COUNTIF($C$5:C1432,C1432)=1,MAX($AX$4:AX1431)+1,""))</f>
        <v/>
      </c>
      <c r="AY1432" s="61">
        <f>IF(B1432="","",HOUR(B1432))</f>
        <v/>
      </c>
      <c r="AZ1432" s="61">
        <f>IF(A1432="","",MOD(A1432-2,7)+1)</f>
        <v/>
      </c>
      <c r="BA1432" s="60">
        <f>IF(C1432="","",IFERROR(INDEX('Prospects'!$N$5:$N$504,MATCH(C1432,'Prospects'!$C$5:$C$504,0)),""))</f>
        <v/>
      </c>
      <c r="BB1432" s="61">
        <f>IF(AND(C1432&lt;&gt;"",C1432='Fiche prospect'!$C$4),COUNTIF($C$5:C1432,C1432),"")</f>
        <v/>
      </c>
    </row>
    <row r="1433">
      <c r="A1433" s="53" t="n"/>
      <c r="B1433" s="54" t="n"/>
      <c r="C1433" s="55" t="n"/>
      <c r="D1433" s="55" t="n"/>
      <c r="E1433" s="55" t="n"/>
      <c r="F1433" s="55" t="n"/>
      <c r="G1433" s="56" t="n"/>
      <c r="H1433" s="57" t="n"/>
      <c r="I1433" s="55" t="n"/>
      <c r="J1433" s="53" t="n"/>
      <c r="K1433" s="54" t="n"/>
      <c r="L1433" s="55" t="n"/>
      <c r="M1433" s="55" t="n"/>
      <c r="N1433" s="57" t="n"/>
      <c r="O1433" s="55" t="n"/>
      <c r="P1433" s="56" t="n"/>
      <c r="Q1433" s="55" t="n"/>
      <c r="R1433" s="55" t="n"/>
      <c r="S1433" s="55" t="n"/>
      <c r="T1433" s="55" t="n"/>
      <c r="U1433" s="55" t="n"/>
      <c r="V1433" s="55" t="n"/>
      <c r="W1433" s="58" t="n"/>
      <c r="X1433" s="58" t="n"/>
      <c r="Y1433" s="55" t="n"/>
      <c r="Z1433" s="55" t="n"/>
      <c r="AA1433" s="55" t="n"/>
      <c r="AB1433" s="55" t="n"/>
      <c r="AC1433" s="55" t="n"/>
      <c r="AD1433" s="53" t="n"/>
      <c r="AE1433" s="55" t="n"/>
      <c r="AF1433" s="55" t="n"/>
      <c r="AG1433" s="59" t="n"/>
      <c r="AH1433" s="57" t="n"/>
      <c r="AI1433" s="55" t="n"/>
      <c r="AJ1433" s="55" t="n"/>
      <c r="AK1433" s="55" t="n"/>
      <c r="AL1433" s="55" t="n"/>
      <c r="AM1433" s="56" t="n"/>
      <c r="AN1433" s="55" t="n"/>
      <c r="AO1433" s="55" t="n"/>
      <c r="AP1433" s="55" t="n"/>
      <c r="AQ1433" s="55" t="n"/>
      <c r="AR1433" s="60">
        <f>IF(AND(C1433="",E1433=""),"",IF(A1433="","⚠ Date manquante",IF(AND(C1433="",E1433&lt;&gt;"Dépense"),"⚠ Prospect manquant",IF(E1433="","⚠ Action manquante",IF(AND(AU1433=1,D1433=""),"⚠ Canal manquant",IF(AND(W1433&lt;&gt;"",COUNTIFS('Saisie'!$W$5:$W$2004,W1433,'Saisie'!$C$5:$C$2004,"&lt;&gt;"&amp;C1433)&gt;0),"⚠ Numéro déjà utilisé par un autre prospect",IF(AND(J1433&lt;&gt;"",J1433&lt;A1433),"⚠ Relance avant la date de l'action",IF(A1433&gt;TODAY(),"⚠ Date dans le futur","✓"))))))))</f>
        <v/>
      </c>
      <c r="AS1433" s="61">
        <f>IF(AND(A1433="",C1433="",E1433=""),"",ROW())</f>
        <v/>
      </c>
      <c r="AT1433" s="61">
        <f>IF(E1433&amp;F1433="","",MAX(IFERROR(INDEX('Paramètres'!$J$6:$J$33,MATCH(E1433,'Paramètres'!$I$6:$I$33,0)),0),IFERROR(INDEX('Paramètres'!$N$6:$N$17,MATCH(F1433,'Paramètres'!$M$6:$M$17,0)),0)))</f>
        <v/>
      </c>
      <c r="AU1433" s="61">
        <f>IF(E1433="","",IFERROR(IF(INDEX('Paramètres'!$K$6:$K$33,MATCH(E1433,'Paramètres'!$I$6:$I$33,0))="Oui",1,0),0))</f>
        <v/>
      </c>
      <c r="AV1433" s="61">
        <f>IF(F1433="","",IFERROR(IF(INDEX('Paramètres'!$O$6:$O$17,MATCH(F1433,'Paramètres'!$M$6:$M$17,0))="Oui",1,0),0))</f>
        <v/>
      </c>
      <c r="AW1433" s="62">
        <f>IF(E1433="","",IF(G1433&lt;&gt;"",G1433,IF(OR(E1433="Proposition envoyée",E1433="Signature"),MAX(0,N(IFERROR(INDEX('Paramètres'!$R$6:$R$15,MATCH(IF(AL1433&lt;&gt;"",AL1433,IFERROR(INDEX('Prospects'!$AN$5:$AN$504,MATCH(C1433,'Prospects'!$C$5:$C$504,0)),"")),'Paramètres'!$Q$6:$Q$15,0)),0))-N(P1433)),0)))</f>
        <v/>
      </c>
      <c r="AX1433" s="61">
        <f>IF(C1433="","",IF(COUNTIF($C$5:C1433,C1433)=1,MAX($AX$4:AX1432)+1,""))</f>
        <v/>
      </c>
      <c r="AY1433" s="61">
        <f>IF(B1433="","",HOUR(B1433))</f>
        <v/>
      </c>
      <c r="AZ1433" s="61">
        <f>IF(A1433="","",MOD(A1433-2,7)+1)</f>
        <v/>
      </c>
      <c r="BA1433" s="60">
        <f>IF(C1433="","",IFERROR(INDEX('Prospects'!$N$5:$N$504,MATCH(C1433,'Prospects'!$C$5:$C$504,0)),""))</f>
        <v/>
      </c>
      <c r="BB1433" s="61">
        <f>IF(AND(C1433&lt;&gt;"",C1433='Fiche prospect'!$C$4),COUNTIF($C$5:C1433,C1433),"")</f>
        <v/>
      </c>
    </row>
    <row r="1434">
      <c r="A1434" s="53" t="n"/>
      <c r="B1434" s="54" t="n"/>
      <c r="C1434" s="55" t="n"/>
      <c r="D1434" s="55" t="n"/>
      <c r="E1434" s="55" t="n"/>
      <c r="F1434" s="55" t="n"/>
      <c r="G1434" s="56" t="n"/>
      <c r="H1434" s="57" t="n"/>
      <c r="I1434" s="55" t="n"/>
      <c r="J1434" s="53" t="n"/>
      <c r="K1434" s="54" t="n"/>
      <c r="L1434" s="55" t="n"/>
      <c r="M1434" s="55" t="n"/>
      <c r="N1434" s="57" t="n"/>
      <c r="O1434" s="55" t="n"/>
      <c r="P1434" s="56" t="n"/>
      <c r="Q1434" s="55" t="n"/>
      <c r="R1434" s="55" t="n"/>
      <c r="S1434" s="55" t="n"/>
      <c r="T1434" s="55" t="n"/>
      <c r="U1434" s="55" t="n"/>
      <c r="V1434" s="55" t="n"/>
      <c r="W1434" s="58" t="n"/>
      <c r="X1434" s="58" t="n"/>
      <c r="Y1434" s="55" t="n"/>
      <c r="Z1434" s="55" t="n"/>
      <c r="AA1434" s="55" t="n"/>
      <c r="AB1434" s="55" t="n"/>
      <c r="AC1434" s="55" t="n"/>
      <c r="AD1434" s="53" t="n"/>
      <c r="AE1434" s="55" t="n"/>
      <c r="AF1434" s="55" t="n"/>
      <c r="AG1434" s="59" t="n"/>
      <c r="AH1434" s="57" t="n"/>
      <c r="AI1434" s="55" t="n"/>
      <c r="AJ1434" s="55" t="n"/>
      <c r="AK1434" s="55" t="n"/>
      <c r="AL1434" s="55" t="n"/>
      <c r="AM1434" s="56" t="n"/>
      <c r="AN1434" s="55" t="n"/>
      <c r="AO1434" s="55" t="n"/>
      <c r="AP1434" s="55" t="n"/>
      <c r="AQ1434" s="55" t="n"/>
      <c r="AR1434" s="60">
        <f>IF(AND(C1434="",E1434=""),"",IF(A1434="","⚠ Date manquante",IF(AND(C1434="",E1434&lt;&gt;"Dépense"),"⚠ Prospect manquant",IF(E1434="","⚠ Action manquante",IF(AND(AU1434=1,D1434=""),"⚠ Canal manquant",IF(AND(W1434&lt;&gt;"",COUNTIFS('Saisie'!$W$5:$W$2004,W1434,'Saisie'!$C$5:$C$2004,"&lt;&gt;"&amp;C1434)&gt;0),"⚠ Numéro déjà utilisé par un autre prospect",IF(AND(J1434&lt;&gt;"",J1434&lt;A1434),"⚠ Relance avant la date de l'action",IF(A1434&gt;TODAY(),"⚠ Date dans le futur","✓"))))))))</f>
        <v/>
      </c>
      <c r="AS1434" s="61">
        <f>IF(AND(A1434="",C1434="",E1434=""),"",ROW())</f>
        <v/>
      </c>
      <c r="AT1434" s="61">
        <f>IF(E1434&amp;F1434="","",MAX(IFERROR(INDEX('Paramètres'!$J$6:$J$33,MATCH(E1434,'Paramètres'!$I$6:$I$33,0)),0),IFERROR(INDEX('Paramètres'!$N$6:$N$17,MATCH(F1434,'Paramètres'!$M$6:$M$17,0)),0)))</f>
        <v/>
      </c>
      <c r="AU1434" s="61">
        <f>IF(E1434="","",IFERROR(IF(INDEX('Paramètres'!$K$6:$K$33,MATCH(E1434,'Paramètres'!$I$6:$I$33,0))="Oui",1,0),0))</f>
        <v/>
      </c>
      <c r="AV1434" s="61">
        <f>IF(F1434="","",IFERROR(IF(INDEX('Paramètres'!$O$6:$O$17,MATCH(F1434,'Paramètres'!$M$6:$M$17,0))="Oui",1,0),0))</f>
        <v/>
      </c>
      <c r="AW1434" s="62">
        <f>IF(E1434="","",IF(G1434&lt;&gt;"",G1434,IF(OR(E1434="Proposition envoyée",E1434="Signature"),MAX(0,N(IFERROR(INDEX('Paramètres'!$R$6:$R$15,MATCH(IF(AL1434&lt;&gt;"",AL1434,IFERROR(INDEX('Prospects'!$AN$5:$AN$504,MATCH(C1434,'Prospects'!$C$5:$C$504,0)),"")),'Paramètres'!$Q$6:$Q$15,0)),0))-N(P1434)),0)))</f>
        <v/>
      </c>
      <c r="AX1434" s="61">
        <f>IF(C1434="","",IF(COUNTIF($C$5:C1434,C1434)=1,MAX($AX$4:AX1433)+1,""))</f>
        <v/>
      </c>
      <c r="AY1434" s="61">
        <f>IF(B1434="","",HOUR(B1434))</f>
        <v/>
      </c>
      <c r="AZ1434" s="61">
        <f>IF(A1434="","",MOD(A1434-2,7)+1)</f>
        <v/>
      </c>
      <c r="BA1434" s="60">
        <f>IF(C1434="","",IFERROR(INDEX('Prospects'!$N$5:$N$504,MATCH(C1434,'Prospects'!$C$5:$C$504,0)),""))</f>
        <v/>
      </c>
      <c r="BB1434" s="61">
        <f>IF(AND(C1434&lt;&gt;"",C1434='Fiche prospect'!$C$4),COUNTIF($C$5:C1434,C1434),"")</f>
        <v/>
      </c>
    </row>
    <row r="1435">
      <c r="A1435" s="53" t="n"/>
      <c r="B1435" s="54" t="n"/>
      <c r="C1435" s="55" t="n"/>
      <c r="D1435" s="55" t="n"/>
      <c r="E1435" s="55" t="n"/>
      <c r="F1435" s="55" t="n"/>
      <c r="G1435" s="56" t="n"/>
      <c r="H1435" s="57" t="n"/>
      <c r="I1435" s="55" t="n"/>
      <c r="J1435" s="53" t="n"/>
      <c r="K1435" s="54" t="n"/>
      <c r="L1435" s="55" t="n"/>
      <c r="M1435" s="55" t="n"/>
      <c r="N1435" s="57" t="n"/>
      <c r="O1435" s="55" t="n"/>
      <c r="P1435" s="56" t="n"/>
      <c r="Q1435" s="55" t="n"/>
      <c r="R1435" s="55" t="n"/>
      <c r="S1435" s="55" t="n"/>
      <c r="T1435" s="55" t="n"/>
      <c r="U1435" s="55" t="n"/>
      <c r="V1435" s="55" t="n"/>
      <c r="W1435" s="58" t="n"/>
      <c r="X1435" s="58" t="n"/>
      <c r="Y1435" s="55" t="n"/>
      <c r="Z1435" s="55" t="n"/>
      <c r="AA1435" s="55" t="n"/>
      <c r="AB1435" s="55" t="n"/>
      <c r="AC1435" s="55" t="n"/>
      <c r="AD1435" s="53" t="n"/>
      <c r="AE1435" s="55" t="n"/>
      <c r="AF1435" s="55" t="n"/>
      <c r="AG1435" s="59" t="n"/>
      <c r="AH1435" s="57" t="n"/>
      <c r="AI1435" s="55" t="n"/>
      <c r="AJ1435" s="55" t="n"/>
      <c r="AK1435" s="55" t="n"/>
      <c r="AL1435" s="55" t="n"/>
      <c r="AM1435" s="56" t="n"/>
      <c r="AN1435" s="55" t="n"/>
      <c r="AO1435" s="55" t="n"/>
      <c r="AP1435" s="55" t="n"/>
      <c r="AQ1435" s="55" t="n"/>
      <c r="AR1435" s="60">
        <f>IF(AND(C1435="",E1435=""),"",IF(A1435="","⚠ Date manquante",IF(AND(C1435="",E1435&lt;&gt;"Dépense"),"⚠ Prospect manquant",IF(E1435="","⚠ Action manquante",IF(AND(AU1435=1,D1435=""),"⚠ Canal manquant",IF(AND(W1435&lt;&gt;"",COUNTIFS('Saisie'!$W$5:$W$2004,W1435,'Saisie'!$C$5:$C$2004,"&lt;&gt;"&amp;C1435)&gt;0),"⚠ Numéro déjà utilisé par un autre prospect",IF(AND(J1435&lt;&gt;"",J1435&lt;A1435),"⚠ Relance avant la date de l'action",IF(A1435&gt;TODAY(),"⚠ Date dans le futur","✓"))))))))</f>
        <v/>
      </c>
      <c r="AS1435" s="61">
        <f>IF(AND(A1435="",C1435="",E1435=""),"",ROW())</f>
        <v/>
      </c>
      <c r="AT1435" s="61">
        <f>IF(E1435&amp;F1435="","",MAX(IFERROR(INDEX('Paramètres'!$J$6:$J$33,MATCH(E1435,'Paramètres'!$I$6:$I$33,0)),0),IFERROR(INDEX('Paramètres'!$N$6:$N$17,MATCH(F1435,'Paramètres'!$M$6:$M$17,0)),0)))</f>
        <v/>
      </c>
      <c r="AU1435" s="61">
        <f>IF(E1435="","",IFERROR(IF(INDEX('Paramètres'!$K$6:$K$33,MATCH(E1435,'Paramètres'!$I$6:$I$33,0))="Oui",1,0),0))</f>
        <v/>
      </c>
      <c r="AV1435" s="61">
        <f>IF(F1435="","",IFERROR(IF(INDEX('Paramètres'!$O$6:$O$17,MATCH(F1435,'Paramètres'!$M$6:$M$17,0))="Oui",1,0),0))</f>
        <v/>
      </c>
      <c r="AW1435" s="62">
        <f>IF(E1435="","",IF(G1435&lt;&gt;"",G1435,IF(OR(E1435="Proposition envoyée",E1435="Signature"),MAX(0,N(IFERROR(INDEX('Paramètres'!$R$6:$R$15,MATCH(IF(AL1435&lt;&gt;"",AL1435,IFERROR(INDEX('Prospects'!$AN$5:$AN$504,MATCH(C1435,'Prospects'!$C$5:$C$504,0)),"")),'Paramètres'!$Q$6:$Q$15,0)),0))-N(P1435)),0)))</f>
        <v/>
      </c>
      <c r="AX1435" s="61">
        <f>IF(C1435="","",IF(COUNTIF($C$5:C1435,C1435)=1,MAX($AX$4:AX1434)+1,""))</f>
        <v/>
      </c>
      <c r="AY1435" s="61">
        <f>IF(B1435="","",HOUR(B1435))</f>
        <v/>
      </c>
      <c r="AZ1435" s="61">
        <f>IF(A1435="","",MOD(A1435-2,7)+1)</f>
        <v/>
      </c>
      <c r="BA1435" s="60">
        <f>IF(C1435="","",IFERROR(INDEX('Prospects'!$N$5:$N$504,MATCH(C1435,'Prospects'!$C$5:$C$504,0)),""))</f>
        <v/>
      </c>
      <c r="BB1435" s="61">
        <f>IF(AND(C1435&lt;&gt;"",C1435='Fiche prospect'!$C$4),COUNTIF($C$5:C1435,C1435),"")</f>
        <v/>
      </c>
    </row>
    <row r="1436">
      <c r="A1436" s="53" t="n"/>
      <c r="B1436" s="54" t="n"/>
      <c r="C1436" s="55" t="n"/>
      <c r="D1436" s="55" t="n"/>
      <c r="E1436" s="55" t="n"/>
      <c r="F1436" s="55" t="n"/>
      <c r="G1436" s="56" t="n"/>
      <c r="H1436" s="57" t="n"/>
      <c r="I1436" s="55" t="n"/>
      <c r="J1436" s="53" t="n"/>
      <c r="K1436" s="54" t="n"/>
      <c r="L1436" s="55" t="n"/>
      <c r="M1436" s="55" t="n"/>
      <c r="N1436" s="57" t="n"/>
      <c r="O1436" s="55" t="n"/>
      <c r="P1436" s="56" t="n"/>
      <c r="Q1436" s="55" t="n"/>
      <c r="R1436" s="55" t="n"/>
      <c r="S1436" s="55" t="n"/>
      <c r="T1436" s="55" t="n"/>
      <c r="U1436" s="55" t="n"/>
      <c r="V1436" s="55" t="n"/>
      <c r="W1436" s="58" t="n"/>
      <c r="X1436" s="58" t="n"/>
      <c r="Y1436" s="55" t="n"/>
      <c r="Z1436" s="55" t="n"/>
      <c r="AA1436" s="55" t="n"/>
      <c r="AB1436" s="55" t="n"/>
      <c r="AC1436" s="55" t="n"/>
      <c r="AD1436" s="53" t="n"/>
      <c r="AE1436" s="55" t="n"/>
      <c r="AF1436" s="55" t="n"/>
      <c r="AG1436" s="59" t="n"/>
      <c r="AH1436" s="57" t="n"/>
      <c r="AI1436" s="55" t="n"/>
      <c r="AJ1436" s="55" t="n"/>
      <c r="AK1436" s="55" t="n"/>
      <c r="AL1436" s="55" t="n"/>
      <c r="AM1436" s="56" t="n"/>
      <c r="AN1436" s="55" t="n"/>
      <c r="AO1436" s="55" t="n"/>
      <c r="AP1436" s="55" t="n"/>
      <c r="AQ1436" s="55" t="n"/>
      <c r="AR1436" s="60">
        <f>IF(AND(C1436="",E1436=""),"",IF(A1436="","⚠ Date manquante",IF(AND(C1436="",E1436&lt;&gt;"Dépense"),"⚠ Prospect manquant",IF(E1436="","⚠ Action manquante",IF(AND(AU1436=1,D1436=""),"⚠ Canal manquant",IF(AND(W1436&lt;&gt;"",COUNTIFS('Saisie'!$W$5:$W$2004,W1436,'Saisie'!$C$5:$C$2004,"&lt;&gt;"&amp;C1436)&gt;0),"⚠ Numéro déjà utilisé par un autre prospect",IF(AND(J1436&lt;&gt;"",J1436&lt;A1436),"⚠ Relance avant la date de l'action",IF(A1436&gt;TODAY(),"⚠ Date dans le futur","✓"))))))))</f>
        <v/>
      </c>
      <c r="AS1436" s="61">
        <f>IF(AND(A1436="",C1436="",E1436=""),"",ROW())</f>
        <v/>
      </c>
      <c r="AT1436" s="61">
        <f>IF(E1436&amp;F1436="","",MAX(IFERROR(INDEX('Paramètres'!$J$6:$J$33,MATCH(E1436,'Paramètres'!$I$6:$I$33,0)),0),IFERROR(INDEX('Paramètres'!$N$6:$N$17,MATCH(F1436,'Paramètres'!$M$6:$M$17,0)),0)))</f>
        <v/>
      </c>
      <c r="AU1436" s="61">
        <f>IF(E1436="","",IFERROR(IF(INDEX('Paramètres'!$K$6:$K$33,MATCH(E1436,'Paramètres'!$I$6:$I$33,0))="Oui",1,0),0))</f>
        <v/>
      </c>
      <c r="AV1436" s="61">
        <f>IF(F1436="","",IFERROR(IF(INDEX('Paramètres'!$O$6:$O$17,MATCH(F1436,'Paramètres'!$M$6:$M$17,0))="Oui",1,0),0))</f>
        <v/>
      </c>
      <c r="AW1436" s="62">
        <f>IF(E1436="","",IF(G1436&lt;&gt;"",G1436,IF(OR(E1436="Proposition envoyée",E1436="Signature"),MAX(0,N(IFERROR(INDEX('Paramètres'!$R$6:$R$15,MATCH(IF(AL1436&lt;&gt;"",AL1436,IFERROR(INDEX('Prospects'!$AN$5:$AN$504,MATCH(C1436,'Prospects'!$C$5:$C$504,0)),"")),'Paramètres'!$Q$6:$Q$15,0)),0))-N(P1436)),0)))</f>
        <v/>
      </c>
      <c r="AX1436" s="61">
        <f>IF(C1436="","",IF(COUNTIF($C$5:C1436,C1436)=1,MAX($AX$4:AX1435)+1,""))</f>
        <v/>
      </c>
      <c r="AY1436" s="61">
        <f>IF(B1436="","",HOUR(B1436))</f>
        <v/>
      </c>
      <c r="AZ1436" s="61">
        <f>IF(A1436="","",MOD(A1436-2,7)+1)</f>
        <v/>
      </c>
      <c r="BA1436" s="60">
        <f>IF(C1436="","",IFERROR(INDEX('Prospects'!$N$5:$N$504,MATCH(C1436,'Prospects'!$C$5:$C$504,0)),""))</f>
        <v/>
      </c>
      <c r="BB1436" s="61">
        <f>IF(AND(C1436&lt;&gt;"",C1436='Fiche prospect'!$C$4),COUNTIF($C$5:C1436,C1436),"")</f>
        <v/>
      </c>
    </row>
    <row r="1437">
      <c r="A1437" s="53" t="n"/>
      <c r="B1437" s="54" t="n"/>
      <c r="C1437" s="55" t="n"/>
      <c r="D1437" s="55" t="n"/>
      <c r="E1437" s="55" t="n"/>
      <c r="F1437" s="55" t="n"/>
      <c r="G1437" s="56" t="n"/>
      <c r="H1437" s="57" t="n"/>
      <c r="I1437" s="55" t="n"/>
      <c r="J1437" s="53" t="n"/>
      <c r="K1437" s="54" t="n"/>
      <c r="L1437" s="55" t="n"/>
      <c r="M1437" s="55" t="n"/>
      <c r="N1437" s="57" t="n"/>
      <c r="O1437" s="55" t="n"/>
      <c r="P1437" s="56" t="n"/>
      <c r="Q1437" s="55" t="n"/>
      <c r="R1437" s="55" t="n"/>
      <c r="S1437" s="55" t="n"/>
      <c r="T1437" s="55" t="n"/>
      <c r="U1437" s="55" t="n"/>
      <c r="V1437" s="55" t="n"/>
      <c r="W1437" s="58" t="n"/>
      <c r="X1437" s="58" t="n"/>
      <c r="Y1437" s="55" t="n"/>
      <c r="Z1437" s="55" t="n"/>
      <c r="AA1437" s="55" t="n"/>
      <c r="AB1437" s="55" t="n"/>
      <c r="AC1437" s="55" t="n"/>
      <c r="AD1437" s="53" t="n"/>
      <c r="AE1437" s="55" t="n"/>
      <c r="AF1437" s="55" t="n"/>
      <c r="AG1437" s="59" t="n"/>
      <c r="AH1437" s="57" t="n"/>
      <c r="AI1437" s="55" t="n"/>
      <c r="AJ1437" s="55" t="n"/>
      <c r="AK1437" s="55" t="n"/>
      <c r="AL1437" s="55" t="n"/>
      <c r="AM1437" s="56" t="n"/>
      <c r="AN1437" s="55" t="n"/>
      <c r="AO1437" s="55" t="n"/>
      <c r="AP1437" s="55" t="n"/>
      <c r="AQ1437" s="55" t="n"/>
      <c r="AR1437" s="60">
        <f>IF(AND(C1437="",E1437=""),"",IF(A1437="","⚠ Date manquante",IF(AND(C1437="",E1437&lt;&gt;"Dépense"),"⚠ Prospect manquant",IF(E1437="","⚠ Action manquante",IF(AND(AU1437=1,D1437=""),"⚠ Canal manquant",IF(AND(W1437&lt;&gt;"",COUNTIFS('Saisie'!$W$5:$W$2004,W1437,'Saisie'!$C$5:$C$2004,"&lt;&gt;"&amp;C1437)&gt;0),"⚠ Numéro déjà utilisé par un autre prospect",IF(AND(J1437&lt;&gt;"",J1437&lt;A1437),"⚠ Relance avant la date de l'action",IF(A1437&gt;TODAY(),"⚠ Date dans le futur","✓"))))))))</f>
        <v/>
      </c>
      <c r="AS1437" s="61">
        <f>IF(AND(A1437="",C1437="",E1437=""),"",ROW())</f>
        <v/>
      </c>
      <c r="AT1437" s="61">
        <f>IF(E1437&amp;F1437="","",MAX(IFERROR(INDEX('Paramètres'!$J$6:$J$33,MATCH(E1437,'Paramètres'!$I$6:$I$33,0)),0),IFERROR(INDEX('Paramètres'!$N$6:$N$17,MATCH(F1437,'Paramètres'!$M$6:$M$17,0)),0)))</f>
        <v/>
      </c>
      <c r="AU1437" s="61">
        <f>IF(E1437="","",IFERROR(IF(INDEX('Paramètres'!$K$6:$K$33,MATCH(E1437,'Paramètres'!$I$6:$I$33,0))="Oui",1,0),0))</f>
        <v/>
      </c>
      <c r="AV1437" s="61">
        <f>IF(F1437="","",IFERROR(IF(INDEX('Paramètres'!$O$6:$O$17,MATCH(F1437,'Paramètres'!$M$6:$M$17,0))="Oui",1,0),0))</f>
        <v/>
      </c>
      <c r="AW1437" s="62">
        <f>IF(E1437="","",IF(G1437&lt;&gt;"",G1437,IF(OR(E1437="Proposition envoyée",E1437="Signature"),MAX(0,N(IFERROR(INDEX('Paramètres'!$R$6:$R$15,MATCH(IF(AL1437&lt;&gt;"",AL1437,IFERROR(INDEX('Prospects'!$AN$5:$AN$504,MATCH(C1437,'Prospects'!$C$5:$C$504,0)),"")),'Paramètres'!$Q$6:$Q$15,0)),0))-N(P1437)),0)))</f>
        <v/>
      </c>
      <c r="AX1437" s="61">
        <f>IF(C1437="","",IF(COUNTIF($C$5:C1437,C1437)=1,MAX($AX$4:AX1436)+1,""))</f>
        <v/>
      </c>
      <c r="AY1437" s="61">
        <f>IF(B1437="","",HOUR(B1437))</f>
        <v/>
      </c>
      <c r="AZ1437" s="61">
        <f>IF(A1437="","",MOD(A1437-2,7)+1)</f>
        <v/>
      </c>
      <c r="BA1437" s="60">
        <f>IF(C1437="","",IFERROR(INDEX('Prospects'!$N$5:$N$504,MATCH(C1437,'Prospects'!$C$5:$C$504,0)),""))</f>
        <v/>
      </c>
      <c r="BB1437" s="61">
        <f>IF(AND(C1437&lt;&gt;"",C1437='Fiche prospect'!$C$4),COUNTIF($C$5:C1437,C1437),"")</f>
        <v/>
      </c>
    </row>
    <row r="1438">
      <c r="A1438" s="53" t="n"/>
      <c r="B1438" s="54" t="n"/>
      <c r="C1438" s="55" t="n"/>
      <c r="D1438" s="55" t="n"/>
      <c r="E1438" s="55" t="n"/>
      <c r="F1438" s="55" t="n"/>
      <c r="G1438" s="56" t="n"/>
      <c r="H1438" s="57" t="n"/>
      <c r="I1438" s="55" t="n"/>
      <c r="J1438" s="53" t="n"/>
      <c r="K1438" s="54" t="n"/>
      <c r="L1438" s="55" t="n"/>
      <c r="M1438" s="55" t="n"/>
      <c r="N1438" s="57" t="n"/>
      <c r="O1438" s="55" t="n"/>
      <c r="P1438" s="56" t="n"/>
      <c r="Q1438" s="55" t="n"/>
      <c r="R1438" s="55" t="n"/>
      <c r="S1438" s="55" t="n"/>
      <c r="T1438" s="55" t="n"/>
      <c r="U1438" s="55" t="n"/>
      <c r="V1438" s="55" t="n"/>
      <c r="W1438" s="58" t="n"/>
      <c r="X1438" s="58" t="n"/>
      <c r="Y1438" s="55" t="n"/>
      <c r="Z1438" s="55" t="n"/>
      <c r="AA1438" s="55" t="n"/>
      <c r="AB1438" s="55" t="n"/>
      <c r="AC1438" s="55" t="n"/>
      <c r="AD1438" s="53" t="n"/>
      <c r="AE1438" s="55" t="n"/>
      <c r="AF1438" s="55" t="n"/>
      <c r="AG1438" s="59" t="n"/>
      <c r="AH1438" s="57" t="n"/>
      <c r="AI1438" s="55" t="n"/>
      <c r="AJ1438" s="55" t="n"/>
      <c r="AK1438" s="55" t="n"/>
      <c r="AL1438" s="55" t="n"/>
      <c r="AM1438" s="56" t="n"/>
      <c r="AN1438" s="55" t="n"/>
      <c r="AO1438" s="55" t="n"/>
      <c r="AP1438" s="55" t="n"/>
      <c r="AQ1438" s="55" t="n"/>
      <c r="AR1438" s="60">
        <f>IF(AND(C1438="",E1438=""),"",IF(A1438="","⚠ Date manquante",IF(AND(C1438="",E1438&lt;&gt;"Dépense"),"⚠ Prospect manquant",IF(E1438="","⚠ Action manquante",IF(AND(AU1438=1,D1438=""),"⚠ Canal manquant",IF(AND(W1438&lt;&gt;"",COUNTIFS('Saisie'!$W$5:$W$2004,W1438,'Saisie'!$C$5:$C$2004,"&lt;&gt;"&amp;C1438)&gt;0),"⚠ Numéro déjà utilisé par un autre prospect",IF(AND(J1438&lt;&gt;"",J1438&lt;A1438),"⚠ Relance avant la date de l'action",IF(A1438&gt;TODAY(),"⚠ Date dans le futur","✓"))))))))</f>
        <v/>
      </c>
      <c r="AS1438" s="61">
        <f>IF(AND(A1438="",C1438="",E1438=""),"",ROW())</f>
        <v/>
      </c>
      <c r="AT1438" s="61">
        <f>IF(E1438&amp;F1438="","",MAX(IFERROR(INDEX('Paramètres'!$J$6:$J$33,MATCH(E1438,'Paramètres'!$I$6:$I$33,0)),0),IFERROR(INDEX('Paramètres'!$N$6:$N$17,MATCH(F1438,'Paramètres'!$M$6:$M$17,0)),0)))</f>
        <v/>
      </c>
      <c r="AU1438" s="61">
        <f>IF(E1438="","",IFERROR(IF(INDEX('Paramètres'!$K$6:$K$33,MATCH(E1438,'Paramètres'!$I$6:$I$33,0))="Oui",1,0),0))</f>
        <v/>
      </c>
      <c r="AV1438" s="61">
        <f>IF(F1438="","",IFERROR(IF(INDEX('Paramètres'!$O$6:$O$17,MATCH(F1438,'Paramètres'!$M$6:$M$17,0))="Oui",1,0),0))</f>
        <v/>
      </c>
      <c r="AW1438" s="62">
        <f>IF(E1438="","",IF(G1438&lt;&gt;"",G1438,IF(OR(E1438="Proposition envoyée",E1438="Signature"),MAX(0,N(IFERROR(INDEX('Paramètres'!$R$6:$R$15,MATCH(IF(AL1438&lt;&gt;"",AL1438,IFERROR(INDEX('Prospects'!$AN$5:$AN$504,MATCH(C1438,'Prospects'!$C$5:$C$504,0)),"")),'Paramètres'!$Q$6:$Q$15,0)),0))-N(P1438)),0)))</f>
        <v/>
      </c>
      <c r="AX1438" s="61">
        <f>IF(C1438="","",IF(COUNTIF($C$5:C1438,C1438)=1,MAX($AX$4:AX1437)+1,""))</f>
        <v/>
      </c>
      <c r="AY1438" s="61">
        <f>IF(B1438="","",HOUR(B1438))</f>
        <v/>
      </c>
      <c r="AZ1438" s="61">
        <f>IF(A1438="","",MOD(A1438-2,7)+1)</f>
        <v/>
      </c>
      <c r="BA1438" s="60">
        <f>IF(C1438="","",IFERROR(INDEX('Prospects'!$N$5:$N$504,MATCH(C1438,'Prospects'!$C$5:$C$504,0)),""))</f>
        <v/>
      </c>
      <c r="BB1438" s="61">
        <f>IF(AND(C1438&lt;&gt;"",C1438='Fiche prospect'!$C$4),COUNTIF($C$5:C1438,C1438),"")</f>
        <v/>
      </c>
    </row>
    <row r="1439">
      <c r="A1439" s="53" t="n"/>
      <c r="B1439" s="54" t="n"/>
      <c r="C1439" s="55" t="n"/>
      <c r="D1439" s="55" t="n"/>
      <c r="E1439" s="55" t="n"/>
      <c r="F1439" s="55" t="n"/>
      <c r="G1439" s="56" t="n"/>
      <c r="H1439" s="57" t="n"/>
      <c r="I1439" s="55" t="n"/>
      <c r="J1439" s="53" t="n"/>
      <c r="K1439" s="54" t="n"/>
      <c r="L1439" s="55" t="n"/>
      <c r="M1439" s="55" t="n"/>
      <c r="N1439" s="57" t="n"/>
      <c r="O1439" s="55" t="n"/>
      <c r="P1439" s="56" t="n"/>
      <c r="Q1439" s="55" t="n"/>
      <c r="R1439" s="55" t="n"/>
      <c r="S1439" s="55" t="n"/>
      <c r="T1439" s="55" t="n"/>
      <c r="U1439" s="55" t="n"/>
      <c r="V1439" s="55" t="n"/>
      <c r="W1439" s="58" t="n"/>
      <c r="X1439" s="58" t="n"/>
      <c r="Y1439" s="55" t="n"/>
      <c r="Z1439" s="55" t="n"/>
      <c r="AA1439" s="55" t="n"/>
      <c r="AB1439" s="55" t="n"/>
      <c r="AC1439" s="55" t="n"/>
      <c r="AD1439" s="53" t="n"/>
      <c r="AE1439" s="55" t="n"/>
      <c r="AF1439" s="55" t="n"/>
      <c r="AG1439" s="59" t="n"/>
      <c r="AH1439" s="57" t="n"/>
      <c r="AI1439" s="55" t="n"/>
      <c r="AJ1439" s="55" t="n"/>
      <c r="AK1439" s="55" t="n"/>
      <c r="AL1439" s="55" t="n"/>
      <c r="AM1439" s="56" t="n"/>
      <c r="AN1439" s="55" t="n"/>
      <c r="AO1439" s="55" t="n"/>
      <c r="AP1439" s="55" t="n"/>
      <c r="AQ1439" s="55" t="n"/>
      <c r="AR1439" s="60">
        <f>IF(AND(C1439="",E1439=""),"",IF(A1439="","⚠ Date manquante",IF(AND(C1439="",E1439&lt;&gt;"Dépense"),"⚠ Prospect manquant",IF(E1439="","⚠ Action manquante",IF(AND(AU1439=1,D1439=""),"⚠ Canal manquant",IF(AND(W1439&lt;&gt;"",COUNTIFS('Saisie'!$W$5:$W$2004,W1439,'Saisie'!$C$5:$C$2004,"&lt;&gt;"&amp;C1439)&gt;0),"⚠ Numéro déjà utilisé par un autre prospect",IF(AND(J1439&lt;&gt;"",J1439&lt;A1439),"⚠ Relance avant la date de l'action",IF(A1439&gt;TODAY(),"⚠ Date dans le futur","✓"))))))))</f>
        <v/>
      </c>
      <c r="AS1439" s="61">
        <f>IF(AND(A1439="",C1439="",E1439=""),"",ROW())</f>
        <v/>
      </c>
      <c r="AT1439" s="61">
        <f>IF(E1439&amp;F1439="","",MAX(IFERROR(INDEX('Paramètres'!$J$6:$J$33,MATCH(E1439,'Paramètres'!$I$6:$I$33,0)),0),IFERROR(INDEX('Paramètres'!$N$6:$N$17,MATCH(F1439,'Paramètres'!$M$6:$M$17,0)),0)))</f>
        <v/>
      </c>
      <c r="AU1439" s="61">
        <f>IF(E1439="","",IFERROR(IF(INDEX('Paramètres'!$K$6:$K$33,MATCH(E1439,'Paramètres'!$I$6:$I$33,0))="Oui",1,0),0))</f>
        <v/>
      </c>
      <c r="AV1439" s="61">
        <f>IF(F1439="","",IFERROR(IF(INDEX('Paramètres'!$O$6:$O$17,MATCH(F1439,'Paramètres'!$M$6:$M$17,0))="Oui",1,0),0))</f>
        <v/>
      </c>
      <c r="AW1439" s="62">
        <f>IF(E1439="","",IF(G1439&lt;&gt;"",G1439,IF(OR(E1439="Proposition envoyée",E1439="Signature"),MAX(0,N(IFERROR(INDEX('Paramètres'!$R$6:$R$15,MATCH(IF(AL1439&lt;&gt;"",AL1439,IFERROR(INDEX('Prospects'!$AN$5:$AN$504,MATCH(C1439,'Prospects'!$C$5:$C$504,0)),"")),'Paramètres'!$Q$6:$Q$15,0)),0))-N(P1439)),0)))</f>
        <v/>
      </c>
      <c r="AX1439" s="61">
        <f>IF(C1439="","",IF(COUNTIF($C$5:C1439,C1439)=1,MAX($AX$4:AX1438)+1,""))</f>
        <v/>
      </c>
      <c r="AY1439" s="61">
        <f>IF(B1439="","",HOUR(B1439))</f>
        <v/>
      </c>
      <c r="AZ1439" s="61">
        <f>IF(A1439="","",MOD(A1439-2,7)+1)</f>
        <v/>
      </c>
      <c r="BA1439" s="60">
        <f>IF(C1439="","",IFERROR(INDEX('Prospects'!$N$5:$N$504,MATCH(C1439,'Prospects'!$C$5:$C$504,0)),""))</f>
        <v/>
      </c>
      <c r="BB1439" s="61">
        <f>IF(AND(C1439&lt;&gt;"",C1439='Fiche prospect'!$C$4),COUNTIF($C$5:C1439,C1439),"")</f>
        <v/>
      </c>
    </row>
    <row r="1440">
      <c r="A1440" s="53" t="n"/>
      <c r="B1440" s="54" t="n"/>
      <c r="C1440" s="55" t="n"/>
      <c r="D1440" s="55" t="n"/>
      <c r="E1440" s="55" t="n"/>
      <c r="F1440" s="55" t="n"/>
      <c r="G1440" s="56" t="n"/>
      <c r="H1440" s="57" t="n"/>
      <c r="I1440" s="55" t="n"/>
      <c r="J1440" s="53" t="n"/>
      <c r="K1440" s="54" t="n"/>
      <c r="L1440" s="55" t="n"/>
      <c r="M1440" s="55" t="n"/>
      <c r="N1440" s="57" t="n"/>
      <c r="O1440" s="55" t="n"/>
      <c r="P1440" s="56" t="n"/>
      <c r="Q1440" s="55" t="n"/>
      <c r="R1440" s="55" t="n"/>
      <c r="S1440" s="55" t="n"/>
      <c r="T1440" s="55" t="n"/>
      <c r="U1440" s="55" t="n"/>
      <c r="V1440" s="55" t="n"/>
      <c r="W1440" s="58" t="n"/>
      <c r="X1440" s="58" t="n"/>
      <c r="Y1440" s="55" t="n"/>
      <c r="Z1440" s="55" t="n"/>
      <c r="AA1440" s="55" t="n"/>
      <c r="AB1440" s="55" t="n"/>
      <c r="AC1440" s="55" t="n"/>
      <c r="AD1440" s="53" t="n"/>
      <c r="AE1440" s="55" t="n"/>
      <c r="AF1440" s="55" t="n"/>
      <c r="AG1440" s="59" t="n"/>
      <c r="AH1440" s="57" t="n"/>
      <c r="AI1440" s="55" t="n"/>
      <c r="AJ1440" s="55" t="n"/>
      <c r="AK1440" s="55" t="n"/>
      <c r="AL1440" s="55" t="n"/>
      <c r="AM1440" s="56" t="n"/>
      <c r="AN1440" s="55" t="n"/>
      <c r="AO1440" s="55" t="n"/>
      <c r="AP1440" s="55" t="n"/>
      <c r="AQ1440" s="55" t="n"/>
      <c r="AR1440" s="60">
        <f>IF(AND(C1440="",E1440=""),"",IF(A1440="","⚠ Date manquante",IF(AND(C1440="",E1440&lt;&gt;"Dépense"),"⚠ Prospect manquant",IF(E1440="","⚠ Action manquante",IF(AND(AU1440=1,D1440=""),"⚠ Canal manquant",IF(AND(W1440&lt;&gt;"",COUNTIFS('Saisie'!$W$5:$W$2004,W1440,'Saisie'!$C$5:$C$2004,"&lt;&gt;"&amp;C1440)&gt;0),"⚠ Numéro déjà utilisé par un autre prospect",IF(AND(J1440&lt;&gt;"",J1440&lt;A1440),"⚠ Relance avant la date de l'action",IF(A1440&gt;TODAY(),"⚠ Date dans le futur","✓"))))))))</f>
        <v/>
      </c>
      <c r="AS1440" s="61">
        <f>IF(AND(A1440="",C1440="",E1440=""),"",ROW())</f>
        <v/>
      </c>
      <c r="AT1440" s="61">
        <f>IF(E1440&amp;F1440="","",MAX(IFERROR(INDEX('Paramètres'!$J$6:$J$33,MATCH(E1440,'Paramètres'!$I$6:$I$33,0)),0),IFERROR(INDEX('Paramètres'!$N$6:$N$17,MATCH(F1440,'Paramètres'!$M$6:$M$17,0)),0)))</f>
        <v/>
      </c>
      <c r="AU1440" s="61">
        <f>IF(E1440="","",IFERROR(IF(INDEX('Paramètres'!$K$6:$K$33,MATCH(E1440,'Paramètres'!$I$6:$I$33,0))="Oui",1,0),0))</f>
        <v/>
      </c>
      <c r="AV1440" s="61">
        <f>IF(F1440="","",IFERROR(IF(INDEX('Paramètres'!$O$6:$O$17,MATCH(F1440,'Paramètres'!$M$6:$M$17,0))="Oui",1,0),0))</f>
        <v/>
      </c>
      <c r="AW1440" s="62">
        <f>IF(E1440="","",IF(G1440&lt;&gt;"",G1440,IF(OR(E1440="Proposition envoyée",E1440="Signature"),MAX(0,N(IFERROR(INDEX('Paramètres'!$R$6:$R$15,MATCH(IF(AL1440&lt;&gt;"",AL1440,IFERROR(INDEX('Prospects'!$AN$5:$AN$504,MATCH(C1440,'Prospects'!$C$5:$C$504,0)),"")),'Paramètres'!$Q$6:$Q$15,0)),0))-N(P1440)),0)))</f>
        <v/>
      </c>
      <c r="AX1440" s="61">
        <f>IF(C1440="","",IF(COUNTIF($C$5:C1440,C1440)=1,MAX($AX$4:AX1439)+1,""))</f>
        <v/>
      </c>
      <c r="AY1440" s="61">
        <f>IF(B1440="","",HOUR(B1440))</f>
        <v/>
      </c>
      <c r="AZ1440" s="61">
        <f>IF(A1440="","",MOD(A1440-2,7)+1)</f>
        <v/>
      </c>
      <c r="BA1440" s="60">
        <f>IF(C1440="","",IFERROR(INDEX('Prospects'!$N$5:$N$504,MATCH(C1440,'Prospects'!$C$5:$C$504,0)),""))</f>
        <v/>
      </c>
      <c r="BB1440" s="61">
        <f>IF(AND(C1440&lt;&gt;"",C1440='Fiche prospect'!$C$4),COUNTIF($C$5:C1440,C1440),"")</f>
        <v/>
      </c>
    </row>
    <row r="1441">
      <c r="A1441" s="53" t="n"/>
      <c r="B1441" s="54" t="n"/>
      <c r="C1441" s="55" t="n"/>
      <c r="D1441" s="55" t="n"/>
      <c r="E1441" s="55" t="n"/>
      <c r="F1441" s="55" t="n"/>
      <c r="G1441" s="56" t="n"/>
      <c r="H1441" s="57" t="n"/>
      <c r="I1441" s="55" t="n"/>
      <c r="J1441" s="53" t="n"/>
      <c r="K1441" s="54" t="n"/>
      <c r="L1441" s="55" t="n"/>
      <c r="M1441" s="55" t="n"/>
      <c r="N1441" s="57" t="n"/>
      <c r="O1441" s="55" t="n"/>
      <c r="P1441" s="56" t="n"/>
      <c r="Q1441" s="55" t="n"/>
      <c r="R1441" s="55" t="n"/>
      <c r="S1441" s="55" t="n"/>
      <c r="T1441" s="55" t="n"/>
      <c r="U1441" s="55" t="n"/>
      <c r="V1441" s="55" t="n"/>
      <c r="W1441" s="58" t="n"/>
      <c r="X1441" s="58" t="n"/>
      <c r="Y1441" s="55" t="n"/>
      <c r="Z1441" s="55" t="n"/>
      <c r="AA1441" s="55" t="n"/>
      <c r="AB1441" s="55" t="n"/>
      <c r="AC1441" s="55" t="n"/>
      <c r="AD1441" s="53" t="n"/>
      <c r="AE1441" s="55" t="n"/>
      <c r="AF1441" s="55" t="n"/>
      <c r="AG1441" s="59" t="n"/>
      <c r="AH1441" s="57" t="n"/>
      <c r="AI1441" s="55" t="n"/>
      <c r="AJ1441" s="55" t="n"/>
      <c r="AK1441" s="55" t="n"/>
      <c r="AL1441" s="55" t="n"/>
      <c r="AM1441" s="56" t="n"/>
      <c r="AN1441" s="55" t="n"/>
      <c r="AO1441" s="55" t="n"/>
      <c r="AP1441" s="55" t="n"/>
      <c r="AQ1441" s="55" t="n"/>
      <c r="AR1441" s="60">
        <f>IF(AND(C1441="",E1441=""),"",IF(A1441="","⚠ Date manquante",IF(AND(C1441="",E1441&lt;&gt;"Dépense"),"⚠ Prospect manquant",IF(E1441="","⚠ Action manquante",IF(AND(AU1441=1,D1441=""),"⚠ Canal manquant",IF(AND(W1441&lt;&gt;"",COUNTIFS('Saisie'!$W$5:$W$2004,W1441,'Saisie'!$C$5:$C$2004,"&lt;&gt;"&amp;C1441)&gt;0),"⚠ Numéro déjà utilisé par un autre prospect",IF(AND(J1441&lt;&gt;"",J1441&lt;A1441),"⚠ Relance avant la date de l'action",IF(A1441&gt;TODAY(),"⚠ Date dans le futur","✓"))))))))</f>
        <v/>
      </c>
      <c r="AS1441" s="61">
        <f>IF(AND(A1441="",C1441="",E1441=""),"",ROW())</f>
        <v/>
      </c>
      <c r="AT1441" s="61">
        <f>IF(E1441&amp;F1441="","",MAX(IFERROR(INDEX('Paramètres'!$J$6:$J$33,MATCH(E1441,'Paramètres'!$I$6:$I$33,0)),0),IFERROR(INDEX('Paramètres'!$N$6:$N$17,MATCH(F1441,'Paramètres'!$M$6:$M$17,0)),0)))</f>
        <v/>
      </c>
      <c r="AU1441" s="61">
        <f>IF(E1441="","",IFERROR(IF(INDEX('Paramètres'!$K$6:$K$33,MATCH(E1441,'Paramètres'!$I$6:$I$33,0))="Oui",1,0),0))</f>
        <v/>
      </c>
      <c r="AV1441" s="61">
        <f>IF(F1441="","",IFERROR(IF(INDEX('Paramètres'!$O$6:$O$17,MATCH(F1441,'Paramètres'!$M$6:$M$17,0))="Oui",1,0),0))</f>
        <v/>
      </c>
      <c r="AW1441" s="62">
        <f>IF(E1441="","",IF(G1441&lt;&gt;"",G1441,IF(OR(E1441="Proposition envoyée",E1441="Signature"),MAX(0,N(IFERROR(INDEX('Paramètres'!$R$6:$R$15,MATCH(IF(AL1441&lt;&gt;"",AL1441,IFERROR(INDEX('Prospects'!$AN$5:$AN$504,MATCH(C1441,'Prospects'!$C$5:$C$504,0)),"")),'Paramètres'!$Q$6:$Q$15,0)),0))-N(P1441)),0)))</f>
        <v/>
      </c>
      <c r="AX1441" s="61">
        <f>IF(C1441="","",IF(COUNTIF($C$5:C1441,C1441)=1,MAX($AX$4:AX1440)+1,""))</f>
        <v/>
      </c>
      <c r="AY1441" s="61">
        <f>IF(B1441="","",HOUR(B1441))</f>
        <v/>
      </c>
      <c r="AZ1441" s="61">
        <f>IF(A1441="","",MOD(A1441-2,7)+1)</f>
        <v/>
      </c>
      <c r="BA1441" s="60">
        <f>IF(C1441="","",IFERROR(INDEX('Prospects'!$N$5:$N$504,MATCH(C1441,'Prospects'!$C$5:$C$504,0)),""))</f>
        <v/>
      </c>
      <c r="BB1441" s="61">
        <f>IF(AND(C1441&lt;&gt;"",C1441='Fiche prospect'!$C$4),COUNTIF($C$5:C1441,C1441),"")</f>
        <v/>
      </c>
    </row>
    <row r="1442">
      <c r="A1442" s="53" t="n"/>
      <c r="B1442" s="54" t="n"/>
      <c r="C1442" s="55" t="n"/>
      <c r="D1442" s="55" t="n"/>
      <c r="E1442" s="55" t="n"/>
      <c r="F1442" s="55" t="n"/>
      <c r="G1442" s="56" t="n"/>
      <c r="H1442" s="57" t="n"/>
      <c r="I1442" s="55" t="n"/>
      <c r="J1442" s="53" t="n"/>
      <c r="K1442" s="54" t="n"/>
      <c r="L1442" s="55" t="n"/>
      <c r="M1442" s="55" t="n"/>
      <c r="N1442" s="57" t="n"/>
      <c r="O1442" s="55" t="n"/>
      <c r="P1442" s="56" t="n"/>
      <c r="Q1442" s="55" t="n"/>
      <c r="R1442" s="55" t="n"/>
      <c r="S1442" s="55" t="n"/>
      <c r="T1442" s="55" t="n"/>
      <c r="U1442" s="55" t="n"/>
      <c r="V1442" s="55" t="n"/>
      <c r="W1442" s="58" t="n"/>
      <c r="X1442" s="58" t="n"/>
      <c r="Y1442" s="55" t="n"/>
      <c r="Z1442" s="55" t="n"/>
      <c r="AA1442" s="55" t="n"/>
      <c r="AB1442" s="55" t="n"/>
      <c r="AC1442" s="55" t="n"/>
      <c r="AD1442" s="53" t="n"/>
      <c r="AE1442" s="55" t="n"/>
      <c r="AF1442" s="55" t="n"/>
      <c r="AG1442" s="59" t="n"/>
      <c r="AH1442" s="57" t="n"/>
      <c r="AI1442" s="55" t="n"/>
      <c r="AJ1442" s="55" t="n"/>
      <c r="AK1442" s="55" t="n"/>
      <c r="AL1442" s="55" t="n"/>
      <c r="AM1442" s="56" t="n"/>
      <c r="AN1442" s="55" t="n"/>
      <c r="AO1442" s="55" t="n"/>
      <c r="AP1442" s="55" t="n"/>
      <c r="AQ1442" s="55" t="n"/>
      <c r="AR1442" s="60">
        <f>IF(AND(C1442="",E1442=""),"",IF(A1442="","⚠ Date manquante",IF(AND(C1442="",E1442&lt;&gt;"Dépense"),"⚠ Prospect manquant",IF(E1442="","⚠ Action manquante",IF(AND(AU1442=1,D1442=""),"⚠ Canal manquant",IF(AND(W1442&lt;&gt;"",COUNTIFS('Saisie'!$W$5:$W$2004,W1442,'Saisie'!$C$5:$C$2004,"&lt;&gt;"&amp;C1442)&gt;0),"⚠ Numéro déjà utilisé par un autre prospect",IF(AND(J1442&lt;&gt;"",J1442&lt;A1442),"⚠ Relance avant la date de l'action",IF(A1442&gt;TODAY(),"⚠ Date dans le futur","✓"))))))))</f>
        <v/>
      </c>
      <c r="AS1442" s="61">
        <f>IF(AND(A1442="",C1442="",E1442=""),"",ROW())</f>
        <v/>
      </c>
      <c r="AT1442" s="61">
        <f>IF(E1442&amp;F1442="","",MAX(IFERROR(INDEX('Paramètres'!$J$6:$J$33,MATCH(E1442,'Paramètres'!$I$6:$I$33,0)),0),IFERROR(INDEX('Paramètres'!$N$6:$N$17,MATCH(F1442,'Paramètres'!$M$6:$M$17,0)),0)))</f>
        <v/>
      </c>
      <c r="AU1442" s="61">
        <f>IF(E1442="","",IFERROR(IF(INDEX('Paramètres'!$K$6:$K$33,MATCH(E1442,'Paramètres'!$I$6:$I$33,0))="Oui",1,0),0))</f>
        <v/>
      </c>
      <c r="AV1442" s="61">
        <f>IF(F1442="","",IFERROR(IF(INDEX('Paramètres'!$O$6:$O$17,MATCH(F1442,'Paramètres'!$M$6:$M$17,0))="Oui",1,0),0))</f>
        <v/>
      </c>
      <c r="AW1442" s="62">
        <f>IF(E1442="","",IF(G1442&lt;&gt;"",G1442,IF(OR(E1442="Proposition envoyée",E1442="Signature"),MAX(0,N(IFERROR(INDEX('Paramètres'!$R$6:$R$15,MATCH(IF(AL1442&lt;&gt;"",AL1442,IFERROR(INDEX('Prospects'!$AN$5:$AN$504,MATCH(C1442,'Prospects'!$C$5:$C$504,0)),"")),'Paramètres'!$Q$6:$Q$15,0)),0))-N(P1442)),0)))</f>
        <v/>
      </c>
      <c r="AX1442" s="61">
        <f>IF(C1442="","",IF(COUNTIF($C$5:C1442,C1442)=1,MAX($AX$4:AX1441)+1,""))</f>
        <v/>
      </c>
      <c r="AY1442" s="61">
        <f>IF(B1442="","",HOUR(B1442))</f>
        <v/>
      </c>
      <c r="AZ1442" s="61">
        <f>IF(A1442="","",MOD(A1442-2,7)+1)</f>
        <v/>
      </c>
      <c r="BA1442" s="60">
        <f>IF(C1442="","",IFERROR(INDEX('Prospects'!$N$5:$N$504,MATCH(C1442,'Prospects'!$C$5:$C$504,0)),""))</f>
        <v/>
      </c>
      <c r="BB1442" s="61">
        <f>IF(AND(C1442&lt;&gt;"",C1442='Fiche prospect'!$C$4),COUNTIF($C$5:C1442,C1442),"")</f>
        <v/>
      </c>
    </row>
    <row r="1443">
      <c r="A1443" s="53" t="n"/>
      <c r="B1443" s="54" t="n"/>
      <c r="C1443" s="55" t="n"/>
      <c r="D1443" s="55" t="n"/>
      <c r="E1443" s="55" t="n"/>
      <c r="F1443" s="55" t="n"/>
      <c r="G1443" s="56" t="n"/>
      <c r="H1443" s="57" t="n"/>
      <c r="I1443" s="55" t="n"/>
      <c r="J1443" s="53" t="n"/>
      <c r="K1443" s="54" t="n"/>
      <c r="L1443" s="55" t="n"/>
      <c r="M1443" s="55" t="n"/>
      <c r="N1443" s="57" t="n"/>
      <c r="O1443" s="55" t="n"/>
      <c r="P1443" s="56" t="n"/>
      <c r="Q1443" s="55" t="n"/>
      <c r="R1443" s="55" t="n"/>
      <c r="S1443" s="55" t="n"/>
      <c r="T1443" s="55" t="n"/>
      <c r="U1443" s="55" t="n"/>
      <c r="V1443" s="55" t="n"/>
      <c r="W1443" s="58" t="n"/>
      <c r="X1443" s="58" t="n"/>
      <c r="Y1443" s="55" t="n"/>
      <c r="Z1443" s="55" t="n"/>
      <c r="AA1443" s="55" t="n"/>
      <c r="AB1443" s="55" t="n"/>
      <c r="AC1443" s="55" t="n"/>
      <c r="AD1443" s="53" t="n"/>
      <c r="AE1443" s="55" t="n"/>
      <c r="AF1443" s="55" t="n"/>
      <c r="AG1443" s="59" t="n"/>
      <c r="AH1443" s="57" t="n"/>
      <c r="AI1443" s="55" t="n"/>
      <c r="AJ1443" s="55" t="n"/>
      <c r="AK1443" s="55" t="n"/>
      <c r="AL1443" s="55" t="n"/>
      <c r="AM1443" s="56" t="n"/>
      <c r="AN1443" s="55" t="n"/>
      <c r="AO1443" s="55" t="n"/>
      <c r="AP1443" s="55" t="n"/>
      <c r="AQ1443" s="55" t="n"/>
      <c r="AR1443" s="60">
        <f>IF(AND(C1443="",E1443=""),"",IF(A1443="","⚠ Date manquante",IF(AND(C1443="",E1443&lt;&gt;"Dépense"),"⚠ Prospect manquant",IF(E1443="","⚠ Action manquante",IF(AND(AU1443=1,D1443=""),"⚠ Canal manquant",IF(AND(W1443&lt;&gt;"",COUNTIFS('Saisie'!$W$5:$W$2004,W1443,'Saisie'!$C$5:$C$2004,"&lt;&gt;"&amp;C1443)&gt;0),"⚠ Numéro déjà utilisé par un autre prospect",IF(AND(J1443&lt;&gt;"",J1443&lt;A1443),"⚠ Relance avant la date de l'action",IF(A1443&gt;TODAY(),"⚠ Date dans le futur","✓"))))))))</f>
        <v/>
      </c>
      <c r="AS1443" s="61">
        <f>IF(AND(A1443="",C1443="",E1443=""),"",ROW())</f>
        <v/>
      </c>
      <c r="AT1443" s="61">
        <f>IF(E1443&amp;F1443="","",MAX(IFERROR(INDEX('Paramètres'!$J$6:$J$33,MATCH(E1443,'Paramètres'!$I$6:$I$33,0)),0),IFERROR(INDEX('Paramètres'!$N$6:$N$17,MATCH(F1443,'Paramètres'!$M$6:$M$17,0)),0)))</f>
        <v/>
      </c>
      <c r="AU1443" s="61">
        <f>IF(E1443="","",IFERROR(IF(INDEX('Paramètres'!$K$6:$K$33,MATCH(E1443,'Paramètres'!$I$6:$I$33,0))="Oui",1,0),0))</f>
        <v/>
      </c>
      <c r="AV1443" s="61">
        <f>IF(F1443="","",IFERROR(IF(INDEX('Paramètres'!$O$6:$O$17,MATCH(F1443,'Paramètres'!$M$6:$M$17,0))="Oui",1,0),0))</f>
        <v/>
      </c>
      <c r="AW1443" s="62">
        <f>IF(E1443="","",IF(G1443&lt;&gt;"",G1443,IF(OR(E1443="Proposition envoyée",E1443="Signature"),MAX(0,N(IFERROR(INDEX('Paramètres'!$R$6:$R$15,MATCH(IF(AL1443&lt;&gt;"",AL1443,IFERROR(INDEX('Prospects'!$AN$5:$AN$504,MATCH(C1443,'Prospects'!$C$5:$C$504,0)),"")),'Paramètres'!$Q$6:$Q$15,0)),0))-N(P1443)),0)))</f>
        <v/>
      </c>
      <c r="AX1443" s="61">
        <f>IF(C1443="","",IF(COUNTIF($C$5:C1443,C1443)=1,MAX($AX$4:AX1442)+1,""))</f>
        <v/>
      </c>
      <c r="AY1443" s="61">
        <f>IF(B1443="","",HOUR(B1443))</f>
        <v/>
      </c>
      <c r="AZ1443" s="61">
        <f>IF(A1443="","",MOD(A1443-2,7)+1)</f>
        <v/>
      </c>
      <c r="BA1443" s="60">
        <f>IF(C1443="","",IFERROR(INDEX('Prospects'!$N$5:$N$504,MATCH(C1443,'Prospects'!$C$5:$C$504,0)),""))</f>
        <v/>
      </c>
      <c r="BB1443" s="61">
        <f>IF(AND(C1443&lt;&gt;"",C1443='Fiche prospect'!$C$4),COUNTIF($C$5:C1443,C1443),"")</f>
        <v/>
      </c>
    </row>
    <row r="1444">
      <c r="A1444" s="53" t="n"/>
      <c r="B1444" s="54" t="n"/>
      <c r="C1444" s="55" t="n"/>
      <c r="D1444" s="55" t="n"/>
      <c r="E1444" s="55" t="n"/>
      <c r="F1444" s="55" t="n"/>
      <c r="G1444" s="56" t="n"/>
      <c r="H1444" s="57" t="n"/>
      <c r="I1444" s="55" t="n"/>
      <c r="J1444" s="53" t="n"/>
      <c r="K1444" s="54" t="n"/>
      <c r="L1444" s="55" t="n"/>
      <c r="M1444" s="55" t="n"/>
      <c r="N1444" s="57" t="n"/>
      <c r="O1444" s="55" t="n"/>
      <c r="P1444" s="56" t="n"/>
      <c r="Q1444" s="55" t="n"/>
      <c r="R1444" s="55" t="n"/>
      <c r="S1444" s="55" t="n"/>
      <c r="T1444" s="55" t="n"/>
      <c r="U1444" s="55" t="n"/>
      <c r="V1444" s="55" t="n"/>
      <c r="W1444" s="58" t="n"/>
      <c r="X1444" s="58" t="n"/>
      <c r="Y1444" s="55" t="n"/>
      <c r="Z1444" s="55" t="n"/>
      <c r="AA1444" s="55" t="n"/>
      <c r="AB1444" s="55" t="n"/>
      <c r="AC1444" s="55" t="n"/>
      <c r="AD1444" s="53" t="n"/>
      <c r="AE1444" s="55" t="n"/>
      <c r="AF1444" s="55" t="n"/>
      <c r="AG1444" s="59" t="n"/>
      <c r="AH1444" s="57" t="n"/>
      <c r="AI1444" s="55" t="n"/>
      <c r="AJ1444" s="55" t="n"/>
      <c r="AK1444" s="55" t="n"/>
      <c r="AL1444" s="55" t="n"/>
      <c r="AM1444" s="56" t="n"/>
      <c r="AN1444" s="55" t="n"/>
      <c r="AO1444" s="55" t="n"/>
      <c r="AP1444" s="55" t="n"/>
      <c r="AQ1444" s="55" t="n"/>
      <c r="AR1444" s="60">
        <f>IF(AND(C1444="",E1444=""),"",IF(A1444="","⚠ Date manquante",IF(AND(C1444="",E1444&lt;&gt;"Dépense"),"⚠ Prospect manquant",IF(E1444="","⚠ Action manquante",IF(AND(AU1444=1,D1444=""),"⚠ Canal manquant",IF(AND(W1444&lt;&gt;"",COUNTIFS('Saisie'!$W$5:$W$2004,W1444,'Saisie'!$C$5:$C$2004,"&lt;&gt;"&amp;C1444)&gt;0),"⚠ Numéro déjà utilisé par un autre prospect",IF(AND(J1444&lt;&gt;"",J1444&lt;A1444),"⚠ Relance avant la date de l'action",IF(A1444&gt;TODAY(),"⚠ Date dans le futur","✓"))))))))</f>
        <v/>
      </c>
      <c r="AS1444" s="61">
        <f>IF(AND(A1444="",C1444="",E1444=""),"",ROW())</f>
        <v/>
      </c>
      <c r="AT1444" s="61">
        <f>IF(E1444&amp;F1444="","",MAX(IFERROR(INDEX('Paramètres'!$J$6:$J$33,MATCH(E1444,'Paramètres'!$I$6:$I$33,0)),0),IFERROR(INDEX('Paramètres'!$N$6:$N$17,MATCH(F1444,'Paramètres'!$M$6:$M$17,0)),0)))</f>
        <v/>
      </c>
      <c r="AU1444" s="61">
        <f>IF(E1444="","",IFERROR(IF(INDEX('Paramètres'!$K$6:$K$33,MATCH(E1444,'Paramètres'!$I$6:$I$33,0))="Oui",1,0),0))</f>
        <v/>
      </c>
      <c r="AV1444" s="61">
        <f>IF(F1444="","",IFERROR(IF(INDEX('Paramètres'!$O$6:$O$17,MATCH(F1444,'Paramètres'!$M$6:$M$17,0))="Oui",1,0),0))</f>
        <v/>
      </c>
      <c r="AW1444" s="62">
        <f>IF(E1444="","",IF(G1444&lt;&gt;"",G1444,IF(OR(E1444="Proposition envoyée",E1444="Signature"),MAX(0,N(IFERROR(INDEX('Paramètres'!$R$6:$R$15,MATCH(IF(AL1444&lt;&gt;"",AL1444,IFERROR(INDEX('Prospects'!$AN$5:$AN$504,MATCH(C1444,'Prospects'!$C$5:$C$504,0)),"")),'Paramètres'!$Q$6:$Q$15,0)),0))-N(P1444)),0)))</f>
        <v/>
      </c>
      <c r="AX1444" s="61">
        <f>IF(C1444="","",IF(COUNTIF($C$5:C1444,C1444)=1,MAX($AX$4:AX1443)+1,""))</f>
        <v/>
      </c>
      <c r="AY1444" s="61">
        <f>IF(B1444="","",HOUR(B1444))</f>
        <v/>
      </c>
      <c r="AZ1444" s="61">
        <f>IF(A1444="","",MOD(A1444-2,7)+1)</f>
        <v/>
      </c>
      <c r="BA1444" s="60">
        <f>IF(C1444="","",IFERROR(INDEX('Prospects'!$N$5:$N$504,MATCH(C1444,'Prospects'!$C$5:$C$504,0)),""))</f>
        <v/>
      </c>
      <c r="BB1444" s="61">
        <f>IF(AND(C1444&lt;&gt;"",C1444='Fiche prospect'!$C$4),COUNTIF($C$5:C1444,C1444),"")</f>
        <v/>
      </c>
    </row>
    <row r="1445">
      <c r="A1445" s="53" t="n"/>
      <c r="B1445" s="54" t="n"/>
      <c r="C1445" s="55" t="n"/>
      <c r="D1445" s="55" t="n"/>
      <c r="E1445" s="55" t="n"/>
      <c r="F1445" s="55" t="n"/>
      <c r="G1445" s="56" t="n"/>
      <c r="H1445" s="57" t="n"/>
      <c r="I1445" s="55" t="n"/>
      <c r="J1445" s="53" t="n"/>
      <c r="K1445" s="54" t="n"/>
      <c r="L1445" s="55" t="n"/>
      <c r="M1445" s="55" t="n"/>
      <c r="N1445" s="57" t="n"/>
      <c r="O1445" s="55" t="n"/>
      <c r="P1445" s="56" t="n"/>
      <c r="Q1445" s="55" t="n"/>
      <c r="R1445" s="55" t="n"/>
      <c r="S1445" s="55" t="n"/>
      <c r="T1445" s="55" t="n"/>
      <c r="U1445" s="55" t="n"/>
      <c r="V1445" s="55" t="n"/>
      <c r="W1445" s="58" t="n"/>
      <c r="X1445" s="58" t="n"/>
      <c r="Y1445" s="55" t="n"/>
      <c r="Z1445" s="55" t="n"/>
      <c r="AA1445" s="55" t="n"/>
      <c r="AB1445" s="55" t="n"/>
      <c r="AC1445" s="55" t="n"/>
      <c r="AD1445" s="53" t="n"/>
      <c r="AE1445" s="55" t="n"/>
      <c r="AF1445" s="55" t="n"/>
      <c r="AG1445" s="59" t="n"/>
      <c r="AH1445" s="57" t="n"/>
      <c r="AI1445" s="55" t="n"/>
      <c r="AJ1445" s="55" t="n"/>
      <c r="AK1445" s="55" t="n"/>
      <c r="AL1445" s="55" t="n"/>
      <c r="AM1445" s="56" t="n"/>
      <c r="AN1445" s="55" t="n"/>
      <c r="AO1445" s="55" t="n"/>
      <c r="AP1445" s="55" t="n"/>
      <c r="AQ1445" s="55" t="n"/>
      <c r="AR1445" s="60">
        <f>IF(AND(C1445="",E1445=""),"",IF(A1445="","⚠ Date manquante",IF(AND(C1445="",E1445&lt;&gt;"Dépense"),"⚠ Prospect manquant",IF(E1445="","⚠ Action manquante",IF(AND(AU1445=1,D1445=""),"⚠ Canal manquant",IF(AND(W1445&lt;&gt;"",COUNTIFS('Saisie'!$W$5:$W$2004,W1445,'Saisie'!$C$5:$C$2004,"&lt;&gt;"&amp;C1445)&gt;0),"⚠ Numéro déjà utilisé par un autre prospect",IF(AND(J1445&lt;&gt;"",J1445&lt;A1445),"⚠ Relance avant la date de l'action",IF(A1445&gt;TODAY(),"⚠ Date dans le futur","✓"))))))))</f>
        <v/>
      </c>
      <c r="AS1445" s="61">
        <f>IF(AND(A1445="",C1445="",E1445=""),"",ROW())</f>
        <v/>
      </c>
      <c r="AT1445" s="61">
        <f>IF(E1445&amp;F1445="","",MAX(IFERROR(INDEX('Paramètres'!$J$6:$J$33,MATCH(E1445,'Paramètres'!$I$6:$I$33,0)),0),IFERROR(INDEX('Paramètres'!$N$6:$N$17,MATCH(F1445,'Paramètres'!$M$6:$M$17,0)),0)))</f>
        <v/>
      </c>
      <c r="AU1445" s="61">
        <f>IF(E1445="","",IFERROR(IF(INDEX('Paramètres'!$K$6:$K$33,MATCH(E1445,'Paramètres'!$I$6:$I$33,0))="Oui",1,0),0))</f>
        <v/>
      </c>
      <c r="AV1445" s="61">
        <f>IF(F1445="","",IFERROR(IF(INDEX('Paramètres'!$O$6:$O$17,MATCH(F1445,'Paramètres'!$M$6:$M$17,0))="Oui",1,0),0))</f>
        <v/>
      </c>
      <c r="AW1445" s="62">
        <f>IF(E1445="","",IF(G1445&lt;&gt;"",G1445,IF(OR(E1445="Proposition envoyée",E1445="Signature"),MAX(0,N(IFERROR(INDEX('Paramètres'!$R$6:$R$15,MATCH(IF(AL1445&lt;&gt;"",AL1445,IFERROR(INDEX('Prospects'!$AN$5:$AN$504,MATCH(C1445,'Prospects'!$C$5:$C$504,0)),"")),'Paramètres'!$Q$6:$Q$15,0)),0))-N(P1445)),0)))</f>
        <v/>
      </c>
      <c r="AX1445" s="61">
        <f>IF(C1445="","",IF(COUNTIF($C$5:C1445,C1445)=1,MAX($AX$4:AX1444)+1,""))</f>
        <v/>
      </c>
      <c r="AY1445" s="61">
        <f>IF(B1445="","",HOUR(B1445))</f>
        <v/>
      </c>
      <c r="AZ1445" s="61">
        <f>IF(A1445="","",MOD(A1445-2,7)+1)</f>
        <v/>
      </c>
      <c r="BA1445" s="60">
        <f>IF(C1445="","",IFERROR(INDEX('Prospects'!$N$5:$N$504,MATCH(C1445,'Prospects'!$C$5:$C$504,0)),""))</f>
        <v/>
      </c>
      <c r="BB1445" s="61">
        <f>IF(AND(C1445&lt;&gt;"",C1445='Fiche prospect'!$C$4),COUNTIF($C$5:C1445,C1445),"")</f>
        <v/>
      </c>
    </row>
    <row r="1446">
      <c r="A1446" s="53" t="n"/>
      <c r="B1446" s="54" t="n"/>
      <c r="C1446" s="55" t="n"/>
      <c r="D1446" s="55" t="n"/>
      <c r="E1446" s="55" t="n"/>
      <c r="F1446" s="55" t="n"/>
      <c r="G1446" s="56" t="n"/>
      <c r="H1446" s="57" t="n"/>
      <c r="I1446" s="55" t="n"/>
      <c r="J1446" s="53" t="n"/>
      <c r="K1446" s="54" t="n"/>
      <c r="L1446" s="55" t="n"/>
      <c r="M1446" s="55" t="n"/>
      <c r="N1446" s="57" t="n"/>
      <c r="O1446" s="55" t="n"/>
      <c r="P1446" s="56" t="n"/>
      <c r="Q1446" s="55" t="n"/>
      <c r="R1446" s="55" t="n"/>
      <c r="S1446" s="55" t="n"/>
      <c r="T1446" s="55" t="n"/>
      <c r="U1446" s="55" t="n"/>
      <c r="V1446" s="55" t="n"/>
      <c r="W1446" s="58" t="n"/>
      <c r="X1446" s="58" t="n"/>
      <c r="Y1446" s="55" t="n"/>
      <c r="Z1446" s="55" t="n"/>
      <c r="AA1446" s="55" t="n"/>
      <c r="AB1446" s="55" t="n"/>
      <c r="AC1446" s="55" t="n"/>
      <c r="AD1446" s="53" t="n"/>
      <c r="AE1446" s="55" t="n"/>
      <c r="AF1446" s="55" t="n"/>
      <c r="AG1446" s="59" t="n"/>
      <c r="AH1446" s="57" t="n"/>
      <c r="AI1446" s="55" t="n"/>
      <c r="AJ1446" s="55" t="n"/>
      <c r="AK1446" s="55" t="n"/>
      <c r="AL1446" s="55" t="n"/>
      <c r="AM1446" s="56" t="n"/>
      <c r="AN1446" s="55" t="n"/>
      <c r="AO1446" s="55" t="n"/>
      <c r="AP1446" s="55" t="n"/>
      <c r="AQ1446" s="55" t="n"/>
      <c r="AR1446" s="60">
        <f>IF(AND(C1446="",E1446=""),"",IF(A1446="","⚠ Date manquante",IF(AND(C1446="",E1446&lt;&gt;"Dépense"),"⚠ Prospect manquant",IF(E1446="","⚠ Action manquante",IF(AND(AU1446=1,D1446=""),"⚠ Canal manquant",IF(AND(W1446&lt;&gt;"",COUNTIFS('Saisie'!$W$5:$W$2004,W1446,'Saisie'!$C$5:$C$2004,"&lt;&gt;"&amp;C1446)&gt;0),"⚠ Numéro déjà utilisé par un autre prospect",IF(AND(J1446&lt;&gt;"",J1446&lt;A1446),"⚠ Relance avant la date de l'action",IF(A1446&gt;TODAY(),"⚠ Date dans le futur","✓"))))))))</f>
        <v/>
      </c>
      <c r="AS1446" s="61">
        <f>IF(AND(A1446="",C1446="",E1446=""),"",ROW())</f>
        <v/>
      </c>
      <c r="AT1446" s="61">
        <f>IF(E1446&amp;F1446="","",MAX(IFERROR(INDEX('Paramètres'!$J$6:$J$33,MATCH(E1446,'Paramètres'!$I$6:$I$33,0)),0),IFERROR(INDEX('Paramètres'!$N$6:$N$17,MATCH(F1446,'Paramètres'!$M$6:$M$17,0)),0)))</f>
        <v/>
      </c>
      <c r="AU1446" s="61">
        <f>IF(E1446="","",IFERROR(IF(INDEX('Paramètres'!$K$6:$K$33,MATCH(E1446,'Paramètres'!$I$6:$I$33,0))="Oui",1,0),0))</f>
        <v/>
      </c>
      <c r="AV1446" s="61">
        <f>IF(F1446="","",IFERROR(IF(INDEX('Paramètres'!$O$6:$O$17,MATCH(F1446,'Paramètres'!$M$6:$M$17,0))="Oui",1,0),0))</f>
        <v/>
      </c>
      <c r="AW1446" s="62">
        <f>IF(E1446="","",IF(G1446&lt;&gt;"",G1446,IF(OR(E1446="Proposition envoyée",E1446="Signature"),MAX(0,N(IFERROR(INDEX('Paramètres'!$R$6:$R$15,MATCH(IF(AL1446&lt;&gt;"",AL1446,IFERROR(INDEX('Prospects'!$AN$5:$AN$504,MATCH(C1446,'Prospects'!$C$5:$C$504,0)),"")),'Paramètres'!$Q$6:$Q$15,0)),0))-N(P1446)),0)))</f>
        <v/>
      </c>
      <c r="AX1446" s="61">
        <f>IF(C1446="","",IF(COUNTIF($C$5:C1446,C1446)=1,MAX($AX$4:AX1445)+1,""))</f>
        <v/>
      </c>
      <c r="AY1446" s="61">
        <f>IF(B1446="","",HOUR(B1446))</f>
        <v/>
      </c>
      <c r="AZ1446" s="61">
        <f>IF(A1446="","",MOD(A1446-2,7)+1)</f>
        <v/>
      </c>
      <c r="BA1446" s="60">
        <f>IF(C1446="","",IFERROR(INDEX('Prospects'!$N$5:$N$504,MATCH(C1446,'Prospects'!$C$5:$C$504,0)),""))</f>
        <v/>
      </c>
      <c r="BB1446" s="61">
        <f>IF(AND(C1446&lt;&gt;"",C1446='Fiche prospect'!$C$4),COUNTIF($C$5:C1446,C1446),"")</f>
        <v/>
      </c>
    </row>
    <row r="1447">
      <c r="A1447" s="53" t="n"/>
      <c r="B1447" s="54" t="n"/>
      <c r="C1447" s="55" t="n"/>
      <c r="D1447" s="55" t="n"/>
      <c r="E1447" s="55" t="n"/>
      <c r="F1447" s="55" t="n"/>
      <c r="G1447" s="56" t="n"/>
      <c r="H1447" s="57" t="n"/>
      <c r="I1447" s="55" t="n"/>
      <c r="J1447" s="53" t="n"/>
      <c r="K1447" s="54" t="n"/>
      <c r="L1447" s="55" t="n"/>
      <c r="M1447" s="55" t="n"/>
      <c r="N1447" s="57" t="n"/>
      <c r="O1447" s="55" t="n"/>
      <c r="P1447" s="56" t="n"/>
      <c r="Q1447" s="55" t="n"/>
      <c r="R1447" s="55" t="n"/>
      <c r="S1447" s="55" t="n"/>
      <c r="T1447" s="55" t="n"/>
      <c r="U1447" s="55" t="n"/>
      <c r="V1447" s="55" t="n"/>
      <c r="W1447" s="58" t="n"/>
      <c r="X1447" s="58" t="n"/>
      <c r="Y1447" s="55" t="n"/>
      <c r="Z1447" s="55" t="n"/>
      <c r="AA1447" s="55" t="n"/>
      <c r="AB1447" s="55" t="n"/>
      <c r="AC1447" s="55" t="n"/>
      <c r="AD1447" s="53" t="n"/>
      <c r="AE1447" s="55" t="n"/>
      <c r="AF1447" s="55" t="n"/>
      <c r="AG1447" s="59" t="n"/>
      <c r="AH1447" s="57" t="n"/>
      <c r="AI1447" s="55" t="n"/>
      <c r="AJ1447" s="55" t="n"/>
      <c r="AK1447" s="55" t="n"/>
      <c r="AL1447" s="55" t="n"/>
      <c r="AM1447" s="56" t="n"/>
      <c r="AN1447" s="55" t="n"/>
      <c r="AO1447" s="55" t="n"/>
      <c r="AP1447" s="55" t="n"/>
      <c r="AQ1447" s="55" t="n"/>
      <c r="AR1447" s="60">
        <f>IF(AND(C1447="",E1447=""),"",IF(A1447="","⚠ Date manquante",IF(AND(C1447="",E1447&lt;&gt;"Dépense"),"⚠ Prospect manquant",IF(E1447="","⚠ Action manquante",IF(AND(AU1447=1,D1447=""),"⚠ Canal manquant",IF(AND(W1447&lt;&gt;"",COUNTIFS('Saisie'!$W$5:$W$2004,W1447,'Saisie'!$C$5:$C$2004,"&lt;&gt;"&amp;C1447)&gt;0),"⚠ Numéro déjà utilisé par un autre prospect",IF(AND(J1447&lt;&gt;"",J1447&lt;A1447),"⚠ Relance avant la date de l'action",IF(A1447&gt;TODAY(),"⚠ Date dans le futur","✓"))))))))</f>
        <v/>
      </c>
      <c r="AS1447" s="61">
        <f>IF(AND(A1447="",C1447="",E1447=""),"",ROW())</f>
        <v/>
      </c>
      <c r="AT1447" s="61">
        <f>IF(E1447&amp;F1447="","",MAX(IFERROR(INDEX('Paramètres'!$J$6:$J$33,MATCH(E1447,'Paramètres'!$I$6:$I$33,0)),0),IFERROR(INDEX('Paramètres'!$N$6:$N$17,MATCH(F1447,'Paramètres'!$M$6:$M$17,0)),0)))</f>
        <v/>
      </c>
      <c r="AU1447" s="61">
        <f>IF(E1447="","",IFERROR(IF(INDEX('Paramètres'!$K$6:$K$33,MATCH(E1447,'Paramètres'!$I$6:$I$33,0))="Oui",1,0),0))</f>
        <v/>
      </c>
      <c r="AV1447" s="61">
        <f>IF(F1447="","",IFERROR(IF(INDEX('Paramètres'!$O$6:$O$17,MATCH(F1447,'Paramètres'!$M$6:$M$17,0))="Oui",1,0),0))</f>
        <v/>
      </c>
      <c r="AW1447" s="62">
        <f>IF(E1447="","",IF(G1447&lt;&gt;"",G1447,IF(OR(E1447="Proposition envoyée",E1447="Signature"),MAX(0,N(IFERROR(INDEX('Paramètres'!$R$6:$R$15,MATCH(IF(AL1447&lt;&gt;"",AL1447,IFERROR(INDEX('Prospects'!$AN$5:$AN$504,MATCH(C1447,'Prospects'!$C$5:$C$504,0)),"")),'Paramètres'!$Q$6:$Q$15,0)),0))-N(P1447)),0)))</f>
        <v/>
      </c>
      <c r="AX1447" s="61">
        <f>IF(C1447="","",IF(COUNTIF($C$5:C1447,C1447)=1,MAX($AX$4:AX1446)+1,""))</f>
        <v/>
      </c>
      <c r="AY1447" s="61">
        <f>IF(B1447="","",HOUR(B1447))</f>
        <v/>
      </c>
      <c r="AZ1447" s="61">
        <f>IF(A1447="","",MOD(A1447-2,7)+1)</f>
        <v/>
      </c>
      <c r="BA1447" s="60">
        <f>IF(C1447="","",IFERROR(INDEX('Prospects'!$N$5:$N$504,MATCH(C1447,'Prospects'!$C$5:$C$504,0)),""))</f>
        <v/>
      </c>
      <c r="BB1447" s="61">
        <f>IF(AND(C1447&lt;&gt;"",C1447='Fiche prospect'!$C$4),COUNTIF($C$5:C1447,C1447),"")</f>
        <v/>
      </c>
    </row>
    <row r="1448">
      <c r="A1448" s="53" t="n"/>
      <c r="B1448" s="54" t="n"/>
      <c r="C1448" s="55" t="n"/>
      <c r="D1448" s="55" t="n"/>
      <c r="E1448" s="55" t="n"/>
      <c r="F1448" s="55" t="n"/>
      <c r="G1448" s="56" t="n"/>
      <c r="H1448" s="57" t="n"/>
      <c r="I1448" s="55" t="n"/>
      <c r="J1448" s="53" t="n"/>
      <c r="K1448" s="54" t="n"/>
      <c r="L1448" s="55" t="n"/>
      <c r="M1448" s="55" t="n"/>
      <c r="N1448" s="57" t="n"/>
      <c r="O1448" s="55" t="n"/>
      <c r="P1448" s="56" t="n"/>
      <c r="Q1448" s="55" t="n"/>
      <c r="R1448" s="55" t="n"/>
      <c r="S1448" s="55" t="n"/>
      <c r="T1448" s="55" t="n"/>
      <c r="U1448" s="55" t="n"/>
      <c r="V1448" s="55" t="n"/>
      <c r="W1448" s="58" t="n"/>
      <c r="X1448" s="58" t="n"/>
      <c r="Y1448" s="55" t="n"/>
      <c r="Z1448" s="55" t="n"/>
      <c r="AA1448" s="55" t="n"/>
      <c r="AB1448" s="55" t="n"/>
      <c r="AC1448" s="55" t="n"/>
      <c r="AD1448" s="53" t="n"/>
      <c r="AE1448" s="55" t="n"/>
      <c r="AF1448" s="55" t="n"/>
      <c r="AG1448" s="59" t="n"/>
      <c r="AH1448" s="57" t="n"/>
      <c r="AI1448" s="55" t="n"/>
      <c r="AJ1448" s="55" t="n"/>
      <c r="AK1448" s="55" t="n"/>
      <c r="AL1448" s="55" t="n"/>
      <c r="AM1448" s="56" t="n"/>
      <c r="AN1448" s="55" t="n"/>
      <c r="AO1448" s="55" t="n"/>
      <c r="AP1448" s="55" t="n"/>
      <c r="AQ1448" s="55" t="n"/>
      <c r="AR1448" s="60">
        <f>IF(AND(C1448="",E1448=""),"",IF(A1448="","⚠ Date manquante",IF(AND(C1448="",E1448&lt;&gt;"Dépense"),"⚠ Prospect manquant",IF(E1448="","⚠ Action manquante",IF(AND(AU1448=1,D1448=""),"⚠ Canal manquant",IF(AND(W1448&lt;&gt;"",COUNTIFS('Saisie'!$W$5:$W$2004,W1448,'Saisie'!$C$5:$C$2004,"&lt;&gt;"&amp;C1448)&gt;0),"⚠ Numéro déjà utilisé par un autre prospect",IF(AND(J1448&lt;&gt;"",J1448&lt;A1448),"⚠ Relance avant la date de l'action",IF(A1448&gt;TODAY(),"⚠ Date dans le futur","✓"))))))))</f>
        <v/>
      </c>
      <c r="AS1448" s="61">
        <f>IF(AND(A1448="",C1448="",E1448=""),"",ROW())</f>
        <v/>
      </c>
      <c r="AT1448" s="61">
        <f>IF(E1448&amp;F1448="","",MAX(IFERROR(INDEX('Paramètres'!$J$6:$J$33,MATCH(E1448,'Paramètres'!$I$6:$I$33,0)),0),IFERROR(INDEX('Paramètres'!$N$6:$N$17,MATCH(F1448,'Paramètres'!$M$6:$M$17,0)),0)))</f>
        <v/>
      </c>
      <c r="AU1448" s="61">
        <f>IF(E1448="","",IFERROR(IF(INDEX('Paramètres'!$K$6:$K$33,MATCH(E1448,'Paramètres'!$I$6:$I$33,0))="Oui",1,0),0))</f>
        <v/>
      </c>
      <c r="AV1448" s="61">
        <f>IF(F1448="","",IFERROR(IF(INDEX('Paramètres'!$O$6:$O$17,MATCH(F1448,'Paramètres'!$M$6:$M$17,0))="Oui",1,0),0))</f>
        <v/>
      </c>
      <c r="AW1448" s="62">
        <f>IF(E1448="","",IF(G1448&lt;&gt;"",G1448,IF(OR(E1448="Proposition envoyée",E1448="Signature"),MAX(0,N(IFERROR(INDEX('Paramètres'!$R$6:$R$15,MATCH(IF(AL1448&lt;&gt;"",AL1448,IFERROR(INDEX('Prospects'!$AN$5:$AN$504,MATCH(C1448,'Prospects'!$C$5:$C$504,0)),"")),'Paramètres'!$Q$6:$Q$15,0)),0))-N(P1448)),0)))</f>
        <v/>
      </c>
      <c r="AX1448" s="61">
        <f>IF(C1448="","",IF(COUNTIF($C$5:C1448,C1448)=1,MAX($AX$4:AX1447)+1,""))</f>
        <v/>
      </c>
      <c r="AY1448" s="61">
        <f>IF(B1448="","",HOUR(B1448))</f>
        <v/>
      </c>
      <c r="AZ1448" s="61">
        <f>IF(A1448="","",MOD(A1448-2,7)+1)</f>
        <v/>
      </c>
      <c r="BA1448" s="60">
        <f>IF(C1448="","",IFERROR(INDEX('Prospects'!$N$5:$N$504,MATCH(C1448,'Prospects'!$C$5:$C$504,0)),""))</f>
        <v/>
      </c>
      <c r="BB1448" s="61">
        <f>IF(AND(C1448&lt;&gt;"",C1448='Fiche prospect'!$C$4),COUNTIF($C$5:C1448,C1448),"")</f>
        <v/>
      </c>
    </row>
    <row r="1449">
      <c r="A1449" s="53" t="n"/>
      <c r="B1449" s="54" t="n"/>
      <c r="C1449" s="55" t="n"/>
      <c r="D1449" s="55" t="n"/>
      <c r="E1449" s="55" t="n"/>
      <c r="F1449" s="55" t="n"/>
      <c r="G1449" s="56" t="n"/>
      <c r="H1449" s="57" t="n"/>
      <c r="I1449" s="55" t="n"/>
      <c r="J1449" s="53" t="n"/>
      <c r="K1449" s="54" t="n"/>
      <c r="L1449" s="55" t="n"/>
      <c r="M1449" s="55" t="n"/>
      <c r="N1449" s="57" t="n"/>
      <c r="O1449" s="55" t="n"/>
      <c r="P1449" s="56" t="n"/>
      <c r="Q1449" s="55" t="n"/>
      <c r="R1449" s="55" t="n"/>
      <c r="S1449" s="55" t="n"/>
      <c r="T1449" s="55" t="n"/>
      <c r="U1449" s="55" t="n"/>
      <c r="V1449" s="55" t="n"/>
      <c r="W1449" s="58" t="n"/>
      <c r="X1449" s="58" t="n"/>
      <c r="Y1449" s="55" t="n"/>
      <c r="Z1449" s="55" t="n"/>
      <c r="AA1449" s="55" t="n"/>
      <c r="AB1449" s="55" t="n"/>
      <c r="AC1449" s="55" t="n"/>
      <c r="AD1449" s="53" t="n"/>
      <c r="AE1449" s="55" t="n"/>
      <c r="AF1449" s="55" t="n"/>
      <c r="AG1449" s="59" t="n"/>
      <c r="AH1449" s="57" t="n"/>
      <c r="AI1449" s="55" t="n"/>
      <c r="AJ1449" s="55" t="n"/>
      <c r="AK1449" s="55" t="n"/>
      <c r="AL1449" s="55" t="n"/>
      <c r="AM1449" s="56" t="n"/>
      <c r="AN1449" s="55" t="n"/>
      <c r="AO1449" s="55" t="n"/>
      <c r="AP1449" s="55" t="n"/>
      <c r="AQ1449" s="55" t="n"/>
      <c r="AR1449" s="60">
        <f>IF(AND(C1449="",E1449=""),"",IF(A1449="","⚠ Date manquante",IF(AND(C1449="",E1449&lt;&gt;"Dépense"),"⚠ Prospect manquant",IF(E1449="","⚠ Action manquante",IF(AND(AU1449=1,D1449=""),"⚠ Canal manquant",IF(AND(W1449&lt;&gt;"",COUNTIFS('Saisie'!$W$5:$W$2004,W1449,'Saisie'!$C$5:$C$2004,"&lt;&gt;"&amp;C1449)&gt;0),"⚠ Numéro déjà utilisé par un autre prospect",IF(AND(J1449&lt;&gt;"",J1449&lt;A1449),"⚠ Relance avant la date de l'action",IF(A1449&gt;TODAY(),"⚠ Date dans le futur","✓"))))))))</f>
        <v/>
      </c>
      <c r="AS1449" s="61">
        <f>IF(AND(A1449="",C1449="",E1449=""),"",ROW())</f>
        <v/>
      </c>
      <c r="AT1449" s="61">
        <f>IF(E1449&amp;F1449="","",MAX(IFERROR(INDEX('Paramètres'!$J$6:$J$33,MATCH(E1449,'Paramètres'!$I$6:$I$33,0)),0),IFERROR(INDEX('Paramètres'!$N$6:$N$17,MATCH(F1449,'Paramètres'!$M$6:$M$17,0)),0)))</f>
        <v/>
      </c>
      <c r="AU1449" s="61">
        <f>IF(E1449="","",IFERROR(IF(INDEX('Paramètres'!$K$6:$K$33,MATCH(E1449,'Paramètres'!$I$6:$I$33,0))="Oui",1,0),0))</f>
        <v/>
      </c>
      <c r="AV1449" s="61">
        <f>IF(F1449="","",IFERROR(IF(INDEX('Paramètres'!$O$6:$O$17,MATCH(F1449,'Paramètres'!$M$6:$M$17,0))="Oui",1,0),0))</f>
        <v/>
      </c>
      <c r="AW1449" s="62">
        <f>IF(E1449="","",IF(G1449&lt;&gt;"",G1449,IF(OR(E1449="Proposition envoyée",E1449="Signature"),MAX(0,N(IFERROR(INDEX('Paramètres'!$R$6:$R$15,MATCH(IF(AL1449&lt;&gt;"",AL1449,IFERROR(INDEX('Prospects'!$AN$5:$AN$504,MATCH(C1449,'Prospects'!$C$5:$C$504,0)),"")),'Paramètres'!$Q$6:$Q$15,0)),0))-N(P1449)),0)))</f>
        <v/>
      </c>
      <c r="AX1449" s="61">
        <f>IF(C1449="","",IF(COUNTIF($C$5:C1449,C1449)=1,MAX($AX$4:AX1448)+1,""))</f>
        <v/>
      </c>
      <c r="AY1449" s="61">
        <f>IF(B1449="","",HOUR(B1449))</f>
        <v/>
      </c>
      <c r="AZ1449" s="61">
        <f>IF(A1449="","",MOD(A1449-2,7)+1)</f>
        <v/>
      </c>
      <c r="BA1449" s="60">
        <f>IF(C1449="","",IFERROR(INDEX('Prospects'!$N$5:$N$504,MATCH(C1449,'Prospects'!$C$5:$C$504,0)),""))</f>
        <v/>
      </c>
      <c r="BB1449" s="61">
        <f>IF(AND(C1449&lt;&gt;"",C1449='Fiche prospect'!$C$4),COUNTIF($C$5:C1449,C1449),"")</f>
        <v/>
      </c>
    </row>
    <row r="1450">
      <c r="A1450" s="53" t="n"/>
      <c r="B1450" s="54" t="n"/>
      <c r="C1450" s="55" t="n"/>
      <c r="D1450" s="55" t="n"/>
      <c r="E1450" s="55" t="n"/>
      <c r="F1450" s="55" t="n"/>
      <c r="G1450" s="56" t="n"/>
      <c r="H1450" s="57" t="n"/>
      <c r="I1450" s="55" t="n"/>
      <c r="J1450" s="53" t="n"/>
      <c r="K1450" s="54" t="n"/>
      <c r="L1450" s="55" t="n"/>
      <c r="M1450" s="55" t="n"/>
      <c r="N1450" s="57" t="n"/>
      <c r="O1450" s="55" t="n"/>
      <c r="P1450" s="56" t="n"/>
      <c r="Q1450" s="55" t="n"/>
      <c r="R1450" s="55" t="n"/>
      <c r="S1450" s="55" t="n"/>
      <c r="T1450" s="55" t="n"/>
      <c r="U1450" s="55" t="n"/>
      <c r="V1450" s="55" t="n"/>
      <c r="W1450" s="58" t="n"/>
      <c r="X1450" s="58" t="n"/>
      <c r="Y1450" s="55" t="n"/>
      <c r="Z1450" s="55" t="n"/>
      <c r="AA1450" s="55" t="n"/>
      <c r="AB1450" s="55" t="n"/>
      <c r="AC1450" s="55" t="n"/>
      <c r="AD1450" s="53" t="n"/>
      <c r="AE1450" s="55" t="n"/>
      <c r="AF1450" s="55" t="n"/>
      <c r="AG1450" s="59" t="n"/>
      <c r="AH1450" s="57" t="n"/>
      <c r="AI1450" s="55" t="n"/>
      <c r="AJ1450" s="55" t="n"/>
      <c r="AK1450" s="55" t="n"/>
      <c r="AL1450" s="55" t="n"/>
      <c r="AM1450" s="56" t="n"/>
      <c r="AN1450" s="55" t="n"/>
      <c r="AO1450" s="55" t="n"/>
      <c r="AP1450" s="55" t="n"/>
      <c r="AQ1450" s="55" t="n"/>
      <c r="AR1450" s="60">
        <f>IF(AND(C1450="",E1450=""),"",IF(A1450="","⚠ Date manquante",IF(AND(C1450="",E1450&lt;&gt;"Dépense"),"⚠ Prospect manquant",IF(E1450="","⚠ Action manquante",IF(AND(AU1450=1,D1450=""),"⚠ Canal manquant",IF(AND(W1450&lt;&gt;"",COUNTIFS('Saisie'!$W$5:$W$2004,W1450,'Saisie'!$C$5:$C$2004,"&lt;&gt;"&amp;C1450)&gt;0),"⚠ Numéro déjà utilisé par un autre prospect",IF(AND(J1450&lt;&gt;"",J1450&lt;A1450),"⚠ Relance avant la date de l'action",IF(A1450&gt;TODAY(),"⚠ Date dans le futur","✓"))))))))</f>
        <v/>
      </c>
      <c r="AS1450" s="61">
        <f>IF(AND(A1450="",C1450="",E1450=""),"",ROW())</f>
        <v/>
      </c>
      <c r="AT1450" s="61">
        <f>IF(E1450&amp;F1450="","",MAX(IFERROR(INDEX('Paramètres'!$J$6:$J$33,MATCH(E1450,'Paramètres'!$I$6:$I$33,0)),0),IFERROR(INDEX('Paramètres'!$N$6:$N$17,MATCH(F1450,'Paramètres'!$M$6:$M$17,0)),0)))</f>
        <v/>
      </c>
      <c r="AU1450" s="61">
        <f>IF(E1450="","",IFERROR(IF(INDEX('Paramètres'!$K$6:$K$33,MATCH(E1450,'Paramètres'!$I$6:$I$33,0))="Oui",1,0),0))</f>
        <v/>
      </c>
      <c r="AV1450" s="61">
        <f>IF(F1450="","",IFERROR(IF(INDEX('Paramètres'!$O$6:$O$17,MATCH(F1450,'Paramètres'!$M$6:$M$17,0))="Oui",1,0),0))</f>
        <v/>
      </c>
      <c r="AW1450" s="62">
        <f>IF(E1450="","",IF(G1450&lt;&gt;"",G1450,IF(OR(E1450="Proposition envoyée",E1450="Signature"),MAX(0,N(IFERROR(INDEX('Paramètres'!$R$6:$R$15,MATCH(IF(AL1450&lt;&gt;"",AL1450,IFERROR(INDEX('Prospects'!$AN$5:$AN$504,MATCH(C1450,'Prospects'!$C$5:$C$504,0)),"")),'Paramètres'!$Q$6:$Q$15,0)),0))-N(P1450)),0)))</f>
        <v/>
      </c>
      <c r="AX1450" s="61">
        <f>IF(C1450="","",IF(COUNTIF($C$5:C1450,C1450)=1,MAX($AX$4:AX1449)+1,""))</f>
        <v/>
      </c>
      <c r="AY1450" s="61">
        <f>IF(B1450="","",HOUR(B1450))</f>
        <v/>
      </c>
      <c r="AZ1450" s="61">
        <f>IF(A1450="","",MOD(A1450-2,7)+1)</f>
        <v/>
      </c>
      <c r="BA1450" s="60">
        <f>IF(C1450="","",IFERROR(INDEX('Prospects'!$N$5:$N$504,MATCH(C1450,'Prospects'!$C$5:$C$504,0)),""))</f>
        <v/>
      </c>
      <c r="BB1450" s="61">
        <f>IF(AND(C1450&lt;&gt;"",C1450='Fiche prospect'!$C$4),COUNTIF($C$5:C1450,C1450),"")</f>
        <v/>
      </c>
    </row>
    <row r="1451">
      <c r="A1451" s="53" t="n"/>
      <c r="B1451" s="54" t="n"/>
      <c r="C1451" s="55" t="n"/>
      <c r="D1451" s="55" t="n"/>
      <c r="E1451" s="55" t="n"/>
      <c r="F1451" s="55" t="n"/>
      <c r="G1451" s="56" t="n"/>
      <c r="H1451" s="57" t="n"/>
      <c r="I1451" s="55" t="n"/>
      <c r="J1451" s="53" t="n"/>
      <c r="K1451" s="54" t="n"/>
      <c r="L1451" s="55" t="n"/>
      <c r="M1451" s="55" t="n"/>
      <c r="N1451" s="57" t="n"/>
      <c r="O1451" s="55" t="n"/>
      <c r="P1451" s="56" t="n"/>
      <c r="Q1451" s="55" t="n"/>
      <c r="R1451" s="55" t="n"/>
      <c r="S1451" s="55" t="n"/>
      <c r="T1451" s="55" t="n"/>
      <c r="U1451" s="55" t="n"/>
      <c r="V1451" s="55" t="n"/>
      <c r="W1451" s="58" t="n"/>
      <c r="X1451" s="58" t="n"/>
      <c r="Y1451" s="55" t="n"/>
      <c r="Z1451" s="55" t="n"/>
      <c r="AA1451" s="55" t="n"/>
      <c r="AB1451" s="55" t="n"/>
      <c r="AC1451" s="55" t="n"/>
      <c r="AD1451" s="53" t="n"/>
      <c r="AE1451" s="55" t="n"/>
      <c r="AF1451" s="55" t="n"/>
      <c r="AG1451" s="59" t="n"/>
      <c r="AH1451" s="57" t="n"/>
      <c r="AI1451" s="55" t="n"/>
      <c r="AJ1451" s="55" t="n"/>
      <c r="AK1451" s="55" t="n"/>
      <c r="AL1451" s="55" t="n"/>
      <c r="AM1451" s="56" t="n"/>
      <c r="AN1451" s="55" t="n"/>
      <c r="AO1451" s="55" t="n"/>
      <c r="AP1451" s="55" t="n"/>
      <c r="AQ1451" s="55" t="n"/>
      <c r="AR1451" s="60">
        <f>IF(AND(C1451="",E1451=""),"",IF(A1451="","⚠ Date manquante",IF(AND(C1451="",E1451&lt;&gt;"Dépense"),"⚠ Prospect manquant",IF(E1451="","⚠ Action manquante",IF(AND(AU1451=1,D1451=""),"⚠ Canal manquant",IF(AND(W1451&lt;&gt;"",COUNTIFS('Saisie'!$W$5:$W$2004,W1451,'Saisie'!$C$5:$C$2004,"&lt;&gt;"&amp;C1451)&gt;0),"⚠ Numéro déjà utilisé par un autre prospect",IF(AND(J1451&lt;&gt;"",J1451&lt;A1451),"⚠ Relance avant la date de l'action",IF(A1451&gt;TODAY(),"⚠ Date dans le futur","✓"))))))))</f>
        <v/>
      </c>
      <c r="AS1451" s="61">
        <f>IF(AND(A1451="",C1451="",E1451=""),"",ROW())</f>
        <v/>
      </c>
      <c r="AT1451" s="61">
        <f>IF(E1451&amp;F1451="","",MAX(IFERROR(INDEX('Paramètres'!$J$6:$J$33,MATCH(E1451,'Paramètres'!$I$6:$I$33,0)),0),IFERROR(INDEX('Paramètres'!$N$6:$N$17,MATCH(F1451,'Paramètres'!$M$6:$M$17,0)),0)))</f>
        <v/>
      </c>
      <c r="AU1451" s="61">
        <f>IF(E1451="","",IFERROR(IF(INDEX('Paramètres'!$K$6:$K$33,MATCH(E1451,'Paramètres'!$I$6:$I$33,0))="Oui",1,0),0))</f>
        <v/>
      </c>
      <c r="AV1451" s="61">
        <f>IF(F1451="","",IFERROR(IF(INDEX('Paramètres'!$O$6:$O$17,MATCH(F1451,'Paramètres'!$M$6:$M$17,0))="Oui",1,0),0))</f>
        <v/>
      </c>
      <c r="AW1451" s="62">
        <f>IF(E1451="","",IF(G1451&lt;&gt;"",G1451,IF(OR(E1451="Proposition envoyée",E1451="Signature"),MAX(0,N(IFERROR(INDEX('Paramètres'!$R$6:$R$15,MATCH(IF(AL1451&lt;&gt;"",AL1451,IFERROR(INDEX('Prospects'!$AN$5:$AN$504,MATCH(C1451,'Prospects'!$C$5:$C$504,0)),"")),'Paramètres'!$Q$6:$Q$15,0)),0))-N(P1451)),0)))</f>
        <v/>
      </c>
      <c r="AX1451" s="61">
        <f>IF(C1451="","",IF(COUNTIF($C$5:C1451,C1451)=1,MAX($AX$4:AX1450)+1,""))</f>
        <v/>
      </c>
      <c r="AY1451" s="61">
        <f>IF(B1451="","",HOUR(B1451))</f>
        <v/>
      </c>
      <c r="AZ1451" s="61">
        <f>IF(A1451="","",MOD(A1451-2,7)+1)</f>
        <v/>
      </c>
      <c r="BA1451" s="60">
        <f>IF(C1451="","",IFERROR(INDEX('Prospects'!$N$5:$N$504,MATCH(C1451,'Prospects'!$C$5:$C$504,0)),""))</f>
        <v/>
      </c>
      <c r="BB1451" s="61">
        <f>IF(AND(C1451&lt;&gt;"",C1451='Fiche prospect'!$C$4),COUNTIF($C$5:C1451,C1451),"")</f>
        <v/>
      </c>
    </row>
    <row r="1452">
      <c r="A1452" s="53" t="n"/>
      <c r="B1452" s="54" t="n"/>
      <c r="C1452" s="55" t="n"/>
      <c r="D1452" s="55" t="n"/>
      <c r="E1452" s="55" t="n"/>
      <c r="F1452" s="55" t="n"/>
      <c r="G1452" s="56" t="n"/>
      <c r="H1452" s="57" t="n"/>
      <c r="I1452" s="55" t="n"/>
      <c r="J1452" s="53" t="n"/>
      <c r="K1452" s="54" t="n"/>
      <c r="L1452" s="55" t="n"/>
      <c r="M1452" s="55" t="n"/>
      <c r="N1452" s="57" t="n"/>
      <c r="O1452" s="55" t="n"/>
      <c r="P1452" s="56" t="n"/>
      <c r="Q1452" s="55" t="n"/>
      <c r="R1452" s="55" t="n"/>
      <c r="S1452" s="55" t="n"/>
      <c r="T1452" s="55" t="n"/>
      <c r="U1452" s="55" t="n"/>
      <c r="V1452" s="55" t="n"/>
      <c r="W1452" s="58" t="n"/>
      <c r="X1452" s="58" t="n"/>
      <c r="Y1452" s="55" t="n"/>
      <c r="Z1452" s="55" t="n"/>
      <c r="AA1452" s="55" t="n"/>
      <c r="AB1452" s="55" t="n"/>
      <c r="AC1452" s="55" t="n"/>
      <c r="AD1452" s="53" t="n"/>
      <c r="AE1452" s="55" t="n"/>
      <c r="AF1452" s="55" t="n"/>
      <c r="AG1452" s="59" t="n"/>
      <c r="AH1452" s="57" t="n"/>
      <c r="AI1452" s="55" t="n"/>
      <c r="AJ1452" s="55" t="n"/>
      <c r="AK1452" s="55" t="n"/>
      <c r="AL1452" s="55" t="n"/>
      <c r="AM1452" s="56" t="n"/>
      <c r="AN1452" s="55" t="n"/>
      <c r="AO1452" s="55" t="n"/>
      <c r="AP1452" s="55" t="n"/>
      <c r="AQ1452" s="55" t="n"/>
      <c r="AR1452" s="60">
        <f>IF(AND(C1452="",E1452=""),"",IF(A1452="","⚠ Date manquante",IF(AND(C1452="",E1452&lt;&gt;"Dépense"),"⚠ Prospect manquant",IF(E1452="","⚠ Action manquante",IF(AND(AU1452=1,D1452=""),"⚠ Canal manquant",IF(AND(W1452&lt;&gt;"",COUNTIFS('Saisie'!$W$5:$W$2004,W1452,'Saisie'!$C$5:$C$2004,"&lt;&gt;"&amp;C1452)&gt;0),"⚠ Numéro déjà utilisé par un autre prospect",IF(AND(J1452&lt;&gt;"",J1452&lt;A1452),"⚠ Relance avant la date de l'action",IF(A1452&gt;TODAY(),"⚠ Date dans le futur","✓"))))))))</f>
        <v/>
      </c>
      <c r="AS1452" s="61">
        <f>IF(AND(A1452="",C1452="",E1452=""),"",ROW())</f>
        <v/>
      </c>
      <c r="AT1452" s="61">
        <f>IF(E1452&amp;F1452="","",MAX(IFERROR(INDEX('Paramètres'!$J$6:$J$33,MATCH(E1452,'Paramètres'!$I$6:$I$33,0)),0),IFERROR(INDEX('Paramètres'!$N$6:$N$17,MATCH(F1452,'Paramètres'!$M$6:$M$17,0)),0)))</f>
        <v/>
      </c>
      <c r="AU1452" s="61">
        <f>IF(E1452="","",IFERROR(IF(INDEX('Paramètres'!$K$6:$K$33,MATCH(E1452,'Paramètres'!$I$6:$I$33,0))="Oui",1,0),0))</f>
        <v/>
      </c>
      <c r="AV1452" s="61">
        <f>IF(F1452="","",IFERROR(IF(INDEX('Paramètres'!$O$6:$O$17,MATCH(F1452,'Paramètres'!$M$6:$M$17,0))="Oui",1,0),0))</f>
        <v/>
      </c>
      <c r="AW1452" s="62">
        <f>IF(E1452="","",IF(G1452&lt;&gt;"",G1452,IF(OR(E1452="Proposition envoyée",E1452="Signature"),MAX(0,N(IFERROR(INDEX('Paramètres'!$R$6:$R$15,MATCH(IF(AL1452&lt;&gt;"",AL1452,IFERROR(INDEX('Prospects'!$AN$5:$AN$504,MATCH(C1452,'Prospects'!$C$5:$C$504,0)),"")),'Paramètres'!$Q$6:$Q$15,0)),0))-N(P1452)),0)))</f>
        <v/>
      </c>
      <c r="AX1452" s="61">
        <f>IF(C1452="","",IF(COUNTIF($C$5:C1452,C1452)=1,MAX($AX$4:AX1451)+1,""))</f>
        <v/>
      </c>
      <c r="AY1452" s="61">
        <f>IF(B1452="","",HOUR(B1452))</f>
        <v/>
      </c>
      <c r="AZ1452" s="61">
        <f>IF(A1452="","",MOD(A1452-2,7)+1)</f>
        <v/>
      </c>
      <c r="BA1452" s="60">
        <f>IF(C1452="","",IFERROR(INDEX('Prospects'!$N$5:$N$504,MATCH(C1452,'Prospects'!$C$5:$C$504,0)),""))</f>
        <v/>
      </c>
      <c r="BB1452" s="61">
        <f>IF(AND(C1452&lt;&gt;"",C1452='Fiche prospect'!$C$4),COUNTIF($C$5:C1452,C1452),"")</f>
        <v/>
      </c>
    </row>
    <row r="1453">
      <c r="A1453" s="53" t="n"/>
      <c r="B1453" s="54" t="n"/>
      <c r="C1453" s="55" t="n"/>
      <c r="D1453" s="55" t="n"/>
      <c r="E1453" s="55" t="n"/>
      <c r="F1453" s="55" t="n"/>
      <c r="G1453" s="56" t="n"/>
      <c r="H1453" s="57" t="n"/>
      <c r="I1453" s="55" t="n"/>
      <c r="J1453" s="53" t="n"/>
      <c r="K1453" s="54" t="n"/>
      <c r="L1453" s="55" t="n"/>
      <c r="M1453" s="55" t="n"/>
      <c r="N1453" s="57" t="n"/>
      <c r="O1453" s="55" t="n"/>
      <c r="P1453" s="56" t="n"/>
      <c r="Q1453" s="55" t="n"/>
      <c r="R1453" s="55" t="n"/>
      <c r="S1453" s="55" t="n"/>
      <c r="T1453" s="55" t="n"/>
      <c r="U1453" s="55" t="n"/>
      <c r="V1453" s="55" t="n"/>
      <c r="W1453" s="58" t="n"/>
      <c r="X1453" s="58" t="n"/>
      <c r="Y1453" s="55" t="n"/>
      <c r="Z1453" s="55" t="n"/>
      <c r="AA1453" s="55" t="n"/>
      <c r="AB1453" s="55" t="n"/>
      <c r="AC1453" s="55" t="n"/>
      <c r="AD1453" s="53" t="n"/>
      <c r="AE1453" s="55" t="n"/>
      <c r="AF1453" s="55" t="n"/>
      <c r="AG1453" s="59" t="n"/>
      <c r="AH1453" s="57" t="n"/>
      <c r="AI1453" s="55" t="n"/>
      <c r="AJ1453" s="55" t="n"/>
      <c r="AK1453" s="55" t="n"/>
      <c r="AL1453" s="55" t="n"/>
      <c r="AM1453" s="56" t="n"/>
      <c r="AN1453" s="55" t="n"/>
      <c r="AO1453" s="55" t="n"/>
      <c r="AP1453" s="55" t="n"/>
      <c r="AQ1453" s="55" t="n"/>
      <c r="AR1453" s="60">
        <f>IF(AND(C1453="",E1453=""),"",IF(A1453="","⚠ Date manquante",IF(AND(C1453="",E1453&lt;&gt;"Dépense"),"⚠ Prospect manquant",IF(E1453="","⚠ Action manquante",IF(AND(AU1453=1,D1453=""),"⚠ Canal manquant",IF(AND(W1453&lt;&gt;"",COUNTIFS('Saisie'!$W$5:$W$2004,W1453,'Saisie'!$C$5:$C$2004,"&lt;&gt;"&amp;C1453)&gt;0),"⚠ Numéro déjà utilisé par un autre prospect",IF(AND(J1453&lt;&gt;"",J1453&lt;A1453),"⚠ Relance avant la date de l'action",IF(A1453&gt;TODAY(),"⚠ Date dans le futur","✓"))))))))</f>
        <v/>
      </c>
      <c r="AS1453" s="61">
        <f>IF(AND(A1453="",C1453="",E1453=""),"",ROW())</f>
        <v/>
      </c>
      <c r="AT1453" s="61">
        <f>IF(E1453&amp;F1453="","",MAX(IFERROR(INDEX('Paramètres'!$J$6:$J$33,MATCH(E1453,'Paramètres'!$I$6:$I$33,0)),0),IFERROR(INDEX('Paramètres'!$N$6:$N$17,MATCH(F1453,'Paramètres'!$M$6:$M$17,0)),0)))</f>
        <v/>
      </c>
      <c r="AU1453" s="61">
        <f>IF(E1453="","",IFERROR(IF(INDEX('Paramètres'!$K$6:$K$33,MATCH(E1453,'Paramètres'!$I$6:$I$33,0))="Oui",1,0),0))</f>
        <v/>
      </c>
      <c r="AV1453" s="61">
        <f>IF(F1453="","",IFERROR(IF(INDEX('Paramètres'!$O$6:$O$17,MATCH(F1453,'Paramètres'!$M$6:$M$17,0))="Oui",1,0),0))</f>
        <v/>
      </c>
      <c r="AW1453" s="62">
        <f>IF(E1453="","",IF(G1453&lt;&gt;"",G1453,IF(OR(E1453="Proposition envoyée",E1453="Signature"),MAX(0,N(IFERROR(INDEX('Paramètres'!$R$6:$R$15,MATCH(IF(AL1453&lt;&gt;"",AL1453,IFERROR(INDEX('Prospects'!$AN$5:$AN$504,MATCH(C1453,'Prospects'!$C$5:$C$504,0)),"")),'Paramètres'!$Q$6:$Q$15,0)),0))-N(P1453)),0)))</f>
        <v/>
      </c>
      <c r="AX1453" s="61">
        <f>IF(C1453="","",IF(COUNTIF($C$5:C1453,C1453)=1,MAX($AX$4:AX1452)+1,""))</f>
        <v/>
      </c>
      <c r="AY1453" s="61">
        <f>IF(B1453="","",HOUR(B1453))</f>
        <v/>
      </c>
      <c r="AZ1453" s="61">
        <f>IF(A1453="","",MOD(A1453-2,7)+1)</f>
        <v/>
      </c>
      <c r="BA1453" s="60">
        <f>IF(C1453="","",IFERROR(INDEX('Prospects'!$N$5:$N$504,MATCH(C1453,'Prospects'!$C$5:$C$504,0)),""))</f>
        <v/>
      </c>
      <c r="BB1453" s="61">
        <f>IF(AND(C1453&lt;&gt;"",C1453='Fiche prospect'!$C$4),COUNTIF($C$5:C1453,C1453),"")</f>
        <v/>
      </c>
    </row>
    <row r="1454">
      <c r="A1454" s="53" t="n"/>
      <c r="B1454" s="54" t="n"/>
      <c r="C1454" s="55" t="n"/>
      <c r="D1454" s="55" t="n"/>
      <c r="E1454" s="55" t="n"/>
      <c r="F1454" s="55" t="n"/>
      <c r="G1454" s="56" t="n"/>
      <c r="H1454" s="57" t="n"/>
      <c r="I1454" s="55" t="n"/>
      <c r="J1454" s="53" t="n"/>
      <c r="K1454" s="54" t="n"/>
      <c r="L1454" s="55" t="n"/>
      <c r="M1454" s="55" t="n"/>
      <c r="N1454" s="57" t="n"/>
      <c r="O1454" s="55" t="n"/>
      <c r="P1454" s="56" t="n"/>
      <c r="Q1454" s="55" t="n"/>
      <c r="R1454" s="55" t="n"/>
      <c r="S1454" s="55" t="n"/>
      <c r="T1454" s="55" t="n"/>
      <c r="U1454" s="55" t="n"/>
      <c r="V1454" s="55" t="n"/>
      <c r="W1454" s="58" t="n"/>
      <c r="X1454" s="58" t="n"/>
      <c r="Y1454" s="55" t="n"/>
      <c r="Z1454" s="55" t="n"/>
      <c r="AA1454" s="55" t="n"/>
      <c r="AB1454" s="55" t="n"/>
      <c r="AC1454" s="55" t="n"/>
      <c r="AD1454" s="53" t="n"/>
      <c r="AE1454" s="55" t="n"/>
      <c r="AF1454" s="55" t="n"/>
      <c r="AG1454" s="59" t="n"/>
      <c r="AH1454" s="57" t="n"/>
      <c r="AI1454" s="55" t="n"/>
      <c r="AJ1454" s="55" t="n"/>
      <c r="AK1454" s="55" t="n"/>
      <c r="AL1454" s="55" t="n"/>
      <c r="AM1454" s="56" t="n"/>
      <c r="AN1454" s="55" t="n"/>
      <c r="AO1454" s="55" t="n"/>
      <c r="AP1454" s="55" t="n"/>
      <c r="AQ1454" s="55" t="n"/>
      <c r="AR1454" s="60">
        <f>IF(AND(C1454="",E1454=""),"",IF(A1454="","⚠ Date manquante",IF(AND(C1454="",E1454&lt;&gt;"Dépense"),"⚠ Prospect manquant",IF(E1454="","⚠ Action manquante",IF(AND(AU1454=1,D1454=""),"⚠ Canal manquant",IF(AND(W1454&lt;&gt;"",COUNTIFS('Saisie'!$W$5:$W$2004,W1454,'Saisie'!$C$5:$C$2004,"&lt;&gt;"&amp;C1454)&gt;0),"⚠ Numéro déjà utilisé par un autre prospect",IF(AND(J1454&lt;&gt;"",J1454&lt;A1454),"⚠ Relance avant la date de l'action",IF(A1454&gt;TODAY(),"⚠ Date dans le futur","✓"))))))))</f>
        <v/>
      </c>
      <c r="AS1454" s="61">
        <f>IF(AND(A1454="",C1454="",E1454=""),"",ROW())</f>
        <v/>
      </c>
      <c r="AT1454" s="61">
        <f>IF(E1454&amp;F1454="","",MAX(IFERROR(INDEX('Paramètres'!$J$6:$J$33,MATCH(E1454,'Paramètres'!$I$6:$I$33,0)),0),IFERROR(INDEX('Paramètres'!$N$6:$N$17,MATCH(F1454,'Paramètres'!$M$6:$M$17,0)),0)))</f>
        <v/>
      </c>
      <c r="AU1454" s="61">
        <f>IF(E1454="","",IFERROR(IF(INDEX('Paramètres'!$K$6:$K$33,MATCH(E1454,'Paramètres'!$I$6:$I$33,0))="Oui",1,0),0))</f>
        <v/>
      </c>
      <c r="AV1454" s="61">
        <f>IF(F1454="","",IFERROR(IF(INDEX('Paramètres'!$O$6:$O$17,MATCH(F1454,'Paramètres'!$M$6:$M$17,0))="Oui",1,0),0))</f>
        <v/>
      </c>
      <c r="AW1454" s="62">
        <f>IF(E1454="","",IF(G1454&lt;&gt;"",G1454,IF(OR(E1454="Proposition envoyée",E1454="Signature"),MAX(0,N(IFERROR(INDEX('Paramètres'!$R$6:$R$15,MATCH(IF(AL1454&lt;&gt;"",AL1454,IFERROR(INDEX('Prospects'!$AN$5:$AN$504,MATCH(C1454,'Prospects'!$C$5:$C$504,0)),"")),'Paramètres'!$Q$6:$Q$15,0)),0))-N(P1454)),0)))</f>
        <v/>
      </c>
      <c r="AX1454" s="61">
        <f>IF(C1454="","",IF(COUNTIF($C$5:C1454,C1454)=1,MAX($AX$4:AX1453)+1,""))</f>
        <v/>
      </c>
      <c r="AY1454" s="61">
        <f>IF(B1454="","",HOUR(B1454))</f>
        <v/>
      </c>
      <c r="AZ1454" s="61">
        <f>IF(A1454="","",MOD(A1454-2,7)+1)</f>
        <v/>
      </c>
      <c r="BA1454" s="60">
        <f>IF(C1454="","",IFERROR(INDEX('Prospects'!$N$5:$N$504,MATCH(C1454,'Prospects'!$C$5:$C$504,0)),""))</f>
        <v/>
      </c>
      <c r="BB1454" s="61">
        <f>IF(AND(C1454&lt;&gt;"",C1454='Fiche prospect'!$C$4),COUNTIF($C$5:C1454,C1454),"")</f>
        <v/>
      </c>
    </row>
    <row r="1455">
      <c r="A1455" s="53" t="n"/>
      <c r="B1455" s="54" t="n"/>
      <c r="C1455" s="55" t="n"/>
      <c r="D1455" s="55" t="n"/>
      <c r="E1455" s="55" t="n"/>
      <c r="F1455" s="55" t="n"/>
      <c r="G1455" s="56" t="n"/>
      <c r="H1455" s="57" t="n"/>
      <c r="I1455" s="55" t="n"/>
      <c r="J1455" s="53" t="n"/>
      <c r="K1455" s="54" t="n"/>
      <c r="L1455" s="55" t="n"/>
      <c r="M1455" s="55" t="n"/>
      <c r="N1455" s="57" t="n"/>
      <c r="O1455" s="55" t="n"/>
      <c r="P1455" s="56" t="n"/>
      <c r="Q1455" s="55" t="n"/>
      <c r="R1455" s="55" t="n"/>
      <c r="S1455" s="55" t="n"/>
      <c r="T1455" s="55" t="n"/>
      <c r="U1455" s="55" t="n"/>
      <c r="V1455" s="55" t="n"/>
      <c r="W1455" s="58" t="n"/>
      <c r="X1455" s="58" t="n"/>
      <c r="Y1455" s="55" t="n"/>
      <c r="Z1455" s="55" t="n"/>
      <c r="AA1455" s="55" t="n"/>
      <c r="AB1455" s="55" t="n"/>
      <c r="AC1455" s="55" t="n"/>
      <c r="AD1455" s="53" t="n"/>
      <c r="AE1455" s="55" t="n"/>
      <c r="AF1455" s="55" t="n"/>
      <c r="AG1455" s="59" t="n"/>
      <c r="AH1455" s="57" t="n"/>
      <c r="AI1455" s="55" t="n"/>
      <c r="AJ1455" s="55" t="n"/>
      <c r="AK1455" s="55" t="n"/>
      <c r="AL1455" s="55" t="n"/>
      <c r="AM1455" s="56" t="n"/>
      <c r="AN1455" s="55" t="n"/>
      <c r="AO1455" s="55" t="n"/>
      <c r="AP1455" s="55" t="n"/>
      <c r="AQ1455" s="55" t="n"/>
      <c r="AR1455" s="60">
        <f>IF(AND(C1455="",E1455=""),"",IF(A1455="","⚠ Date manquante",IF(AND(C1455="",E1455&lt;&gt;"Dépense"),"⚠ Prospect manquant",IF(E1455="","⚠ Action manquante",IF(AND(AU1455=1,D1455=""),"⚠ Canal manquant",IF(AND(W1455&lt;&gt;"",COUNTIFS('Saisie'!$W$5:$W$2004,W1455,'Saisie'!$C$5:$C$2004,"&lt;&gt;"&amp;C1455)&gt;0),"⚠ Numéro déjà utilisé par un autre prospect",IF(AND(J1455&lt;&gt;"",J1455&lt;A1455),"⚠ Relance avant la date de l'action",IF(A1455&gt;TODAY(),"⚠ Date dans le futur","✓"))))))))</f>
        <v/>
      </c>
      <c r="AS1455" s="61">
        <f>IF(AND(A1455="",C1455="",E1455=""),"",ROW())</f>
        <v/>
      </c>
      <c r="AT1455" s="61">
        <f>IF(E1455&amp;F1455="","",MAX(IFERROR(INDEX('Paramètres'!$J$6:$J$33,MATCH(E1455,'Paramètres'!$I$6:$I$33,0)),0),IFERROR(INDEX('Paramètres'!$N$6:$N$17,MATCH(F1455,'Paramètres'!$M$6:$M$17,0)),0)))</f>
        <v/>
      </c>
      <c r="AU1455" s="61">
        <f>IF(E1455="","",IFERROR(IF(INDEX('Paramètres'!$K$6:$K$33,MATCH(E1455,'Paramètres'!$I$6:$I$33,0))="Oui",1,0),0))</f>
        <v/>
      </c>
      <c r="AV1455" s="61">
        <f>IF(F1455="","",IFERROR(IF(INDEX('Paramètres'!$O$6:$O$17,MATCH(F1455,'Paramètres'!$M$6:$M$17,0))="Oui",1,0),0))</f>
        <v/>
      </c>
      <c r="AW1455" s="62">
        <f>IF(E1455="","",IF(G1455&lt;&gt;"",G1455,IF(OR(E1455="Proposition envoyée",E1455="Signature"),MAX(0,N(IFERROR(INDEX('Paramètres'!$R$6:$R$15,MATCH(IF(AL1455&lt;&gt;"",AL1455,IFERROR(INDEX('Prospects'!$AN$5:$AN$504,MATCH(C1455,'Prospects'!$C$5:$C$504,0)),"")),'Paramètres'!$Q$6:$Q$15,0)),0))-N(P1455)),0)))</f>
        <v/>
      </c>
      <c r="AX1455" s="61">
        <f>IF(C1455="","",IF(COUNTIF($C$5:C1455,C1455)=1,MAX($AX$4:AX1454)+1,""))</f>
        <v/>
      </c>
      <c r="AY1455" s="61">
        <f>IF(B1455="","",HOUR(B1455))</f>
        <v/>
      </c>
      <c r="AZ1455" s="61">
        <f>IF(A1455="","",MOD(A1455-2,7)+1)</f>
        <v/>
      </c>
      <c r="BA1455" s="60">
        <f>IF(C1455="","",IFERROR(INDEX('Prospects'!$N$5:$N$504,MATCH(C1455,'Prospects'!$C$5:$C$504,0)),""))</f>
        <v/>
      </c>
      <c r="BB1455" s="61">
        <f>IF(AND(C1455&lt;&gt;"",C1455='Fiche prospect'!$C$4),COUNTIF($C$5:C1455,C1455),"")</f>
        <v/>
      </c>
    </row>
    <row r="1456">
      <c r="A1456" s="53" t="n"/>
      <c r="B1456" s="54" t="n"/>
      <c r="C1456" s="55" t="n"/>
      <c r="D1456" s="55" t="n"/>
      <c r="E1456" s="55" t="n"/>
      <c r="F1456" s="55" t="n"/>
      <c r="G1456" s="56" t="n"/>
      <c r="H1456" s="57" t="n"/>
      <c r="I1456" s="55" t="n"/>
      <c r="J1456" s="53" t="n"/>
      <c r="K1456" s="54" t="n"/>
      <c r="L1456" s="55" t="n"/>
      <c r="M1456" s="55" t="n"/>
      <c r="N1456" s="57" t="n"/>
      <c r="O1456" s="55" t="n"/>
      <c r="P1456" s="56" t="n"/>
      <c r="Q1456" s="55" t="n"/>
      <c r="R1456" s="55" t="n"/>
      <c r="S1456" s="55" t="n"/>
      <c r="T1456" s="55" t="n"/>
      <c r="U1456" s="55" t="n"/>
      <c r="V1456" s="55" t="n"/>
      <c r="W1456" s="58" t="n"/>
      <c r="X1456" s="58" t="n"/>
      <c r="Y1456" s="55" t="n"/>
      <c r="Z1456" s="55" t="n"/>
      <c r="AA1456" s="55" t="n"/>
      <c r="AB1456" s="55" t="n"/>
      <c r="AC1456" s="55" t="n"/>
      <c r="AD1456" s="53" t="n"/>
      <c r="AE1456" s="55" t="n"/>
      <c r="AF1456" s="55" t="n"/>
      <c r="AG1456" s="59" t="n"/>
      <c r="AH1456" s="57" t="n"/>
      <c r="AI1456" s="55" t="n"/>
      <c r="AJ1456" s="55" t="n"/>
      <c r="AK1456" s="55" t="n"/>
      <c r="AL1456" s="55" t="n"/>
      <c r="AM1456" s="56" t="n"/>
      <c r="AN1456" s="55" t="n"/>
      <c r="AO1456" s="55" t="n"/>
      <c r="AP1456" s="55" t="n"/>
      <c r="AQ1456" s="55" t="n"/>
      <c r="AR1456" s="60">
        <f>IF(AND(C1456="",E1456=""),"",IF(A1456="","⚠ Date manquante",IF(AND(C1456="",E1456&lt;&gt;"Dépense"),"⚠ Prospect manquant",IF(E1456="","⚠ Action manquante",IF(AND(AU1456=1,D1456=""),"⚠ Canal manquant",IF(AND(W1456&lt;&gt;"",COUNTIFS('Saisie'!$W$5:$W$2004,W1456,'Saisie'!$C$5:$C$2004,"&lt;&gt;"&amp;C1456)&gt;0),"⚠ Numéro déjà utilisé par un autre prospect",IF(AND(J1456&lt;&gt;"",J1456&lt;A1456),"⚠ Relance avant la date de l'action",IF(A1456&gt;TODAY(),"⚠ Date dans le futur","✓"))))))))</f>
        <v/>
      </c>
      <c r="AS1456" s="61">
        <f>IF(AND(A1456="",C1456="",E1456=""),"",ROW())</f>
        <v/>
      </c>
      <c r="AT1456" s="61">
        <f>IF(E1456&amp;F1456="","",MAX(IFERROR(INDEX('Paramètres'!$J$6:$J$33,MATCH(E1456,'Paramètres'!$I$6:$I$33,0)),0),IFERROR(INDEX('Paramètres'!$N$6:$N$17,MATCH(F1456,'Paramètres'!$M$6:$M$17,0)),0)))</f>
        <v/>
      </c>
      <c r="AU1456" s="61">
        <f>IF(E1456="","",IFERROR(IF(INDEX('Paramètres'!$K$6:$K$33,MATCH(E1456,'Paramètres'!$I$6:$I$33,0))="Oui",1,0),0))</f>
        <v/>
      </c>
      <c r="AV1456" s="61">
        <f>IF(F1456="","",IFERROR(IF(INDEX('Paramètres'!$O$6:$O$17,MATCH(F1456,'Paramètres'!$M$6:$M$17,0))="Oui",1,0),0))</f>
        <v/>
      </c>
      <c r="AW1456" s="62">
        <f>IF(E1456="","",IF(G1456&lt;&gt;"",G1456,IF(OR(E1456="Proposition envoyée",E1456="Signature"),MAX(0,N(IFERROR(INDEX('Paramètres'!$R$6:$R$15,MATCH(IF(AL1456&lt;&gt;"",AL1456,IFERROR(INDEX('Prospects'!$AN$5:$AN$504,MATCH(C1456,'Prospects'!$C$5:$C$504,0)),"")),'Paramètres'!$Q$6:$Q$15,0)),0))-N(P1456)),0)))</f>
        <v/>
      </c>
      <c r="AX1456" s="61">
        <f>IF(C1456="","",IF(COUNTIF($C$5:C1456,C1456)=1,MAX($AX$4:AX1455)+1,""))</f>
        <v/>
      </c>
      <c r="AY1456" s="61">
        <f>IF(B1456="","",HOUR(B1456))</f>
        <v/>
      </c>
      <c r="AZ1456" s="61">
        <f>IF(A1456="","",MOD(A1456-2,7)+1)</f>
        <v/>
      </c>
      <c r="BA1456" s="60">
        <f>IF(C1456="","",IFERROR(INDEX('Prospects'!$N$5:$N$504,MATCH(C1456,'Prospects'!$C$5:$C$504,0)),""))</f>
        <v/>
      </c>
      <c r="BB1456" s="61">
        <f>IF(AND(C1456&lt;&gt;"",C1456='Fiche prospect'!$C$4),COUNTIF($C$5:C1456,C1456),"")</f>
        <v/>
      </c>
    </row>
    <row r="1457">
      <c r="A1457" s="53" t="n"/>
      <c r="B1457" s="54" t="n"/>
      <c r="C1457" s="55" t="n"/>
      <c r="D1457" s="55" t="n"/>
      <c r="E1457" s="55" t="n"/>
      <c r="F1457" s="55" t="n"/>
      <c r="G1457" s="56" t="n"/>
      <c r="H1457" s="57" t="n"/>
      <c r="I1457" s="55" t="n"/>
      <c r="J1457" s="53" t="n"/>
      <c r="K1457" s="54" t="n"/>
      <c r="L1457" s="55" t="n"/>
      <c r="M1457" s="55" t="n"/>
      <c r="N1457" s="57" t="n"/>
      <c r="O1457" s="55" t="n"/>
      <c r="P1457" s="56" t="n"/>
      <c r="Q1457" s="55" t="n"/>
      <c r="R1457" s="55" t="n"/>
      <c r="S1457" s="55" t="n"/>
      <c r="T1457" s="55" t="n"/>
      <c r="U1457" s="55" t="n"/>
      <c r="V1457" s="55" t="n"/>
      <c r="W1457" s="58" t="n"/>
      <c r="X1457" s="58" t="n"/>
      <c r="Y1457" s="55" t="n"/>
      <c r="Z1457" s="55" t="n"/>
      <c r="AA1457" s="55" t="n"/>
      <c r="AB1457" s="55" t="n"/>
      <c r="AC1457" s="55" t="n"/>
      <c r="AD1457" s="53" t="n"/>
      <c r="AE1457" s="55" t="n"/>
      <c r="AF1457" s="55" t="n"/>
      <c r="AG1457" s="59" t="n"/>
      <c r="AH1457" s="57" t="n"/>
      <c r="AI1457" s="55" t="n"/>
      <c r="AJ1457" s="55" t="n"/>
      <c r="AK1457" s="55" t="n"/>
      <c r="AL1457" s="55" t="n"/>
      <c r="AM1457" s="56" t="n"/>
      <c r="AN1457" s="55" t="n"/>
      <c r="AO1457" s="55" t="n"/>
      <c r="AP1457" s="55" t="n"/>
      <c r="AQ1457" s="55" t="n"/>
      <c r="AR1457" s="60">
        <f>IF(AND(C1457="",E1457=""),"",IF(A1457="","⚠ Date manquante",IF(AND(C1457="",E1457&lt;&gt;"Dépense"),"⚠ Prospect manquant",IF(E1457="","⚠ Action manquante",IF(AND(AU1457=1,D1457=""),"⚠ Canal manquant",IF(AND(W1457&lt;&gt;"",COUNTIFS('Saisie'!$W$5:$W$2004,W1457,'Saisie'!$C$5:$C$2004,"&lt;&gt;"&amp;C1457)&gt;0),"⚠ Numéro déjà utilisé par un autre prospect",IF(AND(J1457&lt;&gt;"",J1457&lt;A1457),"⚠ Relance avant la date de l'action",IF(A1457&gt;TODAY(),"⚠ Date dans le futur","✓"))))))))</f>
        <v/>
      </c>
      <c r="AS1457" s="61">
        <f>IF(AND(A1457="",C1457="",E1457=""),"",ROW())</f>
        <v/>
      </c>
      <c r="AT1457" s="61">
        <f>IF(E1457&amp;F1457="","",MAX(IFERROR(INDEX('Paramètres'!$J$6:$J$33,MATCH(E1457,'Paramètres'!$I$6:$I$33,0)),0),IFERROR(INDEX('Paramètres'!$N$6:$N$17,MATCH(F1457,'Paramètres'!$M$6:$M$17,0)),0)))</f>
        <v/>
      </c>
      <c r="AU1457" s="61">
        <f>IF(E1457="","",IFERROR(IF(INDEX('Paramètres'!$K$6:$K$33,MATCH(E1457,'Paramètres'!$I$6:$I$33,0))="Oui",1,0),0))</f>
        <v/>
      </c>
      <c r="AV1457" s="61">
        <f>IF(F1457="","",IFERROR(IF(INDEX('Paramètres'!$O$6:$O$17,MATCH(F1457,'Paramètres'!$M$6:$M$17,0))="Oui",1,0),0))</f>
        <v/>
      </c>
      <c r="AW1457" s="62">
        <f>IF(E1457="","",IF(G1457&lt;&gt;"",G1457,IF(OR(E1457="Proposition envoyée",E1457="Signature"),MAX(0,N(IFERROR(INDEX('Paramètres'!$R$6:$R$15,MATCH(IF(AL1457&lt;&gt;"",AL1457,IFERROR(INDEX('Prospects'!$AN$5:$AN$504,MATCH(C1457,'Prospects'!$C$5:$C$504,0)),"")),'Paramètres'!$Q$6:$Q$15,0)),0))-N(P1457)),0)))</f>
        <v/>
      </c>
      <c r="AX1457" s="61">
        <f>IF(C1457="","",IF(COUNTIF($C$5:C1457,C1457)=1,MAX($AX$4:AX1456)+1,""))</f>
        <v/>
      </c>
      <c r="AY1457" s="61">
        <f>IF(B1457="","",HOUR(B1457))</f>
        <v/>
      </c>
      <c r="AZ1457" s="61">
        <f>IF(A1457="","",MOD(A1457-2,7)+1)</f>
        <v/>
      </c>
      <c r="BA1457" s="60">
        <f>IF(C1457="","",IFERROR(INDEX('Prospects'!$N$5:$N$504,MATCH(C1457,'Prospects'!$C$5:$C$504,0)),""))</f>
        <v/>
      </c>
      <c r="BB1457" s="61">
        <f>IF(AND(C1457&lt;&gt;"",C1457='Fiche prospect'!$C$4),COUNTIF($C$5:C1457,C1457),"")</f>
        <v/>
      </c>
    </row>
    <row r="1458">
      <c r="A1458" s="53" t="n"/>
      <c r="B1458" s="54" t="n"/>
      <c r="C1458" s="55" t="n"/>
      <c r="D1458" s="55" t="n"/>
      <c r="E1458" s="55" t="n"/>
      <c r="F1458" s="55" t="n"/>
      <c r="G1458" s="56" t="n"/>
      <c r="H1458" s="57" t="n"/>
      <c r="I1458" s="55" t="n"/>
      <c r="J1458" s="53" t="n"/>
      <c r="K1458" s="54" t="n"/>
      <c r="L1458" s="55" t="n"/>
      <c r="M1458" s="55" t="n"/>
      <c r="N1458" s="57" t="n"/>
      <c r="O1458" s="55" t="n"/>
      <c r="P1458" s="56" t="n"/>
      <c r="Q1458" s="55" t="n"/>
      <c r="R1458" s="55" t="n"/>
      <c r="S1458" s="55" t="n"/>
      <c r="T1458" s="55" t="n"/>
      <c r="U1458" s="55" t="n"/>
      <c r="V1458" s="55" t="n"/>
      <c r="W1458" s="58" t="n"/>
      <c r="X1458" s="58" t="n"/>
      <c r="Y1458" s="55" t="n"/>
      <c r="Z1458" s="55" t="n"/>
      <c r="AA1458" s="55" t="n"/>
      <c r="AB1458" s="55" t="n"/>
      <c r="AC1458" s="55" t="n"/>
      <c r="AD1458" s="53" t="n"/>
      <c r="AE1458" s="55" t="n"/>
      <c r="AF1458" s="55" t="n"/>
      <c r="AG1458" s="59" t="n"/>
      <c r="AH1458" s="57" t="n"/>
      <c r="AI1458" s="55" t="n"/>
      <c r="AJ1458" s="55" t="n"/>
      <c r="AK1458" s="55" t="n"/>
      <c r="AL1458" s="55" t="n"/>
      <c r="AM1458" s="56" t="n"/>
      <c r="AN1458" s="55" t="n"/>
      <c r="AO1458" s="55" t="n"/>
      <c r="AP1458" s="55" t="n"/>
      <c r="AQ1458" s="55" t="n"/>
      <c r="AR1458" s="60">
        <f>IF(AND(C1458="",E1458=""),"",IF(A1458="","⚠ Date manquante",IF(AND(C1458="",E1458&lt;&gt;"Dépense"),"⚠ Prospect manquant",IF(E1458="","⚠ Action manquante",IF(AND(AU1458=1,D1458=""),"⚠ Canal manquant",IF(AND(W1458&lt;&gt;"",COUNTIFS('Saisie'!$W$5:$W$2004,W1458,'Saisie'!$C$5:$C$2004,"&lt;&gt;"&amp;C1458)&gt;0),"⚠ Numéro déjà utilisé par un autre prospect",IF(AND(J1458&lt;&gt;"",J1458&lt;A1458),"⚠ Relance avant la date de l'action",IF(A1458&gt;TODAY(),"⚠ Date dans le futur","✓"))))))))</f>
        <v/>
      </c>
      <c r="AS1458" s="61">
        <f>IF(AND(A1458="",C1458="",E1458=""),"",ROW())</f>
        <v/>
      </c>
      <c r="AT1458" s="61">
        <f>IF(E1458&amp;F1458="","",MAX(IFERROR(INDEX('Paramètres'!$J$6:$J$33,MATCH(E1458,'Paramètres'!$I$6:$I$33,0)),0),IFERROR(INDEX('Paramètres'!$N$6:$N$17,MATCH(F1458,'Paramètres'!$M$6:$M$17,0)),0)))</f>
        <v/>
      </c>
      <c r="AU1458" s="61">
        <f>IF(E1458="","",IFERROR(IF(INDEX('Paramètres'!$K$6:$K$33,MATCH(E1458,'Paramètres'!$I$6:$I$33,0))="Oui",1,0),0))</f>
        <v/>
      </c>
      <c r="AV1458" s="61">
        <f>IF(F1458="","",IFERROR(IF(INDEX('Paramètres'!$O$6:$O$17,MATCH(F1458,'Paramètres'!$M$6:$M$17,0))="Oui",1,0),0))</f>
        <v/>
      </c>
      <c r="AW1458" s="62">
        <f>IF(E1458="","",IF(G1458&lt;&gt;"",G1458,IF(OR(E1458="Proposition envoyée",E1458="Signature"),MAX(0,N(IFERROR(INDEX('Paramètres'!$R$6:$R$15,MATCH(IF(AL1458&lt;&gt;"",AL1458,IFERROR(INDEX('Prospects'!$AN$5:$AN$504,MATCH(C1458,'Prospects'!$C$5:$C$504,0)),"")),'Paramètres'!$Q$6:$Q$15,0)),0))-N(P1458)),0)))</f>
        <v/>
      </c>
      <c r="AX1458" s="61">
        <f>IF(C1458="","",IF(COUNTIF($C$5:C1458,C1458)=1,MAX($AX$4:AX1457)+1,""))</f>
        <v/>
      </c>
      <c r="AY1458" s="61">
        <f>IF(B1458="","",HOUR(B1458))</f>
        <v/>
      </c>
      <c r="AZ1458" s="61">
        <f>IF(A1458="","",MOD(A1458-2,7)+1)</f>
        <v/>
      </c>
      <c r="BA1458" s="60">
        <f>IF(C1458="","",IFERROR(INDEX('Prospects'!$N$5:$N$504,MATCH(C1458,'Prospects'!$C$5:$C$504,0)),""))</f>
        <v/>
      </c>
      <c r="BB1458" s="61">
        <f>IF(AND(C1458&lt;&gt;"",C1458='Fiche prospect'!$C$4),COUNTIF($C$5:C1458,C1458),"")</f>
        <v/>
      </c>
    </row>
    <row r="1459">
      <c r="A1459" s="53" t="n"/>
      <c r="B1459" s="54" t="n"/>
      <c r="C1459" s="55" t="n"/>
      <c r="D1459" s="55" t="n"/>
      <c r="E1459" s="55" t="n"/>
      <c r="F1459" s="55" t="n"/>
      <c r="G1459" s="56" t="n"/>
      <c r="H1459" s="57" t="n"/>
      <c r="I1459" s="55" t="n"/>
      <c r="J1459" s="53" t="n"/>
      <c r="K1459" s="54" t="n"/>
      <c r="L1459" s="55" t="n"/>
      <c r="M1459" s="55" t="n"/>
      <c r="N1459" s="57" t="n"/>
      <c r="O1459" s="55" t="n"/>
      <c r="P1459" s="56" t="n"/>
      <c r="Q1459" s="55" t="n"/>
      <c r="R1459" s="55" t="n"/>
      <c r="S1459" s="55" t="n"/>
      <c r="T1459" s="55" t="n"/>
      <c r="U1459" s="55" t="n"/>
      <c r="V1459" s="55" t="n"/>
      <c r="W1459" s="58" t="n"/>
      <c r="X1459" s="58" t="n"/>
      <c r="Y1459" s="55" t="n"/>
      <c r="Z1459" s="55" t="n"/>
      <c r="AA1459" s="55" t="n"/>
      <c r="AB1459" s="55" t="n"/>
      <c r="AC1459" s="55" t="n"/>
      <c r="AD1459" s="53" t="n"/>
      <c r="AE1459" s="55" t="n"/>
      <c r="AF1459" s="55" t="n"/>
      <c r="AG1459" s="59" t="n"/>
      <c r="AH1459" s="57" t="n"/>
      <c r="AI1459" s="55" t="n"/>
      <c r="AJ1459" s="55" t="n"/>
      <c r="AK1459" s="55" t="n"/>
      <c r="AL1459" s="55" t="n"/>
      <c r="AM1459" s="56" t="n"/>
      <c r="AN1459" s="55" t="n"/>
      <c r="AO1459" s="55" t="n"/>
      <c r="AP1459" s="55" t="n"/>
      <c r="AQ1459" s="55" t="n"/>
      <c r="AR1459" s="60">
        <f>IF(AND(C1459="",E1459=""),"",IF(A1459="","⚠ Date manquante",IF(AND(C1459="",E1459&lt;&gt;"Dépense"),"⚠ Prospect manquant",IF(E1459="","⚠ Action manquante",IF(AND(AU1459=1,D1459=""),"⚠ Canal manquant",IF(AND(W1459&lt;&gt;"",COUNTIFS('Saisie'!$W$5:$W$2004,W1459,'Saisie'!$C$5:$C$2004,"&lt;&gt;"&amp;C1459)&gt;0),"⚠ Numéro déjà utilisé par un autre prospect",IF(AND(J1459&lt;&gt;"",J1459&lt;A1459),"⚠ Relance avant la date de l'action",IF(A1459&gt;TODAY(),"⚠ Date dans le futur","✓"))))))))</f>
        <v/>
      </c>
      <c r="AS1459" s="61">
        <f>IF(AND(A1459="",C1459="",E1459=""),"",ROW())</f>
        <v/>
      </c>
      <c r="AT1459" s="61">
        <f>IF(E1459&amp;F1459="","",MAX(IFERROR(INDEX('Paramètres'!$J$6:$J$33,MATCH(E1459,'Paramètres'!$I$6:$I$33,0)),0),IFERROR(INDEX('Paramètres'!$N$6:$N$17,MATCH(F1459,'Paramètres'!$M$6:$M$17,0)),0)))</f>
        <v/>
      </c>
      <c r="AU1459" s="61">
        <f>IF(E1459="","",IFERROR(IF(INDEX('Paramètres'!$K$6:$K$33,MATCH(E1459,'Paramètres'!$I$6:$I$33,0))="Oui",1,0),0))</f>
        <v/>
      </c>
      <c r="AV1459" s="61">
        <f>IF(F1459="","",IFERROR(IF(INDEX('Paramètres'!$O$6:$O$17,MATCH(F1459,'Paramètres'!$M$6:$M$17,0))="Oui",1,0),0))</f>
        <v/>
      </c>
      <c r="AW1459" s="62">
        <f>IF(E1459="","",IF(G1459&lt;&gt;"",G1459,IF(OR(E1459="Proposition envoyée",E1459="Signature"),MAX(0,N(IFERROR(INDEX('Paramètres'!$R$6:$R$15,MATCH(IF(AL1459&lt;&gt;"",AL1459,IFERROR(INDEX('Prospects'!$AN$5:$AN$504,MATCH(C1459,'Prospects'!$C$5:$C$504,0)),"")),'Paramètres'!$Q$6:$Q$15,0)),0))-N(P1459)),0)))</f>
        <v/>
      </c>
      <c r="AX1459" s="61">
        <f>IF(C1459="","",IF(COUNTIF($C$5:C1459,C1459)=1,MAX($AX$4:AX1458)+1,""))</f>
        <v/>
      </c>
      <c r="AY1459" s="61">
        <f>IF(B1459="","",HOUR(B1459))</f>
        <v/>
      </c>
      <c r="AZ1459" s="61">
        <f>IF(A1459="","",MOD(A1459-2,7)+1)</f>
        <v/>
      </c>
      <c r="BA1459" s="60">
        <f>IF(C1459="","",IFERROR(INDEX('Prospects'!$N$5:$N$504,MATCH(C1459,'Prospects'!$C$5:$C$504,0)),""))</f>
        <v/>
      </c>
      <c r="BB1459" s="61">
        <f>IF(AND(C1459&lt;&gt;"",C1459='Fiche prospect'!$C$4),COUNTIF($C$5:C1459,C1459),"")</f>
        <v/>
      </c>
    </row>
    <row r="1460">
      <c r="A1460" s="53" t="n"/>
      <c r="B1460" s="54" t="n"/>
      <c r="C1460" s="55" t="n"/>
      <c r="D1460" s="55" t="n"/>
      <c r="E1460" s="55" t="n"/>
      <c r="F1460" s="55" t="n"/>
      <c r="G1460" s="56" t="n"/>
      <c r="H1460" s="57" t="n"/>
      <c r="I1460" s="55" t="n"/>
      <c r="J1460" s="53" t="n"/>
      <c r="K1460" s="54" t="n"/>
      <c r="L1460" s="55" t="n"/>
      <c r="M1460" s="55" t="n"/>
      <c r="N1460" s="57" t="n"/>
      <c r="O1460" s="55" t="n"/>
      <c r="P1460" s="56" t="n"/>
      <c r="Q1460" s="55" t="n"/>
      <c r="R1460" s="55" t="n"/>
      <c r="S1460" s="55" t="n"/>
      <c r="T1460" s="55" t="n"/>
      <c r="U1460" s="55" t="n"/>
      <c r="V1460" s="55" t="n"/>
      <c r="W1460" s="58" t="n"/>
      <c r="X1460" s="58" t="n"/>
      <c r="Y1460" s="55" t="n"/>
      <c r="Z1460" s="55" t="n"/>
      <c r="AA1460" s="55" t="n"/>
      <c r="AB1460" s="55" t="n"/>
      <c r="AC1460" s="55" t="n"/>
      <c r="AD1460" s="53" t="n"/>
      <c r="AE1460" s="55" t="n"/>
      <c r="AF1460" s="55" t="n"/>
      <c r="AG1460" s="59" t="n"/>
      <c r="AH1460" s="57" t="n"/>
      <c r="AI1460" s="55" t="n"/>
      <c r="AJ1460" s="55" t="n"/>
      <c r="AK1460" s="55" t="n"/>
      <c r="AL1460" s="55" t="n"/>
      <c r="AM1460" s="56" t="n"/>
      <c r="AN1460" s="55" t="n"/>
      <c r="AO1460" s="55" t="n"/>
      <c r="AP1460" s="55" t="n"/>
      <c r="AQ1460" s="55" t="n"/>
      <c r="AR1460" s="60">
        <f>IF(AND(C1460="",E1460=""),"",IF(A1460="","⚠ Date manquante",IF(AND(C1460="",E1460&lt;&gt;"Dépense"),"⚠ Prospect manquant",IF(E1460="","⚠ Action manquante",IF(AND(AU1460=1,D1460=""),"⚠ Canal manquant",IF(AND(W1460&lt;&gt;"",COUNTIFS('Saisie'!$W$5:$W$2004,W1460,'Saisie'!$C$5:$C$2004,"&lt;&gt;"&amp;C1460)&gt;0),"⚠ Numéro déjà utilisé par un autre prospect",IF(AND(J1460&lt;&gt;"",J1460&lt;A1460),"⚠ Relance avant la date de l'action",IF(A1460&gt;TODAY(),"⚠ Date dans le futur","✓"))))))))</f>
        <v/>
      </c>
      <c r="AS1460" s="61">
        <f>IF(AND(A1460="",C1460="",E1460=""),"",ROW())</f>
        <v/>
      </c>
      <c r="AT1460" s="61">
        <f>IF(E1460&amp;F1460="","",MAX(IFERROR(INDEX('Paramètres'!$J$6:$J$33,MATCH(E1460,'Paramètres'!$I$6:$I$33,0)),0),IFERROR(INDEX('Paramètres'!$N$6:$N$17,MATCH(F1460,'Paramètres'!$M$6:$M$17,0)),0)))</f>
        <v/>
      </c>
      <c r="AU1460" s="61">
        <f>IF(E1460="","",IFERROR(IF(INDEX('Paramètres'!$K$6:$K$33,MATCH(E1460,'Paramètres'!$I$6:$I$33,0))="Oui",1,0),0))</f>
        <v/>
      </c>
      <c r="AV1460" s="61">
        <f>IF(F1460="","",IFERROR(IF(INDEX('Paramètres'!$O$6:$O$17,MATCH(F1460,'Paramètres'!$M$6:$M$17,0))="Oui",1,0),0))</f>
        <v/>
      </c>
      <c r="AW1460" s="62">
        <f>IF(E1460="","",IF(G1460&lt;&gt;"",G1460,IF(OR(E1460="Proposition envoyée",E1460="Signature"),MAX(0,N(IFERROR(INDEX('Paramètres'!$R$6:$R$15,MATCH(IF(AL1460&lt;&gt;"",AL1460,IFERROR(INDEX('Prospects'!$AN$5:$AN$504,MATCH(C1460,'Prospects'!$C$5:$C$504,0)),"")),'Paramètres'!$Q$6:$Q$15,0)),0))-N(P1460)),0)))</f>
        <v/>
      </c>
      <c r="AX1460" s="61">
        <f>IF(C1460="","",IF(COUNTIF($C$5:C1460,C1460)=1,MAX($AX$4:AX1459)+1,""))</f>
        <v/>
      </c>
      <c r="AY1460" s="61">
        <f>IF(B1460="","",HOUR(B1460))</f>
        <v/>
      </c>
      <c r="AZ1460" s="61">
        <f>IF(A1460="","",MOD(A1460-2,7)+1)</f>
        <v/>
      </c>
      <c r="BA1460" s="60">
        <f>IF(C1460="","",IFERROR(INDEX('Prospects'!$N$5:$N$504,MATCH(C1460,'Prospects'!$C$5:$C$504,0)),""))</f>
        <v/>
      </c>
      <c r="BB1460" s="61">
        <f>IF(AND(C1460&lt;&gt;"",C1460='Fiche prospect'!$C$4),COUNTIF($C$5:C1460,C1460),"")</f>
        <v/>
      </c>
    </row>
    <row r="1461">
      <c r="A1461" s="53" t="n"/>
      <c r="B1461" s="54" t="n"/>
      <c r="C1461" s="55" t="n"/>
      <c r="D1461" s="55" t="n"/>
      <c r="E1461" s="55" t="n"/>
      <c r="F1461" s="55" t="n"/>
      <c r="G1461" s="56" t="n"/>
      <c r="H1461" s="57" t="n"/>
      <c r="I1461" s="55" t="n"/>
      <c r="J1461" s="53" t="n"/>
      <c r="K1461" s="54" t="n"/>
      <c r="L1461" s="55" t="n"/>
      <c r="M1461" s="55" t="n"/>
      <c r="N1461" s="57" t="n"/>
      <c r="O1461" s="55" t="n"/>
      <c r="P1461" s="56" t="n"/>
      <c r="Q1461" s="55" t="n"/>
      <c r="R1461" s="55" t="n"/>
      <c r="S1461" s="55" t="n"/>
      <c r="T1461" s="55" t="n"/>
      <c r="U1461" s="55" t="n"/>
      <c r="V1461" s="55" t="n"/>
      <c r="W1461" s="58" t="n"/>
      <c r="X1461" s="58" t="n"/>
      <c r="Y1461" s="55" t="n"/>
      <c r="Z1461" s="55" t="n"/>
      <c r="AA1461" s="55" t="n"/>
      <c r="AB1461" s="55" t="n"/>
      <c r="AC1461" s="55" t="n"/>
      <c r="AD1461" s="53" t="n"/>
      <c r="AE1461" s="55" t="n"/>
      <c r="AF1461" s="55" t="n"/>
      <c r="AG1461" s="59" t="n"/>
      <c r="AH1461" s="57" t="n"/>
      <c r="AI1461" s="55" t="n"/>
      <c r="AJ1461" s="55" t="n"/>
      <c r="AK1461" s="55" t="n"/>
      <c r="AL1461" s="55" t="n"/>
      <c r="AM1461" s="56" t="n"/>
      <c r="AN1461" s="55" t="n"/>
      <c r="AO1461" s="55" t="n"/>
      <c r="AP1461" s="55" t="n"/>
      <c r="AQ1461" s="55" t="n"/>
      <c r="AR1461" s="60">
        <f>IF(AND(C1461="",E1461=""),"",IF(A1461="","⚠ Date manquante",IF(AND(C1461="",E1461&lt;&gt;"Dépense"),"⚠ Prospect manquant",IF(E1461="","⚠ Action manquante",IF(AND(AU1461=1,D1461=""),"⚠ Canal manquant",IF(AND(W1461&lt;&gt;"",COUNTIFS('Saisie'!$W$5:$W$2004,W1461,'Saisie'!$C$5:$C$2004,"&lt;&gt;"&amp;C1461)&gt;0),"⚠ Numéro déjà utilisé par un autre prospect",IF(AND(J1461&lt;&gt;"",J1461&lt;A1461),"⚠ Relance avant la date de l'action",IF(A1461&gt;TODAY(),"⚠ Date dans le futur","✓"))))))))</f>
        <v/>
      </c>
      <c r="AS1461" s="61">
        <f>IF(AND(A1461="",C1461="",E1461=""),"",ROW())</f>
        <v/>
      </c>
      <c r="AT1461" s="61">
        <f>IF(E1461&amp;F1461="","",MAX(IFERROR(INDEX('Paramètres'!$J$6:$J$33,MATCH(E1461,'Paramètres'!$I$6:$I$33,0)),0),IFERROR(INDEX('Paramètres'!$N$6:$N$17,MATCH(F1461,'Paramètres'!$M$6:$M$17,0)),0)))</f>
        <v/>
      </c>
      <c r="AU1461" s="61">
        <f>IF(E1461="","",IFERROR(IF(INDEX('Paramètres'!$K$6:$K$33,MATCH(E1461,'Paramètres'!$I$6:$I$33,0))="Oui",1,0),0))</f>
        <v/>
      </c>
      <c r="AV1461" s="61">
        <f>IF(F1461="","",IFERROR(IF(INDEX('Paramètres'!$O$6:$O$17,MATCH(F1461,'Paramètres'!$M$6:$M$17,0))="Oui",1,0),0))</f>
        <v/>
      </c>
      <c r="AW1461" s="62">
        <f>IF(E1461="","",IF(G1461&lt;&gt;"",G1461,IF(OR(E1461="Proposition envoyée",E1461="Signature"),MAX(0,N(IFERROR(INDEX('Paramètres'!$R$6:$R$15,MATCH(IF(AL1461&lt;&gt;"",AL1461,IFERROR(INDEX('Prospects'!$AN$5:$AN$504,MATCH(C1461,'Prospects'!$C$5:$C$504,0)),"")),'Paramètres'!$Q$6:$Q$15,0)),0))-N(P1461)),0)))</f>
        <v/>
      </c>
      <c r="AX1461" s="61">
        <f>IF(C1461="","",IF(COUNTIF($C$5:C1461,C1461)=1,MAX($AX$4:AX1460)+1,""))</f>
        <v/>
      </c>
      <c r="AY1461" s="61">
        <f>IF(B1461="","",HOUR(B1461))</f>
        <v/>
      </c>
      <c r="AZ1461" s="61">
        <f>IF(A1461="","",MOD(A1461-2,7)+1)</f>
        <v/>
      </c>
      <c r="BA1461" s="60">
        <f>IF(C1461="","",IFERROR(INDEX('Prospects'!$N$5:$N$504,MATCH(C1461,'Prospects'!$C$5:$C$504,0)),""))</f>
        <v/>
      </c>
      <c r="BB1461" s="61">
        <f>IF(AND(C1461&lt;&gt;"",C1461='Fiche prospect'!$C$4),COUNTIF($C$5:C1461,C1461),"")</f>
        <v/>
      </c>
    </row>
    <row r="1462">
      <c r="A1462" s="53" t="n"/>
      <c r="B1462" s="54" t="n"/>
      <c r="C1462" s="55" t="n"/>
      <c r="D1462" s="55" t="n"/>
      <c r="E1462" s="55" t="n"/>
      <c r="F1462" s="55" t="n"/>
      <c r="G1462" s="56" t="n"/>
      <c r="H1462" s="57" t="n"/>
      <c r="I1462" s="55" t="n"/>
      <c r="J1462" s="53" t="n"/>
      <c r="K1462" s="54" t="n"/>
      <c r="L1462" s="55" t="n"/>
      <c r="M1462" s="55" t="n"/>
      <c r="N1462" s="57" t="n"/>
      <c r="O1462" s="55" t="n"/>
      <c r="P1462" s="56" t="n"/>
      <c r="Q1462" s="55" t="n"/>
      <c r="R1462" s="55" t="n"/>
      <c r="S1462" s="55" t="n"/>
      <c r="T1462" s="55" t="n"/>
      <c r="U1462" s="55" t="n"/>
      <c r="V1462" s="55" t="n"/>
      <c r="W1462" s="58" t="n"/>
      <c r="X1462" s="58" t="n"/>
      <c r="Y1462" s="55" t="n"/>
      <c r="Z1462" s="55" t="n"/>
      <c r="AA1462" s="55" t="n"/>
      <c r="AB1462" s="55" t="n"/>
      <c r="AC1462" s="55" t="n"/>
      <c r="AD1462" s="53" t="n"/>
      <c r="AE1462" s="55" t="n"/>
      <c r="AF1462" s="55" t="n"/>
      <c r="AG1462" s="59" t="n"/>
      <c r="AH1462" s="57" t="n"/>
      <c r="AI1462" s="55" t="n"/>
      <c r="AJ1462" s="55" t="n"/>
      <c r="AK1462" s="55" t="n"/>
      <c r="AL1462" s="55" t="n"/>
      <c r="AM1462" s="56" t="n"/>
      <c r="AN1462" s="55" t="n"/>
      <c r="AO1462" s="55" t="n"/>
      <c r="AP1462" s="55" t="n"/>
      <c r="AQ1462" s="55" t="n"/>
      <c r="AR1462" s="60">
        <f>IF(AND(C1462="",E1462=""),"",IF(A1462="","⚠ Date manquante",IF(AND(C1462="",E1462&lt;&gt;"Dépense"),"⚠ Prospect manquant",IF(E1462="","⚠ Action manquante",IF(AND(AU1462=1,D1462=""),"⚠ Canal manquant",IF(AND(W1462&lt;&gt;"",COUNTIFS('Saisie'!$W$5:$W$2004,W1462,'Saisie'!$C$5:$C$2004,"&lt;&gt;"&amp;C1462)&gt;0),"⚠ Numéro déjà utilisé par un autre prospect",IF(AND(J1462&lt;&gt;"",J1462&lt;A1462),"⚠ Relance avant la date de l'action",IF(A1462&gt;TODAY(),"⚠ Date dans le futur","✓"))))))))</f>
        <v/>
      </c>
      <c r="AS1462" s="61">
        <f>IF(AND(A1462="",C1462="",E1462=""),"",ROW())</f>
        <v/>
      </c>
      <c r="AT1462" s="61">
        <f>IF(E1462&amp;F1462="","",MAX(IFERROR(INDEX('Paramètres'!$J$6:$J$33,MATCH(E1462,'Paramètres'!$I$6:$I$33,0)),0),IFERROR(INDEX('Paramètres'!$N$6:$N$17,MATCH(F1462,'Paramètres'!$M$6:$M$17,0)),0)))</f>
        <v/>
      </c>
      <c r="AU1462" s="61">
        <f>IF(E1462="","",IFERROR(IF(INDEX('Paramètres'!$K$6:$K$33,MATCH(E1462,'Paramètres'!$I$6:$I$33,0))="Oui",1,0),0))</f>
        <v/>
      </c>
      <c r="AV1462" s="61">
        <f>IF(F1462="","",IFERROR(IF(INDEX('Paramètres'!$O$6:$O$17,MATCH(F1462,'Paramètres'!$M$6:$M$17,0))="Oui",1,0),0))</f>
        <v/>
      </c>
      <c r="AW1462" s="62">
        <f>IF(E1462="","",IF(G1462&lt;&gt;"",G1462,IF(OR(E1462="Proposition envoyée",E1462="Signature"),MAX(0,N(IFERROR(INDEX('Paramètres'!$R$6:$R$15,MATCH(IF(AL1462&lt;&gt;"",AL1462,IFERROR(INDEX('Prospects'!$AN$5:$AN$504,MATCH(C1462,'Prospects'!$C$5:$C$504,0)),"")),'Paramètres'!$Q$6:$Q$15,0)),0))-N(P1462)),0)))</f>
        <v/>
      </c>
      <c r="AX1462" s="61">
        <f>IF(C1462="","",IF(COUNTIF($C$5:C1462,C1462)=1,MAX($AX$4:AX1461)+1,""))</f>
        <v/>
      </c>
      <c r="AY1462" s="61">
        <f>IF(B1462="","",HOUR(B1462))</f>
        <v/>
      </c>
      <c r="AZ1462" s="61">
        <f>IF(A1462="","",MOD(A1462-2,7)+1)</f>
        <v/>
      </c>
      <c r="BA1462" s="60">
        <f>IF(C1462="","",IFERROR(INDEX('Prospects'!$N$5:$N$504,MATCH(C1462,'Prospects'!$C$5:$C$504,0)),""))</f>
        <v/>
      </c>
      <c r="BB1462" s="61">
        <f>IF(AND(C1462&lt;&gt;"",C1462='Fiche prospect'!$C$4),COUNTIF($C$5:C1462,C1462),"")</f>
        <v/>
      </c>
    </row>
    <row r="1463">
      <c r="A1463" s="53" t="n"/>
      <c r="B1463" s="54" t="n"/>
      <c r="C1463" s="55" t="n"/>
      <c r="D1463" s="55" t="n"/>
      <c r="E1463" s="55" t="n"/>
      <c r="F1463" s="55" t="n"/>
      <c r="G1463" s="56" t="n"/>
      <c r="H1463" s="57" t="n"/>
      <c r="I1463" s="55" t="n"/>
      <c r="J1463" s="53" t="n"/>
      <c r="K1463" s="54" t="n"/>
      <c r="L1463" s="55" t="n"/>
      <c r="M1463" s="55" t="n"/>
      <c r="N1463" s="57" t="n"/>
      <c r="O1463" s="55" t="n"/>
      <c r="P1463" s="56" t="n"/>
      <c r="Q1463" s="55" t="n"/>
      <c r="R1463" s="55" t="n"/>
      <c r="S1463" s="55" t="n"/>
      <c r="T1463" s="55" t="n"/>
      <c r="U1463" s="55" t="n"/>
      <c r="V1463" s="55" t="n"/>
      <c r="W1463" s="58" t="n"/>
      <c r="X1463" s="58" t="n"/>
      <c r="Y1463" s="55" t="n"/>
      <c r="Z1463" s="55" t="n"/>
      <c r="AA1463" s="55" t="n"/>
      <c r="AB1463" s="55" t="n"/>
      <c r="AC1463" s="55" t="n"/>
      <c r="AD1463" s="53" t="n"/>
      <c r="AE1463" s="55" t="n"/>
      <c r="AF1463" s="55" t="n"/>
      <c r="AG1463" s="59" t="n"/>
      <c r="AH1463" s="57" t="n"/>
      <c r="AI1463" s="55" t="n"/>
      <c r="AJ1463" s="55" t="n"/>
      <c r="AK1463" s="55" t="n"/>
      <c r="AL1463" s="55" t="n"/>
      <c r="AM1463" s="56" t="n"/>
      <c r="AN1463" s="55" t="n"/>
      <c r="AO1463" s="55" t="n"/>
      <c r="AP1463" s="55" t="n"/>
      <c r="AQ1463" s="55" t="n"/>
      <c r="AR1463" s="60">
        <f>IF(AND(C1463="",E1463=""),"",IF(A1463="","⚠ Date manquante",IF(AND(C1463="",E1463&lt;&gt;"Dépense"),"⚠ Prospect manquant",IF(E1463="","⚠ Action manquante",IF(AND(AU1463=1,D1463=""),"⚠ Canal manquant",IF(AND(W1463&lt;&gt;"",COUNTIFS('Saisie'!$W$5:$W$2004,W1463,'Saisie'!$C$5:$C$2004,"&lt;&gt;"&amp;C1463)&gt;0),"⚠ Numéro déjà utilisé par un autre prospect",IF(AND(J1463&lt;&gt;"",J1463&lt;A1463),"⚠ Relance avant la date de l'action",IF(A1463&gt;TODAY(),"⚠ Date dans le futur","✓"))))))))</f>
        <v/>
      </c>
      <c r="AS1463" s="61">
        <f>IF(AND(A1463="",C1463="",E1463=""),"",ROW())</f>
        <v/>
      </c>
      <c r="AT1463" s="61">
        <f>IF(E1463&amp;F1463="","",MAX(IFERROR(INDEX('Paramètres'!$J$6:$J$33,MATCH(E1463,'Paramètres'!$I$6:$I$33,0)),0),IFERROR(INDEX('Paramètres'!$N$6:$N$17,MATCH(F1463,'Paramètres'!$M$6:$M$17,0)),0)))</f>
        <v/>
      </c>
      <c r="AU1463" s="61">
        <f>IF(E1463="","",IFERROR(IF(INDEX('Paramètres'!$K$6:$K$33,MATCH(E1463,'Paramètres'!$I$6:$I$33,0))="Oui",1,0),0))</f>
        <v/>
      </c>
      <c r="AV1463" s="61">
        <f>IF(F1463="","",IFERROR(IF(INDEX('Paramètres'!$O$6:$O$17,MATCH(F1463,'Paramètres'!$M$6:$M$17,0))="Oui",1,0),0))</f>
        <v/>
      </c>
      <c r="AW1463" s="62">
        <f>IF(E1463="","",IF(G1463&lt;&gt;"",G1463,IF(OR(E1463="Proposition envoyée",E1463="Signature"),MAX(0,N(IFERROR(INDEX('Paramètres'!$R$6:$R$15,MATCH(IF(AL1463&lt;&gt;"",AL1463,IFERROR(INDEX('Prospects'!$AN$5:$AN$504,MATCH(C1463,'Prospects'!$C$5:$C$504,0)),"")),'Paramètres'!$Q$6:$Q$15,0)),0))-N(P1463)),0)))</f>
        <v/>
      </c>
      <c r="AX1463" s="61">
        <f>IF(C1463="","",IF(COUNTIF($C$5:C1463,C1463)=1,MAX($AX$4:AX1462)+1,""))</f>
        <v/>
      </c>
      <c r="AY1463" s="61">
        <f>IF(B1463="","",HOUR(B1463))</f>
        <v/>
      </c>
      <c r="AZ1463" s="61">
        <f>IF(A1463="","",MOD(A1463-2,7)+1)</f>
        <v/>
      </c>
      <c r="BA1463" s="60">
        <f>IF(C1463="","",IFERROR(INDEX('Prospects'!$N$5:$N$504,MATCH(C1463,'Prospects'!$C$5:$C$504,0)),""))</f>
        <v/>
      </c>
      <c r="BB1463" s="61">
        <f>IF(AND(C1463&lt;&gt;"",C1463='Fiche prospect'!$C$4),COUNTIF($C$5:C1463,C1463),"")</f>
        <v/>
      </c>
    </row>
    <row r="1464">
      <c r="A1464" s="53" t="n"/>
      <c r="B1464" s="54" t="n"/>
      <c r="C1464" s="55" t="n"/>
      <c r="D1464" s="55" t="n"/>
      <c r="E1464" s="55" t="n"/>
      <c r="F1464" s="55" t="n"/>
      <c r="G1464" s="56" t="n"/>
      <c r="H1464" s="57" t="n"/>
      <c r="I1464" s="55" t="n"/>
      <c r="J1464" s="53" t="n"/>
      <c r="K1464" s="54" t="n"/>
      <c r="L1464" s="55" t="n"/>
      <c r="M1464" s="55" t="n"/>
      <c r="N1464" s="57" t="n"/>
      <c r="O1464" s="55" t="n"/>
      <c r="P1464" s="56" t="n"/>
      <c r="Q1464" s="55" t="n"/>
      <c r="R1464" s="55" t="n"/>
      <c r="S1464" s="55" t="n"/>
      <c r="T1464" s="55" t="n"/>
      <c r="U1464" s="55" t="n"/>
      <c r="V1464" s="55" t="n"/>
      <c r="W1464" s="58" t="n"/>
      <c r="X1464" s="58" t="n"/>
      <c r="Y1464" s="55" t="n"/>
      <c r="Z1464" s="55" t="n"/>
      <c r="AA1464" s="55" t="n"/>
      <c r="AB1464" s="55" t="n"/>
      <c r="AC1464" s="55" t="n"/>
      <c r="AD1464" s="53" t="n"/>
      <c r="AE1464" s="55" t="n"/>
      <c r="AF1464" s="55" t="n"/>
      <c r="AG1464" s="59" t="n"/>
      <c r="AH1464" s="57" t="n"/>
      <c r="AI1464" s="55" t="n"/>
      <c r="AJ1464" s="55" t="n"/>
      <c r="AK1464" s="55" t="n"/>
      <c r="AL1464" s="55" t="n"/>
      <c r="AM1464" s="56" t="n"/>
      <c r="AN1464" s="55" t="n"/>
      <c r="AO1464" s="55" t="n"/>
      <c r="AP1464" s="55" t="n"/>
      <c r="AQ1464" s="55" t="n"/>
      <c r="AR1464" s="60">
        <f>IF(AND(C1464="",E1464=""),"",IF(A1464="","⚠ Date manquante",IF(AND(C1464="",E1464&lt;&gt;"Dépense"),"⚠ Prospect manquant",IF(E1464="","⚠ Action manquante",IF(AND(AU1464=1,D1464=""),"⚠ Canal manquant",IF(AND(W1464&lt;&gt;"",COUNTIFS('Saisie'!$W$5:$W$2004,W1464,'Saisie'!$C$5:$C$2004,"&lt;&gt;"&amp;C1464)&gt;0),"⚠ Numéro déjà utilisé par un autre prospect",IF(AND(J1464&lt;&gt;"",J1464&lt;A1464),"⚠ Relance avant la date de l'action",IF(A1464&gt;TODAY(),"⚠ Date dans le futur","✓"))))))))</f>
        <v/>
      </c>
      <c r="AS1464" s="61">
        <f>IF(AND(A1464="",C1464="",E1464=""),"",ROW())</f>
        <v/>
      </c>
      <c r="AT1464" s="61">
        <f>IF(E1464&amp;F1464="","",MAX(IFERROR(INDEX('Paramètres'!$J$6:$J$33,MATCH(E1464,'Paramètres'!$I$6:$I$33,0)),0),IFERROR(INDEX('Paramètres'!$N$6:$N$17,MATCH(F1464,'Paramètres'!$M$6:$M$17,0)),0)))</f>
        <v/>
      </c>
      <c r="AU1464" s="61">
        <f>IF(E1464="","",IFERROR(IF(INDEX('Paramètres'!$K$6:$K$33,MATCH(E1464,'Paramètres'!$I$6:$I$33,0))="Oui",1,0),0))</f>
        <v/>
      </c>
      <c r="AV1464" s="61">
        <f>IF(F1464="","",IFERROR(IF(INDEX('Paramètres'!$O$6:$O$17,MATCH(F1464,'Paramètres'!$M$6:$M$17,0))="Oui",1,0),0))</f>
        <v/>
      </c>
      <c r="AW1464" s="62">
        <f>IF(E1464="","",IF(G1464&lt;&gt;"",G1464,IF(OR(E1464="Proposition envoyée",E1464="Signature"),MAX(0,N(IFERROR(INDEX('Paramètres'!$R$6:$R$15,MATCH(IF(AL1464&lt;&gt;"",AL1464,IFERROR(INDEX('Prospects'!$AN$5:$AN$504,MATCH(C1464,'Prospects'!$C$5:$C$504,0)),"")),'Paramètres'!$Q$6:$Q$15,0)),0))-N(P1464)),0)))</f>
        <v/>
      </c>
      <c r="AX1464" s="61">
        <f>IF(C1464="","",IF(COUNTIF($C$5:C1464,C1464)=1,MAX($AX$4:AX1463)+1,""))</f>
        <v/>
      </c>
      <c r="AY1464" s="61">
        <f>IF(B1464="","",HOUR(B1464))</f>
        <v/>
      </c>
      <c r="AZ1464" s="61">
        <f>IF(A1464="","",MOD(A1464-2,7)+1)</f>
        <v/>
      </c>
      <c r="BA1464" s="60">
        <f>IF(C1464="","",IFERROR(INDEX('Prospects'!$N$5:$N$504,MATCH(C1464,'Prospects'!$C$5:$C$504,0)),""))</f>
        <v/>
      </c>
      <c r="BB1464" s="61">
        <f>IF(AND(C1464&lt;&gt;"",C1464='Fiche prospect'!$C$4),COUNTIF($C$5:C1464,C1464),"")</f>
        <v/>
      </c>
    </row>
    <row r="1465">
      <c r="A1465" s="53" t="n"/>
      <c r="B1465" s="54" t="n"/>
      <c r="C1465" s="55" t="n"/>
      <c r="D1465" s="55" t="n"/>
      <c r="E1465" s="55" t="n"/>
      <c r="F1465" s="55" t="n"/>
      <c r="G1465" s="56" t="n"/>
      <c r="H1465" s="57" t="n"/>
      <c r="I1465" s="55" t="n"/>
      <c r="J1465" s="53" t="n"/>
      <c r="K1465" s="54" t="n"/>
      <c r="L1465" s="55" t="n"/>
      <c r="M1465" s="55" t="n"/>
      <c r="N1465" s="57" t="n"/>
      <c r="O1465" s="55" t="n"/>
      <c r="P1465" s="56" t="n"/>
      <c r="Q1465" s="55" t="n"/>
      <c r="R1465" s="55" t="n"/>
      <c r="S1465" s="55" t="n"/>
      <c r="T1465" s="55" t="n"/>
      <c r="U1465" s="55" t="n"/>
      <c r="V1465" s="55" t="n"/>
      <c r="W1465" s="58" t="n"/>
      <c r="X1465" s="58" t="n"/>
      <c r="Y1465" s="55" t="n"/>
      <c r="Z1465" s="55" t="n"/>
      <c r="AA1465" s="55" t="n"/>
      <c r="AB1465" s="55" t="n"/>
      <c r="AC1465" s="55" t="n"/>
      <c r="AD1465" s="53" t="n"/>
      <c r="AE1465" s="55" t="n"/>
      <c r="AF1465" s="55" t="n"/>
      <c r="AG1465" s="59" t="n"/>
      <c r="AH1465" s="57" t="n"/>
      <c r="AI1465" s="55" t="n"/>
      <c r="AJ1465" s="55" t="n"/>
      <c r="AK1465" s="55" t="n"/>
      <c r="AL1465" s="55" t="n"/>
      <c r="AM1465" s="56" t="n"/>
      <c r="AN1465" s="55" t="n"/>
      <c r="AO1465" s="55" t="n"/>
      <c r="AP1465" s="55" t="n"/>
      <c r="AQ1465" s="55" t="n"/>
      <c r="AR1465" s="60">
        <f>IF(AND(C1465="",E1465=""),"",IF(A1465="","⚠ Date manquante",IF(AND(C1465="",E1465&lt;&gt;"Dépense"),"⚠ Prospect manquant",IF(E1465="","⚠ Action manquante",IF(AND(AU1465=1,D1465=""),"⚠ Canal manquant",IF(AND(W1465&lt;&gt;"",COUNTIFS('Saisie'!$W$5:$W$2004,W1465,'Saisie'!$C$5:$C$2004,"&lt;&gt;"&amp;C1465)&gt;0),"⚠ Numéro déjà utilisé par un autre prospect",IF(AND(J1465&lt;&gt;"",J1465&lt;A1465),"⚠ Relance avant la date de l'action",IF(A1465&gt;TODAY(),"⚠ Date dans le futur","✓"))))))))</f>
        <v/>
      </c>
      <c r="AS1465" s="61">
        <f>IF(AND(A1465="",C1465="",E1465=""),"",ROW())</f>
        <v/>
      </c>
      <c r="AT1465" s="61">
        <f>IF(E1465&amp;F1465="","",MAX(IFERROR(INDEX('Paramètres'!$J$6:$J$33,MATCH(E1465,'Paramètres'!$I$6:$I$33,0)),0),IFERROR(INDEX('Paramètres'!$N$6:$N$17,MATCH(F1465,'Paramètres'!$M$6:$M$17,0)),0)))</f>
        <v/>
      </c>
      <c r="AU1465" s="61">
        <f>IF(E1465="","",IFERROR(IF(INDEX('Paramètres'!$K$6:$K$33,MATCH(E1465,'Paramètres'!$I$6:$I$33,0))="Oui",1,0),0))</f>
        <v/>
      </c>
      <c r="AV1465" s="61">
        <f>IF(F1465="","",IFERROR(IF(INDEX('Paramètres'!$O$6:$O$17,MATCH(F1465,'Paramètres'!$M$6:$M$17,0))="Oui",1,0),0))</f>
        <v/>
      </c>
      <c r="AW1465" s="62">
        <f>IF(E1465="","",IF(G1465&lt;&gt;"",G1465,IF(OR(E1465="Proposition envoyée",E1465="Signature"),MAX(0,N(IFERROR(INDEX('Paramètres'!$R$6:$R$15,MATCH(IF(AL1465&lt;&gt;"",AL1465,IFERROR(INDEX('Prospects'!$AN$5:$AN$504,MATCH(C1465,'Prospects'!$C$5:$C$504,0)),"")),'Paramètres'!$Q$6:$Q$15,0)),0))-N(P1465)),0)))</f>
        <v/>
      </c>
      <c r="AX1465" s="61">
        <f>IF(C1465="","",IF(COUNTIF($C$5:C1465,C1465)=1,MAX($AX$4:AX1464)+1,""))</f>
        <v/>
      </c>
      <c r="AY1465" s="61">
        <f>IF(B1465="","",HOUR(B1465))</f>
        <v/>
      </c>
      <c r="AZ1465" s="61">
        <f>IF(A1465="","",MOD(A1465-2,7)+1)</f>
        <v/>
      </c>
      <c r="BA1465" s="60">
        <f>IF(C1465="","",IFERROR(INDEX('Prospects'!$N$5:$N$504,MATCH(C1465,'Prospects'!$C$5:$C$504,0)),""))</f>
        <v/>
      </c>
      <c r="BB1465" s="61">
        <f>IF(AND(C1465&lt;&gt;"",C1465='Fiche prospect'!$C$4),COUNTIF($C$5:C1465,C1465),"")</f>
        <v/>
      </c>
    </row>
    <row r="1466">
      <c r="A1466" s="53" t="n"/>
      <c r="B1466" s="54" t="n"/>
      <c r="C1466" s="55" t="n"/>
      <c r="D1466" s="55" t="n"/>
      <c r="E1466" s="55" t="n"/>
      <c r="F1466" s="55" t="n"/>
      <c r="G1466" s="56" t="n"/>
      <c r="H1466" s="57" t="n"/>
      <c r="I1466" s="55" t="n"/>
      <c r="J1466" s="53" t="n"/>
      <c r="K1466" s="54" t="n"/>
      <c r="L1466" s="55" t="n"/>
      <c r="M1466" s="55" t="n"/>
      <c r="N1466" s="57" t="n"/>
      <c r="O1466" s="55" t="n"/>
      <c r="P1466" s="56" t="n"/>
      <c r="Q1466" s="55" t="n"/>
      <c r="R1466" s="55" t="n"/>
      <c r="S1466" s="55" t="n"/>
      <c r="T1466" s="55" t="n"/>
      <c r="U1466" s="55" t="n"/>
      <c r="V1466" s="55" t="n"/>
      <c r="W1466" s="58" t="n"/>
      <c r="X1466" s="58" t="n"/>
      <c r="Y1466" s="55" t="n"/>
      <c r="Z1466" s="55" t="n"/>
      <c r="AA1466" s="55" t="n"/>
      <c r="AB1466" s="55" t="n"/>
      <c r="AC1466" s="55" t="n"/>
      <c r="AD1466" s="53" t="n"/>
      <c r="AE1466" s="55" t="n"/>
      <c r="AF1466" s="55" t="n"/>
      <c r="AG1466" s="59" t="n"/>
      <c r="AH1466" s="57" t="n"/>
      <c r="AI1466" s="55" t="n"/>
      <c r="AJ1466" s="55" t="n"/>
      <c r="AK1466" s="55" t="n"/>
      <c r="AL1466" s="55" t="n"/>
      <c r="AM1466" s="56" t="n"/>
      <c r="AN1466" s="55" t="n"/>
      <c r="AO1466" s="55" t="n"/>
      <c r="AP1466" s="55" t="n"/>
      <c r="AQ1466" s="55" t="n"/>
      <c r="AR1466" s="60">
        <f>IF(AND(C1466="",E1466=""),"",IF(A1466="","⚠ Date manquante",IF(AND(C1466="",E1466&lt;&gt;"Dépense"),"⚠ Prospect manquant",IF(E1466="","⚠ Action manquante",IF(AND(AU1466=1,D1466=""),"⚠ Canal manquant",IF(AND(W1466&lt;&gt;"",COUNTIFS('Saisie'!$W$5:$W$2004,W1466,'Saisie'!$C$5:$C$2004,"&lt;&gt;"&amp;C1466)&gt;0),"⚠ Numéro déjà utilisé par un autre prospect",IF(AND(J1466&lt;&gt;"",J1466&lt;A1466),"⚠ Relance avant la date de l'action",IF(A1466&gt;TODAY(),"⚠ Date dans le futur","✓"))))))))</f>
        <v/>
      </c>
      <c r="AS1466" s="61">
        <f>IF(AND(A1466="",C1466="",E1466=""),"",ROW())</f>
        <v/>
      </c>
      <c r="AT1466" s="61">
        <f>IF(E1466&amp;F1466="","",MAX(IFERROR(INDEX('Paramètres'!$J$6:$J$33,MATCH(E1466,'Paramètres'!$I$6:$I$33,0)),0),IFERROR(INDEX('Paramètres'!$N$6:$N$17,MATCH(F1466,'Paramètres'!$M$6:$M$17,0)),0)))</f>
        <v/>
      </c>
      <c r="AU1466" s="61">
        <f>IF(E1466="","",IFERROR(IF(INDEX('Paramètres'!$K$6:$K$33,MATCH(E1466,'Paramètres'!$I$6:$I$33,0))="Oui",1,0),0))</f>
        <v/>
      </c>
      <c r="AV1466" s="61">
        <f>IF(F1466="","",IFERROR(IF(INDEX('Paramètres'!$O$6:$O$17,MATCH(F1466,'Paramètres'!$M$6:$M$17,0))="Oui",1,0),0))</f>
        <v/>
      </c>
      <c r="AW1466" s="62">
        <f>IF(E1466="","",IF(G1466&lt;&gt;"",G1466,IF(OR(E1466="Proposition envoyée",E1466="Signature"),MAX(0,N(IFERROR(INDEX('Paramètres'!$R$6:$R$15,MATCH(IF(AL1466&lt;&gt;"",AL1466,IFERROR(INDEX('Prospects'!$AN$5:$AN$504,MATCH(C1466,'Prospects'!$C$5:$C$504,0)),"")),'Paramètres'!$Q$6:$Q$15,0)),0))-N(P1466)),0)))</f>
        <v/>
      </c>
      <c r="AX1466" s="61">
        <f>IF(C1466="","",IF(COUNTIF($C$5:C1466,C1466)=1,MAX($AX$4:AX1465)+1,""))</f>
        <v/>
      </c>
      <c r="AY1466" s="61">
        <f>IF(B1466="","",HOUR(B1466))</f>
        <v/>
      </c>
      <c r="AZ1466" s="61">
        <f>IF(A1466="","",MOD(A1466-2,7)+1)</f>
        <v/>
      </c>
      <c r="BA1466" s="60">
        <f>IF(C1466="","",IFERROR(INDEX('Prospects'!$N$5:$N$504,MATCH(C1466,'Prospects'!$C$5:$C$504,0)),""))</f>
        <v/>
      </c>
      <c r="BB1466" s="61">
        <f>IF(AND(C1466&lt;&gt;"",C1466='Fiche prospect'!$C$4),COUNTIF($C$5:C1466,C1466),"")</f>
        <v/>
      </c>
    </row>
    <row r="1467">
      <c r="A1467" s="53" t="n"/>
      <c r="B1467" s="54" t="n"/>
      <c r="C1467" s="55" t="n"/>
      <c r="D1467" s="55" t="n"/>
      <c r="E1467" s="55" t="n"/>
      <c r="F1467" s="55" t="n"/>
      <c r="G1467" s="56" t="n"/>
      <c r="H1467" s="57" t="n"/>
      <c r="I1467" s="55" t="n"/>
      <c r="J1467" s="53" t="n"/>
      <c r="K1467" s="54" t="n"/>
      <c r="L1467" s="55" t="n"/>
      <c r="M1467" s="55" t="n"/>
      <c r="N1467" s="57" t="n"/>
      <c r="O1467" s="55" t="n"/>
      <c r="P1467" s="56" t="n"/>
      <c r="Q1467" s="55" t="n"/>
      <c r="R1467" s="55" t="n"/>
      <c r="S1467" s="55" t="n"/>
      <c r="T1467" s="55" t="n"/>
      <c r="U1467" s="55" t="n"/>
      <c r="V1467" s="55" t="n"/>
      <c r="W1467" s="58" t="n"/>
      <c r="X1467" s="58" t="n"/>
      <c r="Y1467" s="55" t="n"/>
      <c r="Z1467" s="55" t="n"/>
      <c r="AA1467" s="55" t="n"/>
      <c r="AB1467" s="55" t="n"/>
      <c r="AC1467" s="55" t="n"/>
      <c r="AD1467" s="53" t="n"/>
      <c r="AE1467" s="55" t="n"/>
      <c r="AF1467" s="55" t="n"/>
      <c r="AG1467" s="59" t="n"/>
      <c r="AH1467" s="57" t="n"/>
      <c r="AI1467" s="55" t="n"/>
      <c r="AJ1467" s="55" t="n"/>
      <c r="AK1467" s="55" t="n"/>
      <c r="AL1467" s="55" t="n"/>
      <c r="AM1467" s="56" t="n"/>
      <c r="AN1467" s="55" t="n"/>
      <c r="AO1467" s="55" t="n"/>
      <c r="AP1467" s="55" t="n"/>
      <c r="AQ1467" s="55" t="n"/>
      <c r="AR1467" s="60">
        <f>IF(AND(C1467="",E1467=""),"",IF(A1467="","⚠ Date manquante",IF(AND(C1467="",E1467&lt;&gt;"Dépense"),"⚠ Prospect manquant",IF(E1467="","⚠ Action manquante",IF(AND(AU1467=1,D1467=""),"⚠ Canal manquant",IF(AND(W1467&lt;&gt;"",COUNTIFS('Saisie'!$W$5:$W$2004,W1467,'Saisie'!$C$5:$C$2004,"&lt;&gt;"&amp;C1467)&gt;0),"⚠ Numéro déjà utilisé par un autre prospect",IF(AND(J1467&lt;&gt;"",J1467&lt;A1467),"⚠ Relance avant la date de l'action",IF(A1467&gt;TODAY(),"⚠ Date dans le futur","✓"))))))))</f>
        <v/>
      </c>
      <c r="AS1467" s="61">
        <f>IF(AND(A1467="",C1467="",E1467=""),"",ROW())</f>
        <v/>
      </c>
      <c r="AT1467" s="61">
        <f>IF(E1467&amp;F1467="","",MAX(IFERROR(INDEX('Paramètres'!$J$6:$J$33,MATCH(E1467,'Paramètres'!$I$6:$I$33,0)),0),IFERROR(INDEX('Paramètres'!$N$6:$N$17,MATCH(F1467,'Paramètres'!$M$6:$M$17,0)),0)))</f>
        <v/>
      </c>
      <c r="AU1467" s="61">
        <f>IF(E1467="","",IFERROR(IF(INDEX('Paramètres'!$K$6:$K$33,MATCH(E1467,'Paramètres'!$I$6:$I$33,0))="Oui",1,0),0))</f>
        <v/>
      </c>
      <c r="AV1467" s="61">
        <f>IF(F1467="","",IFERROR(IF(INDEX('Paramètres'!$O$6:$O$17,MATCH(F1467,'Paramètres'!$M$6:$M$17,0))="Oui",1,0),0))</f>
        <v/>
      </c>
      <c r="AW1467" s="62">
        <f>IF(E1467="","",IF(G1467&lt;&gt;"",G1467,IF(OR(E1467="Proposition envoyée",E1467="Signature"),MAX(0,N(IFERROR(INDEX('Paramètres'!$R$6:$R$15,MATCH(IF(AL1467&lt;&gt;"",AL1467,IFERROR(INDEX('Prospects'!$AN$5:$AN$504,MATCH(C1467,'Prospects'!$C$5:$C$504,0)),"")),'Paramètres'!$Q$6:$Q$15,0)),0))-N(P1467)),0)))</f>
        <v/>
      </c>
      <c r="AX1467" s="61">
        <f>IF(C1467="","",IF(COUNTIF($C$5:C1467,C1467)=1,MAX($AX$4:AX1466)+1,""))</f>
        <v/>
      </c>
      <c r="AY1467" s="61">
        <f>IF(B1467="","",HOUR(B1467))</f>
        <v/>
      </c>
      <c r="AZ1467" s="61">
        <f>IF(A1467="","",MOD(A1467-2,7)+1)</f>
        <v/>
      </c>
      <c r="BA1467" s="60">
        <f>IF(C1467="","",IFERROR(INDEX('Prospects'!$N$5:$N$504,MATCH(C1467,'Prospects'!$C$5:$C$504,0)),""))</f>
        <v/>
      </c>
      <c r="BB1467" s="61">
        <f>IF(AND(C1467&lt;&gt;"",C1467='Fiche prospect'!$C$4),COUNTIF($C$5:C1467,C1467),"")</f>
        <v/>
      </c>
    </row>
    <row r="1468">
      <c r="A1468" s="53" t="n"/>
      <c r="B1468" s="54" t="n"/>
      <c r="C1468" s="55" t="n"/>
      <c r="D1468" s="55" t="n"/>
      <c r="E1468" s="55" t="n"/>
      <c r="F1468" s="55" t="n"/>
      <c r="G1468" s="56" t="n"/>
      <c r="H1468" s="57" t="n"/>
      <c r="I1468" s="55" t="n"/>
      <c r="J1468" s="53" t="n"/>
      <c r="K1468" s="54" t="n"/>
      <c r="L1468" s="55" t="n"/>
      <c r="M1468" s="55" t="n"/>
      <c r="N1468" s="57" t="n"/>
      <c r="O1468" s="55" t="n"/>
      <c r="P1468" s="56" t="n"/>
      <c r="Q1468" s="55" t="n"/>
      <c r="R1468" s="55" t="n"/>
      <c r="S1468" s="55" t="n"/>
      <c r="T1468" s="55" t="n"/>
      <c r="U1468" s="55" t="n"/>
      <c r="V1468" s="55" t="n"/>
      <c r="W1468" s="58" t="n"/>
      <c r="X1468" s="58" t="n"/>
      <c r="Y1468" s="55" t="n"/>
      <c r="Z1468" s="55" t="n"/>
      <c r="AA1468" s="55" t="n"/>
      <c r="AB1468" s="55" t="n"/>
      <c r="AC1468" s="55" t="n"/>
      <c r="AD1468" s="53" t="n"/>
      <c r="AE1468" s="55" t="n"/>
      <c r="AF1468" s="55" t="n"/>
      <c r="AG1468" s="59" t="n"/>
      <c r="AH1468" s="57" t="n"/>
      <c r="AI1468" s="55" t="n"/>
      <c r="AJ1468" s="55" t="n"/>
      <c r="AK1468" s="55" t="n"/>
      <c r="AL1468" s="55" t="n"/>
      <c r="AM1468" s="56" t="n"/>
      <c r="AN1468" s="55" t="n"/>
      <c r="AO1468" s="55" t="n"/>
      <c r="AP1468" s="55" t="n"/>
      <c r="AQ1468" s="55" t="n"/>
      <c r="AR1468" s="60">
        <f>IF(AND(C1468="",E1468=""),"",IF(A1468="","⚠ Date manquante",IF(AND(C1468="",E1468&lt;&gt;"Dépense"),"⚠ Prospect manquant",IF(E1468="","⚠ Action manquante",IF(AND(AU1468=1,D1468=""),"⚠ Canal manquant",IF(AND(W1468&lt;&gt;"",COUNTIFS('Saisie'!$W$5:$W$2004,W1468,'Saisie'!$C$5:$C$2004,"&lt;&gt;"&amp;C1468)&gt;0),"⚠ Numéro déjà utilisé par un autre prospect",IF(AND(J1468&lt;&gt;"",J1468&lt;A1468),"⚠ Relance avant la date de l'action",IF(A1468&gt;TODAY(),"⚠ Date dans le futur","✓"))))))))</f>
        <v/>
      </c>
      <c r="AS1468" s="61">
        <f>IF(AND(A1468="",C1468="",E1468=""),"",ROW())</f>
        <v/>
      </c>
      <c r="AT1468" s="61">
        <f>IF(E1468&amp;F1468="","",MAX(IFERROR(INDEX('Paramètres'!$J$6:$J$33,MATCH(E1468,'Paramètres'!$I$6:$I$33,0)),0),IFERROR(INDEX('Paramètres'!$N$6:$N$17,MATCH(F1468,'Paramètres'!$M$6:$M$17,0)),0)))</f>
        <v/>
      </c>
      <c r="AU1468" s="61">
        <f>IF(E1468="","",IFERROR(IF(INDEX('Paramètres'!$K$6:$K$33,MATCH(E1468,'Paramètres'!$I$6:$I$33,0))="Oui",1,0),0))</f>
        <v/>
      </c>
      <c r="AV1468" s="61">
        <f>IF(F1468="","",IFERROR(IF(INDEX('Paramètres'!$O$6:$O$17,MATCH(F1468,'Paramètres'!$M$6:$M$17,0))="Oui",1,0),0))</f>
        <v/>
      </c>
      <c r="AW1468" s="62">
        <f>IF(E1468="","",IF(G1468&lt;&gt;"",G1468,IF(OR(E1468="Proposition envoyée",E1468="Signature"),MAX(0,N(IFERROR(INDEX('Paramètres'!$R$6:$R$15,MATCH(IF(AL1468&lt;&gt;"",AL1468,IFERROR(INDEX('Prospects'!$AN$5:$AN$504,MATCH(C1468,'Prospects'!$C$5:$C$504,0)),"")),'Paramètres'!$Q$6:$Q$15,0)),0))-N(P1468)),0)))</f>
        <v/>
      </c>
      <c r="AX1468" s="61">
        <f>IF(C1468="","",IF(COUNTIF($C$5:C1468,C1468)=1,MAX($AX$4:AX1467)+1,""))</f>
        <v/>
      </c>
      <c r="AY1468" s="61">
        <f>IF(B1468="","",HOUR(B1468))</f>
        <v/>
      </c>
      <c r="AZ1468" s="61">
        <f>IF(A1468="","",MOD(A1468-2,7)+1)</f>
        <v/>
      </c>
      <c r="BA1468" s="60">
        <f>IF(C1468="","",IFERROR(INDEX('Prospects'!$N$5:$N$504,MATCH(C1468,'Prospects'!$C$5:$C$504,0)),""))</f>
        <v/>
      </c>
      <c r="BB1468" s="61">
        <f>IF(AND(C1468&lt;&gt;"",C1468='Fiche prospect'!$C$4),COUNTIF($C$5:C1468,C1468),"")</f>
        <v/>
      </c>
    </row>
    <row r="1469">
      <c r="A1469" s="53" t="n"/>
      <c r="B1469" s="54" t="n"/>
      <c r="C1469" s="55" t="n"/>
      <c r="D1469" s="55" t="n"/>
      <c r="E1469" s="55" t="n"/>
      <c r="F1469" s="55" t="n"/>
      <c r="G1469" s="56" t="n"/>
      <c r="H1469" s="57" t="n"/>
      <c r="I1469" s="55" t="n"/>
      <c r="J1469" s="53" t="n"/>
      <c r="K1469" s="54" t="n"/>
      <c r="L1469" s="55" t="n"/>
      <c r="M1469" s="55" t="n"/>
      <c r="N1469" s="57" t="n"/>
      <c r="O1469" s="55" t="n"/>
      <c r="P1469" s="56" t="n"/>
      <c r="Q1469" s="55" t="n"/>
      <c r="R1469" s="55" t="n"/>
      <c r="S1469" s="55" t="n"/>
      <c r="T1469" s="55" t="n"/>
      <c r="U1469" s="55" t="n"/>
      <c r="V1469" s="55" t="n"/>
      <c r="W1469" s="58" t="n"/>
      <c r="X1469" s="58" t="n"/>
      <c r="Y1469" s="55" t="n"/>
      <c r="Z1469" s="55" t="n"/>
      <c r="AA1469" s="55" t="n"/>
      <c r="AB1469" s="55" t="n"/>
      <c r="AC1469" s="55" t="n"/>
      <c r="AD1469" s="53" t="n"/>
      <c r="AE1469" s="55" t="n"/>
      <c r="AF1469" s="55" t="n"/>
      <c r="AG1469" s="59" t="n"/>
      <c r="AH1469" s="57" t="n"/>
      <c r="AI1469" s="55" t="n"/>
      <c r="AJ1469" s="55" t="n"/>
      <c r="AK1469" s="55" t="n"/>
      <c r="AL1469" s="55" t="n"/>
      <c r="AM1469" s="56" t="n"/>
      <c r="AN1469" s="55" t="n"/>
      <c r="AO1469" s="55" t="n"/>
      <c r="AP1469" s="55" t="n"/>
      <c r="AQ1469" s="55" t="n"/>
      <c r="AR1469" s="60">
        <f>IF(AND(C1469="",E1469=""),"",IF(A1469="","⚠ Date manquante",IF(AND(C1469="",E1469&lt;&gt;"Dépense"),"⚠ Prospect manquant",IF(E1469="","⚠ Action manquante",IF(AND(AU1469=1,D1469=""),"⚠ Canal manquant",IF(AND(W1469&lt;&gt;"",COUNTIFS('Saisie'!$W$5:$W$2004,W1469,'Saisie'!$C$5:$C$2004,"&lt;&gt;"&amp;C1469)&gt;0),"⚠ Numéro déjà utilisé par un autre prospect",IF(AND(J1469&lt;&gt;"",J1469&lt;A1469),"⚠ Relance avant la date de l'action",IF(A1469&gt;TODAY(),"⚠ Date dans le futur","✓"))))))))</f>
        <v/>
      </c>
      <c r="AS1469" s="61">
        <f>IF(AND(A1469="",C1469="",E1469=""),"",ROW())</f>
        <v/>
      </c>
      <c r="AT1469" s="61">
        <f>IF(E1469&amp;F1469="","",MAX(IFERROR(INDEX('Paramètres'!$J$6:$J$33,MATCH(E1469,'Paramètres'!$I$6:$I$33,0)),0),IFERROR(INDEX('Paramètres'!$N$6:$N$17,MATCH(F1469,'Paramètres'!$M$6:$M$17,0)),0)))</f>
        <v/>
      </c>
      <c r="AU1469" s="61">
        <f>IF(E1469="","",IFERROR(IF(INDEX('Paramètres'!$K$6:$K$33,MATCH(E1469,'Paramètres'!$I$6:$I$33,0))="Oui",1,0),0))</f>
        <v/>
      </c>
      <c r="AV1469" s="61">
        <f>IF(F1469="","",IFERROR(IF(INDEX('Paramètres'!$O$6:$O$17,MATCH(F1469,'Paramètres'!$M$6:$M$17,0))="Oui",1,0),0))</f>
        <v/>
      </c>
      <c r="AW1469" s="62">
        <f>IF(E1469="","",IF(G1469&lt;&gt;"",G1469,IF(OR(E1469="Proposition envoyée",E1469="Signature"),MAX(0,N(IFERROR(INDEX('Paramètres'!$R$6:$R$15,MATCH(IF(AL1469&lt;&gt;"",AL1469,IFERROR(INDEX('Prospects'!$AN$5:$AN$504,MATCH(C1469,'Prospects'!$C$5:$C$504,0)),"")),'Paramètres'!$Q$6:$Q$15,0)),0))-N(P1469)),0)))</f>
        <v/>
      </c>
      <c r="AX1469" s="61">
        <f>IF(C1469="","",IF(COUNTIF($C$5:C1469,C1469)=1,MAX($AX$4:AX1468)+1,""))</f>
        <v/>
      </c>
      <c r="AY1469" s="61">
        <f>IF(B1469="","",HOUR(B1469))</f>
        <v/>
      </c>
      <c r="AZ1469" s="61">
        <f>IF(A1469="","",MOD(A1469-2,7)+1)</f>
        <v/>
      </c>
      <c r="BA1469" s="60">
        <f>IF(C1469="","",IFERROR(INDEX('Prospects'!$N$5:$N$504,MATCH(C1469,'Prospects'!$C$5:$C$504,0)),""))</f>
        <v/>
      </c>
      <c r="BB1469" s="61">
        <f>IF(AND(C1469&lt;&gt;"",C1469='Fiche prospect'!$C$4),COUNTIF($C$5:C1469,C1469),"")</f>
        <v/>
      </c>
    </row>
    <row r="1470">
      <c r="A1470" s="53" t="n"/>
      <c r="B1470" s="54" t="n"/>
      <c r="C1470" s="55" t="n"/>
      <c r="D1470" s="55" t="n"/>
      <c r="E1470" s="55" t="n"/>
      <c r="F1470" s="55" t="n"/>
      <c r="G1470" s="56" t="n"/>
      <c r="H1470" s="57" t="n"/>
      <c r="I1470" s="55" t="n"/>
      <c r="J1470" s="53" t="n"/>
      <c r="K1470" s="54" t="n"/>
      <c r="L1470" s="55" t="n"/>
      <c r="M1470" s="55" t="n"/>
      <c r="N1470" s="57" t="n"/>
      <c r="O1470" s="55" t="n"/>
      <c r="P1470" s="56" t="n"/>
      <c r="Q1470" s="55" t="n"/>
      <c r="R1470" s="55" t="n"/>
      <c r="S1470" s="55" t="n"/>
      <c r="T1470" s="55" t="n"/>
      <c r="U1470" s="55" t="n"/>
      <c r="V1470" s="55" t="n"/>
      <c r="W1470" s="58" t="n"/>
      <c r="X1470" s="58" t="n"/>
      <c r="Y1470" s="55" t="n"/>
      <c r="Z1470" s="55" t="n"/>
      <c r="AA1470" s="55" t="n"/>
      <c r="AB1470" s="55" t="n"/>
      <c r="AC1470" s="55" t="n"/>
      <c r="AD1470" s="53" t="n"/>
      <c r="AE1470" s="55" t="n"/>
      <c r="AF1470" s="55" t="n"/>
      <c r="AG1470" s="59" t="n"/>
      <c r="AH1470" s="57" t="n"/>
      <c r="AI1470" s="55" t="n"/>
      <c r="AJ1470" s="55" t="n"/>
      <c r="AK1470" s="55" t="n"/>
      <c r="AL1470" s="55" t="n"/>
      <c r="AM1470" s="56" t="n"/>
      <c r="AN1470" s="55" t="n"/>
      <c r="AO1470" s="55" t="n"/>
      <c r="AP1470" s="55" t="n"/>
      <c r="AQ1470" s="55" t="n"/>
      <c r="AR1470" s="60">
        <f>IF(AND(C1470="",E1470=""),"",IF(A1470="","⚠ Date manquante",IF(AND(C1470="",E1470&lt;&gt;"Dépense"),"⚠ Prospect manquant",IF(E1470="","⚠ Action manquante",IF(AND(AU1470=1,D1470=""),"⚠ Canal manquant",IF(AND(W1470&lt;&gt;"",COUNTIFS('Saisie'!$W$5:$W$2004,W1470,'Saisie'!$C$5:$C$2004,"&lt;&gt;"&amp;C1470)&gt;0),"⚠ Numéro déjà utilisé par un autre prospect",IF(AND(J1470&lt;&gt;"",J1470&lt;A1470),"⚠ Relance avant la date de l'action",IF(A1470&gt;TODAY(),"⚠ Date dans le futur","✓"))))))))</f>
        <v/>
      </c>
      <c r="AS1470" s="61">
        <f>IF(AND(A1470="",C1470="",E1470=""),"",ROW())</f>
        <v/>
      </c>
      <c r="AT1470" s="61">
        <f>IF(E1470&amp;F1470="","",MAX(IFERROR(INDEX('Paramètres'!$J$6:$J$33,MATCH(E1470,'Paramètres'!$I$6:$I$33,0)),0),IFERROR(INDEX('Paramètres'!$N$6:$N$17,MATCH(F1470,'Paramètres'!$M$6:$M$17,0)),0)))</f>
        <v/>
      </c>
      <c r="AU1470" s="61">
        <f>IF(E1470="","",IFERROR(IF(INDEX('Paramètres'!$K$6:$K$33,MATCH(E1470,'Paramètres'!$I$6:$I$33,0))="Oui",1,0),0))</f>
        <v/>
      </c>
      <c r="AV1470" s="61">
        <f>IF(F1470="","",IFERROR(IF(INDEX('Paramètres'!$O$6:$O$17,MATCH(F1470,'Paramètres'!$M$6:$M$17,0))="Oui",1,0),0))</f>
        <v/>
      </c>
      <c r="AW1470" s="62">
        <f>IF(E1470="","",IF(G1470&lt;&gt;"",G1470,IF(OR(E1470="Proposition envoyée",E1470="Signature"),MAX(0,N(IFERROR(INDEX('Paramètres'!$R$6:$R$15,MATCH(IF(AL1470&lt;&gt;"",AL1470,IFERROR(INDEX('Prospects'!$AN$5:$AN$504,MATCH(C1470,'Prospects'!$C$5:$C$504,0)),"")),'Paramètres'!$Q$6:$Q$15,0)),0))-N(P1470)),0)))</f>
        <v/>
      </c>
      <c r="AX1470" s="61">
        <f>IF(C1470="","",IF(COUNTIF($C$5:C1470,C1470)=1,MAX($AX$4:AX1469)+1,""))</f>
        <v/>
      </c>
      <c r="AY1470" s="61">
        <f>IF(B1470="","",HOUR(B1470))</f>
        <v/>
      </c>
      <c r="AZ1470" s="61">
        <f>IF(A1470="","",MOD(A1470-2,7)+1)</f>
        <v/>
      </c>
      <c r="BA1470" s="60">
        <f>IF(C1470="","",IFERROR(INDEX('Prospects'!$N$5:$N$504,MATCH(C1470,'Prospects'!$C$5:$C$504,0)),""))</f>
        <v/>
      </c>
      <c r="BB1470" s="61">
        <f>IF(AND(C1470&lt;&gt;"",C1470='Fiche prospect'!$C$4),COUNTIF($C$5:C1470,C1470),"")</f>
        <v/>
      </c>
    </row>
    <row r="1471">
      <c r="A1471" s="53" t="n"/>
      <c r="B1471" s="54" t="n"/>
      <c r="C1471" s="55" t="n"/>
      <c r="D1471" s="55" t="n"/>
      <c r="E1471" s="55" t="n"/>
      <c r="F1471" s="55" t="n"/>
      <c r="G1471" s="56" t="n"/>
      <c r="H1471" s="57" t="n"/>
      <c r="I1471" s="55" t="n"/>
      <c r="J1471" s="53" t="n"/>
      <c r="K1471" s="54" t="n"/>
      <c r="L1471" s="55" t="n"/>
      <c r="M1471" s="55" t="n"/>
      <c r="N1471" s="57" t="n"/>
      <c r="O1471" s="55" t="n"/>
      <c r="P1471" s="56" t="n"/>
      <c r="Q1471" s="55" t="n"/>
      <c r="R1471" s="55" t="n"/>
      <c r="S1471" s="55" t="n"/>
      <c r="T1471" s="55" t="n"/>
      <c r="U1471" s="55" t="n"/>
      <c r="V1471" s="55" t="n"/>
      <c r="W1471" s="58" t="n"/>
      <c r="X1471" s="58" t="n"/>
      <c r="Y1471" s="55" t="n"/>
      <c r="Z1471" s="55" t="n"/>
      <c r="AA1471" s="55" t="n"/>
      <c r="AB1471" s="55" t="n"/>
      <c r="AC1471" s="55" t="n"/>
      <c r="AD1471" s="53" t="n"/>
      <c r="AE1471" s="55" t="n"/>
      <c r="AF1471" s="55" t="n"/>
      <c r="AG1471" s="59" t="n"/>
      <c r="AH1471" s="57" t="n"/>
      <c r="AI1471" s="55" t="n"/>
      <c r="AJ1471" s="55" t="n"/>
      <c r="AK1471" s="55" t="n"/>
      <c r="AL1471" s="55" t="n"/>
      <c r="AM1471" s="56" t="n"/>
      <c r="AN1471" s="55" t="n"/>
      <c r="AO1471" s="55" t="n"/>
      <c r="AP1471" s="55" t="n"/>
      <c r="AQ1471" s="55" t="n"/>
      <c r="AR1471" s="60">
        <f>IF(AND(C1471="",E1471=""),"",IF(A1471="","⚠ Date manquante",IF(AND(C1471="",E1471&lt;&gt;"Dépense"),"⚠ Prospect manquant",IF(E1471="","⚠ Action manquante",IF(AND(AU1471=1,D1471=""),"⚠ Canal manquant",IF(AND(W1471&lt;&gt;"",COUNTIFS('Saisie'!$W$5:$W$2004,W1471,'Saisie'!$C$5:$C$2004,"&lt;&gt;"&amp;C1471)&gt;0),"⚠ Numéro déjà utilisé par un autre prospect",IF(AND(J1471&lt;&gt;"",J1471&lt;A1471),"⚠ Relance avant la date de l'action",IF(A1471&gt;TODAY(),"⚠ Date dans le futur","✓"))))))))</f>
        <v/>
      </c>
      <c r="AS1471" s="61">
        <f>IF(AND(A1471="",C1471="",E1471=""),"",ROW())</f>
        <v/>
      </c>
      <c r="AT1471" s="61">
        <f>IF(E1471&amp;F1471="","",MAX(IFERROR(INDEX('Paramètres'!$J$6:$J$33,MATCH(E1471,'Paramètres'!$I$6:$I$33,0)),0),IFERROR(INDEX('Paramètres'!$N$6:$N$17,MATCH(F1471,'Paramètres'!$M$6:$M$17,0)),0)))</f>
        <v/>
      </c>
      <c r="AU1471" s="61">
        <f>IF(E1471="","",IFERROR(IF(INDEX('Paramètres'!$K$6:$K$33,MATCH(E1471,'Paramètres'!$I$6:$I$33,0))="Oui",1,0),0))</f>
        <v/>
      </c>
      <c r="AV1471" s="61">
        <f>IF(F1471="","",IFERROR(IF(INDEX('Paramètres'!$O$6:$O$17,MATCH(F1471,'Paramètres'!$M$6:$M$17,0))="Oui",1,0),0))</f>
        <v/>
      </c>
      <c r="AW1471" s="62">
        <f>IF(E1471="","",IF(G1471&lt;&gt;"",G1471,IF(OR(E1471="Proposition envoyée",E1471="Signature"),MAX(0,N(IFERROR(INDEX('Paramètres'!$R$6:$R$15,MATCH(IF(AL1471&lt;&gt;"",AL1471,IFERROR(INDEX('Prospects'!$AN$5:$AN$504,MATCH(C1471,'Prospects'!$C$5:$C$504,0)),"")),'Paramètres'!$Q$6:$Q$15,0)),0))-N(P1471)),0)))</f>
        <v/>
      </c>
      <c r="AX1471" s="61">
        <f>IF(C1471="","",IF(COUNTIF($C$5:C1471,C1471)=1,MAX($AX$4:AX1470)+1,""))</f>
        <v/>
      </c>
      <c r="AY1471" s="61">
        <f>IF(B1471="","",HOUR(B1471))</f>
        <v/>
      </c>
      <c r="AZ1471" s="61">
        <f>IF(A1471="","",MOD(A1471-2,7)+1)</f>
        <v/>
      </c>
      <c r="BA1471" s="60">
        <f>IF(C1471="","",IFERROR(INDEX('Prospects'!$N$5:$N$504,MATCH(C1471,'Prospects'!$C$5:$C$504,0)),""))</f>
        <v/>
      </c>
      <c r="BB1471" s="61">
        <f>IF(AND(C1471&lt;&gt;"",C1471='Fiche prospect'!$C$4),COUNTIF($C$5:C1471,C1471),"")</f>
        <v/>
      </c>
    </row>
    <row r="1472">
      <c r="A1472" s="53" t="n"/>
      <c r="B1472" s="54" t="n"/>
      <c r="C1472" s="55" t="n"/>
      <c r="D1472" s="55" t="n"/>
      <c r="E1472" s="55" t="n"/>
      <c r="F1472" s="55" t="n"/>
      <c r="G1472" s="56" t="n"/>
      <c r="H1472" s="57" t="n"/>
      <c r="I1472" s="55" t="n"/>
      <c r="J1472" s="53" t="n"/>
      <c r="K1472" s="54" t="n"/>
      <c r="L1472" s="55" t="n"/>
      <c r="M1472" s="55" t="n"/>
      <c r="N1472" s="57" t="n"/>
      <c r="O1472" s="55" t="n"/>
      <c r="P1472" s="56" t="n"/>
      <c r="Q1472" s="55" t="n"/>
      <c r="R1472" s="55" t="n"/>
      <c r="S1472" s="55" t="n"/>
      <c r="T1472" s="55" t="n"/>
      <c r="U1472" s="55" t="n"/>
      <c r="V1472" s="55" t="n"/>
      <c r="W1472" s="58" t="n"/>
      <c r="X1472" s="58" t="n"/>
      <c r="Y1472" s="55" t="n"/>
      <c r="Z1472" s="55" t="n"/>
      <c r="AA1472" s="55" t="n"/>
      <c r="AB1472" s="55" t="n"/>
      <c r="AC1472" s="55" t="n"/>
      <c r="AD1472" s="53" t="n"/>
      <c r="AE1472" s="55" t="n"/>
      <c r="AF1472" s="55" t="n"/>
      <c r="AG1472" s="59" t="n"/>
      <c r="AH1472" s="57" t="n"/>
      <c r="AI1472" s="55" t="n"/>
      <c r="AJ1472" s="55" t="n"/>
      <c r="AK1472" s="55" t="n"/>
      <c r="AL1472" s="55" t="n"/>
      <c r="AM1472" s="56" t="n"/>
      <c r="AN1472" s="55" t="n"/>
      <c r="AO1472" s="55" t="n"/>
      <c r="AP1472" s="55" t="n"/>
      <c r="AQ1472" s="55" t="n"/>
      <c r="AR1472" s="60">
        <f>IF(AND(C1472="",E1472=""),"",IF(A1472="","⚠ Date manquante",IF(AND(C1472="",E1472&lt;&gt;"Dépense"),"⚠ Prospect manquant",IF(E1472="","⚠ Action manquante",IF(AND(AU1472=1,D1472=""),"⚠ Canal manquant",IF(AND(W1472&lt;&gt;"",COUNTIFS('Saisie'!$W$5:$W$2004,W1472,'Saisie'!$C$5:$C$2004,"&lt;&gt;"&amp;C1472)&gt;0),"⚠ Numéro déjà utilisé par un autre prospect",IF(AND(J1472&lt;&gt;"",J1472&lt;A1472),"⚠ Relance avant la date de l'action",IF(A1472&gt;TODAY(),"⚠ Date dans le futur","✓"))))))))</f>
        <v/>
      </c>
      <c r="AS1472" s="61">
        <f>IF(AND(A1472="",C1472="",E1472=""),"",ROW())</f>
        <v/>
      </c>
      <c r="AT1472" s="61">
        <f>IF(E1472&amp;F1472="","",MAX(IFERROR(INDEX('Paramètres'!$J$6:$J$33,MATCH(E1472,'Paramètres'!$I$6:$I$33,0)),0),IFERROR(INDEX('Paramètres'!$N$6:$N$17,MATCH(F1472,'Paramètres'!$M$6:$M$17,0)),0)))</f>
        <v/>
      </c>
      <c r="AU1472" s="61">
        <f>IF(E1472="","",IFERROR(IF(INDEX('Paramètres'!$K$6:$K$33,MATCH(E1472,'Paramètres'!$I$6:$I$33,0))="Oui",1,0),0))</f>
        <v/>
      </c>
      <c r="AV1472" s="61">
        <f>IF(F1472="","",IFERROR(IF(INDEX('Paramètres'!$O$6:$O$17,MATCH(F1472,'Paramètres'!$M$6:$M$17,0))="Oui",1,0),0))</f>
        <v/>
      </c>
      <c r="AW1472" s="62">
        <f>IF(E1472="","",IF(G1472&lt;&gt;"",G1472,IF(OR(E1472="Proposition envoyée",E1472="Signature"),MAX(0,N(IFERROR(INDEX('Paramètres'!$R$6:$R$15,MATCH(IF(AL1472&lt;&gt;"",AL1472,IFERROR(INDEX('Prospects'!$AN$5:$AN$504,MATCH(C1472,'Prospects'!$C$5:$C$504,0)),"")),'Paramètres'!$Q$6:$Q$15,0)),0))-N(P1472)),0)))</f>
        <v/>
      </c>
      <c r="AX1472" s="61">
        <f>IF(C1472="","",IF(COUNTIF($C$5:C1472,C1472)=1,MAX($AX$4:AX1471)+1,""))</f>
        <v/>
      </c>
      <c r="AY1472" s="61">
        <f>IF(B1472="","",HOUR(B1472))</f>
        <v/>
      </c>
      <c r="AZ1472" s="61">
        <f>IF(A1472="","",MOD(A1472-2,7)+1)</f>
        <v/>
      </c>
      <c r="BA1472" s="60">
        <f>IF(C1472="","",IFERROR(INDEX('Prospects'!$N$5:$N$504,MATCH(C1472,'Prospects'!$C$5:$C$504,0)),""))</f>
        <v/>
      </c>
      <c r="BB1472" s="61">
        <f>IF(AND(C1472&lt;&gt;"",C1472='Fiche prospect'!$C$4),COUNTIF($C$5:C1472,C1472),"")</f>
        <v/>
      </c>
    </row>
    <row r="1473">
      <c r="A1473" s="53" t="n"/>
      <c r="B1473" s="54" t="n"/>
      <c r="C1473" s="55" t="n"/>
      <c r="D1473" s="55" t="n"/>
      <c r="E1473" s="55" t="n"/>
      <c r="F1473" s="55" t="n"/>
      <c r="G1473" s="56" t="n"/>
      <c r="H1473" s="57" t="n"/>
      <c r="I1473" s="55" t="n"/>
      <c r="J1473" s="53" t="n"/>
      <c r="K1473" s="54" t="n"/>
      <c r="L1473" s="55" t="n"/>
      <c r="M1473" s="55" t="n"/>
      <c r="N1473" s="57" t="n"/>
      <c r="O1473" s="55" t="n"/>
      <c r="P1473" s="56" t="n"/>
      <c r="Q1473" s="55" t="n"/>
      <c r="R1473" s="55" t="n"/>
      <c r="S1473" s="55" t="n"/>
      <c r="T1473" s="55" t="n"/>
      <c r="U1473" s="55" t="n"/>
      <c r="V1473" s="55" t="n"/>
      <c r="W1473" s="58" t="n"/>
      <c r="X1473" s="58" t="n"/>
      <c r="Y1473" s="55" t="n"/>
      <c r="Z1473" s="55" t="n"/>
      <c r="AA1473" s="55" t="n"/>
      <c r="AB1473" s="55" t="n"/>
      <c r="AC1473" s="55" t="n"/>
      <c r="AD1473" s="53" t="n"/>
      <c r="AE1473" s="55" t="n"/>
      <c r="AF1473" s="55" t="n"/>
      <c r="AG1473" s="59" t="n"/>
      <c r="AH1473" s="57" t="n"/>
      <c r="AI1473" s="55" t="n"/>
      <c r="AJ1473" s="55" t="n"/>
      <c r="AK1473" s="55" t="n"/>
      <c r="AL1473" s="55" t="n"/>
      <c r="AM1473" s="56" t="n"/>
      <c r="AN1473" s="55" t="n"/>
      <c r="AO1473" s="55" t="n"/>
      <c r="AP1473" s="55" t="n"/>
      <c r="AQ1473" s="55" t="n"/>
      <c r="AR1473" s="60">
        <f>IF(AND(C1473="",E1473=""),"",IF(A1473="","⚠ Date manquante",IF(AND(C1473="",E1473&lt;&gt;"Dépense"),"⚠ Prospect manquant",IF(E1473="","⚠ Action manquante",IF(AND(AU1473=1,D1473=""),"⚠ Canal manquant",IF(AND(W1473&lt;&gt;"",COUNTIFS('Saisie'!$W$5:$W$2004,W1473,'Saisie'!$C$5:$C$2004,"&lt;&gt;"&amp;C1473)&gt;0),"⚠ Numéro déjà utilisé par un autre prospect",IF(AND(J1473&lt;&gt;"",J1473&lt;A1473),"⚠ Relance avant la date de l'action",IF(A1473&gt;TODAY(),"⚠ Date dans le futur","✓"))))))))</f>
        <v/>
      </c>
      <c r="AS1473" s="61">
        <f>IF(AND(A1473="",C1473="",E1473=""),"",ROW())</f>
        <v/>
      </c>
      <c r="AT1473" s="61">
        <f>IF(E1473&amp;F1473="","",MAX(IFERROR(INDEX('Paramètres'!$J$6:$J$33,MATCH(E1473,'Paramètres'!$I$6:$I$33,0)),0),IFERROR(INDEX('Paramètres'!$N$6:$N$17,MATCH(F1473,'Paramètres'!$M$6:$M$17,0)),0)))</f>
        <v/>
      </c>
      <c r="AU1473" s="61">
        <f>IF(E1473="","",IFERROR(IF(INDEX('Paramètres'!$K$6:$K$33,MATCH(E1473,'Paramètres'!$I$6:$I$33,0))="Oui",1,0),0))</f>
        <v/>
      </c>
      <c r="AV1473" s="61">
        <f>IF(F1473="","",IFERROR(IF(INDEX('Paramètres'!$O$6:$O$17,MATCH(F1473,'Paramètres'!$M$6:$M$17,0))="Oui",1,0),0))</f>
        <v/>
      </c>
      <c r="AW1473" s="62">
        <f>IF(E1473="","",IF(G1473&lt;&gt;"",G1473,IF(OR(E1473="Proposition envoyée",E1473="Signature"),MAX(0,N(IFERROR(INDEX('Paramètres'!$R$6:$R$15,MATCH(IF(AL1473&lt;&gt;"",AL1473,IFERROR(INDEX('Prospects'!$AN$5:$AN$504,MATCH(C1473,'Prospects'!$C$5:$C$504,0)),"")),'Paramètres'!$Q$6:$Q$15,0)),0))-N(P1473)),0)))</f>
        <v/>
      </c>
      <c r="AX1473" s="61">
        <f>IF(C1473="","",IF(COUNTIF($C$5:C1473,C1473)=1,MAX($AX$4:AX1472)+1,""))</f>
        <v/>
      </c>
      <c r="AY1473" s="61">
        <f>IF(B1473="","",HOUR(B1473))</f>
        <v/>
      </c>
      <c r="AZ1473" s="61">
        <f>IF(A1473="","",MOD(A1473-2,7)+1)</f>
        <v/>
      </c>
      <c r="BA1473" s="60">
        <f>IF(C1473="","",IFERROR(INDEX('Prospects'!$N$5:$N$504,MATCH(C1473,'Prospects'!$C$5:$C$504,0)),""))</f>
        <v/>
      </c>
      <c r="BB1473" s="61">
        <f>IF(AND(C1473&lt;&gt;"",C1473='Fiche prospect'!$C$4),COUNTIF($C$5:C1473,C1473),"")</f>
        <v/>
      </c>
    </row>
    <row r="1474">
      <c r="A1474" s="53" t="n"/>
      <c r="B1474" s="54" t="n"/>
      <c r="C1474" s="55" t="n"/>
      <c r="D1474" s="55" t="n"/>
      <c r="E1474" s="55" t="n"/>
      <c r="F1474" s="55" t="n"/>
      <c r="G1474" s="56" t="n"/>
      <c r="H1474" s="57" t="n"/>
      <c r="I1474" s="55" t="n"/>
      <c r="J1474" s="53" t="n"/>
      <c r="K1474" s="54" t="n"/>
      <c r="L1474" s="55" t="n"/>
      <c r="M1474" s="55" t="n"/>
      <c r="N1474" s="57" t="n"/>
      <c r="O1474" s="55" t="n"/>
      <c r="P1474" s="56" t="n"/>
      <c r="Q1474" s="55" t="n"/>
      <c r="R1474" s="55" t="n"/>
      <c r="S1474" s="55" t="n"/>
      <c r="T1474" s="55" t="n"/>
      <c r="U1474" s="55" t="n"/>
      <c r="V1474" s="55" t="n"/>
      <c r="W1474" s="58" t="n"/>
      <c r="X1474" s="58" t="n"/>
      <c r="Y1474" s="55" t="n"/>
      <c r="Z1474" s="55" t="n"/>
      <c r="AA1474" s="55" t="n"/>
      <c r="AB1474" s="55" t="n"/>
      <c r="AC1474" s="55" t="n"/>
      <c r="AD1474" s="53" t="n"/>
      <c r="AE1474" s="55" t="n"/>
      <c r="AF1474" s="55" t="n"/>
      <c r="AG1474" s="59" t="n"/>
      <c r="AH1474" s="57" t="n"/>
      <c r="AI1474" s="55" t="n"/>
      <c r="AJ1474" s="55" t="n"/>
      <c r="AK1474" s="55" t="n"/>
      <c r="AL1474" s="55" t="n"/>
      <c r="AM1474" s="56" t="n"/>
      <c r="AN1474" s="55" t="n"/>
      <c r="AO1474" s="55" t="n"/>
      <c r="AP1474" s="55" t="n"/>
      <c r="AQ1474" s="55" t="n"/>
      <c r="AR1474" s="60">
        <f>IF(AND(C1474="",E1474=""),"",IF(A1474="","⚠ Date manquante",IF(AND(C1474="",E1474&lt;&gt;"Dépense"),"⚠ Prospect manquant",IF(E1474="","⚠ Action manquante",IF(AND(AU1474=1,D1474=""),"⚠ Canal manquant",IF(AND(W1474&lt;&gt;"",COUNTIFS('Saisie'!$W$5:$W$2004,W1474,'Saisie'!$C$5:$C$2004,"&lt;&gt;"&amp;C1474)&gt;0),"⚠ Numéro déjà utilisé par un autre prospect",IF(AND(J1474&lt;&gt;"",J1474&lt;A1474),"⚠ Relance avant la date de l'action",IF(A1474&gt;TODAY(),"⚠ Date dans le futur","✓"))))))))</f>
        <v/>
      </c>
      <c r="AS1474" s="61">
        <f>IF(AND(A1474="",C1474="",E1474=""),"",ROW())</f>
        <v/>
      </c>
      <c r="AT1474" s="61">
        <f>IF(E1474&amp;F1474="","",MAX(IFERROR(INDEX('Paramètres'!$J$6:$J$33,MATCH(E1474,'Paramètres'!$I$6:$I$33,0)),0),IFERROR(INDEX('Paramètres'!$N$6:$N$17,MATCH(F1474,'Paramètres'!$M$6:$M$17,0)),0)))</f>
        <v/>
      </c>
      <c r="AU1474" s="61">
        <f>IF(E1474="","",IFERROR(IF(INDEX('Paramètres'!$K$6:$K$33,MATCH(E1474,'Paramètres'!$I$6:$I$33,0))="Oui",1,0),0))</f>
        <v/>
      </c>
      <c r="AV1474" s="61">
        <f>IF(F1474="","",IFERROR(IF(INDEX('Paramètres'!$O$6:$O$17,MATCH(F1474,'Paramètres'!$M$6:$M$17,0))="Oui",1,0),0))</f>
        <v/>
      </c>
      <c r="AW1474" s="62">
        <f>IF(E1474="","",IF(G1474&lt;&gt;"",G1474,IF(OR(E1474="Proposition envoyée",E1474="Signature"),MAX(0,N(IFERROR(INDEX('Paramètres'!$R$6:$R$15,MATCH(IF(AL1474&lt;&gt;"",AL1474,IFERROR(INDEX('Prospects'!$AN$5:$AN$504,MATCH(C1474,'Prospects'!$C$5:$C$504,0)),"")),'Paramètres'!$Q$6:$Q$15,0)),0))-N(P1474)),0)))</f>
        <v/>
      </c>
      <c r="AX1474" s="61">
        <f>IF(C1474="","",IF(COUNTIF($C$5:C1474,C1474)=1,MAX($AX$4:AX1473)+1,""))</f>
        <v/>
      </c>
      <c r="AY1474" s="61">
        <f>IF(B1474="","",HOUR(B1474))</f>
        <v/>
      </c>
      <c r="AZ1474" s="61">
        <f>IF(A1474="","",MOD(A1474-2,7)+1)</f>
        <v/>
      </c>
      <c r="BA1474" s="60">
        <f>IF(C1474="","",IFERROR(INDEX('Prospects'!$N$5:$N$504,MATCH(C1474,'Prospects'!$C$5:$C$504,0)),""))</f>
        <v/>
      </c>
      <c r="BB1474" s="61">
        <f>IF(AND(C1474&lt;&gt;"",C1474='Fiche prospect'!$C$4),COUNTIF($C$5:C1474,C1474),"")</f>
        <v/>
      </c>
    </row>
    <row r="1475">
      <c r="A1475" s="53" t="n"/>
      <c r="B1475" s="54" t="n"/>
      <c r="C1475" s="55" t="n"/>
      <c r="D1475" s="55" t="n"/>
      <c r="E1475" s="55" t="n"/>
      <c r="F1475" s="55" t="n"/>
      <c r="G1475" s="56" t="n"/>
      <c r="H1475" s="57" t="n"/>
      <c r="I1475" s="55" t="n"/>
      <c r="J1475" s="53" t="n"/>
      <c r="K1475" s="54" t="n"/>
      <c r="L1475" s="55" t="n"/>
      <c r="M1475" s="55" t="n"/>
      <c r="N1475" s="57" t="n"/>
      <c r="O1475" s="55" t="n"/>
      <c r="P1475" s="56" t="n"/>
      <c r="Q1475" s="55" t="n"/>
      <c r="R1475" s="55" t="n"/>
      <c r="S1475" s="55" t="n"/>
      <c r="T1475" s="55" t="n"/>
      <c r="U1475" s="55" t="n"/>
      <c r="V1475" s="55" t="n"/>
      <c r="W1475" s="58" t="n"/>
      <c r="X1475" s="58" t="n"/>
      <c r="Y1475" s="55" t="n"/>
      <c r="Z1475" s="55" t="n"/>
      <c r="AA1475" s="55" t="n"/>
      <c r="AB1475" s="55" t="n"/>
      <c r="AC1475" s="55" t="n"/>
      <c r="AD1475" s="53" t="n"/>
      <c r="AE1475" s="55" t="n"/>
      <c r="AF1475" s="55" t="n"/>
      <c r="AG1475" s="59" t="n"/>
      <c r="AH1475" s="57" t="n"/>
      <c r="AI1475" s="55" t="n"/>
      <c r="AJ1475" s="55" t="n"/>
      <c r="AK1475" s="55" t="n"/>
      <c r="AL1475" s="55" t="n"/>
      <c r="AM1475" s="56" t="n"/>
      <c r="AN1475" s="55" t="n"/>
      <c r="AO1475" s="55" t="n"/>
      <c r="AP1475" s="55" t="n"/>
      <c r="AQ1475" s="55" t="n"/>
      <c r="AR1475" s="60">
        <f>IF(AND(C1475="",E1475=""),"",IF(A1475="","⚠ Date manquante",IF(AND(C1475="",E1475&lt;&gt;"Dépense"),"⚠ Prospect manquant",IF(E1475="","⚠ Action manquante",IF(AND(AU1475=1,D1475=""),"⚠ Canal manquant",IF(AND(W1475&lt;&gt;"",COUNTIFS('Saisie'!$W$5:$W$2004,W1475,'Saisie'!$C$5:$C$2004,"&lt;&gt;"&amp;C1475)&gt;0),"⚠ Numéro déjà utilisé par un autre prospect",IF(AND(J1475&lt;&gt;"",J1475&lt;A1475),"⚠ Relance avant la date de l'action",IF(A1475&gt;TODAY(),"⚠ Date dans le futur","✓"))))))))</f>
        <v/>
      </c>
      <c r="AS1475" s="61">
        <f>IF(AND(A1475="",C1475="",E1475=""),"",ROW())</f>
        <v/>
      </c>
      <c r="AT1475" s="61">
        <f>IF(E1475&amp;F1475="","",MAX(IFERROR(INDEX('Paramètres'!$J$6:$J$33,MATCH(E1475,'Paramètres'!$I$6:$I$33,0)),0),IFERROR(INDEX('Paramètres'!$N$6:$N$17,MATCH(F1475,'Paramètres'!$M$6:$M$17,0)),0)))</f>
        <v/>
      </c>
      <c r="AU1475" s="61">
        <f>IF(E1475="","",IFERROR(IF(INDEX('Paramètres'!$K$6:$K$33,MATCH(E1475,'Paramètres'!$I$6:$I$33,0))="Oui",1,0),0))</f>
        <v/>
      </c>
      <c r="AV1475" s="61">
        <f>IF(F1475="","",IFERROR(IF(INDEX('Paramètres'!$O$6:$O$17,MATCH(F1475,'Paramètres'!$M$6:$M$17,0))="Oui",1,0),0))</f>
        <v/>
      </c>
      <c r="AW1475" s="62">
        <f>IF(E1475="","",IF(G1475&lt;&gt;"",G1475,IF(OR(E1475="Proposition envoyée",E1475="Signature"),MAX(0,N(IFERROR(INDEX('Paramètres'!$R$6:$R$15,MATCH(IF(AL1475&lt;&gt;"",AL1475,IFERROR(INDEX('Prospects'!$AN$5:$AN$504,MATCH(C1475,'Prospects'!$C$5:$C$504,0)),"")),'Paramètres'!$Q$6:$Q$15,0)),0))-N(P1475)),0)))</f>
        <v/>
      </c>
      <c r="AX1475" s="61">
        <f>IF(C1475="","",IF(COUNTIF($C$5:C1475,C1475)=1,MAX($AX$4:AX1474)+1,""))</f>
        <v/>
      </c>
      <c r="AY1475" s="61">
        <f>IF(B1475="","",HOUR(B1475))</f>
        <v/>
      </c>
      <c r="AZ1475" s="61">
        <f>IF(A1475="","",MOD(A1475-2,7)+1)</f>
        <v/>
      </c>
      <c r="BA1475" s="60">
        <f>IF(C1475="","",IFERROR(INDEX('Prospects'!$N$5:$N$504,MATCH(C1475,'Prospects'!$C$5:$C$504,0)),""))</f>
        <v/>
      </c>
      <c r="BB1475" s="61">
        <f>IF(AND(C1475&lt;&gt;"",C1475='Fiche prospect'!$C$4),COUNTIF($C$5:C1475,C1475),"")</f>
        <v/>
      </c>
    </row>
    <row r="1476">
      <c r="A1476" s="53" t="n"/>
      <c r="B1476" s="54" t="n"/>
      <c r="C1476" s="55" t="n"/>
      <c r="D1476" s="55" t="n"/>
      <c r="E1476" s="55" t="n"/>
      <c r="F1476" s="55" t="n"/>
      <c r="G1476" s="56" t="n"/>
      <c r="H1476" s="57" t="n"/>
      <c r="I1476" s="55" t="n"/>
      <c r="J1476" s="53" t="n"/>
      <c r="K1476" s="54" t="n"/>
      <c r="L1476" s="55" t="n"/>
      <c r="M1476" s="55" t="n"/>
      <c r="N1476" s="57" t="n"/>
      <c r="O1476" s="55" t="n"/>
      <c r="P1476" s="56" t="n"/>
      <c r="Q1476" s="55" t="n"/>
      <c r="R1476" s="55" t="n"/>
      <c r="S1476" s="55" t="n"/>
      <c r="T1476" s="55" t="n"/>
      <c r="U1476" s="55" t="n"/>
      <c r="V1476" s="55" t="n"/>
      <c r="W1476" s="58" t="n"/>
      <c r="X1476" s="58" t="n"/>
      <c r="Y1476" s="55" t="n"/>
      <c r="Z1476" s="55" t="n"/>
      <c r="AA1476" s="55" t="n"/>
      <c r="AB1476" s="55" t="n"/>
      <c r="AC1476" s="55" t="n"/>
      <c r="AD1476" s="53" t="n"/>
      <c r="AE1476" s="55" t="n"/>
      <c r="AF1476" s="55" t="n"/>
      <c r="AG1476" s="59" t="n"/>
      <c r="AH1476" s="57" t="n"/>
      <c r="AI1476" s="55" t="n"/>
      <c r="AJ1476" s="55" t="n"/>
      <c r="AK1476" s="55" t="n"/>
      <c r="AL1476" s="55" t="n"/>
      <c r="AM1476" s="56" t="n"/>
      <c r="AN1476" s="55" t="n"/>
      <c r="AO1476" s="55" t="n"/>
      <c r="AP1476" s="55" t="n"/>
      <c r="AQ1476" s="55" t="n"/>
      <c r="AR1476" s="60">
        <f>IF(AND(C1476="",E1476=""),"",IF(A1476="","⚠ Date manquante",IF(AND(C1476="",E1476&lt;&gt;"Dépense"),"⚠ Prospect manquant",IF(E1476="","⚠ Action manquante",IF(AND(AU1476=1,D1476=""),"⚠ Canal manquant",IF(AND(W1476&lt;&gt;"",COUNTIFS('Saisie'!$W$5:$W$2004,W1476,'Saisie'!$C$5:$C$2004,"&lt;&gt;"&amp;C1476)&gt;0),"⚠ Numéro déjà utilisé par un autre prospect",IF(AND(J1476&lt;&gt;"",J1476&lt;A1476),"⚠ Relance avant la date de l'action",IF(A1476&gt;TODAY(),"⚠ Date dans le futur","✓"))))))))</f>
        <v/>
      </c>
      <c r="AS1476" s="61">
        <f>IF(AND(A1476="",C1476="",E1476=""),"",ROW())</f>
        <v/>
      </c>
      <c r="AT1476" s="61">
        <f>IF(E1476&amp;F1476="","",MAX(IFERROR(INDEX('Paramètres'!$J$6:$J$33,MATCH(E1476,'Paramètres'!$I$6:$I$33,0)),0),IFERROR(INDEX('Paramètres'!$N$6:$N$17,MATCH(F1476,'Paramètres'!$M$6:$M$17,0)),0)))</f>
        <v/>
      </c>
      <c r="AU1476" s="61">
        <f>IF(E1476="","",IFERROR(IF(INDEX('Paramètres'!$K$6:$K$33,MATCH(E1476,'Paramètres'!$I$6:$I$33,0))="Oui",1,0),0))</f>
        <v/>
      </c>
      <c r="AV1476" s="61">
        <f>IF(F1476="","",IFERROR(IF(INDEX('Paramètres'!$O$6:$O$17,MATCH(F1476,'Paramètres'!$M$6:$M$17,0))="Oui",1,0),0))</f>
        <v/>
      </c>
      <c r="AW1476" s="62">
        <f>IF(E1476="","",IF(G1476&lt;&gt;"",G1476,IF(OR(E1476="Proposition envoyée",E1476="Signature"),MAX(0,N(IFERROR(INDEX('Paramètres'!$R$6:$R$15,MATCH(IF(AL1476&lt;&gt;"",AL1476,IFERROR(INDEX('Prospects'!$AN$5:$AN$504,MATCH(C1476,'Prospects'!$C$5:$C$504,0)),"")),'Paramètres'!$Q$6:$Q$15,0)),0))-N(P1476)),0)))</f>
        <v/>
      </c>
      <c r="AX1476" s="61">
        <f>IF(C1476="","",IF(COUNTIF($C$5:C1476,C1476)=1,MAX($AX$4:AX1475)+1,""))</f>
        <v/>
      </c>
      <c r="AY1476" s="61">
        <f>IF(B1476="","",HOUR(B1476))</f>
        <v/>
      </c>
      <c r="AZ1476" s="61">
        <f>IF(A1476="","",MOD(A1476-2,7)+1)</f>
        <v/>
      </c>
      <c r="BA1476" s="60">
        <f>IF(C1476="","",IFERROR(INDEX('Prospects'!$N$5:$N$504,MATCH(C1476,'Prospects'!$C$5:$C$504,0)),""))</f>
        <v/>
      </c>
      <c r="BB1476" s="61">
        <f>IF(AND(C1476&lt;&gt;"",C1476='Fiche prospect'!$C$4),COUNTIF($C$5:C1476,C1476),"")</f>
        <v/>
      </c>
    </row>
    <row r="1477">
      <c r="A1477" s="53" t="n"/>
      <c r="B1477" s="54" t="n"/>
      <c r="C1477" s="55" t="n"/>
      <c r="D1477" s="55" t="n"/>
      <c r="E1477" s="55" t="n"/>
      <c r="F1477" s="55" t="n"/>
      <c r="G1477" s="56" t="n"/>
      <c r="H1477" s="57" t="n"/>
      <c r="I1477" s="55" t="n"/>
      <c r="J1477" s="53" t="n"/>
      <c r="K1477" s="54" t="n"/>
      <c r="L1477" s="55" t="n"/>
      <c r="M1477" s="55" t="n"/>
      <c r="N1477" s="57" t="n"/>
      <c r="O1477" s="55" t="n"/>
      <c r="P1477" s="56" t="n"/>
      <c r="Q1477" s="55" t="n"/>
      <c r="R1477" s="55" t="n"/>
      <c r="S1477" s="55" t="n"/>
      <c r="T1477" s="55" t="n"/>
      <c r="U1477" s="55" t="n"/>
      <c r="V1477" s="55" t="n"/>
      <c r="W1477" s="58" t="n"/>
      <c r="X1477" s="58" t="n"/>
      <c r="Y1477" s="55" t="n"/>
      <c r="Z1477" s="55" t="n"/>
      <c r="AA1477" s="55" t="n"/>
      <c r="AB1477" s="55" t="n"/>
      <c r="AC1477" s="55" t="n"/>
      <c r="AD1477" s="53" t="n"/>
      <c r="AE1477" s="55" t="n"/>
      <c r="AF1477" s="55" t="n"/>
      <c r="AG1477" s="59" t="n"/>
      <c r="AH1477" s="57" t="n"/>
      <c r="AI1477" s="55" t="n"/>
      <c r="AJ1477" s="55" t="n"/>
      <c r="AK1477" s="55" t="n"/>
      <c r="AL1477" s="55" t="n"/>
      <c r="AM1477" s="56" t="n"/>
      <c r="AN1477" s="55" t="n"/>
      <c r="AO1477" s="55" t="n"/>
      <c r="AP1477" s="55" t="n"/>
      <c r="AQ1477" s="55" t="n"/>
      <c r="AR1477" s="60">
        <f>IF(AND(C1477="",E1477=""),"",IF(A1477="","⚠ Date manquante",IF(AND(C1477="",E1477&lt;&gt;"Dépense"),"⚠ Prospect manquant",IF(E1477="","⚠ Action manquante",IF(AND(AU1477=1,D1477=""),"⚠ Canal manquant",IF(AND(W1477&lt;&gt;"",COUNTIFS('Saisie'!$W$5:$W$2004,W1477,'Saisie'!$C$5:$C$2004,"&lt;&gt;"&amp;C1477)&gt;0),"⚠ Numéro déjà utilisé par un autre prospect",IF(AND(J1477&lt;&gt;"",J1477&lt;A1477),"⚠ Relance avant la date de l'action",IF(A1477&gt;TODAY(),"⚠ Date dans le futur","✓"))))))))</f>
        <v/>
      </c>
      <c r="AS1477" s="61">
        <f>IF(AND(A1477="",C1477="",E1477=""),"",ROW())</f>
        <v/>
      </c>
      <c r="AT1477" s="61">
        <f>IF(E1477&amp;F1477="","",MAX(IFERROR(INDEX('Paramètres'!$J$6:$J$33,MATCH(E1477,'Paramètres'!$I$6:$I$33,0)),0),IFERROR(INDEX('Paramètres'!$N$6:$N$17,MATCH(F1477,'Paramètres'!$M$6:$M$17,0)),0)))</f>
        <v/>
      </c>
      <c r="AU1477" s="61">
        <f>IF(E1477="","",IFERROR(IF(INDEX('Paramètres'!$K$6:$K$33,MATCH(E1477,'Paramètres'!$I$6:$I$33,0))="Oui",1,0),0))</f>
        <v/>
      </c>
      <c r="AV1477" s="61">
        <f>IF(F1477="","",IFERROR(IF(INDEX('Paramètres'!$O$6:$O$17,MATCH(F1477,'Paramètres'!$M$6:$M$17,0))="Oui",1,0),0))</f>
        <v/>
      </c>
      <c r="AW1477" s="62">
        <f>IF(E1477="","",IF(G1477&lt;&gt;"",G1477,IF(OR(E1477="Proposition envoyée",E1477="Signature"),MAX(0,N(IFERROR(INDEX('Paramètres'!$R$6:$R$15,MATCH(IF(AL1477&lt;&gt;"",AL1477,IFERROR(INDEX('Prospects'!$AN$5:$AN$504,MATCH(C1477,'Prospects'!$C$5:$C$504,0)),"")),'Paramètres'!$Q$6:$Q$15,0)),0))-N(P1477)),0)))</f>
        <v/>
      </c>
      <c r="AX1477" s="61">
        <f>IF(C1477="","",IF(COUNTIF($C$5:C1477,C1477)=1,MAX($AX$4:AX1476)+1,""))</f>
        <v/>
      </c>
      <c r="AY1477" s="61">
        <f>IF(B1477="","",HOUR(B1477))</f>
        <v/>
      </c>
      <c r="AZ1477" s="61">
        <f>IF(A1477="","",MOD(A1477-2,7)+1)</f>
        <v/>
      </c>
      <c r="BA1477" s="60">
        <f>IF(C1477="","",IFERROR(INDEX('Prospects'!$N$5:$N$504,MATCH(C1477,'Prospects'!$C$5:$C$504,0)),""))</f>
        <v/>
      </c>
      <c r="BB1477" s="61">
        <f>IF(AND(C1477&lt;&gt;"",C1477='Fiche prospect'!$C$4),COUNTIF($C$5:C1477,C1477),"")</f>
        <v/>
      </c>
    </row>
    <row r="1478">
      <c r="A1478" s="53" t="n"/>
      <c r="B1478" s="54" t="n"/>
      <c r="C1478" s="55" t="n"/>
      <c r="D1478" s="55" t="n"/>
      <c r="E1478" s="55" t="n"/>
      <c r="F1478" s="55" t="n"/>
      <c r="G1478" s="56" t="n"/>
      <c r="H1478" s="57" t="n"/>
      <c r="I1478" s="55" t="n"/>
      <c r="J1478" s="53" t="n"/>
      <c r="K1478" s="54" t="n"/>
      <c r="L1478" s="55" t="n"/>
      <c r="M1478" s="55" t="n"/>
      <c r="N1478" s="57" t="n"/>
      <c r="O1478" s="55" t="n"/>
      <c r="P1478" s="56" t="n"/>
      <c r="Q1478" s="55" t="n"/>
      <c r="R1478" s="55" t="n"/>
      <c r="S1478" s="55" t="n"/>
      <c r="T1478" s="55" t="n"/>
      <c r="U1478" s="55" t="n"/>
      <c r="V1478" s="55" t="n"/>
      <c r="W1478" s="58" t="n"/>
      <c r="X1478" s="58" t="n"/>
      <c r="Y1478" s="55" t="n"/>
      <c r="Z1478" s="55" t="n"/>
      <c r="AA1478" s="55" t="n"/>
      <c r="AB1478" s="55" t="n"/>
      <c r="AC1478" s="55" t="n"/>
      <c r="AD1478" s="53" t="n"/>
      <c r="AE1478" s="55" t="n"/>
      <c r="AF1478" s="55" t="n"/>
      <c r="AG1478" s="59" t="n"/>
      <c r="AH1478" s="57" t="n"/>
      <c r="AI1478" s="55" t="n"/>
      <c r="AJ1478" s="55" t="n"/>
      <c r="AK1478" s="55" t="n"/>
      <c r="AL1478" s="55" t="n"/>
      <c r="AM1478" s="56" t="n"/>
      <c r="AN1478" s="55" t="n"/>
      <c r="AO1478" s="55" t="n"/>
      <c r="AP1478" s="55" t="n"/>
      <c r="AQ1478" s="55" t="n"/>
      <c r="AR1478" s="60">
        <f>IF(AND(C1478="",E1478=""),"",IF(A1478="","⚠ Date manquante",IF(AND(C1478="",E1478&lt;&gt;"Dépense"),"⚠ Prospect manquant",IF(E1478="","⚠ Action manquante",IF(AND(AU1478=1,D1478=""),"⚠ Canal manquant",IF(AND(W1478&lt;&gt;"",COUNTIFS('Saisie'!$W$5:$W$2004,W1478,'Saisie'!$C$5:$C$2004,"&lt;&gt;"&amp;C1478)&gt;0),"⚠ Numéro déjà utilisé par un autre prospect",IF(AND(J1478&lt;&gt;"",J1478&lt;A1478),"⚠ Relance avant la date de l'action",IF(A1478&gt;TODAY(),"⚠ Date dans le futur","✓"))))))))</f>
        <v/>
      </c>
      <c r="AS1478" s="61">
        <f>IF(AND(A1478="",C1478="",E1478=""),"",ROW())</f>
        <v/>
      </c>
      <c r="AT1478" s="61">
        <f>IF(E1478&amp;F1478="","",MAX(IFERROR(INDEX('Paramètres'!$J$6:$J$33,MATCH(E1478,'Paramètres'!$I$6:$I$33,0)),0),IFERROR(INDEX('Paramètres'!$N$6:$N$17,MATCH(F1478,'Paramètres'!$M$6:$M$17,0)),0)))</f>
        <v/>
      </c>
      <c r="AU1478" s="61">
        <f>IF(E1478="","",IFERROR(IF(INDEX('Paramètres'!$K$6:$K$33,MATCH(E1478,'Paramètres'!$I$6:$I$33,0))="Oui",1,0),0))</f>
        <v/>
      </c>
      <c r="AV1478" s="61">
        <f>IF(F1478="","",IFERROR(IF(INDEX('Paramètres'!$O$6:$O$17,MATCH(F1478,'Paramètres'!$M$6:$M$17,0))="Oui",1,0),0))</f>
        <v/>
      </c>
      <c r="AW1478" s="62">
        <f>IF(E1478="","",IF(G1478&lt;&gt;"",G1478,IF(OR(E1478="Proposition envoyée",E1478="Signature"),MAX(0,N(IFERROR(INDEX('Paramètres'!$R$6:$R$15,MATCH(IF(AL1478&lt;&gt;"",AL1478,IFERROR(INDEX('Prospects'!$AN$5:$AN$504,MATCH(C1478,'Prospects'!$C$5:$C$504,0)),"")),'Paramètres'!$Q$6:$Q$15,0)),0))-N(P1478)),0)))</f>
        <v/>
      </c>
      <c r="AX1478" s="61">
        <f>IF(C1478="","",IF(COUNTIF($C$5:C1478,C1478)=1,MAX($AX$4:AX1477)+1,""))</f>
        <v/>
      </c>
      <c r="AY1478" s="61">
        <f>IF(B1478="","",HOUR(B1478))</f>
        <v/>
      </c>
      <c r="AZ1478" s="61">
        <f>IF(A1478="","",MOD(A1478-2,7)+1)</f>
        <v/>
      </c>
      <c r="BA1478" s="60">
        <f>IF(C1478="","",IFERROR(INDEX('Prospects'!$N$5:$N$504,MATCH(C1478,'Prospects'!$C$5:$C$504,0)),""))</f>
        <v/>
      </c>
      <c r="BB1478" s="61">
        <f>IF(AND(C1478&lt;&gt;"",C1478='Fiche prospect'!$C$4),COUNTIF($C$5:C1478,C1478),"")</f>
        <v/>
      </c>
    </row>
    <row r="1479">
      <c r="A1479" s="53" t="n"/>
      <c r="B1479" s="54" t="n"/>
      <c r="C1479" s="55" t="n"/>
      <c r="D1479" s="55" t="n"/>
      <c r="E1479" s="55" t="n"/>
      <c r="F1479" s="55" t="n"/>
      <c r="G1479" s="56" t="n"/>
      <c r="H1479" s="57" t="n"/>
      <c r="I1479" s="55" t="n"/>
      <c r="J1479" s="53" t="n"/>
      <c r="K1479" s="54" t="n"/>
      <c r="L1479" s="55" t="n"/>
      <c r="M1479" s="55" t="n"/>
      <c r="N1479" s="57" t="n"/>
      <c r="O1479" s="55" t="n"/>
      <c r="P1479" s="56" t="n"/>
      <c r="Q1479" s="55" t="n"/>
      <c r="R1479" s="55" t="n"/>
      <c r="S1479" s="55" t="n"/>
      <c r="T1479" s="55" t="n"/>
      <c r="U1479" s="55" t="n"/>
      <c r="V1479" s="55" t="n"/>
      <c r="W1479" s="58" t="n"/>
      <c r="X1479" s="58" t="n"/>
      <c r="Y1479" s="55" t="n"/>
      <c r="Z1479" s="55" t="n"/>
      <c r="AA1479" s="55" t="n"/>
      <c r="AB1479" s="55" t="n"/>
      <c r="AC1479" s="55" t="n"/>
      <c r="AD1479" s="53" t="n"/>
      <c r="AE1479" s="55" t="n"/>
      <c r="AF1479" s="55" t="n"/>
      <c r="AG1479" s="59" t="n"/>
      <c r="AH1479" s="57" t="n"/>
      <c r="AI1479" s="55" t="n"/>
      <c r="AJ1479" s="55" t="n"/>
      <c r="AK1479" s="55" t="n"/>
      <c r="AL1479" s="55" t="n"/>
      <c r="AM1479" s="56" t="n"/>
      <c r="AN1479" s="55" t="n"/>
      <c r="AO1479" s="55" t="n"/>
      <c r="AP1479" s="55" t="n"/>
      <c r="AQ1479" s="55" t="n"/>
      <c r="AR1479" s="60">
        <f>IF(AND(C1479="",E1479=""),"",IF(A1479="","⚠ Date manquante",IF(AND(C1479="",E1479&lt;&gt;"Dépense"),"⚠ Prospect manquant",IF(E1479="","⚠ Action manquante",IF(AND(AU1479=1,D1479=""),"⚠ Canal manquant",IF(AND(W1479&lt;&gt;"",COUNTIFS('Saisie'!$W$5:$W$2004,W1479,'Saisie'!$C$5:$C$2004,"&lt;&gt;"&amp;C1479)&gt;0),"⚠ Numéro déjà utilisé par un autre prospect",IF(AND(J1479&lt;&gt;"",J1479&lt;A1479),"⚠ Relance avant la date de l'action",IF(A1479&gt;TODAY(),"⚠ Date dans le futur","✓"))))))))</f>
        <v/>
      </c>
      <c r="AS1479" s="61">
        <f>IF(AND(A1479="",C1479="",E1479=""),"",ROW())</f>
        <v/>
      </c>
      <c r="AT1479" s="61">
        <f>IF(E1479&amp;F1479="","",MAX(IFERROR(INDEX('Paramètres'!$J$6:$J$33,MATCH(E1479,'Paramètres'!$I$6:$I$33,0)),0),IFERROR(INDEX('Paramètres'!$N$6:$N$17,MATCH(F1479,'Paramètres'!$M$6:$M$17,0)),0)))</f>
        <v/>
      </c>
      <c r="AU1479" s="61">
        <f>IF(E1479="","",IFERROR(IF(INDEX('Paramètres'!$K$6:$K$33,MATCH(E1479,'Paramètres'!$I$6:$I$33,0))="Oui",1,0),0))</f>
        <v/>
      </c>
      <c r="AV1479" s="61">
        <f>IF(F1479="","",IFERROR(IF(INDEX('Paramètres'!$O$6:$O$17,MATCH(F1479,'Paramètres'!$M$6:$M$17,0))="Oui",1,0),0))</f>
        <v/>
      </c>
      <c r="AW1479" s="62">
        <f>IF(E1479="","",IF(G1479&lt;&gt;"",G1479,IF(OR(E1479="Proposition envoyée",E1479="Signature"),MAX(0,N(IFERROR(INDEX('Paramètres'!$R$6:$R$15,MATCH(IF(AL1479&lt;&gt;"",AL1479,IFERROR(INDEX('Prospects'!$AN$5:$AN$504,MATCH(C1479,'Prospects'!$C$5:$C$504,0)),"")),'Paramètres'!$Q$6:$Q$15,0)),0))-N(P1479)),0)))</f>
        <v/>
      </c>
      <c r="AX1479" s="61">
        <f>IF(C1479="","",IF(COUNTIF($C$5:C1479,C1479)=1,MAX($AX$4:AX1478)+1,""))</f>
        <v/>
      </c>
      <c r="AY1479" s="61">
        <f>IF(B1479="","",HOUR(B1479))</f>
        <v/>
      </c>
      <c r="AZ1479" s="61">
        <f>IF(A1479="","",MOD(A1479-2,7)+1)</f>
        <v/>
      </c>
      <c r="BA1479" s="60">
        <f>IF(C1479="","",IFERROR(INDEX('Prospects'!$N$5:$N$504,MATCH(C1479,'Prospects'!$C$5:$C$504,0)),""))</f>
        <v/>
      </c>
      <c r="BB1479" s="61">
        <f>IF(AND(C1479&lt;&gt;"",C1479='Fiche prospect'!$C$4),COUNTIF($C$5:C1479,C1479),"")</f>
        <v/>
      </c>
    </row>
    <row r="1480">
      <c r="A1480" s="53" t="n"/>
      <c r="B1480" s="54" t="n"/>
      <c r="C1480" s="55" t="n"/>
      <c r="D1480" s="55" t="n"/>
      <c r="E1480" s="55" t="n"/>
      <c r="F1480" s="55" t="n"/>
      <c r="G1480" s="56" t="n"/>
      <c r="H1480" s="57" t="n"/>
      <c r="I1480" s="55" t="n"/>
      <c r="J1480" s="53" t="n"/>
      <c r="K1480" s="54" t="n"/>
      <c r="L1480" s="55" t="n"/>
      <c r="M1480" s="55" t="n"/>
      <c r="N1480" s="57" t="n"/>
      <c r="O1480" s="55" t="n"/>
      <c r="P1480" s="56" t="n"/>
      <c r="Q1480" s="55" t="n"/>
      <c r="R1480" s="55" t="n"/>
      <c r="S1480" s="55" t="n"/>
      <c r="T1480" s="55" t="n"/>
      <c r="U1480" s="55" t="n"/>
      <c r="V1480" s="55" t="n"/>
      <c r="W1480" s="58" t="n"/>
      <c r="X1480" s="58" t="n"/>
      <c r="Y1480" s="55" t="n"/>
      <c r="Z1480" s="55" t="n"/>
      <c r="AA1480" s="55" t="n"/>
      <c r="AB1480" s="55" t="n"/>
      <c r="AC1480" s="55" t="n"/>
      <c r="AD1480" s="53" t="n"/>
      <c r="AE1480" s="55" t="n"/>
      <c r="AF1480" s="55" t="n"/>
      <c r="AG1480" s="59" t="n"/>
      <c r="AH1480" s="57" t="n"/>
      <c r="AI1480" s="55" t="n"/>
      <c r="AJ1480" s="55" t="n"/>
      <c r="AK1480" s="55" t="n"/>
      <c r="AL1480" s="55" t="n"/>
      <c r="AM1480" s="56" t="n"/>
      <c r="AN1480" s="55" t="n"/>
      <c r="AO1480" s="55" t="n"/>
      <c r="AP1480" s="55" t="n"/>
      <c r="AQ1480" s="55" t="n"/>
      <c r="AR1480" s="60">
        <f>IF(AND(C1480="",E1480=""),"",IF(A1480="","⚠ Date manquante",IF(AND(C1480="",E1480&lt;&gt;"Dépense"),"⚠ Prospect manquant",IF(E1480="","⚠ Action manquante",IF(AND(AU1480=1,D1480=""),"⚠ Canal manquant",IF(AND(W1480&lt;&gt;"",COUNTIFS('Saisie'!$W$5:$W$2004,W1480,'Saisie'!$C$5:$C$2004,"&lt;&gt;"&amp;C1480)&gt;0),"⚠ Numéro déjà utilisé par un autre prospect",IF(AND(J1480&lt;&gt;"",J1480&lt;A1480),"⚠ Relance avant la date de l'action",IF(A1480&gt;TODAY(),"⚠ Date dans le futur","✓"))))))))</f>
        <v/>
      </c>
      <c r="AS1480" s="61">
        <f>IF(AND(A1480="",C1480="",E1480=""),"",ROW())</f>
        <v/>
      </c>
      <c r="AT1480" s="61">
        <f>IF(E1480&amp;F1480="","",MAX(IFERROR(INDEX('Paramètres'!$J$6:$J$33,MATCH(E1480,'Paramètres'!$I$6:$I$33,0)),0),IFERROR(INDEX('Paramètres'!$N$6:$N$17,MATCH(F1480,'Paramètres'!$M$6:$M$17,0)),0)))</f>
        <v/>
      </c>
      <c r="AU1480" s="61">
        <f>IF(E1480="","",IFERROR(IF(INDEX('Paramètres'!$K$6:$K$33,MATCH(E1480,'Paramètres'!$I$6:$I$33,0))="Oui",1,0),0))</f>
        <v/>
      </c>
      <c r="AV1480" s="61">
        <f>IF(F1480="","",IFERROR(IF(INDEX('Paramètres'!$O$6:$O$17,MATCH(F1480,'Paramètres'!$M$6:$M$17,0))="Oui",1,0),0))</f>
        <v/>
      </c>
      <c r="AW1480" s="62">
        <f>IF(E1480="","",IF(G1480&lt;&gt;"",G1480,IF(OR(E1480="Proposition envoyée",E1480="Signature"),MAX(0,N(IFERROR(INDEX('Paramètres'!$R$6:$R$15,MATCH(IF(AL1480&lt;&gt;"",AL1480,IFERROR(INDEX('Prospects'!$AN$5:$AN$504,MATCH(C1480,'Prospects'!$C$5:$C$504,0)),"")),'Paramètres'!$Q$6:$Q$15,0)),0))-N(P1480)),0)))</f>
        <v/>
      </c>
      <c r="AX1480" s="61">
        <f>IF(C1480="","",IF(COUNTIF($C$5:C1480,C1480)=1,MAX($AX$4:AX1479)+1,""))</f>
        <v/>
      </c>
      <c r="AY1480" s="61">
        <f>IF(B1480="","",HOUR(B1480))</f>
        <v/>
      </c>
      <c r="AZ1480" s="61">
        <f>IF(A1480="","",MOD(A1480-2,7)+1)</f>
        <v/>
      </c>
      <c r="BA1480" s="60">
        <f>IF(C1480="","",IFERROR(INDEX('Prospects'!$N$5:$N$504,MATCH(C1480,'Prospects'!$C$5:$C$504,0)),""))</f>
        <v/>
      </c>
      <c r="BB1480" s="61">
        <f>IF(AND(C1480&lt;&gt;"",C1480='Fiche prospect'!$C$4),COUNTIF($C$5:C1480,C1480),"")</f>
        <v/>
      </c>
    </row>
    <row r="1481">
      <c r="A1481" s="53" t="n"/>
      <c r="B1481" s="54" t="n"/>
      <c r="C1481" s="55" t="n"/>
      <c r="D1481" s="55" t="n"/>
      <c r="E1481" s="55" t="n"/>
      <c r="F1481" s="55" t="n"/>
      <c r="G1481" s="56" t="n"/>
      <c r="H1481" s="57" t="n"/>
      <c r="I1481" s="55" t="n"/>
      <c r="J1481" s="53" t="n"/>
      <c r="K1481" s="54" t="n"/>
      <c r="L1481" s="55" t="n"/>
      <c r="M1481" s="55" t="n"/>
      <c r="N1481" s="57" t="n"/>
      <c r="O1481" s="55" t="n"/>
      <c r="P1481" s="56" t="n"/>
      <c r="Q1481" s="55" t="n"/>
      <c r="R1481" s="55" t="n"/>
      <c r="S1481" s="55" t="n"/>
      <c r="T1481" s="55" t="n"/>
      <c r="U1481" s="55" t="n"/>
      <c r="V1481" s="55" t="n"/>
      <c r="W1481" s="58" t="n"/>
      <c r="X1481" s="58" t="n"/>
      <c r="Y1481" s="55" t="n"/>
      <c r="Z1481" s="55" t="n"/>
      <c r="AA1481" s="55" t="n"/>
      <c r="AB1481" s="55" t="n"/>
      <c r="AC1481" s="55" t="n"/>
      <c r="AD1481" s="53" t="n"/>
      <c r="AE1481" s="55" t="n"/>
      <c r="AF1481" s="55" t="n"/>
      <c r="AG1481" s="59" t="n"/>
      <c r="AH1481" s="57" t="n"/>
      <c r="AI1481" s="55" t="n"/>
      <c r="AJ1481" s="55" t="n"/>
      <c r="AK1481" s="55" t="n"/>
      <c r="AL1481" s="55" t="n"/>
      <c r="AM1481" s="56" t="n"/>
      <c r="AN1481" s="55" t="n"/>
      <c r="AO1481" s="55" t="n"/>
      <c r="AP1481" s="55" t="n"/>
      <c r="AQ1481" s="55" t="n"/>
      <c r="AR1481" s="60">
        <f>IF(AND(C1481="",E1481=""),"",IF(A1481="","⚠ Date manquante",IF(AND(C1481="",E1481&lt;&gt;"Dépense"),"⚠ Prospect manquant",IF(E1481="","⚠ Action manquante",IF(AND(AU1481=1,D1481=""),"⚠ Canal manquant",IF(AND(W1481&lt;&gt;"",COUNTIFS('Saisie'!$W$5:$W$2004,W1481,'Saisie'!$C$5:$C$2004,"&lt;&gt;"&amp;C1481)&gt;0),"⚠ Numéro déjà utilisé par un autre prospect",IF(AND(J1481&lt;&gt;"",J1481&lt;A1481),"⚠ Relance avant la date de l'action",IF(A1481&gt;TODAY(),"⚠ Date dans le futur","✓"))))))))</f>
        <v/>
      </c>
      <c r="AS1481" s="61">
        <f>IF(AND(A1481="",C1481="",E1481=""),"",ROW())</f>
        <v/>
      </c>
      <c r="AT1481" s="61">
        <f>IF(E1481&amp;F1481="","",MAX(IFERROR(INDEX('Paramètres'!$J$6:$J$33,MATCH(E1481,'Paramètres'!$I$6:$I$33,0)),0),IFERROR(INDEX('Paramètres'!$N$6:$N$17,MATCH(F1481,'Paramètres'!$M$6:$M$17,0)),0)))</f>
        <v/>
      </c>
      <c r="AU1481" s="61">
        <f>IF(E1481="","",IFERROR(IF(INDEX('Paramètres'!$K$6:$K$33,MATCH(E1481,'Paramètres'!$I$6:$I$33,0))="Oui",1,0),0))</f>
        <v/>
      </c>
      <c r="AV1481" s="61">
        <f>IF(F1481="","",IFERROR(IF(INDEX('Paramètres'!$O$6:$O$17,MATCH(F1481,'Paramètres'!$M$6:$M$17,0))="Oui",1,0),0))</f>
        <v/>
      </c>
      <c r="AW1481" s="62">
        <f>IF(E1481="","",IF(G1481&lt;&gt;"",G1481,IF(OR(E1481="Proposition envoyée",E1481="Signature"),MAX(0,N(IFERROR(INDEX('Paramètres'!$R$6:$R$15,MATCH(IF(AL1481&lt;&gt;"",AL1481,IFERROR(INDEX('Prospects'!$AN$5:$AN$504,MATCH(C1481,'Prospects'!$C$5:$C$504,0)),"")),'Paramètres'!$Q$6:$Q$15,0)),0))-N(P1481)),0)))</f>
        <v/>
      </c>
      <c r="AX1481" s="61">
        <f>IF(C1481="","",IF(COUNTIF($C$5:C1481,C1481)=1,MAX($AX$4:AX1480)+1,""))</f>
        <v/>
      </c>
      <c r="AY1481" s="61">
        <f>IF(B1481="","",HOUR(B1481))</f>
        <v/>
      </c>
      <c r="AZ1481" s="61">
        <f>IF(A1481="","",MOD(A1481-2,7)+1)</f>
        <v/>
      </c>
      <c r="BA1481" s="60">
        <f>IF(C1481="","",IFERROR(INDEX('Prospects'!$N$5:$N$504,MATCH(C1481,'Prospects'!$C$5:$C$504,0)),""))</f>
        <v/>
      </c>
      <c r="BB1481" s="61">
        <f>IF(AND(C1481&lt;&gt;"",C1481='Fiche prospect'!$C$4),COUNTIF($C$5:C1481,C1481),"")</f>
        <v/>
      </c>
    </row>
    <row r="1482">
      <c r="A1482" s="53" t="n"/>
      <c r="B1482" s="54" t="n"/>
      <c r="C1482" s="55" t="n"/>
      <c r="D1482" s="55" t="n"/>
      <c r="E1482" s="55" t="n"/>
      <c r="F1482" s="55" t="n"/>
      <c r="G1482" s="56" t="n"/>
      <c r="H1482" s="57" t="n"/>
      <c r="I1482" s="55" t="n"/>
      <c r="J1482" s="53" t="n"/>
      <c r="K1482" s="54" t="n"/>
      <c r="L1482" s="55" t="n"/>
      <c r="M1482" s="55" t="n"/>
      <c r="N1482" s="57" t="n"/>
      <c r="O1482" s="55" t="n"/>
      <c r="P1482" s="56" t="n"/>
      <c r="Q1482" s="55" t="n"/>
      <c r="R1482" s="55" t="n"/>
      <c r="S1482" s="55" t="n"/>
      <c r="T1482" s="55" t="n"/>
      <c r="U1482" s="55" t="n"/>
      <c r="V1482" s="55" t="n"/>
      <c r="W1482" s="58" t="n"/>
      <c r="X1482" s="58" t="n"/>
      <c r="Y1482" s="55" t="n"/>
      <c r="Z1482" s="55" t="n"/>
      <c r="AA1482" s="55" t="n"/>
      <c r="AB1482" s="55" t="n"/>
      <c r="AC1482" s="55" t="n"/>
      <c r="AD1482" s="53" t="n"/>
      <c r="AE1482" s="55" t="n"/>
      <c r="AF1482" s="55" t="n"/>
      <c r="AG1482" s="59" t="n"/>
      <c r="AH1482" s="57" t="n"/>
      <c r="AI1482" s="55" t="n"/>
      <c r="AJ1482" s="55" t="n"/>
      <c r="AK1482" s="55" t="n"/>
      <c r="AL1482" s="55" t="n"/>
      <c r="AM1482" s="56" t="n"/>
      <c r="AN1482" s="55" t="n"/>
      <c r="AO1482" s="55" t="n"/>
      <c r="AP1482" s="55" t="n"/>
      <c r="AQ1482" s="55" t="n"/>
      <c r="AR1482" s="60">
        <f>IF(AND(C1482="",E1482=""),"",IF(A1482="","⚠ Date manquante",IF(AND(C1482="",E1482&lt;&gt;"Dépense"),"⚠ Prospect manquant",IF(E1482="","⚠ Action manquante",IF(AND(AU1482=1,D1482=""),"⚠ Canal manquant",IF(AND(W1482&lt;&gt;"",COUNTIFS('Saisie'!$W$5:$W$2004,W1482,'Saisie'!$C$5:$C$2004,"&lt;&gt;"&amp;C1482)&gt;0),"⚠ Numéro déjà utilisé par un autre prospect",IF(AND(J1482&lt;&gt;"",J1482&lt;A1482),"⚠ Relance avant la date de l'action",IF(A1482&gt;TODAY(),"⚠ Date dans le futur","✓"))))))))</f>
        <v/>
      </c>
      <c r="AS1482" s="61">
        <f>IF(AND(A1482="",C1482="",E1482=""),"",ROW())</f>
        <v/>
      </c>
      <c r="AT1482" s="61">
        <f>IF(E1482&amp;F1482="","",MAX(IFERROR(INDEX('Paramètres'!$J$6:$J$33,MATCH(E1482,'Paramètres'!$I$6:$I$33,0)),0),IFERROR(INDEX('Paramètres'!$N$6:$N$17,MATCH(F1482,'Paramètres'!$M$6:$M$17,0)),0)))</f>
        <v/>
      </c>
      <c r="AU1482" s="61">
        <f>IF(E1482="","",IFERROR(IF(INDEX('Paramètres'!$K$6:$K$33,MATCH(E1482,'Paramètres'!$I$6:$I$33,0))="Oui",1,0),0))</f>
        <v/>
      </c>
      <c r="AV1482" s="61">
        <f>IF(F1482="","",IFERROR(IF(INDEX('Paramètres'!$O$6:$O$17,MATCH(F1482,'Paramètres'!$M$6:$M$17,0))="Oui",1,0),0))</f>
        <v/>
      </c>
      <c r="AW1482" s="62">
        <f>IF(E1482="","",IF(G1482&lt;&gt;"",G1482,IF(OR(E1482="Proposition envoyée",E1482="Signature"),MAX(0,N(IFERROR(INDEX('Paramètres'!$R$6:$R$15,MATCH(IF(AL1482&lt;&gt;"",AL1482,IFERROR(INDEX('Prospects'!$AN$5:$AN$504,MATCH(C1482,'Prospects'!$C$5:$C$504,0)),"")),'Paramètres'!$Q$6:$Q$15,0)),0))-N(P1482)),0)))</f>
        <v/>
      </c>
      <c r="AX1482" s="61">
        <f>IF(C1482="","",IF(COUNTIF($C$5:C1482,C1482)=1,MAX($AX$4:AX1481)+1,""))</f>
        <v/>
      </c>
      <c r="AY1482" s="61">
        <f>IF(B1482="","",HOUR(B1482))</f>
        <v/>
      </c>
      <c r="AZ1482" s="61">
        <f>IF(A1482="","",MOD(A1482-2,7)+1)</f>
        <v/>
      </c>
      <c r="BA1482" s="60">
        <f>IF(C1482="","",IFERROR(INDEX('Prospects'!$N$5:$N$504,MATCH(C1482,'Prospects'!$C$5:$C$504,0)),""))</f>
        <v/>
      </c>
      <c r="BB1482" s="61">
        <f>IF(AND(C1482&lt;&gt;"",C1482='Fiche prospect'!$C$4),COUNTIF($C$5:C1482,C1482),"")</f>
        <v/>
      </c>
    </row>
    <row r="1483">
      <c r="A1483" s="53" t="n"/>
      <c r="B1483" s="54" t="n"/>
      <c r="C1483" s="55" t="n"/>
      <c r="D1483" s="55" t="n"/>
      <c r="E1483" s="55" t="n"/>
      <c r="F1483" s="55" t="n"/>
      <c r="G1483" s="56" t="n"/>
      <c r="H1483" s="57" t="n"/>
      <c r="I1483" s="55" t="n"/>
      <c r="J1483" s="53" t="n"/>
      <c r="K1483" s="54" t="n"/>
      <c r="L1483" s="55" t="n"/>
      <c r="M1483" s="55" t="n"/>
      <c r="N1483" s="57" t="n"/>
      <c r="O1483" s="55" t="n"/>
      <c r="P1483" s="56" t="n"/>
      <c r="Q1483" s="55" t="n"/>
      <c r="R1483" s="55" t="n"/>
      <c r="S1483" s="55" t="n"/>
      <c r="T1483" s="55" t="n"/>
      <c r="U1483" s="55" t="n"/>
      <c r="V1483" s="55" t="n"/>
      <c r="W1483" s="58" t="n"/>
      <c r="X1483" s="58" t="n"/>
      <c r="Y1483" s="55" t="n"/>
      <c r="Z1483" s="55" t="n"/>
      <c r="AA1483" s="55" t="n"/>
      <c r="AB1483" s="55" t="n"/>
      <c r="AC1483" s="55" t="n"/>
      <c r="AD1483" s="53" t="n"/>
      <c r="AE1483" s="55" t="n"/>
      <c r="AF1483" s="55" t="n"/>
      <c r="AG1483" s="59" t="n"/>
      <c r="AH1483" s="57" t="n"/>
      <c r="AI1483" s="55" t="n"/>
      <c r="AJ1483" s="55" t="n"/>
      <c r="AK1483" s="55" t="n"/>
      <c r="AL1483" s="55" t="n"/>
      <c r="AM1483" s="56" t="n"/>
      <c r="AN1483" s="55" t="n"/>
      <c r="AO1483" s="55" t="n"/>
      <c r="AP1483" s="55" t="n"/>
      <c r="AQ1483" s="55" t="n"/>
      <c r="AR1483" s="60">
        <f>IF(AND(C1483="",E1483=""),"",IF(A1483="","⚠ Date manquante",IF(AND(C1483="",E1483&lt;&gt;"Dépense"),"⚠ Prospect manquant",IF(E1483="","⚠ Action manquante",IF(AND(AU1483=1,D1483=""),"⚠ Canal manquant",IF(AND(W1483&lt;&gt;"",COUNTIFS('Saisie'!$W$5:$W$2004,W1483,'Saisie'!$C$5:$C$2004,"&lt;&gt;"&amp;C1483)&gt;0),"⚠ Numéro déjà utilisé par un autre prospect",IF(AND(J1483&lt;&gt;"",J1483&lt;A1483),"⚠ Relance avant la date de l'action",IF(A1483&gt;TODAY(),"⚠ Date dans le futur","✓"))))))))</f>
        <v/>
      </c>
      <c r="AS1483" s="61">
        <f>IF(AND(A1483="",C1483="",E1483=""),"",ROW())</f>
        <v/>
      </c>
      <c r="AT1483" s="61">
        <f>IF(E1483&amp;F1483="","",MAX(IFERROR(INDEX('Paramètres'!$J$6:$J$33,MATCH(E1483,'Paramètres'!$I$6:$I$33,0)),0),IFERROR(INDEX('Paramètres'!$N$6:$N$17,MATCH(F1483,'Paramètres'!$M$6:$M$17,0)),0)))</f>
        <v/>
      </c>
      <c r="AU1483" s="61">
        <f>IF(E1483="","",IFERROR(IF(INDEX('Paramètres'!$K$6:$K$33,MATCH(E1483,'Paramètres'!$I$6:$I$33,0))="Oui",1,0),0))</f>
        <v/>
      </c>
      <c r="AV1483" s="61">
        <f>IF(F1483="","",IFERROR(IF(INDEX('Paramètres'!$O$6:$O$17,MATCH(F1483,'Paramètres'!$M$6:$M$17,0))="Oui",1,0),0))</f>
        <v/>
      </c>
      <c r="AW1483" s="62">
        <f>IF(E1483="","",IF(G1483&lt;&gt;"",G1483,IF(OR(E1483="Proposition envoyée",E1483="Signature"),MAX(0,N(IFERROR(INDEX('Paramètres'!$R$6:$R$15,MATCH(IF(AL1483&lt;&gt;"",AL1483,IFERROR(INDEX('Prospects'!$AN$5:$AN$504,MATCH(C1483,'Prospects'!$C$5:$C$504,0)),"")),'Paramètres'!$Q$6:$Q$15,0)),0))-N(P1483)),0)))</f>
        <v/>
      </c>
      <c r="AX1483" s="61">
        <f>IF(C1483="","",IF(COUNTIF($C$5:C1483,C1483)=1,MAX($AX$4:AX1482)+1,""))</f>
        <v/>
      </c>
      <c r="AY1483" s="61">
        <f>IF(B1483="","",HOUR(B1483))</f>
        <v/>
      </c>
      <c r="AZ1483" s="61">
        <f>IF(A1483="","",MOD(A1483-2,7)+1)</f>
        <v/>
      </c>
      <c r="BA1483" s="60">
        <f>IF(C1483="","",IFERROR(INDEX('Prospects'!$N$5:$N$504,MATCH(C1483,'Prospects'!$C$5:$C$504,0)),""))</f>
        <v/>
      </c>
      <c r="BB1483" s="61">
        <f>IF(AND(C1483&lt;&gt;"",C1483='Fiche prospect'!$C$4),COUNTIF($C$5:C1483,C1483),"")</f>
        <v/>
      </c>
    </row>
    <row r="1484">
      <c r="A1484" s="53" t="n"/>
      <c r="B1484" s="54" t="n"/>
      <c r="C1484" s="55" t="n"/>
      <c r="D1484" s="55" t="n"/>
      <c r="E1484" s="55" t="n"/>
      <c r="F1484" s="55" t="n"/>
      <c r="G1484" s="56" t="n"/>
      <c r="H1484" s="57" t="n"/>
      <c r="I1484" s="55" t="n"/>
      <c r="J1484" s="53" t="n"/>
      <c r="K1484" s="54" t="n"/>
      <c r="L1484" s="55" t="n"/>
      <c r="M1484" s="55" t="n"/>
      <c r="N1484" s="57" t="n"/>
      <c r="O1484" s="55" t="n"/>
      <c r="P1484" s="56" t="n"/>
      <c r="Q1484" s="55" t="n"/>
      <c r="R1484" s="55" t="n"/>
      <c r="S1484" s="55" t="n"/>
      <c r="T1484" s="55" t="n"/>
      <c r="U1484" s="55" t="n"/>
      <c r="V1484" s="55" t="n"/>
      <c r="W1484" s="58" t="n"/>
      <c r="X1484" s="58" t="n"/>
      <c r="Y1484" s="55" t="n"/>
      <c r="Z1484" s="55" t="n"/>
      <c r="AA1484" s="55" t="n"/>
      <c r="AB1484" s="55" t="n"/>
      <c r="AC1484" s="55" t="n"/>
      <c r="AD1484" s="53" t="n"/>
      <c r="AE1484" s="55" t="n"/>
      <c r="AF1484" s="55" t="n"/>
      <c r="AG1484" s="59" t="n"/>
      <c r="AH1484" s="57" t="n"/>
      <c r="AI1484" s="55" t="n"/>
      <c r="AJ1484" s="55" t="n"/>
      <c r="AK1484" s="55" t="n"/>
      <c r="AL1484" s="55" t="n"/>
      <c r="AM1484" s="56" t="n"/>
      <c r="AN1484" s="55" t="n"/>
      <c r="AO1484" s="55" t="n"/>
      <c r="AP1484" s="55" t="n"/>
      <c r="AQ1484" s="55" t="n"/>
      <c r="AR1484" s="60">
        <f>IF(AND(C1484="",E1484=""),"",IF(A1484="","⚠ Date manquante",IF(AND(C1484="",E1484&lt;&gt;"Dépense"),"⚠ Prospect manquant",IF(E1484="","⚠ Action manquante",IF(AND(AU1484=1,D1484=""),"⚠ Canal manquant",IF(AND(W1484&lt;&gt;"",COUNTIFS('Saisie'!$W$5:$W$2004,W1484,'Saisie'!$C$5:$C$2004,"&lt;&gt;"&amp;C1484)&gt;0),"⚠ Numéro déjà utilisé par un autre prospect",IF(AND(J1484&lt;&gt;"",J1484&lt;A1484),"⚠ Relance avant la date de l'action",IF(A1484&gt;TODAY(),"⚠ Date dans le futur","✓"))))))))</f>
        <v/>
      </c>
      <c r="AS1484" s="61">
        <f>IF(AND(A1484="",C1484="",E1484=""),"",ROW())</f>
        <v/>
      </c>
      <c r="AT1484" s="61">
        <f>IF(E1484&amp;F1484="","",MAX(IFERROR(INDEX('Paramètres'!$J$6:$J$33,MATCH(E1484,'Paramètres'!$I$6:$I$33,0)),0),IFERROR(INDEX('Paramètres'!$N$6:$N$17,MATCH(F1484,'Paramètres'!$M$6:$M$17,0)),0)))</f>
        <v/>
      </c>
      <c r="AU1484" s="61">
        <f>IF(E1484="","",IFERROR(IF(INDEX('Paramètres'!$K$6:$K$33,MATCH(E1484,'Paramètres'!$I$6:$I$33,0))="Oui",1,0),0))</f>
        <v/>
      </c>
      <c r="AV1484" s="61">
        <f>IF(F1484="","",IFERROR(IF(INDEX('Paramètres'!$O$6:$O$17,MATCH(F1484,'Paramètres'!$M$6:$M$17,0))="Oui",1,0),0))</f>
        <v/>
      </c>
      <c r="AW1484" s="62">
        <f>IF(E1484="","",IF(G1484&lt;&gt;"",G1484,IF(OR(E1484="Proposition envoyée",E1484="Signature"),MAX(0,N(IFERROR(INDEX('Paramètres'!$R$6:$R$15,MATCH(IF(AL1484&lt;&gt;"",AL1484,IFERROR(INDEX('Prospects'!$AN$5:$AN$504,MATCH(C1484,'Prospects'!$C$5:$C$504,0)),"")),'Paramètres'!$Q$6:$Q$15,0)),0))-N(P1484)),0)))</f>
        <v/>
      </c>
      <c r="AX1484" s="61">
        <f>IF(C1484="","",IF(COUNTIF($C$5:C1484,C1484)=1,MAX($AX$4:AX1483)+1,""))</f>
        <v/>
      </c>
      <c r="AY1484" s="61">
        <f>IF(B1484="","",HOUR(B1484))</f>
        <v/>
      </c>
      <c r="AZ1484" s="61">
        <f>IF(A1484="","",MOD(A1484-2,7)+1)</f>
        <v/>
      </c>
      <c r="BA1484" s="60">
        <f>IF(C1484="","",IFERROR(INDEX('Prospects'!$N$5:$N$504,MATCH(C1484,'Prospects'!$C$5:$C$504,0)),""))</f>
        <v/>
      </c>
      <c r="BB1484" s="61">
        <f>IF(AND(C1484&lt;&gt;"",C1484='Fiche prospect'!$C$4),COUNTIF($C$5:C1484,C1484),"")</f>
        <v/>
      </c>
    </row>
    <row r="1485">
      <c r="A1485" s="53" t="n"/>
      <c r="B1485" s="54" t="n"/>
      <c r="C1485" s="55" t="n"/>
      <c r="D1485" s="55" t="n"/>
      <c r="E1485" s="55" t="n"/>
      <c r="F1485" s="55" t="n"/>
      <c r="G1485" s="56" t="n"/>
      <c r="H1485" s="57" t="n"/>
      <c r="I1485" s="55" t="n"/>
      <c r="J1485" s="53" t="n"/>
      <c r="K1485" s="54" t="n"/>
      <c r="L1485" s="55" t="n"/>
      <c r="M1485" s="55" t="n"/>
      <c r="N1485" s="57" t="n"/>
      <c r="O1485" s="55" t="n"/>
      <c r="P1485" s="56" t="n"/>
      <c r="Q1485" s="55" t="n"/>
      <c r="R1485" s="55" t="n"/>
      <c r="S1485" s="55" t="n"/>
      <c r="T1485" s="55" t="n"/>
      <c r="U1485" s="55" t="n"/>
      <c r="V1485" s="55" t="n"/>
      <c r="W1485" s="58" t="n"/>
      <c r="X1485" s="58" t="n"/>
      <c r="Y1485" s="55" t="n"/>
      <c r="Z1485" s="55" t="n"/>
      <c r="AA1485" s="55" t="n"/>
      <c r="AB1485" s="55" t="n"/>
      <c r="AC1485" s="55" t="n"/>
      <c r="AD1485" s="53" t="n"/>
      <c r="AE1485" s="55" t="n"/>
      <c r="AF1485" s="55" t="n"/>
      <c r="AG1485" s="59" t="n"/>
      <c r="AH1485" s="57" t="n"/>
      <c r="AI1485" s="55" t="n"/>
      <c r="AJ1485" s="55" t="n"/>
      <c r="AK1485" s="55" t="n"/>
      <c r="AL1485" s="55" t="n"/>
      <c r="AM1485" s="56" t="n"/>
      <c r="AN1485" s="55" t="n"/>
      <c r="AO1485" s="55" t="n"/>
      <c r="AP1485" s="55" t="n"/>
      <c r="AQ1485" s="55" t="n"/>
      <c r="AR1485" s="60">
        <f>IF(AND(C1485="",E1485=""),"",IF(A1485="","⚠ Date manquante",IF(AND(C1485="",E1485&lt;&gt;"Dépense"),"⚠ Prospect manquant",IF(E1485="","⚠ Action manquante",IF(AND(AU1485=1,D1485=""),"⚠ Canal manquant",IF(AND(W1485&lt;&gt;"",COUNTIFS('Saisie'!$W$5:$W$2004,W1485,'Saisie'!$C$5:$C$2004,"&lt;&gt;"&amp;C1485)&gt;0),"⚠ Numéro déjà utilisé par un autre prospect",IF(AND(J1485&lt;&gt;"",J1485&lt;A1485),"⚠ Relance avant la date de l'action",IF(A1485&gt;TODAY(),"⚠ Date dans le futur","✓"))))))))</f>
        <v/>
      </c>
      <c r="AS1485" s="61">
        <f>IF(AND(A1485="",C1485="",E1485=""),"",ROW())</f>
        <v/>
      </c>
      <c r="AT1485" s="61">
        <f>IF(E1485&amp;F1485="","",MAX(IFERROR(INDEX('Paramètres'!$J$6:$J$33,MATCH(E1485,'Paramètres'!$I$6:$I$33,0)),0),IFERROR(INDEX('Paramètres'!$N$6:$N$17,MATCH(F1485,'Paramètres'!$M$6:$M$17,0)),0)))</f>
        <v/>
      </c>
      <c r="AU1485" s="61">
        <f>IF(E1485="","",IFERROR(IF(INDEX('Paramètres'!$K$6:$K$33,MATCH(E1485,'Paramètres'!$I$6:$I$33,0))="Oui",1,0),0))</f>
        <v/>
      </c>
      <c r="AV1485" s="61">
        <f>IF(F1485="","",IFERROR(IF(INDEX('Paramètres'!$O$6:$O$17,MATCH(F1485,'Paramètres'!$M$6:$M$17,0))="Oui",1,0),0))</f>
        <v/>
      </c>
      <c r="AW1485" s="62">
        <f>IF(E1485="","",IF(G1485&lt;&gt;"",G1485,IF(OR(E1485="Proposition envoyée",E1485="Signature"),MAX(0,N(IFERROR(INDEX('Paramètres'!$R$6:$R$15,MATCH(IF(AL1485&lt;&gt;"",AL1485,IFERROR(INDEX('Prospects'!$AN$5:$AN$504,MATCH(C1485,'Prospects'!$C$5:$C$504,0)),"")),'Paramètres'!$Q$6:$Q$15,0)),0))-N(P1485)),0)))</f>
        <v/>
      </c>
      <c r="AX1485" s="61">
        <f>IF(C1485="","",IF(COUNTIF($C$5:C1485,C1485)=1,MAX($AX$4:AX1484)+1,""))</f>
        <v/>
      </c>
      <c r="AY1485" s="61">
        <f>IF(B1485="","",HOUR(B1485))</f>
        <v/>
      </c>
      <c r="AZ1485" s="61">
        <f>IF(A1485="","",MOD(A1485-2,7)+1)</f>
        <v/>
      </c>
      <c r="BA1485" s="60">
        <f>IF(C1485="","",IFERROR(INDEX('Prospects'!$N$5:$N$504,MATCH(C1485,'Prospects'!$C$5:$C$504,0)),""))</f>
        <v/>
      </c>
      <c r="BB1485" s="61">
        <f>IF(AND(C1485&lt;&gt;"",C1485='Fiche prospect'!$C$4),COUNTIF($C$5:C1485,C1485),"")</f>
        <v/>
      </c>
    </row>
    <row r="1486">
      <c r="A1486" s="53" t="n"/>
      <c r="B1486" s="54" t="n"/>
      <c r="C1486" s="55" t="n"/>
      <c r="D1486" s="55" t="n"/>
      <c r="E1486" s="55" t="n"/>
      <c r="F1486" s="55" t="n"/>
      <c r="G1486" s="56" t="n"/>
      <c r="H1486" s="57" t="n"/>
      <c r="I1486" s="55" t="n"/>
      <c r="J1486" s="53" t="n"/>
      <c r="K1486" s="54" t="n"/>
      <c r="L1486" s="55" t="n"/>
      <c r="M1486" s="55" t="n"/>
      <c r="N1486" s="57" t="n"/>
      <c r="O1486" s="55" t="n"/>
      <c r="P1486" s="56" t="n"/>
      <c r="Q1486" s="55" t="n"/>
      <c r="R1486" s="55" t="n"/>
      <c r="S1486" s="55" t="n"/>
      <c r="T1486" s="55" t="n"/>
      <c r="U1486" s="55" t="n"/>
      <c r="V1486" s="55" t="n"/>
      <c r="W1486" s="58" t="n"/>
      <c r="X1486" s="58" t="n"/>
      <c r="Y1486" s="55" t="n"/>
      <c r="Z1486" s="55" t="n"/>
      <c r="AA1486" s="55" t="n"/>
      <c r="AB1486" s="55" t="n"/>
      <c r="AC1486" s="55" t="n"/>
      <c r="AD1486" s="53" t="n"/>
      <c r="AE1486" s="55" t="n"/>
      <c r="AF1486" s="55" t="n"/>
      <c r="AG1486" s="59" t="n"/>
      <c r="AH1486" s="57" t="n"/>
      <c r="AI1486" s="55" t="n"/>
      <c r="AJ1486" s="55" t="n"/>
      <c r="AK1486" s="55" t="n"/>
      <c r="AL1486" s="55" t="n"/>
      <c r="AM1486" s="56" t="n"/>
      <c r="AN1486" s="55" t="n"/>
      <c r="AO1486" s="55" t="n"/>
      <c r="AP1486" s="55" t="n"/>
      <c r="AQ1486" s="55" t="n"/>
      <c r="AR1486" s="60">
        <f>IF(AND(C1486="",E1486=""),"",IF(A1486="","⚠ Date manquante",IF(AND(C1486="",E1486&lt;&gt;"Dépense"),"⚠ Prospect manquant",IF(E1486="","⚠ Action manquante",IF(AND(AU1486=1,D1486=""),"⚠ Canal manquant",IF(AND(W1486&lt;&gt;"",COUNTIFS('Saisie'!$W$5:$W$2004,W1486,'Saisie'!$C$5:$C$2004,"&lt;&gt;"&amp;C1486)&gt;0),"⚠ Numéro déjà utilisé par un autre prospect",IF(AND(J1486&lt;&gt;"",J1486&lt;A1486),"⚠ Relance avant la date de l'action",IF(A1486&gt;TODAY(),"⚠ Date dans le futur","✓"))))))))</f>
        <v/>
      </c>
      <c r="AS1486" s="61">
        <f>IF(AND(A1486="",C1486="",E1486=""),"",ROW())</f>
        <v/>
      </c>
      <c r="AT1486" s="61">
        <f>IF(E1486&amp;F1486="","",MAX(IFERROR(INDEX('Paramètres'!$J$6:$J$33,MATCH(E1486,'Paramètres'!$I$6:$I$33,0)),0),IFERROR(INDEX('Paramètres'!$N$6:$N$17,MATCH(F1486,'Paramètres'!$M$6:$M$17,0)),0)))</f>
        <v/>
      </c>
      <c r="AU1486" s="61">
        <f>IF(E1486="","",IFERROR(IF(INDEX('Paramètres'!$K$6:$K$33,MATCH(E1486,'Paramètres'!$I$6:$I$33,0))="Oui",1,0),0))</f>
        <v/>
      </c>
      <c r="AV1486" s="61">
        <f>IF(F1486="","",IFERROR(IF(INDEX('Paramètres'!$O$6:$O$17,MATCH(F1486,'Paramètres'!$M$6:$M$17,0))="Oui",1,0),0))</f>
        <v/>
      </c>
      <c r="AW1486" s="62">
        <f>IF(E1486="","",IF(G1486&lt;&gt;"",G1486,IF(OR(E1486="Proposition envoyée",E1486="Signature"),MAX(0,N(IFERROR(INDEX('Paramètres'!$R$6:$R$15,MATCH(IF(AL1486&lt;&gt;"",AL1486,IFERROR(INDEX('Prospects'!$AN$5:$AN$504,MATCH(C1486,'Prospects'!$C$5:$C$504,0)),"")),'Paramètres'!$Q$6:$Q$15,0)),0))-N(P1486)),0)))</f>
        <v/>
      </c>
      <c r="AX1486" s="61">
        <f>IF(C1486="","",IF(COUNTIF($C$5:C1486,C1486)=1,MAX($AX$4:AX1485)+1,""))</f>
        <v/>
      </c>
      <c r="AY1486" s="61">
        <f>IF(B1486="","",HOUR(B1486))</f>
        <v/>
      </c>
      <c r="AZ1486" s="61">
        <f>IF(A1486="","",MOD(A1486-2,7)+1)</f>
        <v/>
      </c>
      <c r="BA1486" s="60">
        <f>IF(C1486="","",IFERROR(INDEX('Prospects'!$N$5:$N$504,MATCH(C1486,'Prospects'!$C$5:$C$504,0)),""))</f>
        <v/>
      </c>
      <c r="BB1486" s="61">
        <f>IF(AND(C1486&lt;&gt;"",C1486='Fiche prospect'!$C$4),COUNTIF($C$5:C1486,C1486),"")</f>
        <v/>
      </c>
    </row>
    <row r="1487">
      <c r="A1487" s="53" t="n"/>
      <c r="B1487" s="54" t="n"/>
      <c r="C1487" s="55" t="n"/>
      <c r="D1487" s="55" t="n"/>
      <c r="E1487" s="55" t="n"/>
      <c r="F1487" s="55" t="n"/>
      <c r="G1487" s="56" t="n"/>
      <c r="H1487" s="57" t="n"/>
      <c r="I1487" s="55" t="n"/>
      <c r="J1487" s="53" t="n"/>
      <c r="K1487" s="54" t="n"/>
      <c r="L1487" s="55" t="n"/>
      <c r="M1487" s="55" t="n"/>
      <c r="N1487" s="57" t="n"/>
      <c r="O1487" s="55" t="n"/>
      <c r="P1487" s="56" t="n"/>
      <c r="Q1487" s="55" t="n"/>
      <c r="R1487" s="55" t="n"/>
      <c r="S1487" s="55" t="n"/>
      <c r="T1487" s="55" t="n"/>
      <c r="U1487" s="55" t="n"/>
      <c r="V1487" s="55" t="n"/>
      <c r="W1487" s="58" t="n"/>
      <c r="X1487" s="58" t="n"/>
      <c r="Y1487" s="55" t="n"/>
      <c r="Z1487" s="55" t="n"/>
      <c r="AA1487" s="55" t="n"/>
      <c r="AB1487" s="55" t="n"/>
      <c r="AC1487" s="55" t="n"/>
      <c r="AD1487" s="53" t="n"/>
      <c r="AE1487" s="55" t="n"/>
      <c r="AF1487" s="55" t="n"/>
      <c r="AG1487" s="59" t="n"/>
      <c r="AH1487" s="57" t="n"/>
      <c r="AI1487" s="55" t="n"/>
      <c r="AJ1487" s="55" t="n"/>
      <c r="AK1487" s="55" t="n"/>
      <c r="AL1487" s="55" t="n"/>
      <c r="AM1487" s="56" t="n"/>
      <c r="AN1487" s="55" t="n"/>
      <c r="AO1487" s="55" t="n"/>
      <c r="AP1487" s="55" t="n"/>
      <c r="AQ1487" s="55" t="n"/>
      <c r="AR1487" s="60">
        <f>IF(AND(C1487="",E1487=""),"",IF(A1487="","⚠ Date manquante",IF(AND(C1487="",E1487&lt;&gt;"Dépense"),"⚠ Prospect manquant",IF(E1487="","⚠ Action manquante",IF(AND(AU1487=1,D1487=""),"⚠ Canal manquant",IF(AND(W1487&lt;&gt;"",COUNTIFS('Saisie'!$W$5:$W$2004,W1487,'Saisie'!$C$5:$C$2004,"&lt;&gt;"&amp;C1487)&gt;0),"⚠ Numéro déjà utilisé par un autre prospect",IF(AND(J1487&lt;&gt;"",J1487&lt;A1487),"⚠ Relance avant la date de l'action",IF(A1487&gt;TODAY(),"⚠ Date dans le futur","✓"))))))))</f>
        <v/>
      </c>
      <c r="AS1487" s="61">
        <f>IF(AND(A1487="",C1487="",E1487=""),"",ROW())</f>
        <v/>
      </c>
      <c r="AT1487" s="61">
        <f>IF(E1487&amp;F1487="","",MAX(IFERROR(INDEX('Paramètres'!$J$6:$J$33,MATCH(E1487,'Paramètres'!$I$6:$I$33,0)),0),IFERROR(INDEX('Paramètres'!$N$6:$N$17,MATCH(F1487,'Paramètres'!$M$6:$M$17,0)),0)))</f>
        <v/>
      </c>
      <c r="AU1487" s="61">
        <f>IF(E1487="","",IFERROR(IF(INDEX('Paramètres'!$K$6:$K$33,MATCH(E1487,'Paramètres'!$I$6:$I$33,0))="Oui",1,0),0))</f>
        <v/>
      </c>
      <c r="AV1487" s="61">
        <f>IF(F1487="","",IFERROR(IF(INDEX('Paramètres'!$O$6:$O$17,MATCH(F1487,'Paramètres'!$M$6:$M$17,0))="Oui",1,0),0))</f>
        <v/>
      </c>
      <c r="AW1487" s="62">
        <f>IF(E1487="","",IF(G1487&lt;&gt;"",G1487,IF(OR(E1487="Proposition envoyée",E1487="Signature"),MAX(0,N(IFERROR(INDEX('Paramètres'!$R$6:$R$15,MATCH(IF(AL1487&lt;&gt;"",AL1487,IFERROR(INDEX('Prospects'!$AN$5:$AN$504,MATCH(C1487,'Prospects'!$C$5:$C$504,0)),"")),'Paramètres'!$Q$6:$Q$15,0)),0))-N(P1487)),0)))</f>
        <v/>
      </c>
      <c r="AX1487" s="61">
        <f>IF(C1487="","",IF(COUNTIF($C$5:C1487,C1487)=1,MAX($AX$4:AX1486)+1,""))</f>
        <v/>
      </c>
      <c r="AY1487" s="61">
        <f>IF(B1487="","",HOUR(B1487))</f>
        <v/>
      </c>
      <c r="AZ1487" s="61">
        <f>IF(A1487="","",MOD(A1487-2,7)+1)</f>
        <v/>
      </c>
      <c r="BA1487" s="60">
        <f>IF(C1487="","",IFERROR(INDEX('Prospects'!$N$5:$N$504,MATCH(C1487,'Prospects'!$C$5:$C$504,0)),""))</f>
        <v/>
      </c>
      <c r="BB1487" s="61">
        <f>IF(AND(C1487&lt;&gt;"",C1487='Fiche prospect'!$C$4),COUNTIF($C$5:C1487,C1487),"")</f>
        <v/>
      </c>
    </row>
    <row r="1488">
      <c r="A1488" s="53" t="n"/>
      <c r="B1488" s="54" t="n"/>
      <c r="C1488" s="55" t="n"/>
      <c r="D1488" s="55" t="n"/>
      <c r="E1488" s="55" t="n"/>
      <c r="F1488" s="55" t="n"/>
      <c r="G1488" s="56" t="n"/>
      <c r="H1488" s="57" t="n"/>
      <c r="I1488" s="55" t="n"/>
      <c r="J1488" s="53" t="n"/>
      <c r="K1488" s="54" t="n"/>
      <c r="L1488" s="55" t="n"/>
      <c r="M1488" s="55" t="n"/>
      <c r="N1488" s="57" t="n"/>
      <c r="O1488" s="55" t="n"/>
      <c r="P1488" s="56" t="n"/>
      <c r="Q1488" s="55" t="n"/>
      <c r="R1488" s="55" t="n"/>
      <c r="S1488" s="55" t="n"/>
      <c r="T1488" s="55" t="n"/>
      <c r="U1488" s="55" t="n"/>
      <c r="V1488" s="55" t="n"/>
      <c r="W1488" s="58" t="n"/>
      <c r="X1488" s="58" t="n"/>
      <c r="Y1488" s="55" t="n"/>
      <c r="Z1488" s="55" t="n"/>
      <c r="AA1488" s="55" t="n"/>
      <c r="AB1488" s="55" t="n"/>
      <c r="AC1488" s="55" t="n"/>
      <c r="AD1488" s="53" t="n"/>
      <c r="AE1488" s="55" t="n"/>
      <c r="AF1488" s="55" t="n"/>
      <c r="AG1488" s="59" t="n"/>
      <c r="AH1488" s="57" t="n"/>
      <c r="AI1488" s="55" t="n"/>
      <c r="AJ1488" s="55" t="n"/>
      <c r="AK1488" s="55" t="n"/>
      <c r="AL1488" s="55" t="n"/>
      <c r="AM1488" s="56" t="n"/>
      <c r="AN1488" s="55" t="n"/>
      <c r="AO1488" s="55" t="n"/>
      <c r="AP1488" s="55" t="n"/>
      <c r="AQ1488" s="55" t="n"/>
      <c r="AR1488" s="60">
        <f>IF(AND(C1488="",E1488=""),"",IF(A1488="","⚠ Date manquante",IF(AND(C1488="",E1488&lt;&gt;"Dépense"),"⚠ Prospect manquant",IF(E1488="","⚠ Action manquante",IF(AND(AU1488=1,D1488=""),"⚠ Canal manquant",IF(AND(W1488&lt;&gt;"",COUNTIFS('Saisie'!$W$5:$W$2004,W1488,'Saisie'!$C$5:$C$2004,"&lt;&gt;"&amp;C1488)&gt;0),"⚠ Numéro déjà utilisé par un autre prospect",IF(AND(J1488&lt;&gt;"",J1488&lt;A1488),"⚠ Relance avant la date de l'action",IF(A1488&gt;TODAY(),"⚠ Date dans le futur","✓"))))))))</f>
        <v/>
      </c>
      <c r="AS1488" s="61">
        <f>IF(AND(A1488="",C1488="",E1488=""),"",ROW())</f>
        <v/>
      </c>
      <c r="AT1488" s="61">
        <f>IF(E1488&amp;F1488="","",MAX(IFERROR(INDEX('Paramètres'!$J$6:$J$33,MATCH(E1488,'Paramètres'!$I$6:$I$33,0)),0),IFERROR(INDEX('Paramètres'!$N$6:$N$17,MATCH(F1488,'Paramètres'!$M$6:$M$17,0)),0)))</f>
        <v/>
      </c>
      <c r="AU1488" s="61">
        <f>IF(E1488="","",IFERROR(IF(INDEX('Paramètres'!$K$6:$K$33,MATCH(E1488,'Paramètres'!$I$6:$I$33,0))="Oui",1,0),0))</f>
        <v/>
      </c>
      <c r="AV1488" s="61">
        <f>IF(F1488="","",IFERROR(IF(INDEX('Paramètres'!$O$6:$O$17,MATCH(F1488,'Paramètres'!$M$6:$M$17,0))="Oui",1,0),0))</f>
        <v/>
      </c>
      <c r="AW1488" s="62">
        <f>IF(E1488="","",IF(G1488&lt;&gt;"",G1488,IF(OR(E1488="Proposition envoyée",E1488="Signature"),MAX(0,N(IFERROR(INDEX('Paramètres'!$R$6:$R$15,MATCH(IF(AL1488&lt;&gt;"",AL1488,IFERROR(INDEX('Prospects'!$AN$5:$AN$504,MATCH(C1488,'Prospects'!$C$5:$C$504,0)),"")),'Paramètres'!$Q$6:$Q$15,0)),0))-N(P1488)),0)))</f>
        <v/>
      </c>
      <c r="AX1488" s="61">
        <f>IF(C1488="","",IF(COUNTIF($C$5:C1488,C1488)=1,MAX($AX$4:AX1487)+1,""))</f>
        <v/>
      </c>
      <c r="AY1488" s="61">
        <f>IF(B1488="","",HOUR(B1488))</f>
        <v/>
      </c>
      <c r="AZ1488" s="61">
        <f>IF(A1488="","",MOD(A1488-2,7)+1)</f>
        <v/>
      </c>
      <c r="BA1488" s="60">
        <f>IF(C1488="","",IFERROR(INDEX('Prospects'!$N$5:$N$504,MATCH(C1488,'Prospects'!$C$5:$C$504,0)),""))</f>
        <v/>
      </c>
      <c r="BB1488" s="61">
        <f>IF(AND(C1488&lt;&gt;"",C1488='Fiche prospect'!$C$4),COUNTIF($C$5:C1488,C1488),"")</f>
        <v/>
      </c>
    </row>
    <row r="1489">
      <c r="A1489" s="53" t="n"/>
      <c r="B1489" s="54" t="n"/>
      <c r="C1489" s="55" t="n"/>
      <c r="D1489" s="55" t="n"/>
      <c r="E1489" s="55" t="n"/>
      <c r="F1489" s="55" t="n"/>
      <c r="G1489" s="56" t="n"/>
      <c r="H1489" s="57" t="n"/>
      <c r="I1489" s="55" t="n"/>
      <c r="J1489" s="53" t="n"/>
      <c r="K1489" s="54" t="n"/>
      <c r="L1489" s="55" t="n"/>
      <c r="M1489" s="55" t="n"/>
      <c r="N1489" s="57" t="n"/>
      <c r="O1489" s="55" t="n"/>
      <c r="P1489" s="56" t="n"/>
      <c r="Q1489" s="55" t="n"/>
      <c r="R1489" s="55" t="n"/>
      <c r="S1489" s="55" t="n"/>
      <c r="T1489" s="55" t="n"/>
      <c r="U1489" s="55" t="n"/>
      <c r="V1489" s="55" t="n"/>
      <c r="W1489" s="58" t="n"/>
      <c r="X1489" s="58" t="n"/>
      <c r="Y1489" s="55" t="n"/>
      <c r="Z1489" s="55" t="n"/>
      <c r="AA1489" s="55" t="n"/>
      <c r="AB1489" s="55" t="n"/>
      <c r="AC1489" s="55" t="n"/>
      <c r="AD1489" s="53" t="n"/>
      <c r="AE1489" s="55" t="n"/>
      <c r="AF1489" s="55" t="n"/>
      <c r="AG1489" s="59" t="n"/>
      <c r="AH1489" s="57" t="n"/>
      <c r="AI1489" s="55" t="n"/>
      <c r="AJ1489" s="55" t="n"/>
      <c r="AK1489" s="55" t="n"/>
      <c r="AL1489" s="55" t="n"/>
      <c r="AM1489" s="56" t="n"/>
      <c r="AN1489" s="55" t="n"/>
      <c r="AO1489" s="55" t="n"/>
      <c r="AP1489" s="55" t="n"/>
      <c r="AQ1489" s="55" t="n"/>
      <c r="AR1489" s="60">
        <f>IF(AND(C1489="",E1489=""),"",IF(A1489="","⚠ Date manquante",IF(AND(C1489="",E1489&lt;&gt;"Dépense"),"⚠ Prospect manquant",IF(E1489="","⚠ Action manquante",IF(AND(AU1489=1,D1489=""),"⚠ Canal manquant",IF(AND(W1489&lt;&gt;"",COUNTIFS('Saisie'!$W$5:$W$2004,W1489,'Saisie'!$C$5:$C$2004,"&lt;&gt;"&amp;C1489)&gt;0),"⚠ Numéro déjà utilisé par un autre prospect",IF(AND(J1489&lt;&gt;"",J1489&lt;A1489),"⚠ Relance avant la date de l'action",IF(A1489&gt;TODAY(),"⚠ Date dans le futur","✓"))))))))</f>
        <v/>
      </c>
      <c r="AS1489" s="61">
        <f>IF(AND(A1489="",C1489="",E1489=""),"",ROW())</f>
        <v/>
      </c>
      <c r="AT1489" s="61">
        <f>IF(E1489&amp;F1489="","",MAX(IFERROR(INDEX('Paramètres'!$J$6:$J$33,MATCH(E1489,'Paramètres'!$I$6:$I$33,0)),0),IFERROR(INDEX('Paramètres'!$N$6:$N$17,MATCH(F1489,'Paramètres'!$M$6:$M$17,0)),0)))</f>
        <v/>
      </c>
      <c r="AU1489" s="61">
        <f>IF(E1489="","",IFERROR(IF(INDEX('Paramètres'!$K$6:$K$33,MATCH(E1489,'Paramètres'!$I$6:$I$33,0))="Oui",1,0),0))</f>
        <v/>
      </c>
      <c r="AV1489" s="61">
        <f>IF(F1489="","",IFERROR(IF(INDEX('Paramètres'!$O$6:$O$17,MATCH(F1489,'Paramètres'!$M$6:$M$17,0))="Oui",1,0),0))</f>
        <v/>
      </c>
      <c r="AW1489" s="62">
        <f>IF(E1489="","",IF(G1489&lt;&gt;"",G1489,IF(OR(E1489="Proposition envoyée",E1489="Signature"),MAX(0,N(IFERROR(INDEX('Paramètres'!$R$6:$R$15,MATCH(IF(AL1489&lt;&gt;"",AL1489,IFERROR(INDEX('Prospects'!$AN$5:$AN$504,MATCH(C1489,'Prospects'!$C$5:$C$504,0)),"")),'Paramètres'!$Q$6:$Q$15,0)),0))-N(P1489)),0)))</f>
        <v/>
      </c>
      <c r="AX1489" s="61">
        <f>IF(C1489="","",IF(COUNTIF($C$5:C1489,C1489)=1,MAX($AX$4:AX1488)+1,""))</f>
        <v/>
      </c>
      <c r="AY1489" s="61">
        <f>IF(B1489="","",HOUR(B1489))</f>
        <v/>
      </c>
      <c r="AZ1489" s="61">
        <f>IF(A1489="","",MOD(A1489-2,7)+1)</f>
        <v/>
      </c>
      <c r="BA1489" s="60">
        <f>IF(C1489="","",IFERROR(INDEX('Prospects'!$N$5:$N$504,MATCH(C1489,'Prospects'!$C$5:$C$504,0)),""))</f>
        <v/>
      </c>
      <c r="BB1489" s="61">
        <f>IF(AND(C1489&lt;&gt;"",C1489='Fiche prospect'!$C$4),COUNTIF($C$5:C1489,C1489),"")</f>
        <v/>
      </c>
    </row>
    <row r="1490">
      <c r="A1490" s="53" t="n"/>
      <c r="B1490" s="54" t="n"/>
      <c r="C1490" s="55" t="n"/>
      <c r="D1490" s="55" t="n"/>
      <c r="E1490" s="55" t="n"/>
      <c r="F1490" s="55" t="n"/>
      <c r="G1490" s="56" t="n"/>
      <c r="H1490" s="57" t="n"/>
      <c r="I1490" s="55" t="n"/>
      <c r="J1490" s="53" t="n"/>
      <c r="K1490" s="54" t="n"/>
      <c r="L1490" s="55" t="n"/>
      <c r="M1490" s="55" t="n"/>
      <c r="N1490" s="57" t="n"/>
      <c r="O1490" s="55" t="n"/>
      <c r="P1490" s="56" t="n"/>
      <c r="Q1490" s="55" t="n"/>
      <c r="R1490" s="55" t="n"/>
      <c r="S1490" s="55" t="n"/>
      <c r="T1490" s="55" t="n"/>
      <c r="U1490" s="55" t="n"/>
      <c r="V1490" s="55" t="n"/>
      <c r="W1490" s="58" t="n"/>
      <c r="X1490" s="58" t="n"/>
      <c r="Y1490" s="55" t="n"/>
      <c r="Z1490" s="55" t="n"/>
      <c r="AA1490" s="55" t="n"/>
      <c r="AB1490" s="55" t="n"/>
      <c r="AC1490" s="55" t="n"/>
      <c r="AD1490" s="53" t="n"/>
      <c r="AE1490" s="55" t="n"/>
      <c r="AF1490" s="55" t="n"/>
      <c r="AG1490" s="59" t="n"/>
      <c r="AH1490" s="57" t="n"/>
      <c r="AI1490" s="55" t="n"/>
      <c r="AJ1490" s="55" t="n"/>
      <c r="AK1490" s="55" t="n"/>
      <c r="AL1490" s="55" t="n"/>
      <c r="AM1490" s="56" t="n"/>
      <c r="AN1490" s="55" t="n"/>
      <c r="AO1490" s="55" t="n"/>
      <c r="AP1490" s="55" t="n"/>
      <c r="AQ1490" s="55" t="n"/>
      <c r="AR1490" s="60">
        <f>IF(AND(C1490="",E1490=""),"",IF(A1490="","⚠ Date manquante",IF(AND(C1490="",E1490&lt;&gt;"Dépense"),"⚠ Prospect manquant",IF(E1490="","⚠ Action manquante",IF(AND(AU1490=1,D1490=""),"⚠ Canal manquant",IF(AND(W1490&lt;&gt;"",COUNTIFS('Saisie'!$W$5:$W$2004,W1490,'Saisie'!$C$5:$C$2004,"&lt;&gt;"&amp;C1490)&gt;0),"⚠ Numéro déjà utilisé par un autre prospect",IF(AND(J1490&lt;&gt;"",J1490&lt;A1490),"⚠ Relance avant la date de l'action",IF(A1490&gt;TODAY(),"⚠ Date dans le futur","✓"))))))))</f>
        <v/>
      </c>
      <c r="AS1490" s="61">
        <f>IF(AND(A1490="",C1490="",E1490=""),"",ROW())</f>
        <v/>
      </c>
      <c r="AT1490" s="61">
        <f>IF(E1490&amp;F1490="","",MAX(IFERROR(INDEX('Paramètres'!$J$6:$J$33,MATCH(E1490,'Paramètres'!$I$6:$I$33,0)),0),IFERROR(INDEX('Paramètres'!$N$6:$N$17,MATCH(F1490,'Paramètres'!$M$6:$M$17,0)),0)))</f>
        <v/>
      </c>
      <c r="AU1490" s="61">
        <f>IF(E1490="","",IFERROR(IF(INDEX('Paramètres'!$K$6:$K$33,MATCH(E1490,'Paramètres'!$I$6:$I$33,0))="Oui",1,0),0))</f>
        <v/>
      </c>
      <c r="AV1490" s="61">
        <f>IF(F1490="","",IFERROR(IF(INDEX('Paramètres'!$O$6:$O$17,MATCH(F1490,'Paramètres'!$M$6:$M$17,0))="Oui",1,0),0))</f>
        <v/>
      </c>
      <c r="AW1490" s="62">
        <f>IF(E1490="","",IF(G1490&lt;&gt;"",G1490,IF(OR(E1490="Proposition envoyée",E1490="Signature"),MAX(0,N(IFERROR(INDEX('Paramètres'!$R$6:$R$15,MATCH(IF(AL1490&lt;&gt;"",AL1490,IFERROR(INDEX('Prospects'!$AN$5:$AN$504,MATCH(C1490,'Prospects'!$C$5:$C$504,0)),"")),'Paramètres'!$Q$6:$Q$15,0)),0))-N(P1490)),0)))</f>
        <v/>
      </c>
      <c r="AX1490" s="61">
        <f>IF(C1490="","",IF(COUNTIF($C$5:C1490,C1490)=1,MAX($AX$4:AX1489)+1,""))</f>
        <v/>
      </c>
      <c r="AY1490" s="61">
        <f>IF(B1490="","",HOUR(B1490))</f>
        <v/>
      </c>
      <c r="AZ1490" s="61">
        <f>IF(A1490="","",MOD(A1490-2,7)+1)</f>
        <v/>
      </c>
      <c r="BA1490" s="60">
        <f>IF(C1490="","",IFERROR(INDEX('Prospects'!$N$5:$N$504,MATCH(C1490,'Prospects'!$C$5:$C$504,0)),""))</f>
        <v/>
      </c>
      <c r="BB1490" s="61">
        <f>IF(AND(C1490&lt;&gt;"",C1490='Fiche prospect'!$C$4),COUNTIF($C$5:C1490,C1490),"")</f>
        <v/>
      </c>
    </row>
    <row r="1491">
      <c r="A1491" s="53" t="n"/>
      <c r="B1491" s="54" t="n"/>
      <c r="C1491" s="55" t="n"/>
      <c r="D1491" s="55" t="n"/>
      <c r="E1491" s="55" t="n"/>
      <c r="F1491" s="55" t="n"/>
      <c r="G1491" s="56" t="n"/>
      <c r="H1491" s="57" t="n"/>
      <c r="I1491" s="55" t="n"/>
      <c r="J1491" s="53" t="n"/>
      <c r="K1491" s="54" t="n"/>
      <c r="L1491" s="55" t="n"/>
      <c r="M1491" s="55" t="n"/>
      <c r="N1491" s="57" t="n"/>
      <c r="O1491" s="55" t="n"/>
      <c r="P1491" s="56" t="n"/>
      <c r="Q1491" s="55" t="n"/>
      <c r="R1491" s="55" t="n"/>
      <c r="S1491" s="55" t="n"/>
      <c r="T1491" s="55" t="n"/>
      <c r="U1491" s="55" t="n"/>
      <c r="V1491" s="55" t="n"/>
      <c r="W1491" s="58" t="n"/>
      <c r="X1491" s="58" t="n"/>
      <c r="Y1491" s="55" t="n"/>
      <c r="Z1491" s="55" t="n"/>
      <c r="AA1491" s="55" t="n"/>
      <c r="AB1491" s="55" t="n"/>
      <c r="AC1491" s="55" t="n"/>
      <c r="AD1491" s="53" t="n"/>
      <c r="AE1491" s="55" t="n"/>
      <c r="AF1491" s="55" t="n"/>
      <c r="AG1491" s="59" t="n"/>
      <c r="AH1491" s="57" t="n"/>
      <c r="AI1491" s="55" t="n"/>
      <c r="AJ1491" s="55" t="n"/>
      <c r="AK1491" s="55" t="n"/>
      <c r="AL1491" s="55" t="n"/>
      <c r="AM1491" s="56" t="n"/>
      <c r="AN1491" s="55" t="n"/>
      <c r="AO1491" s="55" t="n"/>
      <c r="AP1491" s="55" t="n"/>
      <c r="AQ1491" s="55" t="n"/>
      <c r="AR1491" s="60">
        <f>IF(AND(C1491="",E1491=""),"",IF(A1491="","⚠ Date manquante",IF(AND(C1491="",E1491&lt;&gt;"Dépense"),"⚠ Prospect manquant",IF(E1491="","⚠ Action manquante",IF(AND(AU1491=1,D1491=""),"⚠ Canal manquant",IF(AND(W1491&lt;&gt;"",COUNTIFS('Saisie'!$W$5:$W$2004,W1491,'Saisie'!$C$5:$C$2004,"&lt;&gt;"&amp;C1491)&gt;0),"⚠ Numéro déjà utilisé par un autre prospect",IF(AND(J1491&lt;&gt;"",J1491&lt;A1491),"⚠ Relance avant la date de l'action",IF(A1491&gt;TODAY(),"⚠ Date dans le futur","✓"))))))))</f>
        <v/>
      </c>
      <c r="AS1491" s="61">
        <f>IF(AND(A1491="",C1491="",E1491=""),"",ROW())</f>
        <v/>
      </c>
      <c r="AT1491" s="61">
        <f>IF(E1491&amp;F1491="","",MAX(IFERROR(INDEX('Paramètres'!$J$6:$J$33,MATCH(E1491,'Paramètres'!$I$6:$I$33,0)),0),IFERROR(INDEX('Paramètres'!$N$6:$N$17,MATCH(F1491,'Paramètres'!$M$6:$M$17,0)),0)))</f>
        <v/>
      </c>
      <c r="AU1491" s="61">
        <f>IF(E1491="","",IFERROR(IF(INDEX('Paramètres'!$K$6:$K$33,MATCH(E1491,'Paramètres'!$I$6:$I$33,0))="Oui",1,0),0))</f>
        <v/>
      </c>
      <c r="AV1491" s="61">
        <f>IF(F1491="","",IFERROR(IF(INDEX('Paramètres'!$O$6:$O$17,MATCH(F1491,'Paramètres'!$M$6:$M$17,0))="Oui",1,0),0))</f>
        <v/>
      </c>
      <c r="AW1491" s="62">
        <f>IF(E1491="","",IF(G1491&lt;&gt;"",G1491,IF(OR(E1491="Proposition envoyée",E1491="Signature"),MAX(0,N(IFERROR(INDEX('Paramètres'!$R$6:$R$15,MATCH(IF(AL1491&lt;&gt;"",AL1491,IFERROR(INDEX('Prospects'!$AN$5:$AN$504,MATCH(C1491,'Prospects'!$C$5:$C$504,0)),"")),'Paramètres'!$Q$6:$Q$15,0)),0))-N(P1491)),0)))</f>
        <v/>
      </c>
      <c r="AX1491" s="61">
        <f>IF(C1491="","",IF(COUNTIF($C$5:C1491,C1491)=1,MAX($AX$4:AX1490)+1,""))</f>
        <v/>
      </c>
      <c r="AY1491" s="61">
        <f>IF(B1491="","",HOUR(B1491))</f>
        <v/>
      </c>
      <c r="AZ1491" s="61">
        <f>IF(A1491="","",MOD(A1491-2,7)+1)</f>
        <v/>
      </c>
      <c r="BA1491" s="60">
        <f>IF(C1491="","",IFERROR(INDEX('Prospects'!$N$5:$N$504,MATCH(C1491,'Prospects'!$C$5:$C$504,0)),""))</f>
        <v/>
      </c>
      <c r="BB1491" s="61">
        <f>IF(AND(C1491&lt;&gt;"",C1491='Fiche prospect'!$C$4),COUNTIF($C$5:C1491,C1491),"")</f>
        <v/>
      </c>
    </row>
    <row r="1492">
      <c r="A1492" s="53" t="n"/>
      <c r="B1492" s="54" t="n"/>
      <c r="C1492" s="55" t="n"/>
      <c r="D1492" s="55" t="n"/>
      <c r="E1492" s="55" t="n"/>
      <c r="F1492" s="55" t="n"/>
      <c r="G1492" s="56" t="n"/>
      <c r="H1492" s="57" t="n"/>
      <c r="I1492" s="55" t="n"/>
      <c r="J1492" s="53" t="n"/>
      <c r="K1492" s="54" t="n"/>
      <c r="L1492" s="55" t="n"/>
      <c r="M1492" s="55" t="n"/>
      <c r="N1492" s="57" t="n"/>
      <c r="O1492" s="55" t="n"/>
      <c r="P1492" s="56" t="n"/>
      <c r="Q1492" s="55" t="n"/>
      <c r="R1492" s="55" t="n"/>
      <c r="S1492" s="55" t="n"/>
      <c r="T1492" s="55" t="n"/>
      <c r="U1492" s="55" t="n"/>
      <c r="V1492" s="55" t="n"/>
      <c r="W1492" s="58" t="n"/>
      <c r="X1492" s="58" t="n"/>
      <c r="Y1492" s="55" t="n"/>
      <c r="Z1492" s="55" t="n"/>
      <c r="AA1492" s="55" t="n"/>
      <c r="AB1492" s="55" t="n"/>
      <c r="AC1492" s="55" t="n"/>
      <c r="AD1492" s="53" t="n"/>
      <c r="AE1492" s="55" t="n"/>
      <c r="AF1492" s="55" t="n"/>
      <c r="AG1492" s="59" t="n"/>
      <c r="AH1492" s="57" t="n"/>
      <c r="AI1492" s="55" t="n"/>
      <c r="AJ1492" s="55" t="n"/>
      <c r="AK1492" s="55" t="n"/>
      <c r="AL1492" s="55" t="n"/>
      <c r="AM1492" s="56" t="n"/>
      <c r="AN1492" s="55" t="n"/>
      <c r="AO1492" s="55" t="n"/>
      <c r="AP1492" s="55" t="n"/>
      <c r="AQ1492" s="55" t="n"/>
      <c r="AR1492" s="60">
        <f>IF(AND(C1492="",E1492=""),"",IF(A1492="","⚠ Date manquante",IF(AND(C1492="",E1492&lt;&gt;"Dépense"),"⚠ Prospect manquant",IF(E1492="","⚠ Action manquante",IF(AND(AU1492=1,D1492=""),"⚠ Canal manquant",IF(AND(W1492&lt;&gt;"",COUNTIFS('Saisie'!$W$5:$W$2004,W1492,'Saisie'!$C$5:$C$2004,"&lt;&gt;"&amp;C1492)&gt;0),"⚠ Numéro déjà utilisé par un autre prospect",IF(AND(J1492&lt;&gt;"",J1492&lt;A1492),"⚠ Relance avant la date de l'action",IF(A1492&gt;TODAY(),"⚠ Date dans le futur","✓"))))))))</f>
        <v/>
      </c>
      <c r="AS1492" s="61">
        <f>IF(AND(A1492="",C1492="",E1492=""),"",ROW())</f>
        <v/>
      </c>
      <c r="AT1492" s="61">
        <f>IF(E1492&amp;F1492="","",MAX(IFERROR(INDEX('Paramètres'!$J$6:$J$33,MATCH(E1492,'Paramètres'!$I$6:$I$33,0)),0),IFERROR(INDEX('Paramètres'!$N$6:$N$17,MATCH(F1492,'Paramètres'!$M$6:$M$17,0)),0)))</f>
        <v/>
      </c>
      <c r="AU1492" s="61">
        <f>IF(E1492="","",IFERROR(IF(INDEX('Paramètres'!$K$6:$K$33,MATCH(E1492,'Paramètres'!$I$6:$I$33,0))="Oui",1,0),0))</f>
        <v/>
      </c>
      <c r="AV1492" s="61">
        <f>IF(F1492="","",IFERROR(IF(INDEX('Paramètres'!$O$6:$O$17,MATCH(F1492,'Paramètres'!$M$6:$M$17,0))="Oui",1,0),0))</f>
        <v/>
      </c>
      <c r="AW1492" s="62">
        <f>IF(E1492="","",IF(G1492&lt;&gt;"",G1492,IF(OR(E1492="Proposition envoyée",E1492="Signature"),MAX(0,N(IFERROR(INDEX('Paramètres'!$R$6:$R$15,MATCH(IF(AL1492&lt;&gt;"",AL1492,IFERROR(INDEX('Prospects'!$AN$5:$AN$504,MATCH(C1492,'Prospects'!$C$5:$C$504,0)),"")),'Paramètres'!$Q$6:$Q$15,0)),0))-N(P1492)),0)))</f>
        <v/>
      </c>
      <c r="AX1492" s="61">
        <f>IF(C1492="","",IF(COUNTIF($C$5:C1492,C1492)=1,MAX($AX$4:AX1491)+1,""))</f>
        <v/>
      </c>
      <c r="AY1492" s="61">
        <f>IF(B1492="","",HOUR(B1492))</f>
        <v/>
      </c>
      <c r="AZ1492" s="61">
        <f>IF(A1492="","",MOD(A1492-2,7)+1)</f>
        <v/>
      </c>
      <c r="BA1492" s="60">
        <f>IF(C1492="","",IFERROR(INDEX('Prospects'!$N$5:$N$504,MATCH(C1492,'Prospects'!$C$5:$C$504,0)),""))</f>
        <v/>
      </c>
      <c r="BB1492" s="61">
        <f>IF(AND(C1492&lt;&gt;"",C1492='Fiche prospect'!$C$4),COUNTIF($C$5:C1492,C1492),"")</f>
        <v/>
      </c>
    </row>
    <row r="1493">
      <c r="A1493" s="53" t="n"/>
      <c r="B1493" s="54" t="n"/>
      <c r="C1493" s="55" t="n"/>
      <c r="D1493" s="55" t="n"/>
      <c r="E1493" s="55" t="n"/>
      <c r="F1493" s="55" t="n"/>
      <c r="G1493" s="56" t="n"/>
      <c r="H1493" s="57" t="n"/>
      <c r="I1493" s="55" t="n"/>
      <c r="J1493" s="53" t="n"/>
      <c r="K1493" s="54" t="n"/>
      <c r="L1493" s="55" t="n"/>
      <c r="M1493" s="55" t="n"/>
      <c r="N1493" s="57" t="n"/>
      <c r="O1493" s="55" t="n"/>
      <c r="P1493" s="56" t="n"/>
      <c r="Q1493" s="55" t="n"/>
      <c r="R1493" s="55" t="n"/>
      <c r="S1493" s="55" t="n"/>
      <c r="T1493" s="55" t="n"/>
      <c r="U1493" s="55" t="n"/>
      <c r="V1493" s="55" t="n"/>
      <c r="W1493" s="58" t="n"/>
      <c r="X1493" s="58" t="n"/>
      <c r="Y1493" s="55" t="n"/>
      <c r="Z1493" s="55" t="n"/>
      <c r="AA1493" s="55" t="n"/>
      <c r="AB1493" s="55" t="n"/>
      <c r="AC1493" s="55" t="n"/>
      <c r="AD1493" s="53" t="n"/>
      <c r="AE1493" s="55" t="n"/>
      <c r="AF1493" s="55" t="n"/>
      <c r="AG1493" s="59" t="n"/>
      <c r="AH1493" s="57" t="n"/>
      <c r="AI1493" s="55" t="n"/>
      <c r="AJ1493" s="55" t="n"/>
      <c r="AK1493" s="55" t="n"/>
      <c r="AL1493" s="55" t="n"/>
      <c r="AM1493" s="56" t="n"/>
      <c r="AN1493" s="55" t="n"/>
      <c r="AO1493" s="55" t="n"/>
      <c r="AP1493" s="55" t="n"/>
      <c r="AQ1493" s="55" t="n"/>
      <c r="AR1493" s="60">
        <f>IF(AND(C1493="",E1493=""),"",IF(A1493="","⚠ Date manquante",IF(AND(C1493="",E1493&lt;&gt;"Dépense"),"⚠ Prospect manquant",IF(E1493="","⚠ Action manquante",IF(AND(AU1493=1,D1493=""),"⚠ Canal manquant",IF(AND(W1493&lt;&gt;"",COUNTIFS('Saisie'!$W$5:$W$2004,W1493,'Saisie'!$C$5:$C$2004,"&lt;&gt;"&amp;C1493)&gt;0),"⚠ Numéro déjà utilisé par un autre prospect",IF(AND(J1493&lt;&gt;"",J1493&lt;A1493),"⚠ Relance avant la date de l'action",IF(A1493&gt;TODAY(),"⚠ Date dans le futur","✓"))))))))</f>
        <v/>
      </c>
      <c r="AS1493" s="61">
        <f>IF(AND(A1493="",C1493="",E1493=""),"",ROW())</f>
        <v/>
      </c>
      <c r="AT1493" s="61">
        <f>IF(E1493&amp;F1493="","",MAX(IFERROR(INDEX('Paramètres'!$J$6:$J$33,MATCH(E1493,'Paramètres'!$I$6:$I$33,0)),0),IFERROR(INDEX('Paramètres'!$N$6:$N$17,MATCH(F1493,'Paramètres'!$M$6:$M$17,0)),0)))</f>
        <v/>
      </c>
      <c r="AU1493" s="61">
        <f>IF(E1493="","",IFERROR(IF(INDEX('Paramètres'!$K$6:$K$33,MATCH(E1493,'Paramètres'!$I$6:$I$33,0))="Oui",1,0),0))</f>
        <v/>
      </c>
      <c r="AV1493" s="61">
        <f>IF(F1493="","",IFERROR(IF(INDEX('Paramètres'!$O$6:$O$17,MATCH(F1493,'Paramètres'!$M$6:$M$17,0))="Oui",1,0),0))</f>
        <v/>
      </c>
      <c r="AW1493" s="62">
        <f>IF(E1493="","",IF(G1493&lt;&gt;"",G1493,IF(OR(E1493="Proposition envoyée",E1493="Signature"),MAX(0,N(IFERROR(INDEX('Paramètres'!$R$6:$R$15,MATCH(IF(AL1493&lt;&gt;"",AL1493,IFERROR(INDEX('Prospects'!$AN$5:$AN$504,MATCH(C1493,'Prospects'!$C$5:$C$504,0)),"")),'Paramètres'!$Q$6:$Q$15,0)),0))-N(P1493)),0)))</f>
        <v/>
      </c>
      <c r="AX1493" s="61">
        <f>IF(C1493="","",IF(COUNTIF($C$5:C1493,C1493)=1,MAX($AX$4:AX1492)+1,""))</f>
        <v/>
      </c>
      <c r="AY1493" s="61">
        <f>IF(B1493="","",HOUR(B1493))</f>
        <v/>
      </c>
      <c r="AZ1493" s="61">
        <f>IF(A1493="","",MOD(A1493-2,7)+1)</f>
        <v/>
      </c>
      <c r="BA1493" s="60">
        <f>IF(C1493="","",IFERROR(INDEX('Prospects'!$N$5:$N$504,MATCH(C1493,'Prospects'!$C$5:$C$504,0)),""))</f>
        <v/>
      </c>
      <c r="BB1493" s="61">
        <f>IF(AND(C1493&lt;&gt;"",C1493='Fiche prospect'!$C$4),COUNTIF($C$5:C1493,C1493),"")</f>
        <v/>
      </c>
    </row>
    <row r="1494">
      <c r="A1494" s="53" t="n"/>
      <c r="B1494" s="54" t="n"/>
      <c r="C1494" s="55" t="n"/>
      <c r="D1494" s="55" t="n"/>
      <c r="E1494" s="55" t="n"/>
      <c r="F1494" s="55" t="n"/>
      <c r="G1494" s="56" t="n"/>
      <c r="H1494" s="57" t="n"/>
      <c r="I1494" s="55" t="n"/>
      <c r="J1494" s="53" t="n"/>
      <c r="K1494" s="54" t="n"/>
      <c r="L1494" s="55" t="n"/>
      <c r="M1494" s="55" t="n"/>
      <c r="N1494" s="57" t="n"/>
      <c r="O1494" s="55" t="n"/>
      <c r="P1494" s="56" t="n"/>
      <c r="Q1494" s="55" t="n"/>
      <c r="R1494" s="55" t="n"/>
      <c r="S1494" s="55" t="n"/>
      <c r="T1494" s="55" t="n"/>
      <c r="U1494" s="55" t="n"/>
      <c r="V1494" s="55" t="n"/>
      <c r="W1494" s="58" t="n"/>
      <c r="X1494" s="58" t="n"/>
      <c r="Y1494" s="55" t="n"/>
      <c r="Z1494" s="55" t="n"/>
      <c r="AA1494" s="55" t="n"/>
      <c r="AB1494" s="55" t="n"/>
      <c r="AC1494" s="55" t="n"/>
      <c r="AD1494" s="53" t="n"/>
      <c r="AE1494" s="55" t="n"/>
      <c r="AF1494" s="55" t="n"/>
      <c r="AG1494" s="59" t="n"/>
      <c r="AH1494" s="57" t="n"/>
      <c r="AI1494" s="55" t="n"/>
      <c r="AJ1494" s="55" t="n"/>
      <c r="AK1494" s="55" t="n"/>
      <c r="AL1494" s="55" t="n"/>
      <c r="AM1494" s="56" t="n"/>
      <c r="AN1494" s="55" t="n"/>
      <c r="AO1494" s="55" t="n"/>
      <c r="AP1494" s="55" t="n"/>
      <c r="AQ1494" s="55" t="n"/>
      <c r="AR1494" s="60">
        <f>IF(AND(C1494="",E1494=""),"",IF(A1494="","⚠ Date manquante",IF(AND(C1494="",E1494&lt;&gt;"Dépense"),"⚠ Prospect manquant",IF(E1494="","⚠ Action manquante",IF(AND(AU1494=1,D1494=""),"⚠ Canal manquant",IF(AND(W1494&lt;&gt;"",COUNTIFS('Saisie'!$W$5:$W$2004,W1494,'Saisie'!$C$5:$C$2004,"&lt;&gt;"&amp;C1494)&gt;0),"⚠ Numéro déjà utilisé par un autre prospect",IF(AND(J1494&lt;&gt;"",J1494&lt;A1494),"⚠ Relance avant la date de l'action",IF(A1494&gt;TODAY(),"⚠ Date dans le futur","✓"))))))))</f>
        <v/>
      </c>
      <c r="AS1494" s="61">
        <f>IF(AND(A1494="",C1494="",E1494=""),"",ROW())</f>
        <v/>
      </c>
      <c r="AT1494" s="61">
        <f>IF(E1494&amp;F1494="","",MAX(IFERROR(INDEX('Paramètres'!$J$6:$J$33,MATCH(E1494,'Paramètres'!$I$6:$I$33,0)),0),IFERROR(INDEX('Paramètres'!$N$6:$N$17,MATCH(F1494,'Paramètres'!$M$6:$M$17,0)),0)))</f>
        <v/>
      </c>
      <c r="AU1494" s="61">
        <f>IF(E1494="","",IFERROR(IF(INDEX('Paramètres'!$K$6:$K$33,MATCH(E1494,'Paramètres'!$I$6:$I$33,0))="Oui",1,0),0))</f>
        <v/>
      </c>
      <c r="AV1494" s="61">
        <f>IF(F1494="","",IFERROR(IF(INDEX('Paramètres'!$O$6:$O$17,MATCH(F1494,'Paramètres'!$M$6:$M$17,0))="Oui",1,0),0))</f>
        <v/>
      </c>
      <c r="AW1494" s="62">
        <f>IF(E1494="","",IF(G1494&lt;&gt;"",G1494,IF(OR(E1494="Proposition envoyée",E1494="Signature"),MAX(0,N(IFERROR(INDEX('Paramètres'!$R$6:$R$15,MATCH(IF(AL1494&lt;&gt;"",AL1494,IFERROR(INDEX('Prospects'!$AN$5:$AN$504,MATCH(C1494,'Prospects'!$C$5:$C$504,0)),"")),'Paramètres'!$Q$6:$Q$15,0)),0))-N(P1494)),0)))</f>
        <v/>
      </c>
      <c r="AX1494" s="61">
        <f>IF(C1494="","",IF(COUNTIF($C$5:C1494,C1494)=1,MAX($AX$4:AX1493)+1,""))</f>
        <v/>
      </c>
      <c r="AY1494" s="61">
        <f>IF(B1494="","",HOUR(B1494))</f>
        <v/>
      </c>
      <c r="AZ1494" s="61">
        <f>IF(A1494="","",MOD(A1494-2,7)+1)</f>
        <v/>
      </c>
      <c r="BA1494" s="60">
        <f>IF(C1494="","",IFERROR(INDEX('Prospects'!$N$5:$N$504,MATCH(C1494,'Prospects'!$C$5:$C$504,0)),""))</f>
        <v/>
      </c>
      <c r="BB1494" s="61">
        <f>IF(AND(C1494&lt;&gt;"",C1494='Fiche prospect'!$C$4),COUNTIF($C$5:C1494,C1494),"")</f>
        <v/>
      </c>
    </row>
    <row r="1495">
      <c r="A1495" s="53" t="n"/>
      <c r="B1495" s="54" t="n"/>
      <c r="C1495" s="55" t="n"/>
      <c r="D1495" s="55" t="n"/>
      <c r="E1495" s="55" t="n"/>
      <c r="F1495" s="55" t="n"/>
      <c r="G1495" s="56" t="n"/>
      <c r="H1495" s="57" t="n"/>
      <c r="I1495" s="55" t="n"/>
      <c r="J1495" s="53" t="n"/>
      <c r="K1495" s="54" t="n"/>
      <c r="L1495" s="55" t="n"/>
      <c r="M1495" s="55" t="n"/>
      <c r="N1495" s="57" t="n"/>
      <c r="O1495" s="55" t="n"/>
      <c r="P1495" s="56" t="n"/>
      <c r="Q1495" s="55" t="n"/>
      <c r="R1495" s="55" t="n"/>
      <c r="S1495" s="55" t="n"/>
      <c r="T1495" s="55" t="n"/>
      <c r="U1495" s="55" t="n"/>
      <c r="V1495" s="55" t="n"/>
      <c r="W1495" s="58" t="n"/>
      <c r="X1495" s="58" t="n"/>
      <c r="Y1495" s="55" t="n"/>
      <c r="Z1495" s="55" t="n"/>
      <c r="AA1495" s="55" t="n"/>
      <c r="AB1495" s="55" t="n"/>
      <c r="AC1495" s="55" t="n"/>
      <c r="AD1495" s="53" t="n"/>
      <c r="AE1495" s="55" t="n"/>
      <c r="AF1495" s="55" t="n"/>
      <c r="AG1495" s="59" t="n"/>
      <c r="AH1495" s="57" t="n"/>
      <c r="AI1495" s="55" t="n"/>
      <c r="AJ1495" s="55" t="n"/>
      <c r="AK1495" s="55" t="n"/>
      <c r="AL1495" s="55" t="n"/>
      <c r="AM1495" s="56" t="n"/>
      <c r="AN1495" s="55" t="n"/>
      <c r="AO1495" s="55" t="n"/>
      <c r="AP1495" s="55" t="n"/>
      <c r="AQ1495" s="55" t="n"/>
      <c r="AR1495" s="60">
        <f>IF(AND(C1495="",E1495=""),"",IF(A1495="","⚠ Date manquante",IF(AND(C1495="",E1495&lt;&gt;"Dépense"),"⚠ Prospect manquant",IF(E1495="","⚠ Action manquante",IF(AND(AU1495=1,D1495=""),"⚠ Canal manquant",IF(AND(W1495&lt;&gt;"",COUNTIFS('Saisie'!$W$5:$W$2004,W1495,'Saisie'!$C$5:$C$2004,"&lt;&gt;"&amp;C1495)&gt;0),"⚠ Numéro déjà utilisé par un autre prospect",IF(AND(J1495&lt;&gt;"",J1495&lt;A1495),"⚠ Relance avant la date de l'action",IF(A1495&gt;TODAY(),"⚠ Date dans le futur","✓"))))))))</f>
        <v/>
      </c>
      <c r="AS1495" s="61">
        <f>IF(AND(A1495="",C1495="",E1495=""),"",ROW())</f>
        <v/>
      </c>
      <c r="AT1495" s="61">
        <f>IF(E1495&amp;F1495="","",MAX(IFERROR(INDEX('Paramètres'!$J$6:$J$33,MATCH(E1495,'Paramètres'!$I$6:$I$33,0)),0),IFERROR(INDEX('Paramètres'!$N$6:$N$17,MATCH(F1495,'Paramètres'!$M$6:$M$17,0)),0)))</f>
        <v/>
      </c>
      <c r="AU1495" s="61">
        <f>IF(E1495="","",IFERROR(IF(INDEX('Paramètres'!$K$6:$K$33,MATCH(E1495,'Paramètres'!$I$6:$I$33,0))="Oui",1,0),0))</f>
        <v/>
      </c>
      <c r="AV1495" s="61">
        <f>IF(F1495="","",IFERROR(IF(INDEX('Paramètres'!$O$6:$O$17,MATCH(F1495,'Paramètres'!$M$6:$M$17,0))="Oui",1,0),0))</f>
        <v/>
      </c>
      <c r="AW1495" s="62">
        <f>IF(E1495="","",IF(G1495&lt;&gt;"",G1495,IF(OR(E1495="Proposition envoyée",E1495="Signature"),MAX(0,N(IFERROR(INDEX('Paramètres'!$R$6:$R$15,MATCH(IF(AL1495&lt;&gt;"",AL1495,IFERROR(INDEX('Prospects'!$AN$5:$AN$504,MATCH(C1495,'Prospects'!$C$5:$C$504,0)),"")),'Paramètres'!$Q$6:$Q$15,0)),0))-N(P1495)),0)))</f>
        <v/>
      </c>
      <c r="AX1495" s="61">
        <f>IF(C1495="","",IF(COUNTIF($C$5:C1495,C1495)=1,MAX($AX$4:AX1494)+1,""))</f>
        <v/>
      </c>
      <c r="AY1495" s="61">
        <f>IF(B1495="","",HOUR(B1495))</f>
        <v/>
      </c>
      <c r="AZ1495" s="61">
        <f>IF(A1495="","",MOD(A1495-2,7)+1)</f>
        <v/>
      </c>
      <c r="BA1495" s="60">
        <f>IF(C1495="","",IFERROR(INDEX('Prospects'!$N$5:$N$504,MATCH(C1495,'Prospects'!$C$5:$C$504,0)),""))</f>
        <v/>
      </c>
      <c r="BB1495" s="61">
        <f>IF(AND(C1495&lt;&gt;"",C1495='Fiche prospect'!$C$4),COUNTIF($C$5:C1495,C1495),"")</f>
        <v/>
      </c>
    </row>
    <row r="1496">
      <c r="A1496" s="53" t="n"/>
      <c r="B1496" s="54" t="n"/>
      <c r="C1496" s="55" t="n"/>
      <c r="D1496" s="55" t="n"/>
      <c r="E1496" s="55" t="n"/>
      <c r="F1496" s="55" t="n"/>
      <c r="G1496" s="56" t="n"/>
      <c r="H1496" s="57" t="n"/>
      <c r="I1496" s="55" t="n"/>
      <c r="J1496" s="53" t="n"/>
      <c r="K1496" s="54" t="n"/>
      <c r="L1496" s="55" t="n"/>
      <c r="M1496" s="55" t="n"/>
      <c r="N1496" s="57" t="n"/>
      <c r="O1496" s="55" t="n"/>
      <c r="P1496" s="56" t="n"/>
      <c r="Q1496" s="55" t="n"/>
      <c r="R1496" s="55" t="n"/>
      <c r="S1496" s="55" t="n"/>
      <c r="T1496" s="55" t="n"/>
      <c r="U1496" s="55" t="n"/>
      <c r="V1496" s="55" t="n"/>
      <c r="W1496" s="58" t="n"/>
      <c r="X1496" s="58" t="n"/>
      <c r="Y1496" s="55" t="n"/>
      <c r="Z1496" s="55" t="n"/>
      <c r="AA1496" s="55" t="n"/>
      <c r="AB1496" s="55" t="n"/>
      <c r="AC1496" s="55" t="n"/>
      <c r="AD1496" s="53" t="n"/>
      <c r="AE1496" s="55" t="n"/>
      <c r="AF1496" s="55" t="n"/>
      <c r="AG1496" s="59" t="n"/>
      <c r="AH1496" s="57" t="n"/>
      <c r="AI1496" s="55" t="n"/>
      <c r="AJ1496" s="55" t="n"/>
      <c r="AK1496" s="55" t="n"/>
      <c r="AL1496" s="55" t="n"/>
      <c r="AM1496" s="56" t="n"/>
      <c r="AN1496" s="55" t="n"/>
      <c r="AO1496" s="55" t="n"/>
      <c r="AP1496" s="55" t="n"/>
      <c r="AQ1496" s="55" t="n"/>
      <c r="AR1496" s="60">
        <f>IF(AND(C1496="",E1496=""),"",IF(A1496="","⚠ Date manquante",IF(AND(C1496="",E1496&lt;&gt;"Dépense"),"⚠ Prospect manquant",IF(E1496="","⚠ Action manquante",IF(AND(AU1496=1,D1496=""),"⚠ Canal manquant",IF(AND(W1496&lt;&gt;"",COUNTIFS('Saisie'!$W$5:$W$2004,W1496,'Saisie'!$C$5:$C$2004,"&lt;&gt;"&amp;C1496)&gt;0),"⚠ Numéro déjà utilisé par un autre prospect",IF(AND(J1496&lt;&gt;"",J1496&lt;A1496),"⚠ Relance avant la date de l'action",IF(A1496&gt;TODAY(),"⚠ Date dans le futur","✓"))))))))</f>
        <v/>
      </c>
      <c r="AS1496" s="61">
        <f>IF(AND(A1496="",C1496="",E1496=""),"",ROW())</f>
        <v/>
      </c>
      <c r="AT1496" s="61">
        <f>IF(E1496&amp;F1496="","",MAX(IFERROR(INDEX('Paramètres'!$J$6:$J$33,MATCH(E1496,'Paramètres'!$I$6:$I$33,0)),0),IFERROR(INDEX('Paramètres'!$N$6:$N$17,MATCH(F1496,'Paramètres'!$M$6:$M$17,0)),0)))</f>
        <v/>
      </c>
      <c r="AU1496" s="61">
        <f>IF(E1496="","",IFERROR(IF(INDEX('Paramètres'!$K$6:$K$33,MATCH(E1496,'Paramètres'!$I$6:$I$33,0))="Oui",1,0),0))</f>
        <v/>
      </c>
      <c r="AV1496" s="61">
        <f>IF(F1496="","",IFERROR(IF(INDEX('Paramètres'!$O$6:$O$17,MATCH(F1496,'Paramètres'!$M$6:$M$17,0))="Oui",1,0),0))</f>
        <v/>
      </c>
      <c r="AW1496" s="62">
        <f>IF(E1496="","",IF(G1496&lt;&gt;"",G1496,IF(OR(E1496="Proposition envoyée",E1496="Signature"),MAX(0,N(IFERROR(INDEX('Paramètres'!$R$6:$R$15,MATCH(IF(AL1496&lt;&gt;"",AL1496,IFERROR(INDEX('Prospects'!$AN$5:$AN$504,MATCH(C1496,'Prospects'!$C$5:$C$504,0)),"")),'Paramètres'!$Q$6:$Q$15,0)),0))-N(P1496)),0)))</f>
        <v/>
      </c>
      <c r="AX1496" s="61">
        <f>IF(C1496="","",IF(COUNTIF($C$5:C1496,C1496)=1,MAX($AX$4:AX1495)+1,""))</f>
        <v/>
      </c>
      <c r="AY1496" s="61">
        <f>IF(B1496="","",HOUR(B1496))</f>
        <v/>
      </c>
      <c r="AZ1496" s="61">
        <f>IF(A1496="","",MOD(A1496-2,7)+1)</f>
        <v/>
      </c>
      <c r="BA1496" s="60">
        <f>IF(C1496="","",IFERROR(INDEX('Prospects'!$N$5:$N$504,MATCH(C1496,'Prospects'!$C$5:$C$504,0)),""))</f>
        <v/>
      </c>
      <c r="BB1496" s="61">
        <f>IF(AND(C1496&lt;&gt;"",C1496='Fiche prospect'!$C$4),COUNTIF($C$5:C1496,C1496),"")</f>
        <v/>
      </c>
    </row>
    <row r="1497">
      <c r="A1497" s="53" t="n"/>
      <c r="B1497" s="54" t="n"/>
      <c r="C1497" s="55" t="n"/>
      <c r="D1497" s="55" t="n"/>
      <c r="E1497" s="55" t="n"/>
      <c r="F1497" s="55" t="n"/>
      <c r="G1497" s="56" t="n"/>
      <c r="H1497" s="57" t="n"/>
      <c r="I1497" s="55" t="n"/>
      <c r="J1497" s="53" t="n"/>
      <c r="K1497" s="54" t="n"/>
      <c r="L1497" s="55" t="n"/>
      <c r="M1497" s="55" t="n"/>
      <c r="N1497" s="57" t="n"/>
      <c r="O1497" s="55" t="n"/>
      <c r="P1497" s="56" t="n"/>
      <c r="Q1497" s="55" t="n"/>
      <c r="R1497" s="55" t="n"/>
      <c r="S1497" s="55" t="n"/>
      <c r="T1497" s="55" t="n"/>
      <c r="U1497" s="55" t="n"/>
      <c r="V1497" s="55" t="n"/>
      <c r="W1497" s="58" t="n"/>
      <c r="X1497" s="58" t="n"/>
      <c r="Y1497" s="55" t="n"/>
      <c r="Z1497" s="55" t="n"/>
      <c r="AA1497" s="55" t="n"/>
      <c r="AB1497" s="55" t="n"/>
      <c r="AC1497" s="55" t="n"/>
      <c r="AD1497" s="53" t="n"/>
      <c r="AE1497" s="55" t="n"/>
      <c r="AF1497" s="55" t="n"/>
      <c r="AG1497" s="59" t="n"/>
      <c r="AH1497" s="57" t="n"/>
      <c r="AI1497" s="55" t="n"/>
      <c r="AJ1497" s="55" t="n"/>
      <c r="AK1497" s="55" t="n"/>
      <c r="AL1497" s="55" t="n"/>
      <c r="AM1497" s="56" t="n"/>
      <c r="AN1497" s="55" t="n"/>
      <c r="AO1497" s="55" t="n"/>
      <c r="AP1497" s="55" t="n"/>
      <c r="AQ1497" s="55" t="n"/>
      <c r="AR1497" s="60">
        <f>IF(AND(C1497="",E1497=""),"",IF(A1497="","⚠ Date manquante",IF(AND(C1497="",E1497&lt;&gt;"Dépense"),"⚠ Prospect manquant",IF(E1497="","⚠ Action manquante",IF(AND(AU1497=1,D1497=""),"⚠ Canal manquant",IF(AND(W1497&lt;&gt;"",COUNTIFS('Saisie'!$W$5:$W$2004,W1497,'Saisie'!$C$5:$C$2004,"&lt;&gt;"&amp;C1497)&gt;0),"⚠ Numéro déjà utilisé par un autre prospect",IF(AND(J1497&lt;&gt;"",J1497&lt;A1497),"⚠ Relance avant la date de l'action",IF(A1497&gt;TODAY(),"⚠ Date dans le futur","✓"))))))))</f>
        <v/>
      </c>
      <c r="AS1497" s="61">
        <f>IF(AND(A1497="",C1497="",E1497=""),"",ROW())</f>
        <v/>
      </c>
      <c r="AT1497" s="61">
        <f>IF(E1497&amp;F1497="","",MAX(IFERROR(INDEX('Paramètres'!$J$6:$J$33,MATCH(E1497,'Paramètres'!$I$6:$I$33,0)),0),IFERROR(INDEX('Paramètres'!$N$6:$N$17,MATCH(F1497,'Paramètres'!$M$6:$M$17,0)),0)))</f>
        <v/>
      </c>
      <c r="AU1497" s="61">
        <f>IF(E1497="","",IFERROR(IF(INDEX('Paramètres'!$K$6:$K$33,MATCH(E1497,'Paramètres'!$I$6:$I$33,0))="Oui",1,0),0))</f>
        <v/>
      </c>
      <c r="AV1497" s="61">
        <f>IF(F1497="","",IFERROR(IF(INDEX('Paramètres'!$O$6:$O$17,MATCH(F1497,'Paramètres'!$M$6:$M$17,0))="Oui",1,0),0))</f>
        <v/>
      </c>
      <c r="AW1497" s="62">
        <f>IF(E1497="","",IF(G1497&lt;&gt;"",G1497,IF(OR(E1497="Proposition envoyée",E1497="Signature"),MAX(0,N(IFERROR(INDEX('Paramètres'!$R$6:$R$15,MATCH(IF(AL1497&lt;&gt;"",AL1497,IFERROR(INDEX('Prospects'!$AN$5:$AN$504,MATCH(C1497,'Prospects'!$C$5:$C$504,0)),"")),'Paramètres'!$Q$6:$Q$15,0)),0))-N(P1497)),0)))</f>
        <v/>
      </c>
      <c r="AX1497" s="61">
        <f>IF(C1497="","",IF(COUNTIF($C$5:C1497,C1497)=1,MAX($AX$4:AX1496)+1,""))</f>
        <v/>
      </c>
      <c r="AY1497" s="61">
        <f>IF(B1497="","",HOUR(B1497))</f>
        <v/>
      </c>
      <c r="AZ1497" s="61">
        <f>IF(A1497="","",MOD(A1497-2,7)+1)</f>
        <v/>
      </c>
      <c r="BA1497" s="60">
        <f>IF(C1497="","",IFERROR(INDEX('Prospects'!$N$5:$N$504,MATCH(C1497,'Prospects'!$C$5:$C$504,0)),""))</f>
        <v/>
      </c>
      <c r="BB1497" s="61">
        <f>IF(AND(C1497&lt;&gt;"",C1497='Fiche prospect'!$C$4),COUNTIF($C$5:C1497,C1497),"")</f>
        <v/>
      </c>
    </row>
    <row r="1498">
      <c r="A1498" s="53" t="n"/>
      <c r="B1498" s="54" t="n"/>
      <c r="C1498" s="55" t="n"/>
      <c r="D1498" s="55" t="n"/>
      <c r="E1498" s="55" t="n"/>
      <c r="F1498" s="55" t="n"/>
      <c r="G1498" s="56" t="n"/>
      <c r="H1498" s="57" t="n"/>
      <c r="I1498" s="55" t="n"/>
      <c r="J1498" s="53" t="n"/>
      <c r="K1498" s="54" t="n"/>
      <c r="L1498" s="55" t="n"/>
      <c r="M1498" s="55" t="n"/>
      <c r="N1498" s="57" t="n"/>
      <c r="O1498" s="55" t="n"/>
      <c r="P1498" s="56" t="n"/>
      <c r="Q1498" s="55" t="n"/>
      <c r="R1498" s="55" t="n"/>
      <c r="S1498" s="55" t="n"/>
      <c r="T1498" s="55" t="n"/>
      <c r="U1498" s="55" t="n"/>
      <c r="V1498" s="55" t="n"/>
      <c r="W1498" s="58" t="n"/>
      <c r="X1498" s="58" t="n"/>
      <c r="Y1498" s="55" t="n"/>
      <c r="Z1498" s="55" t="n"/>
      <c r="AA1498" s="55" t="n"/>
      <c r="AB1498" s="55" t="n"/>
      <c r="AC1498" s="55" t="n"/>
      <c r="AD1498" s="53" t="n"/>
      <c r="AE1498" s="55" t="n"/>
      <c r="AF1498" s="55" t="n"/>
      <c r="AG1498" s="59" t="n"/>
      <c r="AH1498" s="57" t="n"/>
      <c r="AI1498" s="55" t="n"/>
      <c r="AJ1498" s="55" t="n"/>
      <c r="AK1498" s="55" t="n"/>
      <c r="AL1498" s="55" t="n"/>
      <c r="AM1498" s="56" t="n"/>
      <c r="AN1498" s="55" t="n"/>
      <c r="AO1498" s="55" t="n"/>
      <c r="AP1498" s="55" t="n"/>
      <c r="AQ1498" s="55" t="n"/>
      <c r="AR1498" s="60">
        <f>IF(AND(C1498="",E1498=""),"",IF(A1498="","⚠ Date manquante",IF(AND(C1498="",E1498&lt;&gt;"Dépense"),"⚠ Prospect manquant",IF(E1498="","⚠ Action manquante",IF(AND(AU1498=1,D1498=""),"⚠ Canal manquant",IF(AND(W1498&lt;&gt;"",COUNTIFS('Saisie'!$W$5:$W$2004,W1498,'Saisie'!$C$5:$C$2004,"&lt;&gt;"&amp;C1498)&gt;0),"⚠ Numéro déjà utilisé par un autre prospect",IF(AND(J1498&lt;&gt;"",J1498&lt;A1498),"⚠ Relance avant la date de l'action",IF(A1498&gt;TODAY(),"⚠ Date dans le futur","✓"))))))))</f>
        <v/>
      </c>
      <c r="AS1498" s="61">
        <f>IF(AND(A1498="",C1498="",E1498=""),"",ROW())</f>
        <v/>
      </c>
      <c r="AT1498" s="61">
        <f>IF(E1498&amp;F1498="","",MAX(IFERROR(INDEX('Paramètres'!$J$6:$J$33,MATCH(E1498,'Paramètres'!$I$6:$I$33,0)),0),IFERROR(INDEX('Paramètres'!$N$6:$N$17,MATCH(F1498,'Paramètres'!$M$6:$M$17,0)),0)))</f>
        <v/>
      </c>
      <c r="AU1498" s="61">
        <f>IF(E1498="","",IFERROR(IF(INDEX('Paramètres'!$K$6:$K$33,MATCH(E1498,'Paramètres'!$I$6:$I$33,0))="Oui",1,0),0))</f>
        <v/>
      </c>
      <c r="AV1498" s="61">
        <f>IF(F1498="","",IFERROR(IF(INDEX('Paramètres'!$O$6:$O$17,MATCH(F1498,'Paramètres'!$M$6:$M$17,0))="Oui",1,0),0))</f>
        <v/>
      </c>
      <c r="AW1498" s="62">
        <f>IF(E1498="","",IF(G1498&lt;&gt;"",G1498,IF(OR(E1498="Proposition envoyée",E1498="Signature"),MAX(0,N(IFERROR(INDEX('Paramètres'!$R$6:$R$15,MATCH(IF(AL1498&lt;&gt;"",AL1498,IFERROR(INDEX('Prospects'!$AN$5:$AN$504,MATCH(C1498,'Prospects'!$C$5:$C$504,0)),"")),'Paramètres'!$Q$6:$Q$15,0)),0))-N(P1498)),0)))</f>
        <v/>
      </c>
      <c r="AX1498" s="61">
        <f>IF(C1498="","",IF(COUNTIF($C$5:C1498,C1498)=1,MAX($AX$4:AX1497)+1,""))</f>
        <v/>
      </c>
      <c r="AY1498" s="61">
        <f>IF(B1498="","",HOUR(B1498))</f>
        <v/>
      </c>
      <c r="AZ1498" s="61">
        <f>IF(A1498="","",MOD(A1498-2,7)+1)</f>
        <v/>
      </c>
      <c r="BA1498" s="60">
        <f>IF(C1498="","",IFERROR(INDEX('Prospects'!$N$5:$N$504,MATCH(C1498,'Prospects'!$C$5:$C$504,0)),""))</f>
        <v/>
      </c>
      <c r="BB1498" s="61">
        <f>IF(AND(C1498&lt;&gt;"",C1498='Fiche prospect'!$C$4),COUNTIF($C$5:C1498,C1498),"")</f>
        <v/>
      </c>
    </row>
    <row r="1499">
      <c r="A1499" s="53" t="n"/>
      <c r="B1499" s="54" t="n"/>
      <c r="C1499" s="55" t="n"/>
      <c r="D1499" s="55" t="n"/>
      <c r="E1499" s="55" t="n"/>
      <c r="F1499" s="55" t="n"/>
      <c r="G1499" s="56" t="n"/>
      <c r="H1499" s="57" t="n"/>
      <c r="I1499" s="55" t="n"/>
      <c r="J1499" s="53" t="n"/>
      <c r="K1499" s="54" t="n"/>
      <c r="L1499" s="55" t="n"/>
      <c r="M1499" s="55" t="n"/>
      <c r="N1499" s="57" t="n"/>
      <c r="O1499" s="55" t="n"/>
      <c r="P1499" s="56" t="n"/>
      <c r="Q1499" s="55" t="n"/>
      <c r="R1499" s="55" t="n"/>
      <c r="S1499" s="55" t="n"/>
      <c r="T1499" s="55" t="n"/>
      <c r="U1499" s="55" t="n"/>
      <c r="V1499" s="55" t="n"/>
      <c r="W1499" s="58" t="n"/>
      <c r="X1499" s="58" t="n"/>
      <c r="Y1499" s="55" t="n"/>
      <c r="Z1499" s="55" t="n"/>
      <c r="AA1499" s="55" t="n"/>
      <c r="AB1499" s="55" t="n"/>
      <c r="AC1499" s="55" t="n"/>
      <c r="AD1499" s="53" t="n"/>
      <c r="AE1499" s="55" t="n"/>
      <c r="AF1499" s="55" t="n"/>
      <c r="AG1499" s="59" t="n"/>
      <c r="AH1499" s="57" t="n"/>
      <c r="AI1499" s="55" t="n"/>
      <c r="AJ1499" s="55" t="n"/>
      <c r="AK1499" s="55" t="n"/>
      <c r="AL1499" s="55" t="n"/>
      <c r="AM1499" s="56" t="n"/>
      <c r="AN1499" s="55" t="n"/>
      <c r="AO1499" s="55" t="n"/>
      <c r="AP1499" s="55" t="n"/>
      <c r="AQ1499" s="55" t="n"/>
      <c r="AR1499" s="60">
        <f>IF(AND(C1499="",E1499=""),"",IF(A1499="","⚠ Date manquante",IF(AND(C1499="",E1499&lt;&gt;"Dépense"),"⚠ Prospect manquant",IF(E1499="","⚠ Action manquante",IF(AND(AU1499=1,D1499=""),"⚠ Canal manquant",IF(AND(W1499&lt;&gt;"",COUNTIFS('Saisie'!$W$5:$W$2004,W1499,'Saisie'!$C$5:$C$2004,"&lt;&gt;"&amp;C1499)&gt;0),"⚠ Numéro déjà utilisé par un autre prospect",IF(AND(J1499&lt;&gt;"",J1499&lt;A1499),"⚠ Relance avant la date de l'action",IF(A1499&gt;TODAY(),"⚠ Date dans le futur","✓"))))))))</f>
        <v/>
      </c>
      <c r="AS1499" s="61">
        <f>IF(AND(A1499="",C1499="",E1499=""),"",ROW())</f>
        <v/>
      </c>
      <c r="AT1499" s="61">
        <f>IF(E1499&amp;F1499="","",MAX(IFERROR(INDEX('Paramètres'!$J$6:$J$33,MATCH(E1499,'Paramètres'!$I$6:$I$33,0)),0),IFERROR(INDEX('Paramètres'!$N$6:$N$17,MATCH(F1499,'Paramètres'!$M$6:$M$17,0)),0)))</f>
        <v/>
      </c>
      <c r="AU1499" s="61">
        <f>IF(E1499="","",IFERROR(IF(INDEX('Paramètres'!$K$6:$K$33,MATCH(E1499,'Paramètres'!$I$6:$I$33,0))="Oui",1,0),0))</f>
        <v/>
      </c>
      <c r="AV1499" s="61">
        <f>IF(F1499="","",IFERROR(IF(INDEX('Paramètres'!$O$6:$O$17,MATCH(F1499,'Paramètres'!$M$6:$M$17,0))="Oui",1,0),0))</f>
        <v/>
      </c>
      <c r="AW1499" s="62">
        <f>IF(E1499="","",IF(G1499&lt;&gt;"",G1499,IF(OR(E1499="Proposition envoyée",E1499="Signature"),MAX(0,N(IFERROR(INDEX('Paramètres'!$R$6:$R$15,MATCH(IF(AL1499&lt;&gt;"",AL1499,IFERROR(INDEX('Prospects'!$AN$5:$AN$504,MATCH(C1499,'Prospects'!$C$5:$C$504,0)),"")),'Paramètres'!$Q$6:$Q$15,0)),0))-N(P1499)),0)))</f>
        <v/>
      </c>
      <c r="AX1499" s="61">
        <f>IF(C1499="","",IF(COUNTIF($C$5:C1499,C1499)=1,MAX($AX$4:AX1498)+1,""))</f>
        <v/>
      </c>
      <c r="AY1499" s="61">
        <f>IF(B1499="","",HOUR(B1499))</f>
        <v/>
      </c>
      <c r="AZ1499" s="61">
        <f>IF(A1499="","",MOD(A1499-2,7)+1)</f>
        <v/>
      </c>
      <c r="BA1499" s="60">
        <f>IF(C1499="","",IFERROR(INDEX('Prospects'!$N$5:$N$504,MATCH(C1499,'Prospects'!$C$5:$C$504,0)),""))</f>
        <v/>
      </c>
      <c r="BB1499" s="61">
        <f>IF(AND(C1499&lt;&gt;"",C1499='Fiche prospect'!$C$4),COUNTIF($C$5:C1499,C1499),"")</f>
        <v/>
      </c>
    </row>
    <row r="1500">
      <c r="A1500" s="53" t="n"/>
      <c r="B1500" s="54" t="n"/>
      <c r="C1500" s="55" t="n"/>
      <c r="D1500" s="55" t="n"/>
      <c r="E1500" s="55" t="n"/>
      <c r="F1500" s="55" t="n"/>
      <c r="G1500" s="56" t="n"/>
      <c r="H1500" s="57" t="n"/>
      <c r="I1500" s="55" t="n"/>
      <c r="J1500" s="53" t="n"/>
      <c r="K1500" s="54" t="n"/>
      <c r="L1500" s="55" t="n"/>
      <c r="M1500" s="55" t="n"/>
      <c r="N1500" s="57" t="n"/>
      <c r="O1500" s="55" t="n"/>
      <c r="P1500" s="56" t="n"/>
      <c r="Q1500" s="55" t="n"/>
      <c r="R1500" s="55" t="n"/>
      <c r="S1500" s="55" t="n"/>
      <c r="T1500" s="55" t="n"/>
      <c r="U1500" s="55" t="n"/>
      <c r="V1500" s="55" t="n"/>
      <c r="W1500" s="58" t="n"/>
      <c r="X1500" s="58" t="n"/>
      <c r="Y1500" s="55" t="n"/>
      <c r="Z1500" s="55" t="n"/>
      <c r="AA1500" s="55" t="n"/>
      <c r="AB1500" s="55" t="n"/>
      <c r="AC1500" s="55" t="n"/>
      <c r="AD1500" s="53" t="n"/>
      <c r="AE1500" s="55" t="n"/>
      <c r="AF1500" s="55" t="n"/>
      <c r="AG1500" s="59" t="n"/>
      <c r="AH1500" s="57" t="n"/>
      <c r="AI1500" s="55" t="n"/>
      <c r="AJ1500" s="55" t="n"/>
      <c r="AK1500" s="55" t="n"/>
      <c r="AL1500" s="55" t="n"/>
      <c r="AM1500" s="56" t="n"/>
      <c r="AN1500" s="55" t="n"/>
      <c r="AO1500" s="55" t="n"/>
      <c r="AP1500" s="55" t="n"/>
      <c r="AQ1500" s="55" t="n"/>
      <c r="AR1500" s="60">
        <f>IF(AND(C1500="",E1500=""),"",IF(A1500="","⚠ Date manquante",IF(AND(C1500="",E1500&lt;&gt;"Dépense"),"⚠ Prospect manquant",IF(E1500="","⚠ Action manquante",IF(AND(AU1500=1,D1500=""),"⚠ Canal manquant",IF(AND(W1500&lt;&gt;"",COUNTIFS('Saisie'!$W$5:$W$2004,W1500,'Saisie'!$C$5:$C$2004,"&lt;&gt;"&amp;C1500)&gt;0),"⚠ Numéro déjà utilisé par un autre prospect",IF(AND(J1500&lt;&gt;"",J1500&lt;A1500),"⚠ Relance avant la date de l'action",IF(A1500&gt;TODAY(),"⚠ Date dans le futur","✓"))))))))</f>
        <v/>
      </c>
      <c r="AS1500" s="61">
        <f>IF(AND(A1500="",C1500="",E1500=""),"",ROW())</f>
        <v/>
      </c>
      <c r="AT1500" s="61">
        <f>IF(E1500&amp;F1500="","",MAX(IFERROR(INDEX('Paramètres'!$J$6:$J$33,MATCH(E1500,'Paramètres'!$I$6:$I$33,0)),0),IFERROR(INDEX('Paramètres'!$N$6:$N$17,MATCH(F1500,'Paramètres'!$M$6:$M$17,0)),0)))</f>
        <v/>
      </c>
      <c r="AU1500" s="61">
        <f>IF(E1500="","",IFERROR(IF(INDEX('Paramètres'!$K$6:$K$33,MATCH(E1500,'Paramètres'!$I$6:$I$33,0))="Oui",1,0),0))</f>
        <v/>
      </c>
      <c r="AV1500" s="61">
        <f>IF(F1500="","",IFERROR(IF(INDEX('Paramètres'!$O$6:$O$17,MATCH(F1500,'Paramètres'!$M$6:$M$17,0))="Oui",1,0),0))</f>
        <v/>
      </c>
      <c r="AW1500" s="62">
        <f>IF(E1500="","",IF(G1500&lt;&gt;"",G1500,IF(OR(E1500="Proposition envoyée",E1500="Signature"),MAX(0,N(IFERROR(INDEX('Paramètres'!$R$6:$R$15,MATCH(IF(AL1500&lt;&gt;"",AL1500,IFERROR(INDEX('Prospects'!$AN$5:$AN$504,MATCH(C1500,'Prospects'!$C$5:$C$504,0)),"")),'Paramètres'!$Q$6:$Q$15,0)),0))-N(P1500)),0)))</f>
        <v/>
      </c>
      <c r="AX1500" s="61">
        <f>IF(C1500="","",IF(COUNTIF($C$5:C1500,C1500)=1,MAX($AX$4:AX1499)+1,""))</f>
        <v/>
      </c>
      <c r="AY1500" s="61">
        <f>IF(B1500="","",HOUR(B1500))</f>
        <v/>
      </c>
      <c r="AZ1500" s="61">
        <f>IF(A1500="","",MOD(A1500-2,7)+1)</f>
        <v/>
      </c>
      <c r="BA1500" s="60">
        <f>IF(C1500="","",IFERROR(INDEX('Prospects'!$N$5:$N$504,MATCH(C1500,'Prospects'!$C$5:$C$504,0)),""))</f>
        <v/>
      </c>
      <c r="BB1500" s="61">
        <f>IF(AND(C1500&lt;&gt;"",C1500='Fiche prospect'!$C$4),COUNTIF($C$5:C1500,C1500),"")</f>
        <v/>
      </c>
    </row>
    <row r="1501">
      <c r="A1501" s="53" t="n"/>
      <c r="B1501" s="54" t="n"/>
      <c r="C1501" s="55" t="n"/>
      <c r="D1501" s="55" t="n"/>
      <c r="E1501" s="55" t="n"/>
      <c r="F1501" s="55" t="n"/>
      <c r="G1501" s="56" t="n"/>
      <c r="H1501" s="57" t="n"/>
      <c r="I1501" s="55" t="n"/>
      <c r="J1501" s="53" t="n"/>
      <c r="K1501" s="54" t="n"/>
      <c r="L1501" s="55" t="n"/>
      <c r="M1501" s="55" t="n"/>
      <c r="N1501" s="57" t="n"/>
      <c r="O1501" s="55" t="n"/>
      <c r="P1501" s="56" t="n"/>
      <c r="Q1501" s="55" t="n"/>
      <c r="R1501" s="55" t="n"/>
      <c r="S1501" s="55" t="n"/>
      <c r="T1501" s="55" t="n"/>
      <c r="U1501" s="55" t="n"/>
      <c r="V1501" s="55" t="n"/>
      <c r="W1501" s="58" t="n"/>
      <c r="X1501" s="58" t="n"/>
      <c r="Y1501" s="55" t="n"/>
      <c r="Z1501" s="55" t="n"/>
      <c r="AA1501" s="55" t="n"/>
      <c r="AB1501" s="55" t="n"/>
      <c r="AC1501" s="55" t="n"/>
      <c r="AD1501" s="53" t="n"/>
      <c r="AE1501" s="55" t="n"/>
      <c r="AF1501" s="55" t="n"/>
      <c r="AG1501" s="59" t="n"/>
      <c r="AH1501" s="57" t="n"/>
      <c r="AI1501" s="55" t="n"/>
      <c r="AJ1501" s="55" t="n"/>
      <c r="AK1501" s="55" t="n"/>
      <c r="AL1501" s="55" t="n"/>
      <c r="AM1501" s="56" t="n"/>
      <c r="AN1501" s="55" t="n"/>
      <c r="AO1501" s="55" t="n"/>
      <c r="AP1501" s="55" t="n"/>
      <c r="AQ1501" s="55" t="n"/>
      <c r="AR1501" s="60">
        <f>IF(AND(C1501="",E1501=""),"",IF(A1501="","⚠ Date manquante",IF(AND(C1501="",E1501&lt;&gt;"Dépense"),"⚠ Prospect manquant",IF(E1501="","⚠ Action manquante",IF(AND(AU1501=1,D1501=""),"⚠ Canal manquant",IF(AND(W1501&lt;&gt;"",COUNTIFS('Saisie'!$W$5:$W$2004,W1501,'Saisie'!$C$5:$C$2004,"&lt;&gt;"&amp;C1501)&gt;0),"⚠ Numéro déjà utilisé par un autre prospect",IF(AND(J1501&lt;&gt;"",J1501&lt;A1501),"⚠ Relance avant la date de l'action",IF(A1501&gt;TODAY(),"⚠ Date dans le futur","✓"))))))))</f>
        <v/>
      </c>
      <c r="AS1501" s="61">
        <f>IF(AND(A1501="",C1501="",E1501=""),"",ROW())</f>
        <v/>
      </c>
      <c r="AT1501" s="61">
        <f>IF(E1501&amp;F1501="","",MAX(IFERROR(INDEX('Paramètres'!$J$6:$J$33,MATCH(E1501,'Paramètres'!$I$6:$I$33,0)),0),IFERROR(INDEX('Paramètres'!$N$6:$N$17,MATCH(F1501,'Paramètres'!$M$6:$M$17,0)),0)))</f>
        <v/>
      </c>
      <c r="AU1501" s="61">
        <f>IF(E1501="","",IFERROR(IF(INDEX('Paramètres'!$K$6:$K$33,MATCH(E1501,'Paramètres'!$I$6:$I$33,0))="Oui",1,0),0))</f>
        <v/>
      </c>
      <c r="AV1501" s="61">
        <f>IF(F1501="","",IFERROR(IF(INDEX('Paramètres'!$O$6:$O$17,MATCH(F1501,'Paramètres'!$M$6:$M$17,0))="Oui",1,0),0))</f>
        <v/>
      </c>
      <c r="AW1501" s="62">
        <f>IF(E1501="","",IF(G1501&lt;&gt;"",G1501,IF(OR(E1501="Proposition envoyée",E1501="Signature"),MAX(0,N(IFERROR(INDEX('Paramètres'!$R$6:$R$15,MATCH(IF(AL1501&lt;&gt;"",AL1501,IFERROR(INDEX('Prospects'!$AN$5:$AN$504,MATCH(C1501,'Prospects'!$C$5:$C$504,0)),"")),'Paramètres'!$Q$6:$Q$15,0)),0))-N(P1501)),0)))</f>
        <v/>
      </c>
      <c r="AX1501" s="61">
        <f>IF(C1501="","",IF(COUNTIF($C$5:C1501,C1501)=1,MAX($AX$4:AX1500)+1,""))</f>
        <v/>
      </c>
      <c r="AY1501" s="61">
        <f>IF(B1501="","",HOUR(B1501))</f>
        <v/>
      </c>
      <c r="AZ1501" s="61">
        <f>IF(A1501="","",MOD(A1501-2,7)+1)</f>
        <v/>
      </c>
      <c r="BA1501" s="60">
        <f>IF(C1501="","",IFERROR(INDEX('Prospects'!$N$5:$N$504,MATCH(C1501,'Prospects'!$C$5:$C$504,0)),""))</f>
        <v/>
      </c>
      <c r="BB1501" s="61">
        <f>IF(AND(C1501&lt;&gt;"",C1501='Fiche prospect'!$C$4),COUNTIF($C$5:C1501,C1501),"")</f>
        <v/>
      </c>
    </row>
    <row r="1502">
      <c r="A1502" s="53" t="n"/>
      <c r="B1502" s="54" t="n"/>
      <c r="C1502" s="55" t="n"/>
      <c r="D1502" s="55" t="n"/>
      <c r="E1502" s="55" t="n"/>
      <c r="F1502" s="55" t="n"/>
      <c r="G1502" s="56" t="n"/>
      <c r="H1502" s="57" t="n"/>
      <c r="I1502" s="55" t="n"/>
      <c r="J1502" s="53" t="n"/>
      <c r="K1502" s="54" t="n"/>
      <c r="L1502" s="55" t="n"/>
      <c r="M1502" s="55" t="n"/>
      <c r="N1502" s="57" t="n"/>
      <c r="O1502" s="55" t="n"/>
      <c r="P1502" s="56" t="n"/>
      <c r="Q1502" s="55" t="n"/>
      <c r="R1502" s="55" t="n"/>
      <c r="S1502" s="55" t="n"/>
      <c r="T1502" s="55" t="n"/>
      <c r="U1502" s="55" t="n"/>
      <c r="V1502" s="55" t="n"/>
      <c r="W1502" s="58" t="n"/>
      <c r="X1502" s="58" t="n"/>
      <c r="Y1502" s="55" t="n"/>
      <c r="Z1502" s="55" t="n"/>
      <c r="AA1502" s="55" t="n"/>
      <c r="AB1502" s="55" t="n"/>
      <c r="AC1502" s="55" t="n"/>
      <c r="AD1502" s="53" t="n"/>
      <c r="AE1502" s="55" t="n"/>
      <c r="AF1502" s="55" t="n"/>
      <c r="AG1502" s="59" t="n"/>
      <c r="AH1502" s="57" t="n"/>
      <c r="AI1502" s="55" t="n"/>
      <c r="AJ1502" s="55" t="n"/>
      <c r="AK1502" s="55" t="n"/>
      <c r="AL1502" s="55" t="n"/>
      <c r="AM1502" s="56" t="n"/>
      <c r="AN1502" s="55" t="n"/>
      <c r="AO1502" s="55" t="n"/>
      <c r="AP1502" s="55" t="n"/>
      <c r="AQ1502" s="55" t="n"/>
      <c r="AR1502" s="60">
        <f>IF(AND(C1502="",E1502=""),"",IF(A1502="","⚠ Date manquante",IF(AND(C1502="",E1502&lt;&gt;"Dépense"),"⚠ Prospect manquant",IF(E1502="","⚠ Action manquante",IF(AND(AU1502=1,D1502=""),"⚠ Canal manquant",IF(AND(W1502&lt;&gt;"",COUNTIFS('Saisie'!$W$5:$W$2004,W1502,'Saisie'!$C$5:$C$2004,"&lt;&gt;"&amp;C1502)&gt;0),"⚠ Numéro déjà utilisé par un autre prospect",IF(AND(J1502&lt;&gt;"",J1502&lt;A1502),"⚠ Relance avant la date de l'action",IF(A1502&gt;TODAY(),"⚠ Date dans le futur","✓"))))))))</f>
        <v/>
      </c>
      <c r="AS1502" s="61">
        <f>IF(AND(A1502="",C1502="",E1502=""),"",ROW())</f>
        <v/>
      </c>
      <c r="AT1502" s="61">
        <f>IF(E1502&amp;F1502="","",MAX(IFERROR(INDEX('Paramètres'!$J$6:$J$33,MATCH(E1502,'Paramètres'!$I$6:$I$33,0)),0),IFERROR(INDEX('Paramètres'!$N$6:$N$17,MATCH(F1502,'Paramètres'!$M$6:$M$17,0)),0)))</f>
        <v/>
      </c>
      <c r="AU1502" s="61">
        <f>IF(E1502="","",IFERROR(IF(INDEX('Paramètres'!$K$6:$K$33,MATCH(E1502,'Paramètres'!$I$6:$I$33,0))="Oui",1,0),0))</f>
        <v/>
      </c>
      <c r="AV1502" s="61">
        <f>IF(F1502="","",IFERROR(IF(INDEX('Paramètres'!$O$6:$O$17,MATCH(F1502,'Paramètres'!$M$6:$M$17,0))="Oui",1,0),0))</f>
        <v/>
      </c>
      <c r="AW1502" s="62">
        <f>IF(E1502="","",IF(G1502&lt;&gt;"",G1502,IF(OR(E1502="Proposition envoyée",E1502="Signature"),MAX(0,N(IFERROR(INDEX('Paramètres'!$R$6:$R$15,MATCH(IF(AL1502&lt;&gt;"",AL1502,IFERROR(INDEX('Prospects'!$AN$5:$AN$504,MATCH(C1502,'Prospects'!$C$5:$C$504,0)),"")),'Paramètres'!$Q$6:$Q$15,0)),0))-N(P1502)),0)))</f>
        <v/>
      </c>
      <c r="AX1502" s="61">
        <f>IF(C1502="","",IF(COUNTIF($C$5:C1502,C1502)=1,MAX($AX$4:AX1501)+1,""))</f>
        <v/>
      </c>
      <c r="AY1502" s="61">
        <f>IF(B1502="","",HOUR(B1502))</f>
        <v/>
      </c>
      <c r="AZ1502" s="61">
        <f>IF(A1502="","",MOD(A1502-2,7)+1)</f>
        <v/>
      </c>
      <c r="BA1502" s="60">
        <f>IF(C1502="","",IFERROR(INDEX('Prospects'!$N$5:$N$504,MATCH(C1502,'Prospects'!$C$5:$C$504,0)),""))</f>
        <v/>
      </c>
      <c r="BB1502" s="61">
        <f>IF(AND(C1502&lt;&gt;"",C1502='Fiche prospect'!$C$4),COUNTIF($C$5:C1502,C1502),"")</f>
        <v/>
      </c>
    </row>
    <row r="1503">
      <c r="A1503" s="53" t="n"/>
      <c r="B1503" s="54" t="n"/>
      <c r="C1503" s="55" t="n"/>
      <c r="D1503" s="55" t="n"/>
      <c r="E1503" s="55" t="n"/>
      <c r="F1503" s="55" t="n"/>
      <c r="G1503" s="56" t="n"/>
      <c r="H1503" s="57" t="n"/>
      <c r="I1503" s="55" t="n"/>
      <c r="J1503" s="53" t="n"/>
      <c r="K1503" s="54" t="n"/>
      <c r="L1503" s="55" t="n"/>
      <c r="M1503" s="55" t="n"/>
      <c r="N1503" s="57" t="n"/>
      <c r="O1503" s="55" t="n"/>
      <c r="P1503" s="56" t="n"/>
      <c r="Q1503" s="55" t="n"/>
      <c r="R1503" s="55" t="n"/>
      <c r="S1503" s="55" t="n"/>
      <c r="T1503" s="55" t="n"/>
      <c r="U1503" s="55" t="n"/>
      <c r="V1503" s="55" t="n"/>
      <c r="W1503" s="58" t="n"/>
      <c r="X1503" s="58" t="n"/>
      <c r="Y1503" s="55" t="n"/>
      <c r="Z1503" s="55" t="n"/>
      <c r="AA1503" s="55" t="n"/>
      <c r="AB1503" s="55" t="n"/>
      <c r="AC1503" s="55" t="n"/>
      <c r="AD1503" s="53" t="n"/>
      <c r="AE1503" s="55" t="n"/>
      <c r="AF1503" s="55" t="n"/>
      <c r="AG1503" s="59" t="n"/>
      <c r="AH1503" s="57" t="n"/>
      <c r="AI1503" s="55" t="n"/>
      <c r="AJ1503" s="55" t="n"/>
      <c r="AK1503" s="55" t="n"/>
      <c r="AL1503" s="55" t="n"/>
      <c r="AM1503" s="56" t="n"/>
      <c r="AN1503" s="55" t="n"/>
      <c r="AO1503" s="55" t="n"/>
      <c r="AP1503" s="55" t="n"/>
      <c r="AQ1503" s="55" t="n"/>
      <c r="AR1503" s="60">
        <f>IF(AND(C1503="",E1503=""),"",IF(A1503="","⚠ Date manquante",IF(AND(C1503="",E1503&lt;&gt;"Dépense"),"⚠ Prospect manquant",IF(E1503="","⚠ Action manquante",IF(AND(AU1503=1,D1503=""),"⚠ Canal manquant",IF(AND(W1503&lt;&gt;"",COUNTIFS('Saisie'!$W$5:$W$2004,W1503,'Saisie'!$C$5:$C$2004,"&lt;&gt;"&amp;C1503)&gt;0),"⚠ Numéro déjà utilisé par un autre prospect",IF(AND(J1503&lt;&gt;"",J1503&lt;A1503),"⚠ Relance avant la date de l'action",IF(A1503&gt;TODAY(),"⚠ Date dans le futur","✓"))))))))</f>
        <v/>
      </c>
      <c r="AS1503" s="61">
        <f>IF(AND(A1503="",C1503="",E1503=""),"",ROW())</f>
        <v/>
      </c>
      <c r="AT1503" s="61">
        <f>IF(E1503&amp;F1503="","",MAX(IFERROR(INDEX('Paramètres'!$J$6:$J$33,MATCH(E1503,'Paramètres'!$I$6:$I$33,0)),0),IFERROR(INDEX('Paramètres'!$N$6:$N$17,MATCH(F1503,'Paramètres'!$M$6:$M$17,0)),0)))</f>
        <v/>
      </c>
      <c r="AU1503" s="61">
        <f>IF(E1503="","",IFERROR(IF(INDEX('Paramètres'!$K$6:$K$33,MATCH(E1503,'Paramètres'!$I$6:$I$33,0))="Oui",1,0),0))</f>
        <v/>
      </c>
      <c r="AV1503" s="61">
        <f>IF(F1503="","",IFERROR(IF(INDEX('Paramètres'!$O$6:$O$17,MATCH(F1503,'Paramètres'!$M$6:$M$17,0))="Oui",1,0),0))</f>
        <v/>
      </c>
      <c r="AW1503" s="62">
        <f>IF(E1503="","",IF(G1503&lt;&gt;"",G1503,IF(OR(E1503="Proposition envoyée",E1503="Signature"),MAX(0,N(IFERROR(INDEX('Paramètres'!$R$6:$R$15,MATCH(IF(AL1503&lt;&gt;"",AL1503,IFERROR(INDEX('Prospects'!$AN$5:$AN$504,MATCH(C1503,'Prospects'!$C$5:$C$504,0)),"")),'Paramètres'!$Q$6:$Q$15,0)),0))-N(P1503)),0)))</f>
        <v/>
      </c>
      <c r="AX1503" s="61">
        <f>IF(C1503="","",IF(COUNTIF($C$5:C1503,C1503)=1,MAX($AX$4:AX1502)+1,""))</f>
        <v/>
      </c>
      <c r="AY1503" s="61">
        <f>IF(B1503="","",HOUR(B1503))</f>
        <v/>
      </c>
      <c r="AZ1503" s="61">
        <f>IF(A1503="","",MOD(A1503-2,7)+1)</f>
        <v/>
      </c>
      <c r="BA1503" s="60">
        <f>IF(C1503="","",IFERROR(INDEX('Prospects'!$N$5:$N$504,MATCH(C1503,'Prospects'!$C$5:$C$504,0)),""))</f>
        <v/>
      </c>
      <c r="BB1503" s="61">
        <f>IF(AND(C1503&lt;&gt;"",C1503='Fiche prospect'!$C$4),COUNTIF($C$5:C1503,C1503),"")</f>
        <v/>
      </c>
    </row>
    <row r="1504">
      <c r="A1504" s="53" t="n"/>
      <c r="B1504" s="54" t="n"/>
      <c r="C1504" s="55" t="n"/>
      <c r="D1504" s="55" t="n"/>
      <c r="E1504" s="55" t="n"/>
      <c r="F1504" s="55" t="n"/>
      <c r="G1504" s="56" t="n"/>
      <c r="H1504" s="57" t="n"/>
      <c r="I1504" s="55" t="n"/>
      <c r="J1504" s="53" t="n"/>
      <c r="K1504" s="54" t="n"/>
      <c r="L1504" s="55" t="n"/>
      <c r="M1504" s="55" t="n"/>
      <c r="N1504" s="57" t="n"/>
      <c r="O1504" s="55" t="n"/>
      <c r="P1504" s="56" t="n"/>
      <c r="Q1504" s="55" t="n"/>
      <c r="R1504" s="55" t="n"/>
      <c r="S1504" s="55" t="n"/>
      <c r="T1504" s="55" t="n"/>
      <c r="U1504" s="55" t="n"/>
      <c r="V1504" s="55" t="n"/>
      <c r="W1504" s="58" t="n"/>
      <c r="X1504" s="58" t="n"/>
      <c r="Y1504" s="55" t="n"/>
      <c r="Z1504" s="55" t="n"/>
      <c r="AA1504" s="55" t="n"/>
      <c r="AB1504" s="55" t="n"/>
      <c r="AC1504" s="55" t="n"/>
      <c r="AD1504" s="53" t="n"/>
      <c r="AE1504" s="55" t="n"/>
      <c r="AF1504" s="55" t="n"/>
      <c r="AG1504" s="59" t="n"/>
      <c r="AH1504" s="57" t="n"/>
      <c r="AI1504" s="55" t="n"/>
      <c r="AJ1504" s="55" t="n"/>
      <c r="AK1504" s="55" t="n"/>
      <c r="AL1504" s="55" t="n"/>
      <c r="AM1504" s="56" t="n"/>
      <c r="AN1504" s="55" t="n"/>
      <c r="AO1504" s="55" t="n"/>
      <c r="AP1504" s="55" t="n"/>
      <c r="AQ1504" s="55" t="n"/>
      <c r="AR1504" s="60">
        <f>IF(AND(C1504="",E1504=""),"",IF(A1504="","⚠ Date manquante",IF(AND(C1504="",E1504&lt;&gt;"Dépense"),"⚠ Prospect manquant",IF(E1504="","⚠ Action manquante",IF(AND(AU1504=1,D1504=""),"⚠ Canal manquant",IF(AND(W1504&lt;&gt;"",COUNTIFS('Saisie'!$W$5:$W$2004,W1504,'Saisie'!$C$5:$C$2004,"&lt;&gt;"&amp;C1504)&gt;0),"⚠ Numéro déjà utilisé par un autre prospect",IF(AND(J1504&lt;&gt;"",J1504&lt;A1504),"⚠ Relance avant la date de l'action",IF(A1504&gt;TODAY(),"⚠ Date dans le futur","✓"))))))))</f>
        <v/>
      </c>
      <c r="AS1504" s="61">
        <f>IF(AND(A1504="",C1504="",E1504=""),"",ROW())</f>
        <v/>
      </c>
      <c r="AT1504" s="61">
        <f>IF(E1504&amp;F1504="","",MAX(IFERROR(INDEX('Paramètres'!$J$6:$J$33,MATCH(E1504,'Paramètres'!$I$6:$I$33,0)),0),IFERROR(INDEX('Paramètres'!$N$6:$N$17,MATCH(F1504,'Paramètres'!$M$6:$M$17,0)),0)))</f>
        <v/>
      </c>
      <c r="AU1504" s="61">
        <f>IF(E1504="","",IFERROR(IF(INDEX('Paramètres'!$K$6:$K$33,MATCH(E1504,'Paramètres'!$I$6:$I$33,0))="Oui",1,0),0))</f>
        <v/>
      </c>
      <c r="AV1504" s="61">
        <f>IF(F1504="","",IFERROR(IF(INDEX('Paramètres'!$O$6:$O$17,MATCH(F1504,'Paramètres'!$M$6:$M$17,0))="Oui",1,0),0))</f>
        <v/>
      </c>
      <c r="AW1504" s="62">
        <f>IF(E1504="","",IF(G1504&lt;&gt;"",G1504,IF(OR(E1504="Proposition envoyée",E1504="Signature"),MAX(0,N(IFERROR(INDEX('Paramètres'!$R$6:$R$15,MATCH(IF(AL1504&lt;&gt;"",AL1504,IFERROR(INDEX('Prospects'!$AN$5:$AN$504,MATCH(C1504,'Prospects'!$C$5:$C$504,0)),"")),'Paramètres'!$Q$6:$Q$15,0)),0))-N(P1504)),0)))</f>
        <v/>
      </c>
      <c r="AX1504" s="61">
        <f>IF(C1504="","",IF(COUNTIF($C$5:C1504,C1504)=1,MAX($AX$4:AX1503)+1,""))</f>
        <v/>
      </c>
      <c r="AY1504" s="61">
        <f>IF(B1504="","",HOUR(B1504))</f>
        <v/>
      </c>
      <c r="AZ1504" s="61">
        <f>IF(A1504="","",MOD(A1504-2,7)+1)</f>
        <v/>
      </c>
      <c r="BA1504" s="60">
        <f>IF(C1504="","",IFERROR(INDEX('Prospects'!$N$5:$N$504,MATCH(C1504,'Prospects'!$C$5:$C$504,0)),""))</f>
        <v/>
      </c>
      <c r="BB1504" s="61">
        <f>IF(AND(C1504&lt;&gt;"",C1504='Fiche prospect'!$C$4),COUNTIF($C$5:C1504,C1504),"")</f>
        <v/>
      </c>
    </row>
    <row r="1505">
      <c r="A1505" s="53" t="n"/>
      <c r="B1505" s="54" t="n"/>
      <c r="C1505" s="55" t="n"/>
      <c r="D1505" s="55" t="n"/>
      <c r="E1505" s="55" t="n"/>
      <c r="F1505" s="55" t="n"/>
      <c r="G1505" s="56" t="n"/>
      <c r="H1505" s="57" t="n"/>
      <c r="I1505" s="55" t="n"/>
      <c r="J1505" s="53" t="n"/>
      <c r="K1505" s="54" t="n"/>
      <c r="L1505" s="55" t="n"/>
      <c r="M1505" s="55" t="n"/>
      <c r="N1505" s="57" t="n"/>
      <c r="O1505" s="55" t="n"/>
      <c r="P1505" s="56" t="n"/>
      <c r="Q1505" s="55" t="n"/>
      <c r="R1505" s="55" t="n"/>
      <c r="S1505" s="55" t="n"/>
      <c r="T1505" s="55" t="n"/>
      <c r="U1505" s="55" t="n"/>
      <c r="V1505" s="55" t="n"/>
      <c r="W1505" s="58" t="n"/>
      <c r="X1505" s="58" t="n"/>
      <c r="Y1505" s="55" t="n"/>
      <c r="Z1505" s="55" t="n"/>
      <c r="AA1505" s="55" t="n"/>
      <c r="AB1505" s="55" t="n"/>
      <c r="AC1505" s="55" t="n"/>
      <c r="AD1505" s="53" t="n"/>
      <c r="AE1505" s="55" t="n"/>
      <c r="AF1505" s="55" t="n"/>
      <c r="AG1505" s="59" t="n"/>
      <c r="AH1505" s="57" t="n"/>
      <c r="AI1505" s="55" t="n"/>
      <c r="AJ1505" s="55" t="n"/>
      <c r="AK1505" s="55" t="n"/>
      <c r="AL1505" s="55" t="n"/>
      <c r="AM1505" s="56" t="n"/>
      <c r="AN1505" s="55" t="n"/>
      <c r="AO1505" s="55" t="n"/>
      <c r="AP1505" s="55" t="n"/>
      <c r="AQ1505" s="55" t="n"/>
      <c r="AR1505" s="60">
        <f>IF(AND(C1505="",E1505=""),"",IF(A1505="","⚠ Date manquante",IF(AND(C1505="",E1505&lt;&gt;"Dépense"),"⚠ Prospect manquant",IF(E1505="","⚠ Action manquante",IF(AND(AU1505=1,D1505=""),"⚠ Canal manquant",IF(AND(W1505&lt;&gt;"",COUNTIFS('Saisie'!$W$5:$W$2004,W1505,'Saisie'!$C$5:$C$2004,"&lt;&gt;"&amp;C1505)&gt;0),"⚠ Numéro déjà utilisé par un autre prospect",IF(AND(J1505&lt;&gt;"",J1505&lt;A1505),"⚠ Relance avant la date de l'action",IF(A1505&gt;TODAY(),"⚠ Date dans le futur","✓"))))))))</f>
        <v/>
      </c>
      <c r="AS1505" s="61">
        <f>IF(AND(A1505="",C1505="",E1505=""),"",ROW())</f>
        <v/>
      </c>
      <c r="AT1505" s="61">
        <f>IF(E1505&amp;F1505="","",MAX(IFERROR(INDEX('Paramètres'!$J$6:$J$33,MATCH(E1505,'Paramètres'!$I$6:$I$33,0)),0),IFERROR(INDEX('Paramètres'!$N$6:$N$17,MATCH(F1505,'Paramètres'!$M$6:$M$17,0)),0)))</f>
        <v/>
      </c>
      <c r="AU1505" s="61">
        <f>IF(E1505="","",IFERROR(IF(INDEX('Paramètres'!$K$6:$K$33,MATCH(E1505,'Paramètres'!$I$6:$I$33,0))="Oui",1,0),0))</f>
        <v/>
      </c>
      <c r="AV1505" s="61">
        <f>IF(F1505="","",IFERROR(IF(INDEX('Paramètres'!$O$6:$O$17,MATCH(F1505,'Paramètres'!$M$6:$M$17,0))="Oui",1,0),0))</f>
        <v/>
      </c>
      <c r="AW1505" s="62">
        <f>IF(E1505="","",IF(G1505&lt;&gt;"",G1505,IF(OR(E1505="Proposition envoyée",E1505="Signature"),MAX(0,N(IFERROR(INDEX('Paramètres'!$R$6:$R$15,MATCH(IF(AL1505&lt;&gt;"",AL1505,IFERROR(INDEX('Prospects'!$AN$5:$AN$504,MATCH(C1505,'Prospects'!$C$5:$C$504,0)),"")),'Paramètres'!$Q$6:$Q$15,0)),0))-N(P1505)),0)))</f>
        <v/>
      </c>
      <c r="AX1505" s="61">
        <f>IF(C1505="","",IF(COUNTIF($C$5:C1505,C1505)=1,MAX($AX$4:AX1504)+1,""))</f>
        <v/>
      </c>
      <c r="AY1505" s="61">
        <f>IF(B1505="","",HOUR(B1505))</f>
        <v/>
      </c>
      <c r="AZ1505" s="61">
        <f>IF(A1505="","",MOD(A1505-2,7)+1)</f>
        <v/>
      </c>
      <c r="BA1505" s="60">
        <f>IF(C1505="","",IFERROR(INDEX('Prospects'!$N$5:$N$504,MATCH(C1505,'Prospects'!$C$5:$C$504,0)),""))</f>
        <v/>
      </c>
      <c r="BB1505" s="61">
        <f>IF(AND(C1505&lt;&gt;"",C1505='Fiche prospect'!$C$4),COUNTIF($C$5:C1505,C1505),"")</f>
        <v/>
      </c>
    </row>
    <row r="1506">
      <c r="A1506" s="53" t="n"/>
      <c r="B1506" s="54" t="n"/>
      <c r="C1506" s="55" t="n"/>
      <c r="D1506" s="55" t="n"/>
      <c r="E1506" s="55" t="n"/>
      <c r="F1506" s="55" t="n"/>
      <c r="G1506" s="56" t="n"/>
      <c r="H1506" s="57" t="n"/>
      <c r="I1506" s="55" t="n"/>
      <c r="J1506" s="53" t="n"/>
      <c r="K1506" s="54" t="n"/>
      <c r="L1506" s="55" t="n"/>
      <c r="M1506" s="55" t="n"/>
      <c r="N1506" s="57" t="n"/>
      <c r="O1506" s="55" t="n"/>
      <c r="P1506" s="56" t="n"/>
      <c r="Q1506" s="55" t="n"/>
      <c r="R1506" s="55" t="n"/>
      <c r="S1506" s="55" t="n"/>
      <c r="T1506" s="55" t="n"/>
      <c r="U1506" s="55" t="n"/>
      <c r="V1506" s="55" t="n"/>
      <c r="W1506" s="58" t="n"/>
      <c r="X1506" s="58" t="n"/>
      <c r="Y1506" s="55" t="n"/>
      <c r="Z1506" s="55" t="n"/>
      <c r="AA1506" s="55" t="n"/>
      <c r="AB1506" s="55" t="n"/>
      <c r="AC1506" s="55" t="n"/>
      <c r="AD1506" s="53" t="n"/>
      <c r="AE1506" s="55" t="n"/>
      <c r="AF1506" s="55" t="n"/>
      <c r="AG1506" s="59" t="n"/>
      <c r="AH1506" s="57" t="n"/>
      <c r="AI1506" s="55" t="n"/>
      <c r="AJ1506" s="55" t="n"/>
      <c r="AK1506" s="55" t="n"/>
      <c r="AL1506" s="55" t="n"/>
      <c r="AM1506" s="56" t="n"/>
      <c r="AN1506" s="55" t="n"/>
      <c r="AO1506" s="55" t="n"/>
      <c r="AP1506" s="55" t="n"/>
      <c r="AQ1506" s="55" t="n"/>
      <c r="AR1506" s="60">
        <f>IF(AND(C1506="",E1506=""),"",IF(A1506="","⚠ Date manquante",IF(AND(C1506="",E1506&lt;&gt;"Dépense"),"⚠ Prospect manquant",IF(E1506="","⚠ Action manquante",IF(AND(AU1506=1,D1506=""),"⚠ Canal manquant",IF(AND(W1506&lt;&gt;"",COUNTIFS('Saisie'!$W$5:$W$2004,W1506,'Saisie'!$C$5:$C$2004,"&lt;&gt;"&amp;C1506)&gt;0),"⚠ Numéro déjà utilisé par un autre prospect",IF(AND(J1506&lt;&gt;"",J1506&lt;A1506),"⚠ Relance avant la date de l'action",IF(A1506&gt;TODAY(),"⚠ Date dans le futur","✓"))))))))</f>
        <v/>
      </c>
      <c r="AS1506" s="61">
        <f>IF(AND(A1506="",C1506="",E1506=""),"",ROW())</f>
        <v/>
      </c>
      <c r="AT1506" s="61">
        <f>IF(E1506&amp;F1506="","",MAX(IFERROR(INDEX('Paramètres'!$J$6:$J$33,MATCH(E1506,'Paramètres'!$I$6:$I$33,0)),0),IFERROR(INDEX('Paramètres'!$N$6:$N$17,MATCH(F1506,'Paramètres'!$M$6:$M$17,0)),0)))</f>
        <v/>
      </c>
      <c r="AU1506" s="61">
        <f>IF(E1506="","",IFERROR(IF(INDEX('Paramètres'!$K$6:$K$33,MATCH(E1506,'Paramètres'!$I$6:$I$33,0))="Oui",1,0),0))</f>
        <v/>
      </c>
      <c r="AV1506" s="61">
        <f>IF(F1506="","",IFERROR(IF(INDEX('Paramètres'!$O$6:$O$17,MATCH(F1506,'Paramètres'!$M$6:$M$17,0))="Oui",1,0),0))</f>
        <v/>
      </c>
      <c r="AW1506" s="62">
        <f>IF(E1506="","",IF(G1506&lt;&gt;"",G1506,IF(OR(E1506="Proposition envoyée",E1506="Signature"),MAX(0,N(IFERROR(INDEX('Paramètres'!$R$6:$R$15,MATCH(IF(AL1506&lt;&gt;"",AL1506,IFERROR(INDEX('Prospects'!$AN$5:$AN$504,MATCH(C1506,'Prospects'!$C$5:$C$504,0)),"")),'Paramètres'!$Q$6:$Q$15,0)),0))-N(P1506)),0)))</f>
        <v/>
      </c>
      <c r="AX1506" s="61">
        <f>IF(C1506="","",IF(COUNTIF($C$5:C1506,C1506)=1,MAX($AX$4:AX1505)+1,""))</f>
        <v/>
      </c>
      <c r="AY1506" s="61">
        <f>IF(B1506="","",HOUR(B1506))</f>
        <v/>
      </c>
      <c r="AZ1506" s="61">
        <f>IF(A1506="","",MOD(A1506-2,7)+1)</f>
        <v/>
      </c>
      <c r="BA1506" s="60">
        <f>IF(C1506="","",IFERROR(INDEX('Prospects'!$N$5:$N$504,MATCH(C1506,'Prospects'!$C$5:$C$504,0)),""))</f>
        <v/>
      </c>
      <c r="BB1506" s="61">
        <f>IF(AND(C1506&lt;&gt;"",C1506='Fiche prospect'!$C$4),COUNTIF($C$5:C1506,C1506),"")</f>
        <v/>
      </c>
    </row>
    <row r="1507">
      <c r="A1507" s="53" t="n"/>
      <c r="B1507" s="54" t="n"/>
      <c r="C1507" s="55" t="n"/>
      <c r="D1507" s="55" t="n"/>
      <c r="E1507" s="55" t="n"/>
      <c r="F1507" s="55" t="n"/>
      <c r="G1507" s="56" t="n"/>
      <c r="H1507" s="57" t="n"/>
      <c r="I1507" s="55" t="n"/>
      <c r="J1507" s="53" t="n"/>
      <c r="K1507" s="54" t="n"/>
      <c r="L1507" s="55" t="n"/>
      <c r="M1507" s="55" t="n"/>
      <c r="N1507" s="57" t="n"/>
      <c r="O1507" s="55" t="n"/>
      <c r="P1507" s="56" t="n"/>
      <c r="Q1507" s="55" t="n"/>
      <c r="R1507" s="55" t="n"/>
      <c r="S1507" s="55" t="n"/>
      <c r="T1507" s="55" t="n"/>
      <c r="U1507" s="55" t="n"/>
      <c r="V1507" s="55" t="n"/>
      <c r="W1507" s="58" t="n"/>
      <c r="X1507" s="58" t="n"/>
      <c r="Y1507" s="55" t="n"/>
      <c r="Z1507" s="55" t="n"/>
      <c r="AA1507" s="55" t="n"/>
      <c r="AB1507" s="55" t="n"/>
      <c r="AC1507" s="55" t="n"/>
      <c r="AD1507" s="53" t="n"/>
      <c r="AE1507" s="55" t="n"/>
      <c r="AF1507" s="55" t="n"/>
      <c r="AG1507" s="59" t="n"/>
      <c r="AH1507" s="57" t="n"/>
      <c r="AI1507" s="55" t="n"/>
      <c r="AJ1507" s="55" t="n"/>
      <c r="AK1507" s="55" t="n"/>
      <c r="AL1507" s="55" t="n"/>
      <c r="AM1507" s="56" t="n"/>
      <c r="AN1507" s="55" t="n"/>
      <c r="AO1507" s="55" t="n"/>
      <c r="AP1507" s="55" t="n"/>
      <c r="AQ1507" s="55" t="n"/>
      <c r="AR1507" s="60">
        <f>IF(AND(C1507="",E1507=""),"",IF(A1507="","⚠ Date manquante",IF(AND(C1507="",E1507&lt;&gt;"Dépense"),"⚠ Prospect manquant",IF(E1507="","⚠ Action manquante",IF(AND(AU1507=1,D1507=""),"⚠ Canal manquant",IF(AND(W1507&lt;&gt;"",COUNTIFS('Saisie'!$W$5:$W$2004,W1507,'Saisie'!$C$5:$C$2004,"&lt;&gt;"&amp;C1507)&gt;0),"⚠ Numéro déjà utilisé par un autre prospect",IF(AND(J1507&lt;&gt;"",J1507&lt;A1507),"⚠ Relance avant la date de l'action",IF(A1507&gt;TODAY(),"⚠ Date dans le futur","✓"))))))))</f>
        <v/>
      </c>
      <c r="AS1507" s="61">
        <f>IF(AND(A1507="",C1507="",E1507=""),"",ROW())</f>
        <v/>
      </c>
      <c r="AT1507" s="61">
        <f>IF(E1507&amp;F1507="","",MAX(IFERROR(INDEX('Paramètres'!$J$6:$J$33,MATCH(E1507,'Paramètres'!$I$6:$I$33,0)),0),IFERROR(INDEX('Paramètres'!$N$6:$N$17,MATCH(F1507,'Paramètres'!$M$6:$M$17,0)),0)))</f>
        <v/>
      </c>
      <c r="AU1507" s="61">
        <f>IF(E1507="","",IFERROR(IF(INDEX('Paramètres'!$K$6:$K$33,MATCH(E1507,'Paramètres'!$I$6:$I$33,0))="Oui",1,0),0))</f>
        <v/>
      </c>
      <c r="AV1507" s="61">
        <f>IF(F1507="","",IFERROR(IF(INDEX('Paramètres'!$O$6:$O$17,MATCH(F1507,'Paramètres'!$M$6:$M$17,0))="Oui",1,0),0))</f>
        <v/>
      </c>
      <c r="AW1507" s="62">
        <f>IF(E1507="","",IF(G1507&lt;&gt;"",G1507,IF(OR(E1507="Proposition envoyée",E1507="Signature"),MAX(0,N(IFERROR(INDEX('Paramètres'!$R$6:$R$15,MATCH(IF(AL1507&lt;&gt;"",AL1507,IFERROR(INDEX('Prospects'!$AN$5:$AN$504,MATCH(C1507,'Prospects'!$C$5:$C$504,0)),"")),'Paramètres'!$Q$6:$Q$15,0)),0))-N(P1507)),0)))</f>
        <v/>
      </c>
      <c r="AX1507" s="61">
        <f>IF(C1507="","",IF(COUNTIF($C$5:C1507,C1507)=1,MAX($AX$4:AX1506)+1,""))</f>
        <v/>
      </c>
      <c r="AY1507" s="61">
        <f>IF(B1507="","",HOUR(B1507))</f>
        <v/>
      </c>
      <c r="AZ1507" s="61">
        <f>IF(A1507="","",MOD(A1507-2,7)+1)</f>
        <v/>
      </c>
      <c r="BA1507" s="60">
        <f>IF(C1507="","",IFERROR(INDEX('Prospects'!$N$5:$N$504,MATCH(C1507,'Prospects'!$C$5:$C$504,0)),""))</f>
        <v/>
      </c>
      <c r="BB1507" s="61">
        <f>IF(AND(C1507&lt;&gt;"",C1507='Fiche prospect'!$C$4),COUNTIF($C$5:C1507,C1507),"")</f>
        <v/>
      </c>
    </row>
    <row r="1508">
      <c r="A1508" s="53" t="n"/>
      <c r="B1508" s="54" t="n"/>
      <c r="C1508" s="55" t="n"/>
      <c r="D1508" s="55" t="n"/>
      <c r="E1508" s="55" t="n"/>
      <c r="F1508" s="55" t="n"/>
      <c r="G1508" s="56" t="n"/>
      <c r="H1508" s="57" t="n"/>
      <c r="I1508" s="55" t="n"/>
      <c r="J1508" s="53" t="n"/>
      <c r="K1508" s="54" t="n"/>
      <c r="L1508" s="55" t="n"/>
      <c r="M1508" s="55" t="n"/>
      <c r="N1508" s="57" t="n"/>
      <c r="O1508" s="55" t="n"/>
      <c r="P1508" s="56" t="n"/>
      <c r="Q1508" s="55" t="n"/>
      <c r="R1508" s="55" t="n"/>
      <c r="S1508" s="55" t="n"/>
      <c r="T1508" s="55" t="n"/>
      <c r="U1508" s="55" t="n"/>
      <c r="V1508" s="55" t="n"/>
      <c r="W1508" s="58" t="n"/>
      <c r="X1508" s="58" t="n"/>
      <c r="Y1508" s="55" t="n"/>
      <c r="Z1508" s="55" t="n"/>
      <c r="AA1508" s="55" t="n"/>
      <c r="AB1508" s="55" t="n"/>
      <c r="AC1508" s="55" t="n"/>
      <c r="AD1508" s="53" t="n"/>
      <c r="AE1508" s="55" t="n"/>
      <c r="AF1508" s="55" t="n"/>
      <c r="AG1508" s="59" t="n"/>
      <c r="AH1508" s="57" t="n"/>
      <c r="AI1508" s="55" t="n"/>
      <c r="AJ1508" s="55" t="n"/>
      <c r="AK1508" s="55" t="n"/>
      <c r="AL1508" s="55" t="n"/>
      <c r="AM1508" s="56" t="n"/>
      <c r="AN1508" s="55" t="n"/>
      <c r="AO1508" s="55" t="n"/>
      <c r="AP1508" s="55" t="n"/>
      <c r="AQ1508" s="55" t="n"/>
      <c r="AR1508" s="60">
        <f>IF(AND(C1508="",E1508=""),"",IF(A1508="","⚠ Date manquante",IF(AND(C1508="",E1508&lt;&gt;"Dépense"),"⚠ Prospect manquant",IF(E1508="","⚠ Action manquante",IF(AND(AU1508=1,D1508=""),"⚠ Canal manquant",IF(AND(W1508&lt;&gt;"",COUNTIFS('Saisie'!$W$5:$W$2004,W1508,'Saisie'!$C$5:$C$2004,"&lt;&gt;"&amp;C1508)&gt;0),"⚠ Numéro déjà utilisé par un autre prospect",IF(AND(J1508&lt;&gt;"",J1508&lt;A1508),"⚠ Relance avant la date de l'action",IF(A1508&gt;TODAY(),"⚠ Date dans le futur","✓"))))))))</f>
        <v/>
      </c>
      <c r="AS1508" s="61">
        <f>IF(AND(A1508="",C1508="",E1508=""),"",ROW())</f>
        <v/>
      </c>
      <c r="AT1508" s="61">
        <f>IF(E1508&amp;F1508="","",MAX(IFERROR(INDEX('Paramètres'!$J$6:$J$33,MATCH(E1508,'Paramètres'!$I$6:$I$33,0)),0),IFERROR(INDEX('Paramètres'!$N$6:$N$17,MATCH(F1508,'Paramètres'!$M$6:$M$17,0)),0)))</f>
        <v/>
      </c>
      <c r="AU1508" s="61">
        <f>IF(E1508="","",IFERROR(IF(INDEX('Paramètres'!$K$6:$K$33,MATCH(E1508,'Paramètres'!$I$6:$I$33,0))="Oui",1,0),0))</f>
        <v/>
      </c>
      <c r="AV1508" s="61">
        <f>IF(F1508="","",IFERROR(IF(INDEX('Paramètres'!$O$6:$O$17,MATCH(F1508,'Paramètres'!$M$6:$M$17,0))="Oui",1,0),0))</f>
        <v/>
      </c>
      <c r="AW1508" s="62">
        <f>IF(E1508="","",IF(G1508&lt;&gt;"",G1508,IF(OR(E1508="Proposition envoyée",E1508="Signature"),MAX(0,N(IFERROR(INDEX('Paramètres'!$R$6:$R$15,MATCH(IF(AL1508&lt;&gt;"",AL1508,IFERROR(INDEX('Prospects'!$AN$5:$AN$504,MATCH(C1508,'Prospects'!$C$5:$C$504,0)),"")),'Paramètres'!$Q$6:$Q$15,0)),0))-N(P1508)),0)))</f>
        <v/>
      </c>
      <c r="AX1508" s="61">
        <f>IF(C1508="","",IF(COUNTIF($C$5:C1508,C1508)=1,MAX($AX$4:AX1507)+1,""))</f>
        <v/>
      </c>
      <c r="AY1508" s="61">
        <f>IF(B1508="","",HOUR(B1508))</f>
        <v/>
      </c>
      <c r="AZ1508" s="61">
        <f>IF(A1508="","",MOD(A1508-2,7)+1)</f>
        <v/>
      </c>
      <c r="BA1508" s="60">
        <f>IF(C1508="","",IFERROR(INDEX('Prospects'!$N$5:$N$504,MATCH(C1508,'Prospects'!$C$5:$C$504,0)),""))</f>
        <v/>
      </c>
      <c r="BB1508" s="61">
        <f>IF(AND(C1508&lt;&gt;"",C1508='Fiche prospect'!$C$4),COUNTIF($C$5:C1508,C1508),"")</f>
        <v/>
      </c>
    </row>
    <row r="1509">
      <c r="A1509" s="53" t="n"/>
      <c r="B1509" s="54" t="n"/>
      <c r="C1509" s="55" t="n"/>
      <c r="D1509" s="55" t="n"/>
      <c r="E1509" s="55" t="n"/>
      <c r="F1509" s="55" t="n"/>
      <c r="G1509" s="56" t="n"/>
      <c r="H1509" s="57" t="n"/>
      <c r="I1509" s="55" t="n"/>
      <c r="J1509" s="53" t="n"/>
      <c r="K1509" s="54" t="n"/>
      <c r="L1509" s="55" t="n"/>
      <c r="M1509" s="55" t="n"/>
      <c r="N1509" s="57" t="n"/>
      <c r="O1509" s="55" t="n"/>
      <c r="P1509" s="56" t="n"/>
      <c r="Q1509" s="55" t="n"/>
      <c r="R1509" s="55" t="n"/>
      <c r="S1509" s="55" t="n"/>
      <c r="T1509" s="55" t="n"/>
      <c r="U1509" s="55" t="n"/>
      <c r="V1509" s="55" t="n"/>
      <c r="W1509" s="58" t="n"/>
      <c r="X1509" s="58" t="n"/>
      <c r="Y1509" s="55" t="n"/>
      <c r="Z1509" s="55" t="n"/>
      <c r="AA1509" s="55" t="n"/>
      <c r="AB1509" s="55" t="n"/>
      <c r="AC1509" s="55" t="n"/>
      <c r="AD1509" s="53" t="n"/>
      <c r="AE1509" s="55" t="n"/>
      <c r="AF1509" s="55" t="n"/>
      <c r="AG1509" s="59" t="n"/>
      <c r="AH1509" s="57" t="n"/>
      <c r="AI1509" s="55" t="n"/>
      <c r="AJ1509" s="55" t="n"/>
      <c r="AK1509" s="55" t="n"/>
      <c r="AL1509" s="55" t="n"/>
      <c r="AM1509" s="56" t="n"/>
      <c r="AN1509" s="55" t="n"/>
      <c r="AO1509" s="55" t="n"/>
      <c r="AP1509" s="55" t="n"/>
      <c r="AQ1509" s="55" t="n"/>
      <c r="AR1509" s="60">
        <f>IF(AND(C1509="",E1509=""),"",IF(A1509="","⚠ Date manquante",IF(AND(C1509="",E1509&lt;&gt;"Dépense"),"⚠ Prospect manquant",IF(E1509="","⚠ Action manquante",IF(AND(AU1509=1,D1509=""),"⚠ Canal manquant",IF(AND(W1509&lt;&gt;"",COUNTIFS('Saisie'!$W$5:$W$2004,W1509,'Saisie'!$C$5:$C$2004,"&lt;&gt;"&amp;C1509)&gt;0),"⚠ Numéro déjà utilisé par un autre prospect",IF(AND(J1509&lt;&gt;"",J1509&lt;A1509),"⚠ Relance avant la date de l'action",IF(A1509&gt;TODAY(),"⚠ Date dans le futur","✓"))))))))</f>
        <v/>
      </c>
      <c r="AS1509" s="61">
        <f>IF(AND(A1509="",C1509="",E1509=""),"",ROW())</f>
        <v/>
      </c>
      <c r="AT1509" s="61">
        <f>IF(E1509&amp;F1509="","",MAX(IFERROR(INDEX('Paramètres'!$J$6:$J$33,MATCH(E1509,'Paramètres'!$I$6:$I$33,0)),0),IFERROR(INDEX('Paramètres'!$N$6:$N$17,MATCH(F1509,'Paramètres'!$M$6:$M$17,0)),0)))</f>
        <v/>
      </c>
      <c r="AU1509" s="61">
        <f>IF(E1509="","",IFERROR(IF(INDEX('Paramètres'!$K$6:$K$33,MATCH(E1509,'Paramètres'!$I$6:$I$33,0))="Oui",1,0),0))</f>
        <v/>
      </c>
      <c r="AV1509" s="61">
        <f>IF(F1509="","",IFERROR(IF(INDEX('Paramètres'!$O$6:$O$17,MATCH(F1509,'Paramètres'!$M$6:$M$17,0))="Oui",1,0),0))</f>
        <v/>
      </c>
      <c r="AW1509" s="62">
        <f>IF(E1509="","",IF(G1509&lt;&gt;"",G1509,IF(OR(E1509="Proposition envoyée",E1509="Signature"),MAX(0,N(IFERROR(INDEX('Paramètres'!$R$6:$R$15,MATCH(IF(AL1509&lt;&gt;"",AL1509,IFERROR(INDEX('Prospects'!$AN$5:$AN$504,MATCH(C1509,'Prospects'!$C$5:$C$504,0)),"")),'Paramètres'!$Q$6:$Q$15,0)),0))-N(P1509)),0)))</f>
        <v/>
      </c>
      <c r="AX1509" s="61">
        <f>IF(C1509="","",IF(COUNTIF($C$5:C1509,C1509)=1,MAX($AX$4:AX1508)+1,""))</f>
        <v/>
      </c>
      <c r="AY1509" s="61">
        <f>IF(B1509="","",HOUR(B1509))</f>
        <v/>
      </c>
      <c r="AZ1509" s="61">
        <f>IF(A1509="","",MOD(A1509-2,7)+1)</f>
        <v/>
      </c>
      <c r="BA1509" s="60">
        <f>IF(C1509="","",IFERROR(INDEX('Prospects'!$N$5:$N$504,MATCH(C1509,'Prospects'!$C$5:$C$504,0)),""))</f>
        <v/>
      </c>
      <c r="BB1509" s="61">
        <f>IF(AND(C1509&lt;&gt;"",C1509='Fiche prospect'!$C$4),COUNTIF($C$5:C1509,C1509),"")</f>
        <v/>
      </c>
    </row>
    <row r="1510">
      <c r="A1510" s="53" t="n"/>
      <c r="B1510" s="54" t="n"/>
      <c r="C1510" s="55" t="n"/>
      <c r="D1510" s="55" t="n"/>
      <c r="E1510" s="55" t="n"/>
      <c r="F1510" s="55" t="n"/>
      <c r="G1510" s="56" t="n"/>
      <c r="H1510" s="57" t="n"/>
      <c r="I1510" s="55" t="n"/>
      <c r="J1510" s="53" t="n"/>
      <c r="K1510" s="54" t="n"/>
      <c r="L1510" s="55" t="n"/>
      <c r="M1510" s="55" t="n"/>
      <c r="N1510" s="57" t="n"/>
      <c r="O1510" s="55" t="n"/>
      <c r="P1510" s="56" t="n"/>
      <c r="Q1510" s="55" t="n"/>
      <c r="R1510" s="55" t="n"/>
      <c r="S1510" s="55" t="n"/>
      <c r="T1510" s="55" t="n"/>
      <c r="U1510" s="55" t="n"/>
      <c r="V1510" s="55" t="n"/>
      <c r="W1510" s="58" t="n"/>
      <c r="X1510" s="58" t="n"/>
      <c r="Y1510" s="55" t="n"/>
      <c r="Z1510" s="55" t="n"/>
      <c r="AA1510" s="55" t="n"/>
      <c r="AB1510" s="55" t="n"/>
      <c r="AC1510" s="55" t="n"/>
      <c r="AD1510" s="53" t="n"/>
      <c r="AE1510" s="55" t="n"/>
      <c r="AF1510" s="55" t="n"/>
      <c r="AG1510" s="59" t="n"/>
      <c r="AH1510" s="57" t="n"/>
      <c r="AI1510" s="55" t="n"/>
      <c r="AJ1510" s="55" t="n"/>
      <c r="AK1510" s="55" t="n"/>
      <c r="AL1510" s="55" t="n"/>
      <c r="AM1510" s="56" t="n"/>
      <c r="AN1510" s="55" t="n"/>
      <c r="AO1510" s="55" t="n"/>
      <c r="AP1510" s="55" t="n"/>
      <c r="AQ1510" s="55" t="n"/>
      <c r="AR1510" s="60">
        <f>IF(AND(C1510="",E1510=""),"",IF(A1510="","⚠ Date manquante",IF(AND(C1510="",E1510&lt;&gt;"Dépense"),"⚠ Prospect manquant",IF(E1510="","⚠ Action manquante",IF(AND(AU1510=1,D1510=""),"⚠ Canal manquant",IF(AND(W1510&lt;&gt;"",COUNTIFS('Saisie'!$W$5:$W$2004,W1510,'Saisie'!$C$5:$C$2004,"&lt;&gt;"&amp;C1510)&gt;0),"⚠ Numéro déjà utilisé par un autre prospect",IF(AND(J1510&lt;&gt;"",J1510&lt;A1510),"⚠ Relance avant la date de l'action",IF(A1510&gt;TODAY(),"⚠ Date dans le futur","✓"))))))))</f>
        <v/>
      </c>
      <c r="AS1510" s="61">
        <f>IF(AND(A1510="",C1510="",E1510=""),"",ROW())</f>
        <v/>
      </c>
      <c r="AT1510" s="61">
        <f>IF(E1510&amp;F1510="","",MAX(IFERROR(INDEX('Paramètres'!$J$6:$J$33,MATCH(E1510,'Paramètres'!$I$6:$I$33,0)),0),IFERROR(INDEX('Paramètres'!$N$6:$N$17,MATCH(F1510,'Paramètres'!$M$6:$M$17,0)),0)))</f>
        <v/>
      </c>
      <c r="AU1510" s="61">
        <f>IF(E1510="","",IFERROR(IF(INDEX('Paramètres'!$K$6:$K$33,MATCH(E1510,'Paramètres'!$I$6:$I$33,0))="Oui",1,0),0))</f>
        <v/>
      </c>
      <c r="AV1510" s="61">
        <f>IF(F1510="","",IFERROR(IF(INDEX('Paramètres'!$O$6:$O$17,MATCH(F1510,'Paramètres'!$M$6:$M$17,0))="Oui",1,0),0))</f>
        <v/>
      </c>
      <c r="AW1510" s="62">
        <f>IF(E1510="","",IF(G1510&lt;&gt;"",G1510,IF(OR(E1510="Proposition envoyée",E1510="Signature"),MAX(0,N(IFERROR(INDEX('Paramètres'!$R$6:$R$15,MATCH(IF(AL1510&lt;&gt;"",AL1510,IFERROR(INDEX('Prospects'!$AN$5:$AN$504,MATCH(C1510,'Prospects'!$C$5:$C$504,0)),"")),'Paramètres'!$Q$6:$Q$15,0)),0))-N(P1510)),0)))</f>
        <v/>
      </c>
      <c r="AX1510" s="61">
        <f>IF(C1510="","",IF(COUNTIF($C$5:C1510,C1510)=1,MAX($AX$4:AX1509)+1,""))</f>
        <v/>
      </c>
      <c r="AY1510" s="61">
        <f>IF(B1510="","",HOUR(B1510))</f>
        <v/>
      </c>
      <c r="AZ1510" s="61">
        <f>IF(A1510="","",MOD(A1510-2,7)+1)</f>
        <v/>
      </c>
      <c r="BA1510" s="60">
        <f>IF(C1510="","",IFERROR(INDEX('Prospects'!$N$5:$N$504,MATCH(C1510,'Prospects'!$C$5:$C$504,0)),""))</f>
        <v/>
      </c>
      <c r="BB1510" s="61">
        <f>IF(AND(C1510&lt;&gt;"",C1510='Fiche prospect'!$C$4),COUNTIF($C$5:C1510,C1510),"")</f>
        <v/>
      </c>
    </row>
    <row r="1511">
      <c r="A1511" s="53" t="n"/>
      <c r="B1511" s="54" t="n"/>
      <c r="C1511" s="55" t="n"/>
      <c r="D1511" s="55" t="n"/>
      <c r="E1511" s="55" t="n"/>
      <c r="F1511" s="55" t="n"/>
      <c r="G1511" s="56" t="n"/>
      <c r="H1511" s="57" t="n"/>
      <c r="I1511" s="55" t="n"/>
      <c r="J1511" s="53" t="n"/>
      <c r="K1511" s="54" t="n"/>
      <c r="L1511" s="55" t="n"/>
      <c r="M1511" s="55" t="n"/>
      <c r="N1511" s="57" t="n"/>
      <c r="O1511" s="55" t="n"/>
      <c r="P1511" s="56" t="n"/>
      <c r="Q1511" s="55" t="n"/>
      <c r="R1511" s="55" t="n"/>
      <c r="S1511" s="55" t="n"/>
      <c r="T1511" s="55" t="n"/>
      <c r="U1511" s="55" t="n"/>
      <c r="V1511" s="55" t="n"/>
      <c r="W1511" s="58" t="n"/>
      <c r="X1511" s="58" t="n"/>
      <c r="Y1511" s="55" t="n"/>
      <c r="Z1511" s="55" t="n"/>
      <c r="AA1511" s="55" t="n"/>
      <c r="AB1511" s="55" t="n"/>
      <c r="AC1511" s="55" t="n"/>
      <c r="AD1511" s="53" t="n"/>
      <c r="AE1511" s="55" t="n"/>
      <c r="AF1511" s="55" t="n"/>
      <c r="AG1511" s="59" t="n"/>
      <c r="AH1511" s="57" t="n"/>
      <c r="AI1511" s="55" t="n"/>
      <c r="AJ1511" s="55" t="n"/>
      <c r="AK1511" s="55" t="n"/>
      <c r="AL1511" s="55" t="n"/>
      <c r="AM1511" s="56" t="n"/>
      <c r="AN1511" s="55" t="n"/>
      <c r="AO1511" s="55" t="n"/>
      <c r="AP1511" s="55" t="n"/>
      <c r="AQ1511" s="55" t="n"/>
      <c r="AR1511" s="60">
        <f>IF(AND(C1511="",E1511=""),"",IF(A1511="","⚠ Date manquante",IF(AND(C1511="",E1511&lt;&gt;"Dépense"),"⚠ Prospect manquant",IF(E1511="","⚠ Action manquante",IF(AND(AU1511=1,D1511=""),"⚠ Canal manquant",IF(AND(W1511&lt;&gt;"",COUNTIFS('Saisie'!$W$5:$W$2004,W1511,'Saisie'!$C$5:$C$2004,"&lt;&gt;"&amp;C1511)&gt;0),"⚠ Numéro déjà utilisé par un autre prospect",IF(AND(J1511&lt;&gt;"",J1511&lt;A1511),"⚠ Relance avant la date de l'action",IF(A1511&gt;TODAY(),"⚠ Date dans le futur","✓"))))))))</f>
        <v/>
      </c>
      <c r="AS1511" s="61">
        <f>IF(AND(A1511="",C1511="",E1511=""),"",ROW())</f>
        <v/>
      </c>
      <c r="AT1511" s="61">
        <f>IF(E1511&amp;F1511="","",MAX(IFERROR(INDEX('Paramètres'!$J$6:$J$33,MATCH(E1511,'Paramètres'!$I$6:$I$33,0)),0),IFERROR(INDEX('Paramètres'!$N$6:$N$17,MATCH(F1511,'Paramètres'!$M$6:$M$17,0)),0)))</f>
        <v/>
      </c>
      <c r="AU1511" s="61">
        <f>IF(E1511="","",IFERROR(IF(INDEX('Paramètres'!$K$6:$K$33,MATCH(E1511,'Paramètres'!$I$6:$I$33,0))="Oui",1,0),0))</f>
        <v/>
      </c>
      <c r="AV1511" s="61">
        <f>IF(F1511="","",IFERROR(IF(INDEX('Paramètres'!$O$6:$O$17,MATCH(F1511,'Paramètres'!$M$6:$M$17,0))="Oui",1,0),0))</f>
        <v/>
      </c>
      <c r="AW1511" s="62">
        <f>IF(E1511="","",IF(G1511&lt;&gt;"",G1511,IF(OR(E1511="Proposition envoyée",E1511="Signature"),MAX(0,N(IFERROR(INDEX('Paramètres'!$R$6:$R$15,MATCH(IF(AL1511&lt;&gt;"",AL1511,IFERROR(INDEX('Prospects'!$AN$5:$AN$504,MATCH(C1511,'Prospects'!$C$5:$C$504,0)),"")),'Paramètres'!$Q$6:$Q$15,0)),0))-N(P1511)),0)))</f>
        <v/>
      </c>
      <c r="AX1511" s="61">
        <f>IF(C1511="","",IF(COUNTIF($C$5:C1511,C1511)=1,MAX($AX$4:AX1510)+1,""))</f>
        <v/>
      </c>
      <c r="AY1511" s="61">
        <f>IF(B1511="","",HOUR(B1511))</f>
        <v/>
      </c>
      <c r="AZ1511" s="61">
        <f>IF(A1511="","",MOD(A1511-2,7)+1)</f>
        <v/>
      </c>
      <c r="BA1511" s="60">
        <f>IF(C1511="","",IFERROR(INDEX('Prospects'!$N$5:$N$504,MATCH(C1511,'Prospects'!$C$5:$C$504,0)),""))</f>
        <v/>
      </c>
      <c r="BB1511" s="61">
        <f>IF(AND(C1511&lt;&gt;"",C1511='Fiche prospect'!$C$4),COUNTIF($C$5:C1511,C1511),"")</f>
        <v/>
      </c>
    </row>
    <row r="1512">
      <c r="A1512" s="53" t="n"/>
      <c r="B1512" s="54" t="n"/>
      <c r="C1512" s="55" t="n"/>
      <c r="D1512" s="55" t="n"/>
      <c r="E1512" s="55" t="n"/>
      <c r="F1512" s="55" t="n"/>
      <c r="G1512" s="56" t="n"/>
      <c r="H1512" s="57" t="n"/>
      <c r="I1512" s="55" t="n"/>
      <c r="J1512" s="53" t="n"/>
      <c r="K1512" s="54" t="n"/>
      <c r="L1512" s="55" t="n"/>
      <c r="M1512" s="55" t="n"/>
      <c r="N1512" s="57" t="n"/>
      <c r="O1512" s="55" t="n"/>
      <c r="P1512" s="56" t="n"/>
      <c r="Q1512" s="55" t="n"/>
      <c r="R1512" s="55" t="n"/>
      <c r="S1512" s="55" t="n"/>
      <c r="T1512" s="55" t="n"/>
      <c r="U1512" s="55" t="n"/>
      <c r="V1512" s="55" t="n"/>
      <c r="W1512" s="58" t="n"/>
      <c r="X1512" s="58" t="n"/>
      <c r="Y1512" s="55" t="n"/>
      <c r="Z1512" s="55" t="n"/>
      <c r="AA1512" s="55" t="n"/>
      <c r="AB1512" s="55" t="n"/>
      <c r="AC1512" s="55" t="n"/>
      <c r="AD1512" s="53" t="n"/>
      <c r="AE1512" s="55" t="n"/>
      <c r="AF1512" s="55" t="n"/>
      <c r="AG1512" s="59" t="n"/>
      <c r="AH1512" s="57" t="n"/>
      <c r="AI1512" s="55" t="n"/>
      <c r="AJ1512" s="55" t="n"/>
      <c r="AK1512" s="55" t="n"/>
      <c r="AL1512" s="55" t="n"/>
      <c r="AM1512" s="56" t="n"/>
      <c r="AN1512" s="55" t="n"/>
      <c r="AO1512" s="55" t="n"/>
      <c r="AP1512" s="55" t="n"/>
      <c r="AQ1512" s="55" t="n"/>
      <c r="AR1512" s="60">
        <f>IF(AND(C1512="",E1512=""),"",IF(A1512="","⚠ Date manquante",IF(AND(C1512="",E1512&lt;&gt;"Dépense"),"⚠ Prospect manquant",IF(E1512="","⚠ Action manquante",IF(AND(AU1512=1,D1512=""),"⚠ Canal manquant",IF(AND(W1512&lt;&gt;"",COUNTIFS('Saisie'!$W$5:$W$2004,W1512,'Saisie'!$C$5:$C$2004,"&lt;&gt;"&amp;C1512)&gt;0),"⚠ Numéro déjà utilisé par un autre prospect",IF(AND(J1512&lt;&gt;"",J1512&lt;A1512),"⚠ Relance avant la date de l'action",IF(A1512&gt;TODAY(),"⚠ Date dans le futur","✓"))))))))</f>
        <v/>
      </c>
      <c r="AS1512" s="61">
        <f>IF(AND(A1512="",C1512="",E1512=""),"",ROW())</f>
        <v/>
      </c>
      <c r="AT1512" s="61">
        <f>IF(E1512&amp;F1512="","",MAX(IFERROR(INDEX('Paramètres'!$J$6:$J$33,MATCH(E1512,'Paramètres'!$I$6:$I$33,0)),0),IFERROR(INDEX('Paramètres'!$N$6:$N$17,MATCH(F1512,'Paramètres'!$M$6:$M$17,0)),0)))</f>
        <v/>
      </c>
      <c r="AU1512" s="61">
        <f>IF(E1512="","",IFERROR(IF(INDEX('Paramètres'!$K$6:$K$33,MATCH(E1512,'Paramètres'!$I$6:$I$33,0))="Oui",1,0),0))</f>
        <v/>
      </c>
      <c r="AV1512" s="61">
        <f>IF(F1512="","",IFERROR(IF(INDEX('Paramètres'!$O$6:$O$17,MATCH(F1512,'Paramètres'!$M$6:$M$17,0))="Oui",1,0),0))</f>
        <v/>
      </c>
      <c r="AW1512" s="62">
        <f>IF(E1512="","",IF(G1512&lt;&gt;"",G1512,IF(OR(E1512="Proposition envoyée",E1512="Signature"),MAX(0,N(IFERROR(INDEX('Paramètres'!$R$6:$R$15,MATCH(IF(AL1512&lt;&gt;"",AL1512,IFERROR(INDEX('Prospects'!$AN$5:$AN$504,MATCH(C1512,'Prospects'!$C$5:$C$504,0)),"")),'Paramètres'!$Q$6:$Q$15,0)),0))-N(P1512)),0)))</f>
        <v/>
      </c>
      <c r="AX1512" s="61">
        <f>IF(C1512="","",IF(COUNTIF($C$5:C1512,C1512)=1,MAX($AX$4:AX1511)+1,""))</f>
        <v/>
      </c>
      <c r="AY1512" s="61">
        <f>IF(B1512="","",HOUR(B1512))</f>
        <v/>
      </c>
      <c r="AZ1512" s="61">
        <f>IF(A1512="","",MOD(A1512-2,7)+1)</f>
        <v/>
      </c>
      <c r="BA1512" s="60">
        <f>IF(C1512="","",IFERROR(INDEX('Prospects'!$N$5:$N$504,MATCH(C1512,'Prospects'!$C$5:$C$504,0)),""))</f>
        <v/>
      </c>
      <c r="BB1512" s="61">
        <f>IF(AND(C1512&lt;&gt;"",C1512='Fiche prospect'!$C$4),COUNTIF($C$5:C1512,C1512),"")</f>
        <v/>
      </c>
    </row>
    <row r="1513">
      <c r="A1513" s="53" t="n"/>
      <c r="B1513" s="54" t="n"/>
      <c r="C1513" s="55" t="n"/>
      <c r="D1513" s="55" t="n"/>
      <c r="E1513" s="55" t="n"/>
      <c r="F1513" s="55" t="n"/>
      <c r="G1513" s="56" t="n"/>
      <c r="H1513" s="57" t="n"/>
      <c r="I1513" s="55" t="n"/>
      <c r="J1513" s="53" t="n"/>
      <c r="K1513" s="54" t="n"/>
      <c r="L1513" s="55" t="n"/>
      <c r="M1513" s="55" t="n"/>
      <c r="N1513" s="57" t="n"/>
      <c r="O1513" s="55" t="n"/>
      <c r="P1513" s="56" t="n"/>
      <c r="Q1513" s="55" t="n"/>
      <c r="R1513" s="55" t="n"/>
      <c r="S1513" s="55" t="n"/>
      <c r="T1513" s="55" t="n"/>
      <c r="U1513" s="55" t="n"/>
      <c r="V1513" s="55" t="n"/>
      <c r="W1513" s="58" t="n"/>
      <c r="X1513" s="58" t="n"/>
      <c r="Y1513" s="55" t="n"/>
      <c r="Z1513" s="55" t="n"/>
      <c r="AA1513" s="55" t="n"/>
      <c r="AB1513" s="55" t="n"/>
      <c r="AC1513" s="55" t="n"/>
      <c r="AD1513" s="53" t="n"/>
      <c r="AE1513" s="55" t="n"/>
      <c r="AF1513" s="55" t="n"/>
      <c r="AG1513" s="59" t="n"/>
      <c r="AH1513" s="57" t="n"/>
      <c r="AI1513" s="55" t="n"/>
      <c r="AJ1513" s="55" t="n"/>
      <c r="AK1513" s="55" t="n"/>
      <c r="AL1513" s="55" t="n"/>
      <c r="AM1513" s="56" t="n"/>
      <c r="AN1513" s="55" t="n"/>
      <c r="AO1513" s="55" t="n"/>
      <c r="AP1513" s="55" t="n"/>
      <c r="AQ1513" s="55" t="n"/>
      <c r="AR1513" s="60">
        <f>IF(AND(C1513="",E1513=""),"",IF(A1513="","⚠ Date manquante",IF(AND(C1513="",E1513&lt;&gt;"Dépense"),"⚠ Prospect manquant",IF(E1513="","⚠ Action manquante",IF(AND(AU1513=1,D1513=""),"⚠ Canal manquant",IF(AND(W1513&lt;&gt;"",COUNTIFS('Saisie'!$W$5:$W$2004,W1513,'Saisie'!$C$5:$C$2004,"&lt;&gt;"&amp;C1513)&gt;0),"⚠ Numéro déjà utilisé par un autre prospect",IF(AND(J1513&lt;&gt;"",J1513&lt;A1513),"⚠ Relance avant la date de l'action",IF(A1513&gt;TODAY(),"⚠ Date dans le futur","✓"))))))))</f>
        <v/>
      </c>
      <c r="AS1513" s="61">
        <f>IF(AND(A1513="",C1513="",E1513=""),"",ROW())</f>
        <v/>
      </c>
      <c r="AT1513" s="61">
        <f>IF(E1513&amp;F1513="","",MAX(IFERROR(INDEX('Paramètres'!$J$6:$J$33,MATCH(E1513,'Paramètres'!$I$6:$I$33,0)),0),IFERROR(INDEX('Paramètres'!$N$6:$N$17,MATCH(F1513,'Paramètres'!$M$6:$M$17,0)),0)))</f>
        <v/>
      </c>
      <c r="AU1513" s="61">
        <f>IF(E1513="","",IFERROR(IF(INDEX('Paramètres'!$K$6:$K$33,MATCH(E1513,'Paramètres'!$I$6:$I$33,0))="Oui",1,0),0))</f>
        <v/>
      </c>
      <c r="AV1513" s="61">
        <f>IF(F1513="","",IFERROR(IF(INDEX('Paramètres'!$O$6:$O$17,MATCH(F1513,'Paramètres'!$M$6:$M$17,0))="Oui",1,0),0))</f>
        <v/>
      </c>
      <c r="AW1513" s="62">
        <f>IF(E1513="","",IF(G1513&lt;&gt;"",G1513,IF(OR(E1513="Proposition envoyée",E1513="Signature"),MAX(0,N(IFERROR(INDEX('Paramètres'!$R$6:$R$15,MATCH(IF(AL1513&lt;&gt;"",AL1513,IFERROR(INDEX('Prospects'!$AN$5:$AN$504,MATCH(C1513,'Prospects'!$C$5:$C$504,0)),"")),'Paramètres'!$Q$6:$Q$15,0)),0))-N(P1513)),0)))</f>
        <v/>
      </c>
      <c r="AX1513" s="61">
        <f>IF(C1513="","",IF(COUNTIF($C$5:C1513,C1513)=1,MAX($AX$4:AX1512)+1,""))</f>
        <v/>
      </c>
      <c r="AY1513" s="61">
        <f>IF(B1513="","",HOUR(B1513))</f>
        <v/>
      </c>
      <c r="AZ1513" s="61">
        <f>IF(A1513="","",MOD(A1513-2,7)+1)</f>
        <v/>
      </c>
      <c r="BA1513" s="60">
        <f>IF(C1513="","",IFERROR(INDEX('Prospects'!$N$5:$N$504,MATCH(C1513,'Prospects'!$C$5:$C$504,0)),""))</f>
        <v/>
      </c>
      <c r="BB1513" s="61">
        <f>IF(AND(C1513&lt;&gt;"",C1513='Fiche prospect'!$C$4),COUNTIF($C$5:C1513,C1513),"")</f>
        <v/>
      </c>
    </row>
    <row r="1514">
      <c r="A1514" s="53" t="n"/>
      <c r="B1514" s="54" t="n"/>
      <c r="C1514" s="55" t="n"/>
      <c r="D1514" s="55" t="n"/>
      <c r="E1514" s="55" t="n"/>
      <c r="F1514" s="55" t="n"/>
      <c r="G1514" s="56" t="n"/>
      <c r="H1514" s="57" t="n"/>
      <c r="I1514" s="55" t="n"/>
      <c r="J1514" s="53" t="n"/>
      <c r="K1514" s="54" t="n"/>
      <c r="L1514" s="55" t="n"/>
      <c r="M1514" s="55" t="n"/>
      <c r="N1514" s="57" t="n"/>
      <c r="O1514" s="55" t="n"/>
      <c r="P1514" s="56" t="n"/>
      <c r="Q1514" s="55" t="n"/>
      <c r="R1514" s="55" t="n"/>
      <c r="S1514" s="55" t="n"/>
      <c r="T1514" s="55" t="n"/>
      <c r="U1514" s="55" t="n"/>
      <c r="V1514" s="55" t="n"/>
      <c r="W1514" s="58" t="n"/>
      <c r="X1514" s="58" t="n"/>
      <c r="Y1514" s="55" t="n"/>
      <c r="Z1514" s="55" t="n"/>
      <c r="AA1514" s="55" t="n"/>
      <c r="AB1514" s="55" t="n"/>
      <c r="AC1514" s="55" t="n"/>
      <c r="AD1514" s="53" t="n"/>
      <c r="AE1514" s="55" t="n"/>
      <c r="AF1514" s="55" t="n"/>
      <c r="AG1514" s="59" t="n"/>
      <c r="AH1514" s="57" t="n"/>
      <c r="AI1514" s="55" t="n"/>
      <c r="AJ1514" s="55" t="n"/>
      <c r="AK1514" s="55" t="n"/>
      <c r="AL1514" s="55" t="n"/>
      <c r="AM1514" s="56" t="n"/>
      <c r="AN1514" s="55" t="n"/>
      <c r="AO1514" s="55" t="n"/>
      <c r="AP1514" s="55" t="n"/>
      <c r="AQ1514" s="55" t="n"/>
      <c r="AR1514" s="60">
        <f>IF(AND(C1514="",E1514=""),"",IF(A1514="","⚠ Date manquante",IF(AND(C1514="",E1514&lt;&gt;"Dépense"),"⚠ Prospect manquant",IF(E1514="","⚠ Action manquante",IF(AND(AU1514=1,D1514=""),"⚠ Canal manquant",IF(AND(W1514&lt;&gt;"",COUNTIFS('Saisie'!$W$5:$W$2004,W1514,'Saisie'!$C$5:$C$2004,"&lt;&gt;"&amp;C1514)&gt;0),"⚠ Numéro déjà utilisé par un autre prospect",IF(AND(J1514&lt;&gt;"",J1514&lt;A1514),"⚠ Relance avant la date de l'action",IF(A1514&gt;TODAY(),"⚠ Date dans le futur","✓"))))))))</f>
        <v/>
      </c>
      <c r="AS1514" s="61">
        <f>IF(AND(A1514="",C1514="",E1514=""),"",ROW())</f>
        <v/>
      </c>
      <c r="AT1514" s="61">
        <f>IF(E1514&amp;F1514="","",MAX(IFERROR(INDEX('Paramètres'!$J$6:$J$33,MATCH(E1514,'Paramètres'!$I$6:$I$33,0)),0),IFERROR(INDEX('Paramètres'!$N$6:$N$17,MATCH(F1514,'Paramètres'!$M$6:$M$17,0)),0)))</f>
        <v/>
      </c>
      <c r="AU1514" s="61">
        <f>IF(E1514="","",IFERROR(IF(INDEX('Paramètres'!$K$6:$K$33,MATCH(E1514,'Paramètres'!$I$6:$I$33,0))="Oui",1,0),0))</f>
        <v/>
      </c>
      <c r="AV1514" s="61">
        <f>IF(F1514="","",IFERROR(IF(INDEX('Paramètres'!$O$6:$O$17,MATCH(F1514,'Paramètres'!$M$6:$M$17,0))="Oui",1,0),0))</f>
        <v/>
      </c>
      <c r="AW1514" s="62">
        <f>IF(E1514="","",IF(G1514&lt;&gt;"",G1514,IF(OR(E1514="Proposition envoyée",E1514="Signature"),MAX(0,N(IFERROR(INDEX('Paramètres'!$R$6:$R$15,MATCH(IF(AL1514&lt;&gt;"",AL1514,IFERROR(INDEX('Prospects'!$AN$5:$AN$504,MATCH(C1514,'Prospects'!$C$5:$C$504,0)),"")),'Paramètres'!$Q$6:$Q$15,0)),0))-N(P1514)),0)))</f>
        <v/>
      </c>
      <c r="AX1514" s="61">
        <f>IF(C1514="","",IF(COUNTIF($C$5:C1514,C1514)=1,MAX($AX$4:AX1513)+1,""))</f>
        <v/>
      </c>
      <c r="AY1514" s="61">
        <f>IF(B1514="","",HOUR(B1514))</f>
        <v/>
      </c>
      <c r="AZ1514" s="61">
        <f>IF(A1514="","",MOD(A1514-2,7)+1)</f>
        <v/>
      </c>
      <c r="BA1514" s="60">
        <f>IF(C1514="","",IFERROR(INDEX('Prospects'!$N$5:$N$504,MATCH(C1514,'Prospects'!$C$5:$C$504,0)),""))</f>
        <v/>
      </c>
      <c r="BB1514" s="61">
        <f>IF(AND(C1514&lt;&gt;"",C1514='Fiche prospect'!$C$4),COUNTIF($C$5:C1514,C1514),"")</f>
        <v/>
      </c>
    </row>
    <row r="1515">
      <c r="A1515" s="53" t="n"/>
      <c r="B1515" s="54" t="n"/>
      <c r="C1515" s="55" t="n"/>
      <c r="D1515" s="55" t="n"/>
      <c r="E1515" s="55" t="n"/>
      <c r="F1515" s="55" t="n"/>
      <c r="G1515" s="56" t="n"/>
      <c r="H1515" s="57" t="n"/>
      <c r="I1515" s="55" t="n"/>
      <c r="J1515" s="53" t="n"/>
      <c r="K1515" s="54" t="n"/>
      <c r="L1515" s="55" t="n"/>
      <c r="M1515" s="55" t="n"/>
      <c r="N1515" s="57" t="n"/>
      <c r="O1515" s="55" t="n"/>
      <c r="P1515" s="56" t="n"/>
      <c r="Q1515" s="55" t="n"/>
      <c r="R1515" s="55" t="n"/>
      <c r="S1515" s="55" t="n"/>
      <c r="T1515" s="55" t="n"/>
      <c r="U1515" s="55" t="n"/>
      <c r="V1515" s="55" t="n"/>
      <c r="W1515" s="58" t="n"/>
      <c r="X1515" s="58" t="n"/>
      <c r="Y1515" s="55" t="n"/>
      <c r="Z1515" s="55" t="n"/>
      <c r="AA1515" s="55" t="n"/>
      <c r="AB1515" s="55" t="n"/>
      <c r="AC1515" s="55" t="n"/>
      <c r="AD1515" s="53" t="n"/>
      <c r="AE1515" s="55" t="n"/>
      <c r="AF1515" s="55" t="n"/>
      <c r="AG1515" s="59" t="n"/>
      <c r="AH1515" s="57" t="n"/>
      <c r="AI1515" s="55" t="n"/>
      <c r="AJ1515" s="55" t="n"/>
      <c r="AK1515" s="55" t="n"/>
      <c r="AL1515" s="55" t="n"/>
      <c r="AM1515" s="56" t="n"/>
      <c r="AN1515" s="55" t="n"/>
      <c r="AO1515" s="55" t="n"/>
      <c r="AP1515" s="55" t="n"/>
      <c r="AQ1515" s="55" t="n"/>
      <c r="AR1515" s="60">
        <f>IF(AND(C1515="",E1515=""),"",IF(A1515="","⚠ Date manquante",IF(AND(C1515="",E1515&lt;&gt;"Dépense"),"⚠ Prospect manquant",IF(E1515="","⚠ Action manquante",IF(AND(AU1515=1,D1515=""),"⚠ Canal manquant",IF(AND(W1515&lt;&gt;"",COUNTIFS('Saisie'!$W$5:$W$2004,W1515,'Saisie'!$C$5:$C$2004,"&lt;&gt;"&amp;C1515)&gt;0),"⚠ Numéro déjà utilisé par un autre prospect",IF(AND(J1515&lt;&gt;"",J1515&lt;A1515),"⚠ Relance avant la date de l'action",IF(A1515&gt;TODAY(),"⚠ Date dans le futur","✓"))))))))</f>
        <v/>
      </c>
      <c r="AS1515" s="61">
        <f>IF(AND(A1515="",C1515="",E1515=""),"",ROW())</f>
        <v/>
      </c>
      <c r="AT1515" s="61">
        <f>IF(E1515&amp;F1515="","",MAX(IFERROR(INDEX('Paramètres'!$J$6:$J$33,MATCH(E1515,'Paramètres'!$I$6:$I$33,0)),0),IFERROR(INDEX('Paramètres'!$N$6:$N$17,MATCH(F1515,'Paramètres'!$M$6:$M$17,0)),0)))</f>
        <v/>
      </c>
      <c r="AU1515" s="61">
        <f>IF(E1515="","",IFERROR(IF(INDEX('Paramètres'!$K$6:$K$33,MATCH(E1515,'Paramètres'!$I$6:$I$33,0))="Oui",1,0),0))</f>
        <v/>
      </c>
      <c r="AV1515" s="61">
        <f>IF(F1515="","",IFERROR(IF(INDEX('Paramètres'!$O$6:$O$17,MATCH(F1515,'Paramètres'!$M$6:$M$17,0))="Oui",1,0),0))</f>
        <v/>
      </c>
      <c r="AW1515" s="62">
        <f>IF(E1515="","",IF(G1515&lt;&gt;"",G1515,IF(OR(E1515="Proposition envoyée",E1515="Signature"),MAX(0,N(IFERROR(INDEX('Paramètres'!$R$6:$R$15,MATCH(IF(AL1515&lt;&gt;"",AL1515,IFERROR(INDEX('Prospects'!$AN$5:$AN$504,MATCH(C1515,'Prospects'!$C$5:$C$504,0)),"")),'Paramètres'!$Q$6:$Q$15,0)),0))-N(P1515)),0)))</f>
        <v/>
      </c>
      <c r="AX1515" s="61">
        <f>IF(C1515="","",IF(COUNTIF($C$5:C1515,C1515)=1,MAX($AX$4:AX1514)+1,""))</f>
        <v/>
      </c>
      <c r="AY1515" s="61">
        <f>IF(B1515="","",HOUR(B1515))</f>
        <v/>
      </c>
      <c r="AZ1515" s="61">
        <f>IF(A1515="","",MOD(A1515-2,7)+1)</f>
        <v/>
      </c>
      <c r="BA1515" s="60">
        <f>IF(C1515="","",IFERROR(INDEX('Prospects'!$N$5:$N$504,MATCH(C1515,'Prospects'!$C$5:$C$504,0)),""))</f>
        <v/>
      </c>
      <c r="BB1515" s="61">
        <f>IF(AND(C1515&lt;&gt;"",C1515='Fiche prospect'!$C$4),COUNTIF($C$5:C1515,C1515),"")</f>
        <v/>
      </c>
    </row>
    <row r="1516">
      <c r="A1516" s="53" t="n"/>
      <c r="B1516" s="54" t="n"/>
      <c r="C1516" s="55" t="n"/>
      <c r="D1516" s="55" t="n"/>
      <c r="E1516" s="55" t="n"/>
      <c r="F1516" s="55" t="n"/>
      <c r="G1516" s="56" t="n"/>
      <c r="H1516" s="57" t="n"/>
      <c r="I1516" s="55" t="n"/>
      <c r="J1516" s="53" t="n"/>
      <c r="K1516" s="54" t="n"/>
      <c r="L1516" s="55" t="n"/>
      <c r="M1516" s="55" t="n"/>
      <c r="N1516" s="57" t="n"/>
      <c r="O1516" s="55" t="n"/>
      <c r="P1516" s="56" t="n"/>
      <c r="Q1516" s="55" t="n"/>
      <c r="R1516" s="55" t="n"/>
      <c r="S1516" s="55" t="n"/>
      <c r="T1516" s="55" t="n"/>
      <c r="U1516" s="55" t="n"/>
      <c r="V1516" s="55" t="n"/>
      <c r="W1516" s="58" t="n"/>
      <c r="X1516" s="58" t="n"/>
      <c r="Y1516" s="55" t="n"/>
      <c r="Z1516" s="55" t="n"/>
      <c r="AA1516" s="55" t="n"/>
      <c r="AB1516" s="55" t="n"/>
      <c r="AC1516" s="55" t="n"/>
      <c r="AD1516" s="53" t="n"/>
      <c r="AE1516" s="55" t="n"/>
      <c r="AF1516" s="55" t="n"/>
      <c r="AG1516" s="59" t="n"/>
      <c r="AH1516" s="57" t="n"/>
      <c r="AI1516" s="55" t="n"/>
      <c r="AJ1516" s="55" t="n"/>
      <c r="AK1516" s="55" t="n"/>
      <c r="AL1516" s="55" t="n"/>
      <c r="AM1516" s="56" t="n"/>
      <c r="AN1516" s="55" t="n"/>
      <c r="AO1516" s="55" t="n"/>
      <c r="AP1516" s="55" t="n"/>
      <c r="AQ1516" s="55" t="n"/>
      <c r="AR1516" s="60">
        <f>IF(AND(C1516="",E1516=""),"",IF(A1516="","⚠ Date manquante",IF(AND(C1516="",E1516&lt;&gt;"Dépense"),"⚠ Prospect manquant",IF(E1516="","⚠ Action manquante",IF(AND(AU1516=1,D1516=""),"⚠ Canal manquant",IF(AND(W1516&lt;&gt;"",COUNTIFS('Saisie'!$W$5:$W$2004,W1516,'Saisie'!$C$5:$C$2004,"&lt;&gt;"&amp;C1516)&gt;0),"⚠ Numéro déjà utilisé par un autre prospect",IF(AND(J1516&lt;&gt;"",J1516&lt;A1516),"⚠ Relance avant la date de l'action",IF(A1516&gt;TODAY(),"⚠ Date dans le futur","✓"))))))))</f>
        <v/>
      </c>
      <c r="AS1516" s="61">
        <f>IF(AND(A1516="",C1516="",E1516=""),"",ROW())</f>
        <v/>
      </c>
      <c r="AT1516" s="61">
        <f>IF(E1516&amp;F1516="","",MAX(IFERROR(INDEX('Paramètres'!$J$6:$J$33,MATCH(E1516,'Paramètres'!$I$6:$I$33,0)),0),IFERROR(INDEX('Paramètres'!$N$6:$N$17,MATCH(F1516,'Paramètres'!$M$6:$M$17,0)),0)))</f>
        <v/>
      </c>
      <c r="AU1516" s="61">
        <f>IF(E1516="","",IFERROR(IF(INDEX('Paramètres'!$K$6:$K$33,MATCH(E1516,'Paramètres'!$I$6:$I$33,0))="Oui",1,0),0))</f>
        <v/>
      </c>
      <c r="AV1516" s="61">
        <f>IF(F1516="","",IFERROR(IF(INDEX('Paramètres'!$O$6:$O$17,MATCH(F1516,'Paramètres'!$M$6:$M$17,0))="Oui",1,0),0))</f>
        <v/>
      </c>
      <c r="AW1516" s="62">
        <f>IF(E1516="","",IF(G1516&lt;&gt;"",G1516,IF(OR(E1516="Proposition envoyée",E1516="Signature"),MAX(0,N(IFERROR(INDEX('Paramètres'!$R$6:$R$15,MATCH(IF(AL1516&lt;&gt;"",AL1516,IFERROR(INDEX('Prospects'!$AN$5:$AN$504,MATCH(C1516,'Prospects'!$C$5:$C$504,0)),"")),'Paramètres'!$Q$6:$Q$15,0)),0))-N(P1516)),0)))</f>
        <v/>
      </c>
      <c r="AX1516" s="61">
        <f>IF(C1516="","",IF(COUNTIF($C$5:C1516,C1516)=1,MAX($AX$4:AX1515)+1,""))</f>
        <v/>
      </c>
      <c r="AY1516" s="61">
        <f>IF(B1516="","",HOUR(B1516))</f>
        <v/>
      </c>
      <c r="AZ1516" s="61">
        <f>IF(A1516="","",MOD(A1516-2,7)+1)</f>
        <v/>
      </c>
      <c r="BA1516" s="60">
        <f>IF(C1516="","",IFERROR(INDEX('Prospects'!$N$5:$N$504,MATCH(C1516,'Prospects'!$C$5:$C$504,0)),""))</f>
        <v/>
      </c>
      <c r="BB1516" s="61">
        <f>IF(AND(C1516&lt;&gt;"",C1516='Fiche prospect'!$C$4),COUNTIF($C$5:C1516,C1516),"")</f>
        <v/>
      </c>
    </row>
    <row r="1517">
      <c r="A1517" s="53" t="n"/>
      <c r="B1517" s="54" t="n"/>
      <c r="C1517" s="55" t="n"/>
      <c r="D1517" s="55" t="n"/>
      <c r="E1517" s="55" t="n"/>
      <c r="F1517" s="55" t="n"/>
      <c r="G1517" s="56" t="n"/>
      <c r="H1517" s="57" t="n"/>
      <c r="I1517" s="55" t="n"/>
      <c r="J1517" s="53" t="n"/>
      <c r="K1517" s="54" t="n"/>
      <c r="L1517" s="55" t="n"/>
      <c r="M1517" s="55" t="n"/>
      <c r="N1517" s="57" t="n"/>
      <c r="O1517" s="55" t="n"/>
      <c r="P1517" s="56" t="n"/>
      <c r="Q1517" s="55" t="n"/>
      <c r="R1517" s="55" t="n"/>
      <c r="S1517" s="55" t="n"/>
      <c r="T1517" s="55" t="n"/>
      <c r="U1517" s="55" t="n"/>
      <c r="V1517" s="55" t="n"/>
      <c r="W1517" s="58" t="n"/>
      <c r="X1517" s="58" t="n"/>
      <c r="Y1517" s="55" t="n"/>
      <c r="Z1517" s="55" t="n"/>
      <c r="AA1517" s="55" t="n"/>
      <c r="AB1517" s="55" t="n"/>
      <c r="AC1517" s="55" t="n"/>
      <c r="AD1517" s="53" t="n"/>
      <c r="AE1517" s="55" t="n"/>
      <c r="AF1517" s="55" t="n"/>
      <c r="AG1517" s="59" t="n"/>
      <c r="AH1517" s="57" t="n"/>
      <c r="AI1517" s="55" t="n"/>
      <c r="AJ1517" s="55" t="n"/>
      <c r="AK1517" s="55" t="n"/>
      <c r="AL1517" s="55" t="n"/>
      <c r="AM1517" s="56" t="n"/>
      <c r="AN1517" s="55" t="n"/>
      <c r="AO1517" s="55" t="n"/>
      <c r="AP1517" s="55" t="n"/>
      <c r="AQ1517" s="55" t="n"/>
      <c r="AR1517" s="60">
        <f>IF(AND(C1517="",E1517=""),"",IF(A1517="","⚠ Date manquante",IF(AND(C1517="",E1517&lt;&gt;"Dépense"),"⚠ Prospect manquant",IF(E1517="","⚠ Action manquante",IF(AND(AU1517=1,D1517=""),"⚠ Canal manquant",IF(AND(W1517&lt;&gt;"",COUNTIFS('Saisie'!$W$5:$W$2004,W1517,'Saisie'!$C$5:$C$2004,"&lt;&gt;"&amp;C1517)&gt;0),"⚠ Numéro déjà utilisé par un autre prospect",IF(AND(J1517&lt;&gt;"",J1517&lt;A1517),"⚠ Relance avant la date de l'action",IF(A1517&gt;TODAY(),"⚠ Date dans le futur","✓"))))))))</f>
        <v/>
      </c>
      <c r="AS1517" s="61">
        <f>IF(AND(A1517="",C1517="",E1517=""),"",ROW())</f>
        <v/>
      </c>
      <c r="AT1517" s="61">
        <f>IF(E1517&amp;F1517="","",MAX(IFERROR(INDEX('Paramètres'!$J$6:$J$33,MATCH(E1517,'Paramètres'!$I$6:$I$33,0)),0),IFERROR(INDEX('Paramètres'!$N$6:$N$17,MATCH(F1517,'Paramètres'!$M$6:$M$17,0)),0)))</f>
        <v/>
      </c>
      <c r="AU1517" s="61">
        <f>IF(E1517="","",IFERROR(IF(INDEX('Paramètres'!$K$6:$K$33,MATCH(E1517,'Paramètres'!$I$6:$I$33,0))="Oui",1,0),0))</f>
        <v/>
      </c>
      <c r="AV1517" s="61">
        <f>IF(F1517="","",IFERROR(IF(INDEX('Paramètres'!$O$6:$O$17,MATCH(F1517,'Paramètres'!$M$6:$M$17,0))="Oui",1,0),0))</f>
        <v/>
      </c>
      <c r="AW1517" s="62">
        <f>IF(E1517="","",IF(G1517&lt;&gt;"",G1517,IF(OR(E1517="Proposition envoyée",E1517="Signature"),MAX(0,N(IFERROR(INDEX('Paramètres'!$R$6:$R$15,MATCH(IF(AL1517&lt;&gt;"",AL1517,IFERROR(INDEX('Prospects'!$AN$5:$AN$504,MATCH(C1517,'Prospects'!$C$5:$C$504,0)),"")),'Paramètres'!$Q$6:$Q$15,0)),0))-N(P1517)),0)))</f>
        <v/>
      </c>
      <c r="AX1517" s="61">
        <f>IF(C1517="","",IF(COUNTIF($C$5:C1517,C1517)=1,MAX($AX$4:AX1516)+1,""))</f>
        <v/>
      </c>
      <c r="AY1517" s="61">
        <f>IF(B1517="","",HOUR(B1517))</f>
        <v/>
      </c>
      <c r="AZ1517" s="61">
        <f>IF(A1517="","",MOD(A1517-2,7)+1)</f>
        <v/>
      </c>
      <c r="BA1517" s="60">
        <f>IF(C1517="","",IFERROR(INDEX('Prospects'!$N$5:$N$504,MATCH(C1517,'Prospects'!$C$5:$C$504,0)),""))</f>
        <v/>
      </c>
      <c r="BB1517" s="61">
        <f>IF(AND(C1517&lt;&gt;"",C1517='Fiche prospect'!$C$4),COUNTIF($C$5:C1517,C1517),"")</f>
        <v/>
      </c>
    </row>
    <row r="1518">
      <c r="A1518" s="53" t="n"/>
      <c r="B1518" s="54" t="n"/>
      <c r="C1518" s="55" t="n"/>
      <c r="D1518" s="55" t="n"/>
      <c r="E1518" s="55" t="n"/>
      <c r="F1518" s="55" t="n"/>
      <c r="G1518" s="56" t="n"/>
      <c r="H1518" s="57" t="n"/>
      <c r="I1518" s="55" t="n"/>
      <c r="J1518" s="53" t="n"/>
      <c r="K1518" s="54" t="n"/>
      <c r="L1518" s="55" t="n"/>
      <c r="M1518" s="55" t="n"/>
      <c r="N1518" s="57" t="n"/>
      <c r="O1518" s="55" t="n"/>
      <c r="P1518" s="56" t="n"/>
      <c r="Q1518" s="55" t="n"/>
      <c r="R1518" s="55" t="n"/>
      <c r="S1518" s="55" t="n"/>
      <c r="T1518" s="55" t="n"/>
      <c r="U1518" s="55" t="n"/>
      <c r="V1518" s="55" t="n"/>
      <c r="W1518" s="58" t="n"/>
      <c r="X1518" s="58" t="n"/>
      <c r="Y1518" s="55" t="n"/>
      <c r="Z1518" s="55" t="n"/>
      <c r="AA1518" s="55" t="n"/>
      <c r="AB1518" s="55" t="n"/>
      <c r="AC1518" s="55" t="n"/>
      <c r="AD1518" s="53" t="n"/>
      <c r="AE1518" s="55" t="n"/>
      <c r="AF1518" s="55" t="n"/>
      <c r="AG1518" s="59" t="n"/>
      <c r="AH1518" s="57" t="n"/>
      <c r="AI1518" s="55" t="n"/>
      <c r="AJ1518" s="55" t="n"/>
      <c r="AK1518" s="55" t="n"/>
      <c r="AL1518" s="55" t="n"/>
      <c r="AM1518" s="56" t="n"/>
      <c r="AN1518" s="55" t="n"/>
      <c r="AO1518" s="55" t="n"/>
      <c r="AP1518" s="55" t="n"/>
      <c r="AQ1518" s="55" t="n"/>
      <c r="AR1518" s="60">
        <f>IF(AND(C1518="",E1518=""),"",IF(A1518="","⚠ Date manquante",IF(AND(C1518="",E1518&lt;&gt;"Dépense"),"⚠ Prospect manquant",IF(E1518="","⚠ Action manquante",IF(AND(AU1518=1,D1518=""),"⚠ Canal manquant",IF(AND(W1518&lt;&gt;"",COUNTIFS('Saisie'!$W$5:$W$2004,W1518,'Saisie'!$C$5:$C$2004,"&lt;&gt;"&amp;C1518)&gt;0),"⚠ Numéro déjà utilisé par un autre prospect",IF(AND(J1518&lt;&gt;"",J1518&lt;A1518),"⚠ Relance avant la date de l'action",IF(A1518&gt;TODAY(),"⚠ Date dans le futur","✓"))))))))</f>
        <v/>
      </c>
      <c r="AS1518" s="61">
        <f>IF(AND(A1518="",C1518="",E1518=""),"",ROW())</f>
        <v/>
      </c>
      <c r="AT1518" s="61">
        <f>IF(E1518&amp;F1518="","",MAX(IFERROR(INDEX('Paramètres'!$J$6:$J$33,MATCH(E1518,'Paramètres'!$I$6:$I$33,0)),0),IFERROR(INDEX('Paramètres'!$N$6:$N$17,MATCH(F1518,'Paramètres'!$M$6:$M$17,0)),0)))</f>
        <v/>
      </c>
      <c r="AU1518" s="61">
        <f>IF(E1518="","",IFERROR(IF(INDEX('Paramètres'!$K$6:$K$33,MATCH(E1518,'Paramètres'!$I$6:$I$33,0))="Oui",1,0),0))</f>
        <v/>
      </c>
      <c r="AV1518" s="61">
        <f>IF(F1518="","",IFERROR(IF(INDEX('Paramètres'!$O$6:$O$17,MATCH(F1518,'Paramètres'!$M$6:$M$17,0))="Oui",1,0),0))</f>
        <v/>
      </c>
      <c r="AW1518" s="62">
        <f>IF(E1518="","",IF(G1518&lt;&gt;"",G1518,IF(OR(E1518="Proposition envoyée",E1518="Signature"),MAX(0,N(IFERROR(INDEX('Paramètres'!$R$6:$R$15,MATCH(IF(AL1518&lt;&gt;"",AL1518,IFERROR(INDEX('Prospects'!$AN$5:$AN$504,MATCH(C1518,'Prospects'!$C$5:$C$504,0)),"")),'Paramètres'!$Q$6:$Q$15,0)),0))-N(P1518)),0)))</f>
        <v/>
      </c>
      <c r="AX1518" s="61">
        <f>IF(C1518="","",IF(COUNTIF($C$5:C1518,C1518)=1,MAX($AX$4:AX1517)+1,""))</f>
        <v/>
      </c>
      <c r="AY1518" s="61">
        <f>IF(B1518="","",HOUR(B1518))</f>
        <v/>
      </c>
      <c r="AZ1518" s="61">
        <f>IF(A1518="","",MOD(A1518-2,7)+1)</f>
        <v/>
      </c>
      <c r="BA1518" s="60">
        <f>IF(C1518="","",IFERROR(INDEX('Prospects'!$N$5:$N$504,MATCH(C1518,'Prospects'!$C$5:$C$504,0)),""))</f>
        <v/>
      </c>
      <c r="BB1518" s="61">
        <f>IF(AND(C1518&lt;&gt;"",C1518='Fiche prospect'!$C$4),COUNTIF($C$5:C1518,C1518),"")</f>
        <v/>
      </c>
    </row>
    <row r="1519">
      <c r="A1519" s="53" t="n"/>
      <c r="B1519" s="54" t="n"/>
      <c r="C1519" s="55" t="n"/>
      <c r="D1519" s="55" t="n"/>
      <c r="E1519" s="55" t="n"/>
      <c r="F1519" s="55" t="n"/>
      <c r="G1519" s="56" t="n"/>
      <c r="H1519" s="57" t="n"/>
      <c r="I1519" s="55" t="n"/>
      <c r="J1519" s="53" t="n"/>
      <c r="K1519" s="54" t="n"/>
      <c r="L1519" s="55" t="n"/>
      <c r="M1519" s="55" t="n"/>
      <c r="N1519" s="57" t="n"/>
      <c r="O1519" s="55" t="n"/>
      <c r="P1519" s="56" t="n"/>
      <c r="Q1519" s="55" t="n"/>
      <c r="R1519" s="55" t="n"/>
      <c r="S1519" s="55" t="n"/>
      <c r="T1519" s="55" t="n"/>
      <c r="U1519" s="55" t="n"/>
      <c r="V1519" s="55" t="n"/>
      <c r="W1519" s="58" t="n"/>
      <c r="X1519" s="58" t="n"/>
      <c r="Y1519" s="55" t="n"/>
      <c r="Z1519" s="55" t="n"/>
      <c r="AA1519" s="55" t="n"/>
      <c r="AB1519" s="55" t="n"/>
      <c r="AC1519" s="55" t="n"/>
      <c r="AD1519" s="53" t="n"/>
      <c r="AE1519" s="55" t="n"/>
      <c r="AF1519" s="55" t="n"/>
      <c r="AG1519" s="59" t="n"/>
      <c r="AH1519" s="57" t="n"/>
      <c r="AI1519" s="55" t="n"/>
      <c r="AJ1519" s="55" t="n"/>
      <c r="AK1519" s="55" t="n"/>
      <c r="AL1519" s="55" t="n"/>
      <c r="AM1519" s="56" t="n"/>
      <c r="AN1519" s="55" t="n"/>
      <c r="AO1519" s="55" t="n"/>
      <c r="AP1519" s="55" t="n"/>
      <c r="AQ1519" s="55" t="n"/>
      <c r="AR1519" s="60">
        <f>IF(AND(C1519="",E1519=""),"",IF(A1519="","⚠ Date manquante",IF(AND(C1519="",E1519&lt;&gt;"Dépense"),"⚠ Prospect manquant",IF(E1519="","⚠ Action manquante",IF(AND(AU1519=1,D1519=""),"⚠ Canal manquant",IF(AND(W1519&lt;&gt;"",COUNTIFS('Saisie'!$W$5:$W$2004,W1519,'Saisie'!$C$5:$C$2004,"&lt;&gt;"&amp;C1519)&gt;0),"⚠ Numéro déjà utilisé par un autre prospect",IF(AND(J1519&lt;&gt;"",J1519&lt;A1519),"⚠ Relance avant la date de l'action",IF(A1519&gt;TODAY(),"⚠ Date dans le futur","✓"))))))))</f>
        <v/>
      </c>
      <c r="AS1519" s="61">
        <f>IF(AND(A1519="",C1519="",E1519=""),"",ROW())</f>
        <v/>
      </c>
      <c r="AT1519" s="61">
        <f>IF(E1519&amp;F1519="","",MAX(IFERROR(INDEX('Paramètres'!$J$6:$J$33,MATCH(E1519,'Paramètres'!$I$6:$I$33,0)),0),IFERROR(INDEX('Paramètres'!$N$6:$N$17,MATCH(F1519,'Paramètres'!$M$6:$M$17,0)),0)))</f>
        <v/>
      </c>
      <c r="AU1519" s="61">
        <f>IF(E1519="","",IFERROR(IF(INDEX('Paramètres'!$K$6:$K$33,MATCH(E1519,'Paramètres'!$I$6:$I$33,0))="Oui",1,0),0))</f>
        <v/>
      </c>
      <c r="AV1519" s="61">
        <f>IF(F1519="","",IFERROR(IF(INDEX('Paramètres'!$O$6:$O$17,MATCH(F1519,'Paramètres'!$M$6:$M$17,0))="Oui",1,0),0))</f>
        <v/>
      </c>
      <c r="AW1519" s="62">
        <f>IF(E1519="","",IF(G1519&lt;&gt;"",G1519,IF(OR(E1519="Proposition envoyée",E1519="Signature"),MAX(0,N(IFERROR(INDEX('Paramètres'!$R$6:$R$15,MATCH(IF(AL1519&lt;&gt;"",AL1519,IFERROR(INDEX('Prospects'!$AN$5:$AN$504,MATCH(C1519,'Prospects'!$C$5:$C$504,0)),"")),'Paramètres'!$Q$6:$Q$15,0)),0))-N(P1519)),0)))</f>
        <v/>
      </c>
      <c r="AX1519" s="61">
        <f>IF(C1519="","",IF(COUNTIF($C$5:C1519,C1519)=1,MAX($AX$4:AX1518)+1,""))</f>
        <v/>
      </c>
      <c r="AY1519" s="61">
        <f>IF(B1519="","",HOUR(B1519))</f>
        <v/>
      </c>
      <c r="AZ1519" s="61">
        <f>IF(A1519="","",MOD(A1519-2,7)+1)</f>
        <v/>
      </c>
      <c r="BA1519" s="60">
        <f>IF(C1519="","",IFERROR(INDEX('Prospects'!$N$5:$N$504,MATCH(C1519,'Prospects'!$C$5:$C$504,0)),""))</f>
        <v/>
      </c>
      <c r="BB1519" s="61">
        <f>IF(AND(C1519&lt;&gt;"",C1519='Fiche prospect'!$C$4),COUNTIF($C$5:C1519,C1519),"")</f>
        <v/>
      </c>
    </row>
    <row r="1520">
      <c r="A1520" s="53" t="n"/>
      <c r="B1520" s="54" t="n"/>
      <c r="C1520" s="55" t="n"/>
      <c r="D1520" s="55" t="n"/>
      <c r="E1520" s="55" t="n"/>
      <c r="F1520" s="55" t="n"/>
      <c r="G1520" s="56" t="n"/>
      <c r="H1520" s="57" t="n"/>
      <c r="I1520" s="55" t="n"/>
      <c r="J1520" s="53" t="n"/>
      <c r="K1520" s="54" t="n"/>
      <c r="L1520" s="55" t="n"/>
      <c r="M1520" s="55" t="n"/>
      <c r="N1520" s="57" t="n"/>
      <c r="O1520" s="55" t="n"/>
      <c r="P1520" s="56" t="n"/>
      <c r="Q1520" s="55" t="n"/>
      <c r="R1520" s="55" t="n"/>
      <c r="S1520" s="55" t="n"/>
      <c r="T1520" s="55" t="n"/>
      <c r="U1520" s="55" t="n"/>
      <c r="V1520" s="55" t="n"/>
      <c r="W1520" s="58" t="n"/>
      <c r="X1520" s="58" t="n"/>
      <c r="Y1520" s="55" t="n"/>
      <c r="Z1520" s="55" t="n"/>
      <c r="AA1520" s="55" t="n"/>
      <c r="AB1520" s="55" t="n"/>
      <c r="AC1520" s="55" t="n"/>
      <c r="AD1520" s="53" t="n"/>
      <c r="AE1520" s="55" t="n"/>
      <c r="AF1520" s="55" t="n"/>
      <c r="AG1520" s="59" t="n"/>
      <c r="AH1520" s="57" t="n"/>
      <c r="AI1520" s="55" t="n"/>
      <c r="AJ1520" s="55" t="n"/>
      <c r="AK1520" s="55" t="n"/>
      <c r="AL1520" s="55" t="n"/>
      <c r="AM1520" s="56" t="n"/>
      <c r="AN1520" s="55" t="n"/>
      <c r="AO1520" s="55" t="n"/>
      <c r="AP1520" s="55" t="n"/>
      <c r="AQ1520" s="55" t="n"/>
      <c r="AR1520" s="60">
        <f>IF(AND(C1520="",E1520=""),"",IF(A1520="","⚠ Date manquante",IF(AND(C1520="",E1520&lt;&gt;"Dépense"),"⚠ Prospect manquant",IF(E1520="","⚠ Action manquante",IF(AND(AU1520=1,D1520=""),"⚠ Canal manquant",IF(AND(W1520&lt;&gt;"",COUNTIFS('Saisie'!$W$5:$W$2004,W1520,'Saisie'!$C$5:$C$2004,"&lt;&gt;"&amp;C1520)&gt;0),"⚠ Numéro déjà utilisé par un autre prospect",IF(AND(J1520&lt;&gt;"",J1520&lt;A1520),"⚠ Relance avant la date de l'action",IF(A1520&gt;TODAY(),"⚠ Date dans le futur","✓"))))))))</f>
        <v/>
      </c>
      <c r="AS1520" s="61">
        <f>IF(AND(A1520="",C1520="",E1520=""),"",ROW())</f>
        <v/>
      </c>
      <c r="AT1520" s="61">
        <f>IF(E1520&amp;F1520="","",MAX(IFERROR(INDEX('Paramètres'!$J$6:$J$33,MATCH(E1520,'Paramètres'!$I$6:$I$33,0)),0),IFERROR(INDEX('Paramètres'!$N$6:$N$17,MATCH(F1520,'Paramètres'!$M$6:$M$17,0)),0)))</f>
        <v/>
      </c>
      <c r="AU1520" s="61">
        <f>IF(E1520="","",IFERROR(IF(INDEX('Paramètres'!$K$6:$K$33,MATCH(E1520,'Paramètres'!$I$6:$I$33,0))="Oui",1,0),0))</f>
        <v/>
      </c>
      <c r="AV1520" s="61">
        <f>IF(F1520="","",IFERROR(IF(INDEX('Paramètres'!$O$6:$O$17,MATCH(F1520,'Paramètres'!$M$6:$M$17,0))="Oui",1,0),0))</f>
        <v/>
      </c>
      <c r="AW1520" s="62">
        <f>IF(E1520="","",IF(G1520&lt;&gt;"",G1520,IF(OR(E1520="Proposition envoyée",E1520="Signature"),MAX(0,N(IFERROR(INDEX('Paramètres'!$R$6:$R$15,MATCH(IF(AL1520&lt;&gt;"",AL1520,IFERROR(INDEX('Prospects'!$AN$5:$AN$504,MATCH(C1520,'Prospects'!$C$5:$C$504,0)),"")),'Paramètres'!$Q$6:$Q$15,0)),0))-N(P1520)),0)))</f>
        <v/>
      </c>
      <c r="AX1520" s="61">
        <f>IF(C1520="","",IF(COUNTIF($C$5:C1520,C1520)=1,MAX($AX$4:AX1519)+1,""))</f>
        <v/>
      </c>
      <c r="AY1520" s="61">
        <f>IF(B1520="","",HOUR(B1520))</f>
        <v/>
      </c>
      <c r="AZ1520" s="61">
        <f>IF(A1520="","",MOD(A1520-2,7)+1)</f>
        <v/>
      </c>
      <c r="BA1520" s="60">
        <f>IF(C1520="","",IFERROR(INDEX('Prospects'!$N$5:$N$504,MATCH(C1520,'Prospects'!$C$5:$C$504,0)),""))</f>
        <v/>
      </c>
      <c r="BB1520" s="61">
        <f>IF(AND(C1520&lt;&gt;"",C1520='Fiche prospect'!$C$4),COUNTIF($C$5:C1520,C1520),"")</f>
        <v/>
      </c>
    </row>
    <row r="1521">
      <c r="A1521" s="53" t="n"/>
      <c r="B1521" s="54" t="n"/>
      <c r="C1521" s="55" t="n"/>
      <c r="D1521" s="55" t="n"/>
      <c r="E1521" s="55" t="n"/>
      <c r="F1521" s="55" t="n"/>
      <c r="G1521" s="56" t="n"/>
      <c r="H1521" s="57" t="n"/>
      <c r="I1521" s="55" t="n"/>
      <c r="J1521" s="53" t="n"/>
      <c r="K1521" s="54" t="n"/>
      <c r="L1521" s="55" t="n"/>
      <c r="M1521" s="55" t="n"/>
      <c r="N1521" s="57" t="n"/>
      <c r="O1521" s="55" t="n"/>
      <c r="P1521" s="56" t="n"/>
      <c r="Q1521" s="55" t="n"/>
      <c r="R1521" s="55" t="n"/>
      <c r="S1521" s="55" t="n"/>
      <c r="T1521" s="55" t="n"/>
      <c r="U1521" s="55" t="n"/>
      <c r="V1521" s="55" t="n"/>
      <c r="W1521" s="58" t="n"/>
      <c r="X1521" s="58" t="n"/>
      <c r="Y1521" s="55" t="n"/>
      <c r="Z1521" s="55" t="n"/>
      <c r="AA1521" s="55" t="n"/>
      <c r="AB1521" s="55" t="n"/>
      <c r="AC1521" s="55" t="n"/>
      <c r="AD1521" s="53" t="n"/>
      <c r="AE1521" s="55" t="n"/>
      <c r="AF1521" s="55" t="n"/>
      <c r="AG1521" s="59" t="n"/>
      <c r="AH1521" s="57" t="n"/>
      <c r="AI1521" s="55" t="n"/>
      <c r="AJ1521" s="55" t="n"/>
      <c r="AK1521" s="55" t="n"/>
      <c r="AL1521" s="55" t="n"/>
      <c r="AM1521" s="56" t="n"/>
      <c r="AN1521" s="55" t="n"/>
      <c r="AO1521" s="55" t="n"/>
      <c r="AP1521" s="55" t="n"/>
      <c r="AQ1521" s="55" t="n"/>
      <c r="AR1521" s="60">
        <f>IF(AND(C1521="",E1521=""),"",IF(A1521="","⚠ Date manquante",IF(AND(C1521="",E1521&lt;&gt;"Dépense"),"⚠ Prospect manquant",IF(E1521="","⚠ Action manquante",IF(AND(AU1521=1,D1521=""),"⚠ Canal manquant",IF(AND(W1521&lt;&gt;"",COUNTIFS('Saisie'!$W$5:$W$2004,W1521,'Saisie'!$C$5:$C$2004,"&lt;&gt;"&amp;C1521)&gt;0),"⚠ Numéro déjà utilisé par un autre prospect",IF(AND(J1521&lt;&gt;"",J1521&lt;A1521),"⚠ Relance avant la date de l'action",IF(A1521&gt;TODAY(),"⚠ Date dans le futur","✓"))))))))</f>
        <v/>
      </c>
      <c r="AS1521" s="61">
        <f>IF(AND(A1521="",C1521="",E1521=""),"",ROW())</f>
        <v/>
      </c>
      <c r="AT1521" s="61">
        <f>IF(E1521&amp;F1521="","",MAX(IFERROR(INDEX('Paramètres'!$J$6:$J$33,MATCH(E1521,'Paramètres'!$I$6:$I$33,0)),0),IFERROR(INDEX('Paramètres'!$N$6:$N$17,MATCH(F1521,'Paramètres'!$M$6:$M$17,0)),0)))</f>
        <v/>
      </c>
      <c r="AU1521" s="61">
        <f>IF(E1521="","",IFERROR(IF(INDEX('Paramètres'!$K$6:$K$33,MATCH(E1521,'Paramètres'!$I$6:$I$33,0))="Oui",1,0),0))</f>
        <v/>
      </c>
      <c r="AV1521" s="61">
        <f>IF(F1521="","",IFERROR(IF(INDEX('Paramètres'!$O$6:$O$17,MATCH(F1521,'Paramètres'!$M$6:$M$17,0))="Oui",1,0),0))</f>
        <v/>
      </c>
      <c r="AW1521" s="62">
        <f>IF(E1521="","",IF(G1521&lt;&gt;"",G1521,IF(OR(E1521="Proposition envoyée",E1521="Signature"),MAX(0,N(IFERROR(INDEX('Paramètres'!$R$6:$R$15,MATCH(IF(AL1521&lt;&gt;"",AL1521,IFERROR(INDEX('Prospects'!$AN$5:$AN$504,MATCH(C1521,'Prospects'!$C$5:$C$504,0)),"")),'Paramètres'!$Q$6:$Q$15,0)),0))-N(P1521)),0)))</f>
        <v/>
      </c>
      <c r="AX1521" s="61">
        <f>IF(C1521="","",IF(COUNTIF($C$5:C1521,C1521)=1,MAX($AX$4:AX1520)+1,""))</f>
        <v/>
      </c>
      <c r="AY1521" s="61">
        <f>IF(B1521="","",HOUR(B1521))</f>
        <v/>
      </c>
      <c r="AZ1521" s="61">
        <f>IF(A1521="","",MOD(A1521-2,7)+1)</f>
        <v/>
      </c>
      <c r="BA1521" s="60">
        <f>IF(C1521="","",IFERROR(INDEX('Prospects'!$N$5:$N$504,MATCH(C1521,'Prospects'!$C$5:$C$504,0)),""))</f>
        <v/>
      </c>
      <c r="BB1521" s="61">
        <f>IF(AND(C1521&lt;&gt;"",C1521='Fiche prospect'!$C$4),COUNTIF($C$5:C1521,C1521),"")</f>
        <v/>
      </c>
    </row>
    <row r="1522">
      <c r="A1522" s="53" t="n"/>
      <c r="B1522" s="54" t="n"/>
      <c r="C1522" s="55" t="n"/>
      <c r="D1522" s="55" t="n"/>
      <c r="E1522" s="55" t="n"/>
      <c r="F1522" s="55" t="n"/>
      <c r="G1522" s="56" t="n"/>
      <c r="H1522" s="57" t="n"/>
      <c r="I1522" s="55" t="n"/>
      <c r="J1522" s="53" t="n"/>
      <c r="K1522" s="54" t="n"/>
      <c r="L1522" s="55" t="n"/>
      <c r="M1522" s="55" t="n"/>
      <c r="N1522" s="57" t="n"/>
      <c r="O1522" s="55" t="n"/>
      <c r="P1522" s="56" t="n"/>
      <c r="Q1522" s="55" t="n"/>
      <c r="R1522" s="55" t="n"/>
      <c r="S1522" s="55" t="n"/>
      <c r="T1522" s="55" t="n"/>
      <c r="U1522" s="55" t="n"/>
      <c r="V1522" s="55" t="n"/>
      <c r="W1522" s="58" t="n"/>
      <c r="X1522" s="58" t="n"/>
      <c r="Y1522" s="55" t="n"/>
      <c r="Z1522" s="55" t="n"/>
      <c r="AA1522" s="55" t="n"/>
      <c r="AB1522" s="55" t="n"/>
      <c r="AC1522" s="55" t="n"/>
      <c r="AD1522" s="53" t="n"/>
      <c r="AE1522" s="55" t="n"/>
      <c r="AF1522" s="55" t="n"/>
      <c r="AG1522" s="59" t="n"/>
      <c r="AH1522" s="57" t="n"/>
      <c r="AI1522" s="55" t="n"/>
      <c r="AJ1522" s="55" t="n"/>
      <c r="AK1522" s="55" t="n"/>
      <c r="AL1522" s="55" t="n"/>
      <c r="AM1522" s="56" t="n"/>
      <c r="AN1522" s="55" t="n"/>
      <c r="AO1522" s="55" t="n"/>
      <c r="AP1522" s="55" t="n"/>
      <c r="AQ1522" s="55" t="n"/>
      <c r="AR1522" s="60">
        <f>IF(AND(C1522="",E1522=""),"",IF(A1522="","⚠ Date manquante",IF(AND(C1522="",E1522&lt;&gt;"Dépense"),"⚠ Prospect manquant",IF(E1522="","⚠ Action manquante",IF(AND(AU1522=1,D1522=""),"⚠ Canal manquant",IF(AND(W1522&lt;&gt;"",COUNTIFS('Saisie'!$W$5:$W$2004,W1522,'Saisie'!$C$5:$C$2004,"&lt;&gt;"&amp;C1522)&gt;0),"⚠ Numéro déjà utilisé par un autre prospect",IF(AND(J1522&lt;&gt;"",J1522&lt;A1522),"⚠ Relance avant la date de l'action",IF(A1522&gt;TODAY(),"⚠ Date dans le futur","✓"))))))))</f>
        <v/>
      </c>
      <c r="AS1522" s="61">
        <f>IF(AND(A1522="",C1522="",E1522=""),"",ROW())</f>
        <v/>
      </c>
      <c r="AT1522" s="61">
        <f>IF(E1522&amp;F1522="","",MAX(IFERROR(INDEX('Paramètres'!$J$6:$J$33,MATCH(E1522,'Paramètres'!$I$6:$I$33,0)),0),IFERROR(INDEX('Paramètres'!$N$6:$N$17,MATCH(F1522,'Paramètres'!$M$6:$M$17,0)),0)))</f>
        <v/>
      </c>
      <c r="AU1522" s="61">
        <f>IF(E1522="","",IFERROR(IF(INDEX('Paramètres'!$K$6:$K$33,MATCH(E1522,'Paramètres'!$I$6:$I$33,0))="Oui",1,0),0))</f>
        <v/>
      </c>
      <c r="AV1522" s="61">
        <f>IF(F1522="","",IFERROR(IF(INDEX('Paramètres'!$O$6:$O$17,MATCH(F1522,'Paramètres'!$M$6:$M$17,0))="Oui",1,0),0))</f>
        <v/>
      </c>
      <c r="AW1522" s="62">
        <f>IF(E1522="","",IF(G1522&lt;&gt;"",G1522,IF(OR(E1522="Proposition envoyée",E1522="Signature"),MAX(0,N(IFERROR(INDEX('Paramètres'!$R$6:$R$15,MATCH(IF(AL1522&lt;&gt;"",AL1522,IFERROR(INDEX('Prospects'!$AN$5:$AN$504,MATCH(C1522,'Prospects'!$C$5:$C$504,0)),"")),'Paramètres'!$Q$6:$Q$15,0)),0))-N(P1522)),0)))</f>
        <v/>
      </c>
      <c r="AX1522" s="61">
        <f>IF(C1522="","",IF(COUNTIF($C$5:C1522,C1522)=1,MAX($AX$4:AX1521)+1,""))</f>
        <v/>
      </c>
      <c r="AY1522" s="61">
        <f>IF(B1522="","",HOUR(B1522))</f>
        <v/>
      </c>
      <c r="AZ1522" s="61">
        <f>IF(A1522="","",MOD(A1522-2,7)+1)</f>
        <v/>
      </c>
      <c r="BA1522" s="60">
        <f>IF(C1522="","",IFERROR(INDEX('Prospects'!$N$5:$N$504,MATCH(C1522,'Prospects'!$C$5:$C$504,0)),""))</f>
        <v/>
      </c>
      <c r="BB1522" s="61">
        <f>IF(AND(C1522&lt;&gt;"",C1522='Fiche prospect'!$C$4),COUNTIF($C$5:C1522,C1522),"")</f>
        <v/>
      </c>
    </row>
    <row r="1523">
      <c r="A1523" s="53" t="n"/>
      <c r="B1523" s="54" t="n"/>
      <c r="C1523" s="55" t="n"/>
      <c r="D1523" s="55" t="n"/>
      <c r="E1523" s="55" t="n"/>
      <c r="F1523" s="55" t="n"/>
      <c r="G1523" s="56" t="n"/>
      <c r="H1523" s="57" t="n"/>
      <c r="I1523" s="55" t="n"/>
      <c r="J1523" s="53" t="n"/>
      <c r="K1523" s="54" t="n"/>
      <c r="L1523" s="55" t="n"/>
      <c r="M1523" s="55" t="n"/>
      <c r="N1523" s="57" t="n"/>
      <c r="O1523" s="55" t="n"/>
      <c r="P1523" s="56" t="n"/>
      <c r="Q1523" s="55" t="n"/>
      <c r="R1523" s="55" t="n"/>
      <c r="S1523" s="55" t="n"/>
      <c r="T1523" s="55" t="n"/>
      <c r="U1523" s="55" t="n"/>
      <c r="V1523" s="55" t="n"/>
      <c r="W1523" s="58" t="n"/>
      <c r="X1523" s="58" t="n"/>
      <c r="Y1523" s="55" t="n"/>
      <c r="Z1523" s="55" t="n"/>
      <c r="AA1523" s="55" t="n"/>
      <c r="AB1523" s="55" t="n"/>
      <c r="AC1523" s="55" t="n"/>
      <c r="AD1523" s="53" t="n"/>
      <c r="AE1523" s="55" t="n"/>
      <c r="AF1523" s="55" t="n"/>
      <c r="AG1523" s="59" t="n"/>
      <c r="AH1523" s="57" t="n"/>
      <c r="AI1523" s="55" t="n"/>
      <c r="AJ1523" s="55" t="n"/>
      <c r="AK1523" s="55" t="n"/>
      <c r="AL1523" s="55" t="n"/>
      <c r="AM1523" s="56" t="n"/>
      <c r="AN1523" s="55" t="n"/>
      <c r="AO1523" s="55" t="n"/>
      <c r="AP1523" s="55" t="n"/>
      <c r="AQ1523" s="55" t="n"/>
      <c r="AR1523" s="60">
        <f>IF(AND(C1523="",E1523=""),"",IF(A1523="","⚠ Date manquante",IF(AND(C1523="",E1523&lt;&gt;"Dépense"),"⚠ Prospect manquant",IF(E1523="","⚠ Action manquante",IF(AND(AU1523=1,D1523=""),"⚠ Canal manquant",IF(AND(W1523&lt;&gt;"",COUNTIFS('Saisie'!$W$5:$W$2004,W1523,'Saisie'!$C$5:$C$2004,"&lt;&gt;"&amp;C1523)&gt;0),"⚠ Numéro déjà utilisé par un autre prospect",IF(AND(J1523&lt;&gt;"",J1523&lt;A1523),"⚠ Relance avant la date de l'action",IF(A1523&gt;TODAY(),"⚠ Date dans le futur","✓"))))))))</f>
        <v/>
      </c>
      <c r="AS1523" s="61">
        <f>IF(AND(A1523="",C1523="",E1523=""),"",ROW())</f>
        <v/>
      </c>
      <c r="AT1523" s="61">
        <f>IF(E1523&amp;F1523="","",MAX(IFERROR(INDEX('Paramètres'!$J$6:$J$33,MATCH(E1523,'Paramètres'!$I$6:$I$33,0)),0),IFERROR(INDEX('Paramètres'!$N$6:$N$17,MATCH(F1523,'Paramètres'!$M$6:$M$17,0)),0)))</f>
        <v/>
      </c>
      <c r="AU1523" s="61">
        <f>IF(E1523="","",IFERROR(IF(INDEX('Paramètres'!$K$6:$K$33,MATCH(E1523,'Paramètres'!$I$6:$I$33,0))="Oui",1,0),0))</f>
        <v/>
      </c>
      <c r="AV1523" s="61">
        <f>IF(F1523="","",IFERROR(IF(INDEX('Paramètres'!$O$6:$O$17,MATCH(F1523,'Paramètres'!$M$6:$M$17,0))="Oui",1,0),0))</f>
        <v/>
      </c>
      <c r="AW1523" s="62">
        <f>IF(E1523="","",IF(G1523&lt;&gt;"",G1523,IF(OR(E1523="Proposition envoyée",E1523="Signature"),MAX(0,N(IFERROR(INDEX('Paramètres'!$R$6:$R$15,MATCH(IF(AL1523&lt;&gt;"",AL1523,IFERROR(INDEX('Prospects'!$AN$5:$AN$504,MATCH(C1523,'Prospects'!$C$5:$C$504,0)),"")),'Paramètres'!$Q$6:$Q$15,0)),0))-N(P1523)),0)))</f>
        <v/>
      </c>
      <c r="AX1523" s="61">
        <f>IF(C1523="","",IF(COUNTIF($C$5:C1523,C1523)=1,MAX($AX$4:AX1522)+1,""))</f>
        <v/>
      </c>
      <c r="AY1523" s="61">
        <f>IF(B1523="","",HOUR(B1523))</f>
        <v/>
      </c>
      <c r="AZ1523" s="61">
        <f>IF(A1523="","",MOD(A1523-2,7)+1)</f>
        <v/>
      </c>
      <c r="BA1523" s="60">
        <f>IF(C1523="","",IFERROR(INDEX('Prospects'!$N$5:$N$504,MATCH(C1523,'Prospects'!$C$5:$C$504,0)),""))</f>
        <v/>
      </c>
      <c r="BB1523" s="61">
        <f>IF(AND(C1523&lt;&gt;"",C1523='Fiche prospect'!$C$4),COUNTIF($C$5:C1523,C1523),"")</f>
        <v/>
      </c>
    </row>
    <row r="1524">
      <c r="A1524" s="53" t="n"/>
      <c r="B1524" s="54" t="n"/>
      <c r="C1524" s="55" t="n"/>
      <c r="D1524" s="55" t="n"/>
      <c r="E1524" s="55" t="n"/>
      <c r="F1524" s="55" t="n"/>
      <c r="G1524" s="56" t="n"/>
      <c r="H1524" s="57" t="n"/>
      <c r="I1524" s="55" t="n"/>
      <c r="J1524" s="53" t="n"/>
      <c r="K1524" s="54" t="n"/>
      <c r="L1524" s="55" t="n"/>
      <c r="M1524" s="55" t="n"/>
      <c r="N1524" s="57" t="n"/>
      <c r="O1524" s="55" t="n"/>
      <c r="P1524" s="56" t="n"/>
      <c r="Q1524" s="55" t="n"/>
      <c r="R1524" s="55" t="n"/>
      <c r="S1524" s="55" t="n"/>
      <c r="T1524" s="55" t="n"/>
      <c r="U1524" s="55" t="n"/>
      <c r="V1524" s="55" t="n"/>
      <c r="W1524" s="58" t="n"/>
      <c r="X1524" s="58" t="n"/>
      <c r="Y1524" s="55" t="n"/>
      <c r="Z1524" s="55" t="n"/>
      <c r="AA1524" s="55" t="n"/>
      <c r="AB1524" s="55" t="n"/>
      <c r="AC1524" s="55" t="n"/>
      <c r="AD1524" s="53" t="n"/>
      <c r="AE1524" s="55" t="n"/>
      <c r="AF1524" s="55" t="n"/>
      <c r="AG1524" s="59" t="n"/>
      <c r="AH1524" s="57" t="n"/>
      <c r="AI1524" s="55" t="n"/>
      <c r="AJ1524" s="55" t="n"/>
      <c r="AK1524" s="55" t="n"/>
      <c r="AL1524" s="55" t="n"/>
      <c r="AM1524" s="56" t="n"/>
      <c r="AN1524" s="55" t="n"/>
      <c r="AO1524" s="55" t="n"/>
      <c r="AP1524" s="55" t="n"/>
      <c r="AQ1524" s="55" t="n"/>
      <c r="AR1524" s="60">
        <f>IF(AND(C1524="",E1524=""),"",IF(A1524="","⚠ Date manquante",IF(AND(C1524="",E1524&lt;&gt;"Dépense"),"⚠ Prospect manquant",IF(E1524="","⚠ Action manquante",IF(AND(AU1524=1,D1524=""),"⚠ Canal manquant",IF(AND(W1524&lt;&gt;"",COUNTIFS('Saisie'!$W$5:$W$2004,W1524,'Saisie'!$C$5:$C$2004,"&lt;&gt;"&amp;C1524)&gt;0),"⚠ Numéro déjà utilisé par un autre prospect",IF(AND(J1524&lt;&gt;"",J1524&lt;A1524),"⚠ Relance avant la date de l'action",IF(A1524&gt;TODAY(),"⚠ Date dans le futur","✓"))))))))</f>
        <v/>
      </c>
      <c r="AS1524" s="61">
        <f>IF(AND(A1524="",C1524="",E1524=""),"",ROW())</f>
        <v/>
      </c>
      <c r="AT1524" s="61">
        <f>IF(E1524&amp;F1524="","",MAX(IFERROR(INDEX('Paramètres'!$J$6:$J$33,MATCH(E1524,'Paramètres'!$I$6:$I$33,0)),0),IFERROR(INDEX('Paramètres'!$N$6:$N$17,MATCH(F1524,'Paramètres'!$M$6:$M$17,0)),0)))</f>
        <v/>
      </c>
      <c r="AU1524" s="61">
        <f>IF(E1524="","",IFERROR(IF(INDEX('Paramètres'!$K$6:$K$33,MATCH(E1524,'Paramètres'!$I$6:$I$33,0))="Oui",1,0),0))</f>
        <v/>
      </c>
      <c r="AV1524" s="61">
        <f>IF(F1524="","",IFERROR(IF(INDEX('Paramètres'!$O$6:$O$17,MATCH(F1524,'Paramètres'!$M$6:$M$17,0))="Oui",1,0),0))</f>
        <v/>
      </c>
      <c r="AW1524" s="62">
        <f>IF(E1524="","",IF(G1524&lt;&gt;"",G1524,IF(OR(E1524="Proposition envoyée",E1524="Signature"),MAX(0,N(IFERROR(INDEX('Paramètres'!$R$6:$R$15,MATCH(IF(AL1524&lt;&gt;"",AL1524,IFERROR(INDEX('Prospects'!$AN$5:$AN$504,MATCH(C1524,'Prospects'!$C$5:$C$504,0)),"")),'Paramètres'!$Q$6:$Q$15,0)),0))-N(P1524)),0)))</f>
        <v/>
      </c>
      <c r="AX1524" s="61">
        <f>IF(C1524="","",IF(COUNTIF($C$5:C1524,C1524)=1,MAX($AX$4:AX1523)+1,""))</f>
        <v/>
      </c>
      <c r="AY1524" s="61">
        <f>IF(B1524="","",HOUR(B1524))</f>
        <v/>
      </c>
      <c r="AZ1524" s="61">
        <f>IF(A1524="","",MOD(A1524-2,7)+1)</f>
        <v/>
      </c>
      <c r="BA1524" s="60">
        <f>IF(C1524="","",IFERROR(INDEX('Prospects'!$N$5:$N$504,MATCH(C1524,'Prospects'!$C$5:$C$504,0)),""))</f>
        <v/>
      </c>
      <c r="BB1524" s="61">
        <f>IF(AND(C1524&lt;&gt;"",C1524='Fiche prospect'!$C$4),COUNTIF($C$5:C1524,C1524),"")</f>
        <v/>
      </c>
    </row>
    <row r="1525">
      <c r="A1525" s="53" t="n"/>
      <c r="B1525" s="54" t="n"/>
      <c r="C1525" s="55" t="n"/>
      <c r="D1525" s="55" t="n"/>
      <c r="E1525" s="55" t="n"/>
      <c r="F1525" s="55" t="n"/>
      <c r="G1525" s="56" t="n"/>
      <c r="H1525" s="57" t="n"/>
      <c r="I1525" s="55" t="n"/>
      <c r="J1525" s="53" t="n"/>
      <c r="K1525" s="54" t="n"/>
      <c r="L1525" s="55" t="n"/>
      <c r="M1525" s="55" t="n"/>
      <c r="N1525" s="57" t="n"/>
      <c r="O1525" s="55" t="n"/>
      <c r="P1525" s="56" t="n"/>
      <c r="Q1525" s="55" t="n"/>
      <c r="R1525" s="55" t="n"/>
      <c r="S1525" s="55" t="n"/>
      <c r="T1525" s="55" t="n"/>
      <c r="U1525" s="55" t="n"/>
      <c r="V1525" s="55" t="n"/>
      <c r="W1525" s="58" t="n"/>
      <c r="X1525" s="58" t="n"/>
      <c r="Y1525" s="55" t="n"/>
      <c r="Z1525" s="55" t="n"/>
      <c r="AA1525" s="55" t="n"/>
      <c r="AB1525" s="55" t="n"/>
      <c r="AC1525" s="55" t="n"/>
      <c r="AD1525" s="53" t="n"/>
      <c r="AE1525" s="55" t="n"/>
      <c r="AF1525" s="55" t="n"/>
      <c r="AG1525" s="59" t="n"/>
      <c r="AH1525" s="57" t="n"/>
      <c r="AI1525" s="55" t="n"/>
      <c r="AJ1525" s="55" t="n"/>
      <c r="AK1525" s="55" t="n"/>
      <c r="AL1525" s="55" t="n"/>
      <c r="AM1525" s="56" t="n"/>
      <c r="AN1525" s="55" t="n"/>
      <c r="AO1525" s="55" t="n"/>
      <c r="AP1525" s="55" t="n"/>
      <c r="AQ1525" s="55" t="n"/>
      <c r="AR1525" s="60">
        <f>IF(AND(C1525="",E1525=""),"",IF(A1525="","⚠ Date manquante",IF(AND(C1525="",E1525&lt;&gt;"Dépense"),"⚠ Prospect manquant",IF(E1525="","⚠ Action manquante",IF(AND(AU1525=1,D1525=""),"⚠ Canal manquant",IF(AND(W1525&lt;&gt;"",COUNTIFS('Saisie'!$W$5:$W$2004,W1525,'Saisie'!$C$5:$C$2004,"&lt;&gt;"&amp;C1525)&gt;0),"⚠ Numéro déjà utilisé par un autre prospect",IF(AND(J1525&lt;&gt;"",J1525&lt;A1525),"⚠ Relance avant la date de l'action",IF(A1525&gt;TODAY(),"⚠ Date dans le futur","✓"))))))))</f>
        <v/>
      </c>
      <c r="AS1525" s="61">
        <f>IF(AND(A1525="",C1525="",E1525=""),"",ROW())</f>
        <v/>
      </c>
      <c r="AT1525" s="61">
        <f>IF(E1525&amp;F1525="","",MAX(IFERROR(INDEX('Paramètres'!$J$6:$J$33,MATCH(E1525,'Paramètres'!$I$6:$I$33,0)),0),IFERROR(INDEX('Paramètres'!$N$6:$N$17,MATCH(F1525,'Paramètres'!$M$6:$M$17,0)),0)))</f>
        <v/>
      </c>
      <c r="AU1525" s="61">
        <f>IF(E1525="","",IFERROR(IF(INDEX('Paramètres'!$K$6:$K$33,MATCH(E1525,'Paramètres'!$I$6:$I$33,0))="Oui",1,0),0))</f>
        <v/>
      </c>
      <c r="AV1525" s="61">
        <f>IF(F1525="","",IFERROR(IF(INDEX('Paramètres'!$O$6:$O$17,MATCH(F1525,'Paramètres'!$M$6:$M$17,0))="Oui",1,0),0))</f>
        <v/>
      </c>
      <c r="AW1525" s="62">
        <f>IF(E1525="","",IF(G1525&lt;&gt;"",G1525,IF(OR(E1525="Proposition envoyée",E1525="Signature"),MAX(0,N(IFERROR(INDEX('Paramètres'!$R$6:$R$15,MATCH(IF(AL1525&lt;&gt;"",AL1525,IFERROR(INDEX('Prospects'!$AN$5:$AN$504,MATCH(C1525,'Prospects'!$C$5:$C$504,0)),"")),'Paramètres'!$Q$6:$Q$15,0)),0))-N(P1525)),0)))</f>
        <v/>
      </c>
      <c r="AX1525" s="61">
        <f>IF(C1525="","",IF(COUNTIF($C$5:C1525,C1525)=1,MAX($AX$4:AX1524)+1,""))</f>
        <v/>
      </c>
      <c r="AY1525" s="61">
        <f>IF(B1525="","",HOUR(B1525))</f>
        <v/>
      </c>
      <c r="AZ1525" s="61">
        <f>IF(A1525="","",MOD(A1525-2,7)+1)</f>
        <v/>
      </c>
      <c r="BA1525" s="60">
        <f>IF(C1525="","",IFERROR(INDEX('Prospects'!$N$5:$N$504,MATCH(C1525,'Prospects'!$C$5:$C$504,0)),""))</f>
        <v/>
      </c>
      <c r="BB1525" s="61">
        <f>IF(AND(C1525&lt;&gt;"",C1525='Fiche prospect'!$C$4),COUNTIF($C$5:C1525,C1525),"")</f>
        <v/>
      </c>
    </row>
    <row r="1526">
      <c r="A1526" s="53" t="n"/>
      <c r="B1526" s="54" t="n"/>
      <c r="C1526" s="55" t="n"/>
      <c r="D1526" s="55" t="n"/>
      <c r="E1526" s="55" t="n"/>
      <c r="F1526" s="55" t="n"/>
      <c r="G1526" s="56" t="n"/>
      <c r="H1526" s="57" t="n"/>
      <c r="I1526" s="55" t="n"/>
      <c r="J1526" s="53" t="n"/>
      <c r="K1526" s="54" t="n"/>
      <c r="L1526" s="55" t="n"/>
      <c r="M1526" s="55" t="n"/>
      <c r="N1526" s="57" t="n"/>
      <c r="O1526" s="55" t="n"/>
      <c r="P1526" s="56" t="n"/>
      <c r="Q1526" s="55" t="n"/>
      <c r="R1526" s="55" t="n"/>
      <c r="S1526" s="55" t="n"/>
      <c r="T1526" s="55" t="n"/>
      <c r="U1526" s="55" t="n"/>
      <c r="V1526" s="55" t="n"/>
      <c r="W1526" s="58" t="n"/>
      <c r="X1526" s="58" t="n"/>
      <c r="Y1526" s="55" t="n"/>
      <c r="Z1526" s="55" t="n"/>
      <c r="AA1526" s="55" t="n"/>
      <c r="AB1526" s="55" t="n"/>
      <c r="AC1526" s="55" t="n"/>
      <c r="AD1526" s="53" t="n"/>
      <c r="AE1526" s="55" t="n"/>
      <c r="AF1526" s="55" t="n"/>
      <c r="AG1526" s="59" t="n"/>
      <c r="AH1526" s="57" t="n"/>
      <c r="AI1526" s="55" t="n"/>
      <c r="AJ1526" s="55" t="n"/>
      <c r="AK1526" s="55" t="n"/>
      <c r="AL1526" s="55" t="n"/>
      <c r="AM1526" s="56" t="n"/>
      <c r="AN1526" s="55" t="n"/>
      <c r="AO1526" s="55" t="n"/>
      <c r="AP1526" s="55" t="n"/>
      <c r="AQ1526" s="55" t="n"/>
      <c r="AR1526" s="60">
        <f>IF(AND(C1526="",E1526=""),"",IF(A1526="","⚠ Date manquante",IF(AND(C1526="",E1526&lt;&gt;"Dépense"),"⚠ Prospect manquant",IF(E1526="","⚠ Action manquante",IF(AND(AU1526=1,D1526=""),"⚠ Canal manquant",IF(AND(W1526&lt;&gt;"",COUNTIFS('Saisie'!$W$5:$W$2004,W1526,'Saisie'!$C$5:$C$2004,"&lt;&gt;"&amp;C1526)&gt;0),"⚠ Numéro déjà utilisé par un autre prospect",IF(AND(J1526&lt;&gt;"",J1526&lt;A1526),"⚠ Relance avant la date de l'action",IF(A1526&gt;TODAY(),"⚠ Date dans le futur","✓"))))))))</f>
        <v/>
      </c>
      <c r="AS1526" s="61">
        <f>IF(AND(A1526="",C1526="",E1526=""),"",ROW())</f>
        <v/>
      </c>
      <c r="AT1526" s="61">
        <f>IF(E1526&amp;F1526="","",MAX(IFERROR(INDEX('Paramètres'!$J$6:$J$33,MATCH(E1526,'Paramètres'!$I$6:$I$33,0)),0),IFERROR(INDEX('Paramètres'!$N$6:$N$17,MATCH(F1526,'Paramètres'!$M$6:$M$17,0)),0)))</f>
        <v/>
      </c>
      <c r="AU1526" s="61">
        <f>IF(E1526="","",IFERROR(IF(INDEX('Paramètres'!$K$6:$K$33,MATCH(E1526,'Paramètres'!$I$6:$I$33,0))="Oui",1,0),0))</f>
        <v/>
      </c>
      <c r="AV1526" s="61">
        <f>IF(F1526="","",IFERROR(IF(INDEX('Paramètres'!$O$6:$O$17,MATCH(F1526,'Paramètres'!$M$6:$M$17,0))="Oui",1,0),0))</f>
        <v/>
      </c>
      <c r="AW1526" s="62">
        <f>IF(E1526="","",IF(G1526&lt;&gt;"",G1526,IF(OR(E1526="Proposition envoyée",E1526="Signature"),MAX(0,N(IFERROR(INDEX('Paramètres'!$R$6:$R$15,MATCH(IF(AL1526&lt;&gt;"",AL1526,IFERROR(INDEX('Prospects'!$AN$5:$AN$504,MATCH(C1526,'Prospects'!$C$5:$C$504,0)),"")),'Paramètres'!$Q$6:$Q$15,0)),0))-N(P1526)),0)))</f>
        <v/>
      </c>
      <c r="AX1526" s="61">
        <f>IF(C1526="","",IF(COUNTIF($C$5:C1526,C1526)=1,MAX($AX$4:AX1525)+1,""))</f>
        <v/>
      </c>
      <c r="AY1526" s="61">
        <f>IF(B1526="","",HOUR(B1526))</f>
        <v/>
      </c>
      <c r="AZ1526" s="61">
        <f>IF(A1526="","",MOD(A1526-2,7)+1)</f>
        <v/>
      </c>
      <c r="BA1526" s="60">
        <f>IF(C1526="","",IFERROR(INDEX('Prospects'!$N$5:$N$504,MATCH(C1526,'Prospects'!$C$5:$C$504,0)),""))</f>
        <v/>
      </c>
      <c r="BB1526" s="61">
        <f>IF(AND(C1526&lt;&gt;"",C1526='Fiche prospect'!$C$4),COUNTIF($C$5:C1526,C1526),"")</f>
        <v/>
      </c>
    </row>
    <row r="1527">
      <c r="A1527" s="53" t="n"/>
      <c r="B1527" s="54" t="n"/>
      <c r="C1527" s="55" t="n"/>
      <c r="D1527" s="55" t="n"/>
      <c r="E1527" s="55" t="n"/>
      <c r="F1527" s="55" t="n"/>
      <c r="G1527" s="56" t="n"/>
      <c r="H1527" s="57" t="n"/>
      <c r="I1527" s="55" t="n"/>
      <c r="J1527" s="53" t="n"/>
      <c r="K1527" s="54" t="n"/>
      <c r="L1527" s="55" t="n"/>
      <c r="M1527" s="55" t="n"/>
      <c r="N1527" s="57" t="n"/>
      <c r="O1527" s="55" t="n"/>
      <c r="P1527" s="56" t="n"/>
      <c r="Q1527" s="55" t="n"/>
      <c r="R1527" s="55" t="n"/>
      <c r="S1527" s="55" t="n"/>
      <c r="T1527" s="55" t="n"/>
      <c r="U1527" s="55" t="n"/>
      <c r="V1527" s="55" t="n"/>
      <c r="W1527" s="58" t="n"/>
      <c r="X1527" s="58" t="n"/>
      <c r="Y1527" s="55" t="n"/>
      <c r="Z1527" s="55" t="n"/>
      <c r="AA1527" s="55" t="n"/>
      <c r="AB1527" s="55" t="n"/>
      <c r="AC1527" s="55" t="n"/>
      <c r="AD1527" s="53" t="n"/>
      <c r="AE1527" s="55" t="n"/>
      <c r="AF1527" s="55" t="n"/>
      <c r="AG1527" s="59" t="n"/>
      <c r="AH1527" s="57" t="n"/>
      <c r="AI1527" s="55" t="n"/>
      <c r="AJ1527" s="55" t="n"/>
      <c r="AK1527" s="55" t="n"/>
      <c r="AL1527" s="55" t="n"/>
      <c r="AM1527" s="56" t="n"/>
      <c r="AN1527" s="55" t="n"/>
      <c r="AO1527" s="55" t="n"/>
      <c r="AP1527" s="55" t="n"/>
      <c r="AQ1527" s="55" t="n"/>
      <c r="AR1527" s="60">
        <f>IF(AND(C1527="",E1527=""),"",IF(A1527="","⚠ Date manquante",IF(AND(C1527="",E1527&lt;&gt;"Dépense"),"⚠ Prospect manquant",IF(E1527="","⚠ Action manquante",IF(AND(AU1527=1,D1527=""),"⚠ Canal manquant",IF(AND(W1527&lt;&gt;"",COUNTIFS('Saisie'!$W$5:$W$2004,W1527,'Saisie'!$C$5:$C$2004,"&lt;&gt;"&amp;C1527)&gt;0),"⚠ Numéro déjà utilisé par un autre prospect",IF(AND(J1527&lt;&gt;"",J1527&lt;A1527),"⚠ Relance avant la date de l'action",IF(A1527&gt;TODAY(),"⚠ Date dans le futur","✓"))))))))</f>
        <v/>
      </c>
      <c r="AS1527" s="61">
        <f>IF(AND(A1527="",C1527="",E1527=""),"",ROW())</f>
        <v/>
      </c>
      <c r="AT1527" s="61">
        <f>IF(E1527&amp;F1527="","",MAX(IFERROR(INDEX('Paramètres'!$J$6:$J$33,MATCH(E1527,'Paramètres'!$I$6:$I$33,0)),0),IFERROR(INDEX('Paramètres'!$N$6:$N$17,MATCH(F1527,'Paramètres'!$M$6:$M$17,0)),0)))</f>
        <v/>
      </c>
      <c r="AU1527" s="61">
        <f>IF(E1527="","",IFERROR(IF(INDEX('Paramètres'!$K$6:$K$33,MATCH(E1527,'Paramètres'!$I$6:$I$33,0))="Oui",1,0),0))</f>
        <v/>
      </c>
      <c r="AV1527" s="61">
        <f>IF(F1527="","",IFERROR(IF(INDEX('Paramètres'!$O$6:$O$17,MATCH(F1527,'Paramètres'!$M$6:$M$17,0))="Oui",1,0),0))</f>
        <v/>
      </c>
      <c r="AW1527" s="62">
        <f>IF(E1527="","",IF(G1527&lt;&gt;"",G1527,IF(OR(E1527="Proposition envoyée",E1527="Signature"),MAX(0,N(IFERROR(INDEX('Paramètres'!$R$6:$R$15,MATCH(IF(AL1527&lt;&gt;"",AL1527,IFERROR(INDEX('Prospects'!$AN$5:$AN$504,MATCH(C1527,'Prospects'!$C$5:$C$504,0)),"")),'Paramètres'!$Q$6:$Q$15,0)),0))-N(P1527)),0)))</f>
        <v/>
      </c>
      <c r="AX1527" s="61">
        <f>IF(C1527="","",IF(COUNTIF($C$5:C1527,C1527)=1,MAX($AX$4:AX1526)+1,""))</f>
        <v/>
      </c>
      <c r="AY1527" s="61">
        <f>IF(B1527="","",HOUR(B1527))</f>
        <v/>
      </c>
      <c r="AZ1527" s="61">
        <f>IF(A1527="","",MOD(A1527-2,7)+1)</f>
        <v/>
      </c>
      <c r="BA1527" s="60">
        <f>IF(C1527="","",IFERROR(INDEX('Prospects'!$N$5:$N$504,MATCH(C1527,'Prospects'!$C$5:$C$504,0)),""))</f>
        <v/>
      </c>
      <c r="BB1527" s="61">
        <f>IF(AND(C1527&lt;&gt;"",C1527='Fiche prospect'!$C$4),COUNTIF($C$5:C1527,C1527),"")</f>
        <v/>
      </c>
    </row>
    <row r="1528">
      <c r="A1528" s="53" t="n"/>
      <c r="B1528" s="54" t="n"/>
      <c r="C1528" s="55" t="n"/>
      <c r="D1528" s="55" t="n"/>
      <c r="E1528" s="55" t="n"/>
      <c r="F1528" s="55" t="n"/>
      <c r="G1528" s="56" t="n"/>
      <c r="H1528" s="57" t="n"/>
      <c r="I1528" s="55" t="n"/>
      <c r="J1528" s="53" t="n"/>
      <c r="K1528" s="54" t="n"/>
      <c r="L1528" s="55" t="n"/>
      <c r="M1528" s="55" t="n"/>
      <c r="N1528" s="57" t="n"/>
      <c r="O1528" s="55" t="n"/>
      <c r="P1528" s="56" t="n"/>
      <c r="Q1528" s="55" t="n"/>
      <c r="R1528" s="55" t="n"/>
      <c r="S1528" s="55" t="n"/>
      <c r="T1528" s="55" t="n"/>
      <c r="U1528" s="55" t="n"/>
      <c r="V1528" s="55" t="n"/>
      <c r="W1528" s="58" t="n"/>
      <c r="X1528" s="58" t="n"/>
      <c r="Y1528" s="55" t="n"/>
      <c r="Z1528" s="55" t="n"/>
      <c r="AA1528" s="55" t="n"/>
      <c r="AB1528" s="55" t="n"/>
      <c r="AC1528" s="55" t="n"/>
      <c r="AD1528" s="53" t="n"/>
      <c r="AE1528" s="55" t="n"/>
      <c r="AF1528" s="55" t="n"/>
      <c r="AG1528" s="59" t="n"/>
      <c r="AH1528" s="57" t="n"/>
      <c r="AI1528" s="55" t="n"/>
      <c r="AJ1528" s="55" t="n"/>
      <c r="AK1528" s="55" t="n"/>
      <c r="AL1528" s="55" t="n"/>
      <c r="AM1528" s="56" t="n"/>
      <c r="AN1528" s="55" t="n"/>
      <c r="AO1528" s="55" t="n"/>
      <c r="AP1528" s="55" t="n"/>
      <c r="AQ1528" s="55" t="n"/>
      <c r="AR1528" s="60">
        <f>IF(AND(C1528="",E1528=""),"",IF(A1528="","⚠ Date manquante",IF(AND(C1528="",E1528&lt;&gt;"Dépense"),"⚠ Prospect manquant",IF(E1528="","⚠ Action manquante",IF(AND(AU1528=1,D1528=""),"⚠ Canal manquant",IF(AND(W1528&lt;&gt;"",COUNTIFS('Saisie'!$W$5:$W$2004,W1528,'Saisie'!$C$5:$C$2004,"&lt;&gt;"&amp;C1528)&gt;0),"⚠ Numéro déjà utilisé par un autre prospect",IF(AND(J1528&lt;&gt;"",J1528&lt;A1528),"⚠ Relance avant la date de l'action",IF(A1528&gt;TODAY(),"⚠ Date dans le futur","✓"))))))))</f>
        <v/>
      </c>
      <c r="AS1528" s="61">
        <f>IF(AND(A1528="",C1528="",E1528=""),"",ROW())</f>
        <v/>
      </c>
      <c r="AT1528" s="61">
        <f>IF(E1528&amp;F1528="","",MAX(IFERROR(INDEX('Paramètres'!$J$6:$J$33,MATCH(E1528,'Paramètres'!$I$6:$I$33,0)),0),IFERROR(INDEX('Paramètres'!$N$6:$N$17,MATCH(F1528,'Paramètres'!$M$6:$M$17,0)),0)))</f>
        <v/>
      </c>
      <c r="AU1528" s="61">
        <f>IF(E1528="","",IFERROR(IF(INDEX('Paramètres'!$K$6:$K$33,MATCH(E1528,'Paramètres'!$I$6:$I$33,0))="Oui",1,0),0))</f>
        <v/>
      </c>
      <c r="AV1528" s="61">
        <f>IF(F1528="","",IFERROR(IF(INDEX('Paramètres'!$O$6:$O$17,MATCH(F1528,'Paramètres'!$M$6:$M$17,0))="Oui",1,0),0))</f>
        <v/>
      </c>
      <c r="AW1528" s="62">
        <f>IF(E1528="","",IF(G1528&lt;&gt;"",G1528,IF(OR(E1528="Proposition envoyée",E1528="Signature"),MAX(0,N(IFERROR(INDEX('Paramètres'!$R$6:$R$15,MATCH(IF(AL1528&lt;&gt;"",AL1528,IFERROR(INDEX('Prospects'!$AN$5:$AN$504,MATCH(C1528,'Prospects'!$C$5:$C$504,0)),"")),'Paramètres'!$Q$6:$Q$15,0)),0))-N(P1528)),0)))</f>
        <v/>
      </c>
      <c r="AX1528" s="61">
        <f>IF(C1528="","",IF(COUNTIF($C$5:C1528,C1528)=1,MAX($AX$4:AX1527)+1,""))</f>
        <v/>
      </c>
      <c r="AY1528" s="61">
        <f>IF(B1528="","",HOUR(B1528))</f>
        <v/>
      </c>
      <c r="AZ1528" s="61">
        <f>IF(A1528="","",MOD(A1528-2,7)+1)</f>
        <v/>
      </c>
      <c r="BA1528" s="60">
        <f>IF(C1528="","",IFERROR(INDEX('Prospects'!$N$5:$N$504,MATCH(C1528,'Prospects'!$C$5:$C$504,0)),""))</f>
        <v/>
      </c>
      <c r="BB1528" s="61">
        <f>IF(AND(C1528&lt;&gt;"",C1528='Fiche prospect'!$C$4),COUNTIF($C$5:C1528,C1528),"")</f>
        <v/>
      </c>
    </row>
    <row r="1529">
      <c r="A1529" s="53" t="n"/>
      <c r="B1529" s="54" t="n"/>
      <c r="C1529" s="55" t="n"/>
      <c r="D1529" s="55" t="n"/>
      <c r="E1529" s="55" t="n"/>
      <c r="F1529" s="55" t="n"/>
      <c r="G1529" s="56" t="n"/>
      <c r="H1529" s="57" t="n"/>
      <c r="I1529" s="55" t="n"/>
      <c r="J1529" s="53" t="n"/>
      <c r="K1529" s="54" t="n"/>
      <c r="L1529" s="55" t="n"/>
      <c r="M1529" s="55" t="n"/>
      <c r="N1529" s="57" t="n"/>
      <c r="O1529" s="55" t="n"/>
      <c r="P1529" s="56" t="n"/>
      <c r="Q1529" s="55" t="n"/>
      <c r="R1529" s="55" t="n"/>
      <c r="S1529" s="55" t="n"/>
      <c r="T1529" s="55" t="n"/>
      <c r="U1529" s="55" t="n"/>
      <c r="V1529" s="55" t="n"/>
      <c r="W1529" s="58" t="n"/>
      <c r="X1529" s="58" t="n"/>
      <c r="Y1529" s="55" t="n"/>
      <c r="Z1529" s="55" t="n"/>
      <c r="AA1529" s="55" t="n"/>
      <c r="AB1529" s="55" t="n"/>
      <c r="AC1529" s="55" t="n"/>
      <c r="AD1529" s="53" t="n"/>
      <c r="AE1529" s="55" t="n"/>
      <c r="AF1529" s="55" t="n"/>
      <c r="AG1529" s="59" t="n"/>
      <c r="AH1529" s="57" t="n"/>
      <c r="AI1529" s="55" t="n"/>
      <c r="AJ1529" s="55" t="n"/>
      <c r="AK1529" s="55" t="n"/>
      <c r="AL1529" s="55" t="n"/>
      <c r="AM1529" s="56" t="n"/>
      <c r="AN1529" s="55" t="n"/>
      <c r="AO1529" s="55" t="n"/>
      <c r="AP1529" s="55" t="n"/>
      <c r="AQ1529" s="55" t="n"/>
      <c r="AR1529" s="60">
        <f>IF(AND(C1529="",E1529=""),"",IF(A1529="","⚠ Date manquante",IF(AND(C1529="",E1529&lt;&gt;"Dépense"),"⚠ Prospect manquant",IF(E1529="","⚠ Action manquante",IF(AND(AU1529=1,D1529=""),"⚠ Canal manquant",IF(AND(W1529&lt;&gt;"",COUNTIFS('Saisie'!$W$5:$W$2004,W1529,'Saisie'!$C$5:$C$2004,"&lt;&gt;"&amp;C1529)&gt;0),"⚠ Numéro déjà utilisé par un autre prospect",IF(AND(J1529&lt;&gt;"",J1529&lt;A1529),"⚠ Relance avant la date de l'action",IF(A1529&gt;TODAY(),"⚠ Date dans le futur","✓"))))))))</f>
        <v/>
      </c>
      <c r="AS1529" s="61">
        <f>IF(AND(A1529="",C1529="",E1529=""),"",ROW())</f>
        <v/>
      </c>
      <c r="AT1529" s="61">
        <f>IF(E1529&amp;F1529="","",MAX(IFERROR(INDEX('Paramètres'!$J$6:$J$33,MATCH(E1529,'Paramètres'!$I$6:$I$33,0)),0),IFERROR(INDEX('Paramètres'!$N$6:$N$17,MATCH(F1529,'Paramètres'!$M$6:$M$17,0)),0)))</f>
        <v/>
      </c>
      <c r="AU1529" s="61">
        <f>IF(E1529="","",IFERROR(IF(INDEX('Paramètres'!$K$6:$K$33,MATCH(E1529,'Paramètres'!$I$6:$I$33,0))="Oui",1,0),0))</f>
        <v/>
      </c>
      <c r="AV1529" s="61">
        <f>IF(F1529="","",IFERROR(IF(INDEX('Paramètres'!$O$6:$O$17,MATCH(F1529,'Paramètres'!$M$6:$M$17,0))="Oui",1,0),0))</f>
        <v/>
      </c>
      <c r="AW1529" s="62">
        <f>IF(E1529="","",IF(G1529&lt;&gt;"",G1529,IF(OR(E1529="Proposition envoyée",E1529="Signature"),MAX(0,N(IFERROR(INDEX('Paramètres'!$R$6:$R$15,MATCH(IF(AL1529&lt;&gt;"",AL1529,IFERROR(INDEX('Prospects'!$AN$5:$AN$504,MATCH(C1529,'Prospects'!$C$5:$C$504,0)),"")),'Paramètres'!$Q$6:$Q$15,0)),0))-N(P1529)),0)))</f>
        <v/>
      </c>
      <c r="AX1529" s="61">
        <f>IF(C1529="","",IF(COUNTIF($C$5:C1529,C1529)=1,MAX($AX$4:AX1528)+1,""))</f>
        <v/>
      </c>
      <c r="AY1529" s="61">
        <f>IF(B1529="","",HOUR(B1529))</f>
        <v/>
      </c>
      <c r="AZ1529" s="61">
        <f>IF(A1529="","",MOD(A1529-2,7)+1)</f>
        <v/>
      </c>
      <c r="BA1529" s="60">
        <f>IF(C1529="","",IFERROR(INDEX('Prospects'!$N$5:$N$504,MATCH(C1529,'Prospects'!$C$5:$C$504,0)),""))</f>
        <v/>
      </c>
      <c r="BB1529" s="61">
        <f>IF(AND(C1529&lt;&gt;"",C1529='Fiche prospect'!$C$4),COUNTIF($C$5:C1529,C1529),"")</f>
        <v/>
      </c>
    </row>
    <row r="1530">
      <c r="A1530" s="53" t="n"/>
      <c r="B1530" s="54" t="n"/>
      <c r="C1530" s="55" t="n"/>
      <c r="D1530" s="55" t="n"/>
      <c r="E1530" s="55" t="n"/>
      <c r="F1530" s="55" t="n"/>
      <c r="G1530" s="56" t="n"/>
      <c r="H1530" s="57" t="n"/>
      <c r="I1530" s="55" t="n"/>
      <c r="J1530" s="53" t="n"/>
      <c r="K1530" s="54" t="n"/>
      <c r="L1530" s="55" t="n"/>
      <c r="M1530" s="55" t="n"/>
      <c r="N1530" s="57" t="n"/>
      <c r="O1530" s="55" t="n"/>
      <c r="P1530" s="56" t="n"/>
      <c r="Q1530" s="55" t="n"/>
      <c r="R1530" s="55" t="n"/>
      <c r="S1530" s="55" t="n"/>
      <c r="T1530" s="55" t="n"/>
      <c r="U1530" s="55" t="n"/>
      <c r="V1530" s="55" t="n"/>
      <c r="W1530" s="58" t="n"/>
      <c r="X1530" s="58" t="n"/>
      <c r="Y1530" s="55" t="n"/>
      <c r="Z1530" s="55" t="n"/>
      <c r="AA1530" s="55" t="n"/>
      <c r="AB1530" s="55" t="n"/>
      <c r="AC1530" s="55" t="n"/>
      <c r="AD1530" s="53" t="n"/>
      <c r="AE1530" s="55" t="n"/>
      <c r="AF1530" s="55" t="n"/>
      <c r="AG1530" s="59" t="n"/>
      <c r="AH1530" s="57" t="n"/>
      <c r="AI1530" s="55" t="n"/>
      <c r="AJ1530" s="55" t="n"/>
      <c r="AK1530" s="55" t="n"/>
      <c r="AL1530" s="55" t="n"/>
      <c r="AM1530" s="56" t="n"/>
      <c r="AN1530" s="55" t="n"/>
      <c r="AO1530" s="55" t="n"/>
      <c r="AP1530" s="55" t="n"/>
      <c r="AQ1530" s="55" t="n"/>
      <c r="AR1530" s="60">
        <f>IF(AND(C1530="",E1530=""),"",IF(A1530="","⚠ Date manquante",IF(AND(C1530="",E1530&lt;&gt;"Dépense"),"⚠ Prospect manquant",IF(E1530="","⚠ Action manquante",IF(AND(AU1530=1,D1530=""),"⚠ Canal manquant",IF(AND(W1530&lt;&gt;"",COUNTIFS('Saisie'!$W$5:$W$2004,W1530,'Saisie'!$C$5:$C$2004,"&lt;&gt;"&amp;C1530)&gt;0),"⚠ Numéro déjà utilisé par un autre prospect",IF(AND(J1530&lt;&gt;"",J1530&lt;A1530),"⚠ Relance avant la date de l'action",IF(A1530&gt;TODAY(),"⚠ Date dans le futur","✓"))))))))</f>
        <v/>
      </c>
      <c r="AS1530" s="61">
        <f>IF(AND(A1530="",C1530="",E1530=""),"",ROW())</f>
        <v/>
      </c>
      <c r="AT1530" s="61">
        <f>IF(E1530&amp;F1530="","",MAX(IFERROR(INDEX('Paramètres'!$J$6:$J$33,MATCH(E1530,'Paramètres'!$I$6:$I$33,0)),0),IFERROR(INDEX('Paramètres'!$N$6:$N$17,MATCH(F1530,'Paramètres'!$M$6:$M$17,0)),0)))</f>
        <v/>
      </c>
      <c r="AU1530" s="61">
        <f>IF(E1530="","",IFERROR(IF(INDEX('Paramètres'!$K$6:$K$33,MATCH(E1530,'Paramètres'!$I$6:$I$33,0))="Oui",1,0),0))</f>
        <v/>
      </c>
      <c r="AV1530" s="61">
        <f>IF(F1530="","",IFERROR(IF(INDEX('Paramètres'!$O$6:$O$17,MATCH(F1530,'Paramètres'!$M$6:$M$17,0))="Oui",1,0),0))</f>
        <v/>
      </c>
      <c r="AW1530" s="62">
        <f>IF(E1530="","",IF(G1530&lt;&gt;"",G1530,IF(OR(E1530="Proposition envoyée",E1530="Signature"),MAX(0,N(IFERROR(INDEX('Paramètres'!$R$6:$R$15,MATCH(IF(AL1530&lt;&gt;"",AL1530,IFERROR(INDEX('Prospects'!$AN$5:$AN$504,MATCH(C1530,'Prospects'!$C$5:$C$504,0)),"")),'Paramètres'!$Q$6:$Q$15,0)),0))-N(P1530)),0)))</f>
        <v/>
      </c>
      <c r="AX1530" s="61">
        <f>IF(C1530="","",IF(COUNTIF($C$5:C1530,C1530)=1,MAX($AX$4:AX1529)+1,""))</f>
        <v/>
      </c>
      <c r="AY1530" s="61">
        <f>IF(B1530="","",HOUR(B1530))</f>
        <v/>
      </c>
      <c r="AZ1530" s="61">
        <f>IF(A1530="","",MOD(A1530-2,7)+1)</f>
        <v/>
      </c>
      <c r="BA1530" s="60">
        <f>IF(C1530="","",IFERROR(INDEX('Prospects'!$N$5:$N$504,MATCH(C1530,'Prospects'!$C$5:$C$504,0)),""))</f>
        <v/>
      </c>
      <c r="BB1530" s="61">
        <f>IF(AND(C1530&lt;&gt;"",C1530='Fiche prospect'!$C$4),COUNTIF($C$5:C1530,C1530),"")</f>
        <v/>
      </c>
    </row>
    <row r="1531">
      <c r="A1531" s="53" t="n"/>
      <c r="B1531" s="54" t="n"/>
      <c r="C1531" s="55" t="n"/>
      <c r="D1531" s="55" t="n"/>
      <c r="E1531" s="55" t="n"/>
      <c r="F1531" s="55" t="n"/>
      <c r="G1531" s="56" t="n"/>
      <c r="H1531" s="57" t="n"/>
      <c r="I1531" s="55" t="n"/>
      <c r="J1531" s="53" t="n"/>
      <c r="K1531" s="54" t="n"/>
      <c r="L1531" s="55" t="n"/>
      <c r="M1531" s="55" t="n"/>
      <c r="N1531" s="57" t="n"/>
      <c r="O1531" s="55" t="n"/>
      <c r="P1531" s="56" t="n"/>
      <c r="Q1531" s="55" t="n"/>
      <c r="R1531" s="55" t="n"/>
      <c r="S1531" s="55" t="n"/>
      <c r="T1531" s="55" t="n"/>
      <c r="U1531" s="55" t="n"/>
      <c r="V1531" s="55" t="n"/>
      <c r="W1531" s="58" t="n"/>
      <c r="X1531" s="58" t="n"/>
      <c r="Y1531" s="55" t="n"/>
      <c r="Z1531" s="55" t="n"/>
      <c r="AA1531" s="55" t="n"/>
      <c r="AB1531" s="55" t="n"/>
      <c r="AC1531" s="55" t="n"/>
      <c r="AD1531" s="53" t="n"/>
      <c r="AE1531" s="55" t="n"/>
      <c r="AF1531" s="55" t="n"/>
      <c r="AG1531" s="59" t="n"/>
      <c r="AH1531" s="57" t="n"/>
      <c r="AI1531" s="55" t="n"/>
      <c r="AJ1531" s="55" t="n"/>
      <c r="AK1531" s="55" t="n"/>
      <c r="AL1531" s="55" t="n"/>
      <c r="AM1531" s="56" t="n"/>
      <c r="AN1531" s="55" t="n"/>
      <c r="AO1531" s="55" t="n"/>
      <c r="AP1531" s="55" t="n"/>
      <c r="AQ1531" s="55" t="n"/>
      <c r="AR1531" s="60">
        <f>IF(AND(C1531="",E1531=""),"",IF(A1531="","⚠ Date manquante",IF(AND(C1531="",E1531&lt;&gt;"Dépense"),"⚠ Prospect manquant",IF(E1531="","⚠ Action manquante",IF(AND(AU1531=1,D1531=""),"⚠ Canal manquant",IF(AND(W1531&lt;&gt;"",COUNTIFS('Saisie'!$W$5:$W$2004,W1531,'Saisie'!$C$5:$C$2004,"&lt;&gt;"&amp;C1531)&gt;0),"⚠ Numéro déjà utilisé par un autre prospect",IF(AND(J1531&lt;&gt;"",J1531&lt;A1531),"⚠ Relance avant la date de l'action",IF(A1531&gt;TODAY(),"⚠ Date dans le futur","✓"))))))))</f>
        <v/>
      </c>
      <c r="AS1531" s="61">
        <f>IF(AND(A1531="",C1531="",E1531=""),"",ROW())</f>
        <v/>
      </c>
      <c r="AT1531" s="61">
        <f>IF(E1531&amp;F1531="","",MAX(IFERROR(INDEX('Paramètres'!$J$6:$J$33,MATCH(E1531,'Paramètres'!$I$6:$I$33,0)),0),IFERROR(INDEX('Paramètres'!$N$6:$N$17,MATCH(F1531,'Paramètres'!$M$6:$M$17,0)),0)))</f>
        <v/>
      </c>
      <c r="AU1531" s="61">
        <f>IF(E1531="","",IFERROR(IF(INDEX('Paramètres'!$K$6:$K$33,MATCH(E1531,'Paramètres'!$I$6:$I$33,0))="Oui",1,0),0))</f>
        <v/>
      </c>
      <c r="AV1531" s="61">
        <f>IF(F1531="","",IFERROR(IF(INDEX('Paramètres'!$O$6:$O$17,MATCH(F1531,'Paramètres'!$M$6:$M$17,0))="Oui",1,0),0))</f>
        <v/>
      </c>
      <c r="AW1531" s="62">
        <f>IF(E1531="","",IF(G1531&lt;&gt;"",G1531,IF(OR(E1531="Proposition envoyée",E1531="Signature"),MAX(0,N(IFERROR(INDEX('Paramètres'!$R$6:$R$15,MATCH(IF(AL1531&lt;&gt;"",AL1531,IFERROR(INDEX('Prospects'!$AN$5:$AN$504,MATCH(C1531,'Prospects'!$C$5:$C$504,0)),"")),'Paramètres'!$Q$6:$Q$15,0)),0))-N(P1531)),0)))</f>
        <v/>
      </c>
      <c r="AX1531" s="61">
        <f>IF(C1531="","",IF(COUNTIF($C$5:C1531,C1531)=1,MAX($AX$4:AX1530)+1,""))</f>
        <v/>
      </c>
      <c r="AY1531" s="61">
        <f>IF(B1531="","",HOUR(B1531))</f>
        <v/>
      </c>
      <c r="AZ1531" s="61">
        <f>IF(A1531="","",MOD(A1531-2,7)+1)</f>
        <v/>
      </c>
      <c r="BA1531" s="60">
        <f>IF(C1531="","",IFERROR(INDEX('Prospects'!$N$5:$N$504,MATCH(C1531,'Prospects'!$C$5:$C$504,0)),""))</f>
        <v/>
      </c>
      <c r="BB1531" s="61">
        <f>IF(AND(C1531&lt;&gt;"",C1531='Fiche prospect'!$C$4),COUNTIF($C$5:C1531,C1531),"")</f>
        <v/>
      </c>
    </row>
    <row r="1532">
      <c r="A1532" s="53" t="n"/>
      <c r="B1532" s="54" t="n"/>
      <c r="C1532" s="55" t="n"/>
      <c r="D1532" s="55" t="n"/>
      <c r="E1532" s="55" t="n"/>
      <c r="F1532" s="55" t="n"/>
      <c r="G1532" s="56" t="n"/>
      <c r="H1532" s="57" t="n"/>
      <c r="I1532" s="55" t="n"/>
      <c r="J1532" s="53" t="n"/>
      <c r="K1532" s="54" t="n"/>
      <c r="L1532" s="55" t="n"/>
      <c r="M1532" s="55" t="n"/>
      <c r="N1532" s="57" t="n"/>
      <c r="O1532" s="55" t="n"/>
      <c r="P1532" s="56" t="n"/>
      <c r="Q1532" s="55" t="n"/>
      <c r="R1532" s="55" t="n"/>
      <c r="S1532" s="55" t="n"/>
      <c r="T1532" s="55" t="n"/>
      <c r="U1532" s="55" t="n"/>
      <c r="V1532" s="55" t="n"/>
      <c r="W1532" s="58" t="n"/>
      <c r="X1532" s="58" t="n"/>
      <c r="Y1532" s="55" t="n"/>
      <c r="Z1532" s="55" t="n"/>
      <c r="AA1532" s="55" t="n"/>
      <c r="AB1532" s="55" t="n"/>
      <c r="AC1532" s="55" t="n"/>
      <c r="AD1532" s="53" t="n"/>
      <c r="AE1532" s="55" t="n"/>
      <c r="AF1532" s="55" t="n"/>
      <c r="AG1532" s="59" t="n"/>
      <c r="AH1532" s="57" t="n"/>
      <c r="AI1532" s="55" t="n"/>
      <c r="AJ1532" s="55" t="n"/>
      <c r="AK1532" s="55" t="n"/>
      <c r="AL1532" s="55" t="n"/>
      <c r="AM1532" s="56" t="n"/>
      <c r="AN1532" s="55" t="n"/>
      <c r="AO1532" s="55" t="n"/>
      <c r="AP1532" s="55" t="n"/>
      <c r="AQ1532" s="55" t="n"/>
      <c r="AR1532" s="60">
        <f>IF(AND(C1532="",E1532=""),"",IF(A1532="","⚠ Date manquante",IF(AND(C1532="",E1532&lt;&gt;"Dépense"),"⚠ Prospect manquant",IF(E1532="","⚠ Action manquante",IF(AND(AU1532=1,D1532=""),"⚠ Canal manquant",IF(AND(W1532&lt;&gt;"",COUNTIFS('Saisie'!$W$5:$W$2004,W1532,'Saisie'!$C$5:$C$2004,"&lt;&gt;"&amp;C1532)&gt;0),"⚠ Numéro déjà utilisé par un autre prospect",IF(AND(J1532&lt;&gt;"",J1532&lt;A1532),"⚠ Relance avant la date de l'action",IF(A1532&gt;TODAY(),"⚠ Date dans le futur","✓"))))))))</f>
        <v/>
      </c>
      <c r="AS1532" s="61">
        <f>IF(AND(A1532="",C1532="",E1532=""),"",ROW())</f>
        <v/>
      </c>
      <c r="AT1532" s="61">
        <f>IF(E1532&amp;F1532="","",MAX(IFERROR(INDEX('Paramètres'!$J$6:$J$33,MATCH(E1532,'Paramètres'!$I$6:$I$33,0)),0),IFERROR(INDEX('Paramètres'!$N$6:$N$17,MATCH(F1532,'Paramètres'!$M$6:$M$17,0)),0)))</f>
        <v/>
      </c>
      <c r="AU1532" s="61">
        <f>IF(E1532="","",IFERROR(IF(INDEX('Paramètres'!$K$6:$K$33,MATCH(E1532,'Paramètres'!$I$6:$I$33,0))="Oui",1,0),0))</f>
        <v/>
      </c>
      <c r="AV1532" s="61">
        <f>IF(F1532="","",IFERROR(IF(INDEX('Paramètres'!$O$6:$O$17,MATCH(F1532,'Paramètres'!$M$6:$M$17,0))="Oui",1,0),0))</f>
        <v/>
      </c>
      <c r="AW1532" s="62">
        <f>IF(E1532="","",IF(G1532&lt;&gt;"",G1532,IF(OR(E1532="Proposition envoyée",E1532="Signature"),MAX(0,N(IFERROR(INDEX('Paramètres'!$R$6:$R$15,MATCH(IF(AL1532&lt;&gt;"",AL1532,IFERROR(INDEX('Prospects'!$AN$5:$AN$504,MATCH(C1532,'Prospects'!$C$5:$C$504,0)),"")),'Paramètres'!$Q$6:$Q$15,0)),0))-N(P1532)),0)))</f>
        <v/>
      </c>
      <c r="AX1532" s="61">
        <f>IF(C1532="","",IF(COUNTIF($C$5:C1532,C1532)=1,MAX($AX$4:AX1531)+1,""))</f>
        <v/>
      </c>
      <c r="AY1532" s="61">
        <f>IF(B1532="","",HOUR(B1532))</f>
        <v/>
      </c>
      <c r="AZ1532" s="61">
        <f>IF(A1532="","",MOD(A1532-2,7)+1)</f>
        <v/>
      </c>
      <c r="BA1532" s="60">
        <f>IF(C1532="","",IFERROR(INDEX('Prospects'!$N$5:$N$504,MATCH(C1532,'Prospects'!$C$5:$C$504,0)),""))</f>
        <v/>
      </c>
      <c r="BB1532" s="61">
        <f>IF(AND(C1532&lt;&gt;"",C1532='Fiche prospect'!$C$4),COUNTIF($C$5:C1532,C1532),"")</f>
        <v/>
      </c>
    </row>
    <row r="1533">
      <c r="A1533" s="53" t="n"/>
      <c r="B1533" s="54" t="n"/>
      <c r="C1533" s="55" t="n"/>
      <c r="D1533" s="55" t="n"/>
      <c r="E1533" s="55" t="n"/>
      <c r="F1533" s="55" t="n"/>
      <c r="G1533" s="56" t="n"/>
      <c r="H1533" s="57" t="n"/>
      <c r="I1533" s="55" t="n"/>
      <c r="J1533" s="53" t="n"/>
      <c r="K1533" s="54" t="n"/>
      <c r="L1533" s="55" t="n"/>
      <c r="M1533" s="55" t="n"/>
      <c r="N1533" s="57" t="n"/>
      <c r="O1533" s="55" t="n"/>
      <c r="P1533" s="56" t="n"/>
      <c r="Q1533" s="55" t="n"/>
      <c r="R1533" s="55" t="n"/>
      <c r="S1533" s="55" t="n"/>
      <c r="T1533" s="55" t="n"/>
      <c r="U1533" s="55" t="n"/>
      <c r="V1533" s="55" t="n"/>
      <c r="W1533" s="58" t="n"/>
      <c r="X1533" s="58" t="n"/>
      <c r="Y1533" s="55" t="n"/>
      <c r="Z1533" s="55" t="n"/>
      <c r="AA1533" s="55" t="n"/>
      <c r="AB1533" s="55" t="n"/>
      <c r="AC1533" s="55" t="n"/>
      <c r="AD1533" s="53" t="n"/>
      <c r="AE1533" s="55" t="n"/>
      <c r="AF1533" s="55" t="n"/>
      <c r="AG1533" s="59" t="n"/>
      <c r="AH1533" s="57" t="n"/>
      <c r="AI1533" s="55" t="n"/>
      <c r="AJ1533" s="55" t="n"/>
      <c r="AK1533" s="55" t="n"/>
      <c r="AL1533" s="55" t="n"/>
      <c r="AM1533" s="56" t="n"/>
      <c r="AN1533" s="55" t="n"/>
      <c r="AO1533" s="55" t="n"/>
      <c r="AP1533" s="55" t="n"/>
      <c r="AQ1533" s="55" t="n"/>
      <c r="AR1533" s="60">
        <f>IF(AND(C1533="",E1533=""),"",IF(A1533="","⚠ Date manquante",IF(AND(C1533="",E1533&lt;&gt;"Dépense"),"⚠ Prospect manquant",IF(E1533="","⚠ Action manquante",IF(AND(AU1533=1,D1533=""),"⚠ Canal manquant",IF(AND(W1533&lt;&gt;"",COUNTIFS('Saisie'!$W$5:$W$2004,W1533,'Saisie'!$C$5:$C$2004,"&lt;&gt;"&amp;C1533)&gt;0),"⚠ Numéro déjà utilisé par un autre prospect",IF(AND(J1533&lt;&gt;"",J1533&lt;A1533),"⚠ Relance avant la date de l'action",IF(A1533&gt;TODAY(),"⚠ Date dans le futur","✓"))))))))</f>
        <v/>
      </c>
      <c r="AS1533" s="61">
        <f>IF(AND(A1533="",C1533="",E1533=""),"",ROW())</f>
        <v/>
      </c>
      <c r="AT1533" s="61">
        <f>IF(E1533&amp;F1533="","",MAX(IFERROR(INDEX('Paramètres'!$J$6:$J$33,MATCH(E1533,'Paramètres'!$I$6:$I$33,0)),0),IFERROR(INDEX('Paramètres'!$N$6:$N$17,MATCH(F1533,'Paramètres'!$M$6:$M$17,0)),0)))</f>
        <v/>
      </c>
      <c r="AU1533" s="61">
        <f>IF(E1533="","",IFERROR(IF(INDEX('Paramètres'!$K$6:$K$33,MATCH(E1533,'Paramètres'!$I$6:$I$33,0))="Oui",1,0),0))</f>
        <v/>
      </c>
      <c r="AV1533" s="61">
        <f>IF(F1533="","",IFERROR(IF(INDEX('Paramètres'!$O$6:$O$17,MATCH(F1533,'Paramètres'!$M$6:$M$17,0))="Oui",1,0),0))</f>
        <v/>
      </c>
      <c r="AW1533" s="62">
        <f>IF(E1533="","",IF(G1533&lt;&gt;"",G1533,IF(OR(E1533="Proposition envoyée",E1533="Signature"),MAX(0,N(IFERROR(INDEX('Paramètres'!$R$6:$R$15,MATCH(IF(AL1533&lt;&gt;"",AL1533,IFERROR(INDEX('Prospects'!$AN$5:$AN$504,MATCH(C1533,'Prospects'!$C$5:$C$504,0)),"")),'Paramètres'!$Q$6:$Q$15,0)),0))-N(P1533)),0)))</f>
        <v/>
      </c>
      <c r="AX1533" s="61">
        <f>IF(C1533="","",IF(COUNTIF($C$5:C1533,C1533)=1,MAX($AX$4:AX1532)+1,""))</f>
        <v/>
      </c>
      <c r="AY1533" s="61">
        <f>IF(B1533="","",HOUR(B1533))</f>
        <v/>
      </c>
      <c r="AZ1533" s="61">
        <f>IF(A1533="","",MOD(A1533-2,7)+1)</f>
        <v/>
      </c>
      <c r="BA1533" s="60">
        <f>IF(C1533="","",IFERROR(INDEX('Prospects'!$N$5:$N$504,MATCH(C1533,'Prospects'!$C$5:$C$504,0)),""))</f>
        <v/>
      </c>
      <c r="BB1533" s="61">
        <f>IF(AND(C1533&lt;&gt;"",C1533='Fiche prospect'!$C$4),COUNTIF($C$5:C1533,C1533),"")</f>
        <v/>
      </c>
    </row>
    <row r="1534">
      <c r="A1534" s="53" t="n"/>
      <c r="B1534" s="54" t="n"/>
      <c r="C1534" s="55" t="n"/>
      <c r="D1534" s="55" t="n"/>
      <c r="E1534" s="55" t="n"/>
      <c r="F1534" s="55" t="n"/>
      <c r="G1534" s="56" t="n"/>
      <c r="H1534" s="57" t="n"/>
      <c r="I1534" s="55" t="n"/>
      <c r="J1534" s="53" t="n"/>
      <c r="K1534" s="54" t="n"/>
      <c r="L1534" s="55" t="n"/>
      <c r="M1534" s="55" t="n"/>
      <c r="N1534" s="57" t="n"/>
      <c r="O1534" s="55" t="n"/>
      <c r="P1534" s="56" t="n"/>
      <c r="Q1534" s="55" t="n"/>
      <c r="R1534" s="55" t="n"/>
      <c r="S1534" s="55" t="n"/>
      <c r="T1534" s="55" t="n"/>
      <c r="U1534" s="55" t="n"/>
      <c r="V1534" s="55" t="n"/>
      <c r="W1534" s="58" t="n"/>
      <c r="X1534" s="58" t="n"/>
      <c r="Y1534" s="55" t="n"/>
      <c r="Z1534" s="55" t="n"/>
      <c r="AA1534" s="55" t="n"/>
      <c r="AB1534" s="55" t="n"/>
      <c r="AC1534" s="55" t="n"/>
      <c r="AD1534" s="53" t="n"/>
      <c r="AE1534" s="55" t="n"/>
      <c r="AF1534" s="55" t="n"/>
      <c r="AG1534" s="59" t="n"/>
      <c r="AH1534" s="57" t="n"/>
      <c r="AI1534" s="55" t="n"/>
      <c r="AJ1534" s="55" t="n"/>
      <c r="AK1534" s="55" t="n"/>
      <c r="AL1534" s="55" t="n"/>
      <c r="AM1534" s="56" t="n"/>
      <c r="AN1534" s="55" t="n"/>
      <c r="AO1534" s="55" t="n"/>
      <c r="AP1534" s="55" t="n"/>
      <c r="AQ1534" s="55" t="n"/>
      <c r="AR1534" s="60">
        <f>IF(AND(C1534="",E1534=""),"",IF(A1534="","⚠ Date manquante",IF(AND(C1534="",E1534&lt;&gt;"Dépense"),"⚠ Prospect manquant",IF(E1534="","⚠ Action manquante",IF(AND(AU1534=1,D1534=""),"⚠ Canal manquant",IF(AND(W1534&lt;&gt;"",COUNTIFS('Saisie'!$W$5:$W$2004,W1534,'Saisie'!$C$5:$C$2004,"&lt;&gt;"&amp;C1534)&gt;0),"⚠ Numéro déjà utilisé par un autre prospect",IF(AND(J1534&lt;&gt;"",J1534&lt;A1534),"⚠ Relance avant la date de l'action",IF(A1534&gt;TODAY(),"⚠ Date dans le futur","✓"))))))))</f>
        <v/>
      </c>
      <c r="AS1534" s="61">
        <f>IF(AND(A1534="",C1534="",E1534=""),"",ROW())</f>
        <v/>
      </c>
      <c r="AT1534" s="61">
        <f>IF(E1534&amp;F1534="","",MAX(IFERROR(INDEX('Paramètres'!$J$6:$J$33,MATCH(E1534,'Paramètres'!$I$6:$I$33,0)),0),IFERROR(INDEX('Paramètres'!$N$6:$N$17,MATCH(F1534,'Paramètres'!$M$6:$M$17,0)),0)))</f>
        <v/>
      </c>
      <c r="AU1534" s="61">
        <f>IF(E1534="","",IFERROR(IF(INDEX('Paramètres'!$K$6:$K$33,MATCH(E1534,'Paramètres'!$I$6:$I$33,0))="Oui",1,0),0))</f>
        <v/>
      </c>
      <c r="AV1534" s="61">
        <f>IF(F1534="","",IFERROR(IF(INDEX('Paramètres'!$O$6:$O$17,MATCH(F1534,'Paramètres'!$M$6:$M$17,0))="Oui",1,0),0))</f>
        <v/>
      </c>
      <c r="AW1534" s="62">
        <f>IF(E1534="","",IF(G1534&lt;&gt;"",G1534,IF(OR(E1534="Proposition envoyée",E1534="Signature"),MAX(0,N(IFERROR(INDEX('Paramètres'!$R$6:$R$15,MATCH(IF(AL1534&lt;&gt;"",AL1534,IFERROR(INDEX('Prospects'!$AN$5:$AN$504,MATCH(C1534,'Prospects'!$C$5:$C$504,0)),"")),'Paramètres'!$Q$6:$Q$15,0)),0))-N(P1534)),0)))</f>
        <v/>
      </c>
      <c r="AX1534" s="61">
        <f>IF(C1534="","",IF(COUNTIF($C$5:C1534,C1534)=1,MAX($AX$4:AX1533)+1,""))</f>
        <v/>
      </c>
      <c r="AY1534" s="61">
        <f>IF(B1534="","",HOUR(B1534))</f>
        <v/>
      </c>
      <c r="AZ1534" s="61">
        <f>IF(A1534="","",MOD(A1534-2,7)+1)</f>
        <v/>
      </c>
      <c r="BA1534" s="60">
        <f>IF(C1534="","",IFERROR(INDEX('Prospects'!$N$5:$N$504,MATCH(C1534,'Prospects'!$C$5:$C$504,0)),""))</f>
        <v/>
      </c>
      <c r="BB1534" s="61">
        <f>IF(AND(C1534&lt;&gt;"",C1534='Fiche prospect'!$C$4),COUNTIF($C$5:C1534,C1534),"")</f>
        <v/>
      </c>
    </row>
    <row r="1535">
      <c r="A1535" s="53" t="n"/>
      <c r="B1535" s="54" t="n"/>
      <c r="C1535" s="55" t="n"/>
      <c r="D1535" s="55" t="n"/>
      <c r="E1535" s="55" t="n"/>
      <c r="F1535" s="55" t="n"/>
      <c r="G1535" s="56" t="n"/>
      <c r="H1535" s="57" t="n"/>
      <c r="I1535" s="55" t="n"/>
      <c r="J1535" s="53" t="n"/>
      <c r="K1535" s="54" t="n"/>
      <c r="L1535" s="55" t="n"/>
      <c r="M1535" s="55" t="n"/>
      <c r="N1535" s="57" t="n"/>
      <c r="O1535" s="55" t="n"/>
      <c r="P1535" s="56" t="n"/>
      <c r="Q1535" s="55" t="n"/>
      <c r="R1535" s="55" t="n"/>
      <c r="S1535" s="55" t="n"/>
      <c r="T1535" s="55" t="n"/>
      <c r="U1535" s="55" t="n"/>
      <c r="V1535" s="55" t="n"/>
      <c r="W1535" s="58" t="n"/>
      <c r="X1535" s="58" t="n"/>
      <c r="Y1535" s="55" t="n"/>
      <c r="Z1535" s="55" t="n"/>
      <c r="AA1535" s="55" t="n"/>
      <c r="AB1535" s="55" t="n"/>
      <c r="AC1535" s="55" t="n"/>
      <c r="AD1535" s="53" t="n"/>
      <c r="AE1535" s="55" t="n"/>
      <c r="AF1535" s="55" t="n"/>
      <c r="AG1535" s="59" t="n"/>
      <c r="AH1535" s="57" t="n"/>
      <c r="AI1535" s="55" t="n"/>
      <c r="AJ1535" s="55" t="n"/>
      <c r="AK1535" s="55" t="n"/>
      <c r="AL1535" s="55" t="n"/>
      <c r="AM1535" s="56" t="n"/>
      <c r="AN1535" s="55" t="n"/>
      <c r="AO1535" s="55" t="n"/>
      <c r="AP1535" s="55" t="n"/>
      <c r="AQ1535" s="55" t="n"/>
      <c r="AR1535" s="60">
        <f>IF(AND(C1535="",E1535=""),"",IF(A1535="","⚠ Date manquante",IF(AND(C1535="",E1535&lt;&gt;"Dépense"),"⚠ Prospect manquant",IF(E1535="","⚠ Action manquante",IF(AND(AU1535=1,D1535=""),"⚠ Canal manquant",IF(AND(W1535&lt;&gt;"",COUNTIFS('Saisie'!$W$5:$W$2004,W1535,'Saisie'!$C$5:$C$2004,"&lt;&gt;"&amp;C1535)&gt;0),"⚠ Numéro déjà utilisé par un autre prospect",IF(AND(J1535&lt;&gt;"",J1535&lt;A1535),"⚠ Relance avant la date de l'action",IF(A1535&gt;TODAY(),"⚠ Date dans le futur","✓"))))))))</f>
        <v/>
      </c>
      <c r="AS1535" s="61">
        <f>IF(AND(A1535="",C1535="",E1535=""),"",ROW())</f>
        <v/>
      </c>
      <c r="AT1535" s="61">
        <f>IF(E1535&amp;F1535="","",MAX(IFERROR(INDEX('Paramètres'!$J$6:$J$33,MATCH(E1535,'Paramètres'!$I$6:$I$33,0)),0),IFERROR(INDEX('Paramètres'!$N$6:$N$17,MATCH(F1535,'Paramètres'!$M$6:$M$17,0)),0)))</f>
        <v/>
      </c>
      <c r="AU1535" s="61">
        <f>IF(E1535="","",IFERROR(IF(INDEX('Paramètres'!$K$6:$K$33,MATCH(E1535,'Paramètres'!$I$6:$I$33,0))="Oui",1,0),0))</f>
        <v/>
      </c>
      <c r="AV1535" s="61">
        <f>IF(F1535="","",IFERROR(IF(INDEX('Paramètres'!$O$6:$O$17,MATCH(F1535,'Paramètres'!$M$6:$M$17,0))="Oui",1,0),0))</f>
        <v/>
      </c>
      <c r="AW1535" s="62">
        <f>IF(E1535="","",IF(G1535&lt;&gt;"",G1535,IF(OR(E1535="Proposition envoyée",E1535="Signature"),MAX(0,N(IFERROR(INDEX('Paramètres'!$R$6:$R$15,MATCH(IF(AL1535&lt;&gt;"",AL1535,IFERROR(INDEX('Prospects'!$AN$5:$AN$504,MATCH(C1535,'Prospects'!$C$5:$C$504,0)),"")),'Paramètres'!$Q$6:$Q$15,0)),0))-N(P1535)),0)))</f>
        <v/>
      </c>
      <c r="AX1535" s="61">
        <f>IF(C1535="","",IF(COUNTIF($C$5:C1535,C1535)=1,MAX($AX$4:AX1534)+1,""))</f>
        <v/>
      </c>
      <c r="AY1535" s="61">
        <f>IF(B1535="","",HOUR(B1535))</f>
        <v/>
      </c>
      <c r="AZ1535" s="61">
        <f>IF(A1535="","",MOD(A1535-2,7)+1)</f>
        <v/>
      </c>
      <c r="BA1535" s="60">
        <f>IF(C1535="","",IFERROR(INDEX('Prospects'!$N$5:$N$504,MATCH(C1535,'Prospects'!$C$5:$C$504,0)),""))</f>
        <v/>
      </c>
      <c r="BB1535" s="61">
        <f>IF(AND(C1535&lt;&gt;"",C1535='Fiche prospect'!$C$4),COUNTIF($C$5:C1535,C1535),"")</f>
        <v/>
      </c>
    </row>
    <row r="1536">
      <c r="A1536" s="53" t="n"/>
      <c r="B1536" s="54" t="n"/>
      <c r="C1536" s="55" t="n"/>
      <c r="D1536" s="55" t="n"/>
      <c r="E1536" s="55" t="n"/>
      <c r="F1536" s="55" t="n"/>
      <c r="G1536" s="56" t="n"/>
      <c r="H1536" s="57" t="n"/>
      <c r="I1536" s="55" t="n"/>
      <c r="J1536" s="53" t="n"/>
      <c r="K1536" s="54" t="n"/>
      <c r="L1536" s="55" t="n"/>
      <c r="M1536" s="55" t="n"/>
      <c r="N1536" s="57" t="n"/>
      <c r="O1536" s="55" t="n"/>
      <c r="P1536" s="56" t="n"/>
      <c r="Q1536" s="55" t="n"/>
      <c r="R1536" s="55" t="n"/>
      <c r="S1536" s="55" t="n"/>
      <c r="T1536" s="55" t="n"/>
      <c r="U1536" s="55" t="n"/>
      <c r="V1536" s="55" t="n"/>
      <c r="W1536" s="58" t="n"/>
      <c r="X1536" s="58" t="n"/>
      <c r="Y1536" s="55" t="n"/>
      <c r="Z1536" s="55" t="n"/>
      <c r="AA1536" s="55" t="n"/>
      <c r="AB1536" s="55" t="n"/>
      <c r="AC1536" s="55" t="n"/>
      <c r="AD1536" s="53" t="n"/>
      <c r="AE1536" s="55" t="n"/>
      <c r="AF1536" s="55" t="n"/>
      <c r="AG1536" s="59" t="n"/>
      <c r="AH1536" s="57" t="n"/>
      <c r="AI1536" s="55" t="n"/>
      <c r="AJ1536" s="55" t="n"/>
      <c r="AK1536" s="55" t="n"/>
      <c r="AL1536" s="55" t="n"/>
      <c r="AM1536" s="56" t="n"/>
      <c r="AN1536" s="55" t="n"/>
      <c r="AO1536" s="55" t="n"/>
      <c r="AP1536" s="55" t="n"/>
      <c r="AQ1536" s="55" t="n"/>
      <c r="AR1536" s="60">
        <f>IF(AND(C1536="",E1536=""),"",IF(A1536="","⚠ Date manquante",IF(AND(C1536="",E1536&lt;&gt;"Dépense"),"⚠ Prospect manquant",IF(E1536="","⚠ Action manquante",IF(AND(AU1536=1,D1536=""),"⚠ Canal manquant",IF(AND(W1536&lt;&gt;"",COUNTIFS('Saisie'!$W$5:$W$2004,W1536,'Saisie'!$C$5:$C$2004,"&lt;&gt;"&amp;C1536)&gt;0),"⚠ Numéro déjà utilisé par un autre prospect",IF(AND(J1536&lt;&gt;"",J1536&lt;A1536),"⚠ Relance avant la date de l'action",IF(A1536&gt;TODAY(),"⚠ Date dans le futur","✓"))))))))</f>
        <v/>
      </c>
      <c r="AS1536" s="61">
        <f>IF(AND(A1536="",C1536="",E1536=""),"",ROW())</f>
        <v/>
      </c>
      <c r="AT1536" s="61">
        <f>IF(E1536&amp;F1536="","",MAX(IFERROR(INDEX('Paramètres'!$J$6:$J$33,MATCH(E1536,'Paramètres'!$I$6:$I$33,0)),0),IFERROR(INDEX('Paramètres'!$N$6:$N$17,MATCH(F1536,'Paramètres'!$M$6:$M$17,0)),0)))</f>
        <v/>
      </c>
      <c r="AU1536" s="61">
        <f>IF(E1536="","",IFERROR(IF(INDEX('Paramètres'!$K$6:$K$33,MATCH(E1536,'Paramètres'!$I$6:$I$33,0))="Oui",1,0),0))</f>
        <v/>
      </c>
      <c r="AV1536" s="61">
        <f>IF(F1536="","",IFERROR(IF(INDEX('Paramètres'!$O$6:$O$17,MATCH(F1536,'Paramètres'!$M$6:$M$17,0))="Oui",1,0),0))</f>
        <v/>
      </c>
      <c r="AW1536" s="62">
        <f>IF(E1536="","",IF(G1536&lt;&gt;"",G1536,IF(OR(E1536="Proposition envoyée",E1536="Signature"),MAX(0,N(IFERROR(INDEX('Paramètres'!$R$6:$R$15,MATCH(IF(AL1536&lt;&gt;"",AL1536,IFERROR(INDEX('Prospects'!$AN$5:$AN$504,MATCH(C1536,'Prospects'!$C$5:$C$504,0)),"")),'Paramètres'!$Q$6:$Q$15,0)),0))-N(P1536)),0)))</f>
        <v/>
      </c>
      <c r="AX1536" s="61">
        <f>IF(C1536="","",IF(COUNTIF($C$5:C1536,C1536)=1,MAX($AX$4:AX1535)+1,""))</f>
        <v/>
      </c>
      <c r="AY1536" s="61">
        <f>IF(B1536="","",HOUR(B1536))</f>
        <v/>
      </c>
      <c r="AZ1536" s="61">
        <f>IF(A1536="","",MOD(A1536-2,7)+1)</f>
        <v/>
      </c>
      <c r="BA1536" s="60">
        <f>IF(C1536="","",IFERROR(INDEX('Prospects'!$N$5:$N$504,MATCH(C1536,'Prospects'!$C$5:$C$504,0)),""))</f>
        <v/>
      </c>
      <c r="BB1536" s="61">
        <f>IF(AND(C1536&lt;&gt;"",C1536='Fiche prospect'!$C$4),COUNTIF($C$5:C1536,C1536),"")</f>
        <v/>
      </c>
    </row>
    <row r="1537">
      <c r="A1537" s="53" t="n"/>
      <c r="B1537" s="54" t="n"/>
      <c r="C1537" s="55" t="n"/>
      <c r="D1537" s="55" t="n"/>
      <c r="E1537" s="55" t="n"/>
      <c r="F1537" s="55" t="n"/>
      <c r="G1537" s="56" t="n"/>
      <c r="H1537" s="57" t="n"/>
      <c r="I1537" s="55" t="n"/>
      <c r="J1537" s="53" t="n"/>
      <c r="K1537" s="54" t="n"/>
      <c r="L1537" s="55" t="n"/>
      <c r="M1537" s="55" t="n"/>
      <c r="N1537" s="57" t="n"/>
      <c r="O1537" s="55" t="n"/>
      <c r="P1537" s="56" t="n"/>
      <c r="Q1537" s="55" t="n"/>
      <c r="R1537" s="55" t="n"/>
      <c r="S1537" s="55" t="n"/>
      <c r="T1537" s="55" t="n"/>
      <c r="U1537" s="55" t="n"/>
      <c r="V1537" s="55" t="n"/>
      <c r="W1537" s="58" t="n"/>
      <c r="X1537" s="58" t="n"/>
      <c r="Y1537" s="55" t="n"/>
      <c r="Z1537" s="55" t="n"/>
      <c r="AA1537" s="55" t="n"/>
      <c r="AB1537" s="55" t="n"/>
      <c r="AC1537" s="55" t="n"/>
      <c r="AD1537" s="53" t="n"/>
      <c r="AE1537" s="55" t="n"/>
      <c r="AF1537" s="55" t="n"/>
      <c r="AG1537" s="59" t="n"/>
      <c r="AH1537" s="57" t="n"/>
      <c r="AI1537" s="55" t="n"/>
      <c r="AJ1537" s="55" t="n"/>
      <c r="AK1537" s="55" t="n"/>
      <c r="AL1537" s="55" t="n"/>
      <c r="AM1537" s="56" t="n"/>
      <c r="AN1537" s="55" t="n"/>
      <c r="AO1537" s="55" t="n"/>
      <c r="AP1537" s="55" t="n"/>
      <c r="AQ1537" s="55" t="n"/>
      <c r="AR1537" s="60">
        <f>IF(AND(C1537="",E1537=""),"",IF(A1537="","⚠ Date manquante",IF(AND(C1537="",E1537&lt;&gt;"Dépense"),"⚠ Prospect manquant",IF(E1537="","⚠ Action manquante",IF(AND(AU1537=1,D1537=""),"⚠ Canal manquant",IF(AND(W1537&lt;&gt;"",COUNTIFS('Saisie'!$W$5:$W$2004,W1537,'Saisie'!$C$5:$C$2004,"&lt;&gt;"&amp;C1537)&gt;0),"⚠ Numéro déjà utilisé par un autre prospect",IF(AND(J1537&lt;&gt;"",J1537&lt;A1537),"⚠ Relance avant la date de l'action",IF(A1537&gt;TODAY(),"⚠ Date dans le futur","✓"))))))))</f>
        <v/>
      </c>
      <c r="AS1537" s="61">
        <f>IF(AND(A1537="",C1537="",E1537=""),"",ROW())</f>
        <v/>
      </c>
      <c r="AT1537" s="61">
        <f>IF(E1537&amp;F1537="","",MAX(IFERROR(INDEX('Paramètres'!$J$6:$J$33,MATCH(E1537,'Paramètres'!$I$6:$I$33,0)),0),IFERROR(INDEX('Paramètres'!$N$6:$N$17,MATCH(F1537,'Paramètres'!$M$6:$M$17,0)),0)))</f>
        <v/>
      </c>
      <c r="AU1537" s="61">
        <f>IF(E1537="","",IFERROR(IF(INDEX('Paramètres'!$K$6:$K$33,MATCH(E1537,'Paramètres'!$I$6:$I$33,0))="Oui",1,0),0))</f>
        <v/>
      </c>
      <c r="AV1537" s="61">
        <f>IF(F1537="","",IFERROR(IF(INDEX('Paramètres'!$O$6:$O$17,MATCH(F1537,'Paramètres'!$M$6:$M$17,0))="Oui",1,0),0))</f>
        <v/>
      </c>
      <c r="AW1537" s="62">
        <f>IF(E1537="","",IF(G1537&lt;&gt;"",G1537,IF(OR(E1537="Proposition envoyée",E1537="Signature"),MAX(0,N(IFERROR(INDEX('Paramètres'!$R$6:$R$15,MATCH(IF(AL1537&lt;&gt;"",AL1537,IFERROR(INDEX('Prospects'!$AN$5:$AN$504,MATCH(C1537,'Prospects'!$C$5:$C$504,0)),"")),'Paramètres'!$Q$6:$Q$15,0)),0))-N(P1537)),0)))</f>
        <v/>
      </c>
      <c r="AX1537" s="61">
        <f>IF(C1537="","",IF(COUNTIF($C$5:C1537,C1537)=1,MAX($AX$4:AX1536)+1,""))</f>
        <v/>
      </c>
      <c r="AY1537" s="61">
        <f>IF(B1537="","",HOUR(B1537))</f>
        <v/>
      </c>
      <c r="AZ1537" s="61">
        <f>IF(A1537="","",MOD(A1537-2,7)+1)</f>
        <v/>
      </c>
      <c r="BA1537" s="60">
        <f>IF(C1537="","",IFERROR(INDEX('Prospects'!$N$5:$N$504,MATCH(C1537,'Prospects'!$C$5:$C$504,0)),""))</f>
        <v/>
      </c>
      <c r="BB1537" s="61">
        <f>IF(AND(C1537&lt;&gt;"",C1537='Fiche prospect'!$C$4),COUNTIF($C$5:C1537,C1537),"")</f>
        <v/>
      </c>
    </row>
    <row r="1538">
      <c r="A1538" s="53" t="n"/>
      <c r="B1538" s="54" t="n"/>
      <c r="C1538" s="55" t="n"/>
      <c r="D1538" s="55" t="n"/>
      <c r="E1538" s="55" t="n"/>
      <c r="F1538" s="55" t="n"/>
      <c r="G1538" s="56" t="n"/>
      <c r="H1538" s="57" t="n"/>
      <c r="I1538" s="55" t="n"/>
      <c r="J1538" s="53" t="n"/>
      <c r="K1538" s="54" t="n"/>
      <c r="L1538" s="55" t="n"/>
      <c r="M1538" s="55" t="n"/>
      <c r="N1538" s="57" t="n"/>
      <c r="O1538" s="55" t="n"/>
      <c r="P1538" s="56" t="n"/>
      <c r="Q1538" s="55" t="n"/>
      <c r="R1538" s="55" t="n"/>
      <c r="S1538" s="55" t="n"/>
      <c r="T1538" s="55" t="n"/>
      <c r="U1538" s="55" t="n"/>
      <c r="V1538" s="55" t="n"/>
      <c r="W1538" s="58" t="n"/>
      <c r="X1538" s="58" t="n"/>
      <c r="Y1538" s="55" t="n"/>
      <c r="Z1538" s="55" t="n"/>
      <c r="AA1538" s="55" t="n"/>
      <c r="AB1538" s="55" t="n"/>
      <c r="AC1538" s="55" t="n"/>
      <c r="AD1538" s="53" t="n"/>
      <c r="AE1538" s="55" t="n"/>
      <c r="AF1538" s="55" t="n"/>
      <c r="AG1538" s="59" t="n"/>
      <c r="AH1538" s="57" t="n"/>
      <c r="AI1538" s="55" t="n"/>
      <c r="AJ1538" s="55" t="n"/>
      <c r="AK1538" s="55" t="n"/>
      <c r="AL1538" s="55" t="n"/>
      <c r="AM1538" s="56" t="n"/>
      <c r="AN1538" s="55" t="n"/>
      <c r="AO1538" s="55" t="n"/>
      <c r="AP1538" s="55" t="n"/>
      <c r="AQ1538" s="55" t="n"/>
      <c r="AR1538" s="60">
        <f>IF(AND(C1538="",E1538=""),"",IF(A1538="","⚠ Date manquante",IF(AND(C1538="",E1538&lt;&gt;"Dépense"),"⚠ Prospect manquant",IF(E1538="","⚠ Action manquante",IF(AND(AU1538=1,D1538=""),"⚠ Canal manquant",IF(AND(W1538&lt;&gt;"",COUNTIFS('Saisie'!$W$5:$W$2004,W1538,'Saisie'!$C$5:$C$2004,"&lt;&gt;"&amp;C1538)&gt;0),"⚠ Numéro déjà utilisé par un autre prospect",IF(AND(J1538&lt;&gt;"",J1538&lt;A1538),"⚠ Relance avant la date de l'action",IF(A1538&gt;TODAY(),"⚠ Date dans le futur","✓"))))))))</f>
        <v/>
      </c>
      <c r="AS1538" s="61">
        <f>IF(AND(A1538="",C1538="",E1538=""),"",ROW())</f>
        <v/>
      </c>
      <c r="AT1538" s="61">
        <f>IF(E1538&amp;F1538="","",MAX(IFERROR(INDEX('Paramètres'!$J$6:$J$33,MATCH(E1538,'Paramètres'!$I$6:$I$33,0)),0),IFERROR(INDEX('Paramètres'!$N$6:$N$17,MATCH(F1538,'Paramètres'!$M$6:$M$17,0)),0)))</f>
        <v/>
      </c>
      <c r="AU1538" s="61">
        <f>IF(E1538="","",IFERROR(IF(INDEX('Paramètres'!$K$6:$K$33,MATCH(E1538,'Paramètres'!$I$6:$I$33,0))="Oui",1,0),0))</f>
        <v/>
      </c>
      <c r="AV1538" s="61">
        <f>IF(F1538="","",IFERROR(IF(INDEX('Paramètres'!$O$6:$O$17,MATCH(F1538,'Paramètres'!$M$6:$M$17,0))="Oui",1,0),0))</f>
        <v/>
      </c>
      <c r="AW1538" s="62">
        <f>IF(E1538="","",IF(G1538&lt;&gt;"",G1538,IF(OR(E1538="Proposition envoyée",E1538="Signature"),MAX(0,N(IFERROR(INDEX('Paramètres'!$R$6:$R$15,MATCH(IF(AL1538&lt;&gt;"",AL1538,IFERROR(INDEX('Prospects'!$AN$5:$AN$504,MATCH(C1538,'Prospects'!$C$5:$C$504,0)),"")),'Paramètres'!$Q$6:$Q$15,0)),0))-N(P1538)),0)))</f>
        <v/>
      </c>
      <c r="AX1538" s="61">
        <f>IF(C1538="","",IF(COUNTIF($C$5:C1538,C1538)=1,MAX($AX$4:AX1537)+1,""))</f>
        <v/>
      </c>
      <c r="AY1538" s="61">
        <f>IF(B1538="","",HOUR(B1538))</f>
        <v/>
      </c>
      <c r="AZ1538" s="61">
        <f>IF(A1538="","",MOD(A1538-2,7)+1)</f>
        <v/>
      </c>
      <c r="BA1538" s="60">
        <f>IF(C1538="","",IFERROR(INDEX('Prospects'!$N$5:$N$504,MATCH(C1538,'Prospects'!$C$5:$C$504,0)),""))</f>
        <v/>
      </c>
      <c r="BB1538" s="61">
        <f>IF(AND(C1538&lt;&gt;"",C1538='Fiche prospect'!$C$4),COUNTIF($C$5:C1538,C1538),"")</f>
        <v/>
      </c>
    </row>
    <row r="1539">
      <c r="A1539" s="53" t="n"/>
      <c r="B1539" s="54" t="n"/>
      <c r="C1539" s="55" t="n"/>
      <c r="D1539" s="55" t="n"/>
      <c r="E1539" s="55" t="n"/>
      <c r="F1539" s="55" t="n"/>
      <c r="G1539" s="56" t="n"/>
      <c r="H1539" s="57" t="n"/>
      <c r="I1539" s="55" t="n"/>
      <c r="J1539" s="53" t="n"/>
      <c r="K1539" s="54" t="n"/>
      <c r="L1539" s="55" t="n"/>
      <c r="M1539" s="55" t="n"/>
      <c r="N1539" s="57" t="n"/>
      <c r="O1539" s="55" t="n"/>
      <c r="P1539" s="56" t="n"/>
      <c r="Q1539" s="55" t="n"/>
      <c r="R1539" s="55" t="n"/>
      <c r="S1539" s="55" t="n"/>
      <c r="T1539" s="55" t="n"/>
      <c r="U1539" s="55" t="n"/>
      <c r="V1539" s="55" t="n"/>
      <c r="W1539" s="58" t="n"/>
      <c r="X1539" s="58" t="n"/>
      <c r="Y1539" s="55" t="n"/>
      <c r="Z1539" s="55" t="n"/>
      <c r="AA1539" s="55" t="n"/>
      <c r="AB1539" s="55" t="n"/>
      <c r="AC1539" s="55" t="n"/>
      <c r="AD1539" s="53" t="n"/>
      <c r="AE1539" s="55" t="n"/>
      <c r="AF1539" s="55" t="n"/>
      <c r="AG1539" s="59" t="n"/>
      <c r="AH1539" s="57" t="n"/>
      <c r="AI1539" s="55" t="n"/>
      <c r="AJ1539" s="55" t="n"/>
      <c r="AK1539" s="55" t="n"/>
      <c r="AL1539" s="55" t="n"/>
      <c r="AM1539" s="56" t="n"/>
      <c r="AN1539" s="55" t="n"/>
      <c r="AO1539" s="55" t="n"/>
      <c r="AP1539" s="55" t="n"/>
      <c r="AQ1539" s="55" t="n"/>
      <c r="AR1539" s="60">
        <f>IF(AND(C1539="",E1539=""),"",IF(A1539="","⚠ Date manquante",IF(AND(C1539="",E1539&lt;&gt;"Dépense"),"⚠ Prospect manquant",IF(E1539="","⚠ Action manquante",IF(AND(AU1539=1,D1539=""),"⚠ Canal manquant",IF(AND(W1539&lt;&gt;"",COUNTIFS('Saisie'!$W$5:$W$2004,W1539,'Saisie'!$C$5:$C$2004,"&lt;&gt;"&amp;C1539)&gt;0),"⚠ Numéro déjà utilisé par un autre prospect",IF(AND(J1539&lt;&gt;"",J1539&lt;A1539),"⚠ Relance avant la date de l'action",IF(A1539&gt;TODAY(),"⚠ Date dans le futur","✓"))))))))</f>
        <v/>
      </c>
      <c r="AS1539" s="61">
        <f>IF(AND(A1539="",C1539="",E1539=""),"",ROW())</f>
        <v/>
      </c>
      <c r="AT1539" s="61">
        <f>IF(E1539&amp;F1539="","",MAX(IFERROR(INDEX('Paramètres'!$J$6:$J$33,MATCH(E1539,'Paramètres'!$I$6:$I$33,0)),0),IFERROR(INDEX('Paramètres'!$N$6:$N$17,MATCH(F1539,'Paramètres'!$M$6:$M$17,0)),0)))</f>
        <v/>
      </c>
      <c r="AU1539" s="61">
        <f>IF(E1539="","",IFERROR(IF(INDEX('Paramètres'!$K$6:$K$33,MATCH(E1539,'Paramètres'!$I$6:$I$33,0))="Oui",1,0),0))</f>
        <v/>
      </c>
      <c r="AV1539" s="61">
        <f>IF(F1539="","",IFERROR(IF(INDEX('Paramètres'!$O$6:$O$17,MATCH(F1539,'Paramètres'!$M$6:$M$17,0))="Oui",1,0),0))</f>
        <v/>
      </c>
      <c r="AW1539" s="62">
        <f>IF(E1539="","",IF(G1539&lt;&gt;"",G1539,IF(OR(E1539="Proposition envoyée",E1539="Signature"),MAX(0,N(IFERROR(INDEX('Paramètres'!$R$6:$R$15,MATCH(IF(AL1539&lt;&gt;"",AL1539,IFERROR(INDEX('Prospects'!$AN$5:$AN$504,MATCH(C1539,'Prospects'!$C$5:$C$504,0)),"")),'Paramètres'!$Q$6:$Q$15,0)),0))-N(P1539)),0)))</f>
        <v/>
      </c>
      <c r="AX1539" s="61">
        <f>IF(C1539="","",IF(COUNTIF($C$5:C1539,C1539)=1,MAX($AX$4:AX1538)+1,""))</f>
        <v/>
      </c>
      <c r="AY1539" s="61">
        <f>IF(B1539="","",HOUR(B1539))</f>
        <v/>
      </c>
      <c r="AZ1539" s="61">
        <f>IF(A1539="","",MOD(A1539-2,7)+1)</f>
        <v/>
      </c>
      <c r="BA1539" s="60">
        <f>IF(C1539="","",IFERROR(INDEX('Prospects'!$N$5:$N$504,MATCH(C1539,'Prospects'!$C$5:$C$504,0)),""))</f>
        <v/>
      </c>
      <c r="BB1539" s="61">
        <f>IF(AND(C1539&lt;&gt;"",C1539='Fiche prospect'!$C$4),COUNTIF($C$5:C1539,C1539),"")</f>
        <v/>
      </c>
    </row>
    <row r="1540">
      <c r="A1540" s="53" t="n"/>
      <c r="B1540" s="54" t="n"/>
      <c r="C1540" s="55" t="n"/>
      <c r="D1540" s="55" t="n"/>
      <c r="E1540" s="55" t="n"/>
      <c r="F1540" s="55" t="n"/>
      <c r="G1540" s="56" t="n"/>
      <c r="H1540" s="57" t="n"/>
      <c r="I1540" s="55" t="n"/>
      <c r="J1540" s="53" t="n"/>
      <c r="K1540" s="54" t="n"/>
      <c r="L1540" s="55" t="n"/>
      <c r="M1540" s="55" t="n"/>
      <c r="N1540" s="57" t="n"/>
      <c r="O1540" s="55" t="n"/>
      <c r="P1540" s="56" t="n"/>
      <c r="Q1540" s="55" t="n"/>
      <c r="R1540" s="55" t="n"/>
      <c r="S1540" s="55" t="n"/>
      <c r="T1540" s="55" t="n"/>
      <c r="U1540" s="55" t="n"/>
      <c r="V1540" s="55" t="n"/>
      <c r="W1540" s="58" t="n"/>
      <c r="X1540" s="58" t="n"/>
      <c r="Y1540" s="55" t="n"/>
      <c r="Z1540" s="55" t="n"/>
      <c r="AA1540" s="55" t="n"/>
      <c r="AB1540" s="55" t="n"/>
      <c r="AC1540" s="55" t="n"/>
      <c r="AD1540" s="53" t="n"/>
      <c r="AE1540" s="55" t="n"/>
      <c r="AF1540" s="55" t="n"/>
      <c r="AG1540" s="59" t="n"/>
      <c r="AH1540" s="57" t="n"/>
      <c r="AI1540" s="55" t="n"/>
      <c r="AJ1540" s="55" t="n"/>
      <c r="AK1540" s="55" t="n"/>
      <c r="AL1540" s="55" t="n"/>
      <c r="AM1540" s="56" t="n"/>
      <c r="AN1540" s="55" t="n"/>
      <c r="AO1540" s="55" t="n"/>
      <c r="AP1540" s="55" t="n"/>
      <c r="AQ1540" s="55" t="n"/>
      <c r="AR1540" s="60">
        <f>IF(AND(C1540="",E1540=""),"",IF(A1540="","⚠ Date manquante",IF(AND(C1540="",E1540&lt;&gt;"Dépense"),"⚠ Prospect manquant",IF(E1540="","⚠ Action manquante",IF(AND(AU1540=1,D1540=""),"⚠ Canal manquant",IF(AND(W1540&lt;&gt;"",COUNTIFS('Saisie'!$W$5:$W$2004,W1540,'Saisie'!$C$5:$C$2004,"&lt;&gt;"&amp;C1540)&gt;0),"⚠ Numéro déjà utilisé par un autre prospect",IF(AND(J1540&lt;&gt;"",J1540&lt;A1540),"⚠ Relance avant la date de l'action",IF(A1540&gt;TODAY(),"⚠ Date dans le futur","✓"))))))))</f>
        <v/>
      </c>
      <c r="AS1540" s="61">
        <f>IF(AND(A1540="",C1540="",E1540=""),"",ROW())</f>
        <v/>
      </c>
      <c r="AT1540" s="61">
        <f>IF(E1540&amp;F1540="","",MAX(IFERROR(INDEX('Paramètres'!$J$6:$J$33,MATCH(E1540,'Paramètres'!$I$6:$I$33,0)),0),IFERROR(INDEX('Paramètres'!$N$6:$N$17,MATCH(F1540,'Paramètres'!$M$6:$M$17,0)),0)))</f>
        <v/>
      </c>
      <c r="AU1540" s="61">
        <f>IF(E1540="","",IFERROR(IF(INDEX('Paramètres'!$K$6:$K$33,MATCH(E1540,'Paramètres'!$I$6:$I$33,0))="Oui",1,0),0))</f>
        <v/>
      </c>
      <c r="AV1540" s="61">
        <f>IF(F1540="","",IFERROR(IF(INDEX('Paramètres'!$O$6:$O$17,MATCH(F1540,'Paramètres'!$M$6:$M$17,0))="Oui",1,0),0))</f>
        <v/>
      </c>
      <c r="AW1540" s="62">
        <f>IF(E1540="","",IF(G1540&lt;&gt;"",G1540,IF(OR(E1540="Proposition envoyée",E1540="Signature"),MAX(0,N(IFERROR(INDEX('Paramètres'!$R$6:$R$15,MATCH(IF(AL1540&lt;&gt;"",AL1540,IFERROR(INDEX('Prospects'!$AN$5:$AN$504,MATCH(C1540,'Prospects'!$C$5:$C$504,0)),"")),'Paramètres'!$Q$6:$Q$15,0)),0))-N(P1540)),0)))</f>
        <v/>
      </c>
      <c r="AX1540" s="61">
        <f>IF(C1540="","",IF(COUNTIF($C$5:C1540,C1540)=1,MAX($AX$4:AX1539)+1,""))</f>
        <v/>
      </c>
      <c r="AY1540" s="61">
        <f>IF(B1540="","",HOUR(B1540))</f>
        <v/>
      </c>
      <c r="AZ1540" s="61">
        <f>IF(A1540="","",MOD(A1540-2,7)+1)</f>
        <v/>
      </c>
      <c r="BA1540" s="60">
        <f>IF(C1540="","",IFERROR(INDEX('Prospects'!$N$5:$N$504,MATCH(C1540,'Prospects'!$C$5:$C$504,0)),""))</f>
        <v/>
      </c>
      <c r="BB1540" s="61">
        <f>IF(AND(C1540&lt;&gt;"",C1540='Fiche prospect'!$C$4),COUNTIF($C$5:C1540,C1540),"")</f>
        <v/>
      </c>
    </row>
    <row r="1541">
      <c r="A1541" s="53" t="n"/>
      <c r="B1541" s="54" t="n"/>
      <c r="C1541" s="55" t="n"/>
      <c r="D1541" s="55" t="n"/>
      <c r="E1541" s="55" t="n"/>
      <c r="F1541" s="55" t="n"/>
      <c r="G1541" s="56" t="n"/>
      <c r="H1541" s="57" t="n"/>
      <c r="I1541" s="55" t="n"/>
      <c r="J1541" s="53" t="n"/>
      <c r="K1541" s="54" t="n"/>
      <c r="L1541" s="55" t="n"/>
      <c r="M1541" s="55" t="n"/>
      <c r="N1541" s="57" t="n"/>
      <c r="O1541" s="55" t="n"/>
      <c r="P1541" s="56" t="n"/>
      <c r="Q1541" s="55" t="n"/>
      <c r="R1541" s="55" t="n"/>
      <c r="S1541" s="55" t="n"/>
      <c r="T1541" s="55" t="n"/>
      <c r="U1541" s="55" t="n"/>
      <c r="V1541" s="55" t="n"/>
      <c r="W1541" s="58" t="n"/>
      <c r="X1541" s="58" t="n"/>
      <c r="Y1541" s="55" t="n"/>
      <c r="Z1541" s="55" t="n"/>
      <c r="AA1541" s="55" t="n"/>
      <c r="AB1541" s="55" t="n"/>
      <c r="AC1541" s="55" t="n"/>
      <c r="AD1541" s="53" t="n"/>
      <c r="AE1541" s="55" t="n"/>
      <c r="AF1541" s="55" t="n"/>
      <c r="AG1541" s="59" t="n"/>
      <c r="AH1541" s="57" t="n"/>
      <c r="AI1541" s="55" t="n"/>
      <c r="AJ1541" s="55" t="n"/>
      <c r="AK1541" s="55" t="n"/>
      <c r="AL1541" s="55" t="n"/>
      <c r="AM1541" s="56" t="n"/>
      <c r="AN1541" s="55" t="n"/>
      <c r="AO1541" s="55" t="n"/>
      <c r="AP1541" s="55" t="n"/>
      <c r="AQ1541" s="55" t="n"/>
      <c r="AR1541" s="60">
        <f>IF(AND(C1541="",E1541=""),"",IF(A1541="","⚠ Date manquante",IF(AND(C1541="",E1541&lt;&gt;"Dépense"),"⚠ Prospect manquant",IF(E1541="","⚠ Action manquante",IF(AND(AU1541=1,D1541=""),"⚠ Canal manquant",IF(AND(W1541&lt;&gt;"",COUNTIFS('Saisie'!$W$5:$W$2004,W1541,'Saisie'!$C$5:$C$2004,"&lt;&gt;"&amp;C1541)&gt;0),"⚠ Numéro déjà utilisé par un autre prospect",IF(AND(J1541&lt;&gt;"",J1541&lt;A1541),"⚠ Relance avant la date de l'action",IF(A1541&gt;TODAY(),"⚠ Date dans le futur","✓"))))))))</f>
        <v/>
      </c>
      <c r="AS1541" s="61">
        <f>IF(AND(A1541="",C1541="",E1541=""),"",ROW())</f>
        <v/>
      </c>
      <c r="AT1541" s="61">
        <f>IF(E1541&amp;F1541="","",MAX(IFERROR(INDEX('Paramètres'!$J$6:$J$33,MATCH(E1541,'Paramètres'!$I$6:$I$33,0)),0),IFERROR(INDEX('Paramètres'!$N$6:$N$17,MATCH(F1541,'Paramètres'!$M$6:$M$17,0)),0)))</f>
        <v/>
      </c>
      <c r="AU1541" s="61">
        <f>IF(E1541="","",IFERROR(IF(INDEX('Paramètres'!$K$6:$K$33,MATCH(E1541,'Paramètres'!$I$6:$I$33,0))="Oui",1,0),0))</f>
        <v/>
      </c>
      <c r="AV1541" s="61">
        <f>IF(F1541="","",IFERROR(IF(INDEX('Paramètres'!$O$6:$O$17,MATCH(F1541,'Paramètres'!$M$6:$M$17,0))="Oui",1,0),0))</f>
        <v/>
      </c>
      <c r="AW1541" s="62">
        <f>IF(E1541="","",IF(G1541&lt;&gt;"",G1541,IF(OR(E1541="Proposition envoyée",E1541="Signature"),MAX(0,N(IFERROR(INDEX('Paramètres'!$R$6:$R$15,MATCH(IF(AL1541&lt;&gt;"",AL1541,IFERROR(INDEX('Prospects'!$AN$5:$AN$504,MATCH(C1541,'Prospects'!$C$5:$C$504,0)),"")),'Paramètres'!$Q$6:$Q$15,0)),0))-N(P1541)),0)))</f>
        <v/>
      </c>
      <c r="AX1541" s="61">
        <f>IF(C1541="","",IF(COUNTIF($C$5:C1541,C1541)=1,MAX($AX$4:AX1540)+1,""))</f>
        <v/>
      </c>
      <c r="AY1541" s="61">
        <f>IF(B1541="","",HOUR(B1541))</f>
        <v/>
      </c>
      <c r="AZ1541" s="61">
        <f>IF(A1541="","",MOD(A1541-2,7)+1)</f>
        <v/>
      </c>
      <c r="BA1541" s="60">
        <f>IF(C1541="","",IFERROR(INDEX('Prospects'!$N$5:$N$504,MATCH(C1541,'Prospects'!$C$5:$C$504,0)),""))</f>
        <v/>
      </c>
      <c r="BB1541" s="61">
        <f>IF(AND(C1541&lt;&gt;"",C1541='Fiche prospect'!$C$4),COUNTIF($C$5:C1541,C1541),"")</f>
        <v/>
      </c>
    </row>
    <row r="1542">
      <c r="A1542" s="53" t="n"/>
      <c r="B1542" s="54" t="n"/>
      <c r="C1542" s="55" t="n"/>
      <c r="D1542" s="55" t="n"/>
      <c r="E1542" s="55" t="n"/>
      <c r="F1542" s="55" t="n"/>
      <c r="G1542" s="56" t="n"/>
      <c r="H1542" s="57" t="n"/>
      <c r="I1542" s="55" t="n"/>
      <c r="J1542" s="53" t="n"/>
      <c r="K1542" s="54" t="n"/>
      <c r="L1542" s="55" t="n"/>
      <c r="M1542" s="55" t="n"/>
      <c r="N1542" s="57" t="n"/>
      <c r="O1542" s="55" t="n"/>
      <c r="P1542" s="56" t="n"/>
      <c r="Q1542" s="55" t="n"/>
      <c r="R1542" s="55" t="n"/>
      <c r="S1542" s="55" t="n"/>
      <c r="T1542" s="55" t="n"/>
      <c r="U1542" s="55" t="n"/>
      <c r="V1542" s="55" t="n"/>
      <c r="W1542" s="58" t="n"/>
      <c r="X1542" s="58" t="n"/>
      <c r="Y1542" s="55" t="n"/>
      <c r="Z1542" s="55" t="n"/>
      <c r="AA1542" s="55" t="n"/>
      <c r="AB1542" s="55" t="n"/>
      <c r="AC1542" s="55" t="n"/>
      <c r="AD1542" s="53" t="n"/>
      <c r="AE1542" s="55" t="n"/>
      <c r="AF1542" s="55" t="n"/>
      <c r="AG1542" s="59" t="n"/>
      <c r="AH1542" s="57" t="n"/>
      <c r="AI1542" s="55" t="n"/>
      <c r="AJ1542" s="55" t="n"/>
      <c r="AK1542" s="55" t="n"/>
      <c r="AL1542" s="55" t="n"/>
      <c r="AM1542" s="56" t="n"/>
      <c r="AN1542" s="55" t="n"/>
      <c r="AO1542" s="55" t="n"/>
      <c r="AP1542" s="55" t="n"/>
      <c r="AQ1542" s="55" t="n"/>
      <c r="AR1542" s="60">
        <f>IF(AND(C1542="",E1542=""),"",IF(A1542="","⚠ Date manquante",IF(AND(C1542="",E1542&lt;&gt;"Dépense"),"⚠ Prospect manquant",IF(E1542="","⚠ Action manquante",IF(AND(AU1542=1,D1542=""),"⚠ Canal manquant",IF(AND(W1542&lt;&gt;"",COUNTIFS('Saisie'!$W$5:$W$2004,W1542,'Saisie'!$C$5:$C$2004,"&lt;&gt;"&amp;C1542)&gt;0),"⚠ Numéro déjà utilisé par un autre prospect",IF(AND(J1542&lt;&gt;"",J1542&lt;A1542),"⚠ Relance avant la date de l'action",IF(A1542&gt;TODAY(),"⚠ Date dans le futur","✓"))))))))</f>
        <v/>
      </c>
      <c r="AS1542" s="61">
        <f>IF(AND(A1542="",C1542="",E1542=""),"",ROW())</f>
        <v/>
      </c>
      <c r="AT1542" s="61">
        <f>IF(E1542&amp;F1542="","",MAX(IFERROR(INDEX('Paramètres'!$J$6:$J$33,MATCH(E1542,'Paramètres'!$I$6:$I$33,0)),0),IFERROR(INDEX('Paramètres'!$N$6:$N$17,MATCH(F1542,'Paramètres'!$M$6:$M$17,0)),0)))</f>
        <v/>
      </c>
      <c r="AU1542" s="61">
        <f>IF(E1542="","",IFERROR(IF(INDEX('Paramètres'!$K$6:$K$33,MATCH(E1542,'Paramètres'!$I$6:$I$33,0))="Oui",1,0),0))</f>
        <v/>
      </c>
      <c r="AV1542" s="61">
        <f>IF(F1542="","",IFERROR(IF(INDEX('Paramètres'!$O$6:$O$17,MATCH(F1542,'Paramètres'!$M$6:$M$17,0))="Oui",1,0),0))</f>
        <v/>
      </c>
      <c r="AW1542" s="62">
        <f>IF(E1542="","",IF(G1542&lt;&gt;"",G1542,IF(OR(E1542="Proposition envoyée",E1542="Signature"),MAX(0,N(IFERROR(INDEX('Paramètres'!$R$6:$R$15,MATCH(IF(AL1542&lt;&gt;"",AL1542,IFERROR(INDEX('Prospects'!$AN$5:$AN$504,MATCH(C1542,'Prospects'!$C$5:$C$504,0)),"")),'Paramètres'!$Q$6:$Q$15,0)),0))-N(P1542)),0)))</f>
        <v/>
      </c>
      <c r="AX1542" s="61">
        <f>IF(C1542="","",IF(COUNTIF($C$5:C1542,C1542)=1,MAX($AX$4:AX1541)+1,""))</f>
        <v/>
      </c>
      <c r="AY1542" s="61">
        <f>IF(B1542="","",HOUR(B1542))</f>
        <v/>
      </c>
      <c r="AZ1542" s="61">
        <f>IF(A1542="","",MOD(A1542-2,7)+1)</f>
        <v/>
      </c>
      <c r="BA1542" s="60">
        <f>IF(C1542="","",IFERROR(INDEX('Prospects'!$N$5:$N$504,MATCH(C1542,'Prospects'!$C$5:$C$504,0)),""))</f>
        <v/>
      </c>
      <c r="BB1542" s="61">
        <f>IF(AND(C1542&lt;&gt;"",C1542='Fiche prospect'!$C$4),COUNTIF($C$5:C1542,C1542),"")</f>
        <v/>
      </c>
    </row>
    <row r="1543">
      <c r="A1543" s="53" t="n"/>
      <c r="B1543" s="54" t="n"/>
      <c r="C1543" s="55" t="n"/>
      <c r="D1543" s="55" t="n"/>
      <c r="E1543" s="55" t="n"/>
      <c r="F1543" s="55" t="n"/>
      <c r="G1543" s="56" t="n"/>
      <c r="H1543" s="57" t="n"/>
      <c r="I1543" s="55" t="n"/>
      <c r="J1543" s="53" t="n"/>
      <c r="K1543" s="54" t="n"/>
      <c r="L1543" s="55" t="n"/>
      <c r="M1543" s="55" t="n"/>
      <c r="N1543" s="57" t="n"/>
      <c r="O1543" s="55" t="n"/>
      <c r="P1543" s="56" t="n"/>
      <c r="Q1543" s="55" t="n"/>
      <c r="R1543" s="55" t="n"/>
      <c r="S1543" s="55" t="n"/>
      <c r="T1543" s="55" t="n"/>
      <c r="U1543" s="55" t="n"/>
      <c r="V1543" s="55" t="n"/>
      <c r="W1543" s="58" t="n"/>
      <c r="X1543" s="58" t="n"/>
      <c r="Y1543" s="55" t="n"/>
      <c r="Z1543" s="55" t="n"/>
      <c r="AA1543" s="55" t="n"/>
      <c r="AB1543" s="55" t="n"/>
      <c r="AC1543" s="55" t="n"/>
      <c r="AD1543" s="53" t="n"/>
      <c r="AE1543" s="55" t="n"/>
      <c r="AF1543" s="55" t="n"/>
      <c r="AG1543" s="59" t="n"/>
      <c r="AH1543" s="57" t="n"/>
      <c r="AI1543" s="55" t="n"/>
      <c r="AJ1543" s="55" t="n"/>
      <c r="AK1543" s="55" t="n"/>
      <c r="AL1543" s="55" t="n"/>
      <c r="AM1543" s="56" t="n"/>
      <c r="AN1543" s="55" t="n"/>
      <c r="AO1543" s="55" t="n"/>
      <c r="AP1543" s="55" t="n"/>
      <c r="AQ1543" s="55" t="n"/>
      <c r="AR1543" s="60">
        <f>IF(AND(C1543="",E1543=""),"",IF(A1543="","⚠ Date manquante",IF(AND(C1543="",E1543&lt;&gt;"Dépense"),"⚠ Prospect manquant",IF(E1543="","⚠ Action manquante",IF(AND(AU1543=1,D1543=""),"⚠ Canal manquant",IF(AND(W1543&lt;&gt;"",COUNTIFS('Saisie'!$W$5:$W$2004,W1543,'Saisie'!$C$5:$C$2004,"&lt;&gt;"&amp;C1543)&gt;0),"⚠ Numéro déjà utilisé par un autre prospect",IF(AND(J1543&lt;&gt;"",J1543&lt;A1543),"⚠ Relance avant la date de l'action",IF(A1543&gt;TODAY(),"⚠ Date dans le futur","✓"))))))))</f>
        <v/>
      </c>
      <c r="AS1543" s="61">
        <f>IF(AND(A1543="",C1543="",E1543=""),"",ROW())</f>
        <v/>
      </c>
      <c r="AT1543" s="61">
        <f>IF(E1543&amp;F1543="","",MAX(IFERROR(INDEX('Paramètres'!$J$6:$J$33,MATCH(E1543,'Paramètres'!$I$6:$I$33,0)),0),IFERROR(INDEX('Paramètres'!$N$6:$N$17,MATCH(F1543,'Paramètres'!$M$6:$M$17,0)),0)))</f>
        <v/>
      </c>
      <c r="AU1543" s="61">
        <f>IF(E1543="","",IFERROR(IF(INDEX('Paramètres'!$K$6:$K$33,MATCH(E1543,'Paramètres'!$I$6:$I$33,0))="Oui",1,0),0))</f>
        <v/>
      </c>
      <c r="AV1543" s="61">
        <f>IF(F1543="","",IFERROR(IF(INDEX('Paramètres'!$O$6:$O$17,MATCH(F1543,'Paramètres'!$M$6:$M$17,0))="Oui",1,0),0))</f>
        <v/>
      </c>
      <c r="AW1543" s="62">
        <f>IF(E1543="","",IF(G1543&lt;&gt;"",G1543,IF(OR(E1543="Proposition envoyée",E1543="Signature"),MAX(0,N(IFERROR(INDEX('Paramètres'!$R$6:$R$15,MATCH(IF(AL1543&lt;&gt;"",AL1543,IFERROR(INDEX('Prospects'!$AN$5:$AN$504,MATCH(C1543,'Prospects'!$C$5:$C$504,0)),"")),'Paramètres'!$Q$6:$Q$15,0)),0))-N(P1543)),0)))</f>
        <v/>
      </c>
      <c r="AX1543" s="61">
        <f>IF(C1543="","",IF(COUNTIF($C$5:C1543,C1543)=1,MAX($AX$4:AX1542)+1,""))</f>
        <v/>
      </c>
      <c r="AY1543" s="61">
        <f>IF(B1543="","",HOUR(B1543))</f>
        <v/>
      </c>
      <c r="AZ1543" s="61">
        <f>IF(A1543="","",MOD(A1543-2,7)+1)</f>
        <v/>
      </c>
      <c r="BA1543" s="60">
        <f>IF(C1543="","",IFERROR(INDEX('Prospects'!$N$5:$N$504,MATCH(C1543,'Prospects'!$C$5:$C$504,0)),""))</f>
        <v/>
      </c>
      <c r="BB1543" s="61">
        <f>IF(AND(C1543&lt;&gt;"",C1543='Fiche prospect'!$C$4),COUNTIF($C$5:C1543,C1543),"")</f>
        <v/>
      </c>
    </row>
    <row r="1544">
      <c r="A1544" s="53" t="n"/>
      <c r="B1544" s="54" t="n"/>
      <c r="C1544" s="55" t="n"/>
      <c r="D1544" s="55" t="n"/>
      <c r="E1544" s="55" t="n"/>
      <c r="F1544" s="55" t="n"/>
      <c r="G1544" s="56" t="n"/>
      <c r="H1544" s="57" t="n"/>
      <c r="I1544" s="55" t="n"/>
      <c r="J1544" s="53" t="n"/>
      <c r="K1544" s="54" t="n"/>
      <c r="L1544" s="55" t="n"/>
      <c r="M1544" s="55" t="n"/>
      <c r="N1544" s="57" t="n"/>
      <c r="O1544" s="55" t="n"/>
      <c r="P1544" s="56" t="n"/>
      <c r="Q1544" s="55" t="n"/>
      <c r="R1544" s="55" t="n"/>
      <c r="S1544" s="55" t="n"/>
      <c r="T1544" s="55" t="n"/>
      <c r="U1544" s="55" t="n"/>
      <c r="V1544" s="55" t="n"/>
      <c r="W1544" s="58" t="n"/>
      <c r="X1544" s="58" t="n"/>
      <c r="Y1544" s="55" t="n"/>
      <c r="Z1544" s="55" t="n"/>
      <c r="AA1544" s="55" t="n"/>
      <c r="AB1544" s="55" t="n"/>
      <c r="AC1544" s="55" t="n"/>
      <c r="AD1544" s="53" t="n"/>
      <c r="AE1544" s="55" t="n"/>
      <c r="AF1544" s="55" t="n"/>
      <c r="AG1544" s="59" t="n"/>
      <c r="AH1544" s="57" t="n"/>
      <c r="AI1544" s="55" t="n"/>
      <c r="AJ1544" s="55" t="n"/>
      <c r="AK1544" s="55" t="n"/>
      <c r="AL1544" s="55" t="n"/>
      <c r="AM1544" s="56" t="n"/>
      <c r="AN1544" s="55" t="n"/>
      <c r="AO1544" s="55" t="n"/>
      <c r="AP1544" s="55" t="n"/>
      <c r="AQ1544" s="55" t="n"/>
      <c r="AR1544" s="60">
        <f>IF(AND(C1544="",E1544=""),"",IF(A1544="","⚠ Date manquante",IF(AND(C1544="",E1544&lt;&gt;"Dépense"),"⚠ Prospect manquant",IF(E1544="","⚠ Action manquante",IF(AND(AU1544=1,D1544=""),"⚠ Canal manquant",IF(AND(W1544&lt;&gt;"",COUNTIFS('Saisie'!$W$5:$W$2004,W1544,'Saisie'!$C$5:$C$2004,"&lt;&gt;"&amp;C1544)&gt;0),"⚠ Numéro déjà utilisé par un autre prospect",IF(AND(J1544&lt;&gt;"",J1544&lt;A1544),"⚠ Relance avant la date de l'action",IF(A1544&gt;TODAY(),"⚠ Date dans le futur","✓"))))))))</f>
        <v/>
      </c>
      <c r="AS1544" s="61">
        <f>IF(AND(A1544="",C1544="",E1544=""),"",ROW())</f>
        <v/>
      </c>
      <c r="AT1544" s="61">
        <f>IF(E1544&amp;F1544="","",MAX(IFERROR(INDEX('Paramètres'!$J$6:$J$33,MATCH(E1544,'Paramètres'!$I$6:$I$33,0)),0),IFERROR(INDEX('Paramètres'!$N$6:$N$17,MATCH(F1544,'Paramètres'!$M$6:$M$17,0)),0)))</f>
        <v/>
      </c>
      <c r="AU1544" s="61">
        <f>IF(E1544="","",IFERROR(IF(INDEX('Paramètres'!$K$6:$K$33,MATCH(E1544,'Paramètres'!$I$6:$I$33,0))="Oui",1,0),0))</f>
        <v/>
      </c>
      <c r="AV1544" s="61">
        <f>IF(F1544="","",IFERROR(IF(INDEX('Paramètres'!$O$6:$O$17,MATCH(F1544,'Paramètres'!$M$6:$M$17,0))="Oui",1,0),0))</f>
        <v/>
      </c>
      <c r="AW1544" s="62">
        <f>IF(E1544="","",IF(G1544&lt;&gt;"",G1544,IF(OR(E1544="Proposition envoyée",E1544="Signature"),MAX(0,N(IFERROR(INDEX('Paramètres'!$R$6:$R$15,MATCH(IF(AL1544&lt;&gt;"",AL1544,IFERROR(INDEX('Prospects'!$AN$5:$AN$504,MATCH(C1544,'Prospects'!$C$5:$C$504,0)),"")),'Paramètres'!$Q$6:$Q$15,0)),0))-N(P1544)),0)))</f>
        <v/>
      </c>
      <c r="AX1544" s="61">
        <f>IF(C1544="","",IF(COUNTIF($C$5:C1544,C1544)=1,MAX($AX$4:AX1543)+1,""))</f>
        <v/>
      </c>
      <c r="AY1544" s="61">
        <f>IF(B1544="","",HOUR(B1544))</f>
        <v/>
      </c>
      <c r="AZ1544" s="61">
        <f>IF(A1544="","",MOD(A1544-2,7)+1)</f>
        <v/>
      </c>
      <c r="BA1544" s="60">
        <f>IF(C1544="","",IFERROR(INDEX('Prospects'!$N$5:$N$504,MATCH(C1544,'Prospects'!$C$5:$C$504,0)),""))</f>
        <v/>
      </c>
      <c r="BB1544" s="61">
        <f>IF(AND(C1544&lt;&gt;"",C1544='Fiche prospect'!$C$4),COUNTIF($C$5:C1544,C1544),"")</f>
        <v/>
      </c>
    </row>
    <row r="1545">
      <c r="A1545" s="53" t="n"/>
      <c r="B1545" s="54" t="n"/>
      <c r="C1545" s="55" t="n"/>
      <c r="D1545" s="55" t="n"/>
      <c r="E1545" s="55" t="n"/>
      <c r="F1545" s="55" t="n"/>
      <c r="G1545" s="56" t="n"/>
      <c r="H1545" s="57" t="n"/>
      <c r="I1545" s="55" t="n"/>
      <c r="J1545" s="53" t="n"/>
      <c r="K1545" s="54" t="n"/>
      <c r="L1545" s="55" t="n"/>
      <c r="M1545" s="55" t="n"/>
      <c r="N1545" s="57" t="n"/>
      <c r="O1545" s="55" t="n"/>
      <c r="P1545" s="56" t="n"/>
      <c r="Q1545" s="55" t="n"/>
      <c r="R1545" s="55" t="n"/>
      <c r="S1545" s="55" t="n"/>
      <c r="T1545" s="55" t="n"/>
      <c r="U1545" s="55" t="n"/>
      <c r="V1545" s="55" t="n"/>
      <c r="W1545" s="58" t="n"/>
      <c r="X1545" s="58" t="n"/>
      <c r="Y1545" s="55" t="n"/>
      <c r="Z1545" s="55" t="n"/>
      <c r="AA1545" s="55" t="n"/>
      <c r="AB1545" s="55" t="n"/>
      <c r="AC1545" s="55" t="n"/>
      <c r="AD1545" s="53" t="n"/>
      <c r="AE1545" s="55" t="n"/>
      <c r="AF1545" s="55" t="n"/>
      <c r="AG1545" s="59" t="n"/>
      <c r="AH1545" s="57" t="n"/>
      <c r="AI1545" s="55" t="n"/>
      <c r="AJ1545" s="55" t="n"/>
      <c r="AK1545" s="55" t="n"/>
      <c r="AL1545" s="55" t="n"/>
      <c r="AM1545" s="56" t="n"/>
      <c r="AN1545" s="55" t="n"/>
      <c r="AO1545" s="55" t="n"/>
      <c r="AP1545" s="55" t="n"/>
      <c r="AQ1545" s="55" t="n"/>
      <c r="AR1545" s="60">
        <f>IF(AND(C1545="",E1545=""),"",IF(A1545="","⚠ Date manquante",IF(AND(C1545="",E1545&lt;&gt;"Dépense"),"⚠ Prospect manquant",IF(E1545="","⚠ Action manquante",IF(AND(AU1545=1,D1545=""),"⚠ Canal manquant",IF(AND(W1545&lt;&gt;"",COUNTIFS('Saisie'!$W$5:$W$2004,W1545,'Saisie'!$C$5:$C$2004,"&lt;&gt;"&amp;C1545)&gt;0),"⚠ Numéro déjà utilisé par un autre prospect",IF(AND(J1545&lt;&gt;"",J1545&lt;A1545),"⚠ Relance avant la date de l'action",IF(A1545&gt;TODAY(),"⚠ Date dans le futur","✓"))))))))</f>
        <v/>
      </c>
      <c r="AS1545" s="61">
        <f>IF(AND(A1545="",C1545="",E1545=""),"",ROW())</f>
        <v/>
      </c>
      <c r="AT1545" s="61">
        <f>IF(E1545&amp;F1545="","",MAX(IFERROR(INDEX('Paramètres'!$J$6:$J$33,MATCH(E1545,'Paramètres'!$I$6:$I$33,0)),0),IFERROR(INDEX('Paramètres'!$N$6:$N$17,MATCH(F1545,'Paramètres'!$M$6:$M$17,0)),0)))</f>
        <v/>
      </c>
      <c r="AU1545" s="61">
        <f>IF(E1545="","",IFERROR(IF(INDEX('Paramètres'!$K$6:$K$33,MATCH(E1545,'Paramètres'!$I$6:$I$33,0))="Oui",1,0),0))</f>
        <v/>
      </c>
      <c r="AV1545" s="61">
        <f>IF(F1545="","",IFERROR(IF(INDEX('Paramètres'!$O$6:$O$17,MATCH(F1545,'Paramètres'!$M$6:$M$17,0))="Oui",1,0),0))</f>
        <v/>
      </c>
      <c r="AW1545" s="62">
        <f>IF(E1545="","",IF(G1545&lt;&gt;"",G1545,IF(OR(E1545="Proposition envoyée",E1545="Signature"),MAX(0,N(IFERROR(INDEX('Paramètres'!$R$6:$R$15,MATCH(IF(AL1545&lt;&gt;"",AL1545,IFERROR(INDEX('Prospects'!$AN$5:$AN$504,MATCH(C1545,'Prospects'!$C$5:$C$504,0)),"")),'Paramètres'!$Q$6:$Q$15,0)),0))-N(P1545)),0)))</f>
        <v/>
      </c>
      <c r="AX1545" s="61">
        <f>IF(C1545="","",IF(COUNTIF($C$5:C1545,C1545)=1,MAX($AX$4:AX1544)+1,""))</f>
        <v/>
      </c>
      <c r="AY1545" s="61">
        <f>IF(B1545="","",HOUR(B1545))</f>
        <v/>
      </c>
      <c r="AZ1545" s="61">
        <f>IF(A1545="","",MOD(A1545-2,7)+1)</f>
        <v/>
      </c>
      <c r="BA1545" s="60">
        <f>IF(C1545="","",IFERROR(INDEX('Prospects'!$N$5:$N$504,MATCH(C1545,'Prospects'!$C$5:$C$504,0)),""))</f>
        <v/>
      </c>
      <c r="BB1545" s="61">
        <f>IF(AND(C1545&lt;&gt;"",C1545='Fiche prospect'!$C$4),COUNTIF($C$5:C1545,C1545),"")</f>
        <v/>
      </c>
    </row>
    <row r="1546">
      <c r="A1546" s="53" t="n"/>
      <c r="B1546" s="54" t="n"/>
      <c r="C1546" s="55" t="n"/>
      <c r="D1546" s="55" t="n"/>
      <c r="E1546" s="55" t="n"/>
      <c r="F1546" s="55" t="n"/>
      <c r="G1546" s="56" t="n"/>
      <c r="H1546" s="57" t="n"/>
      <c r="I1546" s="55" t="n"/>
      <c r="J1546" s="53" t="n"/>
      <c r="K1546" s="54" t="n"/>
      <c r="L1546" s="55" t="n"/>
      <c r="M1546" s="55" t="n"/>
      <c r="N1546" s="57" t="n"/>
      <c r="O1546" s="55" t="n"/>
      <c r="P1546" s="56" t="n"/>
      <c r="Q1546" s="55" t="n"/>
      <c r="R1546" s="55" t="n"/>
      <c r="S1546" s="55" t="n"/>
      <c r="T1546" s="55" t="n"/>
      <c r="U1546" s="55" t="n"/>
      <c r="V1546" s="55" t="n"/>
      <c r="W1546" s="58" t="n"/>
      <c r="X1546" s="58" t="n"/>
      <c r="Y1546" s="55" t="n"/>
      <c r="Z1546" s="55" t="n"/>
      <c r="AA1546" s="55" t="n"/>
      <c r="AB1546" s="55" t="n"/>
      <c r="AC1546" s="55" t="n"/>
      <c r="AD1546" s="53" t="n"/>
      <c r="AE1546" s="55" t="n"/>
      <c r="AF1546" s="55" t="n"/>
      <c r="AG1546" s="59" t="n"/>
      <c r="AH1546" s="57" t="n"/>
      <c r="AI1546" s="55" t="n"/>
      <c r="AJ1546" s="55" t="n"/>
      <c r="AK1546" s="55" t="n"/>
      <c r="AL1546" s="55" t="n"/>
      <c r="AM1546" s="56" t="n"/>
      <c r="AN1546" s="55" t="n"/>
      <c r="AO1546" s="55" t="n"/>
      <c r="AP1546" s="55" t="n"/>
      <c r="AQ1546" s="55" t="n"/>
      <c r="AR1546" s="60">
        <f>IF(AND(C1546="",E1546=""),"",IF(A1546="","⚠ Date manquante",IF(AND(C1546="",E1546&lt;&gt;"Dépense"),"⚠ Prospect manquant",IF(E1546="","⚠ Action manquante",IF(AND(AU1546=1,D1546=""),"⚠ Canal manquant",IF(AND(W1546&lt;&gt;"",COUNTIFS('Saisie'!$W$5:$W$2004,W1546,'Saisie'!$C$5:$C$2004,"&lt;&gt;"&amp;C1546)&gt;0),"⚠ Numéro déjà utilisé par un autre prospect",IF(AND(J1546&lt;&gt;"",J1546&lt;A1546),"⚠ Relance avant la date de l'action",IF(A1546&gt;TODAY(),"⚠ Date dans le futur","✓"))))))))</f>
        <v/>
      </c>
      <c r="AS1546" s="61">
        <f>IF(AND(A1546="",C1546="",E1546=""),"",ROW())</f>
        <v/>
      </c>
      <c r="AT1546" s="61">
        <f>IF(E1546&amp;F1546="","",MAX(IFERROR(INDEX('Paramètres'!$J$6:$J$33,MATCH(E1546,'Paramètres'!$I$6:$I$33,0)),0),IFERROR(INDEX('Paramètres'!$N$6:$N$17,MATCH(F1546,'Paramètres'!$M$6:$M$17,0)),0)))</f>
        <v/>
      </c>
      <c r="AU1546" s="61">
        <f>IF(E1546="","",IFERROR(IF(INDEX('Paramètres'!$K$6:$K$33,MATCH(E1546,'Paramètres'!$I$6:$I$33,0))="Oui",1,0),0))</f>
        <v/>
      </c>
      <c r="AV1546" s="61">
        <f>IF(F1546="","",IFERROR(IF(INDEX('Paramètres'!$O$6:$O$17,MATCH(F1546,'Paramètres'!$M$6:$M$17,0))="Oui",1,0),0))</f>
        <v/>
      </c>
      <c r="AW1546" s="62">
        <f>IF(E1546="","",IF(G1546&lt;&gt;"",G1546,IF(OR(E1546="Proposition envoyée",E1546="Signature"),MAX(0,N(IFERROR(INDEX('Paramètres'!$R$6:$R$15,MATCH(IF(AL1546&lt;&gt;"",AL1546,IFERROR(INDEX('Prospects'!$AN$5:$AN$504,MATCH(C1546,'Prospects'!$C$5:$C$504,0)),"")),'Paramètres'!$Q$6:$Q$15,0)),0))-N(P1546)),0)))</f>
        <v/>
      </c>
      <c r="AX1546" s="61">
        <f>IF(C1546="","",IF(COUNTIF($C$5:C1546,C1546)=1,MAX($AX$4:AX1545)+1,""))</f>
        <v/>
      </c>
      <c r="AY1546" s="61">
        <f>IF(B1546="","",HOUR(B1546))</f>
        <v/>
      </c>
      <c r="AZ1546" s="61">
        <f>IF(A1546="","",MOD(A1546-2,7)+1)</f>
        <v/>
      </c>
      <c r="BA1546" s="60">
        <f>IF(C1546="","",IFERROR(INDEX('Prospects'!$N$5:$N$504,MATCH(C1546,'Prospects'!$C$5:$C$504,0)),""))</f>
        <v/>
      </c>
      <c r="BB1546" s="61">
        <f>IF(AND(C1546&lt;&gt;"",C1546='Fiche prospect'!$C$4),COUNTIF($C$5:C1546,C1546),"")</f>
        <v/>
      </c>
    </row>
    <row r="1547">
      <c r="A1547" s="53" t="n"/>
      <c r="B1547" s="54" t="n"/>
      <c r="C1547" s="55" t="n"/>
      <c r="D1547" s="55" t="n"/>
      <c r="E1547" s="55" t="n"/>
      <c r="F1547" s="55" t="n"/>
      <c r="G1547" s="56" t="n"/>
      <c r="H1547" s="57" t="n"/>
      <c r="I1547" s="55" t="n"/>
      <c r="J1547" s="53" t="n"/>
      <c r="K1547" s="54" t="n"/>
      <c r="L1547" s="55" t="n"/>
      <c r="M1547" s="55" t="n"/>
      <c r="N1547" s="57" t="n"/>
      <c r="O1547" s="55" t="n"/>
      <c r="P1547" s="56" t="n"/>
      <c r="Q1547" s="55" t="n"/>
      <c r="R1547" s="55" t="n"/>
      <c r="S1547" s="55" t="n"/>
      <c r="T1547" s="55" t="n"/>
      <c r="U1547" s="55" t="n"/>
      <c r="V1547" s="55" t="n"/>
      <c r="W1547" s="58" t="n"/>
      <c r="X1547" s="58" t="n"/>
      <c r="Y1547" s="55" t="n"/>
      <c r="Z1547" s="55" t="n"/>
      <c r="AA1547" s="55" t="n"/>
      <c r="AB1547" s="55" t="n"/>
      <c r="AC1547" s="55" t="n"/>
      <c r="AD1547" s="53" t="n"/>
      <c r="AE1547" s="55" t="n"/>
      <c r="AF1547" s="55" t="n"/>
      <c r="AG1547" s="59" t="n"/>
      <c r="AH1547" s="57" t="n"/>
      <c r="AI1547" s="55" t="n"/>
      <c r="AJ1547" s="55" t="n"/>
      <c r="AK1547" s="55" t="n"/>
      <c r="AL1547" s="55" t="n"/>
      <c r="AM1547" s="56" t="n"/>
      <c r="AN1547" s="55" t="n"/>
      <c r="AO1547" s="55" t="n"/>
      <c r="AP1547" s="55" t="n"/>
      <c r="AQ1547" s="55" t="n"/>
      <c r="AR1547" s="60">
        <f>IF(AND(C1547="",E1547=""),"",IF(A1547="","⚠ Date manquante",IF(AND(C1547="",E1547&lt;&gt;"Dépense"),"⚠ Prospect manquant",IF(E1547="","⚠ Action manquante",IF(AND(AU1547=1,D1547=""),"⚠ Canal manquant",IF(AND(W1547&lt;&gt;"",COUNTIFS('Saisie'!$W$5:$W$2004,W1547,'Saisie'!$C$5:$C$2004,"&lt;&gt;"&amp;C1547)&gt;0),"⚠ Numéro déjà utilisé par un autre prospect",IF(AND(J1547&lt;&gt;"",J1547&lt;A1547),"⚠ Relance avant la date de l'action",IF(A1547&gt;TODAY(),"⚠ Date dans le futur","✓"))))))))</f>
        <v/>
      </c>
      <c r="AS1547" s="61">
        <f>IF(AND(A1547="",C1547="",E1547=""),"",ROW())</f>
        <v/>
      </c>
      <c r="AT1547" s="61">
        <f>IF(E1547&amp;F1547="","",MAX(IFERROR(INDEX('Paramètres'!$J$6:$J$33,MATCH(E1547,'Paramètres'!$I$6:$I$33,0)),0),IFERROR(INDEX('Paramètres'!$N$6:$N$17,MATCH(F1547,'Paramètres'!$M$6:$M$17,0)),0)))</f>
        <v/>
      </c>
      <c r="AU1547" s="61">
        <f>IF(E1547="","",IFERROR(IF(INDEX('Paramètres'!$K$6:$K$33,MATCH(E1547,'Paramètres'!$I$6:$I$33,0))="Oui",1,0),0))</f>
        <v/>
      </c>
      <c r="AV1547" s="61">
        <f>IF(F1547="","",IFERROR(IF(INDEX('Paramètres'!$O$6:$O$17,MATCH(F1547,'Paramètres'!$M$6:$M$17,0))="Oui",1,0),0))</f>
        <v/>
      </c>
      <c r="AW1547" s="62">
        <f>IF(E1547="","",IF(G1547&lt;&gt;"",G1547,IF(OR(E1547="Proposition envoyée",E1547="Signature"),MAX(0,N(IFERROR(INDEX('Paramètres'!$R$6:$R$15,MATCH(IF(AL1547&lt;&gt;"",AL1547,IFERROR(INDEX('Prospects'!$AN$5:$AN$504,MATCH(C1547,'Prospects'!$C$5:$C$504,0)),"")),'Paramètres'!$Q$6:$Q$15,0)),0))-N(P1547)),0)))</f>
        <v/>
      </c>
      <c r="AX1547" s="61">
        <f>IF(C1547="","",IF(COUNTIF($C$5:C1547,C1547)=1,MAX($AX$4:AX1546)+1,""))</f>
        <v/>
      </c>
      <c r="AY1547" s="61">
        <f>IF(B1547="","",HOUR(B1547))</f>
        <v/>
      </c>
      <c r="AZ1547" s="61">
        <f>IF(A1547="","",MOD(A1547-2,7)+1)</f>
        <v/>
      </c>
      <c r="BA1547" s="60">
        <f>IF(C1547="","",IFERROR(INDEX('Prospects'!$N$5:$N$504,MATCH(C1547,'Prospects'!$C$5:$C$504,0)),""))</f>
        <v/>
      </c>
      <c r="BB1547" s="61">
        <f>IF(AND(C1547&lt;&gt;"",C1547='Fiche prospect'!$C$4),COUNTIF($C$5:C1547,C1547),"")</f>
        <v/>
      </c>
    </row>
    <row r="1548">
      <c r="A1548" s="53" t="n"/>
      <c r="B1548" s="54" t="n"/>
      <c r="C1548" s="55" t="n"/>
      <c r="D1548" s="55" t="n"/>
      <c r="E1548" s="55" t="n"/>
      <c r="F1548" s="55" t="n"/>
      <c r="G1548" s="56" t="n"/>
      <c r="H1548" s="57" t="n"/>
      <c r="I1548" s="55" t="n"/>
      <c r="J1548" s="53" t="n"/>
      <c r="K1548" s="54" t="n"/>
      <c r="L1548" s="55" t="n"/>
      <c r="M1548" s="55" t="n"/>
      <c r="N1548" s="57" t="n"/>
      <c r="O1548" s="55" t="n"/>
      <c r="P1548" s="56" t="n"/>
      <c r="Q1548" s="55" t="n"/>
      <c r="R1548" s="55" t="n"/>
      <c r="S1548" s="55" t="n"/>
      <c r="T1548" s="55" t="n"/>
      <c r="U1548" s="55" t="n"/>
      <c r="V1548" s="55" t="n"/>
      <c r="W1548" s="58" t="n"/>
      <c r="X1548" s="58" t="n"/>
      <c r="Y1548" s="55" t="n"/>
      <c r="Z1548" s="55" t="n"/>
      <c r="AA1548" s="55" t="n"/>
      <c r="AB1548" s="55" t="n"/>
      <c r="AC1548" s="55" t="n"/>
      <c r="AD1548" s="53" t="n"/>
      <c r="AE1548" s="55" t="n"/>
      <c r="AF1548" s="55" t="n"/>
      <c r="AG1548" s="59" t="n"/>
      <c r="AH1548" s="57" t="n"/>
      <c r="AI1548" s="55" t="n"/>
      <c r="AJ1548" s="55" t="n"/>
      <c r="AK1548" s="55" t="n"/>
      <c r="AL1548" s="55" t="n"/>
      <c r="AM1548" s="56" t="n"/>
      <c r="AN1548" s="55" t="n"/>
      <c r="AO1548" s="55" t="n"/>
      <c r="AP1548" s="55" t="n"/>
      <c r="AQ1548" s="55" t="n"/>
      <c r="AR1548" s="60">
        <f>IF(AND(C1548="",E1548=""),"",IF(A1548="","⚠ Date manquante",IF(AND(C1548="",E1548&lt;&gt;"Dépense"),"⚠ Prospect manquant",IF(E1548="","⚠ Action manquante",IF(AND(AU1548=1,D1548=""),"⚠ Canal manquant",IF(AND(W1548&lt;&gt;"",COUNTIFS('Saisie'!$W$5:$W$2004,W1548,'Saisie'!$C$5:$C$2004,"&lt;&gt;"&amp;C1548)&gt;0),"⚠ Numéro déjà utilisé par un autre prospect",IF(AND(J1548&lt;&gt;"",J1548&lt;A1548),"⚠ Relance avant la date de l'action",IF(A1548&gt;TODAY(),"⚠ Date dans le futur","✓"))))))))</f>
        <v/>
      </c>
      <c r="AS1548" s="61">
        <f>IF(AND(A1548="",C1548="",E1548=""),"",ROW())</f>
        <v/>
      </c>
      <c r="AT1548" s="61">
        <f>IF(E1548&amp;F1548="","",MAX(IFERROR(INDEX('Paramètres'!$J$6:$J$33,MATCH(E1548,'Paramètres'!$I$6:$I$33,0)),0),IFERROR(INDEX('Paramètres'!$N$6:$N$17,MATCH(F1548,'Paramètres'!$M$6:$M$17,0)),0)))</f>
        <v/>
      </c>
      <c r="AU1548" s="61">
        <f>IF(E1548="","",IFERROR(IF(INDEX('Paramètres'!$K$6:$K$33,MATCH(E1548,'Paramètres'!$I$6:$I$33,0))="Oui",1,0),0))</f>
        <v/>
      </c>
      <c r="AV1548" s="61">
        <f>IF(F1548="","",IFERROR(IF(INDEX('Paramètres'!$O$6:$O$17,MATCH(F1548,'Paramètres'!$M$6:$M$17,0))="Oui",1,0),0))</f>
        <v/>
      </c>
      <c r="AW1548" s="62">
        <f>IF(E1548="","",IF(G1548&lt;&gt;"",G1548,IF(OR(E1548="Proposition envoyée",E1548="Signature"),MAX(0,N(IFERROR(INDEX('Paramètres'!$R$6:$R$15,MATCH(IF(AL1548&lt;&gt;"",AL1548,IFERROR(INDEX('Prospects'!$AN$5:$AN$504,MATCH(C1548,'Prospects'!$C$5:$C$504,0)),"")),'Paramètres'!$Q$6:$Q$15,0)),0))-N(P1548)),0)))</f>
        <v/>
      </c>
      <c r="AX1548" s="61">
        <f>IF(C1548="","",IF(COUNTIF($C$5:C1548,C1548)=1,MAX($AX$4:AX1547)+1,""))</f>
        <v/>
      </c>
      <c r="AY1548" s="61">
        <f>IF(B1548="","",HOUR(B1548))</f>
        <v/>
      </c>
      <c r="AZ1548" s="61">
        <f>IF(A1548="","",MOD(A1548-2,7)+1)</f>
        <v/>
      </c>
      <c r="BA1548" s="60">
        <f>IF(C1548="","",IFERROR(INDEX('Prospects'!$N$5:$N$504,MATCH(C1548,'Prospects'!$C$5:$C$504,0)),""))</f>
        <v/>
      </c>
      <c r="BB1548" s="61">
        <f>IF(AND(C1548&lt;&gt;"",C1548='Fiche prospect'!$C$4),COUNTIF($C$5:C1548,C1548),"")</f>
        <v/>
      </c>
    </row>
    <row r="1549">
      <c r="A1549" s="53" t="n"/>
      <c r="B1549" s="54" t="n"/>
      <c r="C1549" s="55" t="n"/>
      <c r="D1549" s="55" t="n"/>
      <c r="E1549" s="55" t="n"/>
      <c r="F1549" s="55" t="n"/>
      <c r="G1549" s="56" t="n"/>
      <c r="H1549" s="57" t="n"/>
      <c r="I1549" s="55" t="n"/>
      <c r="J1549" s="53" t="n"/>
      <c r="K1549" s="54" t="n"/>
      <c r="L1549" s="55" t="n"/>
      <c r="M1549" s="55" t="n"/>
      <c r="N1549" s="57" t="n"/>
      <c r="O1549" s="55" t="n"/>
      <c r="P1549" s="56" t="n"/>
      <c r="Q1549" s="55" t="n"/>
      <c r="R1549" s="55" t="n"/>
      <c r="S1549" s="55" t="n"/>
      <c r="T1549" s="55" t="n"/>
      <c r="U1549" s="55" t="n"/>
      <c r="V1549" s="55" t="n"/>
      <c r="W1549" s="58" t="n"/>
      <c r="X1549" s="58" t="n"/>
      <c r="Y1549" s="55" t="n"/>
      <c r="Z1549" s="55" t="n"/>
      <c r="AA1549" s="55" t="n"/>
      <c r="AB1549" s="55" t="n"/>
      <c r="AC1549" s="55" t="n"/>
      <c r="AD1549" s="53" t="n"/>
      <c r="AE1549" s="55" t="n"/>
      <c r="AF1549" s="55" t="n"/>
      <c r="AG1549" s="59" t="n"/>
      <c r="AH1549" s="57" t="n"/>
      <c r="AI1549" s="55" t="n"/>
      <c r="AJ1549" s="55" t="n"/>
      <c r="AK1549" s="55" t="n"/>
      <c r="AL1549" s="55" t="n"/>
      <c r="AM1549" s="56" t="n"/>
      <c r="AN1549" s="55" t="n"/>
      <c r="AO1549" s="55" t="n"/>
      <c r="AP1549" s="55" t="n"/>
      <c r="AQ1549" s="55" t="n"/>
      <c r="AR1549" s="60">
        <f>IF(AND(C1549="",E1549=""),"",IF(A1549="","⚠ Date manquante",IF(AND(C1549="",E1549&lt;&gt;"Dépense"),"⚠ Prospect manquant",IF(E1549="","⚠ Action manquante",IF(AND(AU1549=1,D1549=""),"⚠ Canal manquant",IF(AND(W1549&lt;&gt;"",COUNTIFS('Saisie'!$W$5:$W$2004,W1549,'Saisie'!$C$5:$C$2004,"&lt;&gt;"&amp;C1549)&gt;0),"⚠ Numéro déjà utilisé par un autre prospect",IF(AND(J1549&lt;&gt;"",J1549&lt;A1549),"⚠ Relance avant la date de l'action",IF(A1549&gt;TODAY(),"⚠ Date dans le futur","✓"))))))))</f>
        <v/>
      </c>
      <c r="AS1549" s="61">
        <f>IF(AND(A1549="",C1549="",E1549=""),"",ROW())</f>
        <v/>
      </c>
      <c r="AT1549" s="61">
        <f>IF(E1549&amp;F1549="","",MAX(IFERROR(INDEX('Paramètres'!$J$6:$J$33,MATCH(E1549,'Paramètres'!$I$6:$I$33,0)),0),IFERROR(INDEX('Paramètres'!$N$6:$N$17,MATCH(F1549,'Paramètres'!$M$6:$M$17,0)),0)))</f>
        <v/>
      </c>
      <c r="AU1549" s="61">
        <f>IF(E1549="","",IFERROR(IF(INDEX('Paramètres'!$K$6:$K$33,MATCH(E1549,'Paramètres'!$I$6:$I$33,0))="Oui",1,0),0))</f>
        <v/>
      </c>
      <c r="AV1549" s="61">
        <f>IF(F1549="","",IFERROR(IF(INDEX('Paramètres'!$O$6:$O$17,MATCH(F1549,'Paramètres'!$M$6:$M$17,0))="Oui",1,0),0))</f>
        <v/>
      </c>
      <c r="AW1549" s="62">
        <f>IF(E1549="","",IF(G1549&lt;&gt;"",G1549,IF(OR(E1549="Proposition envoyée",E1549="Signature"),MAX(0,N(IFERROR(INDEX('Paramètres'!$R$6:$R$15,MATCH(IF(AL1549&lt;&gt;"",AL1549,IFERROR(INDEX('Prospects'!$AN$5:$AN$504,MATCH(C1549,'Prospects'!$C$5:$C$504,0)),"")),'Paramètres'!$Q$6:$Q$15,0)),0))-N(P1549)),0)))</f>
        <v/>
      </c>
      <c r="AX1549" s="61">
        <f>IF(C1549="","",IF(COUNTIF($C$5:C1549,C1549)=1,MAX($AX$4:AX1548)+1,""))</f>
        <v/>
      </c>
      <c r="AY1549" s="61">
        <f>IF(B1549="","",HOUR(B1549))</f>
        <v/>
      </c>
      <c r="AZ1549" s="61">
        <f>IF(A1549="","",MOD(A1549-2,7)+1)</f>
        <v/>
      </c>
      <c r="BA1549" s="60">
        <f>IF(C1549="","",IFERROR(INDEX('Prospects'!$N$5:$N$504,MATCH(C1549,'Prospects'!$C$5:$C$504,0)),""))</f>
        <v/>
      </c>
      <c r="BB1549" s="61">
        <f>IF(AND(C1549&lt;&gt;"",C1549='Fiche prospect'!$C$4),COUNTIF($C$5:C1549,C1549),"")</f>
        <v/>
      </c>
    </row>
    <row r="1550">
      <c r="A1550" s="53" t="n"/>
      <c r="B1550" s="54" t="n"/>
      <c r="C1550" s="55" t="n"/>
      <c r="D1550" s="55" t="n"/>
      <c r="E1550" s="55" t="n"/>
      <c r="F1550" s="55" t="n"/>
      <c r="G1550" s="56" t="n"/>
      <c r="H1550" s="57" t="n"/>
      <c r="I1550" s="55" t="n"/>
      <c r="J1550" s="53" t="n"/>
      <c r="K1550" s="54" t="n"/>
      <c r="L1550" s="55" t="n"/>
      <c r="M1550" s="55" t="n"/>
      <c r="N1550" s="57" t="n"/>
      <c r="O1550" s="55" t="n"/>
      <c r="P1550" s="56" t="n"/>
      <c r="Q1550" s="55" t="n"/>
      <c r="R1550" s="55" t="n"/>
      <c r="S1550" s="55" t="n"/>
      <c r="T1550" s="55" t="n"/>
      <c r="U1550" s="55" t="n"/>
      <c r="V1550" s="55" t="n"/>
      <c r="W1550" s="58" t="n"/>
      <c r="X1550" s="58" t="n"/>
      <c r="Y1550" s="55" t="n"/>
      <c r="Z1550" s="55" t="n"/>
      <c r="AA1550" s="55" t="n"/>
      <c r="AB1550" s="55" t="n"/>
      <c r="AC1550" s="55" t="n"/>
      <c r="AD1550" s="53" t="n"/>
      <c r="AE1550" s="55" t="n"/>
      <c r="AF1550" s="55" t="n"/>
      <c r="AG1550" s="59" t="n"/>
      <c r="AH1550" s="57" t="n"/>
      <c r="AI1550" s="55" t="n"/>
      <c r="AJ1550" s="55" t="n"/>
      <c r="AK1550" s="55" t="n"/>
      <c r="AL1550" s="55" t="n"/>
      <c r="AM1550" s="56" t="n"/>
      <c r="AN1550" s="55" t="n"/>
      <c r="AO1550" s="55" t="n"/>
      <c r="AP1550" s="55" t="n"/>
      <c r="AQ1550" s="55" t="n"/>
      <c r="AR1550" s="60">
        <f>IF(AND(C1550="",E1550=""),"",IF(A1550="","⚠ Date manquante",IF(AND(C1550="",E1550&lt;&gt;"Dépense"),"⚠ Prospect manquant",IF(E1550="","⚠ Action manquante",IF(AND(AU1550=1,D1550=""),"⚠ Canal manquant",IF(AND(W1550&lt;&gt;"",COUNTIFS('Saisie'!$W$5:$W$2004,W1550,'Saisie'!$C$5:$C$2004,"&lt;&gt;"&amp;C1550)&gt;0),"⚠ Numéro déjà utilisé par un autre prospect",IF(AND(J1550&lt;&gt;"",J1550&lt;A1550),"⚠ Relance avant la date de l'action",IF(A1550&gt;TODAY(),"⚠ Date dans le futur","✓"))))))))</f>
        <v/>
      </c>
      <c r="AS1550" s="61">
        <f>IF(AND(A1550="",C1550="",E1550=""),"",ROW())</f>
        <v/>
      </c>
      <c r="AT1550" s="61">
        <f>IF(E1550&amp;F1550="","",MAX(IFERROR(INDEX('Paramètres'!$J$6:$J$33,MATCH(E1550,'Paramètres'!$I$6:$I$33,0)),0),IFERROR(INDEX('Paramètres'!$N$6:$N$17,MATCH(F1550,'Paramètres'!$M$6:$M$17,0)),0)))</f>
        <v/>
      </c>
      <c r="AU1550" s="61">
        <f>IF(E1550="","",IFERROR(IF(INDEX('Paramètres'!$K$6:$K$33,MATCH(E1550,'Paramètres'!$I$6:$I$33,0))="Oui",1,0),0))</f>
        <v/>
      </c>
      <c r="AV1550" s="61">
        <f>IF(F1550="","",IFERROR(IF(INDEX('Paramètres'!$O$6:$O$17,MATCH(F1550,'Paramètres'!$M$6:$M$17,0))="Oui",1,0),0))</f>
        <v/>
      </c>
      <c r="AW1550" s="62">
        <f>IF(E1550="","",IF(G1550&lt;&gt;"",G1550,IF(OR(E1550="Proposition envoyée",E1550="Signature"),MAX(0,N(IFERROR(INDEX('Paramètres'!$R$6:$R$15,MATCH(IF(AL1550&lt;&gt;"",AL1550,IFERROR(INDEX('Prospects'!$AN$5:$AN$504,MATCH(C1550,'Prospects'!$C$5:$C$504,0)),"")),'Paramètres'!$Q$6:$Q$15,0)),0))-N(P1550)),0)))</f>
        <v/>
      </c>
      <c r="AX1550" s="61">
        <f>IF(C1550="","",IF(COUNTIF($C$5:C1550,C1550)=1,MAX($AX$4:AX1549)+1,""))</f>
        <v/>
      </c>
      <c r="AY1550" s="61">
        <f>IF(B1550="","",HOUR(B1550))</f>
        <v/>
      </c>
      <c r="AZ1550" s="61">
        <f>IF(A1550="","",MOD(A1550-2,7)+1)</f>
        <v/>
      </c>
      <c r="BA1550" s="60">
        <f>IF(C1550="","",IFERROR(INDEX('Prospects'!$N$5:$N$504,MATCH(C1550,'Prospects'!$C$5:$C$504,0)),""))</f>
        <v/>
      </c>
      <c r="BB1550" s="61">
        <f>IF(AND(C1550&lt;&gt;"",C1550='Fiche prospect'!$C$4),COUNTIF($C$5:C1550,C1550),"")</f>
        <v/>
      </c>
    </row>
    <row r="1551">
      <c r="A1551" s="53" t="n"/>
      <c r="B1551" s="54" t="n"/>
      <c r="C1551" s="55" t="n"/>
      <c r="D1551" s="55" t="n"/>
      <c r="E1551" s="55" t="n"/>
      <c r="F1551" s="55" t="n"/>
      <c r="G1551" s="56" t="n"/>
      <c r="H1551" s="57" t="n"/>
      <c r="I1551" s="55" t="n"/>
      <c r="J1551" s="53" t="n"/>
      <c r="K1551" s="54" t="n"/>
      <c r="L1551" s="55" t="n"/>
      <c r="M1551" s="55" t="n"/>
      <c r="N1551" s="57" t="n"/>
      <c r="O1551" s="55" t="n"/>
      <c r="P1551" s="56" t="n"/>
      <c r="Q1551" s="55" t="n"/>
      <c r="R1551" s="55" t="n"/>
      <c r="S1551" s="55" t="n"/>
      <c r="T1551" s="55" t="n"/>
      <c r="U1551" s="55" t="n"/>
      <c r="V1551" s="55" t="n"/>
      <c r="W1551" s="58" t="n"/>
      <c r="X1551" s="58" t="n"/>
      <c r="Y1551" s="55" t="n"/>
      <c r="Z1551" s="55" t="n"/>
      <c r="AA1551" s="55" t="n"/>
      <c r="AB1551" s="55" t="n"/>
      <c r="AC1551" s="55" t="n"/>
      <c r="AD1551" s="53" t="n"/>
      <c r="AE1551" s="55" t="n"/>
      <c r="AF1551" s="55" t="n"/>
      <c r="AG1551" s="59" t="n"/>
      <c r="AH1551" s="57" t="n"/>
      <c r="AI1551" s="55" t="n"/>
      <c r="AJ1551" s="55" t="n"/>
      <c r="AK1551" s="55" t="n"/>
      <c r="AL1551" s="55" t="n"/>
      <c r="AM1551" s="56" t="n"/>
      <c r="AN1551" s="55" t="n"/>
      <c r="AO1551" s="55" t="n"/>
      <c r="AP1551" s="55" t="n"/>
      <c r="AQ1551" s="55" t="n"/>
      <c r="AR1551" s="60">
        <f>IF(AND(C1551="",E1551=""),"",IF(A1551="","⚠ Date manquante",IF(AND(C1551="",E1551&lt;&gt;"Dépense"),"⚠ Prospect manquant",IF(E1551="","⚠ Action manquante",IF(AND(AU1551=1,D1551=""),"⚠ Canal manquant",IF(AND(W1551&lt;&gt;"",COUNTIFS('Saisie'!$W$5:$W$2004,W1551,'Saisie'!$C$5:$C$2004,"&lt;&gt;"&amp;C1551)&gt;0),"⚠ Numéro déjà utilisé par un autre prospect",IF(AND(J1551&lt;&gt;"",J1551&lt;A1551),"⚠ Relance avant la date de l'action",IF(A1551&gt;TODAY(),"⚠ Date dans le futur","✓"))))))))</f>
        <v/>
      </c>
      <c r="AS1551" s="61">
        <f>IF(AND(A1551="",C1551="",E1551=""),"",ROW())</f>
        <v/>
      </c>
      <c r="AT1551" s="61">
        <f>IF(E1551&amp;F1551="","",MAX(IFERROR(INDEX('Paramètres'!$J$6:$J$33,MATCH(E1551,'Paramètres'!$I$6:$I$33,0)),0),IFERROR(INDEX('Paramètres'!$N$6:$N$17,MATCH(F1551,'Paramètres'!$M$6:$M$17,0)),0)))</f>
        <v/>
      </c>
      <c r="AU1551" s="61">
        <f>IF(E1551="","",IFERROR(IF(INDEX('Paramètres'!$K$6:$K$33,MATCH(E1551,'Paramètres'!$I$6:$I$33,0))="Oui",1,0),0))</f>
        <v/>
      </c>
      <c r="AV1551" s="61">
        <f>IF(F1551="","",IFERROR(IF(INDEX('Paramètres'!$O$6:$O$17,MATCH(F1551,'Paramètres'!$M$6:$M$17,0))="Oui",1,0),0))</f>
        <v/>
      </c>
      <c r="AW1551" s="62">
        <f>IF(E1551="","",IF(G1551&lt;&gt;"",G1551,IF(OR(E1551="Proposition envoyée",E1551="Signature"),MAX(0,N(IFERROR(INDEX('Paramètres'!$R$6:$R$15,MATCH(IF(AL1551&lt;&gt;"",AL1551,IFERROR(INDEX('Prospects'!$AN$5:$AN$504,MATCH(C1551,'Prospects'!$C$5:$C$504,0)),"")),'Paramètres'!$Q$6:$Q$15,0)),0))-N(P1551)),0)))</f>
        <v/>
      </c>
      <c r="AX1551" s="61">
        <f>IF(C1551="","",IF(COUNTIF($C$5:C1551,C1551)=1,MAX($AX$4:AX1550)+1,""))</f>
        <v/>
      </c>
      <c r="AY1551" s="61">
        <f>IF(B1551="","",HOUR(B1551))</f>
        <v/>
      </c>
      <c r="AZ1551" s="61">
        <f>IF(A1551="","",MOD(A1551-2,7)+1)</f>
        <v/>
      </c>
      <c r="BA1551" s="60">
        <f>IF(C1551="","",IFERROR(INDEX('Prospects'!$N$5:$N$504,MATCH(C1551,'Prospects'!$C$5:$C$504,0)),""))</f>
        <v/>
      </c>
      <c r="BB1551" s="61">
        <f>IF(AND(C1551&lt;&gt;"",C1551='Fiche prospect'!$C$4),COUNTIF($C$5:C1551,C1551),"")</f>
        <v/>
      </c>
    </row>
    <row r="1552">
      <c r="A1552" s="53" t="n"/>
      <c r="B1552" s="54" t="n"/>
      <c r="C1552" s="55" t="n"/>
      <c r="D1552" s="55" t="n"/>
      <c r="E1552" s="55" t="n"/>
      <c r="F1552" s="55" t="n"/>
      <c r="G1552" s="56" t="n"/>
      <c r="H1552" s="57" t="n"/>
      <c r="I1552" s="55" t="n"/>
      <c r="J1552" s="53" t="n"/>
      <c r="K1552" s="54" t="n"/>
      <c r="L1552" s="55" t="n"/>
      <c r="M1552" s="55" t="n"/>
      <c r="N1552" s="57" t="n"/>
      <c r="O1552" s="55" t="n"/>
      <c r="P1552" s="56" t="n"/>
      <c r="Q1552" s="55" t="n"/>
      <c r="R1552" s="55" t="n"/>
      <c r="S1552" s="55" t="n"/>
      <c r="T1552" s="55" t="n"/>
      <c r="U1552" s="55" t="n"/>
      <c r="V1552" s="55" t="n"/>
      <c r="W1552" s="58" t="n"/>
      <c r="X1552" s="58" t="n"/>
      <c r="Y1552" s="55" t="n"/>
      <c r="Z1552" s="55" t="n"/>
      <c r="AA1552" s="55" t="n"/>
      <c r="AB1552" s="55" t="n"/>
      <c r="AC1552" s="55" t="n"/>
      <c r="AD1552" s="53" t="n"/>
      <c r="AE1552" s="55" t="n"/>
      <c r="AF1552" s="55" t="n"/>
      <c r="AG1552" s="59" t="n"/>
      <c r="AH1552" s="57" t="n"/>
      <c r="AI1552" s="55" t="n"/>
      <c r="AJ1552" s="55" t="n"/>
      <c r="AK1552" s="55" t="n"/>
      <c r="AL1552" s="55" t="n"/>
      <c r="AM1552" s="56" t="n"/>
      <c r="AN1552" s="55" t="n"/>
      <c r="AO1552" s="55" t="n"/>
      <c r="AP1552" s="55" t="n"/>
      <c r="AQ1552" s="55" t="n"/>
      <c r="AR1552" s="60">
        <f>IF(AND(C1552="",E1552=""),"",IF(A1552="","⚠ Date manquante",IF(AND(C1552="",E1552&lt;&gt;"Dépense"),"⚠ Prospect manquant",IF(E1552="","⚠ Action manquante",IF(AND(AU1552=1,D1552=""),"⚠ Canal manquant",IF(AND(W1552&lt;&gt;"",COUNTIFS('Saisie'!$W$5:$W$2004,W1552,'Saisie'!$C$5:$C$2004,"&lt;&gt;"&amp;C1552)&gt;0),"⚠ Numéro déjà utilisé par un autre prospect",IF(AND(J1552&lt;&gt;"",J1552&lt;A1552),"⚠ Relance avant la date de l'action",IF(A1552&gt;TODAY(),"⚠ Date dans le futur","✓"))))))))</f>
        <v/>
      </c>
      <c r="AS1552" s="61">
        <f>IF(AND(A1552="",C1552="",E1552=""),"",ROW())</f>
        <v/>
      </c>
      <c r="AT1552" s="61">
        <f>IF(E1552&amp;F1552="","",MAX(IFERROR(INDEX('Paramètres'!$J$6:$J$33,MATCH(E1552,'Paramètres'!$I$6:$I$33,0)),0),IFERROR(INDEX('Paramètres'!$N$6:$N$17,MATCH(F1552,'Paramètres'!$M$6:$M$17,0)),0)))</f>
        <v/>
      </c>
      <c r="AU1552" s="61">
        <f>IF(E1552="","",IFERROR(IF(INDEX('Paramètres'!$K$6:$K$33,MATCH(E1552,'Paramètres'!$I$6:$I$33,0))="Oui",1,0),0))</f>
        <v/>
      </c>
      <c r="AV1552" s="61">
        <f>IF(F1552="","",IFERROR(IF(INDEX('Paramètres'!$O$6:$O$17,MATCH(F1552,'Paramètres'!$M$6:$M$17,0))="Oui",1,0),0))</f>
        <v/>
      </c>
      <c r="AW1552" s="62">
        <f>IF(E1552="","",IF(G1552&lt;&gt;"",G1552,IF(OR(E1552="Proposition envoyée",E1552="Signature"),MAX(0,N(IFERROR(INDEX('Paramètres'!$R$6:$R$15,MATCH(IF(AL1552&lt;&gt;"",AL1552,IFERROR(INDEX('Prospects'!$AN$5:$AN$504,MATCH(C1552,'Prospects'!$C$5:$C$504,0)),"")),'Paramètres'!$Q$6:$Q$15,0)),0))-N(P1552)),0)))</f>
        <v/>
      </c>
      <c r="AX1552" s="61">
        <f>IF(C1552="","",IF(COUNTIF($C$5:C1552,C1552)=1,MAX($AX$4:AX1551)+1,""))</f>
        <v/>
      </c>
      <c r="AY1552" s="61">
        <f>IF(B1552="","",HOUR(B1552))</f>
        <v/>
      </c>
      <c r="AZ1552" s="61">
        <f>IF(A1552="","",MOD(A1552-2,7)+1)</f>
        <v/>
      </c>
      <c r="BA1552" s="60">
        <f>IF(C1552="","",IFERROR(INDEX('Prospects'!$N$5:$N$504,MATCH(C1552,'Prospects'!$C$5:$C$504,0)),""))</f>
        <v/>
      </c>
      <c r="BB1552" s="61">
        <f>IF(AND(C1552&lt;&gt;"",C1552='Fiche prospect'!$C$4),COUNTIF($C$5:C1552,C1552),"")</f>
        <v/>
      </c>
    </row>
    <row r="1553">
      <c r="A1553" s="53" t="n"/>
      <c r="B1553" s="54" t="n"/>
      <c r="C1553" s="55" t="n"/>
      <c r="D1553" s="55" t="n"/>
      <c r="E1553" s="55" t="n"/>
      <c r="F1553" s="55" t="n"/>
      <c r="G1553" s="56" t="n"/>
      <c r="H1553" s="57" t="n"/>
      <c r="I1553" s="55" t="n"/>
      <c r="J1553" s="53" t="n"/>
      <c r="K1553" s="54" t="n"/>
      <c r="L1553" s="55" t="n"/>
      <c r="M1553" s="55" t="n"/>
      <c r="N1553" s="57" t="n"/>
      <c r="O1553" s="55" t="n"/>
      <c r="P1553" s="56" t="n"/>
      <c r="Q1553" s="55" t="n"/>
      <c r="R1553" s="55" t="n"/>
      <c r="S1553" s="55" t="n"/>
      <c r="T1553" s="55" t="n"/>
      <c r="U1553" s="55" t="n"/>
      <c r="V1553" s="55" t="n"/>
      <c r="W1553" s="58" t="n"/>
      <c r="X1553" s="58" t="n"/>
      <c r="Y1553" s="55" t="n"/>
      <c r="Z1553" s="55" t="n"/>
      <c r="AA1553" s="55" t="n"/>
      <c r="AB1553" s="55" t="n"/>
      <c r="AC1553" s="55" t="n"/>
      <c r="AD1553" s="53" t="n"/>
      <c r="AE1553" s="55" t="n"/>
      <c r="AF1553" s="55" t="n"/>
      <c r="AG1553" s="59" t="n"/>
      <c r="AH1553" s="57" t="n"/>
      <c r="AI1553" s="55" t="n"/>
      <c r="AJ1553" s="55" t="n"/>
      <c r="AK1553" s="55" t="n"/>
      <c r="AL1553" s="55" t="n"/>
      <c r="AM1553" s="56" t="n"/>
      <c r="AN1553" s="55" t="n"/>
      <c r="AO1553" s="55" t="n"/>
      <c r="AP1553" s="55" t="n"/>
      <c r="AQ1553" s="55" t="n"/>
      <c r="AR1553" s="60">
        <f>IF(AND(C1553="",E1553=""),"",IF(A1553="","⚠ Date manquante",IF(AND(C1553="",E1553&lt;&gt;"Dépense"),"⚠ Prospect manquant",IF(E1553="","⚠ Action manquante",IF(AND(AU1553=1,D1553=""),"⚠ Canal manquant",IF(AND(W1553&lt;&gt;"",COUNTIFS('Saisie'!$W$5:$W$2004,W1553,'Saisie'!$C$5:$C$2004,"&lt;&gt;"&amp;C1553)&gt;0),"⚠ Numéro déjà utilisé par un autre prospect",IF(AND(J1553&lt;&gt;"",J1553&lt;A1553),"⚠ Relance avant la date de l'action",IF(A1553&gt;TODAY(),"⚠ Date dans le futur","✓"))))))))</f>
        <v/>
      </c>
      <c r="AS1553" s="61">
        <f>IF(AND(A1553="",C1553="",E1553=""),"",ROW())</f>
        <v/>
      </c>
      <c r="AT1553" s="61">
        <f>IF(E1553&amp;F1553="","",MAX(IFERROR(INDEX('Paramètres'!$J$6:$J$33,MATCH(E1553,'Paramètres'!$I$6:$I$33,0)),0),IFERROR(INDEX('Paramètres'!$N$6:$N$17,MATCH(F1553,'Paramètres'!$M$6:$M$17,0)),0)))</f>
        <v/>
      </c>
      <c r="AU1553" s="61">
        <f>IF(E1553="","",IFERROR(IF(INDEX('Paramètres'!$K$6:$K$33,MATCH(E1553,'Paramètres'!$I$6:$I$33,0))="Oui",1,0),0))</f>
        <v/>
      </c>
      <c r="AV1553" s="61">
        <f>IF(F1553="","",IFERROR(IF(INDEX('Paramètres'!$O$6:$O$17,MATCH(F1553,'Paramètres'!$M$6:$M$17,0))="Oui",1,0),0))</f>
        <v/>
      </c>
      <c r="AW1553" s="62">
        <f>IF(E1553="","",IF(G1553&lt;&gt;"",G1553,IF(OR(E1553="Proposition envoyée",E1553="Signature"),MAX(0,N(IFERROR(INDEX('Paramètres'!$R$6:$R$15,MATCH(IF(AL1553&lt;&gt;"",AL1553,IFERROR(INDEX('Prospects'!$AN$5:$AN$504,MATCH(C1553,'Prospects'!$C$5:$C$504,0)),"")),'Paramètres'!$Q$6:$Q$15,0)),0))-N(P1553)),0)))</f>
        <v/>
      </c>
      <c r="AX1553" s="61">
        <f>IF(C1553="","",IF(COUNTIF($C$5:C1553,C1553)=1,MAX($AX$4:AX1552)+1,""))</f>
        <v/>
      </c>
      <c r="AY1553" s="61">
        <f>IF(B1553="","",HOUR(B1553))</f>
        <v/>
      </c>
      <c r="AZ1553" s="61">
        <f>IF(A1553="","",MOD(A1553-2,7)+1)</f>
        <v/>
      </c>
      <c r="BA1553" s="60">
        <f>IF(C1553="","",IFERROR(INDEX('Prospects'!$N$5:$N$504,MATCH(C1553,'Prospects'!$C$5:$C$504,0)),""))</f>
        <v/>
      </c>
      <c r="BB1553" s="61">
        <f>IF(AND(C1553&lt;&gt;"",C1553='Fiche prospect'!$C$4),COUNTIF($C$5:C1553,C1553),"")</f>
        <v/>
      </c>
    </row>
    <row r="1554">
      <c r="A1554" s="53" t="n"/>
      <c r="B1554" s="54" t="n"/>
      <c r="C1554" s="55" t="n"/>
      <c r="D1554" s="55" t="n"/>
      <c r="E1554" s="55" t="n"/>
      <c r="F1554" s="55" t="n"/>
      <c r="G1554" s="56" t="n"/>
      <c r="H1554" s="57" t="n"/>
      <c r="I1554" s="55" t="n"/>
      <c r="J1554" s="53" t="n"/>
      <c r="K1554" s="54" t="n"/>
      <c r="L1554" s="55" t="n"/>
      <c r="M1554" s="55" t="n"/>
      <c r="N1554" s="57" t="n"/>
      <c r="O1554" s="55" t="n"/>
      <c r="P1554" s="56" t="n"/>
      <c r="Q1554" s="55" t="n"/>
      <c r="R1554" s="55" t="n"/>
      <c r="S1554" s="55" t="n"/>
      <c r="T1554" s="55" t="n"/>
      <c r="U1554" s="55" t="n"/>
      <c r="V1554" s="55" t="n"/>
      <c r="W1554" s="58" t="n"/>
      <c r="X1554" s="58" t="n"/>
      <c r="Y1554" s="55" t="n"/>
      <c r="Z1554" s="55" t="n"/>
      <c r="AA1554" s="55" t="n"/>
      <c r="AB1554" s="55" t="n"/>
      <c r="AC1554" s="55" t="n"/>
      <c r="AD1554" s="53" t="n"/>
      <c r="AE1554" s="55" t="n"/>
      <c r="AF1554" s="55" t="n"/>
      <c r="AG1554" s="59" t="n"/>
      <c r="AH1554" s="57" t="n"/>
      <c r="AI1554" s="55" t="n"/>
      <c r="AJ1554" s="55" t="n"/>
      <c r="AK1554" s="55" t="n"/>
      <c r="AL1554" s="55" t="n"/>
      <c r="AM1554" s="56" t="n"/>
      <c r="AN1554" s="55" t="n"/>
      <c r="AO1554" s="55" t="n"/>
      <c r="AP1554" s="55" t="n"/>
      <c r="AQ1554" s="55" t="n"/>
      <c r="AR1554" s="60">
        <f>IF(AND(C1554="",E1554=""),"",IF(A1554="","⚠ Date manquante",IF(AND(C1554="",E1554&lt;&gt;"Dépense"),"⚠ Prospect manquant",IF(E1554="","⚠ Action manquante",IF(AND(AU1554=1,D1554=""),"⚠ Canal manquant",IF(AND(W1554&lt;&gt;"",COUNTIFS('Saisie'!$W$5:$W$2004,W1554,'Saisie'!$C$5:$C$2004,"&lt;&gt;"&amp;C1554)&gt;0),"⚠ Numéro déjà utilisé par un autre prospect",IF(AND(J1554&lt;&gt;"",J1554&lt;A1554),"⚠ Relance avant la date de l'action",IF(A1554&gt;TODAY(),"⚠ Date dans le futur","✓"))))))))</f>
        <v/>
      </c>
      <c r="AS1554" s="61">
        <f>IF(AND(A1554="",C1554="",E1554=""),"",ROW())</f>
        <v/>
      </c>
      <c r="AT1554" s="61">
        <f>IF(E1554&amp;F1554="","",MAX(IFERROR(INDEX('Paramètres'!$J$6:$J$33,MATCH(E1554,'Paramètres'!$I$6:$I$33,0)),0),IFERROR(INDEX('Paramètres'!$N$6:$N$17,MATCH(F1554,'Paramètres'!$M$6:$M$17,0)),0)))</f>
        <v/>
      </c>
      <c r="AU1554" s="61">
        <f>IF(E1554="","",IFERROR(IF(INDEX('Paramètres'!$K$6:$K$33,MATCH(E1554,'Paramètres'!$I$6:$I$33,0))="Oui",1,0),0))</f>
        <v/>
      </c>
      <c r="AV1554" s="61">
        <f>IF(F1554="","",IFERROR(IF(INDEX('Paramètres'!$O$6:$O$17,MATCH(F1554,'Paramètres'!$M$6:$M$17,0))="Oui",1,0),0))</f>
        <v/>
      </c>
      <c r="AW1554" s="62">
        <f>IF(E1554="","",IF(G1554&lt;&gt;"",G1554,IF(OR(E1554="Proposition envoyée",E1554="Signature"),MAX(0,N(IFERROR(INDEX('Paramètres'!$R$6:$R$15,MATCH(IF(AL1554&lt;&gt;"",AL1554,IFERROR(INDEX('Prospects'!$AN$5:$AN$504,MATCH(C1554,'Prospects'!$C$5:$C$504,0)),"")),'Paramètres'!$Q$6:$Q$15,0)),0))-N(P1554)),0)))</f>
        <v/>
      </c>
      <c r="AX1554" s="61">
        <f>IF(C1554="","",IF(COUNTIF($C$5:C1554,C1554)=1,MAX($AX$4:AX1553)+1,""))</f>
        <v/>
      </c>
      <c r="AY1554" s="61">
        <f>IF(B1554="","",HOUR(B1554))</f>
        <v/>
      </c>
      <c r="AZ1554" s="61">
        <f>IF(A1554="","",MOD(A1554-2,7)+1)</f>
        <v/>
      </c>
      <c r="BA1554" s="60">
        <f>IF(C1554="","",IFERROR(INDEX('Prospects'!$N$5:$N$504,MATCH(C1554,'Prospects'!$C$5:$C$504,0)),""))</f>
        <v/>
      </c>
      <c r="BB1554" s="61">
        <f>IF(AND(C1554&lt;&gt;"",C1554='Fiche prospect'!$C$4),COUNTIF($C$5:C1554,C1554),"")</f>
        <v/>
      </c>
    </row>
    <row r="1555">
      <c r="A1555" s="53" t="n"/>
      <c r="B1555" s="54" t="n"/>
      <c r="C1555" s="55" t="n"/>
      <c r="D1555" s="55" t="n"/>
      <c r="E1555" s="55" t="n"/>
      <c r="F1555" s="55" t="n"/>
      <c r="G1555" s="56" t="n"/>
      <c r="H1555" s="57" t="n"/>
      <c r="I1555" s="55" t="n"/>
      <c r="J1555" s="53" t="n"/>
      <c r="K1555" s="54" t="n"/>
      <c r="L1555" s="55" t="n"/>
      <c r="M1555" s="55" t="n"/>
      <c r="N1555" s="57" t="n"/>
      <c r="O1555" s="55" t="n"/>
      <c r="P1555" s="56" t="n"/>
      <c r="Q1555" s="55" t="n"/>
      <c r="R1555" s="55" t="n"/>
      <c r="S1555" s="55" t="n"/>
      <c r="T1555" s="55" t="n"/>
      <c r="U1555" s="55" t="n"/>
      <c r="V1555" s="55" t="n"/>
      <c r="W1555" s="58" t="n"/>
      <c r="X1555" s="58" t="n"/>
      <c r="Y1555" s="55" t="n"/>
      <c r="Z1555" s="55" t="n"/>
      <c r="AA1555" s="55" t="n"/>
      <c r="AB1555" s="55" t="n"/>
      <c r="AC1555" s="55" t="n"/>
      <c r="AD1555" s="53" t="n"/>
      <c r="AE1555" s="55" t="n"/>
      <c r="AF1555" s="55" t="n"/>
      <c r="AG1555" s="59" t="n"/>
      <c r="AH1555" s="57" t="n"/>
      <c r="AI1555" s="55" t="n"/>
      <c r="AJ1555" s="55" t="n"/>
      <c r="AK1555" s="55" t="n"/>
      <c r="AL1555" s="55" t="n"/>
      <c r="AM1555" s="56" t="n"/>
      <c r="AN1555" s="55" t="n"/>
      <c r="AO1555" s="55" t="n"/>
      <c r="AP1555" s="55" t="n"/>
      <c r="AQ1555" s="55" t="n"/>
      <c r="AR1555" s="60">
        <f>IF(AND(C1555="",E1555=""),"",IF(A1555="","⚠ Date manquante",IF(AND(C1555="",E1555&lt;&gt;"Dépense"),"⚠ Prospect manquant",IF(E1555="","⚠ Action manquante",IF(AND(AU1555=1,D1555=""),"⚠ Canal manquant",IF(AND(W1555&lt;&gt;"",COUNTIFS('Saisie'!$W$5:$W$2004,W1555,'Saisie'!$C$5:$C$2004,"&lt;&gt;"&amp;C1555)&gt;0),"⚠ Numéro déjà utilisé par un autre prospect",IF(AND(J1555&lt;&gt;"",J1555&lt;A1555),"⚠ Relance avant la date de l'action",IF(A1555&gt;TODAY(),"⚠ Date dans le futur","✓"))))))))</f>
        <v/>
      </c>
      <c r="AS1555" s="61">
        <f>IF(AND(A1555="",C1555="",E1555=""),"",ROW())</f>
        <v/>
      </c>
      <c r="AT1555" s="61">
        <f>IF(E1555&amp;F1555="","",MAX(IFERROR(INDEX('Paramètres'!$J$6:$J$33,MATCH(E1555,'Paramètres'!$I$6:$I$33,0)),0),IFERROR(INDEX('Paramètres'!$N$6:$N$17,MATCH(F1555,'Paramètres'!$M$6:$M$17,0)),0)))</f>
        <v/>
      </c>
      <c r="AU1555" s="61">
        <f>IF(E1555="","",IFERROR(IF(INDEX('Paramètres'!$K$6:$K$33,MATCH(E1555,'Paramètres'!$I$6:$I$33,0))="Oui",1,0),0))</f>
        <v/>
      </c>
      <c r="AV1555" s="61">
        <f>IF(F1555="","",IFERROR(IF(INDEX('Paramètres'!$O$6:$O$17,MATCH(F1555,'Paramètres'!$M$6:$M$17,0))="Oui",1,0),0))</f>
        <v/>
      </c>
      <c r="AW1555" s="62">
        <f>IF(E1555="","",IF(G1555&lt;&gt;"",G1555,IF(OR(E1555="Proposition envoyée",E1555="Signature"),MAX(0,N(IFERROR(INDEX('Paramètres'!$R$6:$R$15,MATCH(IF(AL1555&lt;&gt;"",AL1555,IFERROR(INDEX('Prospects'!$AN$5:$AN$504,MATCH(C1555,'Prospects'!$C$5:$C$504,0)),"")),'Paramètres'!$Q$6:$Q$15,0)),0))-N(P1555)),0)))</f>
        <v/>
      </c>
      <c r="AX1555" s="61">
        <f>IF(C1555="","",IF(COUNTIF($C$5:C1555,C1555)=1,MAX($AX$4:AX1554)+1,""))</f>
        <v/>
      </c>
      <c r="AY1555" s="61">
        <f>IF(B1555="","",HOUR(B1555))</f>
        <v/>
      </c>
      <c r="AZ1555" s="61">
        <f>IF(A1555="","",MOD(A1555-2,7)+1)</f>
        <v/>
      </c>
      <c r="BA1555" s="60">
        <f>IF(C1555="","",IFERROR(INDEX('Prospects'!$N$5:$N$504,MATCH(C1555,'Prospects'!$C$5:$C$504,0)),""))</f>
        <v/>
      </c>
      <c r="BB1555" s="61">
        <f>IF(AND(C1555&lt;&gt;"",C1555='Fiche prospect'!$C$4),COUNTIF($C$5:C1555,C1555),"")</f>
        <v/>
      </c>
    </row>
    <row r="1556">
      <c r="A1556" s="53" t="n"/>
      <c r="B1556" s="54" t="n"/>
      <c r="C1556" s="55" t="n"/>
      <c r="D1556" s="55" t="n"/>
      <c r="E1556" s="55" t="n"/>
      <c r="F1556" s="55" t="n"/>
      <c r="G1556" s="56" t="n"/>
      <c r="H1556" s="57" t="n"/>
      <c r="I1556" s="55" t="n"/>
      <c r="J1556" s="53" t="n"/>
      <c r="K1556" s="54" t="n"/>
      <c r="L1556" s="55" t="n"/>
      <c r="M1556" s="55" t="n"/>
      <c r="N1556" s="57" t="n"/>
      <c r="O1556" s="55" t="n"/>
      <c r="P1556" s="56" t="n"/>
      <c r="Q1556" s="55" t="n"/>
      <c r="R1556" s="55" t="n"/>
      <c r="S1556" s="55" t="n"/>
      <c r="T1556" s="55" t="n"/>
      <c r="U1556" s="55" t="n"/>
      <c r="V1556" s="55" t="n"/>
      <c r="W1556" s="58" t="n"/>
      <c r="X1556" s="58" t="n"/>
      <c r="Y1556" s="55" t="n"/>
      <c r="Z1556" s="55" t="n"/>
      <c r="AA1556" s="55" t="n"/>
      <c r="AB1556" s="55" t="n"/>
      <c r="AC1556" s="55" t="n"/>
      <c r="AD1556" s="53" t="n"/>
      <c r="AE1556" s="55" t="n"/>
      <c r="AF1556" s="55" t="n"/>
      <c r="AG1556" s="59" t="n"/>
      <c r="AH1556" s="57" t="n"/>
      <c r="AI1556" s="55" t="n"/>
      <c r="AJ1556" s="55" t="n"/>
      <c r="AK1556" s="55" t="n"/>
      <c r="AL1556" s="55" t="n"/>
      <c r="AM1556" s="56" t="n"/>
      <c r="AN1556" s="55" t="n"/>
      <c r="AO1556" s="55" t="n"/>
      <c r="AP1556" s="55" t="n"/>
      <c r="AQ1556" s="55" t="n"/>
      <c r="AR1556" s="60">
        <f>IF(AND(C1556="",E1556=""),"",IF(A1556="","⚠ Date manquante",IF(AND(C1556="",E1556&lt;&gt;"Dépense"),"⚠ Prospect manquant",IF(E1556="","⚠ Action manquante",IF(AND(AU1556=1,D1556=""),"⚠ Canal manquant",IF(AND(W1556&lt;&gt;"",COUNTIFS('Saisie'!$W$5:$W$2004,W1556,'Saisie'!$C$5:$C$2004,"&lt;&gt;"&amp;C1556)&gt;0),"⚠ Numéro déjà utilisé par un autre prospect",IF(AND(J1556&lt;&gt;"",J1556&lt;A1556),"⚠ Relance avant la date de l'action",IF(A1556&gt;TODAY(),"⚠ Date dans le futur","✓"))))))))</f>
        <v/>
      </c>
      <c r="AS1556" s="61">
        <f>IF(AND(A1556="",C1556="",E1556=""),"",ROW())</f>
        <v/>
      </c>
      <c r="AT1556" s="61">
        <f>IF(E1556&amp;F1556="","",MAX(IFERROR(INDEX('Paramètres'!$J$6:$J$33,MATCH(E1556,'Paramètres'!$I$6:$I$33,0)),0),IFERROR(INDEX('Paramètres'!$N$6:$N$17,MATCH(F1556,'Paramètres'!$M$6:$M$17,0)),0)))</f>
        <v/>
      </c>
      <c r="AU1556" s="61">
        <f>IF(E1556="","",IFERROR(IF(INDEX('Paramètres'!$K$6:$K$33,MATCH(E1556,'Paramètres'!$I$6:$I$33,0))="Oui",1,0),0))</f>
        <v/>
      </c>
      <c r="AV1556" s="61">
        <f>IF(F1556="","",IFERROR(IF(INDEX('Paramètres'!$O$6:$O$17,MATCH(F1556,'Paramètres'!$M$6:$M$17,0))="Oui",1,0),0))</f>
        <v/>
      </c>
      <c r="AW1556" s="62">
        <f>IF(E1556="","",IF(G1556&lt;&gt;"",G1556,IF(OR(E1556="Proposition envoyée",E1556="Signature"),MAX(0,N(IFERROR(INDEX('Paramètres'!$R$6:$R$15,MATCH(IF(AL1556&lt;&gt;"",AL1556,IFERROR(INDEX('Prospects'!$AN$5:$AN$504,MATCH(C1556,'Prospects'!$C$5:$C$504,0)),"")),'Paramètres'!$Q$6:$Q$15,0)),0))-N(P1556)),0)))</f>
        <v/>
      </c>
      <c r="AX1556" s="61">
        <f>IF(C1556="","",IF(COUNTIF($C$5:C1556,C1556)=1,MAX($AX$4:AX1555)+1,""))</f>
        <v/>
      </c>
      <c r="AY1556" s="61">
        <f>IF(B1556="","",HOUR(B1556))</f>
        <v/>
      </c>
      <c r="AZ1556" s="61">
        <f>IF(A1556="","",MOD(A1556-2,7)+1)</f>
        <v/>
      </c>
      <c r="BA1556" s="60">
        <f>IF(C1556="","",IFERROR(INDEX('Prospects'!$N$5:$N$504,MATCH(C1556,'Prospects'!$C$5:$C$504,0)),""))</f>
        <v/>
      </c>
      <c r="BB1556" s="61">
        <f>IF(AND(C1556&lt;&gt;"",C1556='Fiche prospect'!$C$4),COUNTIF($C$5:C1556,C1556),"")</f>
        <v/>
      </c>
    </row>
    <row r="1557">
      <c r="A1557" s="53" t="n"/>
      <c r="B1557" s="54" t="n"/>
      <c r="C1557" s="55" t="n"/>
      <c r="D1557" s="55" t="n"/>
      <c r="E1557" s="55" t="n"/>
      <c r="F1557" s="55" t="n"/>
      <c r="G1557" s="56" t="n"/>
      <c r="H1557" s="57" t="n"/>
      <c r="I1557" s="55" t="n"/>
      <c r="J1557" s="53" t="n"/>
      <c r="K1557" s="54" t="n"/>
      <c r="L1557" s="55" t="n"/>
      <c r="M1557" s="55" t="n"/>
      <c r="N1557" s="57" t="n"/>
      <c r="O1557" s="55" t="n"/>
      <c r="P1557" s="56" t="n"/>
      <c r="Q1557" s="55" t="n"/>
      <c r="R1557" s="55" t="n"/>
      <c r="S1557" s="55" t="n"/>
      <c r="T1557" s="55" t="n"/>
      <c r="U1557" s="55" t="n"/>
      <c r="V1557" s="55" t="n"/>
      <c r="W1557" s="58" t="n"/>
      <c r="X1557" s="58" t="n"/>
      <c r="Y1557" s="55" t="n"/>
      <c r="Z1557" s="55" t="n"/>
      <c r="AA1557" s="55" t="n"/>
      <c r="AB1557" s="55" t="n"/>
      <c r="AC1557" s="55" t="n"/>
      <c r="AD1557" s="53" t="n"/>
      <c r="AE1557" s="55" t="n"/>
      <c r="AF1557" s="55" t="n"/>
      <c r="AG1557" s="59" t="n"/>
      <c r="AH1557" s="57" t="n"/>
      <c r="AI1557" s="55" t="n"/>
      <c r="AJ1557" s="55" t="n"/>
      <c r="AK1557" s="55" t="n"/>
      <c r="AL1557" s="55" t="n"/>
      <c r="AM1557" s="56" t="n"/>
      <c r="AN1557" s="55" t="n"/>
      <c r="AO1557" s="55" t="n"/>
      <c r="AP1557" s="55" t="n"/>
      <c r="AQ1557" s="55" t="n"/>
      <c r="AR1557" s="60">
        <f>IF(AND(C1557="",E1557=""),"",IF(A1557="","⚠ Date manquante",IF(AND(C1557="",E1557&lt;&gt;"Dépense"),"⚠ Prospect manquant",IF(E1557="","⚠ Action manquante",IF(AND(AU1557=1,D1557=""),"⚠ Canal manquant",IF(AND(W1557&lt;&gt;"",COUNTIFS('Saisie'!$W$5:$W$2004,W1557,'Saisie'!$C$5:$C$2004,"&lt;&gt;"&amp;C1557)&gt;0),"⚠ Numéro déjà utilisé par un autre prospect",IF(AND(J1557&lt;&gt;"",J1557&lt;A1557),"⚠ Relance avant la date de l'action",IF(A1557&gt;TODAY(),"⚠ Date dans le futur","✓"))))))))</f>
        <v/>
      </c>
      <c r="AS1557" s="61">
        <f>IF(AND(A1557="",C1557="",E1557=""),"",ROW())</f>
        <v/>
      </c>
      <c r="AT1557" s="61">
        <f>IF(E1557&amp;F1557="","",MAX(IFERROR(INDEX('Paramètres'!$J$6:$J$33,MATCH(E1557,'Paramètres'!$I$6:$I$33,0)),0),IFERROR(INDEX('Paramètres'!$N$6:$N$17,MATCH(F1557,'Paramètres'!$M$6:$M$17,0)),0)))</f>
        <v/>
      </c>
      <c r="AU1557" s="61">
        <f>IF(E1557="","",IFERROR(IF(INDEX('Paramètres'!$K$6:$K$33,MATCH(E1557,'Paramètres'!$I$6:$I$33,0))="Oui",1,0),0))</f>
        <v/>
      </c>
      <c r="AV1557" s="61">
        <f>IF(F1557="","",IFERROR(IF(INDEX('Paramètres'!$O$6:$O$17,MATCH(F1557,'Paramètres'!$M$6:$M$17,0))="Oui",1,0),0))</f>
        <v/>
      </c>
      <c r="AW1557" s="62">
        <f>IF(E1557="","",IF(G1557&lt;&gt;"",G1557,IF(OR(E1557="Proposition envoyée",E1557="Signature"),MAX(0,N(IFERROR(INDEX('Paramètres'!$R$6:$R$15,MATCH(IF(AL1557&lt;&gt;"",AL1557,IFERROR(INDEX('Prospects'!$AN$5:$AN$504,MATCH(C1557,'Prospects'!$C$5:$C$504,0)),"")),'Paramètres'!$Q$6:$Q$15,0)),0))-N(P1557)),0)))</f>
        <v/>
      </c>
      <c r="AX1557" s="61">
        <f>IF(C1557="","",IF(COUNTIF($C$5:C1557,C1557)=1,MAX($AX$4:AX1556)+1,""))</f>
        <v/>
      </c>
      <c r="AY1557" s="61">
        <f>IF(B1557="","",HOUR(B1557))</f>
        <v/>
      </c>
      <c r="AZ1557" s="61">
        <f>IF(A1557="","",MOD(A1557-2,7)+1)</f>
        <v/>
      </c>
      <c r="BA1557" s="60">
        <f>IF(C1557="","",IFERROR(INDEX('Prospects'!$N$5:$N$504,MATCH(C1557,'Prospects'!$C$5:$C$504,0)),""))</f>
        <v/>
      </c>
      <c r="BB1557" s="61">
        <f>IF(AND(C1557&lt;&gt;"",C1557='Fiche prospect'!$C$4),COUNTIF($C$5:C1557,C1557),"")</f>
        <v/>
      </c>
    </row>
    <row r="1558">
      <c r="A1558" s="53" t="n"/>
      <c r="B1558" s="54" t="n"/>
      <c r="C1558" s="55" t="n"/>
      <c r="D1558" s="55" t="n"/>
      <c r="E1558" s="55" t="n"/>
      <c r="F1558" s="55" t="n"/>
      <c r="G1558" s="56" t="n"/>
      <c r="H1558" s="57" t="n"/>
      <c r="I1558" s="55" t="n"/>
      <c r="J1558" s="53" t="n"/>
      <c r="K1558" s="54" t="n"/>
      <c r="L1558" s="55" t="n"/>
      <c r="M1558" s="55" t="n"/>
      <c r="N1558" s="57" t="n"/>
      <c r="O1558" s="55" t="n"/>
      <c r="P1558" s="56" t="n"/>
      <c r="Q1558" s="55" t="n"/>
      <c r="R1558" s="55" t="n"/>
      <c r="S1558" s="55" t="n"/>
      <c r="T1558" s="55" t="n"/>
      <c r="U1558" s="55" t="n"/>
      <c r="V1558" s="55" t="n"/>
      <c r="W1558" s="58" t="n"/>
      <c r="X1558" s="58" t="n"/>
      <c r="Y1558" s="55" t="n"/>
      <c r="Z1558" s="55" t="n"/>
      <c r="AA1558" s="55" t="n"/>
      <c r="AB1558" s="55" t="n"/>
      <c r="AC1558" s="55" t="n"/>
      <c r="AD1558" s="53" t="n"/>
      <c r="AE1558" s="55" t="n"/>
      <c r="AF1558" s="55" t="n"/>
      <c r="AG1558" s="59" t="n"/>
      <c r="AH1558" s="57" t="n"/>
      <c r="AI1558" s="55" t="n"/>
      <c r="AJ1558" s="55" t="n"/>
      <c r="AK1558" s="55" t="n"/>
      <c r="AL1558" s="55" t="n"/>
      <c r="AM1558" s="56" t="n"/>
      <c r="AN1558" s="55" t="n"/>
      <c r="AO1558" s="55" t="n"/>
      <c r="AP1558" s="55" t="n"/>
      <c r="AQ1558" s="55" t="n"/>
      <c r="AR1558" s="60">
        <f>IF(AND(C1558="",E1558=""),"",IF(A1558="","⚠ Date manquante",IF(AND(C1558="",E1558&lt;&gt;"Dépense"),"⚠ Prospect manquant",IF(E1558="","⚠ Action manquante",IF(AND(AU1558=1,D1558=""),"⚠ Canal manquant",IF(AND(W1558&lt;&gt;"",COUNTIFS('Saisie'!$W$5:$W$2004,W1558,'Saisie'!$C$5:$C$2004,"&lt;&gt;"&amp;C1558)&gt;0),"⚠ Numéro déjà utilisé par un autre prospect",IF(AND(J1558&lt;&gt;"",J1558&lt;A1558),"⚠ Relance avant la date de l'action",IF(A1558&gt;TODAY(),"⚠ Date dans le futur","✓"))))))))</f>
        <v/>
      </c>
      <c r="AS1558" s="61">
        <f>IF(AND(A1558="",C1558="",E1558=""),"",ROW())</f>
        <v/>
      </c>
      <c r="AT1558" s="61">
        <f>IF(E1558&amp;F1558="","",MAX(IFERROR(INDEX('Paramètres'!$J$6:$J$33,MATCH(E1558,'Paramètres'!$I$6:$I$33,0)),0),IFERROR(INDEX('Paramètres'!$N$6:$N$17,MATCH(F1558,'Paramètres'!$M$6:$M$17,0)),0)))</f>
        <v/>
      </c>
      <c r="AU1558" s="61">
        <f>IF(E1558="","",IFERROR(IF(INDEX('Paramètres'!$K$6:$K$33,MATCH(E1558,'Paramètres'!$I$6:$I$33,0))="Oui",1,0),0))</f>
        <v/>
      </c>
      <c r="AV1558" s="61">
        <f>IF(F1558="","",IFERROR(IF(INDEX('Paramètres'!$O$6:$O$17,MATCH(F1558,'Paramètres'!$M$6:$M$17,0))="Oui",1,0),0))</f>
        <v/>
      </c>
      <c r="AW1558" s="62">
        <f>IF(E1558="","",IF(G1558&lt;&gt;"",G1558,IF(OR(E1558="Proposition envoyée",E1558="Signature"),MAX(0,N(IFERROR(INDEX('Paramètres'!$R$6:$R$15,MATCH(IF(AL1558&lt;&gt;"",AL1558,IFERROR(INDEX('Prospects'!$AN$5:$AN$504,MATCH(C1558,'Prospects'!$C$5:$C$504,0)),"")),'Paramètres'!$Q$6:$Q$15,0)),0))-N(P1558)),0)))</f>
        <v/>
      </c>
      <c r="AX1558" s="61">
        <f>IF(C1558="","",IF(COUNTIF($C$5:C1558,C1558)=1,MAX($AX$4:AX1557)+1,""))</f>
        <v/>
      </c>
      <c r="AY1558" s="61">
        <f>IF(B1558="","",HOUR(B1558))</f>
        <v/>
      </c>
      <c r="AZ1558" s="61">
        <f>IF(A1558="","",MOD(A1558-2,7)+1)</f>
        <v/>
      </c>
      <c r="BA1558" s="60">
        <f>IF(C1558="","",IFERROR(INDEX('Prospects'!$N$5:$N$504,MATCH(C1558,'Prospects'!$C$5:$C$504,0)),""))</f>
        <v/>
      </c>
      <c r="BB1558" s="61">
        <f>IF(AND(C1558&lt;&gt;"",C1558='Fiche prospect'!$C$4),COUNTIF($C$5:C1558,C1558),"")</f>
        <v/>
      </c>
    </row>
    <row r="1559">
      <c r="A1559" s="53" t="n"/>
      <c r="B1559" s="54" t="n"/>
      <c r="C1559" s="55" t="n"/>
      <c r="D1559" s="55" t="n"/>
      <c r="E1559" s="55" t="n"/>
      <c r="F1559" s="55" t="n"/>
      <c r="G1559" s="56" t="n"/>
      <c r="H1559" s="57" t="n"/>
      <c r="I1559" s="55" t="n"/>
      <c r="J1559" s="53" t="n"/>
      <c r="K1559" s="54" t="n"/>
      <c r="L1559" s="55" t="n"/>
      <c r="M1559" s="55" t="n"/>
      <c r="N1559" s="57" t="n"/>
      <c r="O1559" s="55" t="n"/>
      <c r="P1559" s="56" t="n"/>
      <c r="Q1559" s="55" t="n"/>
      <c r="R1559" s="55" t="n"/>
      <c r="S1559" s="55" t="n"/>
      <c r="T1559" s="55" t="n"/>
      <c r="U1559" s="55" t="n"/>
      <c r="V1559" s="55" t="n"/>
      <c r="W1559" s="58" t="n"/>
      <c r="X1559" s="58" t="n"/>
      <c r="Y1559" s="55" t="n"/>
      <c r="Z1559" s="55" t="n"/>
      <c r="AA1559" s="55" t="n"/>
      <c r="AB1559" s="55" t="n"/>
      <c r="AC1559" s="55" t="n"/>
      <c r="AD1559" s="53" t="n"/>
      <c r="AE1559" s="55" t="n"/>
      <c r="AF1559" s="55" t="n"/>
      <c r="AG1559" s="59" t="n"/>
      <c r="AH1559" s="57" t="n"/>
      <c r="AI1559" s="55" t="n"/>
      <c r="AJ1559" s="55" t="n"/>
      <c r="AK1559" s="55" t="n"/>
      <c r="AL1559" s="55" t="n"/>
      <c r="AM1559" s="56" t="n"/>
      <c r="AN1559" s="55" t="n"/>
      <c r="AO1559" s="55" t="n"/>
      <c r="AP1559" s="55" t="n"/>
      <c r="AQ1559" s="55" t="n"/>
      <c r="AR1559" s="60">
        <f>IF(AND(C1559="",E1559=""),"",IF(A1559="","⚠ Date manquante",IF(AND(C1559="",E1559&lt;&gt;"Dépense"),"⚠ Prospect manquant",IF(E1559="","⚠ Action manquante",IF(AND(AU1559=1,D1559=""),"⚠ Canal manquant",IF(AND(W1559&lt;&gt;"",COUNTIFS('Saisie'!$W$5:$W$2004,W1559,'Saisie'!$C$5:$C$2004,"&lt;&gt;"&amp;C1559)&gt;0),"⚠ Numéro déjà utilisé par un autre prospect",IF(AND(J1559&lt;&gt;"",J1559&lt;A1559),"⚠ Relance avant la date de l'action",IF(A1559&gt;TODAY(),"⚠ Date dans le futur","✓"))))))))</f>
        <v/>
      </c>
      <c r="AS1559" s="61">
        <f>IF(AND(A1559="",C1559="",E1559=""),"",ROW())</f>
        <v/>
      </c>
      <c r="AT1559" s="61">
        <f>IF(E1559&amp;F1559="","",MAX(IFERROR(INDEX('Paramètres'!$J$6:$J$33,MATCH(E1559,'Paramètres'!$I$6:$I$33,0)),0),IFERROR(INDEX('Paramètres'!$N$6:$N$17,MATCH(F1559,'Paramètres'!$M$6:$M$17,0)),0)))</f>
        <v/>
      </c>
      <c r="AU1559" s="61">
        <f>IF(E1559="","",IFERROR(IF(INDEX('Paramètres'!$K$6:$K$33,MATCH(E1559,'Paramètres'!$I$6:$I$33,0))="Oui",1,0),0))</f>
        <v/>
      </c>
      <c r="AV1559" s="61">
        <f>IF(F1559="","",IFERROR(IF(INDEX('Paramètres'!$O$6:$O$17,MATCH(F1559,'Paramètres'!$M$6:$M$17,0))="Oui",1,0),0))</f>
        <v/>
      </c>
      <c r="AW1559" s="62">
        <f>IF(E1559="","",IF(G1559&lt;&gt;"",G1559,IF(OR(E1559="Proposition envoyée",E1559="Signature"),MAX(0,N(IFERROR(INDEX('Paramètres'!$R$6:$R$15,MATCH(IF(AL1559&lt;&gt;"",AL1559,IFERROR(INDEX('Prospects'!$AN$5:$AN$504,MATCH(C1559,'Prospects'!$C$5:$C$504,0)),"")),'Paramètres'!$Q$6:$Q$15,0)),0))-N(P1559)),0)))</f>
        <v/>
      </c>
      <c r="AX1559" s="61">
        <f>IF(C1559="","",IF(COUNTIF($C$5:C1559,C1559)=1,MAX($AX$4:AX1558)+1,""))</f>
        <v/>
      </c>
      <c r="AY1559" s="61">
        <f>IF(B1559="","",HOUR(B1559))</f>
        <v/>
      </c>
      <c r="AZ1559" s="61">
        <f>IF(A1559="","",MOD(A1559-2,7)+1)</f>
        <v/>
      </c>
      <c r="BA1559" s="60">
        <f>IF(C1559="","",IFERROR(INDEX('Prospects'!$N$5:$N$504,MATCH(C1559,'Prospects'!$C$5:$C$504,0)),""))</f>
        <v/>
      </c>
      <c r="BB1559" s="61">
        <f>IF(AND(C1559&lt;&gt;"",C1559='Fiche prospect'!$C$4),COUNTIF($C$5:C1559,C1559),"")</f>
        <v/>
      </c>
    </row>
    <row r="1560">
      <c r="A1560" s="53" t="n"/>
      <c r="B1560" s="54" t="n"/>
      <c r="C1560" s="55" t="n"/>
      <c r="D1560" s="55" t="n"/>
      <c r="E1560" s="55" t="n"/>
      <c r="F1560" s="55" t="n"/>
      <c r="G1560" s="56" t="n"/>
      <c r="H1560" s="57" t="n"/>
      <c r="I1560" s="55" t="n"/>
      <c r="J1560" s="53" t="n"/>
      <c r="K1560" s="54" t="n"/>
      <c r="L1560" s="55" t="n"/>
      <c r="M1560" s="55" t="n"/>
      <c r="N1560" s="57" t="n"/>
      <c r="O1560" s="55" t="n"/>
      <c r="P1560" s="56" t="n"/>
      <c r="Q1560" s="55" t="n"/>
      <c r="R1560" s="55" t="n"/>
      <c r="S1560" s="55" t="n"/>
      <c r="T1560" s="55" t="n"/>
      <c r="U1560" s="55" t="n"/>
      <c r="V1560" s="55" t="n"/>
      <c r="W1560" s="58" t="n"/>
      <c r="X1560" s="58" t="n"/>
      <c r="Y1560" s="55" t="n"/>
      <c r="Z1560" s="55" t="n"/>
      <c r="AA1560" s="55" t="n"/>
      <c r="AB1560" s="55" t="n"/>
      <c r="AC1560" s="55" t="n"/>
      <c r="AD1560" s="53" t="n"/>
      <c r="AE1560" s="55" t="n"/>
      <c r="AF1560" s="55" t="n"/>
      <c r="AG1560" s="59" t="n"/>
      <c r="AH1560" s="57" t="n"/>
      <c r="AI1560" s="55" t="n"/>
      <c r="AJ1560" s="55" t="n"/>
      <c r="AK1560" s="55" t="n"/>
      <c r="AL1560" s="55" t="n"/>
      <c r="AM1560" s="56" t="n"/>
      <c r="AN1560" s="55" t="n"/>
      <c r="AO1560" s="55" t="n"/>
      <c r="AP1560" s="55" t="n"/>
      <c r="AQ1560" s="55" t="n"/>
      <c r="AR1560" s="60">
        <f>IF(AND(C1560="",E1560=""),"",IF(A1560="","⚠ Date manquante",IF(AND(C1560="",E1560&lt;&gt;"Dépense"),"⚠ Prospect manquant",IF(E1560="","⚠ Action manquante",IF(AND(AU1560=1,D1560=""),"⚠ Canal manquant",IF(AND(W1560&lt;&gt;"",COUNTIFS('Saisie'!$W$5:$W$2004,W1560,'Saisie'!$C$5:$C$2004,"&lt;&gt;"&amp;C1560)&gt;0),"⚠ Numéro déjà utilisé par un autre prospect",IF(AND(J1560&lt;&gt;"",J1560&lt;A1560),"⚠ Relance avant la date de l'action",IF(A1560&gt;TODAY(),"⚠ Date dans le futur","✓"))))))))</f>
        <v/>
      </c>
      <c r="AS1560" s="61">
        <f>IF(AND(A1560="",C1560="",E1560=""),"",ROW())</f>
        <v/>
      </c>
      <c r="AT1560" s="61">
        <f>IF(E1560&amp;F1560="","",MAX(IFERROR(INDEX('Paramètres'!$J$6:$J$33,MATCH(E1560,'Paramètres'!$I$6:$I$33,0)),0),IFERROR(INDEX('Paramètres'!$N$6:$N$17,MATCH(F1560,'Paramètres'!$M$6:$M$17,0)),0)))</f>
        <v/>
      </c>
      <c r="AU1560" s="61">
        <f>IF(E1560="","",IFERROR(IF(INDEX('Paramètres'!$K$6:$K$33,MATCH(E1560,'Paramètres'!$I$6:$I$33,0))="Oui",1,0),0))</f>
        <v/>
      </c>
      <c r="AV1560" s="61">
        <f>IF(F1560="","",IFERROR(IF(INDEX('Paramètres'!$O$6:$O$17,MATCH(F1560,'Paramètres'!$M$6:$M$17,0))="Oui",1,0),0))</f>
        <v/>
      </c>
      <c r="AW1560" s="62">
        <f>IF(E1560="","",IF(G1560&lt;&gt;"",G1560,IF(OR(E1560="Proposition envoyée",E1560="Signature"),MAX(0,N(IFERROR(INDEX('Paramètres'!$R$6:$R$15,MATCH(IF(AL1560&lt;&gt;"",AL1560,IFERROR(INDEX('Prospects'!$AN$5:$AN$504,MATCH(C1560,'Prospects'!$C$5:$C$504,0)),"")),'Paramètres'!$Q$6:$Q$15,0)),0))-N(P1560)),0)))</f>
        <v/>
      </c>
      <c r="AX1560" s="61">
        <f>IF(C1560="","",IF(COUNTIF($C$5:C1560,C1560)=1,MAX($AX$4:AX1559)+1,""))</f>
        <v/>
      </c>
      <c r="AY1560" s="61">
        <f>IF(B1560="","",HOUR(B1560))</f>
        <v/>
      </c>
      <c r="AZ1560" s="61">
        <f>IF(A1560="","",MOD(A1560-2,7)+1)</f>
        <v/>
      </c>
      <c r="BA1560" s="60">
        <f>IF(C1560="","",IFERROR(INDEX('Prospects'!$N$5:$N$504,MATCH(C1560,'Prospects'!$C$5:$C$504,0)),""))</f>
        <v/>
      </c>
      <c r="BB1560" s="61">
        <f>IF(AND(C1560&lt;&gt;"",C1560='Fiche prospect'!$C$4),COUNTIF($C$5:C1560,C1560),"")</f>
        <v/>
      </c>
    </row>
    <row r="1561">
      <c r="A1561" s="53" t="n"/>
      <c r="B1561" s="54" t="n"/>
      <c r="C1561" s="55" t="n"/>
      <c r="D1561" s="55" t="n"/>
      <c r="E1561" s="55" t="n"/>
      <c r="F1561" s="55" t="n"/>
      <c r="G1561" s="56" t="n"/>
      <c r="H1561" s="57" t="n"/>
      <c r="I1561" s="55" t="n"/>
      <c r="J1561" s="53" t="n"/>
      <c r="K1561" s="54" t="n"/>
      <c r="L1561" s="55" t="n"/>
      <c r="M1561" s="55" t="n"/>
      <c r="N1561" s="57" t="n"/>
      <c r="O1561" s="55" t="n"/>
      <c r="P1561" s="56" t="n"/>
      <c r="Q1561" s="55" t="n"/>
      <c r="R1561" s="55" t="n"/>
      <c r="S1561" s="55" t="n"/>
      <c r="T1561" s="55" t="n"/>
      <c r="U1561" s="55" t="n"/>
      <c r="V1561" s="55" t="n"/>
      <c r="W1561" s="58" t="n"/>
      <c r="X1561" s="58" t="n"/>
      <c r="Y1561" s="55" t="n"/>
      <c r="Z1561" s="55" t="n"/>
      <c r="AA1561" s="55" t="n"/>
      <c r="AB1561" s="55" t="n"/>
      <c r="AC1561" s="55" t="n"/>
      <c r="AD1561" s="53" t="n"/>
      <c r="AE1561" s="55" t="n"/>
      <c r="AF1561" s="55" t="n"/>
      <c r="AG1561" s="59" t="n"/>
      <c r="AH1561" s="57" t="n"/>
      <c r="AI1561" s="55" t="n"/>
      <c r="AJ1561" s="55" t="n"/>
      <c r="AK1561" s="55" t="n"/>
      <c r="AL1561" s="55" t="n"/>
      <c r="AM1561" s="56" t="n"/>
      <c r="AN1561" s="55" t="n"/>
      <c r="AO1561" s="55" t="n"/>
      <c r="AP1561" s="55" t="n"/>
      <c r="AQ1561" s="55" t="n"/>
      <c r="AR1561" s="60">
        <f>IF(AND(C1561="",E1561=""),"",IF(A1561="","⚠ Date manquante",IF(AND(C1561="",E1561&lt;&gt;"Dépense"),"⚠ Prospect manquant",IF(E1561="","⚠ Action manquante",IF(AND(AU1561=1,D1561=""),"⚠ Canal manquant",IF(AND(W1561&lt;&gt;"",COUNTIFS('Saisie'!$W$5:$W$2004,W1561,'Saisie'!$C$5:$C$2004,"&lt;&gt;"&amp;C1561)&gt;0),"⚠ Numéro déjà utilisé par un autre prospect",IF(AND(J1561&lt;&gt;"",J1561&lt;A1561),"⚠ Relance avant la date de l'action",IF(A1561&gt;TODAY(),"⚠ Date dans le futur","✓"))))))))</f>
        <v/>
      </c>
      <c r="AS1561" s="61">
        <f>IF(AND(A1561="",C1561="",E1561=""),"",ROW())</f>
        <v/>
      </c>
      <c r="AT1561" s="61">
        <f>IF(E1561&amp;F1561="","",MAX(IFERROR(INDEX('Paramètres'!$J$6:$J$33,MATCH(E1561,'Paramètres'!$I$6:$I$33,0)),0),IFERROR(INDEX('Paramètres'!$N$6:$N$17,MATCH(F1561,'Paramètres'!$M$6:$M$17,0)),0)))</f>
        <v/>
      </c>
      <c r="AU1561" s="61">
        <f>IF(E1561="","",IFERROR(IF(INDEX('Paramètres'!$K$6:$K$33,MATCH(E1561,'Paramètres'!$I$6:$I$33,0))="Oui",1,0),0))</f>
        <v/>
      </c>
      <c r="AV1561" s="61">
        <f>IF(F1561="","",IFERROR(IF(INDEX('Paramètres'!$O$6:$O$17,MATCH(F1561,'Paramètres'!$M$6:$M$17,0))="Oui",1,0),0))</f>
        <v/>
      </c>
      <c r="AW1561" s="62">
        <f>IF(E1561="","",IF(G1561&lt;&gt;"",G1561,IF(OR(E1561="Proposition envoyée",E1561="Signature"),MAX(0,N(IFERROR(INDEX('Paramètres'!$R$6:$R$15,MATCH(IF(AL1561&lt;&gt;"",AL1561,IFERROR(INDEX('Prospects'!$AN$5:$AN$504,MATCH(C1561,'Prospects'!$C$5:$C$504,0)),"")),'Paramètres'!$Q$6:$Q$15,0)),0))-N(P1561)),0)))</f>
        <v/>
      </c>
      <c r="AX1561" s="61">
        <f>IF(C1561="","",IF(COUNTIF($C$5:C1561,C1561)=1,MAX($AX$4:AX1560)+1,""))</f>
        <v/>
      </c>
      <c r="AY1561" s="61">
        <f>IF(B1561="","",HOUR(B1561))</f>
        <v/>
      </c>
      <c r="AZ1561" s="61">
        <f>IF(A1561="","",MOD(A1561-2,7)+1)</f>
        <v/>
      </c>
      <c r="BA1561" s="60">
        <f>IF(C1561="","",IFERROR(INDEX('Prospects'!$N$5:$N$504,MATCH(C1561,'Prospects'!$C$5:$C$504,0)),""))</f>
        <v/>
      </c>
      <c r="BB1561" s="61">
        <f>IF(AND(C1561&lt;&gt;"",C1561='Fiche prospect'!$C$4),COUNTIF($C$5:C1561,C1561),"")</f>
        <v/>
      </c>
    </row>
    <row r="1562">
      <c r="A1562" s="53" t="n"/>
      <c r="B1562" s="54" t="n"/>
      <c r="C1562" s="55" t="n"/>
      <c r="D1562" s="55" t="n"/>
      <c r="E1562" s="55" t="n"/>
      <c r="F1562" s="55" t="n"/>
      <c r="G1562" s="56" t="n"/>
      <c r="H1562" s="57" t="n"/>
      <c r="I1562" s="55" t="n"/>
      <c r="J1562" s="53" t="n"/>
      <c r="K1562" s="54" t="n"/>
      <c r="L1562" s="55" t="n"/>
      <c r="M1562" s="55" t="n"/>
      <c r="N1562" s="57" t="n"/>
      <c r="O1562" s="55" t="n"/>
      <c r="P1562" s="56" t="n"/>
      <c r="Q1562" s="55" t="n"/>
      <c r="R1562" s="55" t="n"/>
      <c r="S1562" s="55" t="n"/>
      <c r="T1562" s="55" t="n"/>
      <c r="U1562" s="55" t="n"/>
      <c r="V1562" s="55" t="n"/>
      <c r="W1562" s="58" t="n"/>
      <c r="X1562" s="58" t="n"/>
      <c r="Y1562" s="55" t="n"/>
      <c r="Z1562" s="55" t="n"/>
      <c r="AA1562" s="55" t="n"/>
      <c r="AB1562" s="55" t="n"/>
      <c r="AC1562" s="55" t="n"/>
      <c r="AD1562" s="53" t="n"/>
      <c r="AE1562" s="55" t="n"/>
      <c r="AF1562" s="55" t="n"/>
      <c r="AG1562" s="59" t="n"/>
      <c r="AH1562" s="57" t="n"/>
      <c r="AI1562" s="55" t="n"/>
      <c r="AJ1562" s="55" t="n"/>
      <c r="AK1562" s="55" t="n"/>
      <c r="AL1562" s="55" t="n"/>
      <c r="AM1562" s="56" t="n"/>
      <c r="AN1562" s="55" t="n"/>
      <c r="AO1562" s="55" t="n"/>
      <c r="AP1562" s="55" t="n"/>
      <c r="AQ1562" s="55" t="n"/>
      <c r="AR1562" s="60">
        <f>IF(AND(C1562="",E1562=""),"",IF(A1562="","⚠ Date manquante",IF(AND(C1562="",E1562&lt;&gt;"Dépense"),"⚠ Prospect manquant",IF(E1562="","⚠ Action manquante",IF(AND(AU1562=1,D1562=""),"⚠ Canal manquant",IF(AND(W1562&lt;&gt;"",COUNTIFS('Saisie'!$W$5:$W$2004,W1562,'Saisie'!$C$5:$C$2004,"&lt;&gt;"&amp;C1562)&gt;0),"⚠ Numéro déjà utilisé par un autre prospect",IF(AND(J1562&lt;&gt;"",J1562&lt;A1562),"⚠ Relance avant la date de l'action",IF(A1562&gt;TODAY(),"⚠ Date dans le futur","✓"))))))))</f>
        <v/>
      </c>
      <c r="AS1562" s="61">
        <f>IF(AND(A1562="",C1562="",E1562=""),"",ROW())</f>
        <v/>
      </c>
      <c r="AT1562" s="61">
        <f>IF(E1562&amp;F1562="","",MAX(IFERROR(INDEX('Paramètres'!$J$6:$J$33,MATCH(E1562,'Paramètres'!$I$6:$I$33,0)),0),IFERROR(INDEX('Paramètres'!$N$6:$N$17,MATCH(F1562,'Paramètres'!$M$6:$M$17,0)),0)))</f>
        <v/>
      </c>
      <c r="AU1562" s="61">
        <f>IF(E1562="","",IFERROR(IF(INDEX('Paramètres'!$K$6:$K$33,MATCH(E1562,'Paramètres'!$I$6:$I$33,0))="Oui",1,0),0))</f>
        <v/>
      </c>
      <c r="AV1562" s="61">
        <f>IF(F1562="","",IFERROR(IF(INDEX('Paramètres'!$O$6:$O$17,MATCH(F1562,'Paramètres'!$M$6:$M$17,0))="Oui",1,0),0))</f>
        <v/>
      </c>
      <c r="AW1562" s="62">
        <f>IF(E1562="","",IF(G1562&lt;&gt;"",G1562,IF(OR(E1562="Proposition envoyée",E1562="Signature"),MAX(0,N(IFERROR(INDEX('Paramètres'!$R$6:$R$15,MATCH(IF(AL1562&lt;&gt;"",AL1562,IFERROR(INDEX('Prospects'!$AN$5:$AN$504,MATCH(C1562,'Prospects'!$C$5:$C$504,0)),"")),'Paramètres'!$Q$6:$Q$15,0)),0))-N(P1562)),0)))</f>
        <v/>
      </c>
      <c r="AX1562" s="61">
        <f>IF(C1562="","",IF(COUNTIF($C$5:C1562,C1562)=1,MAX($AX$4:AX1561)+1,""))</f>
        <v/>
      </c>
      <c r="AY1562" s="61">
        <f>IF(B1562="","",HOUR(B1562))</f>
        <v/>
      </c>
      <c r="AZ1562" s="61">
        <f>IF(A1562="","",MOD(A1562-2,7)+1)</f>
        <v/>
      </c>
      <c r="BA1562" s="60">
        <f>IF(C1562="","",IFERROR(INDEX('Prospects'!$N$5:$N$504,MATCH(C1562,'Prospects'!$C$5:$C$504,0)),""))</f>
        <v/>
      </c>
      <c r="BB1562" s="61">
        <f>IF(AND(C1562&lt;&gt;"",C1562='Fiche prospect'!$C$4),COUNTIF($C$5:C1562,C1562),"")</f>
        <v/>
      </c>
    </row>
    <row r="1563">
      <c r="A1563" s="53" t="n"/>
      <c r="B1563" s="54" t="n"/>
      <c r="C1563" s="55" t="n"/>
      <c r="D1563" s="55" t="n"/>
      <c r="E1563" s="55" t="n"/>
      <c r="F1563" s="55" t="n"/>
      <c r="G1563" s="56" t="n"/>
      <c r="H1563" s="57" t="n"/>
      <c r="I1563" s="55" t="n"/>
      <c r="J1563" s="53" t="n"/>
      <c r="K1563" s="54" t="n"/>
      <c r="L1563" s="55" t="n"/>
      <c r="M1563" s="55" t="n"/>
      <c r="N1563" s="57" t="n"/>
      <c r="O1563" s="55" t="n"/>
      <c r="P1563" s="56" t="n"/>
      <c r="Q1563" s="55" t="n"/>
      <c r="R1563" s="55" t="n"/>
      <c r="S1563" s="55" t="n"/>
      <c r="T1563" s="55" t="n"/>
      <c r="U1563" s="55" t="n"/>
      <c r="V1563" s="55" t="n"/>
      <c r="W1563" s="58" t="n"/>
      <c r="X1563" s="58" t="n"/>
      <c r="Y1563" s="55" t="n"/>
      <c r="Z1563" s="55" t="n"/>
      <c r="AA1563" s="55" t="n"/>
      <c r="AB1563" s="55" t="n"/>
      <c r="AC1563" s="55" t="n"/>
      <c r="AD1563" s="53" t="n"/>
      <c r="AE1563" s="55" t="n"/>
      <c r="AF1563" s="55" t="n"/>
      <c r="AG1563" s="59" t="n"/>
      <c r="AH1563" s="57" t="n"/>
      <c r="AI1563" s="55" t="n"/>
      <c r="AJ1563" s="55" t="n"/>
      <c r="AK1563" s="55" t="n"/>
      <c r="AL1563" s="55" t="n"/>
      <c r="AM1563" s="56" t="n"/>
      <c r="AN1563" s="55" t="n"/>
      <c r="AO1563" s="55" t="n"/>
      <c r="AP1563" s="55" t="n"/>
      <c r="AQ1563" s="55" t="n"/>
      <c r="AR1563" s="60">
        <f>IF(AND(C1563="",E1563=""),"",IF(A1563="","⚠ Date manquante",IF(AND(C1563="",E1563&lt;&gt;"Dépense"),"⚠ Prospect manquant",IF(E1563="","⚠ Action manquante",IF(AND(AU1563=1,D1563=""),"⚠ Canal manquant",IF(AND(W1563&lt;&gt;"",COUNTIFS('Saisie'!$W$5:$W$2004,W1563,'Saisie'!$C$5:$C$2004,"&lt;&gt;"&amp;C1563)&gt;0),"⚠ Numéro déjà utilisé par un autre prospect",IF(AND(J1563&lt;&gt;"",J1563&lt;A1563),"⚠ Relance avant la date de l'action",IF(A1563&gt;TODAY(),"⚠ Date dans le futur","✓"))))))))</f>
        <v/>
      </c>
      <c r="AS1563" s="61">
        <f>IF(AND(A1563="",C1563="",E1563=""),"",ROW())</f>
        <v/>
      </c>
      <c r="AT1563" s="61">
        <f>IF(E1563&amp;F1563="","",MAX(IFERROR(INDEX('Paramètres'!$J$6:$J$33,MATCH(E1563,'Paramètres'!$I$6:$I$33,0)),0),IFERROR(INDEX('Paramètres'!$N$6:$N$17,MATCH(F1563,'Paramètres'!$M$6:$M$17,0)),0)))</f>
        <v/>
      </c>
      <c r="AU1563" s="61">
        <f>IF(E1563="","",IFERROR(IF(INDEX('Paramètres'!$K$6:$K$33,MATCH(E1563,'Paramètres'!$I$6:$I$33,0))="Oui",1,0),0))</f>
        <v/>
      </c>
      <c r="AV1563" s="61">
        <f>IF(F1563="","",IFERROR(IF(INDEX('Paramètres'!$O$6:$O$17,MATCH(F1563,'Paramètres'!$M$6:$M$17,0))="Oui",1,0),0))</f>
        <v/>
      </c>
      <c r="AW1563" s="62">
        <f>IF(E1563="","",IF(G1563&lt;&gt;"",G1563,IF(OR(E1563="Proposition envoyée",E1563="Signature"),MAX(0,N(IFERROR(INDEX('Paramètres'!$R$6:$R$15,MATCH(IF(AL1563&lt;&gt;"",AL1563,IFERROR(INDEX('Prospects'!$AN$5:$AN$504,MATCH(C1563,'Prospects'!$C$5:$C$504,0)),"")),'Paramètres'!$Q$6:$Q$15,0)),0))-N(P1563)),0)))</f>
        <v/>
      </c>
      <c r="AX1563" s="61">
        <f>IF(C1563="","",IF(COUNTIF($C$5:C1563,C1563)=1,MAX($AX$4:AX1562)+1,""))</f>
        <v/>
      </c>
      <c r="AY1563" s="61">
        <f>IF(B1563="","",HOUR(B1563))</f>
        <v/>
      </c>
      <c r="AZ1563" s="61">
        <f>IF(A1563="","",MOD(A1563-2,7)+1)</f>
        <v/>
      </c>
      <c r="BA1563" s="60">
        <f>IF(C1563="","",IFERROR(INDEX('Prospects'!$N$5:$N$504,MATCH(C1563,'Prospects'!$C$5:$C$504,0)),""))</f>
        <v/>
      </c>
      <c r="BB1563" s="61">
        <f>IF(AND(C1563&lt;&gt;"",C1563='Fiche prospect'!$C$4),COUNTIF($C$5:C1563,C1563),"")</f>
        <v/>
      </c>
    </row>
    <row r="1564">
      <c r="A1564" s="53" t="n"/>
      <c r="B1564" s="54" t="n"/>
      <c r="C1564" s="55" t="n"/>
      <c r="D1564" s="55" t="n"/>
      <c r="E1564" s="55" t="n"/>
      <c r="F1564" s="55" t="n"/>
      <c r="G1564" s="56" t="n"/>
      <c r="H1564" s="57" t="n"/>
      <c r="I1564" s="55" t="n"/>
      <c r="J1564" s="53" t="n"/>
      <c r="K1564" s="54" t="n"/>
      <c r="L1564" s="55" t="n"/>
      <c r="M1564" s="55" t="n"/>
      <c r="N1564" s="57" t="n"/>
      <c r="O1564" s="55" t="n"/>
      <c r="P1564" s="56" t="n"/>
      <c r="Q1564" s="55" t="n"/>
      <c r="R1564" s="55" t="n"/>
      <c r="S1564" s="55" t="n"/>
      <c r="T1564" s="55" t="n"/>
      <c r="U1564" s="55" t="n"/>
      <c r="V1564" s="55" t="n"/>
      <c r="W1564" s="58" t="n"/>
      <c r="X1564" s="58" t="n"/>
      <c r="Y1564" s="55" t="n"/>
      <c r="Z1564" s="55" t="n"/>
      <c r="AA1564" s="55" t="n"/>
      <c r="AB1564" s="55" t="n"/>
      <c r="AC1564" s="55" t="n"/>
      <c r="AD1564" s="53" t="n"/>
      <c r="AE1564" s="55" t="n"/>
      <c r="AF1564" s="55" t="n"/>
      <c r="AG1564" s="59" t="n"/>
      <c r="AH1564" s="57" t="n"/>
      <c r="AI1564" s="55" t="n"/>
      <c r="AJ1564" s="55" t="n"/>
      <c r="AK1564" s="55" t="n"/>
      <c r="AL1564" s="55" t="n"/>
      <c r="AM1564" s="56" t="n"/>
      <c r="AN1564" s="55" t="n"/>
      <c r="AO1564" s="55" t="n"/>
      <c r="AP1564" s="55" t="n"/>
      <c r="AQ1564" s="55" t="n"/>
      <c r="AR1564" s="60">
        <f>IF(AND(C1564="",E1564=""),"",IF(A1564="","⚠ Date manquante",IF(AND(C1564="",E1564&lt;&gt;"Dépense"),"⚠ Prospect manquant",IF(E1564="","⚠ Action manquante",IF(AND(AU1564=1,D1564=""),"⚠ Canal manquant",IF(AND(W1564&lt;&gt;"",COUNTIFS('Saisie'!$W$5:$W$2004,W1564,'Saisie'!$C$5:$C$2004,"&lt;&gt;"&amp;C1564)&gt;0),"⚠ Numéro déjà utilisé par un autre prospect",IF(AND(J1564&lt;&gt;"",J1564&lt;A1564),"⚠ Relance avant la date de l'action",IF(A1564&gt;TODAY(),"⚠ Date dans le futur","✓"))))))))</f>
        <v/>
      </c>
      <c r="AS1564" s="61">
        <f>IF(AND(A1564="",C1564="",E1564=""),"",ROW())</f>
        <v/>
      </c>
      <c r="AT1564" s="61">
        <f>IF(E1564&amp;F1564="","",MAX(IFERROR(INDEX('Paramètres'!$J$6:$J$33,MATCH(E1564,'Paramètres'!$I$6:$I$33,0)),0),IFERROR(INDEX('Paramètres'!$N$6:$N$17,MATCH(F1564,'Paramètres'!$M$6:$M$17,0)),0)))</f>
        <v/>
      </c>
      <c r="AU1564" s="61">
        <f>IF(E1564="","",IFERROR(IF(INDEX('Paramètres'!$K$6:$K$33,MATCH(E1564,'Paramètres'!$I$6:$I$33,0))="Oui",1,0),0))</f>
        <v/>
      </c>
      <c r="AV1564" s="61">
        <f>IF(F1564="","",IFERROR(IF(INDEX('Paramètres'!$O$6:$O$17,MATCH(F1564,'Paramètres'!$M$6:$M$17,0))="Oui",1,0),0))</f>
        <v/>
      </c>
      <c r="AW1564" s="62">
        <f>IF(E1564="","",IF(G1564&lt;&gt;"",G1564,IF(OR(E1564="Proposition envoyée",E1564="Signature"),MAX(0,N(IFERROR(INDEX('Paramètres'!$R$6:$R$15,MATCH(IF(AL1564&lt;&gt;"",AL1564,IFERROR(INDEX('Prospects'!$AN$5:$AN$504,MATCH(C1564,'Prospects'!$C$5:$C$504,0)),"")),'Paramètres'!$Q$6:$Q$15,0)),0))-N(P1564)),0)))</f>
        <v/>
      </c>
      <c r="AX1564" s="61">
        <f>IF(C1564="","",IF(COUNTIF($C$5:C1564,C1564)=1,MAX($AX$4:AX1563)+1,""))</f>
        <v/>
      </c>
      <c r="AY1564" s="61">
        <f>IF(B1564="","",HOUR(B1564))</f>
        <v/>
      </c>
      <c r="AZ1564" s="61">
        <f>IF(A1564="","",MOD(A1564-2,7)+1)</f>
        <v/>
      </c>
      <c r="BA1564" s="60">
        <f>IF(C1564="","",IFERROR(INDEX('Prospects'!$N$5:$N$504,MATCH(C1564,'Prospects'!$C$5:$C$504,0)),""))</f>
        <v/>
      </c>
      <c r="BB1564" s="61">
        <f>IF(AND(C1564&lt;&gt;"",C1564='Fiche prospect'!$C$4),COUNTIF($C$5:C1564,C1564),"")</f>
        <v/>
      </c>
    </row>
    <row r="1565">
      <c r="A1565" s="53" t="n"/>
      <c r="B1565" s="54" t="n"/>
      <c r="C1565" s="55" t="n"/>
      <c r="D1565" s="55" t="n"/>
      <c r="E1565" s="55" t="n"/>
      <c r="F1565" s="55" t="n"/>
      <c r="G1565" s="56" t="n"/>
      <c r="H1565" s="57" t="n"/>
      <c r="I1565" s="55" t="n"/>
      <c r="J1565" s="53" t="n"/>
      <c r="K1565" s="54" t="n"/>
      <c r="L1565" s="55" t="n"/>
      <c r="M1565" s="55" t="n"/>
      <c r="N1565" s="57" t="n"/>
      <c r="O1565" s="55" t="n"/>
      <c r="P1565" s="56" t="n"/>
      <c r="Q1565" s="55" t="n"/>
      <c r="R1565" s="55" t="n"/>
      <c r="S1565" s="55" t="n"/>
      <c r="T1565" s="55" t="n"/>
      <c r="U1565" s="55" t="n"/>
      <c r="V1565" s="55" t="n"/>
      <c r="W1565" s="58" t="n"/>
      <c r="X1565" s="58" t="n"/>
      <c r="Y1565" s="55" t="n"/>
      <c r="Z1565" s="55" t="n"/>
      <c r="AA1565" s="55" t="n"/>
      <c r="AB1565" s="55" t="n"/>
      <c r="AC1565" s="55" t="n"/>
      <c r="AD1565" s="53" t="n"/>
      <c r="AE1565" s="55" t="n"/>
      <c r="AF1565" s="55" t="n"/>
      <c r="AG1565" s="59" t="n"/>
      <c r="AH1565" s="57" t="n"/>
      <c r="AI1565" s="55" t="n"/>
      <c r="AJ1565" s="55" t="n"/>
      <c r="AK1565" s="55" t="n"/>
      <c r="AL1565" s="55" t="n"/>
      <c r="AM1565" s="56" t="n"/>
      <c r="AN1565" s="55" t="n"/>
      <c r="AO1565" s="55" t="n"/>
      <c r="AP1565" s="55" t="n"/>
      <c r="AQ1565" s="55" t="n"/>
      <c r="AR1565" s="60">
        <f>IF(AND(C1565="",E1565=""),"",IF(A1565="","⚠ Date manquante",IF(AND(C1565="",E1565&lt;&gt;"Dépense"),"⚠ Prospect manquant",IF(E1565="","⚠ Action manquante",IF(AND(AU1565=1,D1565=""),"⚠ Canal manquant",IF(AND(W1565&lt;&gt;"",COUNTIFS('Saisie'!$W$5:$W$2004,W1565,'Saisie'!$C$5:$C$2004,"&lt;&gt;"&amp;C1565)&gt;0),"⚠ Numéro déjà utilisé par un autre prospect",IF(AND(J1565&lt;&gt;"",J1565&lt;A1565),"⚠ Relance avant la date de l'action",IF(A1565&gt;TODAY(),"⚠ Date dans le futur","✓"))))))))</f>
        <v/>
      </c>
      <c r="AS1565" s="61">
        <f>IF(AND(A1565="",C1565="",E1565=""),"",ROW())</f>
        <v/>
      </c>
      <c r="AT1565" s="61">
        <f>IF(E1565&amp;F1565="","",MAX(IFERROR(INDEX('Paramètres'!$J$6:$J$33,MATCH(E1565,'Paramètres'!$I$6:$I$33,0)),0),IFERROR(INDEX('Paramètres'!$N$6:$N$17,MATCH(F1565,'Paramètres'!$M$6:$M$17,0)),0)))</f>
        <v/>
      </c>
      <c r="AU1565" s="61">
        <f>IF(E1565="","",IFERROR(IF(INDEX('Paramètres'!$K$6:$K$33,MATCH(E1565,'Paramètres'!$I$6:$I$33,0))="Oui",1,0),0))</f>
        <v/>
      </c>
      <c r="AV1565" s="61">
        <f>IF(F1565="","",IFERROR(IF(INDEX('Paramètres'!$O$6:$O$17,MATCH(F1565,'Paramètres'!$M$6:$M$17,0))="Oui",1,0),0))</f>
        <v/>
      </c>
      <c r="AW1565" s="62">
        <f>IF(E1565="","",IF(G1565&lt;&gt;"",G1565,IF(OR(E1565="Proposition envoyée",E1565="Signature"),MAX(0,N(IFERROR(INDEX('Paramètres'!$R$6:$R$15,MATCH(IF(AL1565&lt;&gt;"",AL1565,IFERROR(INDEX('Prospects'!$AN$5:$AN$504,MATCH(C1565,'Prospects'!$C$5:$C$504,0)),"")),'Paramètres'!$Q$6:$Q$15,0)),0))-N(P1565)),0)))</f>
        <v/>
      </c>
      <c r="AX1565" s="61">
        <f>IF(C1565="","",IF(COUNTIF($C$5:C1565,C1565)=1,MAX($AX$4:AX1564)+1,""))</f>
        <v/>
      </c>
      <c r="AY1565" s="61">
        <f>IF(B1565="","",HOUR(B1565))</f>
        <v/>
      </c>
      <c r="AZ1565" s="61">
        <f>IF(A1565="","",MOD(A1565-2,7)+1)</f>
        <v/>
      </c>
      <c r="BA1565" s="60">
        <f>IF(C1565="","",IFERROR(INDEX('Prospects'!$N$5:$N$504,MATCH(C1565,'Prospects'!$C$5:$C$504,0)),""))</f>
        <v/>
      </c>
      <c r="BB1565" s="61">
        <f>IF(AND(C1565&lt;&gt;"",C1565='Fiche prospect'!$C$4),COUNTIF($C$5:C1565,C1565),"")</f>
        <v/>
      </c>
    </row>
    <row r="1566">
      <c r="A1566" s="53" t="n"/>
      <c r="B1566" s="54" t="n"/>
      <c r="C1566" s="55" t="n"/>
      <c r="D1566" s="55" t="n"/>
      <c r="E1566" s="55" t="n"/>
      <c r="F1566" s="55" t="n"/>
      <c r="G1566" s="56" t="n"/>
      <c r="H1566" s="57" t="n"/>
      <c r="I1566" s="55" t="n"/>
      <c r="J1566" s="53" t="n"/>
      <c r="K1566" s="54" t="n"/>
      <c r="L1566" s="55" t="n"/>
      <c r="M1566" s="55" t="n"/>
      <c r="N1566" s="57" t="n"/>
      <c r="O1566" s="55" t="n"/>
      <c r="P1566" s="56" t="n"/>
      <c r="Q1566" s="55" t="n"/>
      <c r="R1566" s="55" t="n"/>
      <c r="S1566" s="55" t="n"/>
      <c r="T1566" s="55" t="n"/>
      <c r="U1566" s="55" t="n"/>
      <c r="V1566" s="55" t="n"/>
      <c r="W1566" s="58" t="n"/>
      <c r="X1566" s="58" t="n"/>
      <c r="Y1566" s="55" t="n"/>
      <c r="Z1566" s="55" t="n"/>
      <c r="AA1566" s="55" t="n"/>
      <c r="AB1566" s="55" t="n"/>
      <c r="AC1566" s="55" t="n"/>
      <c r="AD1566" s="53" t="n"/>
      <c r="AE1566" s="55" t="n"/>
      <c r="AF1566" s="55" t="n"/>
      <c r="AG1566" s="59" t="n"/>
      <c r="AH1566" s="57" t="n"/>
      <c r="AI1566" s="55" t="n"/>
      <c r="AJ1566" s="55" t="n"/>
      <c r="AK1566" s="55" t="n"/>
      <c r="AL1566" s="55" t="n"/>
      <c r="AM1566" s="56" t="n"/>
      <c r="AN1566" s="55" t="n"/>
      <c r="AO1566" s="55" t="n"/>
      <c r="AP1566" s="55" t="n"/>
      <c r="AQ1566" s="55" t="n"/>
      <c r="AR1566" s="60">
        <f>IF(AND(C1566="",E1566=""),"",IF(A1566="","⚠ Date manquante",IF(AND(C1566="",E1566&lt;&gt;"Dépense"),"⚠ Prospect manquant",IF(E1566="","⚠ Action manquante",IF(AND(AU1566=1,D1566=""),"⚠ Canal manquant",IF(AND(W1566&lt;&gt;"",COUNTIFS('Saisie'!$W$5:$W$2004,W1566,'Saisie'!$C$5:$C$2004,"&lt;&gt;"&amp;C1566)&gt;0),"⚠ Numéro déjà utilisé par un autre prospect",IF(AND(J1566&lt;&gt;"",J1566&lt;A1566),"⚠ Relance avant la date de l'action",IF(A1566&gt;TODAY(),"⚠ Date dans le futur","✓"))))))))</f>
        <v/>
      </c>
      <c r="AS1566" s="61">
        <f>IF(AND(A1566="",C1566="",E1566=""),"",ROW())</f>
        <v/>
      </c>
      <c r="AT1566" s="61">
        <f>IF(E1566&amp;F1566="","",MAX(IFERROR(INDEX('Paramètres'!$J$6:$J$33,MATCH(E1566,'Paramètres'!$I$6:$I$33,0)),0),IFERROR(INDEX('Paramètres'!$N$6:$N$17,MATCH(F1566,'Paramètres'!$M$6:$M$17,0)),0)))</f>
        <v/>
      </c>
      <c r="AU1566" s="61">
        <f>IF(E1566="","",IFERROR(IF(INDEX('Paramètres'!$K$6:$K$33,MATCH(E1566,'Paramètres'!$I$6:$I$33,0))="Oui",1,0),0))</f>
        <v/>
      </c>
      <c r="AV1566" s="61">
        <f>IF(F1566="","",IFERROR(IF(INDEX('Paramètres'!$O$6:$O$17,MATCH(F1566,'Paramètres'!$M$6:$M$17,0))="Oui",1,0),0))</f>
        <v/>
      </c>
      <c r="AW1566" s="62">
        <f>IF(E1566="","",IF(G1566&lt;&gt;"",G1566,IF(OR(E1566="Proposition envoyée",E1566="Signature"),MAX(0,N(IFERROR(INDEX('Paramètres'!$R$6:$R$15,MATCH(IF(AL1566&lt;&gt;"",AL1566,IFERROR(INDEX('Prospects'!$AN$5:$AN$504,MATCH(C1566,'Prospects'!$C$5:$C$504,0)),"")),'Paramètres'!$Q$6:$Q$15,0)),0))-N(P1566)),0)))</f>
        <v/>
      </c>
      <c r="AX1566" s="61">
        <f>IF(C1566="","",IF(COUNTIF($C$5:C1566,C1566)=1,MAX($AX$4:AX1565)+1,""))</f>
        <v/>
      </c>
      <c r="AY1566" s="61">
        <f>IF(B1566="","",HOUR(B1566))</f>
        <v/>
      </c>
      <c r="AZ1566" s="61">
        <f>IF(A1566="","",MOD(A1566-2,7)+1)</f>
        <v/>
      </c>
      <c r="BA1566" s="60">
        <f>IF(C1566="","",IFERROR(INDEX('Prospects'!$N$5:$N$504,MATCH(C1566,'Prospects'!$C$5:$C$504,0)),""))</f>
        <v/>
      </c>
      <c r="BB1566" s="61">
        <f>IF(AND(C1566&lt;&gt;"",C1566='Fiche prospect'!$C$4),COUNTIF($C$5:C1566,C1566),"")</f>
        <v/>
      </c>
    </row>
    <row r="1567">
      <c r="A1567" s="53" t="n"/>
      <c r="B1567" s="54" t="n"/>
      <c r="C1567" s="55" t="n"/>
      <c r="D1567" s="55" t="n"/>
      <c r="E1567" s="55" t="n"/>
      <c r="F1567" s="55" t="n"/>
      <c r="G1567" s="56" t="n"/>
      <c r="H1567" s="57" t="n"/>
      <c r="I1567" s="55" t="n"/>
      <c r="J1567" s="53" t="n"/>
      <c r="K1567" s="54" t="n"/>
      <c r="L1567" s="55" t="n"/>
      <c r="M1567" s="55" t="n"/>
      <c r="N1567" s="57" t="n"/>
      <c r="O1567" s="55" t="n"/>
      <c r="P1567" s="56" t="n"/>
      <c r="Q1567" s="55" t="n"/>
      <c r="R1567" s="55" t="n"/>
      <c r="S1567" s="55" t="n"/>
      <c r="T1567" s="55" t="n"/>
      <c r="U1567" s="55" t="n"/>
      <c r="V1567" s="55" t="n"/>
      <c r="W1567" s="58" t="n"/>
      <c r="X1567" s="58" t="n"/>
      <c r="Y1567" s="55" t="n"/>
      <c r="Z1567" s="55" t="n"/>
      <c r="AA1567" s="55" t="n"/>
      <c r="AB1567" s="55" t="n"/>
      <c r="AC1567" s="55" t="n"/>
      <c r="AD1567" s="53" t="n"/>
      <c r="AE1567" s="55" t="n"/>
      <c r="AF1567" s="55" t="n"/>
      <c r="AG1567" s="59" t="n"/>
      <c r="AH1567" s="57" t="n"/>
      <c r="AI1567" s="55" t="n"/>
      <c r="AJ1567" s="55" t="n"/>
      <c r="AK1567" s="55" t="n"/>
      <c r="AL1567" s="55" t="n"/>
      <c r="AM1567" s="56" t="n"/>
      <c r="AN1567" s="55" t="n"/>
      <c r="AO1567" s="55" t="n"/>
      <c r="AP1567" s="55" t="n"/>
      <c r="AQ1567" s="55" t="n"/>
      <c r="AR1567" s="60">
        <f>IF(AND(C1567="",E1567=""),"",IF(A1567="","⚠ Date manquante",IF(AND(C1567="",E1567&lt;&gt;"Dépense"),"⚠ Prospect manquant",IF(E1567="","⚠ Action manquante",IF(AND(AU1567=1,D1567=""),"⚠ Canal manquant",IF(AND(W1567&lt;&gt;"",COUNTIFS('Saisie'!$W$5:$W$2004,W1567,'Saisie'!$C$5:$C$2004,"&lt;&gt;"&amp;C1567)&gt;0),"⚠ Numéro déjà utilisé par un autre prospect",IF(AND(J1567&lt;&gt;"",J1567&lt;A1567),"⚠ Relance avant la date de l'action",IF(A1567&gt;TODAY(),"⚠ Date dans le futur","✓"))))))))</f>
        <v/>
      </c>
      <c r="AS1567" s="61">
        <f>IF(AND(A1567="",C1567="",E1567=""),"",ROW())</f>
        <v/>
      </c>
      <c r="AT1567" s="61">
        <f>IF(E1567&amp;F1567="","",MAX(IFERROR(INDEX('Paramètres'!$J$6:$J$33,MATCH(E1567,'Paramètres'!$I$6:$I$33,0)),0),IFERROR(INDEX('Paramètres'!$N$6:$N$17,MATCH(F1567,'Paramètres'!$M$6:$M$17,0)),0)))</f>
        <v/>
      </c>
      <c r="AU1567" s="61">
        <f>IF(E1567="","",IFERROR(IF(INDEX('Paramètres'!$K$6:$K$33,MATCH(E1567,'Paramètres'!$I$6:$I$33,0))="Oui",1,0),0))</f>
        <v/>
      </c>
      <c r="AV1567" s="61">
        <f>IF(F1567="","",IFERROR(IF(INDEX('Paramètres'!$O$6:$O$17,MATCH(F1567,'Paramètres'!$M$6:$M$17,0))="Oui",1,0),0))</f>
        <v/>
      </c>
      <c r="AW1567" s="62">
        <f>IF(E1567="","",IF(G1567&lt;&gt;"",G1567,IF(OR(E1567="Proposition envoyée",E1567="Signature"),MAX(0,N(IFERROR(INDEX('Paramètres'!$R$6:$R$15,MATCH(IF(AL1567&lt;&gt;"",AL1567,IFERROR(INDEX('Prospects'!$AN$5:$AN$504,MATCH(C1567,'Prospects'!$C$5:$C$504,0)),"")),'Paramètres'!$Q$6:$Q$15,0)),0))-N(P1567)),0)))</f>
        <v/>
      </c>
      <c r="AX1567" s="61">
        <f>IF(C1567="","",IF(COUNTIF($C$5:C1567,C1567)=1,MAX($AX$4:AX1566)+1,""))</f>
        <v/>
      </c>
      <c r="AY1567" s="61">
        <f>IF(B1567="","",HOUR(B1567))</f>
        <v/>
      </c>
      <c r="AZ1567" s="61">
        <f>IF(A1567="","",MOD(A1567-2,7)+1)</f>
        <v/>
      </c>
      <c r="BA1567" s="60">
        <f>IF(C1567="","",IFERROR(INDEX('Prospects'!$N$5:$N$504,MATCH(C1567,'Prospects'!$C$5:$C$504,0)),""))</f>
        <v/>
      </c>
      <c r="BB1567" s="61">
        <f>IF(AND(C1567&lt;&gt;"",C1567='Fiche prospect'!$C$4),COUNTIF($C$5:C1567,C1567),"")</f>
        <v/>
      </c>
    </row>
    <row r="1568">
      <c r="A1568" s="53" t="n"/>
      <c r="B1568" s="54" t="n"/>
      <c r="C1568" s="55" t="n"/>
      <c r="D1568" s="55" t="n"/>
      <c r="E1568" s="55" t="n"/>
      <c r="F1568" s="55" t="n"/>
      <c r="G1568" s="56" t="n"/>
      <c r="H1568" s="57" t="n"/>
      <c r="I1568" s="55" t="n"/>
      <c r="J1568" s="53" t="n"/>
      <c r="K1568" s="54" t="n"/>
      <c r="L1568" s="55" t="n"/>
      <c r="M1568" s="55" t="n"/>
      <c r="N1568" s="57" t="n"/>
      <c r="O1568" s="55" t="n"/>
      <c r="P1568" s="56" t="n"/>
      <c r="Q1568" s="55" t="n"/>
      <c r="R1568" s="55" t="n"/>
      <c r="S1568" s="55" t="n"/>
      <c r="T1568" s="55" t="n"/>
      <c r="U1568" s="55" t="n"/>
      <c r="V1568" s="55" t="n"/>
      <c r="W1568" s="58" t="n"/>
      <c r="X1568" s="58" t="n"/>
      <c r="Y1568" s="55" t="n"/>
      <c r="Z1568" s="55" t="n"/>
      <c r="AA1568" s="55" t="n"/>
      <c r="AB1568" s="55" t="n"/>
      <c r="AC1568" s="55" t="n"/>
      <c r="AD1568" s="53" t="n"/>
      <c r="AE1568" s="55" t="n"/>
      <c r="AF1568" s="55" t="n"/>
      <c r="AG1568" s="59" t="n"/>
      <c r="AH1568" s="57" t="n"/>
      <c r="AI1568" s="55" t="n"/>
      <c r="AJ1568" s="55" t="n"/>
      <c r="AK1568" s="55" t="n"/>
      <c r="AL1568" s="55" t="n"/>
      <c r="AM1568" s="56" t="n"/>
      <c r="AN1568" s="55" t="n"/>
      <c r="AO1568" s="55" t="n"/>
      <c r="AP1568" s="55" t="n"/>
      <c r="AQ1568" s="55" t="n"/>
      <c r="AR1568" s="60">
        <f>IF(AND(C1568="",E1568=""),"",IF(A1568="","⚠ Date manquante",IF(AND(C1568="",E1568&lt;&gt;"Dépense"),"⚠ Prospect manquant",IF(E1568="","⚠ Action manquante",IF(AND(AU1568=1,D1568=""),"⚠ Canal manquant",IF(AND(W1568&lt;&gt;"",COUNTIFS('Saisie'!$W$5:$W$2004,W1568,'Saisie'!$C$5:$C$2004,"&lt;&gt;"&amp;C1568)&gt;0),"⚠ Numéro déjà utilisé par un autre prospect",IF(AND(J1568&lt;&gt;"",J1568&lt;A1568),"⚠ Relance avant la date de l'action",IF(A1568&gt;TODAY(),"⚠ Date dans le futur","✓"))))))))</f>
        <v/>
      </c>
      <c r="AS1568" s="61">
        <f>IF(AND(A1568="",C1568="",E1568=""),"",ROW())</f>
        <v/>
      </c>
      <c r="AT1568" s="61">
        <f>IF(E1568&amp;F1568="","",MAX(IFERROR(INDEX('Paramètres'!$J$6:$J$33,MATCH(E1568,'Paramètres'!$I$6:$I$33,0)),0),IFERROR(INDEX('Paramètres'!$N$6:$N$17,MATCH(F1568,'Paramètres'!$M$6:$M$17,0)),0)))</f>
        <v/>
      </c>
      <c r="AU1568" s="61">
        <f>IF(E1568="","",IFERROR(IF(INDEX('Paramètres'!$K$6:$K$33,MATCH(E1568,'Paramètres'!$I$6:$I$33,0))="Oui",1,0),0))</f>
        <v/>
      </c>
      <c r="AV1568" s="61">
        <f>IF(F1568="","",IFERROR(IF(INDEX('Paramètres'!$O$6:$O$17,MATCH(F1568,'Paramètres'!$M$6:$M$17,0))="Oui",1,0),0))</f>
        <v/>
      </c>
      <c r="AW1568" s="62">
        <f>IF(E1568="","",IF(G1568&lt;&gt;"",G1568,IF(OR(E1568="Proposition envoyée",E1568="Signature"),MAX(0,N(IFERROR(INDEX('Paramètres'!$R$6:$R$15,MATCH(IF(AL1568&lt;&gt;"",AL1568,IFERROR(INDEX('Prospects'!$AN$5:$AN$504,MATCH(C1568,'Prospects'!$C$5:$C$504,0)),"")),'Paramètres'!$Q$6:$Q$15,0)),0))-N(P1568)),0)))</f>
        <v/>
      </c>
      <c r="AX1568" s="61">
        <f>IF(C1568="","",IF(COUNTIF($C$5:C1568,C1568)=1,MAX($AX$4:AX1567)+1,""))</f>
        <v/>
      </c>
      <c r="AY1568" s="61">
        <f>IF(B1568="","",HOUR(B1568))</f>
        <v/>
      </c>
      <c r="AZ1568" s="61">
        <f>IF(A1568="","",MOD(A1568-2,7)+1)</f>
        <v/>
      </c>
      <c r="BA1568" s="60">
        <f>IF(C1568="","",IFERROR(INDEX('Prospects'!$N$5:$N$504,MATCH(C1568,'Prospects'!$C$5:$C$504,0)),""))</f>
        <v/>
      </c>
      <c r="BB1568" s="61">
        <f>IF(AND(C1568&lt;&gt;"",C1568='Fiche prospect'!$C$4),COUNTIF($C$5:C1568,C1568),"")</f>
        <v/>
      </c>
    </row>
    <row r="1569">
      <c r="A1569" s="53" t="n"/>
      <c r="B1569" s="54" t="n"/>
      <c r="C1569" s="55" t="n"/>
      <c r="D1569" s="55" t="n"/>
      <c r="E1569" s="55" t="n"/>
      <c r="F1569" s="55" t="n"/>
      <c r="G1569" s="56" t="n"/>
      <c r="H1569" s="57" t="n"/>
      <c r="I1569" s="55" t="n"/>
      <c r="J1569" s="53" t="n"/>
      <c r="K1569" s="54" t="n"/>
      <c r="L1569" s="55" t="n"/>
      <c r="M1569" s="55" t="n"/>
      <c r="N1569" s="57" t="n"/>
      <c r="O1569" s="55" t="n"/>
      <c r="P1569" s="56" t="n"/>
      <c r="Q1569" s="55" t="n"/>
      <c r="R1569" s="55" t="n"/>
      <c r="S1569" s="55" t="n"/>
      <c r="T1569" s="55" t="n"/>
      <c r="U1569" s="55" t="n"/>
      <c r="V1569" s="55" t="n"/>
      <c r="W1569" s="58" t="n"/>
      <c r="X1569" s="58" t="n"/>
      <c r="Y1569" s="55" t="n"/>
      <c r="Z1569" s="55" t="n"/>
      <c r="AA1569" s="55" t="n"/>
      <c r="AB1569" s="55" t="n"/>
      <c r="AC1569" s="55" t="n"/>
      <c r="AD1569" s="53" t="n"/>
      <c r="AE1569" s="55" t="n"/>
      <c r="AF1569" s="55" t="n"/>
      <c r="AG1569" s="59" t="n"/>
      <c r="AH1569" s="57" t="n"/>
      <c r="AI1569" s="55" t="n"/>
      <c r="AJ1569" s="55" t="n"/>
      <c r="AK1569" s="55" t="n"/>
      <c r="AL1569" s="55" t="n"/>
      <c r="AM1569" s="56" t="n"/>
      <c r="AN1569" s="55" t="n"/>
      <c r="AO1569" s="55" t="n"/>
      <c r="AP1569" s="55" t="n"/>
      <c r="AQ1569" s="55" t="n"/>
      <c r="AR1569" s="60">
        <f>IF(AND(C1569="",E1569=""),"",IF(A1569="","⚠ Date manquante",IF(AND(C1569="",E1569&lt;&gt;"Dépense"),"⚠ Prospect manquant",IF(E1569="","⚠ Action manquante",IF(AND(AU1569=1,D1569=""),"⚠ Canal manquant",IF(AND(W1569&lt;&gt;"",COUNTIFS('Saisie'!$W$5:$W$2004,W1569,'Saisie'!$C$5:$C$2004,"&lt;&gt;"&amp;C1569)&gt;0),"⚠ Numéro déjà utilisé par un autre prospect",IF(AND(J1569&lt;&gt;"",J1569&lt;A1569),"⚠ Relance avant la date de l'action",IF(A1569&gt;TODAY(),"⚠ Date dans le futur","✓"))))))))</f>
        <v/>
      </c>
      <c r="AS1569" s="61">
        <f>IF(AND(A1569="",C1569="",E1569=""),"",ROW())</f>
        <v/>
      </c>
      <c r="AT1569" s="61">
        <f>IF(E1569&amp;F1569="","",MAX(IFERROR(INDEX('Paramètres'!$J$6:$J$33,MATCH(E1569,'Paramètres'!$I$6:$I$33,0)),0),IFERROR(INDEX('Paramètres'!$N$6:$N$17,MATCH(F1569,'Paramètres'!$M$6:$M$17,0)),0)))</f>
        <v/>
      </c>
      <c r="AU1569" s="61">
        <f>IF(E1569="","",IFERROR(IF(INDEX('Paramètres'!$K$6:$K$33,MATCH(E1569,'Paramètres'!$I$6:$I$33,0))="Oui",1,0),0))</f>
        <v/>
      </c>
      <c r="AV1569" s="61">
        <f>IF(F1569="","",IFERROR(IF(INDEX('Paramètres'!$O$6:$O$17,MATCH(F1569,'Paramètres'!$M$6:$M$17,0))="Oui",1,0),0))</f>
        <v/>
      </c>
      <c r="AW1569" s="62">
        <f>IF(E1569="","",IF(G1569&lt;&gt;"",G1569,IF(OR(E1569="Proposition envoyée",E1569="Signature"),MAX(0,N(IFERROR(INDEX('Paramètres'!$R$6:$R$15,MATCH(IF(AL1569&lt;&gt;"",AL1569,IFERROR(INDEX('Prospects'!$AN$5:$AN$504,MATCH(C1569,'Prospects'!$C$5:$C$504,0)),"")),'Paramètres'!$Q$6:$Q$15,0)),0))-N(P1569)),0)))</f>
        <v/>
      </c>
      <c r="AX1569" s="61">
        <f>IF(C1569="","",IF(COUNTIF($C$5:C1569,C1569)=1,MAX($AX$4:AX1568)+1,""))</f>
        <v/>
      </c>
      <c r="AY1569" s="61">
        <f>IF(B1569="","",HOUR(B1569))</f>
        <v/>
      </c>
      <c r="AZ1569" s="61">
        <f>IF(A1569="","",MOD(A1569-2,7)+1)</f>
        <v/>
      </c>
      <c r="BA1569" s="60">
        <f>IF(C1569="","",IFERROR(INDEX('Prospects'!$N$5:$N$504,MATCH(C1569,'Prospects'!$C$5:$C$504,0)),""))</f>
        <v/>
      </c>
      <c r="BB1569" s="61">
        <f>IF(AND(C1569&lt;&gt;"",C1569='Fiche prospect'!$C$4),COUNTIF($C$5:C1569,C1569),"")</f>
        <v/>
      </c>
    </row>
    <row r="1570">
      <c r="A1570" s="53" t="n"/>
      <c r="B1570" s="54" t="n"/>
      <c r="C1570" s="55" t="n"/>
      <c r="D1570" s="55" t="n"/>
      <c r="E1570" s="55" t="n"/>
      <c r="F1570" s="55" t="n"/>
      <c r="G1570" s="56" t="n"/>
      <c r="H1570" s="57" t="n"/>
      <c r="I1570" s="55" t="n"/>
      <c r="J1570" s="53" t="n"/>
      <c r="K1570" s="54" t="n"/>
      <c r="L1570" s="55" t="n"/>
      <c r="M1570" s="55" t="n"/>
      <c r="N1570" s="57" t="n"/>
      <c r="O1570" s="55" t="n"/>
      <c r="P1570" s="56" t="n"/>
      <c r="Q1570" s="55" t="n"/>
      <c r="R1570" s="55" t="n"/>
      <c r="S1570" s="55" t="n"/>
      <c r="T1570" s="55" t="n"/>
      <c r="U1570" s="55" t="n"/>
      <c r="V1570" s="55" t="n"/>
      <c r="W1570" s="58" t="n"/>
      <c r="X1570" s="58" t="n"/>
      <c r="Y1570" s="55" t="n"/>
      <c r="Z1570" s="55" t="n"/>
      <c r="AA1570" s="55" t="n"/>
      <c r="AB1570" s="55" t="n"/>
      <c r="AC1570" s="55" t="n"/>
      <c r="AD1570" s="53" t="n"/>
      <c r="AE1570" s="55" t="n"/>
      <c r="AF1570" s="55" t="n"/>
      <c r="AG1570" s="59" t="n"/>
      <c r="AH1570" s="57" t="n"/>
      <c r="AI1570" s="55" t="n"/>
      <c r="AJ1570" s="55" t="n"/>
      <c r="AK1570" s="55" t="n"/>
      <c r="AL1570" s="55" t="n"/>
      <c r="AM1570" s="56" t="n"/>
      <c r="AN1570" s="55" t="n"/>
      <c r="AO1570" s="55" t="n"/>
      <c r="AP1570" s="55" t="n"/>
      <c r="AQ1570" s="55" t="n"/>
      <c r="AR1570" s="60">
        <f>IF(AND(C1570="",E1570=""),"",IF(A1570="","⚠ Date manquante",IF(AND(C1570="",E1570&lt;&gt;"Dépense"),"⚠ Prospect manquant",IF(E1570="","⚠ Action manquante",IF(AND(AU1570=1,D1570=""),"⚠ Canal manquant",IF(AND(W1570&lt;&gt;"",COUNTIFS('Saisie'!$W$5:$W$2004,W1570,'Saisie'!$C$5:$C$2004,"&lt;&gt;"&amp;C1570)&gt;0),"⚠ Numéro déjà utilisé par un autre prospect",IF(AND(J1570&lt;&gt;"",J1570&lt;A1570),"⚠ Relance avant la date de l'action",IF(A1570&gt;TODAY(),"⚠ Date dans le futur","✓"))))))))</f>
        <v/>
      </c>
      <c r="AS1570" s="61">
        <f>IF(AND(A1570="",C1570="",E1570=""),"",ROW())</f>
        <v/>
      </c>
      <c r="AT1570" s="61">
        <f>IF(E1570&amp;F1570="","",MAX(IFERROR(INDEX('Paramètres'!$J$6:$J$33,MATCH(E1570,'Paramètres'!$I$6:$I$33,0)),0),IFERROR(INDEX('Paramètres'!$N$6:$N$17,MATCH(F1570,'Paramètres'!$M$6:$M$17,0)),0)))</f>
        <v/>
      </c>
      <c r="AU1570" s="61">
        <f>IF(E1570="","",IFERROR(IF(INDEX('Paramètres'!$K$6:$K$33,MATCH(E1570,'Paramètres'!$I$6:$I$33,0))="Oui",1,0),0))</f>
        <v/>
      </c>
      <c r="AV1570" s="61">
        <f>IF(F1570="","",IFERROR(IF(INDEX('Paramètres'!$O$6:$O$17,MATCH(F1570,'Paramètres'!$M$6:$M$17,0))="Oui",1,0),0))</f>
        <v/>
      </c>
      <c r="AW1570" s="62">
        <f>IF(E1570="","",IF(G1570&lt;&gt;"",G1570,IF(OR(E1570="Proposition envoyée",E1570="Signature"),MAX(0,N(IFERROR(INDEX('Paramètres'!$R$6:$R$15,MATCH(IF(AL1570&lt;&gt;"",AL1570,IFERROR(INDEX('Prospects'!$AN$5:$AN$504,MATCH(C1570,'Prospects'!$C$5:$C$504,0)),"")),'Paramètres'!$Q$6:$Q$15,0)),0))-N(P1570)),0)))</f>
        <v/>
      </c>
      <c r="AX1570" s="61">
        <f>IF(C1570="","",IF(COUNTIF($C$5:C1570,C1570)=1,MAX($AX$4:AX1569)+1,""))</f>
        <v/>
      </c>
      <c r="AY1570" s="61">
        <f>IF(B1570="","",HOUR(B1570))</f>
        <v/>
      </c>
      <c r="AZ1570" s="61">
        <f>IF(A1570="","",MOD(A1570-2,7)+1)</f>
        <v/>
      </c>
      <c r="BA1570" s="60">
        <f>IF(C1570="","",IFERROR(INDEX('Prospects'!$N$5:$N$504,MATCH(C1570,'Prospects'!$C$5:$C$504,0)),""))</f>
        <v/>
      </c>
      <c r="BB1570" s="61">
        <f>IF(AND(C1570&lt;&gt;"",C1570='Fiche prospect'!$C$4),COUNTIF($C$5:C1570,C1570),"")</f>
        <v/>
      </c>
    </row>
    <row r="1571">
      <c r="A1571" s="53" t="n"/>
      <c r="B1571" s="54" t="n"/>
      <c r="C1571" s="55" t="n"/>
      <c r="D1571" s="55" t="n"/>
      <c r="E1571" s="55" t="n"/>
      <c r="F1571" s="55" t="n"/>
      <c r="G1571" s="56" t="n"/>
      <c r="H1571" s="57" t="n"/>
      <c r="I1571" s="55" t="n"/>
      <c r="J1571" s="53" t="n"/>
      <c r="K1571" s="54" t="n"/>
      <c r="L1571" s="55" t="n"/>
      <c r="M1571" s="55" t="n"/>
      <c r="N1571" s="57" t="n"/>
      <c r="O1571" s="55" t="n"/>
      <c r="P1571" s="56" t="n"/>
      <c r="Q1571" s="55" t="n"/>
      <c r="R1571" s="55" t="n"/>
      <c r="S1571" s="55" t="n"/>
      <c r="T1571" s="55" t="n"/>
      <c r="U1571" s="55" t="n"/>
      <c r="V1571" s="55" t="n"/>
      <c r="W1571" s="58" t="n"/>
      <c r="X1571" s="58" t="n"/>
      <c r="Y1571" s="55" t="n"/>
      <c r="Z1571" s="55" t="n"/>
      <c r="AA1571" s="55" t="n"/>
      <c r="AB1571" s="55" t="n"/>
      <c r="AC1571" s="55" t="n"/>
      <c r="AD1571" s="53" t="n"/>
      <c r="AE1571" s="55" t="n"/>
      <c r="AF1571" s="55" t="n"/>
      <c r="AG1571" s="59" t="n"/>
      <c r="AH1571" s="57" t="n"/>
      <c r="AI1571" s="55" t="n"/>
      <c r="AJ1571" s="55" t="n"/>
      <c r="AK1571" s="55" t="n"/>
      <c r="AL1571" s="55" t="n"/>
      <c r="AM1571" s="56" t="n"/>
      <c r="AN1571" s="55" t="n"/>
      <c r="AO1571" s="55" t="n"/>
      <c r="AP1571" s="55" t="n"/>
      <c r="AQ1571" s="55" t="n"/>
      <c r="AR1571" s="60">
        <f>IF(AND(C1571="",E1571=""),"",IF(A1571="","⚠ Date manquante",IF(AND(C1571="",E1571&lt;&gt;"Dépense"),"⚠ Prospect manquant",IF(E1571="","⚠ Action manquante",IF(AND(AU1571=1,D1571=""),"⚠ Canal manquant",IF(AND(W1571&lt;&gt;"",COUNTIFS('Saisie'!$W$5:$W$2004,W1571,'Saisie'!$C$5:$C$2004,"&lt;&gt;"&amp;C1571)&gt;0),"⚠ Numéro déjà utilisé par un autre prospect",IF(AND(J1571&lt;&gt;"",J1571&lt;A1571),"⚠ Relance avant la date de l'action",IF(A1571&gt;TODAY(),"⚠ Date dans le futur","✓"))))))))</f>
        <v/>
      </c>
      <c r="AS1571" s="61">
        <f>IF(AND(A1571="",C1571="",E1571=""),"",ROW())</f>
        <v/>
      </c>
      <c r="AT1571" s="61">
        <f>IF(E1571&amp;F1571="","",MAX(IFERROR(INDEX('Paramètres'!$J$6:$J$33,MATCH(E1571,'Paramètres'!$I$6:$I$33,0)),0),IFERROR(INDEX('Paramètres'!$N$6:$N$17,MATCH(F1571,'Paramètres'!$M$6:$M$17,0)),0)))</f>
        <v/>
      </c>
      <c r="AU1571" s="61">
        <f>IF(E1571="","",IFERROR(IF(INDEX('Paramètres'!$K$6:$K$33,MATCH(E1571,'Paramètres'!$I$6:$I$33,0))="Oui",1,0),0))</f>
        <v/>
      </c>
      <c r="AV1571" s="61">
        <f>IF(F1571="","",IFERROR(IF(INDEX('Paramètres'!$O$6:$O$17,MATCH(F1571,'Paramètres'!$M$6:$M$17,0))="Oui",1,0),0))</f>
        <v/>
      </c>
      <c r="AW1571" s="62">
        <f>IF(E1571="","",IF(G1571&lt;&gt;"",G1571,IF(OR(E1571="Proposition envoyée",E1571="Signature"),MAX(0,N(IFERROR(INDEX('Paramètres'!$R$6:$R$15,MATCH(IF(AL1571&lt;&gt;"",AL1571,IFERROR(INDEX('Prospects'!$AN$5:$AN$504,MATCH(C1571,'Prospects'!$C$5:$C$504,0)),"")),'Paramètres'!$Q$6:$Q$15,0)),0))-N(P1571)),0)))</f>
        <v/>
      </c>
      <c r="AX1571" s="61">
        <f>IF(C1571="","",IF(COUNTIF($C$5:C1571,C1571)=1,MAX($AX$4:AX1570)+1,""))</f>
        <v/>
      </c>
      <c r="AY1571" s="61">
        <f>IF(B1571="","",HOUR(B1571))</f>
        <v/>
      </c>
      <c r="AZ1571" s="61">
        <f>IF(A1571="","",MOD(A1571-2,7)+1)</f>
        <v/>
      </c>
      <c r="BA1571" s="60">
        <f>IF(C1571="","",IFERROR(INDEX('Prospects'!$N$5:$N$504,MATCH(C1571,'Prospects'!$C$5:$C$504,0)),""))</f>
        <v/>
      </c>
      <c r="BB1571" s="61">
        <f>IF(AND(C1571&lt;&gt;"",C1571='Fiche prospect'!$C$4),COUNTIF($C$5:C1571,C1571),"")</f>
        <v/>
      </c>
    </row>
    <row r="1572">
      <c r="A1572" s="53" t="n"/>
      <c r="B1572" s="54" t="n"/>
      <c r="C1572" s="55" t="n"/>
      <c r="D1572" s="55" t="n"/>
      <c r="E1572" s="55" t="n"/>
      <c r="F1572" s="55" t="n"/>
      <c r="G1572" s="56" t="n"/>
      <c r="H1572" s="57" t="n"/>
      <c r="I1572" s="55" t="n"/>
      <c r="J1572" s="53" t="n"/>
      <c r="K1572" s="54" t="n"/>
      <c r="L1572" s="55" t="n"/>
      <c r="M1572" s="55" t="n"/>
      <c r="N1572" s="57" t="n"/>
      <c r="O1572" s="55" t="n"/>
      <c r="P1572" s="56" t="n"/>
      <c r="Q1572" s="55" t="n"/>
      <c r="R1572" s="55" t="n"/>
      <c r="S1572" s="55" t="n"/>
      <c r="T1572" s="55" t="n"/>
      <c r="U1572" s="55" t="n"/>
      <c r="V1572" s="55" t="n"/>
      <c r="W1572" s="58" t="n"/>
      <c r="X1572" s="58" t="n"/>
      <c r="Y1572" s="55" t="n"/>
      <c r="Z1572" s="55" t="n"/>
      <c r="AA1572" s="55" t="n"/>
      <c r="AB1572" s="55" t="n"/>
      <c r="AC1572" s="55" t="n"/>
      <c r="AD1572" s="53" t="n"/>
      <c r="AE1572" s="55" t="n"/>
      <c r="AF1572" s="55" t="n"/>
      <c r="AG1572" s="59" t="n"/>
      <c r="AH1572" s="57" t="n"/>
      <c r="AI1572" s="55" t="n"/>
      <c r="AJ1572" s="55" t="n"/>
      <c r="AK1572" s="55" t="n"/>
      <c r="AL1572" s="55" t="n"/>
      <c r="AM1572" s="56" t="n"/>
      <c r="AN1572" s="55" t="n"/>
      <c r="AO1572" s="55" t="n"/>
      <c r="AP1572" s="55" t="n"/>
      <c r="AQ1572" s="55" t="n"/>
      <c r="AR1572" s="60">
        <f>IF(AND(C1572="",E1572=""),"",IF(A1572="","⚠ Date manquante",IF(AND(C1572="",E1572&lt;&gt;"Dépense"),"⚠ Prospect manquant",IF(E1572="","⚠ Action manquante",IF(AND(AU1572=1,D1572=""),"⚠ Canal manquant",IF(AND(W1572&lt;&gt;"",COUNTIFS('Saisie'!$W$5:$W$2004,W1572,'Saisie'!$C$5:$C$2004,"&lt;&gt;"&amp;C1572)&gt;0),"⚠ Numéro déjà utilisé par un autre prospect",IF(AND(J1572&lt;&gt;"",J1572&lt;A1572),"⚠ Relance avant la date de l'action",IF(A1572&gt;TODAY(),"⚠ Date dans le futur","✓"))))))))</f>
        <v/>
      </c>
      <c r="AS1572" s="61">
        <f>IF(AND(A1572="",C1572="",E1572=""),"",ROW())</f>
        <v/>
      </c>
      <c r="AT1572" s="61">
        <f>IF(E1572&amp;F1572="","",MAX(IFERROR(INDEX('Paramètres'!$J$6:$J$33,MATCH(E1572,'Paramètres'!$I$6:$I$33,0)),0),IFERROR(INDEX('Paramètres'!$N$6:$N$17,MATCH(F1572,'Paramètres'!$M$6:$M$17,0)),0)))</f>
        <v/>
      </c>
      <c r="AU1572" s="61">
        <f>IF(E1572="","",IFERROR(IF(INDEX('Paramètres'!$K$6:$K$33,MATCH(E1572,'Paramètres'!$I$6:$I$33,0))="Oui",1,0),0))</f>
        <v/>
      </c>
      <c r="AV1572" s="61">
        <f>IF(F1572="","",IFERROR(IF(INDEX('Paramètres'!$O$6:$O$17,MATCH(F1572,'Paramètres'!$M$6:$M$17,0))="Oui",1,0),0))</f>
        <v/>
      </c>
      <c r="AW1572" s="62">
        <f>IF(E1572="","",IF(G1572&lt;&gt;"",G1572,IF(OR(E1572="Proposition envoyée",E1572="Signature"),MAX(0,N(IFERROR(INDEX('Paramètres'!$R$6:$R$15,MATCH(IF(AL1572&lt;&gt;"",AL1572,IFERROR(INDEX('Prospects'!$AN$5:$AN$504,MATCH(C1572,'Prospects'!$C$5:$C$504,0)),"")),'Paramètres'!$Q$6:$Q$15,0)),0))-N(P1572)),0)))</f>
        <v/>
      </c>
      <c r="AX1572" s="61">
        <f>IF(C1572="","",IF(COUNTIF($C$5:C1572,C1572)=1,MAX($AX$4:AX1571)+1,""))</f>
        <v/>
      </c>
      <c r="AY1572" s="61">
        <f>IF(B1572="","",HOUR(B1572))</f>
        <v/>
      </c>
      <c r="AZ1572" s="61">
        <f>IF(A1572="","",MOD(A1572-2,7)+1)</f>
        <v/>
      </c>
      <c r="BA1572" s="60">
        <f>IF(C1572="","",IFERROR(INDEX('Prospects'!$N$5:$N$504,MATCH(C1572,'Prospects'!$C$5:$C$504,0)),""))</f>
        <v/>
      </c>
      <c r="BB1572" s="61">
        <f>IF(AND(C1572&lt;&gt;"",C1572='Fiche prospect'!$C$4),COUNTIF($C$5:C1572,C1572),"")</f>
        <v/>
      </c>
    </row>
    <row r="1573">
      <c r="A1573" s="53" t="n"/>
      <c r="B1573" s="54" t="n"/>
      <c r="C1573" s="55" t="n"/>
      <c r="D1573" s="55" t="n"/>
      <c r="E1573" s="55" t="n"/>
      <c r="F1573" s="55" t="n"/>
      <c r="G1573" s="56" t="n"/>
      <c r="H1573" s="57" t="n"/>
      <c r="I1573" s="55" t="n"/>
      <c r="J1573" s="53" t="n"/>
      <c r="K1573" s="54" t="n"/>
      <c r="L1573" s="55" t="n"/>
      <c r="M1573" s="55" t="n"/>
      <c r="N1573" s="57" t="n"/>
      <c r="O1573" s="55" t="n"/>
      <c r="P1573" s="56" t="n"/>
      <c r="Q1573" s="55" t="n"/>
      <c r="R1573" s="55" t="n"/>
      <c r="S1573" s="55" t="n"/>
      <c r="T1573" s="55" t="n"/>
      <c r="U1573" s="55" t="n"/>
      <c r="V1573" s="55" t="n"/>
      <c r="W1573" s="58" t="n"/>
      <c r="X1573" s="58" t="n"/>
      <c r="Y1573" s="55" t="n"/>
      <c r="Z1573" s="55" t="n"/>
      <c r="AA1573" s="55" t="n"/>
      <c r="AB1573" s="55" t="n"/>
      <c r="AC1573" s="55" t="n"/>
      <c r="AD1573" s="53" t="n"/>
      <c r="AE1573" s="55" t="n"/>
      <c r="AF1573" s="55" t="n"/>
      <c r="AG1573" s="59" t="n"/>
      <c r="AH1573" s="57" t="n"/>
      <c r="AI1573" s="55" t="n"/>
      <c r="AJ1573" s="55" t="n"/>
      <c r="AK1573" s="55" t="n"/>
      <c r="AL1573" s="55" t="n"/>
      <c r="AM1573" s="56" t="n"/>
      <c r="AN1573" s="55" t="n"/>
      <c r="AO1573" s="55" t="n"/>
      <c r="AP1573" s="55" t="n"/>
      <c r="AQ1573" s="55" t="n"/>
      <c r="AR1573" s="60">
        <f>IF(AND(C1573="",E1573=""),"",IF(A1573="","⚠ Date manquante",IF(AND(C1573="",E1573&lt;&gt;"Dépense"),"⚠ Prospect manquant",IF(E1573="","⚠ Action manquante",IF(AND(AU1573=1,D1573=""),"⚠ Canal manquant",IF(AND(W1573&lt;&gt;"",COUNTIFS('Saisie'!$W$5:$W$2004,W1573,'Saisie'!$C$5:$C$2004,"&lt;&gt;"&amp;C1573)&gt;0),"⚠ Numéro déjà utilisé par un autre prospect",IF(AND(J1573&lt;&gt;"",J1573&lt;A1573),"⚠ Relance avant la date de l'action",IF(A1573&gt;TODAY(),"⚠ Date dans le futur","✓"))))))))</f>
        <v/>
      </c>
      <c r="AS1573" s="61">
        <f>IF(AND(A1573="",C1573="",E1573=""),"",ROW())</f>
        <v/>
      </c>
      <c r="AT1573" s="61">
        <f>IF(E1573&amp;F1573="","",MAX(IFERROR(INDEX('Paramètres'!$J$6:$J$33,MATCH(E1573,'Paramètres'!$I$6:$I$33,0)),0),IFERROR(INDEX('Paramètres'!$N$6:$N$17,MATCH(F1573,'Paramètres'!$M$6:$M$17,0)),0)))</f>
        <v/>
      </c>
      <c r="AU1573" s="61">
        <f>IF(E1573="","",IFERROR(IF(INDEX('Paramètres'!$K$6:$K$33,MATCH(E1573,'Paramètres'!$I$6:$I$33,0))="Oui",1,0),0))</f>
        <v/>
      </c>
      <c r="AV1573" s="61">
        <f>IF(F1573="","",IFERROR(IF(INDEX('Paramètres'!$O$6:$O$17,MATCH(F1573,'Paramètres'!$M$6:$M$17,0))="Oui",1,0),0))</f>
        <v/>
      </c>
      <c r="AW1573" s="62">
        <f>IF(E1573="","",IF(G1573&lt;&gt;"",G1573,IF(OR(E1573="Proposition envoyée",E1573="Signature"),MAX(0,N(IFERROR(INDEX('Paramètres'!$R$6:$R$15,MATCH(IF(AL1573&lt;&gt;"",AL1573,IFERROR(INDEX('Prospects'!$AN$5:$AN$504,MATCH(C1573,'Prospects'!$C$5:$C$504,0)),"")),'Paramètres'!$Q$6:$Q$15,0)),0))-N(P1573)),0)))</f>
        <v/>
      </c>
      <c r="AX1573" s="61">
        <f>IF(C1573="","",IF(COUNTIF($C$5:C1573,C1573)=1,MAX($AX$4:AX1572)+1,""))</f>
        <v/>
      </c>
      <c r="AY1573" s="61">
        <f>IF(B1573="","",HOUR(B1573))</f>
        <v/>
      </c>
      <c r="AZ1573" s="61">
        <f>IF(A1573="","",MOD(A1573-2,7)+1)</f>
        <v/>
      </c>
      <c r="BA1573" s="60">
        <f>IF(C1573="","",IFERROR(INDEX('Prospects'!$N$5:$N$504,MATCH(C1573,'Prospects'!$C$5:$C$504,0)),""))</f>
        <v/>
      </c>
      <c r="BB1573" s="61">
        <f>IF(AND(C1573&lt;&gt;"",C1573='Fiche prospect'!$C$4),COUNTIF($C$5:C1573,C1573),"")</f>
        <v/>
      </c>
    </row>
    <row r="1574">
      <c r="A1574" s="53" t="n"/>
      <c r="B1574" s="54" t="n"/>
      <c r="C1574" s="55" t="n"/>
      <c r="D1574" s="55" t="n"/>
      <c r="E1574" s="55" t="n"/>
      <c r="F1574" s="55" t="n"/>
      <c r="G1574" s="56" t="n"/>
      <c r="H1574" s="57" t="n"/>
      <c r="I1574" s="55" t="n"/>
      <c r="J1574" s="53" t="n"/>
      <c r="K1574" s="54" t="n"/>
      <c r="L1574" s="55" t="n"/>
      <c r="M1574" s="55" t="n"/>
      <c r="N1574" s="57" t="n"/>
      <c r="O1574" s="55" t="n"/>
      <c r="P1574" s="56" t="n"/>
      <c r="Q1574" s="55" t="n"/>
      <c r="R1574" s="55" t="n"/>
      <c r="S1574" s="55" t="n"/>
      <c r="T1574" s="55" t="n"/>
      <c r="U1574" s="55" t="n"/>
      <c r="V1574" s="55" t="n"/>
      <c r="W1574" s="58" t="n"/>
      <c r="X1574" s="58" t="n"/>
      <c r="Y1574" s="55" t="n"/>
      <c r="Z1574" s="55" t="n"/>
      <c r="AA1574" s="55" t="n"/>
      <c r="AB1574" s="55" t="n"/>
      <c r="AC1574" s="55" t="n"/>
      <c r="AD1574" s="53" t="n"/>
      <c r="AE1574" s="55" t="n"/>
      <c r="AF1574" s="55" t="n"/>
      <c r="AG1574" s="59" t="n"/>
      <c r="AH1574" s="57" t="n"/>
      <c r="AI1574" s="55" t="n"/>
      <c r="AJ1574" s="55" t="n"/>
      <c r="AK1574" s="55" t="n"/>
      <c r="AL1574" s="55" t="n"/>
      <c r="AM1574" s="56" t="n"/>
      <c r="AN1574" s="55" t="n"/>
      <c r="AO1574" s="55" t="n"/>
      <c r="AP1574" s="55" t="n"/>
      <c r="AQ1574" s="55" t="n"/>
      <c r="AR1574" s="60">
        <f>IF(AND(C1574="",E1574=""),"",IF(A1574="","⚠ Date manquante",IF(AND(C1574="",E1574&lt;&gt;"Dépense"),"⚠ Prospect manquant",IF(E1574="","⚠ Action manquante",IF(AND(AU1574=1,D1574=""),"⚠ Canal manquant",IF(AND(W1574&lt;&gt;"",COUNTIFS('Saisie'!$W$5:$W$2004,W1574,'Saisie'!$C$5:$C$2004,"&lt;&gt;"&amp;C1574)&gt;0),"⚠ Numéro déjà utilisé par un autre prospect",IF(AND(J1574&lt;&gt;"",J1574&lt;A1574),"⚠ Relance avant la date de l'action",IF(A1574&gt;TODAY(),"⚠ Date dans le futur","✓"))))))))</f>
        <v/>
      </c>
      <c r="AS1574" s="61">
        <f>IF(AND(A1574="",C1574="",E1574=""),"",ROW())</f>
        <v/>
      </c>
      <c r="AT1574" s="61">
        <f>IF(E1574&amp;F1574="","",MAX(IFERROR(INDEX('Paramètres'!$J$6:$J$33,MATCH(E1574,'Paramètres'!$I$6:$I$33,0)),0),IFERROR(INDEX('Paramètres'!$N$6:$N$17,MATCH(F1574,'Paramètres'!$M$6:$M$17,0)),0)))</f>
        <v/>
      </c>
      <c r="AU1574" s="61">
        <f>IF(E1574="","",IFERROR(IF(INDEX('Paramètres'!$K$6:$K$33,MATCH(E1574,'Paramètres'!$I$6:$I$33,0))="Oui",1,0),0))</f>
        <v/>
      </c>
      <c r="AV1574" s="61">
        <f>IF(F1574="","",IFERROR(IF(INDEX('Paramètres'!$O$6:$O$17,MATCH(F1574,'Paramètres'!$M$6:$M$17,0))="Oui",1,0),0))</f>
        <v/>
      </c>
      <c r="AW1574" s="62">
        <f>IF(E1574="","",IF(G1574&lt;&gt;"",G1574,IF(OR(E1574="Proposition envoyée",E1574="Signature"),MAX(0,N(IFERROR(INDEX('Paramètres'!$R$6:$R$15,MATCH(IF(AL1574&lt;&gt;"",AL1574,IFERROR(INDEX('Prospects'!$AN$5:$AN$504,MATCH(C1574,'Prospects'!$C$5:$C$504,0)),"")),'Paramètres'!$Q$6:$Q$15,0)),0))-N(P1574)),0)))</f>
        <v/>
      </c>
      <c r="AX1574" s="61">
        <f>IF(C1574="","",IF(COUNTIF($C$5:C1574,C1574)=1,MAX($AX$4:AX1573)+1,""))</f>
        <v/>
      </c>
      <c r="AY1574" s="61">
        <f>IF(B1574="","",HOUR(B1574))</f>
        <v/>
      </c>
      <c r="AZ1574" s="61">
        <f>IF(A1574="","",MOD(A1574-2,7)+1)</f>
        <v/>
      </c>
      <c r="BA1574" s="60">
        <f>IF(C1574="","",IFERROR(INDEX('Prospects'!$N$5:$N$504,MATCH(C1574,'Prospects'!$C$5:$C$504,0)),""))</f>
        <v/>
      </c>
      <c r="BB1574" s="61">
        <f>IF(AND(C1574&lt;&gt;"",C1574='Fiche prospect'!$C$4),COUNTIF($C$5:C1574,C1574),"")</f>
        <v/>
      </c>
    </row>
    <row r="1575">
      <c r="A1575" s="53" t="n"/>
      <c r="B1575" s="54" t="n"/>
      <c r="C1575" s="55" t="n"/>
      <c r="D1575" s="55" t="n"/>
      <c r="E1575" s="55" t="n"/>
      <c r="F1575" s="55" t="n"/>
      <c r="G1575" s="56" t="n"/>
      <c r="H1575" s="57" t="n"/>
      <c r="I1575" s="55" t="n"/>
      <c r="J1575" s="53" t="n"/>
      <c r="K1575" s="54" t="n"/>
      <c r="L1575" s="55" t="n"/>
      <c r="M1575" s="55" t="n"/>
      <c r="N1575" s="57" t="n"/>
      <c r="O1575" s="55" t="n"/>
      <c r="P1575" s="56" t="n"/>
      <c r="Q1575" s="55" t="n"/>
      <c r="R1575" s="55" t="n"/>
      <c r="S1575" s="55" t="n"/>
      <c r="T1575" s="55" t="n"/>
      <c r="U1575" s="55" t="n"/>
      <c r="V1575" s="55" t="n"/>
      <c r="W1575" s="58" t="n"/>
      <c r="X1575" s="58" t="n"/>
      <c r="Y1575" s="55" t="n"/>
      <c r="Z1575" s="55" t="n"/>
      <c r="AA1575" s="55" t="n"/>
      <c r="AB1575" s="55" t="n"/>
      <c r="AC1575" s="55" t="n"/>
      <c r="AD1575" s="53" t="n"/>
      <c r="AE1575" s="55" t="n"/>
      <c r="AF1575" s="55" t="n"/>
      <c r="AG1575" s="59" t="n"/>
      <c r="AH1575" s="57" t="n"/>
      <c r="AI1575" s="55" t="n"/>
      <c r="AJ1575" s="55" t="n"/>
      <c r="AK1575" s="55" t="n"/>
      <c r="AL1575" s="55" t="n"/>
      <c r="AM1575" s="56" t="n"/>
      <c r="AN1575" s="55" t="n"/>
      <c r="AO1575" s="55" t="n"/>
      <c r="AP1575" s="55" t="n"/>
      <c r="AQ1575" s="55" t="n"/>
      <c r="AR1575" s="60">
        <f>IF(AND(C1575="",E1575=""),"",IF(A1575="","⚠ Date manquante",IF(AND(C1575="",E1575&lt;&gt;"Dépense"),"⚠ Prospect manquant",IF(E1575="","⚠ Action manquante",IF(AND(AU1575=1,D1575=""),"⚠ Canal manquant",IF(AND(W1575&lt;&gt;"",COUNTIFS('Saisie'!$W$5:$W$2004,W1575,'Saisie'!$C$5:$C$2004,"&lt;&gt;"&amp;C1575)&gt;0),"⚠ Numéro déjà utilisé par un autre prospect",IF(AND(J1575&lt;&gt;"",J1575&lt;A1575),"⚠ Relance avant la date de l'action",IF(A1575&gt;TODAY(),"⚠ Date dans le futur","✓"))))))))</f>
        <v/>
      </c>
      <c r="AS1575" s="61">
        <f>IF(AND(A1575="",C1575="",E1575=""),"",ROW())</f>
        <v/>
      </c>
      <c r="AT1575" s="61">
        <f>IF(E1575&amp;F1575="","",MAX(IFERROR(INDEX('Paramètres'!$J$6:$J$33,MATCH(E1575,'Paramètres'!$I$6:$I$33,0)),0),IFERROR(INDEX('Paramètres'!$N$6:$N$17,MATCH(F1575,'Paramètres'!$M$6:$M$17,0)),0)))</f>
        <v/>
      </c>
      <c r="AU1575" s="61">
        <f>IF(E1575="","",IFERROR(IF(INDEX('Paramètres'!$K$6:$K$33,MATCH(E1575,'Paramètres'!$I$6:$I$33,0))="Oui",1,0),0))</f>
        <v/>
      </c>
      <c r="AV1575" s="61">
        <f>IF(F1575="","",IFERROR(IF(INDEX('Paramètres'!$O$6:$O$17,MATCH(F1575,'Paramètres'!$M$6:$M$17,0))="Oui",1,0),0))</f>
        <v/>
      </c>
      <c r="AW1575" s="62">
        <f>IF(E1575="","",IF(G1575&lt;&gt;"",G1575,IF(OR(E1575="Proposition envoyée",E1575="Signature"),MAX(0,N(IFERROR(INDEX('Paramètres'!$R$6:$R$15,MATCH(IF(AL1575&lt;&gt;"",AL1575,IFERROR(INDEX('Prospects'!$AN$5:$AN$504,MATCH(C1575,'Prospects'!$C$5:$C$504,0)),"")),'Paramètres'!$Q$6:$Q$15,0)),0))-N(P1575)),0)))</f>
        <v/>
      </c>
      <c r="AX1575" s="61">
        <f>IF(C1575="","",IF(COUNTIF($C$5:C1575,C1575)=1,MAX($AX$4:AX1574)+1,""))</f>
        <v/>
      </c>
      <c r="AY1575" s="61">
        <f>IF(B1575="","",HOUR(B1575))</f>
        <v/>
      </c>
      <c r="AZ1575" s="61">
        <f>IF(A1575="","",MOD(A1575-2,7)+1)</f>
        <v/>
      </c>
      <c r="BA1575" s="60">
        <f>IF(C1575="","",IFERROR(INDEX('Prospects'!$N$5:$N$504,MATCH(C1575,'Prospects'!$C$5:$C$504,0)),""))</f>
        <v/>
      </c>
      <c r="BB1575" s="61">
        <f>IF(AND(C1575&lt;&gt;"",C1575='Fiche prospect'!$C$4),COUNTIF($C$5:C1575,C1575),"")</f>
        <v/>
      </c>
    </row>
    <row r="1576">
      <c r="A1576" s="53" t="n"/>
      <c r="B1576" s="54" t="n"/>
      <c r="C1576" s="55" t="n"/>
      <c r="D1576" s="55" t="n"/>
      <c r="E1576" s="55" t="n"/>
      <c r="F1576" s="55" t="n"/>
      <c r="G1576" s="56" t="n"/>
      <c r="H1576" s="57" t="n"/>
      <c r="I1576" s="55" t="n"/>
      <c r="J1576" s="53" t="n"/>
      <c r="K1576" s="54" t="n"/>
      <c r="L1576" s="55" t="n"/>
      <c r="M1576" s="55" t="n"/>
      <c r="N1576" s="57" t="n"/>
      <c r="O1576" s="55" t="n"/>
      <c r="P1576" s="56" t="n"/>
      <c r="Q1576" s="55" t="n"/>
      <c r="R1576" s="55" t="n"/>
      <c r="S1576" s="55" t="n"/>
      <c r="T1576" s="55" t="n"/>
      <c r="U1576" s="55" t="n"/>
      <c r="V1576" s="55" t="n"/>
      <c r="W1576" s="58" t="n"/>
      <c r="X1576" s="58" t="n"/>
      <c r="Y1576" s="55" t="n"/>
      <c r="Z1576" s="55" t="n"/>
      <c r="AA1576" s="55" t="n"/>
      <c r="AB1576" s="55" t="n"/>
      <c r="AC1576" s="55" t="n"/>
      <c r="AD1576" s="53" t="n"/>
      <c r="AE1576" s="55" t="n"/>
      <c r="AF1576" s="55" t="n"/>
      <c r="AG1576" s="59" t="n"/>
      <c r="AH1576" s="57" t="n"/>
      <c r="AI1576" s="55" t="n"/>
      <c r="AJ1576" s="55" t="n"/>
      <c r="AK1576" s="55" t="n"/>
      <c r="AL1576" s="55" t="n"/>
      <c r="AM1576" s="56" t="n"/>
      <c r="AN1576" s="55" t="n"/>
      <c r="AO1576" s="55" t="n"/>
      <c r="AP1576" s="55" t="n"/>
      <c r="AQ1576" s="55" t="n"/>
      <c r="AR1576" s="60">
        <f>IF(AND(C1576="",E1576=""),"",IF(A1576="","⚠ Date manquante",IF(AND(C1576="",E1576&lt;&gt;"Dépense"),"⚠ Prospect manquant",IF(E1576="","⚠ Action manquante",IF(AND(AU1576=1,D1576=""),"⚠ Canal manquant",IF(AND(W1576&lt;&gt;"",COUNTIFS('Saisie'!$W$5:$W$2004,W1576,'Saisie'!$C$5:$C$2004,"&lt;&gt;"&amp;C1576)&gt;0),"⚠ Numéro déjà utilisé par un autre prospect",IF(AND(J1576&lt;&gt;"",J1576&lt;A1576),"⚠ Relance avant la date de l'action",IF(A1576&gt;TODAY(),"⚠ Date dans le futur","✓"))))))))</f>
        <v/>
      </c>
      <c r="AS1576" s="61">
        <f>IF(AND(A1576="",C1576="",E1576=""),"",ROW())</f>
        <v/>
      </c>
      <c r="AT1576" s="61">
        <f>IF(E1576&amp;F1576="","",MAX(IFERROR(INDEX('Paramètres'!$J$6:$J$33,MATCH(E1576,'Paramètres'!$I$6:$I$33,0)),0),IFERROR(INDEX('Paramètres'!$N$6:$N$17,MATCH(F1576,'Paramètres'!$M$6:$M$17,0)),0)))</f>
        <v/>
      </c>
      <c r="AU1576" s="61">
        <f>IF(E1576="","",IFERROR(IF(INDEX('Paramètres'!$K$6:$K$33,MATCH(E1576,'Paramètres'!$I$6:$I$33,0))="Oui",1,0),0))</f>
        <v/>
      </c>
      <c r="AV1576" s="61">
        <f>IF(F1576="","",IFERROR(IF(INDEX('Paramètres'!$O$6:$O$17,MATCH(F1576,'Paramètres'!$M$6:$M$17,0))="Oui",1,0),0))</f>
        <v/>
      </c>
      <c r="AW1576" s="62">
        <f>IF(E1576="","",IF(G1576&lt;&gt;"",G1576,IF(OR(E1576="Proposition envoyée",E1576="Signature"),MAX(0,N(IFERROR(INDEX('Paramètres'!$R$6:$R$15,MATCH(IF(AL1576&lt;&gt;"",AL1576,IFERROR(INDEX('Prospects'!$AN$5:$AN$504,MATCH(C1576,'Prospects'!$C$5:$C$504,0)),"")),'Paramètres'!$Q$6:$Q$15,0)),0))-N(P1576)),0)))</f>
        <v/>
      </c>
      <c r="AX1576" s="61">
        <f>IF(C1576="","",IF(COUNTIF($C$5:C1576,C1576)=1,MAX($AX$4:AX1575)+1,""))</f>
        <v/>
      </c>
      <c r="AY1576" s="61">
        <f>IF(B1576="","",HOUR(B1576))</f>
        <v/>
      </c>
      <c r="AZ1576" s="61">
        <f>IF(A1576="","",MOD(A1576-2,7)+1)</f>
        <v/>
      </c>
      <c r="BA1576" s="60">
        <f>IF(C1576="","",IFERROR(INDEX('Prospects'!$N$5:$N$504,MATCH(C1576,'Prospects'!$C$5:$C$504,0)),""))</f>
        <v/>
      </c>
      <c r="BB1576" s="61">
        <f>IF(AND(C1576&lt;&gt;"",C1576='Fiche prospect'!$C$4),COUNTIF($C$5:C1576,C1576),"")</f>
        <v/>
      </c>
    </row>
    <row r="1577">
      <c r="A1577" s="53" t="n"/>
      <c r="B1577" s="54" t="n"/>
      <c r="C1577" s="55" t="n"/>
      <c r="D1577" s="55" t="n"/>
      <c r="E1577" s="55" t="n"/>
      <c r="F1577" s="55" t="n"/>
      <c r="G1577" s="56" t="n"/>
      <c r="H1577" s="57" t="n"/>
      <c r="I1577" s="55" t="n"/>
      <c r="J1577" s="53" t="n"/>
      <c r="K1577" s="54" t="n"/>
      <c r="L1577" s="55" t="n"/>
      <c r="M1577" s="55" t="n"/>
      <c r="N1577" s="57" t="n"/>
      <c r="O1577" s="55" t="n"/>
      <c r="P1577" s="56" t="n"/>
      <c r="Q1577" s="55" t="n"/>
      <c r="R1577" s="55" t="n"/>
      <c r="S1577" s="55" t="n"/>
      <c r="T1577" s="55" t="n"/>
      <c r="U1577" s="55" t="n"/>
      <c r="V1577" s="55" t="n"/>
      <c r="W1577" s="58" t="n"/>
      <c r="X1577" s="58" t="n"/>
      <c r="Y1577" s="55" t="n"/>
      <c r="Z1577" s="55" t="n"/>
      <c r="AA1577" s="55" t="n"/>
      <c r="AB1577" s="55" t="n"/>
      <c r="AC1577" s="55" t="n"/>
      <c r="AD1577" s="53" t="n"/>
      <c r="AE1577" s="55" t="n"/>
      <c r="AF1577" s="55" t="n"/>
      <c r="AG1577" s="59" t="n"/>
      <c r="AH1577" s="57" t="n"/>
      <c r="AI1577" s="55" t="n"/>
      <c r="AJ1577" s="55" t="n"/>
      <c r="AK1577" s="55" t="n"/>
      <c r="AL1577" s="55" t="n"/>
      <c r="AM1577" s="56" t="n"/>
      <c r="AN1577" s="55" t="n"/>
      <c r="AO1577" s="55" t="n"/>
      <c r="AP1577" s="55" t="n"/>
      <c r="AQ1577" s="55" t="n"/>
      <c r="AR1577" s="60">
        <f>IF(AND(C1577="",E1577=""),"",IF(A1577="","⚠ Date manquante",IF(AND(C1577="",E1577&lt;&gt;"Dépense"),"⚠ Prospect manquant",IF(E1577="","⚠ Action manquante",IF(AND(AU1577=1,D1577=""),"⚠ Canal manquant",IF(AND(W1577&lt;&gt;"",COUNTIFS('Saisie'!$W$5:$W$2004,W1577,'Saisie'!$C$5:$C$2004,"&lt;&gt;"&amp;C1577)&gt;0),"⚠ Numéro déjà utilisé par un autre prospect",IF(AND(J1577&lt;&gt;"",J1577&lt;A1577),"⚠ Relance avant la date de l'action",IF(A1577&gt;TODAY(),"⚠ Date dans le futur","✓"))))))))</f>
        <v/>
      </c>
      <c r="AS1577" s="61">
        <f>IF(AND(A1577="",C1577="",E1577=""),"",ROW())</f>
        <v/>
      </c>
      <c r="AT1577" s="61">
        <f>IF(E1577&amp;F1577="","",MAX(IFERROR(INDEX('Paramètres'!$J$6:$J$33,MATCH(E1577,'Paramètres'!$I$6:$I$33,0)),0),IFERROR(INDEX('Paramètres'!$N$6:$N$17,MATCH(F1577,'Paramètres'!$M$6:$M$17,0)),0)))</f>
        <v/>
      </c>
      <c r="AU1577" s="61">
        <f>IF(E1577="","",IFERROR(IF(INDEX('Paramètres'!$K$6:$K$33,MATCH(E1577,'Paramètres'!$I$6:$I$33,0))="Oui",1,0),0))</f>
        <v/>
      </c>
      <c r="AV1577" s="61">
        <f>IF(F1577="","",IFERROR(IF(INDEX('Paramètres'!$O$6:$O$17,MATCH(F1577,'Paramètres'!$M$6:$M$17,0))="Oui",1,0),0))</f>
        <v/>
      </c>
      <c r="AW1577" s="62">
        <f>IF(E1577="","",IF(G1577&lt;&gt;"",G1577,IF(OR(E1577="Proposition envoyée",E1577="Signature"),MAX(0,N(IFERROR(INDEX('Paramètres'!$R$6:$R$15,MATCH(IF(AL1577&lt;&gt;"",AL1577,IFERROR(INDEX('Prospects'!$AN$5:$AN$504,MATCH(C1577,'Prospects'!$C$5:$C$504,0)),"")),'Paramètres'!$Q$6:$Q$15,0)),0))-N(P1577)),0)))</f>
        <v/>
      </c>
      <c r="AX1577" s="61">
        <f>IF(C1577="","",IF(COUNTIF($C$5:C1577,C1577)=1,MAX($AX$4:AX1576)+1,""))</f>
        <v/>
      </c>
      <c r="AY1577" s="61">
        <f>IF(B1577="","",HOUR(B1577))</f>
        <v/>
      </c>
      <c r="AZ1577" s="61">
        <f>IF(A1577="","",MOD(A1577-2,7)+1)</f>
        <v/>
      </c>
      <c r="BA1577" s="60">
        <f>IF(C1577="","",IFERROR(INDEX('Prospects'!$N$5:$N$504,MATCH(C1577,'Prospects'!$C$5:$C$504,0)),""))</f>
        <v/>
      </c>
      <c r="BB1577" s="61">
        <f>IF(AND(C1577&lt;&gt;"",C1577='Fiche prospect'!$C$4),COUNTIF($C$5:C1577,C1577),"")</f>
        <v/>
      </c>
    </row>
    <row r="1578">
      <c r="A1578" s="53" t="n"/>
      <c r="B1578" s="54" t="n"/>
      <c r="C1578" s="55" t="n"/>
      <c r="D1578" s="55" t="n"/>
      <c r="E1578" s="55" t="n"/>
      <c r="F1578" s="55" t="n"/>
      <c r="G1578" s="56" t="n"/>
      <c r="H1578" s="57" t="n"/>
      <c r="I1578" s="55" t="n"/>
      <c r="J1578" s="53" t="n"/>
      <c r="K1578" s="54" t="n"/>
      <c r="L1578" s="55" t="n"/>
      <c r="M1578" s="55" t="n"/>
      <c r="N1578" s="57" t="n"/>
      <c r="O1578" s="55" t="n"/>
      <c r="P1578" s="56" t="n"/>
      <c r="Q1578" s="55" t="n"/>
      <c r="R1578" s="55" t="n"/>
      <c r="S1578" s="55" t="n"/>
      <c r="T1578" s="55" t="n"/>
      <c r="U1578" s="55" t="n"/>
      <c r="V1578" s="55" t="n"/>
      <c r="W1578" s="58" t="n"/>
      <c r="X1578" s="58" t="n"/>
      <c r="Y1578" s="55" t="n"/>
      <c r="Z1578" s="55" t="n"/>
      <c r="AA1578" s="55" t="n"/>
      <c r="AB1578" s="55" t="n"/>
      <c r="AC1578" s="55" t="n"/>
      <c r="AD1578" s="53" t="n"/>
      <c r="AE1578" s="55" t="n"/>
      <c r="AF1578" s="55" t="n"/>
      <c r="AG1578" s="59" t="n"/>
      <c r="AH1578" s="57" t="n"/>
      <c r="AI1578" s="55" t="n"/>
      <c r="AJ1578" s="55" t="n"/>
      <c r="AK1578" s="55" t="n"/>
      <c r="AL1578" s="55" t="n"/>
      <c r="AM1578" s="56" t="n"/>
      <c r="AN1578" s="55" t="n"/>
      <c r="AO1578" s="55" t="n"/>
      <c r="AP1578" s="55" t="n"/>
      <c r="AQ1578" s="55" t="n"/>
      <c r="AR1578" s="60">
        <f>IF(AND(C1578="",E1578=""),"",IF(A1578="","⚠ Date manquante",IF(AND(C1578="",E1578&lt;&gt;"Dépense"),"⚠ Prospect manquant",IF(E1578="","⚠ Action manquante",IF(AND(AU1578=1,D1578=""),"⚠ Canal manquant",IF(AND(W1578&lt;&gt;"",COUNTIFS('Saisie'!$W$5:$W$2004,W1578,'Saisie'!$C$5:$C$2004,"&lt;&gt;"&amp;C1578)&gt;0),"⚠ Numéro déjà utilisé par un autre prospect",IF(AND(J1578&lt;&gt;"",J1578&lt;A1578),"⚠ Relance avant la date de l'action",IF(A1578&gt;TODAY(),"⚠ Date dans le futur","✓"))))))))</f>
        <v/>
      </c>
      <c r="AS1578" s="61">
        <f>IF(AND(A1578="",C1578="",E1578=""),"",ROW())</f>
        <v/>
      </c>
      <c r="AT1578" s="61">
        <f>IF(E1578&amp;F1578="","",MAX(IFERROR(INDEX('Paramètres'!$J$6:$J$33,MATCH(E1578,'Paramètres'!$I$6:$I$33,0)),0),IFERROR(INDEX('Paramètres'!$N$6:$N$17,MATCH(F1578,'Paramètres'!$M$6:$M$17,0)),0)))</f>
        <v/>
      </c>
      <c r="AU1578" s="61">
        <f>IF(E1578="","",IFERROR(IF(INDEX('Paramètres'!$K$6:$K$33,MATCH(E1578,'Paramètres'!$I$6:$I$33,0))="Oui",1,0),0))</f>
        <v/>
      </c>
      <c r="AV1578" s="61">
        <f>IF(F1578="","",IFERROR(IF(INDEX('Paramètres'!$O$6:$O$17,MATCH(F1578,'Paramètres'!$M$6:$M$17,0))="Oui",1,0),0))</f>
        <v/>
      </c>
      <c r="AW1578" s="62">
        <f>IF(E1578="","",IF(G1578&lt;&gt;"",G1578,IF(OR(E1578="Proposition envoyée",E1578="Signature"),MAX(0,N(IFERROR(INDEX('Paramètres'!$R$6:$R$15,MATCH(IF(AL1578&lt;&gt;"",AL1578,IFERROR(INDEX('Prospects'!$AN$5:$AN$504,MATCH(C1578,'Prospects'!$C$5:$C$504,0)),"")),'Paramètres'!$Q$6:$Q$15,0)),0))-N(P1578)),0)))</f>
        <v/>
      </c>
      <c r="AX1578" s="61">
        <f>IF(C1578="","",IF(COUNTIF($C$5:C1578,C1578)=1,MAX($AX$4:AX1577)+1,""))</f>
        <v/>
      </c>
      <c r="AY1578" s="61">
        <f>IF(B1578="","",HOUR(B1578))</f>
        <v/>
      </c>
      <c r="AZ1578" s="61">
        <f>IF(A1578="","",MOD(A1578-2,7)+1)</f>
        <v/>
      </c>
      <c r="BA1578" s="60">
        <f>IF(C1578="","",IFERROR(INDEX('Prospects'!$N$5:$N$504,MATCH(C1578,'Prospects'!$C$5:$C$504,0)),""))</f>
        <v/>
      </c>
      <c r="BB1578" s="61">
        <f>IF(AND(C1578&lt;&gt;"",C1578='Fiche prospect'!$C$4),COUNTIF($C$5:C1578,C1578),"")</f>
        <v/>
      </c>
    </row>
    <row r="1579">
      <c r="A1579" s="53" t="n"/>
      <c r="B1579" s="54" t="n"/>
      <c r="C1579" s="55" t="n"/>
      <c r="D1579" s="55" t="n"/>
      <c r="E1579" s="55" t="n"/>
      <c r="F1579" s="55" t="n"/>
      <c r="G1579" s="56" t="n"/>
      <c r="H1579" s="57" t="n"/>
      <c r="I1579" s="55" t="n"/>
      <c r="J1579" s="53" t="n"/>
      <c r="K1579" s="54" t="n"/>
      <c r="L1579" s="55" t="n"/>
      <c r="M1579" s="55" t="n"/>
      <c r="N1579" s="57" t="n"/>
      <c r="O1579" s="55" t="n"/>
      <c r="P1579" s="56" t="n"/>
      <c r="Q1579" s="55" t="n"/>
      <c r="R1579" s="55" t="n"/>
      <c r="S1579" s="55" t="n"/>
      <c r="T1579" s="55" t="n"/>
      <c r="U1579" s="55" t="n"/>
      <c r="V1579" s="55" t="n"/>
      <c r="W1579" s="58" t="n"/>
      <c r="X1579" s="58" t="n"/>
      <c r="Y1579" s="55" t="n"/>
      <c r="Z1579" s="55" t="n"/>
      <c r="AA1579" s="55" t="n"/>
      <c r="AB1579" s="55" t="n"/>
      <c r="AC1579" s="55" t="n"/>
      <c r="AD1579" s="53" t="n"/>
      <c r="AE1579" s="55" t="n"/>
      <c r="AF1579" s="55" t="n"/>
      <c r="AG1579" s="59" t="n"/>
      <c r="AH1579" s="57" t="n"/>
      <c r="AI1579" s="55" t="n"/>
      <c r="AJ1579" s="55" t="n"/>
      <c r="AK1579" s="55" t="n"/>
      <c r="AL1579" s="55" t="n"/>
      <c r="AM1579" s="56" t="n"/>
      <c r="AN1579" s="55" t="n"/>
      <c r="AO1579" s="55" t="n"/>
      <c r="AP1579" s="55" t="n"/>
      <c r="AQ1579" s="55" t="n"/>
      <c r="AR1579" s="60">
        <f>IF(AND(C1579="",E1579=""),"",IF(A1579="","⚠ Date manquante",IF(AND(C1579="",E1579&lt;&gt;"Dépense"),"⚠ Prospect manquant",IF(E1579="","⚠ Action manquante",IF(AND(AU1579=1,D1579=""),"⚠ Canal manquant",IF(AND(W1579&lt;&gt;"",COUNTIFS('Saisie'!$W$5:$W$2004,W1579,'Saisie'!$C$5:$C$2004,"&lt;&gt;"&amp;C1579)&gt;0),"⚠ Numéro déjà utilisé par un autre prospect",IF(AND(J1579&lt;&gt;"",J1579&lt;A1579),"⚠ Relance avant la date de l'action",IF(A1579&gt;TODAY(),"⚠ Date dans le futur","✓"))))))))</f>
        <v/>
      </c>
      <c r="AS1579" s="61">
        <f>IF(AND(A1579="",C1579="",E1579=""),"",ROW())</f>
        <v/>
      </c>
      <c r="AT1579" s="61">
        <f>IF(E1579&amp;F1579="","",MAX(IFERROR(INDEX('Paramètres'!$J$6:$J$33,MATCH(E1579,'Paramètres'!$I$6:$I$33,0)),0),IFERROR(INDEX('Paramètres'!$N$6:$N$17,MATCH(F1579,'Paramètres'!$M$6:$M$17,0)),0)))</f>
        <v/>
      </c>
      <c r="AU1579" s="61">
        <f>IF(E1579="","",IFERROR(IF(INDEX('Paramètres'!$K$6:$K$33,MATCH(E1579,'Paramètres'!$I$6:$I$33,0))="Oui",1,0),0))</f>
        <v/>
      </c>
      <c r="AV1579" s="61">
        <f>IF(F1579="","",IFERROR(IF(INDEX('Paramètres'!$O$6:$O$17,MATCH(F1579,'Paramètres'!$M$6:$M$17,0))="Oui",1,0),0))</f>
        <v/>
      </c>
      <c r="AW1579" s="62">
        <f>IF(E1579="","",IF(G1579&lt;&gt;"",G1579,IF(OR(E1579="Proposition envoyée",E1579="Signature"),MAX(0,N(IFERROR(INDEX('Paramètres'!$R$6:$R$15,MATCH(IF(AL1579&lt;&gt;"",AL1579,IFERROR(INDEX('Prospects'!$AN$5:$AN$504,MATCH(C1579,'Prospects'!$C$5:$C$504,0)),"")),'Paramètres'!$Q$6:$Q$15,0)),0))-N(P1579)),0)))</f>
        <v/>
      </c>
      <c r="AX1579" s="61">
        <f>IF(C1579="","",IF(COUNTIF($C$5:C1579,C1579)=1,MAX($AX$4:AX1578)+1,""))</f>
        <v/>
      </c>
      <c r="AY1579" s="61">
        <f>IF(B1579="","",HOUR(B1579))</f>
        <v/>
      </c>
      <c r="AZ1579" s="61">
        <f>IF(A1579="","",MOD(A1579-2,7)+1)</f>
        <v/>
      </c>
      <c r="BA1579" s="60">
        <f>IF(C1579="","",IFERROR(INDEX('Prospects'!$N$5:$N$504,MATCH(C1579,'Prospects'!$C$5:$C$504,0)),""))</f>
        <v/>
      </c>
      <c r="BB1579" s="61">
        <f>IF(AND(C1579&lt;&gt;"",C1579='Fiche prospect'!$C$4),COUNTIF($C$5:C1579,C1579),"")</f>
        <v/>
      </c>
    </row>
    <row r="1580">
      <c r="A1580" s="53" t="n"/>
      <c r="B1580" s="54" t="n"/>
      <c r="C1580" s="55" t="n"/>
      <c r="D1580" s="55" t="n"/>
      <c r="E1580" s="55" t="n"/>
      <c r="F1580" s="55" t="n"/>
      <c r="G1580" s="56" t="n"/>
      <c r="H1580" s="57" t="n"/>
      <c r="I1580" s="55" t="n"/>
      <c r="J1580" s="53" t="n"/>
      <c r="K1580" s="54" t="n"/>
      <c r="L1580" s="55" t="n"/>
      <c r="M1580" s="55" t="n"/>
      <c r="N1580" s="57" t="n"/>
      <c r="O1580" s="55" t="n"/>
      <c r="P1580" s="56" t="n"/>
      <c r="Q1580" s="55" t="n"/>
      <c r="R1580" s="55" t="n"/>
      <c r="S1580" s="55" t="n"/>
      <c r="T1580" s="55" t="n"/>
      <c r="U1580" s="55" t="n"/>
      <c r="V1580" s="55" t="n"/>
      <c r="W1580" s="58" t="n"/>
      <c r="X1580" s="58" t="n"/>
      <c r="Y1580" s="55" t="n"/>
      <c r="Z1580" s="55" t="n"/>
      <c r="AA1580" s="55" t="n"/>
      <c r="AB1580" s="55" t="n"/>
      <c r="AC1580" s="55" t="n"/>
      <c r="AD1580" s="53" t="n"/>
      <c r="AE1580" s="55" t="n"/>
      <c r="AF1580" s="55" t="n"/>
      <c r="AG1580" s="59" t="n"/>
      <c r="AH1580" s="57" t="n"/>
      <c r="AI1580" s="55" t="n"/>
      <c r="AJ1580" s="55" t="n"/>
      <c r="AK1580" s="55" t="n"/>
      <c r="AL1580" s="55" t="n"/>
      <c r="AM1580" s="56" t="n"/>
      <c r="AN1580" s="55" t="n"/>
      <c r="AO1580" s="55" t="n"/>
      <c r="AP1580" s="55" t="n"/>
      <c r="AQ1580" s="55" t="n"/>
      <c r="AR1580" s="60">
        <f>IF(AND(C1580="",E1580=""),"",IF(A1580="","⚠ Date manquante",IF(AND(C1580="",E1580&lt;&gt;"Dépense"),"⚠ Prospect manquant",IF(E1580="","⚠ Action manquante",IF(AND(AU1580=1,D1580=""),"⚠ Canal manquant",IF(AND(W1580&lt;&gt;"",COUNTIFS('Saisie'!$W$5:$W$2004,W1580,'Saisie'!$C$5:$C$2004,"&lt;&gt;"&amp;C1580)&gt;0),"⚠ Numéro déjà utilisé par un autre prospect",IF(AND(J1580&lt;&gt;"",J1580&lt;A1580),"⚠ Relance avant la date de l'action",IF(A1580&gt;TODAY(),"⚠ Date dans le futur","✓"))))))))</f>
        <v/>
      </c>
      <c r="AS1580" s="61">
        <f>IF(AND(A1580="",C1580="",E1580=""),"",ROW())</f>
        <v/>
      </c>
      <c r="AT1580" s="61">
        <f>IF(E1580&amp;F1580="","",MAX(IFERROR(INDEX('Paramètres'!$J$6:$J$33,MATCH(E1580,'Paramètres'!$I$6:$I$33,0)),0),IFERROR(INDEX('Paramètres'!$N$6:$N$17,MATCH(F1580,'Paramètres'!$M$6:$M$17,0)),0)))</f>
        <v/>
      </c>
      <c r="AU1580" s="61">
        <f>IF(E1580="","",IFERROR(IF(INDEX('Paramètres'!$K$6:$K$33,MATCH(E1580,'Paramètres'!$I$6:$I$33,0))="Oui",1,0),0))</f>
        <v/>
      </c>
      <c r="AV1580" s="61">
        <f>IF(F1580="","",IFERROR(IF(INDEX('Paramètres'!$O$6:$O$17,MATCH(F1580,'Paramètres'!$M$6:$M$17,0))="Oui",1,0),0))</f>
        <v/>
      </c>
      <c r="AW1580" s="62">
        <f>IF(E1580="","",IF(G1580&lt;&gt;"",G1580,IF(OR(E1580="Proposition envoyée",E1580="Signature"),MAX(0,N(IFERROR(INDEX('Paramètres'!$R$6:$R$15,MATCH(IF(AL1580&lt;&gt;"",AL1580,IFERROR(INDEX('Prospects'!$AN$5:$AN$504,MATCH(C1580,'Prospects'!$C$5:$C$504,0)),"")),'Paramètres'!$Q$6:$Q$15,0)),0))-N(P1580)),0)))</f>
        <v/>
      </c>
      <c r="AX1580" s="61">
        <f>IF(C1580="","",IF(COUNTIF($C$5:C1580,C1580)=1,MAX($AX$4:AX1579)+1,""))</f>
        <v/>
      </c>
      <c r="AY1580" s="61">
        <f>IF(B1580="","",HOUR(B1580))</f>
        <v/>
      </c>
      <c r="AZ1580" s="61">
        <f>IF(A1580="","",MOD(A1580-2,7)+1)</f>
        <v/>
      </c>
      <c r="BA1580" s="60">
        <f>IF(C1580="","",IFERROR(INDEX('Prospects'!$N$5:$N$504,MATCH(C1580,'Prospects'!$C$5:$C$504,0)),""))</f>
        <v/>
      </c>
      <c r="BB1580" s="61">
        <f>IF(AND(C1580&lt;&gt;"",C1580='Fiche prospect'!$C$4),COUNTIF($C$5:C1580,C1580),"")</f>
        <v/>
      </c>
    </row>
    <row r="1581">
      <c r="A1581" s="53" t="n"/>
      <c r="B1581" s="54" t="n"/>
      <c r="C1581" s="55" t="n"/>
      <c r="D1581" s="55" t="n"/>
      <c r="E1581" s="55" t="n"/>
      <c r="F1581" s="55" t="n"/>
      <c r="G1581" s="56" t="n"/>
      <c r="H1581" s="57" t="n"/>
      <c r="I1581" s="55" t="n"/>
      <c r="J1581" s="53" t="n"/>
      <c r="K1581" s="54" t="n"/>
      <c r="L1581" s="55" t="n"/>
      <c r="M1581" s="55" t="n"/>
      <c r="N1581" s="57" t="n"/>
      <c r="O1581" s="55" t="n"/>
      <c r="P1581" s="56" t="n"/>
      <c r="Q1581" s="55" t="n"/>
      <c r="R1581" s="55" t="n"/>
      <c r="S1581" s="55" t="n"/>
      <c r="T1581" s="55" t="n"/>
      <c r="U1581" s="55" t="n"/>
      <c r="V1581" s="55" t="n"/>
      <c r="W1581" s="58" t="n"/>
      <c r="X1581" s="58" t="n"/>
      <c r="Y1581" s="55" t="n"/>
      <c r="Z1581" s="55" t="n"/>
      <c r="AA1581" s="55" t="n"/>
      <c r="AB1581" s="55" t="n"/>
      <c r="AC1581" s="55" t="n"/>
      <c r="AD1581" s="53" t="n"/>
      <c r="AE1581" s="55" t="n"/>
      <c r="AF1581" s="55" t="n"/>
      <c r="AG1581" s="59" t="n"/>
      <c r="AH1581" s="57" t="n"/>
      <c r="AI1581" s="55" t="n"/>
      <c r="AJ1581" s="55" t="n"/>
      <c r="AK1581" s="55" t="n"/>
      <c r="AL1581" s="55" t="n"/>
      <c r="AM1581" s="56" t="n"/>
      <c r="AN1581" s="55" t="n"/>
      <c r="AO1581" s="55" t="n"/>
      <c r="AP1581" s="55" t="n"/>
      <c r="AQ1581" s="55" t="n"/>
      <c r="AR1581" s="60">
        <f>IF(AND(C1581="",E1581=""),"",IF(A1581="","⚠ Date manquante",IF(AND(C1581="",E1581&lt;&gt;"Dépense"),"⚠ Prospect manquant",IF(E1581="","⚠ Action manquante",IF(AND(AU1581=1,D1581=""),"⚠ Canal manquant",IF(AND(W1581&lt;&gt;"",COUNTIFS('Saisie'!$W$5:$W$2004,W1581,'Saisie'!$C$5:$C$2004,"&lt;&gt;"&amp;C1581)&gt;0),"⚠ Numéro déjà utilisé par un autre prospect",IF(AND(J1581&lt;&gt;"",J1581&lt;A1581),"⚠ Relance avant la date de l'action",IF(A1581&gt;TODAY(),"⚠ Date dans le futur","✓"))))))))</f>
        <v/>
      </c>
      <c r="AS1581" s="61">
        <f>IF(AND(A1581="",C1581="",E1581=""),"",ROW())</f>
        <v/>
      </c>
      <c r="AT1581" s="61">
        <f>IF(E1581&amp;F1581="","",MAX(IFERROR(INDEX('Paramètres'!$J$6:$J$33,MATCH(E1581,'Paramètres'!$I$6:$I$33,0)),0),IFERROR(INDEX('Paramètres'!$N$6:$N$17,MATCH(F1581,'Paramètres'!$M$6:$M$17,0)),0)))</f>
        <v/>
      </c>
      <c r="AU1581" s="61">
        <f>IF(E1581="","",IFERROR(IF(INDEX('Paramètres'!$K$6:$K$33,MATCH(E1581,'Paramètres'!$I$6:$I$33,0))="Oui",1,0),0))</f>
        <v/>
      </c>
      <c r="AV1581" s="61">
        <f>IF(F1581="","",IFERROR(IF(INDEX('Paramètres'!$O$6:$O$17,MATCH(F1581,'Paramètres'!$M$6:$M$17,0))="Oui",1,0),0))</f>
        <v/>
      </c>
      <c r="AW1581" s="62">
        <f>IF(E1581="","",IF(G1581&lt;&gt;"",G1581,IF(OR(E1581="Proposition envoyée",E1581="Signature"),MAX(0,N(IFERROR(INDEX('Paramètres'!$R$6:$R$15,MATCH(IF(AL1581&lt;&gt;"",AL1581,IFERROR(INDEX('Prospects'!$AN$5:$AN$504,MATCH(C1581,'Prospects'!$C$5:$C$504,0)),"")),'Paramètres'!$Q$6:$Q$15,0)),0))-N(P1581)),0)))</f>
        <v/>
      </c>
      <c r="AX1581" s="61">
        <f>IF(C1581="","",IF(COUNTIF($C$5:C1581,C1581)=1,MAX($AX$4:AX1580)+1,""))</f>
        <v/>
      </c>
      <c r="AY1581" s="61">
        <f>IF(B1581="","",HOUR(B1581))</f>
        <v/>
      </c>
      <c r="AZ1581" s="61">
        <f>IF(A1581="","",MOD(A1581-2,7)+1)</f>
        <v/>
      </c>
      <c r="BA1581" s="60">
        <f>IF(C1581="","",IFERROR(INDEX('Prospects'!$N$5:$N$504,MATCH(C1581,'Prospects'!$C$5:$C$504,0)),""))</f>
        <v/>
      </c>
      <c r="BB1581" s="61">
        <f>IF(AND(C1581&lt;&gt;"",C1581='Fiche prospect'!$C$4),COUNTIF($C$5:C1581,C1581),"")</f>
        <v/>
      </c>
    </row>
    <row r="1582">
      <c r="A1582" s="53" t="n"/>
      <c r="B1582" s="54" t="n"/>
      <c r="C1582" s="55" t="n"/>
      <c r="D1582" s="55" t="n"/>
      <c r="E1582" s="55" t="n"/>
      <c r="F1582" s="55" t="n"/>
      <c r="G1582" s="56" t="n"/>
      <c r="H1582" s="57" t="n"/>
      <c r="I1582" s="55" t="n"/>
      <c r="J1582" s="53" t="n"/>
      <c r="K1582" s="54" t="n"/>
      <c r="L1582" s="55" t="n"/>
      <c r="M1582" s="55" t="n"/>
      <c r="N1582" s="57" t="n"/>
      <c r="O1582" s="55" t="n"/>
      <c r="P1582" s="56" t="n"/>
      <c r="Q1582" s="55" t="n"/>
      <c r="R1582" s="55" t="n"/>
      <c r="S1582" s="55" t="n"/>
      <c r="T1582" s="55" t="n"/>
      <c r="U1582" s="55" t="n"/>
      <c r="V1582" s="55" t="n"/>
      <c r="W1582" s="58" t="n"/>
      <c r="X1582" s="58" t="n"/>
      <c r="Y1582" s="55" t="n"/>
      <c r="Z1582" s="55" t="n"/>
      <c r="AA1582" s="55" t="n"/>
      <c r="AB1582" s="55" t="n"/>
      <c r="AC1582" s="55" t="n"/>
      <c r="AD1582" s="53" t="n"/>
      <c r="AE1582" s="55" t="n"/>
      <c r="AF1582" s="55" t="n"/>
      <c r="AG1582" s="59" t="n"/>
      <c r="AH1582" s="57" t="n"/>
      <c r="AI1582" s="55" t="n"/>
      <c r="AJ1582" s="55" t="n"/>
      <c r="AK1582" s="55" t="n"/>
      <c r="AL1582" s="55" t="n"/>
      <c r="AM1582" s="56" t="n"/>
      <c r="AN1582" s="55" t="n"/>
      <c r="AO1582" s="55" t="n"/>
      <c r="AP1582" s="55" t="n"/>
      <c r="AQ1582" s="55" t="n"/>
      <c r="AR1582" s="60">
        <f>IF(AND(C1582="",E1582=""),"",IF(A1582="","⚠ Date manquante",IF(AND(C1582="",E1582&lt;&gt;"Dépense"),"⚠ Prospect manquant",IF(E1582="","⚠ Action manquante",IF(AND(AU1582=1,D1582=""),"⚠ Canal manquant",IF(AND(W1582&lt;&gt;"",COUNTIFS('Saisie'!$W$5:$W$2004,W1582,'Saisie'!$C$5:$C$2004,"&lt;&gt;"&amp;C1582)&gt;0),"⚠ Numéro déjà utilisé par un autre prospect",IF(AND(J1582&lt;&gt;"",J1582&lt;A1582),"⚠ Relance avant la date de l'action",IF(A1582&gt;TODAY(),"⚠ Date dans le futur","✓"))))))))</f>
        <v/>
      </c>
      <c r="AS1582" s="61">
        <f>IF(AND(A1582="",C1582="",E1582=""),"",ROW())</f>
        <v/>
      </c>
      <c r="AT1582" s="61">
        <f>IF(E1582&amp;F1582="","",MAX(IFERROR(INDEX('Paramètres'!$J$6:$J$33,MATCH(E1582,'Paramètres'!$I$6:$I$33,0)),0),IFERROR(INDEX('Paramètres'!$N$6:$N$17,MATCH(F1582,'Paramètres'!$M$6:$M$17,0)),0)))</f>
        <v/>
      </c>
      <c r="AU1582" s="61">
        <f>IF(E1582="","",IFERROR(IF(INDEX('Paramètres'!$K$6:$K$33,MATCH(E1582,'Paramètres'!$I$6:$I$33,0))="Oui",1,0),0))</f>
        <v/>
      </c>
      <c r="AV1582" s="61">
        <f>IF(F1582="","",IFERROR(IF(INDEX('Paramètres'!$O$6:$O$17,MATCH(F1582,'Paramètres'!$M$6:$M$17,0))="Oui",1,0),0))</f>
        <v/>
      </c>
      <c r="AW1582" s="62">
        <f>IF(E1582="","",IF(G1582&lt;&gt;"",G1582,IF(OR(E1582="Proposition envoyée",E1582="Signature"),MAX(0,N(IFERROR(INDEX('Paramètres'!$R$6:$R$15,MATCH(IF(AL1582&lt;&gt;"",AL1582,IFERROR(INDEX('Prospects'!$AN$5:$AN$504,MATCH(C1582,'Prospects'!$C$5:$C$504,0)),"")),'Paramètres'!$Q$6:$Q$15,0)),0))-N(P1582)),0)))</f>
        <v/>
      </c>
      <c r="AX1582" s="61">
        <f>IF(C1582="","",IF(COUNTIF($C$5:C1582,C1582)=1,MAX($AX$4:AX1581)+1,""))</f>
        <v/>
      </c>
      <c r="AY1582" s="61">
        <f>IF(B1582="","",HOUR(B1582))</f>
        <v/>
      </c>
      <c r="AZ1582" s="61">
        <f>IF(A1582="","",MOD(A1582-2,7)+1)</f>
        <v/>
      </c>
      <c r="BA1582" s="60">
        <f>IF(C1582="","",IFERROR(INDEX('Prospects'!$N$5:$N$504,MATCH(C1582,'Prospects'!$C$5:$C$504,0)),""))</f>
        <v/>
      </c>
      <c r="BB1582" s="61">
        <f>IF(AND(C1582&lt;&gt;"",C1582='Fiche prospect'!$C$4),COUNTIF($C$5:C1582,C1582),"")</f>
        <v/>
      </c>
    </row>
    <row r="1583">
      <c r="A1583" s="53" t="n"/>
      <c r="B1583" s="54" t="n"/>
      <c r="C1583" s="55" t="n"/>
      <c r="D1583" s="55" t="n"/>
      <c r="E1583" s="55" t="n"/>
      <c r="F1583" s="55" t="n"/>
      <c r="G1583" s="56" t="n"/>
      <c r="H1583" s="57" t="n"/>
      <c r="I1583" s="55" t="n"/>
      <c r="J1583" s="53" t="n"/>
      <c r="K1583" s="54" t="n"/>
      <c r="L1583" s="55" t="n"/>
      <c r="M1583" s="55" t="n"/>
      <c r="N1583" s="57" t="n"/>
      <c r="O1583" s="55" t="n"/>
      <c r="P1583" s="56" t="n"/>
      <c r="Q1583" s="55" t="n"/>
      <c r="R1583" s="55" t="n"/>
      <c r="S1583" s="55" t="n"/>
      <c r="T1583" s="55" t="n"/>
      <c r="U1583" s="55" t="n"/>
      <c r="V1583" s="55" t="n"/>
      <c r="W1583" s="58" t="n"/>
      <c r="X1583" s="58" t="n"/>
      <c r="Y1583" s="55" t="n"/>
      <c r="Z1583" s="55" t="n"/>
      <c r="AA1583" s="55" t="n"/>
      <c r="AB1583" s="55" t="n"/>
      <c r="AC1583" s="55" t="n"/>
      <c r="AD1583" s="53" t="n"/>
      <c r="AE1583" s="55" t="n"/>
      <c r="AF1583" s="55" t="n"/>
      <c r="AG1583" s="59" t="n"/>
      <c r="AH1583" s="57" t="n"/>
      <c r="AI1583" s="55" t="n"/>
      <c r="AJ1583" s="55" t="n"/>
      <c r="AK1583" s="55" t="n"/>
      <c r="AL1583" s="55" t="n"/>
      <c r="AM1583" s="56" t="n"/>
      <c r="AN1583" s="55" t="n"/>
      <c r="AO1583" s="55" t="n"/>
      <c r="AP1583" s="55" t="n"/>
      <c r="AQ1583" s="55" t="n"/>
      <c r="AR1583" s="60">
        <f>IF(AND(C1583="",E1583=""),"",IF(A1583="","⚠ Date manquante",IF(AND(C1583="",E1583&lt;&gt;"Dépense"),"⚠ Prospect manquant",IF(E1583="","⚠ Action manquante",IF(AND(AU1583=1,D1583=""),"⚠ Canal manquant",IF(AND(W1583&lt;&gt;"",COUNTIFS('Saisie'!$W$5:$W$2004,W1583,'Saisie'!$C$5:$C$2004,"&lt;&gt;"&amp;C1583)&gt;0),"⚠ Numéro déjà utilisé par un autre prospect",IF(AND(J1583&lt;&gt;"",J1583&lt;A1583),"⚠ Relance avant la date de l'action",IF(A1583&gt;TODAY(),"⚠ Date dans le futur","✓"))))))))</f>
        <v/>
      </c>
      <c r="AS1583" s="61">
        <f>IF(AND(A1583="",C1583="",E1583=""),"",ROW())</f>
        <v/>
      </c>
      <c r="AT1583" s="61">
        <f>IF(E1583&amp;F1583="","",MAX(IFERROR(INDEX('Paramètres'!$J$6:$J$33,MATCH(E1583,'Paramètres'!$I$6:$I$33,0)),0),IFERROR(INDEX('Paramètres'!$N$6:$N$17,MATCH(F1583,'Paramètres'!$M$6:$M$17,0)),0)))</f>
        <v/>
      </c>
      <c r="AU1583" s="61">
        <f>IF(E1583="","",IFERROR(IF(INDEX('Paramètres'!$K$6:$K$33,MATCH(E1583,'Paramètres'!$I$6:$I$33,0))="Oui",1,0),0))</f>
        <v/>
      </c>
      <c r="AV1583" s="61">
        <f>IF(F1583="","",IFERROR(IF(INDEX('Paramètres'!$O$6:$O$17,MATCH(F1583,'Paramètres'!$M$6:$M$17,0))="Oui",1,0),0))</f>
        <v/>
      </c>
      <c r="AW1583" s="62">
        <f>IF(E1583="","",IF(G1583&lt;&gt;"",G1583,IF(OR(E1583="Proposition envoyée",E1583="Signature"),MAX(0,N(IFERROR(INDEX('Paramètres'!$R$6:$R$15,MATCH(IF(AL1583&lt;&gt;"",AL1583,IFERROR(INDEX('Prospects'!$AN$5:$AN$504,MATCH(C1583,'Prospects'!$C$5:$C$504,0)),"")),'Paramètres'!$Q$6:$Q$15,0)),0))-N(P1583)),0)))</f>
        <v/>
      </c>
      <c r="AX1583" s="61">
        <f>IF(C1583="","",IF(COUNTIF($C$5:C1583,C1583)=1,MAX($AX$4:AX1582)+1,""))</f>
        <v/>
      </c>
      <c r="AY1583" s="61">
        <f>IF(B1583="","",HOUR(B1583))</f>
        <v/>
      </c>
      <c r="AZ1583" s="61">
        <f>IF(A1583="","",MOD(A1583-2,7)+1)</f>
        <v/>
      </c>
      <c r="BA1583" s="60">
        <f>IF(C1583="","",IFERROR(INDEX('Prospects'!$N$5:$N$504,MATCH(C1583,'Prospects'!$C$5:$C$504,0)),""))</f>
        <v/>
      </c>
      <c r="BB1583" s="61">
        <f>IF(AND(C1583&lt;&gt;"",C1583='Fiche prospect'!$C$4),COUNTIF($C$5:C1583,C1583),"")</f>
        <v/>
      </c>
    </row>
    <row r="1584">
      <c r="A1584" s="53" t="n"/>
      <c r="B1584" s="54" t="n"/>
      <c r="C1584" s="55" t="n"/>
      <c r="D1584" s="55" t="n"/>
      <c r="E1584" s="55" t="n"/>
      <c r="F1584" s="55" t="n"/>
      <c r="G1584" s="56" t="n"/>
      <c r="H1584" s="57" t="n"/>
      <c r="I1584" s="55" t="n"/>
      <c r="J1584" s="53" t="n"/>
      <c r="K1584" s="54" t="n"/>
      <c r="L1584" s="55" t="n"/>
      <c r="M1584" s="55" t="n"/>
      <c r="N1584" s="57" t="n"/>
      <c r="O1584" s="55" t="n"/>
      <c r="P1584" s="56" t="n"/>
      <c r="Q1584" s="55" t="n"/>
      <c r="R1584" s="55" t="n"/>
      <c r="S1584" s="55" t="n"/>
      <c r="T1584" s="55" t="n"/>
      <c r="U1584" s="55" t="n"/>
      <c r="V1584" s="55" t="n"/>
      <c r="W1584" s="58" t="n"/>
      <c r="X1584" s="58" t="n"/>
      <c r="Y1584" s="55" t="n"/>
      <c r="Z1584" s="55" t="n"/>
      <c r="AA1584" s="55" t="n"/>
      <c r="AB1584" s="55" t="n"/>
      <c r="AC1584" s="55" t="n"/>
      <c r="AD1584" s="53" t="n"/>
      <c r="AE1584" s="55" t="n"/>
      <c r="AF1584" s="55" t="n"/>
      <c r="AG1584" s="59" t="n"/>
      <c r="AH1584" s="57" t="n"/>
      <c r="AI1584" s="55" t="n"/>
      <c r="AJ1584" s="55" t="n"/>
      <c r="AK1584" s="55" t="n"/>
      <c r="AL1584" s="55" t="n"/>
      <c r="AM1584" s="56" t="n"/>
      <c r="AN1584" s="55" t="n"/>
      <c r="AO1584" s="55" t="n"/>
      <c r="AP1584" s="55" t="n"/>
      <c r="AQ1584" s="55" t="n"/>
      <c r="AR1584" s="60">
        <f>IF(AND(C1584="",E1584=""),"",IF(A1584="","⚠ Date manquante",IF(AND(C1584="",E1584&lt;&gt;"Dépense"),"⚠ Prospect manquant",IF(E1584="","⚠ Action manquante",IF(AND(AU1584=1,D1584=""),"⚠ Canal manquant",IF(AND(W1584&lt;&gt;"",COUNTIFS('Saisie'!$W$5:$W$2004,W1584,'Saisie'!$C$5:$C$2004,"&lt;&gt;"&amp;C1584)&gt;0),"⚠ Numéro déjà utilisé par un autre prospect",IF(AND(J1584&lt;&gt;"",J1584&lt;A1584),"⚠ Relance avant la date de l'action",IF(A1584&gt;TODAY(),"⚠ Date dans le futur","✓"))))))))</f>
        <v/>
      </c>
      <c r="AS1584" s="61">
        <f>IF(AND(A1584="",C1584="",E1584=""),"",ROW())</f>
        <v/>
      </c>
      <c r="AT1584" s="61">
        <f>IF(E1584&amp;F1584="","",MAX(IFERROR(INDEX('Paramètres'!$J$6:$J$33,MATCH(E1584,'Paramètres'!$I$6:$I$33,0)),0),IFERROR(INDEX('Paramètres'!$N$6:$N$17,MATCH(F1584,'Paramètres'!$M$6:$M$17,0)),0)))</f>
        <v/>
      </c>
      <c r="AU1584" s="61">
        <f>IF(E1584="","",IFERROR(IF(INDEX('Paramètres'!$K$6:$K$33,MATCH(E1584,'Paramètres'!$I$6:$I$33,0))="Oui",1,0),0))</f>
        <v/>
      </c>
      <c r="AV1584" s="61">
        <f>IF(F1584="","",IFERROR(IF(INDEX('Paramètres'!$O$6:$O$17,MATCH(F1584,'Paramètres'!$M$6:$M$17,0))="Oui",1,0),0))</f>
        <v/>
      </c>
      <c r="AW1584" s="62">
        <f>IF(E1584="","",IF(G1584&lt;&gt;"",G1584,IF(OR(E1584="Proposition envoyée",E1584="Signature"),MAX(0,N(IFERROR(INDEX('Paramètres'!$R$6:$R$15,MATCH(IF(AL1584&lt;&gt;"",AL1584,IFERROR(INDEX('Prospects'!$AN$5:$AN$504,MATCH(C1584,'Prospects'!$C$5:$C$504,0)),"")),'Paramètres'!$Q$6:$Q$15,0)),0))-N(P1584)),0)))</f>
        <v/>
      </c>
      <c r="AX1584" s="61">
        <f>IF(C1584="","",IF(COUNTIF($C$5:C1584,C1584)=1,MAX($AX$4:AX1583)+1,""))</f>
        <v/>
      </c>
      <c r="AY1584" s="61">
        <f>IF(B1584="","",HOUR(B1584))</f>
        <v/>
      </c>
      <c r="AZ1584" s="61">
        <f>IF(A1584="","",MOD(A1584-2,7)+1)</f>
        <v/>
      </c>
      <c r="BA1584" s="60">
        <f>IF(C1584="","",IFERROR(INDEX('Prospects'!$N$5:$N$504,MATCH(C1584,'Prospects'!$C$5:$C$504,0)),""))</f>
        <v/>
      </c>
      <c r="BB1584" s="61">
        <f>IF(AND(C1584&lt;&gt;"",C1584='Fiche prospect'!$C$4),COUNTIF($C$5:C1584,C1584),"")</f>
        <v/>
      </c>
    </row>
    <row r="1585">
      <c r="A1585" s="53" t="n"/>
      <c r="B1585" s="54" t="n"/>
      <c r="C1585" s="55" t="n"/>
      <c r="D1585" s="55" t="n"/>
      <c r="E1585" s="55" t="n"/>
      <c r="F1585" s="55" t="n"/>
      <c r="G1585" s="56" t="n"/>
      <c r="H1585" s="57" t="n"/>
      <c r="I1585" s="55" t="n"/>
      <c r="J1585" s="53" t="n"/>
      <c r="K1585" s="54" t="n"/>
      <c r="L1585" s="55" t="n"/>
      <c r="M1585" s="55" t="n"/>
      <c r="N1585" s="57" t="n"/>
      <c r="O1585" s="55" t="n"/>
      <c r="P1585" s="56" t="n"/>
      <c r="Q1585" s="55" t="n"/>
      <c r="R1585" s="55" t="n"/>
      <c r="S1585" s="55" t="n"/>
      <c r="T1585" s="55" t="n"/>
      <c r="U1585" s="55" t="n"/>
      <c r="V1585" s="55" t="n"/>
      <c r="W1585" s="58" t="n"/>
      <c r="X1585" s="58" t="n"/>
      <c r="Y1585" s="55" t="n"/>
      <c r="Z1585" s="55" t="n"/>
      <c r="AA1585" s="55" t="n"/>
      <c r="AB1585" s="55" t="n"/>
      <c r="AC1585" s="55" t="n"/>
      <c r="AD1585" s="53" t="n"/>
      <c r="AE1585" s="55" t="n"/>
      <c r="AF1585" s="55" t="n"/>
      <c r="AG1585" s="59" t="n"/>
      <c r="AH1585" s="57" t="n"/>
      <c r="AI1585" s="55" t="n"/>
      <c r="AJ1585" s="55" t="n"/>
      <c r="AK1585" s="55" t="n"/>
      <c r="AL1585" s="55" t="n"/>
      <c r="AM1585" s="56" t="n"/>
      <c r="AN1585" s="55" t="n"/>
      <c r="AO1585" s="55" t="n"/>
      <c r="AP1585" s="55" t="n"/>
      <c r="AQ1585" s="55" t="n"/>
      <c r="AR1585" s="60">
        <f>IF(AND(C1585="",E1585=""),"",IF(A1585="","⚠ Date manquante",IF(AND(C1585="",E1585&lt;&gt;"Dépense"),"⚠ Prospect manquant",IF(E1585="","⚠ Action manquante",IF(AND(AU1585=1,D1585=""),"⚠ Canal manquant",IF(AND(W1585&lt;&gt;"",COUNTIFS('Saisie'!$W$5:$W$2004,W1585,'Saisie'!$C$5:$C$2004,"&lt;&gt;"&amp;C1585)&gt;0),"⚠ Numéro déjà utilisé par un autre prospect",IF(AND(J1585&lt;&gt;"",J1585&lt;A1585),"⚠ Relance avant la date de l'action",IF(A1585&gt;TODAY(),"⚠ Date dans le futur","✓"))))))))</f>
        <v/>
      </c>
      <c r="AS1585" s="61">
        <f>IF(AND(A1585="",C1585="",E1585=""),"",ROW())</f>
        <v/>
      </c>
      <c r="AT1585" s="61">
        <f>IF(E1585&amp;F1585="","",MAX(IFERROR(INDEX('Paramètres'!$J$6:$J$33,MATCH(E1585,'Paramètres'!$I$6:$I$33,0)),0),IFERROR(INDEX('Paramètres'!$N$6:$N$17,MATCH(F1585,'Paramètres'!$M$6:$M$17,0)),0)))</f>
        <v/>
      </c>
      <c r="AU1585" s="61">
        <f>IF(E1585="","",IFERROR(IF(INDEX('Paramètres'!$K$6:$K$33,MATCH(E1585,'Paramètres'!$I$6:$I$33,0))="Oui",1,0),0))</f>
        <v/>
      </c>
      <c r="AV1585" s="61">
        <f>IF(F1585="","",IFERROR(IF(INDEX('Paramètres'!$O$6:$O$17,MATCH(F1585,'Paramètres'!$M$6:$M$17,0))="Oui",1,0),0))</f>
        <v/>
      </c>
      <c r="AW1585" s="62">
        <f>IF(E1585="","",IF(G1585&lt;&gt;"",G1585,IF(OR(E1585="Proposition envoyée",E1585="Signature"),MAX(0,N(IFERROR(INDEX('Paramètres'!$R$6:$R$15,MATCH(IF(AL1585&lt;&gt;"",AL1585,IFERROR(INDEX('Prospects'!$AN$5:$AN$504,MATCH(C1585,'Prospects'!$C$5:$C$504,0)),"")),'Paramètres'!$Q$6:$Q$15,0)),0))-N(P1585)),0)))</f>
        <v/>
      </c>
      <c r="AX1585" s="61">
        <f>IF(C1585="","",IF(COUNTIF($C$5:C1585,C1585)=1,MAX($AX$4:AX1584)+1,""))</f>
        <v/>
      </c>
      <c r="AY1585" s="61">
        <f>IF(B1585="","",HOUR(B1585))</f>
        <v/>
      </c>
      <c r="AZ1585" s="61">
        <f>IF(A1585="","",MOD(A1585-2,7)+1)</f>
        <v/>
      </c>
      <c r="BA1585" s="60">
        <f>IF(C1585="","",IFERROR(INDEX('Prospects'!$N$5:$N$504,MATCH(C1585,'Prospects'!$C$5:$C$504,0)),""))</f>
        <v/>
      </c>
      <c r="BB1585" s="61">
        <f>IF(AND(C1585&lt;&gt;"",C1585='Fiche prospect'!$C$4),COUNTIF($C$5:C1585,C1585),"")</f>
        <v/>
      </c>
    </row>
    <row r="1586">
      <c r="A1586" s="53" t="n"/>
      <c r="B1586" s="54" t="n"/>
      <c r="C1586" s="55" t="n"/>
      <c r="D1586" s="55" t="n"/>
      <c r="E1586" s="55" t="n"/>
      <c r="F1586" s="55" t="n"/>
      <c r="G1586" s="56" t="n"/>
      <c r="H1586" s="57" t="n"/>
      <c r="I1586" s="55" t="n"/>
      <c r="J1586" s="53" t="n"/>
      <c r="K1586" s="54" t="n"/>
      <c r="L1586" s="55" t="n"/>
      <c r="M1586" s="55" t="n"/>
      <c r="N1586" s="57" t="n"/>
      <c r="O1586" s="55" t="n"/>
      <c r="P1586" s="56" t="n"/>
      <c r="Q1586" s="55" t="n"/>
      <c r="R1586" s="55" t="n"/>
      <c r="S1586" s="55" t="n"/>
      <c r="T1586" s="55" t="n"/>
      <c r="U1586" s="55" t="n"/>
      <c r="V1586" s="55" t="n"/>
      <c r="W1586" s="58" t="n"/>
      <c r="X1586" s="58" t="n"/>
      <c r="Y1586" s="55" t="n"/>
      <c r="Z1586" s="55" t="n"/>
      <c r="AA1586" s="55" t="n"/>
      <c r="AB1586" s="55" t="n"/>
      <c r="AC1586" s="55" t="n"/>
      <c r="AD1586" s="53" t="n"/>
      <c r="AE1586" s="55" t="n"/>
      <c r="AF1586" s="55" t="n"/>
      <c r="AG1586" s="59" t="n"/>
      <c r="AH1586" s="57" t="n"/>
      <c r="AI1586" s="55" t="n"/>
      <c r="AJ1586" s="55" t="n"/>
      <c r="AK1586" s="55" t="n"/>
      <c r="AL1586" s="55" t="n"/>
      <c r="AM1586" s="56" t="n"/>
      <c r="AN1586" s="55" t="n"/>
      <c r="AO1586" s="55" t="n"/>
      <c r="AP1586" s="55" t="n"/>
      <c r="AQ1586" s="55" t="n"/>
      <c r="AR1586" s="60">
        <f>IF(AND(C1586="",E1586=""),"",IF(A1586="","⚠ Date manquante",IF(AND(C1586="",E1586&lt;&gt;"Dépense"),"⚠ Prospect manquant",IF(E1586="","⚠ Action manquante",IF(AND(AU1586=1,D1586=""),"⚠ Canal manquant",IF(AND(W1586&lt;&gt;"",COUNTIFS('Saisie'!$W$5:$W$2004,W1586,'Saisie'!$C$5:$C$2004,"&lt;&gt;"&amp;C1586)&gt;0),"⚠ Numéro déjà utilisé par un autre prospect",IF(AND(J1586&lt;&gt;"",J1586&lt;A1586),"⚠ Relance avant la date de l'action",IF(A1586&gt;TODAY(),"⚠ Date dans le futur","✓"))))))))</f>
        <v/>
      </c>
      <c r="AS1586" s="61">
        <f>IF(AND(A1586="",C1586="",E1586=""),"",ROW())</f>
        <v/>
      </c>
      <c r="AT1586" s="61">
        <f>IF(E1586&amp;F1586="","",MAX(IFERROR(INDEX('Paramètres'!$J$6:$J$33,MATCH(E1586,'Paramètres'!$I$6:$I$33,0)),0),IFERROR(INDEX('Paramètres'!$N$6:$N$17,MATCH(F1586,'Paramètres'!$M$6:$M$17,0)),0)))</f>
        <v/>
      </c>
      <c r="AU1586" s="61">
        <f>IF(E1586="","",IFERROR(IF(INDEX('Paramètres'!$K$6:$K$33,MATCH(E1586,'Paramètres'!$I$6:$I$33,0))="Oui",1,0),0))</f>
        <v/>
      </c>
      <c r="AV1586" s="61">
        <f>IF(F1586="","",IFERROR(IF(INDEX('Paramètres'!$O$6:$O$17,MATCH(F1586,'Paramètres'!$M$6:$M$17,0))="Oui",1,0),0))</f>
        <v/>
      </c>
      <c r="AW1586" s="62">
        <f>IF(E1586="","",IF(G1586&lt;&gt;"",G1586,IF(OR(E1586="Proposition envoyée",E1586="Signature"),MAX(0,N(IFERROR(INDEX('Paramètres'!$R$6:$R$15,MATCH(IF(AL1586&lt;&gt;"",AL1586,IFERROR(INDEX('Prospects'!$AN$5:$AN$504,MATCH(C1586,'Prospects'!$C$5:$C$504,0)),"")),'Paramètres'!$Q$6:$Q$15,0)),0))-N(P1586)),0)))</f>
        <v/>
      </c>
      <c r="AX1586" s="61">
        <f>IF(C1586="","",IF(COUNTIF($C$5:C1586,C1586)=1,MAX($AX$4:AX1585)+1,""))</f>
        <v/>
      </c>
      <c r="AY1586" s="61">
        <f>IF(B1586="","",HOUR(B1586))</f>
        <v/>
      </c>
      <c r="AZ1586" s="61">
        <f>IF(A1586="","",MOD(A1586-2,7)+1)</f>
        <v/>
      </c>
      <c r="BA1586" s="60">
        <f>IF(C1586="","",IFERROR(INDEX('Prospects'!$N$5:$N$504,MATCH(C1586,'Prospects'!$C$5:$C$504,0)),""))</f>
        <v/>
      </c>
      <c r="BB1586" s="61">
        <f>IF(AND(C1586&lt;&gt;"",C1586='Fiche prospect'!$C$4),COUNTIF($C$5:C1586,C1586),"")</f>
        <v/>
      </c>
    </row>
    <row r="1587">
      <c r="A1587" s="53" t="n"/>
      <c r="B1587" s="54" t="n"/>
      <c r="C1587" s="55" t="n"/>
      <c r="D1587" s="55" t="n"/>
      <c r="E1587" s="55" t="n"/>
      <c r="F1587" s="55" t="n"/>
      <c r="G1587" s="56" t="n"/>
      <c r="H1587" s="57" t="n"/>
      <c r="I1587" s="55" t="n"/>
      <c r="J1587" s="53" t="n"/>
      <c r="K1587" s="54" t="n"/>
      <c r="L1587" s="55" t="n"/>
      <c r="M1587" s="55" t="n"/>
      <c r="N1587" s="57" t="n"/>
      <c r="O1587" s="55" t="n"/>
      <c r="P1587" s="56" t="n"/>
      <c r="Q1587" s="55" t="n"/>
      <c r="R1587" s="55" t="n"/>
      <c r="S1587" s="55" t="n"/>
      <c r="T1587" s="55" t="n"/>
      <c r="U1587" s="55" t="n"/>
      <c r="V1587" s="55" t="n"/>
      <c r="W1587" s="58" t="n"/>
      <c r="X1587" s="58" t="n"/>
      <c r="Y1587" s="55" t="n"/>
      <c r="Z1587" s="55" t="n"/>
      <c r="AA1587" s="55" t="n"/>
      <c r="AB1587" s="55" t="n"/>
      <c r="AC1587" s="55" t="n"/>
      <c r="AD1587" s="53" t="n"/>
      <c r="AE1587" s="55" t="n"/>
      <c r="AF1587" s="55" t="n"/>
      <c r="AG1587" s="59" t="n"/>
      <c r="AH1587" s="57" t="n"/>
      <c r="AI1587" s="55" t="n"/>
      <c r="AJ1587" s="55" t="n"/>
      <c r="AK1587" s="55" t="n"/>
      <c r="AL1587" s="55" t="n"/>
      <c r="AM1587" s="56" t="n"/>
      <c r="AN1587" s="55" t="n"/>
      <c r="AO1587" s="55" t="n"/>
      <c r="AP1587" s="55" t="n"/>
      <c r="AQ1587" s="55" t="n"/>
      <c r="AR1587" s="60">
        <f>IF(AND(C1587="",E1587=""),"",IF(A1587="","⚠ Date manquante",IF(AND(C1587="",E1587&lt;&gt;"Dépense"),"⚠ Prospect manquant",IF(E1587="","⚠ Action manquante",IF(AND(AU1587=1,D1587=""),"⚠ Canal manquant",IF(AND(W1587&lt;&gt;"",COUNTIFS('Saisie'!$W$5:$W$2004,W1587,'Saisie'!$C$5:$C$2004,"&lt;&gt;"&amp;C1587)&gt;0),"⚠ Numéro déjà utilisé par un autre prospect",IF(AND(J1587&lt;&gt;"",J1587&lt;A1587),"⚠ Relance avant la date de l'action",IF(A1587&gt;TODAY(),"⚠ Date dans le futur","✓"))))))))</f>
        <v/>
      </c>
      <c r="AS1587" s="61">
        <f>IF(AND(A1587="",C1587="",E1587=""),"",ROW())</f>
        <v/>
      </c>
      <c r="AT1587" s="61">
        <f>IF(E1587&amp;F1587="","",MAX(IFERROR(INDEX('Paramètres'!$J$6:$J$33,MATCH(E1587,'Paramètres'!$I$6:$I$33,0)),0),IFERROR(INDEX('Paramètres'!$N$6:$N$17,MATCH(F1587,'Paramètres'!$M$6:$M$17,0)),0)))</f>
        <v/>
      </c>
      <c r="AU1587" s="61">
        <f>IF(E1587="","",IFERROR(IF(INDEX('Paramètres'!$K$6:$K$33,MATCH(E1587,'Paramètres'!$I$6:$I$33,0))="Oui",1,0),0))</f>
        <v/>
      </c>
      <c r="AV1587" s="61">
        <f>IF(F1587="","",IFERROR(IF(INDEX('Paramètres'!$O$6:$O$17,MATCH(F1587,'Paramètres'!$M$6:$M$17,0))="Oui",1,0),0))</f>
        <v/>
      </c>
      <c r="AW1587" s="62">
        <f>IF(E1587="","",IF(G1587&lt;&gt;"",G1587,IF(OR(E1587="Proposition envoyée",E1587="Signature"),MAX(0,N(IFERROR(INDEX('Paramètres'!$R$6:$R$15,MATCH(IF(AL1587&lt;&gt;"",AL1587,IFERROR(INDEX('Prospects'!$AN$5:$AN$504,MATCH(C1587,'Prospects'!$C$5:$C$504,0)),"")),'Paramètres'!$Q$6:$Q$15,0)),0))-N(P1587)),0)))</f>
        <v/>
      </c>
      <c r="AX1587" s="61">
        <f>IF(C1587="","",IF(COUNTIF($C$5:C1587,C1587)=1,MAX($AX$4:AX1586)+1,""))</f>
        <v/>
      </c>
      <c r="AY1587" s="61">
        <f>IF(B1587="","",HOUR(B1587))</f>
        <v/>
      </c>
      <c r="AZ1587" s="61">
        <f>IF(A1587="","",MOD(A1587-2,7)+1)</f>
        <v/>
      </c>
      <c r="BA1587" s="60">
        <f>IF(C1587="","",IFERROR(INDEX('Prospects'!$N$5:$N$504,MATCH(C1587,'Prospects'!$C$5:$C$504,0)),""))</f>
        <v/>
      </c>
      <c r="BB1587" s="61">
        <f>IF(AND(C1587&lt;&gt;"",C1587='Fiche prospect'!$C$4),COUNTIF($C$5:C1587,C1587),"")</f>
        <v/>
      </c>
    </row>
    <row r="1588">
      <c r="A1588" s="53" t="n"/>
      <c r="B1588" s="54" t="n"/>
      <c r="C1588" s="55" t="n"/>
      <c r="D1588" s="55" t="n"/>
      <c r="E1588" s="55" t="n"/>
      <c r="F1588" s="55" t="n"/>
      <c r="G1588" s="56" t="n"/>
      <c r="H1588" s="57" t="n"/>
      <c r="I1588" s="55" t="n"/>
      <c r="J1588" s="53" t="n"/>
      <c r="K1588" s="54" t="n"/>
      <c r="L1588" s="55" t="n"/>
      <c r="M1588" s="55" t="n"/>
      <c r="N1588" s="57" t="n"/>
      <c r="O1588" s="55" t="n"/>
      <c r="P1588" s="56" t="n"/>
      <c r="Q1588" s="55" t="n"/>
      <c r="R1588" s="55" t="n"/>
      <c r="S1588" s="55" t="n"/>
      <c r="T1588" s="55" t="n"/>
      <c r="U1588" s="55" t="n"/>
      <c r="V1588" s="55" t="n"/>
      <c r="W1588" s="58" t="n"/>
      <c r="X1588" s="58" t="n"/>
      <c r="Y1588" s="55" t="n"/>
      <c r="Z1588" s="55" t="n"/>
      <c r="AA1588" s="55" t="n"/>
      <c r="AB1588" s="55" t="n"/>
      <c r="AC1588" s="55" t="n"/>
      <c r="AD1588" s="53" t="n"/>
      <c r="AE1588" s="55" t="n"/>
      <c r="AF1588" s="55" t="n"/>
      <c r="AG1588" s="59" t="n"/>
      <c r="AH1588" s="57" t="n"/>
      <c r="AI1588" s="55" t="n"/>
      <c r="AJ1588" s="55" t="n"/>
      <c r="AK1588" s="55" t="n"/>
      <c r="AL1588" s="55" t="n"/>
      <c r="AM1588" s="56" t="n"/>
      <c r="AN1588" s="55" t="n"/>
      <c r="AO1588" s="55" t="n"/>
      <c r="AP1588" s="55" t="n"/>
      <c r="AQ1588" s="55" t="n"/>
      <c r="AR1588" s="60">
        <f>IF(AND(C1588="",E1588=""),"",IF(A1588="","⚠ Date manquante",IF(AND(C1588="",E1588&lt;&gt;"Dépense"),"⚠ Prospect manquant",IF(E1588="","⚠ Action manquante",IF(AND(AU1588=1,D1588=""),"⚠ Canal manquant",IF(AND(W1588&lt;&gt;"",COUNTIFS('Saisie'!$W$5:$W$2004,W1588,'Saisie'!$C$5:$C$2004,"&lt;&gt;"&amp;C1588)&gt;0),"⚠ Numéro déjà utilisé par un autre prospect",IF(AND(J1588&lt;&gt;"",J1588&lt;A1588),"⚠ Relance avant la date de l'action",IF(A1588&gt;TODAY(),"⚠ Date dans le futur","✓"))))))))</f>
        <v/>
      </c>
      <c r="AS1588" s="61">
        <f>IF(AND(A1588="",C1588="",E1588=""),"",ROW())</f>
        <v/>
      </c>
      <c r="AT1588" s="61">
        <f>IF(E1588&amp;F1588="","",MAX(IFERROR(INDEX('Paramètres'!$J$6:$J$33,MATCH(E1588,'Paramètres'!$I$6:$I$33,0)),0),IFERROR(INDEX('Paramètres'!$N$6:$N$17,MATCH(F1588,'Paramètres'!$M$6:$M$17,0)),0)))</f>
        <v/>
      </c>
      <c r="AU1588" s="61">
        <f>IF(E1588="","",IFERROR(IF(INDEX('Paramètres'!$K$6:$K$33,MATCH(E1588,'Paramètres'!$I$6:$I$33,0))="Oui",1,0),0))</f>
        <v/>
      </c>
      <c r="AV1588" s="61">
        <f>IF(F1588="","",IFERROR(IF(INDEX('Paramètres'!$O$6:$O$17,MATCH(F1588,'Paramètres'!$M$6:$M$17,0))="Oui",1,0),0))</f>
        <v/>
      </c>
      <c r="AW1588" s="62">
        <f>IF(E1588="","",IF(G1588&lt;&gt;"",G1588,IF(OR(E1588="Proposition envoyée",E1588="Signature"),MAX(0,N(IFERROR(INDEX('Paramètres'!$R$6:$R$15,MATCH(IF(AL1588&lt;&gt;"",AL1588,IFERROR(INDEX('Prospects'!$AN$5:$AN$504,MATCH(C1588,'Prospects'!$C$5:$C$504,0)),"")),'Paramètres'!$Q$6:$Q$15,0)),0))-N(P1588)),0)))</f>
        <v/>
      </c>
      <c r="AX1588" s="61">
        <f>IF(C1588="","",IF(COUNTIF($C$5:C1588,C1588)=1,MAX($AX$4:AX1587)+1,""))</f>
        <v/>
      </c>
      <c r="AY1588" s="61">
        <f>IF(B1588="","",HOUR(B1588))</f>
        <v/>
      </c>
      <c r="AZ1588" s="61">
        <f>IF(A1588="","",MOD(A1588-2,7)+1)</f>
        <v/>
      </c>
      <c r="BA1588" s="60">
        <f>IF(C1588="","",IFERROR(INDEX('Prospects'!$N$5:$N$504,MATCH(C1588,'Prospects'!$C$5:$C$504,0)),""))</f>
        <v/>
      </c>
      <c r="BB1588" s="61">
        <f>IF(AND(C1588&lt;&gt;"",C1588='Fiche prospect'!$C$4),COUNTIF($C$5:C1588,C1588),"")</f>
        <v/>
      </c>
    </row>
    <row r="1589">
      <c r="A1589" s="53" t="n"/>
      <c r="B1589" s="54" t="n"/>
      <c r="C1589" s="55" t="n"/>
      <c r="D1589" s="55" t="n"/>
      <c r="E1589" s="55" t="n"/>
      <c r="F1589" s="55" t="n"/>
      <c r="G1589" s="56" t="n"/>
      <c r="H1589" s="57" t="n"/>
      <c r="I1589" s="55" t="n"/>
      <c r="J1589" s="53" t="n"/>
      <c r="K1589" s="54" t="n"/>
      <c r="L1589" s="55" t="n"/>
      <c r="M1589" s="55" t="n"/>
      <c r="N1589" s="57" t="n"/>
      <c r="O1589" s="55" t="n"/>
      <c r="P1589" s="56" t="n"/>
      <c r="Q1589" s="55" t="n"/>
      <c r="R1589" s="55" t="n"/>
      <c r="S1589" s="55" t="n"/>
      <c r="T1589" s="55" t="n"/>
      <c r="U1589" s="55" t="n"/>
      <c r="V1589" s="55" t="n"/>
      <c r="W1589" s="58" t="n"/>
      <c r="X1589" s="58" t="n"/>
      <c r="Y1589" s="55" t="n"/>
      <c r="Z1589" s="55" t="n"/>
      <c r="AA1589" s="55" t="n"/>
      <c r="AB1589" s="55" t="n"/>
      <c r="AC1589" s="55" t="n"/>
      <c r="AD1589" s="53" t="n"/>
      <c r="AE1589" s="55" t="n"/>
      <c r="AF1589" s="55" t="n"/>
      <c r="AG1589" s="59" t="n"/>
      <c r="AH1589" s="57" t="n"/>
      <c r="AI1589" s="55" t="n"/>
      <c r="AJ1589" s="55" t="n"/>
      <c r="AK1589" s="55" t="n"/>
      <c r="AL1589" s="55" t="n"/>
      <c r="AM1589" s="56" t="n"/>
      <c r="AN1589" s="55" t="n"/>
      <c r="AO1589" s="55" t="n"/>
      <c r="AP1589" s="55" t="n"/>
      <c r="AQ1589" s="55" t="n"/>
      <c r="AR1589" s="60">
        <f>IF(AND(C1589="",E1589=""),"",IF(A1589="","⚠ Date manquante",IF(AND(C1589="",E1589&lt;&gt;"Dépense"),"⚠ Prospect manquant",IF(E1589="","⚠ Action manquante",IF(AND(AU1589=1,D1589=""),"⚠ Canal manquant",IF(AND(W1589&lt;&gt;"",COUNTIFS('Saisie'!$W$5:$W$2004,W1589,'Saisie'!$C$5:$C$2004,"&lt;&gt;"&amp;C1589)&gt;0),"⚠ Numéro déjà utilisé par un autre prospect",IF(AND(J1589&lt;&gt;"",J1589&lt;A1589),"⚠ Relance avant la date de l'action",IF(A1589&gt;TODAY(),"⚠ Date dans le futur","✓"))))))))</f>
        <v/>
      </c>
      <c r="AS1589" s="61">
        <f>IF(AND(A1589="",C1589="",E1589=""),"",ROW())</f>
        <v/>
      </c>
      <c r="AT1589" s="61">
        <f>IF(E1589&amp;F1589="","",MAX(IFERROR(INDEX('Paramètres'!$J$6:$J$33,MATCH(E1589,'Paramètres'!$I$6:$I$33,0)),0),IFERROR(INDEX('Paramètres'!$N$6:$N$17,MATCH(F1589,'Paramètres'!$M$6:$M$17,0)),0)))</f>
        <v/>
      </c>
      <c r="AU1589" s="61">
        <f>IF(E1589="","",IFERROR(IF(INDEX('Paramètres'!$K$6:$K$33,MATCH(E1589,'Paramètres'!$I$6:$I$33,0))="Oui",1,0),0))</f>
        <v/>
      </c>
      <c r="AV1589" s="61">
        <f>IF(F1589="","",IFERROR(IF(INDEX('Paramètres'!$O$6:$O$17,MATCH(F1589,'Paramètres'!$M$6:$M$17,0))="Oui",1,0),0))</f>
        <v/>
      </c>
      <c r="AW1589" s="62">
        <f>IF(E1589="","",IF(G1589&lt;&gt;"",G1589,IF(OR(E1589="Proposition envoyée",E1589="Signature"),MAX(0,N(IFERROR(INDEX('Paramètres'!$R$6:$R$15,MATCH(IF(AL1589&lt;&gt;"",AL1589,IFERROR(INDEX('Prospects'!$AN$5:$AN$504,MATCH(C1589,'Prospects'!$C$5:$C$504,0)),"")),'Paramètres'!$Q$6:$Q$15,0)),0))-N(P1589)),0)))</f>
        <v/>
      </c>
      <c r="AX1589" s="61">
        <f>IF(C1589="","",IF(COUNTIF($C$5:C1589,C1589)=1,MAX($AX$4:AX1588)+1,""))</f>
        <v/>
      </c>
      <c r="AY1589" s="61">
        <f>IF(B1589="","",HOUR(B1589))</f>
        <v/>
      </c>
      <c r="AZ1589" s="61">
        <f>IF(A1589="","",MOD(A1589-2,7)+1)</f>
        <v/>
      </c>
      <c r="BA1589" s="60">
        <f>IF(C1589="","",IFERROR(INDEX('Prospects'!$N$5:$N$504,MATCH(C1589,'Prospects'!$C$5:$C$504,0)),""))</f>
        <v/>
      </c>
      <c r="BB1589" s="61">
        <f>IF(AND(C1589&lt;&gt;"",C1589='Fiche prospect'!$C$4),COUNTIF($C$5:C1589,C1589),"")</f>
        <v/>
      </c>
    </row>
    <row r="1590">
      <c r="A1590" s="53" t="n"/>
      <c r="B1590" s="54" t="n"/>
      <c r="C1590" s="55" t="n"/>
      <c r="D1590" s="55" t="n"/>
      <c r="E1590" s="55" t="n"/>
      <c r="F1590" s="55" t="n"/>
      <c r="G1590" s="56" t="n"/>
      <c r="H1590" s="57" t="n"/>
      <c r="I1590" s="55" t="n"/>
      <c r="J1590" s="53" t="n"/>
      <c r="K1590" s="54" t="n"/>
      <c r="L1590" s="55" t="n"/>
      <c r="M1590" s="55" t="n"/>
      <c r="N1590" s="57" t="n"/>
      <c r="O1590" s="55" t="n"/>
      <c r="P1590" s="56" t="n"/>
      <c r="Q1590" s="55" t="n"/>
      <c r="R1590" s="55" t="n"/>
      <c r="S1590" s="55" t="n"/>
      <c r="T1590" s="55" t="n"/>
      <c r="U1590" s="55" t="n"/>
      <c r="V1590" s="55" t="n"/>
      <c r="W1590" s="58" t="n"/>
      <c r="X1590" s="58" t="n"/>
      <c r="Y1590" s="55" t="n"/>
      <c r="Z1590" s="55" t="n"/>
      <c r="AA1590" s="55" t="n"/>
      <c r="AB1590" s="55" t="n"/>
      <c r="AC1590" s="55" t="n"/>
      <c r="AD1590" s="53" t="n"/>
      <c r="AE1590" s="55" t="n"/>
      <c r="AF1590" s="55" t="n"/>
      <c r="AG1590" s="59" t="n"/>
      <c r="AH1590" s="57" t="n"/>
      <c r="AI1590" s="55" t="n"/>
      <c r="AJ1590" s="55" t="n"/>
      <c r="AK1590" s="55" t="n"/>
      <c r="AL1590" s="55" t="n"/>
      <c r="AM1590" s="56" t="n"/>
      <c r="AN1590" s="55" t="n"/>
      <c r="AO1590" s="55" t="n"/>
      <c r="AP1590" s="55" t="n"/>
      <c r="AQ1590" s="55" t="n"/>
      <c r="AR1590" s="60">
        <f>IF(AND(C1590="",E1590=""),"",IF(A1590="","⚠ Date manquante",IF(AND(C1590="",E1590&lt;&gt;"Dépense"),"⚠ Prospect manquant",IF(E1590="","⚠ Action manquante",IF(AND(AU1590=1,D1590=""),"⚠ Canal manquant",IF(AND(W1590&lt;&gt;"",COUNTIFS('Saisie'!$W$5:$W$2004,W1590,'Saisie'!$C$5:$C$2004,"&lt;&gt;"&amp;C1590)&gt;0),"⚠ Numéro déjà utilisé par un autre prospect",IF(AND(J1590&lt;&gt;"",J1590&lt;A1590),"⚠ Relance avant la date de l'action",IF(A1590&gt;TODAY(),"⚠ Date dans le futur","✓"))))))))</f>
        <v/>
      </c>
      <c r="AS1590" s="61">
        <f>IF(AND(A1590="",C1590="",E1590=""),"",ROW())</f>
        <v/>
      </c>
      <c r="AT1590" s="61">
        <f>IF(E1590&amp;F1590="","",MAX(IFERROR(INDEX('Paramètres'!$J$6:$J$33,MATCH(E1590,'Paramètres'!$I$6:$I$33,0)),0),IFERROR(INDEX('Paramètres'!$N$6:$N$17,MATCH(F1590,'Paramètres'!$M$6:$M$17,0)),0)))</f>
        <v/>
      </c>
      <c r="AU1590" s="61">
        <f>IF(E1590="","",IFERROR(IF(INDEX('Paramètres'!$K$6:$K$33,MATCH(E1590,'Paramètres'!$I$6:$I$33,0))="Oui",1,0),0))</f>
        <v/>
      </c>
      <c r="AV1590" s="61">
        <f>IF(F1590="","",IFERROR(IF(INDEX('Paramètres'!$O$6:$O$17,MATCH(F1590,'Paramètres'!$M$6:$M$17,0))="Oui",1,0),0))</f>
        <v/>
      </c>
      <c r="AW1590" s="62">
        <f>IF(E1590="","",IF(G1590&lt;&gt;"",G1590,IF(OR(E1590="Proposition envoyée",E1590="Signature"),MAX(0,N(IFERROR(INDEX('Paramètres'!$R$6:$R$15,MATCH(IF(AL1590&lt;&gt;"",AL1590,IFERROR(INDEX('Prospects'!$AN$5:$AN$504,MATCH(C1590,'Prospects'!$C$5:$C$504,0)),"")),'Paramètres'!$Q$6:$Q$15,0)),0))-N(P1590)),0)))</f>
        <v/>
      </c>
      <c r="AX1590" s="61">
        <f>IF(C1590="","",IF(COUNTIF($C$5:C1590,C1590)=1,MAX($AX$4:AX1589)+1,""))</f>
        <v/>
      </c>
      <c r="AY1590" s="61">
        <f>IF(B1590="","",HOUR(B1590))</f>
        <v/>
      </c>
      <c r="AZ1590" s="61">
        <f>IF(A1590="","",MOD(A1590-2,7)+1)</f>
        <v/>
      </c>
      <c r="BA1590" s="60">
        <f>IF(C1590="","",IFERROR(INDEX('Prospects'!$N$5:$N$504,MATCH(C1590,'Prospects'!$C$5:$C$504,0)),""))</f>
        <v/>
      </c>
      <c r="BB1590" s="61">
        <f>IF(AND(C1590&lt;&gt;"",C1590='Fiche prospect'!$C$4),COUNTIF($C$5:C1590,C1590),"")</f>
        <v/>
      </c>
    </row>
    <row r="1591">
      <c r="A1591" s="53" t="n"/>
      <c r="B1591" s="54" t="n"/>
      <c r="C1591" s="55" t="n"/>
      <c r="D1591" s="55" t="n"/>
      <c r="E1591" s="55" t="n"/>
      <c r="F1591" s="55" t="n"/>
      <c r="G1591" s="56" t="n"/>
      <c r="H1591" s="57" t="n"/>
      <c r="I1591" s="55" t="n"/>
      <c r="J1591" s="53" t="n"/>
      <c r="K1591" s="54" t="n"/>
      <c r="L1591" s="55" t="n"/>
      <c r="M1591" s="55" t="n"/>
      <c r="N1591" s="57" t="n"/>
      <c r="O1591" s="55" t="n"/>
      <c r="P1591" s="56" t="n"/>
      <c r="Q1591" s="55" t="n"/>
      <c r="R1591" s="55" t="n"/>
      <c r="S1591" s="55" t="n"/>
      <c r="T1591" s="55" t="n"/>
      <c r="U1591" s="55" t="n"/>
      <c r="V1591" s="55" t="n"/>
      <c r="W1591" s="58" t="n"/>
      <c r="X1591" s="58" t="n"/>
      <c r="Y1591" s="55" t="n"/>
      <c r="Z1591" s="55" t="n"/>
      <c r="AA1591" s="55" t="n"/>
      <c r="AB1591" s="55" t="n"/>
      <c r="AC1591" s="55" t="n"/>
      <c r="AD1591" s="53" t="n"/>
      <c r="AE1591" s="55" t="n"/>
      <c r="AF1591" s="55" t="n"/>
      <c r="AG1591" s="59" t="n"/>
      <c r="AH1591" s="57" t="n"/>
      <c r="AI1591" s="55" t="n"/>
      <c r="AJ1591" s="55" t="n"/>
      <c r="AK1591" s="55" t="n"/>
      <c r="AL1591" s="55" t="n"/>
      <c r="AM1591" s="56" t="n"/>
      <c r="AN1591" s="55" t="n"/>
      <c r="AO1591" s="55" t="n"/>
      <c r="AP1591" s="55" t="n"/>
      <c r="AQ1591" s="55" t="n"/>
      <c r="AR1591" s="60">
        <f>IF(AND(C1591="",E1591=""),"",IF(A1591="","⚠ Date manquante",IF(AND(C1591="",E1591&lt;&gt;"Dépense"),"⚠ Prospect manquant",IF(E1591="","⚠ Action manquante",IF(AND(AU1591=1,D1591=""),"⚠ Canal manquant",IF(AND(W1591&lt;&gt;"",COUNTIFS('Saisie'!$W$5:$W$2004,W1591,'Saisie'!$C$5:$C$2004,"&lt;&gt;"&amp;C1591)&gt;0),"⚠ Numéro déjà utilisé par un autre prospect",IF(AND(J1591&lt;&gt;"",J1591&lt;A1591),"⚠ Relance avant la date de l'action",IF(A1591&gt;TODAY(),"⚠ Date dans le futur","✓"))))))))</f>
        <v/>
      </c>
      <c r="AS1591" s="61">
        <f>IF(AND(A1591="",C1591="",E1591=""),"",ROW())</f>
        <v/>
      </c>
      <c r="AT1591" s="61">
        <f>IF(E1591&amp;F1591="","",MAX(IFERROR(INDEX('Paramètres'!$J$6:$J$33,MATCH(E1591,'Paramètres'!$I$6:$I$33,0)),0),IFERROR(INDEX('Paramètres'!$N$6:$N$17,MATCH(F1591,'Paramètres'!$M$6:$M$17,0)),0)))</f>
        <v/>
      </c>
      <c r="AU1591" s="61">
        <f>IF(E1591="","",IFERROR(IF(INDEX('Paramètres'!$K$6:$K$33,MATCH(E1591,'Paramètres'!$I$6:$I$33,0))="Oui",1,0),0))</f>
        <v/>
      </c>
      <c r="AV1591" s="61">
        <f>IF(F1591="","",IFERROR(IF(INDEX('Paramètres'!$O$6:$O$17,MATCH(F1591,'Paramètres'!$M$6:$M$17,0))="Oui",1,0),0))</f>
        <v/>
      </c>
      <c r="AW1591" s="62">
        <f>IF(E1591="","",IF(G1591&lt;&gt;"",G1591,IF(OR(E1591="Proposition envoyée",E1591="Signature"),MAX(0,N(IFERROR(INDEX('Paramètres'!$R$6:$R$15,MATCH(IF(AL1591&lt;&gt;"",AL1591,IFERROR(INDEX('Prospects'!$AN$5:$AN$504,MATCH(C1591,'Prospects'!$C$5:$C$504,0)),"")),'Paramètres'!$Q$6:$Q$15,0)),0))-N(P1591)),0)))</f>
        <v/>
      </c>
      <c r="AX1591" s="61">
        <f>IF(C1591="","",IF(COUNTIF($C$5:C1591,C1591)=1,MAX($AX$4:AX1590)+1,""))</f>
        <v/>
      </c>
      <c r="AY1591" s="61">
        <f>IF(B1591="","",HOUR(B1591))</f>
        <v/>
      </c>
      <c r="AZ1591" s="61">
        <f>IF(A1591="","",MOD(A1591-2,7)+1)</f>
        <v/>
      </c>
      <c r="BA1591" s="60">
        <f>IF(C1591="","",IFERROR(INDEX('Prospects'!$N$5:$N$504,MATCH(C1591,'Prospects'!$C$5:$C$504,0)),""))</f>
        <v/>
      </c>
      <c r="BB1591" s="61">
        <f>IF(AND(C1591&lt;&gt;"",C1591='Fiche prospect'!$C$4),COUNTIF($C$5:C1591,C1591),"")</f>
        <v/>
      </c>
    </row>
    <row r="1592">
      <c r="A1592" s="53" t="n"/>
      <c r="B1592" s="54" t="n"/>
      <c r="C1592" s="55" t="n"/>
      <c r="D1592" s="55" t="n"/>
      <c r="E1592" s="55" t="n"/>
      <c r="F1592" s="55" t="n"/>
      <c r="G1592" s="56" t="n"/>
      <c r="H1592" s="57" t="n"/>
      <c r="I1592" s="55" t="n"/>
      <c r="J1592" s="53" t="n"/>
      <c r="K1592" s="54" t="n"/>
      <c r="L1592" s="55" t="n"/>
      <c r="M1592" s="55" t="n"/>
      <c r="N1592" s="57" t="n"/>
      <c r="O1592" s="55" t="n"/>
      <c r="P1592" s="56" t="n"/>
      <c r="Q1592" s="55" t="n"/>
      <c r="R1592" s="55" t="n"/>
      <c r="S1592" s="55" t="n"/>
      <c r="T1592" s="55" t="n"/>
      <c r="U1592" s="55" t="n"/>
      <c r="V1592" s="55" t="n"/>
      <c r="W1592" s="58" t="n"/>
      <c r="X1592" s="58" t="n"/>
      <c r="Y1592" s="55" t="n"/>
      <c r="Z1592" s="55" t="n"/>
      <c r="AA1592" s="55" t="n"/>
      <c r="AB1592" s="55" t="n"/>
      <c r="AC1592" s="55" t="n"/>
      <c r="AD1592" s="53" t="n"/>
      <c r="AE1592" s="55" t="n"/>
      <c r="AF1592" s="55" t="n"/>
      <c r="AG1592" s="59" t="n"/>
      <c r="AH1592" s="57" t="n"/>
      <c r="AI1592" s="55" t="n"/>
      <c r="AJ1592" s="55" t="n"/>
      <c r="AK1592" s="55" t="n"/>
      <c r="AL1592" s="55" t="n"/>
      <c r="AM1592" s="56" t="n"/>
      <c r="AN1592" s="55" t="n"/>
      <c r="AO1592" s="55" t="n"/>
      <c r="AP1592" s="55" t="n"/>
      <c r="AQ1592" s="55" t="n"/>
      <c r="AR1592" s="60">
        <f>IF(AND(C1592="",E1592=""),"",IF(A1592="","⚠ Date manquante",IF(AND(C1592="",E1592&lt;&gt;"Dépense"),"⚠ Prospect manquant",IF(E1592="","⚠ Action manquante",IF(AND(AU1592=1,D1592=""),"⚠ Canal manquant",IF(AND(W1592&lt;&gt;"",COUNTIFS('Saisie'!$W$5:$W$2004,W1592,'Saisie'!$C$5:$C$2004,"&lt;&gt;"&amp;C1592)&gt;0),"⚠ Numéro déjà utilisé par un autre prospect",IF(AND(J1592&lt;&gt;"",J1592&lt;A1592),"⚠ Relance avant la date de l'action",IF(A1592&gt;TODAY(),"⚠ Date dans le futur","✓"))))))))</f>
        <v/>
      </c>
      <c r="AS1592" s="61">
        <f>IF(AND(A1592="",C1592="",E1592=""),"",ROW())</f>
        <v/>
      </c>
      <c r="AT1592" s="61">
        <f>IF(E1592&amp;F1592="","",MAX(IFERROR(INDEX('Paramètres'!$J$6:$J$33,MATCH(E1592,'Paramètres'!$I$6:$I$33,0)),0),IFERROR(INDEX('Paramètres'!$N$6:$N$17,MATCH(F1592,'Paramètres'!$M$6:$M$17,0)),0)))</f>
        <v/>
      </c>
      <c r="AU1592" s="61">
        <f>IF(E1592="","",IFERROR(IF(INDEX('Paramètres'!$K$6:$K$33,MATCH(E1592,'Paramètres'!$I$6:$I$33,0))="Oui",1,0),0))</f>
        <v/>
      </c>
      <c r="AV1592" s="61">
        <f>IF(F1592="","",IFERROR(IF(INDEX('Paramètres'!$O$6:$O$17,MATCH(F1592,'Paramètres'!$M$6:$M$17,0))="Oui",1,0),0))</f>
        <v/>
      </c>
      <c r="AW1592" s="62">
        <f>IF(E1592="","",IF(G1592&lt;&gt;"",G1592,IF(OR(E1592="Proposition envoyée",E1592="Signature"),MAX(0,N(IFERROR(INDEX('Paramètres'!$R$6:$R$15,MATCH(IF(AL1592&lt;&gt;"",AL1592,IFERROR(INDEX('Prospects'!$AN$5:$AN$504,MATCH(C1592,'Prospects'!$C$5:$C$504,0)),"")),'Paramètres'!$Q$6:$Q$15,0)),0))-N(P1592)),0)))</f>
        <v/>
      </c>
      <c r="AX1592" s="61">
        <f>IF(C1592="","",IF(COUNTIF($C$5:C1592,C1592)=1,MAX($AX$4:AX1591)+1,""))</f>
        <v/>
      </c>
      <c r="AY1592" s="61">
        <f>IF(B1592="","",HOUR(B1592))</f>
        <v/>
      </c>
      <c r="AZ1592" s="61">
        <f>IF(A1592="","",MOD(A1592-2,7)+1)</f>
        <v/>
      </c>
      <c r="BA1592" s="60">
        <f>IF(C1592="","",IFERROR(INDEX('Prospects'!$N$5:$N$504,MATCH(C1592,'Prospects'!$C$5:$C$504,0)),""))</f>
        <v/>
      </c>
      <c r="BB1592" s="61">
        <f>IF(AND(C1592&lt;&gt;"",C1592='Fiche prospect'!$C$4),COUNTIF($C$5:C1592,C1592),"")</f>
        <v/>
      </c>
    </row>
    <row r="1593">
      <c r="A1593" s="53" t="n"/>
      <c r="B1593" s="54" t="n"/>
      <c r="C1593" s="55" t="n"/>
      <c r="D1593" s="55" t="n"/>
      <c r="E1593" s="55" t="n"/>
      <c r="F1593" s="55" t="n"/>
      <c r="G1593" s="56" t="n"/>
      <c r="H1593" s="57" t="n"/>
      <c r="I1593" s="55" t="n"/>
      <c r="J1593" s="53" t="n"/>
      <c r="K1593" s="54" t="n"/>
      <c r="L1593" s="55" t="n"/>
      <c r="M1593" s="55" t="n"/>
      <c r="N1593" s="57" t="n"/>
      <c r="O1593" s="55" t="n"/>
      <c r="P1593" s="56" t="n"/>
      <c r="Q1593" s="55" t="n"/>
      <c r="R1593" s="55" t="n"/>
      <c r="S1593" s="55" t="n"/>
      <c r="T1593" s="55" t="n"/>
      <c r="U1593" s="55" t="n"/>
      <c r="V1593" s="55" t="n"/>
      <c r="W1593" s="58" t="n"/>
      <c r="X1593" s="58" t="n"/>
      <c r="Y1593" s="55" t="n"/>
      <c r="Z1593" s="55" t="n"/>
      <c r="AA1593" s="55" t="n"/>
      <c r="AB1593" s="55" t="n"/>
      <c r="AC1593" s="55" t="n"/>
      <c r="AD1593" s="53" t="n"/>
      <c r="AE1593" s="55" t="n"/>
      <c r="AF1593" s="55" t="n"/>
      <c r="AG1593" s="59" t="n"/>
      <c r="AH1593" s="57" t="n"/>
      <c r="AI1593" s="55" t="n"/>
      <c r="AJ1593" s="55" t="n"/>
      <c r="AK1593" s="55" t="n"/>
      <c r="AL1593" s="55" t="n"/>
      <c r="AM1593" s="56" t="n"/>
      <c r="AN1593" s="55" t="n"/>
      <c r="AO1593" s="55" t="n"/>
      <c r="AP1593" s="55" t="n"/>
      <c r="AQ1593" s="55" t="n"/>
      <c r="AR1593" s="60">
        <f>IF(AND(C1593="",E1593=""),"",IF(A1593="","⚠ Date manquante",IF(AND(C1593="",E1593&lt;&gt;"Dépense"),"⚠ Prospect manquant",IF(E1593="","⚠ Action manquante",IF(AND(AU1593=1,D1593=""),"⚠ Canal manquant",IF(AND(W1593&lt;&gt;"",COUNTIFS('Saisie'!$W$5:$W$2004,W1593,'Saisie'!$C$5:$C$2004,"&lt;&gt;"&amp;C1593)&gt;0),"⚠ Numéro déjà utilisé par un autre prospect",IF(AND(J1593&lt;&gt;"",J1593&lt;A1593),"⚠ Relance avant la date de l'action",IF(A1593&gt;TODAY(),"⚠ Date dans le futur","✓"))))))))</f>
        <v/>
      </c>
      <c r="AS1593" s="61">
        <f>IF(AND(A1593="",C1593="",E1593=""),"",ROW())</f>
        <v/>
      </c>
      <c r="AT1593" s="61">
        <f>IF(E1593&amp;F1593="","",MAX(IFERROR(INDEX('Paramètres'!$J$6:$J$33,MATCH(E1593,'Paramètres'!$I$6:$I$33,0)),0),IFERROR(INDEX('Paramètres'!$N$6:$N$17,MATCH(F1593,'Paramètres'!$M$6:$M$17,0)),0)))</f>
        <v/>
      </c>
      <c r="AU1593" s="61">
        <f>IF(E1593="","",IFERROR(IF(INDEX('Paramètres'!$K$6:$K$33,MATCH(E1593,'Paramètres'!$I$6:$I$33,0))="Oui",1,0),0))</f>
        <v/>
      </c>
      <c r="AV1593" s="61">
        <f>IF(F1593="","",IFERROR(IF(INDEX('Paramètres'!$O$6:$O$17,MATCH(F1593,'Paramètres'!$M$6:$M$17,0))="Oui",1,0),0))</f>
        <v/>
      </c>
      <c r="AW1593" s="62">
        <f>IF(E1593="","",IF(G1593&lt;&gt;"",G1593,IF(OR(E1593="Proposition envoyée",E1593="Signature"),MAX(0,N(IFERROR(INDEX('Paramètres'!$R$6:$R$15,MATCH(IF(AL1593&lt;&gt;"",AL1593,IFERROR(INDEX('Prospects'!$AN$5:$AN$504,MATCH(C1593,'Prospects'!$C$5:$C$504,0)),"")),'Paramètres'!$Q$6:$Q$15,0)),0))-N(P1593)),0)))</f>
        <v/>
      </c>
      <c r="AX1593" s="61">
        <f>IF(C1593="","",IF(COUNTIF($C$5:C1593,C1593)=1,MAX($AX$4:AX1592)+1,""))</f>
        <v/>
      </c>
      <c r="AY1593" s="61">
        <f>IF(B1593="","",HOUR(B1593))</f>
        <v/>
      </c>
      <c r="AZ1593" s="61">
        <f>IF(A1593="","",MOD(A1593-2,7)+1)</f>
        <v/>
      </c>
      <c r="BA1593" s="60">
        <f>IF(C1593="","",IFERROR(INDEX('Prospects'!$N$5:$N$504,MATCH(C1593,'Prospects'!$C$5:$C$504,0)),""))</f>
        <v/>
      </c>
      <c r="BB1593" s="61">
        <f>IF(AND(C1593&lt;&gt;"",C1593='Fiche prospect'!$C$4),COUNTIF($C$5:C1593,C1593),"")</f>
        <v/>
      </c>
    </row>
    <row r="1594">
      <c r="A1594" s="53" t="n"/>
      <c r="B1594" s="54" t="n"/>
      <c r="C1594" s="55" t="n"/>
      <c r="D1594" s="55" t="n"/>
      <c r="E1594" s="55" t="n"/>
      <c r="F1594" s="55" t="n"/>
      <c r="G1594" s="56" t="n"/>
      <c r="H1594" s="57" t="n"/>
      <c r="I1594" s="55" t="n"/>
      <c r="J1594" s="53" t="n"/>
      <c r="K1594" s="54" t="n"/>
      <c r="L1594" s="55" t="n"/>
      <c r="M1594" s="55" t="n"/>
      <c r="N1594" s="57" t="n"/>
      <c r="O1594" s="55" t="n"/>
      <c r="P1594" s="56" t="n"/>
      <c r="Q1594" s="55" t="n"/>
      <c r="R1594" s="55" t="n"/>
      <c r="S1594" s="55" t="n"/>
      <c r="T1594" s="55" t="n"/>
      <c r="U1594" s="55" t="n"/>
      <c r="V1594" s="55" t="n"/>
      <c r="W1594" s="58" t="n"/>
      <c r="X1594" s="58" t="n"/>
      <c r="Y1594" s="55" t="n"/>
      <c r="Z1594" s="55" t="n"/>
      <c r="AA1594" s="55" t="n"/>
      <c r="AB1594" s="55" t="n"/>
      <c r="AC1594" s="55" t="n"/>
      <c r="AD1594" s="53" t="n"/>
      <c r="AE1594" s="55" t="n"/>
      <c r="AF1594" s="55" t="n"/>
      <c r="AG1594" s="59" t="n"/>
      <c r="AH1594" s="57" t="n"/>
      <c r="AI1594" s="55" t="n"/>
      <c r="AJ1594" s="55" t="n"/>
      <c r="AK1594" s="55" t="n"/>
      <c r="AL1594" s="55" t="n"/>
      <c r="AM1594" s="56" t="n"/>
      <c r="AN1594" s="55" t="n"/>
      <c r="AO1594" s="55" t="n"/>
      <c r="AP1594" s="55" t="n"/>
      <c r="AQ1594" s="55" t="n"/>
      <c r="AR1594" s="60">
        <f>IF(AND(C1594="",E1594=""),"",IF(A1594="","⚠ Date manquante",IF(AND(C1594="",E1594&lt;&gt;"Dépense"),"⚠ Prospect manquant",IF(E1594="","⚠ Action manquante",IF(AND(AU1594=1,D1594=""),"⚠ Canal manquant",IF(AND(W1594&lt;&gt;"",COUNTIFS('Saisie'!$W$5:$W$2004,W1594,'Saisie'!$C$5:$C$2004,"&lt;&gt;"&amp;C1594)&gt;0),"⚠ Numéro déjà utilisé par un autre prospect",IF(AND(J1594&lt;&gt;"",J1594&lt;A1594),"⚠ Relance avant la date de l'action",IF(A1594&gt;TODAY(),"⚠ Date dans le futur","✓"))))))))</f>
        <v/>
      </c>
      <c r="AS1594" s="61">
        <f>IF(AND(A1594="",C1594="",E1594=""),"",ROW())</f>
        <v/>
      </c>
      <c r="AT1594" s="61">
        <f>IF(E1594&amp;F1594="","",MAX(IFERROR(INDEX('Paramètres'!$J$6:$J$33,MATCH(E1594,'Paramètres'!$I$6:$I$33,0)),0),IFERROR(INDEX('Paramètres'!$N$6:$N$17,MATCH(F1594,'Paramètres'!$M$6:$M$17,0)),0)))</f>
        <v/>
      </c>
      <c r="AU1594" s="61">
        <f>IF(E1594="","",IFERROR(IF(INDEX('Paramètres'!$K$6:$K$33,MATCH(E1594,'Paramètres'!$I$6:$I$33,0))="Oui",1,0),0))</f>
        <v/>
      </c>
      <c r="AV1594" s="61">
        <f>IF(F1594="","",IFERROR(IF(INDEX('Paramètres'!$O$6:$O$17,MATCH(F1594,'Paramètres'!$M$6:$M$17,0))="Oui",1,0),0))</f>
        <v/>
      </c>
      <c r="AW1594" s="62">
        <f>IF(E1594="","",IF(G1594&lt;&gt;"",G1594,IF(OR(E1594="Proposition envoyée",E1594="Signature"),MAX(0,N(IFERROR(INDEX('Paramètres'!$R$6:$R$15,MATCH(IF(AL1594&lt;&gt;"",AL1594,IFERROR(INDEX('Prospects'!$AN$5:$AN$504,MATCH(C1594,'Prospects'!$C$5:$C$504,0)),"")),'Paramètres'!$Q$6:$Q$15,0)),0))-N(P1594)),0)))</f>
        <v/>
      </c>
      <c r="AX1594" s="61">
        <f>IF(C1594="","",IF(COUNTIF($C$5:C1594,C1594)=1,MAX($AX$4:AX1593)+1,""))</f>
        <v/>
      </c>
      <c r="AY1594" s="61">
        <f>IF(B1594="","",HOUR(B1594))</f>
        <v/>
      </c>
      <c r="AZ1594" s="61">
        <f>IF(A1594="","",MOD(A1594-2,7)+1)</f>
        <v/>
      </c>
      <c r="BA1594" s="60">
        <f>IF(C1594="","",IFERROR(INDEX('Prospects'!$N$5:$N$504,MATCH(C1594,'Prospects'!$C$5:$C$504,0)),""))</f>
        <v/>
      </c>
      <c r="BB1594" s="61">
        <f>IF(AND(C1594&lt;&gt;"",C1594='Fiche prospect'!$C$4),COUNTIF($C$5:C1594,C1594),"")</f>
        <v/>
      </c>
    </row>
    <row r="1595">
      <c r="A1595" s="53" t="n"/>
      <c r="B1595" s="54" t="n"/>
      <c r="C1595" s="55" t="n"/>
      <c r="D1595" s="55" t="n"/>
      <c r="E1595" s="55" t="n"/>
      <c r="F1595" s="55" t="n"/>
      <c r="G1595" s="56" t="n"/>
      <c r="H1595" s="57" t="n"/>
      <c r="I1595" s="55" t="n"/>
      <c r="J1595" s="53" t="n"/>
      <c r="K1595" s="54" t="n"/>
      <c r="L1595" s="55" t="n"/>
      <c r="M1595" s="55" t="n"/>
      <c r="N1595" s="57" t="n"/>
      <c r="O1595" s="55" t="n"/>
      <c r="P1595" s="56" t="n"/>
      <c r="Q1595" s="55" t="n"/>
      <c r="R1595" s="55" t="n"/>
      <c r="S1595" s="55" t="n"/>
      <c r="T1595" s="55" t="n"/>
      <c r="U1595" s="55" t="n"/>
      <c r="V1595" s="55" t="n"/>
      <c r="W1595" s="58" t="n"/>
      <c r="X1595" s="58" t="n"/>
      <c r="Y1595" s="55" t="n"/>
      <c r="Z1595" s="55" t="n"/>
      <c r="AA1595" s="55" t="n"/>
      <c r="AB1595" s="55" t="n"/>
      <c r="AC1595" s="55" t="n"/>
      <c r="AD1595" s="53" t="n"/>
      <c r="AE1595" s="55" t="n"/>
      <c r="AF1595" s="55" t="n"/>
      <c r="AG1595" s="59" t="n"/>
      <c r="AH1595" s="57" t="n"/>
      <c r="AI1595" s="55" t="n"/>
      <c r="AJ1595" s="55" t="n"/>
      <c r="AK1595" s="55" t="n"/>
      <c r="AL1595" s="55" t="n"/>
      <c r="AM1595" s="56" t="n"/>
      <c r="AN1595" s="55" t="n"/>
      <c r="AO1595" s="55" t="n"/>
      <c r="AP1595" s="55" t="n"/>
      <c r="AQ1595" s="55" t="n"/>
      <c r="AR1595" s="60">
        <f>IF(AND(C1595="",E1595=""),"",IF(A1595="","⚠ Date manquante",IF(AND(C1595="",E1595&lt;&gt;"Dépense"),"⚠ Prospect manquant",IF(E1595="","⚠ Action manquante",IF(AND(AU1595=1,D1595=""),"⚠ Canal manquant",IF(AND(W1595&lt;&gt;"",COUNTIFS('Saisie'!$W$5:$W$2004,W1595,'Saisie'!$C$5:$C$2004,"&lt;&gt;"&amp;C1595)&gt;0),"⚠ Numéro déjà utilisé par un autre prospect",IF(AND(J1595&lt;&gt;"",J1595&lt;A1595),"⚠ Relance avant la date de l'action",IF(A1595&gt;TODAY(),"⚠ Date dans le futur","✓"))))))))</f>
        <v/>
      </c>
      <c r="AS1595" s="61">
        <f>IF(AND(A1595="",C1595="",E1595=""),"",ROW())</f>
        <v/>
      </c>
      <c r="AT1595" s="61">
        <f>IF(E1595&amp;F1595="","",MAX(IFERROR(INDEX('Paramètres'!$J$6:$J$33,MATCH(E1595,'Paramètres'!$I$6:$I$33,0)),0),IFERROR(INDEX('Paramètres'!$N$6:$N$17,MATCH(F1595,'Paramètres'!$M$6:$M$17,0)),0)))</f>
        <v/>
      </c>
      <c r="AU1595" s="61">
        <f>IF(E1595="","",IFERROR(IF(INDEX('Paramètres'!$K$6:$K$33,MATCH(E1595,'Paramètres'!$I$6:$I$33,0))="Oui",1,0),0))</f>
        <v/>
      </c>
      <c r="AV1595" s="61">
        <f>IF(F1595="","",IFERROR(IF(INDEX('Paramètres'!$O$6:$O$17,MATCH(F1595,'Paramètres'!$M$6:$M$17,0))="Oui",1,0),0))</f>
        <v/>
      </c>
      <c r="AW1595" s="62">
        <f>IF(E1595="","",IF(G1595&lt;&gt;"",G1595,IF(OR(E1595="Proposition envoyée",E1595="Signature"),MAX(0,N(IFERROR(INDEX('Paramètres'!$R$6:$R$15,MATCH(IF(AL1595&lt;&gt;"",AL1595,IFERROR(INDEX('Prospects'!$AN$5:$AN$504,MATCH(C1595,'Prospects'!$C$5:$C$504,0)),"")),'Paramètres'!$Q$6:$Q$15,0)),0))-N(P1595)),0)))</f>
        <v/>
      </c>
      <c r="AX1595" s="61">
        <f>IF(C1595="","",IF(COUNTIF($C$5:C1595,C1595)=1,MAX($AX$4:AX1594)+1,""))</f>
        <v/>
      </c>
      <c r="AY1595" s="61">
        <f>IF(B1595="","",HOUR(B1595))</f>
        <v/>
      </c>
      <c r="AZ1595" s="61">
        <f>IF(A1595="","",MOD(A1595-2,7)+1)</f>
        <v/>
      </c>
      <c r="BA1595" s="60">
        <f>IF(C1595="","",IFERROR(INDEX('Prospects'!$N$5:$N$504,MATCH(C1595,'Prospects'!$C$5:$C$504,0)),""))</f>
        <v/>
      </c>
      <c r="BB1595" s="61">
        <f>IF(AND(C1595&lt;&gt;"",C1595='Fiche prospect'!$C$4),COUNTIF($C$5:C1595,C1595),"")</f>
        <v/>
      </c>
    </row>
    <row r="1596">
      <c r="A1596" s="53" t="n"/>
      <c r="B1596" s="54" t="n"/>
      <c r="C1596" s="55" t="n"/>
      <c r="D1596" s="55" t="n"/>
      <c r="E1596" s="55" t="n"/>
      <c r="F1596" s="55" t="n"/>
      <c r="G1596" s="56" t="n"/>
      <c r="H1596" s="57" t="n"/>
      <c r="I1596" s="55" t="n"/>
      <c r="J1596" s="53" t="n"/>
      <c r="K1596" s="54" t="n"/>
      <c r="L1596" s="55" t="n"/>
      <c r="M1596" s="55" t="n"/>
      <c r="N1596" s="57" t="n"/>
      <c r="O1596" s="55" t="n"/>
      <c r="P1596" s="56" t="n"/>
      <c r="Q1596" s="55" t="n"/>
      <c r="R1596" s="55" t="n"/>
      <c r="S1596" s="55" t="n"/>
      <c r="T1596" s="55" t="n"/>
      <c r="U1596" s="55" t="n"/>
      <c r="V1596" s="55" t="n"/>
      <c r="W1596" s="58" t="n"/>
      <c r="X1596" s="58" t="n"/>
      <c r="Y1596" s="55" t="n"/>
      <c r="Z1596" s="55" t="n"/>
      <c r="AA1596" s="55" t="n"/>
      <c r="AB1596" s="55" t="n"/>
      <c r="AC1596" s="55" t="n"/>
      <c r="AD1596" s="53" t="n"/>
      <c r="AE1596" s="55" t="n"/>
      <c r="AF1596" s="55" t="n"/>
      <c r="AG1596" s="59" t="n"/>
      <c r="AH1596" s="57" t="n"/>
      <c r="AI1596" s="55" t="n"/>
      <c r="AJ1596" s="55" t="n"/>
      <c r="AK1596" s="55" t="n"/>
      <c r="AL1596" s="55" t="n"/>
      <c r="AM1596" s="56" t="n"/>
      <c r="AN1596" s="55" t="n"/>
      <c r="AO1596" s="55" t="n"/>
      <c r="AP1596" s="55" t="n"/>
      <c r="AQ1596" s="55" t="n"/>
      <c r="AR1596" s="60">
        <f>IF(AND(C1596="",E1596=""),"",IF(A1596="","⚠ Date manquante",IF(AND(C1596="",E1596&lt;&gt;"Dépense"),"⚠ Prospect manquant",IF(E1596="","⚠ Action manquante",IF(AND(AU1596=1,D1596=""),"⚠ Canal manquant",IF(AND(W1596&lt;&gt;"",COUNTIFS('Saisie'!$W$5:$W$2004,W1596,'Saisie'!$C$5:$C$2004,"&lt;&gt;"&amp;C1596)&gt;0),"⚠ Numéro déjà utilisé par un autre prospect",IF(AND(J1596&lt;&gt;"",J1596&lt;A1596),"⚠ Relance avant la date de l'action",IF(A1596&gt;TODAY(),"⚠ Date dans le futur","✓"))))))))</f>
        <v/>
      </c>
      <c r="AS1596" s="61">
        <f>IF(AND(A1596="",C1596="",E1596=""),"",ROW())</f>
        <v/>
      </c>
      <c r="AT1596" s="61">
        <f>IF(E1596&amp;F1596="","",MAX(IFERROR(INDEX('Paramètres'!$J$6:$J$33,MATCH(E1596,'Paramètres'!$I$6:$I$33,0)),0),IFERROR(INDEX('Paramètres'!$N$6:$N$17,MATCH(F1596,'Paramètres'!$M$6:$M$17,0)),0)))</f>
        <v/>
      </c>
      <c r="AU1596" s="61">
        <f>IF(E1596="","",IFERROR(IF(INDEX('Paramètres'!$K$6:$K$33,MATCH(E1596,'Paramètres'!$I$6:$I$33,0))="Oui",1,0),0))</f>
        <v/>
      </c>
      <c r="AV1596" s="61">
        <f>IF(F1596="","",IFERROR(IF(INDEX('Paramètres'!$O$6:$O$17,MATCH(F1596,'Paramètres'!$M$6:$M$17,0))="Oui",1,0),0))</f>
        <v/>
      </c>
      <c r="AW1596" s="62">
        <f>IF(E1596="","",IF(G1596&lt;&gt;"",G1596,IF(OR(E1596="Proposition envoyée",E1596="Signature"),MAX(0,N(IFERROR(INDEX('Paramètres'!$R$6:$R$15,MATCH(IF(AL1596&lt;&gt;"",AL1596,IFERROR(INDEX('Prospects'!$AN$5:$AN$504,MATCH(C1596,'Prospects'!$C$5:$C$504,0)),"")),'Paramètres'!$Q$6:$Q$15,0)),0))-N(P1596)),0)))</f>
        <v/>
      </c>
      <c r="AX1596" s="61">
        <f>IF(C1596="","",IF(COUNTIF($C$5:C1596,C1596)=1,MAX($AX$4:AX1595)+1,""))</f>
        <v/>
      </c>
      <c r="AY1596" s="61">
        <f>IF(B1596="","",HOUR(B1596))</f>
        <v/>
      </c>
      <c r="AZ1596" s="61">
        <f>IF(A1596="","",MOD(A1596-2,7)+1)</f>
        <v/>
      </c>
      <c r="BA1596" s="60">
        <f>IF(C1596="","",IFERROR(INDEX('Prospects'!$N$5:$N$504,MATCH(C1596,'Prospects'!$C$5:$C$504,0)),""))</f>
        <v/>
      </c>
      <c r="BB1596" s="61">
        <f>IF(AND(C1596&lt;&gt;"",C1596='Fiche prospect'!$C$4),COUNTIF($C$5:C1596,C1596),"")</f>
        <v/>
      </c>
    </row>
    <row r="1597">
      <c r="A1597" s="53" t="n"/>
      <c r="B1597" s="54" t="n"/>
      <c r="C1597" s="55" t="n"/>
      <c r="D1597" s="55" t="n"/>
      <c r="E1597" s="55" t="n"/>
      <c r="F1597" s="55" t="n"/>
      <c r="G1597" s="56" t="n"/>
      <c r="H1597" s="57" t="n"/>
      <c r="I1597" s="55" t="n"/>
      <c r="J1597" s="53" t="n"/>
      <c r="K1597" s="54" t="n"/>
      <c r="L1597" s="55" t="n"/>
      <c r="M1597" s="55" t="n"/>
      <c r="N1597" s="57" t="n"/>
      <c r="O1597" s="55" t="n"/>
      <c r="P1597" s="56" t="n"/>
      <c r="Q1597" s="55" t="n"/>
      <c r="R1597" s="55" t="n"/>
      <c r="S1597" s="55" t="n"/>
      <c r="T1597" s="55" t="n"/>
      <c r="U1597" s="55" t="n"/>
      <c r="V1597" s="55" t="n"/>
      <c r="W1597" s="58" t="n"/>
      <c r="X1597" s="58" t="n"/>
      <c r="Y1597" s="55" t="n"/>
      <c r="Z1597" s="55" t="n"/>
      <c r="AA1597" s="55" t="n"/>
      <c r="AB1597" s="55" t="n"/>
      <c r="AC1597" s="55" t="n"/>
      <c r="AD1597" s="53" t="n"/>
      <c r="AE1597" s="55" t="n"/>
      <c r="AF1597" s="55" t="n"/>
      <c r="AG1597" s="59" t="n"/>
      <c r="AH1597" s="57" t="n"/>
      <c r="AI1597" s="55" t="n"/>
      <c r="AJ1597" s="55" t="n"/>
      <c r="AK1597" s="55" t="n"/>
      <c r="AL1597" s="55" t="n"/>
      <c r="AM1597" s="56" t="n"/>
      <c r="AN1597" s="55" t="n"/>
      <c r="AO1597" s="55" t="n"/>
      <c r="AP1597" s="55" t="n"/>
      <c r="AQ1597" s="55" t="n"/>
      <c r="AR1597" s="60">
        <f>IF(AND(C1597="",E1597=""),"",IF(A1597="","⚠ Date manquante",IF(AND(C1597="",E1597&lt;&gt;"Dépense"),"⚠ Prospect manquant",IF(E1597="","⚠ Action manquante",IF(AND(AU1597=1,D1597=""),"⚠ Canal manquant",IF(AND(W1597&lt;&gt;"",COUNTIFS('Saisie'!$W$5:$W$2004,W1597,'Saisie'!$C$5:$C$2004,"&lt;&gt;"&amp;C1597)&gt;0),"⚠ Numéro déjà utilisé par un autre prospect",IF(AND(J1597&lt;&gt;"",J1597&lt;A1597),"⚠ Relance avant la date de l'action",IF(A1597&gt;TODAY(),"⚠ Date dans le futur","✓"))))))))</f>
        <v/>
      </c>
      <c r="AS1597" s="61">
        <f>IF(AND(A1597="",C1597="",E1597=""),"",ROW())</f>
        <v/>
      </c>
      <c r="AT1597" s="61">
        <f>IF(E1597&amp;F1597="","",MAX(IFERROR(INDEX('Paramètres'!$J$6:$J$33,MATCH(E1597,'Paramètres'!$I$6:$I$33,0)),0),IFERROR(INDEX('Paramètres'!$N$6:$N$17,MATCH(F1597,'Paramètres'!$M$6:$M$17,0)),0)))</f>
        <v/>
      </c>
      <c r="AU1597" s="61">
        <f>IF(E1597="","",IFERROR(IF(INDEX('Paramètres'!$K$6:$K$33,MATCH(E1597,'Paramètres'!$I$6:$I$33,0))="Oui",1,0),0))</f>
        <v/>
      </c>
      <c r="AV1597" s="61">
        <f>IF(F1597="","",IFERROR(IF(INDEX('Paramètres'!$O$6:$O$17,MATCH(F1597,'Paramètres'!$M$6:$M$17,0))="Oui",1,0),0))</f>
        <v/>
      </c>
      <c r="AW1597" s="62">
        <f>IF(E1597="","",IF(G1597&lt;&gt;"",G1597,IF(OR(E1597="Proposition envoyée",E1597="Signature"),MAX(0,N(IFERROR(INDEX('Paramètres'!$R$6:$R$15,MATCH(IF(AL1597&lt;&gt;"",AL1597,IFERROR(INDEX('Prospects'!$AN$5:$AN$504,MATCH(C1597,'Prospects'!$C$5:$C$504,0)),"")),'Paramètres'!$Q$6:$Q$15,0)),0))-N(P1597)),0)))</f>
        <v/>
      </c>
      <c r="AX1597" s="61">
        <f>IF(C1597="","",IF(COUNTIF($C$5:C1597,C1597)=1,MAX($AX$4:AX1596)+1,""))</f>
        <v/>
      </c>
      <c r="AY1597" s="61">
        <f>IF(B1597="","",HOUR(B1597))</f>
        <v/>
      </c>
      <c r="AZ1597" s="61">
        <f>IF(A1597="","",MOD(A1597-2,7)+1)</f>
        <v/>
      </c>
      <c r="BA1597" s="60">
        <f>IF(C1597="","",IFERROR(INDEX('Prospects'!$N$5:$N$504,MATCH(C1597,'Prospects'!$C$5:$C$504,0)),""))</f>
        <v/>
      </c>
      <c r="BB1597" s="61">
        <f>IF(AND(C1597&lt;&gt;"",C1597='Fiche prospect'!$C$4),COUNTIF($C$5:C1597,C1597),"")</f>
        <v/>
      </c>
    </row>
    <row r="1598">
      <c r="A1598" s="53" t="n"/>
      <c r="B1598" s="54" t="n"/>
      <c r="C1598" s="55" t="n"/>
      <c r="D1598" s="55" t="n"/>
      <c r="E1598" s="55" t="n"/>
      <c r="F1598" s="55" t="n"/>
      <c r="G1598" s="56" t="n"/>
      <c r="H1598" s="57" t="n"/>
      <c r="I1598" s="55" t="n"/>
      <c r="J1598" s="53" t="n"/>
      <c r="K1598" s="54" t="n"/>
      <c r="L1598" s="55" t="n"/>
      <c r="M1598" s="55" t="n"/>
      <c r="N1598" s="57" t="n"/>
      <c r="O1598" s="55" t="n"/>
      <c r="P1598" s="56" t="n"/>
      <c r="Q1598" s="55" t="n"/>
      <c r="R1598" s="55" t="n"/>
      <c r="S1598" s="55" t="n"/>
      <c r="T1598" s="55" t="n"/>
      <c r="U1598" s="55" t="n"/>
      <c r="V1598" s="55" t="n"/>
      <c r="W1598" s="58" t="n"/>
      <c r="X1598" s="58" t="n"/>
      <c r="Y1598" s="55" t="n"/>
      <c r="Z1598" s="55" t="n"/>
      <c r="AA1598" s="55" t="n"/>
      <c r="AB1598" s="55" t="n"/>
      <c r="AC1598" s="55" t="n"/>
      <c r="AD1598" s="53" t="n"/>
      <c r="AE1598" s="55" t="n"/>
      <c r="AF1598" s="55" t="n"/>
      <c r="AG1598" s="59" t="n"/>
      <c r="AH1598" s="57" t="n"/>
      <c r="AI1598" s="55" t="n"/>
      <c r="AJ1598" s="55" t="n"/>
      <c r="AK1598" s="55" t="n"/>
      <c r="AL1598" s="55" t="n"/>
      <c r="AM1598" s="56" t="n"/>
      <c r="AN1598" s="55" t="n"/>
      <c r="AO1598" s="55" t="n"/>
      <c r="AP1598" s="55" t="n"/>
      <c r="AQ1598" s="55" t="n"/>
      <c r="AR1598" s="60">
        <f>IF(AND(C1598="",E1598=""),"",IF(A1598="","⚠ Date manquante",IF(AND(C1598="",E1598&lt;&gt;"Dépense"),"⚠ Prospect manquant",IF(E1598="","⚠ Action manquante",IF(AND(AU1598=1,D1598=""),"⚠ Canal manquant",IF(AND(W1598&lt;&gt;"",COUNTIFS('Saisie'!$W$5:$W$2004,W1598,'Saisie'!$C$5:$C$2004,"&lt;&gt;"&amp;C1598)&gt;0),"⚠ Numéro déjà utilisé par un autre prospect",IF(AND(J1598&lt;&gt;"",J1598&lt;A1598),"⚠ Relance avant la date de l'action",IF(A1598&gt;TODAY(),"⚠ Date dans le futur","✓"))))))))</f>
        <v/>
      </c>
      <c r="AS1598" s="61">
        <f>IF(AND(A1598="",C1598="",E1598=""),"",ROW())</f>
        <v/>
      </c>
      <c r="AT1598" s="61">
        <f>IF(E1598&amp;F1598="","",MAX(IFERROR(INDEX('Paramètres'!$J$6:$J$33,MATCH(E1598,'Paramètres'!$I$6:$I$33,0)),0),IFERROR(INDEX('Paramètres'!$N$6:$N$17,MATCH(F1598,'Paramètres'!$M$6:$M$17,0)),0)))</f>
        <v/>
      </c>
      <c r="AU1598" s="61">
        <f>IF(E1598="","",IFERROR(IF(INDEX('Paramètres'!$K$6:$K$33,MATCH(E1598,'Paramètres'!$I$6:$I$33,0))="Oui",1,0),0))</f>
        <v/>
      </c>
      <c r="AV1598" s="61">
        <f>IF(F1598="","",IFERROR(IF(INDEX('Paramètres'!$O$6:$O$17,MATCH(F1598,'Paramètres'!$M$6:$M$17,0))="Oui",1,0),0))</f>
        <v/>
      </c>
      <c r="AW1598" s="62">
        <f>IF(E1598="","",IF(G1598&lt;&gt;"",G1598,IF(OR(E1598="Proposition envoyée",E1598="Signature"),MAX(0,N(IFERROR(INDEX('Paramètres'!$R$6:$R$15,MATCH(IF(AL1598&lt;&gt;"",AL1598,IFERROR(INDEX('Prospects'!$AN$5:$AN$504,MATCH(C1598,'Prospects'!$C$5:$C$504,0)),"")),'Paramètres'!$Q$6:$Q$15,0)),0))-N(P1598)),0)))</f>
        <v/>
      </c>
      <c r="AX1598" s="61">
        <f>IF(C1598="","",IF(COUNTIF($C$5:C1598,C1598)=1,MAX($AX$4:AX1597)+1,""))</f>
        <v/>
      </c>
      <c r="AY1598" s="61">
        <f>IF(B1598="","",HOUR(B1598))</f>
        <v/>
      </c>
      <c r="AZ1598" s="61">
        <f>IF(A1598="","",MOD(A1598-2,7)+1)</f>
        <v/>
      </c>
      <c r="BA1598" s="60">
        <f>IF(C1598="","",IFERROR(INDEX('Prospects'!$N$5:$N$504,MATCH(C1598,'Prospects'!$C$5:$C$504,0)),""))</f>
        <v/>
      </c>
      <c r="BB1598" s="61">
        <f>IF(AND(C1598&lt;&gt;"",C1598='Fiche prospect'!$C$4),COUNTIF($C$5:C1598,C1598),"")</f>
        <v/>
      </c>
    </row>
    <row r="1599">
      <c r="A1599" s="53" t="n"/>
      <c r="B1599" s="54" t="n"/>
      <c r="C1599" s="55" t="n"/>
      <c r="D1599" s="55" t="n"/>
      <c r="E1599" s="55" t="n"/>
      <c r="F1599" s="55" t="n"/>
      <c r="G1599" s="56" t="n"/>
      <c r="H1599" s="57" t="n"/>
      <c r="I1599" s="55" t="n"/>
      <c r="J1599" s="53" t="n"/>
      <c r="K1599" s="54" t="n"/>
      <c r="L1599" s="55" t="n"/>
      <c r="M1599" s="55" t="n"/>
      <c r="N1599" s="57" t="n"/>
      <c r="O1599" s="55" t="n"/>
      <c r="P1599" s="56" t="n"/>
      <c r="Q1599" s="55" t="n"/>
      <c r="R1599" s="55" t="n"/>
      <c r="S1599" s="55" t="n"/>
      <c r="T1599" s="55" t="n"/>
      <c r="U1599" s="55" t="n"/>
      <c r="V1599" s="55" t="n"/>
      <c r="W1599" s="58" t="n"/>
      <c r="X1599" s="58" t="n"/>
      <c r="Y1599" s="55" t="n"/>
      <c r="Z1599" s="55" t="n"/>
      <c r="AA1599" s="55" t="n"/>
      <c r="AB1599" s="55" t="n"/>
      <c r="AC1599" s="55" t="n"/>
      <c r="AD1599" s="53" t="n"/>
      <c r="AE1599" s="55" t="n"/>
      <c r="AF1599" s="55" t="n"/>
      <c r="AG1599" s="59" t="n"/>
      <c r="AH1599" s="57" t="n"/>
      <c r="AI1599" s="55" t="n"/>
      <c r="AJ1599" s="55" t="n"/>
      <c r="AK1599" s="55" t="n"/>
      <c r="AL1599" s="55" t="n"/>
      <c r="AM1599" s="56" t="n"/>
      <c r="AN1599" s="55" t="n"/>
      <c r="AO1599" s="55" t="n"/>
      <c r="AP1599" s="55" t="n"/>
      <c r="AQ1599" s="55" t="n"/>
      <c r="AR1599" s="60">
        <f>IF(AND(C1599="",E1599=""),"",IF(A1599="","⚠ Date manquante",IF(AND(C1599="",E1599&lt;&gt;"Dépense"),"⚠ Prospect manquant",IF(E1599="","⚠ Action manquante",IF(AND(AU1599=1,D1599=""),"⚠ Canal manquant",IF(AND(W1599&lt;&gt;"",COUNTIFS('Saisie'!$W$5:$W$2004,W1599,'Saisie'!$C$5:$C$2004,"&lt;&gt;"&amp;C1599)&gt;0),"⚠ Numéro déjà utilisé par un autre prospect",IF(AND(J1599&lt;&gt;"",J1599&lt;A1599),"⚠ Relance avant la date de l'action",IF(A1599&gt;TODAY(),"⚠ Date dans le futur","✓"))))))))</f>
        <v/>
      </c>
      <c r="AS1599" s="61">
        <f>IF(AND(A1599="",C1599="",E1599=""),"",ROW())</f>
        <v/>
      </c>
      <c r="AT1599" s="61">
        <f>IF(E1599&amp;F1599="","",MAX(IFERROR(INDEX('Paramètres'!$J$6:$J$33,MATCH(E1599,'Paramètres'!$I$6:$I$33,0)),0),IFERROR(INDEX('Paramètres'!$N$6:$N$17,MATCH(F1599,'Paramètres'!$M$6:$M$17,0)),0)))</f>
        <v/>
      </c>
      <c r="AU1599" s="61">
        <f>IF(E1599="","",IFERROR(IF(INDEX('Paramètres'!$K$6:$K$33,MATCH(E1599,'Paramètres'!$I$6:$I$33,0))="Oui",1,0),0))</f>
        <v/>
      </c>
      <c r="AV1599" s="61">
        <f>IF(F1599="","",IFERROR(IF(INDEX('Paramètres'!$O$6:$O$17,MATCH(F1599,'Paramètres'!$M$6:$M$17,0))="Oui",1,0),0))</f>
        <v/>
      </c>
      <c r="AW1599" s="62">
        <f>IF(E1599="","",IF(G1599&lt;&gt;"",G1599,IF(OR(E1599="Proposition envoyée",E1599="Signature"),MAX(0,N(IFERROR(INDEX('Paramètres'!$R$6:$R$15,MATCH(IF(AL1599&lt;&gt;"",AL1599,IFERROR(INDEX('Prospects'!$AN$5:$AN$504,MATCH(C1599,'Prospects'!$C$5:$C$504,0)),"")),'Paramètres'!$Q$6:$Q$15,0)),0))-N(P1599)),0)))</f>
        <v/>
      </c>
      <c r="AX1599" s="61">
        <f>IF(C1599="","",IF(COUNTIF($C$5:C1599,C1599)=1,MAX($AX$4:AX1598)+1,""))</f>
        <v/>
      </c>
      <c r="AY1599" s="61">
        <f>IF(B1599="","",HOUR(B1599))</f>
        <v/>
      </c>
      <c r="AZ1599" s="61">
        <f>IF(A1599="","",MOD(A1599-2,7)+1)</f>
        <v/>
      </c>
      <c r="BA1599" s="60">
        <f>IF(C1599="","",IFERROR(INDEX('Prospects'!$N$5:$N$504,MATCH(C1599,'Prospects'!$C$5:$C$504,0)),""))</f>
        <v/>
      </c>
      <c r="BB1599" s="61">
        <f>IF(AND(C1599&lt;&gt;"",C1599='Fiche prospect'!$C$4),COUNTIF($C$5:C1599,C1599),"")</f>
        <v/>
      </c>
    </row>
    <row r="1600">
      <c r="A1600" s="53" t="n"/>
      <c r="B1600" s="54" t="n"/>
      <c r="C1600" s="55" t="n"/>
      <c r="D1600" s="55" t="n"/>
      <c r="E1600" s="55" t="n"/>
      <c r="F1600" s="55" t="n"/>
      <c r="G1600" s="56" t="n"/>
      <c r="H1600" s="57" t="n"/>
      <c r="I1600" s="55" t="n"/>
      <c r="J1600" s="53" t="n"/>
      <c r="K1600" s="54" t="n"/>
      <c r="L1600" s="55" t="n"/>
      <c r="M1600" s="55" t="n"/>
      <c r="N1600" s="57" t="n"/>
      <c r="O1600" s="55" t="n"/>
      <c r="P1600" s="56" t="n"/>
      <c r="Q1600" s="55" t="n"/>
      <c r="R1600" s="55" t="n"/>
      <c r="S1600" s="55" t="n"/>
      <c r="T1600" s="55" t="n"/>
      <c r="U1600" s="55" t="n"/>
      <c r="V1600" s="55" t="n"/>
      <c r="W1600" s="58" t="n"/>
      <c r="X1600" s="58" t="n"/>
      <c r="Y1600" s="55" t="n"/>
      <c r="Z1600" s="55" t="n"/>
      <c r="AA1600" s="55" t="n"/>
      <c r="AB1600" s="55" t="n"/>
      <c r="AC1600" s="55" t="n"/>
      <c r="AD1600" s="53" t="n"/>
      <c r="AE1600" s="55" t="n"/>
      <c r="AF1600" s="55" t="n"/>
      <c r="AG1600" s="59" t="n"/>
      <c r="AH1600" s="57" t="n"/>
      <c r="AI1600" s="55" t="n"/>
      <c r="AJ1600" s="55" t="n"/>
      <c r="AK1600" s="55" t="n"/>
      <c r="AL1600" s="55" t="n"/>
      <c r="AM1600" s="56" t="n"/>
      <c r="AN1600" s="55" t="n"/>
      <c r="AO1600" s="55" t="n"/>
      <c r="AP1600" s="55" t="n"/>
      <c r="AQ1600" s="55" t="n"/>
      <c r="AR1600" s="60">
        <f>IF(AND(C1600="",E1600=""),"",IF(A1600="","⚠ Date manquante",IF(AND(C1600="",E1600&lt;&gt;"Dépense"),"⚠ Prospect manquant",IF(E1600="","⚠ Action manquante",IF(AND(AU1600=1,D1600=""),"⚠ Canal manquant",IF(AND(W1600&lt;&gt;"",COUNTIFS('Saisie'!$W$5:$W$2004,W1600,'Saisie'!$C$5:$C$2004,"&lt;&gt;"&amp;C1600)&gt;0),"⚠ Numéro déjà utilisé par un autre prospect",IF(AND(J1600&lt;&gt;"",J1600&lt;A1600),"⚠ Relance avant la date de l'action",IF(A1600&gt;TODAY(),"⚠ Date dans le futur","✓"))))))))</f>
        <v/>
      </c>
      <c r="AS1600" s="61">
        <f>IF(AND(A1600="",C1600="",E1600=""),"",ROW())</f>
        <v/>
      </c>
      <c r="AT1600" s="61">
        <f>IF(E1600&amp;F1600="","",MAX(IFERROR(INDEX('Paramètres'!$J$6:$J$33,MATCH(E1600,'Paramètres'!$I$6:$I$33,0)),0),IFERROR(INDEX('Paramètres'!$N$6:$N$17,MATCH(F1600,'Paramètres'!$M$6:$M$17,0)),0)))</f>
        <v/>
      </c>
      <c r="AU1600" s="61">
        <f>IF(E1600="","",IFERROR(IF(INDEX('Paramètres'!$K$6:$K$33,MATCH(E1600,'Paramètres'!$I$6:$I$33,0))="Oui",1,0),0))</f>
        <v/>
      </c>
      <c r="AV1600" s="61">
        <f>IF(F1600="","",IFERROR(IF(INDEX('Paramètres'!$O$6:$O$17,MATCH(F1600,'Paramètres'!$M$6:$M$17,0))="Oui",1,0),0))</f>
        <v/>
      </c>
      <c r="AW1600" s="62">
        <f>IF(E1600="","",IF(G1600&lt;&gt;"",G1600,IF(OR(E1600="Proposition envoyée",E1600="Signature"),MAX(0,N(IFERROR(INDEX('Paramètres'!$R$6:$R$15,MATCH(IF(AL1600&lt;&gt;"",AL1600,IFERROR(INDEX('Prospects'!$AN$5:$AN$504,MATCH(C1600,'Prospects'!$C$5:$C$504,0)),"")),'Paramètres'!$Q$6:$Q$15,0)),0))-N(P1600)),0)))</f>
        <v/>
      </c>
      <c r="AX1600" s="61">
        <f>IF(C1600="","",IF(COUNTIF($C$5:C1600,C1600)=1,MAX($AX$4:AX1599)+1,""))</f>
        <v/>
      </c>
      <c r="AY1600" s="61">
        <f>IF(B1600="","",HOUR(B1600))</f>
        <v/>
      </c>
      <c r="AZ1600" s="61">
        <f>IF(A1600="","",MOD(A1600-2,7)+1)</f>
        <v/>
      </c>
      <c r="BA1600" s="60">
        <f>IF(C1600="","",IFERROR(INDEX('Prospects'!$N$5:$N$504,MATCH(C1600,'Prospects'!$C$5:$C$504,0)),""))</f>
        <v/>
      </c>
      <c r="BB1600" s="61">
        <f>IF(AND(C1600&lt;&gt;"",C1600='Fiche prospect'!$C$4),COUNTIF($C$5:C1600,C1600),"")</f>
        <v/>
      </c>
    </row>
    <row r="1601">
      <c r="A1601" s="53" t="n"/>
      <c r="B1601" s="54" t="n"/>
      <c r="C1601" s="55" t="n"/>
      <c r="D1601" s="55" t="n"/>
      <c r="E1601" s="55" t="n"/>
      <c r="F1601" s="55" t="n"/>
      <c r="G1601" s="56" t="n"/>
      <c r="H1601" s="57" t="n"/>
      <c r="I1601" s="55" t="n"/>
      <c r="J1601" s="53" t="n"/>
      <c r="K1601" s="54" t="n"/>
      <c r="L1601" s="55" t="n"/>
      <c r="M1601" s="55" t="n"/>
      <c r="N1601" s="57" t="n"/>
      <c r="O1601" s="55" t="n"/>
      <c r="P1601" s="56" t="n"/>
      <c r="Q1601" s="55" t="n"/>
      <c r="R1601" s="55" t="n"/>
      <c r="S1601" s="55" t="n"/>
      <c r="T1601" s="55" t="n"/>
      <c r="U1601" s="55" t="n"/>
      <c r="V1601" s="55" t="n"/>
      <c r="W1601" s="58" t="n"/>
      <c r="X1601" s="58" t="n"/>
      <c r="Y1601" s="55" t="n"/>
      <c r="Z1601" s="55" t="n"/>
      <c r="AA1601" s="55" t="n"/>
      <c r="AB1601" s="55" t="n"/>
      <c r="AC1601" s="55" t="n"/>
      <c r="AD1601" s="53" t="n"/>
      <c r="AE1601" s="55" t="n"/>
      <c r="AF1601" s="55" t="n"/>
      <c r="AG1601" s="59" t="n"/>
      <c r="AH1601" s="57" t="n"/>
      <c r="AI1601" s="55" t="n"/>
      <c r="AJ1601" s="55" t="n"/>
      <c r="AK1601" s="55" t="n"/>
      <c r="AL1601" s="55" t="n"/>
      <c r="AM1601" s="56" t="n"/>
      <c r="AN1601" s="55" t="n"/>
      <c r="AO1601" s="55" t="n"/>
      <c r="AP1601" s="55" t="n"/>
      <c r="AQ1601" s="55" t="n"/>
      <c r="AR1601" s="60">
        <f>IF(AND(C1601="",E1601=""),"",IF(A1601="","⚠ Date manquante",IF(AND(C1601="",E1601&lt;&gt;"Dépense"),"⚠ Prospect manquant",IF(E1601="","⚠ Action manquante",IF(AND(AU1601=1,D1601=""),"⚠ Canal manquant",IF(AND(W1601&lt;&gt;"",COUNTIFS('Saisie'!$W$5:$W$2004,W1601,'Saisie'!$C$5:$C$2004,"&lt;&gt;"&amp;C1601)&gt;0),"⚠ Numéro déjà utilisé par un autre prospect",IF(AND(J1601&lt;&gt;"",J1601&lt;A1601),"⚠ Relance avant la date de l'action",IF(A1601&gt;TODAY(),"⚠ Date dans le futur","✓"))))))))</f>
        <v/>
      </c>
      <c r="AS1601" s="61">
        <f>IF(AND(A1601="",C1601="",E1601=""),"",ROW())</f>
        <v/>
      </c>
      <c r="AT1601" s="61">
        <f>IF(E1601&amp;F1601="","",MAX(IFERROR(INDEX('Paramètres'!$J$6:$J$33,MATCH(E1601,'Paramètres'!$I$6:$I$33,0)),0),IFERROR(INDEX('Paramètres'!$N$6:$N$17,MATCH(F1601,'Paramètres'!$M$6:$M$17,0)),0)))</f>
        <v/>
      </c>
      <c r="AU1601" s="61">
        <f>IF(E1601="","",IFERROR(IF(INDEX('Paramètres'!$K$6:$K$33,MATCH(E1601,'Paramètres'!$I$6:$I$33,0))="Oui",1,0),0))</f>
        <v/>
      </c>
      <c r="AV1601" s="61">
        <f>IF(F1601="","",IFERROR(IF(INDEX('Paramètres'!$O$6:$O$17,MATCH(F1601,'Paramètres'!$M$6:$M$17,0))="Oui",1,0),0))</f>
        <v/>
      </c>
      <c r="AW1601" s="62">
        <f>IF(E1601="","",IF(G1601&lt;&gt;"",G1601,IF(OR(E1601="Proposition envoyée",E1601="Signature"),MAX(0,N(IFERROR(INDEX('Paramètres'!$R$6:$R$15,MATCH(IF(AL1601&lt;&gt;"",AL1601,IFERROR(INDEX('Prospects'!$AN$5:$AN$504,MATCH(C1601,'Prospects'!$C$5:$C$504,0)),"")),'Paramètres'!$Q$6:$Q$15,0)),0))-N(P1601)),0)))</f>
        <v/>
      </c>
      <c r="AX1601" s="61">
        <f>IF(C1601="","",IF(COUNTIF($C$5:C1601,C1601)=1,MAX($AX$4:AX1600)+1,""))</f>
        <v/>
      </c>
      <c r="AY1601" s="61">
        <f>IF(B1601="","",HOUR(B1601))</f>
        <v/>
      </c>
      <c r="AZ1601" s="61">
        <f>IF(A1601="","",MOD(A1601-2,7)+1)</f>
        <v/>
      </c>
      <c r="BA1601" s="60">
        <f>IF(C1601="","",IFERROR(INDEX('Prospects'!$N$5:$N$504,MATCH(C1601,'Prospects'!$C$5:$C$504,0)),""))</f>
        <v/>
      </c>
      <c r="BB1601" s="61">
        <f>IF(AND(C1601&lt;&gt;"",C1601='Fiche prospect'!$C$4),COUNTIF($C$5:C1601,C1601),"")</f>
        <v/>
      </c>
    </row>
    <row r="1602">
      <c r="A1602" s="53" t="n"/>
      <c r="B1602" s="54" t="n"/>
      <c r="C1602" s="55" t="n"/>
      <c r="D1602" s="55" t="n"/>
      <c r="E1602" s="55" t="n"/>
      <c r="F1602" s="55" t="n"/>
      <c r="G1602" s="56" t="n"/>
      <c r="H1602" s="57" t="n"/>
      <c r="I1602" s="55" t="n"/>
      <c r="J1602" s="53" t="n"/>
      <c r="K1602" s="54" t="n"/>
      <c r="L1602" s="55" t="n"/>
      <c r="M1602" s="55" t="n"/>
      <c r="N1602" s="57" t="n"/>
      <c r="O1602" s="55" t="n"/>
      <c r="P1602" s="56" t="n"/>
      <c r="Q1602" s="55" t="n"/>
      <c r="R1602" s="55" t="n"/>
      <c r="S1602" s="55" t="n"/>
      <c r="T1602" s="55" t="n"/>
      <c r="U1602" s="55" t="n"/>
      <c r="V1602" s="55" t="n"/>
      <c r="W1602" s="58" t="n"/>
      <c r="X1602" s="58" t="n"/>
      <c r="Y1602" s="55" t="n"/>
      <c r="Z1602" s="55" t="n"/>
      <c r="AA1602" s="55" t="n"/>
      <c r="AB1602" s="55" t="n"/>
      <c r="AC1602" s="55" t="n"/>
      <c r="AD1602" s="53" t="n"/>
      <c r="AE1602" s="55" t="n"/>
      <c r="AF1602" s="55" t="n"/>
      <c r="AG1602" s="59" t="n"/>
      <c r="AH1602" s="57" t="n"/>
      <c r="AI1602" s="55" t="n"/>
      <c r="AJ1602" s="55" t="n"/>
      <c r="AK1602" s="55" t="n"/>
      <c r="AL1602" s="55" t="n"/>
      <c r="AM1602" s="56" t="n"/>
      <c r="AN1602" s="55" t="n"/>
      <c r="AO1602" s="55" t="n"/>
      <c r="AP1602" s="55" t="n"/>
      <c r="AQ1602" s="55" t="n"/>
      <c r="AR1602" s="60">
        <f>IF(AND(C1602="",E1602=""),"",IF(A1602="","⚠ Date manquante",IF(AND(C1602="",E1602&lt;&gt;"Dépense"),"⚠ Prospect manquant",IF(E1602="","⚠ Action manquante",IF(AND(AU1602=1,D1602=""),"⚠ Canal manquant",IF(AND(W1602&lt;&gt;"",COUNTIFS('Saisie'!$W$5:$W$2004,W1602,'Saisie'!$C$5:$C$2004,"&lt;&gt;"&amp;C1602)&gt;0),"⚠ Numéro déjà utilisé par un autre prospect",IF(AND(J1602&lt;&gt;"",J1602&lt;A1602),"⚠ Relance avant la date de l'action",IF(A1602&gt;TODAY(),"⚠ Date dans le futur","✓"))))))))</f>
        <v/>
      </c>
      <c r="AS1602" s="61">
        <f>IF(AND(A1602="",C1602="",E1602=""),"",ROW())</f>
        <v/>
      </c>
      <c r="AT1602" s="61">
        <f>IF(E1602&amp;F1602="","",MAX(IFERROR(INDEX('Paramètres'!$J$6:$J$33,MATCH(E1602,'Paramètres'!$I$6:$I$33,0)),0),IFERROR(INDEX('Paramètres'!$N$6:$N$17,MATCH(F1602,'Paramètres'!$M$6:$M$17,0)),0)))</f>
        <v/>
      </c>
      <c r="AU1602" s="61">
        <f>IF(E1602="","",IFERROR(IF(INDEX('Paramètres'!$K$6:$K$33,MATCH(E1602,'Paramètres'!$I$6:$I$33,0))="Oui",1,0),0))</f>
        <v/>
      </c>
      <c r="AV1602" s="61">
        <f>IF(F1602="","",IFERROR(IF(INDEX('Paramètres'!$O$6:$O$17,MATCH(F1602,'Paramètres'!$M$6:$M$17,0))="Oui",1,0),0))</f>
        <v/>
      </c>
      <c r="AW1602" s="62">
        <f>IF(E1602="","",IF(G1602&lt;&gt;"",G1602,IF(OR(E1602="Proposition envoyée",E1602="Signature"),MAX(0,N(IFERROR(INDEX('Paramètres'!$R$6:$R$15,MATCH(IF(AL1602&lt;&gt;"",AL1602,IFERROR(INDEX('Prospects'!$AN$5:$AN$504,MATCH(C1602,'Prospects'!$C$5:$C$504,0)),"")),'Paramètres'!$Q$6:$Q$15,0)),0))-N(P1602)),0)))</f>
        <v/>
      </c>
      <c r="AX1602" s="61">
        <f>IF(C1602="","",IF(COUNTIF($C$5:C1602,C1602)=1,MAX($AX$4:AX1601)+1,""))</f>
        <v/>
      </c>
      <c r="AY1602" s="61">
        <f>IF(B1602="","",HOUR(B1602))</f>
        <v/>
      </c>
      <c r="AZ1602" s="61">
        <f>IF(A1602="","",MOD(A1602-2,7)+1)</f>
        <v/>
      </c>
      <c r="BA1602" s="60">
        <f>IF(C1602="","",IFERROR(INDEX('Prospects'!$N$5:$N$504,MATCH(C1602,'Prospects'!$C$5:$C$504,0)),""))</f>
        <v/>
      </c>
      <c r="BB1602" s="61">
        <f>IF(AND(C1602&lt;&gt;"",C1602='Fiche prospect'!$C$4),COUNTIF($C$5:C1602,C1602),"")</f>
        <v/>
      </c>
    </row>
    <row r="1603">
      <c r="A1603" s="53" t="n"/>
      <c r="B1603" s="54" t="n"/>
      <c r="C1603" s="55" t="n"/>
      <c r="D1603" s="55" t="n"/>
      <c r="E1603" s="55" t="n"/>
      <c r="F1603" s="55" t="n"/>
      <c r="G1603" s="56" t="n"/>
      <c r="H1603" s="57" t="n"/>
      <c r="I1603" s="55" t="n"/>
      <c r="J1603" s="53" t="n"/>
      <c r="K1603" s="54" t="n"/>
      <c r="L1603" s="55" t="n"/>
      <c r="M1603" s="55" t="n"/>
      <c r="N1603" s="57" t="n"/>
      <c r="O1603" s="55" t="n"/>
      <c r="P1603" s="56" t="n"/>
      <c r="Q1603" s="55" t="n"/>
      <c r="R1603" s="55" t="n"/>
      <c r="S1603" s="55" t="n"/>
      <c r="T1603" s="55" t="n"/>
      <c r="U1603" s="55" t="n"/>
      <c r="V1603" s="55" t="n"/>
      <c r="W1603" s="58" t="n"/>
      <c r="X1603" s="58" t="n"/>
      <c r="Y1603" s="55" t="n"/>
      <c r="Z1603" s="55" t="n"/>
      <c r="AA1603" s="55" t="n"/>
      <c r="AB1603" s="55" t="n"/>
      <c r="AC1603" s="55" t="n"/>
      <c r="AD1603" s="53" t="n"/>
      <c r="AE1603" s="55" t="n"/>
      <c r="AF1603" s="55" t="n"/>
      <c r="AG1603" s="59" t="n"/>
      <c r="AH1603" s="57" t="n"/>
      <c r="AI1603" s="55" t="n"/>
      <c r="AJ1603" s="55" t="n"/>
      <c r="AK1603" s="55" t="n"/>
      <c r="AL1603" s="55" t="n"/>
      <c r="AM1603" s="56" t="n"/>
      <c r="AN1603" s="55" t="n"/>
      <c r="AO1603" s="55" t="n"/>
      <c r="AP1603" s="55" t="n"/>
      <c r="AQ1603" s="55" t="n"/>
      <c r="AR1603" s="60">
        <f>IF(AND(C1603="",E1603=""),"",IF(A1603="","⚠ Date manquante",IF(AND(C1603="",E1603&lt;&gt;"Dépense"),"⚠ Prospect manquant",IF(E1603="","⚠ Action manquante",IF(AND(AU1603=1,D1603=""),"⚠ Canal manquant",IF(AND(W1603&lt;&gt;"",COUNTIFS('Saisie'!$W$5:$W$2004,W1603,'Saisie'!$C$5:$C$2004,"&lt;&gt;"&amp;C1603)&gt;0),"⚠ Numéro déjà utilisé par un autre prospect",IF(AND(J1603&lt;&gt;"",J1603&lt;A1603),"⚠ Relance avant la date de l'action",IF(A1603&gt;TODAY(),"⚠ Date dans le futur","✓"))))))))</f>
        <v/>
      </c>
      <c r="AS1603" s="61">
        <f>IF(AND(A1603="",C1603="",E1603=""),"",ROW())</f>
        <v/>
      </c>
      <c r="AT1603" s="61">
        <f>IF(E1603&amp;F1603="","",MAX(IFERROR(INDEX('Paramètres'!$J$6:$J$33,MATCH(E1603,'Paramètres'!$I$6:$I$33,0)),0),IFERROR(INDEX('Paramètres'!$N$6:$N$17,MATCH(F1603,'Paramètres'!$M$6:$M$17,0)),0)))</f>
        <v/>
      </c>
      <c r="AU1603" s="61">
        <f>IF(E1603="","",IFERROR(IF(INDEX('Paramètres'!$K$6:$K$33,MATCH(E1603,'Paramètres'!$I$6:$I$33,0))="Oui",1,0),0))</f>
        <v/>
      </c>
      <c r="AV1603" s="61">
        <f>IF(F1603="","",IFERROR(IF(INDEX('Paramètres'!$O$6:$O$17,MATCH(F1603,'Paramètres'!$M$6:$M$17,0))="Oui",1,0),0))</f>
        <v/>
      </c>
      <c r="AW1603" s="62">
        <f>IF(E1603="","",IF(G1603&lt;&gt;"",G1603,IF(OR(E1603="Proposition envoyée",E1603="Signature"),MAX(0,N(IFERROR(INDEX('Paramètres'!$R$6:$R$15,MATCH(IF(AL1603&lt;&gt;"",AL1603,IFERROR(INDEX('Prospects'!$AN$5:$AN$504,MATCH(C1603,'Prospects'!$C$5:$C$504,0)),"")),'Paramètres'!$Q$6:$Q$15,0)),0))-N(P1603)),0)))</f>
        <v/>
      </c>
      <c r="AX1603" s="61">
        <f>IF(C1603="","",IF(COUNTIF($C$5:C1603,C1603)=1,MAX($AX$4:AX1602)+1,""))</f>
        <v/>
      </c>
      <c r="AY1603" s="61">
        <f>IF(B1603="","",HOUR(B1603))</f>
        <v/>
      </c>
      <c r="AZ1603" s="61">
        <f>IF(A1603="","",MOD(A1603-2,7)+1)</f>
        <v/>
      </c>
      <c r="BA1603" s="60">
        <f>IF(C1603="","",IFERROR(INDEX('Prospects'!$N$5:$N$504,MATCH(C1603,'Prospects'!$C$5:$C$504,0)),""))</f>
        <v/>
      </c>
      <c r="BB1603" s="61">
        <f>IF(AND(C1603&lt;&gt;"",C1603='Fiche prospect'!$C$4),COUNTIF($C$5:C1603,C1603),"")</f>
        <v/>
      </c>
    </row>
    <row r="1604">
      <c r="A1604" s="53" t="n"/>
      <c r="B1604" s="54" t="n"/>
      <c r="C1604" s="55" t="n"/>
      <c r="D1604" s="55" t="n"/>
      <c r="E1604" s="55" t="n"/>
      <c r="F1604" s="55" t="n"/>
      <c r="G1604" s="56" t="n"/>
      <c r="H1604" s="57" t="n"/>
      <c r="I1604" s="55" t="n"/>
      <c r="J1604" s="53" t="n"/>
      <c r="K1604" s="54" t="n"/>
      <c r="L1604" s="55" t="n"/>
      <c r="M1604" s="55" t="n"/>
      <c r="N1604" s="57" t="n"/>
      <c r="O1604" s="55" t="n"/>
      <c r="P1604" s="56" t="n"/>
      <c r="Q1604" s="55" t="n"/>
      <c r="R1604" s="55" t="n"/>
      <c r="S1604" s="55" t="n"/>
      <c r="T1604" s="55" t="n"/>
      <c r="U1604" s="55" t="n"/>
      <c r="V1604" s="55" t="n"/>
      <c r="W1604" s="58" t="n"/>
      <c r="X1604" s="58" t="n"/>
      <c r="Y1604" s="55" t="n"/>
      <c r="Z1604" s="55" t="n"/>
      <c r="AA1604" s="55" t="n"/>
      <c r="AB1604" s="55" t="n"/>
      <c r="AC1604" s="55" t="n"/>
      <c r="AD1604" s="53" t="n"/>
      <c r="AE1604" s="55" t="n"/>
      <c r="AF1604" s="55" t="n"/>
      <c r="AG1604" s="59" t="n"/>
      <c r="AH1604" s="57" t="n"/>
      <c r="AI1604" s="55" t="n"/>
      <c r="AJ1604" s="55" t="n"/>
      <c r="AK1604" s="55" t="n"/>
      <c r="AL1604" s="55" t="n"/>
      <c r="AM1604" s="56" t="n"/>
      <c r="AN1604" s="55" t="n"/>
      <c r="AO1604" s="55" t="n"/>
      <c r="AP1604" s="55" t="n"/>
      <c r="AQ1604" s="55" t="n"/>
      <c r="AR1604" s="60">
        <f>IF(AND(C1604="",E1604=""),"",IF(A1604="","⚠ Date manquante",IF(AND(C1604="",E1604&lt;&gt;"Dépense"),"⚠ Prospect manquant",IF(E1604="","⚠ Action manquante",IF(AND(AU1604=1,D1604=""),"⚠ Canal manquant",IF(AND(W1604&lt;&gt;"",COUNTIFS('Saisie'!$W$5:$W$2004,W1604,'Saisie'!$C$5:$C$2004,"&lt;&gt;"&amp;C1604)&gt;0),"⚠ Numéro déjà utilisé par un autre prospect",IF(AND(J1604&lt;&gt;"",J1604&lt;A1604),"⚠ Relance avant la date de l'action",IF(A1604&gt;TODAY(),"⚠ Date dans le futur","✓"))))))))</f>
        <v/>
      </c>
      <c r="AS1604" s="61">
        <f>IF(AND(A1604="",C1604="",E1604=""),"",ROW())</f>
        <v/>
      </c>
      <c r="AT1604" s="61">
        <f>IF(E1604&amp;F1604="","",MAX(IFERROR(INDEX('Paramètres'!$J$6:$J$33,MATCH(E1604,'Paramètres'!$I$6:$I$33,0)),0),IFERROR(INDEX('Paramètres'!$N$6:$N$17,MATCH(F1604,'Paramètres'!$M$6:$M$17,0)),0)))</f>
        <v/>
      </c>
      <c r="AU1604" s="61">
        <f>IF(E1604="","",IFERROR(IF(INDEX('Paramètres'!$K$6:$K$33,MATCH(E1604,'Paramètres'!$I$6:$I$33,0))="Oui",1,0),0))</f>
        <v/>
      </c>
      <c r="AV1604" s="61">
        <f>IF(F1604="","",IFERROR(IF(INDEX('Paramètres'!$O$6:$O$17,MATCH(F1604,'Paramètres'!$M$6:$M$17,0))="Oui",1,0),0))</f>
        <v/>
      </c>
      <c r="AW1604" s="62">
        <f>IF(E1604="","",IF(G1604&lt;&gt;"",G1604,IF(OR(E1604="Proposition envoyée",E1604="Signature"),MAX(0,N(IFERROR(INDEX('Paramètres'!$R$6:$R$15,MATCH(IF(AL1604&lt;&gt;"",AL1604,IFERROR(INDEX('Prospects'!$AN$5:$AN$504,MATCH(C1604,'Prospects'!$C$5:$C$504,0)),"")),'Paramètres'!$Q$6:$Q$15,0)),0))-N(P1604)),0)))</f>
        <v/>
      </c>
      <c r="AX1604" s="61">
        <f>IF(C1604="","",IF(COUNTIF($C$5:C1604,C1604)=1,MAX($AX$4:AX1603)+1,""))</f>
        <v/>
      </c>
      <c r="AY1604" s="61">
        <f>IF(B1604="","",HOUR(B1604))</f>
        <v/>
      </c>
      <c r="AZ1604" s="61">
        <f>IF(A1604="","",MOD(A1604-2,7)+1)</f>
        <v/>
      </c>
      <c r="BA1604" s="60">
        <f>IF(C1604="","",IFERROR(INDEX('Prospects'!$N$5:$N$504,MATCH(C1604,'Prospects'!$C$5:$C$504,0)),""))</f>
        <v/>
      </c>
      <c r="BB1604" s="61">
        <f>IF(AND(C1604&lt;&gt;"",C1604='Fiche prospect'!$C$4),COUNTIF($C$5:C1604,C1604),"")</f>
        <v/>
      </c>
    </row>
    <row r="1605">
      <c r="A1605" s="53" t="n"/>
      <c r="B1605" s="54" t="n"/>
      <c r="C1605" s="55" t="n"/>
      <c r="D1605" s="55" t="n"/>
      <c r="E1605" s="55" t="n"/>
      <c r="F1605" s="55" t="n"/>
      <c r="G1605" s="56" t="n"/>
      <c r="H1605" s="57" t="n"/>
      <c r="I1605" s="55" t="n"/>
      <c r="J1605" s="53" t="n"/>
      <c r="K1605" s="54" t="n"/>
      <c r="L1605" s="55" t="n"/>
      <c r="M1605" s="55" t="n"/>
      <c r="N1605" s="57" t="n"/>
      <c r="O1605" s="55" t="n"/>
      <c r="P1605" s="56" t="n"/>
      <c r="Q1605" s="55" t="n"/>
      <c r="R1605" s="55" t="n"/>
      <c r="S1605" s="55" t="n"/>
      <c r="T1605" s="55" t="n"/>
      <c r="U1605" s="55" t="n"/>
      <c r="V1605" s="55" t="n"/>
      <c r="W1605" s="58" t="n"/>
      <c r="X1605" s="58" t="n"/>
      <c r="Y1605" s="55" t="n"/>
      <c r="Z1605" s="55" t="n"/>
      <c r="AA1605" s="55" t="n"/>
      <c r="AB1605" s="55" t="n"/>
      <c r="AC1605" s="55" t="n"/>
      <c r="AD1605" s="53" t="n"/>
      <c r="AE1605" s="55" t="n"/>
      <c r="AF1605" s="55" t="n"/>
      <c r="AG1605" s="59" t="n"/>
      <c r="AH1605" s="57" t="n"/>
      <c r="AI1605" s="55" t="n"/>
      <c r="AJ1605" s="55" t="n"/>
      <c r="AK1605" s="55" t="n"/>
      <c r="AL1605" s="55" t="n"/>
      <c r="AM1605" s="56" t="n"/>
      <c r="AN1605" s="55" t="n"/>
      <c r="AO1605" s="55" t="n"/>
      <c r="AP1605" s="55" t="n"/>
      <c r="AQ1605" s="55" t="n"/>
      <c r="AR1605" s="60">
        <f>IF(AND(C1605="",E1605=""),"",IF(A1605="","⚠ Date manquante",IF(AND(C1605="",E1605&lt;&gt;"Dépense"),"⚠ Prospect manquant",IF(E1605="","⚠ Action manquante",IF(AND(AU1605=1,D1605=""),"⚠ Canal manquant",IF(AND(W1605&lt;&gt;"",COUNTIFS('Saisie'!$W$5:$W$2004,W1605,'Saisie'!$C$5:$C$2004,"&lt;&gt;"&amp;C1605)&gt;0),"⚠ Numéro déjà utilisé par un autre prospect",IF(AND(J1605&lt;&gt;"",J1605&lt;A1605),"⚠ Relance avant la date de l'action",IF(A1605&gt;TODAY(),"⚠ Date dans le futur","✓"))))))))</f>
        <v/>
      </c>
      <c r="AS1605" s="61">
        <f>IF(AND(A1605="",C1605="",E1605=""),"",ROW())</f>
        <v/>
      </c>
      <c r="AT1605" s="61">
        <f>IF(E1605&amp;F1605="","",MAX(IFERROR(INDEX('Paramètres'!$J$6:$J$33,MATCH(E1605,'Paramètres'!$I$6:$I$33,0)),0),IFERROR(INDEX('Paramètres'!$N$6:$N$17,MATCH(F1605,'Paramètres'!$M$6:$M$17,0)),0)))</f>
        <v/>
      </c>
      <c r="AU1605" s="61">
        <f>IF(E1605="","",IFERROR(IF(INDEX('Paramètres'!$K$6:$K$33,MATCH(E1605,'Paramètres'!$I$6:$I$33,0))="Oui",1,0),0))</f>
        <v/>
      </c>
      <c r="AV1605" s="61">
        <f>IF(F1605="","",IFERROR(IF(INDEX('Paramètres'!$O$6:$O$17,MATCH(F1605,'Paramètres'!$M$6:$M$17,0))="Oui",1,0),0))</f>
        <v/>
      </c>
      <c r="AW1605" s="62">
        <f>IF(E1605="","",IF(G1605&lt;&gt;"",G1605,IF(OR(E1605="Proposition envoyée",E1605="Signature"),MAX(0,N(IFERROR(INDEX('Paramètres'!$R$6:$R$15,MATCH(IF(AL1605&lt;&gt;"",AL1605,IFERROR(INDEX('Prospects'!$AN$5:$AN$504,MATCH(C1605,'Prospects'!$C$5:$C$504,0)),"")),'Paramètres'!$Q$6:$Q$15,0)),0))-N(P1605)),0)))</f>
        <v/>
      </c>
      <c r="AX1605" s="61">
        <f>IF(C1605="","",IF(COUNTIF($C$5:C1605,C1605)=1,MAX($AX$4:AX1604)+1,""))</f>
        <v/>
      </c>
      <c r="AY1605" s="61">
        <f>IF(B1605="","",HOUR(B1605))</f>
        <v/>
      </c>
      <c r="AZ1605" s="61">
        <f>IF(A1605="","",MOD(A1605-2,7)+1)</f>
        <v/>
      </c>
      <c r="BA1605" s="60">
        <f>IF(C1605="","",IFERROR(INDEX('Prospects'!$N$5:$N$504,MATCH(C1605,'Prospects'!$C$5:$C$504,0)),""))</f>
        <v/>
      </c>
      <c r="BB1605" s="61">
        <f>IF(AND(C1605&lt;&gt;"",C1605='Fiche prospect'!$C$4),COUNTIF($C$5:C1605,C1605),"")</f>
        <v/>
      </c>
    </row>
    <row r="1606">
      <c r="A1606" s="53" t="n"/>
      <c r="B1606" s="54" t="n"/>
      <c r="C1606" s="55" t="n"/>
      <c r="D1606" s="55" t="n"/>
      <c r="E1606" s="55" t="n"/>
      <c r="F1606" s="55" t="n"/>
      <c r="G1606" s="56" t="n"/>
      <c r="H1606" s="57" t="n"/>
      <c r="I1606" s="55" t="n"/>
      <c r="J1606" s="53" t="n"/>
      <c r="K1606" s="54" t="n"/>
      <c r="L1606" s="55" t="n"/>
      <c r="M1606" s="55" t="n"/>
      <c r="N1606" s="57" t="n"/>
      <c r="O1606" s="55" t="n"/>
      <c r="P1606" s="56" t="n"/>
      <c r="Q1606" s="55" t="n"/>
      <c r="R1606" s="55" t="n"/>
      <c r="S1606" s="55" t="n"/>
      <c r="T1606" s="55" t="n"/>
      <c r="U1606" s="55" t="n"/>
      <c r="V1606" s="55" t="n"/>
      <c r="W1606" s="58" t="n"/>
      <c r="X1606" s="58" t="n"/>
      <c r="Y1606" s="55" t="n"/>
      <c r="Z1606" s="55" t="n"/>
      <c r="AA1606" s="55" t="n"/>
      <c r="AB1606" s="55" t="n"/>
      <c r="AC1606" s="55" t="n"/>
      <c r="AD1606" s="53" t="n"/>
      <c r="AE1606" s="55" t="n"/>
      <c r="AF1606" s="55" t="n"/>
      <c r="AG1606" s="59" t="n"/>
      <c r="AH1606" s="57" t="n"/>
      <c r="AI1606" s="55" t="n"/>
      <c r="AJ1606" s="55" t="n"/>
      <c r="AK1606" s="55" t="n"/>
      <c r="AL1606" s="55" t="n"/>
      <c r="AM1606" s="56" t="n"/>
      <c r="AN1606" s="55" t="n"/>
      <c r="AO1606" s="55" t="n"/>
      <c r="AP1606" s="55" t="n"/>
      <c r="AQ1606" s="55" t="n"/>
      <c r="AR1606" s="60">
        <f>IF(AND(C1606="",E1606=""),"",IF(A1606="","⚠ Date manquante",IF(AND(C1606="",E1606&lt;&gt;"Dépense"),"⚠ Prospect manquant",IF(E1606="","⚠ Action manquante",IF(AND(AU1606=1,D1606=""),"⚠ Canal manquant",IF(AND(W1606&lt;&gt;"",COUNTIFS('Saisie'!$W$5:$W$2004,W1606,'Saisie'!$C$5:$C$2004,"&lt;&gt;"&amp;C1606)&gt;0),"⚠ Numéro déjà utilisé par un autre prospect",IF(AND(J1606&lt;&gt;"",J1606&lt;A1606),"⚠ Relance avant la date de l'action",IF(A1606&gt;TODAY(),"⚠ Date dans le futur","✓"))))))))</f>
        <v/>
      </c>
      <c r="AS1606" s="61">
        <f>IF(AND(A1606="",C1606="",E1606=""),"",ROW())</f>
        <v/>
      </c>
      <c r="AT1606" s="61">
        <f>IF(E1606&amp;F1606="","",MAX(IFERROR(INDEX('Paramètres'!$J$6:$J$33,MATCH(E1606,'Paramètres'!$I$6:$I$33,0)),0),IFERROR(INDEX('Paramètres'!$N$6:$N$17,MATCH(F1606,'Paramètres'!$M$6:$M$17,0)),0)))</f>
        <v/>
      </c>
      <c r="AU1606" s="61">
        <f>IF(E1606="","",IFERROR(IF(INDEX('Paramètres'!$K$6:$K$33,MATCH(E1606,'Paramètres'!$I$6:$I$33,0))="Oui",1,0),0))</f>
        <v/>
      </c>
      <c r="AV1606" s="61">
        <f>IF(F1606="","",IFERROR(IF(INDEX('Paramètres'!$O$6:$O$17,MATCH(F1606,'Paramètres'!$M$6:$M$17,0))="Oui",1,0),0))</f>
        <v/>
      </c>
      <c r="AW1606" s="62">
        <f>IF(E1606="","",IF(G1606&lt;&gt;"",G1606,IF(OR(E1606="Proposition envoyée",E1606="Signature"),MAX(0,N(IFERROR(INDEX('Paramètres'!$R$6:$R$15,MATCH(IF(AL1606&lt;&gt;"",AL1606,IFERROR(INDEX('Prospects'!$AN$5:$AN$504,MATCH(C1606,'Prospects'!$C$5:$C$504,0)),"")),'Paramètres'!$Q$6:$Q$15,0)),0))-N(P1606)),0)))</f>
        <v/>
      </c>
      <c r="AX1606" s="61">
        <f>IF(C1606="","",IF(COUNTIF($C$5:C1606,C1606)=1,MAX($AX$4:AX1605)+1,""))</f>
        <v/>
      </c>
      <c r="AY1606" s="61">
        <f>IF(B1606="","",HOUR(B1606))</f>
        <v/>
      </c>
      <c r="AZ1606" s="61">
        <f>IF(A1606="","",MOD(A1606-2,7)+1)</f>
        <v/>
      </c>
      <c r="BA1606" s="60">
        <f>IF(C1606="","",IFERROR(INDEX('Prospects'!$N$5:$N$504,MATCH(C1606,'Prospects'!$C$5:$C$504,0)),""))</f>
        <v/>
      </c>
      <c r="BB1606" s="61">
        <f>IF(AND(C1606&lt;&gt;"",C1606='Fiche prospect'!$C$4),COUNTIF($C$5:C1606,C1606),"")</f>
        <v/>
      </c>
    </row>
    <row r="1607">
      <c r="A1607" s="53" t="n"/>
      <c r="B1607" s="54" t="n"/>
      <c r="C1607" s="55" t="n"/>
      <c r="D1607" s="55" t="n"/>
      <c r="E1607" s="55" t="n"/>
      <c r="F1607" s="55" t="n"/>
      <c r="G1607" s="56" t="n"/>
      <c r="H1607" s="57" t="n"/>
      <c r="I1607" s="55" t="n"/>
      <c r="J1607" s="53" t="n"/>
      <c r="K1607" s="54" t="n"/>
      <c r="L1607" s="55" t="n"/>
      <c r="M1607" s="55" t="n"/>
      <c r="N1607" s="57" t="n"/>
      <c r="O1607" s="55" t="n"/>
      <c r="P1607" s="56" t="n"/>
      <c r="Q1607" s="55" t="n"/>
      <c r="R1607" s="55" t="n"/>
      <c r="S1607" s="55" t="n"/>
      <c r="T1607" s="55" t="n"/>
      <c r="U1607" s="55" t="n"/>
      <c r="V1607" s="55" t="n"/>
      <c r="W1607" s="58" t="n"/>
      <c r="X1607" s="58" t="n"/>
      <c r="Y1607" s="55" t="n"/>
      <c r="Z1607" s="55" t="n"/>
      <c r="AA1607" s="55" t="n"/>
      <c r="AB1607" s="55" t="n"/>
      <c r="AC1607" s="55" t="n"/>
      <c r="AD1607" s="53" t="n"/>
      <c r="AE1607" s="55" t="n"/>
      <c r="AF1607" s="55" t="n"/>
      <c r="AG1607" s="59" t="n"/>
      <c r="AH1607" s="57" t="n"/>
      <c r="AI1607" s="55" t="n"/>
      <c r="AJ1607" s="55" t="n"/>
      <c r="AK1607" s="55" t="n"/>
      <c r="AL1607" s="55" t="n"/>
      <c r="AM1607" s="56" t="n"/>
      <c r="AN1607" s="55" t="n"/>
      <c r="AO1607" s="55" t="n"/>
      <c r="AP1607" s="55" t="n"/>
      <c r="AQ1607" s="55" t="n"/>
      <c r="AR1607" s="60">
        <f>IF(AND(C1607="",E1607=""),"",IF(A1607="","⚠ Date manquante",IF(AND(C1607="",E1607&lt;&gt;"Dépense"),"⚠ Prospect manquant",IF(E1607="","⚠ Action manquante",IF(AND(AU1607=1,D1607=""),"⚠ Canal manquant",IF(AND(W1607&lt;&gt;"",COUNTIFS('Saisie'!$W$5:$W$2004,W1607,'Saisie'!$C$5:$C$2004,"&lt;&gt;"&amp;C1607)&gt;0),"⚠ Numéro déjà utilisé par un autre prospect",IF(AND(J1607&lt;&gt;"",J1607&lt;A1607),"⚠ Relance avant la date de l'action",IF(A1607&gt;TODAY(),"⚠ Date dans le futur","✓"))))))))</f>
        <v/>
      </c>
      <c r="AS1607" s="61">
        <f>IF(AND(A1607="",C1607="",E1607=""),"",ROW())</f>
        <v/>
      </c>
      <c r="AT1607" s="61">
        <f>IF(E1607&amp;F1607="","",MAX(IFERROR(INDEX('Paramètres'!$J$6:$J$33,MATCH(E1607,'Paramètres'!$I$6:$I$33,0)),0),IFERROR(INDEX('Paramètres'!$N$6:$N$17,MATCH(F1607,'Paramètres'!$M$6:$M$17,0)),0)))</f>
        <v/>
      </c>
      <c r="AU1607" s="61">
        <f>IF(E1607="","",IFERROR(IF(INDEX('Paramètres'!$K$6:$K$33,MATCH(E1607,'Paramètres'!$I$6:$I$33,0))="Oui",1,0),0))</f>
        <v/>
      </c>
      <c r="AV1607" s="61">
        <f>IF(F1607="","",IFERROR(IF(INDEX('Paramètres'!$O$6:$O$17,MATCH(F1607,'Paramètres'!$M$6:$M$17,0))="Oui",1,0),0))</f>
        <v/>
      </c>
      <c r="AW1607" s="62">
        <f>IF(E1607="","",IF(G1607&lt;&gt;"",G1607,IF(OR(E1607="Proposition envoyée",E1607="Signature"),MAX(0,N(IFERROR(INDEX('Paramètres'!$R$6:$R$15,MATCH(IF(AL1607&lt;&gt;"",AL1607,IFERROR(INDEX('Prospects'!$AN$5:$AN$504,MATCH(C1607,'Prospects'!$C$5:$C$504,0)),"")),'Paramètres'!$Q$6:$Q$15,0)),0))-N(P1607)),0)))</f>
        <v/>
      </c>
      <c r="AX1607" s="61">
        <f>IF(C1607="","",IF(COUNTIF($C$5:C1607,C1607)=1,MAX($AX$4:AX1606)+1,""))</f>
        <v/>
      </c>
      <c r="AY1607" s="61">
        <f>IF(B1607="","",HOUR(B1607))</f>
        <v/>
      </c>
      <c r="AZ1607" s="61">
        <f>IF(A1607="","",MOD(A1607-2,7)+1)</f>
        <v/>
      </c>
      <c r="BA1607" s="60">
        <f>IF(C1607="","",IFERROR(INDEX('Prospects'!$N$5:$N$504,MATCH(C1607,'Prospects'!$C$5:$C$504,0)),""))</f>
        <v/>
      </c>
      <c r="BB1607" s="61">
        <f>IF(AND(C1607&lt;&gt;"",C1607='Fiche prospect'!$C$4),COUNTIF($C$5:C1607,C1607),"")</f>
        <v/>
      </c>
    </row>
    <row r="1608">
      <c r="A1608" s="53" t="n"/>
      <c r="B1608" s="54" t="n"/>
      <c r="C1608" s="55" t="n"/>
      <c r="D1608" s="55" t="n"/>
      <c r="E1608" s="55" t="n"/>
      <c r="F1608" s="55" t="n"/>
      <c r="G1608" s="56" t="n"/>
      <c r="H1608" s="57" t="n"/>
      <c r="I1608" s="55" t="n"/>
      <c r="J1608" s="53" t="n"/>
      <c r="K1608" s="54" t="n"/>
      <c r="L1608" s="55" t="n"/>
      <c r="M1608" s="55" t="n"/>
      <c r="N1608" s="57" t="n"/>
      <c r="O1608" s="55" t="n"/>
      <c r="P1608" s="56" t="n"/>
      <c r="Q1608" s="55" t="n"/>
      <c r="R1608" s="55" t="n"/>
      <c r="S1608" s="55" t="n"/>
      <c r="T1608" s="55" t="n"/>
      <c r="U1608" s="55" t="n"/>
      <c r="V1608" s="55" t="n"/>
      <c r="W1608" s="58" t="n"/>
      <c r="X1608" s="58" t="n"/>
      <c r="Y1608" s="55" t="n"/>
      <c r="Z1608" s="55" t="n"/>
      <c r="AA1608" s="55" t="n"/>
      <c r="AB1608" s="55" t="n"/>
      <c r="AC1608" s="55" t="n"/>
      <c r="AD1608" s="53" t="n"/>
      <c r="AE1608" s="55" t="n"/>
      <c r="AF1608" s="55" t="n"/>
      <c r="AG1608" s="59" t="n"/>
      <c r="AH1608" s="57" t="n"/>
      <c r="AI1608" s="55" t="n"/>
      <c r="AJ1608" s="55" t="n"/>
      <c r="AK1608" s="55" t="n"/>
      <c r="AL1608" s="55" t="n"/>
      <c r="AM1608" s="56" t="n"/>
      <c r="AN1608" s="55" t="n"/>
      <c r="AO1608" s="55" t="n"/>
      <c r="AP1608" s="55" t="n"/>
      <c r="AQ1608" s="55" t="n"/>
      <c r="AR1608" s="60">
        <f>IF(AND(C1608="",E1608=""),"",IF(A1608="","⚠ Date manquante",IF(AND(C1608="",E1608&lt;&gt;"Dépense"),"⚠ Prospect manquant",IF(E1608="","⚠ Action manquante",IF(AND(AU1608=1,D1608=""),"⚠ Canal manquant",IF(AND(W1608&lt;&gt;"",COUNTIFS('Saisie'!$W$5:$W$2004,W1608,'Saisie'!$C$5:$C$2004,"&lt;&gt;"&amp;C1608)&gt;0),"⚠ Numéro déjà utilisé par un autre prospect",IF(AND(J1608&lt;&gt;"",J1608&lt;A1608),"⚠ Relance avant la date de l'action",IF(A1608&gt;TODAY(),"⚠ Date dans le futur","✓"))))))))</f>
        <v/>
      </c>
      <c r="AS1608" s="61">
        <f>IF(AND(A1608="",C1608="",E1608=""),"",ROW())</f>
        <v/>
      </c>
      <c r="AT1608" s="61">
        <f>IF(E1608&amp;F1608="","",MAX(IFERROR(INDEX('Paramètres'!$J$6:$J$33,MATCH(E1608,'Paramètres'!$I$6:$I$33,0)),0),IFERROR(INDEX('Paramètres'!$N$6:$N$17,MATCH(F1608,'Paramètres'!$M$6:$M$17,0)),0)))</f>
        <v/>
      </c>
      <c r="AU1608" s="61">
        <f>IF(E1608="","",IFERROR(IF(INDEX('Paramètres'!$K$6:$K$33,MATCH(E1608,'Paramètres'!$I$6:$I$33,0))="Oui",1,0),0))</f>
        <v/>
      </c>
      <c r="AV1608" s="61">
        <f>IF(F1608="","",IFERROR(IF(INDEX('Paramètres'!$O$6:$O$17,MATCH(F1608,'Paramètres'!$M$6:$M$17,0))="Oui",1,0),0))</f>
        <v/>
      </c>
      <c r="AW1608" s="62">
        <f>IF(E1608="","",IF(G1608&lt;&gt;"",G1608,IF(OR(E1608="Proposition envoyée",E1608="Signature"),MAX(0,N(IFERROR(INDEX('Paramètres'!$R$6:$R$15,MATCH(IF(AL1608&lt;&gt;"",AL1608,IFERROR(INDEX('Prospects'!$AN$5:$AN$504,MATCH(C1608,'Prospects'!$C$5:$C$504,0)),"")),'Paramètres'!$Q$6:$Q$15,0)),0))-N(P1608)),0)))</f>
        <v/>
      </c>
      <c r="AX1608" s="61">
        <f>IF(C1608="","",IF(COUNTIF($C$5:C1608,C1608)=1,MAX($AX$4:AX1607)+1,""))</f>
        <v/>
      </c>
      <c r="AY1608" s="61">
        <f>IF(B1608="","",HOUR(B1608))</f>
        <v/>
      </c>
      <c r="AZ1608" s="61">
        <f>IF(A1608="","",MOD(A1608-2,7)+1)</f>
        <v/>
      </c>
      <c r="BA1608" s="60">
        <f>IF(C1608="","",IFERROR(INDEX('Prospects'!$N$5:$N$504,MATCH(C1608,'Prospects'!$C$5:$C$504,0)),""))</f>
        <v/>
      </c>
      <c r="BB1608" s="61">
        <f>IF(AND(C1608&lt;&gt;"",C1608='Fiche prospect'!$C$4),COUNTIF($C$5:C1608,C1608),"")</f>
        <v/>
      </c>
    </row>
    <row r="1609">
      <c r="A1609" s="53" t="n"/>
      <c r="B1609" s="54" t="n"/>
      <c r="C1609" s="55" t="n"/>
      <c r="D1609" s="55" t="n"/>
      <c r="E1609" s="55" t="n"/>
      <c r="F1609" s="55" t="n"/>
      <c r="G1609" s="56" t="n"/>
      <c r="H1609" s="57" t="n"/>
      <c r="I1609" s="55" t="n"/>
      <c r="J1609" s="53" t="n"/>
      <c r="K1609" s="54" t="n"/>
      <c r="L1609" s="55" t="n"/>
      <c r="M1609" s="55" t="n"/>
      <c r="N1609" s="57" t="n"/>
      <c r="O1609" s="55" t="n"/>
      <c r="P1609" s="56" t="n"/>
      <c r="Q1609" s="55" t="n"/>
      <c r="R1609" s="55" t="n"/>
      <c r="S1609" s="55" t="n"/>
      <c r="T1609" s="55" t="n"/>
      <c r="U1609" s="55" t="n"/>
      <c r="V1609" s="55" t="n"/>
      <c r="W1609" s="58" t="n"/>
      <c r="X1609" s="58" t="n"/>
      <c r="Y1609" s="55" t="n"/>
      <c r="Z1609" s="55" t="n"/>
      <c r="AA1609" s="55" t="n"/>
      <c r="AB1609" s="55" t="n"/>
      <c r="AC1609" s="55" t="n"/>
      <c r="AD1609" s="53" t="n"/>
      <c r="AE1609" s="55" t="n"/>
      <c r="AF1609" s="55" t="n"/>
      <c r="AG1609" s="59" t="n"/>
      <c r="AH1609" s="57" t="n"/>
      <c r="AI1609" s="55" t="n"/>
      <c r="AJ1609" s="55" t="n"/>
      <c r="AK1609" s="55" t="n"/>
      <c r="AL1609" s="55" t="n"/>
      <c r="AM1609" s="56" t="n"/>
      <c r="AN1609" s="55" t="n"/>
      <c r="AO1609" s="55" t="n"/>
      <c r="AP1609" s="55" t="n"/>
      <c r="AQ1609" s="55" t="n"/>
      <c r="AR1609" s="60">
        <f>IF(AND(C1609="",E1609=""),"",IF(A1609="","⚠ Date manquante",IF(AND(C1609="",E1609&lt;&gt;"Dépense"),"⚠ Prospect manquant",IF(E1609="","⚠ Action manquante",IF(AND(AU1609=1,D1609=""),"⚠ Canal manquant",IF(AND(W1609&lt;&gt;"",COUNTIFS('Saisie'!$W$5:$W$2004,W1609,'Saisie'!$C$5:$C$2004,"&lt;&gt;"&amp;C1609)&gt;0),"⚠ Numéro déjà utilisé par un autre prospect",IF(AND(J1609&lt;&gt;"",J1609&lt;A1609),"⚠ Relance avant la date de l'action",IF(A1609&gt;TODAY(),"⚠ Date dans le futur","✓"))))))))</f>
        <v/>
      </c>
      <c r="AS1609" s="61">
        <f>IF(AND(A1609="",C1609="",E1609=""),"",ROW())</f>
        <v/>
      </c>
      <c r="AT1609" s="61">
        <f>IF(E1609&amp;F1609="","",MAX(IFERROR(INDEX('Paramètres'!$J$6:$J$33,MATCH(E1609,'Paramètres'!$I$6:$I$33,0)),0),IFERROR(INDEX('Paramètres'!$N$6:$N$17,MATCH(F1609,'Paramètres'!$M$6:$M$17,0)),0)))</f>
        <v/>
      </c>
      <c r="AU1609" s="61">
        <f>IF(E1609="","",IFERROR(IF(INDEX('Paramètres'!$K$6:$K$33,MATCH(E1609,'Paramètres'!$I$6:$I$33,0))="Oui",1,0),0))</f>
        <v/>
      </c>
      <c r="AV1609" s="61">
        <f>IF(F1609="","",IFERROR(IF(INDEX('Paramètres'!$O$6:$O$17,MATCH(F1609,'Paramètres'!$M$6:$M$17,0))="Oui",1,0),0))</f>
        <v/>
      </c>
      <c r="AW1609" s="62">
        <f>IF(E1609="","",IF(G1609&lt;&gt;"",G1609,IF(OR(E1609="Proposition envoyée",E1609="Signature"),MAX(0,N(IFERROR(INDEX('Paramètres'!$R$6:$R$15,MATCH(IF(AL1609&lt;&gt;"",AL1609,IFERROR(INDEX('Prospects'!$AN$5:$AN$504,MATCH(C1609,'Prospects'!$C$5:$C$504,0)),"")),'Paramètres'!$Q$6:$Q$15,0)),0))-N(P1609)),0)))</f>
        <v/>
      </c>
      <c r="AX1609" s="61">
        <f>IF(C1609="","",IF(COUNTIF($C$5:C1609,C1609)=1,MAX($AX$4:AX1608)+1,""))</f>
        <v/>
      </c>
      <c r="AY1609" s="61">
        <f>IF(B1609="","",HOUR(B1609))</f>
        <v/>
      </c>
      <c r="AZ1609" s="61">
        <f>IF(A1609="","",MOD(A1609-2,7)+1)</f>
        <v/>
      </c>
      <c r="BA1609" s="60">
        <f>IF(C1609="","",IFERROR(INDEX('Prospects'!$N$5:$N$504,MATCH(C1609,'Prospects'!$C$5:$C$504,0)),""))</f>
        <v/>
      </c>
      <c r="BB1609" s="61">
        <f>IF(AND(C1609&lt;&gt;"",C1609='Fiche prospect'!$C$4),COUNTIF($C$5:C1609,C1609),"")</f>
        <v/>
      </c>
    </row>
    <row r="1610">
      <c r="A1610" s="53" t="n"/>
      <c r="B1610" s="54" t="n"/>
      <c r="C1610" s="55" t="n"/>
      <c r="D1610" s="55" t="n"/>
      <c r="E1610" s="55" t="n"/>
      <c r="F1610" s="55" t="n"/>
      <c r="G1610" s="56" t="n"/>
      <c r="H1610" s="57" t="n"/>
      <c r="I1610" s="55" t="n"/>
      <c r="J1610" s="53" t="n"/>
      <c r="K1610" s="54" t="n"/>
      <c r="L1610" s="55" t="n"/>
      <c r="M1610" s="55" t="n"/>
      <c r="N1610" s="57" t="n"/>
      <c r="O1610" s="55" t="n"/>
      <c r="P1610" s="56" t="n"/>
      <c r="Q1610" s="55" t="n"/>
      <c r="R1610" s="55" t="n"/>
      <c r="S1610" s="55" t="n"/>
      <c r="T1610" s="55" t="n"/>
      <c r="U1610" s="55" t="n"/>
      <c r="V1610" s="55" t="n"/>
      <c r="W1610" s="58" t="n"/>
      <c r="X1610" s="58" t="n"/>
      <c r="Y1610" s="55" t="n"/>
      <c r="Z1610" s="55" t="n"/>
      <c r="AA1610" s="55" t="n"/>
      <c r="AB1610" s="55" t="n"/>
      <c r="AC1610" s="55" t="n"/>
      <c r="AD1610" s="53" t="n"/>
      <c r="AE1610" s="55" t="n"/>
      <c r="AF1610" s="55" t="n"/>
      <c r="AG1610" s="59" t="n"/>
      <c r="AH1610" s="57" t="n"/>
      <c r="AI1610" s="55" t="n"/>
      <c r="AJ1610" s="55" t="n"/>
      <c r="AK1610" s="55" t="n"/>
      <c r="AL1610" s="55" t="n"/>
      <c r="AM1610" s="56" t="n"/>
      <c r="AN1610" s="55" t="n"/>
      <c r="AO1610" s="55" t="n"/>
      <c r="AP1610" s="55" t="n"/>
      <c r="AQ1610" s="55" t="n"/>
      <c r="AR1610" s="60">
        <f>IF(AND(C1610="",E1610=""),"",IF(A1610="","⚠ Date manquante",IF(AND(C1610="",E1610&lt;&gt;"Dépense"),"⚠ Prospect manquant",IF(E1610="","⚠ Action manquante",IF(AND(AU1610=1,D1610=""),"⚠ Canal manquant",IF(AND(W1610&lt;&gt;"",COUNTIFS('Saisie'!$W$5:$W$2004,W1610,'Saisie'!$C$5:$C$2004,"&lt;&gt;"&amp;C1610)&gt;0),"⚠ Numéro déjà utilisé par un autre prospect",IF(AND(J1610&lt;&gt;"",J1610&lt;A1610),"⚠ Relance avant la date de l'action",IF(A1610&gt;TODAY(),"⚠ Date dans le futur","✓"))))))))</f>
        <v/>
      </c>
      <c r="AS1610" s="61">
        <f>IF(AND(A1610="",C1610="",E1610=""),"",ROW())</f>
        <v/>
      </c>
      <c r="AT1610" s="61">
        <f>IF(E1610&amp;F1610="","",MAX(IFERROR(INDEX('Paramètres'!$J$6:$J$33,MATCH(E1610,'Paramètres'!$I$6:$I$33,0)),0),IFERROR(INDEX('Paramètres'!$N$6:$N$17,MATCH(F1610,'Paramètres'!$M$6:$M$17,0)),0)))</f>
        <v/>
      </c>
      <c r="AU1610" s="61">
        <f>IF(E1610="","",IFERROR(IF(INDEX('Paramètres'!$K$6:$K$33,MATCH(E1610,'Paramètres'!$I$6:$I$33,0))="Oui",1,0),0))</f>
        <v/>
      </c>
      <c r="AV1610" s="61">
        <f>IF(F1610="","",IFERROR(IF(INDEX('Paramètres'!$O$6:$O$17,MATCH(F1610,'Paramètres'!$M$6:$M$17,0))="Oui",1,0),0))</f>
        <v/>
      </c>
      <c r="AW1610" s="62">
        <f>IF(E1610="","",IF(G1610&lt;&gt;"",G1610,IF(OR(E1610="Proposition envoyée",E1610="Signature"),MAX(0,N(IFERROR(INDEX('Paramètres'!$R$6:$R$15,MATCH(IF(AL1610&lt;&gt;"",AL1610,IFERROR(INDEX('Prospects'!$AN$5:$AN$504,MATCH(C1610,'Prospects'!$C$5:$C$504,0)),"")),'Paramètres'!$Q$6:$Q$15,0)),0))-N(P1610)),0)))</f>
        <v/>
      </c>
      <c r="AX1610" s="61">
        <f>IF(C1610="","",IF(COUNTIF($C$5:C1610,C1610)=1,MAX($AX$4:AX1609)+1,""))</f>
        <v/>
      </c>
      <c r="AY1610" s="61">
        <f>IF(B1610="","",HOUR(B1610))</f>
        <v/>
      </c>
      <c r="AZ1610" s="61">
        <f>IF(A1610="","",MOD(A1610-2,7)+1)</f>
        <v/>
      </c>
      <c r="BA1610" s="60">
        <f>IF(C1610="","",IFERROR(INDEX('Prospects'!$N$5:$N$504,MATCH(C1610,'Prospects'!$C$5:$C$504,0)),""))</f>
        <v/>
      </c>
      <c r="BB1610" s="61">
        <f>IF(AND(C1610&lt;&gt;"",C1610='Fiche prospect'!$C$4),COUNTIF($C$5:C1610,C1610),"")</f>
        <v/>
      </c>
    </row>
    <row r="1611">
      <c r="A1611" s="53" t="n"/>
      <c r="B1611" s="54" t="n"/>
      <c r="C1611" s="55" t="n"/>
      <c r="D1611" s="55" t="n"/>
      <c r="E1611" s="55" t="n"/>
      <c r="F1611" s="55" t="n"/>
      <c r="G1611" s="56" t="n"/>
      <c r="H1611" s="57" t="n"/>
      <c r="I1611" s="55" t="n"/>
      <c r="J1611" s="53" t="n"/>
      <c r="K1611" s="54" t="n"/>
      <c r="L1611" s="55" t="n"/>
      <c r="M1611" s="55" t="n"/>
      <c r="N1611" s="57" t="n"/>
      <c r="O1611" s="55" t="n"/>
      <c r="P1611" s="56" t="n"/>
      <c r="Q1611" s="55" t="n"/>
      <c r="R1611" s="55" t="n"/>
      <c r="S1611" s="55" t="n"/>
      <c r="T1611" s="55" t="n"/>
      <c r="U1611" s="55" t="n"/>
      <c r="V1611" s="55" t="n"/>
      <c r="W1611" s="58" t="n"/>
      <c r="X1611" s="58" t="n"/>
      <c r="Y1611" s="55" t="n"/>
      <c r="Z1611" s="55" t="n"/>
      <c r="AA1611" s="55" t="n"/>
      <c r="AB1611" s="55" t="n"/>
      <c r="AC1611" s="55" t="n"/>
      <c r="AD1611" s="53" t="n"/>
      <c r="AE1611" s="55" t="n"/>
      <c r="AF1611" s="55" t="n"/>
      <c r="AG1611" s="59" t="n"/>
      <c r="AH1611" s="57" t="n"/>
      <c r="AI1611" s="55" t="n"/>
      <c r="AJ1611" s="55" t="n"/>
      <c r="AK1611" s="55" t="n"/>
      <c r="AL1611" s="55" t="n"/>
      <c r="AM1611" s="56" t="n"/>
      <c r="AN1611" s="55" t="n"/>
      <c r="AO1611" s="55" t="n"/>
      <c r="AP1611" s="55" t="n"/>
      <c r="AQ1611" s="55" t="n"/>
      <c r="AR1611" s="60">
        <f>IF(AND(C1611="",E1611=""),"",IF(A1611="","⚠ Date manquante",IF(AND(C1611="",E1611&lt;&gt;"Dépense"),"⚠ Prospect manquant",IF(E1611="","⚠ Action manquante",IF(AND(AU1611=1,D1611=""),"⚠ Canal manquant",IF(AND(W1611&lt;&gt;"",COUNTIFS('Saisie'!$W$5:$W$2004,W1611,'Saisie'!$C$5:$C$2004,"&lt;&gt;"&amp;C1611)&gt;0),"⚠ Numéro déjà utilisé par un autre prospect",IF(AND(J1611&lt;&gt;"",J1611&lt;A1611),"⚠ Relance avant la date de l'action",IF(A1611&gt;TODAY(),"⚠ Date dans le futur","✓"))))))))</f>
        <v/>
      </c>
      <c r="AS1611" s="61">
        <f>IF(AND(A1611="",C1611="",E1611=""),"",ROW())</f>
        <v/>
      </c>
      <c r="AT1611" s="61">
        <f>IF(E1611&amp;F1611="","",MAX(IFERROR(INDEX('Paramètres'!$J$6:$J$33,MATCH(E1611,'Paramètres'!$I$6:$I$33,0)),0),IFERROR(INDEX('Paramètres'!$N$6:$N$17,MATCH(F1611,'Paramètres'!$M$6:$M$17,0)),0)))</f>
        <v/>
      </c>
      <c r="AU1611" s="61">
        <f>IF(E1611="","",IFERROR(IF(INDEX('Paramètres'!$K$6:$K$33,MATCH(E1611,'Paramètres'!$I$6:$I$33,0))="Oui",1,0),0))</f>
        <v/>
      </c>
      <c r="AV1611" s="61">
        <f>IF(F1611="","",IFERROR(IF(INDEX('Paramètres'!$O$6:$O$17,MATCH(F1611,'Paramètres'!$M$6:$M$17,0))="Oui",1,0),0))</f>
        <v/>
      </c>
      <c r="AW1611" s="62">
        <f>IF(E1611="","",IF(G1611&lt;&gt;"",G1611,IF(OR(E1611="Proposition envoyée",E1611="Signature"),MAX(0,N(IFERROR(INDEX('Paramètres'!$R$6:$R$15,MATCH(IF(AL1611&lt;&gt;"",AL1611,IFERROR(INDEX('Prospects'!$AN$5:$AN$504,MATCH(C1611,'Prospects'!$C$5:$C$504,0)),"")),'Paramètres'!$Q$6:$Q$15,0)),0))-N(P1611)),0)))</f>
        <v/>
      </c>
      <c r="AX1611" s="61">
        <f>IF(C1611="","",IF(COUNTIF($C$5:C1611,C1611)=1,MAX($AX$4:AX1610)+1,""))</f>
        <v/>
      </c>
      <c r="AY1611" s="61">
        <f>IF(B1611="","",HOUR(B1611))</f>
        <v/>
      </c>
      <c r="AZ1611" s="61">
        <f>IF(A1611="","",MOD(A1611-2,7)+1)</f>
        <v/>
      </c>
      <c r="BA1611" s="60">
        <f>IF(C1611="","",IFERROR(INDEX('Prospects'!$N$5:$N$504,MATCH(C1611,'Prospects'!$C$5:$C$504,0)),""))</f>
        <v/>
      </c>
      <c r="BB1611" s="61">
        <f>IF(AND(C1611&lt;&gt;"",C1611='Fiche prospect'!$C$4),COUNTIF($C$5:C1611,C1611),"")</f>
        <v/>
      </c>
    </row>
    <row r="1612">
      <c r="A1612" s="53" t="n"/>
      <c r="B1612" s="54" t="n"/>
      <c r="C1612" s="55" t="n"/>
      <c r="D1612" s="55" t="n"/>
      <c r="E1612" s="55" t="n"/>
      <c r="F1612" s="55" t="n"/>
      <c r="G1612" s="56" t="n"/>
      <c r="H1612" s="57" t="n"/>
      <c r="I1612" s="55" t="n"/>
      <c r="J1612" s="53" t="n"/>
      <c r="K1612" s="54" t="n"/>
      <c r="L1612" s="55" t="n"/>
      <c r="M1612" s="55" t="n"/>
      <c r="N1612" s="57" t="n"/>
      <c r="O1612" s="55" t="n"/>
      <c r="P1612" s="56" t="n"/>
      <c r="Q1612" s="55" t="n"/>
      <c r="R1612" s="55" t="n"/>
      <c r="S1612" s="55" t="n"/>
      <c r="T1612" s="55" t="n"/>
      <c r="U1612" s="55" t="n"/>
      <c r="V1612" s="55" t="n"/>
      <c r="W1612" s="58" t="n"/>
      <c r="X1612" s="58" t="n"/>
      <c r="Y1612" s="55" t="n"/>
      <c r="Z1612" s="55" t="n"/>
      <c r="AA1612" s="55" t="n"/>
      <c r="AB1612" s="55" t="n"/>
      <c r="AC1612" s="55" t="n"/>
      <c r="AD1612" s="53" t="n"/>
      <c r="AE1612" s="55" t="n"/>
      <c r="AF1612" s="55" t="n"/>
      <c r="AG1612" s="59" t="n"/>
      <c r="AH1612" s="57" t="n"/>
      <c r="AI1612" s="55" t="n"/>
      <c r="AJ1612" s="55" t="n"/>
      <c r="AK1612" s="55" t="n"/>
      <c r="AL1612" s="55" t="n"/>
      <c r="AM1612" s="56" t="n"/>
      <c r="AN1612" s="55" t="n"/>
      <c r="AO1612" s="55" t="n"/>
      <c r="AP1612" s="55" t="n"/>
      <c r="AQ1612" s="55" t="n"/>
      <c r="AR1612" s="60">
        <f>IF(AND(C1612="",E1612=""),"",IF(A1612="","⚠ Date manquante",IF(AND(C1612="",E1612&lt;&gt;"Dépense"),"⚠ Prospect manquant",IF(E1612="","⚠ Action manquante",IF(AND(AU1612=1,D1612=""),"⚠ Canal manquant",IF(AND(W1612&lt;&gt;"",COUNTIFS('Saisie'!$W$5:$W$2004,W1612,'Saisie'!$C$5:$C$2004,"&lt;&gt;"&amp;C1612)&gt;0),"⚠ Numéro déjà utilisé par un autre prospect",IF(AND(J1612&lt;&gt;"",J1612&lt;A1612),"⚠ Relance avant la date de l'action",IF(A1612&gt;TODAY(),"⚠ Date dans le futur","✓"))))))))</f>
        <v/>
      </c>
      <c r="AS1612" s="61">
        <f>IF(AND(A1612="",C1612="",E1612=""),"",ROW())</f>
        <v/>
      </c>
      <c r="AT1612" s="61">
        <f>IF(E1612&amp;F1612="","",MAX(IFERROR(INDEX('Paramètres'!$J$6:$J$33,MATCH(E1612,'Paramètres'!$I$6:$I$33,0)),0),IFERROR(INDEX('Paramètres'!$N$6:$N$17,MATCH(F1612,'Paramètres'!$M$6:$M$17,0)),0)))</f>
        <v/>
      </c>
      <c r="AU1612" s="61">
        <f>IF(E1612="","",IFERROR(IF(INDEX('Paramètres'!$K$6:$K$33,MATCH(E1612,'Paramètres'!$I$6:$I$33,0))="Oui",1,0),0))</f>
        <v/>
      </c>
      <c r="AV1612" s="61">
        <f>IF(F1612="","",IFERROR(IF(INDEX('Paramètres'!$O$6:$O$17,MATCH(F1612,'Paramètres'!$M$6:$M$17,0))="Oui",1,0),0))</f>
        <v/>
      </c>
      <c r="AW1612" s="62">
        <f>IF(E1612="","",IF(G1612&lt;&gt;"",G1612,IF(OR(E1612="Proposition envoyée",E1612="Signature"),MAX(0,N(IFERROR(INDEX('Paramètres'!$R$6:$R$15,MATCH(IF(AL1612&lt;&gt;"",AL1612,IFERROR(INDEX('Prospects'!$AN$5:$AN$504,MATCH(C1612,'Prospects'!$C$5:$C$504,0)),"")),'Paramètres'!$Q$6:$Q$15,0)),0))-N(P1612)),0)))</f>
        <v/>
      </c>
      <c r="AX1612" s="61">
        <f>IF(C1612="","",IF(COUNTIF($C$5:C1612,C1612)=1,MAX($AX$4:AX1611)+1,""))</f>
        <v/>
      </c>
      <c r="AY1612" s="61">
        <f>IF(B1612="","",HOUR(B1612))</f>
        <v/>
      </c>
      <c r="AZ1612" s="61">
        <f>IF(A1612="","",MOD(A1612-2,7)+1)</f>
        <v/>
      </c>
      <c r="BA1612" s="60">
        <f>IF(C1612="","",IFERROR(INDEX('Prospects'!$N$5:$N$504,MATCH(C1612,'Prospects'!$C$5:$C$504,0)),""))</f>
        <v/>
      </c>
      <c r="BB1612" s="61">
        <f>IF(AND(C1612&lt;&gt;"",C1612='Fiche prospect'!$C$4),COUNTIF($C$5:C1612,C1612),"")</f>
        <v/>
      </c>
    </row>
    <row r="1613">
      <c r="A1613" s="53" t="n"/>
      <c r="B1613" s="54" t="n"/>
      <c r="C1613" s="55" t="n"/>
      <c r="D1613" s="55" t="n"/>
      <c r="E1613" s="55" t="n"/>
      <c r="F1613" s="55" t="n"/>
      <c r="G1613" s="56" t="n"/>
      <c r="H1613" s="57" t="n"/>
      <c r="I1613" s="55" t="n"/>
      <c r="J1613" s="53" t="n"/>
      <c r="K1613" s="54" t="n"/>
      <c r="L1613" s="55" t="n"/>
      <c r="M1613" s="55" t="n"/>
      <c r="N1613" s="57" t="n"/>
      <c r="O1613" s="55" t="n"/>
      <c r="P1613" s="56" t="n"/>
      <c r="Q1613" s="55" t="n"/>
      <c r="R1613" s="55" t="n"/>
      <c r="S1613" s="55" t="n"/>
      <c r="T1613" s="55" t="n"/>
      <c r="U1613" s="55" t="n"/>
      <c r="V1613" s="55" t="n"/>
      <c r="W1613" s="58" t="n"/>
      <c r="X1613" s="58" t="n"/>
      <c r="Y1613" s="55" t="n"/>
      <c r="Z1613" s="55" t="n"/>
      <c r="AA1613" s="55" t="n"/>
      <c r="AB1613" s="55" t="n"/>
      <c r="AC1613" s="55" t="n"/>
      <c r="AD1613" s="53" t="n"/>
      <c r="AE1613" s="55" t="n"/>
      <c r="AF1613" s="55" t="n"/>
      <c r="AG1613" s="59" t="n"/>
      <c r="AH1613" s="57" t="n"/>
      <c r="AI1613" s="55" t="n"/>
      <c r="AJ1613" s="55" t="n"/>
      <c r="AK1613" s="55" t="n"/>
      <c r="AL1613" s="55" t="n"/>
      <c r="AM1613" s="56" t="n"/>
      <c r="AN1613" s="55" t="n"/>
      <c r="AO1613" s="55" t="n"/>
      <c r="AP1613" s="55" t="n"/>
      <c r="AQ1613" s="55" t="n"/>
      <c r="AR1613" s="60">
        <f>IF(AND(C1613="",E1613=""),"",IF(A1613="","⚠ Date manquante",IF(AND(C1613="",E1613&lt;&gt;"Dépense"),"⚠ Prospect manquant",IF(E1613="","⚠ Action manquante",IF(AND(AU1613=1,D1613=""),"⚠ Canal manquant",IF(AND(W1613&lt;&gt;"",COUNTIFS('Saisie'!$W$5:$W$2004,W1613,'Saisie'!$C$5:$C$2004,"&lt;&gt;"&amp;C1613)&gt;0),"⚠ Numéro déjà utilisé par un autre prospect",IF(AND(J1613&lt;&gt;"",J1613&lt;A1613),"⚠ Relance avant la date de l'action",IF(A1613&gt;TODAY(),"⚠ Date dans le futur","✓"))))))))</f>
        <v/>
      </c>
      <c r="AS1613" s="61">
        <f>IF(AND(A1613="",C1613="",E1613=""),"",ROW())</f>
        <v/>
      </c>
      <c r="AT1613" s="61">
        <f>IF(E1613&amp;F1613="","",MAX(IFERROR(INDEX('Paramètres'!$J$6:$J$33,MATCH(E1613,'Paramètres'!$I$6:$I$33,0)),0),IFERROR(INDEX('Paramètres'!$N$6:$N$17,MATCH(F1613,'Paramètres'!$M$6:$M$17,0)),0)))</f>
        <v/>
      </c>
      <c r="AU1613" s="61">
        <f>IF(E1613="","",IFERROR(IF(INDEX('Paramètres'!$K$6:$K$33,MATCH(E1613,'Paramètres'!$I$6:$I$33,0))="Oui",1,0),0))</f>
        <v/>
      </c>
      <c r="AV1613" s="61">
        <f>IF(F1613="","",IFERROR(IF(INDEX('Paramètres'!$O$6:$O$17,MATCH(F1613,'Paramètres'!$M$6:$M$17,0))="Oui",1,0),0))</f>
        <v/>
      </c>
      <c r="AW1613" s="62">
        <f>IF(E1613="","",IF(G1613&lt;&gt;"",G1613,IF(OR(E1613="Proposition envoyée",E1613="Signature"),MAX(0,N(IFERROR(INDEX('Paramètres'!$R$6:$R$15,MATCH(IF(AL1613&lt;&gt;"",AL1613,IFERROR(INDEX('Prospects'!$AN$5:$AN$504,MATCH(C1613,'Prospects'!$C$5:$C$504,0)),"")),'Paramètres'!$Q$6:$Q$15,0)),0))-N(P1613)),0)))</f>
        <v/>
      </c>
      <c r="AX1613" s="61">
        <f>IF(C1613="","",IF(COUNTIF($C$5:C1613,C1613)=1,MAX($AX$4:AX1612)+1,""))</f>
        <v/>
      </c>
      <c r="AY1613" s="61">
        <f>IF(B1613="","",HOUR(B1613))</f>
        <v/>
      </c>
      <c r="AZ1613" s="61">
        <f>IF(A1613="","",MOD(A1613-2,7)+1)</f>
        <v/>
      </c>
      <c r="BA1613" s="60">
        <f>IF(C1613="","",IFERROR(INDEX('Prospects'!$N$5:$N$504,MATCH(C1613,'Prospects'!$C$5:$C$504,0)),""))</f>
        <v/>
      </c>
      <c r="BB1613" s="61">
        <f>IF(AND(C1613&lt;&gt;"",C1613='Fiche prospect'!$C$4),COUNTIF($C$5:C1613,C1613),"")</f>
        <v/>
      </c>
    </row>
    <row r="1614">
      <c r="A1614" s="53" t="n"/>
      <c r="B1614" s="54" t="n"/>
      <c r="C1614" s="55" t="n"/>
      <c r="D1614" s="55" t="n"/>
      <c r="E1614" s="55" t="n"/>
      <c r="F1614" s="55" t="n"/>
      <c r="G1614" s="56" t="n"/>
      <c r="H1614" s="57" t="n"/>
      <c r="I1614" s="55" t="n"/>
      <c r="J1614" s="53" t="n"/>
      <c r="K1614" s="54" t="n"/>
      <c r="L1614" s="55" t="n"/>
      <c r="M1614" s="55" t="n"/>
      <c r="N1614" s="57" t="n"/>
      <c r="O1614" s="55" t="n"/>
      <c r="P1614" s="56" t="n"/>
      <c r="Q1614" s="55" t="n"/>
      <c r="R1614" s="55" t="n"/>
      <c r="S1614" s="55" t="n"/>
      <c r="T1614" s="55" t="n"/>
      <c r="U1614" s="55" t="n"/>
      <c r="V1614" s="55" t="n"/>
      <c r="W1614" s="58" t="n"/>
      <c r="X1614" s="58" t="n"/>
      <c r="Y1614" s="55" t="n"/>
      <c r="Z1614" s="55" t="n"/>
      <c r="AA1614" s="55" t="n"/>
      <c r="AB1614" s="55" t="n"/>
      <c r="AC1614" s="55" t="n"/>
      <c r="AD1614" s="53" t="n"/>
      <c r="AE1614" s="55" t="n"/>
      <c r="AF1614" s="55" t="n"/>
      <c r="AG1614" s="59" t="n"/>
      <c r="AH1614" s="57" t="n"/>
      <c r="AI1614" s="55" t="n"/>
      <c r="AJ1614" s="55" t="n"/>
      <c r="AK1614" s="55" t="n"/>
      <c r="AL1614" s="55" t="n"/>
      <c r="AM1614" s="56" t="n"/>
      <c r="AN1614" s="55" t="n"/>
      <c r="AO1614" s="55" t="n"/>
      <c r="AP1614" s="55" t="n"/>
      <c r="AQ1614" s="55" t="n"/>
      <c r="AR1614" s="60">
        <f>IF(AND(C1614="",E1614=""),"",IF(A1614="","⚠ Date manquante",IF(AND(C1614="",E1614&lt;&gt;"Dépense"),"⚠ Prospect manquant",IF(E1614="","⚠ Action manquante",IF(AND(AU1614=1,D1614=""),"⚠ Canal manquant",IF(AND(W1614&lt;&gt;"",COUNTIFS('Saisie'!$W$5:$W$2004,W1614,'Saisie'!$C$5:$C$2004,"&lt;&gt;"&amp;C1614)&gt;0),"⚠ Numéro déjà utilisé par un autre prospect",IF(AND(J1614&lt;&gt;"",J1614&lt;A1614),"⚠ Relance avant la date de l'action",IF(A1614&gt;TODAY(),"⚠ Date dans le futur","✓"))))))))</f>
        <v/>
      </c>
      <c r="AS1614" s="61">
        <f>IF(AND(A1614="",C1614="",E1614=""),"",ROW())</f>
        <v/>
      </c>
      <c r="AT1614" s="61">
        <f>IF(E1614&amp;F1614="","",MAX(IFERROR(INDEX('Paramètres'!$J$6:$J$33,MATCH(E1614,'Paramètres'!$I$6:$I$33,0)),0),IFERROR(INDEX('Paramètres'!$N$6:$N$17,MATCH(F1614,'Paramètres'!$M$6:$M$17,0)),0)))</f>
        <v/>
      </c>
      <c r="AU1614" s="61">
        <f>IF(E1614="","",IFERROR(IF(INDEX('Paramètres'!$K$6:$K$33,MATCH(E1614,'Paramètres'!$I$6:$I$33,0))="Oui",1,0),0))</f>
        <v/>
      </c>
      <c r="AV1614" s="61">
        <f>IF(F1614="","",IFERROR(IF(INDEX('Paramètres'!$O$6:$O$17,MATCH(F1614,'Paramètres'!$M$6:$M$17,0))="Oui",1,0),0))</f>
        <v/>
      </c>
      <c r="AW1614" s="62">
        <f>IF(E1614="","",IF(G1614&lt;&gt;"",G1614,IF(OR(E1614="Proposition envoyée",E1614="Signature"),MAX(0,N(IFERROR(INDEX('Paramètres'!$R$6:$R$15,MATCH(IF(AL1614&lt;&gt;"",AL1614,IFERROR(INDEX('Prospects'!$AN$5:$AN$504,MATCH(C1614,'Prospects'!$C$5:$C$504,0)),"")),'Paramètres'!$Q$6:$Q$15,0)),0))-N(P1614)),0)))</f>
        <v/>
      </c>
      <c r="AX1614" s="61">
        <f>IF(C1614="","",IF(COUNTIF($C$5:C1614,C1614)=1,MAX($AX$4:AX1613)+1,""))</f>
        <v/>
      </c>
      <c r="AY1614" s="61">
        <f>IF(B1614="","",HOUR(B1614))</f>
        <v/>
      </c>
      <c r="AZ1614" s="61">
        <f>IF(A1614="","",MOD(A1614-2,7)+1)</f>
        <v/>
      </c>
      <c r="BA1614" s="60">
        <f>IF(C1614="","",IFERROR(INDEX('Prospects'!$N$5:$N$504,MATCH(C1614,'Prospects'!$C$5:$C$504,0)),""))</f>
        <v/>
      </c>
      <c r="BB1614" s="61">
        <f>IF(AND(C1614&lt;&gt;"",C1614='Fiche prospect'!$C$4),COUNTIF($C$5:C1614,C1614),"")</f>
        <v/>
      </c>
    </row>
    <row r="1615">
      <c r="A1615" s="53" t="n"/>
      <c r="B1615" s="54" t="n"/>
      <c r="C1615" s="55" t="n"/>
      <c r="D1615" s="55" t="n"/>
      <c r="E1615" s="55" t="n"/>
      <c r="F1615" s="55" t="n"/>
      <c r="G1615" s="56" t="n"/>
      <c r="H1615" s="57" t="n"/>
      <c r="I1615" s="55" t="n"/>
      <c r="J1615" s="53" t="n"/>
      <c r="K1615" s="54" t="n"/>
      <c r="L1615" s="55" t="n"/>
      <c r="M1615" s="55" t="n"/>
      <c r="N1615" s="57" t="n"/>
      <c r="O1615" s="55" t="n"/>
      <c r="P1615" s="56" t="n"/>
      <c r="Q1615" s="55" t="n"/>
      <c r="R1615" s="55" t="n"/>
      <c r="S1615" s="55" t="n"/>
      <c r="T1615" s="55" t="n"/>
      <c r="U1615" s="55" t="n"/>
      <c r="V1615" s="55" t="n"/>
      <c r="W1615" s="58" t="n"/>
      <c r="X1615" s="58" t="n"/>
      <c r="Y1615" s="55" t="n"/>
      <c r="Z1615" s="55" t="n"/>
      <c r="AA1615" s="55" t="n"/>
      <c r="AB1615" s="55" t="n"/>
      <c r="AC1615" s="55" t="n"/>
      <c r="AD1615" s="53" t="n"/>
      <c r="AE1615" s="55" t="n"/>
      <c r="AF1615" s="55" t="n"/>
      <c r="AG1615" s="59" t="n"/>
      <c r="AH1615" s="57" t="n"/>
      <c r="AI1615" s="55" t="n"/>
      <c r="AJ1615" s="55" t="n"/>
      <c r="AK1615" s="55" t="n"/>
      <c r="AL1615" s="55" t="n"/>
      <c r="AM1615" s="56" t="n"/>
      <c r="AN1615" s="55" t="n"/>
      <c r="AO1615" s="55" t="n"/>
      <c r="AP1615" s="55" t="n"/>
      <c r="AQ1615" s="55" t="n"/>
      <c r="AR1615" s="60">
        <f>IF(AND(C1615="",E1615=""),"",IF(A1615="","⚠ Date manquante",IF(AND(C1615="",E1615&lt;&gt;"Dépense"),"⚠ Prospect manquant",IF(E1615="","⚠ Action manquante",IF(AND(AU1615=1,D1615=""),"⚠ Canal manquant",IF(AND(W1615&lt;&gt;"",COUNTIFS('Saisie'!$W$5:$W$2004,W1615,'Saisie'!$C$5:$C$2004,"&lt;&gt;"&amp;C1615)&gt;0),"⚠ Numéro déjà utilisé par un autre prospect",IF(AND(J1615&lt;&gt;"",J1615&lt;A1615),"⚠ Relance avant la date de l'action",IF(A1615&gt;TODAY(),"⚠ Date dans le futur","✓"))))))))</f>
        <v/>
      </c>
      <c r="AS1615" s="61">
        <f>IF(AND(A1615="",C1615="",E1615=""),"",ROW())</f>
        <v/>
      </c>
      <c r="AT1615" s="61">
        <f>IF(E1615&amp;F1615="","",MAX(IFERROR(INDEX('Paramètres'!$J$6:$J$33,MATCH(E1615,'Paramètres'!$I$6:$I$33,0)),0),IFERROR(INDEX('Paramètres'!$N$6:$N$17,MATCH(F1615,'Paramètres'!$M$6:$M$17,0)),0)))</f>
        <v/>
      </c>
      <c r="AU1615" s="61">
        <f>IF(E1615="","",IFERROR(IF(INDEX('Paramètres'!$K$6:$K$33,MATCH(E1615,'Paramètres'!$I$6:$I$33,0))="Oui",1,0),0))</f>
        <v/>
      </c>
      <c r="AV1615" s="61">
        <f>IF(F1615="","",IFERROR(IF(INDEX('Paramètres'!$O$6:$O$17,MATCH(F1615,'Paramètres'!$M$6:$M$17,0))="Oui",1,0),0))</f>
        <v/>
      </c>
      <c r="AW1615" s="62">
        <f>IF(E1615="","",IF(G1615&lt;&gt;"",G1615,IF(OR(E1615="Proposition envoyée",E1615="Signature"),MAX(0,N(IFERROR(INDEX('Paramètres'!$R$6:$R$15,MATCH(IF(AL1615&lt;&gt;"",AL1615,IFERROR(INDEX('Prospects'!$AN$5:$AN$504,MATCH(C1615,'Prospects'!$C$5:$C$504,0)),"")),'Paramètres'!$Q$6:$Q$15,0)),0))-N(P1615)),0)))</f>
        <v/>
      </c>
      <c r="AX1615" s="61">
        <f>IF(C1615="","",IF(COUNTIF($C$5:C1615,C1615)=1,MAX($AX$4:AX1614)+1,""))</f>
        <v/>
      </c>
      <c r="AY1615" s="61">
        <f>IF(B1615="","",HOUR(B1615))</f>
        <v/>
      </c>
      <c r="AZ1615" s="61">
        <f>IF(A1615="","",MOD(A1615-2,7)+1)</f>
        <v/>
      </c>
      <c r="BA1615" s="60">
        <f>IF(C1615="","",IFERROR(INDEX('Prospects'!$N$5:$N$504,MATCH(C1615,'Prospects'!$C$5:$C$504,0)),""))</f>
        <v/>
      </c>
      <c r="BB1615" s="61">
        <f>IF(AND(C1615&lt;&gt;"",C1615='Fiche prospect'!$C$4),COUNTIF($C$5:C1615,C1615),"")</f>
        <v/>
      </c>
    </row>
    <row r="1616">
      <c r="A1616" s="53" t="n"/>
      <c r="B1616" s="54" t="n"/>
      <c r="C1616" s="55" t="n"/>
      <c r="D1616" s="55" t="n"/>
      <c r="E1616" s="55" t="n"/>
      <c r="F1616" s="55" t="n"/>
      <c r="G1616" s="56" t="n"/>
      <c r="H1616" s="57" t="n"/>
      <c r="I1616" s="55" t="n"/>
      <c r="J1616" s="53" t="n"/>
      <c r="K1616" s="54" t="n"/>
      <c r="L1616" s="55" t="n"/>
      <c r="M1616" s="55" t="n"/>
      <c r="N1616" s="57" t="n"/>
      <c r="O1616" s="55" t="n"/>
      <c r="P1616" s="56" t="n"/>
      <c r="Q1616" s="55" t="n"/>
      <c r="R1616" s="55" t="n"/>
      <c r="S1616" s="55" t="n"/>
      <c r="T1616" s="55" t="n"/>
      <c r="U1616" s="55" t="n"/>
      <c r="V1616" s="55" t="n"/>
      <c r="W1616" s="58" t="n"/>
      <c r="X1616" s="58" t="n"/>
      <c r="Y1616" s="55" t="n"/>
      <c r="Z1616" s="55" t="n"/>
      <c r="AA1616" s="55" t="n"/>
      <c r="AB1616" s="55" t="n"/>
      <c r="AC1616" s="55" t="n"/>
      <c r="AD1616" s="53" t="n"/>
      <c r="AE1616" s="55" t="n"/>
      <c r="AF1616" s="55" t="n"/>
      <c r="AG1616" s="59" t="n"/>
      <c r="AH1616" s="57" t="n"/>
      <c r="AI1616" s="55" t="n"/>
      <c r="AJ1616" s="55" t="n"/>
      <c r="AK1616" s="55" t="n"/>
      <c r="AL1616" s="55" t="n"/>
      <c r="AM1616" s="56" t="n"/>
      <c r="AN1616" s="55" t="n"/>
      <c r="AO1616" s="55" t="n"/>
      <c r="AP1616" s="55" t="n"/>
      <c r="AQ1616" s="55" t="n"/>
      <c r="AR1616" s="60">
        <f>IF(AND(C1616="",E1616=""),"",IF(A1616="","⚠ Date manquante",IF(AND(C1616="",E1616&lt;&gt;"Dépense"),"⚠ Prospect manquant",IF(E1616="","⚠ Action manquante",IF(AND(AU1616=1,D1616=""),"⚠ Canal manquant",IF(AND(W1616&lt;&gt;"",COUNTIFS('Saisie'!$W$5:$W$2004,W1616,'Saisie'!$C$5:$C$2004,"&lt;&gt;"&amp;C1616)&gt;0),"⚠ Numéro déjà utilisé par un autre prospect",IF(AND(J1616&lt;&gt;"",J1616&lt;A1616),"⚠ Relance avant la date de l'action",IF(A1616&gt;TODAY(),"⚠ Date dans le futur","✓"))))))))</f>
        <v/>
      </c>
      <c r="AS1616" s="61">
        <f>IF(AND(A1616="",C1616="",E1616=""),"",ROW())</f>
        <v/>
      </c>
      <c r="AT1616" s="61">
        <f>IF(E1616&amp;F1616="","",MAX(IFERROR(INDEX('Paramètres'!$J$6:$J$33,MATCH(E1616,'Paramètres'!$I$6:$I$33,0)),0),IFERROR(INDEX('Paramètres'!$N$6:$N$17,MATCH(F1616,'Paramètres'!$M$6:$M$17,0)),0)))</f>
        <v/>
      </c>
      <c r="AU1616" s="61">
        <f>IF(E1616="","",IFERROR(IF(INDEX('Paramètres'!$K$6:$K$33,MATCH(E1616,'Paramètres'!$I$6:$I$33,0))="Oui",1,0),0))</f>
        <v/>
      </c>
      <c r="AV1616" s="61">
        <f>IF(F1616="","",IFERROR(IF(INDEX('Paramètres'!$O$6:$O$17,MATCH(F1616,'Paramètres'!$M$6:$M$17,0))="Oui",1,0),0))</f>
        <v/>
      </c>
      <c r="AW1616" s="62">
        <f>IF(E1616="","",IF(G1616&lt;&gt;"",G1616,IF(OR(E1616="Proposition envoyée",E1616="Signature"),MAX(0,N(IFERROR(INDEX('Paramètres'!$R$6:$R$15,MATCH(IF(AL1616&lt;&gt;"",AL1616,IFERROR(INDEX('Prospects'!$AN$5:$AN$504,MATCH(C1616,'Prospects'!$C$5:$C$504,0)),"")),'Paramètres'!$Q$6:$Q$15,0)),0))-N(P1616)),0)))</f>
        <v/>
      </c>
      <c r="AX1616" s="61">
        <f>IF(C1616="","",IF(COUNTIF($C$5:C1616,C1616)=1,MAX($AX$4:AX1615)+1,""))</f>
        <v/>
      </c>
      <c r="AY1616" s="61">
        <f>IF(B1616="","",HOUR(B1616))</f>
        <v/>
      </c>
      <c r="AZ1616" s="61">
        <f>IF(A1616="","",MOD(A1616-2,7)+1)</f>
        <v/>
      </c>
      <c r="BA1616" s="60">
        <f>IF(C1616="","",IFERROR(INDEX('Prospects'!$N$5:$N$504,MATCH(C1616,'Prospects'!$C$5:$C$504,0)),""))</f>
        <v/>
      </c>
      <c r="BB1616" s="61">
        <f>IF(AND(C1616&lt;&gt;"",C1616='Fiche prospect'!$C$4),COUNTIF($C$5:C1616,C1616),"")</f>
        <v/>
      </c>
    </row>
    <row r="1617">
      <c r="A1617" s="53" t="n"/>
      <c r="B1617" s="54" t="n"/>
      <c r="C1617" s="55" t="n"/>
      <c r="D1617" s="55" t="n"/>
      <c r="E1617" s="55" t="n"/>
      <c r="F1617" s="55" t="n"/>
      <c r="G1617" s="56" t="n"/>
      <c r="H1617" s="57" t="n"/>
      <c r="I1617" s="55" t="n"/>
      <c r="J1617" s="53" t="n"/>
      <c r="K1617" s="54" t="n"/>
      <c r="L1617" s="55" t="n"/>
      <c r="M1617" s="55" t="n"/>
      <c r="N1617" s="57" t="n"/>
      <c r="O1617" s="55" t="n"/>
      <c r="P1617" s="56" t="n"/>
      <c r="Q1617" s="55" t="n"/>
      <c r="R1617" s="55" t="n"/>
      <c r="S1617" s="55" t="n"/>
      <c r="T1617" s="55" t="n"/>
      <c r="U1617" s="55" t="n"/>
      <c r="V1617" s="55" t="n"/>
      <c r="W1617" s="58" t="n"/>
      <c r="X1617" s="58" t="n"/>
      <c r="Y1617" s="55" t="n"/>
      <c r="Z1617" s="55" t="n"/>
      <c r="AA1617" s="55" t="n"/>
      <c r="AB1617" s="55" t="n"/>
      <c r="AC1617" s="55" t="n"/>
      <c r="AD1617" s="53" t="n"/>
      <c r="AE1617" s="55" t="n"/>
      <c r="AF1617" s="55" t="n"/>
      <c r="AG1617" s="59" t="n"/>
      <c r="AH1617" s="57" t="n"/>
      <c r="AI1617" s="55" t="n"/>
      <c r="AJ1617" s="55" t="n"/>
      <c r="AK1617" s="55" t="n"/>
      <c r="AL1617" s="55" t="n"/>
      <c r="AM1617" s="56" t="n"/>
      <c r="AN1617" s="55" t="n"/>
      <c r="AO1617" s="55" t="n"/>
      <c r="AP1617" s="55" t="n"/>
      <c r="AQ1617" s="55" t="n"/>
      <c r="AR1617" s="60">
        <f>IF(AND(C1617="",E1617=""),"",IF(A1617="","⚠ Date manquante",IF(AND(C1617="",E1617&lt;&gt;"Dépense"),"⚠ Prospect manquant",IF(E1617="","⚠ Action manquante",IF(AND(AU1617=1,D1617=""),"⚠ Canal manquant",IF(AND(W1617&lt;&gt;"",COUNTIFS('Saisie'!$W$5:$W$2004,W1617,'Saisie'!$C$5:$C$2004,"&lt;&gt;"&amp;C1617)&gt;0),"⚠ Numéro déjà utilisé par un autre prospect",IF(AND(J1617&lt;&gt;"",J1617&lt;A1617),"⚠ Relance avant la date de l'action",IF(A1617&gt;TODAY(),"⚠ Date dans le futur","✓"))))))))</f>
        <v/>
      </c>
      <c r="AS1617" s="61">
        <f>IF(AND(A1617="",C1617="",E1617=""),"",ROW())</f>
        <v/>
      </c>
      <c r="AT1617" s="61">
        <f>IF(E1617&amp;F1617="","",MAX(IFERROR(INDEX('Paramètres'!$J$6:$J$33,MATCH(E1617,'Paramètres'!$I$6:$I$33,0)),0),IFERROR(INDEX('Paramètres'!$N$6:$N$17,MATCH(F1617,'Paramètres'!$M$6:$M$17,0)),0)))</f>
        <v/>
      </c>
      <c r="AU1617" s="61">
        <f>IF(E1617="","",IFERROR(IF(INDEX('Paramètres'!$K$6:$K$33,MATCH(E1617,'Paramètres'!$I$6:$I$33,0))="Oui",1,0),0))</f>
        <v/>
      </c>
      <c r="AV1617" s="61">
        <f>IF(F1617="","",IFERROR(IF(INDEX('Paramètres'!$O$6:$O$17,MATCH(F1617,'Paramètres'!$M$6:$M$17,0))="Oui",1,0),0))</f>
        <v/>
      </c>
      <c r="AW1617" s="62">
        <f>IF(E1617="","",IF(G1617&lt;&gt;"",G1617,IF(OR(E1617="Proposition envoyée",E1617="Signature"),MAX(0,N(IFERROR(INDEX('Paramètres'!$R$6:$R$15,MATCH(IF(AL1617&lt;&gt;"",AL1617,IFERROR(INDEX('Prospects'!$AN$5:$AN$504,MATCH(C1617,'Prospects'!$C$5:$C$504,0)),"")),'Paramètres'!$Q$6:$Q$15,0)),0))-N(P1617)),0)))</f>
        <v/>
      </c>
      <c r="AX1617" s="61">
        <f>IF(C1617="","",IF(COUNTIF($C$5:C1617,C1617)=1,MAX($AX$4:AX1616)+1,""))</f>
        <v/>
      </c>
      <c r="AY1617" s="61">
        <f>IF(B1617="","",HOUR(B1617))</f>
        <v/>
      </c>
      <c r="AZ1617" s="61">
        <f>IF(A1617="","",MOD(A1617-2,7)+1)</f>
        <v/>
      </c>
      <c r="BA1617" s="60">
        <f>IF(C1617="","",IFERROR(INDEX('Prospects'!$N$5:$N$504,MATCH(C1617,'Prospects'!$C$5:$C$504,0)),""))</f>
        <v/>
      </c>
      <c r="BB1617" s="61">
        <f>IF(AND(C1617&lt;&gt;"",C1617='Fiche prospect'!$C$4),COUNTIF($C$5:C1617,C1617),"")</f>
        <v/>
      </c>
    </row>
    <row r="1618">
      <c r="A1618" s="53" t="n"/>
      <c r="B1618" s="54" t="n"/>
      <c r="C1618" s="55" t="n"/>
      <c r="D1618" s="55" t="n"/>
      <c r="E1618" s="55" t="n"/>
      <c r="F1618" s="55" t="n"/>
      <c r="G1618" s="56" t="n"/>
      <c r="H1618" s="57" t="n"/>
      <c r="I1618" s="55" t="n"/>
      <c r="J1618" s="53" t="n"/>
      <c r="K1618" s="54" t="n"/>
      <c r="L1618" s="55" t="n"/>
      <c r="M1618" s="55" t="n"/>
      <c r="N1618" s="57" t="n"/>
      <c r="O1618" s="55" t="n"/>
      <c r="P1618" s="56" t="n"/>
      <c r="Q1618" s="55" t="n"/>
      <c r="R1618" s="55" t="n"/>
      <c r="S1618" s="55" t="n"/>
      <c r="T1618" s="55" t="n"/>
      <c r="U1618" s="55" t="n"/>
      <c r="V1618" s="55" t="n"/>
      <c r="W1618" s="58" t="n"/>
      <c r="X1618" s="58" t="n"/>
      <c r="Y1618" s="55" t="n"/>
      <c r="Z1618" s="55" t="n"/>
      <c r="AA1618" s="55" t="n"/>
      <c r="AB1618" s="55" t="n"/>
      <c r="AC1618" s="55" t="n"/>
      <c r="AD1618" s="53" t="n"/>
      <c r="AE1618" s="55" t="n"/>
      <c r="AF1618" s="55" t="n"/>
      <c r="AG1618" s="59" t="n"/>
      <c r="AH1618" s="57" t="n"/>
      <c r="AI1618" s="55" t="n"/>
      <c r="AJ1618" s="55" t="n"/>
      <c r="AK1618" s="55" t="n"/>
      <c r="AL1618" s="55" t="n"/>
      <c r="AM1618" s="56" t="n"/>
      <c r="AN1618" s="55" t="n"/>
      <c r="AO1618" s="55" t="n"/>
      <c r="AP1618" s="55" t="n"/>
      <c r="AQ1618" s="55" t="n"/>
      <c r="AR1618" s="60">
        <f>IF(AND(C1618="",E1618=""),"",IF(A1618="","⚠ Date manquante",IF(AND(C1618="",E1618&lt;&gt;"Dépense"),"⚠ Prospect manquant",IF(E1618="","⚠ Action manquante",IF(AND(AU1618=1,D1618=""),"⚠ Canal manquant",IF(AND(W1618&lt;&gt;"",COUNTIFS('Saisie'!$W$5:$W$2004,W1618,'Saisie'!$C$5:$C$2004,"&lt;&gt;"&amp;C1618)&gt;0),"⚠ Numéro déjà utilisé par un autre prospect",IF(AND(J1618&lt;&gt;"",J1618&lt;A1618),"⚠ Relance avant la date de l'action",IF(A1618&gt;TODAY(),"⚠ Date dans le futur","✓"))))))))</f>
        <v/>
      </c>
      <c r="AS1618" s="61">
        <f>IF(AND(A1618="",C1618="",E1618=""),"",ROW())</f>
        <v/>
      </c>
      <c r="AT1618" s="61">
        <f>IF(E1618&amp;F1618="","",MAX(IFERROR(INDEX('Paramètres'!$J$6:$J$33,MATCH(E1618,'Paramètres'!$I$6:$I$33,0)),0),IFERROR(INDEX('Paramètres'!$N$6:$N$17,MATCH(F1618,'Paramètres'!$M$6:$M$17,0)),0)))</f>
        <v/>
      </c>
      <c r="AU1618" s="61">
        <f>IF(E1618="","",IFERROR(IF(INDEX('Paramètres'!$K$6:$K$33,MATCH(E1618,'Paramètres'!$I$6:$I$33,0))="Oui",1,0),0))</f>
        <v/>
      </c>
      <c r="AV1618" s="61">
        <f>IF(F1618="","",IFERROR(IF(INDEX('Paramètres'!$O$6:$O$17,MATCH(F1618,'Paramètres'!$M$6:$M$17,0))="Oui",1,0),0))</f>
        <v/>
      </c>
      <c r="AW1618" s="62">
        <f>IF(E1618="","",IF(G1618&lt;&gt;"",G1618,IF(OR(E1618="Proposition envoyée",E1618="Signature"),MAX(0,N(IFERROR(INDEX('Paramètres'!$R$6:$R$15,MATCH(IF(AL1618&lt;&gt;"",AL1618,IFERROR(INDEX('Prospects'!$AN$5:$AN$504,MATCH(C1618,'Prospects'!$C$5:$C$504,0)),"")),'Paramètres'!$Q$6:$Q$15,0)),0))-N(P1618)),0)))</f>
        <v/>
      </c>
      <c r="AX1618" s="61">
        <f>IF(C1618="","",IF(COUNTIF($C$5:C1618,C1618)=1,MAX($AX$4:AX1617)+1,""))</f>
        <v/>
      </c>
      <c r="AY1618" s="61">
        <f>IF(B1618="","",HOUR(B1618))</f>
        <v/>
      </c>
      <c r="AZ1618" s="61">
        <f>IF(A1618="","",MOD(A1618-2,7)+1)</f>
        <v/>
      </c>
      <c r="BA1618" s="60">
        <f>IF(C1618="","",IFERROR(INDEX('Prospects'!$N$5:$N$504,MATCH(C1618,'Prospects'!$C$5:$C$504,0)),""))</f>
        <v/>
      </c>
      <c r="BB1618" s="61">
        <f>IF(AND(C1618&lt;&gt;"",C1618='Fiche prospect'!$C$4),COUNTIF($C$5:C1618,C1618),"")</f>
        <v/>
      </c>
    </row>
    <row r="1619">
      <c r="A1619" s="53" t="n"/>
      <c r="B1619" s="54" t="n"/>
      <c r="C1619" s="55" t="n"/>
      <c r="D1619" s="55" t="n"/>
      <c r="E1619" s="55" t="n"/>
      <c r="F1619" s="55" t="n"/>
      <c r="G1619" s="56" t="n"/>
      <c r="H1619" s="57" t="n"/>
      <c r="I1619" s="55" t="n"/>
      <c r="J1619" s="53" t="n"/>
      <c r="K1619" s="54" t="n"/>
      <c r="L1619" s="55" t="n"/>
      <c r="M1619" s="55" t="n"/>
      <c r="N1619" s="57" t="n"/>
      <c r="O1619" s="55" t="n"/>
      <c r="P1619" s="56" t="n"/>
      <c r="Q1619" s="55" t="n"/>
      <c r="R1619" s="55" t="n"/>
      <c r="S1619" s="55" t="n"/>
      <c r="T1619" s="55" t="n"/>
      <c r="U1619" s="55" t="n"/>
      <c r="V1619" s="55" t="n"/>
      <c r="W1619" s="58" t="n"/>
      <c r="X1619" s="58" t="n"/>
      <c r="Y1619" s="55" t="n"/>
      <c r="Z1619" s="55" t="n"/>
      <c r="AA1619" s="55" t="n"/>
      <c r="AB1619" s="55" t="n"/>
      <c r="AC1619" s="55" t="n"/>
      <c r="AD1619" s="53" t="n"/>
      <c r="AE1619" s="55" t="n"/>
      <c r="AF1619" s="55" t="n"/>
      <c r="AG1619" s="59" t="n"/>
      <c r="AH1619" s="57" t="n"/>
      <c r="AI1619" s="55" t="n"/>
      <c r="AJ1619" s="55" t="n"/>
      <c r="AK1619" s="55" t="n"/>
      <c r="AL1619" s="55" t="n"/>
      <c r="AM1619" s="56" t="n"/>
      <c r="AN1619" s="55" t="n"/>
      <c r="AO1619" s="55" t="n"/>
      <c r="AP1619" s="55" t="n"/>
      <c r="AQ1619" s="55" t="n"/>
      <c r="AR1619" s="60">
        <f>IF(AND(C1619="",E1619=""),"",IF(A1619="","⚠ Date manquante",IF(AND(C1619="",E1619&lt;&gt;"Dépense"),"⚠ Prospect manquant",IF(E1619="","⚠ Action manquante",IF(AND(AU1619=1,D1619=""),"⚠ Canal manquant",IF(AND(W1619&lt;&gt;"",COUNTIFS('Saisie'!$W$5:$W$2004,W1619,'Saisie'!$C$5:$C$2004,"&lt;&gt;"&amp;C1619)&gt;0),"⚠ Numéro déjà utilisé par un autre prospect",IF(AND(J1619&lt;&gt;"",J1619&lt;A1619),"⚠ Relance avant la date de l'action",IF(A1619&gt;TODAY(),"⚠ Date dans le futur","✓"))))))))</f>
        <v/>
      </c>
      <c r="AS1619" s="61">
        <f>IF(AND(A1619="",C1619="",E1619=""),"",ROW())</f>
        <v/>
      </c>
      <c r="AT1619" s="61">
        <f>IF(E1619&amp;F1619="","",MAX(IFERROR(INDEX('Paramètres'!$J$6:$J$33,MATCH(E1619,'Paramètres'!$I$6:$I$33,0)),0),IFERROR(INDEX('Paramètres'!$N$6:$N$17,MATCH(F1619,'Paramètres'!$M$6:$M$17,0)),0)))</f>
        <v/>
      </c>
      <c r="AU1619" s="61">
        <f>IF(E1619="","",IFERROR(IF(INDEX('Paramètres'!$K$6:$K$33,MATCH(E1619,'Paramètres'!$I$6:$I$33,0))="Oui",1,0),0))</f>
        <v/>
      </c>
      <c r="AV1619" s="61">
        <f>IF(F1619="","",IFERROR(IF(INDEX('Paramètres'!$O$6:$O$17,MATCH(F1619,'Paramètres'!$M$6:$M$17,0))="Oui",1,0),0))</f>
        <v/>
      </c>
      <c r="AW1619" s="62">
        <f>IF(E1619="","",IF(G1619&lt;&gt;"",G1619,IF(OR(E1619="Proposition envoyée",E1619="Signature"),MAX(0,N(IFERROR(INDEX('Paramètres'!$R$6:$R$15,MATCH(IF(AL1619&lt;&gt;"",AL1619,IFERROR(INDEX('Prospects'!$AN$5:$AN$504,MATCH(C1619,'Prospects'!$C$5:$C$504,0)),"")),'Paramètres'!$Q$6:$Q$15,0)),0))-N(P1619)),0)))</f>
        <v/>
      </c>
      <c r="AX1619" s="61">
        <f>IF(C1619="","",IF(COUNTIF($C$5:C1619,C1619)=1,MAX($AX$4:AX1618)+1,""))</f>
        <v/>
      </c>
      <c r="AY1619" s="61">
        <f>IF(B1619="","",HOUR(B1619))</f>
        <v/>
      </c>
      <c r="AZ1619" s="61">
        <f>IF(A1619="","",MOD(A1619-2,7)+1)</f>
        <v/>
      </c>
      <c r="BA1619" s="60">
        <f>IF(C1619="","",IFERROR(INDEX('Prospects'!$N$5:$N$504,MATCH(C1619,'Prospects'!$C$5:$C$504,0)),""))</f>
        <v/>
      </c>
      <c r="BB1619" s="61">
        <f>IF(AND(C1619&lt;&gt;"",C1619='Fiche prospect'!$C$4),COUNTIF($C$5:C1619,C1619),"")</f>
        <v/>
      </c>
    </row>
    <row r="1620">
      <c r="A1620" s="53" t="n"/>
      <c r="B1620" s="54" t="n"/>
      <c r="C1620" s="55" t="n"/>
      <c r="D1620" s="55" t="n"/>
      <c r="E1620" s="55" t="n"/>
      <c r="F1620" s="55" t="n"/>
      <c r="G1620" s="56" t="n"/>
      <c r="H1620" s="57" t="n"/>
      <c r="I1620" s="55" t="n"/>
      <c r="J1620" s="53" t="n"/>
      <c r="K1620" s="54" t="n"/>
      <c r="L1620" s="55" t="n"/>
      <c r="M1620" s="55" t="n"/>
      <c r="N1620" s="57" t="n"/>
      <c r="O1620" s="55" t="n"/>
      <c r="P1620" s="56" t="n"/>
      <c r="Q1620" s="55" t="n"/>
      <c r="R1620" s="55" t="n"/>
      <c r="S1620" s="55" t="n"/>
      <c r="T1620" s="55" t="n"/>
      <c r="U1620" s="55" t="n"/>
      <c r="V1620" s="55" t="n"/>
      <c r="W1620" s="58" t="n"/>
      <c r="X1620" s="58" t="n"/>
      <c r="Y1620" s="55" t="n"/>
      <c r="Z1620" s="55" t="n"/>
      <c r="AA1620" s="55" t="n"/>
      <c r="AB1620" s="55" t="n"/>
      <c r="AC1620" s="55" t="n"/>
      <c r="AD1620" s="53" t="n"/>
      <c r="AE1620" s="55" t="n"/>
      <c r="AF1620" s="55" t="n"/>
      <c r="AG1620" s="59" t="n"/>
      <c r="AH1620" s="57" t="n"/>
      <c r="AI1620" s="55" t="n"/>
      <c r="AJ1620" s="55" t="n"/>
      <c r="AK1620" s="55" t="n"/>
      <c r="AL1620" s="55" t="n"/>
      <c r="AM1620" s="56" t="n"/>
      <c r="AN1620" s="55" t="n"/>
      <c r="AO1620" s="55" t="n"/>
      <c r="AP1620" s="55" t="n"/>
      <c r="AQ1620" s="55" t="n"/>
      <c r="AR1620" s="60">
        <f>IF(AND(C1620="",E1620=""),"",IF(A1620="","⚠ Date manquante",IF(AND(C1620="",E1620&lt;&gt;"Dépense"),"⚠ Prospect manquant",IF(E1620="","⚠ Action manquante",IF(AND(AU1620=1,D1620=""),"⚠ Canal manquant",IF(AND(W1620&lt;&gt;"",COUNTIFS('Saisie'!$W$5:$W$2004,W1620,'Saisie'!$C$5:$C$2004,"&lt;&gt;"&amp;C1620)&gt;0),"⚠ Numéro déjà utilisé par un autre prospect",IF(AND(J1620&lt;&gt;"",J1620&lt;A1620),"⚠ Relance avant la date de l'action",IF(A1620&gt;TODAY(),"⚠ Date dans le futur","✓"))))))))</f>
        <v/>
      </c>
      <c r="AS1620" s="61">
        <f>IF(AND(A1620="",C1620="",E1620=""),"",ROW())</f>
        <v/>
      </c>
      <c r="AT1620" s="61">
        <f>IF(E1620&amp;F1620="","",MAX(IFERROR(INDEX('Paramètres'!$J$6:$J$33,MATCH(E1620,'Paramètres'!$I$6:$I$33,0)),0),IFERROR(INDEX('Paramètres'!$N$6:$N$17,MATCH(F1620,'Paramètres'!$M$6:$M$17,0)),0)))</f>
        <v/>
      </c>
      <c r="AU1620" s="61">
        <f>IF(E1620="","",IFERROR(IF(INDEX('Paramètres'!$K$6:$K$33,MATCH(E1620,'Paramètres'!$I$6:$I$33,0))="Oui",1,0),0))</f>
        <v/>
      </c>
      <c r="AV1620" s="61">
        <f>IF(F1620="","",IFERROR(IF(INDEX('Paramètres'!$O$6:$O$17,MATCH(F1620,'Paramètres'!$M$6:$M$17,0))="Oui",1,0),0))</f>
        <v/>
      </c>
      <c r="AW1620" s="62">
        <f>IF(E1620="","",IF(G1620&lt;&gt;"",G1620,IF(OR(E1620="Proposition envoyée",E1620="Signature"),MAX(0,N(IFERROR(INDEX('Paramètres'!$R$6:$R$15,MATCH(IF(AL1620&lt;&gt;"",AL1620,IFERROR(INDEX('Prospects'!$AN$5:$AN$504,MATCH(C1620,'Prospects'!$C$5:$C$504,0)),"")),'Paramètres'!$Q$6:$Q$15,0)),0))-N(P1620)),0)))</f>
        <v/>
      </c>
      <c r="AX1620" s="61">
        <f>IF(C1620="","",IF(COUNTIF($C$5:C1620,C1620)=1,MAX($AX$4:AX1619)+1,""))</f>
        <v/>
      </c>
      <c r="AY1620" s="61">
        <f>IF(B1620="","",HOUR(B1620))</f>
        <v/>
      </c>
      <c r="AZ1620" s="61">
        <f>IF(A1620="","",MOD(A1620-2,7)+1)</f>
        <v/>
      </c>
      <c r="BA1620" s="60">
        <f>IF(C1620="","",IFERROR(INDEX('Prospects'!$N$5:$N$504,MATCH(C1620,'Prospects'!$C$5:$C$504,0)),""))</f>
        <v/>
      </c>
      <c r="BB1620" s="61">
        <f>IF(AND(C1620&lt;&gt;"",C1620='Fiche prospect'!$C$4),COUNTIF($C$5:C1620,C1620),"")</f>
        <v/>
      </c>
    </row>
    <row r="1621">
      <c r="A1621" s="53" t="n"/>
      <c r="B1621" s="54" t="n"/>
      <c r="C1621" s="55" t="n"/>
      <c r="D1621" s="55" t="n"/>
      <c r="E1621" s="55" t="n"/>
      <c r="F1621" s="55" t="n"/>
      <c r="G1621" s="56" t="n"/>
      <c r="H1621" s="57" t="n"/>
      <c r="I1621" s="55" t="n"/>
      <c r="J1621" s="53" t="n"/>
      <c r="K1621" s="54" t="n"/>
      <c r="L1621" s="55" t="n"/>
      <c r="M1621" s="55" t="n"/>
      <c r="N1621" s="57" t="n"/>
      <c r="O1621" s="55" t="n"/>
      <c r="P1621" s="56" t="n"/>
      <c r="Q1621" s="55" t="n"/>
      <c r="R1621" s="55" t="n"/>
      <c r="S1621" s="55" t="n"/>
      <c r="T1621" s="55" t="n"/>
      <c r="U1621" s="55" t="n"/>
      <c r="V1621" s="55" t="n"/>
      <c r="W1621" s="58" t="n"/>
      <c r="X1621" s="58" t="n"/>
      <c r="Y1621" s="55" t="n"/>
      <c r="Z1621" s="55" t="n"/>
      <c r="AA1621" s="55" t="n"/>
      <c r="AB1621" s="55" t="n"/>
      <c r="AC1621" s="55" t="n"/>
      <c r="AD1621" s="53" t="n"/>
      <c r="AE1621" s="55" t="n"/>
      <c r="AF1621" s="55" t="n"/>
      <c r="AG1621" s="59" t="n"/>
      <c r="AH1621" s="57" t="n"/>
      <c r="AI1621" s="55" t="n"/>
      <c r="AJ1621" s="55" t="n"/>
      <c r="AK1621" s="55" t="n"/>
      <c r="AL1621" s="55" t="n"/>
      <c r="AM1621" s="56" t="n"/>
      <c r="AN1621" s="55" t="n"/>
      <c r="AO1621" s="55" t="n"/>
      <c r="AP1621" s="55" t="n"/>
      <c r="AQ1621" s="55" t="n"/>
      <c r="AR1621" s="60">
        <f>IF(AND(C1621="",E1621=""),"",IF(A1621="","⚠ Date manquante",IF(AND(C1621="",E1621&lt;&gt;"Dépense"),"⚠ Prospect manquant",IF(E1621="","⚠ Action manquante",IF(AND(AU1621=1,D1621=""),"⚠ Canal manquant",IF(AND(W1621&lt;&gt;"",COUNTIFS('Saisie'!$W$5:$W$2004,W1621,'Saisie'!$C$5:$C$2004,"&lt;&gt;"&amp;C1621)&gt;0),"⚠ Numéro déjà utilisé par un autre prospect",IF(AND(J1621&lt;&gt;"",J1621&lt;A1621),"⚠ Relance avant la date de l'action",IF(A1621&gt;TODAY(),"⚠ Date dans le futur","✓"))))))))</f>
        <v/>
      </c>
      <c r="AS1621" s="61">
        <f>IF(AND(A1621="",C1621="",E1621=""),"",ROW())</f>
        <v/>
      </c>
      <c r="AT1621" s="61">
        <f>IF(E1621&amp;F1621="","",MAX(IFERROR(INDEX('Paramètres'!$J$6:$J$33,MATCH(E1621,'Paramètres'!$I$6:$I$33,0)),0),IFERROR(INDEX('Paramètres'!$N$6:$N$17,MATCH(F1621,'Paramètres'!$M$6:$M$17,0)),0)))</f>
        <v/>
      </c>
      <c r="AU1621" s="61">
        <f>IF(E1621="","",IFERROR(IF(INDEX('Paramètres'!$K$6:$K$33,MATCH(E1621,'Paramètres'!$I$6:$I$33,0))="Oui",1,0),0))</f>
        <v/>
      </c>
      <c r="AV1621" s="61">
        <f>IF(F1621="","",IFERROR(IF(INDEX('Paramètres'!$O$6:$O$17,MATCH(F1621,'Paramètres'!$M$6:$M$17,0))="Oui",1,0),0))</f>
        <v/>
      </c>
      <c r="AW1621" s="62">
        <f>IF(E1621="","",IF(G1621&lt;&gt;"",G1621,IF(OR(E1621="Proposition envoyée",E1621="Signature"),MAX(0,N(IFERROR(INDEX('Paramètres'!$R$6:$R$15,MATCH(IF(AL1621&lt;&gt;"",AL1621,IFERROR(INDEX('Prospects'!$AN$5:$AN$504,MATCH(C1621,'Prospects'!$C$5:$C$504,0)),"")),'Paramètres'!$Q$6:$Q$15,0)),0))-N(P1621)),0)))</f>
        <v/>
      </c>
      <c r="AX1621" s="61">
        <f>IF(C1621="","",IF(COUNTIF($C$5:C1621,C1621)=1,MAX($AX$4:AX1620)+1,""))</f>
        <v/>
      </c>
      <c r="AY1621" s="61">
        <f>IF(B1621="","",HOUR(B1621))</f>
        <v/>
      </c>
      <c r="AZ1621" s="61">
        <f>IF(A1621="","",MOD(A1621-2,7)+1)</f>
        <v/>
      </c>
      <c r="BA1621" s="60">
        <f>IF(C1621="","",IFERROR(INDEX('Prospects'!$N$5:$N$504,MATCH(C1621,'Prospects'!$C$5:$C$504,0)),""))</f>
        <v/>
      </c>
      <c r="BB1621" s="61">
        <f>IF(AND(C1621&lt;&gt;"",C1621='Fiche prospect'!$C$4),COUNTIF($C$5:C1621,C1621),"")</f>
        <v/>
      </c>
    </row>
    <row r="1622">
      <c r="A1622" s="53" t="n"/>
      <c r="B1622" s="54" t="n"/>
      <c r="C1622" s="55" t="n"/>
      <c r="D1622" s="55" t="n"/>
      <c r="E1622" s="55" t="n"/>
      <c r="F1622" s="55" t="n"/>
      <c r="G1622" s="56" t="n"/>
      <c r="H1622" s="57" t="n"/>
      <c r="I1622" s="55" t="n"/>
      <c r="J1622" s="53" t="n"/>
      <c r="K1622" s="54" t="n"/>
      <c r="L1622" s="55" t="n"/>
      <c r="M1622" s="55" t="n"/>
      <c r="N1622" s="57" t="n"/>
      <c r="O1622" s="55" t="n"/>
      <c r="P1622" s="56" t="n"/>
      <c r="Q1622" s="55" t="n"/>
      <c r="R1622" s="55" t="n"/>
      <c r="S1622" s="55" t="n"/>
      <c r="T1622" s="55" t="n"/>
      <c r="U1622" s="55" t="n"/>
      <c r="V1622" s="55" t="n"/>
      <c r="W1622" s="58" t="n"/>
      <c r="X1622" s="58" t="n"/>
      <c r="Y1622" s="55" t="n"/>
      <c r="Z1622" s="55" t="n"/>
      <c r="AA1622" s="55" t="n"/>
      <c r="AB1622" s="55" t="n"/>
      <c r="AC1622" s="55" t="n"/>
      <c r="AD1622" s="53" t="n"/>
      <c r="AE1622" s="55" t="n"/>
      <c r="AF1622" s="55" t="n"/>
      <c r="AG1622" s="59" t="n"/>
      <c r="AH1622" s="57" t="n"/>
      <c r="AI1622" s="55" t="n"/>
      <c r="AJ1622" s="55" t="n"/>
      <c r="AK1622" s="55" t="n"/>
      <c r="AL1622" s="55" t="n"/>
      <c r="AM1622" s="56" t="n"/>
      <c r="AN1622" s="55" t="n"/>
      <c r="AO1622" s="55" t="n"/>
      <c r="AP1622" s="55" t="n"/>
      <c r="AQ1622" s="55" t="n"/>
      <c r="AR1622" s="60">
        <f>IF(AND(C1622="",E1622=""),"",IF(A1622="","⚠ Date manquante",IF(AND(C1622="",E1622&lt;&gt;"Dépense"),"⚠ Prospect manquant",IF(E1622="","⚠ Action manquante",IF(AND(AU1622=1,D1622=""),"⚠ Canal manquant",IF(AND(W1622&lt;&gt;"",COUNTIFS('Saisie'!$W$5:$W$2004,W1622,'Saisie'!$C$5:$C$2004,"&lt;&gt;"&amp;C1622)&gt;0),"⚠ Numéro déjà utilisé par un autre prospect",IF(AND(J1622&lt;&gt;"",J1622&lt;A1622),"⚠ Relance avant la date de l'action",IF(A1622&gt;TODAY(),"⚠ Date dans le futur","✓"))))))))</f>
        <v/>
      </c>
      <c r="AS1622" s="61">
        <f>IF(AND(A1622="",C1622="",E1622=""),"",ROW())</f>
        <v/>
      </c>
      <c r="AT1622" s="61">
        <f>IF(E1622&amp;F1622="","",MAX(IFERROR(INDEX('Paramètres'!$J$6:$J$33,MATCH(E1622,'Paramètres'!$I$6:$I$33,0)),0),IFERROR(INDEX('Paramètres'!$N$6:$N$17,MATCH(F1622,'Paramètres'!$M$6:$M$17,0)),0)))</f>
        <v/>
      </c>
      <c r="AU1622" s="61">
        <f>IF(E1622="","",IFERROR(IF(INDEX('Paramètres'!$K$6:$K$33,MATCH(E1622,'Paramètres'!$I$6:$I$33,0))="Oui",1,0),0))</f>
        <v/>
      </c>
      <c r="AV1622" s="61">
        <f>IF(F1622="","",IFERROR(IF(INDEX('Paramètres'!$O$6:$O$17,MATCH(F1622,'Paramètres'!$M$6:$M$17,0))="Oui",1,0),0))</f>
        <v/>
      </c>
      <c r="AW1622" s="62">
        <f>IF(E1622="","",IF(G1622&lt;&gt;"",G1622,IF(OR(E1622="Proposition envoyée",E1622="Signature"),MAX(0,N(IFERROR(INDEX('Paramètres'!$R$6:$R$15,MATCH(IF(AL1622&lt;&gt;"",AL1622,IFERROR(INDEX('Prospects'!$AN$5:$AN$504,MATCH(C1622,'Prospects'!$C$5:$C$504,0)),"")),'Paramètres'!$Q$6:$Q$15,0)),0))-N(P1622)),0)))</f>
        <v/>
      </c>
      <c r="AX1622" s="61">
        <f>IF(C1622="","",IF(COUNTIF($C$5:C1622,C1622)=1,MAX($AX$4:AX1621)+1,""))</f>
        <v/>
      </c>
      <c r="AY1622" s="61">
        <f>IF(B1622="","",HOUR(B1622))</f>
        <v/>
      </c>
      <c r="AZ1622" s="61">
        <f>IF(A1622="","",MOD(A1622-2,7)+1)</f>
        <v/>
      </c>
      <c r="BA1622" s="60">
        <f>IF(C1622="","",IFERROR(INDEX('Prospects'!$N$5:$N$504,MATCH(C1622,'Prospects'!$C$5:$C$504,0)),""))</f>
        <v/>
      </c>
      <c r="BB1622" s="61">
        <f>IF(AND(C1622&lt;&gt;"",C1622='Fiche prospect'!$C$4),COUNTIF($C$5:C1622,C1622),"")</f>
        <v/>
      </c>
    </row>
    <row r="1623">
      <c r="A1623" s="53" t="n"/>
      <c r="B1623" s="54" t="n"/>
      <c r="C1623" s="55" t="n"/>
      <c r="D1623" s="55" t="n"/>
      <c r="E1623" s="55" t="n"/>
      <c r="F1623" s="55" t="n"/>
      <c r="G1623" s="56" t="n"/>
      <c r="H1623" s="57" t="n"/>
      <c r="I1623" s="55" t="n"/>
      <c r="J1623" s="53" t="n"/>
      <c r="K1623" s="54" t="n"/>
      <c r="L1623" s="55" t="n"/>
      <c r="M1623" s="55" t="n"/>
      <c r="N1623" s="57" t="n"/>
      <c r="O1623" s="55" t="n"/>
      <c r="P1623" s="56" t="n"/>
      <c r="Q1623" s="55" t="n"/>
      <c r="R1623" s="55" t="n"/>
      <c r="S1623" s="55" t="n"/>
      <c r="T1623" s="55" t="n"/>
      <c r="U1623" s="55" t="n"/>
      <c r="V1623" s="55" t="n"/>
      <c r="W1623" s="58" t="n"/>
      <c r="X1623" s="58" t="n"/>
      <c r="Y1623" s="55" t="n"/>
      <c r="Z1623" s="55" t="n"/>
      <c r="AA1623" s="55" t="n"/>
      <c r="AB1623" s="55" t="n"/>
      <c r="AC1623" s="55" t="n"/>
      <c r="AD1623" s="53" t="n"/>
      <c r="AE1623" s="55" t="n"/>
      <c r="AF1623" s="55" t="n"/>
      <c r="AG1623" s="59" t="n"/>
      <c r="AH1623" s="57" t="n"/>
      <c r="AI1623" s="55" t="n"/>
      <c r="AJ1623" s="55" t="n"/>
      <c r="AK1623" s="55" t="n"/>
      <c r="AL1623" s="55" t="n"/>
      <c r="AM1623" s="56" t="n"/>
      <c r="AN1623" s="55" t="n"/>
      <c r="AO1623" s="55" t="n"/>
      <c r="AP1623" s="55" t="n"/>
      <c r="AQ1623" s="55" t="n"/>
      <c r="AR1623" s="60">
        <f>IF(AND(C1623="",E1623=""),"",IF(A1623="","⚠ Date manquante",IF(AND(C1623="",E1623&lt;&gt;"Dépense"),"⚠ Prospect manquant",IF(E1623="","⚠ Action manquante",IF(AND(AU1623=1,D1623=""),"⚠ Canal manquant",IF(AND(W1623&lt;&gt;"",COUNTIFS('Saisie'!$W$5:$W$2004,W1623,'Saisie'!$C$5:$C$2004,"&lt;&gt;"&amp;C1623)&gt;0),"⚠ Numéro déjà utilisé par un autre prospect",IF(AND(J1623&lt;&gt;"",J1623&lt;A1623),"⚠ Relance avant la date de l'action",IF(A1623&gt;TODAY(),"⚠ Date dans le futur","✓"))))))))</f>
        <v/>
      </c>
      <c r="AS1623" s="61">
        <f>IF(AND(A1623="",C1623="",E1623=""),"",ROW())</f>
        <v/>
      </c>
      <c r="AT1623" s="61">
        <f>IF(E1623&amp;F1623="","",MAX(IFERROR(INDEX('Paramètres'!$J$6:$J$33,MATCH(E1623,'Paramètres'!$I$6:$I$33,0)),0),IFERROR(INDEX('Paramètres'!$N$6:$N$17,MATCH(F1623,'Paramètres'!$M$6:$M$17,0)),0)))</f>
        <v/>
      </c>
      <c r="AU1623" s="61">
        <f>IF(E1623="","",IFERROR(IF(INDEX('Paramètres'!$K$6:$K$33,MATCH(E1623,'Paramètres'!$I$6:$I$33,0))="Oui",1,0),0))</f>
        <v/>
      </c>
      <c r="AV1623" s="61">
        <f>IF(F1623="","",IFERROR(IF(INDEX('Paramètres'!$O$6:$O$17,MATCH(F1623,'Paramètres'!$M$6:$M$17,0))="Oui",1,0),0))</f>
        <v/>
      </c>
      <c r="AW1623" s="62">
        <f>IF(E1623="","",IF(G1623&lt;&gt;"",G1623,IF(OR(E1623="Proposition envoyée",E1623="Signature"),MAX(0,N(IFERROR(INDEX('Paramètres'!$R$6:$R$15,MATCH(IF(AL1623&lt;&gt;"",AL1623,IFERROR(INDEX('Prospects'!$AN$5:$AN$504,MATCH(C1623,'Prospects'!$C$5:$C$504,0)),"")),'Paramètres'!$Q$6:$Q$15,0)),0))-N(P1623)),0)))</f>
        <v/>
      </c>
      <c r="AX1623" s="61">
        <f>IF(C1623="","",IF(COUNTIF($C$5:C1623,C1623)=1,MAX($AX$4:AX1622)+1,""))</f>
        <v/>
      </c>
      <c r="AY1623" s="61">
        <f>IF(B1623="","",HOUR(B1623))</f>
        <v/>
      </c>
      <c r="AZ1623" s="61">
        <f>IF(A1623="","",MOD(A1623-2,7)+1)</f>
        <v/>
      </c>
      <c r="BA1623" s="60">
        <f>IF(C1623="","",IFERROR(INDEX('Prospects'!$N$5:$N$504,MATCH(C1623,'Prospects'!$C$5:$C$504,0)),""))</f>
        <v/>
      </c>
      <c r="BB1623" s="61">
        <f>IF(AND(C1623&lt;&gt;"",C1623='Fiche prospect'!$C$4),COUNTIF($C$5:C1623,C1623),"")</f>
        <v/>
      </c>
    </row>
    <row r="1624">
      <c r="A1624" s="53" t="n"/>
      <c r="B1624" s="54" t="n"/>
      <c r="C1624" s="55" t="n"/>
      <c r="D1624" s="55" t="n"/>
      <c r="E1624" s="55" t="n"/>
      <c r="F1624" s="55" t="n"/>
      <c r="G1624" s="56" t="n"/>
      <c r="H1624" s="57" t="n"/>
      <c r="I1624" s="55" t="n"/>
      <c r="J1624" s="53" t="n"/>
      <c r="K1624" s="54" t="n"/>
      <c r="L1624" s="55" t="n"/>
      <c r="M1624" s="55" t="n"/>
      <c r="N1624" s="57" t="n"/>
      <c r="O1624" s="55" t="n"/>
      <c r="P1624" s="56" t="n"/>
      <c r="Q1624" s="55" t="n"/>
      <c r="R1624" s="55" t="n"/>
      <c r="S1624" s="55" t="n"/>
      <c r="T1624" s="55" t="n"/>
      <c r="U1624" s="55" t="n"/>
      <c r="V1624" s="55" t="n"/>
      <c r="W1624" s="58" t="n"/>
      <c r="X1624" s="58" t="n"/>
      <c r="Y1624" s="55" t="n"/>
      <c r="Z1624" s="55" t="n"/>
      <c r="AA1624" s="55" t="n"/>
      <c r="AB1624" s="55" t="n"/>
      <c r="AC1624" s="55" t="n"/>
      <c r="AD1624" s="53" t="n"/>
      <c r="AE1624" s="55" t="n"/>
      <c r="AF1624" s="55" t="n"/>
      <c r="AG1624" s="59" t="n"/>
      <c r="AH1624" s="57" t="n"/>
      <c r="AI1624" s="55" t="n"/>
      <c r="AJ1624" s="55" t="n"/>
      <c r="AK1624" s="55" t="n"/>
      <c r="AL1624" s="55" t="n"/>
      <c r="AM1624" s="56" t="n"/>
      <c r="AN1624" s="55" t="n"/>
      <c r="AO1624" s="55" t="n"/>
      <c r="AP1624" s="55" t="n"/>
      <c r="AQ1624" s="55" t="n"/>
      <c r="AR1624" s="60">
        <f>IF(AND(C1624="",E1624=""),"",IF(A1624="","⚠ Date manquante",IF(AND(C1624="",E1624&lt;&gt;"Dépense"),"⚠ Prospect manquant",IF(E1624="","⚠ Action manquante",IF(AND(AU1624=1,D1624=""),"⚠ Canal manquant",IF(AND(W1624&lt;&gt;"",COUNTIFS('Saisie'!$W$5:$W$2004,W1624,'Saisie'!$C$5:$C$2004,"&lt;&gt;"&amp;C1624)&gt;0),"⚠ Numéro déjà utilisé par un autre prospect",IF(AND(J1624&lt;&gt;"",J1624&lt;A1624),"⚠ Relance avant la date de l'action",IF(A1624&gt;TODAY(),"⚠ Date dans le futur","✓"))))))))</f>
        <v/>
      </c>
      <c r="AS1624" s="61">
        <f>IF(AND(A1624="",C1624="",E1624=""),"",ROW())</f>
        <v/>
      </c>
      <c r="AT1624" s="61">
        <f>IF(E1624&amp;F1624="","",MAX(IFERROR(INDEX('Paramètres'!$J$6:$J$33,MATCH(E1624,'Paramètres'!$I$6:$I$33,0)),0),IFERROR(INDEX('Paramètres'!$N$6:$N$17,MATCH(F1624,'Paramètres'!$M$6:$M$17,0)),0)))</f>
        <v/>
      </c>
      <c r="AU1624" s="61">
        <f>IF(E1624="","",IFERROR(IF(INDEX('Paramètres'!$K$6:$K$33,MATCH(E1624,'Paramètres'!$I$6:$I$33,0))="Oui",1,0),0))</f>
        <v/>
      </c>
      <c r="AV1624" s="61">
        <f>IF(F1624="","",IFERROR(IF(INDEX('Paramètres'!$O$6:$O$17,MATCH(F1624,'Paramètres'!$M$6:$M$17,0))="Oui",1,0),0))</f>
        <v/>
      </c>
      <c r="AW1624" s="62">
        <f>IF(E1624="","",IF(G1624&lt;&gt;"",G1624,IF(OR(E1624="Proposition envoyée",E1624="Signature"),MAX(0,N(IFERROR(INDEX('Paramètres'!$R$6:$R$15,MATCH(IF(AL1624&lt;&gt;"",AL1624,IFERROR(INDEX('Prospects'!$AN$5:$AN$504,MATCH(C1624,'Prospects'!$C$5:$C$504,0)),"")),'Paramètres'!$Q$6:$Q$15,0)),0))-N(P1624)),0)))</f>
        <v/>
      </c>
      <c r="AX1624" s="61">
        <f>IF(C1624="","",IF(COUNTIF($C$5:C1624,C1624)=1,MAX($AX$4:AX1623)+1,""))</f>
        <v/>
      </c>
      <c r="AY1624" s="61">
        <f>IF(B1624="","",HOUR(B1624))</f>
        <v/>
      </c>
      <c r="AZ1624" s="61">
        <f>IF(A1624="","",MOD(A1624-2,7)+1)</f>
        <v/>
      </c>
      <c r="BA1624" s="60">
        <f>IF(C1624="","",IFERROR(INDEX('Prospects'!$N$5:$N$504,MATCH(C1624,'Prospects'!$C$5:$C$504,0)),""))</f>
        <v/>
      </c>
      <c r="BB1624" s="61">
        <f>IF(AND(C1624&lt;&gt;"",C1624='Fiche prospect'!$C$4),COUNTIF($C$5:C1624,C1624),"")</f>
        <v/>
      </c>
    </row>
    <row r="1625">
      <c r="A1625" s="53" t="n"/>
      <c r="B1625" s="54" t="n"/>
      <c r="C1625" s="55" t="n"/>
      <c r="D1625" s="55" t="n"/>
      <c r="E1625" s="55" t="n"/>
      <c r="F1625" s="55" t="n"/>
      <c r="G1625" s="56" t="n"/>
      <c r="H1625" s="57" t="n"/>
      <c r="I1625" s="55" t="n"/>
      <c r="J1625" s="53" t="n"/>
      <c r="K1625" s="54" t="n"/>
      <c r="L1625" s="55" t="n"/>
      <c r="M1625" s="55" t="n"/>
      <c r="N1625" s="57" t="n"/>
      <c r="O1625" s="55" t="n"/>
      <c r="P1625" s="56" t="n"/>
      <c r="Q1625" s="55" t="n"/>
      <c r="R1625" s="55" t="n"/>
      <c r="S1625" s="55" t="n"/>
      <c r="T1625" s="55" t="n"/>
      <c r="U1625" s="55" t="n"/>
      <c r="V1625" s="55" t="n"/>
      <c r="W1625" s="58" t="n"/>
      <c r="X1625" s="58" t="n"/>
      <c r="Y1625" s="55" t="n"/>
      <c r="Z1625" s="55" t="n"/>
      <c r="AA1625" s="55" t="n"/>
      <c r="AB1625" s="55" t="n"/>
      <c r="AC1625" s="55" t="n"/>
      <c r="AD1625" s="53" t="n"/>
      <c r="AE1625" s="55" t="n"/>
      <c r="AF1625" s="55" t="n"/>
      <c r="AG1625" s="59" t="n"/>
      <c r="AH1625" s="57" t="n"/>
      <c r="AI1625" s="55" t="n"/>
      <c r="AJ1625" s="55" t="n"/>
      <c r="AK1625" s="55" t="n"/>
      <c r="AL1625" s="55" t="n"/>
      <c r="AM1625" s="56" t="n"/>
      <c r="AN1625" s="55" t="n"/>
      <c r="AO1625" s="55" t="n"/>
      <c r="AP1625" s="55" t="n"/>
      <c r="AQ1625" s="55" t="n"/>
      <c r="AR1625" s="60">
        <f>IF(AND(C1625="",E1625=""),"",IF(A1625="","⚠ Date manquante",IF(AND(C1625="",E1625&lt;&gt;"Dépense"),"⚠ Prospect manquant",IF(E1625="","⚠ Action manquante",IF(AND(AU1625=1,D1625=""),"⚠ Canal manquant",IF(AND(W1625&lt;&gt;"",COUNTIFS('Saisie'!$W$5:$W$2004,W1625,'Saisie'!$C$5:$C$2004,"&lt;&gt;"&amp;C1625)&gt;0),"⚠ Numéro déjà utilisé par un autre prospect",IF(AND(J1625&lt;&gt;"",J1625&lt;A1625),"⚠ Relance avant la date de l'action",IF(A1625&gt;TODAY(),"⚠ Date dans le futur","✓"))))))))</f>
        <v/>
      </c>
      <c r="AS1625" s="61">
        <f>IF(AND(A1625="",C1625="",E1625=""),"",ROW())</f>
        <v/>
      </c>
      <c r="AT1625" s="61">
        <f>IF(E1625&amp;F1625="","",MAX(IFERROR(INDEX('Paramètres'!$J$6:$J$33,MATCH(E1625,'Paramètres'!$I$6:$I$33,0)),0),IFERROR(INDEX('Paramètres'!$N$6:$N$17,MATCH(F1625,'Paramètres'!$M$6:$M$17,0)),0)))</f>
        <v/>
      </c>
      <c r="AU1625" s="61">
        <f>IF(E1625="","",IFERROR(IF(INDEX('Paramètres'!$K$6:$K$33,MATCH(E1625,'Paramètres'!$I$6:$I$33,0))="Oui",1,0),0))</f>
        <v/>
      </c>
      <c r="AV1625" s="61">
        <f>IF(F1625="","",IFERROR(IF(INDEX('Paramètres'!$O$6:$O$17,MATCH(F1625,'Paramètres'!$M$6:$M$17,0))="Oui",1,0),0))</f>
        <v/>
      </c>
      <c r="AW1625" s="62">
        <f>IF(E1625="","",IF(G1625&lt;&gt;"",G1625,IF(OR(E1625="Proposition envoyée",E1625="Signature"),MAX(0,N(IFERROR(INDEX('Paramètres'!$R$6:$R$15,MATCH(IF(AL1625&lt;&gt;"",AL1625,IFERROR(INDEX('Prospects'!$AN$5:$AN$504,MATCH(C1625,'Prospects'!$C$5:$C$504,0)),"")),'Paramètres'!$Q$6:$Q$15,0)),0))-N(P1625)),0)))</f>
        <v/>
      </c>
      <c r="AX1625" s="61">
        <f>IF(C1625="","",IF(COUNTIF($C$5:C1625,C1625)=1,MAX($AX$4:AX1624)+1,""))</f>
        <v/>
      </c>
      <c r="AY1625" s="61">
        <f>IF(B1625="","",HOUR(B1625))</f>
        <v/>
      </c>
      <c r="AZ1625" s="61">
        <f>IF(A1625="","",MOD(A1625-2,7)+1)</f>
        <v/>
      </c>
      <c r="BA1625" s="60">
        <f>IF(C1625="","",IFERROR(INDEX('Prospects'!$N$5:$N$504,MATCH(C1625,'Prospects'!$C$5:$C$504,0)),""))</f>
        <v/>
      </c>
      <c r="BB1625" s="61">
        <f>IF(AND(C1625&lt;&gt;"",C1625='Fiche prospect'!$C$4),COUNTIF($C$5:C1625,C1625),"")</f>
        <v/>
      </c>
    </row>
    <row r="1626">
      <c r="A1626" s="53" t="n"/>
      <c r="B1626" s="54" t="n"/>
      <c r="C1626" s="55" t="n"/>
      <c r="D1626" s="55" t="n"/>
      <c r="E1626" s="55" t="n"/>
      <c r="F1626" s="55" t="n"/>
      <c r="G1626" s="56" t="n"/>
      <c r="H1626" s="57" t="n"/>
      <c r="I1626" s="55" t="n"/>
      <c r="J1626" s="53" t="n"/>
      <c r="K1626" s="54" t="n"/>
      <c r="L1626" s="55" t="n"/>
      <c r="M1626" s="55" t="n"/>
      <c r="N1626" s="57" t="n"/>
      <c r="O1626" s="55" t="n"/>
      <c r="P1626" s="56" t="n"/>
      <c r="Q1626" s="55" t="n"/>
      <c r="R1626" s="55" t="n"/>
      <c r="S1626" s="55" t="n"/>
      <c r="T1626" s="55" t="n"/>
      <c r="U1626" s="55" t="n"/>
      <c r="V1626" s="55" t="n"/>
      <c r="W1626" s="58" t="n"/>
      <c r="X1626" s="58" t="n"/>
      <c r="Y1626" s="55" t="n"/>
      <c r="Z1626" s="55" t="n"/>
      <c r="AA1626" s="55" t="n"/>
      <c r="AB1626" s="55" t="n"/>
      <c r="AC1626" s="55" t="n"/>
      <c r="AD1626" s="53" t="n"/>
      <c r="AE1626" s="55" t="n"/>
      <c r="AF1626" s="55" t="n"/>
      <c r="AG1626" s="59" t="n"/>
      <c r="AH1626" s="57" t="n"/>
      <c r="AI1626" s="55" t="n"/>
      <c r="AJ1626" s="55" t="n"/>
      <c r="AK1626" s="55" t="n"/>
      <c r="AL1626" s="55" t="n"/>
      <c r="AM1626" s="56" t="n"/>
      <c r="AN1626" s="55" t="n"/>
      <c r="AO1626" s="55" t="n"/>
      <c r="AP1626" s="55" t="n"/>
      <c r="AQ1626" s="55" t="n"/>
      <c r="AR1626" s="60">
        <f>IF(AND(C1626="",E1626=""),"",IF(A1626="","⚠ Date manquante",IF(AND(C1626="",E1626&lt;&gt;"Dépense"),"⚠ Prospect manquant",IF(E1626="","⚠ Action manquante",IF(AND(AU1626=1,D1626=""),"⚠ Canal manquant",IF(AND(W1626&lt;&gt;"",COUNTIFS('Saisie'!$W$5:$W$2004,W1626,'Saisie'!$C$5:$C$2004,"&lt;&gt;"&amp;C1626)&gt;0),"⚠ Numéro déjà utilisé par un autre prospect",IF(AND(J1626&lt;&gt;"",J1626&lt;A1626),"⚠ Relance avant la date de l'action",IF(A1626&gt;TODAY(),"⚠ Date dans le futur","✓"))))))))</f>
        <v/>
      </c>
      <c r="AS1626" s="61">
        <f>IF(AND(A1626="",C1626="",E1626=""),"",ROW())</f>
        <v/>
      </c>
      <c r="AT1626" s="61">
        <f>IF(E1626&amp;F1626="","",MAX(IFERROR(INDEX('Paramètres'!$J$6:$J$33,MATCH(E1626,'Paramètres'!$I$6:$I$33,0)),0),IFERROR(INDEX('Paramètres'!$N$6:$N$17,MATCH(F1626,'Paramètres'!$M$6:$M$17,0)),0)))</f>
        <v/>
      </c>
      <c r="AU1626" s="61">
        <f>IF(E1626="","",IFERROR(IF(INDEX('Paramètres'!$K$6:$K$33,MATCH(E1626,'Paramètres'!$I$6:$I$33,0))="Oui",1,0),0))</f>
        <v/>
      </c>
      <c r="AV1626" s="61">
        <f>IF(F1626="","",IFERROR(IF(INDEX('Paramètres'!$O$6:$O$17,MATCH(F1626,'Paramètres'!$M$6:$M$17,0))="Oui",1,0),0))</f>
        <v/>
      </c>
      <c r="AW1626" s="62">
        <f>IF(E1626="","",IF(G1626&lt;&gt;"",G1626,IF(OR(E1626="Proposition envoyée",E1626="Signature"),MAX(0,N(IFERROR(INDEX('Paramètres'!$R$6:$R$15,MATCH(IF(AL1626&lt;&gt;"",AL1626,IFERROR(INDEX('Prospects'!$AN$5:$AN$504,MATCH(C1626,'Prospects'!$C$5:$C$504,0)),"")),'Paramètres'!$Q$6:$Q$15,0)),0))-N(P1626)),0)))</f>
        <v/>
      </c>
      <c r="AX1626" s="61">
        <f>IF(C1626="","",IF(COUNTIF($C$5:C1626,C1626)=1,MAX($AX$4:AX1625)+1,""))</f>
        <v/>
      </c>
      <c r="AY1626" s="61">
        <f>IF(B1626="","",HOUR(B1626))</f>
        <v/>
      </c>
      <c r="AZ1626" s="61">
        <f>IF(A1626="","",MOD(A1626-2,7)+1)</f>
        <v/>
      </c>
      <c r="BA1626" s="60">
        <f>IF(C1626="","",IFERROR(INDEX('Prospects'!$N$5:$N$504,MATCH(C1626,'Prospects'!$C$5:$C$504,0)),""))</f>
        <v/>
      </c>
      <c r="BB1626" s="61">
        <f>IF(AND(C1626&lt;&gt;"",C1626='Fiche prospect'!$C$4),COUNTIF($C$5:C1626,C1626),"")</f>
        <v/>
      </c>
    </row>
    <row r="1627">
      <c r="A1627" s="53" t="n"/>
      <c r="B1627" s="54" t="n"/>
      <c r="C1627" s="55" t="n"/>
      <c r="D1627" s="55" t="n"/>
      <c r="E1627" s="55" t="n"/>
      <c r="F1627" s="55" t="n"/>
      <c r="G1627" s="56" t="n"/>
      <c r="H1627" s="57" t="n"/>
      <c r="I1627" s="55" t="n"/>
      <c r="J1627" s="53" t="n"/>
      <c r="K1627" s="54" t="n"/>
      <c r="L1627" s="55" t="n"/>
      <c r="M1627" s="55" t="n"/>
      <c r="N1627" s="57" t="n"/>
      <c r="O1627" s="55" t="n"/>
      <c r="P1627" s="56" t="n"/>
      <c r="Q1627" s="55" t="n"/>
      <c r="R1627" s="55" t="n"/>
      <c r="S1627" s="55" t="n"/>
      <c r="T1627" s="55" t="n"/>
      <c r="U1627" s="55" t="n"/>
      <c r="V1627" s="55" t="n"/>
      <c r="W1627" s="58" t="n"/>
      <c r="X1627" s="58" t="n"/>
      <c r="Y1627" s="55" t="n"/>
      <c r="Z1627" s="55" t="n"/>
      <c r="AA1627" s="55" t="n"/>
      <c r="AB1627" s="55" t="n"/>
      <c r="AC1627" s="55" t="n"/>
      <c r="AD1627" s="53" t="n"/>
      <c r="AE1627" s="55" t="n"/>
      <c r="AF1627" s="55" t="n"/>
      <c r="AG1627" s="59" t="n"/>
      <c r="AH1627" s="57" t="n"/>
      <c r="AI1627" s="55" t="n"/>
      <c r="AJ1627" s="55" t="n"/>
      <c r="AK1627" s="55" t="n"/>
      <c r="AL1627" s="55" t="n"/>
      <c r="AM1627" s="56" t="n"/>
      <c r="AN1627" s="55" t="n"/>
      <c r="AO1627" s="55" t="n"/>
      <c r="AP1627" s="55" t="n"/>
      <c r="AQ1627" s="55" t="n"/>
      <c r="AR1627" s="60">
        <f>IF(AND(C1627="",E1627=""),"",IF(A1627="","⚠ Date manquante",IF(AND(C1627="",E1627&lt;&gt;"Dépense"),"⚠ Prospect manquant",IF(E1627="","⚠ Action manquante",IF(AND(AU1627=1,D1627=""),"⚠ Canal manquant",IF(AND(W1627&lt;&gt;"",COUNTIFS('Saisie'!$W$5:$W$2004,W1627,'Saisie'!$C$5:$C$2004,"&lt;&gt;"&amp;C1627)&gt;0),"⚠ Numéro déjà utilisé par un autre prospect",IF(AND(J1627&lt;&gt;"",J1627&lt;A1627),"⚠ Relance avant la date de l'action",IF(A1627&gt;TODAY(),"⚠ Date dans le futur","✓"))))))))</f>
        <v/>
      </c>
      <c r="AS1627" s="61">
        <f>IF(AND(A1627="",C1627="",E1627=""),"",ROW())</f>
        <v/>
      </c>
      <c r="AT1627" s="61">
        <f>IF(E1627&amp;F1627="","",MAX(IFERROR(INDEX('Paramètres'!$J$6:$J$33,MATCH(E1627,'Paramètres'!$I$6:$I$33,0)),0),IFERROR(INDEX('Paramètres'!$N$6:$N$17,MATCH(F1627,'Paramètres'!$M$6:$M$17,0)),0)))</f>
        <v/>
      </c>
      <c r="AU1627" s="61">
        <f>IF(E1627="","",IFERROR(IF(INDEX('Paramètres'!$K$6:$K$33,MATCH(E1627,'Paramètres'!$I$6:$I$33,0))="Oui",1,0),0))</f>
        <v/>
      </c>
      <c r="AV1627" s="61">
        <f>IF(F1627="","",IFERROR(IF(INDEX('Paramètres'!$O$6:$O$17,MATCH(F1627,'Paramètres'!$M$6:$M$17,0))="Oui",1,0),0))</f>
        <v/>
      </c>
      <c r="AW1627" s="62">
        <f>IF(E1627="","",IF(G1627&lt;&gt;"",G1627,IF(OR(E1627="Proposition envoyée",E1627="Signature"),MAX(0,N(IFERROR(INDEX('Paramètres'!$R$6:$R$15,MATCH(IF(AL1627&lt;&gt;"",AL1627,IFERROR(INDEX('Prospects'!$AN$5:$AN$504,MATCH(C1627,'Prospects'!$C$5:$C$504,0)),"")),'Paramètres'!$Q$6:$Q$15,0)),0))-N(P1627)),0)))</f>
        <v/>
      </c>
      <c r="AX1627" s="61">
        <f>IF(C1627="","",IF(COUNTIF($C$5:C1627,C1627)=1,MAX($AX$4:AX1626)+1,""))</f>
        <v/>
      </c>
      <c r="AY1627" s="61">
        <f>IF(B1627="","",HOUR(B1627))</f>
        <v/>
      </c>
      <c r="AZ1627" s="61">
        <f>IF(A1627="","",MOD(A1627-2,7)+1)</f>
        <v/>
      </c>
      <c r="BA1627" s="60">
        <f>IF(C1627="","",IFERROR(INDEX('Prospects'!$N$5:$N$504,MATCH(C1627,'Prospects'!$C$5:$C$504,0)),""))</f>
        <v/>
      </c>
      <c r="BB1627" s="61">
        <f>IF(AND(C1627&lt;&gt;"",C1627='Fiche prospect'!$C$4),COUNTIF($C$5:C1627,C1627),"")</f>
        <v/>
      </c>
    </row>
    <row r="1628">
      <c r="A1628" s="53" t="n"/>
      <c r="B1628" s="54" t="n"/>
      <c r="C1628" s="55" t="n"/>
      <c r="D1628" s="55" t="n"/>
      <c r="E1628" s="55" t="n"/>
      <c r="F1628" s="55" t="n"/>
      <c r="G1628" s="56" t="n"/>
      <c r="H1628" s="57" t="n"/>
      <c r="I1628" s="55" t="n"/>
      <c r="J1628" s="53" t="n"/>
      <c r="K1628" s="54" t="n"/>
      <c r="L1628" s="55" t="n"/>
      <c r="M1628" s="55" t="n"/>
      <c r="N1628" s="57" t="n"/>
      <c r="O1628" s="55" t="n"/>
      <c r="P1628" s="56" t="n"/>
      <c r="Q1628" s="55" t="n"/>
      <c r="R1628" s="55" t="n"/>
      <c r="S1628" s="55" t="n"/>
      <c r="T1628" s="55" t="n"/>
      <c r="U1628" s="55" t="n"/>
      <c r="V1628" s="55" t="n"/>
      <c r="W1628" s="58" t="n"/>
      <c r="X1628" s="58" t="n"/>
      <c r="Y1628" s="55" t="n"/>
      <c r="Z1628" s="55" t="n"/>
      <c r="AA1628" s="55" t="n"/>
      <c r="AB1628" s="55" t="n"/>
      <c r="AC1628" s="55" t="n"/>
      <c r="AD1628" s="53" t="n"/>
      <c r="AE1628" s="55" t="n"/>
      <c r="AF1628" s="55" t="n"/>
      <c r="AG1628" s="59" t="n"/>
      <c r="AH1628" s="57" t="n"/>
      <c r="AI1628" s="55" t="n"/>
      <c r="AJ1628" s="55" t="n"/>
      <c r="AK1628" s="55" t="n"/>
      <c r="AL1628" s="55" t="n"/>
      <c r="AM1628" s="56" t="n"/>
      <c r="AN1628" s="55" t="n"/>
      <c r="AO1628" s="55" t="n"/>
      <c r="AP1628" s="55" t="n"/>
      <c r="AQ1628" s="55" t="n"/>
      <c r="AR1628" s="60">
        <f>IF(AND(C1628="",E1628=""),"",IF(A1628="","⚠ Date manquante",IF(AND(C1628="",E1628&lt;&gt;"Dépense"),"⚠ Prospect manquant",IF(E1628="","⚠ Action manquante",IF(AND(AU1628=1,D1628=""),"⚠ Canal manquant",IF(AND(W1628&lt;&gt;"",COUNTIFS('Saisie'!$W$5:$W$2004,W1628,'Saisie'!$C$5:$C$2004,"&lt;&gt;"&amp;C1628)&gt;0),"⚠ Numéro déjà utilisé par un autre prospect",IF(AND(J1628&lt;&gt;"",J1628&lt;A1628),"⚠ Relance avant la date de l'action",IF(A1628&gt;TODAY(),"⚠ Date dans le futur","✓"))))))))</f>
        <v/>
      </c>
      <c r="AS1628" s="61">
        <f>IF(AND(A1628="",C1628="",E1628=""),"",ROW())</f>
        <v/>
      </c>
      <c r="AT1628" s="61">
        <f>IF(E1628&amp;F1628="","",MAX(IFERROR(INDEX('Paramètres'!$J$6:$J$33,MATCH(E1628,'Paramètres'!$I$6:$I$33,0)),0),IFERROR(INDEX('Paramètres'!$N$6:$N$17,MATCH(F1628,'Paramètres'!$M$6:$M$17,0)),0)))</f>
        <v/>
      </c>
      <c r="AU1628" s="61">
        <f>IF(E1628="","",IFERROR(IF(INDEX('Paramètres'!$K$6:$K$33,MATCH(E1628,'Paramètres'!$I$6:$I$33,0))="Oui",1,0),0))</f>
        <v/>
      </c>
      <c r="AV1628" s="61">
        <f>IF(F1628="","",IFERROR(IF(INDEX('Paramètres'!$O$6:$O$17,MATCH(F1628,'Paramètres'!$M$6:$M$17,0))="Oui",1,0),0))</f>
        <v/>
      </c>
      <c r="AW1628" s="62">
        <f>IF(E1628="","",IF(G1628&lt;&gt;"",G1628,IF(OR(E1628="Proposition envoyée",E1628="Signature"),MAX(0,N(IFERROR(INDEX('Paramètres'!$R$6:$R$15,MATCH(IF(AL1628&lt;&gt;"",AL1628,IFERROR(INDEX('Prospects'!$AN$5:$AN$504,MATCH(C1628,'Prospects'!$C$5:$C$504,0)),"")),'Paramètres'!$Q$6:$Q$15,0)),0))-N(P1628)),0)))</f>
        <v/>
      </c>
      <c r="AX1628" s="61">
        <f>IF(C1628="","",IF(COUNTIF($C$5:C1628,C1628)=1,MAX($AX$4:AX1627)+1,""))</f>
        <v/>
      </c>
      <c r="AY1628" s="61">
        <f>IF(B1628="","",HOUR(B1628))</f>
        <v/>
      </c>
      <c r="AZ1628" s="61">
        <f>IF(A1628="","",MOD(A1628-2,7)+1)</f>
        <v/>
      </c>
      <c r="BA1628" s="60">
        <f>IF(C1628="","",IFERROR(INDEX('Prospects'!$N$5:$N$504,MATCH(C1628,'Prospects'!$C$5:$C$504,0)),""))</f>
        <v/>
      </c>
      <c r="BB1628" s="61">
        <f>IF(AND(C1628&lt;&gt;"",C1628='Fiche prospect'!$C$4),COUNTIF($C$5:C1628,C1628),"")</f>
        <v/>
      </c>
    </row>
    <row r="1629">
      <c r="A1629" s="53" t="n"/>
      <c r="B1629" s="54" t="n"/>
      <c r="C1629" s="55" t="n"/>
      <c r="D1629" s="55" t="n"/>
      <c r="E1629" s="55" t="n"/>
      <c r="F1629" s="55" t="n"/>
      <c r="G1629" s="56" t="n"/>
      <c r="H1629" s="57" t="n"/>
      <c r="I1629" s="55" t="n"/>
      <c r="J1629" s="53" t="n"/>
      <c r="K1629" s="54" t="n"/>
      <c r="L1629" s="55" t="n"/>
      <c r="M1629" s="55" t="n"/>
      <c r="N1629" s="57" t="n"/>
      <c r="O1629" s="55" t="n"/>
      <c r="P1629" s="56" t="n"/>
      <c r="Q1629" s="55" t="n"/>
      <c r="R1629" s="55" t="n"/>
      <c r="S1629" s="55" t="n"/>
      <c r="T1629" s="55" t="n"/>
      <c r="U1629" s="55" t="n"/>
      <c r="V1629" s="55" t="n"/>
      <c r="W1629" s="58" t="n"/>
      <c r="X1629" s="58" t="n"/>
      <c r="Y1629" s="55" t="n"/>
      <c r="Z1629" s="55" t="n"/>
      <c r="AA1629" s="55" t="n"/>
      <c r="AB1629" s="55" t="n"/>
      <c r="AC1629" s="55" t="n"/>
      <c r="AD1629" s="53" t="n"/>
      <c r="AE1629" s="55" t="n"/>
      <c r="AF1629" s="55" t="n"/>
      <c r="AG1629" s="59" t="n"/>
      <c r="AH1629" s="57" t="n"/>
      <c r="AI1629" s="55" t="n"/>
      <c r="AJ1629" s="55" t="n"/>
      <c r="AK1629" s="55" t="n"/>
      <c r="AL1629" s="55" t="n"/>
      <c r="AM1629" s="56" t="n"/>
      <c r="AN1629" s="55" t="n"/>
      <c r="AO1629" s="55" t="n"/>
      <c r="AP1629" s="55" t="n"/>
      <c r="AQ1629" s="55" t="n"/>
      <c r="AR1629" s="60">
        <f>IF(AND(C1629="",E1629=""),"",IF(A1629="","⚠ Date manquante",IF(AND(C1629="",E1629&lt;&gt;"Dépense"),"⚠ Prospect manquant",IF(E1629="","⚠ Action manquante",IF(AND(AU1629=1,D1629=""),"⚠ Canal manquant",IF(AND(W1629&lt;&gt;"",COUNTIFS('Saisie'!$W$5:$W$2004,W1629,'Saisie'!$C$5:$C$2004,"&lt;&gt;"&amp;C1629)&gt;0),"⚠ Numéro déjà utilisé par un autre prospect",IF(AND(J1629&lt;&gt;"",J1629&lt;A1629),"⚠ Relance avant la date de l'action",IF(A1629&gt;TODAY(),"⚠ Date dans le futur","✓"))))))))</f>
        <v/>
      </c>
      <c r="AS1629" s="61">
        <f>IF(AND(A1629="",C1629="",E1629=""),"",ROW())</f>
        <v/>
      </c>
      <c r="AT1629" s="61">
        <f>IF(E1629&amp;F1629="","",MAX(IFERROR(INDEX('Paramètres'!$J$6:$J$33,MATCH(E1629,'Paramètres'!$I$6:$I$33,0)),0),IFERROR(INDEX('Paramètres'!$N$6:$N$17,MATCH(F1629,'Paramètres'!$M$6:$M$17,0)),0)))</f>
        <v/>
      </c>
      <c r="AU1629" s="61">
        <f>IF(E1629="","",IFERROR(IF(INDEX('Paramètres'!$K$6:$K$33,MATCH(E1629,'Paramètres'!$I$6:$I$33,0))="Oui",1,0),0))</f>
        <v/>
      </c>
      <c r="AV1629" s="61">
        <f>IF(F1629="","",IFERROR(IF(INDEX('Paramètres'!$O$6:$O$17,MATCH(F1629,'Paramètres'!$M$6:$M$17,0))="Oui",1,0),0))</f>
        <v/>
      </c>
      <c r="AW1629" s="62">
        <f>IF(E1629="","",IF(G1629&lt;&gt;"",G1629,IF(OR(E1629="Proposition envoyée",E1629="Signature"),MAX(0,N(IFERROR(INDEX('Paramètres'!$R$6:$R$15,MATCH(IF(AL1629&lt;&gt;"",AL1629,IFERROR(INDEX('Prospects'!$AN$5:$AN$504,MATCH(C1629,'Prospects'!$C$5:$C$504,0)),"")),'Paramètres'!$Q$6:$Q$15,0)),0))-N(P1629)),0)))</f>
        <v/>
      </c>
      <c r="AX1629" s="61">
        <f>IF(C1629="","",IF(COUNTIF($C$5:C1629,C1629)=1,MAX($AX$4:AX1628)+1,""))</f>
        <v/>
      </c>
      <c r="AY1629" s="61">
        <f>IF(B1629="","",HOUR(B1629))</f>
        <v/>
      </c>
      <c r="AZ1629" s="61">
        <f>IF(A1629="","",MOD(A1629-2,7)+1)</f>
        <v/>
      </c>
      <c r="BA1629" s="60">
        <f>IF(C1629="","",IFERROR(INDEX('Prospects'!$N$5:$N$504,MATCH(C1629,'Prospects'!$C$5:$C$504,0)),""))</f>
        <v/>
      </c>
      <c r="BB1629" s="61">
        <f>IF(AND(C1629&lt;&gt;"",C1629='Fiche prospect'!$C$4),COUNTIF($C$5:C1629,C1629),"")</f>
        <v/>
      </c>
    </row>
    <row r="1630">
      <c r="A1630" s="53" t="n"/>
      <c r="B1630" s="54" t="n"/>
      <c r="C1630" s="55" t="n"/>
      <c r="D1630" s="55" t="n"/>
      <c r="E1630" s="55" t="n"/>
      <c r="F1630" s="55" t="n"/>
      <c r="G1630" s="56" t="n"/>
      <c r="H1630" s="57" t="n"/>
      <c r="I1630" s="55" t="n"/>
      <c r="J1630" s="53" t="n"/>
      <c r="K1630" s="54" t="n"/>
      <c r="L1630" s="55" t="n"/>
      <c r="M1630" s="55" t="n"/>
      <c r="N1630" s="57" t="n"/>
      <c r="O1630" s="55" t="n"/>
      <c r="P1630" s="56" t="n"/>
      <c r="Q1630" s="55" t="n"/>
      <c r="R1630" s="55" t="n"/>
      <c r="S1630" s="55" t="n"/>
      <c r="T1630" s="55" t="n"/>
      <c r="U1630" s="55" t="n"/>
      <c r="V1630" s="55" t="n"/>
      <c r="W1630" s="58" t="n"/>
      <c r="X1630" s="58" t="n"/>
      <c r="Y1630" s="55" t="n"/>
      <c r="Z1630" s="55" t="n"/>
      <c r="AA1630" s="55" t="n"/>
      <c r="AB1630" s="55" t="n"/>
      <c r="AC1630" s="55" t="n"/>
      <c r="AD1630" s="53" t="n"/>
      <c r="AE1630" s="55" t="n"/>
      <c r="AF1630" s="55" t="n"/>
      <c r="AG1630" s="59" t="n"/>
      <c r="AH1630" s="57" t="n"/>
      <c r="AI1630" s="55" t="n"/>
      <c r="AJ1630" s="55" t="n"/>
      <c r="AK1630" s="55" t="n"/>
      <c r="AL1630" s="55" t="n"/>
      <c r="AM1630" s="56" t="n"/>
      <c r="AN1630" s="55" t="n"/>
      <c r="AO1630" s="55" t="n"/>
      <c r="AP1630" s="55" t="n"/>
      <c r="AQ1630" s="55" t="n"/>
      <c r="AR1630" s="60">
        <f>IF(AND(C1630="",E1630=""),"",IF(A1630="","⚠ Date manquante",IF(AND(C1630="",E1630&lt;&gt;"Dépense"),"⚠ Prospect manquant",IF(E1630="","⚠ Action manquante",IF(AND(AU1630=1,D1630=""),"⚠ Canal manquant",IF(AND(W1630&lt;&gt;"",COUNTIFS('Saisie'!$W$5:$W$2004,W1630,'Saisie'!$C$5:$C$2004,"&lt;&gt;"&amp;C1630)&gt;0),"⚠ Numéro déjà utilisé par un autre prospect",IF(AND(J1630&lt;&gt;"",J1630&lt;A1630),"⚠ Relance avant la date de l'action",IF(A1630&gt;TODAY(),"⚠ Date dans le futur","✓"))))))))</f>
        <v/>
      </c>
      <c r="AS1630" s="61">
        <f>IF(AND(A1630="",C1630="",E1630=""),"",ROW())</f>
        <v/>
      </c>
      <c r="AT1630" s="61">
        <f>IF(E1630&amp;F1630="","",MAX(IFERROR(INDEX('Paramètres'!$J$6:$J$33,MATCH(E1630,'Paramètres'!$I$6:$I$33,0)),0),IFERROR(INDEX('Paramètres'!$N$6:$N$17,MATCH(F1630,'Paramètres'!$M$6:$M$17,0)),0)))</f>
        <v/>
      </c>
      <c r="AU1630" s="61">
        <f>IF(E1630="","",IFERROR(IF(INDEX('Paramètres'!$K$6:$K$33,MATCH(E1630,'Paramètres'!$I$6:$I$33,0))="Oui",1,0),0))</f>
        <v/>
      </c>
      <c r="AV1630" s="61">
        <f>IF(F1630="","",IFERROR(IF(INDEX('Paramètres'!$O$6:$O$17,MATCH(F1630,'Paramètres'!$M$6:$M$17,0))="Oui",1,0),0))</f>
        <v/>
      </c>
      <c r="AW1630" s="62">
        <f>IF(E1630="","",IF(G1630&lt;&gt;"",G1630,IF(OR(E1630="Proposition envoyée",E1630="Signature"),MAX(0,N(IFERROR(INDEX('Paramètres'!$R$6:$R$15,MATCH(IF(AL1630&lt;&gt;"",AL1630,IFERROR(INDEX('Prospects'!$AN$5:$AN$504,MATCH(C1630,'Prospects'!$C$5:$C$504,0)),"")),'Paramètres'!$Q$6:$Q$15,0)),0))-N(P1630)),0)))</f>
        <v/>
      </c>
      <c r="AX1630" s="61">
        <f>IF(C1630="","",IF(COUNTIF($C$5:C1630,C1630)=1,MAX($AX$4:AX1629)+1,""))</f>
        <v/>
      </c>
      <c r="AY1630" s="61">
        <f>IF(B1630="","",HOUR(B1630))</f>
        <v/>
      </c>
      <c r="AZ1630" s="61">
        <f>IF(A1630="","",MOD(A1630-2,7)+1)</f>
        <v/>
      </c>
      <c r="BA1630" s="60">
        <f>IF(C1630="","",IFERROR(INDEX('Prospects'!$N$5:$N$504,MATCH(C1630,'Prospects'!$C$5:$C$504,0)),""))</f>
        <v/>
      </c>
      <c r="BB1630" s="61">
        <f>IF(AND(C1630&lt;&gt;"",C1630='Fiche prospect'!$C$4),COUNTIF($C$5:C1630,C1630),"")</f>
        <v/>
      </c>
    </row>
    <row r="1631">
      <c r="A1631" s="53" t="n"/>
      <c r="B1631" s="54" t="n"/>
      <c r="C1631" s="55" t="n"/>
      <c r="D1631" s="55" t="n"/>
      <c r="E1631" s="55" t="n"/>
      <c r="F1631" s="55" t="n"/>
      <c r="G1631" s="56" t="n"/>
      <c r="H1631" s="57" t="n"/>
      <c r="I1631" s="55" t="n"/>
      <c r="J1631" s="53" t="n"/>
      <c r="K1631" s="54" t="n"/>
      <c r="L1631" s="55" t="n"/>
      <c r="M1631" s="55" t="n"/>
      <c r="N1631" s="57" t="n"/>
      <c r="O1631" s="55" t="n"/>
      <c r="P1631" s="56" t="n"/>
      <c r="Q1631" s="55" t="n"/>
      <c r="R1631" s="55" t="n"/>
      <c r="S1631" s="55" t="n"/>
      <c r="T1631" s="55" t="n"/>
      <c r="U1631" s="55" t="n"/>
      <c r="V1631" s="55" t="n"/>
      <c r="W1631" s="58" t="n"/>
      <c r="X1631" s="58" t="n"/>
      <c r="Y1631" s="55" t="n"/>
      <c r="Z1631" s="55" t="n"/>
      <c r="AA1631" s="55" t="n"/>
      <c r="AB1631" s="55" t="n"/>
      <c r="AC1631" s="55" t="n"/>
      <c r="AD1631" s="53" t="n"/>
      <c r="AE1631" s="55" t="n"/>
      <c r="AF1631" s="55" t="n"/>
      <c r="AG1631" s="59" t="n"/>
      <c r="AH1631" s="57" t="n"/>
      <c r="AI1631" s="55" t="n"/>
      <c r="AJ1631" s="55" t="n"/>
      <c r="AK1631" s="55" t="n"/>
      <c r="AL1631" s="55" t="n"/>
      <c r="AM1631" s="56" t="n"/>
      <c r="AN1631" s="55" t="n"/>
      <c r="AO1631" s="55" t="n"/>
      <c r="AP1631" s="55" t="n"/>
      <c r="AQ1631" s="55" t="n"/>
      <c r="AR1631" s="60">
        <f>IF(AND(C1631="",E1631=""),"",IF(A1631="","⚠ Date manquante",IF(AND(C1631="",E1631&lt;&gt;"Dépense"),"⚠ Prospect manquant",IF(E1631="","⚠ Action manquante",IF(AND(AU1631=1,D1631=""),"⚠ Canal manquant",IF(AND(W1631&lt;&gt;"",COUNTIFS('Saisie'!$W$5:$W$2004,W1631,'Saisie'!$C$5:$C$2004,"&lt;&gt;"&amp;C1631)&gt;0),"⚠ Numéro déjà utilisé par un autre prospect",IF(AND(J1631&lt;&gt;"",J1631&lt;A1631),"⚠ Relance avant la date de l'action",IF(A1631&gt;TODAY(),"⚠ Date dans le futur","✓"))))))))</f>
        <v/>
      </c>
      <c r="AS1631" s="61">
        <f>IF(AND(A1631="",C1631="",E1631=""),"",ROW())</f>
        <v/>
      </c>
      <c r="AT1631" s="61">
        <f>IF(E1631&amp;F1631="","",MAX(IFERROR(INDEX('Paramètres'!$J$6:$J$33,MATCH(E1631,'Paramètres'!$I$6:$I$33,0)),0),IFERROR(INDEX('Paramètres'!$N$6:$N$17,MATCH(F1631,'Paramètres'!$M$6:$M$17,0)),0)))</f>
        <v/>
      </c>
      <c r="AU1631" s="61">
        <f>IF(E1631="","",IFERROR(IF(INDEX('Paramètres'!$K$6:$K$33,MATCH(E1631,'Paramètres'!$I$6:$I$33,0))="Oui",1,0),0))</f>
        <v/>
      </c>
      <c r="AV1631" s="61">
        <f>IF(F1631="","",IFERROR(IF(INDEX('Paramètres'!$O$6:$O$17,MATCH(F1631,'Paramètres'!$M$6:$M$17,0))="Oui",1,0),0))</f>
        <v/>
      </c>
      <c r="AW1631" s="62">
        <f>IF(E1631="","",IF(G1631&lt;&gt;"",G1631,IF(OR(E1631="Proposition envoyée",E1631="Signature"),MAX(0,N(IFERROR(INDEX('Paramètres'!$R$6:$R$15,MATCH(IF(AL1631&lt;&gt;"",AL1631,IFERROR(INDEX('Prospects'!$AN$5:$AN$504,MATCH(C1631,'Prospects'!$C$5:$C$504,0)),"")),'Paramètres'!$Q$6:$Q$15,0)),0))-N(P1631)),0)))</f>
        <v/>
      </c>
      <c r="AX1631" s="61">
        <f>IF(C1631="","",IF(COUNTIF($C$5:C1631,C1631)=1,MAX($AX$4:AX1630)+1,""))</f>
        <v/>
      </c>
      <c r="AY1631" s="61">
        <f>IF(B1631="","",HOUR(B1631))</f>
        <v/>
      </c>
      <c r="AZ1631" s="61">
        <f>IF(A1631="","",MOD(A1631-2,7)+1)</f>
        <v/>
      </c>
      <c r="BA1631" s="60">
        <f>IF(C1631="","",IFERROR(INDEX('Prospects'!$N$5:$N$504,MATCH(C1631,'Prospects'!$C$5:$C$504,0)),""))</f>
        <v/>
      </c>
      <c r="BB1631" s="61">
        <f>IF(AND(C1631&lt;&gt;"",C1631='Fiche prospect'!$C$4),COUNTIF($C$5:C1631,C1631),"")</f>
        <v/>
      </c>
    </row>
    <row r="1632">
      <c r="A1632" s="53" t="n"/>
      <c r="B1632" s="54" t="n"/>
      <c r="C1632" s="55" t="n"/>
      <c r="D1632" s="55" t="n"/>
      <c r="E1632" s="55" t="n"/>
      <c r="F1632" s="55" t="n"/>
      <c r="G1632" s="56" t="n"/>
      <c r="H1632" s="57" t="n"/>
      <c r="I1632" s="55" t="n"/>
      <c r="J1632" s="53" t="n"/>
      <c r="K1632" s="54" t="n"/>
      <c r="L1632" s="55" t="n"/>
      <c r="M1632" s="55" t="n"/>
      <c r="N1632" s="57" t="n"/>
      <c r="O1632" s="55" t="n"/>
      <c r="P1632" s="56" t="n"/>
      <c r="Q1632" s="55" t="n"/>
      <c r="R1632" s="55" t="n"/>
      <c r="S1632" s="55" t="n"/>
      <c r="T1632" s="55" t="n"/>
      <c r="U1632" s="55" t="n"/>
      <c r="V1632" s="55" t="n"/>
      <c r="W1632" s="58" t="n"/>
      <c r="X1632" s="58" t="n"/>
      <c r="Y1632" s="55" t="n"/>
      <c r="Z1632" s="55" t="n"/>
      <c r="AA1632" s="55" t="n"/>
      <c r="AB1632" s="55" t="n"/>
      <c r="AC1632" s="55" t="n"/>
      <c r="AD1632" s="53" t="n"/>
      <c r="AE1632" s="55" t="n"/>
      <c r="AF1632" s="55" t="n"/>
      <c r="AG1632" s="59" t="n"/>
      <c r="AH1632" s="57" t="n"/>
      <c r="AI1632" s="55" t="n"/>
      <c r="AJ1632" s="55" t="n"/>
      <c r="AK1632" s="55" t="n"/>
      <c r="AL1632" s="55" t="n"/>
      <c r="AM1632" s="56" t="n"/>
      <c r="AN1632" s="55" t="n"/>
      <c r="AO1632" s="55" t="n"/>
      <c r="AP1632" s="55" t="n"/>
      <c r="AQ1632" s="55" t="n"/>
      <c r="AR1632" s="60">
        <f>IF(AND(C1632="",E1632=""),"",IF(A1632="","⚠ Date manquante",IF(AND(C1632="",E1632&lt;&gt;"Dépense"),"⚠ Prospect manquant",IF(E1632="","⚠ Action manquante",IF(AND(AU1632=1,D1632=""),"⚠ Canal manquant",IF(AND(W1632&lt;&gt;"",COUNTIFS('Saisie'!$W$5:$W$2004,W1632,'Saisie'!$C$5:$C$2004,"&lt;&gt;"&amp;C1632)&gt;0),"⚠ Numéro déjà utilisé par un autre prospect",IF(AND(J1632&lt;&gt;"",J1632&lt;A1632),"⚠ Relance avant la date de l'action",IF(A1632&gt;TODAY(),"⚠ Date dans le futur","✓"))))))))</f>
        <v/>
      </c>
      <c r="AS1632" s="61">
        <f>IF(AND(A1632="",C1632="",E1632=""),"",ROW())</f>
        <v/>
      </c>
      <c r="AT1632" s="61">
        <f>IF(E1632&amp;F1632="","",MAX(IFERROR(INDEX('Paramètres'!$J$6:$J$33,MATCH(E1632,'Paramètres'!$I$6:$I$33,0)),0),IFERROR(INDEX('Paramètres'!$N$6:$N$17,MATCH(F1632,'Paramètres'!$M$6:$M$17,0)),0)))</f>
        <v/>
      </c>
      <c r="AU1632" s="61">
        <f>IF(E1632="","",IFERROR(IF(INDEX('Paramètres'!$K$6:$K$33,MATCH(E1632,'Paramètres'!$I$6:$I$33,0))="Oui",1,0),0))</f>
        <v/>
      </c>
      <c r="AV1632" s="61">
        <f>IF(F1632="","",IFERROR(IF(INDEX('Paramètres'!$O$6:$O$17,MATCH(F1632,'Paramètres'!$M$6:$M$17,0))="Oui",1,0),0))</f>
        <v/>
      </c>
      <c r="AW1632" s="62">
        <f>IF(E1632="","",IF(G1632&lt;&gt;"",G1632,IF(OR(E1632="Proposition envoyée",E1632="Signature"),MAX(0,N(IFERROR(INDEX('Paramètres'!$R$6:$R$15,MATCH(IF(AL1632&lt;&gt;"",AL1632,IFERROR(INDEX('Prospects'!$AN$5:$AN$504,MATCH(C1632,'Prospects'!$C$5:$C$504,0)),"")),'Paramètres'!$Q$6:$Q$15,0)),0))-N(P1632)),0)))</f>
        <v/>
      </c>
      <c r="AX1632" s="61">
        <f>IF(C1632="","",IF(COUNTIF($C$5:C1632,C1632)=1,MAX($AX$4:AX1631)+1,""))</f>
        <v/>
      </c>
      <c r="AY1632" s="61">
        <f>IF(B1632="","",HOUR(B1632))</f>
        <v/>
      </c>
      <c r="AZ1632" s="61">
        <f>IF(A1632="","",MOD(A1632-2,7)+1)</f>
        <v/>
      </c>
      <c r="BA1632" s="60">
        <f>IF(C1632="","",IFERROR(INDEX('Prospects'!$N$5:$N$504,MATCH(C1632,'Prospects'!$C$5:$C$504,0)),""))</f>
        <v/>
      </c>
      <c r="BB1632" s="61">
        <f>IF(AND(C1632&lt;&gt;"",C1632='Fiche prospect'!$C$4),COUNTIF($C$5:C1632,C1632),"")</f>
        <v/>
      </c>
    </row>
    <row r="1633">
      <c r="A1633" s="53" t="n"/>
      <c r="B1633" s="54" t="n"/>
      <c r="C1633" s="55" t="n"/>
      <c r="D1633" s="55" t="n"/>
      <c r="E1633" s="55" t="n"/>
      <c r="F1633" s="55" t="n"/>
      <c r="G1633" s="56" t="n"/>
      <c r="H1633" s="57" t="n"/>
      <c r="I1633" s="55" t="n"/>
      <c r="J1633" s="53" t="n"/>
      <c r="K1633" s="54" t="n"/>
      <c r="L1633" s="55" t="n"/>
      <c r="M1633" s="55" t="n"/>
      <c r="N1633" s="57" t="n"/>
      <c r="O1633" s="55" t="n"/>
      <c r="P1633" s="56" t="n"/>
      <c r="Q1633" s="55" t="n"/>
      <c r="R1633" s="55" t="n"/>
      <c r="S1633" s="55" t="n"/>
      <c r="T1633" s="55" t="n"/>
      <c r="U1633" s="55" t="n"/>
      <c r="V1633" s="55" t="n"/>
      <c r="W1633" s="58" t="n"/>
      <c r="X1633" s="58" t="n"/>
      <c r="Y1633" s="55" t="n"/>
      <c r="Z1633" s="55" t="n"/>
      <c r="AA1633" s="55" t="n"/>
      <c r="AB1633" s="55" t="n"/>
      <c r="AC1633" s="55" t="n"/>
      <c r="AD1633" s="53" t="n"/>
      <c r="AE1633" s="55" t="n"/>
      <c r="AF1633" s="55" t="n"/>
      <c r="AG1633" s="59" t="n"/>
      <c r="AH1633" s="57" t="n"/>
      <c r="AI1633" s="55" t="n"/>
      <c r="AJ1633" s="55" t="n"/>
      <c r="AK1633" s="55" t="n"/>
      <c r="AL1633" s="55" t="n"/>
      <c r="AM1633" s="56" t="n"/>
      <c r="AN1633" s="55" t="n"/>
      <c r="AO1633" s="55" t="n"/>
      <c r="AP1633" s="55" t="n"/>
      <c r="AQ1633" s="55" t="n"/>
      <c r="AR1633" s="60">
        <f>IF(AND(C1633="",E1633=""),"",IF(A1633="","⚠ Date manquante",IF(AND(C1633="",E1633&lt;&gt;"Dépense"),"⚠ Prospect manquant",IF(E1633="","⚠ Action manquante",IF(AND(AU1633=1,D1633=""),"⚠ Canal manquant",IF(AND(W1633&lt;&gt;"",COUNTIFS('Saisie'!$W$5:$W$2004,W1633,'Saisie'!$C$5:$C$2004,"&lt;&gt;"&amp;C1633)&gt;0),"⚠ Numéro déjà utilisé par un autre prospect",IF(AND(J1633&lt;&gt;"",J1633&lt;A1633),"⚠ Relance avant la date de l'action",IF(A1633&gt;TODAY(),"⚠ Date dans le futur","✓"))))))))</f>
        <v/>
      </c>
      <c r="AS1633" s="61">
        <f>IF(AND(A1633="",C1633="",E1633=""),"",ROW())</f>
        <v/>
      </c>
      <c r="AT1633" s="61">
        <f>IF(E1633&amp;F1633="","",MAX(IFERROR(INDEX('Paramètres'!$J$6:$J$33,MATCH(E1633,'Paramètres'!$I$6:$I$33,0)),0),IFERROR(INDEX('Paramètres'!$N$6:$N$17,MATCH(F1633,'Paramètres'!$M$6:$M$17,0)),0)))</f>
        <v/>
      </c>
      <c r="AU1633" s="61">
        <f>IF(E1633="","",IFERROR(IF(INDEX('Paramètres'!$K$6:$K$33,MATCH(E1633,'Paramètres'!$I$6:$I$33,0))="Oui",1,0),0))</f>
        <v/>
      </c>
      <c r="AV1633" s="61">
        <f>IF(F1633="","",IFERROR(IF(INDEX('Paramètres'!$O$6:$O$17,MATCH(F1633,'Paramètres'!$M$6:$M$17,0))="Oui",1,0),0))</f>
        <v/>
      </c>
      <c r="AW1633" s="62">
        <f>IF(E1633="","",IF(G1633&lt;&gt;"",G1633,IF(OR(E1633="Proposition envoyée",E1633="Signature"),MAX(0,N(IFERROR(INDEX('Paramètres'!$R$6:$R$15,MATCH(IF(AL1633&lt;&gt;"",AL1633,IFERROR(INDEX('Prospects'!$AN$5:$AN$504,MATCH(C1633,'Prospects'!$C$5:$C$504,0)),"")),'Paramètres'!$Q$6:$Q$15,0)),0))-N(P1633)),0)))</f>
        <v/>
      </c>
      <c r="AX1633" s="61">
        <f>IF(C1633="","",IF(COUNTIF($C$5:C1633,C1633)=1,MAX($AX$4:AX1632)+1,""))</f>
        <v/>
      </c>
      <c r="AY1633" s="61">
        <f>IF(B1633="","",HOUR(B1633))</f>
        <v/>
      </c>
      <c r="AZ1633" s="61">
        <f>IF(A1633="","",MOD(A1633-2,7)+1)</f>
        <v/>
      </c>
      <c r="BA1633" s="60">
        <f>IF(C1633="","",IFERROR(INDEX('Prospects'!$N$5:$N$504,MATCH(C1633,'Prospects'!$C$5:$C$504,0)),""))</f>
        <v/>
      </c>
      <c r="BB1633" s="61">
        <f>IF(AND(C1633&lt;&gt;"",C1633='Fiche prospect'!$C$4),COUNTIF($C$5:C1633,C1633),"")</f>
        <v/>
      </c>
    </row>
    <row r="1634">
      <c r="A1634" s="53" t="n"/>
      <c r="B1634" s="54" t="n"/>
      <c r="C1634" s="55" t="n"/>
      <c r="D1634" s="55" t="n"/>
      <c r="E1634" s="55" t="n"/>
      <c r="F1634" s="55" t="n"/>
      <c r="G1634" s="56" t="n"/>
      <c r="H1634" s="57" t="n"/>
      <c r="I1634" s="55" t="n"/>
      <c r="J1634" s="53" t="n"/>
      <c r="K1634" s="54" t="n"/>
      <c r="L1634" s="55" t="n"/>
      <c r="M1634" s="55" t="n"/>
      <c r="N1634" s="57" t="n"/>
      <c r="O1634" s="55" t="n"/>
      <c r="P1634" s="56" t="n"/>
      <c r="Q1634" s="55" t="n"/>
      <c r="R1634" s="55" t="n"/>
      <c r="S1634" s="55" t="n"/>
      <c r="T1634" s="55" t="n"/>
      <c r="U1634" s="55" t="n"/>
      <c r="V1634" s="55" t="n"/>
      <c r="W1634" s="58" t="n"/>
      <c r="X1634" s="58" t="n"/>
      <c r="Y1634" s="55" t="n"/>
      <c r="Z1634" s="55" t="n"/>
      <c r="AA1634" s="55" t="n"/>
      <c r="AB1634" s="55" t="n"/>
      <c r="AC1634" s="55" t="n"/>
      <c r="AD1634" s="53" t="n"/>
      <c r="AE1634" s="55" t="n"/>
      <c r="AF1634" s="55" t="n"/>
      <c r="AG1634" s="59" t="n"/>
      <c r="AH1634" s="57" t="n"/>
      <c r="AI1634" s="55" t="n"/>
      <c r="AJ1634" s="55" t="n"/>
      <c r="AK1634" s="55" t="n"/>
      <c r="AL1634" s="55" t="n"/>
      <c r="AM1634" s="56" t="n"/>
      <c r="AN1634" s="55" t="n"/>
      <c r="AO1634" s="55" t="n"/>
      <c r="AP1634" s="55" t="n"/>
      <c r="AQ1634" s="55" t="n"/>
      <c r="AR1634" s="60">
        <f>IF(AND(C1634="",E1634=""),"",IF(A1634="","⚠ Date manquante",IF(AND(C1634="",E1634&lt;&gt;"Dépense"),"⚠ Prospect manquant",IF(E1634="","⚠ Action manquante",IF(AND(AU1634=1,D1634=""),"⚠ Canal manquant",IF(AND(W1634&lt;&gt;"",COUNTIFS('Saisie'!$W$5:$W$2004,W1634,'Saisie'!$C$5:$C$2004,"&lt;&gt;"&amp;C1634)&gt;0),"⚠ Numéro déjà utilisé par un autre prospect",IF(AND(J1634&lt;&gt;"",J1634&lt;A1634),"⚠ Relance avant la date de l'action",IF(A1634&gt;TODAY(),"⚠ Date dans le futur","✓"))))))))</f>
        <v/>
      </c>
      <c r="AS1634" s="61">
        <f>IF(AND(A1634="",C1634="",E1634=""),"",ROW())</f>
        <v/>
      </c>
      <c r="AT1634" s="61">
        <f>IF(E1634&amp;F1634="","",MAX(IFERROR(INDEX('Paramètres'!$J$6:$J$33,MATCH(E1634,'Paramètres'!$I$6:$I$33,0)),0),IFERROR(INDEX('Paramètres'!$N$6:$N$17,MATCH(F1634,'Paramètres'!$M$6:$M$17,0)),0)))</f>
        <v/>
      </c>
      <c r="AU1634" s="61">
        <f>IF(E1634="","",IFERROR(IF(INDEX('Paramètres'!$K$6:$K$33,MATCH(E1634,'Paramètres'!$I$6:$I$33,0))="Oui",1,0),0))</f>
        <v/>
      </c>
      <c r="AV1634" s="61">
        <f>IF(F1634="","",IFERROR(IF(INDEX('Paramètres'!$O$6:$O$17,MATCH(F1634,'Paramètres'!$M$6:$M$17,0))="Oui",1,0),0))</f>
        <v/>
      </c>
      <c r="AW1634" s="62">
        <f>IF(E1634="","",IF(G1634&lt;&gt;"",G1634,IF(OR(E1634="Proposition envoyée",E1634="Signature"),MAX(0,N(IFERROR(INDEX('Paramètres'!$R$6:$R$15,MATCH(IF(AL1634&lt;&gt;"",AL1634,IFERROR(INDEX('Prospects'!$AN$5:$AN$504,MATCH(C1634,'Prospects'!$C$5:$C$504,0)),"")),'Paramètres'!$Q$6:$Q$15,0)),0))-N(P1634)),0)))</f>
        <v/>
      </c>
      <c r="AX1634" s="61">
        <f>IF(C1634="","",IF(COUNTIF($C$5:C1634,C1634)=1,MAX($AX$4:AX1633)+1,""))</f>
        <v/>
      </c>
      <c r="AY1634" s="61">
        <f>IF(B1634="","",HOUR(B1634))</f>
        <v/>
      </c>
      <c r="AZ1634" s="61">
        <f>IF(A1634="","",MOD(A1634-2,7)+1)</f>
        <v/>
      </c>
      <c r="BA1634" s="60">
        <f>IF(C1634="","",IFERROR(INDEX('Prospects'!$N$5:$N$504,MATCH(C1634,'Prospects'!$C$5:$C$504,0)),""))</f>
        <v/>
      </c>
      <c r="BB1634" s="61">
        <f>IF(AND(C1634&lt;&gt;"",C1634='Fiche prospect'!$C$4),COUNTIF($C$5:C1634,C1634),"")</f>
        <v/>
      </c>
    </row>
    <row r="1635">
      <c r="A1635" s="53" t="n"/>
      <c r="B1635" s="54" t="n"/>
      <c r="C1635" s="55" t="n"/>
      <c r="D1635" s="55" t="n"/>
      <c r="E1635" s="55" t="n"/>
      <c r="F1635" s="55" t="n"/>
      <c r="G1635" s="56" t="n"/>
      <c r="H1635" s="57" t="n"/>
      <c r="I1635" s="55" t="n"/>
      <c r="J1635" s="53" t="n"/>
      <c r="K1635" s="54" t="n"/>
      <c r="L1635" s="55" t="n"/>
      <c r="M1635" s="55" t="n"/>
      <c r="N1635" s="57" t="n"/>
      <c r="O1635" s="55" t="n"/>
      <c r="P1635" s="56" t="n"/>
      <c r="Q1635" s="55" t="n"/>
      <c r="R1635" s="55" t="n"/>
      <c r="S1635" s="55" t="n"/>
      <c r="T1635" s="55" t="n"/>
      <c r="U1635" s="55" t="n"/>
      <c r="V1635" s="55" t="n"/>
      <c r="W1635" s="58" t="n"/>
      <c r="X1635" s="58" t="n"/>
      <c r="Y1635" s="55" t="n"/>
      <c r="Z1635" s="55" t="n"/>
      <c r="AA1635" s="55" t="n"/>
      <c r="AB1635" s="55" t="n"/>
      <c r="AC1635" s="55" t="n"/>
      <c r="AD1635" s="53" t="n"/>
      <c r="AE1635" s="55" t="n"/>
      <c r="AF1635" s="55" t="n"/>
      <c r="AG1635" s="59" t="n"/>
      <c r="AH1635" s="57" t="n"/>
      <c r="AI1635" s="55" t="n"/>
      <c r="AJ1635" s="55" t="n"/>
      <c r="AK1635" s="55" t="n"/>
      <c r="AL1635" s="55" t="n"/>
      <c r="AM1635" s="56" t="n"/>
      <c r="AN1635" s="55" t="n"/>
      <c r="AO1635" s="55" t="n"/>
      <c r="AP1635" s="55" t="n"/>
      <c r="AQ1635" s="55" t="n"/>
      <c r="AR1635" s="60">
        <f>IF(AND(C1635="",E1635=""),"",IF(A1635="","⚠ Date manquante",IF(AND(C1635="",E1635&lt;&gt;"Dépense"),"⚠ Prospect manquant",IF(E1635="","⚠ Action manquante",IF(AND(AU1635=1,D1635=""),"⚠ Canal manquant",IF(AND(W1635&lt;&gt;"",COUNTIFS('Saisie'!$W$5:$W$2004,W1635,'Saisie'!$C$5:$C$2004,"&lt;&gt;"&amp;C1635)&gt;0),"⚠ Numéro déjà utilisé par un autre prospect",IF(AND(J1635&lt;&gt;"",J1635&lt;A1635),"⚠ Relance avant la date de l'action",IF(A1635&gt;TODAY(),"⚠ Date dans le futur","✓"))))))))</f>
        <v/>
      </c>
      <c r="AS1635" s="61">
        <f>IF(AND(A1635="",C1635="",E1635=""),"",ROW())</f>
        <v/>
      </c>
      <c r="AT1635" s="61">
        <f>IF(E1635&amp;F1635="","",MAX(IFERROR(INDEX('Paramètres'!$J$6:$J$33,MATCH(E1635,'Paramètres'!$I$6:$I$33,0)),0),IFERROR(INDEX('Paramètres'!$N$6:$N$17,MATCH(F1635,'Paramètres'!$M$6:$M$17,0)),0)))</f>
        <v/>
      </c>
      <c r="AU1635" s="61">
        <f>IF(E1635="","",IFERROR(IF(INDEX('Paramètres'!$K$6:$K$33,MATCH(E1635,'Paramètres'!$I$6:$I$33,0))="Oui",1,0),0))</f>
        <v/>
      </c>
      <c r="AV1635" s="61">
        <f>IF(F1635="","",IFERROR(IF(INDEX('Paramètres'!$O$6:$O$17,MATCH(F1635,'Paramètres'!$M$6:$M$17,0))="Oui",1,0),0))</f>
        <v/>
      </c>
      <c r="AW1635" s="62">
        <f>IF(E1635="","",IF(G1635&lt;&gt;"",G1635,IF(OR(E1635="Proposition envoyée",E1635="Signature"),MAX(0,N(IFERROR(INDEX('Paramètres'!$R$6:$R$15,MATCH(IF(AL1635&lt;&gt;"",AL1635,IFERROR(INDEX('Prospects'!$AN$5:$AN$504,MATCH(C1635,'Prospects'!$C$5:$C$504,0)),"")),'Paramètres'!$Q$6:$Q$15,0)),0))-N(P1635)),0)))</f>
        <v/>
      </c>
      <c r="AX1635" s="61">
        <f>IF(C1635="","",IF(COUNTIF($C$5:C1635,C1635)=1,MAX($AX$4:AX1634)+1,""))</f>
        <v/>
      </c>
      <c r="AY1635" s="61">
        <f>IF(B1635="","",HOUR(B1635))</f>
        <v/>
      </c>
      <c r="AZ1635" s="61">
        <f>IF(A1635="","",MOD(A1635-2,7)+1)</f>
        <v/>
      </c>
      <c r="BA1635" s="60">
        <f>IF(C1635="","",IFERROR(INDEX('Prospects'!$N$5:$N$504,MATCH(C1635,'Prospects'!$C$5:$C$504,0)),""))</f>
        <v/>
      </c>
      <c r="BB1635" s="61">
        <f>IF(AND(C1635&lt;&gt;"",C1635='Fiche prospect'!$C$4),COUNTIF($C$5:C1635,C1635),"")</f>
        <v/>
      </c>
    </row>
    <row r="1636">
      <c r="A1636" s="53" t="n"/>
      <c r="B1636" s="54" t="n"/>
      <c r="C1636" s="55" t="n"/>
      <c r="D1636" s="55" t="n"/>
      <c r="E1636" s="55" t="n"/>
      <c r="F1636" s="55" t="n"/>
      <c r="G1636" s="56" t="n"/>
      <c r="H1636" s="57" t="n"/>
      <c r="I1636" s="55" t="n"/>
      <c r="J1636" s="53" t="n"/>
      <c r="K1636" s="54" t="n"/>
      <c r="L1636" s="55" t="n"/>
      <c r="M1636" s="55" t="n"/>
      <c r="N1636" s="57" t="n"/>
      <c r="O1636" s="55" t="n"/>
      <c r="P1636" s="56" t="n"/>
      <c r="Q1636" s="55" t="n"/>
      <c r="R1636" s="55" t="n"/>
      <c r="S1636" s="55" t="n"/>
      <c r="T1636" s="55" t="n"/>
      <c r="U1636" s="55" t="n"/>
      <c r="V1636" s="55" t="n"/>
      <c r="W1636" s="58" t="n"/>
      <c r="X1636" s="58" t="n"/>
      <c r="Y1636" s="55" t="n"/>
      <c r="Z1636" s="55" t="n"/>
      <c r="AA1636" s="55" t="n"/>
      <c r="AB1636" s="55" t="n"/>
      <c r="AC1636" s="55" t="n"/>
      <c r="AD1636" s="53" t="n"/>
      <c r="AE1636" s="55" t="n"/>
      <c r="AF1636" s="55" t="n"/>
      <c r="AG1636" s="59" t="n"/>
      <c r="AH1636" s="57" t="n"/>
      <c r="AI1636" s="55" t="n"/>
      <c r="AJ1636" s="55" t="n"/>
      <c r="AK1636" s="55" t="n"/>
      <c r="AL1636" s="55" t="n"/>
      <c r="AM1636" s="56" t="n"/>
      <c r="AN1636" s="55" t="n"/>
      <c r="AO1636" s="55" t="n"/>
      <c r="AP1636" s="55" t="n"/>
      <c r="AQ1636" s="55" t="n"/>
      <c r="AR1636" s="60">
        <f>IF(AND(C1636="",E1636=""),"",IF(A1636="","⚠ Date manquante",IF(AND(C1636="",E1636&lt;&gt;"Dépense"),"⚠ Prospect manquant",IF(E1636="","⚠ Action manquante",IF(AND(AU1636=1,D1636=""),"⚠ Canal manquant",IF(AND(W1636&lt;&gt;"",COUNTIFS('Saisie'!$W$5:$W$2004,W1636,'Saisie'!$C$5:$C$2004,"&lt;&gt;"&amp;C1636)&gt;0),"⚠ Numéro déjà utilisé par un autre prospect",IF(AND(J1636&lt;&gt;"",J1636&lt;A1636),"⚠ Relance avant la date de l'action",IF(A1636&gt;TODAY(),"⚠ Date dans le futur","✓"))))))))</f>
        <v/>
      </c>
      <c r="AS1636" s="61">
        <f>IF(AND(A1636="",C1636="",E1636=""),"",ROW())</f>
        <v/>
      </c>
      <c r="AT1636" s="61">
        <f>IF(E1636&amp;F1636="","",MAX(IFERROR(INDEX('Paramètres'!$J$6:$J$33,MATCH(E1636,'Paramètres'!$I$6:$I$33,0)),0),IFERROR(INDEX('Paramètres'!$N$6:$N$17,MATCH(F1636,'Paramètres'!$M$6:$M$17,0)),0)))</f>
        <v/>
      </c>
      <c r="AU1636" s="61">
        <f>IF(E1636="","",IFERROR(IF(INDEX('Paramètres'!$K$6:$K$33,MATCH(E1636,'Paramètres'!$I$6:$I$33,0))="Oui",1,0),0))</f>
        <v/>
      </c>
      <c r="AV1636" s="61">
        <f>IF(F1636="","",IFERROR(IF(INDEX('Paramètres'!$O$6:$O$17,MATCH(F1636,'Paramètres'!$M$6:$M$17,0))="Oui",1,0),0))</f>
        <v/>
      </c>
      <c r="AW1636" s="62">
        <f>IF(E1636="","",IF(G1636&lt;&gt;"",G1636,IF(OR(E1636="Proposition envoyée",E1636="Signature"),MAX(0,N(IFERROR(INDEX('Paramètres'!$R$6:$R$15,MATCH(IF(AL1636&lt;&gt;"",AL1636,IFERROR(INDEX('Prospects'!$AN$5:$AN$504,MATCH(C1636,'Prospects'!$C$5:$C$504,0)),"")),'Paramètres'!$Q$6:$Q$15,0)),0))-N(P1636)),0)))</f>
        <v/>
      </c>
      <c r="AX1636" s="61">
        <f>IF(C1636="","",IF(COUNTIF($C$5:C1636,C1636)=1,MAX($AX$4:AX1635)+1,""))</f>
        <v/>
      </c>
      <c r="AY1636" s="61">
        <f>IF(B1636="","",HOUR(B1636))</f>
        <v/>
      </c>
      <c r="AZ1636" s="61">
        <f>IF(A1636="","",MOD(A1636-2,7)+1)</f>
        <v/>
      </c>
      <c r="BA1636" s="60">
        <f>IF(C1636="","",IFERROR(INDEX('Prospects'!$N$5:$N$504,MATCH(C1636,'Prospects'!$C$5:$C$504,0)),""))</f>
        <v/>
      </c>
      <c r="BB1636" s="61">
        <f>IF(AND(C1636&lt;&gt;"",C1636='Fiche prospect'!$C$4),COUNTIF($C$5:C1636,C1636),"")</f>
        <v/>
      </c>
    </row>
    <row r="1637">
      <c r="A1637" s="53" t="n"/>
      <c r="B1637" s="54" t="n"/>
      <c r="C1637" s="55" t="n"/>
      <c r="D1637" s="55" t="n"/>
      <c r="E1637" s="55" t="n"/>
      <c r="F1637" s="55" t="n"/>
      <c r="G1637" s="56" t="n"/>
      <c r="H1637" s="57" t="n"/>
      <c r="I1637" s="55" t="n"/>
      <c r="J1637" s="53" t="n"/>
      <c r="K1637" s="54" t="n"/>
      <c r="L1637" s="55" t="n"/>
      <c r="M1637" s="55" t="n"/>
      <c r="N1637" s="57" t="n"/>
      <c r="O1637" s="55" t="n"/>
      <c r="P1637" s="56" t="n"/>
      <c r="Q1637" s="55" t="n"/>
      <c r="R1637" s="55" t="n"/>
      <c r="S1637" s="55" t="n"/>
      <c r="T1637" s="55" t="n"/>
      <c r="U1637" s="55" t="n"/>
      <c r="V1637" s="55" t="n"/>
      <c r="W1637" s="58" t="n"/>
      <c r="X1637" s="58" t="n"/>
      <c r="Y1637" s="55" t="n"/>
      <c r="Z1637" s="55" t="n"/>
      <c r="AA1637" s="55" t="n"/>
      <c r="AB1637" s="55" t="n"/>
      <c r="AC1637" s="55" t="n"/>
      <c r="AD1637" s="53" t="n"/>
      <c r="AE1637" s="55" t="n"/>
      <c r="AF1637" s="55" t="n"/>
      <c r="AG1637" s="59" t="n"/>
      <c r="AH1637" s="57" t="n"/>
      <c r="AI1637" s="55" t="n"/>
      <c r="AJ1637" s="55" t="n"/>
      <c r="AK1637" s="55" t="n"/>
      <c r="AL1637" s="55" t="n"/>
      <c r="AM1637" s="56" t="n"/>
      <c r="AN1637" s="55" t="n"/>
      <c r="AO1637" s="55" t="n"/>
      <c r="AP1637" s="55" t="n"/>
      <c r="AQ1637" s="55" t="n"/>
      <c r="AR1637" s="60">
        <f>IF(AND(C1637="",E1637=""),"",IF(A1637="","⚠ Date manquante",IF(AND(C1637="",E1637&lt;&gt;"Dépense"),"⚠ Prospect manquant",IF(E1637="","⚠ Action manquante",IF(AND(AU1637=1,D1637=""),"⚠ Canal manquant",IF(AND(W1637&lt;&gt;"",COUNTIFS('Saisie'!$W$5:$W$2004,W1637,'Saisie'!$C$5:$C$2004,"&lt;&gt;"&amp;C1637)&gt;0),"⚠ Numéro déjà utilisé par un autre prospect",IF(AND(J1637&lt;&gt;"",J1637&lt;A1637),"⚠ Relance avant la date de l'action",IF(A1637&gt;TODAY(),"⚠ Date dans le futur","✓"))))))))</f>
        <v/>
      </c>
      <c r="AS1637" s="61">
        <f>IF(AND(A1637="",C1637="",E1637=""),"",ROW())</f>
        <v/>
      </c>
      <c r="AT1637" s="61">
        <f>IF(E1637&amp;F1637="","",MAX(IFERROR(INDEX('Paramètres'!$J$6:$J$33,MATCH(E1637,'Paramètres'!$I$6:$I$33,0)),0),IFERROR(INDEX('Paramètres'!$N$6:$N$17,MATCH(F1637,'Paramètres'!$M$6:$M$17,0)),0)))</f>
        <v/>
      </c>
      <c r="AU1637" s="61">
        <f>IF(E1637="","",IFERROR(IF(INDEX('Paramètres'!$K$6:$K$33,MATCH(E1637,'Paramètres'!$I$6:$I$33,0))="Oui",1,0),0))</f>
        <v/>
      </c>
      <c r="AV1637" s="61">
        <f>IF(F1637="","",IFERROR(IF(INDEX('Paramètres'!$O$6:$O$17,MATCH(F1637,'Paramètres'!$M$6:$M$17,0))="Oui",1,0),0))</f>
        <v/>
      </c>
      <c r="AW1637" s="62">
        <f>IF(E1637="","",IF(G1637&lt;&gt;"",G1637,IF(OR(E1637="Proposition envoyée",E1637="Signature"),MAX(0,N(IFERROR(INDEX('Paramètres'!$R$6:$R$15,MATCH(IF(AL1637&lt;&gt;"",AL1637,IFERROR(INDEX('Prospects'!$AN$5:$AN$504,MATCH(C1637,'Prospects'!$C$5:$C$504,0)),"")),'Paramètres'!$Q$6:$Q$15,0)),0))-N(P1637)),0)))</f>
        <v/>
      </c>
      <c r="AX1637" s="61">
        <f>IF(C1637="","",IF(COUNTIF($C$5:C1637,C1637)=1,MAX($AX$4:AX1636)+1,""))</f>
        <v/>
      </c>
      <c r="AY1637" s="61">
        <f>IF(B1637="","",HOUR(B1637))</f>
        <v/>
      </c>
      <c r="AZ1637" s="61">
        <f>IF(A1637="","",MOD(A1637-2,7)+1)</f>
        <v/>
      </c>
      <c r="BA1637" s="60">
        <f>IF(C1637="","",IFERROR(INDEX('Prospects'!$N$5:$N$504,MATCH(C1637,'Prospects'!$C$5:$C$504,0)),""))</f>
        <v/>
      </c>
      <c r="BB1637" s="61">
        <f>IF(AND(C1637&lt;&gt;"",C1637='Fiche prospect'!$C$4),COUNTIF($C$5:C1637,C1637),"")</f>
        <v/>
      </c>
    </row>
    <row r="1638">
      <c r="A1638" s="53" t="n"/>
      <c r="B1638" s="54" t="n"/>
      <c r="C1638" s="55" t="n"/>
      <c r="D1638" s="55" t="n"/>
      <c r="E1638" s="55" t="n"/>
      <c r="F1638" s="55" t="n"/>
      <c r="G1638" s="56" t="n"/>
      <c r="H1638" s="57" t="n"/>
      <c r="I1638" s="55" t="n"/>
      <c r="J1638" s="53" t="n"/>
      <c r="K1638" s="54" t="n"/>
      <c r="L1638" s="55" t="n"/>
      <c r="M1638" s="55" t="n"/>
      <c r="N1638" s="57" t="n"/>
      <c r="O1638" s="55" t="n"/>
      <c r="P1638" s="56" t="n"/>
      <c r="Q1638" s="55" t="n"/>
      <c r="R1638" s="55" t="n"/>
      <c r="S1638" s="55" t="n"/>
      <c r="T1638" s="55" t="n"/>
      <c r="U1638" s="55" t="n"/>
      <c r="V1638" s="55" t="n"/>
      <c r="W1638" s="58" t="n"/>
      <c r="X1638" s="58" t="n"/>
      <c r="Y1638" s="55" t="n"/>
      <c r="Z1638" s="55" t="n"/>
      <c r="AA1638" s="55" t="n"/>
      <c r="AB1638" s="55" t="n"/>
      <c r="AC1638" s="55" t="n"/>
      <c r="AD1638" s="53" t="n"/>
      <c r="AE1638" s="55" t="n"/>
      <c r="AF1638" s="55" t="n"/>
      <c r="AG1638" s="59" t="n"/>
      <c r="AH1638" s="57" t="n"/>
      <c r="AI1638" s="55" t="n"/>
      <c r="AJ1638" s="55" t="n"/>
      <c r="AK1638" s="55" t="n"/>
      <c r="AL1638" s="55" t="n"/>
      <c r="AM1638" s="56" t="n"/>
      <c r="AN1638" s="55" t="n"/>
      <c r="AO1638" s="55" t="n"/>
      <c r="AP1638" s="55" t="n"/>
      <c r="AQ1638" s="55" t="n"/>
      <c r="AR1638" s="60">
        <f>IF(AND(C1638="",E1638=""),"",IF(A1638="","⚠ Date manquante",IF(AND(C1638="",E1638&lt;&gt;"Dépense"),"⚠ Prospect manquant",IF(E1638="","⚠ Action manquante",IF(AND(AU1638=1,D1638=""),"⚠ Canal manquant",IF(AND(W1638&lt;&gt;"",COUNTIFS('Saisie'!$W$5:$W$2004,W1638,'Saisie'!$C$5:$C$2004,"&lt;&gt;"&amp;C1638)&gt;0),"⚠ Numéro déjà utilisé par un autre prospect",IF(AND(J1638&lt;&gt;"",J1638&lt;A1638),"⚠ Relance avant la date de l'action",IF(A1638&gt;TODAY(),"⚠ Date dans le futur","✓"))))))))</f>
        <v/>
      </c>
      <c r="AS1638" s="61">
        <f>IF(AND(A1638="",C1638="",E1638=""),"",ROW())</f>
        <v/>
      </c>
      <c r="AT1638" s="61">
        <f>IF(E1638&amp;F1638="","",MAX(IFERROR(INDEX('Paramètres'!$J$6:$J$33,MATCH(E1638,'Paramètres'!$I$6:$I$33,0)),0),IFERROR(INDEX('Paramètres'!$N$6:$N$17,MATCH(F1638,'Paramètres'!$M$6:$M$17,0)),0)))</f>
        <v/>
      </c>
      <c r="AU1638" s="61">
        <f>IF(E1638="","",IFERROR(IF(INDEX('Paramètres'!$K$6:$K$33,MATCH(E1638,'Paramètres'!$I$6:$I$33,0))="Oui",1,0),0))</f>
        <v/>
      </c>
      <c r="AV1638" s="61">
        <f>IF(F1638="","",IFERROR(IF(INDEX('Paramètres'!$O$6:$O$17,MATCH(F1638,'Paramètres'!$M$6:$M$17,0))="Oui",1,0),0))</f>
        <v/>
      </c>
      <c r="AW1638" s="62">
        <f>IF(E1638="","",IF(G1638&lt;&gt;"",G1638,IF(OR(E1638="Proposition envoyée",E1638="Signature"),MAX(0,N(IFERROR(INDEX('Paramètres'!$R$6:$R$15,MATCH(IF(AL1638&lt;&gt;"",AL1638,IFERROR(INDEX('Prospects'!$AN$5:$AN$504,MATCH(C1638,'Prospects'!$C$5:$C$504,0)),"")),'Paramètres'!$Q$6:$Q$15,0)),0))-N(P1638)),0)))</f>
        <v/>
      </c>
      <c r="AX1638" s="61">
        <f>IF(C1638="","",IF(COUNTIF($C$5:C1638,C1638)=1,MAX($AX$4:AX1637)+1,""))</f>
        <v/>
      </c>
      <c r="AY1638" s="61">
        <f>IF(B1638="","",HOUR(B1638))</f>
        <v/>
      </c>
      <c r="AZ1638" s="61">
        <f>IF(A1638="","",MOD(A1638-2,7)+1)</f>
        <v/>
      </c>
      <c r="BA1638" s="60">
        <f>IF(C1638="","",IFERROR(INDEX('Prospects'!$N$5:$N$504,MATCH(C1638,'Prospects'!$C$5:$C$504,0)),""))</f>
        <v/>
      </c>
      <c r="BB1638" s="61">
        <f>IF(AND(C1638&lt;&gt;"",C1638='Fiche prospect'!$C$4),COUNTIF($C$5:C1638,C1638),"")</f>
        <v/>
      </c>
    </row>
    <row r="1639">
      <c r="A1639" s="53" t="n"/>
      <c r="B1639" s="54" t="n"/>
      <c r="C1639" s="55" t="n"/>
      <c r="D1639" s="55" t="n"/>
      <c r="E1639" s="55" t="n"/>
      <c r="F1639" s="55" t="n"/>
      <c r="G1639" s="56" t="n"/>
      <c r="H1639" s="57" t="n"/>
      <c r="I1639" s="55" t="n"/>
      <c r="J1639" s="53" t="n"/>
      <c r="K1639" s="54" t="n"/>
      <c r="L1639" s="55" t="n"/>
      <c r="M1639" s="55" t="n"/>
      <c r="N1639" s="57" t="n"/>
      <c r="O1639" s="55" t="n"/>
      <c r="P1639" s="56" t="n"/>
      <c r="Q1639" s="55" t="n"/>
      <c r="R1639" s="55" t="n"/>
      <c r="S1639" s="55" t="n"/>
      <c r="T1639" s="55" t="n"/>
      <c r="U1639" s="55" t="n"/>
      <c r="V1639" s="55" t="n"/>
      <c r="W1639" s="58" t="n"/>
      <c r="X1639" s="58" t="n"/>
      <c r="Y1639" s="55" t="n"/>
      <c r="Z1639" s="55" t="n"/>
      <c r="AA1639" s="55" t="n"/>
      <c r="AB1639" s="55" t="n"/>
      <c r="AC1639" s="55" t="n"/>
      <c r="AD1639" s="53" t="n"/>
      <c r="AE1639" s="55" t="n"/>
      <c r="AF1639" s="55" t="n"/>
      <c r="AG1639" s="59" t="n"/>
      <c r="AH1639" s="57" t="n"/>
      <c r="AI1639" s="55" t="n"/>
      <c r="AJ1639" s="55" t="n"/>
      <c r="AK1639" s="55" t="n"/>
      <c r="AL1639" s="55" t="n"/>
      <c r="AM1639" s="56" t="n"/>
      <c r="AN1639" s="55" t="n"/>
      <c r="AO1639" s="55" t="n"/>
      <c r="AP1639" s="55" t="n"/>
      <c r="AQ1639" s="55" t="n"/>
      <c r="AR1639" s="60">
        <f>IF(AND(C1639="",E1639=""),"",IF(A1639="","⚠ Date manquante",IF(AND(C1639="",E1639&lt;&gt;"Dépense"),"⚠ Prospect manquant",IF(E1639="","⚠ Action manquante",IF(AND(AU1639=1,D1639=""),"⚠ Canal manquant",IF(AND(W1639&lt;&gt;"",COUNTIFS('Saisie'!$W$5:$W$2004,W1639,'Saisie'!$C$5:$C$2004,"&lt;&gt;"&amp;C1639)&gt;0),"⚠ Numéro déjà utilisé par un autre prospect",IF(AND(J1639&lt;&gt;"",J1639&lt;A1639),"⚠ Relance avant la date de l'action",IF(A1639&gt;TODAY(),"⚠ Date dans le futur","✓"))))))))</f>
        <v/>
      </c>
      <c r="AS1639" s="61">
        <f>IF(AND(A1639="",C1639="",E1639=""),"",ROW())</f>
        <v/>
      </c>
      <c r="AT1639" s="61">
        <f>IF(E1639&amp;F1639="","",MAX(IFERROR(INDEX('Paramètres'!$J$6:$J$33,MATCH(E1639,'Paramètres'!$I$6:$I$33,0)),0),IFERROR(INDEX('Paramètres'!$N$6:$N$17,MATCH(F1639,'Paramètres'!$M$6:$M$17,0)),0)))</f>
        <v/>
      </c>
      <c r="AU1639" s="61">
        <f>IF(E1639="","",IFERROR(IF(INDEX('Paramètres'!$K$6:$K$33,MATCH(E1639,'Paramètres'!$I$6:$I$33,0))="Oui",1,0),0))</f>
        <v/>
      </c>
      <c r="AV1639" s="61">
        <f>IF(F1639="","",IFERROR(IF(INDEX('Paramètres'!$O$6:$O$17,MATCH(F1639,'Paramètres'!$M$6:$M$17,0))="Oui",1,0),0))</f>
        <v/>
      </c>
      <c r="AW1639" s="62">
        <f>IF(E1639="","",IF(G1639&lt;&gt;"",G1639,IF(OR(E1639="Proposition envoyée",E1639="Signature"),MAX(0,N(IFERROR(INDEX('Paramètres'!$R$6:$R$15,MATCH(IF(AL1639&lt;&gt;"",AL1639,IFERROR(INDEX('Prospects'!$AN$5:$AN$504,MATCH(C1639,'Prospects'!$C$5:$C$504,0)),"")),'Paramètres'!$Q$6:$Q$15,0)),0))-N(P1639)),0)))</f>
        <v/>
      </c>
      <c r="AX1639" s="61">
        <f>IF(C1639="","",IF(COUNTIF($C$5:C1639,C1639)=1,MAX($AX$4:AX1638)+1,""))</f>
        <v/>
      </c>
      <c r="AY1639" s="61">
        <f>IF(B1639="","",HOUR(B1639))</f>
        <v/>
      </c>
      <c r="AZ1639" s="61">
        <f>IF(A1639="","",MOD(A1639-2,7)+1)</f>
        <v/>
      </c>
      <c r="BA1639" s="60">
        <f>IF(C1639="","",IFERROR(INDEX('Prospects'!$N$5:$N$504,MATCH(C1639,'Prospects'!$C$5:$C$504,0)),""))</f>
        <v/>
      </c>
      <c r="BB1639" s="61">
        <f>IF(AND(C1639&lt;&gt;"",C1639='Fiche prospect'!$C$4),COUNTIF($C$5:C1639,C1639),"")</f>
        <v/>
      </c>
    </row>
    <row r="1640">
      <c r="A1640" s="53" t="n"/>
      <c r="B1640" s="54" t="n"/>
      <c r="C1640" s="55" t="n"/>
      <c r="D1640" s="55" t="n"/>
      <c r="E1640" s="55" t="n"/>
      <c r="F1640" s="55" t="n"/>
      <c r="G1640" s="56" t="n"/>
      <c r="H1640" s="57" t="n"/>
      <c r="I1640" s="55" t="n"/>
      <c r="J1640" s="53" t="n"/>
      <c r="K1640" s="54" t="n"/>
      <c r="L1640" s="55" t="n"/>
      <c r="M1640" s="55" t="n"/>
      <c r="N1640" s="57" t="n"/>
      <c r="O1640" s="55" t="n"/>
      <c r="P1640" s="56" t="n"/>
      <c r="Q1640" s="55" t="n"/>
      <c r="R1640" s="55" t="n"/>
      <c r="S1640" s="55" t="n"/>
      <c r="T1640" s="55" t="n"/>
      <c r="U1640" s="55" t="n"/>
      <c r="V1640" s="55" t="n"/>
      <c r="W1640" s="58" t="n"/>
      <c r="X1640" s="58" t="n"/>
      <c r="Y1640" s="55" t="n"/>
      <c r="Z1640" s="55" t="n"/>
      <c r="AA1640" s="55" t="n"/>
      <c r="AB1640" s="55" t="n"/>
      <c r="AC1640" s="55" t="n"/>
      <c r="AD1640" s="53" t="n"/>
      <c r="AE1640" s="55" t="n"/>
      <c r="AF1640" s="55" t="n"/>
      <c r="AG1640" s="59" t="n"/>
      <c r="AH1640" s="57" t="n"/>
      <c r="AI1640" s="55" t="n"/>
      <c r="AJ1640" s="55" t="n"/>
      <c r="AK1640" s="55" t="n"/>
      <c r="AL1640" s="55" t="n"/>
      <c r="AM1640" s="56" t="n"/>
      <c r="AN1640" s="55" t="n"/>
      <c r="AO1640" s="55" t="n"/>
      <c r="AP1640" s="55" t="n"/>
      <c r="AQ1640" s="55" t="n"/>
      <c r="AR1640" s="60">
        <f>IF(AND(C1640="",E1640=""),"",IF(A1640="","⚠ Date manquante",IF(AND(C1640="",E1640&lt;&gt;"Dépense"),"⚠ Prospect manquant",IF(E1640="","⚠ Action manquante",IF(AND(AU1640=1,D1640=""),"⚠ Canal manquant",IF(AND(W1640&lt;&gt;"",COUNTIFS('Saisie'!$W$5:$W$2004,W1640,'Saisie'!$C$5:$C$2004,"&lt;&gt;"&amp;C1640)&gt;0),"⚠ Numéro déjà utilisé par un autre prospect",IF(AND(J1640&lt;&gt;"",J1640&lt;A1640),"⚠ Relance avant la date de l'action",IF(A1640&gt;TODAY(),"⚠ Date dans le futur","✓"))))))))</f>
        <v/>
      </c>
      <c r="AS1640" s="61">
        <f>IF(AND(A1640="",C1640="",E1640=""),"",ROW())</f>
        <v/>
      </c>
      <c r="AT1640" s="61">
        <f>IF(E1640&amp;F1640="","",MAX(IFERROR(INDEX('Paramètres'!$J$6:$J$33,MATCH(E1640,'Paramètres'!$I$6:$I$33,0)),0),IFERROR(INDEX('Paramètres'!$N$6:$N$17,MATCH(F1640,'Paramètres'!$M$6:$M$17,0)),0)))</f>
        <v/>
      </c>
      <c r="AU1640" s="61">
        <f>IF(E1640="","",IFERROR(IF(INDEX('Paramètres'!$K$6:$K$33,MATCH(E1640,'Paramètres'!$I$6:$I$33,0))="Oui",1,0),0))</f>
        <v/>
      </c>
      <c r="AV1640" s="61">
        <f>IF(F1640="","",IFERROR(IF(INDEX('Paramètres'!$O$6:$O$17,MATCH(F1640,'Paramètres'!$M$6:$M$17,0))="Oui",1,0),0))</f>
        <v/>
      </c>
      <c r="AW1640" s="62">
        <f>IF(E1640="","",IF(G1640&lt;&gt;"",G1640,IF(OR(E1640="Proposition envoyée",E1640="Signature"),MAX(0,N(IFERROR(INDEX('Paramètres'!$R$6:$R$15,MATCH(IF(AL1640&lt;&gt;"",AL1640,IFERROR(INDEX('Prospects'!$AN$5:$AN$504,MATCH(C1640,'Prospects'!$C$5:$C$504,0)),"")),'Paramètres'!$Q$6:$Q$15,0)),0))-N(P1640)),0)))</f>
        <v/>
      </c>
      <c r="AX1640" s="61">
        <f>IF(C1640="","",IF(COUNTIF($C$5:C1640,C1640)=1,MAX($AX$4:AX1639)+1,""))</f>
        <v/>
      </c>
      <c r="AY1640" s="61">
        <f>IF(B1640="","",HOUR(B1640))</f>
        <v/>
      </c>
      <c r="AZ1640" s="61">
        <f>IF(A1640="","",MOD(A1640-2,7)+1)</f>
        <v/>
      </c>
      <c r="BA1640" s="60">
        <f>IF(C1640="","",IFERROR(INDEX('Prospects'!$N$5:$N$504,MATCH(C1640,'Prospects'!$C$5:$C$504,0)),""))</f>
        <v/>
      </c>
      <c r="BB1640" s="61">
        <f>IF(AND(C1640&lt;&gt;"",C1640='Fiche prospect'!$C$4),COUNTIF($C$5:C1640,C1640),"")</f>
        <v/>
      </c>
    </row>
    <row r="1641">
      <c r="A1641" s="53" t="n"/>
      <c r="B1641" s="54" t="n"/>
      <c r="C1641" s="55" t="n"/>
      <c r="D1641" s="55" t="n"/>
      <c r="E1641" s="55" t="n"/>
      <c r="F1641" s="55" t="n"/>
      <c r="G1641" s="56" t="n"/>
      <c r="H1641" s="57" t="n"/>
      <c r="I1641" s="55" t="n"/>
      <c r="J1641" s="53" t="n"/>
      <c r="K1641" s="54" t="n"/>
      <c r="L1641" s="55" t="n"/>
      <c r="M1641" s="55" t="n"/>
      <c r="N1641" s="57" t="n"/>
      <c r="O1641" s="55" t="n"/>
      <c r="P1641" s="56" t="n"/>
      <c r="Q1641" s="55" t="n"/>
      <c r="R1641" s="55" t="n"/>
      <c r="S1641" s="55" t="n"/>
      <c r="T1641" s="55" t="n"/>
      <c r="U1641" s="55" t="n"/>
      <c r="V1641" s="55" t="n"/>
      <c r="W1641" s="58" t="n"/>
      <c r="X1641" s="58" t="n"/>
      <c r="Y1641" s="55" t="n"/>
      <c r="Z1641" s="55" t="n"/>
      <c r="AA1641" s="55" t="n"/>
      <c r="AB1641" s="55" t="n"/>
      <c r="AC1641" s="55" t="n"/>
      <c r="AD1641" s="53" t="n"/>
      <c r="AE1641" s="55" t="n"/>
      <c r="AF1641" s="55" t="n"/>
      <c r="AG1641" s="59" t="n"/>
      <c r="AH1641" s="57" t="n"/>
      <c r="AI1641" s="55" t="n"/>
      <c r="AJ1641" s="55" t="n"/>
      <c r="AK1641" s="55" t="n"/>
      <c r="AL1641" s="55" t="n"/>
      <c r="AM1641" s="56" t="n"/>
      <c r="AN1641" s="55" t="n"/>
      <c r="AO1641" s="55" t="n"/>
      <c r="AP1641" s="55" t="n"/>
      <c r="AQ1641" s="55" t="n"/>
      <c r="AR1641" s="60">
        <f>IF(AND(C1641="",E1641=""),"",IF(A1641="","⚠ Date manquante",IF(AND(C1641="",E1641&lt;&gt;"Dépense"),"⚠ Prospect manquant",IF(E1641="","⚠ Action manquante",IF(AND(AU1641=1,D1641=""),"⚠ Canal manquant",IF(AND(W1641&lt;&gt;"",COUNTIFS('Saisie'!$W$5:$W$2004,W1641,'Saisie'!$C$5:$C$2004,"&lt;&gt;"&amp;C1641)&gt;0),"⚠ Numéro déjà utilisé par un autre prospect",IF(AND(J1641&lt;&gt;"",J1641&lt;A1641),"⚠ Relance avant la date de l'action",IF(A1641&gt;TODAY(),"⚠ Date dans le futur","✓"))))))))</f>
        <v/>
      </c>
      <c r="AS1641" s="61">
        <f>IF(AND(A1641="",C1641="",E1641=""),"",ROW())</f>
        <v/>
      </c>
      <c r="AT1641" s="61">
        <f>IF(E1641&amp;F1641="","",MAX(IFERROR(INDEX('Paramètres'!$J$6:$J$33,MATCH(E1641,'Paramètres'!$I$6:$I$33,0)),0),IFERROR(INDEX('Paramètres'!$N$6:$N$17,MATCH(F1641,'Paramètres'!$M$6:$M$17,0)),0)))</f>
        <v/>
      </c>
      <c r="AU1641" s="61">
        <f>IF(E1641="","",IFERROR(IF(INDEX('Paramètres'!$K$6:$K$33,MATCH(E1641,'Paramètres'!$I$6:$I$33,0))="Oui",1,0),0))</f>
        <v/>
      </c>
      <c r="AV1641" s="61">
        <f>IF(F1641="","",IFERROR(IF(INDEX('Paramètres'!$O$6:$O$17,MATCH(F1641,'Paramètres'!$M$6:$M$17,0))="Oui",1,0),0))</f>
        <v/>
      </c>
      <c r="AW1641" s="62">
        <f>IF(E1641="","",IF(G1641&lt;&gt;"",G1641,IF(OR(E1641="Proposition envoyée",E1641="Signature"),MAX(0,N(IFERROR(INDEX('Paramètres'!$R$6:$R$15,MATCH(IF(AL1641&lt;&gt;"",AL1641,IFERROR(INDEX('Prospects'!$AN$5:$AN$504,MATCH(C1641,'Prospects'!$C$5:$C$504,0)),"")),'Paramètres'!$Q$6:$Q$15,0)),0))-N(P1641)),0)))</f>
        <v/>
      </c>
      <c r="AX1641" s="61">
        <f>IF(C1641="","",IF(COUNTIF($C$5:C1641,C1641)=1,MAX($AX$4:AX1640)+1,""))</f>
        <v/>
      </c>
      <c r="AY1641" s="61">
        <f>IF(B1641="","",HOUR(B1641))</f>
        <v/>
      </c>
      <c r="AZ1641" s="61">
        <f>IF(A1641="","",MOD(A1641-2,7)+1)</f>
        <v/>
      </c>
      <c r="BA1641" s="60">
        <f>IF(C1641="","",IFERROR(INDEX('Prospects'!$N$5:$N$504,MATCH(C1641,'Prospects'!$C$5:$C$504,0)),""))</f>
        <v/>
      </c>
      <c r="BB1641" s="61">
        <f>IF(AND(C1641&lt;&gt;"",C1641='Fiche prospect'!$C$4),COUNTIF($C$5:C1641,C1641),"")</f>
        <v/>
      </c>
    </row>
    <row r="1642">
      <c r="A1642" s="53" t="n"/>
      <c r="B1642" s="54" t="n"/>
      <c r="C1642" s="55" t="n"/>
      <c r="D1642" s="55" t="n"/>
      <c r="E1642" s="55" t="n"/>
      <c r="F1642" s="55" t="n"/>
      <c r="G1642" s="56" t="n"/>
      <c r="H1642" s="57" t="n"/>
      <c r="I1642" s="55" t="n"/>
      <c r="J1642" s="53" t="n"/>
      <c r="K1642" s="54" t="n"/>
      <c r="L1642" s="55" t="n"/>
      <c r="M1642" s="55" t="n"/>
      <c r="N1642" s="57" t="n"/>
      <c r="O1642" s="55" t="n"/>
      <c r="P1642" s="56" t="n"/>
      <c r="Q1642" s="55" t="n"/>
      <c r="R1642" s="55" t="n"/>
      <c r="S1642" s="55" t="n"/>
      <c r="T1642" s="55" t="n"/>
      <c r="U1642" s="55" t="n"/>
      <c r="V1642" s="55" t="n"/>
      <c r="W1642" s="58" t="n"/>
      <c r="X1642" s="58" t="n"/>
      <c r="Y1642" s="55" t="n"/>
      <c r="Z1642" s="55" t="n"/>
      <c r="AA1642" s="55" t="n"/>
      <c r="AB1642" s="55" t="n"/>
      <c r="AC1642" s="55" t="n"/>
      <c r="AD1642" s="53" t="n"/>
      <c r="AE1642" s="55" t="n"/>
      <c r="AF1642" s="55" t="n"/>
      <c r="AG1642" s="59" t="n"/>
      <c r="AH1642" s="57" t="n"/>
      <c r="AI1642" s="55" t="n"/>
      <c r="AJ1642" s="55" t="n"/>
      <c r="AK1642" s="55" t="n"/>
      <c r="AL1642" s="55" t="n"/>
      <c r="AM1642" s="56" t="n"/>
      <c r="AN1642" s="55" t="n"/>
      <c r="AO1642" s="55" t="n"/>
      <c r="AP1642" s="55" t="n"/>
      <c r="AQ1642" s="55" t="n"/>
      <c r="AR1642" s="60">
        <f>IF(AND(C1642="",E1642=""),"",IF(A1642="","⚠ Date manquante",IF(AND(C1642="",E1642&lt;&gt;"Dépense"),"⚠ Prospect manquant",IF(E1642="","⚠ Action manquante",IF(AND(AU1642=1,D1642=""),"⚠ Canal manquant",IF(AND(W1642&lt;&gt;"",COUNTIFS('Saisie'!$W$5:$W$2004,W1642,'Saisie'!$C$5:$C$2004,"&lt;&gt;"&amp;C1642)&gt;0),"⚠ Numéro déjà utilisé par un autre prospect",IF(AND(J1642&lt;&gt;"",J1642&lt;A1642),"⚠ Relance avant la date de l'action",IF(A1642&gt;TODAY(),"⚠ Date dans le futur","✓"))))))))</f>
        <v/>
      </c>
      <c r="AS1642" s="61">
        <f>IF(AND(A1642="",C1642="",E1642=""),"",ROW())</f>
        <v/>
      </c>
      <c r="AT1642" s="61">
        <f>IF(E1642&amp;F1642="","",MAX(IFERROR(INDEX('Paramètres'!$J$6:$J$33,MATCH(E1642,'Paramètres'!$I$6:$I$33,0)),0),IFERROR(INDEX('Paramètres'!$N$6:$N$17,MATCH(F1642,'Paramètres'!$M$6:$M$17,0)),0)))</f>
        <v/>
      </c>
      <c r="AU1642" s="61">
        <f>IF(E1642="","",IFERROR(IF(INDEX('Paramètres'!$K$6:$K$33,MATCH(E1642,'Paramètres'!$I$6:$I$33,0))="Oui",1,0),0))</f>
        <v/>
      </c>
      <c r="AV1642" s="61">
        <f>IF(F1642="","",IFERROR(IF(INDEX('Paramètres'!$O$6:$O$17,MATCH(F1642,'Paramètres'!$M$6:$M$17,0))="Oui",1,0),0))</f>
        <v/>
      </c>
      <c r="AW1642" s="62">
        <f>IF(E1642="","",IF(G1642&lt;&gt;"",G1642,IF(OR(E1642="Proposition envoyée",E1642="Signature"),MAX(0,N(IFERROR(INDEX('Paramètres'!$R$6:$R$15,MATCH(IF(AL1642&lt;&gt;"",AL1642,IFERROR(INDEX('Prospects'!$AN$5:$AN$504,MATCH(C1642,'Prospects'!$C$5:$C$504,0)),"")),'Paramètres'!$Q$6:$Q$15,0)),0))-N(P1642)),0)))</f>
        <v/>
      </c>
      <c r="AX1642" s="61">
        <f>IF(C1642="","",IF(COUNTIF($C$5:C1642,C1642)=1,MAX($AX$4:AX1641)+1,""))</f>
        <v/>
      </c>
      <c r="AY1642" s="61">
        <f>IF(B1642="","",HOUR(B1642))</f>
        <v/>
      </c>
      <c r="AZ1642" s="61">
        <f>IF(A1642="","",MOD(A1642-2,7)+1)</f>
        <v/>
      </c>
      <c r="BA1642" s="60">
        <f>IF(C1642="","",IFERROR(INDEX('Prospects'!$N$5:$N$504,MATCH(C1642,'Prospects'!$C$5:$C$504,0)),""))</f>
        <v/>
      </c>
      <c r="BB1642" s="61">
        <f>IF(AND(C1642&lt;&gt;"",C1642='Fiche prospect'!$C$4),COUNTIF($C$5:C1642,C1642),"")</f>
        <v/>
      </c>
    </row>
    <row r="1643">
      <c r="A1643" s="53" t="n"/>
      <c r="B1643" s="54" t="n"/>
      <c r="C1643" s="55" t="n"/>
      <c r="D1643" s="55" t="n"/>
      <c r="E1643" s="55" t="n"/>
      <c r="F1643" s="55" t="n"/>
      <c r="G1643" s="56" t="n"/>
      <c r="H1643" s="57" t="n"/>
      <c r="I1643" s="55" t="n"/>
      <c r="J1643" s="53" t="n"/>
      <c r="K1643" s="54" t="n"/>
      <c r="L1643" s="55" t="n"/>
      <c r="M1643" s="55" t="n"/>
      <c r="N1643" s="57" t="n"/>
      <c r="O1643" s="55" t="n"/>
      <c r="P1643" s="56" t="n"/>
      <c r="Q1643" s="55" t="n"/>
      <c r="R1643" s="55" t="n"/>
      <c r="S1643" s="55" t="n"/>
      <c r="T1643" s="55" t="n"/>
      <c r="U1643" s="55" t="n"/>
      <c r="V1643" s="55" t="n"/>
      <c r="W1643" s="58" t="n"/>
      <c r="X1643" s="58" t="n"/>
      <c r="Y1643" s="55" t="n"/>
      <c r="Z1643" s="55" t="n"/>
      <c r="AA1643" s="55" t="n"/>
      <c r="AB1643" s="55" t="n"/>
      <c r="AC1643" s="55" t="n"/>
      <c r="AD1643" s="53" t="n"/>
      <c r="AE1643" s="55" t="n"/>
      <c r="AF1643" s="55" t="n"/>
      <c r="AG1643" s="59" t="n"/>
      <c r="AH1643" s="57" t="n"/>
      <c r="AI1643" s="55" t="n"/>
      <c r="AJ1643" s="55" t="n"/>
      <c r="AK1643" s="55" t="n"/>
      <c r="AL1643" s="55" t="n"/>
      <c r="AM1643" s="56" t="n"/>
      <c r="AN1643" s="55" t="n"/>
      <c r="AO1643" s="55" t="n"/>
      <c r="AP1643" s="55" t="n"/>
      <c r="AQ1643" s="55" t="n"/>
      <c r="AR1643" s="60">
        <f>IF(AND(C1643="",E1643=""),"",IF(A1643="","⚠ Date manquante",IF(AND(C1643="",E1643&lt;&gt;"Dépense"),"⚠ Prospect manquant",IF(E1643="","⚠ Action manquante",IF(AND(AU1643=1,D1643=""),"⚠ Canal manquant",IF(AND(W1643&lt;&gt;"",COUNTIFS('Saisie'!$W$5:$W$2004,W1643,'Saisie'!$C$5:$C$2004,"&lt;&gt;"&amp;C1643)&gt;0),"⚠ Numéro déjà utilisé par un autre prospect",IF(AND(J1643&lt;&gt;"",J1643&lt;A1643),"⚠ Relance avant la date de l'action",IF(A1643&gt;TODAY(),"⚠ Date dans le futur","✓"))))))))</f>
        <v/>
      </c>
      <c r="AS1643" s="61">
        <f>IF(AND(A1643="",C1643="",E1643=""),"",ROW())</f>
        <v/>
      </c>
      <c r="AT1643" s="61">
        <f>IF(E1643&amp;F1643="","",MAX(IFERROR(INDEX('Paramètres'!$J$6:$J$33,MATCH(E1643,'Paramètres'!$I$6:$I$33,0)),0),IFERROR(INDEX('Paramètres'!$N$6:$N$17,MATCH(F1643,'Paramètres'!$M$6:$M$17,0)),0)))</f>
        <v/>
      </c>
      <c r="AU1643" s="61">
        <f>IF(E1643="","",IFERROR(IF(INDEX('Paramètres'!$K$6:$K$33,MATCH(E1643,'Paramètres'!$I$6:$I$33,0))="Oui",1,0),0))</f>
        <v/>
      </c>
      <c r="AV1643" s="61">
        <f>IF(F1643="","",IFERROR(IF(INDEX('Paramètres'!$O$6:$O$17,MATCH(F1643,'Paramètres'!$M$6:$M$17,0))="Oui",1,0),0))</f>
        <v/>
      </c>
      <c r="AW1643" s="62">
        <f>IF(E1643="","",IF(G1643&lt;&gt;"",G1643,IF(OR(E1643="Proposition envoyée",E1643="Signature"),MAX(0,N(IFERROR(INDEX('Paramètres'!$R$6:$R$15,MATCH(IF(AL1643&lt;&gt;"",AL1643,IFERROR(INDEX('Prospects'!$AN$5:$AN$504,MATCH(C1643,'Prospects'!$C$5:$C$504,0)),"")),'Paramètres'!$Q$6:$Q$15,0)),0))-N(P1643)),0)))</f>
        <v/>
      </c>
      <c r="AX1643" s="61">
        <f>IF(C1643="","",IF(COUNTIF($C$5:C1643,C1643)=1,MAX($AX$4:AX1642)+1,""))</f>
        <v/>
      </c>
      <c r="AY1643" s="61">
        <f>IF(B1643="","",HOUR(B1643))</f>
        <v/>
      </c>
      <c r="AZ1643" s="61">
        <f>IF(A1643="","",MOD(A1643-2,7)+1)</f>
        <v/>
      </c>
      <c r="BA1643" s="60">
        <f>IF(C1643="","",IFERROR(INDEX('Prospects'!$N$5:$N$504,MATCH(C1643,'Prospects'!$C$5:$C$504,0)),""))</f>
        <v/>
      </c>
      <c r="BB1643" s="61">
        <f>IF(AND(C1643&lt;&gt;"",C1643='Fiche prospect'!$C$4),COUNTIF($C$5:C1643,C1643),"")</f>
        <v/>
      </c>
    </row>
    <row r="1644">
      <c r="A1644" s="53" t="n"/>
      <c r="B1644" s="54" t="n"/>
      <c r="C1644" s="55" t="n"/>
      <c r="D1644" s="55" t="n"/>
      <c r="E1644" s="55" t="n"/>
      <c r="F1644" s="55" t="n"/>
      <c r="G1644" s="56" t="n"/>
      <c r="H1644" s="57" t="n"/>
      <c r="I1644" s="55" t="n"/>
      <c r="J1644" s="53" t="n"/>
      <c r="K1644" s="54" t="n"/>
      <c r="L1644" s="55" t="n"/>
      <c r="M1644" s="55" t="n"/>
      <c r="N1644" s="57" t="n"/>
      <c r="O1644" s="55" t="n"/>
      <c r="P1644" s="56" t="n"/>
      <c r="Q1644" s="55" t="n"/>
      <c r="R1644" s="55" t="n"/>
      <c r="S1644" s="55" t="n"/>
      <c r="T1644" s="55" t="n"/>
      <c r="U1644" s="55" t="n"/>
      <c r="V1644" s="55" t="n"/>
      <c r="W1644" s="58" t="n"/>
      <c r="X1644" s="58" t="n"/>
      <c r="Y1644" s="55" t="n"/>
      <c r="Z1644" s="55" t="n"/>
      <c r="AA1644" s="55" t="n"/>
      <c r="AB1644" s="55" t="n"/>
      <c r="AC1644" s="55" t="n"/>
      <c r="AD1644" s="53" t="n"/>
      <c r="AE1644" s="55" t="n"/>
      <c r="AF1644" s="55" t="n"/>
      <c r="AG1644" s="59" t="n"/>
      <c r="AH1644" s="57" t="n"/>
      <c r="AI1644" s="55" t="n"/>
      <c r="AJ1644" s="55" t="n"/>
      <c r="AK1644" s="55" t="n"/>
      <c r="AL1644" s="55" t="n"/>
      <c r="AM1644" s="56" t="n"/>
      <c r="AN1644" s="55" t="n"/>
      <c r="AO1644" s="55" t="n"/>
      <c r="AP1644" s="55" t="n"/>
      <c r="AQ1644" s="55" t="n"/>
      <c r="AR1644" s="60">
        <f>IF(AND(C1644="",E1644=""),"",IF(A1644="","⚠ Date manquante",IF(AND(C1644="",E1644&lt;&gt;"Dépense"),"⚠ Prospect manquant",IF(E1644="","⚠ Action manquante",IF(AND(AU1644=1,D1644=""),"⚠ Canal manquant",IF(AND(W1644&lt;&gt;"",COUNTIFS('Saisie'!$W$5:$W$2004,W1644,'Saisie'!$C$5:$C$2004,"&lt;&gt;"&amp;C1644)&gt;0),"⚠ Numéro déjà utilisé par un autre prospect",IF(AND(J1644&lt;&gt;"",J1644&lt;A1644),"⚠ Relance avant la date de l'action",IF(A1644&gt;TODAY(),"⚠ Date dans le futur","✓"))))))))</f>
        <v/>
      </c>
      <c r="AS1644" s="61">
        <f>IF(AND(A1644="",C1644="",E1644=""),"",ROW())</f>
        <v/>
      </c>
      <c r="AT1644" s="61">
        <f>IF(E1644&amp;F1644="","",MAX(IFERROR(INDEX('Paramètres'!$J$6:$J$33,MATCH(E1644,'Paramètres'!$I$6:$I$33,0)),0),IFERROR(INDEX('Paramètres'!$N$6:$N$17,MATCH(F1644,'Paramètres'!$M$6:$M$17,0)),0)))</f>
        <v/>
      </c>
      <c r="AU1644" s="61">
        <f>IF(E1644="","",IFERROR(IF(INDEX('Paramètres'!$K$6:$K$33,MATCH(E1644,'Paramètres'!$I$6:$I$33,0))="Oui",1,0),0))</f>
        <v/>
      </c>
      <c r="AV1644" s="61">
        <f>IF(F1644="","",IFERROR(IF(INDEX('Paramètres'!$O$6:$O$17,MATCH(F1644,'Paramètres'!$M$6:$M$17,0))="Oui",1,0),0))</f>
        <v/>
      </c>
      <c r="AW1644" s="62">
        <f>IF(E1644="","",IF(G1644&lt;&gt;"",G1644,IF(OR(E1644="Proposition envoyée",E1644="Signature"),MAX(0,N(IFERROR(INDEX('Paramètres'!$R$6:$R$15,MATCH(IF(AL1644&lt;&gt;"",AL1644,IFERROR(INDEX('Prospects'!$AN$5:$AN$504,MATCH(C1644,'Prospects'!$C$5:$C$504,0)),"")),'Paramètres'!$Q$6:$Q$15,0)),0))-N(P1644)),0)))</f>
        <v/>
      </c>
      <c r="AX1644" s="61">
        <f>IF(C1644="","",IF(COUNTIF($C$5:C1644,C1644)=1,MAX($AX$4:AX1643)+1,""))</f>
        <v/>
      </c>
      <c r="AY1644" s="61">
        <f>IF(B1644="","",HOUR(B1644))</f>
        <v/>
      </c>
      <c r="AZ1644" s="61">
        <f>IF(A1644="","",MOD(A1644-2,7)+1)</f>
        <v/>
      </c>
      <c r="BA1644" s="60">
        <f>IF(C1644="","",IFERROR(INDEX('Prospects'!$N$5:$N$504,MATCH(C1644,'Prospects'!$C$5:$C$504,0)),""))</f>
        <v/>
      </c>
      <c r="BB1644" s="61">
        <f>IF(AND(C1644&lt;&gt;"",C1644='Fiche prospect'!$C$4),COUNTIF($C$5:C1644,C1644),"")</f>
        <v/>
      </c>
    </row>
    <row r="1645">
      <c r="A1645" s="53" t="n"/>
      <c r="B1645" s="54" t="n"/>
      <c r="C1645" s="55" t="n"/>
      <c r="D1645" s="55" t="n"/>
      <c r="E1645" s="55" t="n"/>
      <c r="F1645" s="55" t="n"/>
      <c r="G1645" s="56" t="n"/>
      <c r="H1645" s="57" t="n"/>
      <c r="I1645" s="55" t="n"/>
      <c r="J1645" s="53" t="n"/>
      <c r="K1645" s="54" t="n"/>
      <c r="L1645" s="55" t="n"/>
      <c r="M1645" s="55" t="n"/>
      <c r="N1645" s="57" t="n"/>
      <c r="O1645" s="55" t="n"/>
      <c r="P1645" s="56" t="n"/>
      <c r="Q1645" s="55" t="n"/>
      <c r="R1645" s="55" t="n"/>
      <c r="S1645" s="55" t="n"/>
      <c r="T1645" s="55" t="n"/>
      <c r="U1645" s="55" t="n"/>
      <c r="V1645" s="55" t="n"/>
      <c r="W1645" s="58" t="n"/>
      <c r="X1645" s="58" t="n"/>
      <c r="Y1645" s="55" t="n"/>
      <c r="Z1645" s="55" t="n"/>
      <c r="AA1645" s="55" t="n"/>
      <c r="AB1645" s="55" t="n"/>
      <c r="AC1645" s="55" t="n"/>
      <c r="AD1645" s="53" t="n"/>
      <c r="AE1645" s="55" t="n"/>
      <c r="AF1645" s="55" t="n"/>
      <c r="AG1645" s="59" t="n"/>
      <c r="AH1645" s="57" t="n"/>
      <c r="AI1645" s="55" t="n"/>
      <c r="AJ1645" s="55" t="n"/>
      <c r="AK1645" s="55" t="n"/>
      <c r="AL1645" s="55" t="n"/>
      <c r="AM1645" s="56" t="n"/>
      <c r="AN1645" s="55" t="n"/>
      <c r="AO1645" s="55" t="n"/>
      <c r="AP1645" s="55" t="n"/>
      <c r="AQ1645" s="55" t="n"/>
      <c r="AR1645" s="60">
        <f>IF(AND(C1645="",E1645=""),"",IF(A1645="","⚠ Date manquante",IF(AND(C1645="",E1645&lt;&gt;"Dépense"),"⚠ Prospect manquant",IF(E1645="","⚠ Action manquante",IF(AND(AU1645=1,D1645=""),"⚠ Canal manquant",IF(AND(W1645&lt;&gt;"",COUNTIFS('Saisie'!$W$5:$W$2004,W1645,'Saisie'!$C$5:$C$2004,"&lt;&gt;"&amp;C1645)&gt;0),"⚠ Numéro déjà utilisé par un autre prospect",IF(AND(J1645&lt;&gt;"",J1645&lt;A1645),"⚠ Relance avant la date de l'action",IF(A1645&gt;TODAY(),"⚠ Date dans le futur","✓"))))))))</f>
        <v/>
      </c>
      <c r="AS1645" s="61">
        <f>IF(AND(A1645="",C1645="",E1645=""),"",ROW())</f>
        <v/>
      </c>
      <c r="AT1645" s="61">
        <f>IF(E1645&amp;F1645="","",MAX(IFERROR(INDEX('Paramètres'!$J$6:$J$33,MATCH(E1645,'Paramètres'!$I$6:$I$33,0)),0),IFERROR(INDEX('Paramètres'!$N$6:$N$17,MATCH(F1645,'Paramètres'!$M$6:$M$17,0)),0)))</f>
        <v/>
      </c>
      <c r="AU1645" s="61">
        <f>IF(E1645="","",IFERROR(IF(INDEX('Paramètres'!$K$6:$K$33,MATCH(E1645,'Paramètres'!$I$6:$I$33,0))="Oui",1,0),0))</f>
        <v/>
      </c>
      <c r="AV1645" s="61">
        <f>IF(F1645="","",IFERROR(IF(INDEX('Paramètres'!$O$6:$O$17,MATCH(F1645,'Paramètres'!$M$6:$M$17,0))="Oui",1,0),0))</f>
        <v/>
      </c>
      <c r="AW1645" s="62">
        <f>IF(E1645="","",IF(G1645&lt;&gt;"",G1645,IF(OR(E1645="Proposition envoyée",E1645="Signature"),MAX(0,N(IFERROR(INDEX('Paramètres'!$R$6:$R$15,MATCH(IF(AL1645&lt;&gt;"",AL1645,IFERROR(INDEX('Prospects'!$AN$5:$AN$504,MATCH(C1645,'Prospects'!$C$5:$C$504,0)),"")),'Paramètres'!$Q$6:$Q$15,0)),0))-N(P1645)),0)))</f>
        <v/>
      </c>
      <c r="AX1645" s="61">
        <f>IF(C1645="","",IF(COUNTIF($C$5:C1645,C1645)=1,MAX($AX$4:AX1644)+1,""))</f>
        <v/>
      </c>
      <c r="AY1645" s="61">
        <f>IF(B1645="","",HOUR(B1645))</f>
        <v/>
      </c>
      <c r="AZ1645" s="61">
        <f>IF(A1645="","",MOD(A1645-2,7)+1)</f>
        <v/>
      </c>
      <c r="BA1645" s="60">
        <f>IF(C1645="","",IFERROR(INDEX('Prospects'!$N$5:$N$504,MATCH(C1645,'Prospects'!$C$5:$C$504,0)),""))</f>
        <v/>
      </c>
      <c r="BB1645" s="61">
        <f>IF(AND(C1645&lt;&gt;"",C1645='Fiche prospect'!$C$4),COUNTIF($C$5:C1645,C1645),"")</f>
        <v/>
      </c>
    </row>
    <row r="1646">
      <c r="A1646" s="53" t="n"/>
      <c r="B1646" s="54" t="n"/>
      <c r="C1646" s="55" t="n"/>
      <c r="D1646" s="55" t="n"/>
      <c r="E1646" s="55" t="n"/>
      <c r="F1646" s="55" t="n"/>
      <c r="G1646" s="56" t="n"/>
      <c r="H1646" s="57" t="n"/>
      <c r="I1646" s="55" t="n"/>
      <c r="J1646" s="53" t="n"/>
      <c r="K1646" s="54" t="n"/>
      <c r="L1646" s="55" t="n"/>
      <c r="M1646" s="55" t="n"/>
      <c r="N1646" s="57" t="n"/>
      <c r="O1646" s="55" t="n"/>
      <c r="P1646" s="56" t="n"/>
      <c r="Q1646" s="55" t="n"/>
      <c r="R1646" s="55" t="n"/>
      <c r="S1646" s="55" t="n"/>
      <c r="T1646" s="55" t="n"/>
      <c r="U1646" s="55" t="n"/>
      <c r="V1646" s="55" t="n"/>
      <c r="W1646" s="58" t="n"/>
      <c r="X1646" s="58" t="n"/>
      <c r="Y1646" s="55" t="n"/>
      <c r="Z1646" s="55" t="n"/>
      <c r="AA1646" s="55" t="n"/>
      <c r="AB1646" s="55" t="n"/>
      <c r="AC1646" s="55" t="n"/>
      <c r="AD1646" s="53" t="n"/>
      <c r="AE1646" s="55" t="n"/>
      <c r="AF1646" s="55" t="n"/>
      <c r="AG1646" s="59" t="n"/>
      <c r="AH1646" s="57" t="n"/>
      <c r="AI1646" s="55" t="n"/>
      <c r="AJ1646" s="55" t="n"/>
      <c r="AK1646" s="55" t="n"/>
      <c r="AL1646" s="55" t="n"/>
      <c r="AM1646" s="56" t="n"/>
      <c r="AN1646" s="55" t="n"/>
      <c r="AO1646" s="55" t="n"/>
      <c r="AP1646" s="55" t="n"/>
      <c r="AQ1646" s="55" t="n"/>
      <c r="AR1646" s="60">
        <f>IF(AND(C1646="",E1646=""),"",IF(A1646="","⚠ Date manquante",IF(AND(C1646="",E1646&lt;&gt;"Dépense"),"⚠ Prospect manquant",IF(E1646="","⚠ Action manquante",IF(AND(AU1646=1,D1646=""),"⚠ Canal manquant",IF(AND(W1646&lt;&gt;"",COUNTIFS('Saisie'!$W$5:$W$2004,W1646,'Saisie'!$C$5:$C$2004,"&lt;&gt;"&amp;C1646)&gt;0),"⚠ Numéro déjà utilisé par un autre prospect",IF(AND(J1646&lt;&gt;"",J1646&lt;A1646),"⚠ Relance avant la date de l'action",IF(A1646&gt;TODAY(),"⚠ Date dans le futur","✓"))))))))</f>
        <v/>
      </c>
      <c r="AS1646" s="61">
        <f>IF(AND(A1646="",C1646="",E1646=""),"",ROW())</f>
        <v/>
      </c>
      <c r="AT1646" s="61">
        <f>IF(E1646&amp;F1646="","",MAX(IFERROR(INDEX('Paramètres'!$J$6:$J$33,MATCH(E1646,'Paramètres'!$I$6:$I$33,0)),0),IFERROR(INDEX('Paramètres'!$N$6:$N$17,MATCH(F1646,'Paramètres'!$M$6:$M$17,0)),0)))</f>
        <v/>
      </c>
      <c r="AU1646" s="61">
        <f>IF(E1646="","",IFERROR(IF(INDEX('Paramètres'!$K$6:$K$33,MATCH(E1646,'Paramètres'!$I$6:$I$33,0))="Oui",1,0),0))</f>
        <v/>
      </c>
      <c r="AV1646" s="61">
        <f>IF(F1646="","",IFERROR(IF(INDEX('Paramètres'!$O$6:$O$17,MATCH(F1646,'Paramètres'!$M$6:$M$17,0))="Oui",1,0),0))</f>
        <v/>
      </c>
      <c r="AW1646" s="62">
        <f>IF(E1646="","",IF(G1646&lt;&gt;"",G1646,IF(OR(E1646="Proposition envoyée",E1646="Signature"),MAX(0,N(IFERROR(INDEX('Paramètres'!$R$6:$R$15,MATCH(IF(AL1646&lt;&gt;"",AL1646,IFERROR(INDEX('Prospects'!$AN$5:$AN$504,MATCH(C1646,'Prospects'!$C$5:$C$504,0)),"")),'Paramètres'!$Q$6:$Q$15,0)),0))-N(P1646)),0)))</f>
        <v/>
      </c>
      <c r="AX1646" s="61">
        <f>IF(C1646="","",IF(COUNTIF($C$5:C1646,C1646)=1,MAX($AX$4:AX1645)+1,""))</f>
        <v/>
      </c>
      <c r="AY1646" s="61">
        <f>IF(B1646="","",HOUR(B1646))</f>
        <v/>
      </c>
      <c r="AZ1646" s="61">
        <f>IF(A1646="","",MOD(A1646-2,7)+1)</f>
        <v/>
      </c>
      <c r="BA1646" s="60">
        <f>IF(C1646="","",IFERROR(INDEX('Prospects'!$N$5:$N$504,MATCH(C1646,'Prospects'!$C$5:$C$504,0)),""))</f>
        <v/>
      </c>
      <c r="BB1646" s="61">
        <f>IF(AND(C1646&lt;&gt;"",C1646='Fiche prospect'!$C$4),COUNTIF($C$5:C1646,C1646),"")</f>
        <v/>
      </c>
    </row>
    <row r="1647">
      <c r="A1647" s="53" t="n"/>
      <c r="B1647" s="54" t="n"/>
      <c r="C1647" s="55" t="n"/>
      <c r="D1647" s="55" t="n"/>
      <c r="E1647" s="55" t="n"/>
      <c r="F1647" s="55" t="n"/>
      <c r="G1647" s="56" t="n"/>
      <c r="H1647" s="57" t="n"/>
      <c r="I1647" s="55" t="n"/>
      <c r="J1647" s="53" t="n"/>
      <c r="K1647" s="54" t="n"/>
      <c r="L1647" s="55" t="n"/>
      <c r="M1647" s="55" t="n"/>
      <c r="N1647" s="57" t="n"/>
      <c r="O1647" s="55" t="n"/>
      <c r="P1647" s="56" t="n"/>
      <c r="Q1647" s="55" t="n"/>
      <c r="R1647" s="55" t="n"/>
      <c r="S1647" s="55" t="n"/>
      <c r="T1647" s="55" t="n"/>
      <c r="U1647" s="55" t="n"/>
      <c r="V1647" s="55" t="n"/>
      <c r="W1647" s="58" t="n"/>
      <c r="X1647" s="58" t="n"/>
      <c r="Y1647" s="55" t="n"/>
      <c r="Z1647" s="55" t="n"/>
      <c r="AA1647" s="55" t="n"/>
      <c r="AB1647" s="55" t="n"/>
      <c r="AC1647" s="55" t="n"/>
      <c r="AD1647" s="53" t="n"/>
      <c r="AE1647" s="55" t="n"/>
      <c r="AF1647" s="55" t="n"/>
      <c r="AG1647" s="59" t="n"/>
      <c r="AH1647" s="57" t="n"/>
      <c r="AI1647" s="55" t="n"/>
      <c r="AJ1647" s="55" t="n"/>
      <c r="AK1647" s="55" t="n"/>
      <c r="AL1647" s="55" t="n"/>
      <c r="AM1647" s="56" t="n"/>
      <c r="AN1647" s="55" t="n"/>
      <c r="AO1647" s="55" t="n"/>
      <c r="AP1647" s="55" t="n"/>
      <c r="AQ1647" s="55" t="n"/>
      <c r="AR1647" s="60">
        <f>IF(AND(C1647="",E1647=""),"",IF(A1647="","⚠ Date manquante",IF(AND(C1647="",E1647&lt;&gt;"Dépense"),"⚠ Prospect manquant",IF(E1647="","⚠ Action manquante",IF(AND(AU1647=1,D1647=""),"⚠ Canal manquant",IF(AND(W1647&lt;&gt;"",COUNTIFS('Saisie'!$W$5:$W$2004,W1647,'Saisie'!$C$5:$C$2004,"&lt;&gt;"&amp;C1647)&gt;0),"⚠ Numéro déjà utilisé par un autre prospect",IF(AND(J1647&lt;&gt;"",J1647&lt;A1647),"⚠ Relance avant la date de l'action",IF(A1647&gt;TODAY(),"⚠ Date dans le futur","✓"))))))))</f>
        <v/>
      </c>
      <c r="AS1647" s="61">
        <f>IF(AND(A1647="",C1647="",E1647=""),"",ROW())</f>
        <v/>
      </c>
      <c r="AT1647" s="61">
        <f>IF(E1647&amp;F1647="","",MAX(IFERROR(INDEX('Paramètres'!$J$6:$J$33,MATCH(E1647,'Paramètres'!$I$6:$I$33,0)),0),IFERROR(INDEX('Paramètres'!$N$6:$N$17,MATCH(F1647,'Paramètres'!$M$6:$M$17,0)),0)))</f>
        <v/>
      </c>
      <c r="AU1647" s="61">
        <f>IF(E1647="","",IFERROR(IF(INDEX('Paramètres'!$K$6:$K$33,MATCH(E1647,'Paramètres'!$I$6:$I$33,0))="Oui",1,0),0))</f>
        <v/>
      </c>
      <c r="AV1647" s="61">
        <f>IF(F1647="","",IFERROR(IF(INDEX('Paramètres'!$O$6:$O$17,MATCH(F1647,'Paramètres'!$M$6:$M$17,0))="Oui",1,0),0))</f>
        <v/>
      </c>
      <c r="AW1647" s="62">
        <f>IF(E1647="","",IF(G1647&lt;&gt;"",G1647,IF(OR(E1647="Proposition envoyée",E1647="Signature"),MAX(0,N(IFERROR(INDEX('Paramètres'!$R$6:$R$15,MATCH(IF(AL1647&lt;&gt;"",AL1647,IFERROR(INDEX('Prospects'!$AN$5:$AN$504,MATCH(C1647,'Prospects'!$C$5:$C$504,0)),"")),'Paramètres'!$Q$6:$Q$15,0)),0))-N(P1647)),0)))</f>
        <v/>
      </c>
      <c r="AX1647" s="61">
        <f>IF(C1647="","",IF(COUNTIF($C$5:C1647,C1647)=1,MAX($AX$4:AX1646)+1,""))</f>
        <v/>
      </c>
      <c r="AY1647" s="61">
        <f>IF(B1647="","",HOUR(B1647))</f>
        <v/>
      </c>
      <c r="AZ1647" s="61">
        <f>IF(A1647="","",MOD(A1647-2,7)+1)</f>
        <v/>
      </c>
      <c r="BA1647" s="60">
        <f>IF(C1647="","",IFERROR(INDEX('Prospects'!$N$5:$N$504,MATCH(C1647,'Prospects'!$C$5:$C$504,0)),""))</f>
        <v/>
      </c>
      <c r="BB1647" s="61">
        <f>IF(AND(C1647&lt;&gt;"",C1647='Fiche prospect'!$C$4),COUNTIF($C$5:C1647,C1647),"")</f>
        <v/>
      </c>
    </row>
    <row r="1648">
      <c r="A1648" s="53" t="n"/>
      <c r="B1648" s="54" t="n"/>
      <c r="C1648" s="55" t="n"/>
      <c r="D1648" s="55" t="n"/>
      <c r="E1648" s="55" t="n"/>
      <c r="F1648" s="55" t="n"/>
      <c r="G1648" s="56" t="n"/>
      <c r="H1648" s="57" t="n"/>
      <c r="I1648" s="55" t="n"/>
      <c r="J1648" s="53" t="n"/>
      <c r="K1648" s="54" t="n"/>
      <c r="L1648" s="55" t="n"/>
      <c r="M1648" s="55" t="n"/>
      <c r="N1648" s="57" t="n"/>
      <c r="O1648" s="55" t="n"/>
      <c r="P1648" s="56" t="n"/>
      <c r="Q1648" s="55" t="n"/>
      <c r="R1648" s="55" t="n"/>
      <c r="S1648" s="55" t="n"/>
      <c r="T1648" s="55" t="n"/>
      <c r="U1648" s="55" t="n"/>
      <c r="V1648" s="55" t="n"/>
      <c r="W1648" s="58" t="n"/>
      <c r="X1648" s="58" t="n"/>
      <c r="Y1648" s="55" t="n"/>
      <c r="Z1648" s="55" t="n"/>
      <c r="AA1648" s="55" t="n"/>
      <c r="AB1648" s="55" t="n"/>
      <c r="AC1648" s="55" t="n"/>
      <c r="AD1648" s="53" t="n"/>
      <c r="AE1648" s="55" t="n"/>
      <c r="AF1648" s="55" t="n"/>
      <c r="AG1648" s="59" t="n"/>
      <c r="AH1648" s="57" t="n"/>
      <c r="AI1648" s="55" t="n"/>
      <c r="AJ1648" s="55" t="n"/>
      <c r="AK1648" s="55" t="n"/>
      <c r="AL1648" s="55" t="n"/>
      <c r="AM1648" s="56" t="n"/>
      <c r="AN1648" s="55" t="n"/>
      <c r="AO1648" s="55" t="n"/>
      <c r="AP1648" s="55" t="n"/>
      <c r="AQ1648" s="55" t="n"/>
      <c r="AR1648" s="60">
        <f>IF(AND(C1648="",E1648=""),"",IF(A1648="","⚠ Date manquante",IF(AND(C1648="",E1648&lt;&gt;"Dépense"),"⚠ Prospect manquant",IF(E1648="","⚠ Action manquante",IF(AND(AU1648=1,D1648=""),"⚠ Canal manquant",IF(AND(W1648&lt;&gt;"",COUNTIFS('Saisie'!$W$5:$W$2004,W1648,'Saisie'!$C$5:$C$2004,"&lt;&gt;"&amp;C1648)&gt;0),"⚠ Numéro déjà utilisé par un autre prospect",IF(AND(J1648&lt;&gt;"",J1648&lt;A1648),"⚠ Relance avant la date de l'action",IF(A1648&gt;TODAY(),"⚠ Date dans le futur","✓"))))))))</f>
        <v/>
      </c>
      <c r="AS1648" s="61">
        <f>IF(AND(A1648="",C1648="",E1648=""),"",ROW())</f>
        <v/>
      </c>
      <c r="AT1648" s="61">
        <f>IF(E1648&amp;F1648="","",MAX(IFERROR(INDEX('Paramètres'!$J$6:$J$33,MATCH(E1648,'Paramètres'!$I$6:$I$33,0)),0),IFERROR(INDEX('Paramètres'!$N$6:$N$17,MATCH(F1648,'Paramètres'!$M$6:$M$17,0)),0)))</f>
        <v/>
      </c>
      <c r="AU1648" s="61">
        <f>IF(E1648="","",IFERROR(IF(INDEX('Paramètres'!$K$6:$K$33,MATCH(E1648,'Paramètres'!$I$6:$I$33,0))="Oui",1,0),0))</f>
        <v/>
      </c>
      <c r="AV1648" s="61">
        <f>IF(F1648="","",IFERROR(IF(INDEX('Paramètres'!$O$6:$O$17,MATCH(F1648,'Paramètres'!$M$6:$M$17,0))="Oui",1,0),0))</f>
        <v/>
      </c>
      <c r="AW1648" s="62">
        <f>IF(E1648="","",IF(G1648&lt;&gt;"",G1648,IF(OR(E1648="Proposition envoyée",E1648="Signature"),MAX(0,N(IFERROR(INDEX('Paramètres'!$R$6:$R$15,MATCH(IF(AL1648&lt;&gt;"",AL1648,IFERROR(INDEX('Prospects'!$AN$5:$AN$504,MATCH(C1648,'Prospects'!$C$5:$C$504,0)),"")),'Paramètres'!$Q$6:$Q$15,0)),0))-N(P1648)),0)))</f>
        <v/>
      </c>
      <c r="AX1648" s="61">
        <f>IF(C1648="","",IF(COUNTIF($C$5:C1648,C1648)=1,MAX($AX$4:AX1647)+1,""))</f>
        <v/>
      </c>
      <c r="AY1648" s="61">
        <f>IF(B1648="","",HOUR(B1648))</f>
        <v/>
      </c>
      <c r="AZ1648" s="61">
        <f>IF(A1648="","",MOD(A1648-2,7)+1)</f>
        <v/>
      </c>
      <c r="BA1648" s="60">
        <f>IF(C1648="","",IFERROR(INDEX('Prospects'!$N$5:$N$504,MATCH(C1648,'Prospects'!$C$5:$C$504,0)),""))</f>
        <v/>
      </c>
      <c r="BB1648" s="61">
        <f>IF(AND(C1648&lt;&gt;"",C1648='Fiche prospect'!$C$4),COUNTIF($C$5:C1648,C1648),"")</f>
        <v/>
      </c>
    </row>
    <row r="1649">
      <c r="A1649" s="53" t="n"/>
      <c r="B1649" s="54" t="n"/>
      <c r="C1649" s="55" t="n"/>
      <c r="D1649" s="55" t="n"/>
      <c r="E1649" s="55" t="n"/>
      <c r="F1649" s="55" t="n"/>
      <c r="G1649" s="56" t="n"/>
      <c r="H1649" s="57" t="n"/>
      <c r="I1649" s="55" t="n"/>
      <c r="J1649" s="53" t="n"/>
      <c r="K1649" s="54" t="n"/>
      <c r="L1649" s="55" t="n"/>
      <c r="M1649" s="55" t="n"/>
      <c r="N1649" s="57" t="n"/>
      <c r="O1649" s="55" t="n"/>
      <c r="P1649" s="56" t="n"/>
      <c r="Q1649" s="55" t="n"/>
      <c r="R1649" s="55" t="n"/>
      <c r="S1649" s="55" t="n"/>
      <c r="T1649" s="55" t="n"/>
      <c r="U1649" s="55" t="n"/>
      <c r="V1649" s="55" t="n"/>
      <c r="W1649" s="58" t="n"/>
      <c r="X1649" s="58" t="n"/>
      <c r="Y1649" s="55" t="n"/>
      <c r="Z1649" s="55" t="n"/>
      <c r="AA1649" s="55" t="n"/>
      <c r="AB1649" s="55" t="n"/>
      <c r="AC1649" s="55" t="n"/>
      <c r="AD1649" s="53" t="n"/>
      <c r="AE1649" s="55" t="n"/>
      <c r="AF1649" s="55" t="n"/>
      <c r="AG1649" s="59" t="n"/>
      <c r="AH1649" s="57" t="n"/>
      <c r="AI1649" s="55" t="n"/>
      <c r="AJ1649" s="55" t="n"/>
      <c r="AK1649" s="55" t="n"/>
      <c r="AL1649" s="55" t="n"/>
      <c r="AM1649" s="56" t="n"/>
      <c r="AN1649" s="55" t="n"/>
      <c r="AO1649" s="55" t="n"/>
      <c r="AP1649" s="55" t="n"/>
      <c r="AQ1649" s="55" t="n"/>
      <c r="AR1649" s="60">
        <f>IF(AND(C1649="",E1649=""),"",IF(A1649="","⚠ Date manquante",IF(AND(C1649="",E1649&lt;&gt;"Dépense"),"⚠ Prospect manquant",IF(E1649="","⚠ Action manquante",IF(AND(AU1649=1,D1649=""),"⚠ Canal manquant",IF(AND(W1649&lt;&gt;"",COUNTIFS('Saisie'!$W$5:$W$2004,W1649,'Saisie'!$C$5:$C$2004,"&lt;&gt;"&amp;C1649)&gt;0),"⚠ Numéro déjà utilisé par un autre prospect",IF(AND(J1649&lt;&gt;"",J1649&lt;A1649),"⚠ Relance avant la date de l'action",IF(A1649&gt;TODAY(),"⚠ Date dans le futur","✓"))))))))</f>
        <v/>
      </c>
      <c r="AS1649" s="61">
        <f>IF(AND(A1649="",C1649="",E1649=""),"",ROW())</f>
        <v/>
      </c>
      <c r="AT1649" s="61">
        <f>IF(E1649&amp;F1649="","",MAX(IFERROR(INDEX('Paramètres'!$J$6:$J$33,MATCH(E1649,'Paramètres'!$I$6:$I$33,0)),0),IFERROR(INDEX('Paramètres'!$N$6:$N$17,MATCH(F1649,'Paramètres'!$M$6:$M$17,0)),0)))</f>
        <v/>
      </c>
      <c r="AU1649" s="61">
        <f>IF(E1649="","",IFERROR(IF(INDEX('Paramètres'!$K$6:$K$33,MATCH(E1649,'Paramètres'!$I$6:$I$33,0))="Oui",1,0),0))</f>
        <v/>
      </c>
      <c r="AV1649" s="61">
        <f>IF(F1649="","",IFERROR(IF(INDEX('Paramètres'!$O$6:$O$17,MATCH(F1649,'Paramètres'!$M$6:$M$17,0))="Oui",1,0),0))</f>
        <v/>
      </c>
      <c r="AW1649" s="62">
        <f>IF(E1649="","",IF(G1649&lt;&gt;"",G1649,IF(OR(E1649="Proposition envoyée",E1649="Signature"),MAX(0,N(IFERROR(INDEX('Paramètres'!$R$6:$R$15,MATCH(IF(AL1649&lt;&gt;"",AL1649,IFERROR(INDEX('Prospects'!$AN$5:$AN$504,MATCH(C1649,'Prospects'!$C$5:$C$504,0)),"")),'Paramètres'!$Q$6:$Q$15,0)),0))-N(P1649)),0)))</f>
        <v/>
      </c>
      <c r="AX1649" s="61">
        <f>IF(C1649="","",IF(COUNTIF($C$5:C1649,C1649)=1,MAX($AX$4:AX1648)+1,""))</f>
        <v/>
      </c>
      <c r="AY1649" s="61">
        <f>IF(B1649="","",HOUR(B1649))</f>
        <v/>
      </c>
      <c r="AZ1649" s="61">
        <f>IF(A1649="","",MOD(A1649-2,7)+1)</f>
        <v/>
      </c>
      <c r="BA1649" s="60">
        <f>IF(C1649="","",IFERROR(INDEX('Prospects'!$N$5:$N$504,MATCH(C1649,'Prospects'!$C$5:$C$504,0)),""))</f>
        <v/>
      </c>
      <c r="BB1649" s="61">
        <f>IF(AND(C1649&lt;&gt;"",C1649='Fiche prospect'!$C$4),COUNTIF($C$5:C1649,C1649),"")</f>
        <v/>
      </c>
    </row>
    <row r="1650">
      <c r="A1650" s="53" t="n"/>
      <c r="B1650" s="54" t="n"/>
      <c r="C1650" s="55" t="n"/>
      <c r="D1650" s="55" t="n"/>
      <c r="E1650" s="55" t="n"/>
      <c r="F1650" s="55" t="n"/>
      <c r="G1650" s="56" t="n"/>
      <c r="H1650" s="57" t="n"/>
      <c r="I1650" s="55" t="n"/>
      <c r="J1650" s="53" t="n"/>
      <c r="K1650" s="54" t="n"/>
      <c r="L1650" s="55" t="n"/>
      <c r="M1650" s="55" t="n"/>
      <c r="N1650" s="57" t="n"/>
      <c r="O1650" s="55" t="n"/>
      <c r="P1650" s="56" t="n"/>
      <c r="Q1650" s="55" t="n"/>
      <c r="R1650" s="55" t="n"/>
      <c r="S1650" s="55" t="n"/>
      <c r="T1650" s="55" t="n"/>
      <c r="U1650" s="55" t="n"/>
      <c r="V1650" s="55" t="n"/>
      <c r="W1650" s="58" t="n"/>
      <c r="X1650" s="58" t="n"/>
      <c r="Y1650" s="55" t="n"/>
      <c r="Z1650" s="55" t="n"/>
      <c r="AA1650" s="55" t="n"/>
      <c r="AB1650" s="55" t="n"/>
      <c r="AC1650" s="55" t="n"/>
      <c r="AD1650" s="53" t="n"/>
      <c r="AE1650" s="55" t="n"/>
      <c r="AF1650" s="55" t="n"/>
      <c r="AG1650" s="59" t="n"/>
      <c r="AH1650" s="57" t="n"/>
      <c r="AI1650" s="55" t="n"/>
      <c r="AJ1650" s="55" t="n"/>
      <c r="AK1650" s="55" t="n"/>
      <c r="AL1650" s="55" t="n"/>
      <c r="AM1650" s="56" t="n"/>
      <c r="AN1650" s="55" t="n"/>
      <c r="AO1650" s="55" t="n"/>
      <c r="AP1650" s="55" t="n"/>
      <c r="AQ1650" s="55" t="n"/>
      <c r="AR1650" s="60">
        <f>IF(AND(C1650="",E1650=""),"",IF(A1650="","⚠ Date manquante",IF(AND(C1650="",E1650&lt;&gt;"Dépense"),"⚠ Prospect manquant",IF(E1650="","⚠ Action manquante",IF(AND(AU1650=1,D1650=""),"⚠ Canal manquant",IF(AND(W1650&lt;&gt;"",COUNTIFS('Saisie'!$W$5:$W$2004,W1650,'Saisie'!$C$5:$C$2004,"&lt;&gt;"&amp;C1650)&gt;0),"⚠ Numéro déjà utilisé par un autre prospect",IF(AND(J1650&lt;&gt;"",J1650&lt;A1650),"⚠ Relance avant la date de l'action",IF(A1650&gt;TODAY(),"⚠ Date dans le futur","✓"))))))))</f>
        <v/>
      </c>
      <c r="AS1650" s="61">
        <f>IF(AND(A1650="",C1650="",E1650=""),"",ROW())</f>
        <v/>
      </c>
      <c r="AT1650" s="61">
        <f>IF(E1650&amp;F1650="","",MAX(IFERROR(INDEX('Paramètres'!$J$6:$J$33,MATCH(E1650,'Paramètres'!$I$6:$I$33,0)),0),IFERROR(INDEX('Paramètres'!$N$6:$N$17,MATCH(F1650,'Paramètres'!$M$6:$M$17,0)),0)))</f>
        <v/>
      </c>
      <c r="AU1650" s="61">
        <f>IF(E1650="","",IFERROR(IF(INDEX('Paramètres'!$K$6:$K$33,MATCH(E1650,'Paramètres'!$I$6:$I$33,0))="Oui",1,0),0))</f>
        <v/>
      </c>
      <c r="AV1650" s="61">
        <f>IF(F1650="","",IFERROR(IF(INDEX('Paramètres'!$O$6:$O$17,MATCH(F1650,'Paramètres'!$M$6:$M$17,0))="Oui",1,0),0))</f>
        <v/>
      </c>
      <c r="AW1650" s="62">
        <f>IF(E1650="","",IF(G1650&lt;&gt;"",G1650,IF(OR(E1650="Proposition envoyée",E1650="Signature"),MAX(0,N(IFERROR(INDEX('Paramètres'!$R$6:$R$15,MATCH(IF(AL1650&lt;&gt;"",AL1650,IFERROR(INDEX('Prospects'!$AN$5:$AN$504,MATCH(C1650,'Prospects'!$C$5:$C$504,0)),"")),'Paramètres'!$Q$6:$Q$15,0)),0))-N(P1650)),0)))</f>
        <v/>
      </c>
      <c r="AX1650" s="61">
        <f>IF(C1650="","",IF(COUNTIF($C$5:C1650,C1650)=1,MAX($AX$4:AX1649)+1,""))</f>
        <v/>
      </c>
      <c r="AY1650" s="61">
        <f>IF(B1650="","",HOUR(B1650))</f>
        <v/>
      </c>
      <c r="AZ1650" s="61">
        <f>IF(A1650="","",MOD(A1650-2,7)+1)</f>
        <v/>
      </c>
      <c r="BA1650" s="60">
        <f>IF(C1650="","",IFERROR(INDEX('Prospects'!$N$5:$N$504,MATCH(C1650,'Prospects'!$C$5:$C$504,0)),""))</f>
        <v/>
      </c>
      <c r="BB1650" s="61">
        <f>IF(AND(C1650&lt;&gt;"",C1650='Fiche prospect'!$C$4),COUNTIF($C$5:C1650,C1650),"")</f>
        <v/>
      </c>
    </row>
    <row r="1651">
      <c r="A1651" s="53" t="n"/>
      <c r="B1651" s="54" t="n"/>
      <c r="C1651" s="55" t="n"/>
      <c r="D1651" s="55" t="n"/>
      <c r="E1651" s="55" t="n"/>
      <c r="F1651" s="55" t="n"/>
      <c r="G1651" s="56" t="n"/>
      <c r="H1651" s="57" t="n"/>
      <c r="I1651" s="55" t="n"/>
      <c r="J1651" s="53" t="n"/>
      <c r="K1651" s="54" t="n"/>
      <c r="L1651" s="55" t="n"/>
      <c r="M1651" s="55" t="n"/>
      <c r="N1651" s="57" t="n"/>
      <c r="O1651" s="55" t="n"/>
      <c r="P1651" s="56" t="n"/>
      <c r="Q1651" s="55" t="n"/>
      <c r="R1651" s="55" t="n"/>
      <c r="S1651" s="55" t="n"/>
      <c r="T1651" s="55" t="n"/>
      <c r="U1651" s="55" t="n"/>
      <c r="V1651" s="55" t="n"/>
      <c r="W1651" s="58" t="n"/>
      <c r="X1651" s="58" t="n"/>
      <c r="Y1651" s="55" t="n"/>
      <c r="Z1651" s="55" t="n"/>
      <c r="AA1651" s="55" t="n"/>
      <c r="AB1651" s="55" t="n"/>
      <c r="AC1651" s="55" t="n"/>
      <c r="AD1651" s="53" t="n"/>
      <c r="AE1651" s="55" t="n"/>
      <c r="AF1651" s="55" t="n"/>
      <c r="AG1651" s="59" t="n"/>
      <c r="AH1651" s="57" t="n"/>
      <c r="AI1651" s="55" t="n"/>
      <c r="AJ1651" s="55" t="n"/>
      <c r="AK1651" s="55" t="n"/>
      <c r="AL1651" s="55" t="n"/>
      <c r="AM1651" s="56" t="n"/>
      <c r="AN1651" s="55" t="n"/>
      <c r="AO1651" s="55" t="n"/>
      <c r="AP1651" s="55" t="n"/>
      <c r="AQ1651" s="55" t="n"/>
      <c r="AR1651" s="60">
        <f>IF(AND(C1651="",E1651=""),"",IF(A1651="","⚠ Date manquante",IF(AND(C1651="",E1651&lt;&gt;"Dépense"),"⚠ Prospect manquant",IF(E1651="","⚠ Action manquante",IF(AND(AU1651=1,D1651=""),"⚠ Canal manquant",IF(AND(W1651&lt;&gt;"",COUNTIFS('Saisie'!$W$5:$W$2004,W1651,'Saisie'!$C$5:$C$2004,"&lt;&gt;"&amp;C1651)&gt;0),"⚠ Numéro déjà utilisé par un autre prospect",IF(AND(J1651&lt;&gt;"",J1651&lt;A1651),"⚠ Relance avant la date de l'action",IF(A1651&gt;TODAY(),"⚠ Date dans le futur","✓"))))))))</f>
        <v/>
      </c>
      <c r="AS1651" s="61">
        <f>IF(AND(A1651="",C1651="",E1651=""),"",ROW())</f>
        <v/>
      </c>
      <c r="AT1651" s="61">
        <f>IF(E1651&amp;F1651="","",MAX(IFERROR(INDEX('Paramètres'!$J$6:$J$33,MATCH(E1651,'Paramètres'!$I$6:$I$33,0)),0),IFERROR(INDEX('Paramètres'!$N$6:$N$17,MATCH(F1651,'Paramètres'!$M$6:$M$17,0)),0)))</f>
        <v/>
      </c>
      <c r="AU1651" s="61">
        <f>IF(E1651="","",IFERROR(IF(INDEX('Paramètres'!$K$6:$K$33,MATCH(E1651,'Paramètres'!$I$6:$I$33,0))="Oui",1,0),0))</f>
        <v/>
      </c>
      <c r="AV1651" s="61">
        <f>IF(F1651="","",IFERROR(IF(INDEX('Paramètres'!$O$6:$O$17,MATCH(F1651,'Paramètres'!$M$6:$M$17,0))="Oui",1,0),0))</f>
        <v/>
      </c>
      <c r="AW1651" s="62">
        <f>IF(E1651="","",IF(G1651&lt;&gt;"",G1651,IF(OR(E1651="Proposition envoyée",E1651="Signature"),MAX(0,N(IFERROR(INDEX('Paramètres'!$R$6:$R$15,MATCH(IF(AL1651&lt;&gt;"",AL1651,IFERROR(INDEX('Prospects'!$AN$5:$AN$504,MATCH(C1651,'Prospects'!$C$5:$C$504,0)),"")),'Paramètres'!$Q$6:$Q$15,0)),0))-N(P1651)),0)))</f>
        <v/>
      </c>
      <c r="AX1651" s="61">
        <f>IF(C1651="","",IF(COUNTIF($C$5:C1651,C1651)=1,MAX($AX$4:AX1650)+1,""))</f>
        <v/>
      </c>
      <c r="AY1651" s="61">
        <f>IF(B1651="","",HOUR(B1651))</f>
        <v/>
      </c>
      <c r="AZ1651" s="61">
        <f>IF(A1651="","",MOD(A1651-2,7)+1)</f>
        <v/>
      </c>
      <c r="BA1651" s="60">
        <f>IF(C1651="","",IFERROR(INDEX('Prospects'!$N$5:$N$504,MATCH(C1651,'Prospects'!$C$5:$C$504,0)),""))</f>
        <v/>
      </c>
      <c r="BB1651" s="61">
        <f>IF(AND(C1651&lt;&gt;"",C1651='Fiche prospect'!$C$4),COUNTIF($C$5:C1651,C1651),"")</f>
        <v/>
      </c>
    </row>
    <row r="1652">
      <c r="A1652" s="53" t="n"/>
      <c r="B1652" s="54" t="n"/>
      <c r="C1652" s="55" t="n"/>
      <c r="D1652" s="55" t="n"/>
      <c r="E1652" s="55" t="n"/>
      <c r="F1652" s="55" t="n"/>
      <c r="G1652" s="56" t="n"/>
      <c r="H1652" s="57" t="n"/>
      <c r="I1652" s="55" t="n"/>
      <c r="J1652" s="53" t="n"/>
      <c r="K1652" s="54" t="n"/>
      <c r="L1652" s="55" t="n"/>
      <c r="M1652" s="55" t="n"/>
      <c r="N1652" s="57" t="n"/>
      <c r="O1652" s="55" t="n"/>
      <c r="P1652" s="56" t="n"/>
      <c r="Q1652" s="55" t="n"/>
      <c r="R1652" s="55" t="n"/>
      <c r="S1652" s="55" t="n"/>
      <c r="T1652" s="55" t="n"/>
      <c r="U1652" s="55" t="n"/>
      <c r="V1652" s="55" t="n"/>
      <c r="W1652" s="58" t="n"/>
      <c r="X1652" s="58" t="n"/>
      <c r="Y1652" s="55" t="n"/>
      <c r="Z1652" s="55" t="n"/>
      <c r="AA1652" s="55" t="n"/>
      <c r="AB1652" s="55" t="n"/>
      <c r="AC1652" s="55" t="n"/>
      <c r="AD1652" s="53" t="n"/>
      <c r="AE1652" s="55" t="n"/>
      <c r="AF1652" s="55" t="n"/>
      <c r="AG1652" s="59" t="n"/>
      <c r="AH1652" s="57" t="n"/>
      <c r="AI1652" s="55" t="n"/>
      <c r="AJ1652" s="55" t="n"/>
      <c r="AK1652" s="55" t="n"/>
      <c r="AL1652" s="55" t="n"/>
      <c r="AM1652" s="56" t="n"/>
      <c r="AN1652" s="55" t="n"/>
      <c r="AO1652" s="55" t="n"/>
      <c r="AP1652" s="55" t="n"/>
      <c r="AQ1652" s="55" t="n"/>
      <c r="AR1652" s="60">
        <f>IF(AND(C1652="",E1652=""),"",IF(A1652="","⚠ Date manquante",IF(AND(C1652="",E1652&lt;&gt;"Dépense"),"⚠ Prospect manquant",IF(E1652="","⚠ Action manquante",IF(AND(AU1652=1,D1652=""),"⚠ Canal manquant",IF(AND(W1652&lt;&gt;"",COUNTIFS('Saisie'!$W$5:$W$2004,W1652,'Saisie'!$C$5:$C$2004,"&lt;&gt;"&amp;C1652)&gt;0),"⚠ Numéro déjà utilisé par un autre prospect",IF(AND(J1652&lt;&gt;"",J1652&lt;A1652),"⚠ Relance avant la date de l'action",IF(A1652&gt;TODAY(),"⚠ Date dans le futur","✓"))))))))</f>
        <v/>
      </c>
      <c r="AS1652" s="61">
        <f>IF(AND(A1652="",C1652="",E1652=""),"",ROW())</f>
        <v/>
      </c>
      <c r="AT1652" s="61">
        <f>IF(E1652&amp;F1652="","",MAX(IFERROR(INDEX('Paramètres'!$J$6:$J$33,MATCH(E1652,'Paramètres'!$I$6:$I$33,0)),0),IFERROR(INDEX('Paramètres'!$N$6:$N$17,MATCH(F1652,'Paramètres'!$M$6:$M$17,0)),0)))</f>
        <v/>
      </c>
      <c r="AU1652" s="61">
        <f>IF(E1652="","",IFERROR(IF(INDEX('Paramètres'!$K$6:$K$33,MATCH(E1652,'Paramètres'!$I$6:$I$33,0))="Oui",1,0),0))</f>
        <v/>
      </c>
      <c r="AV1652" s="61">
        <f>IF(F1652="","",IFERROR(IF(INDEX('Paramètres'!$O$6:$O$17,MATCH(F1652,'Paramètres'!$M$6:$M$17,0))="Oui",1,0),0))</f>
        <v/>
      </c>
      <c r="AW1652" s="62">
        <f>IF(E1652="","",IF(G1652&lt;&gt;"",G1652,IF(OR(E1652="Proposition envoyée",E1652="Signature"),MAX(0,N(IFERROR(INDEX('Paramètres'!$R$6:$R$15,MATCH(IF(AL1652&lt;&gt;"",AL1652,IFERROR(INDEX('Prospects'!$AN$5:$AN$504,MATCH(C1652,'Prospects'!$C$5:$C$504,0)),"")),'Paramètres'!$Q$6:$Q$15,0)),0))-N(P1652)),0)))</f>
        <v/>
      </c>
      <c r="AX1652" s="61">
        <f>IF(C1652="","",IF(COUNTIF($C$5:C1652,C1652)=1,MAX($AX$4:AX1651)+1,""))</f>
        <v/>
      </c>
      <c r="AY1652" s="61">
        <f>IF(B1652="","",HOUR(B1652))</f>
        <v/>
      </c>
      <c r="AZ1652" s="61">
        <f>IF(A1652="","",MOD(A1652-2,7)+1)</f>
        <v/>
      </c>
      <c r="BA1652" s="60">
        <f>IF(C1652="","",IFERROR(INDEX('Prospects'!$N$5:$N$504,MATCH(C1652,'Prospects'!$C$5:$C$504,0)),""))</f>
        <v/>
      </c>
      <c r="BB1652" s="61">
        <f>IF(AND(C1652&lt;&gt;"",C1652='Fiche prospect'!$C$4),COUNTIF($C$5:C1652,C1652),"")</f>
        <v/>
      </c>
    </row>
    <row r="1653">
      <c r="A1653" s="53" t="n"/>
      <c r="B1653" s="54" t="n"/>
      <c r="C1653" s="55" t="n"/>
      <c r="D1653" s="55" t="n"/>
      <c r="E1653" s="55" t="n"/>
      <c r="F1653" s="55" t="n"/>
      <c r="G1653" s="56" t="n"/>
      <c r="H1653" s="57" t="n"/>
      <c r="I1653" s="55" t="n"/>
      <c r="J1653" s="53" t="n"/>
      <c r="K1653" s="54" t="n"/>
      <c r="L1653" s="55" t="n"/>
      <c r="M1653" s="55" t="n"/>
      <c r="N1653" s="57" t="n"/>
      <c r="O1653" s="55" t="n"/>
      <c r="P1653" s="56" t="n"/>
      <c r="Q1653" s="55" t="n"/>
      <c r="R1653" s="55" t="n"/>
      <c r="S1653" s="55" t="n"/>
      <c r="T1653" s="55" t="n"/>
      <c r="U1653" s="55" t="n"/>
      <c r="V1653" s="55" t="n"/>
      <c r="W1653" s="58" t="n"/>
      <c r="X1653" s="58" t="n"/>
      <c r="Y1653" s="55" t="n"/>
      <c r="Z1653" s="55" t="n"/>
      <c r="AA1653" s="55" t="n"/>
      <c r="AB1653" s="55" t="n"/>
      <c r="AC1653" s="55" t="n"/>
      <c r="AD1653" s="53" t="n"/>
      <c r="AE1653" s="55" t="n"/>
      <c r="AF1653" s="55" t="n"/>
      <c r="AG1653" s="59" t="n"/>
      <c r="AH1653" s="57" t="n"/>
      <c r="AI1653" s="55" t="n"/>
      <c r="AJ1653" s="55" t="n"/>
      <c r="AK1653" s="55" t="n"/>
      <c r="AL1653" s="55" t="n"/>
      <c r="AM1653" s="56" t="n"/>
      <c r="AN1653" s="55" t="n"/>
      <c r="AO1653" s="55" t="n"/>
      <c r="AP1653" s="55" t="n"/>
      <c r="AQ1653" s="55" t="n"/>
      <c r="AR1653" s="60">
        <f>IF(AND(C1653="",E1653=""),"",IF(A1653="","⚠ Date manquante",IF(AND(C1653="",E1653&lt;&gt;"Dépense"),"⚠ Prospect manquant",IF(E1653="","⚠ Action manquante",IF(AND(AU1653=1,D1653=""),"⚠ Canal manquant",IF(AND(W1653&lt;&gt;"",COUNTIFS('Saisie'!$W$5:$W$2004,W1653,'Saisie'!$C$5:$C$2004,"&lt;&gt;"&amp;C1653)&gt;0),"⚠ Numéro déjà utilisé par un autre prospect",IF(AND(J1653&lt;&gt;"",J1653&lt;A1653),"⚠ Relance avant la date de l'action",IF(A1653&gt;TODAY(),"⚠ Date dans le futur","✓"))))))))</f>
        <v/>
      </c>
      <c r="AS1653" s="61">
        <f>IF(AND(A1653="",C1653="",E1653=""),"",ROW())</f>
        <v/>
      </c>
      <c r="AT1653" s="61">
        <f>IF(E1653&amp;F1653="","",MAX(IFERROR(INDEX('Paramètres'!$J$6:$J$33,MATCH(E1653,'Paramètres'!$I$6:$I$33,0)),0),IFERROR(INDEX('Paramètres'!$N$6:$N$17,MATCH(F1653,'Paramètres'!$M$6:$M$17,0)),0)))</f>
        <v/>
      </c>
      <c r="AU1653" s="61">
        <f>IF(E1653="","",IFERROR(IF(INDEX('Paramètres'!$K$6:$K$33,MATCH(E1653,'Paramètres'!$I$6:$I$33,0))="Oui",1,0),0))</f>
        <v/>
      </c>
      <c r="AV1653" s="61">
        <f>IF(F1653="","",IFERROR(IF(INDEX('Paramètres'!$O$6:$O$17,MATCH(F1653,'Paramètres'!$M$6:$M$17,0))="Oui",1,0),0))</f>
        <v/>
      </c>
      <c r="AW1653" s="62">
        <f>IF(E1653="","",IF(G1653&lt;&gt;"",G1653,IF(OR(E1653="Proposition envoyée",E1653="Signature"),MAX(0,N(IFERROR(INDEX('Paramètres'!$R$6:$R$15,MATCH(IF(AL1653&lt;&gt;"",AL1653,IFERROR(INDEX('Prospects'!$AN$5:$AN$504,MATCH(C1653,'Prospects'!$C$5:$C$504,0)),"")),'Paramètres'!$Q$6:$Q$15,0)),0))-N(P1653)),0)))</f>
        <v/>
      </c>
      <c r="AX1653" s="61">
        <f>IF(C1653="","",IF(COUNTIF($C$5:C1653,C1653)=1,MAX($AX$4:AX1652)+1,""))</f>
        <v/>
      </c>
      <c r="AY1653" s="61">
        <f>IF(B1653="","",HOUR(B1653))</f>
        <v/>
      </c>
      <c r="AZ1653" s="61">
        <f>IF(A1653="","",MOD(A1653-2,7)+1)</f>
        <v/>
      </c>
      <c r="BA1653" s="60">
        <f>IF(C1653="","",IFERROR(INDEX('Prospects'!$N$5:$N$504,MATCH(C1653,'Prospects'!$C$5:$C$504,0)),""))</f>
        <v/>
      </c>
      <c r="BB1653" s="61">
        <f>IF(AND(C1653&lt;&gt;"",C1653='Fiche prospect'!$C$4),COUNTIF($C$5:C1653,C1653),"")</f>
        <v/>
      </c>
    </row>
    <row r="1654">
      <c r="A1654" s="53" t="n"/>
      <c r="B1654" s="54" t="n"/>
      <c r="C1654" s="55" t="n"/>
      <c r="D1654" s="55" t="n"/>
      <c r="E1654" s="55" t="n"/>
      <c r="F1654" s="55" t="n"/>
      <c r="G1654" s="56" t="n"/>
      <c r="H1654" s="57" t="n"/>
      <c r="I1654" s="55" t="n"/>
      <c r="J1654" s="53" t="n"/>
      <c r="K1654" s="54" t="n"/>
      <c r="L1654" s="55" t="n"/>
      <c r="M1654" s="55" t="n"/>
      <c r="N1654" s="57" t="n"/>
      <c r="O1654" s="55" t="n"/>
      <c r="P1654" s="56" t="n"/>
      <c r="Q1654" s="55" t="n"/>
      <c r="R1654" s="55" t="n"/>
      <c r="S1654" s="55" t="n"/>
      <c r="T1654" s="55" t="n"/>
      <c r="U1654" s="55" t="n"/>
      <c r="V1654" s="55" t="n"/>
      <c r="W1654" s="58" t="n"/>
      <c r="X1654" s="58" t="n"/>
      <c r="Y1654" s="55" t="n"/>
      <c r="Z1654" s="55" t="n"/>
      <c r="AA1654" s="55" t="n"/>
      <c r="AB1654" s="55" t="n"/>
      <c r="AC1654" s="55" t="n"/>
      <c r="AD1654" s="53" t="n"/>
      <c r="AE1654" s="55" t="n"/>
      <c r="AF1654" s="55" t="n"/>
      <c r="AG1654" s="59" t="n"/>
      <c r="AH1654" s="57" t="n"/>
      <c r="AI1654" s="55" t="n"/>
      <c r="AJ1654" s="55" t="n"/>
      <c r="AK1654" s="55" t="n"/>
      <c r="AL1654" s="55" t="n"/>
      <c r="AM1654" s="56" t="n"/>
      <c r="AN1654" s="55" t="n"/>
      <c r="AO1654" s="55" t="n"/>
      <c r="AP1654" s="55" t="n"/>
      <c r="AQ1654" s="55" t="n"/>
      <c r="AR1654" s="60">
        <f>IF(AND(C1654="",E1654=""),"",IF(A1654="","⚠ Date manquante",IF(AND(C1654="",E1654&lt;&gt;"Dépense"),"⚠ Prospect manquant",IF(E1654="","⚠ Action manquante",IF(AND(AU1654=1,D1654=""),"⚠ Canal manquant",IF(AND(W1654&lt;&gt;"",COUNTIFS('Saisie'!$W$5:$W$2004,W1654,'Saisie'!$C$5:$C$2004,"&lt;&gt;"&amp;C1654)&gt;0),"⚠ Numéro déjà utilisé par un autre prospect",IF(AND(J1654&lt;&gt;"",J1654&lt;A1654),"⚠ Relance avant la date de l'action",IF(A1654&gt;TODAY(),"⚠ Date dans le futur","✓"))))))))</f>
        <v/>
      </c>
      <c r="AS1654" s="61">
        <f>IF(AND(A1654="",C1654="",E1654=""),"",ROW())</f>
        <v/>
      </c>
      <c r="AT1654" s="61">
        <f>IF(E1654&amp;F1654="","",MAX(IFERROR(INDEX('Paramètres'!$J$6:$J$33,MATCH(E1654,'Paramètres'!$I$6:$I$33,0)),0),IFERROR(INDEX('Paramètres'!$N$6:$N$17,MATCH(F1654,'Paramètres'!$M$6:$M$17,0)),0)))</f>
        <v/>
      </c>
      <c r="AU1654" s="61">
        <f>IF(E1654="","",IFERROR(IF(INDEX('Paramètres'!$K$6:$K$33,MATCH(E1654,'Paramètres'!$I$6:$I$33,0))="Oui",1,0),0))</f>
        <v/>
      </c>
      <c r="AV1654" s="61">
        <f>IF(F1654="","",IFERROR(IF(INDEX('Paramètres'!$O$6:$O$17,MATCH(F1654,'Paramètres'!$M$6:$M$17,0))="Oui",1,0),0))</f>
        <v/>
      </c>
      <c r="AW1654" s="62">
        <f>IF(E1654="","",IF(G1654&lt;&gt;"",G1654,IF(OR(E1654="Proposition envoyée",E1654="Signature"),MAX(0,N(IFERROR(INDEX('Paramètres'!$R$6:$R$15,MATCH(IF(AL1654&lt;&gt;"",AL1654,IFERROR(INDEX('Prospects'!$AN$5:$AN$504,MATCH(C1654,'Prospects'!$C$5:$C$504,0)),"")),'Paramètres'!$Q$6:$Q$15,0)),0))-N(P1654)),0)))</f>
        <v/>
      </c>
      <c r="AX1654" s="61">
        <f>IF(C1654="","",IF(COUNTIF($C$5:C1654,C1654)=1,MAX($AX$4:AX1653)+1,""))</f>
        <v/>
      </c>
      <c r="AY1654" s="61">
        <f>IF(B1654="","",HOUR(B1654))</f>
        <v/>
      </c>
      <c r="AZ1654" s="61">
        <f>IF(A1654="","",MOD(A1654-2,7)+1)</f>
        <v/>
      </c>
      <c r="BA1654" s="60">
        <f>IF(C1654="","",IFERROR(INDEX('Prospects'!$N$5:$N$504,MATCH(C1654,'Prospects'!$C$5:$C$504,0)),""))</f>
        <v/>
      </c>
      <c r="BB1654" s="61">
        <f>IF(AND(C1654&lt;&gt;"",C1654='Fiche prospect'!$C$4),COUNTIF($C$5:C1654,C1654),"")</f>
        <v/>
      </c>
    </row>
    <row r="1655">
      <c r="A1655" s="53" t="n"/>
      <c r="B1655" s="54" t="n"/>
      <c r="C1655" s="55" t="n"/>
      <c r="D1655" s="55" t="n"/>
      <c r="E1655" s="55" t="n"/>
      <c r="F1655" s="55" t="n"/>
      <c r="G1655" s="56" t="n"/>
      <c r="H1655" s="57" t="n"/>
      <c r="I1655" s="55" t="n"/>
      <c r="J1655" s="53" t="n"/>
      <c r="K1655" s="54" t="n"/>
      <c r="L1655" s="55" t="n"/>
      <c r="M1655" s="55" t="n"/>
      <c r="N1655" s="57" t="n"/>
      <c r="O1655" s="55" t="n"/>
      <c r="P1655" s="56" t="n"/>
      <c r="Q1655" s="55" t="n"/>
      <c r="R1655" s="55" t="n"/>
      <c r="S1655" s="55" t="n"/>
      <c r="T1655" s="55" t="n"/>
      <c r="U1655" s="55" t="n"/>
      <c r="V1655" s="55" t="n"/>
      <c r="W1655" s="58" t="n"/>
      <c r="X1655" s="58" t="n"/>
      <c r="Y1655" s="55" t="n"/>
      <c r="Z1655" s="55" t="n"/>
      <c r="AA1655" s="55" t="n"/>
      <c r="AB1655" s="55" t="n"/>
      <c r="AC1655" s="55" t="n"/>
      <c r="AD1655" s="53" t="n"/>
      <c r="AE1655" s="55" t="n"/>
      <c r="AF1655" s="55" t="n"/>
      <c r="AG1655" s="59" t="n"/>
      <c r="AH1655" s="57" t="n"/>
      <c r="AI1655" s="55" t="n"/>
      <c r="AJ1655" s="55" t="n"/>
      <c r="AK1655" s="55" t="n"/>
      <c r="AL1655" s="55" t="n"/>
      <c r="AM1655" s="56" t="n"/>
      <c r="AN1655" s="55" t="n"/>
      <c r="AO1655" s="55" t="n"/>
      <c r="AP1655" s="55" t="n"/>
      <c r="AQ1655" s="55" t="n"/>
      <c r="AR1655" s="60">
        <f>IF(AND(C1655="",E1655=""),"",IF(A1655="","⚠ Date manquante",IF(AND(C1655="",E1655&lt;&gt;"Dépense"),"⚠ Prospect manquant",IF(E1655="","⚠ Action manquante",IF(AND(AU1655=1,D1655=""),"⚠ Canal manquant",IF(AND(W1655&lt;&gt;"",COUNTIFS('Saisie'!$W$5:$W$2004,W1655,'Saisie'!$C$5:$C$2004,"&lt;&gt;"&amp;C1655)&gt;0),"⚠ Numéro déjà utilisé par un autre prospect",IF(AND(J1655&lt;&gt;"",J1655&lt;A1655),"⚠ Relance avant la date de l'action",IF(A1655&gt;TODAY(),"⚠ Date dans le futur","✓"))))))))</f>
        <v/>
      </c>
      <c r="AS1655" s="61">
        <f>IF(AND(A1655="",C1655="",E1655=""),"",ROW())</f>
        <v/>
      </c>
      <c r="AT1655" s="61">
        <f>IF(E1655&amp;F1655="","",MAX(IFERROR(INDEX('Paramètres'!$J$6:$J$33,MATCH(E1655,'Paramètres'!$I$6:$I$33,0)),0),IFERROR(INDEX('Paramètres'!$N$6:$N$17,MATCH(F1655,'Paramètres'!$M$6:$M$17,0)),0)))</f>
        <v/>
      </c>
      <c r="AU1655" s="61">
        <f>IF(E1655="","",IFERROR(IF(INDEX('Paramètres'!$K$6:$K$33,MATCH(E1655,'Paramètres'!$I$6:$I$33,0))="Oui",1,0),0))</f>
        <v/>
      </c>
      <c r="AV1655" s="61">
        <f>IF(F1655="","",IFERROR(IF(INDEX('Paramètres'!$O$6:$O$17,MATCH(F1655,'Paramètres'!$M$6:$M$17,0))="Oui",1,0),0))</f>
        <v/>
      </c>
      <c r="AW1655" s="62">
        <f>IF(E1655="","",IF(G1655&lt;&gt;"",G1655,IF(OR(E1655="Proposition envoyée",E1655="Signature"),MAX(0,N(IFERROR(INDEX('Paramètres'!$R$6:$R$15,MATCH(IF(AL1655&lt;&gt;"",AL1655,IFERROR(INDEX('Prospects'!$AN$5:$AN$504,MATCH(C1655,'Prospects'!$C$5:$C$504,0)),"")),'Paramètres'!$Q$6:$Q$15,0)),0))-N(P1655)),0)))</f>
        <v/>
      </c>
      <c r="AX1655" s="61">
        <f>IF(C1655="","",IF(COUNTIF($C$5:C1655,C1655)=1,MAX($AX$4:AX1654)+1,""))</f>
        <v/>
      </c>
      <c r="AY1655" s="61">
        <f>IF(B1655="","",HOUR(B1655))</f>
        <v/>
      </c>
      <c r="AZ1655" s="61">
        <f>IF(A1655="","",MOD(A1655-2,7)+1)</f>
        <v/>
      </c>
      <c r="BA1655" s="60">
        <f>IF(C1655="","",IFERROR(INDEX('Prospects'!$N$5:$N$504,MATCH(C1655,'Prospects'!$C$5:$C$504,0)),""))</f>
        <v/>
      </c>
      <c r="BB1655" s="61">
        <f>IF(AND(C1655&lt;&gt;"",C1655='Fiche prospect'!$C$4),COUNTIF($C$5:C1655,C1655),"")</f>
        <v/>
      </c>
    </row>
    <row r="1656">
      <c r="A1656" s="53" t="n"/>
      <c r="B1656" s="54" t="n"/>
      <c r="C1656" s="55" t="n"/>
      <c r="D1656" s="55" t="n"/>
      <c r="E1656" s="55" t="n"/>
      <c r="F1656" s="55" t="n"/>
      <c r="G1656" s="56" t="n"/>
      <c r="H1656" s="57" t="n"/>
      <c r="I1656" s="55" t="n"/>
      <c r="J1656" s="53" t="n"/>
      <c r="K1656" s="54" t="n"/>
      <c r="L1656" s="55" t="n"/>
      <c r="M1656" s="55" t="n"/>
      <c r="N1656" s="57" t="n"/>
      <c r="O1656" s="55" t="n"/>
      <c r="P1656" s="56" t="n"/>
      <c r="Q1656" s="55" t="n"/>
      <c r="R1656" s="55" t="n"/>
      <c r="S1656" s="55" t="n"/>
      <c r="T1656" s="55" t="n"/>
      <c r="U1656" s="55" t="n"/>
      <c r="V1656" s="55" t="n"/>
      <c r="W1656" s="58" t="n"/>
      <c r="X1656" s="58" t="n"/>
      <c r="Y1656" s="55" t="n"/>
      <c r="Z1656" s="55" t="n"/>
      <c r="AA1656" s="55" t="n"/>
      <c r="AB1656" s="55" t="n"/>
      <c r="AC1656" s="55" t="n"/>
      <c r="AD1656" s="53" t="n"/>
      <c r="AE1656" s="55" t="n"/>
      <c r="AF1656" s="55" t="n"/>
      <c r="AG1656" s="59" t="n"/>
      <c r="AH1656" s="57" t="n"/>
      <c r="AI1656" s="55" t="n"/>
      <c r="AJ1656" s="55" t="n"/>
      <c r="AK1656" s="55" t="n"/>
      <c r="AL1656" s="55" t="n"/>
      <c r="AM1656" s="56" t="n"/>
      <c r="AN1656" s="55" t="n"/>
      <c r="AO1656" s="55" t="n"/>
      <c r="AP1656" s="55" t="n"/>
      <c r="AQ1656" s="55" t="n"/>
      <c r="AR1656" s="60">
        <f>IF(AND(C1656="",E1656=""),"",IF(A1656="","⚠ Date manquante",IF(AND(C1656="",E1656&lt;&gt;"Dépense"),"⚠ Prospect manquant",IF(E1656="","⚠ Action manquante",IF(AND(AU1656=1,D1656=""),"⚠ Canal manquant",IF(AND(W1656&lt;&gt;"",COUNTIFS('Saisie'!$W$5:$W$2004,W1656,'Saisie'!$C$5:$C$2004,"&lt;&gt;"&amp;C1656)&gt;0),"⚠ Numéro déjà utilisé par un autre prospect",IF(AND(J1656&lt;&gt;"",J1656&lt;A1656),"⚠ Relance avant la date de l'action",IF(A1656&gt;TODAY(),"⚠ Date dans le futur","✓"))))))))</f>
        <v/>
      </c>
      <c r="AS1656" s="61">
        <f>IF(AND(A1656="",C1656="",E1656=""),"",ROW())</f>
        <v/>
      </c>
      <c r="AT1656" s="61">
        <f>IF(E1656&amp;F1656="","",MAX(IFERROR(INDEX('Paramètres'!$J$6:$J$33,MATCH(E1656,'Paramètres'!$I$6:$I$33,0)),0),IFERROR(INDEX('Paramètres'!$N$6:$N$17,MATCH(F1656,'Paramètres'!$M$6:$M$17,0)),0)))</f>
        <v/>
      </c>
      <c r="AU1656" s="61">
        <f>IF(E1656="","",IFERROR(IF(INDEX('Paramètres'!$K$6:$K$33,MATCH(E1656,'Paramètres'!$I$6:$I$33,0))="Oui",1,0),0))</f>
        <v/>
      </c>
      <c r="AV1656" s="61">
        <f>IF(F1656="","",IFERROR(IF(INDEX('Paramètres'!$O$6:$O$17,MATCH(F1656,'Paramètres'!$M$6:$M$17,0))="Oui",1,0),0))</f>
        <v/>
      </c>
      <c r="AW1656" s="62">
        <f>IF(E1656="","",IF(G1656&lt;&gt;"",G1656,IF(OR(E1656="Proposition envoyée",E1656="Signature"),MAX(0,N(IFERROR(INDEX('Paramètres'!$R$6:$R$15,MATCH(IF(AL1656&lt;&gt;"",AL1656,IFERROR(INDEX('Prospects'!$AN$5:$AN$504,MATCH(C1656,'Prospects'!$C$5:$C$504,0)),"")),'Paramètres'!$Q$6:$Q$15,0)),0))-N(P1656)),0)))</f>
        <v/>
      </c>
      <c r="AX1656" s="61">
        <f>IF(C1656="","",IF(COUNTIF($C$5:C1656,C1656)=1,MAX($AX$4:AX1655)+1,""))</f>
        <v/>
      </c>
      <c r="AY1656" s="61">
        <f>IF(B1656="","",HOUR(B1656))</f>
        <v/>
      </c>
      <c r="AZ1656" s="61">
        <f>IF(A1656="","",MOD(A1656-2,7)+1)</f>
        <v/>
      </c>
      <c r="BA1656" s="60">
        <f>IF(C1656="","",IFERROR(INDEX('Prospects'!$N$5:$N$504,MATCH(C1656,'Prospects'!$C$5:$C$504,0)),""))</f>
        <v/>
      </c>
      <c r="BB1656" s="61">
        <f>IF(AND(C1656&lt;&gt;"",C1656='Fiche prospect'!$C$4),COUNTIF($C$5:C1656,C1656),"")</f>
        <v/>
      </c>
    </row>
    <row r="1657">
      <c r="A1657" s="53" t="n"/>
      <c r="B1657" s="54" t="n"/>
      <c r="C1657" s="55" t="n"/>
      <c r="D1657" s="55" t="n"/>
      <c r="E1657" s="55" t="n"/>
      <c r="F1657" s="55" t="n"/>
      <c r="G1657" s="56" t="n"/>
      <c r="H1657" s="57" t="n"/>
      <c r="I1657" s="55" t="n"/>
      <c r="J1657" s="53" t="n"/>
      <c r="K1657" s="54" t="n"/>
      <c r="L1657" s="55" t="n"/>
      <c r="M1657" s="55" t="n"/>
      <c r="N1657" s="57" t="n"/>
      <c r="O1657" s="55" t="n"/>
      <c r="P1657" s="56" t="n"/>
      <c r="Q1657" s="55" t="n"/>
      <c r="R1657" s="55" t="n"/>
      <c r="S1657" s="55" t="n"/>
      <c r="T1657" s="55" t="n"/>
      <c r="U1657" s="55" t="n"/>
      <c r="V1657" s="55" t="n"/>
      <c r="W1657" s="58" t="n"/>
      <c r="X1657" s="58" t="n"/>
      <c r="Y1657" s="55" t="n"/>
      <c r="Z1657" s="55" t="n"/>
      <c r="AA1657" s="55" t="n"/>
      <c r="AB1657" s="55" t="n"/>
      <c r="AC1657" s="55" t="n"/>
      <c r="AD1657" s="53" t="n"/>
      <c r="AE1657" s="55" t="n"/>
      <c r="AF1657" s="55" t="n"/>
      <c r="AG1657" s="59" t="n"/>
      <c r="AH1657" s="57" t="n"/>
      <c r="AI1657" s="55" t="n"/>
      <c r="AJ1657" s="55" t="n"/>
      <c r="AK1657" s="55" t="n"/>
      <c r="AL1657" s="55" t="n"/>
      <c r="AM1657" s="56" t="n"/>
      <c r="AN1657" s="55" t="n"/>
      <c r="AO1657" s="55" t="n"/>
      <c r="AP1657" s="55" t="n"/>
      <c r="AQ1657" s="55" t="n"/>
      <c r="AR1657" s="60">
        <f>IF(AND(C1657="",E1657=""),"",IF(A1657="","⚠ Date manquante",IF(AND(C1657="",E1657&lt;&gt;"Dépense"),"⚠ Prospect manquant",IF(E1657="","⚠ Action manquante",IF(AND(AU1657=1,D1657=""),"⚠ Canal manquant",IF(AND(W1657&lt;&gt;"",COUNTIFS('Saisie'!$W$5:$W$2004,W1657,'Saisie'!$C$5:$C$2004,"&lt;&gt;"&amp;C1657)&gt;0),"⚠ Numéro déjà utilisé par un autre prospect",IF(AND(J1657&lt;&gt;"",J1657&lt;A1657),"⚠ Relance avant la date de l'action",IF(A1657&gt;TODAY(),"⚠ Date dans le futur","✓"))))))))</f>
        <v/>
      </c>
      <c r="AS1657" s="61">
        <f>IF(AND(A1657="",C1657="",E1657=""),"",ROW())</f>
        <v/>
      </c>
      <c r="AT1657" s="61">
        <f>IF(E1657&amp;F1657="","",MAX(IFERROR(INDEX('Paramètres'!$J$6:$J$33,MATCH(E1657,'Paramètres'!$I$6:$I$33,0)),0),IFERROR(INDEX('Paramètres'!$N$6:$N$17,MATCH(F1657,'Paramètres'!$M$6:$M$17,0)),0)))</f>
        <v/>
      </c>
      <c r="AU1657" s="61">
        <f>IF(E1657="","",IFERROR(IF(INDEX('Paramètres'!$K$6:$K$33,MATCH(E1657,'Paramètres'!$I$6:$I$33,0))="Oui",1,0),0))</f>
        <v/>
      </c>
      <c r="AV1657" s="61">
        <f>IF(F1657="","",IFERROR(IF(INDEX('Paramètres'!$O$6:$O$17,MATCH(F1657,'Paramètres'!$M$6:$M$17,0))="Oui",1,0),0))</f>
        <v/>
      </c>
      <c r="AW1657" s="62">
        <f>IF(E1657="","",IF(G1657&lt;&gt;"",G1657,IF(OR(E1657="Proposition envoyée",E1657="Signature"),MAX(0,N(IFERROR(INDEX('Paramètres'!$R$6:$R$15,MATCH(IF(AL1657&lt;&gt;"",AL1657,IFERROR(INDEX('Prospects'!$AN$5:$AN$504,MATCH(C1657,'Prospects'!$C$5:$C$504,0)),"")),'Paramètres'!$Q$6:$Q$15,0)),0))-N(P1657)),0)))</f>
        <v/>
      </c>
      <c r="AX1657" s="61">
        <f>IF(C1657="","",IF(COUNTIF($C$5:C1657,C1657)=1,MAX($AX$4:AX1656)+1,""))</f>
        <v/>
      </c>
      <c r="AY1657" s="61">
        <f>IF(B1657="","",HOUR(B1657))</f>
        <v/>
      </c>
      <c r="AZ1657" s="61">
        <f>IF(A1657="","",MOD(A1657-2,7)+1)</f>
        <v/>
      </c>
      <c r="BA1657" s="60">
        <f>IF(C1657="","",IFERROR(INDEX('Prospects'!$N$5:$N$504,MATCH(C1657,'Prospects'!$C$5:$C$504,0)),""))</f>
        <v/>
      </c>
      <c r="BB1657" s="61">
        <f>IF(AND(C1657&lt;&gt;"",C1657='Fiche prospect'!$C$4),COUNTIF($C$5:C1657,C1657),"")</f>
        <v/>
      </c>
    </row>
    <row r="1658">
      <c r="A1658" s="53" t="n"/>
      <c r="B1658" s="54" t="n"/>
      <c r="C1658" s="55" t="n"/>
      <c r="D1658" s="55" t="n"/>
      <c r="E1658" s="55" t="n"/>
      <c r="F1658" s="55" t="n"/>
      <c r="G1658" s="56" t="n"/>
      <c r="H1658" s="57" t="n"/>
      <c r="I1658" s="55" t="n"/>
      <c r="J1658" s="53" t="n"/>
      <c r="K1658" s="54" t="n"/>
      <c r="L1658" s="55" t="n"/>
      <c r="M1658" s="55" t="n"/>
      <c r="N1658" s="57" t="n"/>
      <c r="O1658" s="55" t="n"/>
      <c r="P1658" s="56" t="n"/>
      <c r="Q1658" s="55" t="n"/>
      <c r="R1658" s="55" t="n"/>
      <c r="S1658" s="55" t="n"/>
      <c r="T1658" s="55" t="n"/>
      <c r="U1658" s="55" t="n"/>
      <c r="V1658" s="55" t="n"/>
      <c r="W1658" s="58" t="n"/>
      <c r="X1658" s="58" t="n"/>
      <c r="Y1658" s="55" t="n"/>
      <c r="Z1658" s="55" t="n"/>
      <c r="AA1658" s="55" t="n"/>
      <c r="AB1658" s="55" t="n"/>
      <c r="AC1658" s="55" t="n"/>
      <c r="AD1658" s="53" t="n"/>
      <c r="AE1658" s="55" t="n"/>
      <c r="AF1658" s="55" t="n"/>
      <c r="AG1658" s="59" t="n"/>
      <c r="AH1658" s="57" t="n"/>
      <c r="AI1658" s="55" t="n"/>
      <c r="AJ1658" s="55" t="n"/>
      <c r="AK1658" s="55" t="n"/>
      <c r="AL1658" s="55" t="n"/>
      <c r="AM1658" s="56" t="n"/>
      <c r="AN1658" s="55" t="n"/>
      <c r="AO1658" s="55" t="n"/>
      <c r="AP1658" s="55" t="n"/>
      <c r="AQ1658" s="55" t="n"/>
      <c r="AR1658" s="60">
        <f>IF(AND(C1658="",E1658=""),"",IF(A1658="","⚠ Date manquante",IF(AND(C1658="",E1658&lt;&gt;"Dépense"),"⚠ Prospect manquant",IF(E1658="","⚠ Action manquante",IF(AND(AU1658=1,D1658=""),"⚠ Canal manquant",IF(AND(W1658&lt;&gt;"",COUNTIFS('Saisie'!$W$5:$W$2004,W1658,'Saisie'!$C$5:$C$2004,"&lt;&gt;"&amp;C1658)&gt;0),"⚠ Numéro déjà utilisé par un autre prospect",IF(AND(J1658&lt;&gt;"",J1658&lt;A1658),"⚠ Relance avant la date de l'action",IF(A1658&gt;TODAY(),"⚠ Date dans le futur","✓"))))))))</f>
        <v/>
      </c>
      <c r="AS1658" s="61">
        <f>IF(AND(A1658="",C1658="",E1658=""),"",ROW())</f>
        <v/>
      </c>
      <c r="AT1658" s="61">
        <f>IF(E1658&amp;F1658="","",MAX(IFERROR(INDEX('Paramètres'!$J$6:$J$33,MATCH(E1658,'Paramètres'!$I$6:$I$33,0)),0),IFERROR(INDEX('Paramètres'!$N$6:$N$17,MATCH(F1658,'Paramètres'!$M$6:$M$17,0)),0)))</f>
        <v/>
      </c>
      <c r="AU1658" s="61">
        <f>IF(E1658="","",IFERROR(IF(INDEX('Paramètres'!$K$6:$K$33,MATCH(E1658,'Paramètres'!$I$6:$I$33,0))="Oui",1,0),0))</f>
        <v/>
      </c>
      <c r="AV1658" s="61">
        <f>IF(F1658="","",IFERROR(IF(INDEX('Paramètres'!$O$6:$O$17,MATCH(F1658,'Paramètres'!$M$6:$M$17,0))="Oui",1,0),0))</f>
        <v/>
      </c>
      <c r="AW1658" s="62">
        <f>IF(E1658="","",IF(G1658&lt;&gt;"",G1658,IF(OR(E1658="Proposition envoyée",E1658="Signature"),MAX(0,N(IFERROR(INDEX('Paramètres'!$R$6:$R$15,MATCH(IF(AL1658&lt;&gt;"",AL1658,IFERROR(INDEX('Prospects'!$AN$5:$AN$504,MATCH(C1658,'Prospects'!$C$5:$C$504,0)),"")),'Paramètres'!$Q$6:$Q$15,0)),0))-N(P1658)),0)))</f>
        <v/>
      </c>
      <c r="AX1658" s="61">
        <f>IF(C1658="","",IF(COUNTIF($C$5:C1658,C1658)=1,MAX($AX$4:AX1657)+1,""))</f>
        <v/>
      </c>
      <c r="AY1658" s="61">
        <f>IF(B1658="","",HOUR(B1658))</f>
        <v/>
      </c>
      <c r="AZ1658" s="61">
        <f>IF(A1658="","",MOD(A1658-2,7)+1)</f>
        <v/>
      </c>
      <c r="BA1658" s="60">
        <f>IF(C1658="","",IFERROR(INDEX('Prospects'!$N$5:$N$504,MATCH(C1658,'Prospects'!$C$5:$C$504,0)),""))</f>
        <v/>
      </c>
      <c r="BB1658" s="61">
        <f>IF(AND(C1658&lt;&gt;"",C1658='Fiche prospect'!$C$4),COUNTIF($C$5:C1658,C1658),"")</f>
        <v/>
      </c>
    </row>
    <row r="1659">
      <c r="A1659" s="53" t="n"/>
      <c r="B1659" s="54" t="n"/>
      <c r="C1659" s="55" t="n"/>
      <c r="D1659" s="55" t="n"/>
      <c r="E1659" s="55" t="n"/>
      <c r="F1659" s="55" t="n"/>
      <c r="G1659" s="56" t="n"/>
      <c r="H1659" s="57" t="n"/>
      <c r="I1659" s="55" t="n"/>
      <c r="J1659" s="53" t="n"/>
      <c r="K1659" s="54" t="n"/>
      <c r="L1659" s="55" t="n"/>
      <c r="M1659" s="55" t="n"/>
      <c r="N1659" s="57" t="n"/>
      <c r="O1659" s="55" t="n"/>
      <c r="P1659" s="56" t="n"/>
      <c r="Q1659" s="55" t="n"/>
      <c r="R1659" s="55" t="n"/>
      <c r="S1659" s="55" t="n"/>
      <c r="T1659" s="55" t="n"/>
      <c r="U1659" s="55" t="n"/>
      <c r="V1659" s="55" t="n"/>
      <c r="W1659" s="58" t="n"/>
      <c r="X1659" s="58" t="n"/>
      <c r="Y1659" s="55" t="n"/>
      <c r="Z1659" s="55" t="n"/>
      <c r="AA1659" s="55" t="n"/>
      <c r="AB1659" s="55" t="n"/>
      <c r="AC1659" s="55" t="n"/>
      <c r="AD1659" s="53" t="n"/>
      <c r="AE1659" s="55" t="n"/>
      <c r="AF1659" s="55" t="n"/>
      <c r="AG1659" s="59" t="n"/>
      <c r="AH1659" s="57" t="n"/>
      <c r="AI1659" s="55" t="n"/>
      <c r="AJ1659" s="55" t="n"/>
      <c r="AK1659" s="55" t="n"/>
      <c r="AL1659" s="55" t="n"/>
      <c r="AM1659" s="56" t="n"/>
      <c r="AN1659" s="55" t="n"/>
      <c r="AO1659" s="55" t="n"/>
      <c r="AP1659" s="55" t="n"/>
      <c r="AQ1659" s="55" t="n"/>
      <c r="AR1659" s="60">
        <f>IF(AND(C1659="",E1659=""),"",IF(A1659="","⚠ Date manquante",IF(AND(C1659="",E1659&lt;&gt;"Dépense"),"⚠ Prospect manquant",IF(E1659="","⚠ Action manquante",IF(AND(AU1659=1,D1659=""),"⚠ Canal manquant",IF(AND(W1659&lt;&gt;"",COUNTIFS('Saisie'!$W$5:$W$2004,W1659,'Saisie'!$C$5:$C$2004,"&lt;&gt;"&amp;C1659)&gt;0),"⚠ Numéro déjà utilisé par un autre prospect",IF(AND(J1659&lt;&gt;"",J1659&lt;A1659),"⚠ Relance avant la date de l'action",IF(A1659&gt;TODAY(),"⚠ Date dans le futur","✓"))))))))</f>
        <v/>
      </c>
      <c r="AS1659" s="61">
        <f>IF(AND(A1659="",C1659="",E1659=""),"",ROW())</f>
        <v/>
      </c>
      <c r="AT1659" s="61">
        <f>IF(E1659&amp;F1659="","",MAX(IFERROR(INDEX('Paramètres'!$J$6:$J$33,MATCH(E1659,'Paramètres'!$I$6:$I$33,0)),0),IFERROR(INDEX('Paramètres'!$N$6:$N$17,MATCH(F1659,'Paramètres'!$M$6:$M$17,0)),0)))</f>
        <v/>
      </c>
      <c r="AU1659" s="61">
        <f>IF(E1659="","",IFERROR(IF(INDEX('Paramètres'!$K$6:$K$33,MATCH(E1659,'Paramètres'!$I$6:$I$33,0))="Oui",1,0),0))</f>
        <v/>
      </c>
      <c r="AV1659" s="61">
        <f>IF(F1659="","",IFERROR(IF(INDEX('Paramètres'!$O$6:$O$17,MATCH(F1659,'Paramètres'!$M$6:$M$17,0))="Oui",1,0),0))</f>
        <v/>
      </c>
      <c r="AW1659" s="62">
        <f>IF(E1659="","",IF(G1659&lt;&gt;"",G1659,IF(OR(E1659="Proposition envoyée",E1659="Signature"),MAX(0,N(IFERROR(INDEX('Paramètres'!$R$6:$R$15,MATCH(IF(AL1659&lt;&gt;"",AL1659,IFERROR(INDEX('Prospects'!$AN$5:$AN$504,MATCH(C1659,'Prospects'!$C$5:$C$504,0)),"")),'Paramètres'!$Q$6:$Q$15,0)),0))-N(P1659)),0)))</f>
        <v/>
      </c>
      <c r="AX1659" s="61">
        <f>IF(C1659="","",IF(COUNTIF($C$5:C1659,C1659)=1,MAX($AX$4:AX1658)+1,""))</f>
        <v/>
      </c>
      <c r="AY1659" s="61">
        <f>IF(B1659="","",HOUR(B1659))</f>
        <v/>
      </c>
      <c r="AZ1659" s="61">
        <f>IF(A1659="","",MOD(A1659-2,7)+1)</f>
        <v/>
      </c>
      <c r="BA1659" s="60">
        <f>IF(C1659="","",IFERROR(INDEX('Prospects'!$N$5:$N$504,MATCH(C1659,'Prospects'!$C$5:$C$504,0)),""))</f>
        <v/>
      </c>
      <c r="BB1659" s="61">
        <f>IF(AND(C1659&lt;&gt;"",C1659='Fiche prospect'!$C$4),COUNTIF($C$5:C1659,C1659),"")</f>
        <v/>
      </c>
    </row>
    <row r="1660">
      <c r="A1660" s="53" t="n"/>
      <c r="B1660" s="54" t="n"/>
      <c r="C1660" s="55" t="n"/>
      <c r="D1660" s="55" t="n"/>
      <c r="E1660" s="55" t="n"/>
      <c r="F1660" s="55" t="n"/>
      <c r="G1660" s="56" t="n"/>
      <c r="H1660" s="57" t="n"/>
      <c r="I1660" s="55" t="n"/>
      <c r="J1660" s="53" t="n"/>
      <c r="K1660" s="54" t="n"/>
      <c r="L1660" s="55" t="n"/>
      <c r="M1660" s="55" t="n"/>
      <c r="N1660" s="57" t="n"/>
      <c r="O1660" s="55" t="n"/>
      <c r="P1660" s="56" t="n"/>
      <c r="Q1660" s="55" t="n"/>
      <c r="R1660" s="55" t="n"/>
      <c r="S1660" s="55" t="n"/>
      <c r="T1660" s="55" t="n"/>
      <c r="U1660" s="55" t="n"/>
      <c r="V1660" s="55" t="n"/>
      <c r="W1660" s="58" t="n"/>
      <c r="X1660" s="58" t="n"/>
      <c r="Y1660" s="55" t="n"/>
      <c r="Z1660" s="55" t="n"/>
      <c r="AA1660" s="55" t="n"/>
      <c r="AB1660" s="55" t="n"/>
      <c r="AC1660" s="55" t="n"/>
      <c r="AD1660" s="53" t="n"/>
      <c r="AE1660" s="55" t="n"/>
      <c r="AF1660" s="55" t="n"/>
      <c r="AG1660" s="59" t="n"/>
      <c r="AH1660" s="57" t="n"/>
      <c r="AI1660" s="55" t="n"/>
      <c r="AJ1660" s="55" t="n"/>
      <c r="AK1660" s="55" t="n"/>
      <c r="AL1660" s="55" t="n"/>
      <c r="AM1660" s="56" t="n"/>
      <c r="AN1660" s="55" t="n"/>
      <c r="AO1660" s="55" t="n"/>
      <c r="AP1660" s="55" t="n"/>
      <c r="AQ1660" s="55" t="n"/>
      <c r="AR1660" s="60">
        <f>IF(AND(C1660="",E1660=""),"",IF(A1660="","⚠ Date manquante",IF(AND(C1660="",E1660&lt;&gt;"Dépense"),"⚠ Prospect manquant",IF(E1660="","⚠ Action manquante",IF(AND(AU1660=1,D1660=""),"⚠ Canal manquant",IF(AND(W1660&lt;&gt;"",COUNTIFS('Saisie'!$W$5:$W$2004,W1660,'Saisie'!$C$5:$C$2004,"&lt;&gt;"&amp;C1660)&gt;0),"⚠ Numéro déjà utilisé par un autre prospect",IF(AND(J1660&lt;&gt;"",J1660&lt;A1660),"⚠ Relance avant la date de l'action",IF(A1660&gt;TODAY(),"⚠ Date dans le futur","✓"))))))))</f>
        <v/>
      </c>
      <c r="AS1660" s="61">
        <f>IF(AND(A1660="",C1660="",E1660=""),"",ROW())</f>
        <v/>
      </c>
      <c r="AT1660" s="61">
        <f>IF(E1660&amp;F1660="","",MAX(IFERROR(INDEX('Paramètres'!$J$6:$J$33,MATCH(E1660,'Paramètres'!$I$6:$I$33,0)),0),IFERROR(INDEX('Paramètres'!$N$6:$N$17,MATCH(F1660,'Paramètres'!$M$6:$M$17,0)),0)))</f>
        <v/>
      </c>
      <c r="AU1660" s="61">
        <f>IF(E1660="","",IFERROR(IF(INDEX('Paramètres'!$K$6:$K$33,MATCH(E1660,'Paramètres'!$I$6:$I$33,0))="Oui",1,0),0))</f>
        <v/>
      </c>
      <c r="AV1660" s="61">
        <f>IF(F1660="","",IFERROR(IF(INDEX('Paramètres'!$O$6:$O$17,MATCH(F1660,'Paramètres'!$M$6:$M$17,0))="Oui",1,0),0))</f>
        <v/>
      </c>
      <c r="AW1660" s="62">
        <f>IF(E1660="","",IF(G1660&lt;&gt;"",G1660,IF(OR(E1660="Proposition envoyée",E1660="Signature"),MAX(0,N(IFERROR(INDEX('Paramètres'!$R$6:$R$15,MATCH(IF(AL1660&lt;&gt;"",AL1660,IFERROR(INDEX('Prospects'!$AN$5:$AN$504,MATCH(C1660,'Prospects'!$C$5:$C$504,0)),"")),'Paramètres'!$Q$6:$Q$15,0)),0))-N(P1660)),0)))</f>
        <v/>
      </c>
      <c r="AX1660" s="61">
        <f>IF(C1660="","",IF(COUNTIF($C$5:C1660,C1660)=1,MAX($AX$4:AX1659)+1,""))</f>
        <v/>
      </c>
      <c r="AY1660" s="61">
        <f>IF(B1660="","",HOUR(B1660))</f>
        <v/>
      </c>
      <c r="AZ1660" s="61">
        <f>IF(A1660="","",MOD(A1660-2,7)+1)</f>
        <v/>
      </c>
      <c r="BA1660" s="60">
        <f>IF(C1660="","",IFERROR(INDEX('Prospects'!$N$5:$N$504,MATCH(C1660,'Prospects'!$C$5:$C$504,0)),""))</f>
        <v/>
      </c>
      <c r="BB1660" s="61">
        <f>IF(AND(C1660&lt;&gt;"",C1660='Fiche prospect'!$C$4),COUNTIF($C$5:C1660,C1660),"")</f>
        <v/>
      </c>
    </row>
    <row r="1661">
      <c r="A1661" s="53" t="n"/>
      <c r="B1661" s="54" t="n"/>
      <c r="C1661" s="55" t="n"/>
      <c r="D1661" s="55" t="n"/>
      <c r="E1661" s="55" t="n"/>
      <c r="F1661" s="55" t="n"/>
      <c r="G1661" s="56" t="n"/>
      <c r="H1661" s="57" t="n"/>
      <c r="I1661" s="55" t="n"/>
      <c r="J1661" s="53" t="n"/>
      <c r="K1661" s="54" t="n"/>
      <c r="L1661" s="55" t="n"/>
      <c r="M1661" s="55" t="n"/>
      <c r="N1661" s="57" t="n"/>
      <c r="O1661" s="55" t="n"/>
      <c r="P1661" s="56" t="n"/>
      <c r="Q1661" s="55" t="n"/>
      <c r="R1661" s="55" t="n"/>
      <c r="S1661" s="55" t="n"/>
      <c r="T1661" s="55" t="n"/>
      <c r="U1661" s="55" t="n"/>
      <c r="V1661" s="55" t="n"/>
      <c r="W1661" s="58" t="n"/>
      <c r="X1661" s="58" t="n"/>
      <c r="Y1661" s="55" t="n"/>
      <c r="Z1661" s="55" t="n"/>
      <c r="AA1661" s="55" t="n"/>
      <c r="AB1661" s="55" t="n"/>
      <c r="AC1661" s="55" t="n"/>
      <c r="AD1661" s="53" t="n"/>
      <c r="AE1661" s="55" t="n"/>
      <c r="AF1661" s="55" t="n"/>
      <c r="AG1661" s="59" t="n"/>
      <c r="AH1661" s="57" t="n"/>
      <c r="AI1661" s="55" t="n"/>
      <c r="AJ1661" s="55" t="n"/>
      <c r="AK1661" s="55" t="n"/>
      <c r="AL1661" s="55" t="n"/>
      <c r="AM1661" s="56" t="n"/>
      <c r="AN1661" s="55" t="n"/>
      <c r="AO1661" s="55" t="n"/>
      <c r="AP1661" s="55" t="n"/>
      <c r="AQ1661" s="55" t="n"/>
      <c r="AR1661" s="60">
        <f>IF(AND(C1661="",E1661=""),"",IF(A1661="","⚠ Date manquante",IF(AND(C1661="",E1661&lt;&gt;"Dépense"),"⚠ Prospect manquant",IF(E1661="","⚠ Action manquante",IF(AND(AU1661=1,D1661=""),"⚠ Canal manquant",IF(AND(W1661&lt;&gt;"",COUNTIFS('Saisie'!$W$5:$W$2004,W1661,'Saisie'!$C$5:$C$2004,"&lt;&gt;"&amp;C1661)&gt;0),"⚠ Numéro déjà utilisé par un autre prospect",IF(AND(J1661&lt;&gt;"",J1661&lt;A1661),"⚠ Relance avant la date de l'action",IF(A1661&gt;TODAY(),"⚠ Date dans le futur","✓"))))))))</f>
        <v/>
      </c>
      <c r="AS1661" s="61">
        <f>IF(AND(A1661="",C1661="",E1661=""),"",ROW())</f>
        <v/>
      </c>
      <c r="AT1661" s="61">
        <f>IF(E1661&amp;F1661="","",MAX(IFERROR(INDEX('Paramètres'!$J$6:$J$33,MATCH(E1661,'Paramètres'!$I$6:$I$33,0)),0),IFERROR(INDEX('Paramètres'!$N$6:$N$17,MATCH(F1661,'Paramètres'!$M$6:$M$17,0)),0)))</f>
        <v/>
      </c>
      <c r="AU1661" s="61">
        <f>IF(E1661="","",IFERROR(IF(INDEX('Paramètres'!$K$6:$K$33,MATCH(E1661,'Paramètres'!$I$6:$I$33,0))="Oui",1,0),0))</f>
        <v/>
      </c>
      <c r="AV1661" s="61">
        <f>IF(F1661="","",IFERROR(IF(INDEX('Paramètres'!$O$6:$O$17,MATCH(F1661,'Paramètres'!$M$6:$M$17,0))="Oui",1,0),0))</f>
        <v/>
      </c>
      <c r="AW1661" s="62">
        <f>IF(E1661="","",IF(G1661&lt;&gt;"",G1661,IF(OR(E1661="Proposition envoyée",E1661="Signature"),MAX(0,N(IFERROR(INDEX('Paramètres'!$R$6:$R$15,MATCH(IF(AL1661&lt;&gt;"",AL1661,IFERROR(INDEX('Prospects'!$AN$5:$AN$504,MATCH(C1661,'Prospects'!$C$5:$C$504,0)),"")),'Paramètres'!$Q$6:$Q$15,0)),0))-N(P1661)),0)))</f>
        <v/>
      </c>
      <c r="AX1661" s="61">
        <f>IF(C1661="","",IF(COUNTIF($C$5:C1661,C1661)=1,MAX($AX$4:AX1660)+1,""))</f>
        <v/>
      </c>
      <c r="AY1661" s="61">
        <f>IF(B1661="","",HOUR(B1661))</f>
        <v/>
      </c>
      <c r="AZ1661" s="61">
        <f>IF(A1661="","",MOD(A1661-2,7)+1)</f>
        <v/>
      </c>
      <c r="BA1661" s="60">
        <f>IF(C1661="","",IFERROR(INDEX('Prospects'!$N$5:$N$504,MATCH(C1661,'Prospects'!$C$5:$C$504,0)),""))</f>
        <v/>
      </c>
      <c r="BB1661" s="61">
        <f>IF(AND(C1661&lt;&gt;"",C1661='Fiche prospect'!$C$4),COUNTIF($C$5:C1661,C1661),"")</f>
        <v/>
      </c>
    </row>
    <row r="1662">
      <c r="A1662" s="53" t="n"/>
      <c r="B1662" s="54" t="n"/>
      <c r="C1662" s="55" t="n"/>
      <c r="D1662" s="55" t="n"/>
      <c r="E1662" s="55" t="n"/>
      <c r="F1662" s="55" t="n"/>
      <c r="G1662" s="56" t="n"/>
      <c r="H1662" s="57" t="n"/>
      <c r="I1662" s="55" t="n"/>
      <c r="J1662" s="53" t="n"/>
      <c r="K1662" s="54" t="n"/>
      <c r="L1662" s="55" t="n"/>
      <c r="M1662" s="55" t="n"/>
      <c r="N1662" s="57" t="n"/>
      <c r="O1662" s="55" t="n"/>
      <c r="P1662" s="56" t="n"/>
      <c r="Q1662" s="55" t="n"/>
      <c r="R1662" s="55" t="n"/>
      <c r="S1662" s="55" t="n"/>
      <c r="T1662" s="55" t="n"/>
      <c r="U1662" s="55" t="n"/>
      <c r="V1662" s="55" t="n"/>
      <c r="W1662" s="58" t="n"/>
      <c r="X1662" s="58" t="n"/>
      <c r="Y1662" s="55" t="n"/>
      <c r="Z1662" s="55" t="n"/>
      <c r="AA1662" s="55" t="n"/>
      <c r="AB1662" s="55" t="n"/>
      <c r="AC1662" s="55" t="n"/>
      <c r="AD1662" s="53" t="n"/>
      <c r="AE1662" s="55" t="n"/>
      <c r="AF1662" s="55" t="n"/>
      <c r="AG1662" s="59" t="n"/>
      <c r="AH1662" s="57" t="n"/>
      <c r="AI1662" s="55" t="n"/>
      <c r="AJ1662" s="55" t="n"/>
      <c r="AK1662" s="55" t="n"/>
      <c r="AL1662" s="55" t="n"/>
      <c r="AM1662" s="56" t="n"/>
      <c r="AN1662" s="55" t="n"/>
      <c r="AO1662" s="55" t="n"/>
      <c r="AP1662" s="55" t="n"/>
      <c r="AQ1662" s="55" t="n"/>
      <c r="AR1662" s="60">
        <f>IF(AND(C1662="",E1662=""),"",IF(A1662="","⚠ Date manquante",IF(AND(C1662="",E1662&lt;&gt;"Dépense"),"⚠ Prospect manquant",IF(E1662="","⚠ Action manquante",IF(AND(AU1662=1,D1662=""),"⚠ Canal manquant",IF(AND(W1662&lt;&gt;"",COUNTIFS('Saisie'!$W$5:$W$2004,W1662,'Saisie'!$C$5:$C$2004,"&lt;&gt;"&amp;C1662)&gt;0),"⚠ Numéro déjà utilisé par un autre prospect",IF(AND(J1662&lt;&gt;"",J1662&lt;A1662),"⚠ Relance avant la date de l'action",IF(A1662&gt;TODAY(),"⚠ Date dans le futur","✓"))))))))</f>
        <v/>
      </c>
      <c r="AS1662" s="61">
        <f>IF(AND(A1662="",C1662="",E1662=""),"",ROW())</f>
        <v/>
      </c>
      <c r="AT1662" s="61">
        <f>IF(E1662&amp;F1662="","",MAX(IFERROR(INDEX('Paramètres'!$J$6:$J$33,MATCH(E1662,'Paramètres'!$I$6:$I$33,0)),0),IFERROR(INDEX('Paramètres'!$N$6:$N$17,MATCH(F1662,'Paramètres'!$M$6:$M$17,0)),0)))</f>
        <v/>
      </c>
      <c r="AU1662" s="61">
        <f>IF(E1662="","",IFERROR(IF(INDEX('Paramètres'!$K$6:$K$33,MATCH(E1662,'Paramètres'!$I$6:$I$33,0))="Oui",1,0),0))</f>
        <v/>
      </c>
      <c r="AV1662" s="61">
        <f>IF(F1662="","",IFERROR(IF(INDEX('Paramètres'!$O$6:$O$17,MATCH(F1662,'Paramètres'!$M$6:$M$17,0))="Oui",1,0),0))</f>
        <v/>
      </c>
      <c r="AW1662" s="62">
        <f>IF(E1662="","",IF(G1662&lt;&gt;"",G1662,IF(OR(E1662="Proposition envoyée",E1662="Signature"),MAX(0,N(IFERROR(INDEX('Paramètres'!$R$6:$R$15,MATCH(IF(AL1662&lt;&gt;"",AL1662,IFERROR(INDEX('Prospects'!$AN$5:$AN$504,MATCH(C1662,'Prospects'!$C$5:$C$504,0)),"")),'Paramètres'!$Q$6:$Q$15,0)),0))-N(P1662)),0)))</f>
        <v/>
      </c>
      <c r="AX1662" s="61">
        <f>IF(C1662="","",IF(COUNTIF($C$5:C1662,C1662)=1,MAX($AX$4:AX1661)+1,""))</f>
        <v/>
      </c>
      <c r="AY1662" s="61">
        <f>IF(B1662="","",HOUR(B1662))</f>
        <v/>
      </c>
      <c r="AZ1662" s="61">
        <f>IF(A1662="","",MOD(A1662-2,7)+1)</f>
        <v/>
      </c>
      <c r="BA1662" s="60">
        <f>IF(C1662="","",IFERROR(INDEX('Prospects'!$N$5:$N$504,MATCH(C1662,'Prospects'!$C$5:$C$504,0)),""))</f>
        <v/>
      </c>
      <c r="BB1662" s="61">
        <f>IF(AND(C1662&lt;&gt;"",C1662='Fiche prospect'!$C$4),COUNTIF($C$5:C1662,C1662),"")</f>
        <v/>
      </c>
    </row>
    <row r="1663">
      <c r="A1663" s="53" t="n"/>
      <c r="B1663" s="54" t="n"/>
      <c r="C1663" s="55" t="n"/>
      <c r="D1663" s="55" t="n"/>
      <c r="E1663" s="55" t="n"/>
      <c r="F1663" s="55" t="n"/>
      <c r="G1663" s="56" t="n"/>
      <c r="H1663" s="57" t="n"/>
      <c r="I1663" s="55" t="n"/>
      <c r="J1663" s="53" t="n"/>
      <c r="K1663" s="54" t="n"/>
      <c r="L1663" s="55" t="n"/>
      <c r="M1663" s="55" t="n"/>
      <c r="N1663" s="57" t="n"/>
      <c r="O1663" s="55" t="n"/>
      <c r="P1663" s="56" t="n"/>
      <c r="Q1663" s="55" t="n"/>
      <c r="R1663" s="55" t="n"/>
      <c r="S1663" s="55" t="n"/>
      <c r="T1663" s="55" t="n"/>
      <c r="U1663" s="55" t="n"/>
      <c r="V1663" s="55" t="n"/>
      <c r="W1663" s="58" t="n"/>
      <c r="X1663" s="58" t="n"/>
      <c r="Y1663" s="55" t="n"/>
      <c r="Z1663" s="55" t="n"/>
      <c r="AA1663" s="55" t="n"/>
      <c r="AB1663" s="55" t="n"/>
      <c r="AC1663" s="55" t="n"/>
      <c r="AD1663" s="53" t="n"/>
      <c r="AE1663" s="55" t="n"/>
      <c r="AF1663" s="55" t="n"/>
      <c r="AG1663" s="59" t="n"/>
      <c r="AH1663" s="57" t="n"/>
      <c r="AI1663" s="55" t="n"/>
      <c r="AJ1663" s="55" t="n"/>
      <c r="AK1663" s="55" t="n"/>
      <c r="AL1663" s="55" t="n"/>
      <c r="AM1663" s="56" t="n"/>
      <c r="AN1663" s="55" t="n"/>
      <c r="AO1663" s="55" t="n"/>
      <c r="AP1663" s="55" t="n"/>
      <c r="AQ1663" s="55" t="n"/>
      <c r="AR1663" s="60">
        <f>IF(AND(C1663="",E1663=""),"",IF(A1663="","⚠ Date manquante",IF(AND(C1663="",E1663&lt;&gt;"Dépense"),"⚠ Prospect manquant",IF(E1663="","⚠ Action manquante",IF(AND(AU1663=1,D1663=""),"⚠ Canal manquant",IF(AND(W1663&lt;&gt;"",COUNTIFS('Saisie'!$W$5:$W$2004,W1663,'Saisie'!$C$5:$C$2004,"&lt;&gt;"&amp;C1663)&gt;0),"⚠ Numéro déjà utilisé par un autre prospect",IF(AND(J1663&lt;&gt;"",J1663&lt;A1663),"⚠ Relance avant la date de l'action",IF(A1663&gt;TODAY(),"⚠ Date dans le futur","✓"))))))))</f>
        <v/>
      </c>
      <c r="AS1663" s="61">
        <f>IF(AND(A1663="",C1663="",E1663=""),"",ROW())</f>
        <v/>
      </c>
      <c r="AT1663" s="61">
        <f>IF(E1663&amp;F1663="","",MAX(IFERROR(INDEX('Paramètres'!$J$6:$J$33,MATCH(E1663,'Paramètres'!$I$6:$I$33,0)),0),IFERROR(INDEX('Paramètres'!$N$6:$N$17,MATCH(F1663,'Paramètres'!$M$6:$M$17,0)),0)))</f>
        <v/>
      </c>
      <c r="AU1663" s="61">
        <f>IF(E1663="","",IFERROR(IF(INDEX('Paramètres'!$K$6:$K$33,MATCH(E1663,'Paramètres'!$I$6:$I$33,0))="Oui",1,0),0))</f>
        <v/>
      </c>
      <c r="AV1663" s="61">
        <f>IF(F1663="","",IFERROR(IF(INDEX('Paramètres'!$O$6:$O$17,MATCH(F1663,'Paramètres'!$M$6:$M$17,0))="Oui",1,0),0))</f>
        <v/>
      </c>
      <c r="AW1663" s="62">
        <f>IF(E1663="","",IF(G1663&lt;&gt;"",G1663,IF(OR(E1663="Proposition envoyée",E1663="Signature"),MAX(0,N(IFERROR(INDEX('Paramètres'!$R$6:$R$15,MATCH(IF(AL1663&lt;&gt;"",AL1663,IFERROR(INDEX('Prospects'!$AN$5:$AN$504,MATCH(C1663,'Prospects'!$C$5:$C$504,0)),"")),'Paramètres'!$Q$6:$Q$15,0)),0))-N(P1663)),0)))</f>
        <v/>
      </c>
      <c r="AX1663" s="61">
        <f>IF(C1663="","",IF(COUNTIF($C$5:C1663,C1663)=1,MAX($AX$4:AX1662)+1,""))</f>
        <v/>
      </c>
      <c r="AY1663" s="61">
        <f>IF(B1663="","",HOUR(B1663))</f>
        <v/>
      </c>
      <c r="AZ1663" s="61">
        <f>IF(A1663="","",MOD(A1663-2,7)+1)</f>
        <v/>
      </c>
      <c r="BA1663" s="60">
        <f>IF(C1663="","",IFERROR(INDEX('Prospects'!$N$5:$N$504,MATCH(C1663,'Prospects'!$C$5:$C$504,0)),""))</f>
        <v/>
      </c>
      <c r="BB1663" s="61">
        <f>IF(AND(C1663&lt;&gt;"",C1663='Fiche prospect'!$C$4),COUNTIF($C$5:C1663,C1663),"")</f>
        <v/>
      </c>
    </row>
    <row r="1664">
      <c r="A1664" s="53" t="n"/>
      <c r="B1664" s="54" t="n"/>
      <c r="C1664" s="55" t="n"/>
      <c r="D1664" s="55" t="n"/>
      <c r="E1664" s="55" t="n"/>
      <c r="F1664" s="55" t="n"/>
      <c r="G1664" s="56" t="n"/>
      <c r="H1664" s="57" t="n"/>
      <c r="I1664" s="55" t="n"/>
      <c r="J1664" s="53" t="n"/>
      <c r="K1664" s="54" t="n"/>
      <c r="L1664" s="55" t="n"/>
      <c r="M1664" s="55" t="n"/>
      <c r="N1664" s="57" t="n"/>
      <c r="O1664" s="55" t="n"/>
      <c r="P1664" s="56" t="n"/>
      <c r="Q1664" s="55" t="n"/>
      <c r="R1664" s="55" t="n"/>
      <c r="S1664" s="55" t="n"/>
      <c r="T1664" s="55" t="n"/>
      <c r="U1664" s="55" t="n"/>
      <c r="V1664" s="55" t="n"/>
      <c r="W1664" s="58" t="n"/>
      <c r="X1664" s="58" t="n"/>
      <c r="Y1664" s="55" t="n"/>
      <c r="Z1664" s="55" t="n"/>
      <c r="AA1664" s="55" t="n"/>
      <c r="AB1664" s="55" t="n"/>
      <c r="AC1664" s="55" t="n"/>
      <c r="AD1664" s="53" t="n"/>
      <c r="AE1664" s="55" t="n"/>
      <c r="AF1664" s="55" t="n"/>
      <c r="AG1664" s="59" t="n"/>
      <c r="AH1664" s="57" t="n"/>
      <c r="AI1664" s="55" t="n"/>
      <c r="AJ1664" s="55" t="n"/>
      <c r="AK1664" s="55" t="n"/>
      <c r="AL1664" s="55" t="n"/>
      <c r="AM1664" s="56" t="n"/>
      <c r="AN1664" s="55" t="n"/>
      <c r="AO1664" s="55" t="n"/>
      <c r="AP1664" s="55" t="n"/>
      <c r="AQ1664" s="55" t="n"/>
      <c r="AR1664" s="60">
        <f>IF(AND(C1664="",E1664=""),"",IF(A1664="","⚠ Date manquante",IF(AND(C1664="",E1664&lt;&gt;"Dépense"),"⚠ Prospect manquant",IF(E1664="","⚠ Action manquante",IF(AND(AU1664=1,D1664=""),"⚠ Canal manquant",IF(AND(W1664&lt;&gt;"",COUNTIFS('Saisie'!$W$5:$W$2004,W1664,'Saisie'!$C$5:$C$2004,"&lt;&gt;"&amp;C1664)&gt;0),"⚠ Numéro déjà utilisé par un autre prospect",IF(AND(J1664&lt;&gt;"",J1664&lt;A1664),"⚠ Relance avant la date de l'action",IF(A1664&gt;TODAY(),"⚠ Date dans le futur","✓"))))))))</f>
        <v/>
      </c>
      <c r="AS1664" s="61">
        <f>IF(AND(A1664="",C1664="",E1664=""),"",ROW())</f>
        <v/>
      </c>
      <c r="AT1664" s="61">
        <f>IF(E1664&amp;F1664="","",MAX(IFERROR(INDEX('Paramètres'!$J$6:$J$33,MATCH(E1664,'Paramètres'!$I$6:$I$33,0)),0),IFERROR(INDEX('Paramètres'!$N$6:$N$17,MATCH(F1664,'Paramètres'!$M$6:$M$17,0)),0)))</f>
        <v/>
      </c>
      <c r="AU1664" s="61">
        <f>IF(E1664="","",IFERROR(IF(INDEX('Paramètres'!$K$6:$K$33,MATCH(E1664,'Paramètres'!$I$6:$I$33,0))="Oui",1,0),0))</f>
        <v/>
      </c>
      <c r="AV1664" s="61">
        <f>IF(F1664="","",IFERROR(IF(INDEX('Paramètres'!$O$6:$O$17,MATCH(F1664,'Paramètres'!$M$6:$M$17,0))="Oui",1,0),0))</f>
        <v/>
      </c>
      <c r="AW1664" s="62">
        <f>IF(E1664="","",IF(G1664&lt;&gt;"",G1664,IF(OR(E1664="Proposition envoyée",E1664="Signature"),MAX(0,N(IFERROR(INDEX('Paramètres'!$R$6:$R$15,MATCH(IF(AL1664&lt;&gt;"",AL1664,IFERROR(INDEX('Prospects'!$AN$5:$AN$504,MATCH(C1664,'Prospects'!$C$5:$C$504,0)),"")),'Paramètres'!$Q$6:$Q$15,0)),0))-N(P1664)),0)))</f>
        <v/>
      </c>
      <c r="AX1664" s="61">
        <f>IF(C1664="","",IF(COUNTIF($C$5:C1664,C1664)=1,MAX($AX$4:AX1663)+1,""))</f>
        <v/>
      </c>
      <c r="AY1664" s="61">
        <f>IF(B1664="","",HOUR(B1664))</f>
        <v/>
      </c>
      <c r="AZ1664" s="61">
        <f>IF(A1664="","",MOD(A1664-2,7)+1)</f>
        <v/>
      </c>
      <c r="BA1664" s="60">
        <f>IF(C1664="","",IFERROR(INDEX('Prospects'!$N$5:$N$504,MATCH(C1664,'Prospects'!$C$5:$C$504,0)),""))</f>
        <v/>
      </c>
      <c r="BB1664" s="61">
        <f>IF(AND(C1664&lt;&gt;"",C1664='Fiche prospect'!$C$4),COUNTIF($C$5:C1664,C1664),"")</f>
        <v/>
      </c>
    </row>
    <row r="1665">
      <c r="A1665" s="53" t="n"/>
      <c r="B1665" s="54" t="n"/>
      <c r="C1665" s="55" t="n"/>
      <c r="D1665" s="55" t="n"/>
      <c r="E1665" s="55" t="n"/>
      <c r="F1665" s="55" t="n"/>
      <c r="G1665" s="56" t="n"/>
      <c r="H1665" s="57" t="n"/>
      <c r="I1665" s="55" t="n"/>
      <c r="J1665" s="53" t="n"/>
      <c r="K1665" s="54" t="n"/>
      <c r="L1665" s="55" t="n"/>
      <c r="M1665" s="55" t="n"/>
      <c r="N1665" s="57" t="n"/>
      <c r="O1665" s="55" t="n"/>
      <c r="P1665" s="56" t="n"/>
      <c r="Q1665" s="55" t="n"/>
      <c r="R1665" s="55" t="n"/>
      <c r="S1665" s="55" t="n"/>
      <c r="T1665" s="55" t="n"/>
      <c r="U1665" s="55" t="n"/>
      <c r="V1665" s="55" t="n"/>
      <c r="W1665" s="58" t="n"/>
      <c r="X1665" s="58" t="n"/>
      <c r="Y1665" s="55" t="n"/>
      <c r="Z1665" s="55" t="n"/>
      <c r="AA1665" s="55" t="n"/>
      <c r="AB1665" s="55" t="n"/>
      <c r="AC1665" s="55" t="n"/>
      <c r="AD1665" s="53" t="n"/>
      <c r="AE1665" s="55" t="n"/>
      <c r="AF1665" s="55" t="n"/>
      <c r="AG1665" s="59" t="n"/>
      <c r="AH1665" s="57" t="n"/>
      <c r="AI1665" s="55" t="n"/>
      <c r="AJ1665" s="55" t="n"/>
      <c r="AK1665" s="55" t="n"/>
      <c r="AL1665" s="55" t="n"/>
      <c r="AM1665" s="56" t="n"/>
      <c r="AN1665" s="55" t="n"/>
      <c r="AO1665" s="55" t="n"/>
      <c r="AP1665" s="55" t="n"/>
      <c r="AQ1665" s="55" t="n"/>
      <c r="AR1665" s="60">
        <f>IF(AND(C1665="",E1665=""),"",IF(A1665="","⚠ Date manquante",IF(AND(C1665="",E1665&lt;&gt;"Dépense"),"⚠ Prospect manquant",IF(E1665="","⚠ Action manquante",IF(AND(AU1665=1,D1665=""),"⚠ Canal manquant",IF(AND(W1665&lt;&gt;"",COUNTIFS('Saisie'!$W$5:$W$2004,W1665,'Saisie'!$C$5:$C$2004,"&lt;&gt;"&amp;C1665)&gt;0),"⚠ Numéro déjà utilisé par un autre prospect",IF(AND(J1665&lt;&gt;"",J1665&lt;A1665),"⚠ Relance avant la date de l'action",IF(A1665&gt;TODAY(),"⚠ Date dans le futur","✓"))))))))</f>
        <v/>
      </c>
      <c r="AS1665" s="61">
        <f>IF(AND(A1665="",C1665="",E1665=""),"",ROW())</f>
        <v/>
      </c>
      <c r="AT1665" s="61">
        <f>IF(E1665&amp;F1665="","",MAX(IFERROR(INDEX('Paramètres'!$J$6:$J$33,MATCH(E1665,'Paramètres'!$I$6:$I$33,0)),0),IFERROR(INDEX('Paramètres'!$N$6:$N$17,MATCH(F1665,'Paramètres'!$M$6:$M$17,0)),0)))</f>
        <v/>
      </c>
      <c r="AU1665" s="61">
        <f>IF(E1665="","",IFERROR(IF(INDEX('Paramètres'!$K$6:$K$33,MATCH(E1665,'Paramètres'!$I$6:$I$33,0))="Oui",1,0),0))</f>
        <v/>
      </c>
      <c r="AV1665" s="61">
        <f>IF(F1665="","",IFERROR(IF(INDEX('Paramètres'!$O$6:$O$17,MATCH(F1665,'Paramètres'!$M$6:$M$17,0))="Oui",1,0),0))</f>
        <v/>
      </c>
      <c r="AW1665" s="62">
        <f>IF(E1665="","",IF(G1665&lt;&gt;"",G1665,IF(OR(E1665="Proposition envoyée",E1665="Signature"),MAX(0,N(IFERROR(INDEX('Paramètres'!$R$6:$R$15,MATCH(IF(AL1665&lt;&gt;"",AL1665,IFERROR(INDEX('Prospects'!$AN$5:$AN$504,MATCH(C1665,'Prospects'!$C$5:$C$504,0)),"")),'Paramètres'!$Q$6:$Q$15,0)),0))-N(P1665)),0)))</f>
        <v/>
      </c>
      <c r="AX1665" s="61">
        <f>IF(C1665="","",IF(COUNTIF($C$5:C1665,C1665)=1,MAX($AX$4:AX1664)+1,""))</f>
        <v/>
      </c>
      <c r="AY1665" s="61">
        <f>IF(B1665="","",HOUR(B1665))</f>
        <v/>
      </c>
      <c r="AZ1665" s="61">
        <f>IF(A1665="","",MOD(A1665-2,7)+1)</f>
        <v/>
      </c>
      <c r="BA1665" s="60">
        <f>IF(C1665="","",IFERROR(INDEX('Prospects'!$N$5:$N$504,MATCH(C1665,'Prospects'!$C$5:$C$504,0)),""))</f>
        <v/>
      </c>
      <c r="BB1665" s="61">
        <f>IF(AND(C1665&lt;&gt;"",C1665='Fiche prospect'!$C$4),COUNTIF($C$5:C1665,C1665),"")</f>
        <v/>
      </c>
    </row>
    <row r="1666">
      <c r="A1666" s="53" t="n"/>
      <c r="B1666" s="54" t="n"/>
      <c r="C1666" s="55" t="n"/>
      <c r="D1666" s="55" t="n"/>
      <c r="E1666" s="55" t="n"/>
      <c r="F1666" s="55" t="n"/>
      <c r="G1666" s="56" t="n"/>
      <c r="H1666" s="57" t="n"/>
      <c r="I1666" s="55" t="n"/>
      <c r="J1666" s="53" t="n"/>
      <c r="K1666" s="54" t="n"/>
      <c r="L1666" s="55" t="n"/>
      <c r="M1666" s="55" t="n"/>
      <c r="N1666" s="57" t="n"/>
      <c r="O1666" s="55" t="n"/>
      <c r="P1666" s="56" t="n"/>
      <c r="Q1666" s="55" t="n"/>
      <c r="R1666" s="55" t="n"/>
      <c r="S1666" s="55" t="n"/>
      <c r="T1666" s="55" t="n"/>
      <c r="U1666" s="55" t="n"/>
      <c r="V1666" s="55" t="n"/>
      <c r="W1666" s="58" t="n"/>
      <c r="X1666" s="58" t="n"/>
      <c r="Y1666" s="55" t="n"/>
      <c r="Z1666" s="55" t="n"/>
      <c r="AA1666" s="55" t="n"/>
      <c r="AB1666" s="55" t="n"/>
      <c r="AC1666" s="55" t="n"/>
      <c r="AD1666" s="53" t="n"/>
      <c r="AE1666" s="55" t="n"/>
      <c r="AF1666" s="55" t="n"/>
      <c r="AG1666" s="59" t="n"/>
      <c r="AH1666" s="57" t="n"/>
      <c r="AI1666" s="55" t="n"/>
      <c r="AJ1666" s="55" t="n"/>
      <c r="AK1666" s="55" t="n"/>
      <c r="AL1666" s="55" t="n"/>
      <c r="AM1666" s="56" t="n"/>
      <c r="AN1666" s="55" t="n"/>
      <c r="AO1666" s="55" t="n"/>
      <c r="AP1666" s="55" t="n"/>
      <c r="AQ1666" s="55" t="n"/>
      <c r="AR1666" s="60">
        <f>IF(AND(C1666="",E1666=""),"",IF(A1666="","⚠ Date manquante",IF(AND(C1666="",E1666&lt;&gt;"Dépense"),"⚠ Prospect manquant",IF(E1666="","⚠ Action manquante",IF(AND(AU1666=1,D1666=""),"⚠ Canal manquant",IF(AND(W1666&lt;&gt;"",COUNTIFS('Saisie'!$W$5:$W$2004,W1666,'Saisie'!$C$5:$C$2004,"&lt;&gt;"&amp;C1666)&gt;0),"⚠ Numéro déjà utilisé par un autre prospect",IF(AND(J1666&lt;&gt;"",J1666&lt;A1666),"⚠ Relance avant la date de l'action",IF(A1666&gt;TODAY(),"⚠ Date dans le futur","✓"))))))))</f>
        <v/>
      </c>
      <c r="AS1666" s="61">
        <f>IF(AND(A1666="",C1666="",E1666=""),"",ROW())</f>
        <v/>
      </c>
      <c r="AT1666" s="61">
        <f>IF(E1666&amp;F1666="","",MAX(IFERROR(INDEX('Paramètres'!$J$6:$J$33,MATCH(E1666,'Paramètres'!$I$6:$I$33,0)),0),IFERROR(INDEX('Paramètres'!$N$6:$N$17,MATCH(F1666,'Paramètres'!$M$6:$M$17,0)),0)))</f>
        <v/>
      </c>
      <c r="AU1666" s="61">
        <f>IF(E1666="","",IFERROR(IF(INDEX('Paramètres'!$K$6:$K$33,MATCH(E1666,'Paramètres'!$I$6:$I$33,0))="Oui",1,0),0))</f>
        <v/>
      </c>
      <c r="AV1666" s="61">
        <f>IF(F1666="","",IFERROR(IF(INDEX('Paramètres'!$O$6:$O$17,MATCH(F1666,'Paramètres'!$M$6:$M$17,0))="Oui",1,0),0))</f>
        <v/>
      </c>
      <c r="AW1666" s="62">
        <f>IF(E1666="","",IF(G1666&lt;&gt;"",G1666,IF(OR(E1666="Proposition envoyée",E1666="Signature"),MAX(0,N(IFERROR(INDEX('Paramètres'!$R$6:$R$15,MATCH(IF(AL1666&lt;&gt;"",AL1666,IFERROR(INDEX('Prospects'!$AN$5:$AN$504,MATCH(C1666,'Prospects'!$C$5:$C$504,0)),"")),'Paramètres'!$Q$6:$Q$15,0)),0))-N(P1666)),0)))</f>
        <v/>
      </c>
      <c r="AX1666" s="61">
        <f>IF(C1666="","",IF(COUNTIF($C$5:C1666,C1666)=1,MAX($AX$4:AX1665)+1,""))</f>
        <v/>
      </c>
      <c r="AY1666" s="61">
        <f>IF(B1666="","",HOUR(B1666))</f>
        <v/>
      </c>
      <c r="AZ1666" s="61">
        <f>IF(A1666="","",MOD(A1666-2,7)+1)</f>
        <v/>
      </c>
      <c r="BA1666" s="60">
        <f>IF(C1666="","",IFERROR(INDEX('Prospects'!$N$5:$N$504,MATCH(C1666,'Prospects'!$C$5:$C$504,0)),""))</f>
        <v/>
      </c>
      <c r="BB1666" s="61">
        <f>IF(AND(C1666&lt;&gt;"",C1666='Fiche prospect'!$C$4),COUNTIF($C$5:C1666,C1666),"")</f>
        <v/>
      </c>
    </row>
    <row r="1667">
      <c r="A1667" s="53" t="n"/>
      <c r="B1667" s="54" t="n"/>
      <c r="C1667" s="55" t="n"/>
      <c r="D1667" s="55" t="n"/>
      <c r="E1667" s="55" t="n"/>
      <c r="F1667" s="55" t="n"/>
      <c r="G1667" s="56" t="n"/>
      <c r="H1667" s="57" t="n"/>
      <c r="I1667" s="55" t="n"/>
      <c r="J1667" s="53" t="n"/>
      <c r="K1667" s="54" t="n"/>
      <c r="L1667" s="55" t="n"/>
      <c r="M1667" s="55" t="n"/>
      <c r="N1667" s="57" t="n"/>
      <c r="O1667" s="55" t="n"/>
      <c r="P1667" s="56" t="n"/>
      <c r="Q1667" s="55" t="n"/>
      <c r="R1667" s="55" t="n"/>
      <c r="S1667" s="55" t="n"/>
      <c r="T1667" s="55" t="n"/>
      <c r="U1667" s="55" t="n"/>
      <c r="V1667" s="55" t="n"/>
      <c r="W1667" s="58" t="n"/>
      <c r="X1667" s="58" t="n"/>
      <c r="Y1667" s="55" t="n"/>
      <c r="Z1667" s="55" t="n"/>
      <c r="AA1667" s="55" t="n"/>
      <c r="AB1667" s="55" t="n"/>
      <c r="AC1667" s="55" t="n"/>
      <c r="AD1667" s="53" t="n"/>
      <c r="AE1667" s="55" t="n"/>
      <c r="AF1667" s="55" t="n"/>
      <c r="AG1667" s="59" t="n"/>
      <c r="AH1667" s="57" t="n"/>
      <c r="AI1667" s="55" t="n"/>
      <c r="AJ1667" s="55" t="n"/>
      <c r="AK1667" s="55" t="n"/>
      <c r="AL1667" s="55" t="n"/>
      <c r="AM1667" s="56" t="n"/>
      <c r="AN1667" s="55" t="n"/>
      <c r="AO1667" s="55" t="n"/>
      <c r="AP1667" s="55" t="n"/>
      <c r="AQ1667" s="55" t="n"/>
      <c r="AR1667" s="60">
        <f>IF(AND(C1667="",E1667=""),"",IF(A1667="","⚠ Date manquante",IF(AND(C1667="",E1667&lt;&gt;"Dépense"),"⚠ Prospect manquant",IF(E1667="","⚠ Action manquante",IF(AND(AU1667=1,D1667=""),"⚠ Canal manquant",IF(AND(W1667&lt;&gt;"",COUNTIFS('Saisie'!$W$5:$W$2004,W1667,'Saisie'!$C$5:$C$2004,"&lt;&gt;"&amp;C1667)&gt;0),"⚠ Numéro déjà utilisé par un autre prospect",IF(AND(J1667&lt;&gt;"",J1667&lt;A1667),"⚠ Relance avant la date de l'action",IF(A1667&gt;TODAY(),"⚠ Date dans le futur","✓"))))))))</f>
        <v/>
      </c>
      <c r="AS1667" s="61">
        <f>IF(AND(A1667="",C1667="",E1667=""),"",ROW())</f>
        <v/>
      </c>
      <c r="AT1667" s="61">
        <f>IF(E1667&amp;F1667="","",MAX(IFERROR(INDEX('Paramètres'!$J$6:$J$33,MATCH(E1667,'Paramètres'!$I$6:$I$33,0)),0),IFERROR(INDEX('Paramètres'!$N$6:$N$17,MATCH(F1667,'Paramètres'!$M$6:$M$17,0)),0)))</f>
        <v/>
      </c>
      <c r="AU1667" s="61">
        <f>IF(E1667="","",IFERROR(IF(INDEX('Paramètres'!$K$6:$K$33,MATCH(E1667,'Paramètres'!$I$6:$I$33,0))="Oui",1,0),0))</f>
        <v/>
      </c>
      <c r="AV1667" s="61">
        <f>IF(F1667="","",IFERROR(IF(INDEX('Paramètres'!$O$6:$O$17,MATCH(F1667,'Paramètres'!$M$6:$M$17,0))="Oui",1,0),0))</f>
        <v/>
      </c>
      <c r="AW1667" s="62">
        <f>IF(E1667="","",IF(G1667&lt;&gt;"",G1667,IF(OR(E1667="Proposition envoyée",E1667="Signature"),MAX(0,N(IFERROR(INDEX('Paramètres'!$R$6:$R$15,MATCH(IF(AL1667&lt;&gt;"",AL1667,IFERROR(INDEX('Prospects'!$AN$5:$AN$504,MATCH(C1667,'Prospects'!$C$5:$C$504,0)),"")),'Paramètres'!$Q$6:$Q$15,0)),0))-N(P1667)),0)))</f>
        <v/>
      </c>
      <c r="AX1667" s="61">
        <f>IF(C1667="","",IF(COUNTIF($C$5:C1667,C1667)=1,MAX($AX$4:AX1666)+1,""))</f>
        <v/>
      </c>
      <c r="AY1667" s="61">
        <f>IF(B1667="","",HOUR(B1667))</f>
        <v/>
      </c>
      <c r="AZ1667" s="61">
        <f>IF(A1667="","",MOD(A1667-2,7)+1)</f>
        <v/>
      </c>
      <c r="BA1667" s="60">
        <f>IF(C1667="","",IFERROR(INDEX('Prospects'!$N$5:$N$504,MATCH(C1667,'Prospects'!$C$5:$C$504,0)),""))</f>
        <v/>
      </c>
      <c r="BB1667" s="61">
        <f>IF(AND(C1667&lt;&gt;"",C1667='Fiche prospect'!$C$4),COUNTIF($C$5:C1667,C1667),"")</f>
        <v/>
      </c>
    </row>
    <row r="1668">
      <c r="A1668" s="53" t="n"/>
      <c r="B1668" s="54" t="n"/>
      <c r="C1668" s="55" t="n"/>
      <c r="D1668" s="55" t="n"/>
      <c r="E1668" s="55" t="n"/>
      <c r="F1668" s="55" t="n"/>
      <c r="G1668" s="56" t="n"/>
      <c r="H1668" s="57" t="n"/>
      <c r="I1668" s="55" t="n"/>
      <c r="J1668" s="53" t="n"/>
      <c r="K1668" s="54" t="n"/>
      <c r="L1668" s="55" t="n"/>
      <c r="M1668" s="55" t="n"/>
      <c r="N1668" s="57" t="n"/>
      <c r="O1668" s="55" t="n"/>
      <c r="P1668" s="56" t="n"/>
      <c r="Q1668" s="55" t="n"/>
      <c r="R1668" s="55" t="n"/>
      <c r="S1668" s="55" t="n"/>
      <c r="T1668" s="55" t="n"/>
      <c r="U1668" s="55" t="n"/>
      <c r="V1668" s="55" t="n"/>
      <c r="W1668" s="58" t="n"/>
      <c r="X1668" s="58" t="n"/>
      <c r="Y1668" s="55" t="n"/>
      <c r="Z1668" s="55" t="n"/>
      <c r="AA1668" s="55" t="n"/>
      <c r="AB1668" s="55" t="n"/>
      <c r="AC1668" s="55" t="n"/>
      <c r="AD1668" s="53" t="n"/>
      <c r="AE1668" s="55" t="n"/>
      <c r="AF1668" s="55" t="n"/>
      <c r="AG1668" s="59" t="n"/>
      <c r="AH1668" s="57" t="n"/>
      <c r="AI1668" s="55" t="n"/>
      <c r="AJ1668" s="55" t="n"/>
      <c r="AK1668" s="55" t="n"/>
      <c r="AL1668" s="55" t="n"/>
      <c r="AM1668" s="56" t="n"/>
      <c r="AN1668" s="55" t="n"/>
      <c r="AO1668" s="55" t="n"/>
      <c r="AP1668" s="55" t="n"/>
      <c r="AQ1668" s="55" t="n"/>
      <c r="AR1668" s="60">
        <f>IF(AND(C1668="",E1668=""),"",IF(A1668="","⚠ Date manquante",IF(AND(C1668="",E1668&lt;&gt;"Dépense"),"⚠ Prospect manquant",IF(E1668="","⚠ Action manquante",IF(AND(AU1668=1,D1668=""),"⚠ Canal manquant",IF(AND(W1668&lt;&gt;"",COUNTIFS('Saisie'!$W$5:$W$2004,W1668,'Saisie'!$C$5:$C$2004,"&lt;&gt;"&amp;C1668)&gt;0),"⚠ Numéro déjà utilisé par un autre prospect",IF(AND(J1668&lt;&gt;"",J1668&lt;A1668),"⚠ Relance avant la date de l'action",IF(A1668&gt;TODAY(),"⚠ Date dans le futur","✓"))))))))</f>
        <v/>
      </c>
      <c r="AS1668" s="61">
        <f>IF(AND(A1668="",C1668="",E1668=""),"",ROW())</f>
        <v/>
      </c>
      <c r="AT1668" s="61">
        <f>IF(E1668&amp;F1668="","",MAX(IFERROR(INDEX('Paramètres'!$J$6:$J$33,MATCH(E1668,'Paramètres'!$I$6:$I$33,0)),0),IFERROR(INDEX('Paramètres'!$N$6:$N$17,MATCH(F1668,'Paramètres'!$M$6:$M$17,0)),0)))</f>
        <v/>
      </c>
      <c r="AU1668" s="61">
        <f>IF(E1668="","",IFERROR(IF(INDEX('Paramètres'!$K$6:$K$33,MATCH(E1668,'Paramètres'!$I$6:$I$33,0))="Oui",1,0),0))</f>
        <v/>
      </c>
      <c r="AV1668" s="61">
        <f>IF(F1668="","",IFERROR(IF(INDEX('Paramètres'!$O$6:$O$17,MATCH(F1668,'Paramètres'!$M$6:$M$17,0))="Oui",1,0),0))</f>
        <v/>
      </c>
      <c r="AW1668" s="62">
        <f>IF(E1668="","",IF(G1668&lt;&gt;"",G1668,IF(OR(E1668="Proposition envoyée",E1668="Signature"),MAX(0,N(IFERROR(INDEX('Paramètres'!$R$6:$R$15,MATCH(IF(AL1668&lt;&gt;"",AL1668,IFERROR(INDEX('Prospects'!$AN$5:$AN$504,MATCH(C1668,'Prospects'!$C$5:$C$504,0)),"")),'Paramètres'!$Q$6:$Q$15,0)),0))-N(P1668)),0)))</f>
        <v/>
      </c>
      <c r="AX1668" s="61">
        <f>IF(C1668="","",IF(COUNTIF($C$5:C1668,C1668)=1,MAX($AX$4:AX1667)+1,""))</f>
        <v/>
      </c>
      <c r="AY1668" s="61">
        <f>IF(B1668="","",HOUR(B1668))</f>
        <v/>
      </c>
      <c r="AZ1668" s="61">
        <f>IF(A1668="","",MOD(A1668-2,7)+1)</f>
        <v/>
      </c>
      <c r="BA1668" s="60">
        <f>IF(C1668="","",IFERROR(INDEX('Prospects'!$N$5:$N$504,MATCH(C1668,'Prospects'!$C$5:$C$504,0)),""))</f>
        <v/>
      </c>
      <c r="BB1668" s="61">
        <f>IF(AND(C1668&lt;&gt;"",C1668='Fiche prospect'!$C$4),COUNTIF($C$5:C1668,C1668),"")</f>
        <v/>
      </c>
    </row>
    <row r="1669">
      <c r="A1669" s="53" t="n"/>
      <c r="B1669" s="54" t="n"/>
      <c r="C1669" s="55" t="n"/>
      <c r="D1669" s="55" t="n"/>
      <c r="E1669" s="55" t="n"/>
      <c r="F1669" s="55" t="n"/>
      <c r="G1669" s="56" t="n"/>
      <c r="H1669" s="57" t="n"/>
      <c r="I1669" s="55" t="n"/>
      <c r="J1669" s="53" t="n"/>
      <c r="K1669" s="54" t="n"/>
      <c r="L1669" s="55" t="n"/>
      <c r="M1669" s="55" t="n"/>
      <c r="N1669" s="57" t="n"/>
      <c r="O1669" s="55" t="n"/>
      <c r="P1669" s="56" t="n"/>
      <c r="Q1669" s="55" t="n"/>
      <c r="R1669" s="55" t="n"/>
      <c r="S1669" s="55" t="n"/>
      <c r="T1669" s="55" t="n"/>
      <c r="U1669" s="55" t="n"/>
      <c r="V1669" s="55" t="n"/>
      <c r="W1669" s="58" t="n"/>
      <c r="X1669" s="58" t="n"/>
      <c r="Y1669" s="55" t="n"/>
      <c r="Z1669" s="55" t="n"/>
      <c r="AA1669" s="55" t="n"/>
      <c r="AB1669" s="55" t="n"/>
      <c r="AC1669" s="55" t="n"/>
      <c r="AD1669" s="53" t="n"/>
      <c r="AE1669" s="55" t="n"/>
      <c r="AF1669" s="55" t="n"/>
      <c r="AG1669" s="59" t="n"/>
      <c r="AH1669" s="57" t="n"/>
      <c r="AI1669" s="55" t="n"/>
      <c r="AJ1669" s="55" t="n"/>
      <c r="AK1669" s="55" t="n"/>
      <c r="AL1669" s="55" t="n"/>
      <c r="AM1669" s="56" t="n"/>
      <c r="AN1669" s="55" t="n"/>
      <c r="AO1669" s="55" t="n"/>
      <c r="AP1669" s="55" t="n"/>
      <c r="AQ1669" s="55" t="n"/>
      <c r="AR1669" s="60">
        <f>IF(AND(C1669="",E1669=""),"",IF(A1669="","⚠ Date manquante",IF(AND(C1669="",E1669&lt;&gt;"Dépense"),"⚠ Prospect manquant",IF(E1669="","⚠ Action manquante",IF(AND(AU1669=1,D1669=""),"⚠ Canal manquant",IF(AND(W1669&lt;&gt;"",COUNTIFS('Saisie'!$W$5:$W$2004,W1669,'Saisie'!$C$5:$C$2004,"&lt;&gt;"&amp;C1669)&gt;0),"⚠ Numéro déjà utilisé par un autre prospect",IF(AND(J1669&lt;&gt;"",J1669&lt;A1669),"⚠ Relance avant la date de l'action",IF(A1669&gt;TODAY(),"⚠ Date dans le futur","✓"))))))))</f>
        <v/>
      </c>
      <c r="AS1669" s="61">
        <f>IF(AND(A1669="",C1669="",E1669=""),"",ROW())</f>
        <v/>
      </c>
      <c r="AT1669" s="61">
        <f>IF(E1669&amp;F1669="","",MAX(IFERROR(INDEX('Paramètres'!$J$6:$J$33,MATCH(E1669,'Paramètres'!$I$6:$I$33,0)),0),IFERROR(INDEX('Paramètres'!$N$6:$N$17,MATCH(F1669,'Paramètres'!$M$6:$M$17,0)),0)))</f>
        <v/>
      </c>
      <c r="AU1669" s="61">
        <f>IF(E1669="","",IFERROR(IF(INDEX('Paramètres'!$K$6:$K$33,MATCH(E1669,'Paramètres'!$I$6:$I$33,0))="Oui",1,0),0))</f>
        <v/>
      </c>
      <c r="AV1669" s="61">
        <f>IF(F1669="","",IFERROR(IF(INDEX('Paramètres'!$O$6:$O$17,MATCH(F1669,'Paramètres'!$M$6:$M$17,0))="Oui",1,0),0))</f>
        <v/>
      </c>
      <c r="AW1669" s="62">
        <f>IF(E1669="","",IF(G1669&lt;&gt;"",G1669,IF(OR(E1669="Proposition envoyée",E1669="Signature"),MAX(0,N(IFERROR(INDEX('Paramètres'!$R$6:$R$15,MATCH(IF(AL1669&lt;&gt;"",AL1669,IFERROR(INDEX('Prospects'!$AN$5:$AN$504,MATCH(C1669,'Prospects'!$C$5:$C$504,0)),"")),'Paramètres'!$Q$6:$Q$15,0)),0))-N(P1669)),0)))</f>
        <v/>
      </c>
      <c r="AX1669" s="61">
        <f>IF(C1669="","",IF(COUNTIF($C$5:C1669,C1669)=1,MAX($AX$4:AX1668)+1,""))</f>
        <v/>
      </c>
      <c r="AY1669" s="61">
        <f>IF(B1669="","",HOUR(B1669))</f>
        <v/>
      </c>
      <c r="AZ1669" s="61">
        <f>IF(A1669="","",MOD(A1669-2,7)+1)</f>
        <v/>
      </c>
      <c r="BA1669" s="60">
        <f>IF(C1669="","",IFERROR(INDEX('Prospects'!$N$5:$N$504,MATCH(C1669,'Prospects'!$C$5:$C$504,0)),""))</f>
        <v/>
      </c>
      <c r="BB1669" s="61">
        <f>IF(AND(C1669&lt;&gt;"",C1669='Fiche prospect'!$C$4),COUNTIF($C$5:C1669,C1669),"")</f>
        <v/>
      </c>
    </row>
    <row r="1670">
      <c r="A1670" s="53" t="n"/>
      <c r="B1670" s="54" t="n"/>
      <c r="C1670" s="55" t="n"/>
      <c r="D1670" s="55" t="n"/>
      <c r="E1670" s="55" t="n"/>
      <c r="F1670" s="55" t="n"/>
      <c r="G1670" s="56" t="n"/>
      <c r="H1670" s="57" t="n"/>
      <c r="I1670" s="55" t="n"/>
      <c r="J1670" s="53" t="n"/>
      <c r="K1670" s="54" t="n"/>
      <c r="L1670" s="55" t="n"/>
      <c r="M1670" s="55" t="n"/>
      <c r="N1670" s="57" t="n"/>
      <c r="O1670" s="55" t="n"/>
      <c r="P1670" s="56" t="n"/>
      <c r="Q1670" s="55" t="n"/>
      <c r="R1670" s="55" t="n"/>
      <c r="S1670" s="55" t="n"/>
      <c r="T1670" s="55" t="n"/>
      <c r="U1670" s="55" t="n"/>
      <c r="V1670" s="55" t="n"/>
      <c r="W1670" s="58" t="n"/>
      <c r="X1670" s="58" t="n"/>
      <c r="Y1670" s="55" t="n"/>
      <c r="Z1670" s="55" t="n"/>
      <c r="AA1670" s="55" t="n"/>
      <c r="AB1670" s="55" t="n"/>
      <c r="AC1670" s="55" t="n"/>
      <c r="AD1670" s="53" t="n"/>
      <c r="AE1670" s="55" t="n"/>
      <c r="AF1670" s="55" t="n"/>
      <c r="AG1670" s="59" t="n"/>
      <c r="AH1670" s="57" t="n"/>
      <c r="AI1670" s="55" t="n"/>
      <c r="AJ1670" s="55" t="n"/>
      <c r="AK1670" s="55" t="n"/>
      <c r="AL1670" s="55" t="n"/>
      <c r="AM1670" s="56" t="n"/>
      <c r="AN1670" s="55" t="n"/>
      <c r="AO1670" s="55" t="n"/>
      <c r="AP1670" s="55" t="n"/>
      <c r="AQ1670" s="55" t="n"/>
      <c r="AR1670" s="60">
        <f>IF(AND(C1670="",E1670=""),"",IF(A1670="","⚠ Date manquante",IF(AND(C1670="",E1670&lt;&gt;"Dépense"),"⚠ Prospect manquant",IF(E1670="","⚠ Action manquante",IF(AND(AU1670=1,D1670=""),"⚠ Canal manquant",IF(AND(W1670&lt;&gt;"",COUNTIFS('Saisie'!$W$5:$W$2004,W1670,'Saisie'!$C$5:$C$2004,"&lt;&gt;"&amp;C1670)&gt;0),"⚠ Numéro déjà utilisé par un autre prospect",IF(AND(J1670&lt;&gt;"",J1670&lt;A1670),"⚠ Relance avant la date de l'action",IF(A1670&gt;TODAY(),"⚠ Date dans le futur","✓"))))))))</f>
        <v/>
      </c>
      <c r="AS1670" s="61">
        <f>IF(AND(A1670="",C1670="",E1670=""),"",ROW())</f>
        <v/>
      </c>
      <c r="AT1670" s="61">
        <f>IF(E1670&amp;F1670="","",MAX(IFERROR(INDEX('Paramètres'!$J$6:$J$33,MATCH(E1670,'Paramètres'!$I$6:$I$33,0)),0),IFERROR(INDEX('Paramètres'!$N$6:$N$17,MATCH(F1670,'Paramètres'!$M$6:$M$17,0)),0)))</f>
        <v/>
      </c>
      <c r="AU1670" s="61">
        <f>IF(E1670="","",IFERROR(IF(INDEX('Paramètres'!$K$6:$K$33,MATCH(E1670,'Paramètres'!$I$6:$I$33,0))="Oui",1,0),0))</f>
        <v/>
      </c>
      <c r="AV1670" s="61">
        <f>IF(F1670="","",IFERROR(IF(INDEX('Paramètres'!$O$6:$O$17,MATCH(F1670,'Paramètres'!$M$6:$M$17,0))="Oui",1,0),0))</f>
        <v/>
      </c>
      <c r="AW1670" s="62">
        <f>IF(E1670="","",IF(G1670&lt;&gt;"",G1670,IF(OR(E1670="Proposition envoyée",E1670="Signature"),MAX(0,N(IFERROR(INDEX('Paramètres'!$R$6:$R$15,MATCH(IF(AL1670&lt;&gt;"",AL1670,IFERROR(INDEX('Prospects'!$AN$5:$AN$504,MATCH(C1670,'Prospects'!$C$5:$C$504,0)),"")),'Paramètres'!$Q$6:$Q$15,0)),0))-N(P1670)),0)))</f>
        <v/>
      </c>
      <c r="AX1670" s="61">
        <f>IF(C1670="","",IF(COUNTIF($C$5:C1670,C1670)=1,MAX($AX$4:AX1669)+1,""))</f>
        <v/>
      </c>
      <c r="AY1670" s="61">
        <f>IF(B1670="","",HOUR(B1670))</f>
        <v/>
      </c>
      <c r="AZ1670" s="61">
        <f>IF(A1670="","",MOD(A1670-2,7)+1)</f>
        <v/>
      </c>
      <c r="BA1670" s="60">
        <f>IF(C1670="","",IFERROR(INDEX('Prospects'!$N$5:$N$504,MATCH(C1670,'Prospects'!$C$5:$C$504,0)),""))</f>
        <v/>
      </c>
      <c r="BB1670" s="61">
        <f>IF(AND(C1670&lt;&gt;"",C1670='Fiche prospect'!$C$4),COUNTIF($C$5:C1670,C1670),"")</f>
        <v/>
      </c>
    </row>
    <row r="1671">
      <c r="A1671" s="53" t="n"/>
      <c r="B1671" s="54" t="n"/>
      <c r="C1671" s="55" t="n"/>
      <c r="D1671" s="55" t="n"/>
      <c r="E1671" s="55" t="n"/>
      <c r="F1671" s="55" t="n"/>
      <c r="G1671" s="56" t="n"/>
      <c r="H1671" s="57" t="n"/>
      <c r="I1671" s="55" t="n"/>
      <c r="J1671" s="53" t="n"/>
      <c r="K1671" s="54" t="n"/>
      <c r="L1671" s="55" t="n"/>
      <c r="M1671" s="55" t="n"/>
      <c r="N1671" s="57" t="n"/>
      <c r="O1671" s="55" t="n"/>
      <c r="P1671" s="56" t="n"/>
      <c r="Q1671" s="55" t="n"/>
      <c r="R1671" s="55" t="n"/>
      <c r="S1671" s="55" t="n"/>
      <c r="T1671" s="55" t="n"/>
      <c r="U1671" s="55" t="n"/>
      <c r="V1671" s="55" t="n"/>
      <c r="W1671" s="58" t="n"/>
      <c r="X1671" s="58" t="n"/>
      <c r="Y1671" s="55" t="n"/>
      <c r="Z1671" s="55" t="n"/>
      <c r="AA1671" s="55" t="n"/>
      <c r="AB1671" s="55" t="n"/>
      <c r="AC1671" s="55" t="n"/>
      <c r="AD1671" s="53" t="n"/>
      <c r="AE1671" s="55" t="n"/>
      <c r="AF1671" s="55" t="n"/>
      <c r="AG1671" s="59" t="n"/>
      <c r="AH1671" s="57" t="n"/>
      <c r="AI1671" s="55" t="n"/>
      <c r="AJ1671" s="55" t="n"/>
      <c r="AK1671" s="55" t="n"/>
      <c r="AL1671" s="55" t="n"/>
      <c r="AM1671" s="56" t="n"/>
      <c r="AN1671" s="55" t="n"/>
      <c r="AO1671" s="55" t="n"/>
      <c r="AP1671" s="55" t="n"/>
      <c r="AQ1671" s="55" t="n"/>
      <c r="AR1671" s="60">
        <f>IF(AND(C1671="",E1671=""),"",IF(A1671="","⚠ Date manquante",IF(AND(C1671="",E1671&lt;&gt;"Dépense"),"⚠ Prospect manquant",IF(E1671="","⚠ Action manquante",IF(AND(AU1671=1,D1671=""),"⚠ Canal manquant",IF(AND(W1671&lt;&gt;"",COUNTIFS('Saisie'!$W$5:$W$2004,W1671,'Saisie'!$C$5:$C$2004,"&lt;&gt;"&amp;C1671)&gt;0),"⚠ Numéro déjà utilisé par un autre prospect",IF(AND(J1671&lt;&gt;"",J1671&lt;A1671),"⚠ Relance avant la date de l'action",IF(A1671&gt;TODAY(),"⚠ Date dans le futur","✓"))))))))</f>
        <v/>
      </c>
      <c r="AS1671" s="61">
        <f>IF(AND(A1671="",C1671="",E1671=""),"",ROW())</f>
        <v/>
      </c>
      <c r="AT1671" s="61">
        <f>IF(E1671&amp;F1671="","",MAX(IFERROR(INDEX('Paramètres'!$J$6:$J$33,MATCH(E1671,'Paramètres'!$I$6:$I$33,0)),0),IFERROR(INDEX('Paramètres'!$N$6:$N$17,MATCH(F1671,'Paramètres'!$M$6:$M$17,0)),0)))</f>
        <v/>
      </c>
      <c r="AU1671" s="61">
        <f>IF(E1671="","",IFERROR(IF(INDEX('Paramètres'!$K$6:$K$33,MATCH(E1671,'Paramètres'!$I$6:$I$33,0))="Oui",1,0),0))</f>
        <v/>
      </c>
      <c r="AV1671" s="61">
        <f>IF(F1671="","",IFERROR(IF(INDEX('Paramètres'!$O$6:$O$17,MATCH(F1671,'Paramètres'!$M$6:$M$17,0))="Oui",1,0),0))</f>
        <v/>
      </c>
      <c r="AW1671" s="62">
        <f>IF(E1671="","",IF(G1671&lt;&gt;"",G1671,IF(OR(E1671="Proposition envoyée",E1671="Signature"),MAX(0,N(IFERROR(INDEX('Paramètres'!$R$6:$R$15,MATCH(IF(AL1671&lt;&gt;"",AL1671,IFERROR(INDEX('Prospects'!$AN$5:$AN$504,MATCH(C1671,'Prospects'!$C$5:$C$504,0)),"")),'Paramètres'!$Q$6:$Q$15,0)),0))-N(P1671)),0)))</f>
        <v/>
      </c>
      <c r="AX1671" s="61">
        <f>IF(C1671="","",IF(COUNTIF($C$5:C1671,C1671)=1,MAX($AX$4:AX1670)+1,""))</f>
        <v/>
      </c>
      <c r="AY1671" s="61">
        <f>IF(B1671="","",HOUR(B1671))</f>
        <v/>
      </c>
      <c r="AZ1671" s="61">
        <f>IF(A1671="","",MOD(A1671-2,7)+1)</f>
        <v/>
      </c>
      <c r="BA1671" s="60">
        <f>IF(C1671="","",IFERROR(INDEX('Prospects'!$N$5:$N$504,MATCH(C1671,'Prospects'!$C$5:$C$504,0)),""))</f>
        <v/>
      </c>
      <c r="BB1671" s="61">
        <f>IF(AND(C1671&lt;&gt;"",C1671='Fiche prospect'!$C$4),COUNTIF($C$5:C1671,C1671),"")</f>
        <v/>
      </c>
    </row>
    <row r="1672">
      <c r="A1672" s="53" t="n"/>
      <c r="B1672" s="54" t="n"/>
      <c r="C1672" s="55" t="n"/>
      <c r="D1672" s="55" t="n"/>
      <c r="E1672" s="55" t="n"/>
      <c r="F1672" s="55" t="n"/>
      <c r="G1672" s="56" t="n"/>
      <c r="H1672" s="57" t="n"/>
      <c r="I1672" s="55" t="n"/>
      <c r="J1672" s="53" t="n"/>
      <c r="K1672" s="54" t="n"/>
      <c r="L1672" s="55" t="n"/>
      <c r="M1672" s="55" t="n"/>
      <c r="N1672" s="57" t="n"/>
      <c r="O1672" s="55" t="n"/>
      <c r="P1672" s="56" t="n"/>
      <c r="Q1672" s="55" t="n"/>
      <c r="R1672" s="55" t="n"/>
      <c r="S1672" s="55" t="n"/>
      <c r="T1672" s="55" t="n"/>
      <c r="U1672" s="55" t="n"/>
      <c r="V1672" s="55" t="n"/>
      <c r="W1672" s="58" t="n"/>
      <c r="X1672" s="58" t="n"/>
      <c r="Y1672" s="55" t="n"/>
      <c r="Z1672" s="55" t="n"/>
      <c r="AA1672" s="55" t="n"/>
      <c r="AB1672" s="55" t="n"/>
      <c r="AC1672" s="55" t="n"/>
      <c r="AD1672" s="53" t="n"/>
      <c r="AE1672" s="55" t="n"/>
      <c r="AF1672" s="55" t="n"/>
      <c r="AG1672" s="59" t="n"/>
      <c r="AH1672" s="57" t="n"/>
      <c r="AI1672" s="55" t="n"/>
      <c r="AJ1672" s="55" t="n"/>
      <c r="AK1672" s="55" t="n"/>
      <c r="AL1672" s="55" t="n"/>
      <c r="AM1672" s="56" t="n"/>
      <c r="AN1672" s="55" t="n"/>
      <c r="AO1672" s="55" t="n"/>
      <c r="AP1672" s="55" t="n"/>
      <c r="AQ1672" s="55" t="n"/>
      <c r="AR1672" s="60">
        <f>IF(AND(C1672="",E1672=""),"",IF(A1672="","⚠ Date manquante",IF(AND(C1672="",E1672&lt;&gt;"Dépense"),"⚠ Prospect manquant",IF(E1672="","⚠ Action manquante",IF(AND(AU1672=1,D1672=""),"⚠ Canal manquant",IF(AND(W1672&lt;&gt;"",COUNTIFS('Saisie'!$W$5:$W$2004,W1672,'Saisie'!$C$5:$C$2004,"&lt;&gt;"&amp;C1672)&gt;0),"⚠ Numéro déjà utilisé par un autre prospect",IF(AND(J1672&lt;&gt;"",J1672&lt;A1672),"⚠ Relance avant la date de l'action",IF(A1672&gt;TODAY(),"⚠ Date dans le futur","✓"))))))))</f>
        <v/>
      </c>
      <c r="AS1672" s="61">
        <f>IF(AND(A1672="",C1672="",E1672=""),"",ROW())</f>
        <v/>
      </c>
      <c r="AT1672" s="61">
        <f>IF(E1672&amp;F1672="","",MAX(IFERROR(INDEX('Paramètres'!$J$6:$J$33,MATCH(E1672,'Paramètres'!$I$6:$I$33,0)),0),IFERROR(INDEX('Paramètres'!$N$6:$N$17,MATCH(F1672,'Paramètres'!$M$6:$M$17,0)),0)))</f>
        <v/>
      </c>
      <c r="AU1672" s="61">
        <f>IF(E1672="","",IFERROR(IF(INDEX('Paramètres'!$K$6:$K$33,MATCH(E1672,'Paramètres'!$I$6:$I$33,0))="Oui",1,0),0))</f>
        <v/>
      </c>
      <c r="AV1672" s="61">
        <f>IF(F1672="","",IFERROR(IF(INDEX('Paramètres'!$O$6:$O$17,MATCH(F1672,'Paramètres'!$M$6:$M$17,0))="Oui",1,0),0))</f>
        <v/>
      </c>
      <c r="AW1672" s="62">
        <f>IF(E1672="","",IF(G1672&lt;&gt;"",G1672,IF(OR(E1672="Proposition envoyée",E1672="Signature"),MAX(0,N(IFERROR(INDEX('Paramètres'!$R$6:$R$15,MATCH(IF(AL1672&lt;&gt;"",AL1672,IFERROR(INDEX('Prospects'!$AN$5:$AN$504,MATCH(C1672,'Prospects'!$C$5:$C$504,0)),"")),'Paramètres'!$Q$6:$Q$15,0)),0))-N(P1672)),0)))</f>
        <v/>
      </c>
      <c r="AX1672" s="61">
        <f>IF(C1672="","",IF(COUNTIF($C$5:C1672,C1672)=1,MAX($AX$4:AX1671)+1,""))</f>
        <v/>
      </c>
      <c r="AY1672" s="61">
        <f>IF(B1672="","",HOUR(B1672))</f>
        <v/>
      </c>
      <c r="AZ1672" s="61">
        <f>IF(A1672="","",MOD(A1672-2,7)+1)</f>
        <v/>
      </c>
      <c r="BA1672" s="60">
        <f>IF(C1672="","",IFERROR(INDEX('Prospects'!$N$5:$N$504,MATCH(C1672,'Prospects'!$C$5:$C$504,0)),""))</f>
        <v/>
      </c>
      <c r="BB1672" s="61">
        <f>IF(AND(C1672&lt;&gt;"",C1672='Fiche prospect'!$C$4),COUNTIF($C$5:C1672,C1672),"")</f>
        <v/>
      </c>
    </row>
    <row r="1673">
      <c r="A1673" s="53" t="n"/>
      <c r="B1673" s="54" t="n"/>
      <c r="C1673" s="55" t="n"/>
      <c r="D1673" s="55" t="n"/>
      <c r="E1673" s="55" t="n"/>
      <c r="F1673" s="55" t="n"/>
      <c r="G1673" s="56" t="n"/>
      <c r="H1673" s="57" t="n"/>
      <c r="I1673" s="55" t="n"/>
      <c r="J1673" s="53" t="n"/>
      <c r="K1673" s="54" t="n"/>
      <c r="L1673" s="55" t="n"/>
      <c r="M1673" s="55" t="n"/>
      <c r="N1673" s="57" t="n"/>
      <c r="O1673" s="55" t="n"/>
      <c r="P1673" s="56" t="n"/>
      <c r="Q1673" s="55" t="n"/>
      <c r="R1673" s="55" t="n"/>
      <c r="S1673" s="55" t="n"/>
      <c r="T1673" s="55" t="n"/>
      <c r="U1673" s="55" t="n"/>
      <c r="V1673" s="55" t="n"/>
      <c r="W1673" s="58" t="n"/>
      <c r="X1673" s="58" t="n"/>
      <c r="Y1673" s="55" t="n"/>
      <c r="Z1673" s="55" t="n"/>
      <c r="AA1673" s="55" t="n"/>
      <c r="AB1673" s="55" t="n"/>
      <c r="AC1673" s="55" t="n"/>
      <c r="AD1673" s="53" t="n"/>
      <c r="AE1673" s="55" t="n"/>
      <c r="AF1673" s="55" t="n"/>
      <c r="AG1673" s="59" t="n"/>
      <c r="AH1673" s="57" t="n"/>
      <c r="AI1673" s="55" t="n"/>
      <c r="AJ1673" s="55" t="n"/>
      <c r="AK1673" s="55" t="n"/>
      <c r="AL1673" s="55" t="n"/>
      <c r="AM1673" s="56" t="n"/>
      <c r="AN1673" s="55" t="n"/>
      <c r="AO1673" s="55" t="n"/>
      <c r="AP1673" s="55" t="n"/>
      <c r="AQ1673" s="55" t="n"/>
      <c r="AR1673" s="60">
        <f>IF(AND(C1673="",E1673=""),"",IF(A1673="","⚠ Date manquante",IF(AND(C1673="",E1673&lt;&gt;"Dépense"),"⚠ Prospect manquant",IF(E1673="","⚠ Action manquante",IF(AND(AU1673=1,D1673=""),"⚠ Canal manquant",IF(AND(W1673&lt;&gt;"",COUNTIFS('Saisie'!$W$5:$W$2004,W1673,'Saisie'!$C$5:$C$2004,"&lt;&gt;"&amp;C1673)&gt;0),"⚠ Numéro déjà utilisé par un autre prospect",IF(AND(J1673&lt;&gt;"",J1673&lt;A1673),"⚠ Relance avant la date de l'action",IF(A1673&gt;TODAY(),"⚠ Date dans le futur","✓"))))))))</f>
        <v/>
      </c>
      <c r="AS1673" s="61">
        <f>IF(AND(A1673="",C1673="",E1673=""),"",ROW())</f>
        <v/>
      </c>
      <c r="AT1673" s="61">
        <f>IF(E1673&amp;F1673="","",MAX(IFERROR(INDEX('Paramètres'!$J$6:$J$33,MATCH(E1673,'Paramètres'!$I$6:$I$33,0)),0),IFERROR(INDEX('Paramètres'!$N$6:$N$17,MATCH(F1673,'Paramètres'!$M$6:$M$17,0)),0)))</f>
        <v/>
      </c>
      <c r="AU1673" s="61">
        <f>IF(E1673="","",IFERROR(IF(INDEX('Paramètres'!$K$6:$K$33,MATCH(E1673,'Paramètres'!$I$6:$I$33,0))="Oui",1,0),0))</f>
        <v/>
      </c>
      <c r="AV1673" s="61">
        <f>IF(F1673="","",IFERROR(IF(INDEX('Paramètres'!$O$6:$O$17,MATCH(F1673,'Paramètres'!$M$6:$M$17,0))="Oui",1,0),0))</f>
        <v/>
      </c>
      <c r="AW1673" s="62">
        <f>IF(E1673="","",IF(G1673&lt;&gt;"",G1673,IF(OR(E1673="Proposition envoyée",E1673="Signature"),MAX(0,N(IFERROR(INDEX('Paramètres'!$R$6:$R$15,MATCH(IF(AL1673&lt;&gt;"",AL1673,IFERROR(INDEX('Prospects'!$AN$5:$AN$504,MATCH(C1673,'Prospects'!$C$5:$C$504,0)),"")),'Paramètres'!$Q$6:$Q$15,0)),0))-N(P1673)),0)))</f>
        <v/>
      </c>
      <c r="AX1673" s="61">
        <f>IF(C1673="","",IF(COUNTIF($C$5:C1673,C1673)=1,MAX($AX$4:AX1672)+1,""))</f>
        <v/>
      </c>
      <c r="AY1673" s="61">
        <f>IF(B1673="","",HOUR(B1673))</f>
        <v/>
      </c>
      <c r="AZ1673" s="61">
        <f>IF(A1673="","",MOD(A1673-2,7)+1)</f>
        <v/>
      </c>
      <c r="BA1673" s="60">
        <f>IF(C1673="","",IFERROR(INDEX('Prospects'!$N$5:$N$504,MATCH(C1673,'Prospects'!$C$5:$C$504,0)),""))</f>
        <v/>
      </c>
      <c r="BB1673" s="61">
        <f>IF(AND(C1673&lt;&gt;"",C1673='Fiche prospect'!$C$4),COUNTIF($C$5:C1673,C1673),"")</f>
        <v/>
      </c>
    </row>
    <row r="1674">
      <c r="A1674" s="53" t="n"/>
      <c r="B1674" s="54" t="n"/>
      <c r="C1674" s="55" t="n"/>
      <c r="D1674" s="55" t="n"/>
      <c r="E1674" s="55" t="n"/>
      <c r="F1674" s="55" t="n"/>
      <c r="G1674" s="56" t="n"/>
      <c r="H1674" s="57" t="n"/>
      <c r="I1674" s="55" t="n"/>
      <c r="J1674" s="53" t="n"/>
      <c r="K1674" s="54" t="n"/>
      <c r="L1674" s="55" t="n"/>
      <c r="M1674" s="55" t="n"/>
      <c r="N1674" s="57" t="n"/>
      <c r="O1674" s="55" t="n"/>
      <c r="P1674" s="56" t="n"/>
      <c r="Q1674" s="55" t="n"/>
      <c r="R1674" s="55" t="n"/>
      <c r="S1674" s="55" t="n"/>
      <c r="T1674" s="55" t="n"/>
      <c r="U1674" s="55" t="n"/>
      <c r="V1674" s="55" t="n"/>
      <c r="W1674" s="58" t="n"/>
      <c r="X1674" s="58" t="n"/>
      <c r="Y1674" s="55" t="n"/>
      <c r="Z1674" s="55" t="n"/>
      <c r="AA1674" s="55" t="n"/>
      <c r="AB1674" s="55" t="n"/>
      <c r="AC1674" s="55" t="n"/>
      <c r="AD1674" s="53" t="n"/>
      <c r="AE1674" s="55" t="n"/>
      <c r="AF1674" s="55" t="n"/>
      <c r="AG1674" s="59" t="n"/>
      <c r="AH1674" s="57" t="n"/>
      <c r="AI1674" s="55" t="n"/>
      <c r="AJ1674" s="55" t="n"/>
      <c r="AK1674" s="55" t="n"/>
      <c r="AL1674" s="55" t="n"/>
      <c r="AM1674" s="56" t="n"/>
      <c r="AN1674" s="55" t="n"/>
      <c r="AO1674" s="55" t="n"/>
      <c r="AP1674" s="55" t="n"/>
      <c r="AQ1674" s="55" t="n"/>
      <c r="AR1674" s="60">
        <f>IF(AND(C1674="",E1674=""),"",IF(A1674="","⚠ Date manquante",IF(AND(C1674="",E1674&lt;&gt;"Dépense"),"⚠ Prospect manquant",IF(E1674="","⚠ Action manquante",IF(AND(AU1674=1,D1674=""),"⚠ Canal manquant",IF(AND(W1674&lt;&gt;"",COUNTIFS('Saisie'!$W$5:$W$2004,W1674,'Saisie'!$C$5:$C$2004,"&lt;&gt;"&amp;C1674)&gt;0),"⚠ Numéro déjà utilisé par un autre prospect",IF(AND(J1674&lt;&gt;"",J1674&lt;A1674),"⚠ Relance avant la date de l'action",IF(A1674&gt;TODAY(),"⚠ Date dans le futur","✓"))))))))</f>
        <v/>
      </c>
      <c r="AS1674" s="61">
        <f>IF(AND(A1674="",C1674="",E1674=""),"",ROW())</f>
        <v/>
      </c>
      <c r="AT1674" s="61">
        <f>IF(E1674&amp;F1674="","",MAX(IFERROR(INDEX('Paramètres'!$J$6:$J$33,MATCH(E1674,'Paramètres'!$I$6:$I$33,0)),0),IFERROR(INDEX('Paramètres'!$N$6:$N$17,MATCH(F1674,'Paramètres'!$M$6:$M$17,0)),0)))</f>
        <v/>
      </c>
      <c r="AU1674" s="61">
        <f>IF(E1674="","",IFERROR(IF(INDEX('Paramètres'!$K$6:$K$33,MATCH(E1674,'Paramètres'!$I$6:$I$33,0))="Oui",1,0),0))</f>
        <v/>
      </c>
      <c r="AV1674" s="61">
        <f>IF(F1674="","",IFERROR(IF(INDEX('Paramètres'!$O$6:$O$17,MATCH(F1674,'Paramètres'!$M$6:$M$17,0))="Oui",1,0),0))</f>
        <v/>
      </c>
      <c r="AW1674" s="62">
        <f>IF(E1674="","",IF(G1674&lt;&gt;"",G1674,IF(OR(E1674="Proposition envoyée",E1674="Signature"),MAX(0,N(IFERROR(INDEX('Paramètres'!$R$6:$R$15,MATCH(IF(AL1674&lt;&gt;"",AL1674,IFERROR(INDEX('Prospects'!$AN$5:$AN$504,MATCH(C1674,'Prospects'!$C$5:$C$504,0)),"")),'Paramètres'!$Q$6:$Q$15,0)),0))-N(P1674)),0)))</f>
        <v/>
      </c>
      <c r="AX1674" s="61">
        <f>IF(C1674="","",IF(COUNTIF($C$5:C1674,C1674)=1,MAX($AX$4:AX1673)+1,""))</f>
        <v/>
      </c>
      <c r="AY1674" s="61">
        <f>IF(B1674="","",HOUR(B1674))</f>
        <v/>
      </c>
      <c r="AZ1674" s="61">
        <f>IF(A1674="","",MOD(A1674-2,7)+1)</f>
        <v/>
      </c>
      <c r="BA1674" s="60">
        <f>IF(C1674="","",IFERROR(INDEX('Prospects'!$N$5:$N$504,MATCH(C1674,'Prospects'!$C$5:$C$504,0)),""))</f>
        <v/>
      </c>
      <c r="BB1674" s="61">
        <f>IF(AND(C1674&lt;&gt;"",C1674='Fiche prospect'!$C$4),COUNTIF($C$5:C1674,C1674),"")</f>
        <v/>
      </c>
    </row>
    <row r="1675">
      <c r="A1675" s="53" t="n"/>
      <c r="B1675" s="54" t="n"/>
      <c r="C1675" s="55" t="n"/>
      <c r="D1675" s="55" t="n"/>
      <c r="E1675" s="55" t="n"/>
      <c r="F1675" s="55" t="n"/>
      <c r="G1675" s="56" t="n"/>
      <c r="H1675" s="57" t="n"/>
      <c r="I1675" s="55" t="n"/>
      <c r="J1675" s="53" t="n"/>
      <c r="K1675" s="54" t="n"/>
      <c r="L1675" s="55" t="n"/>
      <c r="M1675" s="55" t="n"/>
      <c r="N1675" s="57" t="n"/>
      <c r="O1675" s="55" t="n"/>
      <c r="P1675" s="56" t="n"/>
      <c r="Q1675" s="55" t="n"/>
      <c r="R1675" s="55" t="n"/>
      <c r="S1675" s="55" t="n"/>
      <c r="T1675" s="55" t="n"/>
      <c r="U1675" s="55" t="n"/>
      <c r="V1675" s="55" t="n"/>
      <c r="W1675" s="58" t="n"/>
      <c r="X1675" s="58" t="n"/>
      <c r="Y1675" s="55" t="n"/>
      <c r="Z1675" s="55" t="n"/>
      <c r="AA1675" s="55" t="n"/>
      <c r="AB1675" s="55" t="n"/>
      <c r="AC1675" s="55" t="n"/>
      <c r="AD1675" s="53" t="n"/>
      <c r="AE1675" s="55" t="n"/>
      <c r="AF1675" s="55" t="n"/>
      <c r="AG1675" s="59" t="n"/>
      <c r="AH1675" s="57" t="n"/>
      <c r="AI1675" s="55" t="n"/>
      <c r="AJ1675" s="55" t="n"/>
      <c r="AK1675" s="55" t="n"/>
      <c r="AL1675" s="55" t="n"/>
      <c r="AM1675" s="56" t="n"/>
      <c r="AN1675" s="55" t="n"/>
      <c r="AO1675" s="55" t="n"/>
      <c r="AP1675" s="55" t="n"/>
      <c r="AQ1675" s="55" t="n"/>
      <c r="AR1675" s="60">
        <f>IF(AND(C1675="",E1675=""),"",IF(A1675="","⚠ Date manquante",IF(AND(C1675="",E1675&lt;&gt;"Dépense"),"⚠ Prospect manquant",IF(E1675="","⚠ Action manquante",IF(AND(AU1675=1,D1675=""),"⚠ Canal manquant",IF(AND(W1675&lt;&gt;"",COUNTIFS('Saisie'!$W$5:$W$2004,W1675,'Saisie'!$C$5:$C$2004,"&lt;&gt;"&amp;C1675)&gt;0),"⚠ Numéro déjà utilisé par un autre prospect",IF(AND(J1675&lt;&gt;"",J1675&lt;A1675),"⚠ Relance avant la date de l'action",IF(A1675&gt;TODAY(),"⚠ Date dans le futur","✓"))))))))</f>
        <v/>
      </c>
      <c r="AS1675" s="61">
        <f>IF(AND(A1675="",C1675="",E1675=""),"",ROW())</f>
        <v/>
      </c>
      <c r="AT1675" s="61">
        <f>IF(E1675&amp;F1675="","",MAX(IFERROR(INDEX('Paramètres'!$J$6:$J$33,MATCH(E1675,'Paramètres'!$I$6:$I$33,0)),0),IFERROR(INDEX('Paramètres'!$N$6:$N$17,MATCH(F1675,'Paramètres'!$M$6:$M$17,0)),0)))</f>
        <v/>
      </c>
      <c r="AU1675" s="61">
        <f>IF(E1675="","",IFERROR(IF(INDEX('Paramètres'!$K$6:$K$33,MATCH(E1675,'Paramètres'!$I$6:$I$33,0))="Oui",1,0),0))</f>
        <v/>
      </c>
      <c r="AV1675" s="61">
        <f>IF(F1675="","",IFERROR(IF(INDEX('Paramètres'!$O$6:$O$17,MATCH(F1675,'Paramètres'!$M$6:$M$17,0))="Oui",1,0),0))</f>
        <v/>
      </c>
      <c r="AW1675" s="62">
        <f>IF(E1675="","",IF(G1675&lt;&gt;"",G1675,IF(OR(E1675="Proposition envoyée",E1675="Signature"),MAX(0,N(IFERROR(INDEX('Paramètres'!$R$6:$R$15,MATCH(IF(AL1675&lt;&gt;"",AL1675,IFERROR(INDEX('Prospects'!$AN$5:$AN$504,MATCH(C1675,'Prospects'!$C$5:$C$504,0)),"")),'Paramètres'!$Q$6:$Q$15,0)),0))-N(P1675)),0)))</f>
        <v/>
      </c>
      <c r="AX1675" s="61">
        <f>IF(C1675="","",IF(COUNTIF($C$5:C1675,C1675)=1,MAX($AX$4:AX1674)+1,""))</f>
        <v/>
      </c>
      <c r="AY1675" s="61">
        <f>IF(B1675="","",HOUR(B1675))</f>
        <v/>
      </c>
      <c r="AZ1675" s="61">
        <f>IF(A1675="","",MOD(A1675-2,7)+1)</f>
        <v/>
      </c>
      <c r="BA1675" s="60">
        <f>IF(C1675="","",IFERROR(INDEX('Prospects'!$N$5:$N$504,MATCH(C1675,'Prospects'!$C$5:$C$504,0)),""))</f>
        <v/>
      </c>
      <c r="BB1675" s="61">
        <f>IF(AND(C1675&lt;&gt;"",C1675='Fiche prospect'!$C$4),COUNTIF($C$5:C1675,C1675),"")</f>
        <v/>
      </c>
    </row>
    <row r="1676">
      <c r="A1676" s="53" t="n"/>
      <c r="B1676" s="54" t="n"/>
      <c r="C1676" s="55" t="n"/>
      <c r="D1676" s="55" t="n"/>
      <c r="E1676" s="55" t="n"/>
      <c r="F1676" s="55" t="n"/>
      <c r="G1676" s="56" t="n"/>
      <c r="H1676" s="57" t="n"/>
      <c r="I1676" s="55" t="n"/>
      <c r="J1676" s="53" t="n"/>
      <c r="K1676" s="54" t="n"/>
      <c r="L1676" s="55" t="n"/>
      <c r="M1676" s="55" t="n"/>
      <c r="N1676" s="57" t="n"/>
      <c r="O1676" s="55" t="n"/>
      <c r="P1676" s="56" t="n"/>
      <c r="Q1676" s="55" t="n"/>
      <c r="R1676" s="55" t="n"/>
      <c r="S1676" s="55" t="n"/>
      <c r="T1676" s="55" t="n"/>
      <c r="U1676" s="55" t="n"/>
      <c r="V1676" s="55" t="n"/>
      <c r="W1676" s="58" t="n"/>
      <c r="X1676" s="58" t="n"/>
      <c r="Y1676" s="55" t="n"/>
      <c r="Z1676" s="55" t="n"/>
      <c r="AA1676" s="55" t="n"/>
      <c r="AB1676" s="55" t="n"/>
      <c r="AC1676" s="55" t="n"/>
      <c r="AD1676" s="53" t="n"/>
      <c r="AE1676" s="55" t="n"/>
      <c r="AF1676" s="55" t="n"/>
      <c r="AG1676" s="59" t="n"/>
      <c r="AH1676" s="57" t="n"/>
      <c r="AI1676" s="55" t="n"/>
      <c r="AJ1676" s="55" t="n"/>
      <c r="AK1676" s="55" t="n"/>
      <c r="AL1676" s="55" t="n"/>
      <c r="AM1676" s="56" t="n"/>
      <c r="AN1676" s="55" t="n"/>
      <c r="AO1676" s="55" t="n"/>
      <c r="AP1676" s="55" t="n"/>
      <c r="AQ1676" s="55" t="n"/>
      <c r="AR1676" s="60">
        <f>IF(AND(C1676="",E1676=""),"",IF(A1676="","⚠ Date manquante",IF(AND(C1676="",E1676&lt;&gt;"Dépense"),"⚠ Prospect manquant",IF(E1676="","⚠ Action manquante",IF(AND(AU1676=1,D1676=""),"⚠ Canal manquant",IF(AND(W1676&lt;&gt;"",COUNTIFS('Saisie'!$W$5:$W$2004,W1676,'Saisie'!$C$5:$C$2004,"&lt;&gt;"&amp;C1676)&gt;0),"⚠ Numéro déjà utilisé par un autre prospect",IF(AND(J1676&lt;&gt;"",J1676&lt;A1676),"⚠ Relance avant la date de l'action",IF(A1676&gt;TODAY(),"⚠ Date dans le futur","✓"))))))))</f>
        <v/>
      </c>
      <c r="AS1676" s="61">
        <f>IF(AND(A1676="",C1676="",E1676=""),"",ROW())</f>
        <v/>
      </c>
      <c r="AT1676" s="61">
        <f>IF(E1676&amp;F1676="","",MAX(IFERROR(INDEX('Paramètres'!$J$6:$J$33,MATCH(E1676,'Paramètres'!$I$6:$I$33,0)),0),IFERROR(INDEX('Paramètres'!$N$6:$N$17,MATCH(F1676,'Paramètres'!$M$6:$M$17,0)),0)))</f>
        <v/>
      </c>
      <c r="AU1676" s="61">
        <f>IF(E1676="","",IFERROR(IF(INDEX('Paramètres'!$K$6:$K$33,MATCH(E1676,'Paramètres'!$I$6:$I$33,0))="Oui",1,0),0))</f>
        <v/>
      </c>
      <c r="AV1676" s="61">
        <f>IF(F1676="","",IFERROR(IF(INDEX('Paramètres'!$O$6:$O$17,MATCH(F1676,'Paramètres'!$M$6:$M$17,0))="Oui",1,0),0))</f>
        <v/>
      </c>
      <c r="AW1676" s="62">
        <f>IF(E1676="","",IF(G1676&lt;&gt;"",G1676,IF(OR(E1676="Proposition envoyée",E1676="Signature"),MAX(0,N(IFERROR(INDEX('Paramètres'!$R$6:$R$15,MATCH(IF(AL1676&lt;&gt;"",AL1676,IFERROR(INDEX('Prospects'!$AN$5:$AN$504,MATCH(C1676,'Prospects'!$C$5:$C$504,0)),"")),'Paramètres'!$Q$6:$Q$15,0)),0))-N(P1676)),0)))</f>
        <v/>
      </c>
      <c r="AX1676" s="61">
        <f>IF(C1676="","",IF(COUNTIF($C$5:C1676,C1676)=1,MAX($AX$4:AX1675)+1,""))</f>
        <v/>
      </c>
      <c r="AY1676" s="61">
        <f>IF(B1676="","",HOUR(B1676))</f>
        <v/>
      </c>
      <c r="AZ1676" s="61">
        <f>IF(A1676="","",MOD(A1676-2,7)+1)</f>
        <v/>
      </c>
      <c r="BA1676" s="60">
        <f>IF(C1676="","",IFERROR(INDEX('Prospects'!$N$5:$N$504,MATCH(C1676,'Prospects'!$C$5:$C$504,0)),""))</f>
        <v/>
      </c>
      <c r="BB1676" s="61">
        <f>IF(AND(C1676&lt;&gt;"",C1676='Fiche prospect'!$C$4),COUNTIF($C$5:C1676,C1676),"")</f>
        <v/>
      </c>
    </row>
    <row r="1677">
      <c r="A1677" s="53" t="n"/>
      <c r="B1677" s="54" t="n"/>
      <c r="C1677" s="55" t="n"/>
      <c r="D1677" s="55" t="n"/>
      <c r="E1677" s="55" t="n"/>
      <c r="F1677" s="55" t="n"/>
      <c r="G1677" s="56" t="n"/>
      <c r="H1677" s="57" t="n"/>
      <c r="I1677" s="55" t="n"/>
      <c r="J1677" s="53" t="n"/>
      <c r="K1677" s="54" t="n"/>
      <c r="L1677" s="55" t="n"/>
      <c r="M1677" s="55" t="n"/>
      <c r="N1677" s="57" t="n"/>
      <c r="O1677" s="55" t="n"/>
      <c r="P1677" s="56" t="n"/>
      <c r="Q1677" s="55" t="n"/>
      <c r="R1677" s="55" t="n"/>
      <c r="S1677" s="55" t="n"/>
      <c r="T1677" s="55" t="n"/>
      <c r="U1677" s="55" t="n"/>
      <c r="V1677" s="55" t="n"/>
      <c r="W1677" s="58" t="n"/>
      <c r="X1677" s="58" t="n"/>
      <c r="Y1677" s="55" t="n"/>
      <c r="Z1677" s="55" t="n"/>
      <c r="AA1677" s="55" t="n"/>
      <c r="AB1677" s="55" t="n"/>
      <c r="AC1677" s="55" t="n"/>
      <c r="AD1677" s="53" t="n"/>
      <c r="AE1677" s="55" t="n"/>
      <c r="AF1677" s="55" t="n"/>
      <c r="AG1677" s="59" t="n"/>
      <c r="AH1677" s="57" t="n"/>
      <c r="AI1677" s="55" t="n"/>
      <c r="AJ1677" s="55" t="n"/>
      <c r="AK1677" s="55" t="n"/>
      <c r="AL1677" s="55" t="n"/>
      <c r="AM1677" s="56" t="n"/>
      <c r="AN1677" s="55" t="n"/>
      <c r="AO1677" s="55" t="n"/>
      <c r="AP1677" s="55" t="n"/>
      <c r="AQ1677" s="55" t="n"/>
      <c r="AR1677" s="60">
        <f>IF(AND(C1677="",E1677=""),"",IF(A1677="","⚠ Date manquante",IF(AND(C1677="",E1677&lt;&gt;"Dépense"),"⚠ Prospect manquant",IF(E1677="","⚠ Action manquante",IF(AND(AU1677=1,D1677=""),"⚠ Canal manquant",IF(AND(W1677&lt;&gt;"",COUNTIFS('Saisie'!$W$5:$W$2004,W1677,'Saisie'!$C$5:$C$2004,"&lt;&gt;"&amp;C1677)&gt;0),"⚠ Numéro déjà utilisé par un autre prospect",IF(AND(J1677&lt;&gt;"",J1677&lt;A1677),"⚠ Relance avant la date de l'action",IF(A1677&gt;TODAY(),"⚠ Date dans le futur","✓"))))))))</f>
        <v/>
      </c>
      <c r="AS1677" s="61">
        <f>IF(AND(A1677="",C1677="",E1677=""),"",ROW())</f>
        <v/>
      </c>
      <c r="AT1677" s="61">
        <f>IF(E1677&amp;F1677="","",MAX(IFERROR(INDEX('Paramètres'!$J$6:$J$33,MATCH(E1677,'Paramètres'!$I$6:$I$33,0)),0),IFERROR(INDEX('Paramètres'!$N$6:$N$17,MATCH(F1677,'Paramètres'!$M$6:$M$17,0)),0)))</f>
        <v/>
      </c>
      <c r="AU1677" s="61">
        <f>IF(E1677="","",IFERROR(IF(INDEX('Paramètres'!$K$6:$K$33,MATCH(E1677,'Paramètres'!$I$6:$I$33,0))="Oui",1,0),0))</f>
        <v/>
      </c>
      <c r="AV1677" s="61">
        <f>IF(F1677="","",IFERROR(IF(INDEX('Paramètres'!$O$6:$O$17,MATCH(F1677,'Paramètres'!$M$6:$M$17,0))="Oui",1,0),0))</f>
        <v/>
      </c>
      <c r="AW1677" s="62">
        <f>IF(E1677="","",IF(G1677&lt;&gt;"",G1677,IF(OR(E1677="Proposition envoyée",E1677="Signature"),MAX(0,N(IFERROR(INDEX('Paramètres'!$R$6:$R$15,MATCH(IF(AL1677&lt;&gt;"",AL1677,IFERROR(INDEX('Prospects'!$AN$5:$AN$504,MATCH(C1677,'Prospects'!$C$5:$C$504,0)),"")),'Paramètres'!$Q$6:$Q$15,0)),0))-N(P1677)),0)))</f>
        <v/>
      </c>
      <c r="AX1677" s="61">
        <f>IF(C1677="","",IF(COUNTIF($C$5:C1677,C1677)=1,MAX($AX$4:AX1676)+1,""))</f>
        <v/>
      </c>
      <c r="AY1677" s="61">
        <f>IF(B1677="","",HOUR(B1677))</f>
        <v/>
      </c>
      <c r="AZ1677" s="61">
        <f>IF(A1677="","",MOD(A1677-2,7)+1)</f>
        <v/>
      </c>
      <c r="BA1677" s="60">
        <f>IF(C1677="","",IFERROR(INDEX('Prospects'!$N$5:$N$504,MATCH(C1677,'Prospects'!$C$5:$C$504,0)),""))</f>
        <v/>
      </c>
      <c r="BB1677" s="61">
        <f>IF(AND(C1677&lt;&gt;"",C1677='Fiche prospect'!$C$4),COUNTIF($C$5:C1677,C1677),"")</f>
        <v/>
      </c>
    </row>
    <row r="1678">
      <c r="A1678" s="53" t="n"/>
      <c r="B1678" s="54" t="n"/>
      <c r="C1678" s="55" t="n"/>
      <c r="D1678" s="55" t="n"/>
      <c r="E1678" s="55" t="n"/>
      <c r="F1678" s="55" t="n"/>
      <c r="G1678" s="56" t="n"/>
      <c r="H1678" s="57" t="n"/>
      <c r="I1678" s="55" t="n"/>
      <c r="J1678" s="53" t="n"/>
      <c r="K1678" s="54" t="n"/>
      <c r="L1678" s="55" t="n"/>
      <c r="M1678" s="55" t="n"/>
      <c r="N1678" s="57" t="n"/>
      <c r="O1678" s="55" t="n"/>
      <c r="P1678" s="56" t="n"/>
      <c r="Q1678" s="55" t="n"/>
      <c r="R1678" s="55" t="n"/>
      <c r="S1678" s="55" t="n"/>
      <c r="T1678" s="55" t="n"/>
      <c r="U1678" s="55" t="n"/>
      <c r="V1678" s="55" t="n"/>
      <c r="W1678" s="58" t="n"/>
      <c r="X1678" s="58" t="n"/>
      <c r="Y1678" s="55" t="n"/>
      <c r="Z1678" s="55" t="n"/>
      <c r="AA1678" s="55" t="n"/>
      <c r="AB1678" s="55" t="n"/>
      <c r="AC1678" s="55" t="n"/>
      <c r="AD1678" s="53" t="n"/>
      <c r="AE1678" s="55" t="n"/>
      <c r="AF1678" s="55" t="n"/>
      <c r="AG1678" s="59" t="n"/>
      <c r="AH1678" s="57" t="n"/>
      <c r="AI1678" s="55" t="n"/>
      <c r="AJ1678" s="55" t="n"/>
      <c r="AK1678" s="55" t="n"/>
      <c r="AL1678" s="55" t="n"/>
      <c r="AM1678" s="56" t="n"/>
      <c r="AN1678" s="55" t="n"/>
      <c r="AO1678" s="55" t="n"/>
      <c r="AP1678" s="55" t="n"/>
      <c r="AQ1678" s="55" t="n"/>
      <c r="AR1678" s="60">
        <f>IF(AND(C1678="",E1678=""),"",IF(A1678="","⚠ Date manquante",IF(AND(C1678="",E1678&lt;&gt;"Dépense"),"⚠ Prospect manquant",IF(E1678="","⚠ Action manquante",IF(AND(AU1678=1,D1678=""),"⚠ Canal manquant",IF(AND(W1678&lt;&gt;"",COUNTIFS('Saisie'!$W$5:$W$2004,W1678,'Saisie'!$C$5:$C$2004,"&lt;&gt;"&amp;C1678)&gt;0),"⚠ Numéro déjà utilisé par un autre prospect",IF(AND(J1678&lt;&gt;"",J1678&lt;A1678),"⚠ Relance avant la date de l'action",IF(A1678&gt;TODAY(),"⚠ Date dans le futur","✓"))))))))</f>
        <v/>
      </c>
      <c r="AS1678" s="61">
        <f>IF(AND(A1678="",C1678="",E1678=""),"",ROW())</f>
        <v/>
      </c>
      <c r="AT1678" s="61">
        <f>IF(E1678&amp;F1678="","",MAX(IFERROR(INDEX('Paramètres'!$J$6:$J$33,MATCH(E1678,'Paramètres'!$I$6:$I$33,0)),0),IFERROR(INDEX('Paramètres'!$N$6:$N$17,MATCH(F1678,'Paramètres'!$M$6:$M$17,0)),0)))</f>
        <v/>
      </c>
      <c r="AU1678" s="61">
        <f>IF(E1678="","",IFERROR(IF(INDEX('Paramètres'!$K$6:$K$33,MATCH(E1678,'Paramètres'!$I$6:$I$33,0))="Oui",1,0),0))</f>
        <v/>
      </c>
      <c r="AV1678" s="61">
        <f>IF(F1678="","",IFERROR(IF(INDEX('Paramètres'!$O$6:$O$17,MATCH(F1678,'Paramètres'!$M$6:$M$17,0))="Oui",1,0),0))</f>
        <v/>
      </c>
      <c r="AW1678" s="62">
        <f>IF(E1678="","",IF(G1678&lt;&gt;"",G1678,IF(OR(E1678="Proposition envoyée",E1678="Signature"),MAX(0,N(IFERROR(INDEX('Paramètres'!$R$6:$R$15,MATCH(IF(AL1678&lt;&gt;"",AL1678,IFERROR(INDEX('Prospects'!$AN$5:$AN$504,MATCH(C1678,'Prospects'!$C$5:$C$504,0)),"")),'Paramètres'!$Q$6:$Q$15,0)),0))-N(P1678)),0)))</f>
        <v/>
      </c>
      <c r="AX1678" s="61">
        <f>IF(C1678="","",IF(COUNTIF($C$5:C1678,C1678)=1,MAX($AX$4:AX1677)+1,""))</f>
        <v/>
      </c>
      <c r="AY1678" s="61">
        <f>IF(B1678="","",HOUR(B1678))</f>
        <v/>
      </c>
      <c r="AZ1678" s="61">
        <f>IF(A1678="","",MOD(A1678-2,7)+1)</f>
        <v/>
      </c>
      <c r="BA1678" s="60">
        <f>IF(C1678="","",IFERROR(INDEX('Prospects'!$N$5:$N$504,MATCH(C1678,'Prospects'!$C$5:$C$504,0)),""))</f>
        <v/>
      </c>
      <c r="BB1678" s="61">
        <f>IF(AND(C1678&lt;&gt;"",C1678='Fiche prospect'!$C$4),COUNTIF($C$5:C1678,C1678),"")</f>
        <v/>
      </c>
    </row>
    <row r="1679">
      <c r="A1679" s="53" t="n"/>
      <c r="B1679" s="54" t="n"/>
      <c r="C1679" s="55" t="n"/>
      <c r="D1679" s="55" t="n"/>
      <c r="E1679" s="55" t="n"/>
      <c r="F1679" s="55" t="n"/>
      <c r="G1679" s="56" t="n"/>
      <c r="H1679" s="57" t="n"/>
      <c r="I1679" s="55" t="n"/>
      <c r="J1679" s="53" t="n"/>
      <c r="K1679" s="54" t="n"/>
      <c r="L1679" s="55" t="n"/>
      <c r="M1679" s="55" t="n"/>
      <c r="N1679" s="57" t="n"/>
      <c r="O1679" s="55" t="n"/>
      <c r="P1679" s="56" t="n"/>
      <c r="Q1679" s="55" t="n"/>
      <c r="R1679" s="55" t="n"/>
      <c r="S1679" s="55" t="n"/>
      <c r="T1679" s="55" t="n"/>
      <c r="U1679" s="55" t="n"/>
      <c r="V1679" s="55" t="n"/>
      <c r="W1679" s="58" t="n"/>
      <c r="X1679" s="58" t="n"/>
      <c r="Y1679" s="55" t="n"/>
      <c r="Z1679" s="55" t="n"/>
      <c r="AA1679" s="55" t="n"/>
      <c r="AB1679" s="55" t="n"/>
      <c r="AC1679" s="55" t="n"/>
      <c r="AD1679" s="53" t="n"/>
      <c r="AE1679" s="55" t="n"/>
      <c r="AF1679" s="55" t="n"/>
      <c r="AG1679" s="59" t="n"/>
      <c r="AH1679" s="57" t="n"/>
      <c r="AI1679" s="55" t="n"/>
      <c r="AJ1679" s="55" t="n"/>
      <c r="AK1679" s="55" t="n"/>
      <c r="AL1679" s="55" t="n"/>
      <c r="AM1679" s="56" t="n"/>
      <c r="AN1679" s="55" t="n"/>
      <c r="AO1679" s="55" t="n"/>
      <c r="AP1679" s="55" t="n"/>
      <c r="AQ1679" s="55" t="n"/>
      <c r="AR1679" s="60">
        <f>IF(AND(C1679="",E1679=""),"",IF(A1679="","⚠ Date manquante",IF(AND(C1679="",E1679&lt;&gt;"Dépense"),"⚠ Prospect manquant",IF(E1679="","⚠ Action manquante",IF(AND(AU1679=1,D1679=""),"⚠ Canal manquant",IF(AND(W1679&lt;&gt;"",COUNTIFS('Saisie'!$W$5:$W$2004,W1679,'Saisie'!$C$5:$C$2004,"&lt;&gt;"&amp;C1679)&gt;0),"⚠ Numéro déjà utilisé par un autre prospect",IF(AND(J1679&lt;&gt;"",J1679&lt;A1679),"⚠ Relance avant la date de l'action",IF(A1679&gt;TODAY(),"⚠ Date dans le futur","✓"))))))))</f>
        <v/>
      </c>
      <c r="AS1679" s="61">
        <f>IF(AND(A1679="",C1679="",E1679=""),"",ROW())</f>
        <v/>
      </c>
      <c r="AT1679" s="61">
        <f>IF(E1679&amp;F1679="","",MAX(IFERROR(INDEX('Paramètres'!$J$6:$J$33,MATCH(E1679,'Paramètres'!$I$6:$I$33,0)),0),IFERROR(INDEX('Paramètres'!$N$6:$N$17,MATCH(F1679,'Paramètres'!$M$6:$M$17,0)),0)))</f>
        <v/>
      </c>
      <c r="AU1679" s="61">
        <f>IF(E1679="","",IFERROR(IF(INDEX('Paramètres'!$K$6:$K$33,MATCH(E1679,'Paramètres'!$I$6:$I$33,0))="Oui",1,0),0))</f>
        <v/>
      </c>
      <c r="AV1679" s="61">
        <f>IF(F1679="","",IFERROR(IF(INDEX('Paramètres'!$O$6:$O$17,MATCH(F1679,'Paramètres'!$M$6:$M$17,0))="Oui",1,0),0))</f>
        <v/>
      </c>
      <c r="AW1679" s="62">
        <f>IF(E1679="","",IF(G1679&lt;&gt;"",G1679,IF(OR(E1679="Proposition envoyée",E1679="Signature"),MAX(0,N(IFERROR(INDEX('Paramètres'!$R$6:$R$15,MATCH(IF(AL1679&lt;&gt;"",AL1679,IFERROR(INDEX('Prospects'!$AN$5:$AN$504,MATCH(C1679,'Prospects'!$C$5:$C$504,0)),"")),'Paramètres'!$Q$6:$Q$15,0)),0))-N(P1679)),0)))</f>
        <v/>
      </c>
      <c r="AX1679" s="61">
        <f>IF(C1679="","",IF(COUNTIF($C$5:C1679,C1679)=1,MAX($AX$4:AX1678)+1,""))</f>
        <v/>
      </c>
      <c r="AY1679" s="61">
        <f>IF(B1679="","",HOUR(B1679))</f>
        <v/>
      </c>
      <c r="AZ1679" s="61">
        <f>IF(A1679="","",MOD(A1679-2,7)+1)</f>
        <v/>
      </c>
      <c r="BA1679" s="60">
        <f>IF(C1679="","",IFERROR(INDEX('Prospects'!$N$5:$N$504,MATCH(C1679,'Prospects'!$C$5:$C$504,0)),""))</f>
        <v/>
      </c>
      <c r="BB1679" s="61">
        <f>IF(AND(C1679&lt;&gt;"",C1679='Fiche prospect'!$C$4),COUNTIF($C$5:C1679,C1679),"")</f>
        <v/>
      </c>
    </row>
    <row r="1680">
      <c r="A1680" s="53" t="n"/>
      <c r="B1680" s="54" t="n"/>
      <c r="C1680" s="55" t="n"/>
      <c r="D1680" s="55" t="n"/>
      <c r="E1680" s="55" t="n"/>
      <c r="F1680" s="55" t="n"/>
      <c r="G1680" s="56" t="n"/>
      <c r="H1680" s="57" t="n"/>
      <c r="I1680" s="55" t="n"/>
      <c r="J1680" s="53" t="n"/>
      <c r="K1680" s="54" t="n"/>
      <c r="L1680" s="55" t="n"/>
      <c r="M1680" s="55" t="n"/>
      <c r="N1680" s="57" t="n"/>
      <c r="O1680" s="55" t="n"/>
      <c r="P1680" s="56" t="n"/>
      <c r="Q1680" s="55" t="n"/>
      <c r="R1680" s="55" t="n"/>
      <c r="S1680" s="55" t="n"/>
      <c r="T1680" s="55" t="n"/>
      <c r="U1680" s="55" t="n"/>
      <c r="V1680" s="55" t="n"/>
      <c r="W1680" s="58" t="n"/>
      <c r="X1680" s="58" t="n"/>
      <c r="Y1680" s="55" t="n"/>
      <c r="Z1680" s="55" t="n"/>
      <c r="AA1680" s="55" t="n"/>
      <c r="AB1680" s="55" t="n"/>
      <c r="AC1680" s="55" t="n"/>
      <c r="AD1680" s="53" t="n"/>
      <c r="AE1680" s="55" t="n"/>
      <c r="AF1680" s="55" t="n"/>
      <c r="AG1680" s="59" t="n"/>
      <c r="AH1680" s="57" t="n"/>
      <c r="AI1680" s="55" t="n"/>
      <c r="AJ1680" s="55" t="n"/>
      <c r="AK1680" s="55" t="n"/>
      <c r="AL1680" s="55" t="n"/>
      <c r="AM1680" s="56" t="n"/>
      <c r="AN1680" s="55" t="n"/>
      <c r="AO1680" s="55" t="n"/>
      <c r="AP1680" s="55" t="n"/>
      <c r="AQ1680" s="55" t="n"/>
      <c r="AR1680" s="60">
        <f>IF(AND(C1680="",E1680=""),"",IF(A1680="","⚠ Date manquante",IF(AND(C1680="",E1680&lt;&gt;"Dépense"),"⚠ Prospect manquant",IF(E1680="","⚠ Action manquante",IF(AND(AU1680=1,D1680=""),"⚠ Canal manquant",IF(AND(W1680&lt;&gt;"",COUNTIFS('Saisie'!$W$5:$W$2004,W1680,'Saisie'!$C$5:$C$2004,"&lt;&gt;"&amp;C1680)&gt;0),"⚠ Numéro déjà utilisé par un autre prospect",IF(AND(J1680&lt;&gt;"",J1680&lt;A1680),"⚠ Relance avant la date de l'action",IF(A1680&gt;TODAY(),"⚠ Date dans le futur","✓"))))))))</f>
        <v/>
      </c>
      <c r="AS1680" s="61">
        <f>IF(AND(A1680="",C1680="",E1680=""),"",ROW())</f>
        <v/>
      </c>
      <c r="AT1680" s="61">
        <f>IF(E1680&amp;F1680="","",MAX(IFERROR(INDEX('Paramètres'!$J$6:$J$33,MATCH(E1680,'Paramètres'!$I$6:$I$33,0)),0),IFERROR(INDEX('Paramètres'!$N$6:$N$17,MATCH(F1680,'Paramètres'!$M$6:$M$17,0)),0)))</f>
        <v/>
      </c>
      <c r="AU1680" s="61">
        <f>IF(E1680="","",IFERROR(IF(INDEX('Paramètres'!$K$6:$K$33,MATCH(E1680,'Paramètres'!$I$6:$I$33,0))="Oui",1,0),0))</f>
        <v/>
      </c>
      <c r="AV1680" s="61">
        <f>IF(F1680="","",IFERROR(IF(INDEX('Paramètres'!$O$6:$O$17,MATCH(F1680,'Paramètres'!$M$6:$M$17,0))="Oui",1,0),0))</f>
        <v/>
      </c>
      <c r="AW1680" s="62">
        <f>IF(E1680="","",IF(G1680&lt;&gt;"",G1680,IF(OR(E1680="Proposition envoyée",E1680="Signature"),MAX(0,N(IFERROR(INDEX('Paramètres'!$R$6:$R$15,MATCH(IF(AL1680&lt;&gt;"",AL1680,IFERROR(INDEX('Prospects'!$AN$5:$AN$504,MATCH(C1680,'Prospects'!$C$5:$C$504,0)),"")),'Paramètres'!$Q$6:$Q$15,0)),0))-N(P1680)),0)))</f>
        <v/>
      </c>
      <c r="AX1680" s="61">
        <f>IF(C1680="","",IF(COUNTIF($C$5:C1680,C1680)=1,MAX($AX$4:AX1679)+1,""))</f>
        <v/>
      </c>
      <c r="AY1680" s="61">
        <f>IF(B1680="","",HOUR(B1680))</f>
        <v/>
      </c>
      <c r="AZ1680" s="61">
        <f>IF(A1680="","",MOD(A1680-2,7)+1)</f>
        <v/>
      </c>
      <c r="BA1680" s="60">
        <f>IF(C1680="","",IFERROR(INDEX('Prospects'!$N$5:$N$504,MATCH(C1680,'Prospects'!$C$5:$C$504,0)),""))</f>
        <v/>
      </c>
      <c r="BB1680" s="61">
        <f>IF(AND(C1680&lt;&gt;"",C1680='Fiche prospect'!$C$4),COUNTIF($C$5:C1680,C1680),"")</f>
        <v/>
      </c>
    </row>
    <row r="1681">
      <c r="A1681" s="53" t="n"/>
      <c r="B1681" s="54" t="n"/>
      <c r="C1681" s="55" t="n"/>
      <c r="D1681" s="55" t="n"/>
      <c r="E1681" s="55" t="n"/>
      <c r="F1681" s="55" t="n"/>
      <c r="G1681" s="56" t="n"/>
      <c r="H1681" s="57" t="n"/>
      <c r="I1681" s="55" t="n"/>
      <c r="J1681" s="53" t="n"/>
      <c r="K1681" s="54" t="n"/>
      <c r="L1681" s="55" t="n"/>
      <c r="M1681" s="55" t="n"/>
      <c r="N1681" s="57" t="n"/>
      <c r="O1681" s="55" t="n"/>
      <c r="P1681" s="56" t="n"/>
      <c r="Q1681" s="55" t="n"/>
      <c r="R1681" s="55" t="n"/>
      <c r="S1681" s="55" t="n"/>
      <c r="T1681" s="55" t="n"/>
      <c r="U1681" s="55" t="n"/>
      <c r="V1681" s="55" t="n"/>
      <c r="W1681" s="58" t="n"/>
      <c r="X1681" s="58" t="n"/>
      <c r="Y1681" s="55" t="n"/>
      <c r="Z1681" s="55" t="n"/>
      <c r="AA1681" s="55" t="n"/>
      <c r="AB1681" s="55" t="n"/>
      <c r="AC1681" s="55" t="n"/>
      <c r="AD1681" s="53" t="n"/>
      <c r="AE1681" s="55" t="n"/>
      <c r="AF1681" s="55" t="n"/>
      <c r="AG1681" s="59" t="n"/>
      <c r="AH1681" s="57" t="n"/>
      <c r="AI1681" s="55" t="n"/>
      <c r="AJ1681" s="55" t="n"/>
      <c r="AK1681" s="55" t="n"/>
      <c r="AL1681" s="55" t="n"/>
      <c r="AM1681" s="56" t="n"/>
      <c r="AN1681" s="55" t="n"/>
      <c r="AO1681" s="55" t="n"/>
      <c r="AP1681" s="55" t="n"/>
      <c r="AQ1681" s="55" t="n"/>
      <c r="AR1681" s="60">
        <f>IF(AND(C1681="",E1681=""),"",IF(A1681="","⚠ Date manquante",IF(AND(C1681="",E1681&lt;&gt;"Dépense"),"⚠ Prospect manquant",IF(E1681="","⚠ Action manquante",IF(AND(AU1681=1,D1681=""),"⚠ Canal manquant",IF(AND(W1681&lt;&gt;"",COUNTIFS('Saisie'!$W$5:$W$2004,W1681,'Saisie'!$C$5:$C$2004,"&lt;&gt;"&amp;C1681)&gt;0),"⚠ Numéro déjà utilisé par un autre prospect",IF(AND(J1681&lt;&gt;"",J1681&lt;A1681),"⚠ Relance avant la date de l'action",IF(A1681&gt;TODAY(),"⚠ Date dans le futur","✓"))))))))</f>
        <v/>
      </c>
      <c r="AS1681" s="61">
        <f>IF(AND(A1681="",C1681="",E1681=""),"",ROW())</f>
        <v/>
      </c>
      <c r="AT1681" s="61">
        <f>IF(E1681&amp;F1681="","",MAX(IFERROR(INDEX('Paramètres'!$J$6:$J$33,MATCH(E1681,'Paramètres'!$I$6:$I$33,0)),0),IFERROR(INDEX('Paramètres'!$N$6:$N$17,MATCH(F1681,'Paramètres'!$M$6:$M$17,0)),0)))</f>
        <v/>
      </c>
      <c r="AU1681" s="61">
        <f>IF(E1681="","",IFERROR(IF(INDEX('Paramètres'!$K$6:$K$33,MATCH(E1681,'Paramètres'!$I$6:$I$33,0))="Oui",1,0),0))</f>
        <v/>
      </c>
      <c r="AV1681" s="61">
        <f>IF(F1681="","",IFERROR(IF(INDEX('Paramètres'!$O$6:$O$17,MATCH(F1681,'Paramètres'!$M$6:$M$17,0))="Oui",1,0),0))</f>
        <v/>
      </c>
      <c r="AW1681" s="62">
        <f>IF(E1681="","",IF(G1681&lt;&gt;"",G1681,IF(OR(E1681="Proposition envoyée",E1681="Signature"),MAX(0,N(IFERROR(INDEX('Paramètres'!$R$6:$R$15,MATCH(IF(AL1681&lt;&gt;"",AL1681,IFERROR(INDEX('Prospects'!$AN$5:$AN$504,MATCH(C1681,'Prospects'!$C$5:$C$504,0)),"")),'Paramètres'!$Q$6:$Q$15,0)),0))-N(P1681)),0)))</f>
        <v/>
      </c>
      <c r="AX1681" s="61">
        <f>IF(C1681="","",IF(COUNTIF($C$5:C1681,C1681)=1,MAX($AX$4:AX1680)+1,""))</f>
        <v/>
      </c>
      <c r="AY1681" s="61">
        <f>IF(B1681="","",HOUR(B1681))</f>
        <v/>
      </c>
      <c r="AZ1681" s="61">
        <f>IF(A1681="","",MOD(A1681-2,7)+1)</f>
        <v/>
      </c>
      <c r="BA1681" s="60">
        <f>IF(C1681="","",IFERROR(INDEX('Prospects'!$N$5:$N$504,MATCH(C1681,'Prospects'!$C$5:$C$504,0)),""))</f>
        <v/>
      </c>
      <c r="BB1681" s="61">
        <f>IF(AND(C1681&lt;&gt;"",C1681='Fiche prospect'!$C$4),COUNTIF($C$5:C1681,C1681),"")</f>
        <v/>
      </c>
    </row>
    <row r="1682">
      <c r="A1682" s="53" t="n"/>
      <c r="B1682" s="54" t="n"/>
      <c r="C1682" s="55" t="n"/>
      <c r="D1682" s="55" t="n"/>
      <c r="E1682" s="55" t="n"/>
      <c r="F1682" s="55" t="n"/>
      <c r="G1682" s="56" t="n"/>
      <c r="H1682" s="57" t="n"/>
      <c r="I1682" s="55" t="n"/>
      <c r="J1682" s="53" t="n"/>
      <c r="K1682" s="54" t="n"/>
      <c r="L1682" s="55" t="n"/>
      <c r="M1682" s="55" t="n"/>
      <c r="N1682" s="57" t="n"/>
      <c r="O1682" s="55" t="n"/>
      <c r="P1682" s="56" t="n"/>
      <c r="Q1682" s="55" t="n"/>
      <c r="R1682" s="55" t="n"/>
      <c r="S1682" s="55" t="n"/>
      <c r="T1682" s="55" t="n"/>
      <c r="U1682" s="55" t="n"/>
      <c r="V1682" s="55" t="n"/>
      <c r="W1682" s="58" t="n"/>
      <c r="X1682" s="58" t="n"/>
      <c r="Y1682" s="55" t="n"/>
      <c r="Z1682" s="55" t="n"/>
      <c r="AA1682" s="55" t="n"/>
      <c r="AB1682" s="55" t="n"/>
      <c r="AC1682" s="55" t="n"/>
      <c r="AD1682" s="53" t="n"/>
      <c r="AE1682" s="55" t="n"/>
      <c r="AF1682" s="55" t="n"/>
      <c r="AG1682" s="59" t="n"/>
      <c r="AH1682" s="57" t="n"/>
      <c r="AI1682" s="55" t="n"/>
      <c r="AJ1682" s="55" t="n"/>
      <c r="AK1682" s="55" t="n"/>
      <c r="AL1682" s="55" t="n"/>
      <c r="AM1682" s="56" t="n"/>
      <c r="AN1682" s="55" t="n"/>
      <c r="AO1682" s="55" t="n"/>
      <c r="AP1682" s="55" t="n"/>
      <c r="AQ1682" s="55" t="n"/>
      <c r="AR1682" s="60">
        <f>IF(AND(C1682="",E1682=""),"",IF(A1682="","⚠ Date manquante",IF(AND(C1682="",E1682&lt;&gt;"Dépense"),"⚠ Prospect manquant",IF(E1682="","⚠ Action manquante",IF(AND(AU1682=1,D1682=""),"⚠ Canal manquant",IF(AND(W1682&lt;&gt;"",COUNTIFS('Saisie'!$W$5:$W$2004,W1682,'Saisie'!$C$5:$C$2004,"&lt;&gt;"&amp;C1682)&gt;0),"⚠ Numéro déjà utilisé par un autre prospect",IF(AND(J1682&lt;&gt;"",J1682&lt;A1682),"⚠ Relance avant la date de l'action",IF(A1682&gt;TODAY(),"⚠ Date dans le futur","✓"))))))))</f>
        <v/>
      </c>
      <c r="AS1682" s="61">
        <f>IF(AND(A1682="",C1682="",E1682=""),"",ROW())</f>
        <v/>
      </c>
      <c r="AT1682" s="61">
        <f>IF(E1682&amp;F1682="","",MAX(IFERROR(INDEX('Paramètres'!$J$6:$J$33,MATCH(E1682,'Paramètres'!$I$6:$I$33,0)),0),IFERROR(INDEX('Paramètres'!$N$6:$N$17,MATCH(F1682,'Paramètres'!$M$6:$M$17,0)),0)))</f>
        <v/>
      </c>
      <c r="AU1682" s="61">
        <f>IF(E1682="","",IFERROR(IF(INDEX('Paramètres'!$K$6:$K$33,MATCH(E1682,'Paramètres'!$I$6:$I$33,0))="Oui",1,0),0))</f>
        <v/>
      </c>
      <c r="AV1682" s="61">
        <f>IF(F1682="","",IFERROR(IF(INDEX('Paramètres'!$O$6:$O$17,MATCH(F1682,'Paramètres'!$M$6:$M$17,0))="Oui",1,0),0))</f>
        <v/>
      </c>
      <c r="AW1682" s="62">
        <f>IF(E1682="","",IF(G1682&lt;&gt;"",G1682,IF(OR(E1682="Proposition envoyée",E1682="Signature"),MAX(0,N(IFERROR(INDEX('Paramètres'!$R$6:$R$15,MATCH(IF(AL1682&lt;&gt;"",AL1682,IFERROR(INDEX('Prospects'!$AN$5:$AN$504,MATCH(C1682,'Prospects'!$C$5:$C$504,0)),"")),'Paramètres'!$Q$6:$Q$15,0)),0))-N(P1682)),0)))</f>
        <v/>
      </c>
      <c r="AX1682" s="61">
        <f>IF(C1682="","",IF(COUNTIF($C$5:C1682,C1682)=1,MAX($AX$4:AX1681)+1,""))</f>
        <v/>
      </c>
      <c r="AY1682" s="61">
        <f>IF(B1682="","",HOUR(B1682))</f>
        <v/>
      </c>
      <c r="AZ1682" s="61">
        <f>IF(A1682="","",MOD(A1682-2,7)+1)</f>
        <v/>
      </c>
      <c r="BA1682" s="60">
        <f>IF(C1682="","",IFERROR(INDEX('Prospects'!$N$5:$N$504,MATCH(C1682,'Prospects'!$C$5:$C$504,0)),""))</f>
        <v/>
      </c>
      <c r="BB1682" s="61">
        <f>IF(AND(C1682&lt;&gt;"",C1682='Fiche prospect'!$C$4),COUNTIF($C$5:C1682,C1682),"")</f>
        <v/>
      </c>
    </row>
    <row r="1683">
      <c r="A1683" s="53" t="n"/>
      <c r="B1683" s="54" t="n"/>
      <c r="C1683" s="55" t="n"/>
      <c r="D1683" s="55" t="n"/>
      <c r="E1683" s="55" t="n"/>
      <c r="F1683" s="55" t="n"/>
      <c r="G1683" s="56" t="n"/>
      <c r="H1683" s="57" t="n"/>
      <c r="I1683" s="55" t="n"/>
      <c r="J1683" s="53" t="n"/>
      <c r="K1683" s="54" t="n"/>
      <c r="L1683" s="55" t="n"/>
      <c r="M1683" s="55" t="n"/>
      <c r="N1683" s="57" t="n"/>
      <c r="O1683" s="55" t="n"/>
      <c r="P1683" s="56" t="n"/>
      <c r="Q1683" s="55" t="n"/>
      <c r="R1683" s="55" t="n"/>
      <c r="S1683" s="55" t="n"/>
      <c r="T1683" s="55" t="n"/>
      <c r="U1683" s="55" t="n"/>
      <c r="V1683" s="55" t="n"/>
      <c r="W1683" s="58" t="n"/>
      <c r="X1683" s="58" t="n"/>
      <c r="Y1683" s="55" t="n"/>
      <c r="Z1683" s="55" t="n"/>
      <c r="AA1683" s="55" t="n"/>
      <c r="AB1683" s="55" t="n"/>
      <c r="AC1683" s="55" t="n"/>
      <c r="AD1683" s="53" t="n"/>
      <c r="AE1683" s="55" t="n"/>
      <c r="AF1683" s="55" t="n"/>
      <c r="AG1683" s="59" t="n"/>
      <c r="AH1683" s="57" t="n"/>
      <c r="AI1683" s="55" t="n"/>
      <c r="AJ1683" s="55" t="n"/>
      <c r="AK1683" s="55" t="n"/>
      <c r="AL1683" s="55" t="n"/>
      <c r="AM1683" s="56" t="n"/>
      <c r="AN1683" s="55" t="n"/>
      <c r="AO1683" s="55" t="n"/>
      <c r="AP1683" s="55" t="n"/>
      <c r="AQ1683" s="55" t="n"/>
      <c r="AR1683" s="60">
        <f>IF(AND(C1683="",E1683=""),"",IF(A1683="","⚠ Date manquante",IF(AND(C1683="",E1683&lt;&gt;"Dépense"),"⚠ Prospect manquant",IF(E1683="","⚠ Action manquante",IF(AND(AU1683=1,D1683=""),"⚠ Canal manquant",IF(AND(W1683&lt;&gt;"",COUNTIFS('Saisie'!$W$5:$W$2004,W1683,'Saisie'!$C$5:$C$2004,"&lt;&gt;"&amp;C1683)&gt;0),"⚠ Numéro déjà utilisé par un autre prospect",IF(AND(J1683&lt;&gt;"",J1683&lt;A1683),"⚠ Relance avant la date de l'action",IF(A1683&gt;TODAY(),"⚠ Date dans le futur","✓"))))))))</f>
        <v/>
      </c>
      <c r="AS1683" s="61">
        <f>IF(AND(A1683="",C1683="",E1683=""),"",ROW())</f>
        <v/>
      </c>
      <c r="AT1683" s="61">
        <f>IF(E1683&amp;F1683="","",MAX(IFERROR(INDEX('Paramètres'!$J$6:$J$33,MATCH(E1683,'Paramètres'!$I$6:$I$33,0)),0),IFERROR(INDEX('Paramètres'!$N$6:$N$17,MATCH(F1683,'Paramètres'!$M$6:$M$17,0)),0)))</f>
        <v/>
      </c>
      <c r="AU1683" s="61">
        <f>IF(E1683="","",IFERROR(IF(INDEX('Paramètres'!$K$6:$K$33,MATCH(E1683,'Paramètres'!$I$6:$I$33,0))="Oui",1,0),0))</f>
        <v/>
      </c>
      <c r="AV1683" s="61">
        <f>IF(F1683="","",IFERROR(IF(INDEX('Paramètres'!$O$6:$O$17,MATCH(F1683,'Paramètres'!$M$6:$M$17,0))="Oui",1,0),0))</f>
        <v/>
      </c>
      <c r="AW1683" s="62">
        <f>IF(E1683="","",IF(G1683&lt;&gt;"",G1683,IF(OR(E1683="Proposition envoyée",E1683="Signature"),MAX(0,N(IFERROR(INDEX('Paramètres'!$R$6:$R$15,MATCH(IF(AL1683&lt;&gt;"",AL1683,IFERROR(INDEX('Prospects'!$AN$5:$AN$504,MATCH(C1683,'Prospects'!$C$5:$C$504,0)),"")),'Paramètres'!$Q$6:$Q$15,0)),0))-N(P1683)),0)))</f>
        <v/>
      </c>
      <c r="AX1683" s="61">
        <f>IF(C1683="","",IF(COUNTIF($C$5:C1683,C1683)=1,MAX($AX$4:AX1682)+1,""))</f>
        <v/>
      </c>
      <c r="AY1683" s="61">
        <f>IF(B1683="","",HOUR(B1683))</f>
        <v/>
      </c>
      <c r="AZ1683" s="61">
        <f>IF(A1683="","",MOD(A1683-2,7)+1)</f>
        <v/>
      </c>
      <c r="BA1683" s="60">
        <f>IF(C1683="","",IFERROR(INDEX('Prospects'!$N$5:$N$504,MATCH(C1683,'Prospects'!$C$5:$C$504,0)),""))</f>
        <v/>
      </c>
      <c r="BB1683" s="61">
        <f>IF(AND(C1683&lt;&gt;"",C1683='Fiche prospect'!$C$4),COUNTIF($C$5:C1683,C1683),"")</f>
        <v/>
      </c>
    </row>
    <row r="1684">
      <c r="A1684" s="53" t="n"/>
      <c r="B1684" s="54" t="n"/>
      <c r="C1684" s="55" t="n"/>
      <c r="D1684" s="55" t="n"/>
      <c r="E1684" s="55" t="n"/>
      <c r="F1684" s="55" t="n"/>
      <c r="G1684" s="56" t="n"/>
      <c r="H1684" s="57" t="n"/>
      <c r="I1684" s="55" t="n"/>
      <c r="J1684" s="53" t="n"/>
      <c r="K1684" s="54" t="n"/>
      <c r="L1684" s="55" t="n"/>
      <c r="M1684" s="55" t="n"/>
      <c r="N1684" s="57" t="n"/>
      <c r="O1684" s="55" t="n"/>
      <c r="P1684" s="56" t="n"/>
      <c r="Q1684" s="55" t="n"/>
      <c r="R1684" s="55" t="n"/>
      <c r="S1684" s="55" t="n"/>
      <c r="T1684" s="55" t="n"/>
      <c r="U1684" s="55" t="n"/>
      <c r="V1684" s="55" t="n"/>
      <c r="W1684" s="58" t="n"/>
      <c r="X1684" s="58" t="n"/>
      <c r="Y1684" s="55" t="n"/>
      <c r="Z1684" s="55" t="n"/>
      <c r="AA1684" s="55" t="n"/>
      <c r="AB1684" s="55" t="n"/>
      <c r="AC1684" s="55" t="n"/>
      <c r="AD1684" s="53" t="n"/>
      <c r="AE1684" s="55" t="n"/>
      <c r="AF1684" s="55" t="n"/>
      <c r="AG1684" s="59" t="n"/>
      <c r="AH1684" s="57" t="n"/>
      <c r="AI1684" s="55" t="n"/>
      <c r="AJ1684" s="55" t="n"/>
      <c r="AK1684" s="55" t="n"/>
      <c r="AL1684" s="55" t="n"/>
      <c r="AM1684" s="56" t="n"/>
      <c r="AN1684" s="55" t="n"/>
      <c r="AO1684" s="55" t="n"/>
      <c r="AP1684" s="55" t="n"/>
      <c r="AQ1684" s="55" t="n"/>
      <c r="AR1684" s="60">
        <f>IF(AND(C1684="",E1684=""),"",IF(A1684="","⚠ Date manquante",IF(AND(C1684="",E1684&lt;&gt;"Dépense"),"⚠ Prospect manquant",IF(E1684="","⚠ Action manquante",IF(AND(AU1684=1,D1684=""),"⚠ Canal manquant",IF(AND(W1684&lt;&gt;"",COUNTIFS('Saisie'!$W$5:$W$2004,W1684,'Saisie'!$C$5:$C$2004,"&lt;&gt;"&amp;C1684)&gt;0),"⚠ Numéro déjà utilisé par un autre prospect",IF(AND(J1684&lt;&gt;"",J1684&lt;A1684),"⚠ Relance avant la date de l'action",IF(A1684&gt;TODAY(),"⚠ Date dans le futur","✓"))))))))</f>
        <v/>
      </c>
      <c r="AS1684" s="61">
        <f>IF(AND(A1684="",C1684="",E1684=""),"",ROW())</f>
        <v/>
      </c>
      <c r="AT1684" s="61">
        <f>IF(E1684&amp;F1684="","",MAX(IFERROR(INDEX('Paramètres'!$J$6:$J$33,MATCH(E1684,'Paramètres'!$I$6:$I$33,0)),0),IFERROR(INDEX('Paramètres'!$N$6:$N$17,MATCH(F1684,'Paramètres'!$M$6:$M$17,0)),0)))</f>
        <v/>
      </c>
      <c r="AU1684" s="61">
        <f>IF(E1684="","",IFERROR(IF(INDEX('Paramètres'!$K$6:$K$33,MATCH(E1684,'Paramètres'!$I$6:$I$33,0))="Oui",1,0),0))</f>
        <v/>
      </c>
      <c r="AV1684" s="61">
        <f>IF(F1684="","",IFERROR(IF(INDEX('Paramètres'!$O$6:$O$17,MATCH(F1684,'Paramètres'!$M$6:$M$17,0))="Oui",1,0),0))</f>
        <v/>
      </c>
      <c r="AW1684" s="62">
        <f>IF(E1684="","",IF(G1684&lt;&gt;"",G1684,IF(OR(E1684="Proposition envoyée",E1684="Signature"),MAX(0,N(IFERROR(INDEX('Paramètres'!$R$6:$R$15,MATCH(IF(AL1684&lt;&gt;"",AL1684,IFERROR(INDEX('Prospects'!$AN$5:$AN$504,MATCH(C1684,'Prospects'!$C$5:$C$504,0)),"")),'Paramètres'!$Q$6:$Q$15,0)),0))-N(P1684)),0)))</f>
        <v/>
      </c>
      <c r="AX1684" s="61">
        <f>IF(C1684="","",IF(COUNTIF($C$5:C1684,C1684)=1,MAX($AX$4:AX1683)+1,""))</f>
        <v/>
      </c>
      <c r="AY1684" s="61">
        <f>IF(B1684="","",HOUR(B1684))</f>
        <v/>
      </c>
      <c r="AZ1684" s="61">
        <f>IF(A1684="","",MOD(A1684-2,7)+1)</f>
        <v/>
      </c>
      <c r="BA1684" s="60">
        <f>IF(C1684="","",IFERROR(INDEX('Prospects'!$N$5:$N$504,MATCH(C1684,'Prospects'!$C$5:$C$504,0)),""))</f>
        <v/>
      </c>
      <c r="BB1684" s="61">
        <f>IF(AND(C1684&lt;&gt;"",C1684='Fiche prospect'!$C$4),COUNTIF($C$5:C1684,C1684),"")</f>
        <v/>
      </c>
    </row>
    <row r="1685">
      <c r="A1685" s="53" t="n"/>
      <c r="B1685" s="54" t="n"/>
      <c r="C1685" s="55" t="n"/>
      <c r="D1685" s="55" t="n"/>
      <c r="E1685" s="55" t="n"/>
      <c r="F1685" s="55" t="n"/>
      <c r="G1685" s="56" t="n"/>
      <c r="H1685" s="57" t="n"/>
      <c r="I1685" s="55" t="n"/>
      <c r="J1685" s="53" t="n"/>
      <c r="K1685" s="54" t="n"/>
      <c r="L1685" s="55" t="n"/>
      <c r="M1685" s="55" t="n"/>
      <c r="N1685" s="57" t="n"/>
      <c r="O1685" s="55" t="n"/>
      <c r="P1685" s="56" t="n"/>
      <c r="Q1685" s="55" t="n"/>
      <c r="R1685" s="55" t="n"/>
      <c r="S1685" s="55" t="n"/>
      <c r="T1685" s="55" t="n"/>
      <c r="U1685" s="55" t="n"/>
      <c r="V1685" s="55" t="n"/>
      <c r="W1685" s="58" t="n"/>
      <c r="X1685" s="58" t="n"/>
      <c r="Y1685" s="55" t="n"/>
      <c r="Z1685" s="55" t="n"/>
      <c r="AA1685" s="55" t="n"/>
      <c r="AB1685" s="55" t="n"/>
      <c r="AC1685" s="55" t="n"/>
      <c r="AD1685" s="53" t="n"/>
      <c r="AE1685" s="55" t="n"/>
      <c r="AF1685" s="55" t="n"/>
      <c r="AG1685" s="59" t="n"/>
      <c r="AH1685" s="57" t="n"/>
      <c r="AI1685" s="55" t="n"/>
      <c r="AJ1685" s="55" t="n"/>
      <c r="AK1685" s="55" t="n"/>
      <c r="AL1685" s="55" t="n"/>
      <c r="AM1685" s="56" t="n"/>
      <c r="AN1685" s="55" t="n"/>
      <c r="AO1685" s="55" t="n"/>
      <c r="AP1685" s="55" t="n"/>
      <c r="AQ1685" s="55" t="n"/>
      <c r="AR1685" s="60">
        <f>IF(AND(C1685="",E1685=""),"",IF(A1685="","⚠ Date manquante",IF(AND(C1685="",E1685&lt;&gt;"Dépense"),"⚠ Prospect manquant",IF(E1685="","⚠ Action manquante",IF(AND(AU1685=1,D1685=""),"⚠ Canal manquant",IF(AND(W1685&lt;&gt;"",COUNTIFS('Saisie'!$W$5:$W$2004,W1685,'Saisie'!$C$5:$C$2004,"&lt;&gt;"&amp;C1685)&gt;0),"⚠ Numéro déjà utilisé par un autre prospect",IF(AND(J1685&lt;&gt;"",J1685&lt;A1685),"⚠ Relance avant la date de l'action",IF(A1685&gt;TODAY(),"⚠ Date dans le futur","✓"))))))))</f>
        <v/>
      </c>
      <c r="AS1685" s="61">
        <f>IF(AND(A1685="",C1685="",E1685=""),"",ROW())</f>
        <v/>
      </c>
      <c r="AT1685" s="61">
        <f>IF(E1685&amp;F1685="","",MAX(IFERROR(INDEX('Paramètres'!$J$6:$J$33,MATCH(E1685,'Paramètres'!$I$6:$I$33,0)),0),IFERROR(INDEX('Paramètres'!$N$6:$N$17,MATCH(F1685,'Paramètres'!$M$6:$M$17,0)),0)))</f>
        <v/>
      </c>
      <c r="AU1685" s="61">
        <f>IF(E1685="","",IFERROR(IF(INDEX('Paramètres'!$K$6:$K$33,MATCH(E1685,'Paramètres'!$I$6:$I$33,0))="Oui",1,0),0))</f>
        <v/>
      </c>
      <c r="AV1685" s="61">
        <f>IF(F1685="","",IFERROR(IF(INDEX('Paramètres'!$O$6:$O$17,MATCH(F1685,'Paramètres'!$M$6:$M$17,0))="Oui",1,0),0))</f>
        <v/>
      </c>
      <c r="AW1685" s="62">
        <f>IF(E1685="","",IF(G1685&lt;&gt;"",G1685,IF(OR(E1685="Proposition envoyée",E1685="Signature"),MAX(0,N(IFERROR(INDEX('Paramètres'!$R$6:$R$15,MATCH(IF(AL1685&lt;&gt;"",AL1685,IFERROR(INDEX('Prospects'!$AN$5:$AN$504,MATCH(C1685,'Prospects'!$C$5:$C$504,0)),"")),'Paramètres'!$Q$6:$Q$15,0)),0))-N(P1685)),0)))</f>
        <v/>
      </c>
      <c r="AX1685" s="61">
        <f>IF(C1685="","",IF(COUNTIF($C$5:C1685,C1685)=1,MAX($AX$4:AX1684)+1,""))</f>
        <v/>
      </c>
      <c r="AY1685" s="61">
        <f>IF(B1685="","",HOUR(B1685))</f>
        <v/>
      </c>
      <c r="AZ1685" s="61">
        <f>IF(A1685="","",MOD(A1685-2,7)+1)</f>
        <v/>
      </c>
      <c r="BA1685" s="60">
        <f>IF(C1685="","",IFERROR(INDEX('Prospects'!$N$5:$N$504,MATCH(C1685,'Prospects'!$C$5:$C$504,0)),""))</f>
        <v/>
      </c>
      <c r="BB1685" s="61">
        <f>IF(AND(C1685&lt;&gt;"",C1685='Fiche prospect'!$C$4),COUNTIF($C$5:C1685,C1685),"")</f>
        <v/>
      </c>
    </row>
    <row r="1686">
      <c r="A1686" s="53" t="n"/>
      <c r="B1686" s="54" t="n"/>
      <c r="C1686" s="55" t="n"/>
      <c r="D1686" s="55" t="n"/>
      <c r="E1686" s="55" t="n"/>
      <c r="F1686" s="55" t="n"/>
      <c r="G1686" s="56" t="n"/>
      <c r="H1686" s="57" t="n"/>
      <c r="I1686" s="55" t="n"/>
      <c r="J1686" s="53" t="n"/>
      <c r="K1686" s="54" t="n"/>
      <c r="L1686" s="55" t="n"/>
      <c r="M1686" s="55" t="n"/>
      <c r="N1686" s="57" t="n"/>
      <c r="O1686" s="55" t="n"/>
      <c r="P1686" s="56" t="n"/>
      <c r="Q1686" s="55" t="n"/>
      <c r="R1686" s="55" t="n"/>
      <c r="S1686" s="55" t="n"/>
      <c r="T1686" s="55" t="n"/>
      <c r="U1686" s="55" t="n"/>
      <c r="V1686" s="55" t="n"/>
      <c r="W1686" s="58" t="n"/>
      <c r="X1686" s="58" t="n"/>
      <c r="Y1686" s="55" t="n"/>
      <c r="Z1686" s="55" t="n"/>
      <c r="AA1686" s="55" t="n"/>
      <c r="AB1686" s="55" t="n"/>
      <c r="AC1686" s="55" t="n"/>
      <c r="AD1686" s="53" t="n"/>
      <c r="AE1686" s="55" t="n"/>
      <c r="AF1686" s="55" t="n"/>
      <c r="AG1686" s="59" t="n"/>
      <c r="AH1686" s="57" t="n"/>
      <c r="AI1686" s="55" t="n"/>
      <c r="AJ1686" s="55" t="n"/>
      <c r="AK1686" s="55" t="n"/>
      <c r="AL1686" s="55" t="n"/>
      <c r="AM1686" s="56" t="n"/>
      <c r="AN1686" s="55" t="n"/>
      <c r="AO1686" s="55" t="n"/>
      <c r="AP1686" s="55" t="n"/>
      <c r="AQ1686" s="55" t="n"/>
      <c r="AR1686" s="60">
        <f>IF(AND(C1686="",E1686=""),"",IF(A1686="","⚠ Date manquante",IF(AND(C1686="",E1686&lt;&gt;"Dépense"),"⚠ Prospect manquant",IF(E1686="","⚠ Action manquante",IF(AND(AU1686=1,D1686=""),"⚠ Canal manquant",IF(AND(W1686&lt;&gt;"",COUNTIFS('Saisie'!$W$5:$W$2004,W1686,'Saisie'!$C$5:$C$2004,"&lt;&gt;"&amp;C1686)&gt;0),"⚠ Numéro déjà utilisé par un autre prospect",IF(AND(J1686&lt;&gt;"",J1686&lt;A1686),"⚠ Relance avant la date de l'action",IF(A1686&gt;TODAY(),"⚠ Date dans le futur","✓"))))))))</f>
        <v/>
      </c>
      <c r="AS1686" s="61">
        <f>IF(AND(A1686="",C1686="",E1686=""),"",ROW())</f>
        <v/>
      </c>
      <c r="AT1686" s="61">
        <f>IF(E1686&amp;F1686="","",MAX(IFERROR(INDEX('Paramètres'!$J$6:$J$33,MATCH(E1686,'Paramètres'!$I$6:$I$33,0)),0),IFERROR(INDEX('Paramètres'!$N$6:$N$17,MATCH(F1686,'Paramètres'!$M$6:$M$17,0)),0)))</f>
        <v/>
      </c>
      <c r="AU1686" s="61">
        <f>IF(E1686="","",IFERROR(IF(INDEX('Paramètres'!$K$6:$K$33,MATCH(E1686,'Paramètres'!$I$6:$I$33,0))="Oui",1,0),0))</f>
        <v/>
      </c>
      <c r="AV1686" s="61">
        <f>IF(F1686="","",IFERROR(IF(INDEX('Paramètres'!$O$6:$O$17,MATCH(F1686,'Paramètres'!$M$6:$M$17,0))="Oui",1,0),0))</f>
        <v/>
      </c>
      <c r="AW1686" s="62">
        <f>IF(E1686="","",IF(G1686&lt;&gt;"",G1686,IF(OR(E1686="Proposition envoyée",E1686="Signature"),MAX(0,N(IFERROR(INDEX('Paramètres'!$R$6:$R$15,MATCH(IF(AL1686&lt;&gt;"",AL1686,IFERROR(INDEX('Prospects'!$AN$5:$AN$504,MATCH(C1686,'Prospects'!$C$5:$C$504,0)),"")),'Paramètres'!$Q$6:$Q$15,0)),0))-N(P1686)),0)))</f>
        <v/>
      </c>
      <c r="AX1686" s="61">
        <f>IF(C1686="","",IF(COUNTIF($C$5:C1686,C1686)=1,MAX($AX$4:AX1685)+1,""))</f>
        <v/>
      </c>
      <c r="AY1686" s="61">
        <f>IF(B1686="","",HOUR(B1686))</f>
        <v/>
      </c>
      <c r="AZ1686" s="61">
        <f>IF(A1686="","",MOD(A1686-2,7)+1)</f>
        <v/>
      </c>
      <c r="BA1686" s="60">
        <f>IF(C1686="","",IFERROR(INDEX('Prospects'!$N$5:$N$504,MATCH(C1686,'Prospects'!$C$5:$C$504,0)),""))</f>
        <v/>
      </c>
      <c r="BB1686" s="61">
        <f>IF(AND(C1686&lt;&gt;"",C1686='Fiche prospect'!$C$4),COUNTIF($C$5:C1686,C1686),"")</f>
        <v/>
      </c>
    </row>
    <row r="1687">
      <c r="A1687" s="53" t="n"/>
      <c r="B1687" s="54" t="n"/>
      <c r="C1687" s="55" t="n"/>
      <c r="D1687" s="55" t="n"/>
      <c r="E1687" s="55" t="n"/>
      <c r="F1687" s="55" t="n"/>
      <c r="G1687" s="56" t="n"/>
      <c r="H1687" s="57" t="n"/>
      <c r="I1687" s="55" t="n"/>
      <c r="J1687" s="53" t="n"/>
      <c r="K1687" s="54" t="n"/>
      <c r="L1687" s="55" t="n"/>
      <c r="M1687" s="55" t="n"/>
      <c r="N1687" s="57" t="n"/>
      <c r="O1687" s="55" t="n"/>
      <c r="P1687" s="56" t="n"/>
      <c r="Q1687" s="55" t="n"/>
      <c r="R1687" s="55" t="n"/>
      <c r="S1687" s="55" t="n"/>
      <c r="T1687" s="55" t="n"/>
      <c r="U1687" s="55" t="n"/>
      <c r="V1687" s="55" t="n"/>
      <c r="W1687" s="58" t="n"/>
      <c r="X1687" s="58" t="n"/>
      <c r="Y1687" s="55" t="n"/>
      <c r="Z1687" s="55" t="n"/>
      <c r="AA1687" s="55" t="n"/>
      <c r="AB1687" s="55" t="n"/>
      <c r="AC1687" s="55" t="n"/>
      <c r="AD1687" s="53" t="n"/>
      <c r="AE1687" s="55" t="n"/>
      <c r="AF1687" s="55" t="n"/>
      <c r="AG1687" s="59" t="n"/>
      <c r="AH1687" s="57" t="n"/>
      <c r="AI1687" s="55" t="n"/>
      <c r="AJ1687" s="55" t="n"/>
      <c r="AK1687" s="55" t="n"/>
      <c r="AL1687" s="55" t="n"/>
      <c r="AM1687" s="56" t="n"/>
      <c r="AN1687" s="55" t="n"/>
      <c r="AO1687" s="55" t="n"/>
      <c r="AP1687" s="55" t="n"/>
      <c r="AQ1687" s="55" t="n"/>
      <c r="AR1687" s="60">
        <f>IF(AND(C1687="",E1687=""),"",IF(A1687="","⚠ Date manquante",IF(AND(C1687="",E1687&lt;&gt;"Dépense"),"⚠ Prospect manquant",IF(E1687="","⚠ Action manquante",IF(AND(AU1687=1,D1687=""),"⚠ Canal manquant",IF(AND(W1687&lt;&gt;"",COUNTIFS('Saisie'!$W$5:$W$2004,W1687,'Saisie'!$C$5:$C$2004,"&lt;&gt;"&amp;C1687)&gt;0),"⚠ Numéro déjà utilisé par un autre prospect",IF(AND(J1687&lt;&gt;"",J1687&lt;A1687),"⚠ Relance avant la date de l'action",IF(A1687&gt;TODAY(),"⚠ Date dans le futur","✓"))))))))</f>
        <v/>
      </c>
      <c r="AS1687" s="61">
        <f>IF(AND(A1687="",C1687="",E1687=""),"",ROW())</f>
        <v/>
      </c>
      <c r="AT1687" s="61">
        <f>IF(E1687&amp;F1687="","",MAX(IFERROR(INDEX('Paramètres'!$J$6:$J$33,MATCH(E1687,'Paramètres'!$I$6:$I$33,0)),0),IFERROR(INDEX('Paramètres'!$N$6:$N$17,MATCH(F1687,'Paramètres'!$M$6:$M$17,0)),0)))</f>
        <v/>
      </c>
      <c r="AU1687" s="61">
        <f>IF(E1687="","",IFERROR(IF(INDEX('Paramètres'!$K$6:$K$33,MATCH(E1687,'Paramètres'!$I$6:$I$33,0))="Oui",1,0),0))</f>
        <v/>
      </c>
      <c r="AV1687" s="61">
        <f>IF(F1687="","",IFERROR(IF(INDEX('Paramètres'!$O$6:$O$17,MATCH(F1687,'Paramètres'!$M$6:$M$17,0))="Oui",1,0),0))</f>
        <v/>
      </c>
      <c r="AW1687" s="62">
        <f>IF(E1687="","",IF(G1687&lt;&gt;"",G1687,IF(OR(E1687="Proposition envoyée",E1687="Signature"),MAX(0,N(IFERROR(INDEX('Paramètres'!$R$6:$R$15,MATCH(IF(AL1687&lt;&gt;"",AL1687,IFERROR(INDEX('Prospects'!$AN$5:$AN$504,MATCH(C1687,'Prospects'!$C$5:$C$504,0)),"")),'Paramètres'!$Q$6:$Q$15,0)),0))-N(P1687)),0)))</f>
        <v/>
      </c>
      <c r="AX1687" s="61">
        <f>IF(C1687="","",IF(COUNTIF($C$5:C1687,C1687)=1,MAX($AX$4:AX1686)+1,""))</f>
        <v/>
      </c>
      <c r="AY1687" s="61">
        <f>IF(B1687="","",HOUR(B1687))</f>
        <v/>
      </c>
      <c r="AZ1687" s="61">
        <f>IF(A1687="","",MOD(A1687-2,7)+1)</f>
        <v/>
      </c>
      <c r="BA1687" s="60">
        <f>IF(C1687="","",IFERROR(INDEX('Prospects'!$N$5:$N$504,MATCH(C1687,'Prospects'!$C$5:$C$504,0)),""))</f>
        <v/>
      </c>
      <c r="BB1687" s="61">
        <f>IF(AND(C1687&lt;&gt;"",C1687='Fiche prospect'!$C$4),COUNTIF($C$5:C1687,C1687),"")</f>
        <v/>
      </c>
    </row>
    <row r="1688">
      <c r="A1688" s="53" t="n"/>
      <c r="B1688" s="54" t="n"/>
      <c r="C1688" s="55" t="n"/>
      <c r="D1688" s="55" t="n"/>
      <c r="E1688" s="55" t="n"/>
      <c r="F1688" s="55" t="n"/>
      <c r="G1688" s="56" t="n"/>
      <c r="H1688" s="57" t="n"/>
      <c r="I1688" s="55" t="n"/>
      <c r="J1688" s="53" t="n"/>
      <c r="K1688" s="54" t="n"/>
      <c r="L1688" s="55" t="n"/>
      <c r="M1688" s="55" t="n"/>
      <c r="N1688" s="57" t="n"/>
      <c r="O1688" s="55" t="n"/>
      <c r="P1688" s="56" t="n"/>
      <c r="Q1688" s="55" t="n"/>
      <c r="R1688" s="55" t="n"/>
      <c r="S1688" s="55" t="n"/>
      <c r="T1688" s="55" t="n"/>
      <c r="U1688" s="55" t="n"/>
      <c r="V1688" s="55" t="n"/>
      <c r="W1688" s="58" t="n"/>
      <c r="X1688" s="58" t="n"/>
      <c r="Y1688" s="55" t="n"/>
      <c r="Z1688" s="55" t="n"/>
      <c r="AA1688" s="55" t="n"/>
      <c r="AB1688" s="55" t="n"/>
      <c r="AC1688" s="55" t="n"/>
      <c r="AD1688" s="53" t="n"/>
      <c r="AE1688" s="55" t="n"/>
      <c r="AF1688" s="55" t="n"/>
      <c r="AG1688" s="59" t="n"/>
      <c r="AH1688" s="57" t="n"/>
      <c r="AI1688" s="55" t="n"/>
      <c r="AJ1688" s="55" t="n"/>
      <c r="AK1688" s="55" t="n"/>
      <c r="AL1688" s="55" t="n"/>
      <c r="AM1688" s="56" t="n"/>
      <c r="AN1688" s="55" t="n"/>
      <c r="AO1688" s="55" t="n"/>
      <c r="AP1688" s="55" t="n"/>
      <c r="AQ1688" s="55" t="n"/>
      <c r="AR1688" s="60">
        <f>IF(AND(C1688="",E1688=""),"",IF(A1688="","⚠ Date manquante",IF(AND(C1688="",E1688&lt;&gt;"Dépense"),"⚠ Prospect manquant",IF(E1688="","⚠ Action manquante",IF(AND(AU1688=1,D1688=""),"⚠ Canal manquant",IF(AND(W1688&lt;&gt;"",COUNTIFS('Saisie'!$W$5:$W$2004,W1688,'Saisie'!$C$5:$C$2004,"&lt;&gt;"&amp;C1688)&gt;0),"⚠ Numéro déjà utilisé par un autre prospect",IF(AND(J1688&lt;&gt;"",J1688&lt;A1688),"⚠ Relance avant la date de l'action",IF(A1688&gt;TODAY(),"⚠ Date dans le futur","✓"))))))))</f>
        <v/>
      </c>
      <c r="AS1688" s="61">
        <f>IF(AND(A1688="",C1688="",E1688=""),"",ROW())</f>
        <v/>
      </c>
      <c r="AT1688" s="61">
        <f>IF(E1688&amp;F1688="","",MAX(IFERROR(INDEX('Paramètres'!$J$6:$J$33,MATCH(E1688,'Paramètres'!$I$6:$I$33,0)),0),IFERROR(INDEX('Paramètres'!$N$6:$N$17,MATCH(F1688,'Paramètres'!$M$6:$M$17,0)),0)))</f>
        <v/>
      </c>
      <c r="AU1688" s="61">
        <f>IF(E1688="","",IFERROR(IF(INDEX('Paramètres'!$K$6:$K$33,MATCH(E1688,'Paramètres'!$I$6:$I$33,0))="Oui",1,0),0))</f>
        <v/>
      </c>
      <c r="AV1688" s="61">
        <f>IF(F1688="","",IFERROR(IF(INDEX('Paramètres'!$O$6:$O$17,MATCH(F1688,'Paramètres'!$M$6:$M$17,0))="Oui",1,0),0))</f>
        <v/>
      </c>
      <c r="AW1688" s="62">
        <f>IF(E1688="","",IF(G1688&lt;&gt;"",G1688,IF(OR(E1688="Proposition envoyée",E1688="Signature"),MAX(0,N(IFERROR(INDEX('Paramètres'!$R$6:$R$15,MATCH(IF(AL1688&lt;&gt;"",AL1688,IFERROR(INDEX('Prospects'!$AN$5:$AN$504,MATCH(C1688,'Prospects'!$C$5:$C$504,0)),"")),'Paramètres'!$Q$6:$Q$15,0)),0))-N(P1688)),0)))</f>
        <v/>
      </c>
      <c r="AX1688" s="61">
        <f>IF(C1688="","",IF(COUNTIF($C$5:C1688,C1688)=1,MAX($AX$4:AX1687)+1,""))</f>
        <v/>
      </c>
      <c r="AY1688" s="61">
        <f>IF(B1688="","",HOUR(B1688))</f>
        <v/>
      </c>
      <c r="AZ1688" s="61">
        <f>IF(A1688="","",MOD(A1688-2,7)+1)</f>
        <v/>
      </c>
      <c r="BA1688" s="60">
        <f>IF(C1688="","",IFERROR(INDEX('Prospects'!$N$5:$N$504,MATCH(C1688,'Prospects'!$C$5:$C$504,0)),""))</f>
        <v/>
      </c>
      <c r="BB1688" s="61">
        <f>IF(AND(C1688&lt;&gt;"",C1688='Fiche prospect'!$C$4),COUNTIF($C$5:C1688,C1688),"")</f>
        <v/>
      </c>
    </row>
    <row r="1689">
      <c r="A1689" s="53" t="n"/>
      <c r="B1689" s="54" t="n"/>
      <c r="C1689" s="55" t="n"/>
      <c r="D1689" s="55" t="n"/>
      <c r="E1689" s="55" t="n"/>
      <c r="F1689" s="55" t="n"/>
      <c r="G1689" s="56" t="n"/>
      <c r="H1689" s="57" t="n"/>
      <c r="I1689" s="55" t="n"/>
      <c r="J1689" s="53" t="n"/>
      <c r="K1689" s="54" t="n"/>
      <c r="L1689" s="55" t="n"/>
      <c r="M1689" s="55" t="n"/>
      <c r="N1689" s="57" t="n"/>
      <c r="O1689" s="55" t="n"/>
      <c r="P1689" s="56" t="n"/>
      <c r="Q1689" s="55" t="n"/>
      <c r="R1689" s="55" t="n"/>
      <c r="S1689" s="55" t="n"/>
      <c r="T1689" s="55" t="n"/>
      <c r="U1689" s="55" t="n"/>
      <c r="V1689" s="55" t="n"/>
      <c r="W1689" s="58" t="n"/>
      <c r="X1689" s="58" t="n"/>
      <c r="Y1689" s="55" t="n"/>
      <c r="Z1689" s="55" t="n"/>
      <c r="AA1689" s="55" t="n"/>
      <c r="AB1689" s="55" t="n"/>
      <c r="AC1689" s="55" t="n"/>
      <c r="AD1689" s="53" t="n"/>
      <c r="AE1689" s="55" t="n"/>
      <c r="AF1689" s="55" t="n"/>
      <c r="AG1689" s="59" t="n"/>
      <c r="AH1689" s="57" t="n"/>
      <c r="AI1689" s="55" t="n"/>
      <c r="AJ1689" s="55" t="n"/>
      <c r="AK1689" s="55" t="n"/>
      <c r="AL1689" s="55" t="n"/>
      <c r="AM1689" s="56" t="n"/>
      <c r="AN1689" s="55" t="n"/>
      <c r="AO1689" s="55" t="n"/>
      <c r="AP1689" s="55" t="n"/>
      <c r="AQ1689" s="55" t="n"/>
      <c r="AR1689" s="60">
        <f>IF(AND(C1689="",E1689=""),"",IF(A1689="","⚠ Date manquante",IF(AND(C1689="",E1689&lt;&gt;"Dépense"),"⚠ Prospect manquant",IF(E1689="","⚠ Action manquante",IF(AND(AU1689=1,D1689=""),"⚠ Canal manquant",IF(AND(W1689&lt;&gt;"",COUNTIFS('Saisie'!$W$5:$W$2004,W1689,'Saisie'!$C$5:$C$2004,"&lt;&gt;"&amp;C1689)&gt;0),"⚠ Numéro déjà utilisé par un autre prospect",IF(AND(J1689&lt;&gt;"",J1689&lt;A1689),"⚠ Relance avant la date de l'action",IF(A1689&gt;TODAY(),"⚠ Date dans le futur","✓"))))))))</f>
        <v/>
      </c>
      <c r="AS1689" s="61">
        <f>IF(AND(A1689="",C1689="",E1689=""),"",ROW())</f>
        <v/>
      </c>
      <c r="AT1689" s="61">
        <f>IF(E1689&amp;F1689="","",MAX(IFERROR(INDEX('Paramètres'!$J$6:$J$33,MATCH(E1689,'Paramètres'!$I$6:$I$33,0)),0),IFERROR(INDEX('Paramètres'!$N$6:$N$17,MATCH(F1689,'Paramètres'!$M$6:$M$17,0)),0)))</f>
        <v/>
      </c>
      <c r="AU1689" s="61">
        <f>IF(E1689="","",IFERROR(IF(INDEX('Paramètres'!$K$6:$K$33,MATCH(E1689,'Paramètres'!$I$6:$I$33,0))="Oui",1,0),0))</f>
        <v/>
      </c>
      <c r="AV1689" s="61">
        <f>IF(F1689="","",IFERROR(IF(INDEX('Paramètres'!$O$6:$O$17,MATCH(F1689,'Paramètres'!$M$6:$M$17,0))="Oui",1,0),0))</f>
        <v/>
      </c>
      <c r="AW1689" s="62">
        <f>IF(E1689="","",IF(G1689&lt;&gt;"",G1689,IF(OR(E1689="Proposition envoyée",E1689="Signature"),MAX(0,N(IFERROR(INDEX('Paramètres'!$R$6:$R$15,MATCH(IF(AL1689&lt;&gt;"",AL1689,IFERROR(INDEX('Prospects'!$AN$5:$AN$504,MATCH(C1689,'Prospects'!$C$5:$C$504,0)),"")),'Paramètres'!$Q$6:$Q$15,0)),0))-N(P1689)),0)))</f>
        <v/>
      </c>
      <c r="AX1689" s="61">
        <f>IF(C1689="","",IF(COUNTIF($C$5:C1689,C1689)=1,MAX($AX$4:AX1688)+1,""))</f>
        <v/>
      </c>
      <c r="AY1689" s="61">
        <f>IF(B1689="","",HOUR(B1689))</f>
        <v/>
      </c>
      <c r="AZ1689" s="61">
        <f>IF(A1689="","",MOD(A1689-2,7)+1)</f>
        <v/>
      </c>
      <c r="BA1689" s="60">
        <f>IF(C1689="","",IFERROR(INDEX('Prospects'!$N$5:$N$504,MATCH(C1689,'Prospects'!$C$5:$C$504,0)),""))</f>
        <v/>
      </c>
      <c r="BB1689" s="61">
        <f>IF(AND(C1689&lt;&gt;"",C1689='Fiche prospect'!$C$4),COUNTIF($C$5:C1689,C1689),"")</f>
        <v/>
      </c>
    </row>
    <row r="1690">
      <c r="A1690" s="53" t="n"/>
      <c r="B1690" s="54" t="n"/>
      <c r="C1690" s="55" t="n"/>
      <c r="D1690" s="55" t="n"/>
      <c r="E1690" s="55" t="n"/>
      <c r="F1690" s="55" t="n"/>
      <c r="G1690" s="56" t="n"/>
      <c r="H1690" s="57" t="n"/>
      <c r="I1690" s="55" t="n"/>
      <c r="J1690" s="53" t="n"/>
      <c r="K1690" s="54" t="n"/>
      <c r="L1690" s="55" t="n"/>
      <c r="M1690" s="55" t="n"/>
      <c r="N1690" s="57" t="n"/>
      <c r="O1690" s="55" t="n"/>
      <c r="P1690" s="56" t="n"/>
      <c r="Q1690" s="55" t="n"/>
      <c r="R1690" s="55" t="n"/>
      <c r="S1690" s="55" t="n"/>
      <c r="T1690" s="55" t="n"/>
      <c r="U1690" s="55" t="n"/>
      <c r="V1690" s="55" t="n"/>
      <c r="W1690" s="58" t="n"/>
      <c r="X1690" s="58" t="n"/>
      <c r="Y1690" s="55" t="n"/>
      <c r="Z1690" s="55" t="n"/>
      <c r="AA1690" s="55" t="n"/>
      <c r="AB1690" s="55" t="n"/>
      <c r="AC1690" s="55" t="n"/>
      <c r="AD1690" s="53" t="n"/>
      <c r="AE1690" s="55" t="n"/>
      <c r="AF1690" s="55" t="n"/>
      <c r="AG1690" s="59" t="n"/>
      <c r="AH1690" s="57" t="n"/>
      <c r="AI1690" s="55" t="n"/>
      <c r="AJ1690" s="55" t="n"/>
      <c r="AK1690" s="55" t="n"/>
      <c r="AL1690" s="55" t="n"/>
      <c r="AM1690" s="56" t="n"/>
      <c r="AN1690" s="55" t="n"/>
      <c r="AO1690" s="55" t="n"/>
      <c r="AP1690" s="55" t="n"/>
      <c r="AQ1690" s="55" t="n"/>
      <c r="AR1690" s="60">
        <f>IF(AND(C1690="",E1690=""),"",IF(A1690="","⚠ Date manquante",IF(AND(C1690="",E1690&lt;&gt;"Dépense"),"⚠ Prospect manquant",IF(E1690="","⚠ Action manquante",IF(AND(AU1690=1,D1690=""),"⚠ Canal manquant",IF(AND(W1690&lt;&gt;"",COUNTIFS('Saisie'!$W$5:$W$2004,W1690,'Saisie'!$C$5:$C$2004,"&lt;&gt;"&amp;C1690)&gt;0),"⚠ Numéro déjà utilisé par un autre prospect",IF(AND(J1690&lt;&gt;"",J1690&lt;A1690),"⚠ Relance avant la date de l'action",IF(A1690&gt;TODAY(),"⚠ Date dans le futur","✓"))))))))</f>
        <v/>
      </c>
      <c r="AS1690" s="61">
        <f>IF(AND(A1690="",C1690="",E1690=""),"",ROW())</f>
        <v/>
      </c>
      <c r="AT1690" s="61">
        <f>IF(E1690&amp;F1690="","",MAX(IFERROR(INDEX('Paramètres'!$J$6:$J$33,MATCH(E1690,'Paramètres'!$I$6:$I$33,0)),0),IFERROR(INDEX('Paramètres'!$N$6:$N$17,MATCH(F1690,'Paramètres'!$M$6:$M$17,0)),0)))</f>
        <v/>
      </c>
      <c r="AU1690" s="61">
        <f>IF(E1690="","",IFERROR(IF(INDEX('Paramètres'!$K$6:$K$33,MATCH(E1690,'Paramètres'!$I$6:$I$33,0))="Oui",1,0),0))</f>
        <v/>
      </c>
      <c r="AV1690" s="61">
        <f>IF(F1690="","",IFERROR(IF(INDEX('Paramètres'!$O$6:$O$17,MATCH(F1690,'Paramètres'!$M$6:$M$17,0))="Oui",1,0),0))</f>
        <v/>
      </c>
      <c r="AW1690" s="62">
        <f>IF(E1690="","",IF(G1690&lt;&gt;"",G1690,IF(OR(E1690="Proposition envoyée",E1690="Signature"),MAX(0,N(IFERROR(INDEX('Paramètres'!$R$6:$R$15,MATCH(IF(AL1690&lt;&gt;"",AL1690,IFERROR(INDEX('Prospects'!$AN$5:$AN$504,MATCH(C1690,'Prospects'!$C$5:$C$504,0)),"")),'Paramètres'!$Q$6:$Q$15,0)),0))-N(P1690)),0)))</f>
        <v/>
      </c>
      <c r="AX1690" s="61">
        <f>IF(C1690="","",IF(COUNTIF($C$5:C1690,C1690)=1,MAX($AX$4:AX1689)+1,""))</f>
        <v/>
      </c>
      <c r="AY1690" s="61">
        <f>IF(B1690="","",HOUR(B1690))</f>
        <v/>
      </c>
      <c r="AZ1690" s="61">
        <f>IF(A1690="","",MOD(A1690-2,7)+1)</f>
        <v/>
      </c>
      <c r="BA1690" s="60">
        <f>IF(C1690="","",IFERROR(INDEX('Prospects'!$N$5:$N$504,MATCH(C1690,'Prospects'!$C$5:$C$504,0)),""))</f>
        <v/>
      </c>
      <c r="BB1690" s="61">
        <f>IF(AND(C1690&lt;&gt;"",C1690='Fiche prospect'!$C$4),COUNTIF($C$5:C1690,C1690),"")</f>
        <v/>
      </c>
    </row>
    <row r="1691">
      <c r="A1691" s="53" t="n"/>
      <c r="B1691" s="54" t="n"/>
      <c r="C1691" s="55" t="n"/>
      <c r="D1691" s="55" t="n"/>
      <c r="E1691" s="55" t="n"/>
      <c r="F1691" s="55" t="n"/>
      <c r="G1691" s="56" t="n"/>
      <c r="H1691" s="57" t="n"/>
      <c r="I1691" s="55" t="n"/>
      <c r="J1691" s="53" t="n"/>
      <c r="K1691" s="54" t="n"/>
      <c r="L1691" s="55" t="n"/>
      <c r="M1691" s="55" t="n"/>
      <c r="N1691" s="57" t="n"/>
      <c r="O1691" s="55" t="n"/>
      <c r="P1691" s="56" t="n"/>
      <c r="Q1691" s="55" t="n"/>
      <c r="R1691" s="55" t="n"/>
      <c r="S1691" s="55" t="n"/>
      <c r="T1691" s="55" t="n"/>
      <c r="U1691" s="55" t="n"/>
      <c r="V1691" s="55" t="n"/>
      <c r="W1691" s="58" t="n"/>
      <c r="X1691" s="58" t="n"/>
      <c r="Y1691" s="55" t="n"/>
      <c r="Z1691" s="55" t="n"/>
      <c r="AA1691" s="55" t="n"/>
      <c r="AB1691" s="55" t="n"/>
      <c r="AC1691" s="55" t="n"/>
      <c r="AD1691" s="53" t="n"/>
      <c r="AE1691" s="55" t="n"/>
      <c r="AF1691" s="55" t="n"/>
      <c r="AG1691" s="59" t="n"/>
      <c r="AH1691" s="57" t="n"/>
      <c r="AI1691" s="55" t="n"/>
      <c r="AJ1691" s="55" t="n"/>
      <c r="AK1691" s="55" t="n"/>
      <c r="AL1691" s="55" t="n"/>
      <c r="AM1691" s="56" t="n"/>
      <c r="AN1691" s="55" t="n"/>
      <c r="AO1691" s="55" t="n"/>
      <c r="AP1691" s="55" t="n"/>
      <c r="AQ1691" s="55" t="n"/>
      <c r="AR1691" s="60">
        <f>IF(AND(C1691="",E1691=""),"",IF(A1691="","⚠ Date manquante",IF(AND(C1691="",E1691&lt;&gt;"Dépense"),"⚠ Prospect manquant",IF(E1691="","⚠ Action manquante",IF(AND(AU1691=1,D1691=""),"⚠ Canal manquant",IF(AND(W1691&lt;&gt;"",COUNTIFS('Saisie'!$W$5:$W$2004,W1691,'Saisie'!$C$5:$C$2004,"&lt;&gt;"&amp;C1691)&gt;0),"⚠ Numéro déjà utilisé par un autre prospect",IF(AND(J1691&lt;&gt;"",J1691&lt;A1691),"⚠ Relance avant la date de l'action",IF(A1691&gt;TODAY(),"⚠ Date dans le futur","✓"))))))))</f>
        <v/>
      </c>
      <c r="AS1691" s="61">
        <f>IF(AND(A1691="",C1691="",E1691=""),"",ROW())</f>
        <v/>
      </c>
      <c r="AT1691" s="61">
        <f>IF(E1691&amp;F1691="","",MAX(IFERROR(INDEX('Paramètres'!$J$6:$J$33,MATCH(E1691,'Paramètres'!$I$6:$I$33,0)),0),IFERROR(INDEX('Paramètres'!$N$6:$N$17,MATCH(F1691,'Paramètres'!$M$6:$M$17,0)),0)))</f>
        <v/>
      </c>
      <c r="AU1691" s="61">
        <f>IF(E1691="","",IFERROR(IF(INDEX('Paramètres'!$K$6:$K$33,MATCH(E1691,'Paramètres'!$I$6:$I$33,0))="Oui",1,0),0))</f>
        <v/>
      </c>
      <c r="AV1691" s="61">
        <f>IF(F1691="","",IFERROR(IF(INDEX('Paramètres'!$O$6:$O$17,MATCH(F1691,'Paramètres'!$M$6:$M$17,0))="Oui",1,0),0))</f>
        <v/>
      </c>
      <c r="AW1691" s="62">
        <f>IF(E1691="","",IF(G1691&lt;&gt;"",G1691,IF(OR(E1691="Proposition envoyée",E1691="Signature"),MAX(0,N(IFERROR(INDEX('Paramètres'!$R$6:$R$15,MATCH(IF(AL1691&lt;&gt;"",AL1691,IFERROR(INDEX('Prospects'!$AN$5:$AN$504,MATCH(C1691,'Prospects'!$C$5:$C$504,0)),"")),'Paramètres'!$Q$6:$Q$15,0)),0))-N(P1691)),0)))</f>
        <v/>
      </c>
      <c r="AX1691" s="61">
        <f>IF(C1691="","",IF(COUNTIF($C$5:C1691,C1691)=1,MAX($AX$4:AX1690)+1,""))</f>
        <v/>
      </c>
      <c r="AY1691" s="61">
        <f>IF(B1691="","",HOUR(B1691))</f>
        <v/>
      </c>
      <c r="AZ1691" s="61">
        <f>IF(A1691="","",MOD(A1691-2,7)+1)</f>
        <v/>
      </c>
      <c r="BA1691" s="60">
        <f>IF(C1691="","",IFERROR(INDEX('Prospects'!$N$5:$N$504,MATCH(C1691,'Prospects'!$C$5:$C$504,0)),""))</f>
        <v/>
      </c>
      <c r="BB1691" s="61">
        <f>IF(AND(C1691&lt;&gt;"",C1691='Fiche prospect'!$C$4),COUNTIF($C$5:C1691,C1691),"")</f>
        <v/>
      </c>
    </row>
    <row r="1692">
      <c r="A1692" s="53" t="n"/>
      <c r="B1692" s="54" t="n"/>
      <c r="C1692" s="55" t="n"/>
      <c r="D1692" s="55" t="n"/>
      <c r="E1692" s="55" t="n"/>
      <c r="F1692" s="55" t="n"/>
      <c r="G1692" s="56" t="n"/>
      <c r="H1692" s="57" t="n"/>
      <c r="I1692" s="55" t="n"/>
      <c r="J1692" s="53" t="n"/>
      <c r="K1692" s="54" t="n"/>
      <c r="L1692" s="55" t="n"/>
      <c r="M1692" s="55" t="n"/>
      <c r="N1692" s="57" t="n"/>
      <c r="O1692" s="55" t="n"/>
      <c r="P1692" s="56" t="n"/>
      <c r="Q1692" s="55" t="n"/>
      <c r="R1692" s="55" t="n"/>
      <c r="S1692" s="55" t="n"/>
      <c r="T1692" s="55" t="n"/>
      <c r="U1692" s="55" t="n"/>
      <c r="V1692" s="55" t="n"/>
      <c r="W1692" s="58" t="n"/>
      <c r="X1692" s="58" t="n"/>
      <c r="Y1692" s="55" t="n"/>
      <c r="Z1692" s="55" t="n"/>
      <c r="AA1692" s="55" t="n"/>
      <c r="AB1692" s="55" t="n"/>
      <c r="AC1692" s="55" t="n"/>
      <c r="AD1692" s="53" t="n"/>
      <c r="AE1692" s="55" t="n"/>
      <c r="AF1692" s="55" t="n"/>
      <c r="AG1692" s="59" t="n"/>
      <c r="AH1692" s="57" t="n"/>
      <c r="AI1692" s="55" t="n"/>
      <c r="AJ1692" s="55" t="n"/>
      <c r="AK1692" s="55" t="n"/>
      <c r="AL1692" s="55" t="n"/>
      <c r="AM1692" s="56" t="n"/>
      <c r="AN1692" s="55" t="n"/>
      <c r="AO1692" s="55" t="n"/>
      <c r="AP1692" s="55" t="n"/>
      <c r="AQ1692" s="55" t="n"/>
      <c r="AR1692" s="60">
        <f>IF(AND(C1692="",E1692=""),"",IF(A1692="","⚠ Date manquante",IF(AND(C1692="",E1692&lt;&gt;"Dépense"),"⚠ Prospect manquant",IF(E1692="","⚠ Action manquante",IF(AND(AU1692=1,D1692=""),"⚠ Canal manquant",IF(AND(W1692&lt;&gt;"",COUNTIFS('Saisie'!$W$5:$W$2004,W1692,'Saisie'!$C$5:$C$2004,"&lt;&gt;"&amp;C1692)&gt;0),"⚠ Numéro déjà utilisé par un autre prospect",IF(AND(J1692&lt;&gt;"",J1692&lt;A1692),"⚠ Relance avant la date de l'action",IF(A1692&gt;TODAY(),"⚠ Date dans le futur","✓"))))))))</f>
        <v/>
      </c>
      <c r="AS1692" s="61">
        <f>IF(AND(A1692="",C1692="",E1692=""),"",ROW())</f>
        <v/>
      </c>
      <c r="AT1692" s="61">
        <f>IF(E1692&amp;F1692="","",MAX(IFERROR(INDEX('Paramètres'!$J$6:$J$33,MATCH(E1692,'Paramètres'!$I$6:$I$33,0)),0),IFERROR(INDEX('Paramètres'!$N$6:$N$17,MATCH(F1692,'Paramètres'!$M$6:$M$17,0)),0)))</f>
        <v/>
      </c>
      <c r="AU1692" s="61">
        <f>IF(E1692="","",IFERROR(IF(INDEX('Paramètres'!$K$6:$K$33,MATCH(E1692,'Paramètres'!$I$6:$I$33,0))="Oui",1,0),0))</f>
        <v/>
      </c>
      <c r="AV1692" s="61">
        <f>IF(F1692="","",IFERROR(IF(INDEX('Paramètres'!$O$6:$O$17,MATCH(F1692,'Paramètres'!$M$6:$M$17,0))="Oui",1,0),0))</f>
        <v/>
      </c>
      <c r="AW1692" s="62">
        <f>IF(E1692="","",IF(G1692&lt;&gt;"",G1692,IF(OR(E1692="Proposition envoyée",E1692="Signature"),MAX(0,N(IFERROR(INDEX('Paramètres'!$R$6:$R$15,MATCH(IF(AL1692&lt;&gt;"",AL1692,IFERROR(INDEX('Prospects'!$AN$5:$AN$504,MATCH(C1692,'Prospects'!$C$5:$C$504,0)),"")),'Paramètres'!$Q$6:$Q$15,0)),0))-N(P1692)),0)))</f>
        <v/>
      </c>
      <c r="AX1692" s="61">
        <f>IF(C1692="","",IF(COUNTIF($C$5:C1692,C1692)=1,MAX($AX$4:AX1691)+1,""))</f>
        <v/>
      </c>
      <c r="AY1692" s="61">
        <f>IF(B1692="","",HOUR(B1692))</f>
        <v/>
      </c>
      <c r="AZ1692" s="61">
        <f>IF(A1692="","",MOD(A1692-2,7)+1)</f>
        <v/>
      </c>
      <c r="BA1692" s="60">
        <f>IF(C1692="","",IFERROR(INDEX('Prospects'!$N$5:$N$504,MATCH(C1692,'Prospects'!$C$5:$C$504,0)),""))</f>
        <v/>
      </c>
      <c r="BB1692" s="61">
        <f>IF(AND(C1692&lt;&gt;"",C1692='Fiche prospect'!$C$4),COUNTIF($C$5:C1692,C1692),"")</f>
        <v/>
      </c>
    </row>
    <row r="1693">
      <c r="A1693" s="53" t="n"/>
      <c r="B1693" s="54" t="n"/>
      <c r="C1693" s="55" t="n"/>
      <c r="D1693" s="55" t="n"/>
      <c r="E1693" s="55" t="n"/>
      <c r="F1693" s="55" t="n"/>
      <c r="G1693" s="56" t="n"/>
      <c r="H1693" s="57" t="n"/>
      <c r="I1693" s="55" t="n"/>
      <c r="J1693" s="53" t="n"/>
      <c r="K1693" s="54" t="n"/>
      <c r="L1693" s="55" t="n"/>
      <c r="M1693" s="55" t="n"/>
      <c r="N1693" s="57" t="n"/>
      <c r="O1693" s="55" t="n"/>
      <c r="P1693" s="56" t="n"/>
      <c r="Q1693" s="55" t="n"/>
      <c r="R1693" s="55" t="n"/>
      <c r="S1693" s="55" t="n"/>
      <c r="T1693" s="55" t="n"/>
      <c r="U1693" s="55" t="n"/>
      <c r="V1693" s="55" t="n"/>
      <c r="W1693" s="58" t="n"/>
      <c r="X1693" s="58" t="n"/>
      <c r="Y1693" s="55" t="n"/>
      <c r="Z1693" s="55" t="n"/>
      <c r="AA1693" s="55" t="n"/>
      <c r="AB1693" s="55" t="n"/>
      <c r="AC1693" s="55" t="n"/>
      <c r="AD1693" s="53" t="n"/>
      <c r="AE1693" s="55" t="n"/>
      <c r="AF1693" s="55" t="n"/>
      <c r="AG1693" s="59" t="n"/>
      <c r="AH1693" s="57" t="n"/>
      <c r="AI1693" s="55" t="n"/>
      <c r="AJ1693" s="55" t="n"/>
      <c r="AK1693" s="55" t="n"/>
      <c r="AL1693" s="55" t="n"/>
      <c r="AM1693" s="56" t="n"/>
      <c r="AN1693" s="55" t="n"/>
      <c r="AO1693" s="55" t="n"/>
      <c r="AP1693" s="55" t="n"/>
      <c r="AQ1693" s="55" t="n"/>
      <c r="AR1693" s="60">
        <f>IF(AND(C1693="",E1693=""),"",IF(A1693="","⚠ Date manquante",IF(AND(C1693="",E1693&lt;&gt;"Dépense"),"⚠ Prospect manquant",IF(E1693="","⚠ Action manquante",IF(AND(AU1693=1,D1693=""),"⚠ Canal manquant",IF(AND(W1693&lt;&gt;"",COUNTIFS('Saisie'!$W$5:$W$2004,W1693,'Saisie'!$C$5:$C$2004,"&lt;&gt;"&amp;C1693)&gt;0),"⚠ Numéro déjà utilisé par un autre prospect",IF(AND(J1693&lt;&gt;"",J1693&lt;A1693),"⚠ Relance avant la date de l'action",IF(A1693&gt;TODAY(),"⚠ Date dans le futur","✓"))))))))</f>
        <v/>
      </c>
      <c r="AS1693" s="61">
        <f>IF(AND(A1693="",C1693="",E1693=""),"",ROW())</f>
        <v/>
      </c>
      <c r="AT1693" s="61">
        <f>IF(E1693&amp;F1693="","",MAX(IFERROR(INDEX('Paramètres'!$J$6:$J$33,MATCH(E1693,'Paramètres'!$I$6:$I$33,0)),0),IFERROR(INDEX('Paramètres'!$N$6:$N$17,MATCH(F1693,'Paramètres'!$M$6:$M$17,0)),0)))</f>
        <v/>
      </c>
      <c r="AU1693" s="61">
        <f>IF(E1693="","",IFERROR(IF(INDEX('Paramètres'!$K$6:$K$33,MATCH(E1693,'Paramètres'!$I$6:$I$33,0))="Oui",1,0),0))</f>
        <v/>
      </c>
      <c r="AV1693" s="61">
        <f>IF(F1693="","",IFERROR(IF(INDEX('Paramètres'!$O$6:$O$17,MATCH(F1693,'Paramètres'!$M$6:$M$17,0))="Oui",1,0),0))</f>
        <v/>
      </c>
      <c r="AW1693" s="62">
        <f>IF(E1693="","",IF(G1693&lt;&gt;"",G1693,IF(OR(E1693="Proposition envoyée",E1693="Signature"),MAX(0,N(IFERROR(INDEX('Paramètres'!$R$6:$R$15,MATCH(IF(AL1693&lt;&gt;"",AL1693,IFERROR(INDEX('Prospects'!$AN$5:$AN$504,MATCH(C1693,'Prospects'!$C$5:$C$504,0)),"")),'Paramètres'!$Q$6:$Q$15,0)),0))-N(P1693)),0)))</f>
        <v/>
      </c>
      <c r="AX1693" s="61">
        <f>IF(C1693="","",IF(COUNTIF($C$5:C1693,C1693)=1,MAX($AX$4:AX1692)+1,""))</f>
        <v/>
      </c>
      <c r="AY1693" s="61">
        <f>IF(B1693="","",HOUR(B1693))</f>
        <v/>
      </c>
      <c r="AZ1693" s="61">
        <f>IF(A1693="","",MOD(A1693-2,7)+1)</f>
        <v/>
      </c>
      <c r="BA1693" s="60">
        <f>IF(C1693="","",IFERROR(INDEX('Prospects'!$N$5:$N$504,MATCH(C1693,'Prospects'!$C$5:$C$504,0)),""))</f>
        <v/>
      </c>
      <c r="BB1693" s="61">
        <f>IF(AND(C1693&lt;&gt;"",C1693='Fiche prospect'!$C$4),COUNTIF($C$5:C1693,C1693),"")</f>
        <v/>
      </c>
    </row>
    <row r="1694">
      <c r="A1694" s="53" t="n"/>
      <c r="B1694" s="54" t="n"/>
      <c r="C1694" s="55" t="n"/>
      <c r="D1694" s="55" t="n"/>
      <c r="E1694" s="55" t="n"/>
      <c r="F1694" s="55" t="n"/>
      <c r="G1694" s="56" t="n"/>
      <c r="H1694" s="57" t="n"/>
      <c r="I1694" s="55" t="n"/>
      <c r="J1694" s="53" t="n"/>
      <c r="K1694" s="54" t="n"/>
      <c r="L1694" s="55" t="n"/>
      <c r="M1694" s="55" t="n"/>
      <c r="N1694" s="57" t="n"/>
      <c r="O1694" s="55" t="n"/>
      <c r="P1694" s="56" t="n"/>
      <c r="Q1694" s="55" t="n"/>
      <c r="R1694" s="55" t="n"/>
      <c r="S1694" s="55" t="n"/>
      <c r="T1694" s="55" t="n"/>
      <c r="U1694" s="55" t="n"/>
      <c r="V1694" s="55" t="n"/>
      <c r="W1694" s="58" t="n"/>
      <c r="X1694" s="58" t="n"/>
      <c r="Y1694" s="55" t="n"/>
      <c r="Z1694" s="55" t="n"/>
      <c r="AA1694" s="55" t="n"/>
      <c r="AB1694" s="55" t="n"/>
      <c r="AC1694" s="55" t="n"/>
      <c r="AD1694" s="53" t="n"/>
      <c r="AE1694" s="55" t="n"/>
      <c r="AF1694" s="55" t="n"/>
      <c r="AG1694" s="59" t="n"/>
      <c r="AH1694" s="57" t="n"/>
      <c r="AI1694" s="55" t="n"/>
      <c r="AJ1694" s="55" t="n"/>
      <c r="AK1694" s="55" t="n"/>
      <c r="AL1694" s="55" t="n"/>
      <c r="AM1694" s="56" t="n"/>
      <c r="AN1694" s="55" t="n"/>
      <c r="AO1694" s="55" t="n"/>
      <c r="AP1694" s="55" t="n"/>
      <c r="AQ1694" s="55" t="n"/>
      <c r="AR1694" s="60">
        <f>IF(AND(C1694="",E1694=""),"",IF(A1694="","⚠ Date manquante",IF(AND(C1694="",E1694&lt;&gt;"Dépense"),"⚠ Prospect manquant",IF(E1694="","⚠ Action manquante",IF(AND(AU1694=1,D1694=""),"⚠ Canal manquant",IF(AND(W1694&lt;&gt;"",COUNTIFS('Saisie'!$W$5:$W$2004,W1694,'Saisie'!$C$5:$C$2004,"&lt;&gt;"&amp;C1694)&gt;0),"⚠ Numéro déjà utilisé par un autre prospect",IF(AND(J1694&lt;&gt;"",J1694&lt;A1694),"⚠ Relance avant la date de l'action",IF(A1694&gt;TODAY(),"⚠ Date dans le futur","✓"))))))))</f>
        <v/>
      </c>
      <c r="AS1694" s="61">
        <f>IF(AND(A1694="",C1694="",E1694=""),"",ROW())</f>
        <v/>
      </c>
      <c r="AT1694" s="61">
        <f>IF(E1694&amp;F1694="","",MAX(IFERROR(INDEX('Paramètres'!$J$6:$J$33,MATCH(E1694,'Paramètres'!$I$6:$I$33,0)),0),IFERROR(INDEX('Paramètres'!$N$6:$N$17,MATCH(F1694,'Paramètres'!$M$6:$M$17,0)),0)))</f>
        <v/>
      </c>
      <c r="AU1694" s="61">
        <f>IF(E1694="","",IFERROR(IF(INDEX('Paramètres'!$K$6:$K$33,MATCH(E1694,'Paramètres'!$I$6:$I$33,0))="Oui",1,0),0))</f>
        <v/>
      </c>
      <c r="AV1694" s="61">
        <f>IF(F1694="","",IFERROR(IF(INDEX('Paramètres'!$O$6:$O$17,MATCH(F1694,'Paramètres'!$M$6:$M$17,0))="Oui",1,0),0))</f>
        <v/>
      </c>
      <c r="AW1694" s="62">
        <f>IF(E1694="","",IF(G1694&lt;&gt;"",G1694,IF(OR(E1694="Proposition envoyée",E1694="Signature"),MAX(0,N(IFERROR(INDEX('Paramètres'!$R$6:$R$15,MATCH(IF(AL1694&lt;&gt;"",AL1694,IFERROR(INDEX('Prospects'!$AN$5:$AN$504,MATCH(C1694,'Prospects'!$C$5:$C$504,0)),"")),'Paramètres'!$Q$6:$Q$15,0)),0))-N(P1694)),0)))</f>
        <v/>
      </c>
      <c r="AX1694" s="61">
        <f>IF(C1694="","",IF(COUNTIF($C$5:C1694,C1694)=1,MAX($AX$4:AX1693)+1,""))</f>
        <v/>
      </c>
      <c r="AY1694" s="61">
        <f>IF(B1694="","",HOUR(B1694))</f>
        <v/>
      </c>
      <c r="AZ1694" s="61">
        <f>IF(A1694="","",MOD(A1694-2,7)+1)</f>
        <v/>
      </c>
      <c r="BA1694" s="60">
        <f>IF(C1694="","",IFERROR(INDEX('Prospects'!$N$5:$N$504,MATCH(C1694,'Prospects'!$C$5:$C$504,0)),""))</f>
        <v/>
      </c>
      <c r="BB1694" s="61">
        <f>IF(AND(C1694&lt;&gt;"",C1694='Fiche prospect'!$C$4),COUNTIF($C$5:C1694,C1694),"")</f>
        <v/>
      </c>
    </row>
    <row r="1695">
      <c r="A1695" s="53" t="n"/>
      <c r="B1695" s="54" t="n"/>
      <c r="C1695" s="55" t="n"/>
      <c r="D1695" s="55" t="n"/>
      <c r="E1695" s="55" t="n"/>
      <c r="F1695" s="55" t="n"/>
      <c r="G1695" s="56" t="n"/>
      <c r="H1695" s="57" t="n"/>
      <c r="I1695" s="55" t="n"/>
      <c r="J1695" s="53" t="n"/>
      <c r="K1695" s="54" t="n"/>
      <c r="L1695" s="55" t="n"/>
      <c r="M1695" s="55" t="n"/>
      <c r="N1695" s="57" t="n"/>
      <c r="O1695" s="55" t="n"/>
      <c r="P1695" s="56" t="n"/>
      <c r="Q1695" s="55" t="n"/>
      <c r="R1695" s="55" t="n"/>
      <c r="S1695" s="55" t="n"/>
      <c r="T1695" s="55" t="n"/>
      <c r="U1695" s="55" t="n"/>
      <c r="V1695" s="55" t="n"/>
      <c r="W1695" s="58" t="n"/>
      <c r="X1695" s="58" t="n"/>
      <c r="Y1695" s="55" t="n"/>
      <c r="Z1695" s="55" t="n"/>
      <c r="AA1695" s="55" t="n"/>
      <c r="AB1695" s="55" t="n"/>
      <c r="AC1695" s="55" t="n"/>
      <c r="AD1695" s="53" t="n"/>
      <c r="AE1695" s="55" t="n"/>
      <c r="AF1695" s="55" t="n"/>
      <c r="AG1695" s="59" t="n"/>
      <c r="AH1695" s="57" t="n"/>
      <c r="AI1695" s="55" t="n"/>
      <c r="AJ1695" s="55" t="n"/>
      <c r="AK1695" s="55" t="n"/>
      <c r="AL1695" s="55" t="n"/>
      <c r="AM1695" s="56" t="n"/>
      <c r="AN1695" s="55" t="n"/>
      <c r="AO1695" s="55" t="n"/>
      <c r="AP1695" s="55" t="n"/>
      <c r="AQ1695" s="55" t="n"/>
      <c r="AR1695" s="60">
        <f>IF(AND(C1695="",E1695=""),"",IF(A1695="","⚠ Date manquante",IF(AND(C1695="",E1695&lt;&gt;"Dépense"),"⚠ Prospect manquant",IF(E1695="","⚠ Action manquante",IF(AND(AU1695=1,D1695=""),"⚠ Canal manquant",IF(AND(W1695&lt;&gt;"",COUNTIFS('Saisie'!$W$5:$W$2004,W1695,'Saisie'!$C$5:$C$2004,"&lt;&gt;"&amp;C1695)&gt;0),"⚠ Numéro déjà utilisé par un autre prospect",IF(AND(J1695&lt;&gt;"",J1695&lt;A1695),"⚠ Relance avant la date de l'action",IF(A1695&gt;TODAY(),"⚠ Date dans le futur","✓"))))))))</f>
        <v/>
      </c>
      <c r="AS1695" s="61">
        <f>IF(AND(A1695="",C1695="",E1695=""),"",ROW())</f>
        <v/>
      </c>
      <c r="AT1695" s="61">
        <f>IF(E1695&amp;F1695="","",MAX(IFERROR(INDEX('Paramètres'!$J$6:$J$33,MATCH(E1695,'Paramètres'!$I$6:$I$33,0)),0),IFERROR(INDEX('Paramètres'!$N$6:$N$17,MATCH(F1695,'Paramètres'!$M$6:$M$17,0)),0)))</f>
        <v/>
      </c>
      <c r="AU1695" s="61">
        <f>IF(E1695="","",IFERROR(IF(INDEX('Paramètres'!$K$6:$K$33,MATCH(E1695,'Paramètres'!$I$6:$I$33,0))="Oui",1,0),0))</f>
        <v/>
      </c>
      <c r="AV1695" s="61">
        <f>IF(F1695="","",IFERROR(IF(INDEX('Paramètres'!$O$6:$O$17,MATCH(F1695,'Paramètres'!$M$6:$M$17,0))="Oui",1,0),0))</f>
        <v/>
      </c>
      <c r="AW1695" s="62">
        <f>IF(E1695="","",IF(G1695&lt;&gt;"",G1695,IF(OR(E1695="Proposition envoyée",E1695="Signature"),MAX(0,N(IFERROR(INDEX('Paramètres'!$R$6:$R$15,MATCH(IF(AL1695&lt;&gt;"",AL1695,IFERROR(INDEX('Prospects'!$AN$5:$AN$504,MATCH(C1695,'Prospects'!$C$5:$C$504,0)),"")),'Paramètres'!$Q$6:$Q$15,0)),0))-N(P1695)),0)))</f>
        <v/>
      </c>
      <c r="AX1695" s="61">
        <f>IF(C1695="","",IF(COUNTIF($C$5:C1695,C1695)=1,MAX($AX$4:AX1694)+1,""))</f>
        <v/>
      </c>
      <c r="AY1695" s="61">
        <f>IF(B1695="","",HOUR(B1695))</f>
        <v/>
      </c>
      <c r="AZ1695" s="61">
        <f>IF(A1695="","",MOD(A1695-2,7)+1)</f>
        <v/>
      </c>
      <c r="BA1695" s="60">
        <f>IF(C1695="","",IFERROR(INDEX('Prospects'!$N$5:$N$504,MATCH(C1695,'Prospects'!$C$5:$C$504,0)),""))</f>
        <v/>
      </c>
      <c r="BB1695" s="61">
        <f>IF(AND(C1695&lt;&gt;"",C1695='Fiche prospect'!$C$4),COUNTIF($C$5:C1695,C1695),"")</f>
        <v/>
      </c>
    </row>
    <row r="1696">
      <c r="A1696" s="53" t="n"/>
      <c r="B1696" s="54" t="n"/>
      <c r="C1696" s="55" t="n"/>
      <c r="D1696" s="55" t="n"/>
      <c r="E1696" s="55" t="n"/>
      <c r="F1696" s="55" t="n"/>
      <c r="G1696" s="56" t="n"/>
      <c r="H1696" s="57" t="n"/>
      <c r="I1696" s="55" t="n"/>
      <c r="J1696" s="53" t="n"/>
      <c r="K1696" s="54" t="n"/>
      <c r="L1696" s="55" t="n"/>
      <c r="M1696" s="55" t="n"/>
      <c r="N1696" s="57" t="n"/>
      <c r="O1696" s="55" t="n"/>
      <c r="P1696" s="56" t="n"/>
      <c r="Q1696" s="55" t="n"/>
      <c r="R1696" s="55" t="n"/>
      <c r="S1696" s="55" t="n"/>
      <c r="T1696" s="55" t="n"/>
      <c r="U1696" s="55" t="n"/>
      <c r="V1696" s="55" t="n"/>
      <c r="W1696" s="58" t="n"/>
      <c r="X1696" s="58" t="n"/>
      <c r="Y1696" s="55" t="n"/>
      <c r="Z1696" s="55" t="n"/>
      <c r="AA1696" s="55" t="n"/>
      <c r="AB1696" s="55" t="n"/>
      <c r="AC1696" s="55" t="n"/>
      <c r="AD1696" s="53" t="n"/>
      <c r="AE1696" s="55" t="n"/>
      <c r="AF1696" s="55" t="n"/>
      <c r="AG1696" s="59" t="n"/>
      <c r="AH1696" s="57" t="n"/>
      <c r="AI1696" s="55" t="n"/>
      <c r="AJ1696" s="55" t="n"/>
      <c r="AK1696" s="55" t="n"/>
      <c r="AL1696" s="55" t="n"/>
      <c r="AM1696" s="56" t="n"/>
      <c r="AN1696" s="55" t="n"/>
      <c r="AO1696" s="55" t="n"/>
      <c r="AP1696" s="55" t="n"/>
      <c r="AQ1696" s="55" t="n"/>
      <c r="AR1696" s="60">
        <f>IF(AND(C1696="",E1696=""),"",IF(A1696="","⚠ Date manquante",IF(AND(C1696="",E1696&lt;&gt;"Dépense"),"⚠ Prospect manquant",IF(E1696="","⚠ Action manquante",IF(AND(AU1696=1,D1696=""),"⚠ Canal manquant",IF(AND(W1696&lt;&gt;"",COUNTIFS('Saisie'!$W$5:$W$2004,W1696,'Saisie'!$C$5:$C$2004,"&lt;&gt;"&amp;C1696)&gt;0),"⚠ Numéro déjà utilisé par un autre prospect",IF(AND(J1696&lt;&gt;"",J1696&lt;A1696),"⚠ Relance avant la date de l'action",IF(A1696&gt;TODAY(),"⚠ Date dans le futur","✓"))))))))</f>
        <v/>
      </c>
      <c r="AS1696" s="61">
        <f>IF(AND(A1696="",C1696="",E1696=""),"",ROW())</f>
        <v/>
      </c>
      <c r="AT1696" s="61">
        <f>IF(E1696&amp;F1696="","",MAX(IFERROR(INDEX('Paramètres'!$J$6:$J$33,MATCH(E1696,'Paramètres'!$I$6:$I$33,0)),0),IFERROR(INDEX('Paramètres'!$N$6:$N$17,MATCH(F1696,'Paramètres'!$M$6:$M$17,0)),0)))</f>
        <v/>
      </c>
      <c r="AU1696" s="61">
        <f>IF(E1696="","",IFERROR(IF(INDEX('Paramètres'!$K$6:$K$33,MATCH(E1696,'Paramètres'!$I$6:$I$33,0))="Oui",1,0),0))</f>
        <v/>
      </c>
      <c r="AV1696" s="61">
        <f>IF(F1696="","",IFERROR(IF(INDEX('Paramètres'!$O$6:$O$17,MATCH(F1696,'Paramètres'!$M$6:$M$17,0))="Oui",1,0),0))</f>
        <v/>
      </c>
      <c r="AW1696" s="62">
        <f>IF(E1696="","",IF(G1696&lt;&gt;"",G1696,IF(OR(E1696="Proposition envoyée",E1696="Signature"),MAX(0,N(IFERROR(INDEX('Paramètres'!$R$6:$R$15,MATCH(IF(AL1696&lt;&gt;"",AL1696,IFERROR(INDEX('Prospects'!$AN$5:$AN$504,MATCH(C1696,'Prospects'!$C$5:$C$504,0)),"")),'Paramètres'!$Q$6:$Q$15,0)),0))-N(P1696)),0)))</f>
        <v/>
      </c>
      <c r="AX1696" s="61">
        <f>IF(C1696="","",IF(COUNTIF($C$5:C1696,C1696)=1,MAX($AX$4:AX1695)+1,""))</f>
        <v/>
      </c>
      <c r="AY1696" s="61">
        <f>IF(B1696="","",HOUR(B1696))</f>
        <v/>
      </c>
      <c r="AZ1696" s="61">
        <f>IF(A1696="","",MOD(A1696-2,7)+1)</f>
        <v/>
      </c>
      <c r="BA1696" s="60">
        <f>IF(C1696="","",IFERROR(INDEX('Prospects'!$N$5:$N$504,MATCH(C1696,'Prospects'!$C$5:$C$504,0)),""))</f>
        <v/>
      </c>
      <c r="BB1696" s="61">
        <f>IF(AND(C1696&lt;&gt;"",C1696='Fiche prospect'!$C$4),COUNTIF($C$5:C1696,C1696),"")</f>
        <v/>
      </c>
    </row>
    <row r="1697">
      <c r="A1697" s="53" t="n"/>
      <c r="B1697" s="54" t="n"/>
      <c r="C1697" s="55" t="n"/>
      <c r="D1697" s="55" t="n"/>
      <c r="E1697" s="55" t="n"/>
      <c r="F1697" s="55" t="n"/>
      <c r="G1697" s="56" t="n"/>
      <c r="H1697" s="57" t="n"/>
      <c r="I1697" s="55" t="n"/>
      <c r="J1697" s="53" t="n"/>
      <c r="K1697" s="54" t="n"/>
      <c r="L1697" s="55" t="n"/>
      <c r="M1697" s="55" t="n"/>
      <c r="N1697" s="57" t="n"/>
      <c r="O1697" s="55" t="n"/>
      <c r="P1697" s="56" t="n"/>
      <c r="Q1697" s="55" t="n"/>
      <c r="R1697" s="55" t="n"/>
      <c r="S1697" s="55" t="n"/>
      <c r="T1697" s="55" t="n"/>
      <c r="U1697" s="55" t="n"/>
      <c r="V1697" s="55" t="n"/>
      <c r="W1697" s="58" t="n"/>
      <c r="X1697" s="58" t="n"/>
      <c r="Y1697" s="55" t="n"/>
      <c r="Z1697" s="55" t="n"/>
      <c r="AA1697" s="55" t="n"/>
      <c r="AB1697" s="55" t="n"/>
      <c r="AC1697" s="55" t="n"/>
      <c r="AD1697" s="53" t="n"/>
      <c r="AE1697" s="55" t="n"/>
      <c r="AF1697" s="55" t="n"/>
      <c r="AG1697" s="59" t="n"/>
      <c r="AH1697" s="57" t="n"/>
      <c r="AI1697" s="55" t="n"/>
      <c r="AJ1697" s="55" t="n"/>
      <c r="AK1697" s="55" t="n"/>
      <c r="AL1697" s="55" t="n"/>
      <c r="AM1697" s="56" t="n"/>
      <c r="AN1697" s="55" t="n"/>
      <c r="AO1697" s="55" t="n"/>
      <c r="AP1697" s="55" t="n"/>
      <c r="AQ1697" s="55" t="n"/>
      <c r="AR1697" s="60">
        <f>IF(AND(C1697="",E1697=""),"",IF(A1697="","⚠ Date manquante",IF(AND(C1697="",E1697&lt;&gt;"Dépense"),"⚠ Prospect manquant",IF(E1697="","⚠ Action manquante",IF(AND(AU1697=1,D1697=""),"⚠ Canal manquant",IF(AND(W1697&lt;&gt;"",COUNTIFS('Saisie'!$W$5:$W$2004,W1697,'Saisie'!$C$5:$C$2004,"&lt;&gt;"&amp;C1697)&gt;0),"⚠ Numéro déjà utilisé par un autre prospect",IF(AND(J1697&lt;&gt;"",J1697&lt;A1697),"⚠ Relance avant la date de l'action",IF(A1697&gt;TODAY(),"⚠ Date dans le futur","✓"))))))))</f>
        <v/>
      </c>
      <c r="AS1697" s="61">
        <f>IF(AND(A1697="",C1697="",E1697=""),"",ROW())</f>
        <v/>
      </c>
      <c r="AT1697" s="61">
        <f>IF(E1697&amp;F1697="","",MAX(IFERROR(INDEX('Paramètres'!$J$6:$J$33,MATCH(E1697,'Paramètres'!$I$6:$I$33,0)),0),IFERROR(INDEX('Paramètres'!$N$6:$N$17,MATCH(F1697,'Paramètres'!$M$6:$M$17,0)),0)))</f>
        <v/>
      </c>
      <c r="AU1697" s="61">
        <f>IF(E1697="","",IFERROR(IF(INDEX('Paramètres'!$K$6:$K$33,MATCH(E1697,'Paramètres'!$I$6:$I$33,0))="Oui",1,0),0))</f>
        <v/>
      </c>
      <c r="AV1697" s="61">
        <f>IF(F1697="","",IFERROR(IF(INDEX('Paramètres'!$O$6:$O$17,MATCH(F1697,'Paramètres'!$M$6:$M$17,0))="Oui",1,0),0))</f>
        <v/>
      </c>
      <c r="AW1697" s="62">
        <f>IF(E1697="","",IF(G1697&lt;&gt;"",G1697,IF(OR(E1697="Proposition envoyée",E1697="Signature"),MAX(0,N(IFERROR(INDEX('Paramètres'!$R$6:$R$15,MATCH(IF(AL1697&lt;&gt;"",AL1697,IFERROR(INDEX('Prospects'!$AN$5:$AN$504,MATCH(C1697,'Prospects'!$C$5:$C$504,0)),"")),'Paramètres'!$Q$6:$Q$15,0)),0))-N(P1697)),0)))</f>
        <v/>
      </c>
      <c r="AX1697" s="61">
        <f>IF(C1697="","",IF(COUNTIF($C$5:C1697,C1697)=1,MAX($AX$4:AX1696)+1,""))</f>
        <v/>
      </c>
      <c r="AY1697" s="61">
        <f>IF(B1697="","",HOUR(B1697))</f>
        <v/>
      </c>
      <c r="AZ1697" s="61">
        <f>IF(A1697="","",MOD(A1697-2,7)+1)</f>
        <v/>
      </c>
      <c r="BA1697" s="60">
        <f>IF(C1697="","",IFERROR(INDEX('Prospects'!$N$5:$N$504,MATCH(C1697,'Prospects'!$C$5:$C$504,0)),""))</f>
        <v/>
      </c>
      <c r="BB1697" s="61">
        <f>IF(AND(C1697&lt;&gt;"",C1697='Fiche prospect'!$C$4),COUNTIF($C$5:C1697,C1697),"")</f>
        <v/>
      </c>
    </row>
    <row r="1698">
      <c r="A1698" s="53" t="n"/>
      <c r="B1698" s="54" t="n"/>
      <c r="C1698" s="55" t="n"/>
      <c r="D1698" s="55" t="n"/>
      <c r="E1698" s="55" t="n"/>
      <c r="F1698" s="55" t="n"/>
      <c r="G1698" s="56" t="n"/>
      <c r="H1698" s="57" t="n"/>
      <c r="I1698" s="55" t="n"/>
      <c r="J1698" s="53" t="n"/>
      <c r="K1698" s="54" t="n"/>
      <c r="L1698" s="55" t="n"/>
      <c r="M1698" s="55" t="n"/>
      <c r="N1698" s="57" t="n"/>
      <c r="O1698" s="55" t="n"/>
      <c r="P1698" s="56" t="n"/>
      <c r="Q1698" s="55" t="n"/>
      <c r="R1698" s="55" t="n"/>
      <c r="S1698" s="55" t="n"/>
      <c r="T1698" s="55" t="n"/>
      <c r="U1698" s="55" t="n"/>
      <c r="V1698" s="55" t="n"/>
      <c r="W1698" s="58" t="n"/>
      <c r="X1698" s="58" t="n"/>
      <c r="Y1698" s="55" t="n"/>
      <c r="Z1698" s="55" t="n"/>
      <c r="AA1698" s="55" t="n"/>
      <c r="AB1698" s="55" t="n"/>
      <c r="AC1698" s="55" t="n"/>
      <c r="AD1698" s="53" t="n"/>
      <c r="AE1698" s="55" t="n"/>
      <c r="AF1698" s="55" t="n"/>
      <c r="AG1698" s="59" t="n"/>
      <c r="AH1698" s="57" t="n"/>
      <c r="AI1698" s="55" t="n"/>
      <c r="AJ1698" s="55" t="n"/>
      <c r="AK1698" s="55" t="n"/>
      <c r="AL1698" s="55" t="n"/>
      <c r="AM1698" s="56" t="n"/>
      <c r="AN1698" s="55" t="n"/>
      <c r="AO1698" s="55" t="n"/>
      <c r="AP1698" s="55" t="n"/>
      <c r="AQ1698" s="55" t="n"/>
      <c r="AR1698" s="60">
        <f>IF(AND(C1698="",E1698=""),"",IF(A1698="","⚠ Date manquante",IF(AND(C1698="",E1698&lt;&gt;"Dépense"),"⚠ Prospect manquant",IF(E1698="","⚠ Action manquante",IF(AND(AU1698=1,D1698=""),"⚠ Canal manquant",IF(AND(W1698&lt;&gt;"",COUNTIFS('Saisie'!$W$5:$W$2004,W1698,'Saisie'!$C$5:$C$2004,"&lt;&gt;"&amp;C1698)&gt;0),"⚠ Numéro déjà utilisé par un autre prospect",IF(AND(J1698&lt;&gt;"",J1698&lt;A1698),"⚠ Relance avant la date de l'action",IF(A1698&gt;TODAY(),"⚠ Date dans le futur","✓"))))))))</f>
        <v/>
      </c>
      <c r="AS1698" s="61">
        <f>IF(AND(A1698="",C1698="",E1698=""),"",ROW())</f>
        <v/>
      </c>
      <c r="AT1698" s="61">
        <f>IF(E1698&amp;F1698="","",MAX(IFERROR(INDEX('Paramètres'!$J$6:$J$33,MATCH(E1698,'Paramètres'!$I$6:$I$33,0)),0),IFERROR(INDEX('Paramètres'!$N$6:$N$17,MATCH(F1698,'Paramètres'!$M$6:$M$17,0)),0)))</f>
        <v/>
      </c>
      <c r="AU1698" s="61">
        <f>IF(E1698="","",IFERROR(IF(INDEX('Paramètres'!$K$6:$K$33,MATCH(E1698,'Paramètres'!$I$6:$I$33,0))="Oui",1,0),0))</f>
        <v/>
      </c>
      <c r="AV1698" s="61">
        <f>IF(F1698="","",IFERROR(IF(INDEX('Paramètres'!$O$6:$O$17,MATCH(F1698,'Paramètres'!$M$6:$M$17,0))="Oui",1,0),0))</f>
        <v/>
      </c>
      <c r="AW1698" s="62">
        <f>IF(E1698="","",IF(G1698&lt;&gt;"",G1698,IF(OR(E1698="Proposition envoyée",E1698="Signature"),MAX(0,N(IFERROR(INDEX('Paramètres'!$R$6:$R$15,MATCH(IF(AL1698&lt;&gt;"",AL1698,IFERROR(INDEX('Prospects'!$AN$5:$AN$504,MATCH(C1698,'Prospects'!$C$5:$C$504,0)),"")),'Paramètres'!$Q$6:$Q$15,0)),0))-N(P1698)),0)))</f>
        <v/>
      </c>
      <c r="AX1698" s="61">
        <f>IF(C1698="","",IF(COUNTIF($C$5:C1698,C1698)=1,MAX($AX$4:AX1697)+1,""))</f>
        <v/>
      </c>
      <c r="AY1698" s="61">
        <f>IF(B1698="","",HOUR(B1698))</f>
        <v/>
      </c>
      <c r="AZ1698" s="61">
        <f>IF(A1698="","",MOD(A1698-2,7)+1)</f>
        <v/>
      </c>
      <c r="BA1698" s="60">
        <f>IF(C1698="","",IFERROR(INDEX('Prospects'!$N$5:$N$504,MATCH(C1698,'Prospects'!$C$5:$C$504,0)),""))</f>
        <v/>
      </c>
      <c r="BB1698" s="61">
        <f>IF(AND(C1698&lt;&gt;"",C1698='Fiche prospect'!$C$4),COUNTIF($C$5:C1698,C1698),"")</f>
        <v/>
      </c>
    </row>
    <row r="1699">
      <c r="A1699" s="53" t="n"/>
      <c r="B1699" s="54" t="n"/>
      <c r="C1699" s="55" t="n"/>
      <c r="D1699" s="55" t="n"/>
      <c r="E1699" s="55" t="n"/>
      <c r="F1699" s="55" t="n"/>
      <c r="G1699" s="56" t="n"/>
      <c r="H1699" s="57" t="n"/>
      <c r="I1699" s="55" t="n"/>
      <c r="J1699" s="53" t="n"/>
      <c r="K1699" s="54" t="n"/>
      <c r="L1699" s="55" t="n"/>
      <c r="M1699" s="55" t="n"/>
      <c r="N1699" s="57" t="n"/>
      <c r="O1699" s="55" t="n"/>
      <c r="P1699" s="56" t="n"/>
      <c r="Q1699" s="55" t="n"/>
      <c r="R1699" s="55" t="n"/>
      <c r="S1699" s="55" t="n"/>
      <c r="T1699" s="55" t="n"/>
      <c r="U1699" s="55" t="n"/>
      <c r="V1699" s="55" t="n"/>
      <c r="W1699" s="58" t="n"/>
      <c r="X1699" s="58" t="n"/>
      <c r="Y1699" s="55" t="n"/>
      <c r="Z1699" s="55" t="n"/>
      <c r="AA1699" s="55" t="n"/>
      <c r="AB1699" s="55" t="n"/>
      <c r="AC1699" s="55" t="n"/>
      <c r="AD1699" s="53" t="n"/>
      <c r="AE1699" s="55" t="n"/>
      <c r="AF1699" s="55" t="n"/>
      <c r="AG1699" s="59" t="n"/>
      <c r="AH1699" s="57" t="n"/>
      <c r="AI1699" s="55" t="n"/>
      <c r="AJ1699" s="55" t="n"/>
      <c r="AK1699" s="55" t="n"/>
      <c r="AL1699" s="55" t="n"/>
      <c r="AM1699" s="56" t="n"/>
      <c r="AN1699" s="55" t="n"/>
      <c r="AO1699" s="55" t="n"/>
      <c r="AP1699" s="55" t="n"/>
      <c r="AQ1699" s="55" t="n"/>
      <c r="AR1699" s="60">
        <f>IF(AND(C1699="",E1699=""),"",IF(A1699="","⚠ Date manquante",IF(AND(C1699="",E1699&lt;&gt;"Dépense"),"⚠ Prospect manquant",IF(E1699="","⚠ Action manquante",IF(AND(AU1699=1,D1699=""),"⚠ Canal manquant",IF(AND(W1699&lt;&gt;"",COUNTIFS('Saisie'!$W$5:$W$2004,W1699,'Saisie'!$C$5:$C$2004,"&lt;&gt;"&amp;C1699)&gt;0),"⚠ Numéro déjà utilisé par un autre prospect",IF(AND(J1699&lt;&gt;"",J1699&lt;A1699),"⚠ Relance avant la date de l'action",IF(A1699&gt;TODAY(),"⚠ Date dans le futur","✓"))))))))</f>
        <v/>
      </c>
      <c r="AS1699" s="61">
        <f>IF(AND(A1699="",C1699="",E1699=""),"",ROW())</f>
        <v/>
      </c>
      <c r="AT1699" s="61">
        <f>IF(E1699&amp;F1699="","",MAX(IFERROR(INDEX('Paramètres'!$J$6:$J$33,MATCH(E1699,'Paramètres'!$I$6:$I$33,0)),0),IFERROR(INDEX('Paramètres'!$N$6:$N$17,MATCH(F1699,'Paramètres'!$M$6:$M$17,0)),0)))</f>
        <v/>
      </c>
      <c r="AU1699" s="61">
        <f>IF(E1699="","",IFERROR(IF(INDEX('Paramètres'!$K$6:$K$33,MATCH(E1699,'Paramètres'!$I$6:$I$33,0))="Oui",1,0),0))</f>
        <v/>
      </c>
      <c r="AV1699" s="61">
        <f>IF(F1699="","",IFERROR(IF(INDEX('Paramètres'!$O$6:$O$17,MATCH(F1699,'Paramètres'!$M$6:$M$17,0))="Oui",1,0),0))</f>
        <v/>
      </c>
      <c r="AW1699" s="62">
        <f>IF(E1699="","",IF(G1699&lt;&gt;"",G1699,IF(OR(E1699="Proposition envoyée",E1699="Signature"),MAX(0,N(IFERROR(INDEX('Paramètres'!$R$6:$R$15,MATCH(IF(AL1699&lt;&gt;"",AL1699,IFERROR(INDEX('Prospects'!$AN$5:$AN$504,MATCH(C1699,'Prospects'!$C$5:$C$504,0)),"")),'Paramètres'!$Q$6:$Q$15,0)),0))-N(P1699)),0)))</f>
        <v/>
      </c>
      <c r="AX1699" s="61">
        <f>IF(C1699="","",IF(COUNTIF($C$5:C1699,C1699)=1,MAX($AX$4:AX1698)+1,""))</f>
        <v/>
      </c>
      <c r="AY1699" s="61">
        <f>IF(B1699="","",HOUR(B1699))</f>
        <v/>
      </c>
      <c r="AZ1699" s="61">
        <f>IF(A1699="","",MOD(A1699-2,7)+1)</f>
        <v/>
      </c>
      <c r="BA1699" s="60">
        <f>IF(C1699="","",IFERROR(INDEX('Prospects'!$N$5:$N$504,MATCH(C1699,'Prospects'!$C$5:$C$504,0)),""))</f>
        <v/>
      </c>
      <c r="BB1699" s="61">
        <f>IF(AND(C1699&lt;&gt;"",C1699='Fiche prospect'!$C$4),COUNTIF($C$5:C1699,C1699),"")</f>
        <v/>
      </c>
    </row>
    <row r="1700">
      <c r="A1700" s="53" t="n"/>
      <c r="B1700" s="54" t="n"/>
      <c r="C1700" s="55" t="n"/>
      <c r="D1700" s="55" t="n"/>
      <c r="E1700" s="55" t="n"/>
      <c r="F1700" s="55" t="n"/>
      <c r="G1700" s="56" t="n"/>
      <c r="H1700" s="57" t="n"/>
      <c r="I1700" s="55" t="n"/>
      <c r="J1700" s="53" t="n"/>
      <c r="K1700" s="54" t="n"/>
      <c r="L1700" s="55" t="n"/>
      <c r="M1700" s="55" t="n"/>
      <c r="N1700" s="57" t="n"/>
      <c r="O1700" s="55" t="n"/>
      <c r="P1700" s="56" t="n"/>
      <c r="Q1700" s="55" t="n"/>
      <c r="R1700" s="55" t="n"/>
      <c r="S1700" s="55" t="n"/>
      <c r="T1700" s="55" t="n"/>
      <c r="U1700" s="55" t="n"/>
      <c r="V1700" s="55" t="n"/>
      <c r="W1700" s="58" t="n"/>
      <c r="X1700" s="58" t="n"/>
      <c r="Y1700" s="55" t="n"/>
      <c r="Z1700" s="55" t="n"/>
      <c r="AA1700" s="55" t="n"/>
      <c r="AB1700" s="55" t="n"/>
      <c r="AC1700" s="55" t="n"/>
      <c r="AD1700" s="53" t="n"/>
      <c r="AE1700" s="55" t="n"/>
      <c r="AF1700" s="55" t="n"/>
      <c r="AG1700" s="59" t="n"/>
      <c r="AH1700" s="57" t="n"/>
      <c r="AI1700" s="55" t="n"/>
      <c r="AJ1700" s="55" t="n"/>
      <c r="AK1700" s="55" t="n"/>
      <c r="AL1700" s="55" t="n"/>
      <c r="AM1700" s="56" t="n"/>
      <c r="AN1700" s="55" t="n"/>
      <c r="AO1700" s="55" t="n"/>
      <c r="AP1700" s="55" t="n"/>
      <c r="AQ1700" s="55" t="n"/>
      <c r="AR1700" s="60">
        <f>IF(AND(C1700="",E1700=""),"",IF(A1700="","⚠ Date manquante",IF(AND(C1700="",E1700&lt;&gt;"Dépense"),"⚠ Prospect manquant",IF(E1700="","⚠ Action manquante",IF(AND(AU1700=1,D1700=""),"⚠ Canal manquant",IF(AND(W1700&lt;&gt;"",COUNTIFS('Saisie'!$W$5:$W$2004,W1700,'Saisie'!$C$5:$C$2004,"&lt;&gt;"&amp;C1700)&gt;0),"⚠ Numéro déjà utilisé par un autre prospect",IF(AND(J1700&lt;&gt;"",J1700&lt;A1700),"⚠ Relance avant la date de l'action",IF(A1700&gt;TODAY(),"⚠ Date dans le futur","✓"))))))))</f>
        <v/>
      </c>
      <c r="AS1700" s="61">
        <f>IF(AND(A1700="",C1700="",E1700=""),"",ROW())</f>
        <v/>
      </c>
      <c r="AT1700" s="61">
        <f>IF(E1700&amp;F1700="","",MAX(IFERROR(INDEX('Paramètres'!$J$6:$J$33,MATCH(E1700,'Paramètres'!$I$6:$I$33,0)),0),IFERROR(INDEX('Paramètres'!$N$6:$N$17,MATCH(F1700,'Paramètres'!$M$6:$M$17,0)),0)))</f>
        <v/>
      </c>
      <c r="AU1700" s="61">
        <f>IF(E1700="","",IFERROR(IF(INDEX('Paramètres'!$K$6:$K$33,MATCH(E1700,'Paramètres'!$I$6:$I$33,0))="Oui",1,0),0))</f>
        <v/>
      </c>
      <c r="AV1700" s="61">
        <f>IF(F1700="","",IFERROR(IF(INDEX('Paramètres'!$O$6:$O$17,MATCH(F1700,'Paramètres'!$M$6:$M$17,0))="Oui",1,0),0))</f>
        <v/>
      </c>
      <c r="AW1700" s="62">
        <f>IF(E1700="","",IF(G1700&lt;&gt;"",G1700,IF(OR(E1700="Proposition envoyée",E1700="Signature"),MAX(0,N(IFERROR(INDEX('Paramètres'!$R$6:$R$15,MATCH(IF(AL1700&lt;&gt;"",AL1700,IFERROR(INDEX('Prospects'!$AN$5:$AN$504,MATCH(C1700,'Prospects'!$C$5:$C$504,0)),"")),'Paramètres'!$Q$6:$Q$15,0)),0))-N(P1700)),0)))</f>
        <v/>
      </c>
      <c r="AX1700" s="61">
        <f>IF(C1700="","",IF(COUNTIF($C$5:C1700,C1700)=1,MAX($AX$4:AX1699)+1,""))</f>
        <v/>
      </c>
      <c r="AY1700" s="61">
        <f>IF(B1700="","",HOUR(B1700))</f>
        <v/>
      </c>
      <c r="AZ1700" s="61">
        <f>IF(A1700="","",MOD(A1700-2,7)+1)</f>
        <v/>
      </c>
      <c r="BA1700" s="60">
        <f>IF(C1700="","",IFERROR(INDEX('Prospects'!$N$5:$N$504,MATCH(C1700,'Prospects'!$C$5:$C$504,0)),""))</f>
        <v/>
      </c>
      <c r="BB1700" s="61">
        <f>IF(AND(C1700&lt;&gt;"",C1700='Fiche prospect'!$C$4),COUNTIF($C$5:C1700,C1700),"")</f>
        <v/>
      </c>
    </row>
    <row r="1701">
      <c r="A1701" s="53" t="n"/>
      <c r="B1701" s="54" t="n"/>
      <c r="C1701" s="55" t="n"/>
      <c r="D1701" s="55" t="n"/>
      <c r="E1701" s="55" t="n"/>
      <c r="F1701" s="55" t="n"/>
      <c r="G1701" s="56" t="n"/>
      <c r="H1701" s="57" t="n"/>
      <c r="I1701" s="55" t="n"/>
      <c r="J1701" s="53" t="n"/>
      <c r="K1701" s="54" t="n"/>
      <c r="L1701" s="55" t="n"/>
      <c r="M1701" s="55" t="n"/>
      <c r="N1701" s="57" t="n"/>
      <c r="O1701" s="55" t="n"/>
      <c r="P1701" s="56" t="n"/>
      <c r="Q1701" s="55" t="n"/>
      <c r="R1701" s="55" t="n"/>
      <c r="S1701" s="55" t="n"/>
      <c r="T1701" s="55" t="n"/>
      <c r="U1701" s="55" t="n"/>
      <c r="V1701" s="55" t="n"/>
      <c r="W1701" s="58" t="n"/>
      <c r="X1701" s="58" t="n"/>
      <c r="Y1701" s="55" t="n"/>
      <c r="Z1701" s="55" t="n"/>
      <c r="AA1701" s="55" t="n"/>
      <c r="AB1701" s="55" t="n"/>
      <c r="AC1701" s="55" t="n"/>
      <c r="AD1701" s="53" t="n"/>
      <c r="AE1701" s="55" t="n"/>
      <c r="AF1701" s="55" t="n"/>
      <c r="AG1701" s="59" t="n"/>
      <c r="AH1701" s="57" t="n"/>
      <c r="AI1701" s="55" t="n"/>
      <c r="AJ1701" s="55" t="n"/>
      <c r="AK1701" s="55" t="n"/>
      <c r="AL1701" s="55" t="n"/>
      <c r="AM1701" s="56" t="n"/>
      <c r="AN1701" s="55" t="n"/>
      <c r="AO1701" s="55" t="n"/>
      <c r="AP1701" s="55" t="n"/>
      <c r="AQ1701" s="55" t="n"/>
      <c r="AR1701" s="60">
        <f>IF(AND(C1701="",E1701=""),"",IF(A1701="","⚠ Date manquante",IF(AND(C1701="",E1701&lt;&gt;"Dépense"),"⚠ Prospect manquant",IF(E1701="","⚠ Action manquante",IF(AND(AU1701=1,D1701=""),"⚠ Canal manquant",IF(AND(W1701&lt;&gt;"",COUNTIFS('Saisie'!$W$5:$W$2004,W1701,'Saisie'!$C$5:$C$2004,"&lt;&gt;"&amp;C1701)&gt;0),"⚠ Numéro déjà utilisé par un autre prospect",IF(AND(J1701&lt;&gt;"",J1701&lt;A1701),"⚠ Relance avant la date de l'action",IF(A1701&gt;TODAY(),"⚠ Date dans le futur","✓"))))))))</f>
        <v/>
      </c>
      <c r="AS1701" s="61">
        <f>IF(AND(A1701="",C1701="",E1701=""),"",ROW())</f>
        <v/>
      </c>
      <c r="AT1701" s="61">
        <f>IF(E1701&amp;F1701="","",MAX(IFERROR(INDEX('Paramètres'!$J$6:$J$33,MATCH(E1701,'Paramètres'!$I$6:$I$33,0)),0),IFERROR(INDEX('Paramètres'!$N$6:$N$17,MATCH(F1701,'Paramètres'!$M$6:$M$17,0)),0)))</f>
        <v/>
      </c>
      <c r="AU1701" s="61">
        <f>IF(E1701="","",IFERROR(IF(INDEX('Paramètres'!$K$6:$K$33,MATCH(E1701,'Paramètres'!$I$6:$I$33,0))="Oui",1,0),0))</f>
        <v/>
      </c>
      <c r="AV1701" s="61">
        <f>IF(F1701="","",IFERROR(IF(INDEX('Paramètres'!$O$6:$O$17,MATCH(F1701,'Paramètres'!$M$6:$M$17,0))="Oui",1,0),0))</f>
        <v/>
      </c>
      <c r="AW1701" s="62">
        <f>IF(E1701="","",IF(G1701&lt;&gt;"",G1701,IF(OR(E1701="Proposition envoyée",E1701="Signature"),MAX(0,N(IFERROR(INDEX('Paramètres'!$R$6:$R$15,MATCH(IF(AL1701&lt;&gt;"",AL1701,IFERROR(INDEX('Prospects'!$AN$5:$AN$504,MATCH(C1701,'Prospects'!$C$5:$C$504,0)),"")),'Paramètres'!$Q$6:$Q$15,0)),0))-N(P1701)),0)))</f>
        <v/>
      </c>
      <c r="AX1701" s="61">
        <f>IF(C1701="","",IF(COUNTIF($C$5:C1701,C1701)=1,MAX($AX$4:AX1700)+1,""))</f>
        <v/>
      </c>
      <c r="AY1701" s="61">
        <f>IF(B1701="","",HOUR(B1701))</f>
        <v/>
      </c>
      <c r="AZ1701" s="61">
        <f>IF(A1701="","",MOD(A1701-2,7)+1)</f>
        <v/>
      </c>
      <c r="BA1701" s="60">
        <f>IF(C1701="","",IFERROR(INDEX('Prospects'!$N$5:$N$504,MATCH(C1701,'Prospects'!$C$5:$C$504,0)),""))</f>
        <v/>
      </c>
      <c r="BB1701" s="61">
        <f>IF(AND(C1701&lt;&gt;"",C1701='Fiche prospect'!$C$4),COUNTIF($C$5:C1701,C1701),"")</f>
        <v/>
      </c>
    </row>
    <row r="1702">
      <c r="A1702" s="53" t="n"/>
      <c r="B1702" s="54" t="n"/>
      <c r="C1702" s="55" t="n"/>
      <c r="D1702" s="55" t="n"/>
      <c r="E1702" s="55" t="n"/>
      <c r="F1702" s="55" t="n"/>
      <c r="G1702" s="56" t="n"/>
      <c r="H1702" s="57" t="n"/>
      <c r="I1702" s="55" t="n"/>
      <c r="J1702" s="53" t="n"/>
      <c r="K1702" s="54" t="n"/>
      <c r="L1702" s="55" t="n"/>
      <c r="M1702" s="55" t="n"/>
      <c r="N1702" s="57" t="n"/>
      <c r="O1702" s="55" t="n"/>
      <c r="P1702" s="56" t="n"/>
      <c r="Q1702" s="55" t="n"/>
      <c r="R1702" s="55" t="n"/>
      <c r="S1702" s="55" t="n"/>
      <c r="T1702" s="55" t="n"/>
      <c r="U1702" s="55" t="n"/>
      <c r="V1702" s="55" t="n"/>
      <c r="W1702" s="58" t="n"/>
      <c r="X1702" s="58" t="n"/>
      <c r="Y1702" s="55" t="n"/>
      <c r="Z1702" s="55" t="n"/>
      <c r="AA1702" s="55" t="n"/>
      <c r="AB1702" s="55" t="n"/>
      <c r="AC1702" s="55" t="n"/>
      <c r="AD1702" s="53" t="n"/>
      <c r="AE1702" s="55" t="n"/>
      <c r="AF1702" s="55" t="n"/>
      <c r="AG1702" s="59" t="n"/>
      <c r="AH1702" s="57" t="n"/>
      <c r="AI1702" s="55" t="n"/>
      <c r="AJ1702" s="55" t="n"/>
      <c r="AK1702" s="55" t="n"/>
      <c r="AL1702" s="55" t="n"/>
      <c r="AM1702" s="56" t="n"/>
      <c r="AN1702" s="55" t="n"/>
      <c r="AO1702" s="55" t="n"/>
      <c r="AP1702" s="55" t="n"/>
      <c r="AQ1702" s="55" t="n"/>
      <c r="AR1702" s="60">
        <f>IF(AND(C1702="",E1702=""),"",IF(A1702="","⚠ Date manquante",IF(AND(C1702="",E1702&lt;&gt;"Dépense"),"⚠ Prospect manquant",IF(E1702="","⚠ Action manquante",IF(AND(AU1702=1,D1702=""),"⚠ Canal manquant",IF(AND(W1702&lt;&gt;"",COUNTIFS('Saisie'!$W$5:$W$2004,W1702,'Saisie'!$C$5:$C$2004,"&lt;&gt;"&amp;C1702)&gt;0),"⚠ Numéro déjà utilisé par un autre prospect",IF(AND(J1702&lt;&gt;"",J1702&lt;A1702),"⚠ Relance avant la date de l'action",IF(A1702&gt;TODAY(),"⚠ Date dans le futur","✓"))))))))</f>
        <v/>
      </c>
      <c r="AS1702" s="61">
        <f>IF(AND(A1702="",C1702="",E1702=""),"",ROW())</f>
        <v/>
      </c>
      <c r="AT1702" s="61">
        <f>IF(E1702&amp;F1702="","",MAX(IFERROR(INDEX('Paramètres'!$J$6:$J$33,MATCH(E1702,'Paramètres'!$I$6:$I$33,0)),0),IFERROR(INDEX('Paramètres'!$N$6:$N$17,MATCH(F1702,'Paramètres'!$M$6:$M$17,0)),0)))</f>
        <v/>
      </c>
      <c r="AU1702" s="61">
        <f>IF(E1702="","",IFERROR(IF(INDEX('Paramètres'!$K$6:$K$33,MATCH(E1702,'Paramètres'!$I$6:$I$33,0))="Oui",1,0),0))</f>
        <v/>
      </c>
      <c r="AV1702" s="61">
        <f>IF(F1702="","",IFERROR(IF(INDEX('Paramètres'!$O$6:$O$17,MATCH(F1702,'Paramètres'!$M$6:$M$17,0))="Oui",1,0),0))</f>
        <v/>
      </c>
      <c r="AW1702" s="62">
        <f>IF(E1702="","",IF(G1702&lt;&gt;"",G1702,IF(OR(E1702="Proposition envoyée",E1702="Signature"),MAX(0,N(IFERROR(INDEX('Paramètres'!$R$6:$R$15,MATCH(IF(AL1702&lt;&gt;"",AL1702,IFERROR(INDEX('Prospects'!$AN$5:$AN$504,MATCH(C1702,'Prospects'!$C$5:$C$504,0)),"")),'Paramètres'!$Q$6:$Q$15,0)),0))-N(P1702)),0)))</f>
        <v/>
      </c>
      <c r="AX1702" s="61">
        <f>IF(C1702="","",IF(COUNTIF($C$5:C1702,C1702)=1,MAX($AX$4:AX1701)+1,""))</f>
        <v/>
      </c>
      <c r="AY1702" s="61">
        <f>IF(B1702="","",HOUR(B1702))</f>
        <v/>
      </c>
      <c r="AZ1702" s="61">
        <f>IF(A1702="","",MOD(A1702-2,7)+1)</f>
        <v/>
      </c>
      <c r="BA1702" s="60">
        <f>IF(C1702="","",IFERROR(INDEX('Prospects'!$N$5:$N$504,MATCH(C1702,'Prospects'!$C$5:$C$504,0)),""))</f>
        <v/>
      </c>
      <c r="BB1702" s="61">
        <f>IF(AND(C1702&lt;&gt;"",C1702='Fiche prospect'!$C$4),COUNTIF($C$5:C1702,C1702),"")</f>
        <v/>
      </c>
    </row>
    <row r="1703">
      <c r="A1703" s="53" t="n"/>
      <c r="B1703" s="54" t="n"/>
      <c r="C1703" s="55" t="n"/>
      <c r="D1703" s="55" t="n"/>
      <c r="E1703" s="55" t="n"/>
      <c r="F1703" s="55" t="n"/>
      <c r="G1703" s="56" t="n"/>
      <c r="H1703" s="57" t="n"/>
      <c r="I1703" s="55" t="n"/>
      <c r="J1703" s="53" t="n"/>
      <c r="K1703" s="54" t="n"/>
      <c r="L1703" s="55" t="n"/>
      <c r="M1703" s="55" t="n"/>
      <c r="N1703" s="57" t="n"/>
      <c r="O1703" s="55" t="n"/>
      <c r="P1703" s="56" t="n"/>
      <c r="Q1703" s="55" t="n"/>
      <c r="R1703" s="55" t="n"/>
      <c r="S1703" s="55" t="n"/>
      <c r="T1703" s="55" t="n"/>
      <c r="U1703" s="55" t="n"/>
      <c r="V1703" s="55" t="n"/>
      <c r="W1703" s="58" t="n"/>
      <c r="X1703" s="58" t="n"/>
      <c r="Y1703" s="55" t="n"/>
      <c r="Z1703" s="55" t="n"/>
      <c r="AA1703" s="55" t="n"/>
      <c r="AB1703" s="55" t="n"/>
      <c r="AC1703" s="55" t="n"/>
      <c r="AD1703" s="53" t="n"/>
      <c r="AE1703" s="55" t="n"/>
      <c r="AF1703" s="55" t="n"/>
      <c r="AG1703" s="59" t="n"/>
      <c r="AH1703" s="57" t="n"/>
      <c r="AI1703" s="55" t="n"/>
      <c r="AJ1703" s="55" t="n"/>
      <c r="AK1703" s="55" t="n"/>
      <c r="AL1703" s="55" t="n"/>
      <c r="AM1703" s="56" t="n"/>
      <c r="AN1703" s="55" t="n"/>
      <c r="AO1703" s="55" t="n"/>
      <c r="AP1703" s="55" t="n"/>
      <c r="AQ1703" s="55" t="n"/>
      <c r="AR1703" s="60">
        <f>IF(AND(C1703="",E1703=""),"",IF(A1703="","⚠ Date manquante",IF(AND(C1703="",E1703&lt;&gt;"Dépense"),"⚠ Prospect manquant",IF(E1703="","⚠ Action manquante",IF(AND(AU1703=1,D1703=""),"⚠ Canal manquant",IF(AND(W1703&lt;&gt;"",COUNTIFS('Saisie'!$W$5:$W$2004,W1703,'Saisie'!$C$5:$C$2004,"&lt;&gt;"&amp;C1703)&gt;0),"⚠ Numéro déjà utilisé par un autre prospect",IF(AND(J1703&lt;&gt;"",J1703&lt;A1703),"⚠ Relance avant la date de l'action",IF(A1703&gt;TODAY(),"⚠ Date dans le futur","✓"))))))))</f>
        <v/>
      </c>
      <c r="AS1703" s="61">
        <f>IF(AND(A1703="",C1703="",E1703=""),"",ROW())</f>
        <v/>
      </c>
      <c r="AT1703" s="61">
        <f>IF(E1703&amp;F1703="","",MAX(IFERROR(INDEX('Paramètres'!$J$6:$J$33,MATCH(E1703,'Paramètres'!$I$6:$I$33,0)),0),IFERROR(INDEX('Paramètres'!$N$6:$N$17,MATCH(F1703,'Paramètres'!$M$6:$M$17,0)),0)))</f>
        <v/>
      </c>
      <c r="AU1703" s="61">
        <f>IF(E1703="","",IFERROR(IF(INDEX('Paramètres'!$K$6:$K$33,MATCH(E1703,'Paramètres'!$I$6:$I$33,0))="Oui",1,0),0))</f>
        <v/>
      </c>
      <c r="AV1703" s="61">
        <f>IF(F1703="","",IFERROR(IF(INDEX('Paramètres'!$O$6:$O$17,MATCH(F1703,'Paramètres'!$M$6:$M$17,0))="Oui",1,0),0))</f>
        <v/>
      </c>
      <c r="AW1703" s="62">
        <f>IF(E1703="","",IF(G1703&lt;&gt;"",G1703,IF(OR(E1703="Proposition envoyée",E1703="Signature"),MAX(0,N(IFERROR(INDEX('Paramètres'!$R$6:$R$15,MATCH(IF(AL1703&lt;&gt;"",AL1703,IFERROR(INDEX('Prospects'!$AN$5:$AN$504,MATCH(C1703,'Prospects'!$C$5:$C$504,0)),"")),'Paramètres'!$Q$6:$Q$15,0)),0))-N(P1703)),0)))</f>
        <v/>
      </c>
      <c r="AX1703" s="61">
        <f>IF(C1703="","",IF(COUNTIF($C$5:C1703,C1703)=1,MAX($AX$4:AX1702)+1,""))</f>
        <v/>
      </c>
      <c r="AY1703" s="61">
        <f>IF(B1703="","",HOUR(B1703))</f>
        <v/>
      </c>
      <c r="AZ1703" s="61">
        <f>IF(A1703="","",MOD(A1703-2,7)+1)</f>
        <v/>
      </c>
      <c r="BA1703" s="60">
        <f>IF(C1703="","",IFERROR(INDEX('Prospects'!$N$5:$N$504,MATCH(C1703,'Prospects'!$C$5:$C$504,0)),""))</f>
        <v/>
      </c>
      <c r="BB1703" s="61">
        <f>IF(AND(C1703&lt;&gt;"",C1703='Fiche prospect'!$C$4),COUNTIF($C$5:C1703,C1703),"")</f>
        <v/>
      </c>
    </row>
    <row r="1704">
      <c r="A1704" s="53" t="n"/>
      <c r="B1704" s="54" t="n"/>
      <c r="C1704" s="55" t="n"/>
      <c r="D1704" s="55" t="n"/>
      <c r="E1704" s="55" t="n"/>
      <c r="F1704" s="55" t="n"/>
      <c r="G1704" s="56" t="n"/>
      <c r="H1704" s="57" t="n"/>
      <c r="I1704" s="55" t="n"/>
      <c r="J1704" s="53" t="n"/>
      <c r="K1704" s="54" t="n"/>
      <c r="L1704" s="55" t="n"/>
      <c r="M1704" s="55" t="n"/>
      <c r="N1704" s="57" t="n"/>
      <c r="O1704" s="55" t="n"/>
      <c r="P1704" s="56" t="n"/>
      <c r="Q1704" s="55" t="n"/>
      <c r="R1704" s="55" t="n"/>
      <c r="S1704" s="55" t="n"/>
      <c r="T1704" s="55" t="n"/>
      <c r="U1704" s="55" t="n"/>
      <c r="V1704" s="55" t="n"/>
      <c r="W1704" s="58" t="n"/>
      <c r="X1704" s="58" t="n"/>
      <c r="Y1704" s="55" t="n"/>
      <c r="Z1704" s="55" t="n"/>
      <c r="AA1704" s="55" t="n"/>
      <c r="AB1704" s="55" t="n"/>
      <c r="AC1704" s="55" t="n"/>
      <c r="AD1704" s="53" t="n"/>
      <c r="AE1704" s="55" t="n"/>
      <c r="AF1704" s="55" t="n"/>
      <c r="AG1704" s="59" t="n"/>
      <c r="AH1704" s="57" t="n"/>
      <c r="AI1704" s="55" t="n"/>
      <c r="AJ1704" s="55" t="n"/>
      <c r="AK1704" s="55" t="n"/>
      <c r="AL1704" s="55" t="n"/>
      <c r="AM1704" s="56" t="n"/>
      <c r="AN1704" s="55" t="n"/>
      <c r="AO1704" s="55" t="n"/>
      <c r="AP1704" s="55" t="n"/>
      <c r="AQ1704" s="55" t="n"/>
      <c r="AR1704" s="60">
        <f>IF(AND(C1704="",E1704=""),"",IF(A1704="","⚠ Date manquante",IF(AND(C1704="",E1704&lt;&gt;"Dépense"),"⚠ Prospect manquant",IF(E1704="","⚠ Action manquante",IF(AND(AU1704=1,D1704=""),"⚠ Canal manquant",IF(AND(W1704&lt;&gt;"",COUNTIFS('Saisie'!$W$5:$W$2004,W1704,'Saisie'!$C$5:$C$2004,"&lt;&gt;"&amp;C1704)&gt;0),"⚠ Numéro déjà utilisé par un autre prospect",IF(AND(J1704&lt;&gt;"",J1704&lt;A1704),"⚠ Relance avant la date de l'action",IF(A1704&gt;TODAY(),"⚠ Date dans le futur","✓"))))))))</f>
        <v/>
      </c>
      <c r="AS1704" s="61">
        <f>IF(AND(A1704="",C1704="",E1704=""),"",ROW())</f>
        <v/>
      </c>
      <c r="AT1704" s="61">
        <f>IF(E1704&amp;F1704="","",MAX(IFERROR(INDEX('Paramètres'!$J$6:$J$33,MATCH(E1704,'Paramètres'!$I$6:$I$33,0)),0),IFERROR(INDEX('Paramètres'!$N$6:$N$17,MATCH(F1704,'Paramètres'!$M$6:$M$17,0)),0)))</f>
        <v/>
      </c>
      <c r="AU1704" s="61">
        <f>IF(E1704="","",IFERROR(IF(INDEX('Paramètres'!$K$6:$K$33,MATCH(E1704,'Paramètres'!$I$6:$I$33,0))="Oui",1,0),0))</f>
        <v/>
      </c>
      <c r="AV1704" s="61">
        <f>IF(F1704="","",IFERROR(IF(INDEX('Paramètres'!$O$6:$O$17,MATCH(F1704,'Paramètres'!$M$6:$M$17,0))="Oui",1,0),0))</f>
        <v/>
      </c>
      <c r="AW1704" s="62">
        <f>IF(E1704="","",IF(G1704&lt;&gt;"",G1704,IF(OR(E1704="Proposition envoyée",E1704="Signature"),MAX(0,N(IFERROR(INDEX('Paramètres'!$R$6:$R$15,MATCH(IF(AL1704&lt;&gt;"",AL1704,IFERROR(INDEX('Prospects'!$AN$5:$AN$504,MATCH(C1704,'Prospects'!$C$5:$C$504,0)),"")),'Paramètres'!$Q$6:$Q$15,0)),0))-N(P1704)),0)))</f>
        <v/>
      </c>
      <c r="AX1704" s="61">
        <f>IF(C1704="","",IF(COUNTIF($C$5:C1704,C1704)=1,MAX($AX$4:AX1703)+1,""))</f>
        <v/>
      </c>
      <c r="AY1704" s="61">
        <f>IF(B1704="","",HOUR(B1704))</f>
        <v/>
      </c>
      <c r="AZ1704" s="61">
        <f>IF(A1704="","",MOD(A1704-2,7)+1)</f>
        <v/>
      </c>
      <c r="BA1704" s="60">
        <f>IF(C1704="","",IFERROR(INDEX('Prospects'!$N$5:$N$504,MATCH(C1704,'Prospects'!$C$5:$C$504,0)),""))</f>
        <v/>
      </c>
      <c r="BB1704" s="61">
        <f>IF(AND(C1704&lt;&gt;"",C1704='Fiche prospect'!$C$4),COUNTIF($C$5:C1704,C1704),"")</f>
        <v/>
      </c>
    </row>
    <row r="1705">
      <c r="A1705" s="53" t="n"/>
      <c r="B1705" s="54" t="n"/>
      <c r="C1705" s="55" t="n"/>
      <c r="D1705" s="55" t="n"/>
      <c r="E1705" s="55" t="n"/>
      <c r="F1705" s="55" t="n"/>
      <c r="G1705" s="56" t="n"/>
      <c r="H1705" s="57" t="n"/>
      <c r="I1705" s="55" t="n"/>
      <c r="J1705" s="53" t="n"/>
      <c r="K1705" s="54" t="n"/>
      <c r="L1705" s="55" t="n"/>
      <c r="M1705" s="55" t="n"/>
      <c r="N1705" s="57" t="n"/>
      <c r="O1705" s="55" t="n"/>
      <c r="P1705" s="56" t="n"/>
      <c r="Q1705" s="55" t="n"/>
      <c r="R1705" s="55" t="n"/>
      <c r="S1705" s="55" t="n"/>
      <c r="T1705" s="55" t="n"/>
      <c r="U1705" s="55" t="n"/>
      <c r="V1705" s="55" t="n"/>
      <c r="W1705" s="58" t="n"/>
      <c r="X1705" s="58" t="n"/>
      <c r="Y1705" s="55" t="n"/>
      <c r="Z1705" s="55" t="n"/>
      <c r="AA1705" s="55" t="n"/>
      <c r="AB1705" s="55" t="n"/>
      <c r="AC1705" s="55" t="n"/>
      <c r="AD1705" s="53" t="n"/>
      <c r="AE1705" s="55" t="n"/>
      <c r="AF1705" s="55" t="n"/>
      <c r="AG1705" s="59" t="n"/>
      <c r="AH1705" s="57" t="n"/>
      <c r="AI1705" s="55" t="n"/>
      <c r="AJ1705" s="55" t="n"/>
      <c r="AK1705" s="55" t="n"/>
      <c r="AL1705" s="55" t="n"/>
      <c r="AM1705" s="56" t="n"/>
      <c r="AN1705" s="55" t="n"/>
      <c r="AO1705" s="55" t="n"/>
      <c r="AP1705" s="55" t="n"/>
      <c r="AQ1705" s="55" t="n"/>
      <c r="AR1705" s="60">
        <f>IF(AND(C1705="",E1705=""),"",IF(A1705="","⚠ Date manquante",IF(AND(C1705="",E1705&lt;&gt;"Dépense"),"⚠ Prospect manquant",IF(E1705="","⚠ Action manquante",IF(AND(AU1705=1,D1705=""),"⚠ Canal manquant",IF(AND(W1705&lt;&gt;"",COUNTIFS('Saisie'!$W$5:$W$2004,W1705,'Saisie'!$C$5:$C$2004,"&lt;&gt;"&amp;C1705)&gt;0),"⚠ Numéro déjà utilisé par un autre prospect",IF(AND(J1705&lt;&gt;"",J1705&lt;A1705),"⚠ Relance avant la date de l'action",IF(A1705&gt;TODAY(),"⚠ Date dans le futur","✓"))))))))</f>
        <v/>
      </c>
      <c r="AS1705" s="61">
        <f>IF(AND(A1705="",C1705="",E1705=""),"",ROW())</f>
        <v/>
      </c>
      <c r="AT1705" s="61">
        <f>IF(E1705&amp;F1705="","",MAX(IFERROR(INDEX('Paramètres'!$J$6:$J$33,MATCH(E1705,'Paramètres'!$I$6:$I$33,0)),0),IFERROR(INDEX('Paramètres'!$N$6:$N$17,MATCH(F1705,'Paramètres'!$M$6:$M$17,0)),0)))</f>
        <v/>
      </c>
      <c r="AU1705" s="61">
        <f>IF(E1705="","",IFERROR(IF(INDEX('Paramètres'!$K$6:$K$33,MATCH(E1705,'Paramètres'!$I$6:$I$33,0))="Oui",1,0),0))</f>
        <v/>
      </c>
      <c r="AV1705" s="61">
        <f>IF(F1705="","",IFERROR(IF(INDEX('Paramètres'!$O$6:$O$17,MATCH(F1705,'Paramètres'!$M$6:$M$17,0))="Oui",1,0),0))</f>
        <v/>
      </c>
      <c r="AW1705" s="62">
        <f>IF(E1705="","",IF(G1705&lt;&gt;"",G1705,IF(OR(E1705="Proposition envoyée",E1705="Signature"),MAX(0,N(IFERROR(INDEX('Paramètres'!$R$6:$R$15,MATCH(IF(AL1705&lt;&gt;"",AL1705,IFERROR(INDEX('Prospects'!$AN$5:$AN$504,MATCH(C1705,'Prospects'!$C$5:$C$504,0)),"")),'Paramètres'!$Q$6:$Q$15,0)),0))-N(P1705)),0)))</f>
        <v/>
      </c>
      <c r="AX1705" s="61">
        <f>IF(C1705="","",IF(COUNTIF($C$5:C1705,C1705)=1,MAX($AX$4:AX1704)+1,""))</f>
        <v/>
      </c>
      <c r="AY1705" s="61">
        <f>IF(B1705="","",HOUR(B1705))</f>
        <v/>
      </c>
      <c r="AZ1705" s="61">
        <f>IF(A1705="","",MOD(A1705-2,7)+1)</f>
        <v/>
      </c>
      <c r="BA1705" s="60">
        <f>IF(C1705="","",IFERROR(INDEX('Prospects'!$N$5:$N$504,MATCH(C1705,'Prospects'!$C$5:$C$504,0)),""))</f>
        <v/>
      </c>
      <c r="BB1705" s="61">
        <f>IF(AND(C1705&lt;&gt;"",C1705='Fiche prospect'!$C$4),COUNTIF($C$5:C1705,C1705),"")</f>
        <v/>
      </c>
    </row>
    <row r="1706">
      <c r="A1706" s="53" t="n"/>
      <c r="B1706" s="54" t="n"/>
      <c r="C1706" s="55" t="n"/>
      <c r="D1706" s="55" t="n"/>
      <c r="E1706" s="55" t="n"/>
      <c r="F1706" s="55" t="n"/>
      <c r="G1706" s="56" t="n"/>
      <c r="H1706" s="57" t="n"/>
      <c r="I1706" s="55" t="n"/>
      <c r="J1706" s="53" t="n"/>
      <c r="K1706" s="54" t="n"/>
      <c r="L1706" s="55" t="n"/>
      <c r="M1706" s="55" t="n"/>
      <c r="N1706" s="57" t="n"/>
      <c r="O1706" s="55" t="n"/>
      <c r="P1706" s="56" t="n"/>
      <c r="Q1706" s="55" t="n"/>
      <c r="R1706" s="55" t="n"/>
      <c r="S1706" s="55" t="n"/>
      <c r="T1706" s="55" t="n"/>
      <c r="U1706" s="55" t="n"/>
      <c r="V1706" s="55" t="n"/>
      <c r="W1706" s="58" t="n"/>
      <c r="X1706" s="58" t="n"/>
      <c r="Y1706" s="55" t="n"/>
      <c r="Z1706" s="55" t="n"/>
      <c r="AA1706" s="55" t="n"/>
      <c r="AB1706" s="55" t="n"/>
      <c r="AC1706" s="55" t="n"/>
      <c r="AD1706" s="53" t="n"/>
      <c r="AE1706" s="55" t="n"/>
      <c r="AF1706" s="55" t="n"/>
      <c r="AG1706" s="59" t="n"/>
      <c r="AH1706" s="57" t="n"/>
      <c r="AI1706" s="55" t="n"/>
      <c r="AJ1706" s="55" t="n"/>
      <c r="AK1706" s="55" t="n"/>
      <c r="AL1706" s="55" t="n"/>
      <c r="AM1706" s="56" t="n"/>
      <c r="AN1706" s="55" t="n"/>
      <c r="AO1706" s="55" t="n"/>
      <c r="AP1706" s="55" t="n"/>
      <c r="AQ1706" s="55" t="n"/>
      <c r="AR1706" s="60">
        <f>IF(AND(C1706="",E1706=""),"",IF(A1706="","⚠ Date manquante",IF(AND(C1706="",E1706&lt;&gt;"Dépense"),"⚠ Prospect manquant",IF(E1706="","⚠ Action manquante",IF(AND(AU1706=1,D1706=""),"⚠ Canal manquant",IF(AND(W1706&lt;&gt;"",COUNTIFS('Saisie'!$W$5:$W$2004,W1706,'Saisie'!$C$5:$C$2004,"&lt;&gt;"&amp;C1706)&gt;0),"⚠ Numéro déjà utilisé par un autre prospect",IF(AND(J1706&lt;&gt;"",J1706&lt;A1706),"⚠ Relance avant la date de l'action",IF(A1706&gt;TODAY(),"⚠ Date dans le futur","✓"))))))))</f>
        <v/>
      </c>
      <c r="AS1706" s="61">
        <f>IF(AND(A1706="",C1706="",E1706=""),"",ROW())</f>
        <v/>
      </c>
      <c r="AT1706" s="61">
        <f>IF(E1706&amp;F1706="","",MAX(IFERROR(INDEX('Paramètres'!$J$6:$J$33,MATCH(E1706,'Paramètres'!$I$6:$I$33,0)),0),IFERROR(INDEX('Paramètres'!$N$6:$N$17,MATCH(F1706,'Paramètres'!$M$6:$M$17,0)),0)))</f>
        <v/>
      </c>
      <c r="AU1706" s="61">
        <f>IF(E1706="","",IFERROR(IF(INDEX('Paramètres'!$K$6:$K$33,MATCH(E1706,'Paramètres'!$I$6:$I$33,0))="Oui",1,0),0))</f>
        <v/>
      </c>
      <c r="AV1706" s="61">
        <f>IF(F1706="","",IFERROR(IF(INDEX('Paramètres'!$O$6:$O$17,MATCH(F1706,'Paramètres'!$M$6:$M$17,0))="Oui",1,0),0))</f>
        <v/>
      </c>
      <c r="AW1706" s="62">
        <f>IF(E1706="","",IF(G1706&lt;&gt;"",G1706,IF(OR(E1706="Proposition envoyée",E1706="Signature"),MAX(0,N(IFERROR(INDEX('Paramètres'!$R$6:$R$15,MATCH(IF(AL1706&lt;&gt;"",AL1706,IFERROR(INDEX('Prospects'!$AN$5:$AN$504,MATCH(C1706,'Prospects'!$C$5:$C$504,0)),"")),'Paramètres'!$Q$6:$Q$15,0)),0))-N(P1706)),0)))</f>
        <v/>
      </c>
      <c r="AX1706" s="61">
        <f>IF(C1706="","",IF(COUNTIF($C$5:C1706,C1706)=1,MAX($AX$4:AX1705)+1,""))</f>
        <v/>
      </c>
      <c r="AY1706" s="61">
        <f>IF(B1706="","",HOUR(B1706))</f>
        <v/>
      </c>
      <c r="AZ1706" s="61">
        <f>IF(A1706="","",MOD(A1706-2,7)+1)</f>
        <v/>
      </c>
      <c r="BA1706" s="60">
        <f>IF(C1706="","",IFERROR(INDEX('Prospects'!$N$5:$N$504,MATCH(C1706,'Prospects'!$C$5:$C$504,0)),""))</f>
        <v/>
      </c>
      <c r="BB1706" s="61">
        <f>IF(AND(C1706&lt;&gt;"",C1706='Fiche prospect'!$C$4),COUNTIF($C$5:C1706,C1706),"")</f>
        <v/>
      </c>
    </row>
    <row r="1707">
      <c r="A1707" s="53" t="n"/>
      <c r="B1707" s="54" t="n"/>
      <c r="C1707" s="55" t="n"/>
      <c r="D1707" s="55" t="n"/>
      <c r="E1707" s="55" t="n"/>
      <c r="F1707" s="55" t="n"/>
      <c r="G1707" s="56" t="n"/>
      <c r="H1707" s="57" t="n"/>
      <c r="I1707" s="55" t="n"/>
      <c r="J1707" s="53" t="n"/>
      <c r="K1707" s="54" t="n"/>
      <c r="L1707" s="55" t="n"/>
      <c r="M1707" s="55" t="n"/>
      <c r="N1707" s="57" t="n"/>
      <c r="O1707" s="55" t="n"/>
      <c r="P1707" s="56" t="n"/>
      <c r="Q1707" s="55" t="n"/>
      <c r="R1707" s="55" t="n"/>
      <c r="S1707" s="55" t="n"/>
      <c r="T1707" s="55" t="n"/>
      <c r="U1707" s="55" t="n"/>
      <c r="V1707" s="55" t="n"/>
      <c r="W1707" s="58" t="n"/>
      <c r="X1707" s="58" t="n"/>
      <c r="Y1707" s="55" t="n"/>
      <c r="Z1707" s="55" t="n"/>
      <c r="AA1707" s="55" t="n"/>
      <c r="AB1707" s="55" t="n"/>
      <c r="AC1707" s="55" t="n"/>
      <c r="AD1707" s="53" t="n"/>
      <c r="AE1707" s="55" t="n"/>
      <c r="AF1707" s="55" t="n"/>
      <c r="AG1707" s="59" t="n"/>
      <c r="AH1707" s="57" t="n"/>
      <c r="AI1707" s="55" t="n"/>
      <c r="AJ1707" s="55" t="n"/>
      <c r="AK1707" s="55" t="n"/>
      <c r="AL1707" s="55" t="n"/>
      <c r="AM1707" s="56" t="n"/>
      <c r="AN1707" s="55" t="n"/>
      <c r="AO1707" s="55" t="n"/>
      <c r="AP1707" s="55" t="n"/>
      <c r="AQ1707" s="55" t="n"/>
      <c r="AR1707" s="60">
        <f>IF(AND(C1707="",E1707=""),"",IF(A1707="","⚠ Date manquante",IF(AND(C1707="",E1707&lt;&gt;"Dépense"),"⚠ Prospect manquant",IF(E1707="","⚠ Action manquante",IF(AND(AU1707=1,D1707=""),"⚠ Canal manquant",IF(AND(W1707&lt;&gt;"",COUNTIFS('Saisie'!$W$5:$W$2004,W1707,'Saisie'!$C$5:$C$2004,"&lt;&gt;"&amp;C1707)&gt;0),"⚠ Numéro déjà utilisé par un autre prospect",IF(AND(J1707&lt;&gt;"",J1707&lt;A1707),"⚠ Relance avant la date de l'action",IF(A1707&gt;TODAY(),"⚠ Date dans le futur","✓"))))))))</f>
        <v/>
      </c>
      <c r="AS1707" s="61">
        <f>IF(AND(A1707="",C1707="",E1707=""),"",ROW())</f>
        <v/>
      </c>
      <c r="AT1707" s="61">
        <f>IF(E1707&amp;F1707="","",MAX(IFERROR(INDEX('Paramètres'!$J$6:$J$33,MATCH(E1707,'Paramètres'!$I$6:$I$33,0)),0),IFERROR(INDEX('Paramètres'!$N$6:$N$17,MATCH(F1707,'Paramètres'!$M$6:$M$17,0)),0)))</f>
        <v/>
      </c>
      <c r="AU1707" s="61">
        <f>IF(E1707="","",IFERROR(IF(INDEX('Paramètres'!$K$6:$K$33,MATCH(E1707,'Paramètres'!$I$6:$I$33,0))="Oui",1,0),0))</f>
        <v/>
      </c>
      <c r="AV1707" s="61">
        <f>IF(F1707="","",IFERROR(IF(INDEX('Paramètres'!$O$6:$O$17,MATCH(F1707,'Paramètres'!$M$6:$M$17,0))="Oui",1,0),0))</f>
        <v/>
      </c>
      <c r="AW1707" s="62">
        <f>IF(E1707="","",IF(G1707&lt;&gt;"",G1707,IF(OR(E1707="Proposition envoyée",E1707="Signature"),MAX(0,N(IFERROR(INDEX('Paramètres'!$R$6:$R$15,MATCH(IF(AL1707&lt;&gt;"",AL1707,IFERROR(INDEX('Prospects'!$AN$5:$AN$504,MATCH(C1707,'Prospects'!$C$5:$C$504,0)),"")),'Paramètres'!$Q$6:$Q$15,0)),0))-N(P1707)),0)))</f>
        <v/>
      </c>
      <c r="AX1707" s="61">
        <f>IF(C1707="","",IF(COUNTIF($C$5:C1707,C1707)=1,MAX($AX$4:AX1706)+1,""))</f>
        <v/>
      </c>
      <c r="AY1707" s="61">
        <f>IF(B1707="","",HOUR(B1707))</f>
        <v/>
      </c>
      <c r="AZ1707" s="61">
        <f>IF(A1707="","",MOD(A1707-2,7)+1)</f>
        <v/>
      </c>
      <c r="BA1707" s="60">
        <f>IF(C1707="","",IFERROR(INDEX('Prospects'!$N$5:$N$504,MATCH(C1707,'Prospects'!$C$5:$C$504,0)),""))</f>
        <v/>
      </c>
      <c r="BB1707" s="61">
        <f>IF(AND(C1707&lt;&gt;"",C1707='Fiche prospect'!$C$4),COUNTIF($C$5:C1707,C1707),"")</f>
        <v/>
      </c>
    </row>
    <row r="1708">
      <c r="A1708" s="53" t="n"/>
      <c r="B1708" s="54" t="n"/>
      <c r="C1708" s="55" t="n"/>
      <c r="D1708" s="55" t="n"/>
      <c r="E1708" s="55" t="n"/>
      <c r="F1708" s="55" t="n"/>
      <c r="G1708" s="56" t="n"/>
      <c r="H1708" s="57" t="n"/>
      <c r="I1708" s="55" t="n"/>
      <c r="J1708" s="53" t="n"/>
      <c r="K1708" s="54" t="n"/>
      <c r="L1708" s="55" t="n"/>
      <c r="M1708" s="55" t="n"/>
      <c r="N1708" s="57" t="n"/>
      <c r="O1708" s="55" t="n"/>
      <c r="P1708" s="56" t="n"/>
      <c r="Q1708" s="55" t="n"/>
      <c r="R1708" s="55" t="n"/>
      <c r="S1708" s="55" t="n"/>
      <c r="T1708" s="55" t="n"/>
      <c r="U1708" s="55" t="n"/>
      <c r="V1708" s="55" t="n"/>
      <c r="W1708" s="58" t="n"/>
      <c r="X1708" s="58" t="n"/>
      <c r="Y1708" s="55" t="n"/>
      <c r="Z1708" s="55" t="n"/>
      <c r="AA1708" s="55" t="n"/>
      <c r="AB1708" s="55" t="n"/>
      <c r="AC1708" s="55" t="n"/>
      <c r="AD1708" s="53" t="n"/>
      <c r="AE1708" s="55" t="n"/>
      <c r="AF1708" s="55" t="n"/>
      <c r="AG1708" s="59" t="n"/>
      <c r="AH1708" s="57" t="n"/>
      <c r="AI1708" s="55" t="n"/>
      <c r="AJ1708" s="55" t="n"/>
      <c r="AK1708" s="55" t="n"/>
      <c r="AL1708" s="55" t="n"/>
      <c r="AM1708" s="56" t="n"/>
      <c r="AN1708" s="55" t="n"/>
      <c r="AO1708" s="55" t="n"/>
      <c r="AP1708" s="55" t="n"/>
      <c r="AQ1708" s="55" t="n"/>
      <c r="AR1708" s="60">
        <f>IF(AND(C1708="",E1708=""),"",IF(A1708="","⚠ Date manquante",IF(AND(C1708="",E1708&lt;&gt;"Dépense"),"⚠ Prospect manquant",IF(E1708="","⚠ Action manquante",IF(AND(AU1708=1,D1708=""),"⚠ Canal manquant",IF(AND(W1708&lt;&gt;"",COUNTIFS('Saisie'!$W$5:$W$2004,W1708,'Saisie'!$C$5:$C$2004,"&lt;&gt;"&amp;C1708)&gt;0),"⚠ Numéro déjà utilisé par un autre prospect",IF(AND(J1708&lt;&gt;"",J1708&lt;A1708),"⚠ Relance avant la date de l'action",IF(A1708&gt;TODAY(),"⚠ Date dans le futur","✓"))))))))</f>
        <v/>
      </c>
      <c r="AS1708" s="61">
        <f>IF(AND(A1708="",C1708="",E1708=""),"",ROW())</f>
        <v/>
      </c>
      <c r="AT1708" s="61">
        <f>IF(E1708&amp;F1708="","",MAX(IFERROR(INDEX('Paramètres'!$J$6:$J$33,MATCH(E1708,'Paramètres'!$I$6:$I$33,0)),0),IFERROR(INDEX('Paramètres'!$N$6:$N$17,MATCH(F1708,'Paramètres'!$M$6:$M$17,0)),0)))</f>
        <v/>
      </c>
      <c r="AU1708" s="61">
        <f>IF(E1708="","",IFERROR(IF(INDEX('Paramètres'!$K$6:$K$33,MATCH(E1708,'Paramètres'!$I$6:$I$33,0))="Oui",1,0),0))</f>
        <v/>
      </c>
      <c r="AV1708" s="61">
        <f>IF(F1708="","",IFERROR(IF(INDEX('Paramètres'!$O$6:$O$17,MATCH(F1708,'Paramètres'!$M$6:$M$17,0))="Oui",1,0),0))</f>
        <v/>
      </c>
      <c r="AW1708" s="62">
        <f>IF(E1708="","",IF(G1708&lt;&gt;"",G1708,IF(OR(E1708="Proposition envoyée",E1708="Signature"),MAX(0,N(IFERROR(INDEX('Paramètres'!$R$6:$R$15,MATCH(IF(AL1708&lt;&gt;"",AL1708,IFERROR(INDEX('Prospects'!$AN$5:$AN$504,MATCH(C1708,'Prospects'!$C$5:$C$504,0)),"")),'Paramètres'!$Q$6:$Q$15,0)),0))-N(P1708)),0)))</f>
        <v/>
      </c>
      <c r="AX1708" s="61">
        <f>IF(C1708="","",IF(COUNTIF($C$5:C1708,C1708)=1,MAX($AX$4:AX1707)+1,""))</f>
        <v/>
      </c>
      <c r="AY1708" s="61">
        <f>IF(B1708="","",HOUR(B1708))</f>
        <v/>
      </c>
      <c r="AZ1708" s="61">
        <f>IF(A1708="","",MOD(A1708-2,7)+1)</f>
        <v/>
      </c>
      <c r="BA1708" s="60">
        <f>IF(C1708="","",IFERROR(INDEX('Prospects'!$N$5:$N$504,MATCH(C1708,'Prospects'!$C$5:$C$504,0)),""))</f>
        <v/>
      </c>
      <c r="BB1708" s="61">
        <f>IF(AND(C1708&lt;&gt;"",C1708='Fiche prospect'!$C$4),COUNTIF($C$5:C1708,C1708),"")</f>
        <v/>
      </c>
    </row>
    <row r="1709">
      <c r="A1709" s="53" t="n"/>
      <c r="B1709" s="54" t="n"/>
      <c r="C1709" s="55" t="n"/>
      <c r="D1709" s="55" t="n"/>
      <c r="E1709" s="55" t="n"/>
      <c r="F1709" s="55" t="n"/>
      <c r="G1709" s="56" t="n"/>
      <c r="H1709" s="57" t="n"/>
      <c r="I1709" s="55" t="n"/>
      <c r="J1709" s="53" t="n"/>
      <c r="K1709" s="54" t="n"/>
      <c r="L1709" s="55" t="n"/>
      <c r="M1709" s="55" t="n"/>
      <c r="N1709" s="57" t="n"/>
      <c r="O1709" s="55" t="n"/>
      <c r="P1709" s="56" t="n"/>
      <c r="Q1709" s="55" t="n"/>
      <c r="R1709" s="55" t="n"/>
      <c r="S1709" s="55" t="n"/>
      <c r="T1709" s="55" t="n"/>
      <c r="U1709" s="55" t="n"/>
      <c r="V1709" s="55" t="n"/>
      <c r="W1709" s="58" t="n"/>
      <c r="X1709" s="58" t="n"/>
      <c r="Y1709" s="55" t="n"/>
      <c r="Z1709" s="55" t="n"/>
      <c r="AA1709" s="55" t="n"/>
      <c r="AB1709" s="55" t="n"/>
      <c r="AC1709" s="55" t="n"/>
      <c r="AD1709" s="53" t="n"/>
      <c r="AE1709" s="55" t="n"/>
      <c r="AF1709" s="55" t="n"/>
      <c r="AG1709" s="59" t="n"/>
      <c r="AH1709" s="57" t="n"/>
      <c r="AI1709" s="55" t="n"/>
      <c r="AJ1709" s="55" t="n"/>
      <c r="AK1709" s="55" t="n"/>
      <c r="AL1709" s="55" t="n"/>
      <c r="AM1709" s="56" t="n"/>
      <c r="AN1709" s="55" t="n"/>
      <c r="AO1709" s="55" t="n"/>
      <c r="AP1709" s="55" t="n"/>
      <c r="AQ1709" s="55" t="n"/>
      <c r="AR1709" s="60">
        <f>IF(AND(C1709="",E1709=""),"",IF(A1709="","⚠ Date manquante",IF(AND(C1709="",E1709&lt;&gt;"Dépense"),"⚠ Prospect manquant",IF(E1709="","⚠ Action manquante",IF(AND(AU1709=1,D1709=""),"⚠ Canal manquant",IF(AND(W1709&lt;&gt;"",COUNTIFS('Saisie'!$W$5:$W$2004,W1709,'Saisie'!$C$5:$C$2004,"&lt;&gt;"&amp;C1709)&gt;0),"⚠ Numéro déjà utilisé par un autre prospect",IF(AND(J1709&lt;&gt;"",J1709&lt;A1709),"⚠ Relance avant la date de l'action",IF(A1709&gt;TODAY(),"⚠ Date dans le futur","✓"))))))))</f>
        <v/>
      </c>
      <c r="AS1709" s="61">
        <f>IF(AND(A1709="",C1709="",E1709=""),"",ROW())</f>
        <v/>
      </c>
      <c r="AT1709" s="61">
        <f>IF(E1709&amp;F1709="","",MAX(IFERROR(INDEX('Paramètres'!$J$6:$J$33,MATCH(E1709,'Paramètres'!$I$6:$I$33,0)),0),IFERROR(INDEX('Paramètres'!$N$6:$N$17,MATCH(F1709,'Paramètres'!$M$6:$M$17,0)),0)))</f>
        <v/>
      </c>
      <c r="AU1709" s="61">
        <f>IF(E1709="","",IFERROR(IF(INDEX('Paramètres'!$K$6:$K$33,MATCH(E1709,'Paramètres'!$I$6:$I$33,0))="Oui",1,0),0))</f>
        <v/>
      </c>
      <c r="AV1709" s="61">
        <f>IF(F1709="","",IFERROR(IF(INDEX('Paramètres'!$O$6:$O$17,MATCH(F1709,'Paramètres'!$M$6:$M$17,0))="Oui",1,0),0))</f>
        <v/>
      </c>
      <c r="AW1709" s="62">
        <f>IF(E1709="","",IF(G1709&lt;&gt;"",G1709,IF(OR(E1709="Proposition envoyée",E1709="Signature"),MAX(0,N(IFERROR(INDEX('Paramètres'!$R$6:$R$15,MATCH(IF(AL1709&lt;&gt;"",AL1709,IFERROR(INDEX('Prospects'!$AN$5:$AN$504,MATCH(C1709,'Prospects'!$C$5:$C$504,0)),"")),'Paramètres'!$Q$6:$Q$15,0)),0))-N(P1709)),0)))</f>
        <v/>
      </c>
      <c r="AX1709" s="61">
        <f>IF(C1709="","",IF(COUNTIF($C$5:C1709,C1709)=1,MAX($AX$4:AX1708)+1,""))</f>
        <v/>
      </c>
      <c r="AY1709" s="61">
        <f>IF(B1709="","",HOUR(B1709))</f>
        <v/>
      </c>
      <c r="AZ1709" s="61">
        <f>IF(A1709="","",MOD(A1709-2,7)+1)</f>
        <v/>
      </c>
      <c r="BA1709" s="60">
        <f>IF(C1709="","",IFERROR(INDEX('Prospects'!$N$5:$N$504,MATCH(C1709,'Prospects'!$C$5:$C$504,0)),""))</f>
        <v/>
      </c>
      <c r="BB1709" s="61">
        <f>IF(AND(C1709&lt;&gt;"",C1709='Fiche prospect'!$C$4),COUNTIF($C$5:C1709,C1709),"")</f>
        <v/>
      </c>
    </row>
    <row r="1710">
      <c r="A1710" s="53" t="n"/>
      <c r="B1710" s="54" t="n"/>
      <c r="C1710" s="55" t="n"/>
      <c r="D1710" s="55" t="n"/>
      <c r="E1710" s="55" t="n"/>
      <c r="F1710" s="55" t="n"/>
      <c r="G1710" s="56" t="n"/>
      <c r="H1710" s="57" t="n"/>
      <c r="I1710" s="55" t="n"/>
      <c r="J1710" s="53" t="n"/>
      <c r="K1710" s="54" t="n"/>
      <c r="L1710" s="55" t="n"/>
      <c r="M1710" s="55" t="n"/>
      <c r="N1710" s="57" t="n"/>
      <c r="O1710" s="55" t="n"/>
      <c r="P1710" s="56" t="n"/>
      <c r="Q1710" s="55" t="n"/>
      <c r="R1710" s="55" t="n"/>
      <c r="S1710" s="55" t="n"/>
      <c r="T1710" s="55" t="n"/>
      <c r="U1710" s="55" t="n"/>
      <c r="V1710" s="55" t="n"/>
      <c r="W1710" s="58" t="n"/>
      <c r="X1710" s="58" t="n"/>
      <c r="Y1710" s="55" t="n"/>
      <c r="Z1710" s="55" t="n"/>
      <c r="AA1710" s="55" t="n"/>
      <c r="AB1710" s="55" t="n"/>
      <c r="AC1710" s="55" t="n"/>
      <c r="AD1710" s="53" t="n"/>
      <c r="AE1710" s="55" t="n"/>
      <c r="AF1710" s="55" t="n"/>
      <c r="AG1710" s="59" t="n"/>
      <c r="AH1710" s="57" t="n"/>
      <c r="AI1710" s="55" t="n"/>
      <c r="AJ1710" s="55" t="n"/>
      <c r="AK1710" s="55" t="n"/>
      <c r="AL1710" s="55" t="n"/>
      <c r="AM1710" s="56" t="n"/>
      <c r="AN1710" s="55" t="n"/>
      <c r="AO1710" s="55" t="n"/>
      <c r="AP1710" s="55" t="n"/>
      <c r="AQ1710" s="55" t="n"/>
      <c r="AR1710" s="60">
        <f>IF(AND(C1710="",E1710=""),"",IF(A1710="","⚠ Date manquante",IF(AND(C1710="",E1710&lt;&gt;"Dépense"),"⚠ Prospect manquant",IF(E1710="","⚠ Action manquante",IF(AND(AU1710=1,D1710=""),"⚠ Canal manquant",IF(AND(W1710&lt;&gt;"",COUNTIFS('Saisie'!$W$5:$W$2004,W1710,'Saisie'!$C$5:$C$2004,"&lt;&gt;"&amp;C1710)&gt;0),"⚠ Numéro déjà utilisé par un autre prospect",IF(AND(J1710&lt;&gt;"",J1710&lt;A1710),"⚠ Relance avant la date de l'action",IF(A1710&gt;TODAY(),"⚠ Date dans le futur","✓"))))))))</f>
        <v/>
      </c>
      <c r="AS1710" s="61">
        <f>IF(AND(A1710="",C1710="",E1710=""),"",ROW())</f>
        <v/>
      </c>
      <c r="AT1710" s="61">
        <f>IF(E1710&amp;F1710="","",MAX(IFERROR(INDEX('Paramètres'!$J$6:$J$33,MATCH(E1710,'Paramètres'!$I$6:$I$33,0)),0),IFERROR(INDEX('Paramètres'!$N$6:$N$17,MATCH(F1710,'Paramètres'!$M$6:$M$17,0)),0)))</f>
        <v/>
      </c>
      <c r="AU1710" s="61">
        <f>IF(E1710="","",IFERROR(IF(INDEX('Paramètres'!$K$6:$K$33,MATCH(E1710,'Paramètres'!$I$6:$I$33,0))="Oui",1,0),0))</f>
        <v/>
      </c>
      <c r="AV1710" s="61">
        <f>IF(F1710="","",IFERROR(IF(INDEX('Paramètres'!$O$6:$O$17,MATCH(F1710,'Paramètres'!$M$6:$M$17,0))="Oui",1,0),0))</f>
        <v/>
      </c>
      <c r="AW1710" s="62">
        <f>IF(E1710="","",IF(G1710&lt;&gt;"",G1710,IF(OR(E1710="Proposition envoyée",E1710="Signature"),MAX(0,N(IFERROR(INDEX('Paramètres'!$R$6:$R$15,MATCH(IF(AL1710&lt;&gt;"",AL1710,IFERROR(INDEX('Prospects'!$AN$5:$AN$504,MATCH(C1710,'Prospects'!$C$5:$C$504,0)),"")),'Paramètres'!$Q$6:$Q$15,0)),0))-N(P1710)),0)))</f>
        <v/>
      </c>
      <c r="AX1710" s="61">
        <f>IF(C1710="","",IF(COUNTIF($C$5:C1710,C1710)=1,MAX($AX$4:AX1709)+1,""))</f>
        <v/>
      </c>
      <c r="AY1710" s="61">
        <f>IF(B1710="","",HOUR(B1710))</f>
        <v/>
      </c>
      <c r="AZ1710" s="61">
        <f>IF(A1710="","",MOD(A1710-2,7)+1)</f>
        <v/>
      </c>
      <c r="BA1710" s="60">
        <f>IF(C1710="","",IFERROR(INDEX('Prospects'!$N$5:$N$504,MATCH(C1710,'Prospects'!$C$5:$C$504,0)),""))</f>
        <v/>
      </c>
      <c r="BB1710" s="61">
        <f>IF(AND(C1710&lt;&gt;"",C1710='Fiche prospect'!$C$4),COUNTIF($C$5:C1710,C1710),"")</f>
        <v/>
      </c>
    </row>
    <row r="1711">
      <c r="A1711" s="53" t="n"/>
      <c r="B1711" s="54" t="n"/>
      <c r="C1711" s="55" t="n"/>
      <c r="D1711" s="55" t="n"/>
      <c r="E1711" s="55" t="n"/>
      <c r="F1711" s="55" t="n"/>
      <c r="G1711" s="56" t="n"/>
      <c r="H1711" s="57" t="n"/>
      <c r="I1711" s="55" t="n"/>
      <c r="J1711" s="53" t="n"/>
      <c r="K1711" s="54" t="n"/>
      <c r="L1711" s="55" t="n"/>
      <c r="M1711" s="55" t="n"/>
      <c r="N1711" s="57" t="n"/>
      <c r="O1711" s="55" t="n"/>
      <c r="P1711" s="56" t="n"/>
      <c r="Q1711" s="55" t="n"/>
      <c r="R1711" s="55" t="n"/>
      <c r="S1711" s="55" t="n"/>
      <c r="T1711" s="55" t="n"/>
      <c r="U1711" s="55" t="n"/>
      <c r="V1711" s="55" t="n"/>
      <c r="W1711" s="58" t="n"/>
      <c r="X1711" s="58" t="n"/>
      <c r="Y1711" s="55" t="n"/>
      <c r="Z1711" s="55" t="n"/>
      <c r="AA1711" s="55" t="n"/>
      <c r="AB1711" s="55" t="n"/>
      <c r="AC1711" s="55" t="n"/>
      <c r="AD1711" s="53" t="n"/>
      <c r="AE1711" s="55" t="n"/>
      <c r="AF1711" s="55" t="n"/>
      <c r="AG1711" s="59" t="n"/>
      <c r="AH1711" s="57" t="n"/>
      <c r="AI1711" s="55" t="n"/>
      <c r="AJ1711" s="55" t="n"/>
      <c r="AK1711" s="55" t="n"/>
      <c r="AL1711" s="55" t="n"/>
      <c r="AM1711" s="56" t="n"/>
      <c r="AN1711" s="55" t="n"/>
      <c r="AO1711" s="55" t="n"/>
      <c r="AP1711" s="55" t="n"/>
      <c r="AQ1711" s="55" t="n"/>
      <c r="AR1711" s="60">
        <f>IF(AND(C1711="",E1711=""),"",IF(A1711="","⚠ Date manquante",IF(AND(C1711="",E1711&lt;&gt;"Dépense"),"⚠ Prospect manquant",IF(E1711="","⚠ Action manquante",IF(AND(AU1711=1,D1711=""),"⚠ Canal manquant",IF(AND(W1711&lt;&gt;"",COUNTIFS('Saisie'!$W$5:$W$2004,W1711,'Saisie'!$C$5:$C$2004,"&lt;&gt;"&amp;C1711)&gt;0),"⚠ Numéro déjà utilisé par un autre prospect",IF(AND(J1711&lt;&gt;"",J1711&lt;A1711),"⚠ Relance avant la date de l'action",IF(A1711&gt;TODAY(),"⚠ Date dans le futur","✓"))))))))</f>
        <v/>
      </c>
      <c r="AS1711" s="61">
        <f>IF(AND(A1711="",C1711="",E1711=""),"",ROW())</f>
        <v/>
      </c>
      <c r="AT1711" s="61">
        <f>IF(E1711&amp;F1711="","",MAX(IFERROR(INDEX('Paramètres'!$J$6:$J$33,MATCH(E1711,'Paramètres'!$I$6:$I$33,0)),0),IFERROR(INDEX('Paramètres'!$N$6:$N$17,MATCH(F1711,'Paramètres'!$M$6:$M$17,0)),0)))</f>
        <v/>
      </c>
      <c r="AU1711" s="61">
        <f>IF(E1711="","",IFERROR(IF(INDEX('Paramètres'!$K$6:$K$33,MATCH(E1711,'Paramètres'!$I$6:$I$33,0))="Oui",1,0),0))</f>
        <v/>
      </c>
      <c r="AV1711" s="61">
        <f>IF(F1711="","",IFERROR(IF(INDEX('Paramètres'!$O$6:$O$17,MATCH(F1711,'Paramètres'!$M$6:$M$17,0))="Oui",1,0),0))</f>
        <v/>
      </c>
      <c r="AW1711" s="62">
        <f>IF(E1711="","",IF(G1711&lt;&gt;"",G1711,IF(OR(E1711="Proposition envoyée",E1711="Signature"),MAX(0,N(IFERROR(INDEX('Paramètres'!$R$6:$R$15,MATCH(IF(AL1711&lt;&gt;"",AL1711,IFERROR(INDEX('Prospects'!$AN$5:$AN$504,MATCH(C1711,'Prospects'!$C$5:$C$504,0)),"")),'Paramètres'!$Q$6:$Q$15,0)),0))-N(P1711)),0)))</f>
        <v/>
      </c>
      <c r="AX1711" s="61">
        <f>IF(C1711="","",IF(COUNTIF($C$5:C1711,C1711)=1,MAX($AX$4:AX1710)+1,""))</f>
        <v/>
      </c>
      <c r="AY1711" s="61">
        <f>IF(B1711="","",HOUR(B1711))</f>
        <v/>
      </c>
      <c r="AZ1711" s="61">
        <f>IF(A1711="","",MOD(A1711-2,7)+1)</f>
        <v/>
      </c>
      <c r="BA1711" s="60">
        <f>IF(C1711="","",IFERROR(INDEX('Prospects'!$N$5:$N$504,MATCH(C1711,'Prospects'!$C$5:$C$504,0)),""))</f>
        <v/>
      </c>
      <c r="BB1711" s="61">
        <f>IF(AND(C1711&lt;&gt;"",C1711='Fiche prospect'!$C$4),COUNTIF($C$5:C1711,C1711),"")</f>
        <v/>
      </c>
    </row>
    <row r="1712">
      <c r="A1712" s="53" t="n"/>
      <c r="B1712" s="54" t="n"/>
      <c r="C1712" s="55" t="n"/>
      <c r="D1712" s="55" t="n"/>
      <c r="E1712" s="55" t="n"/>
      <c r="F1712" s="55" t="n"/>
      <c r="G1712" s="56" t="n"/>
      <c r="H1712" s="57" t="n"/>
      <c r="I1712" s="55" t="n"/>
      <c r="J1712" s="53" t="n"/>
      <c r="K1712" s="54" t="n"/>
      <c r="L1712" s="55" t="n"/>
      <c r="M1712" s="55" t="n"/>
      <c r="N1712" s="57" t="n"/>
      <c r="O1712" s="55" t="n"/>
      <c r="P1712" s="56" t="n"/>
      <c r="Q1712" s="55" t="n"/>
      <c r="R1712" s="55" t="n"/>
      <c r="S1712" s="55" t="n"/>
      <c r="T1712" s="55" t="n"/>
      <c r="U1712" s="55" t="n"/>
      <c r="V1712" s="55" t="n"/>
      <c r="W1712" s="58" t="n"/>
      <c r="X1712" s="58" t="n"/>
      <c r="Y1712" s="55" t="n"/>
      <c r="Z1712" s="55" t="n"/>
      <c r="AA1712" s="55" t="n"/>
      <c r="AB1712" s="55" t="n"/>
      <c r="AC1712" s="55" t="n"/>
      <c r="AD1712" s="53" t="n"/>
      <c r="AE1712" s="55" t="n"/>
      <c r="AF1712" s="55" t="n"/>
      <c r="AG1712" s="59" t="n"/>
      <c r="AH1712" s="57" t="n"/>
      <c r="AI1712" s="55" t="n"/>
      <c r="AJ1712" s="55" t="n"/>
      <c r="AK1712" s="55" t="n"/>
      <c r="AL1712" s="55" t="n"/>
      <c r="AM1712" s="56" t="n"/>
      <c r="AN1712" s="55" t="n"/>
      <c r="AO1712" s="55" t="n"/>
      <c r="AP1712" s="55" t="n"/>
      <c r="AQ1712" s="55" t="n"/>
      <c r="AR1712" s="60">
        <f>IF(AND(C1712="",E1712=""),"",IF(A1712="","⚠ Date manquante",IF(AND(C1712="",E1712&lt;&gt;"Dépense"),"⚠ Prospect manquant",IF(E1712="","⚠ Action manquante",IF(AND(AU1712=1,D1712=""),"⚠ Canal manquant",IF(AND(W1712&lt;&gt;"",COUNTIFS('Saisie'!$W$5:$W$2004,W1712,'Saisie'!$C$5:$C$2004,"&lt;&gt;"&amp;C1712)&gt;0),"⚠ Numéro déjà utilisé par un autre prospect",IF(AND(J1712&lt;&gt;"",J1712&lt;A1712),"⚠ Relance avant la date de l'action",IF(A1712&gt;TODAY(),"⚠ Date dans le futur","✓"))))))))</f>
        <v/>
      </c>
      <c r="AS1712" s="61">
        <f>IF(AND(A1712="",C1712="",E1712=""),"",ROW())</f>
        <v/>
      </c>
      <c r="AT1712" s="61">
        <f>IF(E1712&amp;F1712="","",MAX(IFERROR(INDEX('Paramètres'!$J$6:$J$33,MATCH(E1712,'Paramètres'!$I$6:$I$33,0)),0),IFERROR(INDEX('Paramètres'!$N$6:$N$17,MATCH(F1712,'Paramètres'!$M$6:$M$17,0)),0)))</f>
        <v/>
      </c>
      <c r="AU1712" s="61">
        <f>IF(E1712="","",IFERROR(IF(INDEX('Paramètres'!$K$6:$K$33,MATCH(E1712,'Paramètres'!$I$6:$I$33,0))="Oui",1,0),0))</f>
        <v/>
      </c>
      <c r="AV1712" s="61">
        <f>IF(F1712="","",IFERROR(IF(INDEX('Paramètres'!$O$6:$O$17,MATCH(F1712,'Paramètres'!$M$6:$M$17,0))="Oui",1,0),0))</f>
        <v/>
      </c>
      <c r="AW1712" s="62">
        <f>IF(E1712="","",IF(G1712&lt;&gt;"",G1712,IF(OR(E1712="Proposition envoyée",E1712="Signature"),MAX(0,N(IFERROR(INDEX('Paramètres'!$R$6:$R$15,MATCH(IF(AL1712&lt;&gt;"",AL1712,IFERROR(INDEX('Prospects'!$AN$5:$AN$504,MATCH(C1712,'Prospects'!$C$5:$C$504,0)),"")),'Paramètres'!$Q$6:$Q$15,0)),0))-N(P1712)),0)))</f>
        <v/>
      </c>
      <c r="AX1712" s="61">
        <f>IF(C1712="","",IF(COUNTIF($C$5:C1712,C1712)=1,MAX($AX$4:AX1711)+1,""))</f>
        <v/>
      </c>
      <c r="AY1712" s="61">
        <f>IF(B1712="","",HOUR(B1712))</f>
        <v/>
      </c>
      <c r="AZ1712" s="61">
        <f>IF(A1712="","",MOD(A1712-2,7)+1)</f>
        <v/>
      </c>
      <c r="BA1712" s="60">
        <f>IF(C1712="","",IFERROR(INDEX('Prospects'!$N$5:$N$504,MATCH(C1712,'Prospects'!$C$5:$C$504,0)),""))</f>
        <v/>
      </c>
      <c r="BB1712" s="61">
        <f>IF(AND(C1712&lt;&gt;"",C1712='Fiche prospect'!$C$4),COUNTIF($C$5:C1712,C1712),"")</f>
        <v/>
      </c>
    </row>
    <row r="1713">
      <c r="A1713" s="53" t="n"/>
      <c r="B1713" s="54" t="n"/>
      <c r="C1713" s="55" t="n"/>
      <c r="D1713" s="55" t="n"/>
      <c r="E1713" s="55" t="n"/>
      <c r="F1713" s="55" t="n"/>
      <c r="G1713" s="56" t="n"/>
      <c r="H1713" s="57" t="n"/>
      <c r="I1713" s="55" t="n"/>
      <c r="J1713" s="53" t="n"/>
      <c r="K1713" s="54" t="n"/>
      <c r="L1713" s="55" t="n"/>
      <c r="M1713" s="55" t="n"/>
      <c r="N1713" s="57" t="n"/>
      <c r="O1713" s="55" t="n"/>
      <c r="P1713" s="56" t="n"/>
      <c r="Q1713" s="55" t="n"/>
      <c r="R1713" s="55" t="n"/>
      <c r="S1713" s="55" t="n"/>
      <c r="T1713" s="55" t="n"/>
      <c r="U1713" s="55" t="n"/>
      <c r="V1713" s="55" t="n"/>
      <c r="W1713" s="58" t="n"/>
      <c r="X1713" s="58" t="n"/>
      <c r="Y1713" s="55" t="n"/>
      <c r="Z1713" s="55" t="n"/>
      <c r="AA1713" s="55" t="n"/>
      <c r="AB1713" s="55" t="n"/>
      <c r="AC1713" s="55" t="n"/>
      <c r="AD1713" s="53" t="n"/>
      <c r="AE1713" s="55" t="n"/>
      <c r="AF1713" s="55" t="n"/>
      <c r="AG1713" s="59" t="n"/>
      <c r="AH1713" s="57" t="n"/>
      <c r="AI1713" s="55" t="n"/>
      <c r="AJ1713" s="55" t="n"/>
      <c r="AK1713" s="55" t="n"/>
      <c r="AL1713" s="55" t="n"/>
      <c r="AM1713" s="56" t="n"/>
      <c r="AN1713" s="55" t="n"/>
      <c r="AO1713" s="55" t="n"/>
      <c r="AP1713" s="55" t="n"/>
      <c r="AQ1713" s="55" t="n"/>
      <c r="AR1713" s="60">
        <f>IF(AND(C1713="",E1713=""),"",IF(A1713="","⚠ Date manquante",IF(AND(C1713="",E1713&lt;&gt;"Dépense"),"⚠ Prospect manquant",IF(E1713="","⚠ Action manquante",IF(AND(AU1713=1,D1713=""),"⚠ Canal manquant",IF(AND(W1713&lt;&gt;"",COUNTIFS('Saisie'!$W$5:$W$2004,W1713,'Saisie'!$C$5:$C$2004,"&lt;&gt;"&amp;C1713)&gt;0),"⚠ Numéro déjà utilisé par un autre prospect",IF(AND(J1713&lt;&gt;"",J1713&lt;A1713),"⚠ Relance avant la date de l'action",IF(A1713&gt;TODAY(),"⚠ Date dans le futur","✓"))))))))</f>
        <v/>
      </c>
      <c r="AS1713" s="61">
        <f>IF(AND(A1713="",C1713="",E1713=""),"",ROW())</f>
        <v/>
      </c>
      <c r="AT1713" s="61">
        <f>IF(E1713&amp;F1713="","",MAX(IFERROR(INDEX('Paramètres'!$J$6:$J$33,MATCH(E1713,'Paramètres'!$I$6:$I$33,0)),0),IFERROR(INDEX('Paramètres'!$N$6:$N$17,MATCH(F1713,'Paramètres'!$M$6:$M$17,0)),0)))</f>
        <v/>
      </c>
      <c r="AU1713" s="61">
        <f>IF(E1713="","",IFERROR(IF(INDEX('Paramètres'!$K$6:$K$33,MATCH(E1713,'Paramètres'!$I$6:$I$33,0))="Oui",1,0),0))</f>
        <v/>
      </c>
      <c r="AV1713" s="61">
        <f>IF(F1713="","",IFERROR(IF(INDEX('Paramètres'!$O$6:$O$17,MATCH(F1713,'Paramètres'!$M$6:$M$17,0))="Oui",1,0),0))</f>
        <v/>
      </c>
      <c r="AW1713" s="62">
        <f>IF(E1713="","",IF(G1713&lt;&gt;"",G1713,IF(OR(E1713="Proposition envoyée",E1713="Signature"),MAX(0,N(IFERROR(INDEX('Paramètres'!$R$6:$R$15,MATCH(IF(AL1713&lt;&gt;"",AL1713,IFERROR(INDEX('Prospects'!$AN$5:$AN$504,MATCH(C1713,'Prospects'!$C$5:$C$504,0)),"")),'Paramètres'!$Q$6:$Q$15,0)),0))-N(P1713)),0)))</f>
        <v/>
      </c>
      <c r="AX1713" s="61">
        <f>IF(C1713="","",IF(COUNTIF($C$5:C1713,C1713)=1,MAX($AX$4:AX1712)+1,""))</f>
        <v/>
      </c>
      <c r="AY1713" s="61">
        <f>IF(B1713="","",HOUR(B1713))</f>
        <v/>
      </c>
      <c r="AZ1713" s="61">
        <f>IF(A1713="","",MOD(A1713-2,7)+1)</f>
        <v/>
      </c>
      <c r="BA1713" s="60">
        <f>IF(C1713="","",IFERROR(INDEX('Prospects'!$N$5:$N$504,MATCH(C1713,'Prospects'!$C$5:$C$504,0)),""))</f>
        <v/>
      </c>
      <c r="BB1713" s="61">
        <f>IF(AND(C1713&lt;&gt;"",C1713='Fiche prospect'!$C$4),COUNTIF($C$5:C1713,C1713),"")</f>
        <v/>
      </c>
    </row>
    <row r="1714">
      <c r="A1714" s="53" t="n"/>
      <c r="B1714" s="54" t="n"/>
      <c r="C1714" s="55" t="n"/>
      <c r="D1714" s="55" t="n"/>
      <c r="E1714" s="55" t="n"/>
      <c r="F1714" s="55" t="n"/>
      <c r="G1714" s="56" t="n"/>
      <c r="H1714" s="57" t="n"/>
      <c r="I1714" s="55" t="n"/>
      <c r="J1714" s="53" t="n"/>
      <c r="K1714" s="54" t="n"/>
      <c r="L1714" s="55" t="n"/>
      <c r="M1714" s="55" t="n"/>
      <c r="N1714" s="57" t="n"/>
      <c r="O1714" s="55" t="n"/>
      <c r="P1714" s="56" t="n"/>
      <c r="Q1714" s="55" t="n"/>
      <c r="R1714" s="55" t="n"/>
      <c r="S1714" s="55" t="n"/>
      <c r="T1714" s="55" t="n"/>
      <c r="U1714" s="55" t="n"/>
      <c r="V1714" s="55" t="n"/>
      <c r="W1714" s="58" t="n"/>
      <c r="X1714" s="58" t="n"/>
      <c r="Y1714" s="55" t="n"/>
      <c r="Z1714" s="55" t="n"/>
      <c r="AA1714" s="55" t="n"/>
      <c r="AB1714" s="55" t="n"/>
      <c r="AC1714" s="55" t="n"/>
      <c r="AD1714" s="53" t="n"/>
      <c r="AE1714" s="55" t="n"/>
      <c r="AF1714" s="55" t="n"/>
      <c r="AG1714" s="59" t="n"/>
      <c r="AH1714" s="57" t="n"/>
      <c r="AI1714" s="55" t="n"/>
      <c r="AJ1714" s="55" t="n"/>
      <c r="AK1714" s="55" t="n"/>
      <c r="AL1714" s="55" t="n"/>
      <c r="AM1714" s="56" t="n"/>
      <c r="AN1714" s="55" t="n"/>
      <c r="AO1714" s="55" t="n"/>
      <c r="AP1714" s="55" t="n"/>
      <c r="AQ1714" s="55" t="n"/>
      <c r="AR1714" s="60">
        <f>IF(AND(C1714="",E1714=""),"",IF(A1714="","⚠ Date manquante",IF(AND(C1714="",E1714&lt;&gt;"Dépense"),"⚠ Prospect manquant",IF(E1714="","⚠ Action manquante",IF(AND(AU1714=1,D1714=""),"⚠ Canal manquant",IF(AND(W1714&lt;&gt;"",COUNTIFS('Saisie'!$W$5:$W$2004,W1714,'Saisie'!$C$5:$C$2004,"&lt;&gt;"&amp;C1714)&gt;0),"⚠ Numéro déjà utilisé par un autre prospect",IF(AND(J1714&lt;&gt;"",J1714&lt;A1714),"⚠ Relance avant la date de l'action",IF(A1714&gt;TODAY(),"⚠ Date dans le futur","✓"))))))))</f>
        <v/>
      </c>
      <c r="AS1714" s="61">
        <f>IF(AND(A1714="",C1714="",E1714=""),"",ROW())</f>
        <v/>
      </c>
      <c r="AT1714" s="61">
        <f>IF(E1714&amp;F1714="","",MAX(IFERROR(INDEX('Paramètres'!$J$6:$J$33,MATCH(E1714,'Paramètres'!$I$6:$I$33,0)),0),IFERROR(INDEX('Paramètres'!$N$6:$N$17,MATCH(F1714,'Paramètres'!$M$6:$M$17,0)),0)))</f>
        <v/>
      </c>
      <c r="AU1714" s="61">
        <f>IF(E1714="","",IFERROR(IF(INDEX('Paramètres'!$K$6:$K$33,MATCH(E1714,'Paramètres'!$I$6:$I$33,0))="Oui",1,0),0))</f>
        <v/>
      </c>
      <c r="AV1714" s="61">
        <f>IF(F1714="","",IFERROR(IF(INDEX('Paramètres'!$O$6:$O$17,MATCH(F1714,'Paramètres'!$M$6:$M$17,0))="Oui",1,0),0))</f>
        <v/>
      </c>
      <c r="AW1714" s="62">
        <f>IF(E1714="","",IF(G1714&lt;&gt;"",G1714,IF(OR(E1714="Proposition envoyée",E1714="Signature"),MAX(0,N(IFERROR(INDEX('Paramètres'!$R$6:$R$15,MATCH(IF(AL1714&lt;&gt;"",AL1714,IFERROR(INDEX('Prospects'!$AN$5:$AN$504,MATCH(C1714,'Prospects'!$C$5:$C$504,0)),"")),'Paramètres'!$Q$6:$Q$15,0)),0))-N(P1714)),0)))</f>
        <v/>
      </c>
      <c r="AX1714" s="61">
        <f>IF(C1714="","",IF(COUNTIF($C$5:C1714,C1714)=1,MAX($AX$4:AX1713)+1,""))</f>
        <v/>
      </c>
      <c r="AY1714" s="61">
        <f>IF(B1714="","",HOUR(B1714))</f>
        <v/>
      </c>
      <c r="AZ1714" s="61">
        <f>IF(A1714="","",MOD(A1714-2,7)+1)</f>
        <v/>
      </c>
      <c r="BA1714" s="60">
        <f>IF(C1714="","",IFERROR(INDEX('Prospects'!$N$5:$N$504,MATCH(C1714,'Prospects'!$C$5:$C$504,0)),""))</f>
        <v/>
      </c>
      <c r="BB1714" s="61">
        <f>IF(AND(C1714&lt;&gt;"",C1714='Fiche prospect'!$C$4),COUNTIF($C$5:C1714,C1714),"")</f>
        <v/>
      </c>
    </row>
    <row r="1715">
      <c r="A1715" s="53" t="n"/>
      <c r="B1715" s="54" t="n"/>
      <c r="C1715" s="55" t="n"/>
      <c r="D1715" s="55" t="n"/>
      <c r="E1715" s="55" t="n"/>
      <c r="F1715" s="55" t="n"/>
      <c r="G1715" s="56" t="n"/>
      <c r="H1715" s="57" t="n"/>
      <c r="I1715" s="55" t="n"/>
      <c r="J1715" s="53" t="n"/>
      <c r="K1715" s="54" t="n"/>
      <c r="L1715" s="55" t="n"/>
      <c r="M1715" s="55" t="n"/>
      <c r="N1715" s="57" t="n"/>
      <c r="O1715" s="55" t="n"/>
      <c r="P1715" s="56" t="n"/>
      <c r="Q1715" s="55" t="n"/>
      <c r="R1715" s="55" t="n"/>
      <c r="S1715" s="55" t="n"/>
      <c r="T1715" s="55" t="n"/>
      <c r="U1715" s="55" t="n"/>
      <c r="V1715" s="55" t="n"/>
      <c r="W1715" s="58" t="n"/>
      <c r="X1715" s="58" t="n"/>
      <c r="Y1715" s="55" t="n"/>
      <c r="Z1715" s="55" t="n"/>
      <c r="AA1715" s="55" t="n"/>
      <c r="AB1715" s="55" t="n"/>
      <c r="AC1715" s="55" t="n"/>
      <c r="AD1715" s="53" t="n"/>
      <c r="AE1715" s="55" t="n"/>
      <c r="AF1715" s="55" t="n"/>
      <c r="AG1715" s="59" t="n"/>
      <c r="AH1715" s="57" t="n"/>
      <c r="AI1715" s="55" t="n"/>
      <c r="AJ1715" s="55" t="n"/>
      <c r="AK1715" s="55" t="n"/>
      <c r="AL1715" s="55" t="n"/>
      <c r="AM1715" s="56" t="n"/>
      <c r="AN1715" s="55" t="n"/>
      <c r="AO1715" s="55" t="n"/>
      <c r="AP1715" s="55" t="n"/>
      <c r="AQ1715" s="55" t="n"/>
      <c r="AR1715" s="60">
        <f>IF(AND(C1715="",E1715=""),"",IF(A1715="","⚠ Date manquante",IF(AND(C1715="",E1715&lt;&gt;"Dépense"),"⚠ Prospect manquant",IF(E1715="","⚠ Action manquante",IF(AND(AU1715=1,D1715=""),"⚠ Canal manquant",IF(AND(W1715&lt;&gt;"",COUNTIFS('Saisie'!$W$5:$W$2004,W1715,'Saisie'!$C$5:$C$2004,"&lt;&gt;"&amp;C1715)&gt;0),"⚠ Numéro déjà utilisé par un autre prospect",IF(AND(J1715&lt;&gt;"",J1715&lt;A1715),"⚠ Relance avant la date de l'action",IF(A1715&gt;TODAY(),"⚠ Date dans le futur","✓"))))))))</f>
        <v/>
      </c>
      <c r="AS1715" s="61">
        <f>IF(AND(A1715="",C1715="",E1715=""),"",ROW())</f>
        <v/>
      </c>
      <c r="AT1715" s="61">
        <f>IF(E1715&amp;F1715="","",MAX(IFERROR(INDEX('Paramètres'!$J$6:$J$33,MATCH(E1715,'Paramètres'!$I$6:$I$33,0)),0),IFERROR(INDEX('Paramètres'!$N$6:$N$17,MATCH(F1715,'Paramètres'!$M$6:$M$17,0)),0)))</f>
        <v/>
      </c>
      <c r="AU1715" s="61">
        <f>IF(E1715="","",IFERROR(IF(INDEX('Paramètres'!$K$6:$K$33,MATCH(E1715,'Paramètres'!$I$6:$I$33,0))="Oui",1,0),0))</f>
        <v/>
      </c>
      <c r="AV1715" s="61">
        <f>IF(F1715="","",IFERROR(IF(INDEX('Paramètres'!$O$6:$O$17,MATCH(F1715,'Paramètres'!$M$6:$M$17,0))="Oui",1,0),0))</f>
        <v/>
      </c>
      <c r="AW1715" s="62">
        <f>IF(E1715="","",IF(G1715&lt;&gt;"",G1715,IF(OR(E1715="Proposition envoyée",E1715="Signature"),MAX(0,N(IFERROR(INDEX('Paramètres'!$R$6:$R$15,MATCH(IF(AL1715&lt;&gt;"",AL1715,IFERROR(INDEX('Prospects'!$AN$5:$AN$504,MATCH(C1715,'Prospects'!$C$5:$C$504,0)),"")),'Paramètres'!$Q$6:$Q$15,0)),0))-N(P1715)),0)))</f>
        <v/>
      </c>
      <c r="AX1715" s="61">
        <f>IF(C1715="","",IF(COUNTIF($C$5:C1715,C1715)=1,MAX($AX$4:AX1714)+1,""))</f>
        <v/>
      </c>
      <c r="AY1715" s="61">
        <f>IF(B1715="","",HOUR(B1715))</f>
        <v/>
      </c>
      <c r="AZ1715" s="61">
        <f>IF(A1715="","",MOD(A1715-2,7)+1)</f>
        <v/>
      </c>
      <c r="BA1715" s="60">
        <f>IF(C1715="","",IFERROR(INDEX('Prospects'!$N$5:$N$504,MATCH(C1715,'Prospects'!$C$5:$C$504,0)),""))</f>
        <v/>
      </c>
      <c r="BB1715" s="61">
        <f>IF(AND(C1715&lt;&gt;"",C1715='Fiche prospect'!$C$4),COUNTIF($C$5:C1715,C1715),"")</f>
        <v/>
      </c>
    </row>
    <row r="1716">
      <c r="A1716" s="53" t="n"/>
      <c r="B1716" s="54" t="n"/>
      <c r="C1716" s="55" t="n"/>
      <c r="D1716" s="55" t="n"/>
      <c r="E1716" s="55" t="n"/>
      <c r="F1716" s="55" t="n"/>
      <c r="G1716" s="56" t="n"/>
      <c r="H1716" s="57" t="n"/>
      <c r="I1716" s="55" t="n"/>
      <c r="J1716" s="53" t="n"/>
      <c r="K1716" s="54" t="n"/>
      <c r="L1716" s="55" t="n"/>
      <c r="M1716" s="55" t="n"/>
      <c r="N1716" s="57" t="n"/>
      <c r="O1716" s="55" t="n"/>
      <c r="P1716" s="56" t="n"/>
      <c r="Q1716" s="55" t="n"/>
      <c r="R1716" s="55" t="n"/>
      <c r="S1716" s="55" t="n"/>
      <c r="T1716" s="55" t="n"/>
      <c r="U1716" s="55" t="n"/>
      <c r="V1716" s="55" t="n"/>
      <c r="W1716" s="58" t="n"/>
      <c r="X1716" s="58" t="n"/>
      <c r="Y1716" s="55" t="n"/>
      <c r="Z1716" s="55" t="n"/>
      <c r="AA1716" s="55" t="n"/>
      <c r="AB1716" s="55" t="n"/>
      <c r="AC1716" s="55" t="n"/>
      <c r="AD1716" s="53" t="n"/>
      <c r="AE1716" s="55" t="n"/>
      <c r="AF1716" s="55" t="n"/>
      <c r="AG1716" s="59" t="n"/>
      <c r="AH1716" s="57" t="n"/>
      <c r="AI1716" s="55" t="n"/>
      <c r="AJ1716" s="55" t="n"/>
      <c r="AK1716" s="55" t="n"/>
      <c r="AL1716" s="55" t="n"/>
      <c r="AM1716" s="56" t="n"/>
      <c r="AN1716" s="55" t="n"/>
      <c r="AO1716" s="55" t="n"/>
      <c r="AP1716" s="55" t="n"/>
      <c r="AQ1716" s="55" t="n"/>
      <c r="AR1716" s="60">
        <f>IF(AND(C1716="",E1716=""),"",IF(A1716="","⚠ Date manquante",IF(AND(C1716="",E1716&lt;&gt;"Dépense"),"⚠ Prospect manquant",IF(E1716="","⚠ Action manquante",IF(AND(AU1716=1,D1716=""),"⚠ Canal manquant",IF(AND(W1716&lt;&gt;"",COUNTIFS('Saisie'!$W$5:$W$2004,W1716,'Saisie'!$C$5:$C$2004,"&lt;&gt;"&amp;C1716)&gt;0),"⚠ Numéro déjà utilisé par un autre prospect",IF(AND(J1716&lt;&gt;"",J1716&lt;A1716),"⚠ Relance avant la date de l'action",IF(A1716&gt;TODAY(),"⚠ Date dans le futur","✓"))))))))</f>
        <v/>
      </c>
      <c r="AS1716" s="61">
        <f>IF(AND(A1716="",C1716="",E1716=""),"",ROW())</f>
        <v/>
      </c>
      <c r="AT1716" s="61">
        <f>IF(E1716&amp;F1716="","",MAX(IFERROR(INDEX('Paramètres'!$J$6:$J$33,MATCH(E1716,'Paramètres'!$I$6:$I$33,0)),0),IFERROR(INDEX('Paramètres'!$N$6:$N$17,MATCH(F1716,'Paramètres'!$M$6:$M$17,0)),0)))</f>
        <v/>
      </c>
      <c r="AU1716" s="61">
        <f>IF(E1716="","",IFERROR(IF(INDEX('Paramètres'!$K$6:$K$33,MATCH(E1716,'Paramètres'!$I$6:$I$33,0))="Oui",1,0),0))</f>
        <v/>
      </c>
      <c r="AV1716" s="61">
        <f>IF(F1716="","",IFERROR(IF(INDEX('Paramètres'!$O$6:$O$17,MATCH(F1716,'Paramètres'!$M$6:$M$17,0))="Oui",1,0),0))</f>
        <v/>
      </c>
      <c r="AW1716" s="62">
        <f>IF(E1716="","",IF(G1716&lt;&gt;"",G1716,IF(OR(E1716="Proposition envoyée",E1716="Signature"),MAX(0,N(IFERROR(INDEX('Paramètres'!$R$6:$R$15,MATCH(IF(AL1716&lt;&gt;"",AL1716,IFERROR(INDEX('Prospects'!$AN$5:$AN$504,MATCH(C1716,'Prospects'!$C$5:$C$504,0)),"")),'Paramètres'!$Q$6:$Q$15,0)),0))-N(P1716)),0)))</f>
        <v/>
      </c>
      <c r="AX1716" s="61">
        <f>IF(C1716="","",IF(COUNTIF($C$5:C1716,C1716)=1,MAX($AX$4:AX1715)+1,""))</f>
        <v/>
      </c>
      <c r="AY1716" s="61">
        <f>IF(B1716="","",HOUR(B1716))</f>
        <v/>
      </c>
      <c r="AZ1716" s="61">
        <f>IF(A1716="","",MOD(A1716-2,7)+1)</f>
        <v/>
      </c>
      <c r="BA1716" s="60">
        <f>IF(C1716="","",IFERROR(INDEX('Prospects'!$N$5:$N$504,MATCH(C1716,'Prospects'!$C$5:$C$504,0)),""))</f>
        <v/>
      </c>
      <c r="BB1716" s="61">
        <f>IF(AND(C1716&lt;&gt;"",C1716='Fiche prospect'!$C$4),COUNTIF($C$5:C1716,C1716),"")</f>
        <v/>
      </c>
    </row>
    <row r="1717">
      <c r="A1717" s="53" t="n"/>
      <c r="B1717" s="54" t="n"/>
      <c r="C1717" s="55" t="n"/>
      <c r="D1717" s="55" t="n"/>
      <c r="E1717" s="55" t="n"/>
      <c r="F1717" s="55" t="n"/>
      <c r="G1717" s="56" t="n"/>
      <c r="H1717" s="57" t="n"/>
      <c r="I1717" s="55" t="n"/>
      <c r="J1717" s="53" t="n"/>
      <c r="K1717" s="54" t="n"/>
      <c r="L1717" s="55" t="n"/>
      <c r="M1717" s="55" t="n"/>
      <c r="N1717" s="57" t="n"/>
      <c r="O1717" s="55" t="n"/>
      <c r="P1717" s="56" t="n"/>
      <c r="Q1717" s="55" t="n"/>
      <c r="R1717" s="55" t="n"/>
      <c r="S1717" s="55" t="n"/>
      <c r="T1717" s="55" t="n"/>
      <c r="U1717" s="55" t="n"/>
      <c r="V1717" s="55" t="n"/>
      <c r="W1717" s="58" t="n"/>
      <c r="X1717" s="58" t="n"/>
      <c r="Y1717" s="55" t="n"/>
      <c r="Z1717" s="55" t="n"/>
      <c r="AA1717" s="55" t="n"/>
      <c r="AB1717" s="55" t="n"/>
      <c r="AC1717" s="55" t="n"/>
      <c r="AD1717" s="53" t="n"/>
      <c r="AE1717" s="55" t="n"/>
      <c r="AF1717" s="55" t="n"/>
      <c r="AG1717" s="59" t="n"/>
      <c r="AH1717" s="57" t="n"/>
      <c r="AI1717" s="55" t="n"/>
      <c r="AJ1717" s="55" t="n"/>
      <c r="AK1717" s="55" t="n"/>
      <c r="AL1717" s="55" t="n"/>
      <c r="AM1717" s="56" t="n"/>
      <c r="AN1717" s="55" t="n"/>
      <c r="AO1717" s="55" t="n"/>
      <c r="AP1717" s="55" t="n"/>
      <c r="AQ1717" s="55" t="n"/>
      <c r="AR1717" s="60">
        <f>IF(AND(C1717="",E1717=""),"",IF(A1717="","⚠ Date manquante",IF(AND(C1717="",E1717&lt;&gt;"Dépense"),"⚠ Prospect manquant",IF(E1717="","⚠ Action manquante",IF(AND(AU1717=1,D1717=""),"⚠ Canal manquant",IF(AND(W1717&lt;&gt;"",COUNTIFS('Saisie'!$W$5:$W$2004,W1717,'Saisie'!$C$5:$C$2004,"&lt;&gt;"&amp;C1717)&gt;0),"⚠ Numéro déjà utilisé par un autre prospect",IF(AND(J1717&lt;&gt;"",J1717&lt;A1717),"⚠ Relance avant la date de l'action",IF(A1717&gt;TODAY(),"⚠ Date dans le futur","✓"))))))))</f>
        <v/>
      </c>
      <c r="AS1717" s="61">
        <f>IF(AND(A1717="",C1717="",E1717=""),"",ROW())</f>
        <v/>
      </c>
      <c r="AT1717" s="61">
        <f>IF(E1717&amp;F1717="","",MAX(IFERROR(INDEX('Paramètres'!$J$6:$J$33,MATCH(E1717,'Paramètres'!$I$6:$I$33,0)),0),IFERROR(INDEX('Paramètres'!$N$6:$N$17,MATCH(F1717,'Paramètres'!$M$6:$M$17,0)),0)))</f>
        <v/>
      </c>
      <c r="AU1717" s="61">
        <f>IF(E1717="","",IFERROR(IF(INDEX('Paramètres'!$K$6:$K$33,MATCH(E1717,'Paramètres'!$I$6:$I$33,0))="Oui",1,0),0))</f>
        <v/>
      </c>
      <c r="AV1717" s="61">
        <f>IF(F1717="","",IFERROR(IF(INDEX('Paramètres'!$O$6:$O$17,MATCH(F1717,'Paramètres'!$M$6:$M$17,0))="Oui",1,0),0))</f>
        <v/>
      </c>
      <c r="AW1717" s="62">
        <f>IF(E1717="","",IF(G1717&lt;&gt;"",G1717,IF(OR(E1717="Proposition envoyée",E1717="Signature"),MAX(0,N(IFERROR(INDEX('Paramètres'!$R$6:$R$15,MATCH(IF(AL1717&lt;&gt;"",AL1717,IFERROR(INDEX('Prospects'!$AN$5:$AN$504,MATCH(C1717,'Prospects'!$C$5:$C$504,0)),"")),'Paramètres'!$Q$6:$Q$15,0)),0))-N(P1717)),0)))</f>
        <v/>
      </c>
      <c r="AX1717" s="61">
        <f>IF(C1717="","",IF(COUNTIF($C$5:C1717,C1717)=1,MAX($AX$4:AX1716)+1,""))</f>
        <v/>
      </c>
      <c r="AY1717" s="61">
        <f>IF(B1717="","",HOUR(B1717))</f>
        <v/>
      </c>
      <c r="AZ1717" s="61">
        <f>IF(A1717="","",MOD(A1717-2,7)+1)</f>
        <v/>
      </c>
      <c r="BA1717" s="60">
        <f>IF(C1717="","",IFERROR(INDEX('Prospects'!$N$5:$N$504,MATCH(C1717,'Prospects'!$C$5:$C$504,0)),""))</f>
        <v/>
      </c>
      <c r="BB1717" s="61">
        <f>IF(AND(C1717&lt;&gt;"",C1717='Fiche prospect'!$C$4),COUNTIF($C$5:C1717,C1717),"")</f>
        <v/>
      </c>
    </row>
    <row r="1718">
      <c r="A1718" s="53" t="n"/>
      <c r="B1718" s="54" t="n"/>
      <c r="C1718" s="55" t="n"/>
      <c r="D1718" s="55" t="n"/>
      <c r="E1718" s="55" t="n"/>
      <c r="F1718" s="55" t="n"/>
      <c r="G1718" s="56" t="n"/>
      <c r="H1718" s="57" t="n"/>
      <c r="I1718" s="55" t="n"/>
      <c r="J1718" s="53" t="n"/>
      <c r="K1718" s="54" t="n"/>
      <c r="L1718" s="55" t="n"/>
      <c r="M1718" s="55" t="n"/>
      <c r="N1718" s="57" t="n"/>
      <c r="O1718" s="55" t="n"/>
      <c r="P1718" s="56" t="n"/>
      <c r="Q1718" s="55" t="n"/>
      <c r="R1718" s="55" t="n"/>
      <c r="S1718" s="55" t="n"/>
      <c r="T1718" s="55" t="n"/>
      <c r="U1718" s="55" t="n"/>
      <c r="V1718" s="55" t="n"/>
      <c r="W1718" s="58" t="n"/>
      <c r="X1718" s="58" t="n"/>
      <c r="Y1718" s="55" t="n"/>
      <c r="Z1718" s="55" t="n"/>
      <c r="AA1718" s="55" t="n"/>
      <c r="AB1718" s="55" t="n"/>
      <c r="AC1718" s="55" t="n"/>
      <c r="AD1718" s="53" t="n"/>
      <c r="AE1718" s="55" t="n"/>
      <c r="AF1718" s="55" t="n"/>
      <c r="AG1718" s="59" t="n"/>
      <c r="AH1718" s="57" t="n"/>
      <c r="AI1718" s="55" t="n"/>
      <c r="AJ1718" s="55" t="n"/>
      <c r="AK1718" s="55" t="n"/>
      <c r="AL1718" s="55" t="n"/>
      <c r="AM1718" s="56" t="n"/>
      <c r="AN1718" s="55" t="n"/>
      <c r="AO1718" s="55" t="n"/>
      <c r="AP1718" s="55" t="n"/>
      <c r="AQ1718" s="55" t="n"/>
      <c r="AR1718" s="60">
        <f>IF(AND(C1718="",E1718=""),"",IF(A1718="","⚠ Date manquante",IF(AND(C1718="",E1718&lt;&gt;"Dépense"),"⚠ Prospect manquant",IF(E1718="","⚠ Action manquante",IF(AND(AU1718=1,D1718=""),"⚠ Canal manquant",IF(AND(W1718&lt;&gt;"",COUNTIFS('Saisie'!$W$5:$W$2004,W1718,'Saisie'!$C$5:$C$2004,"&lt;&gt;"&amp;C1718)&gt;0),"⚠ Numéro déjà utilisé par un autre prospect",IF(AND(J1718&lt;&gt;"",J1718&lt;A1718),"⚠ Relance avant la date de l'action",IF(A1718&gt;TODAY(),"⚠ Date dans le futur","✓"))))))))</f>
        <v/>
      </c>
      <c r="AS1718" s="61">
        <f>IF(AND(A1718="",C1718="",E1718=""),"",ROW())</f>
        <v/>
      </c>
      <c r="AT1718" s="61">
        <f>IF(E1718&amp;F1718="","",MAX(IFERROR(INDEX('Paramètres'!$J$6:$J$33,MATCH(E1718,'Paramètres'!$I$6:$I$33,0)),0),IFERROR(INDEX('Paramètres'!$N$6:$N$17,MATCH(F1718,'Paramètres'!$M$6:$M$17,0)),0)))</f>
        <v/>
      </c>
      <c r="AU1718" s="61">
        <f>IF(E1718="","",IFERROR(IF(INDEX('Paramètres'!$K$6:$K$33,MATCH(E1718,'Paramètres'!$I$6:$I$33,0))="Oui",1,0),0))</f>
        <v/>
      </c>
      <c r="AV1718" s="61">
        <f>IF(F1718="","",IFERROR(IF(INDEX('Paramètres'!$O$6:$O$17,MATCH(F1718,'Paramètres'!$M$6:$M$17,0))="Oui",1,0),0))</f>
        <v/>
      </c>
      <c r="AW1718" s="62">
        <f>IF(E1718="","",IF(G1718&lt;&gt;"",G1718,IF(OR(E1718="Proposition envoyée",E1718="Signature"),MAX(0,N(IFERROR(INDEX('Paramètres'!$R$6:$R$15,MATCH(IF(AL1718&lt;&gt;"",AL1718,IFERROR(INDEX('Prospects'!$AN$5:$AN$504,MATCH(C1718,'Prospects'!$C$5:$C$504,0)),"")),'Paramètres'!$Q$6:$Q$15,0)),0))-N(P1718)),0)))</f>
        <v/>
      </c>
      <c r="AX1718" s="61">
        <f>IF(C1718="","",IF(COUNTIF($C$5:C1718,C1718)=1,MAX($AX$4:AX1717)+1,""))</f>
        <v/>
      </c>
      <c r="AY1718" s="61">
        <f>IF(B1718="","",HOUR(B1718))</f>
        <v/>
      </c>
      <c r="AZ1718" s="61">
        <f>IF(A1718="","",MOD(A1718-2,7)+1)</f>
        <v/>
      </c>
      <c r="BA1718" s="60">
        <f>IF(C1718="","",IFERROR(INDEX('Prospects'!$N$5:$N$504,MATCH(C1718,'Prospects'!$C$5:$C$504,0)),""))</f>
        <v/>
      </c>
      <c r="BB1718" s="61">
        <f>IF(AND(C1718&lt;&gt;"",C1718='Fiche prospect'!$C$4),COUNTIF($C$5:C1718,C1718),"")</f>
        <v/>
      </c>
    </row>
    <row r="1719">
      <c r="A1719" s="53" t="n"/>
      <c r="B1719" s="54" t="n"/>
      <c r="C1719" s="55" t="n"/>
      <c r="D1719" s="55" t="n"/>
      <c r="E1719" s="55" t="n"/>
      <c r="F1719" s="55" t="n"/>
      <c r="G1719" s="56" t="n"/>
      <c r="H1719" s="57" t="n"/>
      <c r="I1719" s="55" t="n"/>
      <c r="J1719" s="53" t="n"/>
      <c r="K1719" s="54" t="n"/>
      <c r="L1719" s="55" t="n"/>
      <c r="M1719" s="55" t="n"/>
      <c r="N1719" s="57" t="n"/>
      <c r="O1719" s="55" t="n"/>
      <c r="P1719" s="56" t="n"/>
      <c r="Q1719" s="55" t="n"/>
      <c r="R1719" s="55" t="n"/>
      <c r="S1719" s="55" t="n"/>
      <c r="T1719" s="55" t="n"/>
      <c r="U1719" s="55" t="n"/>
      <c r="V1719" s="55" t="n"/>
      <c r="W1719" s="58" t="n"/>
      <c r="X1719" s="58" t="n"/>
      <c r="Y1719" s="55" t="n"/>
      <c r="Z1719" s="55" t="n"/>
      <c r="AA1719" s="55" t="n"/>
      <c r="AB1719" s="55" t="n"/>
      <c r="AC1719" s="55" t="n"/>
      <c r="AD1719" s="53" t="n"/>
      <c r="AE1719" s="55" t="n"/>
      <c r="AF1719" s="55" t="n"/>
      <c r="AG1719" s="59" t="n"/>
      <c r="AH1719" s="57" t="n"/>
      <c r="AI1719" s="55" t="n"/>
      <c r="AJ1719" s="55" t="n"/>
      <c r="AK1719" s="55" t="n"/>
      <c r="AL1719" s="55" t="n"/>
      <c r="AM1719" s="56" t="n"/>
      <c r="AN1719" s="55" t="n"/>
      <c r="AO1719" s="55" t="n"/>
      <c r="AP1719" s="55" t="n"/>
      <c r="AQ1719" s="55" t="n"/>
      <c r="AR1719" s="60">
        <f>IF(AND(C1719="",E1719=""),"",IF(A1719="","⚠ Date manquante",IF(AND(C1719="",E1719&lt;&gt;"Dépense"),"⚠ Prospect manquant",IF(E1719="","⚠ Action manquante",IF(AND(AU1719=1,D1719=""),"⚠ Canal manquant",IF(AND(W1719&lt;&gt;"",COUNTIFS('Saisie'!$W$5:$W$2004,W1719,'Saisie'!$C$5:$C$2004,"&lt;&gt;"&amp;C1719)&gt;0),"⚠ Numéro déjà utilisé par un autre prospect",IF(AND(J1719&lt;&gt;"",J1719&lt;A1719),"⚠ Relance avant la date de l'action",IF(A1719&gt;TODAY(),"⚠ Date dans le futur","✓"))))))))</f>
        <v/>
      </c>
      <c r="AS1719" s="61">
        <f>IF(AND(A1719="",C1719="",E1719=""),"",ROW())</f>
        <v/>
      </c>
      <c r="AT1719" s="61">
        <f>IF(E1719&amp;F1719="","",MAX(IFERROR(INDEX('Paramètres'!$J$6:$J$33,MATCH(E1719,'Paramètres'!$I$6:$I$33,0)),0),IFERROR(INDEX('Paramètres'!$N$6:$N$17,MATCH(F1719,'Paramètres'!$M$6:$M$17,0)),0)))</f>
        <v/>
      </c>
      <c r="AU1719" s="61">
        <f>IF(E1719="","",IFERROR(IF(INDEX('Paramètres'!$K$6:$K$33,MATCH(E1719,'Paramètres'!$I$6:$I$33,0))="Oui",1,0),0))</f>
        <v/>
      </c>
      <c r="AV1719" s="61">
        <f>IF(F1719="","",IFERROR(IF(INDEX('Paramètres'!$O$6:$O$17,MATCH(F1719,'Paramètres'!$M$6:$M$17,0))="Oui",1,0),0))</f>
        <v/>
      </c>
      <c r="AW1719" s="62">
        <f>IF(E1719="","",IF(G1719&lt;&gt;"",G1719,IF(OR(E1719="Proposition envoyée",E1719="Signature"),MAX(0,N(IFERROR(INDEX('Paramètres'!$R$6:$R$15,MATCH(IF(AL1719&lt;&gt;"",AL1719,IFERROR(INDEX('Prospects'!$AN$5:$AN$504,MATCH(C1719,'Prospects'!$C$5:$C$504,0)),"")),'Paramètres'!$Q$6:$Q$15,0)),0))-N(P1719)),0)))</f>
        <v/>
      </c>
      <c r="AX1719" s="61">
        <f>IF(C1719="","",IF(COUNTIF($C$5:C1719,C1719)=1,MAX($AX$4:AX1718)+1,""))</f>
        <v/>
      </c>
      <c r="AY1719" s="61">
        <f>IF(B1719="","",HOUR(B1719))</f>
        <v/>
      </c>
      <c r="AZ1719" s="61">
        <f>IF(A1719="","",MOD(A1719-2,7)+1)</f>
        <v/>
      </c>
      <c r="BA1719" s="60">
        <f>IF(C1719="","",IFERROR(INDEX('Prospects'!$N$5:$N$504,MATCH(C1719,'Prospects'!$C$5:$C$504,0)),""))</f>
        <v/>
      </c>
      <c r="BB1719" s="61">
        <f>IF(AND(C1719&lt;&gt;"",C1719='Fiche prospect'!$C$4),COUNTIF($C$5:C1719,C1719),"")</f>
        <v/>
      </c>
    </row>
    <row r="1720">
      <c r="A1720" s="53" t="n"/>
      <c r="B1720" s="54" t="n"/>
      <c r="C1720" s="55" t="n"/>
      <c r="D1720" s="55" t="n"/>
      <c r="E1720" s="55" t="n"/>
      <c r="F1720" s="55" t="n"/>
      <c r="G1720" s="56" t="n"/>
      <c r="H1720" s="57" t="n"/>
      <c r="I1720" s="55" t="n"/>
      <c r="J1720" s="53" t="n"/>
      <c r="K1720" s="54" t="n"/>
      <c r="L1720" s="55" t="n"/>
      <c r="M1720" s="55" t="n"/>
      <c r="N1720" s="57" t="n"/>
      <c r="O1720" s="55" t="n"/>
      <c r="P1720" s="56" t="n"/>
      <c r="Q1720" s="55" t="n"/>
      <c r="R1720" s="55" t="n"/>
      <c r="S1720" s="55" t="n"/>
      <c r="T1720" s="55" t="n"/>
      <c r="U1720" s="55" t="n"/>
      <c r="V1720" s="55" t="n"/>
      <c r="W1720" s="58" t="n"/>
      <c r="X1720" s="58" t="n"/>
      <c r="Y1720" s="55" t="n"/>
      <c r="Z1720" s="55" t="n"/>
      <c r="AA1720" s="55" t="n"/>
      <c r="AB1720" s="55" t="n"/>
      <c r="AC1720" s="55" t="n"/>
      <c r="AD1720" s="53" t="n"/>
      <c r="AE1720" s="55" t="n"/>
      <c r="AF1720" s="55" t="n"/>
      <c r="AG1720" s="59" t="n"/>
      <c r="AH1720" s="57" t="n"/>
      <c r="AI1720" s="55" t="n"/>
      <c r="AJ1720" s="55" t="n"/>
      <c r="AK1720" s="55" t="n"/>
      <c r="AL1720" s="55" t="n"/>
      <c r="AM1720" s="56" t="n"/>
      <c r="AN1720" s="55" t="n"/>
      <c r="AO1720" s="55" t="n"/>
      <c r="AP1720" s="55" t="n"/>
      <c r="AQ1720" s="55" t="n"/>
      <c r="AR1720" s="60">
        <f>IF(AND(C1720="",E1720=""),"",IF(A1720="","⚠ Date manquante",IF(AND(C1720="",E1720&lt;&gt;"Dépense"),"⚠ Prospect manquant",IF(E1720="","⚠ Action manquante",IF(AND(AU1720=1,D1720=""),"⚠ Canal manquant",IF(AND(W1720&lt;&gt;"",COUNTIFS('Saisie'!$W$5:$W$2004,W1720,'Saisie'!$C$5:$C$2004,"&lt;&gt;"&amp;C1720)&gt;0),"⚠ Numéro déjà utilisé par un autre prospect",IF(AND(J1720&lt;&gt;"",J1720&lt;A1720),"⚠ Relance avant la date de l'action",IF(A1720&gt;TODAY(),"⚠ Date dans le futur","✓"))))))))</f>
        <v/>
      </c>
      <c r="AS1720" s="61">
        <f>IF(AND(A1720="",C1720="",E1720=""),"",ROW())</f>
        <v/>
      </c>
      <c r="AT1720" s="61">
        <f>IF(E1720&amp;F1720="","",MAX(IFERROR(INDEX('Paramètres'!$J$6:$J$33,MATCH(E1720,'Paramètres'!$I$6:$I$33,0)),0),IFERROR(INDEX('Paramètres'!$N$6:$N$17,MATCH(F1720,'Paramètres'!$M$6:$M$17,0)),0)))</f>
        <v/>
      </c>
      <c r="AU1720" s="61">
        <f>IF(E1720="","",IFERROR(IF(INDEX('Paramètres'!$K$6:$K$33,MATCH(E1720,'Paramètres'!$I$6:$I$33,0))="Oui",1,0),0))</f>
        <v/>
      </c>
      <c r="AV1720" s="61">
        <f>IF(F1720="","",IFERROR(IF(INDEX('Paramètres'!$O$6:$O$17,MATCH(F1720,'Paramètres'!$M$6:$M$17,0))="Oui",1,0),0))</f>
        <v/>
      </c>
      <c r="AW1720" s="62">
        <f>IF(E1720="","",IF(G1720&lt;&gt;"",G1720,IF(OR(E1720="Proposition envoyée",E1720="Signature"),MAX(0,N(IFERROR(INDEX('Paramètres'!$R$6:$R$15,MATCH(IF(AL1720&lt;&gt;"",AL1720,IFERROR(INDEX('Prospects'!$AN$5:$AN$504,MATCH(C1720,'Prospects'!$C$5:$C$504,0)),"")),'Paramètres'!$Q$6:$Q$15,0)),0))-N(P1720)),0)))</f>
        <v/>
      </c>
      <c r="AX1720" s="61">
        <f>IF(C1720="","",IF(COUNTIF($C$5:C1720,C1720)=1,MAX($AX$4:AX1719)+1,""))</f>
        <v/>
      </c>
      <c r="AY1720" s="61">
        <f>IF(B1720="","",HOUR(B1720))</f>
        <v/>
      </c>
      <c r="AZ1720" s="61">
        <f>IF(A1720="","",MOD(A1720-2,7)+1)</f>
        <v/>
      </c>
      <c r="BA1720" s="60">
        <f>IF(C1720="","",IFERROR(INDEX('Prospects'!$N$5:$N$504,MATCH(C1720,'Prospects'!$C$5:$C$504,0)),""))</f>
        <v/>
      </c>
      <c r="BB1720" s="61">
        <f>IF(AND(C1720&lt;&gt;"",C1720='Fiche prospect'!$C$4),COUNTIF($C$5:C1720,C1720),"")</f>
        <v/>
      </c>
    </row>
    <row r="1721">
      <c r="A1721" s="53" t="n"/>
      <c r="B1721" s="54" t="n"/>
      <c r="C1721" s="55" t="n"/>
      <c r="D1721" s="55" t="n"/>
      <c r="E1721" s="55" t="n"/>
      <c r="F1721" s="55" t="n"/>
      <c r="G1721" s="56" t="n"/>
      <c r="H1721" s="57" t="n"/>
      <c r="I1721" s="55" t="n"/>
      <c r="J1721" s="53" t="n"/>
      <c r="K1721" s="54" t="n"/>
      <c r="L1721" s="55" t="n"/>
      <c r="M1721" s="55" t="n"/>
      <c r="N1721" s="57" t="n"/>
      <c r="O1721" s="55" t="n"/>
      <c r="P1721" s="56" t="n"/>
      <c r="Q1721" s="55" t="n"/>
      <c r="R1721" s="55" t="n"/>
      <c r="S1721" s="55" t="n"/>
      <c r="T1721" s="55" t="n"/>
      <c r="U1721" s="55" t="n"/>
      <c r="V1721" s="55" t="n"/>
      <c r="W1721" s="58" t="n"/>
      <c r="X1721" s="58" t="n"/>
      <c r="Y1721" s="55" t="n"/>
      <c r="Z1721" s="55" t="n"/>
      <c r="AA1721" s="55" t="n"/>
      <c r="AB1721" s="55" t="n"/>
      <c r="AC1721" s="55" t="n"/>
      <c r="AD1721" s="53" t="n"/>
      <c r="AE1721" s="55" t="n"/>
      <c r="AF1721" s="55" t="n"/>
      <c r="AG1721" s="59" t="n"/>
      <c r="AH1721" s="57" t="n"/>
      <c r="AI1721" s="55" t="n"/>
      <c r="AJ1721" s="55" t="n"/>
      <c r="AK1721" s="55" t="n"/>
      <c r="AL1721" s="55" t="n"/>
      <c r="AM1721" s="56" t="n"/>
      <c r="AN1721" s="55" t="n"/>
      <c r="AO1721" s="55" t="n"/>
      <c r="AP1721" s="55" t="n"/>
      <c r="AQ1721" s="55" t="n"/>
      <c r="AR1721" s="60">
        <f>IF(AND(C1721="",E1721=""),"",IF(A1721="","⚠ Date manquante",IF(AND(C1721="",E1721&lt;&gt;"Dépense"),"⚠ Prospect manquant",IF(E1721="","⚠ Action manquante",IF(AND(AU1721=1,D1721=""),"⚠ Canal manquant",IF(AND(W1721&lt;&gt;"",COUNTIFS('Saisie'!$W$5:$W$2004,W1721,'Saisie'!$C$5:$C$2004,"&lt;&gt;"&amp;C1721)&gt;0),"⚠ Numéro déjà utilisé par un autre prospect",IF(AND(J1721&lt;&gt;"",J1721&lt;A1721),"⚠ Relance avant la date de l'action",IF(A1721&gt;TODAY(),"⚠ Date dans le futur","✓"))))))))</f>
        <v/>
      </c>
      <c r="AS1721" s="61">
        <f>IF(AND(A1721="",C1721="",E1721=""),"",ROW())</f>
        <v/>
      </c>
      <c r="AT1721" s="61">
        <f>IF(E1721&amp;F1721="","",MAX(IFERROR(INDEX('Paramètres'!$J$6:$J$33,MATCH(E1721,'Paramètres'!$I$6:$I$33,0)),0),IFERROR(INDEX('Paramètres'!$N$6:$N$17,MATCH(F1721,'Paramètres'!$M$6:$M$17,0)),0)))</f>
        <v/>
      </c>
      <c r="AU1721" s="61">
        <f>IF(E1721="","",IFERROR(IF(INDEX('Paramètres'!$K$6:$K$33,MATCH(E1721,'Paramètres'!$I$6:$I$33,0))="Oui",1,0),0))</f>
        <v/>
      </c>
      <c r="AV1721" s="61">
        <f>IF(F1721="","",IFERROR(IF(INDEX('Paramètres'!$O$6:$O$17,MATCH(F1721,'Paramètres'!$M$6:$M$17,0))="Oui",1,0),0))</f>
        <v/>
      </c>
      <c r="AW1721" s="62">
        <f>IF(E1721="","",IF(G1721&lt;&gt;"",G1721,IF(OR(E1721="Proposition envoyée",E1721="Signature"),MAX(0,N(IFERROR(INDEX('Paramètres'!$R$6:$R$15,MATCH(IF(AL1721&lt;&gt;"",AL1721,IFERROR(INDEX('Prospects'!$AN$5:$AN$504,MATCH(C1721,'Prospects'!$C$5:$C$504,0)),"")),'Paramètres'!$Q$6:$Q$15,0)),0))-N(P1721)),0)))</f>
        <v/>
      </c>
      <c r="AX1721" s="61">
        <f>IF(C1721="","",IF(COUNTIF($C$5:C1721,C1721)=1,MAX($AX$4:AX1720)+1,""))</f>
        <v/>
      </c>
      <c r="AY1721" s="61">
        <f>IF(B1721="","",HOUR(B1721))</f>
        <v/>
      </c>
      <c r="AZ1721" s="61">
        <f>IF(A1721="","",MOD(A1721-2,7)+1)</f>
        <v/>
      </c>
      <c r="BA1721" s="60">
        <f>IF(C1721="","",IFERROR(INDEX('Prospects'!$N$5:$N$504,MATCH(C1721,'Prospects'!$C$5:$C$504,0)),""))</f>
        <v/>
      </c>
      <c r="BB1721" s="61">
        <f>IF(AND(C1721&lt;&gt;"",C1721='Fiche prospect'!$C$4),COUNTIF($C$5:C1721,C1721),"")</f>
        <v/>
      </c>
    </row>
    <row r="1722">
      <c r="A1722" s="53" t="n"/>
      <c r="B1722" s="54" t="n"/>
      <c r="C1722" s="55" t="n"/>
      <c r="D1722" s="55" t="n"/>
      <c r="E1722" s="55" t="n"/>
      <c r="F1722" s="55" t="n"/>
      <c r="G1722" s="56" t="n"/>
      <c r="H1722" s="57" t="n"/>
      <c r="I1722" s="55" t="n"/>
      <c r="J1722" s="53" t="n"/>
      <c r="K1722" s="54" t="n"/>
      <c r="L1722" s="55" t="n"/>
      <c r="M1722" s="55" t="n"/>
      <c r="N1722" s="57" t="n"/>
      <c r="O1722" s="55" t="n"/>
      <c r="P1722" s="56" t="n"/>
      <c r="Q1722" s="55" t="n"/>
      <c r="R1722" s="55" t="n"/>
      <c r="S1722" s="55" t="n"/>
      <c r="T1722" s="55" t="n"/>
      <c r="U1722" s="55" t="n"/>
      <c r="V1722" s="55" t="n"/>
      <c r="W1722" s="58" t="n"/>
      <c r="X1722" s="58" t="n"/>
      <c r="Y1722" s="55" t="n"/>
      <c r="Z1722" s="55" t="n"/>
      <c r="AA1722" s="55" t="n"/>
      <c r="AB1722" s="55" t="n"/>
      <c r="AC1722" s="55" t="n"/>
      <c r="AD1722" s="53" t="n"/>
      <c r="AE1722" s="55" t="n"/>
      <c r="AF1722" s="55" t="n"/>
      <c r="AG1722" s="59" t="n"/>
      <c r="AH1722" s="57" t="n"/>
      <c r="AI1722" s="55" t="n"/>
      <c r="AJ1722" s="55" t="n"/>
      <c r="AK1722" s="55" t="n"/>
      <c r="AL1722" s="55" t="n"/>
      <c r="AM1722" s="56" t="n"/>
      <c r="AN1722" s="55" t="n"/>
      <c r="AO1722" s="55" t="n"/>
      <c r="AP1722" s="55" t="n"/>
      <c r="AQ1722" s="55" t="n"/>
      <c r="AR1722" s="60">
        <f>IF(AND(C1722="",E1722=""),"",IF(A1722="","⚠ Date manquante",IF(AND(C1722="",E1722&lt;&gt;"Dépense"),"⚠ Prospect manquant",IF(E1722="","⚠ Action manquante",IF(AND(AU1722=1,D1722=""),"⚠ Canal manquant",IF(AND(W1722&lt;&gt;"",COUNTIFS('Saisie'!$W$5:$W$2004,W1722,'Saisie'!$C$5:$C$2004,"&lt;&gt;"&amp;C1722)&gt;0),"⚠ Numéro déjà utilisé par un autre prospect",IF(AND(J1722&lt;&gt;"",J1722&lt;A1722),"⚠ Relance avant la date de l'action",IF(A1722&gt;TODAY(),"⚠ Date dans le futur","✓"))))))))</f>
        <v/>
      </c>
      <c r="AS1722" s="61">
        <f>IF(AND(A1722="",C1722="",E1722=""),"",ROW())</f>
        <v/>
      </c>
      <c r="AT1722" s="61">
        <f>IF(E1722&amp;F1722="","",MAX(IFERROR(INDEX('Paramètres'!$J$6:$J$33,MATCH(E1722,'Paramètres'!$I$6:$I$33,0)),0),IFERROR(INDEX('Paramètres'!$N$6:$N$17,MATCH(F1722,'Paramètres'!$M$6:$M$17,0)),0)))</f>
        <v/>
      </c>
      <c r="AU1722" s="61">
        <f>IF(E1722="","",IFERROR(IF(INDEX('Paramètres'!$K$6:$K$33,MATCH(E1722,'Paramètres'!$I$6:$I$33,0))="Oui",1,0),0))</f>
        <v/>
      </c>
      <c r="AV1722" s="61">
        <f>IF(F1722="","",IFERROR(IF(INDEX('Paramètres'!$O$6:$O$17,MATCH(F1722,'Paramètres'!$M$6:$M$17,0))="Oui",1,0),0))</f>
        <v/>
      </c>
      <c r="AW1722" s="62">
        <f>IF(E1722="","",IF(G1722&lt;&gt;"",G1722,IF(OR(E1722="Proposition envoyée",E1722="Signature"),MAX(0,N(IFERROR(INDEX('Paramètres'!$R$6:$R$15,MATCH(IF(AL1722&lt;&gt;"",AL1722,IFERROR(INDEX('Prospects'!$AN$5:$AN$504,MATCH(C1722,'Prospects'!$C$5:$C$504,0)),"")),'Paramètres'!$Q$6:$Q$15,0)),0))-N(P1722)),0)))</f>
        <v/>
      </c>
      <c r="AX1722" s="61">
        <f>IF(C1722="","",IF(COUNTIF($C$5:C1722,C1722)=1,MAX($AX$4:AX1721)+1,""))</f>
        <v/>
      </c>
      <c r="AY1722" s="61">
        <f>IF(B1722="","",HOUR(B1722))</f>
        <v/>
      </c>
      <c r="AZ1722" s="61">
        <f>IF(A1722="","",MOD(A1722-2,7)+1)</f>
        <v/>
      </c>
      <c r="BA1722" s="60">
        <f>IF(C1722="","",IFERROR(INDEX('Prospects'!$N$5:$N$504,MATCH(C1722,'Prospects'!$C$5:$C$504,0)),""))</f>
        <v/>
      </c>
      <c r="BB1722" s="61">
        <f>IF(AND(C1722&lt;&gt;"",C1722='Fiche prospect'!$C$4),COUNTIF($C$5:C1722,C1722),"")</f>
        <v/>
      </c>
    </row>
    <row r="1723">
      <c r="A1723" s="53" t="n"/>
      <c r="B1723" s="54" t="n"/>
      <c r="C1723" s="55" t="n"/>
      <c r="D1723" s="55" t="n"/>
      <c r="E1723" s="55" t="n"/>
      <c r="F1723" s="55" t="n"/>
      <c r="G1723" s="56" t="n"/>
      <c r="H1723" s="57" t="n"/>
      <c r="I1723" s="55" t="n"/>
      <c r="J1723" s="53" t="n"/>
      <c r="K1723" s="54" t="n"/>
      <c r="L1723" s="55" t="n"/>
      <c r="M1723" s="55" t="n"/>
      <c r="N1723" s="57" t="n"/>
      <c r="O1723" s="55" t="n"/>
      <c r="P1723" s="56" t="n"/>
      <c r="Q1723" s="55" t="n"/>
      <c r="R1723" s="55" t="n"/>
      <c r="S1723" s="55" t="n"/>
      <c r="T1723" s="55" t="n"/>
      <c r="U1723" s="55" t="n"/>
      <c r="V1723" s="55" t="n"/>
      <c r="W1723" s="58" t="n"/>
      <c r="X1723" s="58" t="n"/>
      <c r="Y1723" s="55" t="n"/>
      <c r="Z1723" s="55" t="n"/>
      <c r="AA1723" s="55" t="n"/>
      <c r="AB1723" s="55" t="n"/>
      <c r="AC1723" s="55" t="n"/>
      <c r="AD1723" s="53" t="n"/>
      <c r="AE1723" s="55" t="n"/>
      <c r="AF1723" s="55" t="n"/>
      <c r="AG1723" s="59" t="n"/>
      <c r="AH1723" s="57" t="n"/>
      <c r="AI1723" s="55" t="n"/>
      <c r="AJ1723" s="55" t="n"/>
      <c r="AK1723" s="55" t="n"/>
      <c r="AL1723" s="55" t="n"/>
      <c r="AM1723" s="56" t="n"/>
      <c r="AN1723" s="55" t="n"/>
      <c r="AO1723" s="55" t="n"/>
      <c r="AP1723" s="55" t="n"/>
      <c r="AQ1723" s="55" t="n"/>
      <c r="AR1723" s="60">
        <f>IF(AND(C1723="",E1723=""),"",IF(A1723="","⚠ Date manquante",IF(AND(C1723="",E1723&lt;&gt;"Dépense"),"⚠ Prospect manquant",IF(E1723="","⚠ Action manquante",IF(AND(AU1723=1,D1723=""),"⚠ Canal manquant",IF(AND(W1723&lt;&gt;"",COUNTIFS('Saisie'!$W$5:$W$2004,W1723,'Saisie'!$C$5:$C$2004,"&lt;&gt;"&amp;C1723)&gt;0),"⚠ Numéro déjà utilisé par un autre prospect",IF(AND(J1723&lt;&gt;"",J1723&lt;A1723),"⚠ Relance avant la date de l'action",IF(A1723&gt;TODAY(),"⚠ Date dans le futur","✓"))))))))</f>
        <v/>
      </c>
      <c r="AS1723" s="61">
        <f>IF(AND(A1723="",C1723="",E1723=""),"",ROW())</f>
        <v/>
      </c>
      <c r="AT1723" s="61">
        <f>IF(E1723&amp;F1723="","",MAX(IFERROR(INDEX('Paramètres'!$J$6:$J$33,MATCH(E1723,'Paramètres'!$I$6:$I$33,0)),0),IFERROR(INDEX('Paramètres'!$N$6:$N$17,MATCH(F1723,'Paramètres'!$M$6:$M$17,0)),0)))</f>
        <v/>
      </c>
      <c r="AU1723" s="61">
        <f>IF(E1723="","",IFERROR(IF(INDEX('Paramètres'!$K$6:$K$33,MATCH(E1723,'Paramètres'!$I$6:$I$33,0))="Oui",1,0),0))</f>
        <v/>
      </c>
      <c r="AV1723" s="61">
        <f>IF(F1723="","",IFERROR(IF(INDEX('Paramètres'!$O$6:$O$17,MATCH(F1723,'Paramètres'!$M$6:$M$17,0))="Oui",1,0),0))</f>
        <v/>
      </c>
      <c r="AW1723" s="62">
        <f>IF(E1723="","",IF(G1723&lt;&gt;"",G1723,IF(OR(E1723="Proposition envoyée",E1723="Signature"),MAX(0,N(IFERROR(INDEX('Paramètres'!$R$6:$R$15,MATCH(IF(AL1723&lt;&gt;"",AL1723,IFERROR(INDEX('Prospects'!$AN$5:$AN$504,MATCH(C1723,'Prospects'!$C$5:$C$504,0)),"")),'Paramètres'!$Q$6:$Q$15,0)),0))-N(P1723)),0)))</f>
        <v/>
      </c>
      <c r="AX1723" s="61">
        <f>IF(C1723="","",IF(COUNTIF($C$5:C1723,C1723)=1,MAX($AX$4:AX1722)+1,""))</f>
        <v/>
      </c>
      <c r="AY1723" s="61">
        <f>IF(B1723="","",HOUR(B1723))</f>
        <v/>
      </c>
      <c r="AZ1723" s="61">
        <f>IF(A1723="","",MOD(A1723-2,7)+1)</f>
        <v/>
      </c>
      <c r="BA1723" s="60">
        <f>IF(C1723="","",IFERROR(INDEX('Prospects'!$N$5:$N$504,MATCH(C1723,'Prospects'!$C$5:$C$504,0)),""))</f>
        <v/>
      </c>
      <c r="BB1723" s="61">
        <f>IF(AND(C1723&lt;&gt;"",C1723='Fiche prospect'!$C$4),COUNTIF($C$5:C1723,C1723),"")</f>
        <v/>
      </c>
    </row>
    <row r="1724">
      <c r="A1724" s="53" t="n"/>
      <c r="B1724" s="54" t="n"/>
      <c r="C1724" s="55" t="n"/>
      <c r="D1724" s="55" t="n"/>
      <c r="E1724" s="55" t="n"/>
      <c r="F1724" s="55" t="n"/>
      <c r="G1724" s="56" t="n"/>
      <c r="H1724" s="57" t="n"/>
      <c r="I1724" s="55" t="n"/>
      <c r="J1724" s="53" t="n"/>
      <c r="K1724" s="54" t="n"/>
      <c r="L1724" s="55" t="n"/>
      <c r="M1724" s="55" t="n"/>
      <c r="N1724" s="57" t="n"/>
      <c r="O1724" s="55" t="n"/>
      <c r="P1724" s="56" t="n"/>
      <c r="Q1724" s="55" t="n"/>
      <c r="R1724" s="55" t="n"/>
      <c r="S1724" s="55" t="n"/>
      <c r="T1724" s="55" t="n"/>
      <c r="U1724" s="55" t="n"/>
      <c r="V1724" s="55" t="n"/>
      <c r="W1724" s="58" t="n"/>
      <c r="X1724" s="58" t="n"/>
      <c r="Y1724" s="55" t="n"/>
      <c r="Z1724" s="55" t="n"/>
      <c r="AA1724" s="55" t="n"/>
      <c r="AB1724" s="55" t="n"/>
      <c r="AC1724" s="55" t="n"/>
      <c r="AD1724" s="53" t="n"/>
      <c r="AE1724" s="55" t="n"/>
      <c r="AF1724" s="55" t="n"/>
      <c r="AG1724" s="59" t="n"/>
      <c r="AH1724" s="57" t="n"/>
      <c r="AI1724" s="55" t="n"/>
      <c r="AJ1724" s="55" t="n"/>
      <c r="AK1724" s="55" t="n"/>
      <c r="AL1724" s="55" t="n"/>
      <c r="AM1724" s="56" t="n"/>
      <c r="AN1724" s="55" t="n"/>
      <c r="AO1724" s="55" t="n"/>
      <c r="AP1724" s="55" t="n"/>
      <c r="AQ1724" s="55" t="n"/>
      <c r="AR1724" s="60">
        <f>IF(AND(C1724="",E1724=""),"",IF(A1724="","⚠ Date manquante",IF(AND(C1724="",E1724&lt;&gt;"Dépense"),"⚠ Prospect manquant",IF(E1724="","⚠ Action manquante",IF(AND(AU1724=1,D1724=""),"⚠ Canal manquant",IF(AND(W1724&lt;&gt;"",COUNTIFS('Saisie'!$W$5:$W$2004,W1724,'Saisie'!$C$5:$C$2004,"&lt;&gt;"&amp;C1724)&gt;0),"⚠ Numéro déjà utilisé par un autre prospect",IF(AND(J1724&lt;&gt;"",J1724&lt;A1724),"⚠ Relance avant la date de l'action",IF(A1724&gt;TODAY(),"⚠ Date dans le futur","✓"))))))))</f>
        <v/>
      </c>
      <c r="AS1724" s="61">
        <f>IF(AND(A1724="",C1724="",E1724=""),"",ROW())</f>
        <v/>
      </c>
      <c r="AT1724" s="61">
        <f>IF(E1724&amp;F1724="","",MAX(IFERROR(INDEX('Paramètres'!$J$6:$J$33,MATCH(E1724,'Paramètres'!$I$6:$I$33,0)),0),IFERROR(INDEX('Paramètres'!$N$6:$N$17,MATCH(F1724,'Paramètres'!$M$6:$M$17,0)),0)))</f>
        <v/>
      </c>
      <c r="AU1724" s="61">
        <f>IF(E1724="","",IFERROR(IF(INDEX('Paramètres'!$K$6:$K$33,MATCH(E1724,'Paramètres'!$I$6:$I$33,0))="Oui",1,0),0))</f>
        <v/>
      </c>
      <c r="AV1724" s="61">
        <f>IF(F1724="","",IFERROR(IF(INDEX('Paramètres'!$O$6:$O$17,MATCH(F1724,'Paramètres'!$M$6:$M$17,0))="Oui",1,0),0))</f>
        <v/>
      </c>
      <c r="AW1724" s="62">
        <f>IF(E1724="","",IF(G1724&lt;&gt;"",G1724,IF(OR(E1724="Proposition envoyée",E1724="Signature"),MAX(0,N(IFERROR(INDEX('Paramètres'!$R$6:$R$15,MATCH(IF(AL1724&lt;&gt;"",AL1724,IFERROR(INDEX('Prospects'!$AN$5:$AN$504,MATCH(C1724,'Prospects'!$C$5:$C$504,0)),"")),'Paramètres'!$Q$6:$Q$15,0)),0))-N(P1724)),0)))</f>
        <v/>
      </c>
      <c r="AX1724" s="61">
        <f>IF(C1724="","",IF(COUNTIF($C$5:C1724,C1724)=1,MAX($AX$4:AX1723)+1,""))</f>
        <v/>
      </c>
      <c r="AY1724" s="61">
        <f>IF(B1724="","",HOUR(B1724))</f>
        <v/>
      </c>
      <c r="AZ1724" s="61">
        <f>IF(A1724="","",MOD(A1724-2,7)+1)</f>
        <v/>
      </c>
      <c r="BA1724" s="60">
        <f>IF(C1724="","",IFERROR(INDEX('Prospects'!$N$5:$N$504,MATCH(C1724,'Prospects'!$C$5:$C$504,0)),""))</f>
        <v/>
      </c>
      <c r="BB1724" s="61">
        <f>IF(AND(C1724&lt;&gt;"",C1724='Fiche prospect'!$C$4),COUNTIF($C$5:C1724,C1724),"")</f>
        <v/>
      </c>
    </row>
    <row r="1725">
      <c r="A1725" s="53" t="n"/>
      <c r="B1725" s="54" t="n"/>
      <c r="C1725" s="55" t="n"/>
      <c r="D1725" s="55" t="n"/>
      <c r="E1725" s="55" t="n"/>
      <c r="F1725" s="55" t="n"/>
      <c r="G1725" s="56" t="n"/>
      <c r="H1725" s="57" t="n"/>
      <c r="I1725" s="55" t="n"/>
      <c r="J1725" s="53" t="n"/>
      <c r="K1725" s="54" t="n"/>
      <c r="L1725" s="55" t="n"/>
      <c r="M1725" s="55" t="n"/>
      <c r="N1725" s="57" t="n"/>
      <c r="O1725" s="55" t="n"/>
      <c r="P1725" s="56" t="n"/>
      <c r="Q1725" s="55" t="n"/>
      <c r="R1725" s="55" t="n"/>
      <c r="S1725" s="55" t="n"/>
      <c r="T1725" s="55" t="n"/>
      <c r="U1725" s="55" t="n"/>
      <c r="V1725" s="55" t="n"/>
      <c r="W1725" s="58" t="n"/>
      <c r="X1725" s="58" t="n"/>
      <c r="Y1725" s="55" t="n"/>
      <c r="Z1725" s="55" t="n"/>
      <c r="AA1725" s="55" t="n"/>
      <c r="AB1725" s="55" t="n"/>
      <c r="AC1725" s="55" t="n"/>
      <c r="AD1725" s="53" t="n"/>
      <c r="AE1725" s="55" t="n"/>
      <c r="AF1725" s="55" t="n"/>
      <c r="AG1725" s="59" t="n"/>
      <c r="AH1725" s="57" t="n"/>
      <c r="AI1725" s="55" t="n"/>
      <c r="AJ1725" s="55" t="n"/>
      <c r="AK1725" s="55" t="n"/>
      <c r="AL1725" s="55" t="n"/>
      <c r="AM1725" s="56" t="n"/>
      <c r="AN1725" s="55" t="n"/>
      <c r="AO1725" s="55" t="n"/>
      <c r="AP1725" s="55" t="n"/>
      <c r="AQ1725" s="55" t="n"/>
      <c r="AR1725" s="60">
        <f>IF(AND(C1725="",E1725=""),"",IF(A1725="","⚠ Date manquante",IF(AND(C1725="",E1725&lt;&gt;"Dépense"),"⚠ Prospect manquant",IF(E1725="","⚠ Action manquante",IF(AND(AU1725=1,D1725=""),"⚠ Canal manquant",IF(AND(W1725&lt;&gt;"",COUNTIFS('Saisie'!$W$5:$W$2004,W1725,'Saisie'!$C$5:$C$2004,"&lt;&gt;"&amp;C1725)&gt;0),"⚠ Numéro déjà utilisé par un autre prospect",IF(AND(J1725&lt;&gt;"",J1725&lt;A1725),"⚠ Relance avant la date de l'action",IF(A1725&gt;TODAY(),"⚠ Date dans le futur","✓"))))))))</f>
        <v/>
      </c>
      <c r="AS1725" s="61">
        <f>IF(AND(A1725="",C1725="",E1725=""),"",ROW())</f>
        <v/>
      </c>
      <c r="AT1725" s="61">
        <f>IF(E1725&amp;F1725="","",MAX(IFERROR(INDEX('Paramètres'!$J$6:$J$33,MATCH(E1725,'Paramètres'!$I$6:$I$33,0)),0),IFERROR(INDEX('Paramètres'!$N$6:$N$17,MATCH(F1725,'Paramètres'!$M$6:$M$17,0)),0)))</f>
        <v/>
      </c>
      <c r="AU1725" s="61">
        <f>IF(E1725="","",IFERROR(IF(INDEX('Paramètres'!$K$6:$K$33,MATCH(E1725,'Paramètres'!$I$6:$I$33,0))="Oui",1,0),0))</f>
        <v/>
      </c>
      <c r="AV1725" s="61">
        <f>IF(F1725="","",IFERROR(IF(INDEX('Paramètres'!$O$6:$O$17,MATCH(F1725,'Paramètres'!$M$6:$M$17,0))="Oui",1,0),0))</f>
        <v/>
      </c>
      <c r="AW1725" s="62">
        <f>IF(E1725="","",IF(G1725&lt;&gt;"",G1725,IF(OR(E1725="Proposition envoyée",E1725="Signature"),MAX(0,N(IFERROR(INDEX('Paramètres'!$R$6:$R$15,MATCH(IF(AL1725&lt;&gt;"",AL1725,IFERROR(INDEX('Prospects'!$AN$5:$AN$504,MATCH(C1725,'Prospects'!$C$5:$C$504,0)),"")),'Paramètres'!$Q$6:$Q$15,0)),0))-N(P1725)),0)))</f>
        <v/>
      </c>
      <c r="AX1725" s="61">
        <f>IF(C1725="","",IF(COUNTIF($C$5:C1725,C1725)=1,MAX($AX$4:AX1724)+1,""))</f>
        <v/>
      </c>
      <c r="AY1725" s="61">
        <f>IF(B1725="","",HOUR(B1725))</f>
        <v/>
      </c>
      <c r="AZ1725" s="61">
        <f>IF(A1725="","",MOD(A1725-2,7)+1)</f>
        <v/>
      </c>
      <c r="BA1725" s="60">
        <f>IF(C1725="","",IFERROR(INDEX('Prospects'!$N$5:$N$504,MATCH(C1725,'Prospects'!$C$5:$C$504,0)),""))</f>
        <v/>
      </c>
      <c r="BB1725" s="61">
        <f>IF(AND(C1725&lt;&gt;"",C1725='Fiche prospect'!$C$4),COUNTIF($C$5:C1725,C1725),"")</f>
        <v/>
      </c>
    </row>
    <row r="1726">
      <c r="A1726" s="53" t="n"/>
      <c r="B1726" s="54" t="n"/>
      <c r="C1726" s="55" t="n"/>
      <c r="D1726" s="55" t="n"/>
      <c r="E1726" s="55" t="n"/>
      <c r="F1726" s="55" t="n"/>
      <c r="G1726" s="56" t="n"/>
      <c r="H1726" s="57" t="n"/>
      <c r="I1726" s="55" t="n"/>
      <c r="J1726" s="53" t="n"/>
      <c r="K1726" s="54" t="n"/>
      <c r="L1726" s="55" t="n"/>
      <c r="M1726" s="55" t="n"/>
      <c r="N1726" s="57" t="n"/>
      <c r="O1726" s="55" t="n"/>
      <c r="P1726" s="56" t="n"/>
      <c r="Q1726" s="55" t="n"/>
      <c r="R1726" s="55" t="n"/>
      <c r="S1726" s="55" t="n"/>
      <c r="T1726" s="55" t="n"/>
      <c r="U1726" s="55" t="n"/>
      <c r="V1726" s="55" t="n"/>
      <c r="W1726" s="58" t="n"/>
      <c r="X1726" s="58" t="n"/>
      <c r="Y1726" s="55" t="n"/>
      <c r="Z1726" s="55" t="n"/>
      <c r="AA1726" s="55" t="n"/>
      <c r="AB1726" s="55" t="n"/>
      <c r="AC1726" s="55" t="n"/>
      <c r="AD1726" s="53" t="n"/>
      <c r="AE1726" s="55" t="n"/>
      <c r="AF1726" s="55" t="n"/>
      <c r="AG1726" s="59" t="n"/>
      <c r="AH1726" s="57" t="n"/>
      <c r="AI1726" s="55" t="n"/>
      <c r="AJ1726" s="55" t="n"/>
      <c r="AK1726" s="55" t="n"/>
      <c r="AL1726" s="55" t="n"/>
      <c r="AM1726" s="56" t="n"/>
      <c r="AN1726" s="55" t="n"/>
      <c r="AO1726" s="55" t="n"/>
      <c r="AP1726" s="55" t="n"/>
      <c r="AQ1726" s="55" t="n"/>
      <c r="AR1726" s="60">
        <f>IF(AND(C1726="",E1726=""),"",IF(A1726="","⚠ Date manquante",IF(AND(C1726="",E1726&lt;&gt;"Dépense"),"⚠ Prospect manquant",IF(E1726="","⚠ Action manquante",IF(AND(AU1726=1,D1726=""),"⚠ Canal manquant",IF(AND(W1726&lt;&gt;"",COUNTIFS('Saisie'!$W$5:$W$2004,W1726,'Saisie'!$C$5:$C$2004,"&lt;&gt;"&amp;C1726)&gt;0),"⚠ Numéro déjà utilisé par un autre prospect",IF(AND(J1726&lt;&gt;"",J1726&lt;A1726),"⚠ Relance avant la date de l'action",IF(A1726&gt;TODAY(),"⚠ Date dans le futur","✓"))))))))</f>
        <v/>
      </c>
      <c r="AS1726" s="61">
        <f>IF(AND(A1726="",C1726="",E1726=""),"",ROW())</f>
        <v/>
      </c>
      <c r="AT1726" s="61">
        <f>IF(E1726&amp;F1726="","",MAX(IFERROR(INDEX('Paramètres'!$J$6:$J$33,MATCH(E1726,'Paramètres'!$I$6:$I$33,0)),0),IFERROR(INDEX('Paramètres'!$N$6:$N$17,MATCH(F1726,'Paramètres'!$M$6:$M$17,0)),0)))</f>
        <v/>
      </c>
      <c r="AU1726" s="61">
        <f>IF(E1726="","",IFERROR(IF(INDEX('Paramètres'!$K$6:$K$33,MATCH(E1726,'Paramètres'!$I$6:$I$33,0))="Oui",1,0),0))</f>
        <v/>
      </c>
      <c r="AV1726" s="61">
        <f>IF(F1726="","",IFERROR(IF(INDEX('Paramètres'!$O$6:$O$17,MATCH(F1726,'Paramètres'!$M$6:$M$17,0))="Oui",1,0),0))</f>
        <v/>
      </c>
      <c r="AW1726" s="62">
        <f>IF(E1726="","",IF(G1726&lt;&gt;"",G1726,IF(OR(E1726="Proposition envoyée",E1726="Signature"),MAX(0,N(IFERROR(INDEX('Paramètres'!$R$6:$R$15,MATCH(IF(AL1726&lt;&gt;"",AL1726,IFERROR(INDEX('Prospects'!$AN$5:$AN$504,MATCH(C1726,'Prospects'!$C$5:$C$504,0)),"")),'Paramètres'!$Q$6:$Q$15,0)),0))-N(P1726)),0)))</f>
        <v/>
      </c>
      <c r="AX1726" s="61">
        <f>IF(C1726="","",IF(COUNTIF($C$5:C1726,C1726)=1,MAX($AX$4:AX1725)+1,""))</f>
        <v/>
      </c>
      <c r="AY1726" s="61">
        <f>IF(B1726="","",HOUR(B1726))</f>
        <v/>
      </c>
      <c r="AZ1726" s="61">
        <f>IF(A1726="","",MOD(A1726-2,7)+1)</f>
        <v/>
      </c>
      <c r="BA1726" s="60">
        <f>IF(C1726="","",IFERROR(INDEX('Prospects'!$N$5:$N$504,MATCH(C1726,'Prospects'!$C$5:$C$504,0)),""))</f>
        <v/>
      </c>
      <c r="BB1726" s="61">
        <f>IF(AND(C1726&lt;&gt;"",C1726='Fiche prospect'!$C$4),COUNTIF($C$5:C1726,C1726),"")</f>
        <v/>
      </c>
    </row>
    <row r="1727">
      <c r="A1727" s="53" t="n"/>
      <c r="B1727" s="54" t="n"/>
      <c r="C1727" s="55" t="n"/>
      <c r="D1727" s="55" t="n"/>
      <c r="E1727" s="55" t="n"/>
      <c r="F1727" s="55" t="n"/>
      <c r="G1727" s="56" t="n"/>
      <c r="H1727" s="57" t="n"/>
      <c r="I1727" s="55" t="n"/>
      <c r="J1727" s="53" t="n"/>
      <c r="K1727" s="54" t="n"/>
      <c r="L1727" s="55" t="n"/>
      <c r="M1727" s="55" t="n"/>
      <c r="N1727" s="57" t="n"/>
      <c r="O1727" s="55" t="n"/>
      <c r="P1727" s="56" t="n"/>
      <c r="Q1727" s="55" t="n"/>
      <c r="R1727" s="55" t="n"/>
      <c r="S1727" s="55" t="n"/>
      <c r="T1727" s="55" t="n"/>
      <c r="U1727" s="55" t="n"/>
      <c r="V1727" s="55" t="n"/>
      <c r="W1727" s="58" t="n"/>
      <c r="X1727" s="58" t="n"/>
      <c r="Y1727" s="55" t="n"/>
      <c r="Z1727" s="55" t="n"/>
      <c r="AA1727" s="55" t="n"/>
      <c r="AB1727" s="55" t="n"/>
      <c r="AC1727" s="55" t="n"/>
      <c r="AD1727" s="53" t="n"/>
      <c r="AE1727" s="55" t="n"/>
      <c r="AF1727" s="55" t="n"/>
      <c r="AG1727" s="59" t="n"/>
      <c r="AH1727" s="57" t="n"/>
      <c r="AI1727" s="55" t="n"/>
      <c r="AJ1727" s="55" t="n"/>
      <c r="AK1727" s="55" t="n"/>
      <c r="AL1727" s="55" t="n"/>
      <c r="AM1727" s="56" t="n"/>
      <c r="AN1727" s="55" t="n"/>
      <c r="AO1727" s="55" t="n"/>
      <c r="AP1727" s="55" t="n"/>
      <c r="AQ1727" s="55" t="n"/>
      <c r="AR1727" s="60">
        <f>IF(AND(C1727="",E1727=""),"",IF(A1727="","⚠ Date manquante",IF(AND(C1727="",E1727&lt;&gt;"Dépense"),"⚠ Prospect manquant",IF(E1727="","⚠ Action manquante",IF(AND(AU1727=1,D1727=""),"⚠ Canal manquant",IF(AND(W1727&lt;&gt;"",COUNTIFS('Saisie'!$W$5:$W$2004,W1727,'Saisie'!$C$5:$C$2004,"&lt;&gt;"&amp;C1727)&gt;0),"⚠ Numéro déjà utilisé par un autre prospect",IF(AND(J1727&lt;&gt;"",J1727&lt;A1727),"⚠ Relance avant la date de l'action",IF(A1727&gt;TODAY(),"⚠ Date dans le futur","✓"))))))))</f>
        <v/>
      </c>
      <c r="AS1727" s="61">
        <f>IF(AND(A1727="",C1727="",E1727=""),"",ROW())</f>
        <v/>
      </c>
      <c r="AT1727" s="61">
        <f>IF(E1727&amp;F1727="","",MAX(IFERROR(INDEX('Paramètres'!$J$6:$J$33,MATCH(E1727,'Paramètres'!$I$6:$I$33,0)),0),IFERROR(INDEX('Paramètres'!$N$6:$N$17,MATCH(F1727,'Paramètres'!$M$6:$M$17,0)),0)))</f>
        <v/>
      </c>
      <c r="AU1727" s="61">
        <f>IF(E1727="","",IFERROR(IF(INDEX('Paramètres'!$K$6:$K$33,MATCH(E1727,'Paramètres'!$I$6:$I$33,0))="Oui",1,0),0))</f>
        <v/>
      </c>
      <c r="AV1727" s="61">
        <f>IF(F1727="","",IFERROR(IF(INDEX('Paramètres'!$O$6:$O$17,MATCH(F1727,'Paramètres'!$M$6:$M$17,0))="Oui",1,0),0))</f>
        <v/>
      </c>
      <c r="AW1727" s="62">
        <f>IF(E1727="","",IF(G1727&lt;&gt;"",G1727,IF(OR(E1727="Proposition envoyée",E1727="Signature"),MAX(0,N(IFERROR(INDEX('Paramètres'!$R$6:$R$15,MATCH(IF(AL1727&lt;&gt;"",AL1727,IFERROR(INDEX('Prospects'!$AN$5:$AN$504,MATCH(C1727,'Prospects'!$C$5:$C$504,0)),"")),'Paramètres'!$Q$6:$Q$15,0)),0))-N(P1727)),0)))</f>
        <v/>
      </c>
      <c r="AX1727" s="61">
        <f>IF(C1727="","",IF(COUNTIF($C$5:C1727,C1727)=1,MAX($AX$4:AX1726)+1,""))</f>
        <v/>
      </c>
      <c r="AY1727" s="61">
        <f>IF(B1727="","",HOUR(B1727))</f>
        <v/>
      </c>
      <c r="AZ1727" s="61">
        <f>IF(A1727="","",MOD(A1727-2,7)+1)</f>
        <v/>
      </c>
      <c r="BA1727" s="60">
        <f>IF(C1727="","",IFERROR(INDEX('Prospects'!$N$5:$N$504,MATCH(C1727,'Prospects'!$C$5:$C$504,0)),""))</f>
        <v/>
      </c>
      <c r="BB1727" s="61">
        <f>IF(AND(C1727&lt;&gt;"",C1727='Fiche prospect'!$C$4),COUNTIF($C$5:C1727,C1727),"")</f>
        <v/>
      </c>
    </row>
    <row r="1728">
      <c r="A1728" s="53" t="n"/>
      <c r="B1728" s="54" t="n"/>
      <c r="C1728" s="55" t="n"/>
      <c r="D1728" s="55" t="n"/>
      <c r="E1728" s="55" t="n"/>
      <c r="F1728" s="55" t="n"/>
      <c r="G1728" s="56" t="n"/>
      <c r="H1728" s="57" t="n"/>
      <c r="I1728" s="55" t="n"/>
      <c r="J1728" s="53" t="n"/>
      <c r="K1728" s="54" t="n"/>
      <c r="L1728" s="55" t="n"/>
      <c r="M1728" s="55" t="n"/>
      <c r="N1728" s="57" t="n"/>
      <c r="O1728" s="55" t="n"/>
      <c r="P1728" s="56" t="n"/>
      <c r="Q1728" s="55" t="n"/>
      <c r="R1728" s="55" t="n"/>
      <c r="S1728" s="55" t="n"/>
      <c r="T1728" s="55" t="n"/>
      <c r="U1728" s="55" t="n"/>
      <c r="V1728" s="55" t="n"/>
      <c r="W1728" s="58" t="n"/>
      <c r="X1728" s="58" t="n"/>
      <c r="Y1728" s="55" t="n"/>
      <c r="Z1728" s="55" t="n"/>
      <c r="AA1728" s="55" t="n"/>
      <c r="AB1728" s="55" t="n"/>
      <c r="AC1728" s="55" t="n"/>
      <c r="AD1728" s="53" t="n"/>
      <c r="AE1728" s="55" t="n"/>
      <c r="AF1728" s="55" t="n"/>
      <c r="AG1728" s="59" t="n"/>
      <c r="AH1728" s="57" t="n"/>
      <c r="AI1728" s="55" t="n"/>
      <c r="AJ1728" s="55" t="n"/>
      <c r="AK1728" s="55" t="n"/>
      <c r="AL1728" s="55" t="n"/>
      <c r="AM1728" s="56" t="n"/>
      <c r="AN1728" s="55" t="n"/>
      <c r="AO1728" s="55" t="n"/>
      <c r="AP1728" s="55" t="n"/>
      <c r="AQ1728" s="55" t="n"/>
      <c r="AR1728" s="60">
        <f>IF(AND(C1728="",E1728=""),"",IF(A1728="","⚠ Date manquante",IF(AND(C1728="",E1728&lt;&gt;"Dépense"),"⚠ Prospect manquant",IF(E1728="","⚠ Action manquante",IF(AND(AU1728=1,D1728=""),"⚠ Canal manquant",IF(AND(W1728&lt;&gt;"",COUNTIFS('Saisie'!$W$5:$W$2004,W1728,'Saisie'!$C$5:$C$2004,"&lt;&gt;"&amp;C1728)&gt;0),"⚠ Numéro déjà utilisé par un autre prospect",IF(AND(J1728&lt;&gt;"",J1728&lt;A1728),"⚠ Relance avant la date de l'action",IF(A1728&gt;TODAY(),"⚠ Date dans le futur","✓"))))))))</f>
        <v/>
      </c>
      <c r="AS1728" s="61">
        <f>IF(AND(A1728="",C1728="",E1728=""),"",ROW())</f>
        <v/>
      </c>
      <c r="AT1728" s="61">
        <f>IF(E1728&amp;F1728="","",MAX(IFERROR(INDEX('Paramètres'!$J$6:$J$33,MATCH(E1728,'Paramètres'!$I$6:$I$33,0)),0),IFERROR(INDEX('Paramètres'!$N$6:$N$17,MATCH(F1728,'Paramètres'!$M$6:$M$17,0)),0)))</f>
        <v/>
      </c>
      <c r="AU1728" s="61">
        <f>IF(E1728="","",IFERROR(IF(INDEX('Paramètres'!$K$6:$K$33,MATCH(E1728,'Paramètres'!$I$6:$I$33,0))="Oui",1,0),0))</f>
        <v/>
      </c>
      <c r="AV1728" s="61">
        <f>IF(F1728="","",IFERROR(IF(INDEX('Paramètres'!$O$6:$O$17,MATCH(F1728,'Paramètres'!$M$6:$M$17,0))="Oui",1,0),0))</f>
        <v/>
      </c>
      <c r="AW1728" s="62">
        <f>IF(E1728="","",IF(G1728&lt;&gt;"",G1728,IF(OR(E1728="Proposition envoyée",E1728="Signature"),MAX(0,N(IFERROR(INDEX('Paramètres'!$R$6:$R$15,MATCH(IF(AL1728&lt;&gt;"",AL1728,IFERROR(INDEX('Prospects'!$AN$5:$AN$504,MATCH(C1728,'Prospects'!$C$5:$C$504,0)),"")),'Paramètres'!$Q$6:$Q$15,0)),0))-N(P1728)),0)))</f>
        <v/>
      </c>
      <c r="AX1728" s="61">
        <f>IF(C1728="","",IF(COUNTIF($C$5:C1728,C1728)=1,MAX($AX$4:AX1727)+1,""))</f>
        <v/>
      </c>
      <c r="AY1728" s="61">
        <f>IF(B1728="","",HOUR(B1728))</f>
        <v/>
      </c>
      <c r="AZ1728" s="61">
        <f>IF(A1728="","",MOD(A1728-2,7)+1)</f>
        <v/>
      </c>
      <c r="BA1728" s="60">
        <f>IF(C1728="","",IFERROR(INDEX('Prospects'!$N$5:$N$504,MATCH(C1728,'Prospects'!$C$5:$C$504,0)),""))</f>
        <v/>
      </c>
      <c r="BB1728" s="61">
        <f>IF(AND(C1728&lt;&gt;"",C1728='Fiche prospect'!$C$4),COUNTIF($C$5:C1728,C1728),"")</f>
        <v/>
      </c>
    </row>
    <row r="1729">
      <c r="A1729" s="53" t="n"/>
      <c r="B1729" s="54" t="n"/>
      <c r="C1729" s="55" t="n"/>
      <c r="D1729" s="55" t="n"/>
      <c r="E1729" s="55" t="n"/>
      <c r="F1729" s="55" t="n"/>
      <c r="G1729" s="56" t="n"/>
      <c r="H1729" s="57" t="n"/>
      <c r="I1729" s="55" t="n"/>
      <c r="J1729" s="53" t="n"/>
      <c r="K1729" s="54" t="n"/>
      <c r="L1729" s="55" t="n"/>
      <c r="M1729" s="55" t="n"/>
      <c r="N1729" s="57" t="n"/>
      <c r="O1729" s="55" t="n"/>
      <c r="P1729" s="56" t="n"/>
      <c r="Q1729" s="55" t="n"/>
      <c r="R1729" s="55" t="n"/>
      <c r="S1729" s="55" t="n"/>
      <c r="T1729" s="55" t="n"/>
      <c r="U1729" s="55" t="n"/>
      <c r="V1729" s="55" t="n"/>
      <c r="W1729" s="58" t="n"/>
      <c r="X1729" s="58" t="n"/>
      <c r="Y1729" s="55" t="n"/>
      <c r="Z1729" s="55" t="n"/>
      <c r="AA1729" s="55" t="n"/>
      <c r="AB1729" s="55" t="n"/>
      <c r="AC1729" s="55" t="n"/>
      <c r="AD1729" s="53" t="n"/>
      <c r="AE1729" s="55" t="n"/>
      <c r="AF1729" s="55" t="n"/>
      <c r="AG1729" s="59" t="n"/>
      <c r="AH1729" s="57" t="n"/>
      <c r="AI1729" s="55" t="n"/>
      <c r="AJ1729" s="55" t="n"/>
      <c r="AK1729" s="55" t="n"/>
      <c r="AL1729" s="55" t="n"/>
      <c r="AM1729" s="56" t="n"/>
      <c r="AN1729" s="55" t="n"/>
      <c r="AO1729" s="55" t="n"/>
      <c r="AP1729" s="55" t="n"/>
      <c r="AQ1729" s="55" t="n"/>
      <c r="AR1729" s="60">
        <f>IF(AND(C1729="",E1729=""),"",IF(A1729="","⚠ Date manquante",IF(AND(C1729="",E1729&lt;&gt;"Dépense"),"⚠ Prospect manquant",IF(E1729="","⚠ Action manquante",IF(AND(AU1729=1,D1729=""),"⚠ Canal manquant",IF(AND(W1729&lt;&gt;"",COUNTIFS('Saisie'!$W$5:$W$2004,W1729,'Saisie'!$C$5:$C$2004,"&lt;&gt;"&amp;C1729)&gt;0),"⚠ Numéro déjà utilisé par un autre prospect",IF(AND(J1729&lt;&gt;"",J1729&lt;A1729),"⚠ Relance avant la date de l'action",IF(A1729&gt;TODAY(),"⚠ Date dans le futur","✓"))))))))</f>
        <v/>
      </c>
      <c r="AS1729" s="61">
        <f>IF(AND(A1729="",C1729="",E1729=""),"",ROW())</f>
        <v/>
      </c>
      <c r="AT1729" s="61">
        <f>IF(E1729&amp;F1729="","",MAX(IFERROR(INDEX('Paramètres'!$J$6:$J$33,MATCH(E1729,'Paramètres'!$I$6:$I$33,0)),0),IFERROR(INDEX('Paramètres'!$N$6:$N$17,MATCH(F1729,'Paramètres'!$M$6:$M$17,0)),0)))</f>
        <v/>
      </c>
      <c r="AU1729" s="61">
        <f>IF(E1729="","",IFERROR(IF(INDEX('Paramètres'!$K$6:$K$33,MATCH(E1729,'Paramètres'!$I$6:$I$33,0))="Oui",1,0),0))</f>
        <v/>
      </c>
      <c r="AV1729" s="61">
        <f>IF(F1729="","",IFERROR(IF(INDEX('Paramètres'!$O$6:$O$17,MATCH(F1729,'Paramètres'!$M$6:$M$17,0))="Oui",1,0),0))</f>
        <v/>
      </c>
      <c r="AW1729" s="62">
        <f>IF(E1729="","",IF(G1729&lt;&gt;"",G1729,IF(OR(E1729="Proposition envoyée",E1729="Signature"),MAX(0,N(IFERROR(INDEX('Paramètres'!$R$6:$R$15,MATCH(IF(AL1729&lt;&gt;"",AL1729,IFERROR(INDEX('Prospects'!$AN$5:$AN$504,MATCH(C1729,'Prospects'!$C$5:$C$504,0)),"")),'Paramètres'!$Q$6:$Q$15,0)),0))-N(P1729)),0)))</f>
        <v/>
      </c>
      <c r="AX1729" s="61">
        <f>IF(C1729="","",IF(COUNTIF($C$5:C1729,C1729)=1,MAX($AX$4:AX1728)+1,""))</f>
        <v/>
      </c>
      <c r="AY1729" s="61">
        <f>IF(B1729="","",HOUR(B1729))</f>
        <v/>
      </c>
      <c r="AZ1729" s="61">
        <f>IF(A1729="","",MOD(A1729-2,7)+1)</f>
        <v/>
      </c>
      <c r="BA1729" s="60">
        <f>IF(C1729="","",IFERROR(INDEX('Prospects'!$N$5:$N$504,MATCH(C1729,'Prospects'!$C$5:$C$504,0)),""))</f>
        <v/>
      </c>
      <c r="BB1729" s="61">
        <f>IF(AND(C1729&lt;&gt;"",C1729='Fiche prospect'!$C$4),COUNTIF($C$5:C1729,C1729),"")</f>
        <v/>
      </c>
    </row>
    <row r="1730">
      <c r="A1730" s="53" t="n"/>
      <c r="B1730" s="54" t="n"/>
      <c r="C1730" s="55" t="n"/>
      <c r="D1730" s="55" t="n"/>
      <c r="E1730" s="55" t="n"/>
      <c r="F1730" s="55" t="n"/>
      <c r="G1730" s="56" t="n"/>
      <c r="H1730" s="57" t="n"/>
      <c r="I1730" s="55" t="n"/>
      <c r="J1730" s="53" t="n"/>
      <c r="K1730" s="54" t="n"/>
      <c r="L1730" s="55" t="n"/>
      <c r="M1730" s="55" t="n"/>
      <c r="N1730" s="57" t="n"/>
      <c r="O1730" s="55" t="n"/>
      <c r="P1730" s="56" t="n"/>
      <c r="Q1730" s="55" t="n"/>
      <c r="R1730" s="55" t="n"/>
      <c r="S1730" s="55" t="n"/>
      <c r="T1730" s="55" t="n"/>
      <c r="U1730" s="55" t="n"/>
      <c r="V1730" s="55" t="n"/>
      <c r="W1730" s="58" t="n"/>
      <c r="X1730" s="58" t="n"/>
      <c r="Y1730" s="55" t="n"/>
      <c r="Z1730" s="55" t="n"/>
      <c r="AA1730" s="55" t="n"/>
      <c r="AB1730" s="55" t="n"/>
      <c r="AC1730" s="55" t="n"/>
      <c r="AD1730" s="53" t="n"/>
      <c r="AE1730" s="55" t="n"/>
      <c r="AF1730" s="55" t="n"/>
      <c r="AG1730" s="59" t="n"/>
      <c r="AH1730" s="57" t="n"/>
      <c r="AI1730" s="55" t="n"/>
      <c r="AJ1730" s="55" t="n"/>
      <c r="AK1730" s="55" t="n"/>
      <c r="AL1730" s="55" t="n"/>
      <c r="AM1730" s="56" t="n"/>
      <c r="AN1730" s="55" t="n"/>
      <c r="AO1730" s="55" t="n"/>
      <c r="AP1730" s="55" t="n"/>
      <c r="AQ1730" s="55" t="n"/>
      <c r="AR1730" s="60">
        <f>IF(AND(C1730="",E1730=""),"",IF(A1730="","⚠ Date manquante",IF(AND(C1730="",E1730&lt;&gt;"Dépense"),"⚠ Prospect manquant",IF(E1730="","⚠ Action manquante",IF(AND(AU1730=1,D1730=""),"⚠ Canal manquant",IF(AND(W1730&lt;&gt;"",COUNTIFS('Saisie'!$W$5:$W$2004,W1730,'Saisie'!$C$5:$C$2004,"&lt;&gt;"&amp;C1730)&gt;0),"⚠ Numéro déjà utilisé par un autre prospect",IF(AND(J1730&lt;&gt;"",J1730&lt;A1730),"⚠ Relance avant la date de l'action",IF(A1730&gt;TODAY(),"⚠ Date dans le futur","✓"))))))))</f>
        <v/>
      </c>
      <c r="AS1730" s="61">
        <f>IF(AND(A1730="",C1730="",E1730=""),"",ROW())</f>
        <v/>
      </c>
      <c r="AT1730" s="61">
        <f>IF(E1730&amp;F1730="","",MAX(IFERROR(INDEX('Paramètres'!$J$6:$J$33,MATCH(E1730,'Paramètres'!$I$6:$I$33,0)),0),IFERROR(INDEX('Paramètres'!$N$6:$N$17,MATCH(F1730,'Paramètres'!$M$6:$M$17,0)),0)))</f>
        <v/>
      </c>
      <c r="AU1730" s="61">
        <f>IF(E1730="","",IFERROR(IF(INDEX('Paramètres'!$K$6:$K$33,MATCH(E1730,'Paramètres'!$I$6:$I$33,0))="Oui",1,0),0))</f>
        <v/>
      </c>
      <c r="AV1730" s="61">
        <f>IF(F1730="","",IFERROR(IF(INDEX('Paramètres'!$O$6:$O$17,MATCH(F1730,'Paramètres'!$M$6:$M$17,0))="Oui",1,0),0))</f>
        <v/>
      </c>
      <c r="AW1730" s="62">
        <f>IF(E1730="","",IF(G1730&lt;&gt;"",G1730,IF(OR(E1730="Proposition envoyée",E1730="Signature"),MAX(0,N(IFERROR(INDEX('Paramètres'!$R$6:$R$15,MATCH(IF(AL1730&lt;&gt;"",AL1730,IFERROR(INDEX('Prospects'!$AN$5:$AN$504,MATCH(C1730,'Prospects'!$C$5:$C$504,0)),"")),'Paramètres'!$Q$6:$Q$15,0)),0))-N(P1730)),0)))</f>
        <v/>
      </c>
      <c r="AX1730" s="61">
        <f>IF(C1730="","",IF(COUNTIF($C$5:C1730,C1730)=1,MAX($AX$4:AX1729)+1,""))</f>
        <v/>
      </c>
      <c r="AY1730" s="61">
        <f>IF(B1730="","",HOUR(B1730))</f>
        <v/>
      </c>
      <c r="AZ1730" s="61">
        <f>IF(A1730="","",MOD(A1730-2,7)+1)</f>
        <v/>
      </c>
      <c r="BA1730" s="60">
        <f>IF(C1730="","",IFERROR(INDEX('Prospects'!$N$5:$N$504,MATCH(C1730,'Prospects'!$C$5:$C$504,0)),""))</f>
        <v/>
      </c>
      <c r="BB1730" s="61">
        <f>IF(AND(C1730&lt;&gt;"",C1730='Fiche prospect'!$C$4),COUNTIF($C$5:C1730,C1730),"")</f>
        <v/>
      </c>
    </row>
    <row r="1731">
      <c r="A1731" s="53" t="n"/>
      <c r="B1731" s="54" t="n"/>
      <c r="C1731" s="55" t="n"/>
      <c r="D1731" s="55" t="n"/>
      <c r="E1731" s="55" t="n"/>
      <c r="F1731" s="55" t="n"/>
      <c r="G1731" s="56" t="n"/>
      <c r="H1731" s="57" t="n"/>
      <c r="I1731" s="55" t="n"/>
      <c r="J1731" s="53" t="n"/>
      <c r="K1731" s="54" t="n"/>
      <c r="L1731" s="55" t="n"/>
      <c r="M1731" s="55" t="n"/>
      <c r="N1731" s="57" t="n"/>
      <c r="O1731" s="55" t="n"/>
      <c r="P1731" s="56" t="n"/>
      <c r="Q1731" s="55" t="n"/>
      <c r="R1731" s="55" t="n"/>
      <c r="S1731" s="55" t="n"/>
      <c r="T1731" s="55" t="n"/>
      <c r="U1731" s="55" t="n"/>
      <c r="V1731" s="55" t="n"/>
      <c r="W1731" s="58" t="n"/>
      <c r="X1731" s="58" t="n"/>
      <c r="Y1731" s="55" t="n"/>
      <c r="Z1731" s="55" t="n"/>
      <c r="AA1731" s="55" t="n"/>
      <c r="AB1731" s="55" t="n"/>
      <c r="AC1731" s="55" t="n"/>
      <c r="AD1731" s="53" t="n"/>
      <c r="AE1731" s="55" t="n"/>
      <c r="AF1731" s="55" t="n"/>
      <c r="AG1731" s="59" t="n"/>
      <c r="AH1731" s="57" t="n"/>
      <c r="AI1731" s="55" t="n"/>
      <c r="AJ1731" s="55" t="n"/>
      <c r="AK1731" s="55" t="n"/>
      <c r="AL1731" s="55" t="n"/>
      <c r="AM1731" s="56" t="n"/>
      <c r="AN1731" s="55" t="n"/>
      <c r="AO1731" s="55" t="n"/>
      <c r="AP1731" s="55" t="n"/>
      <c r="AQ1731" s="55" t="n"/>
      <c r="AR1731" s="60">
        <f>IF(AND(C1731="",E1731=""),"",IF(A1731="","⚠ Date manquante",IF(AND(C1731="",E1731&lt;&gt;"Dépense"),"⚠ Prospect manquant",IF(E1731="","⚠ Action manquante",IF(AND(AU1731=1,D1731=""),"⚠ Canal manquant",IF(AND(W1731&lt;&gt;"",COUNTIFS('Saisie'!$W$5:$W$2004,W1731,'Saisie'!$C$5:$C$2004,"&lt;&gt;"&amp;C1731)&gt;0),"⚠ Numéro déjà utilisé par un autre prospect",IF(AND(J1731&lt;&gt;"",J1731&lt;A1731),"⚠ Relance avant la date de l'action",IF(A1731&gt;TODAY(),"⚠ Date dans le futur","✓"))))))))</f>
        <v/>
      </c>
      <c r="AS1731" s="61">
        <f>IF(AND(A1731="",C1731="",E1731=""),"",ROW())</f>
        <v/>
      </c>
      <c r="AT1731" s="61">
        <f>IF(E1731&amp;F1731="","",MAX(IFERROR(INDEX('Paramètres'!$J$6:$J$33,MATCH(E1731,'Paramètres'!$I$6:$I$33,0)),0),IFERROR(INDEX('Paramètres'!$N$6:$N$17,MATCH(F1731,'Paramètres'!$M$6:$M$17,0)),0)))</f>
        <v/>
      </c>
      <c r="AU1731" s="61">
        <f>IF(E1731="","",IFERROR(IF(INDEX('Paramètres'!$K$6:$K$33,MATCH(E1731,'Paramètres'!$I$6:$I$33,0))="Oui",1,0),0))</f>
        <v/>
      </c>
      <c r="AV1731" s="61">
        <f>IF(F1731="","",IFERROR(IF(INDEX('Paramètres'!$O$6:$O$17,MATCH(F1731,'Paramètres'!$M$6:$M$17,0))="Oui",1,0),0))</f>
        <v/>
      </c>
      <c r="AW1731" s="62">
        <f>IF(E1731="","",IF(G1731&lt;&gt;"",G1731,IF(OR(E1731="Proposition envoyée",E1731="Signature"),MAX(0,N(IFERROR(INDEX('Paramètres'!$R$6:$R$15,MATCH(IF(AL1731&lt;&gt;"",AL1731,IFERROR(INDEX('Prospects'!$AN$5:$AN$504,MATCH(C1731,'Prospects'!$C$5:$C$504,0)),"")),'Paramètres'!$Q$6:$Q$15,0)),0))-N(P1731)),0)))</f>
        <v/>
      </c>
      <c r="AX1731" s="61">
        <f>IF(C1731="","",IF(COUNTIF($C$5:C1731,C1731)=1,MAX($AX$4:AX1730)+1,""))</f>
        <v/>
      </c>
      <c r="AY1731" s="61">
        <f>IF(B1731="","",HOUR(B1731))</f>
        <v/>
      </c>
      <c r="AZ1731" s="61">
        <f>IF(A1731="","",MOD(A1731-2,7)+1)</f>
        <v/>
      </c>
      <c r="BA1731" s="60">
        <f>IF(C1731="","",IFERROR(INDEX('Prospects'!$N$5:$N$504,MATCH(C1731,'Prospects'!$C$5:$C$504,0)),""))</f>
        <v/>
      </c>
      <c r="BB1731" s="61">
        <f>IF(AND(C1731&lt;&gt;"",C1731='Fiche prospect'!$C$4),COUNTIF($C$5:C1731,C1731),"")</f>
        <v/>
      </c>
    </row>
    <row r="1732">
      <c r="A1732" s="53" t="n"/>
      <c r="B1732" s="54" t="n"/>
      <c r="C1732" s="55" t="n"/>
      <c r="D1732" s="55" t="n"/>
      <c r="E1732" s="55" t="n"/>
      <c r="F1732" s="55" t="n"/>
      <c r="G1732" s="56" t="n"/>
      <c r="H1732" s="57" t="n"/>
      <c r="I1732" s="55" t="n"/>
      <c r="J1732" s="53" t="n"/>
      <c r="K1732" s="54" t="n"/>
      <c r="L1732" s="55" t="n"/>
      <c r="M1732" s="55" t="n"/>
      <c r="N1732" s="57" t="n"/>
      <c r="O1732" s="55" t="n"/>
      <c r="P1732" s="56" t="n"/>
      <c r="Q1732" s="55" t="n"/>
      <c r="R1732" s="55" t="n"/>
      <c r="S1732" s="55" t="n"/>
      <c r="T1732" s="55" t="n"/>
      <c r="U1732" s="55" t="n"/>
      <c r="V1732" s="55" t="n"/>
      <c r="W1732" s="58" t="n"/>
      <c r="X1732" s="58" t="n"/>
      <c r="Y1732" s="55" t="n"/>
      <c r="Z1732" s="55" t="n"/>
      <c r="AA1732" s="55" t="n"/>
      <c r="AB1732" s="55" t="n"/>
      <c r="AC1732" s="55" t="n"/>
      <c r="AD1732" s="53" t="n"/>
      <c r="AE1732" s="55" t="n"/>
      <c r="AF1732" s="55" t="n"/>
      <c r="AG1732" s="59" t="n"/>
      <c r="AH1732" s="57" t="n"/>
      <c r="AI1732" s="55" t="n"/>
      <c r="AJ1732" s="55" t="n"/>
      <c r="AK1732" s="55" t="n"/>
      <c r="AL1732" s="55" t="n"/>
      <c r="AM1732" s="56" t="n"/>
      <c r="AN1732" s="55" t="n"/>
      <c r="AO1732" s="55" t="n"/>
      <c r="AP1732" s="55" t="n"/>
      <c r="AQ1732" s="55" t="n"/>
      <c r="AR1732" s="60">
        <f>IF(AND(C1732="",E1732=""),"",IF(A1732="","⚠ Date manquante",IF(AND(C1732="",E1732&lt;&gt;"Dépense"),"⚠ Prospect manquant",IF(E1732="","⚠ Action manquante",IF(AND(AU1732=1,D1732=""),"⚠ Canal manquant",IF(AND(W1732&lt;&gt;"",COUNTIFS('Saisie'!$W$5:$W$2004,W1732,'Saisie'!$C$5:$C$2004,"&lt;&gt;"&amp;C1732)&gt;0),"⚠ Numéro déjà utilisé par un autre prospect",IF(AND(J1732&lt;&gt;"",J1732&lt;A1732),"⚠ Relance avant la date de l'action",IF(A1732&gt;TODAY(),"⚠ Date dans le futur","✓"))))))))</f>
        <v/>
      </c>
      <c r="AS1732" s="61">
        <f>IF(AND(A1732="",C1732="",E1732=""),"",ROW())</f>
        <v/>
      </c>
      <c r="AT1732" s="61">
        <f>IF(E1732&amp;F1732="","",MAX(IFERROR(INDEX('Paramètres'!$J$6:$J$33,MATCH(E1732,'Paramètres'!$I$6:$I$33,0)),0),IFERROR(INDEX('Paramètres'!$N$6:$N$17,MATCH(F1732,'Paramètres'!$M$6:$M$17,0)),0)))</f>
        <v/>
      </c>
      <c r="AU1732" s="61">
        <f>IF(E1732="","",IFERROR(IF(INDEX('Paramètres'!$K$6:$K$33,MATCH(E1732,'Paramètres'!$I$6:$I$33,0))="Oui",1,0),0))</f>
        <v/>
      </c>
      <c r="AV1732" s="61">
        <f>IF(F1732="","",IFERROR(IF(INDEX('Paramètres'!$O$6:$O$17,MATCH(F1732,'Paramètres'!$M$6:$M$17,0))="Oui",1,0),0))</f>
        <v/>
      </c>
      <c r="AW1732" s="62">
        <f>IF(E1732="","",IF(G1732&lt;&gt;"",G1732,IF(OR(E1732="Proposition envoyée",E1732="Signature"),MAX(0,N(IFERROR(INDEX('Paramètres'!$R$6:$R$15,MATCH(IF(AL1732&lt;&gt;"",AL1732,IFERROR(INDEX('Prospects'!$AN$5:$AN$504,MATCH(C1732,'Prospects'!$C$5:$C$504,0)),"")),'Paramètres'!$Q$6:$Q$15,0)),0))-N(P1732)),0)))</f>
        <v/>
      </c>
      <c r="AX1732" s="61">
        <f>IF(C1732="","",IF(COUNTIF($C$5:C1732,C1732)=1,MAX($AX$4:AX1731)+1,""))</f>
        <v/>
      </c>
      <c r="AY1732" s="61">
        <f>IF(B1732="","",HOUR(B1732))</f>
        <v/>
      </c>
      <c r="AZ1732" s="61">
        <f>IF(A1732="","",MOD(A1732-2,7)+1)</f>
        <v/>
      </c>
      <c r="BA1732" s="60">
        <f>IF(C1732="","",IFERROR(INDEX('Prospects'!$N$5:$N$504,MATCH(C1732,'Prospects'!$C$5:$C$504,0)),""))</f>
        <v/>
      </c>
      <c r="BB1732" s="61">
        <f>IF(AND(C1732&lt;&gt;"",C1732='Fiche prospect'!$C$4),COUNTIF($C$5:C1732,C1732),"")</f>
        <v/>
      </c>
    </row>
    <row r="1733">
      <c r="A1733" s="53" t="n"/>
      <c r="B1733" s="54" t="n"/>
      <c r="C1733" s="55" t="n"/>
      <c r="D1733" s="55" t="n"/>
      <c r="E1733" s="55" t="n"/>
      <c r="F1733" s="55" t="n"/>
      <c r="G1733" s="56" t="n"/>
      <c r="H1733" s="57" t="n"/>
      <c r="I1733" s="55" t="n"/>
      <c r="J1733" s="53" t="n"/>
      <c r="K1733" s="54" t="n"/>
      <c r="L1733" s="55" t="n"/>
      <c r="M1733" s="55" t="n"/>
      <c r="N1733" s="57" t="n"/>
      <c r="O1733" s="55" t="n"/>
      <c r="P1733" s="56" t="n"/>
      <c r="Q1733" s="55" t="n"/>
      <c r="R1733" s="55" t="n"/>
      <c r="S1733" s="55" t="n"/>
      <c r="T1733" s="55" t="n"/>
      <c r="U1733" s="55" t="n"/>
      <c r="V1733" s="55" t="n"/>
      <c r="W1733" s="58" t="n"/>
      <c r="X1733" s="58" t="n"/>
      <c r="Y1733" s="55" t="n"/>
      <c r="Z1733" s="55" t="n"/>
      <c r="AA1733" s="55" t="n"/>
      <c r="AB1733" s="55" t="n"/>
      <c r="AC1733" s="55" t="n"/>
      <c r="AD1733" s="53" t="n"/>
      <c r="AE1733" s="55" t="n"/>
      <c r="AF1733" s="55" t="n"/>
      <c r="AG1733" s="59" t="n"/>
      <c r="AH1733" s="57" t="n"/>
      <c r="AI1733" s="55" t="n"/>
      <c r="AJ1733" s="55" t="n"/>
      <c r="AK1733" s="55" t="n"/>
      <c r="AL1733" s="55" t="n"/>
      <c r="AM1733" s="56" t="n"/>
      <c r="AN1733" s="55" t="n"/>
      <c r="AO1733" s="55" t="n"/>
      <c r="AP1733" s="55" t="n"/>
      <c r="AQ1733" s="55" t="n"/>
      <c r="AR1733" s="60">
        <f>IF(AND(C1733="",E1733=""),"",IF(A1733="","⚠ Date manquante",IF(AND(C1733="",E1733&lt;&gt;"Dépense"),"⚠ Prospect manquant",IF(E1733="","⚠ Action manquante",IF(AND(AU1733=1,D1733=""),"⚠ Canal manquant",IF(AND(W1733&lt;&gt;"",COUNTIFS('Saisie'!$W$5:$W$2004,W1733,'Saisie'!$C$5:$C$2004,"&lt;&gt;"&amp;C1733)&gt;0),"⚠ Numéro déjà utilisé par un autre prospect",IF(AND(J1733&lt;&gt;"",J1733&lt;A1733),"⚠ Relance avant la date de l'action",IF(A1733&gt;TODAY(),"⚠ Date dans le futur","✓"))))))))</f>
        <v/>
      </c>
      <c r="AS1733" s="61">
        <f>IF(AND(A1733="",C1733="",E1733=""),"",ROW())</f>
        <v/>
      </c>
      <c r="AT1733" s="61">
        <f>IF(E1733&amp;F1733="","",MAX(IFERROR(INDEX('Paramètres'!$J$6:$J$33,MATCH(E1733,'Paramètres'!$I$6:$I$33,0)),0),IFERROR(INDEX('Paramètres'!$N$6:$N$17,MATCH(F1733,'Paramètres'!$M$6:$M$17,0)),0)))</f>
        <v/>
      </c>
      <c r="AU1733" s="61">
        <f>IF(E1733="","",IFERROR(IF(INDEX('Paramètres'!$K$6:$K$33,MATCH(E1733,'Paramètres'!$I$6:$I$33,0))="Oui",1,0),0))</f>
        <v/>
      </c>
      <c r="AV1733" s="61">
        <f>IF(F1733="","",IFERROR(IF(INDEX('Paramètres'!$O$6:$O$17,MATCH(F1733,'Paramètres'!$M$6:$M$17,0))="Oui",1,0),0))</f>
        <v/>
      </c>
      <c r="AW1733" s="62">
        <f>IF(E1733="","",IF(G1733&lt;&gt;"",G1733,IF(OR(E1733="Proposition envoyée",E1733="Signature"),MAX(0,N(IFERROR(INDEX('Paramètres'!$R$6:$R$15,MATCH(IF(AL1733&lt;&gt;"",AL1733,IFERROR(INDEX('Prospects'!$AN$5:$AN$504,MATCH(C1733,'Prospects'!$C$5:$C$504,0)),"")),'Paramètres'!$Q$6:$Q$15,0)),0))-N(P1733)),0)))</f>
        <v/>
      </c>
      <c r="AX1733" s="61">
        <f>IF(C1733="","",IF(COUNTIF($C$5:C1733,C1733)=1,MAX($AX$4:AX1732)+1,""))</f>
        <v/>
      </c>
      <c r="AY1733" s="61">
        <f>IF(B1733="","",HOUR(B1733))</f>
        <v/>
      </c>
      <c r="AZ1733" s="61">
        <f>IF(A1733="","",MOD(A1733-2,7)+1)</f>
        <v/>
      </c>
      <c r="BA1733" s="60">
        <f>IF(C1733="","",IFERROR(INDEX('Prospects'!$N$5:$N$504,MATCH(C1733,'Prospects'!$C$5:$C$504,0)),""))</f>
        <v/>
      </c>
      <c r="BB1733" s="61">
        <f>IF(AND(C1733&lt;&gt;"",C1733='Fiche prospect'!$C$4),COUNTIF($C$5:C1733,C1733),"")</f>
        <v/>
      </c>
    </row>
    <row r="1734">
      <c r="A1734" s="53" t="n"/>
      <c r="B1734" s="54" t="n"/>
      <c r="C1734" s="55" t="n"/>
      <c r="D1734" s="55" t="n"/>
      <c r="E1734" s="55" t="n"/>
      <c r="F1734" s="55" t="n"/>
      <c r="G1734" s="56" t="n"/>
      <c r="H1734" s="57" t="n"/>
      <c r="I1734" s="55" t="n"/>
      <c r="J1734" s="53" t="n"/>
      <c r="K1734" s="54" t="n"/>
      <c r="L1734" s="55" t="n"/>
      <c r="M1734" s="55" t="n"/>
      <c r="N1734" s="57" t="n"/>
      <c r="O1734" s="55" t="n"/>
      <c r="P1734" s="56" t="n"/>
      <c r="Q1734" s="55" t="n"/>
      <c r="R1734" s="55" t="n"/>
      <c r="S1734" s="55" t="n"/>
      <c r="T1734" s="55" t="n"/>
      <c r="U1734" s="55" t="n"/>
      <c r="V1734" s="55" t="n"/>
      <c r="W1734" s="58" t="n"/>
      <c r="X1734" s="58" t="n"/>
      <c r="Y1734" s="55" t="n"/>
      <c r="Z1734" s="55" t="n"/>
      <c r="AA1734" s="55" t="n"/>
      <c r="AB1734" s="55" t="n"/>
      <c r="AC1734" s="55" t="n"/>
      <c r="AD1734" s="53" t="n"/>
      <c r="AE1734" s="55" t="n"/>
      <c r="AF1734" s="55" t="n"/>
      <c r="AG1734" s="59" t="n"/>
      <c r="AH1734" s="57" t="n"/>
      <c r="AI1734" s="55" t="n"/>
      <c r="AJ1734" s="55" t="n"/>
      <c r="AK1734" s="55" t="n"/>
      <c r="AL1734" s="55" t="n"/>
      <c r="AM1734" s="56" t="n"/>
      <c r="AN1734" s="55" t="n"/>
      <c r="AO1734" s="55" t="n"/>
      <c r="AP1734" s="55" t="n"/>
      <c r="AQ1734" s="55" t="n"/>
      <c r="AR1734" s="60">
        <f>IF(AND(C1734="",E1734=""),"",IF(A1734="","⚠ Date manquante",IF(AND(C1734="",E1734&lt;&gt;"Dépense"),"⚠ Prospect manquant",IF(E1734="","⚠ Action manquante",IF(AND(AU1734=1,D1734=""),"⚠ Canal manquant",IF(AND(W1734&lt;&gt;"",COUNTIFS('Saisie'!$W$5:$W$2004,W1734,'Saisie'!$C$5:$C$2004,"&lt;&gt;"&amp;C1734)&gt;0),"⚠ Numéro déjà utilisé par un autre prospect",IF(AND(J1734&lt;&gt;"",J1734&lt;A1734),"⚠ Relance avant la date de l'action",IF(A1734&gt;TODAY(),"⚠ Date dans le futur","✓"))))))))</f>
        <v/>
      </c>
      <c r="AS1734" s="61">
        <f>IF(AND(A1734="",C1734="",E1734=""),"",ROW())</f>
        <v/>
      </c>
      <c r="AT1734" s="61">
        <f>IF(E1734&amp;F1734="","",MAX(IFERROR(INDEX('Paramètres'!$J$6:$J$33,MATCH(E1734,'Paramètres'!$I$6:$I$33,0)),0),IFERROR(INDEX('Paramètres'!$N$6:$N$17,MATCH(F1734,'Paramètres'!$M$6:$M$17,0)),0)))</f>
        <v/>
      </c>
      <c r="AU1734" s="61">
        <f>IF(E1734="","",IFERROR(IF(INDEX('Paramètres'!$K$6:$K$33,MATCH(E1734,'Paramètres'!$I$6:$I$33,0))="Oui",1,0),0))</f>
        <v/>
      </c>
      <c r="AV1734" s="61">
        <f>IF(F1734="","",IFERROR(IF(INDEX('Paramètres'!$O$6:$O$17,MATCH(F1734,'Paramètres'!$M$6:$M$17,0))="Oui",1,0),0))</f>
        <v/>
      </c>
      <c r="AW1734" s="62">
        <f>IF(E1734="","",IF(G1734&lt;&gt;"",G1734,IF(OR(E1734="Proposition envoyée",E1734="Signature"),MAX(0,N(IFERROR(INDEX('Paramètres'!$R$6:$R$15,MATCH(IF(AL1734&lt;&gt;"",AL1734,IFERROR(INDEX('Prospects'!$AN$5:$AN$504,MATCH(C1734,'Prospects'!$C$5:$C$504,0)),"")),'Paramètres'!$Q$6:$Q$15,0)),0))-N(P1734)),0)))</f>
        <v/>
      </c>
      <c r="AX1734" s="61">
        <f>IF(C1734="","",IF(COUNTIF($C$5:C1734,C1734)=1,MAX($AX$4:AX1733)+1,""))</f>
        <v/>
      </c>
      <c r="AY1734" s="61">
        <f>IF(B1734="","",HOUR(B1734))</f>
        <v/>
      </c>
      <c r="AZ1734" s="61">
        <f>IF(A1734="","",MOD(A1734-2,7)+1)</f>
        <v/>
      </c>
      <c r="BA1734" s="60">
        <f>IF(C1734="","",IFERROR(INDEX('Prospects'!$N$5:$N$504,MATCH(C1734,'Prospects'!$C$5:$C$504,0)),""))</f>
        <v/>
      </c>
      <c r="BB1734" s="61">
        <f>IF(AND(C1734&lt;&gt;"",C1734='Fiche prospect'!$C$4),COUNTIF($C$5:C1734,C1734),"")</f>
        <v/>
      </c>
    </row>
    <row r="1735">
      <c r="A1735" s="53" t="n"/>
      <c r="B1735" s="54" t="n"/>
      <c r="C1735" s="55" t="n"/>
      <c r="D1735" s="55" t="n"/>
      <c r="E1735" s="55" t="n"/>
      <c r="F1735" s="55" t="n"/>
      <c r="G1735" s="56" t="n"/>
      <c r="H1735" s="57" t="n"/>
      <c r="I1735" s="55" t="n"/>
      <c r="J1735" s="53" t="n"/>
      <c r="K1735" s="54" t="n"/>
      <c r="L1735" s="55" t="n"/>
      <c r="M1735" s="55" t="n"/>
      <c r="N1735" s="57" t="n"/>
      <c r="O1735" s="55" t="n"/>
      <c r="P1735" s="56" t="n"/>
      <c r="Q1735" s="55" t="n"/>
      <c r="R1735" s="55" t="n"/>
      <c r="S1735" s="55" t="n"/>
      <c r="T1735" s="55" t="n"/>
      <c r="U1735" s="55" t="n"/>
      <c r="V1735" s="55" t="n"/>
      <c r="W1735" s="58" t="n"/>
      <c r="X1735" s="58" t="n"/>
      <c r="Y1735" s="55" t="n"/>
      <c r="Z1735" s="55" t="n"/>
      <c r="AA1735" s="55" t="n"/>
      <c r="AB1735" s="55" t="n"/>
      <c r="AC1735" s="55" t="n"/>
      <c r="AD1735" s="53" t="n"/>
      <c r="AE1735" s="55" t="n"/>
      <c r="AF1735" s="55" t="n"/>
      <c r="AG1735" s="59" t="n"/>
      <c r="AH1735" s="57" t="n"/>
      <c r="AI1735" s="55" t="n"/>
      <c r="AJ1735" s="55" t="n"/>
      <c r="AK1735" s="55" t="n"/>
      <c r="AL1735" s="55" t="n"/>
      <c r="AM1735" s="56" t="n"/>
      <c r="AN1735" s="55" t="n"/>
      <c r="AO1735" s="55" t="n"/>
      <c r="AP1735" s="55" t="n"/>
      <c r="AQ1735" s="55" t="n"/>
      <c r="AR1735" s="60">
        <f>IF(AND(C1735="",E1735=""),"",IF(A1735="","⚠ Date manquante",IF(AND(C1735="",E1735&lt;&gt;"Dépense"),"⚠ Prospect manquant",IF(E1735="","⚠ Action manquante",IF(AND(AU1735=1,D1735=""),"⚠ Canal manquant",IF(AND(W1735&lt;&gt;"",COUNTIFS('Saisie'!$W$5:$W$2004,W1735,'Saisie'!$C$5:$C$2004,"&lt;&gt;"&amp;C1735)&gt;0),"⚠ Numéro déjà utilisé par un autre prospect",IF(AND(J1735&lt;&gt;"",J1735&lt;A1735),"⚠ Relance avant la date de l'action",IF(A1735&gt;TODAY(),"⚠ Date dans le futur","✓"))))))))</f>
        <v/>
      </c>
      <c r="AS1735" s="61">
        <f>IF(AND(A1735="",C1735="",E1735=""),"",ROW())</f>
        <v/>
      </c>
      <c r="AT1735" s="61">
        <f>IF(E1735&amp;F1735="","",MAX(IFERROR(INDEX('Paramètres'!$J$6:$J$33,MATCH(E1735,'Paramètres'!$I$6:$I$33,0)),0),IFERROR(INDEX('Paramètres'!$N$6:$N$17,MATCH(F1735,'Paramètres'!$M$6:$M$17,0)),0)))</f>
        <v/>
      </c>
      <c r="AU1735" s="61">
        <f>IF(E1735="","",IFERROR(IF(INDEX('Paramètres'!$K$6:$K$33,MATCH(E1735,'Paramètres'!$I$6:$I$33,0))="Oui",1,0),0))</f>
        <v/>
      </c>
      <c r="AV1735" s="61">
        <f>IF(F1735="","",IFERROR(IF(INDEX('Paramètres'!$O$6:$O$17,MATCH(F1735,'Paramètres'!$M$6:$M$17,0))="Oui",1,0),0))</f>
        <v/>
      </c>
      <c r="AW1735" s="62">
        <f>IF(E1735="","",IF(G1735&lt;&gt;"",G1735,IF(OR(E1735="Proposition envoyée",E1735="Signature"),MAX(0,N(IFERROR(INDEX('Paramètres'!$R$6:$R$15,MATCH(IF(AL1735&lt;&gt;"",AL1735,IFERROR(INDEX('Prospects'!$AN$5:$AN$504,MATCH(C1735,'Prospects'!$C$5:$C$504,0)),"")),'Paramètres'!$Q$6:$Q$15,0)),0))-N(P1735)),0)))</f>
        <v/>
      </c>
      <c r="AX1735" s="61">
        <f>IF(C1735="","",IF(COUNTIF($C$5:C1735,C1735)=1,MAX($AX$4:AX1734)+1,""))</f>
        <v/>
      </c>
      <c r="AY1735" s="61">
        <f>IF(B1735="","",HOUR(B1735))</f>
        <v/>
      </c>
      <c r="AZ1735" s="61">
        <f>IF(A1735="","",MOD(A1735-2,7)+1)</f>
        <v/>
      </c>
      <c r="BA1735" s="60">
        <f>IF(C1735="","",IFERROR(INDEX('Prospects'!$N$5:$N$504,MATCH(C1735,'Prospects'!$C$5:$C$504,0)),""))</f>
        <v/>
      </c>
      <c r="BB1735" s="61">
        <f>IF(AND(C1735&lt;&gt;"",C1735='Fiche prospect'!$C$4),COUNTIF($C$5:C1735,C1735),"")</f>
        <v/>
      </c>
    </row>
    <row r="1736">
      <c r="A1736" s="53" t="n"/>
      <c r="B1736" s="54" t="n"/>
      <c r="C1736" s="55" t="n"/>
      <c r="D1736" s="55" t="n"/>
      <c r="E1736" s="55" t="n"/>
      <c r="F1736" s="55" t="n"/>
      <c r="G1736" s="56" t="n"/>
      <c r="H1736" s="57" t="n"/>
      <c r="I1736" s="55" t="n"/>
      <c r="J1736" s="53" t="n"/>
      <c r="K1736" s="54" t="n"/>
      <c r="L1736" s="55" t="n"/>
      <c r="M1736" s="55" t="n"/>
      <c r="N1736" s="57" t="n"/>
      <c r="O1736" s="55" t="n"/>
      <c r="P1736" s="56" t="n"/>
      <c r="Q1736" s="55" t="n"/>
      <c r="R1736" s="55" t="n"/>
      <c r="S1736" s="55" t="n"/>
      <c r="T1736" s="55" t="n"/>
      <c r="U1736" s="55" t="n"/>
      <c r="V1736" s="55" t="n"/>
      <c r="W1736" s="58" t="n"/>
      <c r="X1736" s="58" t="n"/>
      <c r="Y1736" s="55" t="n"/>
      <c r="Z1736" s="55" t="n"/>
      <c r="AA1736" s="55" t="n"/>
      <c r="AB1736" s="55" t="n"/>
      <c r="AC1736" s="55" t="n"/>
      <c r="AD1736" s="53" t="n"/>
      <c r="AE1736" s="55" t="n"/>
      <c r="AF1736" s="55" t="n"/>
      <c r="AG1736" s="59" t="n"/>
      <c r="AH1736" s="57" t="n"/>
      <c r="AI1736" s="55" t="n"/>
      <c r="AJ1736" s="55" t="n"/>
      <c r="AK1736" s="55" t="n"/>
      <c r="AL1736" s="55" t="n"/>
      <c r="AM1736" s="56" t="n"/>
      <c r="AN1736" s="55" t="n"/>
      <c r="AO1736" s="55" t="n"/>
      <c r="AP1736" s="55" t="n"/>
      <c r="AQ1736" s="55" t="n"/>
      <c r="AR1736" s="60">
        <f>IF(AND(C1736="",E1736=""),"",IF(A1736="","⚠ Date manquante",IF(AND(C1736="",E1736&lt;&gt;"Dépense"),"⚠ Prospect manquant",IF(E1736="","⚠ Action manquante",IF(AND(AU1736=1,D1736=""),"⚠ Canal manquant",IF(AND(W1736&lt;&gt;"",COUNTIFS('Saisie'!$W$5:$W$2004,W1736,'Saisie'!$C$5:$C$2004,"&lt;&gt;"&amp;C1736)&gt;0),"⚠ Numéro déjà utilisé par un autre prospect",IF(AND(J1736&lt;&gt;"",J1736&lt;A1736),"⚠ Relance avant la date de l'action",IF(A1736&gt;TODAY(),"⚠ Date dans le futur","✓"))))))))</f>
        <v/>
      </c>
      <c r="AS1736" s="61">
        <f>IF(AND(A1736="",C1736="",E1736=""),"",ROW())</f>
        <v/>
      </c>
      <c r="AT1736" s="61">
        <f>IF(E1736&amp;F1736="","",MAX(IFERROR(INDEX('Paramètres'!$J$6:$J$33,MATCH(E1736,'Paramètres'!$I$6:$I$33,0)),0),IFERROR(INDEX('Paramètres'!$N$6:$N$17,MATCH(F1736,'Paramètres'!$M$6:$M$17,0)),0)))</f>
        <v/>
      </c>
      <c r="AU1736" s="61">
        <f>IF(E1736="","",IFERROR(IF(INDEX('Paramètres'!$K$6:$K$33,MATCH(E1736,'Paramètres'!$I$6:$I$33,0))="Oui",1,0),0))</f>
        <v/>
      </c>
      <c r="AV1736" s="61">
        <f>IF(F1736="","",IFERROR(IF(INDEX('Paramètres'!$O$6:$O$17,MATCH(F1736,'Paramètres'!$M$6:$M$17,0))="Oui",1,0),0))</f>
        <v/>
      </c>
      <c r="AW1736" s="62">
        <f>IF(E1736="","",IF(G1736&lt;&gt;"",G1736,IF(OR(E1736="Proposition envoyée",E1736="Signature"),MAX(0,N(IFERROR(INDEX('Paramètres'!$R$6:$R$15,MATCH(IF(AL1736&lt;&gt;"",AL1736,IFERROR(INDEX('Prospects'!$AN$5:$AN$504,MATCH(C1736,'Prospects'!$C$5:$C$504,0)),"")),'Paramètres'!$Q$6:$Q$15,0)),0))-N(P1736)),0)))</f>
        <v/>
      </c>
      <c r="AX1736" s="61">
        <f>IF(C1736="","",IF(COUNTIF($C$5:C1736,C1736)=1,MAX($AX$4:AX1735)+1,""))</f>
        <v/>
      </c>
      <c r="AY1736" s="61">
        <f>IF(B1736="","",HOUR(B1736))</f>
        <v/>
      </c>
      <c r="AZ1736" s="61">
        <f>IF(A1736="","",MOD(A1736-2,7)+1)</f>
        <v/>
      </c>
      <c r="BA1736" s="60">
        <f>IF(C1736="","",IFERROR(INDEX('Prospects'!$N$5:$N$504,MATCH(C1736,'Prospects'!$C$5:$C$504,0)),""))</f>
        <v/>
      </c>
      <c r="BB1736" s="61">
        <f>IF(AND(C1736&lt;&gt;"",C1736='Fiche prospect'!$C$4),COUNTIF($C$5:C1736,C1736),"")</f>
        <v/>
      </c>
    </row>
    <row r="1737">
      <c r="A1737" s="53" t="n"/>
      <c r="B1737" s="54" t="n"/>
      <c r="C1737" s="55" t="n"/>
      <c r="D1737" s="55" t="n"/>
      <c r="E1737" s="55" t="n"/>
      <c r="F1737" s="55" t="n"/>
      <c r="G1737" s="56" t="n"/>
      <c r="H1737" s="57" t="n"/>
      <c r="I1737" s="55" t="n"/>
      <c r="J1737" s="53" t="n"/>
      <c r="K1737" s="54" t="n"/>
      <c r="L1737" s="55" t="n"/>
      <c r="M1737" s="55" t="n"/>
      <c r="N1737" s="57" t="n"/>
      <c r="O1737" s="55" t="n"/>
      <c r="P1737" s="56" t="n"/>
      <c r="Q1737" s="55" t="n"/>
      <c r="R1737" s="55" t="n"/>
      <c r="S1737" s="55" t="n"/>
      <c r="T1737" s="55" t="n"/>
      <c r="U1737" s="55" t="n"/>
      <c r="V1737" s="55" t="n"/>
      <c r="W1737" s="58" t="n"/>
      <c r="X1737" s="58" t="n"/>
      <c r="Y1737" s="55" t="n"/>
      <c r="Z1737" s="55" t="n"/>
      <c r="AA1737" s="55" t="n"/>
      <c r="AB1737" s="55" t="n"/>
      <c r="AC1737" s="55" t="n"/>
      <c r="AD1737" s="53" t="n"/>
      <c r="AE1737" s="55" t="n"/>
      <c r="AF1737" s="55" t="n"/>
      <c r="AG1737" s="59" t="n"/>
      <c r="AH1737" s="57" t="n"/>
      <c r="AI1737" s="55" t="n"/>
      <c r="AJ1737" s="55" t="n"/>
      <c r="AK1737" s="55" t="n"/>
      <c r="AL1737" s="55" t="n"/>
      <c r="AM1737" s="56" t="n"/>
      <c r="AN1737" s="55" t="n"/>
      <c r="AO1737" s="55" t="n"/>
      <c r="AP1737" s="55" t="n"/>
      <c r="AQ1737" s="55" t="n"/>
      <c r="AR1737" s="60">
        <f>IF(AND(C1737="",E1737=""),"",IF(A1737="","⚠ Date manquante",IF(AND(C1737="",E1737&lt;&gt;"Dépense"),"⚠ Prospect manquant",IF(E1737="","⚠ Action manquante",IF(AND(AU1737=1,D1737=""),"⚠ Canal manquant",IF(AND(W1737&lt;&gt;"",COUNTIFS('Saisie'!$W$5:$W$2004,W1737,'Saisie'!$C$5:$C$2004,"&lt;&gt;"&amp;C1737)&gt;0),"⚠ Numéro déjà utilisé par un autre prospect",IF(AND(J1737&lt;&gt;"",J1737&lt;A1737),"⚠ Relance avant la date de l'action",IF(A1737&gt;TODAY(),"⚠ Date dans le futur","✓"))))))))</f>
        <v/>
      </c>
      <c r="AS1737" s="61">
        <f>IF(AND(A1737="",C1737="",E1737=""),"",ROW())</f>
        <v/>
      </c>
      <c r="AT1737" s="61">
        <f>IF(E1737&amp;F1737="","",MAX(IFERROR(INDEX('Paramètres'!$J$6:$J$33,MATCH(E1737,'Paramètres'!$I$6:$I$33,0)),0),IFERROR(INDEX('Paramètres'!$N$6:$N$17,MATCH(F1737,'Paramètres'!$M$6:$M$17,0)),0)))</f>
        <v/>
      </c>
      <c r="AU1737" s="61">
        <f>IF(E1737="","",IFERROR(IF(INDEX('Paramètres'!$K$6:$K$33,MATCH(E1737,'Paramètres'!$I$6:$I$33,0))="Oui",1,0),0))</f>
        <v/>
      </c>
      <c r="AV1737" s="61">
        <f>IF(F1737="","",IFERROR(IF(INDEX('Paramètres'!$O$6:$O$17,MATCH(F1737,'Paramètres'!$M$6:$M$17,0))="Oui",1,0),0))</f>
        <v/>
      </c>
      <c r="AW1737" s="62">
        <f>IF(E1737="","",IF(G1737&lt;&gt;"",G1737,IF(OR(E1737="Proposition envoyée",E1737="Signature"),MAX(0,N(IFERROR(INDEX('Paramètres'!$R$6:$R$15,MATCH(IF(AL1737&lt;&gt;"",AL1737,IFERROR(INDEX('Prospects'!$AN$5:$AN$504,MATCH(C1737,'Prospects'!$C$5:$C$504,0)),"")),'Paramètres'!$Q$6:$Q$15,0)),0))-N(P1737)),0)))</f>
        <v/>
      </c>
      <c r="AX1737" s="61">
        <f>IF(C1737="","",IF(COUNTIF($C$5:C1737,C1737)=1,MAX($AX$4:AX1736)+1,""))</f>
        <v/>
      </c>
      <c r="AY1737" s="61">
        <f>IF(B1737="","",HOUR(B1737))</f>
        <v/>
      </c>
      <c r="AZ1737" s="61">
        <f>IF(A1737="","",MOD(A1737-2,7)+1)</f>
        <v/>
      </c>
      <c r="BA1737" s="60">
        <f>IF(C1737="","",IFERROR(INDEX('Prospects'!$N$5:$N$504,MATCH(C1737,'Prospects'!$C$5:$C$504,0)),""))</f>
        <v/>
      </c>
      <c r="BB1737" s="61">
        <f>IF(AND(C1737&lt;&gt;"",C1737='Fiche prospect'!$C$4),COUNTIF($C$5:C1737,C1737),"")</f>
        <v/>
      </c>
    </row>
    <row r="1738">
      <c r="A1738" s="53" t="n"/>
      <c r="B1738" s="54" t="n"/>
      <c r="C1738" s="55" t="n"/>
      <c r="D1738" s="55" t="n"/>
      <c r="E1738" s="55" t="n"/>
      <c r="F1738" s="55" t="n"/>
      <c r="G1738" s="56" t="n"/>
      <c r="H1738" s="57" t="n"/>
      <c r="I1738" s="55" t="n"/>
      <c r="J1738" s="53" t="n"/>
      <c r="K1738" s="54" t="n"/>
      <c r="L1738" s="55" t="n"/>
      <c r="M1738" s="55" t="n"/>
      <c r="N1738" s="57" t="n"/>
      <c r="O1738" s="55" t="n"/>
      <c r="P1738" s="56" t="n"/>
      <c r="Q1738" s="55" t="n"/>
      <c r="R1738" s="55" t="n"/>
      <c r="S1738" s="55" t="n"/>
      <c r="T1738" s="55" t="n"/>
      <c r="U1738" s="55" t="n"/>
      <c r="V1738" s="55" t="n"/>
      <c r="W1738" s="58" t="n"/>
      <c r="X1738" s="58" t="n"/>
      <c r="Y1738" s="55" t="n"/>
      <c r="Z1738" s="55" t="n"/>
      <c r="AA1738" s="55" t="n"/>
      <c r="AB1738" s="55" t="n"/>
      <c r="AC1738" s="55" t="n"/>
      <c r="AD1738" s="53" t="n"/>
      <c r="AE1738" s="55" t="n"/>
      <c r="AF1738" s="55" t="n"/>
      <c r="AG1738" s="59" t="n"/>
      <c r="AH1738" s="57" t="n"/>
      <c r="AI1738" s="55" t="n"/>
      <c r="AJ1738" s="55" t="n"/>
      <c r="AK1738" s="55" t="n"/>
      <c r="AL1738" s="55" t="n"/>
      <c r="AM1738" s="56" t="n"/>
      <c r="AN1738" s="55" t="n"/>
      <c r="AO1738" s="55" t="n"/>
      <c r="AP1738" s="55" t="n"/>
      <c r="AQ1738" s="55" t="n"/>
      <c r="AR1738" s="60">
        <f>IF(AND(C1738="",E1738=""),"",IF(A1738="","⚠ Date manquante",IF(AND(C1738="",E1738&lt;&gt;"Dépense"),"⚠ Prospect manquant",IF(E1738="","⚠ Action manquante",IF(AND(AU1738=1,D1738=""),"⚠ Canal manquant",IF(AND(W1738&lt;&gt;"",COUNTIFS('Saisie'!$W$5:$W$2004,W1738,'Saisie'!$C$5:$C$2004,"&lt;&gt;"&amp;C1738)&gt;0),"⚠ Numéro déjà utilisé par un autre prospect",IF(AND(J1738&lt;&gt;"",J1738&lt;A1738),"⚠ Relance avant la date de l'action",IF(A1738&gt;TODAY(),"⚠ Date dans le futur","✓"))))))))</f>
        <v/>
      </c>
      <c r="AS1738" s="61">
        <f>IF(AND(A1738="",C1738="",E1738=""),"",ROW())</f>
        <v/>
      </c>
      <c r="AT1738" s="61">
        <f>IF(E1738&amp;F1738="","",MAX(IFERROR(INDEX('Paramètres'!$J$6:$J$33,MATCH(E1738,'Paramètres'!$I$6:$I$33,0)),0),IFERROR(INDEX('Paramètres'!$N$6:$N$17,MATCH(F1738,'Paramètres'!$M$6:$M$17,0)),0)))</f>
        <v/>
      </c>
      <c r="AU1738" s="61">
        <f>IF(E1738="","",IFERROR(IF(INDEX('Paramètres'!$K$6:$K$33,MATCH(E1738,'Paramètres'!$I$6:$I$33,0))="Oui",1,0),0))</f>
        <v/>
      </c>
      <c r="AV1738" s="61">
        <f>IF(F1738="","",IFERROR(IF(INDEX('Paramètres'!$O$6:$O$17,MATCH(F1738,'Paramètres'!$M$6:$M$17,0))="Oui",1,0),0))</f>
        <v/>
      </c>
      <c r="AW1738" s="62">
        <f>IF(E1738="","",IF(G1738&lt;&gt;"",G1738,IF(OR(E1738="Proposition envoyée",E1738="Signature"),MAX(0,N(IFERROR(INDEX('Paramètres'!$R$6:$R$15,MATCH(IF(AL1738&lt;&gt;"",AL1738,IFERROR(INDEX('Prospects'!$AN$5:$AN$504,MATCH(C1738,'Prospects'!$C$5:$C$504,0)),"")),'Paramètres'!$Q$6:$Q$15,0)),0))-N(P1738)),0)))</f>
        <v/>
      </c>
      <c r="AX1738" s="61">
        <f>IF(C1738="","",IF(COUNTIF($C$5:C1738,C1738)=1,MAX($AX$4:AX1737)+1,""))</f>
        <v/>
      </c>
      <c r="AY1738" s="61">
        <f>IF(B1738="","",HOUR(B1738))</f>
        <v/>
      </c>
      <c r="AZ1738" s="61">
        <f>IF(A1738="","",MOD(A1738-2,7)+1)</f>
        <v/>
      </c>
      <c r="BA1738" s="60">
        <f>IF(C1738="","",IFERROR(INDEX('Prospects'!$N$5:$N$504,MATCH(C1738,'Prospects'!$C$5:$C$504,0)),""))</f>
        <v/>
      </c>
      <c r="BB1738" s="61">
        <f>IF(AND(C1738&lt;&gt;"",C1738='Fiche prospect'!$C$4),COUNTIF($C$5:C1738,C1738),"")</f>
        <v/>
      </c>
    </row>
    <row r="1739">
      <c r="A1739" s="53" t="n"/>
      <c r="B1739" s="54" t="n"/>
      <c r="C1739" s="55" t="n"/>
      <c r="D1739" s="55" t="n"/>
      <c r="E1739" s="55" t="n"/>
      <c r="F1739" s="55" t="n"/>
      <c r="G1739" s="56" t="n"/>
      <c r="H1739" s="57" t="n"/>
      <c r="I1739" s="55" t="n"/>
      <c r="J1739" s="53" t="n"/>
      <c r="K1739" s="54" t="n"/>
      <c r="L1739" s="55" t="n"/>
      <c r="M1739" s="55" t="n"/>
      <c r="N1739" s="57" t="n"/>
      <c r="O1739" s="55" t="n"/>
      <c r="P1739" s="56" t="n"/>
      <c r="Q1739" s="55" t="n"/>
      <c r="R1739" s="55" t="n"/>
      <c r="S1739" s="55" t="n"/>
      <c r="T1739" s="55" t="n"/>
      <c r="U1739" s="55" t="n"/>
      <c r="V1739" s="55" t="n"/>
      <c r="W1739" s="58" t="n"/>
      <c r="X1739" s="58" t="n"/>
      <c r="Y1739" s="55" t="n"/>
      <c r="Z1739" s="55" t="n"/>
      <c r="AA1739" s="55" t="n"/>
      <c r="AB1739" s="55" t="n"/>
      <c r="AC1739" s="55" t="n"/>
      <c r="AD1739" s="53" t="n"/>
      <c r="AE1739" s="55" t="n"/>
      <c r="AF1739" s="55" t="n"/>
      <c r="AG1739" s="59" t="n"/>
      <c r="AH1739" s="57" t="n"/>
      <c r="AI1739" s="55" t="n"/>
      <c r="AJ1739" s="55" t="n"/>
      <c r="AK1739" s="55" t="n"/>
      <c r="AL1739" s="55" t="n"/>
      <c r="AM1739" s="56" t="n"/>
      <c r="AN1739" s="55" t="n"/>
      <c r="AO1739" s="55" t="n"/>
      <c r="AP1739" s="55" t="n"/>
      <c r="AQ1739" s="55" t="n"/>
      <c r="AR1739" s="60">
        <f>IF(AND(C1739="",E1739=""),"",IF(A1739="","⚠ Date manquante",IF(AND(C1739="",E1739&lt;&gt;"Dépense"),"⚠ Prospect manquant",IF(E1739="","⚠ Action manquante",IF(AND(AU1739=1,D1739=""),"⚠ Canal manquant",IF(AND(W1739&lt;&gt;"",COUNTIFS('Saisie'!$W$5:$W$2004,W1739,'Saisie'!$C$5:$C$2004,"&lt;&gt;"&amp;C1739)&gt;0),"⚠ Numéro déjà utilisé par un autre prospect",IF(AND(J1739&lt;&gt;"",J1739&lt;A1739),"⚠ Relance avant la date de l'action",IF(A1739&gt;TODAY(),"⚠ Date dans le futur","✓"))))))))</f>
        <v/>
      </c>
      <c r="AS1739" s="61">
        <f>IF(AND(A1739="",C1739="",E1739=""),"",ROW())</f>
        <v/>
      </c>
      <c r="AT1739" s="61">
        <f>IF(E1739&amp;F1739="","",MAX(IFERROR(INDEX('Paramètres'!$J$6:$J$33,MATCH(E1739,'Paramètres'!$I$6:$I$33,0)),0),IFERROR(INDEX('Paramètres'!$N$6:$N$17,MATCH(F1739,'Paramètres'!$M$6:$M$17,0)),0)))</f>
        <v/>
      </c>
      <c r="AU1739" s="61">
        <f>IF(E1739="","",IFERROR(IF(INDEX('Paramètres'!$K$6:$K$33,MATCH(E1739,'Paramètres'!$I$6:$I$33,0))="Oui",1,0),0))</f>
        <v/>
      </c>
      <c r="AV1739" s="61">
        <f>IF(F1739="","",IFERROR(IF(INDEX('Paramètres'!$O$6:$O$17,MATCH(F1739,'Paramètres'!$M$6:$M$17,0))="Oui",1,0),0))</f>
        <v/>
      </c>
      <c r="AW1739" s="62">
        <f>IF(E1739="","",IF(G1739&lt;&gt;"",G1739,IF(OR(E1739="Proposition envoyée",E1739="Signature"),MAX(0,N(IFERROR(INDEX('Paramètres'!$R$6:$R$15,MATCH(IF(AL1739&lt;&gt;"",AL1739,IFERROR(INDEX('Prospects'!$AN$5:$AN$504,MATCH(C1739,'Prospects'!$C$5:$C$504,0)),"")),'Paramètres'!$Q$6:$Q$15,0)),0))-N(P1739)),0)))</f>
        <v/>
      </c>
      <c r="AX1739" s="61">
        <f>IF(C1739="","",IF(COUNTIF($C$5:C1739,C1739)=1,MAX($AX$4:AX1738)+1,""))</f>
        <v/>
      </c>
      <c r="AY1739" s="61">
        <f>IF(B1739="","",HOUR(B1739))</f>
        <v/>
      </c>
      <c r="AZ1739" s="61">
        <f>IF(A1739="","",MOD(A1739-2,7)+1)</f>
        <v/>
      </c>
      <c r="BA1739" s="60">
        <f>IF(C1739="","",IFERROR(INDEX('Prospects'!$N$5:$N$504,MATCH(C1739,'Prospects'!$C$5:$C$504,0)),""))</f>
        <v/>
      </c>
      <c r="BB1739" s="61">
        <f>IF(AND(C1739&lt;&gt;"",C1739='Fiche prospect'!$C$4),COUNTIF($C$5:C1739,C1739),"")</f>
        <v/>
      </c>
    </row>
    <row r="1740">
      <c r="A1740" s="53" t="n"/>
      <c r="B1740" s="54" t="n"/>
      <c r="C1740" s="55" t="n"/>
      <c r="D1740" s="55" t="n"/>
      <c r="E1740" s="55" t="n"/>
      <c r="F1740" s="55" t="n"/>
      <c r="G1740" s="56" t="n"/>
      <c r="H1740" s="57" t="n"/>
      <c r="I1740" s="55" t="n"/>
      <c r="J1740" s="53" t="n"/>
      <c r="K1740" s="54" t="n"/>
      <c r="L1740" s="55" t="n"/>
      <c r="M1740" s="55" t="n"/>
      <c r="N1740" s="57" t="n"/>
      <c r="O1740" s="55" t="n"/>
      <c r="P1740" s="56" t="n"/>
      <c r="Q1740" s="55" t="n"/>
      <c r="R1740" s="55" t="n"/>
      <c r="S1740" s="55" t="n"/>
      <c r="T1740" s="55" t="n"/>
      <c r="U1740" s="55" t="n"/>
      <c r="V1740" s="55" t="n"/>
      <c r="W1740" s="58" t="n"/>
      <c r="X1740" s="58" t="n"/>
      <c r="Y1740" s="55" t="n"/>
      <c r="Z1740" s="55" t="n"/>
      <c r="AA1740" s="55" t="n"/>
      <c r="AB1740" s="55" t="n"/>
      <c r="AC1740" s="55" t="n"/>
      <c r="AD1740" s="53" t="n"/>
      <c r="AE1740" s="55" t="n"/>
      <c r="AF1740" s="55" t="n"/>
      <c r="AG1740" s="59" t="n"/>
      <c r="AH1740" s="57" t="n"/>
      <c r="AI1740" s="55" t="n"/>
      <c r="AJ1740" s="55" t="n"/>
      <c r="AK1740" s="55" t="n"/>
      <c r="AL1740" s="55" t="n"/>
      <c r="AM1740" s="56" t="n"/>
      <c r="AN1740" s="55" t="n"/>
      <c r="AO1740" s="55" t="n"/>
      <c r="AP1740" s="55" t="n"/>
      <c r="AQ1740" s="55" t="n"/>
      <c r="AR1740" s="60">
        <f>IF(AND(C1740="",E1740=""),"",IF(A1740="","⚠ Date manquante",IF(AND(C1740="",E1740&lt;&gt;"Dépense"),"⚠ Prospect manquant",IF(E1740="","⚠ Action manquante",IF(AND(AU1740=1,D1740=""),"⚠ Canal manquant",IF(AND(W1740&lt;&gt;"",COUNTIFS('Saisie'!$W$5:$W$2004,W1740,'Saisie'!$C$5:$C$2004,"&lt;&gt;"&amp;C1740)&gt;0),"⚠ Numéro déjà utilisé par un autre prospect",IF(AND(J1740&lt;&gt;"",J1740&lt;A1740),"⚠ Relance avant la date de l'action",IF(A1740&gt;TODAY(),"⚠ Date dans le futur","✓"))))))))</f>
        <v/>
      </c>
      <c r="AS1740" s="61">
        <f>IF(AND(A1740="",C1740="",E1740=""),"",ROW())</f>
        <v/>
      </c>
      <c r="AT1740" s="61">
        <f>IF(E1740&amp;F1740="","",MAX(IFERROR(INDEX('Paramètres'!$J$6:$J$33,MATCH(E1740,'Paramètres'!$I$6:$I$33,0)),0),IFERROR(INDEX('Paramètres'!$N$6:$N$17,MATCH(F1740,'Paramètres'!$M$6:$M$17,0)),0)))</f>
        <v/>
      </c>
      <c r="AU1740" s="61">
        <f>IF(E1740="","",IFERROR(IF(INDEX('Paramètres'!$K$6:$K$33,MATCH(E1740,'Paramètres'!$I$6:$I$33,0))="Oui",1,0),0))</f>
        <v/>
      </c>
      <c r="AV1740" s="61">
        <f>IF(F1740="","",IFERROR(IF(INDEX('Paramètres'!$O$6:$O$17,MATCH(F1740,'Paramètres'!$M$6:$M$17,0))="Oui",1,0),0))</f>
        <v/>
      </c>
      <c r="AW1740" s="62">
        <f>IF(E1740="","",IF(G1740&lt;&gt;"",G1740,IF(OR(E1740="Proposition envoyée",E1740="Signature"),MAX(0,N(IFERROR(INDEX('Paramètres'!$R$6:$R$15,MATCH(IF(AL1740&lt;&gt;"",AL1740,IFERROR(INDEX('Prospects'!$AN$5:$AN$504,MATCH(C1740,'Prospects'!$C$5:$C$504,0)),"")),'Paramètres'!$Q$6:$Q$15,0)),0))-N(P1740)),0)))</f>
        <v/>
      </c>
      <c r="AX1740" s="61">
        <f>IF(C1740="","",IF(COUNTIF($C$5:C1740,C1740)=1,MAX($AX$4:AX1739)+1,""))</f>
        <v/>
      </c>
      <c r="AY1740" s="61">
        <f>IF(B1740="","",HOUR(B1740))</f>
        <v/>
      </c>
      <c r="AZ1740" s="61">
        <f>IF(A1740="","",MOD(A1740-2,7)+1)</f>
        <v/>
      </c>
      <c r="BA1740" s="60">
        <f>IF(C1740="","",IFERROR(INDEX('Prospects'!$N$5:$N$504,MATCH(C1740,'Prospects'!$C$5:$C$504,0)),""))</f>
        <v/>
      </c>
      <c r="BB1740" s="61">
        <f>IF(AND(C1740&lt;&gt;"",C1740='Fiche prospect'!$C$4),COUNTIF($C$5:C1740,C1740),"")</f>
        <v/>
      </c>
    </row>
    <row r="1741">
      <c r="A1741" s="53" t="n"/>
      <c r="B1741" s="54" t="n"/>
      <c r="C1741" s="55" t="n"/>
      <c r="D1741" s="55" t="n"/>
      <c r="E1741" s="55" t="n"/>
      <c r="F1741" s="55" t="n"/>
      <c r="G1741" s="56" t="n"/>
      <c r="H1741" s="57" t="n"/>
      <c r="I1741" s="55" t="n"/>
      <c r="J1741" s="53" t="n"/>
      <c r="K1741" s="54" t="n"/>
      <c r="L1741" s="55" t="n"/>
      <c r="M1741" s="55" t="n"/>
      <c r="N1741" s="57" t="n"/>
      <c r="O1741" s="55" t="n"/>
      <c r="P1741" s="56" t="n"/>
      <c r="Q1741" s="55" t="n"/>
      <c r="R1741" s="55" t="n"/>
      <c r="S1741" s="55" t="n"/>
      <c r="T1741" s="55" t="n"/>
      <c r="U1741" s="55" t="n"/>
      <c r="V1741" s="55" t="n"/>
      <c r="W1741" s="58" t="n"/>
      <c r="X1741" s="58" t="n"/>
      <c r="Y1741" s="55" t="n"/>
      <c r="Z1741" s="55" t="n"/>
      <c r="AA1741" s="55" t="n"/>
      <c r="AB1741" s="55" t="n"/>
      <c r="AC1741" s="55" t="n"/>
      <c r="AD1741" s="53" t="n"/>
      <c r="AE1741" s="55" t="n"/>
      <c r="AF1741" s="55" t="n"/>
      <c r="AG1741" s="59" t="n"/>
      <c r="AH1741" s="57" t="n"/>
      <c r="AI1741" s="55" t="n"/>
      <c r="AJ1741" s="55" t="n"/>
      <c r="AK1741" s="55" t="n"/>
      <c r="AL1741" s="55" t="n"/>
      <c r="AM1741" s="56" t="n"/>
      <c r="AN1741" s="55" t="n"/>
      <c r="AO1741" s="55" t="n"/>
      <c r="AP1741" s="55" t="n"/>
      <c r="AQ1741" s="55" t="n"/>
      <c r="AR1741" s="60">
        <f>IF(AND(C1741="",E1741=""),"",IF(A1741="","⚠ Date manquante",IF(AND(C1741="",E1741&lt;&gt;"Dépense"),"⚠ Prospect manquant",IF(E1741="","⚠ Action manquante",IF(AND(AU1741=1,D1741=""),"⚠ Canal manquant",IF(AND(W1741&lt;&gt;"",COUNTIFS('Saisie'!$W$5:$W$2004,W1741,'Saisie'!$C$5:$C$2004,"&lt;&gt;"&amp;C1741)&gt;0),"⚠ Numéro déjà utilisé par un autre prospect",IF(AND(J1741&lt;&gt;"",J1741&lt;A1741),"⚠ Relance avant la date de l'action",IF(A1741&gt;TODAY(),"⚠ Date dans le futur","✓"))))))))</f>
        <v/>
      </c>
      <c r="AS1741" s="61">
        <f>IF(AND(A1741="",C1741="",E1741=""),"",ROW())</f>
        <v/>
      </c>
      <c r="AT1741" s="61">
        <f>IF(E1741&amp;F1741="","",MAX(IFERROR(INDEX('Paramètres'!$J$6:$J$33,MATCH(E1741,'Paramètres'!$I$6:$I$33,0)),0),IFERROR(INDEX('Paramètres'!$N$6:$N$17,MATCH(F1741,'Paramètres'!$M$6:$M$17,0)),0)))</f>
        <v/>
      </c>
      <c r="AU1741" s="61">
        <f>IF(E1741="","",IFERROR(IF(INDEX('Paramètres'!$K$6:$K$33,MATCH(E1741,'Paramètres'!$I$6:$I$33,0))="Oui",1,0),0))</f>
        <v/>
      </c>
      <c r="AV1741" s="61">
        <f>IF(F1741="","",IFERROR(IF(INDEX('Paramètres'!$O$6:$O$17,MATCH(F1741,'Paramètres'!$M$6:$M$17,0))="Oui",1,0),0))</f>
        <v/>
      </c>
      <c r="AW1741" s="62">
        <f>IF(E1741="","",IF(G1741&lt;&gt;"",G1741,IF(OR(E1741="Proposition envoyée",E1741="Signature"),MAX(0,N(IFERROR(INDEX('Paramètres'!$R$6:$R$15,MATCH(IF(AL1741&lt;&gt;"",AL1741,IFERROR(INDEX('Prospects'!$AN$5:$AN$504,MATCH(C1741,'Prospects'!$C$5:$C$504,0)),"")),'Paramètres'!$Q$6:$Q$15,0)),0))-N(P1741)),0)))</f>
        <v/>
      </c>
      <c r="AX1741" s="61">
        <f>IF(C1741="","",IF(COUNTIF($C$5:C1741,C1741)=1,MAX($AX$4:AX1740)+1,""))</f>
        <v/>
      </c>
      <c r="AY1741" s="61">
        <f>IF(B1741="","",HOUR(B1741))</f>
        <v/>
      </c>
      <c r="AZ1741" s="61">
        <f>IF(A1741="","",MOD(A1741-2,7)+1)</f>
        <v/>
      </c>
      <c r="BA1741" s="60">
        <f>IF(C1741="","",IFERROR(INDEX('Prospects'!$N$5:$N$504,MATCH(C1741,'Prospects'!$C$5:$C$504,0)),""))</f>
        <v/>
      </c>
      <c r="BB1741" s="61">
        <f>IF(AND(C1741&lt;&gt;"",C1741='Fiche prospect'!$C$4),COUNTIF($C$5:C1741,C1741),"")</f>
        <v/>
      </c>
    </row>
    <row r="1742">
      <c r="A1742" s="53" t="n"/>
      <c r="B1742" s="54" t="n"/>
      <c r="C1742" s="55" t="n"/>
      <c r="D1742" s="55" t="n"/>
      <c r="E1742" s="55" t="n"/>
      <c r="F1742" s="55" t="n"/>
      <c r="G1742" s="56" t="n"/>
      <c r="H1742" s="57" t="n"/>
      <c r="I1742" s="55" t="n"/>
      <c r="J1742" s="53" t="n"/>
      <c r="K1742" s="54" t="n"/>
      <c r="L1742" s="55" t="n"/>
      <c r="M1742" s="55" t="n"/>
      <c r="N1742" s="57" t="n"/>
      <c r="O1742" s="55" t="n"/>
      <c r="P1742" s="56" t="n"/>
      <c r="Q1742" s="55" t="n"/>
      <c r="R1742" s="55" t="n"/>
      <c r="S1742" s="55" t="n"/>
      <c r="T1742" s="55" t="n"/>
      <c r="U1742" s="55" t="n"/>
      <c r="V1742" s="55" t="n"/>
      <c r="W1742" s="58" t="n"/>
      <c r="X1742" s="58" t="n"/>
      <c r="Y1742" s="55" t="n"/>
      <c r="Z1742" s="55" t="n"/>
      <c r="AA1742" s="55" t="n"/>
      <c r="AB1742" s="55" t="n"/>
      <c r="AC1742" s="55" t="n"/>
      <c r="AD1742" s="53" t="n"/>
      <c r="AE1742" s="55" t="n"/>
      <c r="AF1742" s="55" t="n"/>
      <c r="AG1742" s="59" t="n"/>
      <c r="AH1742" s="57" t="n"/>
      <c r="AI1742" s="55" t="n"/>
      <c r="AJ1742" s="55" t="n"/>
      <c r="AK1742" s="55" t="n"/>
      <c r="AL1742" s="55" t="n"/>
      <c r="AM1742" s="56" t="n"/>
      <c r="AN1742" s="55" t="n"/>
      <c r="AO1742" s="55" t="n"/>
      <c r="AP1742" s="55" t="n"/>
      <c r="AQ1742" s="55" t="n"/>
      <c r="AR1742" s="60">
        <f>IF(AND(C1742="",E1742=""),"",IF(A1742="","⚠ Date manquante",IF(AND(C1742="",E1742&lt;&gt;"Dépense"),"⚠ Prospect manquant",IF(E1742="","⚠ Action manquante",IF(AND(AU1742=1,D1742=""),"⚠ Canal manquant",IF(AND(W1742&lt;&gt;"",COUNTIFS('Saisie'!$W$5:$W$2004,W1742,'Saisie'!$C$5:$C$2004,"&lt;&gt;"&amp;C1742)&gt;0),"⚠ Numéro déjà utilisé par un autre prospect",IF(AND(J1742&lt;&gt;"",J1742&lt;A1742),"⚠ Relance avant la date de l'action",IF(A1742&gt;TODAY(),"⚠ Date dans le futur","✓"))))))))</f>
        <v/>
      </c>
      <c r="AS1742" s="61">
        <f>IF(AND(A1742="",C1742="",E1742=""),"",ROW())</f>
        <v/>
      </c>
      <c r="AT1742" s="61">
        <f>IF(E1742&amp;F1742="","",MAX(IFERROR(INDEX('Paramètres'!$J$6:$J$33,MATCH(E1742,'Paramètres'!$I$6:$I$33,0)),0),IFERROR(INDEX('Paramètres'!$N$6:$N$17,MATCH(F1742,'Paramètres'!$M$6:$M$17,0)),0)))</f>
        <v/>
      </c>
      <c r="AU1742" s="61">
        <f>IF(E1742="","",IFERROR(IF(INDEX('Paramètres'!$K$6:$K$33,MATCH(E1742,'Paramètres'!$I$6:$I$33,0))="Oui",1,0),0))</f>
        <v/>
      </c>
      <c r="AV1742" s="61">
        <f>IF(F1742="","",IFERROR(IF(INDEX('Paramètres'!$O$6:$O$17,MATCH(F1742,'Paramètres'!$M$6:$M$17,0))="Oui",1,0),0))</f>
        <v/>
      </c>
      <c r="AW1742" s="62">
        <f>IF(E1742="","",IF(G1742&lt;&gt;"",G1742,IF(OR(E1742="Proposition envoyée",E1742="Signature"),MAX(0,N(IFERROR(INDEX('Paramètres'!$R$6:$R$15,MATCH(IF(AL1742&lt;&gt;"",AL1742,IFERROR(INDEX('Prospects'!$AN$5:$AN$504,MATCH(C1742,'Prospects'!$C$5:$C$504,0)),"")),'Paramètres'!$Q$6:$Q$15,0)),0))-N(P1742)),0)))</f>
        <v/>
      </c>
      <c r="AX1742" s="61">
        <f>IF(C1742="","",IF(COUNTIF($C$5:C1742,C1742)=1,MAX($AX$4:AX1741)+1,""))</f>
        <v/>
      </c>
      <c r="AY1742" s="61">
        <f>IF(B1742="","",HOUR(B1742))</f>
        <v/>
      </c>
      <c r="AZ1742" s="61">
        <f>IF(A1742="","",MOD(A1742-2,7)+1)</f>
        <v/>
      </c>
      <c r="BA1742" s="60">
        <f>IF(C1742="","",IFERROR(INDEX('Prospects'!$N$5:$N$504,MATCH(C1742,'Prospects'!$C$5:$C$504,0)),""))</f>
        <v/>
      </c>
      <c r="BB1742" s="61">
        <f>IF(AND(C1742&lt;&gt;"",C1742='Fiche prospect'!$C$4),COUNTIF($C$5:C1742,C1742),"")</f>
        <v/>
      </c>
    </row>
    <row r="1743">
      <c r="A1743" s="53" t="n"/>
      <c r="B1743" s="54" t="n"/>
      <c r="C1743" s="55" t="n"/>
      <c r="D1743" s="55" t="n"/>
      <c r="E1743" s="55" t="n"/>
      <c r="F1743" s="55" t="n"/>
      <c r="G1743" s="56" t="n"/>
      <c r="H1743" s="57" t="n"/>
      <c r="I1743" s="55" t="n"/>
      <c r="J1743" s="53" t="n"/>
      <c r="K1743" s="54" t="n"/>
      <c r="L1743" s="55" t="n"/>
      <c r="M1743" s="55" t="n"/>
      <c r="N1743" s="57" t="n"/>
      <c r="O1743" s="55" t="n"/>
      <c r="P1743" s="56" t="n"/>
      <c r="Q1743" s="55" t="n"/>
      <c r="R1743" s="55" t="n"/>
      <c r="S1743" s="55" t="n"/>
      <c r="T1743" s="55" t="n"/>
      <c r="U1743" s="55" t="n"/>
      <c r="V1743" s="55" t="n"/>
      <c r="W1743" s="58" t="n"/>
      <c r="X1743" s="58" t="n"/>
      <c r="Y1743" s="55" t="n"/>
      <c r="Z1743" s="55" t="n"/>
      <c r="AA1743" s="55" t="n"/>
      <c r="AB1743" s="55" t="n"/>
      <c r="AC1743" s="55" t="n"/>
      <c r="AD1743" s="53" t="n"/>
      <c r="AE1743" s="55" t="n"/>
      <c r="AF1743" s="55" t="n"/>
      <c r="AG1743" s="59" t="n"/>
      <c r="AH1743" s="57" t="n"/>
      <c r="AI1743" s="55" t="n"/>
      <c r="AJ1743" s="55" t="n"/>
      <c r="AK1743" s="55" t="n"/>
      <c r="AL1743" s="55" t="n"/>
      <c r="AM1743" s="56" t="n"/>
      <c r="AN1743" s="55" t="n"/>
      <c r="AO1743" s="55" t="n"/>
      <c r="AP1743" s="55" t="n"/>
      <c r="AQ1743" s="55" t="n"/>
      <c r="AR1743" s="60">
        <f>IF(AND(C1743="",E1743=""),"",IF(A1743="","⚠ Date manquante",IF(AND(C1743="",E1743&lt;&gt;"Dépense"),"⚠ Prospect manquant",IF(E1743="","⚠ Action manquante",IF(AND(AU1743=1,D1743=""),"⚠ Canal manquant",IF(AND(W1743&lt;&gt;"",COUNTIFS('Saisie'!$W$5:$W$2004,W1743,'Saisie'!$C$5:$C$2004,"&lt;&gt;"&amp;C1743)&gt;0),"⚠ Numéro déjà utilisé par un autre prospect",IF(AND(J1743&lt;&gt;"",J1743&lt;A1743),"⚠ Relance avant la date de l'action",IF(A1743&gt;TODAY(),"⚠ Date dans le futur","✓"))))))))</f>
        <v/>
      </c>
      <c r="AS1743" s="61">
        <f>IF(AND(A1743="",C1743="",E1743=""),"",ROW())</f>
        <v/>
      </c>
      <c r="AT1743" s="61">
        <f>IF(E1743&amp;F1743="","",MAX(IFERROR(INDEX('Paramètres'!$J$6:$J$33,MATCH(E1743,'Paramètres'!$I$6:$I$33,0)),0),IFERROR(INDEX('Paramètres'!$N$6:$N$17,MATCH(F1743,'Paramètres'!$M$6:$M$17,0)),0)))</f>
        <v/>
      </c>
      <c r="AU1743" s="61">
        <f>IF(E1743="","",IFERROR(IF(INDEX('Paramètres'!$K$6:$K$33,MATCH(E1743,'Paramètres'!$I$6:$I$33,0))="Oui",1,0),0))</f>
        <v/>
      </c>
      <c r="AV1743" s="61">
        <f>IF(F1743="","",IFERROR(IF(INDEX('Paramètres'!$O$6:$O$17,MATCH(F1743,'Paramètres'!$M$6:$M$17,0))="Oui",1,0),0))</f>
        <v/>
      </c>
      <c r="AW1743" s="62">
        <f>IF(E1743="","",IF(G1743&lt;&gt;"",G1743,IF(OR(E1743="Proposition envoyée",E1743="Signature"),MAX(0,N(IFERROR(INDEX('Paramètres'!$R$6:$R$15,MATCH(IF(AL1743&lt;&gt;"",AL1743,IFERROR(INDEX('Prospects'!$AN$5:$AN$504,MATCH(C1743,'Prospects'!$C$5:$C$504,0)),"")),'Paramètres'!$Q$6:$Q$15,0)),0))-N(P1743)),0)))</f>
        <v/>
      </c>
      <c r="AX1743" s="61">
        <f>IF(C1743="","",IF(COUNTIF($C$5:C1743,C1743)=1,MAX($AX$4:AX1742)+1,""))</f>
        <v/>
      </c>
      <c r="AY1743" s="61">
        <f>IF(B1743="","",HOUR(B1743))</f>
        <v/>
      </c>
      <c r="AZ1743" s="61">
        <f>IF(A1743="","",MOD(A1743-2,7)+1)</f>
        <v/>
      </c>
      <c r="BA1743" s="60">
        <f>IF(C1743="","",IFERROR(INDEX('Prospects'!$N$5:$N$504,MATCH(C1743,'Prospects'!$C$5:$C$504,0)),""))</f>
        <v/>
      </c>
      <c r="BB1743" s="61">
        <f>IF(AND(C1743&lt;&gt;"",C1743='Fiche prospect'!$C$4),COUNTIF($C$5:C1743,C1743),"")</f>
        <v/>
      </c>
    </row>
    <row r="1744">
      <c r="A1744" s="53" t="n"/>
      <c r="B1744" s="54" t="n"/>
      <c r="C1744" s="55" t="n"/>
      <c r="D1744" s="55" t="n"/>
      <c r="E1744" s="55" t="n"/>
      <c r="F1744" s="55" t="n"/>
      <c r="G1744" s="56" t="n"/>
      <c r="H1744" s="57" t="n"/>
      <c r="I1744" s="55" t="n"/>
      <c r="J1744" s="53" t="n"/>
      <c r="K1744" s="54" t="n"/>
      <c r="L1744" s="55" t="n"/>
      <c r="M1744" s="55" t="n"/>
      <c r="N1744" s="57" t="n"/>
      <c r="O1744" s="55" t="n"/>
      <c r="P1744" s="56" t="n"/>
      <c r="Q1744" s="55" t="n"/>
      <c r="R1744" s="55" t="n"/>
      <c r="S1744" s="55" t="n"/>
      <c r="T1744" s="55" t="n"/>
      <c r="U1744" s="55" t="n"/>
      <c r="V1744" s="55" t="n"/>
      <c r="W1744" s="58" t="n"/>
      <c r="X1744" s="58" t="n"/>
      <c r="Y1744" s="55" t="n"/>
      <c r="Z1744" s="55" t="n"/>
      <c r="AA1744" s="55" t="n"/>
      <c r="AB1744" s="55" t="n"/>
      <c r="AC1744" s="55" t="n"/>
      <c r="AD1744" s="53" t="n"/>
      <c r="AE1744" s="55" t="n"/>
      <c r="AF1744" s="55" t="n"/>
      <c r="AG1744" s="59" t="n"/>
      <c r="AH1744" s="57" t="n"/>
      <c r="AI1744" s="55" t="n"/>
      <c r="AJ1744" s="55" t="n"/>
      <c r="AK1744" s="55" t="n"/>
      <c r="AL1744" s="55" t="n"/>
      <c r="AM1744" s="56" t="n"/>
      <c r="AN1744" s="55" t="n"/>
      <c r="AO1744" s="55" t="n"/>
      <c r="AP1744" s="55" t="n"/>
      <c r="AQ1744" s="55" t="n"/>
      <c r="AR1744" s="60">
        <f>IF(AND(C1744="",E1744=""),"",IF(A1744="","⚠ Date manquante",IF(AND(C1744="",E1744&lt;&gt;"Dépense"),"⚠ Prospect manquant",IF(E1744="","⚠ Action manquante",IF(AND(AU1744=1,D1744=""),"⚠ Canal manquant",IF(AND(W1744&lt;&gt;"",COUNTIFS('Saisie'!$W$5:$W$2004,W1744,'Saisie'!$C$5:$C$2004,"&lt;&gt;"&amp;C1744)&gt;0),"⚠ Numéro déjà utilisé par un autre prospect",IF(AND(J1744&lt;&gt;"",J1744&lt;A1744),"⚠ Relance avant la date de l'action",IF(A1744&gt;TODAY(),"⚠ Date dans le futur","✓"))))))))</f>
        <v/>
      </c>
      <c r="AS1744" s="61">
        <f>IF(AND(A1744="",C1744="",E1744=""),"",ROW())</f>
        <v/>
      </c>
      <c r="AT1744" s="61">
        <f>IF(E1744&amp;F1744="","",MAX(IFERROR(INDEX('Paramètres'!$J$6:$J$33,MATCH(E1744,'Paramètres'!$I$6:$I$33,0)),0),IFERROR(INDEX('Paramètres'!$N$6:$N$17,MATCH(F1744,'Paramètres'!$M$6:$M$17,0)),0)))</f>
        <v/>
      </c>
      <c r="AU1744" s="61">
        <f>IF(E1744="","",IFERROR(IF(INDEX('Paramètres'!$K$6:$K$33,MATCH(E1744,'Paramètres'!$I$6:$I$33,0))="Oui",1,0),0))</f>
        <v/>
      </c>
      <c r="AV1744" s="61">
        <f>IF(F1744="","",IFERROR(IF(INDEX('Paramètres'!$O$6:$O$17,MATCH(F1744,'Paramètres'!$M$6:$M$17,0))="Oui",1,0),0))</f>
        <v/>
      </c>
      <c r="AW1744" s="62">
        <f>IF(E1744="","",IF(G1744&lt;&gt;"",G1744,IF(OR(E1744="Proposition envoyée",E1744="Signature"),MAX(0,N(IFERROR(INDEX('Paramètres'!$R$6:$R$15,MATCH(IF(AL1744&lt;&gt;"",AL1744,IFERROR(INDEX('Prospects'!$AN$5:$AN$504,MATCH(C1744,'Prospects'!$C$5:$C$504,0)),"")),'Paramètres'!$Q$6:$Q$15,0)),0))-N(P1744)),0)))</f>
        <v/>
      </c>
      <c r="AX1744" s="61">
        <f>IF(C1744="","",IF(COUNTIF($C$5:C1744,C1744)=1,MAX($AX$4:AX1743)+1,""))</f>
        <v/>
      </c>
      <c r="AY1744" s="61">
        <f>IF(B1744="","",HOUR(B1744))</f>
        <v/>
      </c>
      <c r="AZ1744" s="61">
        <f>IF(A1744="","",MOD(A1744-2,7)+1)</f>
        <v/>
      </c>
      <c r="BA1744" s="60">
        <f>IF(C1744="","",IFERROR(INDEX('Prospects'!$N$5:$N$504,MATCH(C1744,'Prospects'!$C$5:$C$504,0)),""))</f>
        <v/>
      </c>
      <c r="BB1744" s="61">
        <f>IF(AND(C1744&lt;&gt;"",C1744='Fiche prospect'!$C$4),COUNTIF($C$5:C1744,C1744),"")</f>
        <v/>
      </c>
    </row>
    <row r="1745">
      <c r="A1745" s="53" t="n"/>
      <c r="B1745" s="54" t="n"/>
      <c r="C1745" s="55" t="n"/>
      <c r="D1745" s="55" t="n"/>
      <c r="E1745" s="55" t="n"/>
      <c r="F1745" s="55" t="n"/>
      <c r="G1745" s="56" t="n"/>
      <c r="H1745" s="57" t="n"/>
      <c r="I1745" s="55" t="n"/>
      <c r="J1745" s="53" t="n"/>
      <c r="K1745" s="54" t="n"/>
      <c r="L1745" s="55" t="n"/>
      <c r="M1745" s="55" t="n"/>
      <c r="N1745" s="57" t="n"/>
      <c r="O1745" s="55" t="n"/>
      <c r="P1745" s="56" t="n"/>
      <c r="Q1745" s="55" t="n"/>
      <c r="R1745" s="55" t="n"/>
      <c r="S1745" s="55" t="n"/>
      <c r="T1745" s="55" t="n"/>
      <c r="U1745" s="55" t="n"/>
      <c r="V1745" s="55" t="n"/>
      <c r="W1745" s="58" t="n"/>
      <c r="X1745" s="58" t="n"/>
      <c r="Y1745" s="55" t="n"/>
      <c r="Z1745" s="55" t="n"/>
      <c r="AA1745" s="55" t="n"/>
      <c r="AB1745" s="55" t="n"/>
      <c r="AC1745" s="55" t="n"/>
      <c r="AD1745" s="53" t="n"/>
      <c r="AE1745" s="55" t="n"/>
      <c r="AF1745" s="55" t="n"/>
      <c r="AG1745" s="59" t="n"/>
      <c r="AH1745" s="57" t="n"/>
      <c r="AI1745" s="55" t="n"/>
      <c r="AJ1745" s="55" t="n"/>
      <c r="AK1745" s="55" t="n"/>
      <c r="AL1745" s="55" t="n"/>
      <c r="AM1745" s="56" t="n"/>
      <c r="AN1745" s="55" t="n"/>
      <c r="AO1745" s="55" t="n"/>
      <c r="AP1745" s="55" t="n"/>
      <c r="AQ1745" s="55" t="n"/>
      <c r="AR1745" s="60">
        <f>IF(AND(C1745="",E1745=""),"",IF(A1745="","⚠ Date manquante",IF(AND(C1745="",E1745&lt;&gt;"Dépense"),"⚠ Prospect manquant",IF(E1745="","⚠ Action manquante",IF(AND(AU1745=1,D1745=""),"⚠ Canal manquant",IF(AND(W1745&lt;&gt;"",COUNTIFS('Saisie'!$W$5:$W$2004,W1745,'Saisie'!$C$5:$C$2004,"&lt;&gt;"&amp;C1745)&gt;0),"⚠ Numéro déjà utilisé par un autre prospect",IF(AND(J1745&lt;&gt;"",J1745&lt;A1745),"⚠ Relance avant la date de l'action",IF(A1745&gt;TODAY(),"⚠ Date dans le futur","✓"))))))))</f>
        <v/>
      </c>
      <c r="AS1745" s="61">
        <f>IF(AND(A1745="",C1745="",E1745=""),"",ROW())</f>
        <v/>
      </c>
      <c r="AT1745" s="61">
        <f>IF(E1745&amp;F1745="","",MAX(IFERROR(INDEX('Paramètres'!$J$6:$J$33,MATCH(E1745,'Paramètres'!$I$6:$I$33,0)),0),IFERROR(INDEX('Paramètres'!$N$6:$N$17,MATCH(F1745,'Paramètres'!$M$6:$M$17,0)),0)))</f>
        <v/>
      </c>
      <c r="AU1745" s="61">
        <f>IF(E1745="","",IFERROR(IF(INDEX('Paramètres'!$K$6:$K$33,MATCH(E1745,'Paramètres'!$I$6:$I$33,0))="Oui",1,0),0))</f>
        <v/>
      </c>
      <c r="AV1745" s="61">
        <f>IF(F1745="","",IFERROR(IF(INDEX('Paramètres'!$O$6:$O$17,MATCH(F1745,'Paramètres'!$M$6:$M$17,0))="Oui",1,0),0))</f>
        <v/>
      </c>
      <c r="AW1745" s="62">
        <f>IF(E1745="","",IF(G1745&lt;&gt;"",G1745,IF(OR(E1745="Proposition envoyée",E1745="Signature"),MAX(0,N(IFERROR(INDEX('Paramètres'!$R$6:$R$15,MATCH(IF(AL1745&lt;&gt;"",AL1745,IFERROR(INDEX('Prospects'!$AN$5:$AN$504,MATCH(C1745,'Prospects'!$C$5:$C$504,0)),"")),'Paramètres'!$Q$6:$Q$15,0)),0))-N(P1745)),0)))</f>
        <v/>
      </c>
      <c r="AX1745" s="61">
        <f>IF(C1745="","",IF(COUNTIF($C$5:C1745,C1745)=1,MAX($AX$4:AX1744)+1,""))</f>
        <v/>
      </c>
      <c r="AY1745" s="61">
        <f>IF(B1745="","",HOUR(B1745))</f>
        <v/>
      </c>
      <c r="AZ1745" s="61">
        <f>IF(A1745="","",MOD(A1745-2,7)+1)</f>
        <v/>
      </c>
      <c r="BA1745" s="60">
        <f>IF(C1745="","",IFERROR(INDEX('Prospects'!$N$5:$N$504,MATCH(C1745,'Prospects'!$C$5:$C$504,0)),""))</f>
        <v/>
      </c>
      <c r="BB1745" s="61">
        <f>IF(AND(C1745&lt;&gt;"",C1745='Fiche prospect'!$C$4),COUNTIF($C$5:C1745,C1745),"")</f>
        <v/>
      </c>
    </row>
    <row r="1746">
      <c r="A1746" s="53" t="n"/>
      <c r="B1746" s="54" t="n"/>
      <c r="C1746" s="55" t="n"/>
      <c r="D1746" s="55" t="n"/>
      <c r="E1746" s="55" t="n"/>
      <c r="F1746" s="55" t="n"/>
      <c r="G1746" s="56" t="n"/>
      <c r="H1746" s="57" t="n"/>
      <c r="I1746" s="55" t="n"/>
      <c r="J1746" s="53" t="n"/>
      <c r="K1746" s="54" t="n"/>
      <c r="L1746" s="55" t="n"/>
      <c r="M1746" s="55" t="n"/>
      <c r="N1746" s="57" t="n"/>
      <c r="O1746" s="55" t="n"/>
      <c r="P1746" s="56" t="n"/>
      <c r="Q1746" s="55" t="n"/>
      <c r="R1746" s="55" t="n"/>
      <c r="S1746" s="55" t="n"/>
      <c r="T1746" s="55" t="n"/>
      <c r="U1746" s="55" t="n"/>
      <c r="V1746" s="55" t="n"/>
      <c r="W1746" s="58" t="n"/>
      <c r="X1746" s="58" t="n"/>
      <c r="Y1746" s="55" t="n"/>
      <c r="Z1746" s="55" t="n"/>
      <c r="AA1746" s="55" t="n"/>
      <c r="AB1746" s="55" t="n"/>
      <c r="AC1746" s="55" t="n"/>
      <c r="AD1746" s="53" t="n"/>
      <c r="AE1746" s="55" t="n"/>
      <c r="AF1746" s="55" t="n"/>
      <c r="AG1746" s="59" t="n"/>
      <c r="AH1746" s="57" t="n"/>
      <c r="AI1746" s="55" t="n"/>
      <c r="AJ1746" s="55" t="n"/>
      <c r="AK1746" s="55" t="n"/>
      <c r="AL1746" s="55" t="n"/>
      <c r="AM1746" s="56" t="n"/>
      <c r="AN1746" s="55" t="n"/>
      <c r="AO1746" s="55" t="n"/>
      <c r="AP1746" s="55" t="n"/>
      <c r="AQ1746" s="55" t="n"/>
      <c r="AR1746" s="60">
        <f>IF(AND(C1746="",E1746=""),"",IF(A1746="","⚠ Date manquante",IF(AND(C1746="",E1746&lt;&gt;"Dépense"),"⚠ Prospect manquant",IF(E1746="","⚠ Action manquante",IF(AND(AU1746=1,D1746=""),"⚠ Canal manquant",IF(AND(W1746&lt;&gt;"",COUNTIFS('Saisie'!$W$5:$W$2004,W1746,'Saisie'!$C$5:$C$2004,"&lt;&gt;"&amp;C1746)&gt;0),"⚠ Numéro déjà utilisé par un autre prospect",IF(AND(J1746&lt;&gt;"",J1746&lt;A1746),"⚠ Relance avant la date de l'action",IF(A1746&gt;TODAY(),"⚠ Date dans le futur","✓"))))))))</f>
        <v/>
      </c>
      <c r="AS1746" s="61">
        <f>IF(AND(A1746="",C1746="",E1746=""),"",ROW())</f>
        <v/>
      </c>
      <c r="AT1746" s="61">
        <f>IF(E1746&amp;F1746="","",MAX(IFERROR(INDEX('Paramètres'!$J$6:$J$33,MATCH(E1746,'Paramètres'!$I$6:$I$33,0)),0),IFERROR(INDEX('Paramètres'!$N$6:$N$17,MATCH(F1746,'Paramètres'!$M$6:$M$17,0)),0)))</f>
        <v/>
      </c>
      <c r="AU1746" s="61">
        <f>IF(E1746="","",IFERROR(IF(INDEX('Paramètres'!$K$6:$K$33,MATCH(E1746,'Paramètres'!$I$6:$I$33,0))="Oui",1,0),0))</f>
        <v/>
      </c>
      <c r="AV1746" s="61">
        <f>IF(F1746="","",IFERROR(IF(INDEX('Paramètres'!$O$6:$O$17,MATCH(F1746,'Paramètres'!$M$6:$M$17,0))="Oui",1,0),0))</f>
        <v/>
      </c>
      <c r="AW1746" s="62">
        <f>IF(E1746="","",IF(G1746&lt;&gt;"",G1746,IF(OR(E1746="Proposition envoyée",E1746="Signature"),MAX(0,N(IFERROR(INDEX('Paramètres'!$R$6:$R$15,MATCH(IF(AL1746&lt;&gt;"",AL1746,IFERROR(INDEX('Prospects'!$AN$5:$AN$504,MATCH(C1746,'Prospects'!$C$5:$C$504,0)),"")),'Paramètres'!$Q$6:$Q$15,0)),0))-N(P1746)),0)))</f>
        <v/>
      </c>
      <c r="AX1746" s="61">
        <f>IF(C1746="","",IF(COUNTIF($C$5:C1746,C1746)=1,MAX($AX$4:AX1745)+1,""))</f>
        <v/>
      </c>
      <c r="AY1746" s="61">
        <f>IF(B1746="","",HOUR(B1746))</f>
        <v/>
      </c>
      <c r="AZ1746" s="61">
        <f>IF(A1746="","",MOD(A1746-2,7)+1)</f>
        <v/>
      </c>
      <c r="BA1746" s="60">
        <f>IF(C1746="","",IFERROR(INDEX('Prospects'!$N$5:$N$504,MATCH(C1746,'Prospects'!$C$5:$C$504,0)),""))</f>
        <v/>
      </c>
      <c r="BB1746" s="61">
        <f>IF(AND(C1746&lt;&gt;"",C1746='Fiche prospect'!$C$4),COUNTIF($C$5:C1746,C1746),"")</f>
        <v/>
      </c>
    </row>
    <row r="1747">
      <c r="A1747" s="53" t="n"/>
      <c r="B1747" s="54" t="n"/>
      <c r="C1747" s="55" t="n"/>
      <c r="D1747" s="55" t="n"/>
      <c r="E1747" s="55" t="n"/>
      <c r="F1747" s="55" t="n"/>
      <c r="G1747" s="56" t="n"/>
      <c r="H1747" s="57" t="n"/>
      <c r="I1747" s="55" t="n"/>
      <c r="J1747" s="53" t="n"/>
      <c r="K1747" s="54" t="n"/>
      <c r="L1747" s="55" t="n"/>
      <c r="M1747" s="55" t="n"/>
      <c r="N1747" s="57" t="n"/>
      <c r="O1747" s="55" t="n"/>
      <c r="P1747" s="56" t="n"/>
      <c r="Q1747" s="55" t="n"/>
      <c r="R1747" s="55" t="n"/>
      <c r="S1747" s="55" t="n"/>
      <c r="T1747" s="55" t="n"/>
      <c r="U1747" s="55" t="n"/>
      <c r="V1747" s="55" t="n"/>
      <c r="W1747" s="58" t="n"/>
      <c r="X1747" s="58" t="n"/>
      <c r="Y1747" s="55" t="n"/>
      <c r="Z1747" s="55" t="n"/>
      <c r="AA1747" s="55" t="n"/>
      <c r="AB1747" s="55" t="n"/>
      <c r="AC1747" s="55" t="n"/>
      <c r="AD1747" s="53" t="n"/>
      <c r="AE1747" s="55" t="n"/>
      <c r="AF1747" s="55" t="n"/>
      <c r="AG1747" s="59" t="n"/>
      <c r="AH1747" s="57" t="n"/>
      <c r="AI1747" s="55" t="n"/>
      <c r="AJ1747" s="55" t="n"/>
      <c r="AK1747" s="55" t="n"/>
      <c r="AL1747" s="55" t="n"/>
      <c r="AM1747" s="56" t="n"/>
      <c r="AN1747" s="55" t="n"/>
      <c r="AO1747" s="55" t="n"/>
      <c r="AP1747" s="55" t="n"/>
      <c r="AQ1747" s="55" t="n"/>
      <c r="AR1747" s="60">
        <f>IF(AND(C1747="",E1747=""),"",IF(A1747="","⚠ Date manquante",IF(AND(C1747="",E1747&lt;&gt;"Dépense"),"⚠ Prospect manquant",IF(E1747="","⚠ Action manquante",IF(AND(AU1747=1,D1747=""),"⚠ Canal manquant",IF(AND(W1747&lt;&gt;"",COUNTIFS('Saisie'!$W$5:$W$2004,W1747,'Saisie'!$C$5:$C$2004,"&lt;&gt;"&amp;C1747)&gt;0),"⚠ Numéro déjà utilisé par un autre prospect",IF(AND(J1747&lt;&gt;"",J1747&lt;A1747),"⚠ Relance avant la date de l'action",IF(A1747&gt;TODAY(),"⚠ Date dans le futur","✓"))))))))</f>
        <v/>
      </c>
      <c r="AS1747" s="61">
        <f>IF(AND(A1747="",C1747="",E1747=""),"",ROW())</f>
        <v/>
      </c>
      <c r="AT1747" s="61">
        <f>IF(E1747&amp;F1747="","",MAX(IFERROR(INDEX('Paramètres'!$J$6:$J$33,MATCH(E1747,'Paramètres'!$I$6:$I$33,0)),0),IFERROR(INDEX('Paramètres'!$N$6:$N$17,MATCH(F1747,'Paramètres'!$M$6:$M$17,0)),0)))</f>
        <v/>
      </c>
      <c r="AU1747" s="61">
        <f>IF(E1747="","",IFERROR(IF(INDEX('Paramètres'!$K$6:$K$33,MATCH(E1747,'Paramètres'!$I$6:$I$33,0))="Oui",1,0),0))</f>
        <v/>
      </c>
      <c r="AV1747" s="61">
        <f>IF(F1747="","",IFERROR(IF(INDEX('Paramètres'!$O$6:$O$17,MATCH(F1747,'Paramètres'!$M$6:$M$17,0))="Oui",1,0),0))</f>
        <v/>
      </c>
      <c r="AW1747" s="62">
        <f>IF(E1747="","",IF(G1747&lt;&gt;"",G1747,IF(OR(E1747="Proposition envoyée",E1747="Signature"),MAX(0,N(IFERROR(INDEX('Paramètres'!$R$6:$R$15,MATCH(IF(AL1747&lt;&gt;"",AL1747,IFERROR(INDEX('Prospects'!$AN$5:$AN$504,MATCH(C1747,'Prospects'!$C$5:$C$504,0)),"")),'Paramètres'!$Q$6:$Q$15,0)),0))-N(P1747)),0)))</f>
        <v/>
      </c>
      <c r="AX1747" s="61">
        <f>IF(C1747="","",IF(COUNTIF($C$5:C1747,C1747)=1,MAX($AX$4:AX1746)+1,""))</f>
        <v/>
      </c>
      <c r="AY1747" s="61">
        <f>IF(B1747="","",HOUR(B1747))</f>
        <v/>
      </c>
      <c r="AZ1747" s="61">
        <f>IF(A1747="","",MOD(A1747-2,7)+1)</f>
        <v/>
      </c>
      <c r="BA1747" s="60">
        <f>IF(C1747="","",IFERROR(INDEX('Prospects'!$N$5:$N$504,MATCH(C1747,'Prospects'!$C$5:$C$504,0)),""))</f>
        <v/>
      </c>
      <c r="BB1747" s="61">
        <f>IF(AND(C1747&lt;&gt;"",C1747='Fiche prospect'!$C$4),COUNTIF($C$5:C1747,C1747),"")</f>
        <v/>
      </c>
    </row>
    <row r="1748">
      <c r="A1748" s="53" t="n"/>
      <c r="B1748" s="54" t="n"/>
      <c r="C1748" s="55" t="n"/>
      <c r="D1748" s="55" t="n"/>
      <c r="E1748" s="55" t="n"/>
      <c r="F1748" s="55" t="n"/>
      <c r="G1748" s="56" t="n"/>
      <c r="H1748" s="57" t="n"/>
      <c r="I1748" s="55" t="n"/>
      <c r="J1748" s="53" t="n"/>
      <c r="K1748" s="54" t="n"/>
      <c r="L1748" s="55" t="n"/>
      <c r="M1748" s="55" t="n"/>
      <c r="N1748" s="57" t="n"/>
      <c r="O1748" s="55" t="n"/>
      <c r="P1748" s="56" t="n"/>
      <c r="Q1748" s="55" t="n"/>
      <c r="R1748" s="55" t="n"/>
      <c r="S1748" s="55" t="n"/>
      <c r="T1748" s="55" t="n"/>
      <c r="U1748" s="55" t="n"/>
      <c r="V1748" s="55" t="n"/>
      <c r="W1748" s="58" t="n"/>
      <c r="X1748" s="58" t="n"/>
      <c r="Y1748" s="55" t="n"/>
      <c r="Z1748" s="55" t="n"/>
      <c r="AA1748" s="55" t="n"/>
      <c r="AB1748" s="55" t="n"/>
      <c r="AC1748" s="55" t="n"/>
      <c r="AD1748" s="53" t="n"/>
      <c r="AE1748" s="55" t="n"/>
      <c r="AF1748" s="55" t="n"/>
      <c r="AG1748" s="59" t="n"/>
      <c r="AH1748" s="57" t="n"/>
      <c r="AI1748" s="55" t="n"/>
      <c r="AJ1748" s="55" t="n"/>
      <c r="AK1748" s="55" t="n"/>
      <c r="AL1748" s="55" t="n"/>
      <c r="AM1748" s="56" t="n"/>
      <c r="AN1748" s="55" t="n"/>
      <c r="AO1748" s="55" t="n"/>
      <c r="AP1748" s="55" t="n"/>
      <c r="AQ1748" s="55" t="n"/>
      <c r="AR1748" s="60">
        <f>IF(AND(C1748="",E1748=""),"",IF(A1748="","⚠ Date manquante",IF(AND(C1748="",E1748&lt;&gt;"Dépense"),"⚠ Prospect manquant",IF(E1748="","⚠ Action manquante",IF(AND(AU1748=1,D1748=""),"⚠ Canal manquant",IF(AND(W1748&lt;&gt;"",COUNTIFS('Saisie'!$W$5:$W$2004,W1748,'Saisie'!$C$5:$C$2004,"&lt;&gt;"&amp;C1748)&gt;0),"⚠ Numéro déjà utilisé par un autre prospect",IF(AND(J1748&lt;&gt;"",J1748&lt;A1748),"⚠ Relance avant la date de l'action",IF(A1748&gt;TODAY(),"⚠ Date dans le futur","✓"))))))))</f>
        <v/>
      </c>
      <c r="AS1748" s="61">
        <f>IF(AND(A1748="",C1748="",E1748=""),"",ROW())</f>
        <v/>
      </c>
      <c r="AT1748" s="61">
        <f>IF(E1748&amp;F1748="","",MAX(IFERROR(INDEX('Paramètres'!$J$6:$J$33,MATCH(E1748,'Paramètres'!$I$6:$I$33,0)),0),IFERROR(INDEX('Paramètres'!$N$6:$N$17,MATCH(F1748,'Paramètres'!$M$6:$M$17,0)),0)))</f>
        <v/>
      </c>
      <c r="AU1748" s="61">
        <f>IF(E1748="","",IFERROR(IF(INDEX('Paramètres'!$K$6:$K$33,MATCH(E1748,'Paramètres'!$I$6:$I$33,0))="Oui",1,0),0))</f>
        <v/>
      </c>
      <c r="AV1748" s="61">
        <f>IF(F1748="","",IFERROR(IF(INDEX('Paramètres'!$O$6:$O$17,MATCH(F1748,'Paramètres'!$M$6:$M$17,0))="Oui",1,0),0))</f>
        <v/>
      </c>
      <c r="AW1748" s="62">
        <f>IF(E1748="","",IF(G1748&lt;&gt;"",G1748,IF(OR(E1748="Proposition envoyée",E1748="Signature"),MAX(0,N(IFERROR(INDEX('Paramètres'!$R$6:$R$15,MATCH(IF(AL1748&lt;&gt;"",AL1748,IFERROR(INDEX('Prospects'!$AN$5:$AN$504,MATCH(C1748,'Prospects'!$C$5:$C$504,0)),"")),'Paramètres'!$Q$6:$Q$15,0)),0))-N(P1748)),0)))</f>
        <v/>
      </c>
      <c r="AX1748" s="61">
        <f>IF(C1748="","",IF(COUNTIF($C$5:C1748,C1748)=1,MAX($AX$4:AX1747)+1,""))</f>
        <v/>
      </c>
      <c r="AY1748" s="61">
        <f>IF(B1748="","",HOUR(B1748))</f>
        <v/>
      </c>
      <c r="AZ1748" s="61">
        <f>IF(A1748="","",MOD(A1748-2,7)+1)</f>
        <v/>
      </c>
      <c r="BA1748" s="60">
        <f>IF(C1748="","",IFERROR(INDEX('Prospects'!$N$5:$N$504,MATCH(C1748,'Prospects'!$C$5:$C$504,0)),""))</f>
        <v/>
      </c>
      <c r="BB1748" s="61">
        <f>IF(AND(C1748&lt;&gt;"",C1748='Fiche prospect'!$C$4),COUNTIF($C$5:C1748,C1748),"")</f>
        <v/>
      </c>
    </row>
    <row r="1749">
      <c r="A1749" s="53" t="n"/>
      <c r="B1749" s="54" t="n"/>
      <c r="C1749" s="55" t="n"/>
      <c r="D1749" s="55" t="n"/>
      <c r="E1749" s="55" t="n"/>
      <c r="F1749" s="55" t="n"/>
      <c r="G1749" s="56" t="n"/>
      <c r="H1749" s="57" t="n"/>
      <c r="I1749" s="55" t="n"/>
      <c r="J1749" s="53" t="n"/>
      <c r="K1749" s="54" t="n"/>
      <c r="L1749" s="55" t="n"/>
      <c r="M1749" s="55" t="n"/>
      <c r="N1749" s="57" t="n"/>
      <c r="O1749" s="55" t="n"/>
      <c r="P1749" s="56" t="n"/>
      <c r="Q1749" s="55" t="n"/>
      <c r="R1749" s="55" t="n"/>
      <c r="S1749" s="55" t="n"/>
      <c r="T1749" s="55" t="n"/>
      <c r="U1749" s="55" t="n"/>
      <c r="V1749" s="55" t="n"/>
      <c r="W1749" s="58" t="n"/>
      <c r="X1749" s="58" t="n"/>
      <c r="Y1749" s="55" t="n"/>
      <c r="Z1749" s="55" t="n"/>
      <c r="AA1749" s="55" t="n"/>
      <c r="AB1749" s="55" t="n"/>
      <c r="AC1749" s="55" t="n"/>
      <c r="AD1749" s="53" t="n"/>
      <c r="AE1749" s="55" t="n"/>
      <c r="AF1749" s="55" t="n"/>
      <c r="AG1749" s="59" t="n"/>
      <c r="AH1749" s="57" t="n"/>
      <c r="AI1749" s="55" t="n"/>
      <c r="AJ1749" s="55" t="n"/>
      <c r="AK1749" s="55" t="n"/>
      <c r="AL1749" s="55" t="n"/>
      <c r="AM1749" s="56" t="n"/>
      <c r="AN1749" s="55" t="n"/>
      <c r="AO1749" s="55" t="n"/>
      <c r="AP1749" s="55" t="n"/>
      <c r="AQ1749" s="55" t="n"/>
      <c r="AR1749" s="60">
        <f>IF(AND(C1749="",E1749=""),"",IF(A1749="","⚠ Date manquante",IF(AND(C1749="",E1749&lt;&gt;"Dépense"),"⚠ Prospect manquant",IF(E1749="","⚠ Action manquante",IF(AND(AU1749=1,D1749=""),"⚠ Canal manquant",IF(AND(W1749&lt;&gt;"",COUNTIFS('Saisie'!$W$5:$W$2004,W1749,'Saisie'!$C$5:$C$2004,"&lt;&gt;"&amp;C1749)&gt;0),"⚠ Numéro déjà utilisé par un autre prospect",IF(AND(J1749&lt;&gt;"",J1749&lt;A1749),"⚠ Relance avant la date de l'action",IF(A1749&gt;TODAY(),"⚠ Date dans le futur","✓"))))))))</f>
        <v/>
      </c>
      <c r="AS1749" s="61">
        <f>IF(AND(A1749="",C1749="",E1749=""),"",ROW())</f>
        <v/>
      </c>
      <c r="AT1749" s="61">
        <f>IF(E1749&amp;F1749="","",MAX(IFERROR(INDEX('Paramètres'!$J$6:$J$33,MATCH(E1749,'Paramètres'!$I$6:$I$33,0)),0),IFERROR(INDEX('Paramètres'!$N$6:$N$17,MATCH(F1749,'Paramètres'!$M$6:$M$17,0)),0)))</f>
        <v/>
      </c>
      <c r="AU1749" s="61">
        <f>IF(E1749="","",IFERROR(IF(INDEX('Paramètres'!$K$6:$K$33,MATCH(E1749,'Paramètres'!$I$6:$I$33,0))="Oui",1,0),0))</f>
        <v/>
      </c>
      <c r="AV1749" s="61">
        <f>IF(F1749="","",IFERROR(IF(INDEX('Paramètres'!$O$6:$O$17,MATCH(F1749,'Paramètres'!$M$6:$M$17,0))="Oui",1,0),0))</f>
        <v/>
      </c>
      <c r="AW1749" s="62">
        <f>IF(E1749="","",IF(G1749&lt;&gt;"",G1749,IF(OR(E1749="Proposition envoyée",E1749="Signature"),MAX(0,N(IFERROR(INDEX('Paramètres'!$R$6:$R$15,MATCH(IF(AL1749&lt;&gt;"",AL1749,IFERROR(INDEX('Prospects'!$AN$5:$AN$504,MATCH(C1749,'Prospects'!$C$5:$C$504,0)),"")),'Paramètres'!$Q$6:$Q$15,0)),0))-N(P1749)),0)))</f>
        <v/>
      </c>
      <c r="AX1749" s="61">
        <f>IF(C1749="","",IF(COUNTIF($C$5:C1749,C1749)=1,MAX($AX$4:AX1748)+1,""))</f>
        <v/>
      </c>
      <c r="AY1749" s="61">
        <f>IF(B1749="","",HOUR(B1749))</f>
        <v/>
      </c>
      <c r="AZ1749" s="61">
        <f>IF(A1749="","",MOD(A1749-2,7)+1)</f>
        <v/>
      </c>
      <c r="BA1749" s="60">
        <f>IF(C1749="","",IFERROR(INDEX('Prospects'!$N$5:$N$504,MATCH(C1749,'Prospects'!$C$5:$C$504,0)),""))</f>
        <v/>
      </c>
      <c r="BB1749" s="61">
        <f>IF(AND(C1749&lt;&gt;"",C1749='Fiche prospect'!$C$4),COUNTIF($C$5:C1749,C1749),"")</f>
        <v/>
      </c>
    </row>
    <row r="1750">
      <c r="A1750" s="53" t="n"/>
      <c r="B1750" s="54" t="n"/>
      <c r="C1750" s="55" t="n"/>
      <c r="D1750" s="55" t="n"/>
      <c r="E1750" s="55" t="n"/>
      <c r="F1750" s="55" t="n"/>
      <c r="G1750" s="56" t="n"/>
      <c r="H1750" s="57" t="n"/>
      <c r="I1750" s="55" t="n"/>
      <c r="J1750" s="53" t="n"/>
      <c r="K1750" s="54" t="n"/>
      <c r="L1750" s="55" t="n"/>
      <c r="M1750" s="55" t="n"/>
      <c r="N1750" s="57" t="n"/>
      <c r="O1750" s="55" t="n"/>
      <c r="P1750" s="56" t="n"/>
      <c r="Q1750" s="55" t="n"/>
      <c r="R1750" s="55" t="n"/>
      <c r="S1750" s="55" t="n"/>
      <c r="T1750" s="55" t="n"/>
      <c r="U1750" s="55" t="n"/>
      <c r="V1750" s="55" t="n"/>
      <c r="W1750" s="58" t="n"/>
      <c r="X1750" s="58" t="n"/>
      <c r="Y1750" s="55" t="n"/>
      <c r="Z1750" s="55" t="n"/>
      <c r="AA1750" s="55" t="n"/>
      <c r="AB1750" s="55" t="n"/>
      <c r="AC1750" s="55" t="n"/>
      <c r="AD1750" s="53" t="n"/>
      <c r="AE1750" s="55" t="n"/>
      <c r="AF1750" s="55" t="n"/>
      <c r="AG1750" s="59" t="n"/>
      <c r="AH1750" s="57" t="n"/>
      <c r="AI1750" s="55" t="n"/>
      <c r="AJ1750" s="55" t="n"/>
      <c r="AK1750" s="55" t="n"/>
      <c r="AL1750" s="55" t="n"/>
      <c r="AM1750" s="56" t="n"/>
      <c r="AN1750" s="55" t="n"/>
      <c r="AO1750" s="55" t="n"/>
      <c r="AP1750" s="55" t="n"/>
      <c r="AQ1750" s="55" t="n"/>
      <c r="AR1750" s="60">
        <f>IF(AND(C1750="",E1750=""),"",IF(A1750="","⚠ Date manquante",IF(AND(C1750="",E1750&lt;&gt;"Dépense"),"⚠ Prospect manquant",IF(E1750="","⚠ Action manquante",IF(AND(AU1750=1,D1750=""),"⚠ Canal manquant",IF(AND(W1750&lt;&gt;"",COUNTIFS('Saisie'!$W$5:$W$2004,W1750,'Saisie'!$C$5:$C$2004,"&lt;&gt;"&amp;C1750)&gt;0),"⚠ Numéro déjà utilisé par un autre prospect",IF(AND(J1750&lt;&gt;"",J1750&lt;A1750),"⚠ Relance avant la date de l'action",IF(A1750&gt;TODAY(),"⚠ Date dans le futur","✓"))))))))</f>
        <v/>
      </c>
      <c r="AS1750" s="61">
        <f>IF(AND(A1750="",C1750="",E1750=""),"",ROW())</f>
        <v/>
      </c>
      <c r="AT1750" s="61">
        <f>IF(E1750&amp;F1750="","",MAX(IFERROR(INDEX('Paramètres'!$J$6:$J$33,MATCH(E1750,'Paramètres'!$I$6:$I$33,0)),0),IFERROR(INDEX('Paramètres'!$N$6:$N$17,MATCH(F1750,'Paramètres'!$M$6:$M$17,0)),0)))</f>
        <v/>
      </c>
      <c r="AU1750" s="61">
        <f>IF(E1750="","",IFERROR(IF(INDEX('Paramètres'!$K$6:$K$33,MATCH(E1750,'Paramètres'!$I$6:$I$33,0))="Oui",1,0),0))</f>
        <v/>
      </c>
      <c r="AV1750" s="61">
        <f>IF(F1750="","",IFERROR(IF(INDEX('Paramètres'!$O$6:$O$17,MATCH(F1750,'Paramètres'!$M$6:$M$17,0))="Oui",1,0),0))</f>
        <v/>
      </c>
      <c r="AW1750" s="62">
        <f>IF(E1750="","",IF(G1750&lt;&gt;"",G1750,IF(OR(E1750="Proposition envoyée",E1750="Signature"),MAX(0,N(IFERROR(INDEX('Paramètres'!$R$6:$R$15,MATCH(IF(AL1750&lt;&gt;"",AL1750,IFERROR(INDEX('Prospects'!$AN$5:$AN$504,MATCH(C1750,'Prospects'!$C$5:$C$504,0)),"")),'Paramètres'!$Q$6:$Q$15,0)),0))-N(P1750)),0)))</f>
        <v/>
      </c>
      <c r="AX1750" s="61">
        <f>IF(C1750="","",IF(COUNTIF($C$5:C1750,C1750)=1,MAX($AX$4:AX1749)+1,""))</f>
        <v/>
      </c>
      <c r="AY1750" s="61">
        <f>IF(B1750="","",HOUR(B1750))</f>
        <v/>
      </c>
      <c r="AZ1750" s="61">
        <f>IF(A1750="","",MOD(A1750-2,7)+1)</f>
        <v/>
      </c>
      <c r="BA1750" s="60">
        <f>IF(C1750="","",IFERROR(INDEX('Prospects'!$N$5:$N$504,MATCH(C1750,'Prospects'!$C$5:$C$504,0)),""))</f>
        <v/>
      </c>
      <c r="BB1750" s="61">
        <f>IF(AND(C1750&lt;&gt;"",C1750='Fiche prospect'!$C$4),COUNTIF($C$5:C1750,C1750),"")</f>
        <v/>
      </c>
    </row>
    <row r="1751">
      <c r="A1751" s="53" t="n"/>
      <c r="B1751" s="54" t="n"/>
      <c r="C1751" s="55" t="n"/>
      <c r="D1751" s="55" t="n"/>
      <c r="E1751" s="55" t="n"/>
      <c r="F1751" s="55" t="n"/>
      <c r="G1751" s="56" t="n"/>
      <c r="H1751" s="57" t="n"/>
      <c r="I1751" s="55" t="n"/>
      <c r="J1751" s="53" t="n"/>
      <c r="K1751" s="54" t="n"/>
      <c r="L1751" s="55" t="n"/>
      <c r="M1751" s="55" t="n"/>
      <c r="N1751" s="57" t="n"/>
      <c r="O1751" s="55" t="n"/>
      <c r="P1751" s="56" t="n"/>
      <c r="Q1751" s="55" t="n"/>
      <c r="R1751" s="55" t="n"/>
      <c r="S1751" s="55" t="n"/>
      <c r="T1751" s="55" t="n"/>
      <c r="U1751" s="55" t="n"/>
      <c r="V1751" s="55" t="n"/>
      <c r="W1751" s="58" t="n"/>
      <c r="X1751" s="58" t="n"/>
      <c r="Y1751" s="55" t="n"/>
      <c r="Z1751" s="55" t="n"/>
      <c r="AA1751" s="55" t="n"/>
      <c r="AB1751" s="55" t="n"/>
      <c r="AC1751" s="55" t="n"/>
      <c r="AD1751" s="53" t="n"/>
      <c r="AE1751" s="55" t="n"/>
      <c r="AF1751" s="55" t="n"/>
      <c r="AG1751" s="59" t="n"/>
      <c r="AH1751" s="57" t="n"/>
      <c r="AI1751" s="55" t="n"/>
      <c r="AJ1751" s="55" t="n"/>
      <c r="AK1751" s="55" t="n"/>
      <c r="AL1751" s="55" t="n"/>
      <c r="AM1751" s="56" t="n"/>
      <c r="AN1751" s="55" t="n"/>
      <c r="AO1751" s="55" t="n"/>
      <c r="AP1751" s="55" t="n"/>
      <c r="AQ1751" s="55" t="n"/>
      <c r="AR1751" s="60">
        <f>IF(AND(C1751="",E1751=""),"",IF(A1751="","⚠ Date manquante",IF(AND(C1751="",E1751&lt;&gt;"Dépense"),"⚠ Prospect manquant",IF(E1751="","⚠ Action manquante",IF(AND(AU1751=1,D1751=""),"⚠ Canal manquant",IF(AND(W1751&lt;&gt;"",COUNTIFS('Saisie'!$W$5:$W$2004,W1751,'Saisie'!$C$5:$C$2004,"&lt;&gt;"&amp;C1751)&gt;0),"⚠ Numéro déjà utilisé par un autre prospect",IF(AND(J1751&lt;&gt;"",J1751&lt;A1751),"⚠ Relance avant la date de l'action",IF(A1751&gt;TODAY(),"⚠ Date dans le futur","✓"))))))))</f>
        <v/>
      </c>
      <c r="AS1751" s="61">
        <f>IF(AND(A1751="",C1751="",E1751=""),"",ROW())</f>
        <v/>
      </c>
      <c r="AT1751" s="61">
        <f>IF(E1751&amp;F1751="","",MAX(IFERROR(INDEX('Paramètres'!$J$6:$J$33,MATCH(E1751,'Paramètres'!$I$6:$I$33,0)),0),IFERROR(INDEX('Paramètres'!$N$6:$N$17,MATCH(F1751,'Paramètres'!$M$6:$M$17,0)),0)))</f>
        <v/>
      </c>
      <c r="AU1751" s="61">
        <f>IF(E1751="","",IFERROR(IF(INDEX('Paramètres'!$K$6:$K$33,MATCH(E1751,'Paramètres'!$I$6:$I$33,0))="Oui",1,0),0))</f>
        <v/>
      </c>
      <c r="AV1751" s="61">
        <f>IF(F1751="","",IFERROR(IF(INDEX('Paramètres'!$O$6:$O$17,MATCH(F1751,'Paramètres'!$M$6:$M$17,0))="Oui",1,0),0))</f>
        <v/>
      </c>
      <c r="AW1751" s="62">
        <f>IF(E1751="","",IF(G1751&lt;&gt;"",G1751,IF(OR(E1751="Proposition envoyée",E1751="Signature"),MAX(0,N(IFERROR(INDEX('Paramètres'!$R$6:$R$15,MATCH(IF(AL1751&lt;&gt;"",AL1751,IFERROR(INDEX('Prospects'!$AN$5:$AN$504,MATCH(C1751,'Prospects'!$C$5:$C$504,0)),"")),'Paramètres'!$Q$6:$Q$15,0)),0))-N(P1751)),0)))</f>
        <v/>
      </c>
      <c r="AX1751" s="61">
        <f>IF(C1751="","",IF(COUNTIF($C$5:C1751,C1751)=1,MAX($AX$4:AX1750)+1,""))</f>
        <v/>
      </c>
      <c r="AY1751" s="61">
        <f>IF(B1751="","",HOUR(B1751))</f>
        <v/>
      </c>
      <c r="AZ1751" s="61">
        <f>IF(A1751="","",MOD(A1751-2,7)+1)</f>
        <v/>
      </c>
      <c r="BA1751" s="60">
        <f>IF(C1751="","",IFERROR(INDEX('Prospects'!$N$5:$N$504,MATCH(C1751,'Prospects'!$C$5:$C$504,0)),""))</f>
        <v/>
      </c>
      <c r="BB1751" s="61">
        <f>IF(AND(C1751&lt;&gt;"",C1751='Fiche prospect'!$C$4),COUNTIF($C$5:C1751,C1751),"")</f>
        <v/>
      </c>
    </row>
    <row r="1752">
      <c r="A1752" s="53" t="n"/>
      <c r="B1752" s="54" t="n"/>
      <c r="C1752" s="55" t="n"/>
      <c r="D1752" s="55" t="n"/>
      <c r="E1752" s="55" t="n"/>
      <c r="F1752" s="55" t="n"/>
      <c r="G1752" s="56" t="n"/>
      <c r="H1752" s="57" t="n"/>
      <c r="I1752" s="55" t="n"/>
      <c r="J1752" s="53" t="n"/>
      <c r="K1752" s="54" t="n"/>
      <c r="L1752" s="55" t="n"/>
      <c r="M1752" s="55" t="n"/>
      <c r="N1752" s="57" t="n"/>
      <c r="O1752" s="55" t="n"/>
      <c r="P1752" s="56" t="n"/>
      <c r="Q1752" s="55" t="n"/>
      <c r="R1752" s="55" t="n"/>
      <c r="S1752" s="55" t="n"/>
      <c r="T1752" s="55" t="n"/>
      <c r="U1752" s="55" t="n"/>
      <c r="V1752" s="55" t="n"/>
      <c r="W1752" s="58" t="n"/>
      <c r="X1752" s="58" t="n"/>
      <c r="Y1752" s="55" t="n"/>
      <c r="Z1752" s="55" t="n"/>
      <c r="AA1752" s="55" t="n"/>
      <c r="AB1752" s="55" t="n"/>
      <c r="AC1752" s="55" t="n"/>
      <c r="AD1752" s="53" t="n"/>
      <c r="AE1752" s="55" t="n"/>
      <c r="AF1752" s="55" t="n"/>
      <c r="AG1752" s="59" t="n"/>
      <c r="AH1752" s="57" t="n"/>
      <c r="AI1752" s="55" t="n"/>
      <c r="AJ1752" s="55" t="n"/>
      <c r="AK1752" s="55" t="n"/>
      <c r="AL1752" s="55" t="n"/>
      <c r="AM1752" s="56" t="n"/>
      <c r="AN1752" s="55" t="n"/>
      <c r="AO1752" s="55" t="n"/>
      <c r="AP1752" s="55" t="n"/>
      <c r="AQ1752" s="55" t="n"/>
      <c r="AR1752" s="60">
        <f>IF(AND(C1752="",E1752=""),"",IF(A1752="","⚠ Date manquante",IF(AND(C1752="",E1752&lt;&gt;"Dépense"),"⚠ Prospect manquant",IF(E1752="","⚠ Action manquante",IF(AND(AU1752=1,D1752=""),"⚠ Canal manquant",IF(AND(W1752&lt;&gt;"",COUNTIFS('Saisie'!$W$5:$W$2004,W1752,'Saisie'!$C$5:$C$2004,"&lt;&gt;"&amp;C1752)&gt;0),"⚠ Numéro déjà utilisé par un autre prospect",IF(AND(J1752&lt;&gt;"",J1752&lt;A1752),"⚠ Relance avant la date de l'action",IF(A1752&gt;TODAY(),"⚠ Date dans le futur","✓"))))))))</f>
        <v/>
      </c>
      <c r="AS1752" s="61">
        <f>IF(AND(A1752="",C1752="",E1752=""),"",ROW())</f>
        <v/>
      </c>
      <c r="AT1752" s="61">
        <f>IF(E1752&amp;F1752="","",MAX(IFERROR(INDEX('Paramètres'!$J$6:$J$33,MATCH(E1752,'Paramètres'!$I$6:$I$33,0)),0),IFERROR(INDEX('Paramètres'!$N$6:$N$17,MATCH(F1752,'Paramètres'!$M$6:$M$17,0)),0)))</f>
        <v/>
      </c>
      <c r="AU1752" s="61">
        <f>IF(E1752="","",IFERROR(IF(INDEX('Paramètres'!$K$6:$K$33,MATCH(E1752,'Paramètres'!$I$6:$I$33,0))="Oui",1,0),0))</f>
        <v/>
      </c>
      <c r="AV1752" s="61">
        <f>IF(F1752="","",IFERROR(IF(INDEX('Paramètres'!$O$6:$O$17,MATCH(F1752,'Paramètres'!$M$6:$M$17,0))="Oui",1,0),0))</f>
        <v/>
      </c>
      <c r="AW1752" s="62">
        <f>IF(E1752="","",IF(G1752&lt;&gt;"",G1752,IF(OR(E1752="Proposition envoyée",E1752="Signature"),MAX(0,N(IFERROR(INDEX('Paramètres'!$R$6:$R$15,MATCH(IF(AL1752&lt;&gt;"",AL1752,IFERROR(INDEX('Prospects'!$AN$5:$AN$504,MATCH(C1752,'Prospects'!$C$5:$C$504,0)),"")),'Paramètres'!$Q$6:$Q$15,0)),0))-N(P1752)),0)))</f>
        <v/>
      </c>
      <c r="AX1752" s="61">
        <f>IF(C1752="","",IF(COUNTIF($C$5:C1752,C1752)=1,MAX($AX$4:AX1751)+1,""))</f>
        <v/>
      </c>
      <c r="AY1752" s="61">
        <f>IF(B1752="","",HOUR(B1752))</f>
        <v/>
      </c>
      <c r="AZ1752" s="61">
        <f>IF(A1752="","",MOD(A1752-2,7)+1)</f>
        <v/>
      </c>
      <c r="BA1752" s="60">
        <f>IF(C1752="","",IFERROR(INDEX('Prospects'!$N$5:$N$504,MATCH(C1752,'Prospects'!$C$5:$C$504,0)),""))</f>
        <v/>
      </c>
      <c r="BB1752" s="61">
        <f>IF(AND(C1752&lt;&gt;"",C1752='Fiche prospect'!$C$4),COUNTIF($C$5:C1752,C1752),"")</f>
        <v/>
      </c>
    </row>
    <row r="1753">
      <c r="A1753" s="53" t="n"/>
      <c r="B1753" s="54" t="n"/>
      <c r="C1753" s="55" t="n"/>
      <c r="D1753" s="55" t="n"/>
      <c r="E1753" s="55" t="n"/>
      <c r="F1753" s="55" t="n"/>
      <c r="G1753" s="56" t="n"/>
      <c r="H1753" s="57" t="n"/>
      <c r="I1753" s="55" t="n"/>
      <c r="J1753" s="53" t="n"/>
      <c r="K1753" s="54" t="n"/>
      <c r="L1753" s="55" t="n"/>
      <c r="M1753" s="55" t="n"/>
      <c r="N1753" s="57" t="n"/>
      <c r="O1753" s="55" t="n"/>
      <c r="P1753" s="56" t="n"/>
      <c r="Q1753" s="55" t="n"/>
      <c r="R1753" s="55" t="n"/>
      <c r="S1753" s="55" t="n"/>
      <c r="T1753" s="55" t="n"/>
      <c r="U1753" s="55" t="n"/>
      <c r="V1753" s="55" t="n"/>
      <c r="W1753" s="58" t="n"/>
      <c r="X1753" s="58" t="n"/>
      <c r="Y1753" s="55" t="n"/>
      <c r="Z1753" s="55" t="n"/>
      <c r="AA1753" s="55" t="n"/>
      <c r="AB1753" s="55" t="n"/>
      <c r="AC1753" s="55" t="n"/>
      <c r="AD1753" s="53" t="n"/>
      <c r="AE1753" s="55" t="n"/>
      <c r="AF1753" s="55" t="n"/>
      <c r="AG1753" s="59" t="n"/>
      <c r="AH1753" s="57" t="n"/>
      <c r="AI1753" s="55" t="n"/>
      <c r="AJ1753" s="55" t="n"/>
      <c r="AK1753" s="55" t="n"/>
      <c r="AL1753" s="55" t="n"/>
      <c r="AM1753" s="56" t="n"/>
      <c r="AN1753" s="55" t="n"/>
      <c r="AO1753" s="55" t="n"/>
      <c r="AP1753" s="55" t="n"/>
      <c r="AQ1753" s="55" t="n"/>
      <c r="AR1753" s="60">
        <f>IF(AND(C1753="",E1753=""),"",IF(A1753="","⚠ Date manquante",IF(AND(C1753="",E1753&lt;&gt;"Dépense"),"⚠ Prospect manquant",IF(E1753="","⚠ Action manquante",IF(AND(AU1753=1,D1753=""),"⚠ Canal manquant",IF(AND(W1753&lt;&gt;"",COUNTIFS('Saisie'!$W$5:$W$2004,W1753,'Saisie'!$C$5:$C$2004,"&lt;&gt;"&amp;C1753)&gt;0),"⚠ Numéro déjà utilisé par un autre prospect",IF(AND(J1753&lt;&gt;"",J1753&lt;A1753),"⚠ Relance avant la date de l'action",IF(A1753&gt;TODAY(),"⚠ Date dans le futur","✓"))))))))</f>
        <v/>
      </c>
      <c r="AS1753" s="61">
        <f>IF(AND(A1753="",C1753="",E1753=""),"",ROW())</f>
        <v/>
      </c>
      <c r="AT1753" s="61">
        <f>IF(E1753&amp;F1753="","",MAX(IFERROR(INDEX('Paramètres'!$J$6:$J$33,MATCH(E1753,'Paramètres'!$I$6:$I$33,0)),0),IFERROR(INDEX('Paramètres'!$N$6:$N$17,MATCH(F1753,'Paramètres'!$M$6:$M$17,0)),0)))</f>
        <v/>
      </c>
      <c r="AU1753" s="61">
        <f>IF(E1753="","",IFERROR(IF(INDEX('Paramètres'!$K$6:$K$33,MATCH(E1753,'Paramètres'!$I$6:$I$33,0))="Oui",1,0),0))</f>
        <v/>
      </c>
      <c r="AV1753" s="61">
        <f>IF(F1753="","",IFERROR(IF(INDEX('Paramètres'!$O$6:$O$17,MATCH(F1753,'Paramètres'!$M$6:$M$17,0))="Oui",1,0),0))</f>
        <v/>
      </c>
      <c r="AW1753" s="62">
        <f>IF(E1753="","",IF(G1753&lt;&gt;"",G1753,IF(OR(E1753="Proposition envoyée",E1753="Signature"),MAX(0,N(IFERROR(INDEX('Paramètres'!$R$6:$R$15,MATCH(IF(AL1753&lt;&gt;"",AL1753,IFERROR(INDEX('Prospects'!$AN$5:$AN$504,MATCH(C1753,'Prospects'!$C$5:$C$504,0)),"")),'Paramètres'!$Q$6:$Q$15,0)),0))-N(P1753)),0)))</f>
        <v/>
      </c>
      <c r="AX1753" s="61">
        <f>IF(C1753="","",IF(COUNTIF($C$5:C1753,C1753)=1,MAX($AX$4:AX1752)+1,""))</f>
        <v/>
      </c>
      <c r="AY1753" s="61">
        <f>IF(B1753="","",HOUR(B1753))</f>
        <v/>
      </c>
      <c r="AZ1753" s="61">
        <f>IF(A1753="","",MOD(A1753-2,7)+1)</f>
        <v/>
      </c>
      <c r="BA1753" s="60">
        <f>IF(C1753="","",IFERROR(INDEX('Prospects'!$N$5:$N$504,MATCH(C1753,'Prospects'!$C$5:$C$504,0)),""))</f>
        <v/>
      </c>
      <c r="BB1753" s="61">
        <f>IF(AND(C1753&lt;&gt;"",C1753='Fiche prospect'!$C$4),COUNTIF($C$5:C1753,C1753),"")</f>
        <v/>
      </c>
    </row>
    <row r="1754">
      <c r="A1754" s="53" t="n"/>
      <c r="B1754" s="54" t="n"/>
      <c r="C1754" s="55" t="n"/>
      <c r="D1754" s="55" t="n"/>
      <c r="E1754" s="55" t="n"/>
      <c r="F1754" s="55" t="n"/>
      <c r="G1754" s="56" t="n"/>
      <c r="H1754" s="57" t="n"/>
      <c r="I1754" s="55" t="n"/>
      <c r="J1754" s="53" t="n"/>
      <c r="K1754" s="54" t="n"/>
      <c r="L1754" s="55" t="n"/>
      <c r="M1754" s="55" t="n"/>
      <c r="N1754" s="57" t="n"/>
      <c r="O1754" s="55" t="n"/>
      <c r="P1754" s="56" t="n"/>
      <c r="Q1754" s="55" t="n"/>
      <c r="R1754" s="55" t="n"/>
      <c r="S1754" s="55" t="n"/>
      <c r="T1754" s="55" t="n"/>
      <c r="U1754" s="55" t="n"/>
      <c r="V1754" s="55" t="n"/>
      <c r="W1754" s="58" t="n"/>
      <c r="X1754" s="58" t="n"/>
      <c r="Y1754" s="55" t="n"/>
      <c r="Z1754" s="55" t="n"/>
      <c r="AA1754" s="55" t="n"/>
      <c r="AB1754" s="55" t="n"/>
      <c r="AC1754" s="55" t="n"/>
      <c r="AD1754" s="53" t="n"/>
      <c r="AE1754" s="55" t="n"/>
      <c r="AF1754" s="55" t="n"/>
      <c r="AG1754" s="59" t="n"/>
      <c r="AH1754" s="57" t="n"/>
      <c r="AI1754" s="55" t="n"/>
      <c r="AJ1754" s="55" t="n"/>
      <c r="AK1754" s="55" t="n"/>
      <c r="AL1754" s="55" t="n"/>
      <c r="AM1754" s="56" t="n"/>
      <c r="AN1754" s="55" t="n"/>
      <c r="AO1754" s="55" t="n"/>
      <c r="AP1754" s="55" t="n"/>
      <c r="AQ1754" s="55" t="n"/>
      <c r="AR1754" s="60">
        <f>IF(AND(C1754="",E1754=""),"",IF(A1754="","⚠ Date manquante",IF(AND(C1754="",E1754&lt;&gt;"Dépense"),"⚠ Prospect manquant",IF(E1754="","⚠ Action manquante",IF(AND(AU1754=1,D1754=""),"⚠ Canal manquant",IF(AND(W1754&lt;&gt;"",COUNTIFS('Saisie'!$W$5:$W$2004,W1754,'Saisie'!$C$5:$C$2004,"&lt;&gt;"&amp;C1754)&gt;0),"⚠ Numéro déjà utilisé par un autre prospect",IF(AND(J1754&lt;&gt;"",J1754&lt;A1754),"⚠ Relance avant la date de l'action",IF(A1754&gt;TODAY(),"⚠ Date dans le futur","✓"))))))))</f>
        <v/>
      </c>
      <c r="AS1754" s="61">
        <f>IF(AND(A1754="",C1754="",E1754=""),"",ROW())</f>
        <v/>
      </c>
      <c r="AT1754" s="61">
        <f>IF(E1754&amp;F1754="","",MAX(IFERROR(INDEX('Paramètres'!$J$6:$J$33,MATCH(E1754,'Paramètres'!$I$6:$I$33,0)),0),IFERROR(INDEX('Paramètres'!$N$6:$N$17,MATCH(F1754,'Paramètres'!$M$6:$M$17,0)),0)))</f>
        <v/>
      </c>
      <c r="AU1754" s="61">
        <f>IF(E1754="","",IFERROR(IF(INDEX('Paramètres'!$K$6:$K$33,MATCH(E1754,'Paramètres'!$I$6:$I$33,0))="Oui",1,0),0))</f>
        <v/>
      </c>
      <c r="AV1754" s="61">
        <f>IF(F1754="","",IFERROR(IF(INDEX('Paramètres'!$O$6:$O$17,MATCH(F1754,'Paramètres'!$M$6:$M$17,0))="Oui",1,0),0))</f>
        <v/>
      </c>
      <c r="AW1754" s="62">
        <f>IF(E1754="","",IF(G1754&lt;&gt;"",G1754,IF(OR(E1754="Proposition envoyée",E1754="Signature"),MAX(0,N(IFERROR(INDEX('Paramètres'!$R$6:$R$15,MATCH(IF(AL1754&lt;&gt;"",AL1754,IFERROR(INDEX('Prospects'!$AN$5:$AN$504,MATCH(C1754,'Prospects'!$C$5:$C$504,0)),"")),'Paramètres'!$Q$6:$Q$15,0)),0))-N(P1754)),0)))</f>
        <v/>
      </c>
      <c r="AX1754" s="61">
        <f>IF(C1754="","",IF(COUNTIF($C$5:C1754,C1754)=1,MAX($AX$4:AX1753)+1,""))</f>
        <v/>
      </c>
      <c r="AY1754" s="61">
        <f>IF(B1754="","",HOUR(B1754))</f>
        <v/>
      </c>
      <c r="AZ1754" s="61">
        <f>IF(A1754="","",MOD(A1754-2,7)+1)</f>
        <v/>
      </c>
      <c r="BA1754" s="60">
        <f>IF(C1754="","",IFERROR(INDEX('Prospects'!$N$5:$N$504,MATCH(C1754,'Prospects'!$C$5:$C$504,0)),""))</f>
        <v/>
      </c>
      <c r="BB1754" s="61">
        <f>IF(AND(C1754&lt;&gt;"",C1754='Fiche prospect'!$C$4),COUNTIF($C$5:C1754,C1754),"")</f>
        <v/>
      </c>
    </row>
    <row r="1755">
      <c r="A1755" s="53" t="n"/>
      <c r="B1755" s="54" t="n"/>
      <c r="C1755" s="55" t="n"/>
      <c r="D1755" s="55" t="n"/>
      <c r="E1755" s="55" t="n"/>
      <c r="F1755" s="55" t="n"/>
      <c r="G1755" s="56" t="n"/>
      <c r="H1755" s="57" t="n"/>
      <c r="I1755" s="55" t="n"/>
      <c r="J1755" s="53" t="n"/>
      <c r="K1755" s="54" t="n"/>
      <c r="L1755" s="55" t="n"/>
      <c r="M1755" s="55" t="n"/>
      <c r="N1755" s="57" t="n"/>
      <c r="O1755" s="55" t="n"/>
      <c r="P1755" s="56" t="n"/>
      <c r="Q1755" s="55" t="n"/>
      <c r="R1755" s="55" t="n"/>
      <c r="S1755" s="55" t="n"/>
      <c r="T1755" s="55" t="n"/>
      <c r="U1755" s="55" t="n"/>
      <c r="V1755" s="55" t="n"/>
      <c r="W1755" s="58" t="n"/>
      <c r="X1755" s="58" t="n"/>
      <c r="Y1755" s="55" t="n"/>
      <c r="Z1755" s="55" t="n"/>
      <c r="AA1755" s="55" t="n"/>
      <c r="AB1755" s="55" t="n"/>
      <c r="AC1755" s="55" t="n"/>
      <c r="AD1755" s="53" t="n"/>
      <c r="AE1755" s="55" t="n"/>
      <c r="AF1755" s="55" t="n"/>
      <c r="AG1755" s="59" t="n"/>
      <c r="AH1755" s="57" t="n"/>
      <c r="AI1755" s="55" t="n"/>
      <c r="AJ1755" s="55" t="n"/>
      <c r="AK1755" s="55" t="n"/>
      <c r="AL1755" s="55" t="n"/>
      <c r="AM1755" s="56" t="n"/>
      <c r="AN1755" s="55" t="n"/>
      <c r="AO1755" s="55" t="n"/>
      <c r="AP1755" s="55" t="n"/>
      <c r="AQ1755" s="55" t="n"/>
      <c r="AR1755" s="60">
        <f>IF(AND(C1755="",E1755=""),"",IF(A1755="","⚠ Date manquante",IF(AND(C1755="",E1755&lt;&gt;"Dépense"),"⚠ Prospect manquant",IF(E1755="","⚠ Action manquante",IF(AND(AU1755=1,D1755=""),"⚠ Canal manquant",IF(AND(W1755&lt;&gt;"",COUNTIFS('Saisie'!$W$5:$W$2004,W1755,'Saisie'!$C$5:$C$2004,"&lt;&gt;"&amp;C1755)&gt;0),"⚠ Numéro déjà utilisé par un autre prospect",IF(AND(J1755&lt;&gt;"",J1755&lt;A1755),"⚠ Relance avant la date de l'action",IF(A1755&gt;TODAY(),"⚠ Date dans le futur","✓"))))))))</f>
        <v/>
      </c>
      <c r="AS1755" s="61">
        <f>IF(AND(A1755="",C1755="",E1755=""),"",ROW())</f>
        <v/>
      </c>
      <c r="AT1755" s="61">
        <f>IF(E1755&amp;F1755="","",MAX(IFERROR(INDEX('Paramètres'!$J$6:$J$33,MATCH(E1755,'Paramètres'!$I$6:$I$33,0)),0),IFERROR(INDEX('Paramètres'!$N$6:$N$17,MATCH(F1755,'Paramètres'!$M$6:$M$17,0)),0)))</f>
        <v/>
      </c>
      <c r="AU1755" s="61">
        <f>IF(E1755="","",IFERROR(IF(INDEX('Paramètres'!$K$6:$K$33,MATCH(E1755,'Paramètres'!$I$6:$I$33,0))="Oui",1,0),0))</f>
        <v/>
      </c>
      <c r="AV1755" s="61">
        <f>IF(F1755="","",IFERROR(IF(INDEX('Paramètres'!$O$6:$O$17,MATCH(F1755,'Paramètres'!$M$6:$M$17,0))="Oui",1,0),0))</f>
        <v/>
      </c>
      <c r="AW1755" s="62">
        <f>IF(E1755="","",IF(G1755&lt;&gt;"",G1755,IF(OR(E1755="Proposition envoyée",E1755="Signature"),MAX(0,N(IFERROR(INDEX('Paramètres'!$R$6:$R$15,MATCH(IF(AL1755&lt;&gt;"",AL1755,IFERROR(INDEX('Prospects'!$AN$5:$AN$504,MATCH(C1755,'Prospects'!$C$5:$C$504,0)),"")),'Paramètres'!$Q$6:$Q$15,0)),0))-N(P1755)),0)))</f>
        <v/>
      </c>
      <c r="AX1755" s="61">
        <f>IF(C1755="","",IF(COUNTIF($C$5:C1755,C1755)=1,MAX($AX$4:AX1754)+1,""))</f>
        <v/>
      </c>
      <c r="AY1755" s="61">
        <f>IF(B1755="","",HOUR(B1755))</f>
        <v/>
      </c>
      <c r="AZ1755" s="61">
        <f>IF(A1755="","",MOD(A1755-2,7)+1)</f>
        <v/>
      </c>
      <c r="BA1755" s="60">
        <f>IF(C1755="","",IFERROR(INDEX('Prospects'!$N$5:$N$504,MATCH(C1755,'Prospects'!$C$5:$C$504,0)),""))</f>
        <v/>
      </c>
      <c r="BB1755" s="61">
        <f>IF(AND(C1755&lt;&gt;"",C1755='Fiche prospect'!$C$4),COUNTIF($C$5:C1755,C1755),"")</f>
        <v/>
      </c>
    </row>
    <row r="1756">
      <c r="A1756" s="53" t="n"/>
      <c r="B1756" s="54" t="n"/>
      <c r="C1756" s="55" t="n"/>
      <c r="D1756" s="55" t="n"/>
      <c r="E1756" s="55" t="n"/>
      <c r="F1756" s="55" t="n"/>
      <c r="G1756" s="56" t="n"/>
      <c r="H1756" s="57" t="n"/>
      <c r="I1756" s="55" t="n"/>
      <c r="J1756" s="53" t="n"/>
      <c r="K1756" s="54" t="n"/>
      <c r="L1756" s="55" t="n"/>
      <c r="M1756" s="55" t="n"/>
      <c r="N1756" s="57" t="n"/>
      <c r="O1756" s="55" t="n"/>
      <c r="P1756" s="56" t="n"/>
      <c r="Q1756" s="55" t="n"/>
      <c r="R1756" s="55" t="n"/>
      <c r="S1756" s="55" t="n"/>
      <c r="T1756" s="55" t="n"/>
      <c r="U1756" s="55" t="n"/>
      <c r="V1756" s="55" t="n"/>
      <c r="W1756" s="58" t="n"/>
      <c r="X1756" s="58" t="n"/>
      <c r="Y1756" s="55" t="n"/>
      <c r="Z1756" s="55" t="n"/>
      <c r="AA1756" s="55" t="n"/>
      <c r="AB1756" s="55" t="n"/>
      <c r="AC1756" s="55" t="n"/>
      <c r="AD1756" s="53" t="n"/>
      <c r="AE1756" s="55" t="n"/>
      <c r="AF1756" s="55" t="n"/>
      <c r="AG1756" s="59" t="n"/>
      <c r="AH1756" s="57" t="n"/>
      <c r="AI1756" s="55" t="n"/>
      <c r="AJ1756" s="55" t="n"/>
      <c r="AK1756" s="55" t="n"/>
      <c r="AL1756" s="55" t="n"/>
      <c r="AM1756" s="56" t="n"/>
      <c r="AN1756" s="55" t="n"/>
      <c r="AO1756" s="55" t="n"/>
      <c r="AP1756" s="55" t="n"/>
      <c r="AQ1756" s="55" t="n"/>
      <c r="AR1756" s="60">
        <f>IF(AND(C1756="",E1756=""),"",IF(A1756="","⚠ Date manquante",IF(AND(C1756="",E1756&lt;&gt;"Dépense"),"⚠ Prospect manquant",IF(E1756="","⚠ Action manquante",IF(AND(AU1756=1,D1756=""),"⚠ Canal manquant",IF(AND(W1756&lt;&gt;"",COUNTIFS('Saisie'!$W$5:$W$2004,W1756,'Saisie'!$C$5:$C$2004,"&lt;&gt;"&amp;C1756)&gt;0),"⚠ Numéro déjà utilisé par un autre prospect",IF(AND(J1756&lt;&gt;"",J1756&lt;A1756),"⚠ Relance avant la date de l'action",IF(A1756&gt;TODAY(),"⚠ Date dans le futur","✓"))))))))</f>
        <v/>
      </c>
      <c r="AS1756" s="61">
        <f>IF(AND(A1756="",C1756="",E1756=""),"",ROW())</f>
        <v/>
      </c>
      <c r="AT1756" s="61">
        <f>IF(E1756&amp;F1756="","",MAX(IFERROR(INDEX('Paramètres'!$J$6:$J$33,MATCH(E1756,'Paramètres'!$I$6:$I$33,0)),0),IFERROR(INDEX('Paramètres'!$N$6:$N$17,MATCH(F1756,'Paramètres'!$M$6:$M$17,0)),0)))</f>
        <v/>
      </c>
      <c r="AU1756" s="61">
        <f>IF(E1756="","",IFERROR(IF(INDEX('Paramètres'!$K$6:$K$33,MATCH(E1756,'Paramètres'!$I$6:$I$33,0))="Oui",1,0),0))</f>
        <v/>
      </c>
      <c r="AV1756" s="61">
        <f>IF(F1756="","",IFERROR(IF(INDEX('Paramètres'!$O$6:$O$17,MATCH(F1756,'Paramètres'!$M$6:$M$17,0))="Oui",1,0),0))</f>
        <v/>
      </c>
      <c r="AW1756" s="62">
        <f>IF(E1756="","",IF(G1756&lt;&gt;"",G1756,IF(OR(E1756="Proposition envoyée",E1756="Signature"),MAX(0,N(IFERROR(INDEX('Paramètres'!$R$6:$R$15,MATCH(IF(AL1756&lt;&gt;"",AL1756,IFERROR(INDEX('Prospects'!$AN$5:$AN$504,MATCH(C1756,'Prospects'!$C$5:$C$504,0)),"")),'Paramètres'!$Q$6:$Q$15,0)),0))-N(P1756)),0)))</f>
        <v/>
      </c>
      <c r="AX1756" s="61">
        <f>IF(C1756="","",IF(COUNTIF($C$5:C1756,C1756)=1,MAX($AX$4:AX1755)+1,""))</f>
        <v/>
      </c>
      <c r="AY1756" s="61">
        <f>IF(B1756="","",HOUR(B1756))</f>
        <v/>
      </c>
      <c r="AZ1756" s="61">
        <f>IF(A1756="","",MOD(A1756-2,7)+1)</f>
        <v/>
      </c>
      <c r="BA1756" s="60">
        <f>IF(C1756="","",IFERROR(INDEX('Prospects'!$N$5:$N$504,MATCH(C1756,'Prospects'!$C$5:$C$504,0)),""))</f>
        <v/>
      </c>
      <c r="BB1756" s="61">
        <f>IF(AND(C1756&lt;&gt;"",C1756='Fiche prospect'!$C$4),COUNTIF($C$5:C1756,C1756),"")</f>
        <v/>
      </c>
    </row>
    <row r="1757">
      <c r="A1757" s="53" t="n"/>
      <c r="B1757" s="54" t="n"/>
      <c r="C1757" s="55" t="n"/>
      <c r="D1757" s="55" t="n"/>
      <c r="E1757" s="55" t="n"/>
      <c r="F1757" s="55" t="n"/>
      <c r="G1757" s="56" t="n"/>
      <c r="H1757" s="57" t="n"/>
      <c r="I1757" s="55" t="n"/>
      <c r="J1757" s="53" t="n"/>
      <c r="K1757" s="54" t="n"/>
      <c r="L1757" s="55" t="n"/>
      <c r="M1757" s="55" t="n"/>
      <c r="N1757" s="57" t="n"/>
      <c r="O1757" s="55" t="n"/>
      <c r="P1757" s="56" t="n"/>
      <c r="Q1757" s="55" t="n"/>
      <c r="R1757" s="55" t="n"/>
      <c r="S1757" s="55" t="n"/>
      <c r="T1757" s="55" t="n"/>
      <c r="U1757" s="55" t="n"/>
      <c r="V1757" s="55" t="n"/>
      <c r="W1757" s="58" t="n"/>
      <c r="X1757" s="58" t="n"/>
      <c r="Y1757" s="55" t="n"/>
      <c r="Z1757" s="55" t="n"/>
      <c r="AA1757" s="55" t="n"/>
      <c r="AB1757" s="55" t="n"/>
      <c r="AC1757" s="55" t="n"/>
      <c r="AD1757" s="53" t="n"/>
      <c r="AE1757" s="55" t="n"/>
      <c r="AF1757" s="55" t="n"/>
      <c r="AG1757" s="59" t="n"/>
      <c r="AH1757" s="57" t="n"/>
      <c r="AI1757" s="55" t="n"/>
      <c r="AJ1757" s="55" t="n"/>
      <c r="AK1757" s="55" t="n"/>
      <c r="AL1757" s="55" t="n"/>
      <c r="AM1757" s="56" t="n"/>
      <c r="AN1757" s="55" t="n"/>
      <c r="AO1757" s="55" t="n"/>
      <c r="AP1757" s="55" t="n"/>
      <c r="AQ1757" s="55" t="n"/>
      <c r="AR1757" s="60">
        <f>IF(AND(C1757="",E1757=""),"",IF(A1757="","⚠ Date manquante",IF(AND(C1757="",E1757&lt;&gt;"Dépense"),"⚠ Prospect manquant",IF(E1757="","⚠ Action manquante",IF(AND(AU1757=1,D1757=""),"⚠ Canal manquant",IF(AND(W1757&lt;&gt;"",COUNTIFS('Saisie'!$W$5:$W$2004,W1757,'Saisie'!$C$5:$C$2004,"&lt;&gt;"&amp;C1757)&gt;0),"⚠ Numéro déjà utilisé par un autre prospect",IF(AND(J1757&lt;&gt;"",J1757&lt;A1757),"⚠ Relance avant la date de l'action",IF(A1757&gt;TODAY(),"⚠ Date dans le futur","✓"))))))))</f>
        <v/>
      </c>
      <c r="AS1757" s="61">
        <f>IF(AND(A1757="",C1757="",E1757=""),"",ROW())</f>
        <v/>
      </c>
      <c r="AT1757" s="61">
        <f>IF(E1757&amp;F1757="","",MAX(IFERROR(INDEX('Paramètres'!$J$6:$J$33,MATCH(E1757,'Paramètres'!$I$6:$I$33,0)),0),IFERROR(INDEX('Paramètres'!$N$6:$N$17,MATCH(F1757,'Paramètres'!$M$6:$M$17,0)),0)))</f>
        <v/>
      </c>
      <c r="AU1757" s="61">
        <f>IF(E1757="","",IFERROR(IF(INDEX('Paramètres'!$K$6:$K$33,MATCH(E1757,'Paramètres'!$I$6:$I$33,0))="Oui",1,0),0))</f>
        <v/>
      </c>
      <c r="AV1757" s="61">
        <f>IF(F1757="","",IFERROR(IF(INDEX('Paramètres'!$O$6:$O$17,MATCH(F1757,'Paramètres'!$M$6:$M$17,0))="Oui",1,0),0))</f>
        <v/>
      </c>
      <c r="AW1757" s="62">
        <f>IF(E1757="","",IF(G1757&lt;&gt;"",G1757,IF(OR(E1757="Proposition envoyée",E1757="Signature"),MAX(0,N(IFERROR(INDEX('Paramètres'!$R$6:$R$15,MATCH(IF(AL1757&lt;&gt;"",AL1757,IFERROR(INDEX('Prospects'!$AN$5:$AN$504,MATCH(C1757,'Prospects'!$C$5:$C$504,0)),"")),'Paramètres'!$Q$6:$Q$15,0)),0))-N(P1757)),0)))</f>
        <v/>
      </c>
      <c r="AX1757" s="61">
        <f>IF(C1757="","",IF(COUNTIF($C$5:C1757,C1757)=1,MAX($AX$4:AX1756)+1,""))</f>
        <v/>
      </c>
      <c r="AY1757" s="61">
        <f>IF(B1757="","",HOUR(B1757))</f>
        <v/>
      </c>
      <c r="AZ1757" s="61">
        <f>IF(A1757="","",MOD(A1757-2,7)+1)</f>
        <v/>
      </c>
      <c r="BA1757" s="60">
        <f>IF(C1757="","",IFERROR(INDEX('Prospects'!$N$5:$N$504,MATCH(C1757,'Prospects'!$C$5:$C$504,0)),""))</f>
        <v/>
      </c>
      <c r="BB1757" s="61">
        <f>IF(AND(C1757&lt;&gt;"",C1757='Fiche prospect'!$C$4),COUNTIF($C$5:C1757,C1757),"")</f>
        <v/>
      </c>
    </row>
    <row r="1758">
      <c r="A1758" s="53" t="n"/>
      <c r="B1758" s="54" t="n"/>
      <c r="C1758" s="55" t="n"/>
      <c r="D1758" s="55" t="n"/>
      <c r="E1758" s="55" t="n"/>
      <c r="F1758" s="55" t="n"/>
      <c r="G1758" s="56" t="n"/>
      <c r="H1758" s="57" t="n"/>
      <c r="I1758" s="55" t="n"/>
      <c r="J1758" s="53" t="n"/>
      <c r="K1758" s="54" t="n"/>
      <c r="L1758" s="55" t="n"/>
      <c r="M1758" s="55" t="n"/>
      <c r="N1758" s="57" t="n"/>
      <c r="O1758" s="55" t="n"/>
      <c r="P1758" s="56" t="n"/>
      <c r="Q1758" s="55" t="n"/>
      <c r="R1758" s="55" t="n"/>
      <c r="S1758" s="55" t="n"/>
      <c r="T1758" s="55" t="n"/>
      <c r="U1758" s="55" t="n"/>
      <c r="V1758" s="55" t="n"/>
      <c r="W1758" s="58" t="n"/>
      <c r="X1758" s="58" t="n"/>
      <c r="Y1758" s="55" t="n"/>
      <c r="Z1758" s="55" t="n"/>
      <c r="AA1758" s="55" t="n"/>
      <c r="AB1758" s="55" t="n"/>
      <c r="AC1758" s="55" t="n"/>
      <c r="AD1758" s="53" t="n"/>
      <c r="AE1758" s="55" t="n"/>
      <c r="AF1758" s="55" t="n"/>
      <c r="AG1758" s="59" t="n"/>
      <c r="AH1758" s="57" t="n"/>
      <c r="AI1758" s="55" t="n"/>
      <c r="AJ1758" s="55" t="n"/>
      <c r="AK1758" s="55" t="n"/>
      <c r="AL1758" s="55" t="n"/>
      <c r="AM1758" s="56" t="n"/>
      <c r="AN1758" s="55" t="n"/>
      <c r="AO1758" s="55" t="n"/>
      <c r="AP1758" s="55" t="n"/>
      <c r="AQ1758" s="55" t="n"/>
      <c r="AR1758" s="60">
        <f>IF(AND(C1758="",E1758=""),"",IF(A1758="","⚠ Date manquante",IF(AND(C1758="",E1758&lt;&gt;"Dépense"),"⚠ Prospect manquant",IF(E1758="","⚠ Action manquante",IF(AND(AU1758=1,D1758=""),"⚠ Canal manquant",IF(AND(W1758&lt;&gt;"",COUNTIFS('Saisie'!$W$5:$W$2004,W1758,'Saisie'!$C$5:$C$2004,"&lt;&gt;"&amp;C1758)&gt;0),"⚠ Numéro déjà utilisé par un autre prospect",IF(AND(J1758&lt;&gt;"",J1758&lt;A1758),"⚠ Relance avant la date de l'action",IF(A1758&gt;TODAY(),"⚠ Date dans le futur","✓"))))))))</f>
        <v/>
      </c>
      <c r="AS1758" s="61">
        <f>IF(AND(A1758="",C1758="",E1758=""),"",ROW())</f>
        <v/>
      </c>
      <c r="AT1758" s="61">
        <f>IF(E1758&amp;F1758="","",MAX(IFERROR(INDEX('Paramètres'!$J$6:$J$33,MATCH(E1758,'Paramètres'!$I$6:$I$33,0)),0),IFERROR(INDEX('Paramètres'!$N$6:$N$17,MATCH(F1758,'Paramètres'!$M$6:$M$17,0)),0)))</f>
        <v/>
      </c>
      <c r="AU1758" s="61">
        <f>IF(E1758="","",IFERROR(IF(INDEX('Paramètres'!$K$6:$K$33,MATCH(E1758,'Paramètres'!$I$6:$I$33,0))="Oui",1,0),0))</f>
        <v/>
      </c>
      <c r="AV1758" s="61">
        <f>IF(F1758="","",IFERROR(IF(INDEX('Paramètres'!$O$6:$O$17,MATCH(F1758,'Paramètres'!$M$6:$M$17,0))="Oui",1,0),0))</f>
        <v/>
      </c>
      <c r="AW1758" s="62">
        <f>IF(E1758="","",IF(G1758&lt;&gt;"",G1758,IF(OR(E1758="Proposition envoyée",E1758="Signature"),MAX(0,N(IFERROR(INDEX('Paramètres'!$R$6:$R$15,MATCH(IF(AL1758&lt;&gt;"",AL1758,IFERROR(INDEX('Prospects'!$AN$5:$AN$504,MATCH(C1758,'Prospects'!$C$5:$C$504,0)),"")),'Paramètres'!$Q$6:$Q$15,0)),0))-N(P1758)),0)))</f>
        <v/>
      </c>
      <c r="AX1758" s="61">
        <f>IF(C1758="","",IF(COUNTIF($C$5:C1758,C1758)=1,MAX($AX$4:AX1757)+1,""))</f>
        <v/>
      </c>
      <c r="AY1758" s="61">
        <f>IF(B1758="","",HOUR(B1758))</f>
        <v/>
      </c>
      <c r="AZ1758" s="61">
        <f>IF(A1758="","",MOD(A1758-2,7)+1)</f>
        <v/>
      </c>
      <c r="BA1758" s="60">
        <f>IF(C1758="","",IFERROR(INDEX('Prospects'!$N$5:$N$504,MATCH(C1758,'Prospects'!$C$5:$C$504,0)),""))</f>
        <v/>
      </c>
      <c r="BB1758" s="61">
        <f>IF(AND(C1758&lt;&gt;"",C1758='Fiche prospect'!$C$4),COUNTIF($C$5:C1758,C1758),"")</f>
        <v/>
      </c>
    </row>
    <row r="1759">
      <c r="A1759" s="53" t="n"/>
      <c r="B1759" s="54" t="n"/>
      <c r="C1759" s="55" t="n"/>
      <c r="D1759" s="55" t="n"/>
      <c r="E1759" s="55" t="n"/>
      <c r="F1759" s="55" t="n"/>
      <c r="G1759" s="56" t="n"/>
      <c r="H1759" s="57" t="n"/>
      <c r="I1759" s="55" t="n"/>
      <c r="J1759" s="53" t="n"/>
      <c r="K1759" s="54" t="n"/>
      <c r="L1759" s="55" t="n"/>
      <c r="M1759" s="55" t="n"/>
      <c r="N1759" s="57" t="n"/>
      <c r="O1759" s="55" t="n"/>
      <c r="P1759" s="56" t="n"/>
      <c r="Q1759" s="55" t="n"/>
      <c r="R1759" s="55" t="n"/>
      <c r="S1759" s="55" t="n"/>
      <c r="T1759" s="55" t="n"/>
      <c r="U1759" s="55" t="n"/>
      <c r="V1759" s="55" t="n"/>
      <c r="W1759" s="58" t="n"/>
      <c r="X1759" s="58" t="n"/>
      <c r="Y1759" s="55" t="n"/>
      <c r="Z1759" s="55" t="n"/>
      <c r="AA1759" s="55" t="n"/>
      <c r="AB1759" s="55" t="n"/>
      <c r="AC1759" s="55" t="n"/>
      <c r="AD1759" s="53" t="n"/>
      <c r="AE1759" s="55" t="n"/>
      <c r="AF1759" s="55" t="n"/>
      <c r="AG1759" s="59" t="n"/>
      <c r="AH1759" s="57" t="n"/>
      <c r="AI1759" s="55" t="n"/>
      <c r="AJ1759" s="55" t="n"/>
      <c r="AK1759" s="55" t="n"/>
      <c r="AL1759" s="55" t="n"/>
      <c r="AM1759" s="56" t="n"/>
      <c r="AN1759" s="55" t="n"/>
      <c r="AO1759" s="55" t="n"/>
      <c r="AP1759" s="55" t="n"/>
      <c r="AQ1759" s="55" t="n"/>
      <c r="AR1759" s="60">
        <f>IF(AND(C1759="",E1759=""),"",IF(A1759="","⚠ Date manquante",IF(AND(C1759="",E1759&lt;&gt;"Dépense"),"⚠ Prospect manquant",IF(E1759="","⚠ Action manquante",IF(AND(AU1759=1,D1759=""),"⚠ Canal manquant",IF(AND(W1759&lt;&gt;"",COUNTIFS('Saisie'!$W$5:$W$2004,W1759,'Saisie'!$C$5:$C$2004,"&lt;&gt;"&amp;C1759)&gt;0),"⚠ Numéro déjà utilisé par un autre prospect",IF(AND(J1759&lt;&gt;"",J1759&lt;A1759),"⚠ Relance avant la date de l'action",IF(A1759&gt;TODAY(),"⚠ Date dans le futur","✓"))))))))</f>
        <v/>
      </c>
      <c r="AS1759" s="61">
        <f>IF(AND(A1759="",C1759="",E1759=""),"",ROW())</f>
        <v/>
      </c>
      <c r="AT1759" s="61">
        <f>IF(E1759&amp;F1759="","",MAX(IFERROR(INDEX('Paramètres'!$J$6:$J$33,MATCH(E1759,'Paramètres'!$I$6:$I$33,0)),0),IFERROR(INDEX('Paramètres'!$N$6:$N$17,MATCH(F1759,'Paramètres'!$M$6:$M$17,0)),0)))</f>
        <v/>
      </c>
      <c r="AU1759" s="61">
        <f>IF(E1759="","",IFERROR(IF(INDEX('Paramètres'!$K$6:$K$33,MATCH(E1759,'Paramètres'!$I$6:$I$33,0))="Oui",1,0),0))</f>
        <v/>
      </c>
      <c r="AV1759" s="61">
        <f>IF(F1759="","",IFERROR(IF(INDEX('Paramètres'!$O$6:$O$17,MATCH(F1759,'Paramètres'!$M$6:$M$17,0))="Oui",1,0),0))</f>
        <v/>
      </c>
      <c r="AW1759" s="62">
        <f>IF(E1759="","",IF(G1759&lt;&gt;"",G1759,IF(OR(E1759="Proposition envoyée",E1759="Signature"),MAX(0,N(IFERROR(INDEX('Paramètres'!$R$6:$R$15,MATCH(IF(AL1759&lt;&gt;"",AL1759,IFERROR(INDEX('Prospects'!$AN$5:$AN$504,MATCH(C1759,'Prospects'!$C$5:$C$504,0)),"")),'Paramètres'!$Q$6:$Q$15,0)),0))-N(P1759)),0)))</f>
        <v/>
      </c>
      <c r="AX1759" s="61">
        <f>IF(C1759="","",IF(COUNTIF($C$5:C1759,C1759)=1,MAX($AX$4:AX1758)+1,""))</f>
        <v/>
      </c>
      <c r="AY1759" s="61">
        <f>IF(B1759="","",HOUR(B1759))</f>
        <v/>
      </c>
      <c r="AZ1759" s="61">
        <f>IF(A1759="","",MOD(A1759-2,7)+1)</f>
        <v/>
      </c>
      <c r="BA1759" s="60">
        <f>IF(C1759="","",IFERROR(INDEX('Prospects'!$N$5:$N$504,MATCH(C1759,'Prospects'!$C$5:$C$504,0)),""))</f>
        <v/>
      </c>
      <c r="BB1759" s="61">
        <f>IF(AND(C1759&lt;&gt;"",C1759='Fiche prospect'!$C$4),COUNTIF($C$5:C1759,C1759),"")</f>
        <v/>
      </c>
    </row>
    <row r="1760">
      <c r="A1760" s="53" t="n"/>
      <c r="B1760" s="54" t="n"/>
      <c r="C1760" s="55" t="n"/>
      <c r="D1760" s="55" t="n"/>
      <c r="E1760" s="55" t="n"/>
      <c r="F1760" s="55" t="n"/>
      <c r="G1760" s="56" t="n"/>
      <c r="H1760" s="57" t="n"/>
      <c r="I1760" s="55" t="n"/>
      <c r="J1760" s="53" t="n"/>
      <c r="K1760" s="54" t="n"/>
      <c r="L1760" s="55" t="n"/>
      <c r="M1760" s="55" t="n"/>
      <c r="N1760" s="57" t="n"/>
      <c r="O1760" s="55" t="n"/>
      <c r="P1760" s="56" t="n"/>
      <c r="Q1760" s="55" t="n"/>
      <c r="R1760" s="55" t="n"/>
      <c r="S1760" s="55" t="n"/>
      <c r="T1760" s="55" t="n"/>
      <c r="U1760" s="55" t="n"/>
      <c r="V1760" s="55" t="n"/>
      <c r="W1760" s="58" t="n"/>
      <c r="X1760" s="58" t="n"/>
      <c r="Y1760" s="55" t="n"/>
      <c r="Z1760" s="55" t="n"/>
      <c r="AA1760" s="55" t="n"/>
      <c r="AB1760" s="55" t="n"/>
      <c r="AC1760" s="55" t="n"/>
      <c r="AD1760" s="53" t="n"/>
      <c r="AE1760" s="55" t="n"/>
      <c r="AF1760" s="55" t="n"/>
      <c r="AG1760" s="59" t="n"/>
      <c r="AH1760" s="57" t="n"/>
      <c r="AI1760" s="55" t="n"/>
      <c r="AJ1760" s="55" t="n"/>
      <c r="AK1760" s="55" t="n"/>
      <c r="AL1760" s="55" t="n"/>
      <c r="AM1760" s="56" t="n"/>
      <c r="AN1760" s="55" t="n"/>
      <c r="AO1760" s="55" t="n"/>
      <c r="AP1760" s="55" t="n"/>
      <c r="AQ1760" s="55" t="n"/>
      <c r="AR1760" s="60">
        <f>IF(AND(C1760="",E1760=""),"",IF(A1760="","⚠ Date manquante",IF(AND(C1760="",E1760&lt;&gt;"Dépense"),"⚠ Prospect manquant",IF(E1760="","⚠ Action manquante",IF(AND(AU1760=1,D1760=""),"⚠ Canal manquant",IF(AND(W1760&lt;&gt;"",COUNTIFS('Saisie'!$W$5:$W$2004,W1760,'Saisie'!$C$5:$C$2004,"&lt;&gt;"&amp;C1760)&gt;0),"⚠ Numéro déjà utilisé par un autre prospect",IF(AND(J1760&lt;&gt;"",J1760&lt;A1760),"⚠ Relance avant la date de l'action",IF(A1760&gt;TODAY(),"⚠ Date dans le futur","✓"))))))))</f>
        <v/>
      </c>
      <c r="AS1760" s="61">
        <f>IF(AND(A1760="",C1760="",E1760=""),"",ROW())</f>
        <v/>
      </c>
      <c r="AT1760" s="61">
        <f>IF(E1760&amp;F1760="","",MAX(IFERROR(INDEX('Paramètres'!$J$6:$J$33,MATCH(E1760,'Paramètres'!$I$6:$I$33,0)),0),IFERROR(INDEX('Paramètres'!$N$6:$N$17,MATCH(F1760,'Paramètres'!$M$6:$M$17,0)),0)))</f>
        <v/>
      </c>
      <c r="AU1760" s="61">
        <f>IF(E1760="","",IFERROR(IF(INDEX('Paramètres'!$K$6:$K$33,MATCH(E1760,'Paramètres'!$I$6:$I$33,0))="Oui",1,0),0))</f>
        <v/>
      </c>
      <c r="AV1760" s="61">
        <f>IF(F1760="","",IFERROR(IF(INDEX('Paramètres'!$O$6:$O$17,MATCH(F1760,'Paramètres'!$M$6:$M$17,0))="Oui",1,0),0))</f>
        <v/>
      </c>
      <c r="AW1760" s="62">
        <f>IF(E1760="","",IF(G1760&lt;&gt;"",G1760,IF(OR(E1760="Proposition envoyée",E1760="Signature"),MAX(0,N(IFERROR(INDEX('Paramètres'!$R$6:$R$15,MATCH(IF(AL1760&lt;&gt;"",AL1760,IFERROR(INDEX('Prospects'!$AN$5:$AN$504,MATCH(C1760,'Prospects'!$C$5:$C$504,0)),"")),'Paramètres'!$Q$6:$Q$15,0)),0))-N(P1760)),0)))</f>
        <v/>
      </c>
      <c r="AX1760" s="61">
        <f>IF(C1760="","",IF(COUNTIF($C$5:C1760,C1760)=1,MAX($AX$4:AX1759)+1,""))</f>
        <v/>
      </c>
      <c r="AY1760" s="61">
        <f>IF(B1760="","",HOUR(B1760))</f>
        <v/>
      </c>
      <c r="AZ1760" s="61">
        <f>IF(A1760="","",MOD(A1760-2,7)+1)</f>
        <v/>
      </c>
      <c r="BA1760" s="60">
        <f>IF(C1760="","",IFERROR(INDEX('Prospects'!$N$5:$N$504,MATCH(C1760,'Prospects'!$C$5:$C$504,0)),""))</f>
        <v/>
      </c>
      <c r="BB1760" s="61">
        <f>IF(AND(C1760&lt;&gt;"",C1760='Fiche prospect'!$C$4),COUNTIF($C$5:C1760,C1760),"")</f>
        <v/>
      </c>
    </row>
    <row r="1761">
      <c r="A1761" s="53" t="n"/>
      <c r="B1761" s="54" t="n"/>
      <c r="C1761" s="55" t="n"/>
      <c r="D1761" s="55" t="n"/>
      <c r="E1761" s="55" t="n"/>
      <c r="F1761" s="55" t="n"/>
      <c r="G1761" s="56" t="n"/>
      <c r="H1761" s="57" t="n"/>
      <c r="I1761" s="55" t="n"/>
      <c r="J1761" s="53" t="n"/>
      <c r="K1761" s="54" t="n"/>
      <c r="L1761" s="55" t="n"/>
      <c r="M1761" s="55" t="n"/>
      <c r="N1761" s="57" t="n"/>
      <c r="O1761" s="55" t="n"/>
      <c r="P1761" s="56" t="n"/>
      <c r="Q1761" s="55" t="n"/>
      <c r="R1761" s="55" t="n"/>
      <c r="S1761" s="55" t="n"/>
      <c r="T1761" s="55" t="n"/>
      <c r="U1761" s="55" t="n"/>
      <c r="V1761" s="55" t="n"/>
      <c r="W1761" s="58" t="n"/>
      <c r="X1761" s="58" t="n"/>
      <c r="Y1761" s="55" t="n"/>
      <c r="Z1761" s="55" t="n"/>
      <c r="AA1761" s="55" t="n"/>
      <c r="AB1761" s="55" t="n"/>
      <c r="AC1761" s="55" t="n"/>
      <c r="AD1761" s="53" t="n"/>
      <c r="AE1761" s="55" t="n"/>
      <c r="AF1761" s="55" t="n"/>
      <c r="AG1761" s="59" t="n"/>
      <c r="AH1761" s="57" t="n"/>
      <c r="AI1761" s="55" t="n"/>
      <c r="AJ1761" s="55" t="n"/>
      <c r="AK1761" s="55" t="n"/>
      <c r="AL1761" s="55" t="n"/>
      <c r="AM1761" s="56" t="n"/>
      <c r="AN1761" s="55" t="n"/>
      <c r="AO1761" s="55" t="n"/>
      <c r="AP1761" s="55" t="n"/>
      <c r="AQ1761" s="55" t="n"/>
      <c r="AR1761" s="60">
        <f>IF(AND(C1761="",E1761=""),"",IF(A1761="","⚠ Date manquante",IF(AND(C1761="",E1761&lt;&gt;"Dépense"),"⚠ Prospect manquant",IF(E1761="","⚠ Action manquante",IF(AND(AU1761=1,D1761=""),"⚠ Canal manquant",IF(AND(W1761&lt;&gt;"",COUNTIFS('Saisie'!$W$5:$W$2004,W1761,'Saisie'!$C$5:$C$2004,"&lt;&gt;"&amp;C1761)&gt;0),"⚠ Numéro déjà utilisé par un autre prospect",IF(AND(J1761&lt;&gt;"",J1761&lt;A1761),"⚠ Relance avant la date de l'action",IF(A1761&gt;TODAY(),"⚠ Date dans le futur","✓"))))))))</f>
        <v/>
      </c>
      <c r="AS1761" s="61">
        <f>IF(AND(A1761="",C1761="",E1761=""),"",ROW())</f>
        <v/>
      </c>
      <c r="AT1761" s="61">
        <f>IF(E1761&amp;F1761="","",MAX(IFERROR(INDEX('Paramètres'!$J$6:$J$33,MATCH(E1761,'Paramètres'!$I$6:$I$33,0)),0),IFERROR(INDEX('Paramètres'!$N$6:$N$17,MATCH(F1761,'Paramètres'!$M$6:$M$17,0)),0)))</f>
        <v/>
      </c>
      <c r="AU1761" s="61">
        <f>IF(E1761="","",IFERROR(IF(INDEX('Paramètres'!$K$6:$K$33,MATCH(E1761,'Paramètres'!$I$6:$I$33,0))="Oui",1,0),0))</f>
        <v/>
      </c>
      <c r="AV1761" s="61">
        <f>IF(F1761="","",IFERROR(IF(INDEX('Paramètres'!$O$6:$O$17,MATCH(F1761,'Paramètres'!$M$6:$M$17,0))="Oui",1,0),0))</f>
        <v/>
      </c>
      <c r="AW1761" s="62">
        <f>IF(E1761="","",IF(G1761&lt;&gt;"",G1761,IF(OR(E1761="Proposition envoyée",E1761="Signature"),MAX(0,N(IFERROR(INDEX('Paramètres'!$R$6:$R$15,MATCH(IF(AL1761&lt;&gt;"",AL1761,IFERROR(INDEX('Prospects'!$AN$5:$AN$504,MATCH(C1761,'Prospects'!$C$5:$C$504,0)),"")),'Paramètres'!$Q$6:$Q$15,0)),0))-N(P1761)),0)))</f>
        <v/>
      </c>
      <c r="AX1761" s="61">
        <f>IF(C1761="","",IF(COUNTIF($C$5:C1761,C1761)=1,MAX($AX$4:AX1760)+1,""))</f>
        <v/>
      </c>
      <c r="AY1761" s="61">
        <f>IF(B1761="","",HOUR(B1761))</f>
        <v/>
      </c>
      <c r="AZ1761" s="61">
        <f>IF(A1761="","",MOD(A1761-2,7)+1)</f>
        <v/>
      </c>
      <c r="BA1761" s="60">
        <f>IF(C1761="","",IFERROR(INDEX('Prospects'!$N$5:$N$504,MATCH(C1761,'Prospects'!$C$5:$C$504,0)),""))</f>
        <v/>
      </c>
      <c r="BB1761" s="61">
        <f>IF(AND(C1761&lt;&gt;"",C1761='Fiche prospect'!$C$4),COUNTIF($C$5:C1761,C1761),"")</f>
        <v/>
      </c>
    </row>
    <row r="1762">
      <c r="A1762" s="53" t="n"/>
      <c r="B1762" s="54" t="n"/>
      <c r="C1762" s="55" t="n"/>
      <c r="D1762" s="55" t="n"/>
      <c r="E1762" s="55" t="n"/>
      <c r="F1762" s="55" t="n"/>
      <c r="G1762" s="56" t="n"/>
      <c r="H1762" s="57" t="n"/>
      <c r="I1762" s="55" t="n"/>
      <c r="J1762" s="53" t="n"/>
      <c r="K1762" s="54" t="n"/>
      <c r="L1762" s="55" t="n"/>
      <c r="M1762" s="55" t="n"/>
      <c r="N1762" s="57" t="n"/>
      <c r="O1762" s="55" t="n"/>
      <c r="P1762" s="56" t="n"/>
      <c r="Q1762" s="55" t="n"/>
      <c r="R1762" s="55" t="n"/>
      <c r="S1762" s="55" t="n"/>
      <c r="T1762" s="55" t="n"/>
      <c r="U1762" s="55" t="n"/>
      <c r="V1762" s="55" t="n"/>
      <c r="W1762" s="58" t="n"/>
      <c r="X1762" s="58" t="n"/>
      <c r="Y1762" s="55" t="n"/>
      <c r="Z1762" s="55" t="n"/>
      <c r="AA1762" s="55" t="n"/>
      <c r="AB1762" s="55" t="n"/>
      <c r="AC1762" s="55" t="n"/>
      <c r="AD1762" s="53" t="n"/>
      <c r="AE1762" s="55" t="n"/>
      <c r="AF1762" s="55" t="n"/>
      <c r="AG1762" s="59" t="n"/>
      <c r="AH1762" s="57" t="n"/>
      <c r="AI1762" s="55" t="n"/>
      <c r="AJ1762" s="55" t="n"/>
      <c r="AK1762" s="55" t="n"/>
      <c r="AL1762" s="55" t="n"/>
      <c r="AM1762" s="56" t="n"/>
      <c r="AN1762" s="55" t="n"/>
      <c r="AO1762" s="55" t="n"/>
      <c r="AP1762" s="55" t="n"/>
      <c r="AQ1762" s="55" t="n"/>
      <c r="AR1762" s="60">
        <f>IF(AND(C1762="",E1762=""),"",IF(A1762="","⚠ Date manquante",IF(AND(C1762="",E1762&lt;&gt;"Dépense"),"⚠ Prospect manquant",IF(E1762="","⚠ Action manquante",IF(AND(AU1762=1,D1762=""),"⚠ Canal manquant",IF(AND(W1762&lt;&gt;"",COUNTIFS('Saisie'!$W$5:$W$2004,W1762,'Saisie'!$C$5:$C$2004,"&lt;&gt;"&amp;C1762)&gt;0),"⚠ Numéro déjà utilisé par un autre prospect",IF(AND(J1762&lt;&gt;"",J1762&lt;A1762),"⚠ Relance avant la date de l'action",IF(A1762&gt;TODAY(),"⚠ Date dans le futur","✓"))))))))</f>
        <v/>
      </c>
      <c r="AS1762" s="61">
        <f>IF(AND(A1762="",C1762="",E1762=""),"",ROW())</f>
        <v/>
      </c>
      <c r="AT1762" s="61">
        <f>IF(E1762&amp;F1762="","",MAX(IFERROR(INDEX('Paramètres'!$J$6:$J$33,MATCH(E1762,'Paramètres'!$I$6:$I$33,0)),0),IFERROR(INDEX('Paramètres'!$N$6:$N$17,MATCH(F1762,'Paramètres'!$M$6:$M$17,0)),0)))</f>
        <v/>
      </c>
      <c r="AU1762" s="61">
        <f>IF(E1762="","",IFERROR(IF(INDEX('Paramètres'!$K$6:$K$33,MATCH(E1762,'Paramètres'!$I$6:$I$33,0))="Oui",1,0),0))</f>
        <v/>
      </c>
      <c r="AV1762" s="61">
        <f>IF(F1762="","",IFERROR(IF(INDEX('Paramètres'!$O$6:$O$17,MATCH(F1762,'Paramètres'!$M$6:$M$17,0))="Oui",1,0),0))</f>
        <v/>
      </c>
      <c r="AW1762" s="62">
        <f>IF(E1762="","",IF(G1762&lt;&gt;"",G1762,IF(OR(E1762="Proposition envoyée",E1762="Signature"),MAX(0,N(IFERROR(INDEX('Paramètres'!$R$6:$R$15,MATCH(IF(AL1762&lt;&gt;"",AL1762,IFERROR(INDEX('Prospects'!$AN$5:$AN$504,MATCH(C1762,'Prospects'!$C$5:$C$504,0)),"")),'Paramètres'!$Q$6:$Q$15,0)),0))-N(P1762)),0)))</f>
        <v/>
      </c>
      <c r="AX1762" s="61">
        <f>IF(C1762="","",IF(COUNTIF($C$5:C1762,C1762)=1,MAX($AX$4:AX1761)+1,""))</f>
        <v/>
      </c>
      <c r="AY1762" s="61">
        <f>IF(B1762="","",HOUR(B1762))</f>
        <v/>
      </c>
      <c r="AZ1762" s="61">
        <f>IF(A1762="","",MOD(A1762-2,7)+1)</f>
        <v/>
      </c>
      <c r="BA1762" s="60">
        <f>IF(C1762="","",IFERROR(INDEX('Prospects'!$N$5:$N$504,MATCH(C1762,'Prospects'!$C$5:$C$504,0)),""))</f>
        <v/>
      </c>
      <c r="BB1762" s="61">
        <f>IF(AND(C1762&lt;&gt;"",C1762='Fiche prospect'!$C$4),COUNTIF($C$5:C1762,C1762),"")</f>
        <v/>
      </c>
    </row>
    <row r="1763">
      <c r="A1763" s="53" t="n"/>
      <c r="B1763" s="54" t="n"/>
      <c r="C1763" s="55" t="n"/>
      <c r="D1763" s="55" t="n"/>
      <c r="E1763" s="55" t="n"/>
      <c r="F1763" s="55" t="n"/>
      <c r="G1763" s="56" t="n"/>
      <c r="H1763" s="57" t="n"/>
      <c r="I1763" s="55" t="n"/>
      <c r="J1763" s="53" t="n"/>
      <c r="K1763" s="54" t="n"/>
      <c r="L1763" s="55" t="n"/>
      <c r="M1763" s="55" t="n"/>
      <c r="N1763" s="57" t="n"/>
      <c r="O1763" s="55" t="n"/>
      <c r="P1763" s="56" t="n"/>
      <c r="Q1763" s="55" t="n"/>
      <c r="R1763" s="55" t="n"/>
      <c r="S1763" s="55" t="n"/>
      <c r="T1763" s="55" t="n"/>
      <c r="U1763" s="55" t="n"/>
      <c r="V1763" s="55" t="n"/>
      <c r="W1763" s="58" t="n"/>
      <c r="X1763" s="58" t="n"/>
      <c r="Y1763" s="55" t="n"/>
      <c r="Z1763" s="55" t="n"/>
      <c r="AA1763" s="55" t="n"/>
      <c r="AB1763" s="55" t="n"/>
      <c r="AC1763" s="55" t="n"/>
      <c r="AD1763" s="53" t="n"/>
      <c r="AE1763" s="55" t="n"/>
      <c r="AF1763" s="55" t="n"/>
      <c r="AG1763" s="59" t="n"/>
      <c r="AH1763" s="57" t="n"/>
      <c r="AI1763" s="55" t="n"/>
      <c r="AJ1763" s="55" t="n"/>
      <c r="AK1763" s="55" t="n"/>
      <c r="AL1763" s="55" t="n"/>
      <c r="AM1763" s="56" t="n"/>
      <c r="AN1763" s="55" t="n"/>
      <c r="AO1763" s="55" t="n"/>
      <c r="AP1763" s="55" t="n"/>
      <c r="AQ1763" s="55" t="n"/>
      <c r="AR1763" s="60">
        <f>IF(AND(C1763="",E1763=""),"",IF(A1763="","⚠ Date manquante",IF(AND(C1763="",E1763&lt;&gt;"Dépense"),"⚠ Prospect manquant",IF(E1763="","⚠ Action manquante",IF(AND(AU1763=1,D1763=""),"⚠ Canal manquant",IF(AND(W1763&lt;&gt;"",COUNTIFS('Saisie'!$W$5:$W$2004,W1763,'Saisie'!$C$5:$C$2004,"&lt;&gt;"&amp;C1763)&gt;0),"⚠ Numéro déjà utilisé par un autre prospect",IF(AND(J1763&lt;&gt;"",J1763&lt;A1763),"⚠ Relance avant la date de l'action",IF(A1763&gt;TODAY(),"⚠ Date dans le futur","✓"))))))))</f>
        <v/>
      </c>
      <c r="AS1763" s="61">
        <f>IF(AND(A1763="",C1763="",E1763=""),"",ROW())</f>
        <v/>
      </c>
      <c r="AT1763" s="61">
        <f>IF(E1763&amp;F1763="","",MAX(IFERROR(INDEX('Paramètres'!$J$6:$J$33,MATCH(E1763,'Paramètres'!$I$6:$I$33,0)),0),IFERROR(INDEX('Paramètres'!$N$6:$N$17,MATCH(F1763,'Paramètres'!$M$6:$M$17,0)),0)))</f>
        <v/>
      </c>
      <c r="AU1763" s="61">
        <f>IF(E1763="","",IFERROR(IF(INDEX('Paramètres'!$K$6:$K$33,MATCH(E1763,'Paramètres'!$I$6:$I$33,0))="Oui",1,0),0))</f>
        <v/>
      </c>
      <c r="AV1763" s="61">
        <f>IF(F1763="","",IFERROR(IF(INDEX('Paramètres'!$O$6:$O$17,MATCH(F1763,'Paramètres'!$M$6:$M$17,0))="Oui",1,0),0))</f>
        <v/>
      </c>
      <c r="AW1763" s="62">
        <f>IF(E1763="","",IF(G1763&lt;&gt;"",G1763,IF(OR(E1763="Proposition envoyée",E1763="Signature"),MAX(0,N(IFERROR(INDEX('Paramètres'!$R$6:$R$15,MATCH(IF(AL1763&lt;&gt;"",AL1763,IFERROR(INDEX('Prospects'!$AN$5:$AN$504,MATCH(C1763,'Prospects'!$C$5:$C$504,0)),"")),'Paramètres'!$Q$6:$Q$15,0)),0))-N(P1763)),0)))</f>
        <v/>
      </c>
      <c r="AX1763" s="61">
        <f>IF(C1763="","",IF(COUNTIF($C$5:C1763,C1763)=1,MAX($AX$4:AX1762)+1,""))</f>
        <v/>
      </c>
      <c r="AY1763" s="61">
        <f>IF(B1763="","",HOUR(B1763))</f>
        <v/>
      </c>
      <c r="AZ1763" s="61">
        <f>IF(A1763="","",MOD(A1763-2,7)+1)</f>
        <v/>
      </c>
      <c r="BA1763" s="60">
        <f>IF(C1763="","",IFERROR(INDEX('Prospects'!$N$5:$N$504,MATCH(C1763,'Prospects'!$C$5:$C$504,0)),""))</f>
        <v/>
      </c>
      <c r="BB1763" s="61">
        <f>IF(AND(C1763&lt;&gt;"",C1763='Fiche prospect'!$C$4),COUNTIF($C$5:C1763,C1763),"")</f>
        <v/>
      </c>
    </row>
    <row r="1764">
      <c r="A1764" s="53" t="n"/>
      <c r="B1764" s="54" t="n"/>
      <c r="C1764" s="55" t="n"/>
      <c r="D1764" s="55" t="n"/>
      <c r="E1764" s="55" t="n"/>
      <c r="F1764" s="55" t="n"/>
      <c r="G1764" s="56" t="n"/>
      <c r="H1764" s="57" t="n"/>
      <c r="I1764" s="55" t="n"/>
      <c r="J1764" s="53" t="n"/>
      <c r="K1764" s="54" t="n"/>
      <c r="L1764" s="55" t="n"/>
      <c r="M1764" s="55" t="n"/>
      <c r="N1764" s="57" t="n"/>
      <c r="O1764" s="55" t="n"/>
      <c r="P1764" s="56" t="n"/>
      <c r="Q1764" s="55" t="n"/>
      <c r="R1764" s="55" t="n"/>
      <c r="S1764" s="55" t="n"/>
      <c r="T1764" s="55" t="n"/>
      <c r="U1764" s="55" t="n"/>
      <c r="V1764" s="55" t="n"/>
      <c r="W1764" s="58" t="n"/>
      <c r="X1764" s="58" t="n"/>
      <c r="Y1764" s="55" t="n"/>
      <c r="Z1764" s="55" t="n"/>
      <c r="AA1764" s="55" t="n"/>
      <c r="AB1764" s="55" t="n"/>
      <c r="AC1764" s="55" t="n"/>
      <c r="AD1764" s="53" t="n"/>
      <c r="AE1764" s="55" t="n"/>
      <c r="AF1764" s="55" t="n"/>
      <c r="AG1764" s="59" t="n"/>
      <c r="AH1764" s="57" t="n"/>
      <c r="AI1764" s="55" t="n"/>
      <c r="AJ1764" s="55" t="n"/>
      <c r="AK1764" s="55" t="n"/>
      <c r="AL1764" s="55" t="n"/>
      <c r="AM1764" s="56" t="n"/>
      <c r="AN1764" s="55" t="n"/>
      <c r="AO1764" s="55" t="n"/>
      <c r="AP1764" s="55" t="n"/>
      <c r="AQ1764" s="55" t="n"/>
      <c r="AR1764" s="60">
        <f>IF(AND(C1764="",E1764=""),"",IF(A1764="","⚠ Date manquante",IF(AND(C1764="",E1764&lt;&gt;"Dépense"),"⚠ Prospect manquant",IF(E1764="","⚠ Action manquante",IF(AND(AU1764=1,D1764=""),"⚠ Canal manquant",IF(AND(W1764&lt;&gt;"",COUNTIFS('Saisie'!$W$5:$W$2004,W1764,'Saisie'!$C$5:$C$2004,"&lt;&gt;"&amp;C1764)&gt;0),"⚠ Numéro déjà utilisé par un autre prospect",IF(AND(J1764&lt;&gt;"",J1764&lt;A1764),"⚠ Relance avant la date de l'action",IF(A1764&gt;TODAY(),"⚠ Date dans le futur","✓"))))))))</f>
        <v/>
      </c>
      <c r="AS1764" s="61">
        <f>IF(AND(A1764="",C1764="",E1764=""),"",ROW())</f>
        <v/>
      </c>
      <c r="AT1764" s="61">
        <f>IF(E1764&amp;F1764="","",MAX(IFERROR(INDEX('Paramètres'!$J$6:$J$33,MATCH(E1764,'Paramètres'!$I$6:$I$33,0)),0),IFERROR(INDEX('Paramètres'!$N$6:$N$17,MATCH(F1764,'Paramètres'!$M$6:$M$17,0)),0)))</f>
        <v/>
      </c>
      <c r="AU1764" s="61">
        <f>IF(E1764="","",IFERROR(IF(INDEX('Paramètres'!$K$6:$K$33,MATCH(E1764,'Paramètres'!$I$6:$I$33,0))="Oui",1,0),0))</f>
        <v/>
      </c>
      <c r="AV1764" s="61">
        <f>IF(F1764="","",IFERROR(IF(INDEX('Paramètres'!$O$6:$O$17,MATCH(F1764,'Paramètres'!$M$6:$M$17,0))="Oui",1,0),0))</f>
        <v/>
      </c>
      <c r="AW1764" s="62">
        <f>IF(E1764="","",IF(G1764&lt;&gt;"",G1764,IF(OR(E1764="Proposition envoyée",E1764="Signature"),MAX(0,N(IFERROR(INDEX('Paramètres'!$R$6:$R$15,MATCH(IF(AL1764&lt;&gt;"",AL1764,IFERROR(INDEX('Prospects'!$AN$5:$AN$504,MATCH(C1764,'Prospects'!$C$5:$C$504,0)),"")),'Paramètres'!$Q$6:$Q$15,0)),0))-N(P1764)),0)))</f>
        <v/>
      </c>
      <c r="AX1764" s="61">
        <f>IF(C1764="","",IF(COUNTIF($C$5:C1764,C1764)=1,MAX($AX$4:AX1763)+1,""))</f>
        <v/>
      </c>
      <c r="AY1764" s="61">
        <f>IF(B1764="","",HOUR(B1764))</f>
        <v/>
      </c>
      <c r="AZ1764" s="61">
        <f>IF(A1764="","",MOD(A1764-2,7)+1)</f>
        <v/>
      </c>
      <c r="BA1764" s="60">
        <f>IF(C1764="","",IFERROR(INDEX('Prospects'!$N$5:$N$504,MATCH(C1764,'Prospects'!$C$5:$C$504,0)),""))</f>
        <v/>
      </c>
      <c r="BB1764" s="61">
        <f>IF(AND(C1764&lt;&gt;"",C1764='Fiche prospect'!$C$4),COUNTIF($C$5:C1764,C1764),"")</f>
        <v/>
      </c>
    </row>
    <row r="1765">
      <c r="A1765" s="53" t="n"/>
      <c r="B1765" s="54" t="n"/>
      <c r="C1765" s="55" t="n"/>
      <c r="D1765" s="55" t="n"/>
      <c r="E1765" s="55" t="n"/>
      <c r="F1765" s="55" t="n"/>
      <c r="G1765" s="56" t="n"/>
      <c r="H1765" s="57" t="n"/>
      <c r="I1765" s="55" t="n"/>
      <c r="J1765" s="53" t="n"/>
      <c r="K1765" s="54" t="n"/>
      <c r="L1765" s="55" t="n"/>
      <c r="M1765" s="55" t="n"/>
      <c r="N1765" s="57" t="n"/>
      <c r="O1765" s="55" t="n"/>
      <c r="P1765" s="56" t="n"/>
      <c r="Q1765" s="55" t="n"/>
      <c r="R1765" s="55" t="n"/>
      <c r="S1765" s="55" t="n"/>
      <c r="T1765" s="55" t="n"/>
      <c r="U1765" s="55" t="n"/>
      <c r="V1765" s="55" t="n"/>
      <c r="W1765" s="58" t="n"/>
      <c r="X1765" s="58" t="n"/>
      <c r="Y1765" s="55" t="n"/>
      <c r="Z1765" s="55" t="n"/>
      <c r="AA1765" s="55" t="n"/>
      <c r="AB1765" s="55" t="n"/>
      <c r="AC1765" s="55" t="n"/>
      <c r="AD1765" s="53" t="n"/>
      <c r="AE1765" s="55" t="n"/>
      <c r="AF1765" s="55" t="n"/>
      <c r="AG1765" s="59" t="n"/>
      <c r="AH1765" s="57" t="n"/>
      <c r="AI1765" s="55" t="n"/>
      <c r="AJ1765" s="55" t="n"/>
      <c r="AK1765" s="55" t="n"/>
      <c r="AL1765" s="55" t="n"/>
      <c r="AM1765" s="56" t="n"/>
      <c r="AN1765" s="55" t="n"/>
      <c r="AO1765" s="55" t="n"/>
      <c r="AP1765" s="55" t="n"/>
      <c r="AQ1765" s="55" t="n"/>
      <c r="AR1765" s="60">
        <f>IF(AND(C1765="",E1765=""),"",IF(A1765="","⚠ Date manquante",IF(AND(C1765="",E1765&lt;&gt;"Dépense"),"⚠ Prospect manquant",IF(E1765="","⚠ Action manquante",IF(AND(AU1765=1,D1765=""),"⚠ Canal manquant",IF(AND(W1765&lt;&gt;"",COUNTIFS('Saisie'!$W$5:$W$2004,W1765,'Saisie'!$C$5:$C$2004,"&lt;&gt;"&amp;C1765)&gt;0),"⚠ Numéro déjà utilisé par un autre prospect",IF(AND(J1765&lt;&gt;"",J1765&lt;A1765),"⚠ Relance avant la date de l'action",IF(A1765&gt;TODAY(),"⚠ Date dans le futur","✓"))))))))</f>
        <v/>
      </c>
      <c r="AS1765" s="61">
        <f>IF(AND(A1765="",C1765="",E1765=""),"",ROW())</f>
        <v/>
      </c>
      <c r="AT1765" s="61">
        <f>IF(E1765&amp;F1765="","",MAX(IFERROR(INDEX('Paramètres'!$J$6:$J$33,MATCH(E1765,'Paramètres'!$I$6:$I$33,0)),0),IFERROR(INDEX('Paramètres'!$N$6:$N$17,MATCH(F1765,'Paramètres'!$M$6:$M$17,0)),0)))</f>
        <v/>
      </c>
      <c r="AU1765" s="61">
        <f>IF(E1765="","",IFERROR(IF(INDEX('Paramètres'!$K$6:$K$33,MATCH(E1765,'Paramètres'!$I$6:$I$33,0))="Oui",1,0),0))</f>
        <v/>
      </c>
      <c r="AV1765" s="61">
        <f>IF(F1765="","",IFERROR(IF(INDEX('Paramètres'!$O$6:$O$17,MATCH(F1765,'Paramètres'!$M$6:$M$17,0))="Oui",1,0),0))</f>
        <v/>
      </c>
      <c r="AW1765" s="62">
        <f>IF(E1765="","",IF(G1765&lt;&gt;"",G1765,IF(OR(E1765="Proposition envoyée",E1765="Signature"),MAX(0,N(IFERROR(INDEX('Paramètres'!$R$6:$R$15,MATCH(IF(AL1765&lt;&gt;"",AL1765,IFERROR(INDEX('Prospects'!$AN$5:$AN$504,MATCH(C1765,'Prospects'!$C$5:$C$504,0)),"")),'Paramètres'!$Q$6:$Q$15,0)),0))-N(P1765)),0)))</f>
        <v/>
      </c>
      <c r="AX1765" s="61">
        <f>IF(C1765="","",IF(COUNTIF($C$5:C1765,C1765)=1,MAX($AX$4:AX1764)+1,""))</f>
        <v/>
      </c>
      <c r="AY1765" s="61">
        <f>IF(B1765="","",HOUR(B1765))</f>
        <v/>
      </c>
      <c r="AZ1765" s="61">
        <f>IF(A1765="","",MOD(A1765-2,7)+1)</f>
        <v/>
      </c>
      <c r="BA1765" s="60">
        <f>IF(C1765="","",IFERROR(INDEX('Prospects'!$N$5:$N$504,MATCH(C1765,'Prospects'!$C$5:$C$504,0)),""))</f>
        <v/>
      </c>
      <c r="BB1765" s="61">
        <f>IF(AND(C1765&lt;&gt;"",C1765='Fiche prospect'!$C$4),COUNTIF($C$5:C1765,C1765),"")</f>
        <v/>
      </c>
    </row>
    <row r="1766">
      <c r="A1766" s="53" t="n"/>
      <c r="B1766" s="54" t="n"/>
      <c r="C1766" s="55" t="n"/>
      <c r="D1766" s="55" t="n"/>
      <c r="E1766" s="55" t="n"/>
      <c r="F1766" s="55" t="n"/>
      <c r="G1766" s="56" t="n"/>
      <c r="H1766" s="57" t="n"/>
      <c r="I1766" s="55" t="n"/>
      <c r="J1766" s="53" t="n"/>
      <c r="K1766" s="54" t="n"/>
      <c r="L1766" s="55" t="n"/>
      <c r="M1766" s="55" t="n"/>
      <c r="N1766" s="57" t="n"/>
      <c r="O1766" s="55" t="n"/>
      <c r="P1766" s="56" t="n"/>
      <c r="Q1766" s="55" t="n"/>
      <c r="R1766" s="55" t="n"/>
      <c r="S1766" s="55" t="n"/>
      <c r="T1766" s="55" t="n"/>
      <c r="U1766" s="55" t="n"/>
      <c r="V1766" s="55" t="n"/>
      <c r="W1766" s="58" t="n"/>
      <c r="X1766" s="58" t="n"/>
      <c r="Y1766" s="55" t="n"/>
      <c r="Z1766" s="55" t="n"/>
      <c r="AA1766" s="55" t="n"/>
      <c r="AB1766" s="55" t="n"/>
      <c r="AC1766" s="55" t="n"/>
      <c r="AD1766" s="53" t="n"/>
      <c r="AE1766" s="55" t="n"/>
      <c r="AF1766" s="55" t="n"/>
      <c r="AG1766" s="59" t="n"/>
      <c r="AH1766" s="57" t="n"/>
      <c r="AI1766" s="55" t="n"/>
      <c r="AJ1766" s="55" t="n"/>
      <c r="AK1766" s="55" t="n"/>
      <c r="AL1766" s="55" t="n"/>
      <c r="AM1766" s="56" t="n"/>
      <c r="AN1766" s="55" t="n"/>
      <c r="AO1766" s="55" t="n"/>
      <c r="AP1766" s="55" t="n"/>
      <c r="AQ1766" s="55" t="n"/>
      <c r="AR1766" s="60">
        <f>IF(AND(C1766="",E1766=""),"",IF(A1766="","⚠ Date manquante",IF(AND(C1766="",E1766&lt;&gt;"Dépense"),"⚠ Prospect manquant",IF(E1766="","⚠ Action manquante",IF(AND(AU1766=1,D1766=""),"⚠ Canal manquant",IF(AND(W1766&lt;&gt;"",COUNTIFS('Saisie'!$W$5:$W$2004,W1766,'Saisie'!$C$5:$C$2004,"&lt;&gt;"&amp;C1766)&gt;0),"⚠ Numéro déjà utilisé par un autre prospect",IF(AND(J1766&lt;&gt;"",J1766&lt;A1766),"⚠ Relance avant la date de l'action",IF(A1766&gt;TODAY(),"⚠ Date dans le futur","✓"))))))))</f>
        <v/>
      </c>
      <c r="AS1766" s="61">
        <f>IF(AND(A1766="",C1766="",E1766=""),"",ROW())</f>
        <v/>
      </c>
      <c r="AT1766" s="61">
        <f>IF(E1766&amp;F1766="","",MAX(IFERROR(INDEX('Paramètres'!$J$6:$J$33,MATCH(E1766,'Paramètres'!$I$6:$I$33,0)),0),IFERROR(INDEX('Paramètres'!$N$6:$N$17,MATCH(F1766,'Paramètres'!$M$6:$M$17,0)),0)))</f>
        <v/>
      </c>
      <c r="AU1766" s="61">
        <f>IF(E1766="","",IFERROR(IF(INDEX('Paramètres'!$K$6:$K$33,MATCH(E1766,'Paramètres'!$I$6:$I$33,0))="Oui",1,0),0))</f>
        <v/>
      </c>
      <c r="AV1766" s="61">
        <f>IF(F1766="","",IFERROR(IF(INDEX('Paramètres'!$O$6:$O$17,MATCH(F1766,'Paramètres'!$M$6:$M$17,0))="Oui",1,0),0))</f>
        <v/>
      </c>
      <c r="AW1766" s="62">
        <f>IF(E1766="","",IF(G1766&lt;&gt;"",G1766,IF(OR(E1766="Proposition envoyée",E1766="Signature"),MAX(0,N(IFERROR(INDEX('Paramètres'!$R$6:$R$15,MATCH(IF(AL1766&lt;&gt;"",AL1766,IFERROR(INDEX('Prospects'!$AN$5:$AN$504,MATCH(C1766,'Prospects'!$C$5:$C$504,0)),"")),'Paramètres'!$Q$6:$Q$15,0)),0))-N(P1766)),0)))</f>
        <v/>
      </c>
      <c r="AX1766" s="61">
        <f>IF(C1766="","",IF(COUNTIF($C$5:C1766,C1766)=1,MAX($AX$4:AX1765)+1,""))</f>
        <v/>
      </c>
      <c r="AY1766" s="61">
        <f>IF(B1766="","",HOUR(B1766))</f>
        <v/>
      </c>
      <c r="AZ1766" s="61">
        <f>IF(A1766="","",MOD(A1766-2,7)+1)</f>
        <v/>
      </c>
      <c r="BA1766" s="60">
        <f>IF(C1766="","",IFERROR(INDEX('Prospects'!$N$5:$N$504,MATCH(C1766,'Prospects'!$C$5:$C$504,0)),""))</f>
        <v/>
      </c>
      <c r="BB1766" s="61">
        <f>IF(AND(C1766&lt;&gt;"",C1766='Fiche prospect'!$C$4),COUNTIF($C$5:C1766,C1766),"")</f>
        <v/>
      </c>
    </row>
    <row r="1767">
      <c r="A1767" s="53" t="n"/>
      <c r="B1767" s="54" t="n"/>
      <c r="C1767" s="55" t="n"/>
      <c r="D1767" s="55" t="n"/>
      <c r="E1767" s="55" t="n"/>
      <c r="F1767" s="55" t="n"/>
      <c r="G1767" s="56" t="n"/>
      <c r="H1767" s="57" t="n"/>
      <c r="I1767" s="55" t="n"/>
      <c r="J1767" s="53" t="n"/>
      <c r="K1767" s="54" t="n"/>
      <c r="L1767" s="55" t="n"/>
      <c r="M1767" s="55" t="n"/>
      <c r="N1767" s="57" t="n"/>
      <c r="O1767" s="55" t="n"/>
      <c r="P1767" s="56" t="n"/>
      <c r="Q1767" s="55" t="n"/>
      <c r="R1767" s="55" t="n"/>
      <c r="S1767" s="55" t="n"/>
      <c r="T1767" s="55" t="n"/>
      <c r="U1767" s="55" t="n"/>
      <c r="V1767" s="55" t="n"/>
      <c r="W1767" s="58" t="n"/>
      <c r="X1767" s="58" t="n"/>
      <c r="Y1767" s="55" t="n"/>
      <c r="Z1767" s="55" t="n"/>
      <c r="AA1767" s="55" t="n"/>
      <c r="AB1767" s="55" t="n"/>
      <c r="AC1767" s="55" t="n"/>
      <c r="AD1767" s="53" t="n"/>
      <c r="AE1767" s="55" t="n"/>
      <c r="AF1767" s="55" t="n"/>
      <c r="AG1767" s="59" t="n"/>
      <c r="AH1767" s="57" t="n"/>
      <c r="AI1767" s="55" t="n"/>
      <c r="AJ1767" s="55" t="n"/>
      <c r="AK1767" s="55" t="n"/>
      <c r="AL1767" s="55" t="n"/>
      <c r="AM1767" s="56" t="n"/>
      <c r="AN1767" s="55" t="n"/>
      <c r="AO1767" s="55" t="n"/>
      <c r="AP1767" s="55" t="n"/>
      <c r="AQ1767" s="55" t="n"/>
      <c r="AR1767" s="60">
        <f>IF(AND(C1767="",E1767=""),"",IF(A1767="","⚠ Date manquante",IF(AND(C1767="",E1767&lt;&gt;"Dépense"),"⚠ Prospect manquant",IF(E1767="","⚠ Action manquante",IF(AND(AU1767=1,D1767=""),"⚠ Canal manquant",IF(AND(W1767&lt;&gt;"",COUNTIFS('Saisie'!$W$5:$W$2004,W1767,'Saisie'!$C$5:$C$2004,"&lt;&gt;"&amp;C1767)&gt;0),"⚠ Numéro déjà utilisé par un autre prospect",IF(AND(J1767&lt;&gt;"",J1767&lt;A1767),"⚠ Relance avant la date de l'action",IF(A1767&gt;TODAY(),"⚠ Date dans le futur","✓"))))))))</f>
        <v/>
      </c>
      <c r="AS1767" s="61">
        <f>IF(AND(A1767="",C1767="",E1767=""),"",ROW())</f>
        <v/>
      </c>
      <c r="AT1767" s="61">
        <f>IF(E1767&amp;F1767="","",MAX(IFERROR(INDEX('Paramètres'!$J$6:$J$33,MATCH(E1767,'Paramètres'!$I$6:$I$33,0)),0),IFERROR(INDEX('Paramètres'!$N$6:$N$17,MATCH(F1767,'Paramètres'!$M$6:$M$17,0)),0)))</f>
        <v/>
      </c>
      <c r="AU1767" s="61">
        <f>IF(E1767="","",IFERROR(IF(INDEX('Paramètres'!$K$6:$K$33,MATCH(E1767,'Paramètres'!$I$6:$I$33,0))="Oui",1,0),0))</f>
        <v/>
      </c>
      <c r="AV1767" s="61">
        <f>IF(F1767="","",IFERROR(IF(INDEX('Paramètres'!$O$6:$O$17,MATCH(F1767,'Paramètres'!$M$6:$M$17,0))="Oui",1,0),0))</f>
        <v/>
      </c>
      <c r="AW1767" s="62">
        <f>IF(E1767="","",IF(G1767&lt;&gt;"",G1767,IF(OR(E1767="Proposition envoyée",E1767="Signature"),MAX(0,N(IFERROR(INDEX('Paramètres'!$R$6:$R$15,MATCH(IF(AL1767&lt;&gt;"",AL1767,IFERROR(INDEX('Prospects'!$AN$5:$AN$504,MATCH(C1767,'Prospects'!$C$5:$C$504,0)),"")),'Paramètres'!$Q$6:$Q$15,0)),0))-N(P1767)),0)))</f>
        <v/>
      </c>
      <c r="AX1767" s="61">
        <f>IF(C1767="","",IF(COUNTIF($C$5:C1767,C1767)=1,MAX($AX$4:AX1766)+1,""))</f>
        <v/>
      </c>
      <c r="AY1767" s="61">
        <f>IF(B1767="","",HOUR(B1767))</f>
        <v/>
      </c>
      <c r="AZ1767" s="61">
        <f>IF(A1767="","",MOD(A1767-2,7)+1)</f>
        <v/>
      </c>
      <c r="BA1767" s="60">
        <f>IF(C1767="","",IFERROR(INDEX('Prospects'!$N$5:$N$504,MATCH(C1767,'Prospects'!$C$5:$C$504,0)),""))</f>
        <v/>
      </c>
      <c r="BB1767" s="61">
        <f>IF(AND(C1767&lt;&gt;"",C1767='Fiche prospect'!$C$4),COUNTIF($C$5:C1767,C1767),"")</f>
        <v/>
      </c>
    </row>
    <row r="1768">
      <c r="A1768" s="53" t="n"/>
      <c r="B1768" s="54" t="n"/>
      <c r="C1768" s="55" t="n"/>
      <c r="D1768" s="55" t="n"/>
      <c r="E1768" s="55" t="n"/>
      <c r="F1768" s="55" t="n"/>
      <c r="G1768" s="56" t="n"/>
      <c r="H1768" s="57" t="n"/>
      <c r="I1768" s="55" t="n"/>
      <c r="J1768" s="53" t="n"/>
      <c r="K1768" s="54" t="n"/>
      <c r="L1768" s="55" t="n"/>
      <c r="M1768" s="55" t="n"/>
      <c r="N1768" s="57" t="n"/>
      <c r="O1768" s="55" t="n"/>
      <c r="P1768" s="56" t="n"/>
      <c r="Q1768" s="55" t="n"/>
      <c r="R1768" s="55" t="n"/>
      <c r="S1768" s="55" t="n"/>
      <c r="T1768" s="55" t="n"/>
      <c r="U1768" s="55" t="n"/>
      <c r="V1768" s="55" t="n"/>
      <c r="W1768" s="58" t="n"/>
      <c r="X1768" s="58" t="n"/>
      <c r="Y1768" s="55" t="n"/>
      <c r="Z1768" s="55" t="n"/>
      <c r="AA1768" s="55" t="n"/>
      <c r="AB1768" s="55" t="n"/>
      <c r="AC1768" s="55" t="n"/>
      <c r="AD1768" s="53" t="n"/>
      <c r="AE1768" s="55" t="n"/>
      <c r="AF1768" s="55" t="n"/>
      <c r="AG1768" s="59" t="n"/>
      <c r="AH1768" s="57" t="n"/>
      <c r="AI1768" s="55" t="n"/>
      <c r="AJ1768" s="55" t="n"/>
      <c r="AK1768" s="55" t="n"/>
      <c r="AL1768" s="55" t="n"/>
      <c r="AM1768" s="56" t="n"/>
      <c r="AN1768" s="55" t="n"/>
      <c r="AO1768" s="55" t="n"/>
      <c r="AP1768" s="55" t="n"/>
      <c r="AQ1768" s="55" t="n"/>
      <c r="AR1768" s="60">
        <f>IF(AND(C1768="",E1768=""),"",IF(A1768="","⚠ Date manquante",IF(AND(C1768="",E1768&lt;&gt;"Dépense"),"⚠ Prospect manquant",IF(E1768="","⚠ Action manquante",IF(AND(AU1768=1,D1768=""),"⚠ Canal manquant",IF(AND(W1768&lt;&gt;"",COUNTIFS('Saisie'!$W$5:$W$2004,W1768,'Saisie'!$C$5:$C$2004,"&lt;&gt;"&amp;C1768)&gt;0),"⚠ Numéro déjà utilisé par un autre prospect",IF(AND(J1768&lt;&gt;"",J1768&lt;A1768),"⚠ Relance avant la date de l'action",IF(A1768&gt;TODAY(),"⚠ Date dans le futur","✓"))))))))</f>
        <v/>
      </c>
      <c r="AS1768" s="61">
        <f>IF(AND(A1768="",C1768="",E1768=""),"",ROW())</f>
        <v/>
      </c>
      <c r="AT1768" s="61">
        <f>IF(E1768&amp;F1768="","",MAX(IFERROR(INDEX('Paramètres'!$J$6:$J$33,MATCH(E1768,'Paramètres'!$I$6:$I$33,0)),0),IFERROR(INDEX('Paramètres'!$N$6:$N$17,MATCH(F1768,'Paramètres'!$M$6:$M$17,0)),0)))</f>
        <v/>
      </c>
      <c r="AU1768" s="61">
        <f>IF(E1768="","",IFERROR(IF(INDEX('Paramètres'!$K$6:$K$33,MATCH(E1768,'Paramètres'!$I$6:$I$33,0))="Oui",1,0),0))</f>
        <v/>
      </c>
      <c r="AV1768" s="61">
        <f>IF(F1768="","",IFERROR(IF(INDEX('Paramètres'!$O$6:$O$17,MATCH(F1768,'Paramètres'!$M$6:$M$17,0))="Oui",1,0),0))</f>
        <v/>
      </c>
      <c r="AW1768" s="62">
        <f>IF(E1768="","",IF(G1768&lt;&gt;"",G1768,IF(OR(E1768="Proposition envoyée",E1768="Signature"),MAX(0,N(IFERROR(INDEX('Paramètres'!$R$6:$R$15,MATCH(IF(AL1768&lt;&gt;"",AL1768,IFERROR(INDEX('Prospects'!$AN$5:$AN$504,MATCH(C1768,'Prospects'!$C$5:$C$504,0)),"")),'Paramètres'!$Q$6:$Q$15,0)),0))-N(P1768)),0)))</f>
        <v/>
      </c>
      <c r="AX1768" s="61">
        <f>IF(C1768="","",IF(COUNTIF($C$5:C1768,C1768)=1,MAX($AX$4:AX1767)+1,""))</f>
        <v/>
      </c>
      <c r="AY1768" s="61">
        <f>IF(B1768="","",HOUR(B1768))</f>
        <v/>
      </c>
      <c r="AZ1768" s="61">
        <f>IF(A1768="","",MOD(A1768-2,7)+1)</f>
        <v/>
      </c>
      <c r="BA1768" s="60">
        <f>IF(C1768="","",IFERROR(INDEX('Prospects'!$N$5:$N$504,MATCH(C1768,'Prospects'!$C$5:$C$504,0)),""))</f>
        <v/>
      </c>
      <c r="BB1768" s="61">
        <f>IF(AND(C1768&lt;&gt;"",C1768='Fiche prospect'!$C$4),COUNTIF($C$5:C1768,C1768),"")</f>
        <v/>
      </c>
    </row>
    <row r="1769">
      <c r="A1769" s="53" t="n"/>
      <c r="B1769" s="54" t="n"/>
      <c r="C1769" s="55" t="n"/>
      <c r="D1769" s="55" t="n"/>
      <c r="E1769" s="55" t="n"/>
      <c r="F1769" s="55" t="n"/>
      <c r="G1769" s="56" t="n"/>
      <c r="H1769" s="57" t="n"/>
      <c r="I1769" s="55" t="n"/>
      <c r="J1769" s="53" t="n"/>
      <c r="K1769" s="54" t="n"/>
      <c r="L1769" s="55" t="n"/>
      <c r="M1769" s="55" t="n"/>
      <c r="N1769" s="57" t="n"/>
      <c r="O1769" s="55" t="n"/>
      <c r="P1769" s="56" t="n"/>
      <c r="Q1769" s="55" t="n"/>
      <c r="R1769" s="55" t="n"/>
      <c r="S1769" s="55" t="n"/>
      <c r="T1769" s="55" t="n"/>
      <c r="U1769" s="55" t="n"/>
      <c r="V1769" s="55" t="n"/>
      <c r="W1769" s="58" t="n"/>
      <c r="X1769" s="58" t="n"/>
      <c r="Y1769" s="55" t="n"/>
      <c r="Z1769" s="55" t="n"/>
      <c r="AA1769" s="55" t="n"/>
      <c r="AB1769" s="55" t="n"/>
      <c r="AC1769" s="55" t="n"/>
      <c r="AD1769" s="53" t="n"/>
      <c r="AE1769" s="55" t="n"/>
      <c r="AF1769" s="55" t="n"/>
      <c r="AG1769" s="59" t="n"/>
      <c r="AH1769" s="57" t="n"/>
      <c r="AI1769" s="55" t="n"/>
      <c r="AJ1769" s="55" t="n"/>
      <c r="AK1769" s="55" t="n"/>
      <c r="AL1769" s="55" t="n"/>
      <c r="AM1769" s="56" t="n"/>
      <c r="AN1769" s="55" t="n"/>
      <c r="AO1769" s="55" t="n"/>
      <c r="AP1769" s="55" t="n"/>
      <c r="AQ1769" s="55" t="n"/>
      <c r="AR1769" s="60">
        <f>IF(AND(C1769="",E1769=""),"",IF(A1769="","⚠ Date manquante",IF(AND(C1769="",E1769&lt;&gt;"Dépense"),"⚠ Prospect manquant",IF(E1769="","⚠ Action manquante",IF(AND(AU1769=1,D1769=""),"⚠ Canal manquant",IF(AND(W1769&lt;&gt;"",COUNTIFS('Saisie'!$W$5:$W$2004,W1769,'Saisie'!$C$5:$C$2004,"&lt;&gt;"&amp;C1769)&gt;0),"⚠ Numéro déjà utilisé par un autre prospect",IF(AND(J1769&lt;&gt;"",J1769&lt;A1769),"⚠ Relance avant la date de l'action",IF(A1769&gt;TODAY(),"⚠ Date dans le futur","✓"))))))))</f>
        <v/>
      </c>
      <c r="AS1769" s="61">
        <f>IF(AND(A1769="",C1769="",E1769=""),"",ROW())</f>
        <v/>
      </c>
      <c r="AT1769" s="61">
        <f>IF(E1769&amp;F1769="","",MAX(IFERROR(INDEX('Paramètres'!$J$6:$J$33,MATCH(E1769,'Paramètres'!$I$6:$I$33,0)),0),IFERROR(INDEX('Paramètres'!$N$6:$N$17,MATCH(F1769,'Paramètres'!$M$6:$M$17,0)),0)))</f>
        <v/>
      </c>
      <c r="AU1769" s="61">
        <f>IF(E1769="","",IFERROR(IF(INDEX('Paramètres'!$K$6:$K$33,MATCH(E1769,'Paramètres'!$I$6:$I$33,0))="Oui",1,0),0))</f>
        <v/>
      </c>
      <c r="AV1769" s="61">
        <f>IF(F1769="","",IFERROR(IF(INDEX('Paramètres'!$O$6:$O$17,MATCH(F1769,'Paramètres'!$M$6:$M$17,0))="Oui",1,0),0))</f>
        <v/>
      </c>
      <c r="AW1769" s="62">
        <f>IF(E1769="","",IF(G1769&lt;&gt;"",G1769,IF(OR(E1769="Proposition envoyée",E1769="Signature"),MAX(0,N(IFERROR(INDEX('Paramètres'!$R$6:$R$15,MATCH(IF(AL1769&lt;&gt;"",AL1769,IFERROR(INDEX('Prospects'!$AN$5:$AN$504,MATCH(C1769,'Prospects'!$C$5:$C$504,0)),"")),'Paramètres'!$Q$6:$Q$15,0)),0))-N(P1769)),0)))</f>
        <v/>
      </c>
      <c r="AX1769" s="61">
        <f>IF(C1769="","",IF(COUNTIF($C$5:C1769,C1769)=1,MAX($AX$4:AX1768)+1,""))</f>
        <v/>
      </c>
      <c r="AY1769" s="61">
        <f>IF(B1769="","",HOUR(B1769))</f>
        <v/>
      </c>
      <c r="AZ1769" s="61">
        <f>IF(A1769="","",MOD(A1769-2,7)+1)</f>
        <v/>
      </c>
      <c r="BA1769" s="60">
        <f>IF(C1769="","",IFERROR(INDEX('Prospects'!$N$5:$N$504,MATCH(C1769,'Prospects'!$C$5:$C$504,0)),""))</f>
        <v/>
      </c>
      <c r="BB1769" s="61">
        <f>IF(AND(C1769&lt;&gt;"",C1769='Fiche prospect'!$C$4),COUNTIF($C$5:C1769,C1769),"")</f>
        <v/>
      </c>
    </row>
    <row r="1770">
      <c r="A1770" s="53" t="n"/>
      <c r="B1770" s="54" t="n"/>
      <c r="C1770" s="55" t="n"/>
      <c r="D1770" s="55" t="n"/>
      <c r="E1770" s="55" t="n"/>
      <c r="F1770" s="55" t="n"/>
      <c r="G1770" s="56" t="n"/>
      <c r="H1770" s="57" t="n"/>
      <c r="I1770" s="55" t="n"/>
      <c r="J1770" s="53" t="n"/>
      <c r="K1770" s="54" t="n"/>
      <c r="L1770" s="55" t="n"/>
      <c r="M1770" s="55" t="n"/>
      <c r="N1770" s="57" t="n"/>
      <c r="O1770" s="55" t="n"/>
      <c r="P1770" s="56" t="n"/>
      <c r="Q1770" s="55" t="n"/>
      <c r="R1770" s="55" t="n"/>
      <c r="S1770" s="55" t="n"/>
      <c r="T1770" s="55" t="n"/>
      <c r="U1770" s="55" t="n"/>
      <c r="V1770" s="55" t="n"/>
      <c r="W1770" s="58" t="n"/>
      <c r="X1770" s="58" t="n"/>
      <c r="Y1770" s="55" t="n"/>
      <c r="Z1770" s="55" t="n"/>
      <c r="AA1770" s="55" t="n"/>
      <c r="AB1770" s="55" t="n"/>
      <c r="AC1770" s="55" t="n"/>
      <c r="AD1770" s="53" t="n"/>
      <c r="AE1770" s="55" t="n"/>
      <c r="AF1770" s="55" t="n"/>
      <c r="AG1770" s="59" t="n"/>
      <c r="AH1770" s="57" t="n"/>
      <c r="AI1770" s="55" t="n"/>
      <c r="AJ1770" s="55" t="n"/>
      <c r="AK1770" s="55" t="n"/>
      <c r="AL1770" s="55" t="n"/>
      <c r="AM1770" s="56" t="n"/>
      <c r="AN1770" s="55" t="n"/>
      <c r="AO1770" s="55" t="n"/>
      <c r="AP1770" s="55" t="n"/>
      <c r="AQ1770" s="55" t="n"/>
      <c r="AR1770" s="60">
        <f>IF(AND(C1770="",E1770=""),"",IF(A1770="","⚠ Date manquante",IF(AND(C1770="",E1770&lt;&gt;"Dépense"),"⚠ Prospect manquant",IF(E1770="","⚠ Action manquante",IF(AND(AU1770=1,D1770=""),"⚠ Canal manquant",IF(AND(W1770&lt;&gt;"",COUNTIFS('Saisie'!$W$5:$W$2004,W1770,'Saisie'!$C$5:$C$2004,"&lt;&gt;"&amp;C1770)&gt;0),"⚠ Numéro déjà utilisé par un autre prospect",IF(AND(J1770&lt;&gt;"",J1770&lt;A1770),"⚠ Relance avant la date de l'action",IF(A1770&gt;TODAY(),"⚠ Date dans le futur","✓"))))))))</f>
        <v/>
      </c>
      <c r="AS1770" s="61">
        <f>IF(AND(A1770="",C1770="",E1770=""),"",ROW())</f>
        <v/>
      </c>
      <c r="AT1770" s="61">
        <f>IF(E1770&amp;F1770="","",MAX(IFERROR(INDEX('Paramètres'!$J$6:$J$33,MATCH(E1770,'Paramètres'!$I$6:$I$33,0)),0),IFERROR(INDEX('Paramètres'!$N$6:$N$17,MATCH(F1770,'Paramètres'!$M$6:$M$17,0)),0)))</f>
        <v/>
      </c>
      <c r="AU1770" s="61">
        <f>IF(E1770="","",IFERROR(IF(INDEX('Paramètres'!$K$6:$K$33,MATCH(E1770,'Paramètres'!$I$6:$I$33,0))="Oui",1,0),0))</f>
        <v/>
      </c>
      <c r="AV1770" s="61">
        <f>IF(F1770="","",IFERROR(IF(INDEX('Paramètres'!$O$6:$O$17,MATCH(F1770,'Paramètres'!$M$6:$M$17,0))="Oui",1,0),0))</f>
        <v/>
      </c>
      <c r="AW1770" s="62">
        <f>IF(E1770="","",IF(G1770&lt;&gt;"",G1770,IF(OR(E1770="Proposition envoyée",E1770="Signature"),MAX(0,N(IFERROR(INDEX('Paramètres'!$R$6:$R$15,MATCH(IF(AL1770&lt;&gt;"",AL1770,IFERROR(INDEX('Prospects'!$AN$5:$AN$504,MATCH(C1770,'Prospects'!$C$5:$C$504,0)),"")),'Paramètres'!$Q$6:$Q$15,0)),0))-N(P1770)),0)))</f>
        <v/>
      </c>
      <c r="AX1770" s="61">
        <f>IF(C1770="","",IF(COUNTIF($C$5:C1770,C1770)=1,MAX($AX$4:AX1769)+1,""))</f>
        <v/>
      </c>
      <c r="AY1770" s="61">
        <f>IF(B1770="","",HOUR(B1770))</f>
        <v/>
      </c>
      <c r="AZ1770" s="61">
        <f>IF(A1770="","",MOD(A1770-2,7)+1)</f>
        <v/>
      </c>
      <c r="BA1770" s="60">
        <f>IF(C1770="","",IFERROR(INDEX('Prospects'!$N$5:$N$504,MATCH(C1770,'Prospects'!$C$5:$C$504,0)),""))</f>
        <v/>
      </c>
      <c r="BB1770" s="61">
        <f>IF(AND(C1770&lt;&gt;"",C1770='Fiche prospect'!$C$4),COUNTIF($C$5:C1770,C1770),"")</f>
        <v/>
      </c>
    </row>
    <row r="1771">
      <c r="A1771" s="53" t="n"/>
      <c r="B1771" s="54" t="n"/>
      <c r="C1771" s="55" t="n"/>
      <c r="D1771" s="55" t="n"/>
      <c r="E1771" s="55" t="n"/>
      <c r="F1771" s="55" t="n"/>
      <c r="G1771" s="56" t="n"/>
      <c r="H1771" s="57" t="n"/>
      <c r="I1771" s="55" t="n"/>
      <c r="J1771" s="53" t="n"/>
      <c r="K1771" s="54" t="n"/>
      <c r="L1771" s="55" t="n"/>
      <c r="M1771" s="55" t="n"/>
      <c r="N1771" s="57" t="n"/>
      <c r="O1771" s="55" t="n"/>
      <c r="P1771" s="56" t="n"/>
      <c r="Q1771" s="55" t="n"/>
      <c r="R1771" s="55" t="n"/>
      <c r="S1771" s="55" t="n"/>
      <c r="T1771" s="55" t="n"/>
      <c r="U1771" s="55" t="n"/>
      <c r="V1771" s="55" t="n"/>
      <c r="W1771" s="58" t="n"/>
      <c r="X1771" s="58" t="n"/>
      <c r="Y1771" s="55" t="n"/>
      <c r="Z1771" s="55" t="n"/>
      <c r="AA1771" s="55" t="n"/>
      <c r="AB1771" s="55" t="n"/>
      <c r="AC1771" s="55" t="n"/>
      <c r="AD1771" s="53" t="n"/>
      <c r="AE1771" s="55" t="n"/>
      <c r="AF1771" s="55" t="n"/>
      <c r="AG1771" s="59" t="n"/>
      <c r="AH1771" s="57" t="n"/>
      <c r="AI1771" s="55" t="n"/>
      <c r="AJ1771" s="55" t="n"/>
      <c r="AK1771" s="55" t="n"/>
      <c r="AL1771" s="55" t="n"/>
      <c r="AM1771" s="56" t="n"/>
      <c r="AN1771" s="55" t="n"/>
      <c r="AO1771" s="55" t="n"/>
      <c r="AP1771" s="55" t="n"/>
      <c r="AQ1771" s="55" t="n"/>
      <c r="AR1771" s="60">
        <f>IF(AND(C1771="",E1771=""),"",IF(A1771="","⚠ Date manquante",IF(AND(C1771="",E1771&lt;&gt;"Dépense"),"⚠ Prospect manquant",IF(E1771="","⚠ Action manquante",IF(AND(AU1771=1,D1771=""),"⚠ Canal manquant",IF(AND(W1771&lt;&gt;"",COUNTIFS('Saisie'!$W$5:$W$2004,W1771,'Saisie'!$C$5:$C$2004,"&lt;&gt;"&amp;C1771)&gt;0),"⚠ Numéro déjà utilisé par un autre prospect",IF(AND(J1771&lt;&gt;"",J1771&lt;A1771),"⚠ Relance avant la date de l'action",IF(A1771&gt;TODAY(),"⚠ Date dans le futur","✓"))))))))</f>
        <v/>
      </c>
      <c r="AS1771" s="61">
        <f>IF(AND(A1771="",C1771="",E1771=""),"",ROW())</f>
        <v/>
      </c>
      <c r="AT1771" s="61">
        <f>IF(E1771&amp;F1771="","",MAX(IFERROR(INDEX('Paramètres'!$J$6:$J$33,MATCH(E1771,'Paramètres'!$I$6:$I$33,0)),0),IFERROR(INDEX('Paramètres'!$N$6:$N$17,MATCH(F1771,'Paramètres'!$M$6:$M$17,0)),0)))</f>
        <v/>
      </c>
      <c r="AU1771" s="61">
        <f>IF(E1771="","",IFERROR(IF(INDEX('Paramètres'!$K$6:$K$33,MATCH(E1771,'Paramètres'!$I$6:$I$33,0))="Oui",1,0),0))</f>
        <v/>
      </c>
      <c r="AV1771" s="61">
        <f>IF(F1771="","",IFERROR(IF(INDEX('Paramètres'!$O$6:$O$17,MATCH(F1771,'Paramètres'!$M$6:$M$17,0))="Oui",1,0),0))</f>
        <v/>
      </c>
      <c r="AW1771" s="62">
        <f>IF(E1771="","",IF(G1771&lt;&gt;"",G1771,IF(OR(E1771="Proposition envoyée",E1771="Signature"),MAX(0,N(IFERROR(INDEX('Paramètres'!$R$6:$R$15,MATCH(IF(AL1771&lt;&gt;"",AL1771,IFERROR(INDEX('Prospects'!$AN$5:$AN$504,MATCH(C1771,'Prospects'!$C$5:$C$504,0)),"")),'Paramètres'!$Q$6:$Q$15,0)),0))-N(P1771)),0)))</f>
        <v/>
      </c>
      <c r="AX1771" s="61">
        <f>IF(C1771="","",IF(COUNTIF($C$5:C1771,C1771)=1,MAX($AX$4:AX1770)+1,""))</f>
        <v/>
      </c>
      <c r="AY1771" s="61">
        <f>IF(B1771="","",HOUR(B1771))</f>
        <v/>
      </c>
      <c r="AZ1771" s="61">
        <f>IF(A1771="","",MOD(A1771-2,7)+1)</f>
        <v/>
      </c>
      <c r="BA1771" s="60">
        <f>IF(C1771="","",IFERROR(INDEX('Prospects'!$N$5:$N$504,MATCH(C1771,'Prospects'!$C$5:$C$504,0)),""))</f>
        <v/>
      </c>
      <c r="BB1771" s="61">
        <f>IF(AND(C1771&lt;&gt;"",C1771='Fiche prospect'!$C$4),COUNTIF($C$5:C1771,C1771),"")</f>
        <v/>
      </c>
    </row>
    <row r="1772">
      <c r="A1772" s="53" t="n"/>
      <c r="B1772" s="54" t="n"/>
      <c r="C1772" s="55" t="n"/>
      <c r="D1772" s="55" t="n"/>
      <c r="E1772" s="55" t="n"/>
      <c r="F1772" s="55" t="n"/>
      <c r="G1772" s="56" t="n"/>
      <c r="H1772" s="57" t="n"/>
      <c r="I1772" s="55" t="n"/>
      <c r="J1772" s="53" t="n"/>
      <c r="K1772" s="54" t="n"/>
      <c r="L1772" s="55" t="n"/>
      <c r="M1772" s="55" t="n"/>
      <c r="N1772" s="57" t="n"/>
      <c r="O1772" s="55" t="n"/>
      <c r="P1772" s="56" t="n"/>
      <c r="Q1772" s="55" t="n"/>
      <c r="R1772" s="55" t="n"/>
      <c r="S1772" s="55" t="n"/>
      <c r="T1772" s="55" t="n"/>
      <c r="U1772" s="55" t="n"/>
      <c r="V1772" s="55" t="n"/>
      <c r="W1772" s="58" t="n"/>
      <c r="X1772" s="58" t="n"/>
      <c r="Y1772" s="55" t="n"/>
      <c r="Z1772" s="55" t="n"/>
      <c r="AA1772" s="55" t="n"/>
      <c r="AB1772" s="55" t="n"/>
      <c r="AC1772" s="55" t="n"/>
      <c r="AD1772" s="53" t="n"/>
      <c r="AE1772" s="55" t="n"/>
      <c r="AF1772" s="55" t="n"/>
      <c r="AG1772" s="59" t="n"/>
      <c r="AH1772" s="57" t="n"/>
      <c r="AI1772" s="55" t="n"/>
      <c r="AJ1772" s="55" t="n"/>
      <c r="AK1772" s="55" t="n"/>
      <c r="AL1772" s="55" t="n"/>
      <c r="AM1772" s="56" t="n"/>
      <c r="AN1772" s="55" t="n"/>
      <c r="AO1772" s="55" t="n"/>
      <c r="AP1772" s="55" t="n"/>
      <c r="AQ1772" s="55" t="n"/>
      <c r="AR1772" s="60">
        <f>IF(AND(C1772="",E1772=""),"",IF(A1772="","⚠ Date manquante",IF(AND(C1772="",E1772&lt;&gt;"Dépense"),"⚠ Prospect manquant",IF(E1772="","⚠ Action manquante",IF(AND(AU1772=1,D1772=""),"⚠ Canal manquant",IF(AND(W1772&lt;&gt;"",COUNTIFS('Saisie'!$W$5:$W$2004,W1772,'Saisie'!$C$5:$C$2004,"&lt;&gt;"&amp;C1772)&gt;0),"⚠ Numéro déjà utilisé par un autre prospect",IF(AND(J1772&lt;&gt;"",J1772&lt;A1772),"⚠ Relance avant la date de l'action",IF(A1772&gt;TODAY(),"⚠ Date dans le futur","✓"))))))))</f>
        <v/>
      </c>
      <c r="AS1772" s="61">
        <f>IF(AND(A1772="",C1772="",E1772=""),"",ROW())</f>
        <v/>
      </c>
      <c r="AT1772" s="61">
        <f>IF(E1772&amp;F1772="","",MAX(IFERROR(INDEX('Paramètres'!$J$6:$J$33,MATCH(E1772,'Paramètres'!$I$6:$I$33,0)),0),IFERROR(INDEX('Paramètres'!$N$6:$N$17,MATCH(F1772,'Paramètres'!$M$6:$M$17,0)),0)))</f>
        <v/>
      </c>
      <c r="AU1772" s="61">
        <f>IF(E1772="","",IFERROR(IF(INDEX('Paramètres'!$K$6:$K$33,MATCH(E1772,'Paramètres'!$I$6:$I$33,0))="Oui",1,0),0))</f>
        <v/>
      </c>
      <c r="AV1772" s="61">
        <f>IF(F1772="","",IFERROR(IF(INDEX('Paramètres'!$O$6:$O$17,MATCH(F1772,'Paramètres'!$M$6:$M$17,0))="Oui",1,0),0))</f>
        <v/>
      </c>
      <c r="AW1772" s="62">
        <f>IF(E1772="","",IF(G1772&lt;&gt;"",G1772,IF(OR(E1772="Proposition envoyée",E1772="Signature"),MAX(0,N(IFERROR(INDEX('Paramètres'!$R$6:$R$15,MATCH(IF(AL1772&lt;&gt;"",AL1772,IFERROR(INDEX('Prospects'!$AN$5:$AN$504,MATCH(C1772,'Prospects'!$C$5:$C$504,0)),"")),'Paramètres'!$Q$6:$Q$15,0)),0))-N(P1772)),0)))</f>
        <v/>
      </c>
      <c r="AX1772" s="61">
        <f>IF(C1772="","",IF(COUNTIF($C$5:C1772,C1772)=1,MAX($AX$4:AX1771)+1,""))</f>
        <v/>
      </c>
      <c r="AY1772" s="61">
        <f>IF(B1772="","",HOUR(B1772))</f>
        <v/>
      </c>
      <c r="AZ1772" s="61">
        <f>IF(A1772="","",MOD(A1772-2,7)+1)</f>
        <v/>
      </c>
      <c r="BA1772" s="60">
        <f>IF(C1772="","",IFERROR(INDEX('Prospects'!$N$5:$N$504,MATCH(C1772,'Prospects'!$C$5:$C$504,0)),""))</f>
        <v/>
      </c>
      <c r="BB1772" s="61">
        <f>IF(AND(C1772&lt;&gt;"",C1772='Fiche prospect'!$C$4),COUNTIF($C$5:C1772,C1772),"")</f>
        <v/>
      </c>
    </row>
    <row r="1773">
      <c r="A1773" s="53" t="n"/>
      <c r="B1773" s="54" t="n"/>
      <c r="C1773" s="55" t="n"/>
      <c r="D1773" s="55" t="n"/>
      <c r="E1773" s="55" t="n"/>
      <c r="F1773" s="55" t="n"/>
      <c r="G1773" s="56" t="n"/>
      <c r="H1773" s="57" t="n"/>
      <c r="I1773" s="55" t="n"/>
      <c r="J1773" s="53" t="n"/>
      <c r="K1773" s="54" t="n"/>
      <c r="L1773" s="55" t="n"/>
      <c r="M1773" s="55" t="n"/>
      <c r="N1773" s="57" t="n"/>
      <c r="O1773" s="55" t="n"/>
      <c r="P1773" s="56" t="n"/>
      <c r="Q1773" s="55" t="n"/>
      <c r="R1773" s="55" t="n"/>
      <c r="S1773" s="55" t="n"/>
      <c r="T1773" s="55" t="n"/>
      <c r="U1773" s="55" t="n"/>
      <c r="V1773" s="55" t="n"/>
      <c r="W1773" s="58" t="n"/>
      <c r="X1773" s="58" t="n"/>
      <c r="Y1773" s="55" t="n"/>
      <c r="Z1773" s="55" t="n"/>
      <c r="AA1773" s="55" t="n"/>
      <c r="AB1773" s="55" t="n"/>
      <c r="AC1773" s="55" t="n"/>
      <c r="AD1773" s="53" t="n"/>
      <c r="AE1773" s="55" t="n"/>
      <c r="AF1773" s="55" t="n"/>
      <c r="AG1773" s="59" t="n"/>
      <c r="AH1773" s="57" t="n"/>
      <c r="AI1773" s="55" t="n"/>
      <c r="AJ1773" s="55" t="n"/>
      <c r="AK1773" s="55" t="n"/>
      <c r="AL1773" s="55" t="n"/>
      <c r="AM1773" s="56" t="n"/>
      <c r="AN1773" s="55" t="n"/>
      <c r="AO1773" s="55" t="n"/>
      <c r="AP1773" s="55" t="n"/>
      <c r="AQ1773" s="55" t="n"/>
      <c r="AR1773" s="60">
        <f>IF(AND(C1773="",E1773=""),"",IF(A1773="","⚠ Date manquante",IF(AND(C1773="",E1773&lt;&gt;"Dépense"),"⚠ Prospect manquant",IF(E1773="","⚠ Action manquante",IF(AND(AU1773=1,D1773=""),"⚠ Canal manquant",IF(AND(W1773&lt;&gt;"",COUNTIFS('Saisie'!$W$5:$W$2004,W1773,'Saisie'!$C$5:$C$2004,"&lt;&gt;"&amp;C1773)&gt;0),"⚠ Numéro déjà utilisé par un autre prospect",IF(AND(J1773&lt;&gt;"",J1773&lt;A1773),"⚠ Relance avant la date de l'action",IF(A1773&gt;TODAY(),"⚠ Date dans le futur","✓"))))))))</f>
        <v/>
      </c>
      <c r="AS1773" s="61">
        <f>IF(AND(A1773="",C1773="",E1773=""),"",ROW())</f>
        <v/>
      </c>
      <c r="AT1773" s="61">
        <f>IF(E1773&amp;F1773="","",MAX(IFERROR(INDEX('Paramètres'!$J$6:$J$33,MATCH(E1773,'Paramètres'!$I$6:$I$33,0)),0),IFERROR(INDEX('Paramètres'!$N$6:$N$17,MATCH(F1773,'Paramètres'!$M$6:$M$17,0)),0)))</f>
        <v/>
      </c>
      <c r="AU1773" s="61">
        <f>IF(E1773="","",IFERROR(IF(INDEX('Paramètres'!$K$6:$K$33,MATCH(E1773,'Paramètres'!$I$6:$I$33,0))="Oui",1,0),0))</f>
        <v/>
      </c>
      <c r="AV1773" s="61">
        <f>IF(F1773="","",IFERROR(IF(INDEX('Paramètres'!$O$6:$O$17,MATCH(F1773,'Paramètres'!$M$6:$M$17,0))="Oui",1,0),0))</f>
        <v/>
      </c>
      <c r="AW1773" s="62">
        <f>IF(E1773="","",IF(G1773&lt;&gt;"",G1773,IF(OR(E1773="Proposition envoyée",E1773="Signature"),MAX(0,N(IFERROR(INDEX('Paramètres'!$R$6:$R$15,MATCH(IF(AL1773&lt;&gt;"",AL1773,IFERROR(INDEX('Prospects'!$AN$5:$AN$504,MATCH(C1773,'Prospects'!$C$5:$C$504,0)),"")),'Paramètres'!$Q$6:$Q$15,0)),0))-N(P1773)),0)))</f>
        <v/>
      </c>
      <c r="AX1773" s="61">
        <f>IF(C1773="","",IF(COUNTIF($C$5:C1773,C1773)=1,MAX($AX$4:AX1772)+1,""))</f>
        <v/>
      </c>
      <c r="AY1773" s="61">
        <f>IF(B1773="","",HOUR(B1773))</f>
        <v/>
      </c>
      <c r="AZ1773" s="61">
        <f>IF(A1773="","",MOD(A1773-2,7)+1)</f>
        <v/>
      </c>
      <c r="BA1773" s="60">
        <f>IF(C1773="","",IFERROR(INDEX('Prospects'!$N$5:$N$504,MATCH(C1773,'Prospects'!$C$5:$C$504,0)),""))</f>
        <v/>
      </c>
      <c r="BB1773" s="61">
        <f>IF(AND(C1773&lt;&gt;"",C1773='Fiche prospect'!$C$4),COUNTIF($C$5:C1773,C1773),"")</f>
        <v/>
      </c>
    </row>
    <row r="1774">
      <c r="A1774" s="53" t="n"/>
      <c r="B1774" s="54" t="n"/>
      <c r="C1774" s="55" t="n"/>
      <c r="D1774" s="55" t="n"/>
      <c r="E1774" s="55" t="n"/>
      <c r="F1774" s="55" t="n"/>
      <c r="G1774" s="56" t="n"/>
      <c r="H1774" s="57" t="n"/>
      <c r="I1774" s="55" t="n"/>
      <c r="J1774" s="53" t="n"/>
      <c r="K1774" s="54" t="n"/>
      <c r="L1774" s="55" t="n"/>
      <c r="M1774" s="55" t="n"/>
      <c r="N1774" s="57" t="n"/>
      <c r="O1774" s="55" t="n"/>
      <c r="P1774" s="56" t="n"/>
      <c r="Q1774" s="55" t="n"/>
      <c r="R1774" s="55" t="n"/>
      <c r="S1774" s="55" t="n"/>
      <c r="T1774" s="55" t="n"/>
      <c r="U1774" s="55" t="n"/>
      <c r="V1774" s="55" t="n"/>
      <c r="W1774" s="58" t="n"/>
      <c r="X1774" s="58" t="n"/>
      <c r="Y1774" s="55" t="n"/>
      <c r="Z1774" s="55" t="n"/>
      <c r="AA1774" s="55" t="n"/>
      <c r="AB1774" s="55" t="n"/>
      <c r="AC1774" s="55" t="n"/>
      <c r="AD1774" s="53" t="n"/>
      <c r="AE1774" s="55" t="n"/>
      <c r="AF1774" s="55" t="n"/>
      <c r="AG1774" s="59" t="n"/>
      <c r="AH1774" s="57" t="n"/>
      <c r="AI1774" s="55" t="n"/>
      <c r="AJ1774" s="55" t="n"/>
      <c r="AK1774" s="55" t="n"/>
      <c r="AL1774" s="55" t="n"/>
      <c r="AM1774" s="56" t="n"/>
      <c r="AN1774" s="55" t="n"/>
      <c r="AO1774" s="55" t="n"/>
      <c r="AP1774" s="55" t="n"/>
      <c r="AQ1774" s="55" t="n"/>
      <c r="AR1774" s="60">
        <f>IF(AND(C1774="",E1774=""),"",IF(A1774="","⚠ Date manquante",IF(AND(C1774="",E1774&lt;&gt;"Dépense"),"⚠ Prospect manquant",IF(E1774="","⚠ Action manquante",IF(AND(AU1774=1,D1774=""),"⚠ Canal manquant",IF(AND(W1774&lt;&gt;"",COUNTIFS('Saisie'!$W$5:$W$2004,W1774,'Saisie'!$C$5:$C$2004,"&lt;&gt;"&amp;C1774)&gt;0),"⚠ Numéro déjà utilisé par un autre prospect",IF(AND(J1774&lt;&gt;"",J1774&lt;A1774),"⚠ Relance avant la date de l'action",IF(A1774&gt;TODAY(),"⚠ Date dans le futur","✓"))))))))</f>
        <v/>
      </c>
      <c r="AS1774" s="61">
        <f>IF(AND(A1774="",C1774="",E1774=""),"",ROW())</f>
        <v/>
      </c>
      <c r="AT1774" s="61">
        <f>IF(E1774&amp;F1774="","",MAX(IFERROR(INDEX('Paramètres'!$J$6:$J$33,MATCH(E1774,'Paramètres'!$I$6:$I$33,0)),0),IFERROR(INDEX('Paramètres'!$N$6:$N$17,MATCH(F1774,'Paramètres'!$M$6:$M$17,0)),0)))</f>
        <v/>
      </c>
      <c r="AU1774" s="61">
        <f>IF(E1774="","",IFERROR(IF(INDEX('Paramètres'!$K$6:$K$33,MATCH(E1774,'Paramètres'!$I$6:$I$33,0))="Oui",1,0),0))</f>
        <v/>
      </c>
      <c r="AV1774" s="61">
        <f>IF(F1774="","",IFERROR(IF(INDEX('Paramètres'!$O$6:$O$17,MATCH(F1774,'Paramètres'!$M$6:$M$17,0))="Oui",1,0),0))</f>
        <v/>
      </c>
      <c r="AW1774" s="62">
        <f>IF(E1774="","",IF(G1774&lt;&gt;"",G1774,IF(OR(E1774="Proposition envoyée",E1774="Signature"),MAX(0,N(IFERROR(INDEX('Paramètres'!$R$6:$R$15,MATCH(IF(AL1774&lt;&gt;"",AL1774,IFERROR(INDEX('Prospects'!$AN$5:$AN$504,MATCH(C1774,'Prospects'!$C$5:$C$504,0)),"")),'Paramètres'!$Q$6:$Q$15,0)),0))-N(P1774)),0)))</f>
        <v/>
      </c>
      <c r="AX1774" s="61">
        <f>IF(C1774="","",IF(COUNTIF($C$5:C1774,C1774)=1,MAX($AX$4:AX1773)+1,""))</f>
        <v/>
      </c>
      <c r="AY1774" s="61">
        <f>IF(B1774="","",HOUR(B1774))</f>
        <v/>
      </c>
      <c r="AZ1774" s="61">
        <f>IF(A1774="","",MOD(A1774-2,7)+1)</f>
        <v/>
      </c>
      <c r="BA1774" s="60">
        <f>IF(C1774="","",IFERROR(INDEX('Prospects'!$N$5:$N$504,MATCH(C1774,'Prospects'!$C$5:$C$504,0)),""))</f>
        <v/>
      </c>
      <c r="BB1774" s="61">
        <f>IF(AND(C1774&lt;&gt;"",C1774='Fiche prospect'!$C$4),COUNTIF($C$5:C1774,C1774),"")</f>
        <v/>
      </c>
    </row>
    <row r="1775">
      <c r="A1775" s="53" t="n"/>
      <c r="B1775" s="54" t="n"/>
      <c r="C1775" s="55" t="n"/>
      <c r="D1775" s="55" t="n"/>
      <c r="E1775" s="55" t="n"/>
      <c r="F1775" s="55" t="n"/>
      <c r="G1775" s="56" t="n"/>
      <c r="H1775" s="57" t="n"/>
      <c r="I1775" s="55" t="n"/>
      <c r="J1775" s="53" t="n"/>
      <c r="K1775" s="54" t="n"/>
      <c r="L1775" s="55" t="n"/>
      <c r="M1775" s="55" t="n"/>
      <c r="N1775" s="57" t="n"/>
      <c r="O1775" s="55" t="n"/>
      <c r="P1775" s="56" t="n"/>
      <c r="Q1775" s="55" t="n"/>
      <c r="R1775" s="55" t="n"/>
      <c r="S1775" s="55" t="n"/>
      <c r="T1775" s="55" t="n"/>
      <c r="U1775" s="55" t="n"/>
      <c r="V1775" s="55" t="n"/>
      <c r="W1775" s="58" t="n"/>
      <c r="X1775" s="58" t="n"/>
      <c r="Y1775" s="55" t="n"/>
      <c r="Z1775" s="55" t="n"/>
      <c r="AA1775" s="55" t="n"/>
      <c r="AB1775" s="55" t="n"/>
      <c r="AC1775" s="55" t="n"/>
      <c r="AD1775" s="53" t="n"/>
      <c r="AE1775" s="55" t="n"/>
      <c r="AF1775" s="55" t="n"/>
      <c r="AG1775" s="59" t="n"/>
      <c r="AH1775" s="57" t="n"/>
      <c r="AI1775" s="55" t="n"/>
      <c r="AJ1775" s="55" t="n"/>
      <c r="AK1775" s="55" t="n"/>
      <c r="AL1775" s="55" t="n"/>
      <c r="AM1775" s="56" t="n"/>
      <c r="AN1775" s="55" t="n"/>
      <c r="AO1775" s="55" t="n"/>
      <c r="AP1775" s="55" t="n"/>
      <c r="AQ1775" s="55" t="n"/>
      <c r="AR1775" s="60">
        <f>IF(AND(C1775="",E1775=""),"",IF(A1775="","⚠ Date manquante",IF(AND(C1775="",E1775&lt;&gt;"Dépense"),"⚠ Prospect manquant",IF(E1775="","⚠ Action manquante",IF(AND(AU1775=1,D1775=""),"⚠ Canal manquant",IF(AND(W1775&lt;&gt;"",COUNTIFS('Saisie'!$W$5:$W$2004,W1775,'Saisie'!$C$5:$C$2004,"&lt;&gt;"&amp;C1775)&gt;0),"⚠ Numéro déjà utilisé par un autre prospect",IF(AND(J1775&lt;&gt;"",J1775&lt;A1775),"⚠ Relance avant la date de l'action",IF(A1775&gt;TODAY(),"⚠ Date dans le futur","✓"))))))))</f>
        <v/>
      </c>
      <c r="AS1775" s="61">
        <f>IF(AND(A1775="",C1775="",E1775=""),"",ROW())</f>
        <v/>
      </c>
      <c r="AT1775" s="61">
        <f>IF(E1775&amp;F1775="","",MAX(IFERROR(INDEX('Paramètres'!$J$6:$J$33,MATCH(E1775,'Paramètres'!$I$6:$I$33,0)),0),IFERROR(INDEX('Paramètres'!$N$6:$N$17,MATCH(F1775,'Paramètres'!$M$6:$M$17,0)),0)))</f>
        <v/>
      </c>
      <c r="AU1775" s="61">
        <f>IF(E1775="","",IFERROR(IF(INDEX('Paramètres'!$K$6:$K$33,MATCH(E1775,'Paramètres'!$I$6:$I$33,0))="Oui",1,0),0))</f>
        <v/>
      </c>
      <c r="AV1775" s="61">
        <f>IF(F1775="","",IFERROR(IF(INDEX('Paramètres'!$O$6:$O$17,MATCH(F1775,'Paramètres'!$M$6:$M$17,0))="Oui",1,0),0))</f>
        <v/>
      </c>
      <c r="AW1775" s="62">
        <f>IF(E1775="","",IF(G1775&lt;&gt;"",G1775,IF(OR(E1775="Proposition envoyée",E1775="Signature"),MAX(0,N(IFERROR(INDEX('Paramètres'!$R$6:$R$15,MATCH(IF(AL1775&lt;&gt;"",AL1775,IFERROR(INDEX('Prospects'!$AN$5:$AN$504,MATCH(C1775,'Prospects'!$C$5:$C$504,0)),"")),'Paramètres'!$Q$6:$Q$15,0)),0))-N(P1775)),0)))</f>
        <v/>
      </c>
      <c r="AX1775" s="61">
        <f>IF(C1775="","",IF(COUNTIF($C$5:C1775,C1775)=1,MAX($AX$4:AX1774)+1,""))</f>
        <v/>
      </c>
      <c r="AY1775" s="61">
        <f>IF(B1775="","",HOUR(B1775))</f>
        <v/>
      </c>
      <c r="AZ1775" s="61">
        <f>IF(A1775="","",MOD(A1775-2,7)+1)</f>
        <v/>
      </c>
      <c r="BA1775" s="60">
        <f>IF(C1775="","",IFERROR(INDEX('Prospects'!$N$5:$N$504,MATCH(C1775,'Prospects'!$C$5:$C$504,0)),""))</f>
        <v/>
      </c>
      <c r="BB1775" s="61">
        <f>IF(AND(C1775&lt;&gt;"",C1775='Fiche prospect'!$C$4),COUNTIF($C$5:C1775,C1775),"")</f>
        <v/>
      </c>
    </row>
    <row r="1776">
      <c r="A1776" s="53" t="n"/>
      <c r="B1776" s="54" t="n"/>
      <c r="C1776" s="55" t="n"/>
      <c r="D1776" s="55" t="n"/>
      <c r="E1776" s="55" t="n"/>
      <c r="F1776" s="55" t="n"/>
      <c r="G1776" s="56" t="n"/>
      <c r="H1776" s="57" t="n"/>
      <c r="I1776" s="55" t="n"/>
      <c r="J1776" s="53" t="n"/>
      <c r="K1776" s="54" t="n"/>
      <c r="L1776" s="55" t="n"/>
      <c r="M1776" s="55" t="n"/>
      <c r="N1776" s="57" t="n"/>
      <c r="O1776" s="55" t="n"/>
      <c r="P1776" s="56" t="n"/>
      <c r="Q1776" s="55" t="n"/>
      <c r="R1776" s="55" t="n"/>
      <c r="S1776" s="55" t="n"/>
      <c r="T1776" s="55" t="n"/>
      <c r="U1776" s="55" t="n"/>
      <c r="V1776" s="55" t="n"/>
      <c r="W1776" s="58" t="n"/>
      <c r="X1776" s="58" t="n"/>
      <c r="Y1776" s="55" t="n"/>
      <c r="Z1776" s="55" t="n"/>
      <c r="AA1776" s="55" t="n"/>
      <c r="AB1776" s="55" t="n"/>
      <c r="AC1776" s="55" t="n"/>
      <c r="AD1776" s="53" t="n"/>
      <c r="AE1776" s="55" t="n"/>
      <c r="AF1776" s="55" t="n"/>
      <c r="AG1776" s="59" t="n"/>
      <c r="AH1776" s="57" t="n"/>
      <c r="AI1776" s="55" t="n"/>
      <c r="AJ1776" s="55" t="n"/>
      <c r="AK1776" s="55" t="n"/>
      <c r="AL1776" s="55" t="n"/>
      <c r="AM1776" s="56" t="n"/>
      <c r="AN1776" s="55" t="n"/>
      <c r="AO1776" s="55" t="n"/>
      <c r="AP1776" s="55" t="n"/>
      <c r="AQ1776" s="55" t="n"/>
      <c r="AR1776" s="60">
        <f>IF(AND(C1776="",E1776=""),"",IF(A1776="","⚠ Date manquante",IF(AND(C1776="",E1776&lt;&gt;"Dépense"),"⚠ Prospect manquant",IF(E1776="","⚠ Action manquante",IF(AND(AU1776=1,D1776=""),"⚠ Canal manquant",IF(AND(W1776&lt;&gt;"",COUNTIFS('Saisie'!$W$5:$W$2004,W1776,'Saisie'!$C$5:$C$2004,"&lt;&gt;"&amp;C1776)&gt;0),"⚠ Numéro déjà utilisé par un autre prospect",IF(AND(J1776&lt;&gt;"",J1776&lt;A1776),"⚠ Relance avant la date de l'action",IF(A1776&gt;TODAY(),"⚠ Date dans le futur","✓"))))))))</f>
        <v/>
      </c>
      <c r="AS1776" s="61">
        <f>IF(AND(A1776="",C1776="",E1776=""),"",ROW())</f>
        <v/>
      </c>
      <c r="AT1776" s="61">
        <f>IF(E1776&amp;F1776="","",MAX(IFERROR(INDEX('Paramètres'!$J$6:$J$33,MATCH(E1776,'Paramètres'!$I$6:$I$33,0)),0),IFERROR(INDEX('Paramètres'!$N$6:$N$17,MATCH(F1776,'Paramètres'!$M$6:$M$17,0)),0)))</f>
        <v/>
      </c>
      <c r="AU1776" s="61">
        <f>IF(E1776="","",IFERROR(IF(INDEX('Paramètres'!$K$6:$K$33,MATCH(E1776,'Paramètres'!$I$6:$I$33,0))="Oui",1,0),0))</f>
        <v/>
      </c>
      <c r="AV1776" s="61">
        <f>IF(F1776="","",IFERROR(IF(INDEX('Paramètres'!$O$6:$O$17,MATCH(F1776,'Paramètres'!$M$6:$M$17,0))="Oui",1,0),0))</f>
        <v/>
      </c>
      <c r="AW1776" s="62">
        <f>IF(E1776="","",IF(G1776&lt;&gt;"",G1776,IF(OR(E1776="Proposition envoyée",E1776="Signature"),MAX(0,N(IFERROR(INDEX('Paramètres'!$R$6:$R$15,MATCH(IF(AL1776&lt;&gt;"",AL1776,IFERROR(INDEX('Prospects'!$AN$5:$AN$504,MATCH(C1776,'Prospects'!$C$5:$C$504,0)),"")),'Paramètres'!$Q$6:$Q$15,0)),0))-N(P1776)),0)))</f>
        <v/>
      </c>
      <c r="AX1776" s="61">
        <f>IF(C1776="","",IF(COUNTIF($C$5:C1776,C1776)=1,MAX($AX$4:AX1775)+1,""))</f>
        <v/>
      </c>
      <c r="AY1776" s="61">
        <f>IF(B1776="","",HOUR(B1776))</f>
        <v/>
      </c>
      <c r="AZ1776" s="61">
        <f>IF(A1776="","",MOD(A1776-2,7)+1)</f>
        <v/>
      </c>
      <c r="BA1776" s="60">
        <f>IF(C1776="","",IFERROR(INDEX('Prospects'!$N$5:$N$504,MATCH(C1776,'Prospects'!$C$5:$C$504,0)),""))</f>
        <v/>
      </c>
      <c r="BB1776" s="61">
        <f>IF(AND(C1776&lt;&gt;"",C1776='Fiche prospect'!$C$4),COUNTIF($C$5:C1776,C1776),"")</f>
        <v/>
      </c>
    </row>
    <row r="1777">
      <c r="A1777" s="53" t="n"/>
      <c r="B1777" s="54" t="n"/>
      <c r="C1777" s="55" t="n"/>
      <c r="D1777" s="55" t="n"/>
      <c r="E1777" s="55" t="n"/>
      <c r="F1777" s="55" t="n"/>
      <c r="G1777" s="56" t="n"/>
      <c r="H1777" s="57" t="n"/>
      <c r="I1777" s="55" t="n"/>
      <c r="J1777" s="53" t="n"/>
      <c r="K1777" s="54" t="n"/>
      <c r="L1777" s="55" t="n"/>
      <c r="M1777" s="55" t="n"/>
      <c r="N1777" s="57" t="n"/>
      <c r="O1777" s="55" t="n"/>
      <c r="P1777" s="56" t="n"/>
      <c r="Q1777" s="55" t="n"/>
      <c r="R1777" s="55" t="n"/>
      <c r="S1777" s="55" t="n"/>
      <c r="T1777" s="55" t="n"/>
      <c r="U1777" s="55" t="n"/>
      <c r="V1777" s="55" t="n"/>
      <c r="W1777" s="58" t="n"/>
      <c r="X1777" s="58" t="n"/>
      <c r="Y1777" s="55" t="n"/>
      <c r="Z1777" s="55" t="n"/>
      <c r="AA1777" s="55" t="n"/>
      <c r="AB1777" s="55" t="n"/>
      <c r="AC1777" s="55" t="n"/>
      <c r="AD1777" s="53" t="n"/>
      <c r="AE1777" s="55" t="n"/>
      <c r="AF1777" s="55" t="n"/>
      <c r="AG1777" s="59" t="n"/>
      <c r="AH1777" s="57" t="n"/>
      <c r="AI1777" s="55" t="n"/>
      <c r="AJ1777" s="55" t="n"/>
      <c r="AK1777" s="55" t="n"/>
      <c r="AL1777" s="55" t="n"/>
      <c r="AM1777" s="56" t="n"/>
      <c r="AN1777" s="55" t="n"/>
      <c r="AO1777" s="55" t="n"/>
      <c r="AP1777" s="55" t="n"/>
      <c r="AQ1777" s="55" t="n"/>
      <c r="AR1777" s="60">
        <f>IF(AND(C1777="",E1777=""),"",IF(A1777="","⚠ Date manquante",IF(AND(C1777="",E1777&lt;&gt;"Dépense"),"⚠ Prospect manquant",IF(E1777="","⚠ Action manquante",IF(AND(AU1777=1,D1777=""),"⚠ Canal manquant",IF(AND(W1777&lt;&gt;"",COUNTIFS('Saisie'!$W$5:$W$2004,W1777,'Saisie'!$C$5:$C$2004,"&lt;&gt;"&amp;C1777)&gt;0),"⚠ Numéro déjà utilisé par un autre prospect",IF(AND(J1777&lt;&gt;"",J1777&lt;A1777),"⚠ Relance avant la date de l'action",IF(A1777&gt;TODAY(),"⚠ Date dans le futur","✓"))))))))</f>
        <v/>
      </c>
      <c r="AS1777" s="61">
        <f>IF(AND(A1777="",C1777="",E1777=""),"",ROW())</f>
        <v/>
      </c>
      <c r="AT1777" s="61">
        <f>IF(E1777&amp;F1777="","",MAX(IFERROR(INDEX('Paramètres'!$J$6:$J$33,MATCH(E1777,'Paramètres'!$I$6:$I$33,0)),0),IFERROR(INDEX('Paramètres'!$N$6:$N$17,MATCH(F1777,'Paramètres'!$M$6:$M$17,0)),0)))</f>
        <v/>
      </c>
      <c r="AU1777" s="61">
        <f>IF(E1777="","",IFERROR(IF(INDEX('Paramètres'!$K$6:$K$33,MATCH(E1777,'Paramètres'!$I$6:$I$33,0))="Oui",1,0),0))</f>
        <v/>
      </c>
      <c r="AV1777" s="61">
        <f>IF(F1777="","",IFERROR(IF(INDEX('Paramètres'!$O$6:$O$17,MATCH(F1777,'Paramètres'!$M$6:$M$17,0))="Oui",1,0),0))</f>
        <v/>
      </c>
      <c r="AW1777" s="62">
        <f>IF(E1777="","",IF(G1777&lt;&gt;"",G1777,IF(OR(E1777="Proposition envoyée",E1777="Signature"),MAX(0,N(IFERROR(INDEX('Paramètres'!$R$6:$R$15,MATCH(IF(AL1777&lt;&gt;"",AL1777,IFERROR(INDEX('Prospects'!$AN$5:$AN$504,MATCH(C1777,'Prospects'!$C$5:$C$504,0)),"")),'Paramètres'!$Q$6:$Q$15,0)),0))-N(P1777)),0)))</f>
        <v/>
      </c>
      <c r="AX1777" s="61">
        <f>IF(C1777="","",IF(COUNTIF($C$5:C1777,C1777)=1,MAX($AX$4:AX1776)+1,""))</f>
        <v/>
      </c>
      <c r="AY1777" s="61">
        <f>IF(B1777="","",HOUR(B1777))</f>
        <v/>
      </c>
      <c r="AZ1777" s="61">
        <f>IF(A1777="","",MOD(A1777-2,7)+1)</f>
        <v/>
      </c>
      <c r="BA1777" s="60">
        <f>IF(C1777="","",IFERROR(INDEX('Prospects'!$N$5:$N$504,MATCH(C1777,'Prospects'!$C$5:$C$504,0)),""))</f>
        <v/>
      </c>
      <c r="BB1777" s="61">
        <f>IF(AND(C1777&lt;&gt;"",C1777='Fiche prospect'!$C$4),COUNTIF($C$5:C1777,C1777),"")</f>
        <v/>
      </c>
    </row>
    <row r="1778">
      <c r="A1778" s="53" t="n"/>
      <c r="B1778" s="54" t="n"/>
      <c r="C1778" s="55" t="n"/>
      <c r="D1778" s="55" t="n"/>
      <c r="E1778" s="55" t="n"/>
      <c r="F1778" s="55" t="n"/>
      <c r="G1778" s="56" t="n"/>
      <c r="H1778" s="57" t="n"/>
      <c r="I1778" s="55" t="n"/>
      <c r="J1778" s="53" t="n"/>
      <c r="K1778" s="54" t="n"/>
      <c r="L1778" s="55" t="n"/>
      <c r="M1778" s="55" t="n"/>
      <c r="N1778" s="57" t="n"/>
      <c r="O1778" s="55" t="n"/>
      <c r="P1778" s="56" t="n"/>
      <c r="Q1778" s="55" t="n"/>
      <c r="R1778" s="55" t="n"/>
      <c r="S1778" s="55" t="n"/>
      <c r="T1778" s="55" t="n"/>
      <c r="U1778" s="55" t="n"/>
      <c r="V1778" s="55" t="n"/>
      <c r="W1778" s="58" t="n"/>
      <c r="X1778" s="58" t="n"/>
      <c r="Y1778" s="55" t="n"/>
      <c r="Z1778" s="55" t="n"/>
      <c r="AA1778" s="55" t="n"/>
      <c r="AB1778" s="55" t="n"/>
      <c r="AC1778" s="55" t="n"/>
      <c r="AD1778" s="53" t="n"/>
      <c r="AE1778" s="55" t="n"/>
      <c r="AF1778" s="55" t="n"/>
      <c r="AG1778" s="59" t="n"/>
      <c r="AH1778" s="57" t="n"/>
      <c r="AI1778" s="55" t="n"/>
      <c r="AJ1778" s="55" t="n"/>
      <c r="AK1778" s="55" t="n"/>
      <c r="AL1778" s="55" t="n"/>
      <c r="AM1778" s="56" t="n"/>
      <c r="AN1778" s="55" t="n"/>
      <c r="AO1778" s="55" t="n"/>
      <c r="AP1778" s="55" t="n"/>
      <c r="AQ1778" s="55" t="n"/>
      <c r="AR1778" s="60">
        <f>IF(AND(C1778="",E1778=""),"",IF(A1778="","⚠ Date manquante",IF(AND(C1778="",E1778&lt;&gt;"Dépense"),"⚠ Prospect manquant",IF(E1778="","⚠ Action manquante",IF(AND(AU1778=1,D1778=""),"⚠ Canal manquant",IF(AND(W1778&lt;&gt;"",COUNTIFS('Saisie'!$W$5:$W$2004,W1778,'Saisie'!$C$5:$C$2004,"&lt;&gt;"&amp;C1778)&gt;0),"⚠ Numéro déjà utilisé par un autre prospect",IF(AND(J1778&lt;&gt;"",J1778&lt;A1778),"⚠ Relance avant la date de l'action",IF(A1778&gt;TODAY(),"⚠ Date dans le futur","✓"))))))))</f>
        <v/>
      </c>
      <c r="AS1778" s="61">
        <f>IF(AND(A1778="",C1778="",E1778=""),"",ROW())</f>
        <v/>
      </c>
      <c r="AT1778" s="61">
        <f>IF(E1778&amp;F1778="","",MAX(IFERROR(INDEX('Paramètres'!$J$6:$J$33,MATCH(E1778,'Paramètres'!$I$6:$I$33,0)),0),IFERROR(INDEX('Paramètres'!$N$6:$N$17,MATCH(F1778,'Paramètres'!$M$6:$M$17,0)),0)))</f>
        <v/>
      </c>
      <c r="AU1778" s="61">
        <f>IF(E1778="","",IFERROR(IF(INDEX('Paramètres'!$K$6:$K$33,MATCH(E1778,'Paramètres'!$I$6:$I$33,0))="Oui",1,0),0))</f>
        <v/>
      </c>
      <c r="AV1778" s="61">
        <f>IF(F1778="","",IFERROR(IF(INDEX('Paramètres'!$O$6:$O$17,MATCH(F1778,'Paramètres'!$M$6:$M$17,0))="Oui",1,0),0))</f>
        <v/>
      </c>
      <c r="AW1778" s="62">
        <f>IF(E1778="","",IF(G1778&lt;&gt;"",G1778,IF(OR(E1778="Proposition envoyée",E1778="Signature"),MAX(0,N(IFERROR(INDEX('Paramètres'!$R$6:$R$15,MATCH(IF(AL1778&lt;&gt;"",AL1778,IFERROR(INDEX('Prospects'!$AN$5:$AN$504,MATCH(C1778,'Prospects'!$C$5:$C$504,0)),"")),'Paramètres'!$Q$6:$Q$15,0)),0))-N(P1778)),0)))</f>
        <v/>
      </c>
      <c r="AX1778" s="61">
        <f>IF(C1778="","",IF(COUNTIF($C$5:C1778,C1778)=1,MAX($AX$4:AX1777)+1,""))</f>
        <v/>
      </c>
      <c r="AY1778" s="61">
        <f>IF(B1778="","",HOUR(B1778))</f>
        <v/>
      </c>
      <c r="AZ1778" s="61">
        <f>IF(A1778="","",MOD(A1778-2,7)+1)</f>
        <v/>
      </c>
      <c r="BA1778" s="60">
        <f>IF(C1778="","",IFERROR(INDEX('Prospects'!$N$5:$N$504,MATCH(C1778,'Prospects'!$C$5:$C$504,0)),""))</f>
        <v/>
      </c>
      <c r="BB1778" s="61">
        <f>IF(AND(C1778&lt;&gt;"",C1778='Fiche prospect'!$C$4),COUNTIF($C$5:C1778,C1778),"")</f>
        <v/>
      </c>
    </row>
    <row r="1779">
      <c r="A1779" s="53" t="n"/>
      <c r="B1779" s="54" t="n"/>
      <c r="C1779" s="55" t="n"/>
      <c r="D1779" s="55" t="n"/>
      <c r="E1779" s="55" t="n"/>
      <c r="F1779" s="55" t="n"/>
      <c r="G1779" s="56" t="n"/>
      <c r="H1779" s="57" t="n"/>
      <c r="I1779" s="55" t="n"/>
      <c r="J1779" s="53" t="n"/>
      <c r="K1779" s="54" t="n"/>
      <c r="L1779" s="55" t="n"/>
      <c r="M1779" s="55" t="n"/>
      <c r="N1779" s="57" t="n"/>
      <c r="O1779" s="55" t="n"/>
      <c r="P1779" s="56" t="n"/>
      <c r="Q1779" s="55" t="n"/>
      <c r="R1779" s="55" t="n"/>
      <c r="S1779" s="55" t="n"/>
      <c r="T1779" s="55" t="n"/>
      <c r="U1779" s="55" t="n"/>
      <c r="V1779" s="55" t="n"/>
      <c r="W1779" s="58" t="n"/>
      <c r="X1779" s="58" t="n"/>
      <c r="Y1779" s="55" t="n"/>
      <c r="Z1779" s="55" t="n"/>
      <c r="AA1779" s="55" t="n"/>
      <c r="AB1779" s="55" t="n"/>
      <c r="AC1779" s="55" t="n"/>
      <c r="AD1779" s="53" t="n"/>
      <c r="AE1779" s="55" t="n"/>
      <c r="AF1779" s="55" t="n"/>
      <c r="AG1779" s="59" t="n"/>
      <c r="AH1779" s="57" t="n"/>
      <c r="AI1779" s="55" t="n"/>
      <c r="AJ1779" s="55" t="n"/>
      <c r="AK1779" s="55" t="n"/>
      <c r="AL1779" s="55" t="n"/>
      <c r="AM1779" s="56" t="n"/>
      <c r="AN1779" s="55" t="n"/>
      <c r="AO1779" s="55" t="n"/>
      <c r="AP1779" s="55" t="n"/>
      <c r="AQ1779" s="55" t="n"/>
      <c r="AR1779" s="60">
        <f>IF(AND(C1779="",E1779=""),"",IF(A1779="","⚠ Date manquante",IF(AND(C1779="",E1779&lt;&gt;"Dépense"),"⚠ Prospect manquant",IF(E1779="","⚠ Action manquante",IF(AND(AU1779=1,D1779=""),"⚠ Canal manquant",IF(AND(W1779&lt;&gt;"",COUNTIFS('Saisie'!$W$5:$W$2004,W1779,'Saisie'!$C$5:$C$2004,"&lt;&gt;"&amp;C1779)&gt;0),"⚠ Numéro déjà utilisé par un autre prospect",IF(AND(J1779&lt;&gt;"",J1779&lt;A1779),"⚠ Relance avant la date de l'action",IF(A1779&gt;TODAY(),"⚠ Date dans le futur","✓"))))))))</f>
        <v/>
      </c>
      <c r="AS1779" s="61">
        <f>IF(AND(A1779="",C1779="",E1779=""),"",ROW())</f>
        <v/>
      </c>
      <c r="AT1779" s="61">
        <f>IF(E1779&amp;F1779="","",MAX(IFERROR(INDEX('Paramètres'!$J$6:$J$33,MATCH(E1779,'Paramètres'!$I$6:$I$33,0)),0),IFERROR(INDEX('Paramètres'!$N$6:$N$17,MATCH(F1779,'Paramètres'!$M$6:$M$17,0)),0)))</f>
        <v/>
      </c>
      <c r="AU1779" s="61">
        <f>IF(E1779="","",IFERROR(IF(INDEX('Paramètres'!$K$6:$K$33,MATCH(E1779,'Paramètres'!$I$6:$I$33,0))="Oui",1,0),0))</f>
        <v/>
      </c>
      <c r="AV1779" s="61">
        <f>IF(F1779="","",IFERROR(IF(INDEX('Paramètres'!$O$6:$O$17,MATCH(F1779,'Paramètres'!$M$6:$M$17,0))="Oui",1,0),0))</f>
        <v/>
      </c>
      <c r="AW1779" s="62">
        <f>IF(E1779="","",IF(G1779&lt;&gt;"",G1779,IF(OR(E1779="Proposition envoyée",E1779="Signature"),MAX(0,N(IFERROR(INDEX('Paramètres'!$R$6:$R$15,MATCH(IF(AL1779&lt;&gt;"",AL1779,IFERROR(INDEX('Prospects'!$AN$5:$AN$504,MATCH(C1779,'Prospects'!$C$5:$C$504,0)),"")),'Paramètres'!$Q$6:$Q$15,0)),0))-N(P1779)),0)))</f>
        <v/>
      </c>
      <c r="AX1779" s="61">
        <f>IF(C1779="","",IF(COUNTIF($C$5:C1779,C1779)=1,MAX($AX$4:AX1778)+1,""))</f>
        <v/>
      </c>
      <c r="AY1779" s="61">
        <f>IF(B1779="","",HOUR(B1779))</f>
        <v/>
      </c>
      <c r="AZ1779" s="61">
        <f>IF(A1779="","",MOD(A1779-2,7)+1)</f>
        <v/>
      </c>
      <c r="BA1779" s="60">
        <f>IF(C1779="","",IFERROR(INDEX('Prospects'!$N$5:$N$504,MATCH(C1779,'Prospects'!$C$5:$C$504,0)),""))</f>
        <v/>
      </c>
      <c r="BB1779" s="61">
        <f>IF(AND(C1779&lt;&gt;"",C1779='Fiche prospect'!$C$4),COUNTIF($C$5:C1779,C1779),"")</f>
        <v/>
      </c>
    </row>
    <row r="1780">
      <c r="A1780" s="53" t="n"/>
      <c r="B1780" s="54" t="n"/>
      <c r="C1780" s="55" t="n"/>
      <c r="D1780" s="55" t="n"/>
      <c r="E1780" s="55" t="n"/>
      <c r="F1780" s="55" t="n"/>
      <c r="G1780" s="56" t="n"/>
      <c r="H1780" s="57" t="n"/>
      <c r="I1780" s="55" t="n"/>
      <c r="J1780" s="53" t="n"/>
      <c r="K1780" s="54" t="n"/>
      <c r="L1780" s="55" t="n"/>
      <c r="M1780" s="55" t="n"/>
      <c r="N1780" s="57" t="n"/>
      <c r="O1780" s="55" t="n"/>
      <c r="P1780" s="56" t="n"/>
      <c r="Q1780" s="55" t="n"/>
      <c r="R1780" s="55" t="n"/>
      <c r="S1780" s="55" t="n"/>
      <c r="T1780" s="55" t="n"/>
      <c r="U1780" s="55" t="n"/>
      <c r="V1780" s="55" t="n"/>
      <c r="W1780" s="58" t="n"/>
      <c r="X1780" s="58" t="n"/>
      <c r="Y1780" s="55" t="n"/>
      <c r="Z1780" s="55" t="n"/>
      <c r="AA1780" s="55" t="n"/>
      <c r="AB1780" s="55" t="n"/>
      <c r="AC1780" s="55" t="n"/>
      <c r="AD1780" s="53" t="n"/>
      <c r="AE1780" s="55" t="n"/>
      <c r="AF1780" s="55" t="n"/>
      <c r="AG1780" s="59" t="n"/>
      <c r="AH1780" s="57" t="n"/>
      <c r="AI1780" s="55" t="n"/>
      <c r="AJ1780" s="55" t="n"/>
      <c r="AK1780" s="55" t="n"/>
      <c r="AL1780" s="55" t="n"/>
      <c r="AM1780" s="56" t="n"/>
      <c r="AN1780" s="55" t="n"/>
      <c r="AO1780" s="55" t="n"/>
      <c r="AP1780" s="55" t="n"/>
      <c r="AQ1780" s="55" t="n"/>
      <c r="AR1780" s="60">
        <f>IF(AND(C1780="",E1780=""),"",IF(A1780="","⚠ Date manquante",IF(AND(C1780="",E1780&lt;&gt;"Dépense"),"⚠ Prospect manquant",IF(E1780="","⚠ Action manquante",IF(AND(AU1780=1,D1780=""),"⚠ Canal manquant",IF(AND(W1780&lt;&gt;"",COUNTIFS('Saisie'!$W$5:$W$2004,W1780,'Saisie'!$C$5:$C$2004,"&lt;&gt;"&amp;C1780)&gt;0),"⚠ Numéro déjà utilisé par un autre prospect",IF(AND(J1780&lt;&gt;"",J1780&lt;A1780),"⚠ Relance avant la date de l'action",IF(A1780&gt;TODAY(),"⚠ Date dans le futur","✓"))))))))</f>
        <v/>
      </c>
      <c r="AS1780" s="61">
        <f>IF(AND(A1780="",C1780="",E1780=""),"",ROW())</f>
        <v/>
      </c>
      <c r="AT1780" s="61">
        <f>IF(E1780&amp;F1780="","",MAX(IFERROR(INDEX('Paramètres'!$J$6:$J$33,MATCH(E1780,'Paramètres'!$I$6:$I$33,0)),0),IFERROR(INDEX('Paramètres'!$N$6:$N$17,MATCH(F1780,'Paramètres'!$M$6:$M$17,0)),0)))</f>
        <v/>
      </c>
      <c r="AU1780" s="61">
        <f>IF(E1780="","",IFERROR(IF(INDEX('Paramètres'!$K$6:$K$33,MATCH(E1780,'Paramètres'!$I$6:$I$33,0))="Oui",1,0),0))</f>
        <v/>
      </c>
      <c r="AV1780" s="61">
        <f>IF(F1780="","",IFERROR(IF(INDEX('Paramètres'!$O$6:$O$17,MATCH(F1780,'Paramètres'!$M$6:$M$17,0))="Oui",1,0),0))</f>
        <v/>
      </c>
      <c r="AW1780" s="62">
        <f>IF(E1780="","",IF(G1780&lt;&gt;"",G1780,IF(OR(E1780="Proposition envoyée",E1780="Signature"),MAX(0,N(IFERROR(INDEX('Paramètres'!$R$6:$R$15,MATCH(IF(AL1780&lt;&gt;"",AL1780,IFERROR(INDEX('Prospects'!$AN$5:$AN$504,MATCH(C1780,'Prospects'!$C$5:$C$504,0)),"")),'Paramètres'!$Q$6:$Q$15,0)),0))-N(P1780)),0)))</f>
        <v/>
      </c>
      <c r="AX1780" s="61">
        <f>IF(C1780="","",IF(COUNTIF($C$5:C1780,C1780)=1,MAX($AX$4:AX1779)+1,""))</f>
        <v/>
      </c>
      <c r="AY1780" s="61">
        <f>IF(B1780="","",HOUR(B1780))</f>
        <v/>
      </c>
      <c r="AZ1780" s="61">
        <f>IF(A1780="","",MOD(A1780-2,7)+1)</f>
        <v/>
      </c>
      <c r="BA1780" s="60">
        <f>IF(C1780="","",IFERROR(INDEX('Prospects'!$N$5:$N$504,MATCH(C1780,'Prospects'!$C$5:$C$504,0)),""))</f>
        <v/>
      </c>
      <c r="BB1780" s="61">
        <f>IF(AND(C1780&lt;&gt;"",C1780='Fiche prospect'!$C$4),COUNTIF($C$5:C1780,C1780),"")</f>
        <v/>
      </c>
    </row>
    <row r="1781">
      <c r="A1781" s="53" t="n"/>
      <c r="B1781" s="54" t="n"/>
      <c r="C1781" s="55" t="n"/>
      <c r="D1781" s="55" t="n"/>
      <c r="E1781" s="55" t="n"/>
      <c r="F1781" s="55" t="n"/>
      <c r="G1781" s="56" t="n"/>
      <c r="H1781" s="57" t="n"/>
      <c r="I1781" s="55" t="n"/>
      <c r="J1781" s="53" t="n"/>
      <c r="K1781" s="54" t="n"/>
      <c r="L1781" s="55" t="n"/>
      <c r="M1781" s="55" t="n"/>
      <c r="N1781" s="57" t="n"/>
      <c r="O1781" s="55" t="n"/>
      <c r="P1781" s="56" t="n"/>
      <c r="Q1781" s="55" t="n"/>
      <c r="R1781" s="55" t="n"/>
      <c r="S1781" s="55" t="n"/>
      <c r="T1781" s="55" t="n"/>
      <c r="U1781" s="55" t="n"/>
      <c r="V1781" s="55" t="n"/>
      <c r="W1781" s="58" t="n"/>
      <c r="X1781" s="58" t="n"/>
      <c r="Y1781" s="55" t="n"/>
      <c r="Z1781" s="55" t="n"/>
      <c r="AA1781" s="55" t="n"/>
      <c r="AB1781" s="55" t="n"/>
      <c r="AC1781" s="55" t="n"/>
      <c r="AD1781" s="53" t="n"/>
      <c r="AE1781" s="55" t="n"/>
      <c r="AF1781" s="55" t="n"/>
      <c r="AG1781" s="59" t="n"/>
      <c r="AH1781" s="57" t="n"/>
      <c r="AI1781" s="55" t="n"/>
      <c r="AJ1781" s="55" t="n"/>
      <c r="AK1781" s="55" t="n"/>
      <c r="AL1781" s="55" t="n"/>
      <c r="AM1781" s="56" t="n"/>
      <c r="AN1781" s="55" t="n"/>
      <c r="AO1781" s="55" t="n"/>
      <c r="AP1781" s="55" t="n"/>
      <c r="AQ1781" s="55" t="n"/>
      <c r="AR1781" s="60">
        <f>IF(AND(C1781="",E1781=""),"",IF(A1781="","⚠ Date manquante",IF(AND(C1781="",E1781&lt;&gt;"Dépense"),"⚠ Prospect manquant",IF(E1781="","⚠ Action manquante",IF(AND(AU1781=1,D1781=""),"⚠ Canal manquant",IF(AND(W1781&lt;&gt;"",COUNTIFS('Saisie'!$W$5:$W$2004,W1781,'Saisie'!$C$5:$C$2004,"&lt;&gt;"&amp;C1781)&gt;0),"⚠ Numéro déjà utilisé par un autre prospect",IF(AND(J1781&lt;&gt;"",J1781&lt;A1781),"⚠ Relance avant la date de l'action",IF(A1781&gt;TODAY(),"⚠ Date dans le futur","✓"))))))))</f>
        <v/>
      </c>
      <c r="AS1781" s="61">
        <f>IF(AND(A1781="",C1781="",E1781=""),"",ROW())</f>
        <v/>
      </c>
      <c r="AT1781" s="61">
        <f>IF(E1781&amp;F1781="","",MAX(IFERROR(INDEX('Paramètres'!$J$6:$J$33,MATCH(E1781,'Paramètres'!$I$6:$I$33,0)),0),IFERROR(INDEX('Paramètres'!$N$6:$N$17,MATCH(F1781,'Paramètres'!$M$6:$M$17,0)),0)))</f>
        <v/>
      </c>
      <c r="AU1781" s="61">
        <f>IF(E1781="","",IFERROR(IF(INDEX('Paramètres'!$K$6:$K$33,MATCH(E1781,'Paramètres'!$I$6:$I$33,0))="Oui",1,0),0))</f>
        <v/>
      </c>
      <c r="AV1781" s="61">
        <f>IF(F1781="","",IFERROR(IF(INDEX('Paramètres'!$O$6:$O$17,MATCH(F1781,'Paramètres'!$M$6:$M$17,0))="Oui",1,0),0))</f>
        <v/>
      </c>
      <c r="AW1781" s="62">
        <f>IF(E1781="","",IF(G1781&lt;&gt;"",G1781,IF(OR(E1781="Proposition envoyée",E1781="Signature"),MAX(0,N(IFERROR(INDEX('Paramètres'!$R$6:$R$15,MATCH(IF(AL1781&lt;&gt;"",AL1781,IFERROR(INDEX('Prospects'!$AN$5:$AN$504,MATCH(C1781,'Prospects'!$C$5:$C$504,0)),"")),'Paramètres'!$Q$6:$Q$15,0)),0))-N(P1781)),0)))</f>
        <v/>
      </c>
      <c r="AX1781" s="61">
        <f>IF(C1781="","",IF(COUNTIF($C$5:C1781,C1781)=1,MAX($AX$4:AX1780)+1,""))</f>
        <v/>
      </c>
      <c r="AY1781" s="61">
        <f>IF(B1781="","",HOUR(B1781))</f>
        <v/>
      </c>
      <c r="AZ1781" s="61">
        <f>IF(A1781="","",MOD(A1781-2,7)+1)</f>
        <v/>
      </c>
      <c r="BA1781" s="60">
        <f>IF(C1781="","",IFERROR(INDEX('Prospects'!$N$5:$N$504,MATCH(C1781,'Prospects'!$C$5:$C$504,0)),""))</f>
        <v/>
      </c>
      <c r="BB1781" s="61">
        <f>IF(AND(C1781&lt;&gt;"",C1781='Fiche prospect'!$C$4),COUNTIF($C$5:C1781,C1781),"")</f>
        <v/>
      </c>
    </row>
    <row r="1782">
      <c r="A1782" s="53" t="n"/>
      <c r="B1782" s="54" t="n"/>
      <c r="C1782" s="55" t="n"/>
      <c r="D1782" s="55" t="n"/>
      <c r="E1782" s="55" t="n"/>
      <c r="F1782" s="55" t="n"/>
      <c r="G1782" s="56" t="n"/>
      <c r="H1782" s="57" t="n"/>
      <c r="I1782" s="55" t="n"/>
      <c r="J1782" s="53" t="n"/>
      <c r="K1782" s="54" t="n"/>
      <c r="L1782" s="55" t="n"/>
      <c r="M1782" s="55" t="n"/>
      <c r="N1782" s="57" t="n"/>
      <c r="O1782" s="55" t="n"/>
      <c r="P1782" s="56" t="n"/>
      <c r="Q1782" s="55" t="n"/>
      <c r="R1782" s="55" t="n"/>
      <c r="S1782" s="55" t="n"/>
      <c r="T1782" s="55" t="n"/>
      <c r="U1782" s="55" t="n"/>
      <c r="V1782" s="55" t="n"/>
      <c r="W1782" s="58" t="n"/>
      <c r="X1782" s="58" t="n"/>
      <c r="Y1782" s="55" t="n"/>
      <c r="Z1782" s="55" t="n"/>
      <c r="AA1782" s="55" t="n"/>
      <c r="AB1782" s="55" t="n"/>
      <c r="AC1782" s="55" t="n"/>
      <c r="AD1782" s="53" t="n"/>
      <c r="AE1782" s="55" t="n"/>
      <c r="AF1782" s="55" t="n"/>
      <c r="AG1782" s="59" t="n"/>
      <c r="AH1782" s="57" t="n"/>
      <c r="AI1782" s="55" t="n"/>
      <c r="AJ1782" s="55" t="n"/>
      <c r="AK1782" s="55" t="n"/>
      <c r="AL1782" s="55" t="n"/>
      <c r="AM1782" s="56" t="n"/>
      <c r="AN1782" s="55" t="n"/>
      <c r="AO1782" s="55" t="n"/>
      <c r="AP1782" s="55" t="n"/>
      <c r="AQ1782" s="55" t="n"/>
      <c r="AR1782" s="60">
        <f>IF(AND(C1782="",E1782=""),"",IF(A1782="","⚠ Date manquante",IF(AND(C1782="",E1782&lt;&gt;"Dépense"),"⚠ Prospect manquant",IF(E1782="","⚠ Action manquante",IF(AND(AU1782=1,D1782=""),"⚠ Canal manquant",IF(AND(W1782&lt;&gt;"",COUNTIFS('Saisie'!$W$5:$W$2004,W1782,'Saisie'!$C$5:$C$2004,"&lt;&gt;"&amp;C1782)&gt;0),"⚠ Numéro déjà utilisé par un autre prospect",IF(AND(J1782&lt;&gt;"",J1782&lt;A1782),"⚠ Relance avant la date de l'action",IF(A1782&gt;TODAY(),"⚠ Date dans le futur","✓"))))))))</f>
        <v/>
      </c>
      <c r="AS1782" s="61">
        <f>IF(AND(A1782="",C1782="",E1782=""),"",ROW())</f>
        <v/>
      </c>
      <c r="AT1782" s="61">
        <f>IF(E1782&amp;F1782="","",MAX(IFERROR(INDEX('Paramètres'!$J$6:$J$33,MATCH(E1782,'Paramètres'!$I$6:$I$33,0)),0),IFERROR(INDEX('Paramètres'!$N$6:$N$17,MATCH(F1782,'Paramètres'!$M$6:$M$17,0)),0)))</f>
        <v/>
      </c>
      <c r="AU1782" s="61">
        <f>IF(E1782="","",IFERROR(IF(INDEX('Paramètres'!$K$6:$K$33,MATCH(E1782,'Paramètres'!$I$6:$I$33,0))="Oui",1,0),0))</f>
        <v/>
      </c>
      <c r="AV1782" s="61">
        <f>IF(F1782="","",IFERROR(IF(INDEX('Paramètres'!$O$6:$O$17,MATCH(F1782,'Paramètres'!$M$6:$M$17,0))="Oui",1,0),0))</f>
        <v/>
      </c>
      <c r="AW1782" s="62">
        <f>IF(E1782="","",IF(G1782&lt;&gt;"",G1782,IF(OR(E1782="Proposition envoyée",E1782="Signature"),MAX(0,N(IFERROR(INDEX('Paramètres'!$R$6:$R$15,MATCH(IF(AL1782&lt;&gt;"",AL1782,IFERROR(INDEX('Prospects'!$AN$5:$AN$504,MATCH(C1782,'Prospects'!$C$5:$C$504,0)),"")),'Paramètres'!$Q$6:$Q$15,0)),0))-N(P1782)),0)))</f>
        <v/>
      </c>
      <c r="AX1782" s="61">
        <f>IF(C1782="","",IF(COUNTIF($C$5:C1782,C1782)=1,MAX($AX$4:AX1781)+1,""))</f>
        <v/>
      </c>
      <c r="AY1782" s="61">
        <f>IF(B1782="","",HOUR(B1782))</f>
        <v/>
      </c>
      <c r="AZ1782" s="61">
        <f>IF(A1782="","",MOD(A1782-2,7)+1)</f>
        <v/>
      </c>
      <c r="BA1782" s="60">
        <f>IF(C1782="","",IFERROR(INDEX('Prospects'!$N$5:$N$504,MATCH(C1782,'Prospects'!$C$5:$C$504,0)),""))</f>
        <v/>
      </c>
      <c r="BB1782" s="61">
        <f>IF(AND(C1782&lt;&gt;"",C1782='Fiche prospect'!$C$4),COUNTIF($C$5:C1782,C1782),"")</f>
        <v/>
      </c>
    </row>
    <row r="1783">
      <c r="A1783" s="53" t="n"/>
      <c r="B1783" s="54" t="n"/>
      <c r="C1783" s="55" t="n"/>
      <c r="D1783" s="55" t="n"/>
      <c r="E1783" s="55" t="n"/>
      <c r="F1783" s="55" t="n"/>
      <c r="G1783" s="56" t="n"/>
      <c r="H1783" s="57" t="n"/>
      <c r="I1783" s="55" t="n"/>
      <c r="J1783" s="53" t="n"/>
      <c r="K1783" s="54" t="n"/>
      <c r="L1783" s="55" t="n"/>
      <c r="M1783" s="55" t="n"/>
      <c r="N1783" s="57" t="n"/>
      <c r="O1783" s="55" t="n"/>
      <c r="P1783" s="56" t="n"/>
      <c r="Q1783" s="55" t="n"/>
      <c r="R1783" s="55" t="n"/>
      <c r="S1783" s="55" t="n"/>
      <c r="T1783" s="55" t="n"/>
      <c r="U1783" s="55" t="n"/>
      <c r="V1783" s="55" t="n"/>
      <c r="W1783" s="58" t="n"/>
      <c r="X1783" s="58" t="n"/>
      <c r="Y1783" s="55" t="n"/>
      <c r="Z1783" s="55" t="n"/>
      <c r="AA1783" s="55" t="n"/>
      <c r="AB1783" s="55" t="n"/>
      <c r="AC1783" s="55" t="n"/>
      <c r="AD1783" s="53" t="n"/>
      <c r="AE1783" s="55" t="n"/>
      <c r="AF1783" s="55" t="n"/>
      <c r="AG1783" s="59" t="n"/>
      <c r="AH1783" s="57" t="n"/>
      <c r="AI1783" s="55" t="n"/>
      <c r="AJ1783" s="55" t="n"/>
      <c r="AK1783" s="55" t="n"/>
      <c r="AL1783" s="55" t="n"/>
      <c r="AM1783" s="56" t="n"/>
      <c r="AN1783" s="55" t="n"/>
      <c r="AO1783" s="55" t="n"/>
      <c r="AP1783" s="55" t="n"/>
      <c r="AQ1783" s="55" t="n"/>
      <c r="AR1783" s="60">
        <f>IF(AND(C1783="",E1783=""),"",IF(A1783="","⚠ Date manquante",IF(AND(C1783="",E1783&lt;&gt;"Dépense"),"⚠ Prospect manquant",IF(E1783="","⚠ Action manquante",IF(AND(AU1783=1,D1783=""),"⚠ Canal manquant",IF(AND(W1783&lt;&gt;"",COUNTIFS('Saisie'!$W$5:$W$2004,W1783,'Saisie'!$C$5:$C$2004,"&lt;&gt;"&amp;C1783)&gt;0),"⚠ Numéro déjà utilisé par un autre prospect",IF(AND(J1783&lt;&gt;"",J1783&lt;A1783),"⚠ Relance avant la date de l'action",IF(A1783&gt;TODAY(),"⚠ Date dans le futur","✓"))))))))</f>
        <v/>
      </c>
      <c r="AS1783" s="61">
        <f>IF(AND(A1783="",C1783="",E1783=""),"",ROW())</f>
        <v/>
      </c>
      <c r="AT1783" s="61">
        <f>IF(E1783&amp;F1783="","",MAX(IFERROR(INDEX('Paramètres'!$J$6:$J$33,MATCH(E1783,'Paramètres'!$I$6:$I$33,0)),0),IFERROR(INDEX('Paramètres'!$N$6:$N$17,MATCH(F1783,'Paramètres'!$M$6:$M$17,0)),0)))</f>
        <v/>
      </c>
      <c r="AU1783" s="61">
        <f>IF(E1783="","",IFERROR(IF(INDEX('Paramètres'!$K$6:$K$33,MATCH(E1783,'Paramètres'!$I$6:$I$33,0))="Oui",1,0),0))</f>
        <v/>
      </c>
      <c r="AV1783" s="61">
        <f>IF(F1783="","",IFERROR(IF(INDEX('Paramètres'!$O$6:$O$17,MATCH(F1783,'Paramètres'!$M$6:$M$17,0))="Oui",1,0),0))</f>
        <v/>
      </c>
      <c r="AW1783" s="62">
        <f>IF(E1783="","",IF(G1783&lt;&gt;"",G1783,IF(OR(E1783="Proposition envoyée",E1783="Signature"),MAX(0,N(IFERROR(INDEX('Paramètres'!$R$6:$R$15,MATCH(IF(AL1783&lt;&gt;"",AL1783,IFERROR(INDEX('Prospects'!$AN$5:$AN$504,MATCH(C1783,'Prospects'!$C$5:$C$504,0)),"")),'Paramètres'!$Q$6:$Q$15,0)),0))-N(P1783)),0)))</f>
        <v/>
      </c>
      <c r="AX1783" s="61">
        <f>IF(C1783="","",IF(COUNTIF($C$5:C1783,C1783)=1,MAX($AX$4:AX1782)+1,""))</f>
        <v/>
      </c>
      <c r="AY1783" s="61">
        <f>IF(B1783="","",HOUR(B1783))</f>
        <v/>
      </c>
      <c r="AZ1783" s="61">
        <f>IF(A1783="","",MOD(A1783-2,7)+1)</f>
        <v/>
      </c>
      <c r="BA1783" s="60">
        <f>IF(C1783="","",IFERROR(INDEX('Prospects'!$N$5:$N$504,MATCH(C1783,'Prospects'!$C$5:$C$504,0)),""))</f>
        <v/>
      </c>
      <c r="BB1783" s="61">
        <f>IF(AND(C1783&lt;&gt;"",C1783='Fiche prospect'!$C$4),COUNTIF($C$5:C1783,C1783),"")</f>
        <v/>
      </c>
    </row>
    <row r="1784">
      <c r="A1784" s="53" t="n"/>
      <c r="B1784" s="54" t="n"/>
      <c r="C1784" s="55" t="n"/>
      <c r="D1784" s="55" t="n"/>
      <c r="E1784" s="55" t="n"/>
      <c r="F1784" s="55" t="n"/>
      <c r="G1784" s="56" t="n"/>
      <c r="H1784" s="57" t="n"/>
      <c r="I1784" s="55" t="n"/>
      <c r="J1784" s="53" t="n"/>
      <c r="K1784" s="54" t="n"/>
      <c r="L1784" s="55" t="n"/>
      <c r="M1784" s="55" t="n"/>
      <c r="N1784" s="57" t="n"/>
      <c r="O1784" s="55" t="n"/>
      <c r="P1784" s="56" t="n"/>
      <c r="Q1784" s="55" t="n"/>
      <c r="R1784" s="55" t="n"/>
      <c r="S1784" s="55" t="n"/>
      <c r="T1784" s="55" t="n"/>
      <c r="U1784" s="55" t="n"/>
      <c r="V1784" s="55" t="n"/>
      <c r="W1784" s="58" t="n"/>
      <c r="X1784" s="58" t="n"/>
      <c r="Y1784" s="55" t="n"/>
      <c r="Z1784" s="55" t="n"/>
      <c r="AA1784" s="55" t="n"/>
      <c r="AB1784" s="55" t="n"/>
      <c r="AC1784" s="55" t="n"/>
      <c r="AD1784" s="53" t="n"/>
      <c r="AE1784" s="55" t="n"/>
      <c r="AF1784" s="55" t="n"/>
      <c r="AG1784" s="59" t="n"/>
      <c r="AH1784" s="57" t="n"/>
      <c r="AI1784" s="55" t="n"/>
      <c r="AJ1784" s="55" t="n"/>
      <c r="AK1784" s="55" t="n"/>
      <c r="AL1784" s="55" t="n"/>
      <c r="AM1784" s="56" t="n"/>
      <c r="AN1784" s="55" t="n"/>
      <c r="AO1784" s="55" t="n"/>
      <c r="AP1784" s="55" t="n"/>
      <c r="AQ1784" s="55" t="n"/>
      <c r="AR1784" s="60">
        <f>IF(AND(C1784="",E1784=""),"",IF(A1784="","⚠ Date manquante",IF(AND(C1784="",E1784&lt;&gt;"Dépense"),"⚠ Prospect manquant",IF(E1784="","⚠ Action manquante",IF(AND(AU1784=1,D1784=""),"⚠ Canal manquant",IF(AND(W1784&lt;&gt;"",COUNTIFS('Saisie'!$W$5:$W$2004,W1784,'Saisie'!$C$5:$C$2004,"&lt;&gt;"&amp;C1784)&gt;0),"⚠ Numéro déjà utilisé par un autre prospect",IF(AND(J1784&lt;&gt;"",J1784&lt;A1784),"⚠ Relance avant la date de l'action",IF(A1784&gt;TODAY(),"⚠ Date dans le futur","✓"))))))))</f>
        <v/>
      </c>
      <c r="AS1784" s="61">
        <f>IF(AND(A1784="",C1784="",E1784=""),"",ROW())</f>
        <v/>
      </c>
      <c r="AT1784" s="61">
        <f>IF(E1784&amp;F1784="","",MAX(IFERROR(INDEX('Paramètres'!$J$6:$J$33,MATCH(E1784,'Paramètres'!$I$6:$I$33,0)),0),IFERROR(INDEX('Paramètres'!$N$6:$N$17,MATCH(F1784,'Paramètres'!$M$6:$M$17,0)),0)))</f>
        <v/>
      </c>
      <c r="AU1784" s="61">
        <f>IF(E1784="","",IFERROR(IF(INDEX('Paramètres'!$K$6:$K$33,MATCH(E1784,'Paramètres'!$I$6:$I$33,0))="Oui",1,0),0))</f>
        <v/>
      </c>
      <c r="AV1784" s="61">
        <f>IF(F1784="","",IFERROR(IF(INDEX('Paramètres'!$O$6:$O$17,MATCH(F1784,'Paramètres'!$M$6:$M$17,0))="Oui",1,0),0))</f>
        <v/>
      </c>
      <c r="AW1784" s="62">
        <f>IF(E1784="","",IF(G1784&lt;&gt;"",G1784,IF(OR(E1784="Proposition envoyée",E1784="Signature"),MAX(0,N(IFERROR(INDEX('Paramètres'!$R$6:$R$15,MATCH(IF(AL1784&lt;&gt;"",AL1784,IFERROR(INDEX('Prospects'!$AN$5:$AN$504,MATCH(C1784,'Prospects'!$C$5:$C$504,0)),"")),'Paramètres'!$Q$6:$Q$15,0)),0))-N(P1784)),0)))</f>
        <v/>
      </c>
      <c r="AX1784" s="61">
        <f>IF(C1784="","",IF(COUNTIF($C$5:C1784,C1784)=1,MAX($AX$4:AX1783)+1,""))</f>
        <v/>
      </c>
      <c r="AY1784" s="61">
        <f>IF(B1784="","",HOUR(B1784))</f>
        <v/>
      </c>
      <c r="AZ1784" s="61">
        <f>IF(A1784="","",MOD(A1784-2,7)+1)</f>
        <v/>
      </c>
      <c r="BA1784" s="60">
        <f>IF(C1784="","",IFERROR(INDEX('Prospects'!$N$5:$N$504,MATCH(C1784,'Prospects'!$C$5:$C$504,0)),""))</f>
        <v/>
      </c>
      <c r="BB1784" s="61">
        <f>IF(AND(C1784&lt;&gt;"",C1784='Fiche prospect'!$C$4),COUNTIF($C$5:C1784,C1784),"")</f>
        <v/>
      </c>
    </row>
    <row r="1785">
      <c r="A1785" s="53" t="n"/>
      <c r="B1785" s="54" t="n"/>
      <c r="C1785" s="55" t="n"/>
      <c r="D1785" s="55" t="n"/>
      <c r="E1785" s="55" t="n"/>
      <c r="F1785" s="55" t="n"/>
      <c r="G1785" s="56" t="n"/>
      <c r="H1785" s="57" t="n"/>
      <c r="I1785" s="55" t="n"/>
      <c r="J1785" s="53" t="n"/>
      <c r="K1785" s="54" t="n"/>
      <c r="L1785" s="55" t="n"/>
      <c r="M1785" s="55" t="n"/>
      <c r="N1785" s="57" t="n"/>
      <c r="O1785" s="55" t="n"/>
      <c r="P1785" s="56" t="n"/>
      <c r="Q1785" s="55" t="n"/>
      <c r="R1785" s="55" t="n"/>
      <c r="S1785" s="55" t="n"/>
      <c r="T1785" s="55" t="n"/>
      <c r="U1785" s="55" t="n"/>
      <c r="V1785" s="55" t="n"/>
      <c r="W1785" s="58" t="n"/>
      <c r="X1785" s="58" t="n"/>
      <c r="Y1785" s="55" t="n"/>
      <c r="Z1785" s="55" t="n"/>
      <c r="AA1785" s="55" t="n"/>
      <c r="AB1785" s="55" t="n"/>
      <c r="AC1785" s="55" t="n"/>
      <c r="AD1785" s="53" t="n"/>
      <c r="AE1785" s="55" t="n"/>
      <c r="AF1785" s="55" t="n"/>
      <c r="AG1785" s="59" t="n"/>
      <c r="AH1785" s="57" t="n"/>
      <c r="AI1785" s="55" t="n"/>
      <c r="AJ1785" s="55" t="n"/>
      <c r="AK1785" s="55" t="n"/>
      <c r="AL1785" s="55" t="n"/>
      <c r="AM1785" s="56" t="n"/>
      <c r="AN1785" s="55" t="n"/>
      <c r="AO1785" s="55" t="n"/>
      <c r="AP1785" s="55" t="n"/>
      <c r="AQ1785" s="55" t="n"/>
      <c r="AR1785" s="60">
        <f>IF(AND(C1785="",E1785=""),"",IF(A1785="","⚠ Date manquante",IF(AND(C1785="",E1785&lt;&gt;"Dépense"),"⚠ Prospect manquant",IF(E1785="","⚠ Action manquante",IF(AND(AU1785=1,D1785=""),"⚠ Canal manquant",IF(AND(W1785&lt;&gt;"",COUNTIFS('Saisie'!$W$5:$W$2004,W1785,'Saisie'!$C$5:$C$2004,"&lt;&gt;"&amp;C1785)&gt;0),"⚠ Numéro déjà utilisé par un autre prospect",IF(AND(J1785&lt;&gt;"",J1785&lt;A1785),"⚠ Relance avant la date de l'action",IF(A1785&gt;TODAY(),"⚠ Date dans le futur","✓"))))))))</f>
        <v/>
      </c>
      <c r="AS1785" s="61">
        <f>IF(AND(A1785="",C1785="",E1785=""),"",ROW())</f>
        <v/>
      </c>
      <c r="AT1785" s="61">
        <f>IF(E1785&amp;F1785="","",MAX(IFERROR(INDEX('Paramètres'!$J$6:$J$33,MATCH(E1785,'Paramètres'!$I$6:$I$33,0)),0),IFERROR(INDEX('Paramètres'!$N$6:$N$17,MATCH(F1785,'Paramètres'!$M$6:$M$17,0)),0)))</f>
        <v/>
      </c>
      <c r="AU1785" s="61">
        <f>IF(E1785="","",IFERROR(IF(INDEX('Paramètres'!$K$6:$K$33,MATCH(E1785,'Paramètres'!$I$6:$I$33,0))="Oui",1,0),0))</f>
        <v/>
      </c>
      <c r="AV1785" s="61">
        <f>IF(F1785="","",IFERROR(IF(INDEX('Paramètres'!$O$6:$O$17,MATCH(F1785,'Paramètres'!$M$6:$M$17,0))="Oui",1,0),0))</f>
        <v/>
      </c>
      <c r="AW1785" s="62">
        <f>IF(E1785="","",IF(G1785&lt;&gt;"",G1785,IF(OR(E1785="Proposition envoyée",E1785="Signature"),MAX(0,N(IFERROR(INDEX('Paramètres'!$R$6:$R$15,MATCH(IF(AL1785&lt;&gt;"",AL1785,IFERROR(INDEX('Prospects'!$AN$5:$AN$504,MATCH(C1785,'Prospects'!$C$5:$C$504,0)),"")),'Paramètres'!$Q$6:$Q$15,0)),0))-N(P1785)),0)))</f>
        <v/>
      </c>
      <c r="AX1785" s="61">
        <f>IF(C1785="","",IF(COUNTIF($C$5:C1785,C1785)=1,MAX($AX$4:AX1784)+1,""))</f>
        <v/>
      </c>
      <c r="AY1785" s="61">
        <f>IF(B1785="","",HOUR(B1785))</f>
        <v/>
      </c>
      <c r="AZ1785" s="61">
        <f>IF(A1785="","",MOD(A1785-2,7)+1)</f>
        <v/>
      </c>
      <c r="BA1785" s="60">
        <f>IF(C1785="","",IFERROR(INDEX('Prospects'!$N$5:$N$504,MATCH(C1785,'Prospects'!$C$5:$C$504,0)),""))</f>
        <v/>
      </c>
      <c r="BB1785" s="61">
        <f>IF(AND(C1785&lt;&gt;"",C1785='Fiche prospect'!$C$4),COUNTIF($C$5:C1785,C1785),"")</f>
        <v/>
      </c>
    </row>
    <row r="1786">
      <c r="A1786" s="53" t="n"/>
      <c r="B1786" s="54" t="n"/>
      <c r="C1786" s="55" t="n"/>
      <c r="D1786" s="55" t="n"/>
      <c r="E1786" s="55" t="n"/>
      <c r="F1786" s="55" t="n"/>
      <c r="G1786" s="56" t="n"/>
      <c r="H1786" s="57" t="n"/>
      <c r="I1786" s="55" t="n"/>
      <c r="J1786" s="53" t="n"/>
      <c r="K1786" s="54" t="n"/>
      <c r="L1786" s="55" t="n"/>
      <c r="M1786" s="55" t="n"/>
      <c r="N1786" s="57" t="n"/>
      <c r="O1786" s="55" t="n"/>
      <c r="P1786" s="56" t="n"/>
      <c r="Q1786" s="55" t="n"/>
      <c r="R1786" s="55" t="n"/>
      <c r="S1786" s="55" t="n"/>
      <c r="T1786" s="55" t="n"/>
      <c r="U1786" s="55" t="n"/>
      <c r="V1786" s="55" t="n"/>
      <c r="W1786" s="58" t="n"/>
      <c r="X1786" s="58" t="n"/>
      <c r="Y1786" s="55" t="n"/>
      <c r="Z1786" s="55" t="n"/>
      <c r="AA1786" s="55" t="n"/>
      <c r="AB1786" s="55" t="n"/>
      <c r="AC1786" s="55" t="n"/>
      <c r="AD1786" s="53" t="n"/>
      <c r="AE1786" s="55" t="n"/>
      <c r="AF1786" s="55" t="n"/>
      <c r="AG1786" s="59" t="n"/>
      <c r="AH1786" s="57" t="n"/>
      <c r="AI1786" s="55" t="n"/>
      <c r="AJ1786" s="55" t="n"/>
      <c r="AK1786" s="55" t="n"/>
      <c r="AL1786" s="55" t="n"/>
      <c r="AM1786" s="56" t="n"/>
      <c r="AN1786" s="55" t="n"/>
      <c r="AO1786" s="55" t="n"/>
      <c r="AP1786" s="55" t="n"/>
      <c r="AQ1786" s="55" t="n"/>
      <c r="AR1786" s="60">
        <f>IF(AND(C1786="",E1786=""),"",IF(A1786="","⚠ Date manquante",IF(AND(C1786="",E1786&lt;&gt;"Dépense"),"⚠ Prospect manquant",IF(E1786="","⚠ Action manquante",IF(AND(AU1786=1,D1786=""),"⚠ Canal manquant",IF(AND(W1786&lt;&gt;"",COUNTIFS('Saisie'!$W$5:$W$2004,W1786,'Saisie'!$C$5:$C$2004,"&lt;&gt;"&amp;C1786)&gt;0),"⚠ Numéro déjà utilisé par un autre prospect",IF(AND(J1786&lt;&gt;"",J1786&lt;A1786),"⚠ Relance avant la date de l'action",IF(A1786&gt;TODAY(),"⚠ Date dans le futur","✓"))))))))</f>
        <v/>
      </c>
      <c r="AS1786" s="61">
        <f>IF(AND(A1786="",C1786="",E1786=""),"",ROW())</f>
        <v/>
      </c>
      <c r="AT1786" s="61">
        <f>IF(E1786&amp;F1786="","",MAX(IFERROR(INDEX('Paramètres'!$J$6:$J$33,MATCH(E1786,'Paramètres'!$I$6:$I$33,0)),0),IFERROR(INDEX('Paramètres'!$N$6:$N$17,MATCH(F1786,'Paramètres'!$M$6:$M$17,0)),0)))</f>
        <v/>
      </c>
      <c r="AU1786" s="61">
        <f>IF(E1786="","",IFERROR(IF(INDEX('Paramètres'!$K$6:$K$33,MATCH(E1786,'Paramètres'!$I$6:$I$33,0))="Oui",1,0),0))</f>
        <v/>
      </c>
      <c r="AV1786" s="61">
        <f>IF(F1786="","",IFERROR(IF(INDEX('Paramètres'!$O$6:$O$17,MATCH(F1786,'Paramètres'!$M$6:$M$17,0))="Oui",1,0),0))</f>
        <v/>
      </c>
      <c r="AW1786" s="62">
        <f>IF(E1786="","",IF(G1786&lt;&gt;"",G1786,IF(OR(E1786="Proposition envoyée",E1786="Signature"),MAX(0,N(IFERROR(INDEX('Paramètres'!$R$6:$R$15,MATCH(IF(AL1786&lt;&gt;"",AL1786,IFERROR(INDEX('Prospects'!$AN$5:$AN$504,MATCH(C1786,'Prospects'!$C$5:$C$504,0)),"")),'Paramètres'!$Q$6:$Q$15,0)),0))-N(P1786)),0)))</f>
        <v/>
      </c>
      <c r="AX1786" s="61">
        <f>IF(C1786="","",IF(COUNTIF($C$5:C1786,C1786)=1,MAX($AX$4:AX1785)+1,""))</f>
        <v/>
      </c>
      <c r="AY1786" s="61">
        <f>IF(B1786="","",HOUR(B1786))</f>
        <v/>
      </c>
      <c r="AZ1786" s="61">
        <f>IF(A1786="","",MOD(A1786-2,7)+1)</f>
        <v/>
      </c>
      <c r="BA1786" s="60">
        <f>IF(C1786="","",IFERROR(INDEX('Prospects'!$N$5:$N$504,MATCH(C1786,'Prospects'!$C$5:$C$504,0)),""))</f>
        <v/>
      </c>
      <c r="BB1786" s="61">
        <f>IF(AND(C1786&lt;&gt;"",C1786='Fiche prospect'!$C$4),COUNTIF($C$5:C1786,C1786),"")</f>
        <v/>
      </c>
    </row>
    <row r="1787">
      <c r="A1787" s="53" t="n"/>
      <c r="B1787" s="54" t="n"/>
      <c r="C1787" s="55" t="n"/>
      <c r="D1787" s="55" t="n"/>
      <c r="E1787" s="55" t="n"/>
      <c r="F1787" s="55" t="n"/>
      <c r="G1787" s="56" t="n"/>
      <c r="H1787" s="57" t="n"/>
      <c r="I1787" s="55" t="n"/>
      <c r="J1787" s="53" t="n"/>
      <c r="K1787" s="54" t="n"/>
      <c r="L1787" s="55" t="n"/>
      <c r="M1787" s="55" t="n"/>
      <c r="N1787" s="57" t="n"/>
      <c r="O1787" s="55" t="n"/>
      <c r="P1787" s="56" t="n"/>
      <c r="Q1787" s="55" t="n"/>
      <c r="R1787" s="55" t="n"/>
      <c r="S1787" s="55" t="n"/>
      <c r="T1787" s="55" t="n"/>
      <c r="U1787" s="55" t="n"/>
      <c r="V1787" s="55" t="n"/>
      <c r="W1787" s="58" t="n"/>
      <c r="X1787" s="58" t="n"/>
      <c r="Y1787" s="55" t="n"/>
      <c r="Z1787" s="55" t="n"/>
      <c r="AA1787" s="55" t="n"/>
      <c r="AB1787" s="55" t="n"/>
      <c r="AC1787" s="55" t="n"/>
      <c r="AD1787" s="53" t="n"/>
      <c r="AE1787" s="55" t="n"/>
      <c r="AF1787" s="55" t="n"/>
      <c r="AG1787" s="59" t="n"/>
      <c r="AH1787" s="57" t="n"/>
      <c r="AI1787" s="55" t="n"/>
      <c r="AJ1787" s="55" t="n"/>
      <c r="AK1787" s="55" t="n"/>
      <c r="AL1787" s="55" t="n"/>
      <c r="AM1787" s="56" t="n"/>
      <c r="AN1787" s="55" t="n"/>
      <c r="AO1787" s="55" t="n"/>
      <c r="AP1787" s="55" t="n"/>
      <c r="AQ1787" s="55" t="n"/>
      <c r="AR1787" s="60">
        <f>IF(AND(C1787="",E1787=""),"",IF(A1787="","⚠ Date manquante",IF(AND(C1787="",E1787&lt;&gt;"Dépense"),"⚠ Prospect manquant",IF(E1787="","⚠ Action manquante",IF(AND(AU1787=1,D1787=""),"⚠ Canal manquant",IF(AND(W1787&lt;&gt;"",COUNTIFS('Saisie'!$W$5:$W$2004,W1787,'Saisie'!$C$5:$C$2004,"&lt;&gt;"&amp;C1787)&gt;0),"⚠ Numéro déjà utilisé par un autre prospect",IF(AND(J1787&lt;&gt;"",J1787&lt;A1787),"⚠ Relance avant la date de l'action",IF(A1787&gt;TODAY(),"⚠ Date dans le futur","✓"))))))))</f>
        <v/>
      </c>
      <c r="AS1787" s="61">
        <f>IF(AND(A1787="",C1787="",E1787=""),"",ROW())</f>
        <v/>
      </c>
      <c r="AT1787" s="61">
        <f>IF(E1787&amp;F1787="","",MAX(IFERROR(INDEX('Paramètres'!$J$6:$J$33,MATCH(E1787,'Paramètres'!$I$6:$I$33,0)),0),IFERROR(INDEX('Paramètres'!$N$6:$N$17,MATCH(F1787,'Paramètres'!$M$6:$M$17,0)),0)))</f>
        <v/>
      </c>
      <c r="AU1787" s="61">
        <f>IF(E1787="","",IFERROR(IF(INDEX('Paramètres'!$K$6:$K$33,MATCH(E1787,'Paramètres'!$I$6:$I$33,0))="Oui",1,0),0))</f>
        <v/>
      </c>
      <c r="AV1787" s="61">
        <f>IF(F1787="","",IFERROR(IF(INDEX('Paramètres'!$O$6:$O$17,MATCH(F1787,'Paramètres'!$M$6:$M$17,0))="Oui",1,0),0))</f>
        <v/>
      </c>
      <c r="AW1787" s="62">
        <f>IF(E1787="","",IF(G1787&lt;&gt;"",G1787,IF(OR(E1787="Proposition envoyée",E1787="Signature"),MAX(0,N(IFERROR(INDEX('Paramètres'!$R$6:$R$15,MATCH(IF(AL1787&lt;&gt;"",AL1787,IFERROR(INDEX('Prospects'!$AN$5:$AN$504,MATCH(C1787,'Prospects'!$C$5:$C$504,0)),"")),'Paramètres'!$Q$6:$Q$15,0)),0))-N(P1787)),0)))</f>
        <v/>
      </c>
      <c r="AX1787" s="61">
        <f>IF(C1787="","",IF(COUNTIF($C$5:C1787,C1787)=1,MAX($AX$4:AX1786)+1,""))</f>
        <v/>
      </c>
      <c r="AY1787" s="61">
        <f>IF(B1787="","",HOUR(B1787))</f>
        <v/>
      </c>
      <c r="AZ1787" s="61">
        <f>IF(A1787="","",MOD(A1787-2,7)+1)</f>
        <v/>
      </c>
      <c r="BA1787" s="60">
        <f>IF(C1787="","",IFERROR(INDEX('Prospects'!$N$5:$N$504,MATCH(C1787,'Prospects'!$C$5:$C$504,0)),""))</f>
        <v/>
      </c>
      <c r="BB1787" s="61">
        <f>IF(AND(C1787&lt;&gt;"",C1787='Fiche prospect'!$C$4),COUNTIF($C$5:C1787,C1787),"")</f>
        <v/>
      </c>
    </row>
    <row r="1788">
      <c r="A1788" s="53" t="n"/>
      <c r="B1788" s="54" t="n"/>
      <c r="C1788" s="55" t="n"/>
      <c r="D1788" s="55" t="n"/>
      <c r="E1788" s="55" t="n"/>
      <c r="F1788" s="55" t="n"/>
      <c r="G1788" s="56" t="n"/>
      <c r="H1788" s="57" t="n"/>
      <c r="I1788" s="55" t="n"/>
      <c r="J1788" s="53" t="n"/>
      <c r="K1788" s="54" t="n"/>
      <c r="L1788" s="55" t="n"/>
      <c r="M1788" s="55" t="n"/>
      <c r="N1788" s="57" t="n"/>
      <c r="O1788" s="55" t="n"/>
      <c r="P1788" s="56" t="n"/>
      <c r="Q1788" s="55" t="n"/>
      <c r="R1788" s="55" t="n"/>
      <c r="S1788" s="55" t="n"/>
      <c r="T1788" s="55" t="n"/>
      <c r="U1788" s="55" t="n"/>
      <c r="V1788" s="55" t="n"/>
      <c r="W1788" s="58" t="n"/>
      <c r="X1788" s="58" t="n"/>
      <c r="Y1788" s="55" t="n"/>
      <c r="Z1788" s="55" t="n"/>
      <c r="AA1788" s="55" t="n"/>
      <c r="AB1788" s="55" t="n"/>
      <c r="AC1788" s="55" t="n"/>
      <c r="AD1788" s="53" t="n"/>
      <c r="AE1788" s="55" t="n"/>
      <c r="AF1788" s="55" t="n"/>
      <c r="AG1788" s="59" t="n"/>
      <c r="AH1788" s="57" t="n"/>
      <c r="AI1788" s="55" t="n"/>
      <c r="AJ1788" s="55" t="n"/>
      <c r="AK1788" s="55" t="n"/>
      <c r="AL1788" s="55" t="n"/>
      <c r="AM1788" s="56" t="n"/>
      <c r="AN1788" s="55" t="n"/>
      <c r="AO1788" s="55" t="n"/>
      <c r="AP1788" s="55" t="n"/>
      <c r="AQ1788" s="55" t="n"/>
      <c r="AR1788" s="60">
        <f>IF(AND(C1788="",E1788=""),"",IF(A1788="","⚠ Date manquante",IF(AND(C1788="",E1788&lt;&gt;"Dépense"),"⚠ Prospect manquant",IF(E1788="","⚠ Action manquante",IF(AND(AU1788=1,D1788=""),"⚠ Canal manquant",IF(AND(W1788&lt;&gt;"",COUNTIFS('Saisie'!$W$5:$W$2004,W1788,'Saisie'!$C$5:$C$2004,"&lt;&gt;"&amp;C1788)&gt;0),"⚠ Numéro déjà utilisé par un autre prospect",IF(AND(J1788&lt;&gt;"",J1788&lt;A1788),"⚠ Relance avant la date de l'action",IF(A1788&gt;TODAY(),"⚠ Date dans le futur","✓"))))))))</f>
        <v/>
      </c>
      <c r="AS1788" s="61">
        <f>IF(AND(A1788="",C1788="",E1788=""),"",ROW())</f>
        <v/>
      </c>
      <c r="AT1788" s="61">
        <f>IF(E1788&amp;F1788="","",MAX(IFERROR(INDEX('Paramètres'!$J$6:$J$33,MATCH(E1788,'Paramètres'!$I$6:$I$33,0)),0),IFERROR(INDEX('Paramètres'!$N$6:$N$17,MATCH(F1788,'Paramètres'!$M$6:$M$17,0)),0)))</f>
        <v/>
      </c>
      <c r="AU1788" s="61">
        <f>IF(E1788="","",IFERROR(IF(INDEX('Paramètres'!$K$6:$K$33,MATCH(E1788,'Paramètres'!$I$6:$I$33,0))="Oui",1,0),0))</f>
        <v/>
      </c>
      <c r="AV1788" s="61">
        <f>IF(F1788="","",IFERROR(IF(INDEX('Paramètres'!$O$6:$O$17,MATCH(F1788,'Paramètres'!$M$6:$M$17,0))="Oui",1,0),0))</f>
        <v/>
      </c>
      <c r="AW1788" s="62">
        <f>IF(E1788="","",IF(G1788&lt;&gt;"",G1788,IF(OR(E1788="Proposition envoyée",E1788="Signature"),MAX(0,N(IFERROR(INDEX('Paramètres'!$R$6:$R$15,MATCH(IF(AL1788&lt;&gt;"",AL1788,IFERROR(INDEX('Prospects'!$AN$5:$AN$504,MATCH(C1788,'Prospects'!$C$5:$C$504,0)),"")),'Paramètres'!$Q$6:$Q$15,0)),0))-N(P1788)),0)))</f>
        <v/>
      </c>
      <c r="AX1788" s="61">
        <f>IF(C1788="","",IF(COUNTIF($C$5:C1788,C1788)=1,MAX($AX$4:AX1787)+1,""))</f>
        <v/>
      </c>
      <c r="AY1788" s="61">
        <f>IF(B1788="","",HOUR(B1788))</f>
        <v/>
      </c>
      <c r="AZ1788" s="61">
        <f>IF(A1788="","",MOD(A1788-2,7)+1)</f>
        <v/>
      </c>
      <c r="BA1788" s="60">
        <f>IF(C1788="","",IFERROR(INDEX('Prospects'!$N$5:$N$504,MATCH(C1788,'Prospects'!$C$5:$C$504,0)),""))</f>
        <v/>
      </c>
      <c r="BB1788" s="61">
        <f>IF(AND(C1788&lt;&gt;"",C1788='Fiche prospect'!$C$4),COUNTIF($C$5:C1788,C1788),"")</f>
        <v/>
      </c>
    </row>
    <row r="1789">
      <c r="A1789" s="53" t="n"/>
      <c r="B1789" s="54" t="n"/>
      <c r="C1789" s="55" t="n"/>
      <c r="D1789" s="55" t="n"/>
      <c r="E1789" s="55" t="n"/>
      <c r="F1789" s="55" t="n"/>
      <c r="G1789" s="56" t="n"/>
      <c r="H1789" s="57" t="n"/>
      <c r="I1789" s="55" t="n"/>
      <c r="J1789" s="53" t="n"/>
      <c r="K1789" s="54" t="n"/>
      <c r="L1789" s="55" t="n"/>
      <c r="M1789" s="55" t="n"/>
      <c r="N1789" s="57" t="n"/>
      <c r="O1789" s="55" t="n"/>
      <c r="P1789" s="56" t="n"/>
      <c r="Q1789" s="55" t="n"/>
      <c r="R1789" s="55" t="n"/>
      <c r="S1789" s="55" t="n"/>
      <c r="T1789" s="55" t="n"/>
      <c r="U1789" s="55" t="n"/>
      <c r="V1789" s="55" t="n"/>
      <c r="W1789" s="58" t="n"/>
      <c r="X1789" s="58" t="n"/>
      <c r="Y1789" s="55" t="n"/>
      <c r="Z1789" s="55" t="n"/>
      <c r="AA1789" s="55" t="n"/>
      <c r="AB1789" s="55" t="n"/>
      <c r="AC1789" s="55" t="n"/>
      <c r="AD1789" s="53" t="n"/>
      <c r="AE1789" s="55" t="n"/>
      <c r="AF1789" s="55" t="n"/>
      <c r="AG1789" s="59" t="n"/>
      <c r="AH1789" s="57" t="n"/>
      <c r="AI1789" s="55" t="n"/>
      <c r="AJ1789" s="55" t="n"/>
      <c r="AK1789" s="55" t="n"/>
      <c r="AL1789" s="55" t="n"/>
      <c r="AM1789" s="56" t="n"/>
      <c r="AN1789" s="55" t="n"/>
      <c r="AO1789" s="55" t="n"/>
      <c r="AP1789" s="55" t="n"/>
      <c r="AQ1789" s="55" t="n"/>
      <c r="AR1789" s="60">
        <f>IF(AND(C1789="",E1789=""),"",IF(A1789="","⚠ Date manquante",IF(AND(C1789="",E1789&lt;&gt;"Dépense"),"⚠ Prospect manquant",IF(E1789="","⚠ Action manquante",IF(AND(AU1789=1,D1789=""),"⚠ Canal manquant",IF(AND(W1789&lt;&gt;"",COUNTIFS('Saisie'!$W$5:$W$2004,W1789,'Saisie'!$C$5:$C$2004,"&lt;&gt;"&amp;C1789)&gt;0),"⚠ Numéro déjà utilisé par un autre prospect",IF(AND(J1789&lt;&gt;"",J1789&lt;A1789),"⚠ Relance avant la date de l'action",IF(A1789&gt;TODAY(),"⚠ Date dans le futur","✓"))))))))</f>
        <v/>
      </c>
      <c r="AS1789" s="61">
        <f>IF(AND(A1789="",C1789="",E1789=""),"",ROW())</f>
        <v/>
      </c>
      <c r="AT1789" s="61">
        <f>IF(E1789&amp;F1789="","",MAX(IFERROR(INDEX('Paramètres'!$J$6:$J$33,MATCH(E1789,'Paramètres'!$I$6:$I$33,0)),0),IFERROR(INDEX('Paramètres'!$N$6:$N$17,MATCH(F1789,'Paramètres'!$M$6:$M$17,0)),0)))</f>
        <v/>
      </c>
      <c r="AU1789" s="61">
        <f>IF(E1789="","",IFERROR(IF(INDEX('Paramètres'!$K$6:$K$33,MATCH(E1789,'Paramètres'!$I$6:$I$33,0))="Oui",1,0),0))</f>
        <v/>
      </c>
      <c r="AV1789" s="61">
        <f>IF(F1789="","",IFERROR(IF(INDEX('Paramètres'!$O$6:$O$17,MATCH(F1789,'Paramètres'!$M$6:$M$17,0))="Oui",1,0),0))</f>
        <v/>
      </c>
      <c r="AW1789" s="62">
        <f>IF(E1789="","",IF(G1789&lt;&gt;"",G1789,IF(OR(E1789="Proposition envoyée",E1789="Signature"),MAX(0,N(IFERROR(INDEX('Paramètres'!$R$6:$R$15,MATCH(IF(AL1789&lt;&gt;"",AL1789,IFERROR(INDEX('Prospects'!$AN$5:$AN$504,MATCH(C1789,'Prospects'!$C$5:$C$504,0)),"")),'Paramètres'!$Q$6:$Q$15,0)),0))-N(P1789)),0)))</f>
        <v/>
      </c>
      <c r="AX1789" s="61">
        <f>IF(C1789="","",IF(COUNTIF($C$5:C1789,C1789)=1,MAX($AX$4:AX1788)+1,""))</f>
        <v/>
      </c>
      <c r="AY1789" s="61">
        <f>IF(B1789="","",HOUR(B1789))</f>
        <v/>
      </c>
      <c r="AZ1789" s="61">
        <f>IF(A1789="","",MOD(A1789-2,7)+1)</f>
        <v/>
      </c>
      <c r="BA1789" s="60">
        <f>IF(C1789="","",IFERROR(INDEX('Prospects'!$N$5:$N$504,MATCH(C1789,'Prospects'!$C$5:$C$504,0)),""))</f>
        <v/>
      </c>
      <c r="BB1789" s="61">
        <f>IF(AND(C1789&lt;&gt;"",C1789='Fiche prospect'!$C$4),COUNTIF($C$5:C1789,C1789),"")</f>
        <v/>
      </c>
    </row>
    <row r="1790">
      <c r="A1790" s="53" t="n"/>
      <c r="B1790" s="54" t="n"/>
      <c r="C1790" s="55" t="n"/>
      <c r="D1790" s="55" t="n"/>
      <c r="E1790" s="55" t="n"/>
      <c r="F1790" s="55" t="n"/>
      <c r="G1790" s="56" t="n"/>
      <c r="H1790" s="57" t="n"/>
      <c r="I1790" s="55" t="n"/>
      <c r="J1790" s="53" t="n"/>
      <c r="K1790" s="54" t="n"/>
      <c r="L1790" s="55" t="n"/>
      <c r="M1790" s="55" t="n"/>
      <c r="N1790" s="57" t="n"/>
      <c r="O1790" s="55" t="n"/>
      <c r="P1790" s="56" t="n"/>
      <c r="Q1790" s="55" t="n"/>
      <c r="R1790" s="55" t="n"/>
      <c r="S1790" s="55" t="n"/>
      <c r="T1790" s="55" t="n"/>
      <c r="U1790" s="55" t="n"/>
      <c r="V1790" s="55" t="n"/>
      <c r="W1790" s="58" t="n"/>
      <c r="X1790" s="58" t="n"/>
      <c r="Y1790" s="55" t="n"/>
      <c r="Z1790" s="55" t="n"/>
      <c r="AA1790" s="55" t="n"/>
      <c r="AB1790" s="55" t="n"/>
      <c r="AC1790" s="55" t="n"/>
      <c r="AD1790" s="53" t="n"/>
      <c r="AE1790" s="55" t="n"/>
      <c r="AF1790" s="55" t="n"/>
      <c r="AG1790" s="59" t="n"/>
      <c r="AH1790" s="57" t="n"/>
      <c r="AI1790" s="55" t="n"/>
      <c r="AJ1790" s="55" t="n"/>
      <c r="AK1790" s="55" t="n"/>
      <c r="AL1790" s="55" t="n"/>
      <c r="AM1790" s="56" t="n"/>
      <c r="AN1790" s="55" t="n"/>
      <c r="AO1790" s="55" t="n"/>
      <c r="AP1790" s="55" t="n"/>
      <c r="AQ1790" s="55" t="n"/>
      <c r="AR1790" s="60">
        <f>IF(AND(C1790="",E1790=""),"",IF(A1790="","⚠ Date manquante",IF(AND(C1790="",E1790&lt;&gt;"Dépense"),"⚠ Prospect manquant",IF(E1790="","⚠ Action manquante",IF(AND(AU1790=1,D1790=""),"⚠ Canal manquant",IF(AND(W1790&lt;&gt;"",COUNTIFS('Saisie'!$W$5:$W$2004,W1790,'Saisie'!$C$5:$C$2004,"&lt;&gt;"&amp;C1790)&gt;0),"⚠ Numéro déjà utilisé par un autre prospect",IF(AND(J1790&lt;&gt;"",J1790&lt;A1790),"⚠ Relance avant la date de l'action",IF(A1790&gt;TODAY(),"⚠ Date dans le futur","✓"))))))))</f>
        <v/>
      </c>
      <c r="AS1790" s="61">
        <f>IF(AND(A1790="",C1790="",E1790=""),"",ROW())</f>
        <v/>
      </c>
      <c r="AT1790" s="61">
        <f>IF(E1790&amp;F1790="","",MAX(IFERROR(INDEX('Paramètres'!$J$6:$J$33,MATCH(E1790,'Paramètres'!$I$6:$I$33,0)),0),IFERROR(INDEX('Paramètres'!$N$6:$N$17,MATCH(F1790,'Paramètres'!$M$6:$M$17,0)),0)))</f>
        <v/>
      </c>
      <c r="AU1790" s="61">
        <f>IF(E1790="","",IFERROR(IF(INDEX('Paramètres'!$K$6:$K$33,MATCH(E1790,'Paramètres'!$I$6:$I$33,0))="Oui",1,0),0))</f>
        <v/>
      </c>
      <c r="AV1790" s="61">
        <f>IF(F1790="","",IFERROR(IF(INDEX('Paramètres'!$O$6:$O$17,MATCH(F1790,'Paramètres'!$M$6:$M$17,0))="Oui",1,0),0))</f>
        <v/>
      </c>
      <c r="AW1790" s="62">
        <f>IF(E1790="","",IF(G1790&lt;&gt;"",G1790,IF(OR(E1790="Proposition envoyée",E1790="Signature"),MAX(0,N(IFERROR(INDEX('Paramètres'!$R$6:$R$15,MATCH(IF(AL1790&lt;&gt;"",AL1790,IFERROR(INDEX('Prospects'!$AN$5:$AN$504,MATCH(C1790,'Prospects'!$C$5:$C$504,0)),"")),'Paramètres'!$Q$6:$Q$15,0)),0))-N(P1790)),0)))</f>
        <v/>
      </c>
      <c r="AX1790" s="61">
        <f>IF(C1790="","",IF(COUNTIF($C$5:C1790,C1790)=1,MAX($AX$4:AX1789)+1,""))</f>
        <v/>
      </c>
      <c r="AY1790" s="61">
        <f>IF(B1790="","",HOUR(B1790))</f>
        <v/>
      </c>
      <c r="AZ1790" s="61">
        <f>IF(A1790="","",MOD(A1790-2,7)+1)</f>
        <v/>
      </c>
      <c r="BA1790" s="60">
        <f>IF(C1790="","",IFERROR(INDEX('Prospects'!$N$5:$N$504,MATCH(C1790,'Prospects'!$C$5:$C$504,0)),""))</f>
        <v/>
      </c>
      <c r="BB1790" s="61">
        <f>IF(AND(C1790&lt;&gt;"",C1790='Fiche prospect'!$C$4),COUNTIF($C$5:C1790,C1790),"")</f>
        <v/>
      </c>
    </row>
    <row r="1791">
      <c r="A1791" s="53" t="n"/>
      <c r="B1791" s="54" t="n"/>
      <c r="C1791" s="55" t="n"/>
      <c r="D1791" s="55" t="n"/>
      <c r="E1791" s="55" t="n"/>
      <c r="F1791" s="55" t="n"/>
      <c r="G1791" s="56" t="n"/>
      <c r="H1791" s="57" t="n"/>
      <c r="I1791" s="55" t="n"/>
      <c r="J1791" s="53" t="n"/>
      <c r="K1791" s="54" t="n"/>
      <c r="L1791" s="55" t="n"/>
      <c r="M1791" s="55" t="n"/>
      <c r="N1791" s="57" t="n"/>
      <c r="O1791" s="55" t="n"/>
      <c r="P1791" s="56" t="n"/>
      <c r="Q1791" s="55" t="n"/>
      <c r="R1791" s="55" t="n"/>
      <c r="S1791" s="55" t="n"/>
      <c r="T1791" s="55" t="n"/>
      <c r="U1791" s="55" t="n"/>
      <c r="V1791" s="55" t="n"/>
      <c r="W1791" s="58" t="n"/>
      <c r="X1791" s="58" t="n"/>
      <c r="Y1791" s="55" t="n"/>
      <c r="Z1791" s="55" t="n"/>
      <c r="AA1791" s="55" t="n"/>
      <c r="AB1791" s="55" t="n"/>
      <c r="AC1791" s="55" t="n"/>
      <c r="AD1791" s="53" t="n"/>
      <c r="AE1791" s="55" t="n"/>
      <c r="AF1791" s="55" t="n"/>
      <c r="AG1791" s="59" t="n"/>
      <c r="AH1791" s="57" t="n"/>
      <c r="AI1791" s="55" t="n"/>
      <c r="AJ1791" s="55" t="n"/>
      <c r="AK1791" s="55" t="n"/>
      <c r="AL1791" s="55" t="n"/>
      <c r="AM1791" s="56" t="n"/>
      <c r="AN1791" s="55" t="n"/>
      <c r="AO1791" s="55" t="n"/>
      <c r="AP1791" s="55" t="n"/>
      <c r="AQ1791" s="55" t="n"/>
      <c r="AR1791" s="60">
        <f>IF(AND(C1791="",E1791=""),"",IF(A1791="","⚠ Date manquante",IF(AND(C1791="",E1791&lt;&gt;"Dépense"),"⚠ Prospect manquant",IF(E1791="","⚠ Action manquante",IF(AND(AU1791=1,D1791=""),"⚠ Canal manquant",IF(AND(W1791&lt;&gt;"",COUNTIFS('Saisie'!$W$5:$W$2004,W1791,'Saisie'!$C$5:$C$2004,"&lt;&gt;"&amp;C1791)&gt;0),"⚠ Numéro déjà utilisé par un autre prospect",IF(AND(J1791&lt;&gt;"",J1791&lt;A1791),"⚠ Relance avant la date de l'action",IF(A1791&gt;TODAY(),"⚠ Date dans le futur","✓"))))))))</f>
        <v/>
      </c>
      <c r="AS1791" s="61">
        <f>IF(AND(A1791="",C1791="",E1791=""),"",ROW())</f>
        <v/>
      </c>
      <c r="AT1791" s="61">
        <f>IF(E1791&amp;F1791="","",MAX(IFERROR(INDEX('Paramètres'!$J$6:$J$33,MATCH(E1791,'Paramètres'!$I$6:$I$33,0)),0),IFERROR(INDEX('Paramètres'!$N$6:$N$17,MATCH(F1791,'Paramètres'!$M$6:$M$17,0)),0)))</f>
        <v/>
      </c>
      <c r="AU1791" s="61">
        <f>IF(E1791="","",IFERROR(IF(INDEX('Paramètres'!$K$6:$K$33,MATCH(E1791,'Paramètres'!$I$6:$I$33,0))="Oui",1,0),0))</f>
        <v/>
      </c>
      <c r="AV1791" s="61">
        <f>IF(F1791="","",IFERROR(IF(INDEX('Paramètres'!$O$6:$O$17,MATCH(F1791,'Paramètres'!$M$6:$M$17,0))="Oui",1,0),0))</f>
        <v/>
      </c>
      <c r="AW1791" s="62">
        <f>IF(E1791="","",IF(G1791&lt;&gt;"",G1791,IF(OR(E1791="Proposition envoyée",E1791="Signature"),MAX(0,N(IFERROR(INDEX('Paramètres'!$R$6:$R$15,MATCH(IF(AL1791&lt;&gt;"",AL1791,IFERROR(INDEX('Prospects'!$AN$5:$AN$504,MATCH(C1791,'Prospects'!$C$5:$C$504,0)),"")),'Paramètres'!$Q$6:$Q$15,0)),0))-N(P1791)),0)))</f>
        <v/>
      </c>
      <c r="AX1791" s="61">
        <f>IF(C1791="","",IF(COUNTIF($C$5:C1791,C1791)=1,MAX($AX$4:AX1790)+1,""))</f>
        <v/>
      </c>
      <c r="AY1791" s="61">
        <f>IF(B1791="","",HOUR(B1791))</f>
        <v/>
      </c>
      <c r="AZ1791" s="61">
        <f>IF(A1791="","",MOD(A1791-2,7)+1)</f>
        <v/>
      </c>
      <c r="BA1791" s="60">
        <f>IF(C1791="","",IFERROR(INDEX('Prospects'!$N$5:$N$504,MATCH(C1791,'Prospects'!$C$5:$C$504,0)),""))</f>
        <v/>
      </c>
      <c r="BB1791" s="61">
        <f>IF(AND(C1791&lt;&gt;"",C1791='Fiche prospect'!$C$4),COUNTIF($C$5:C1791,C1791),"")</f>
        <v/>
      </c>
    </row>
    <row r="1792">
      <c r="A1792" s="53" t="n"/>
      <c r="B1792" s="54" t="n"/>
      <c r="C1792" s="55" t="n"/>
      <c r="D1792" s="55" t="n"/>
      <c r="E1792" s="55" t="n"/>
      <c r="F1792" s="55" t="n"/>
      <c r="G1792" s="56" t="n"/>
      <c r="H1792" s="57" t="n"/>
      <c r="I1792" s="55" t="n"/>
      <c r="J1792" s="53" t="n"/>
      <c r="K1792" s="54" t="n"/>
      <c r="L1792" s="55" t="n"/>
      <c r="M1792" s="55" t="n"/>
      <c r="N1792" s="57" t="n"/>
      <c r="O1792" s="55" t="n"/>
      <c r="P1792" s="56" t="n"/>
      <c r="Q1792" s="55" t="n"/>
      <c r="R1792" s="55" t="n"/>
      <c r="S1792" s="55" t="n"/>
      <c r="T1792" s="55" t="n"/>
      <c r="U1792" s="55" t="n"/>
      <c r="V1792" s="55" t="n"/>
      <c r="W1792" s="58" t="n"/>
      <c r="X1792" s="58" t="n"/>
      <c r="Y1792" s="55" t="n"/>
      <c r="Z1792" s="55" t="n"/>
      <c r="AA1792" s="55" t="n"/>
      <c r="AB1792" s="55" t="n"/>
      <c r="AC1792" s="55" t="n"/>
      <c r="AD1792" s="53" t="n"/>
      <c r="AE1792" s="55" t="n"/>
      <c r="AF1792" s="55" t="n"/>
      <c r="AG1792" s="59" t="n"/>
      <c r="AH1792" s="57" t="n"/>
      <c r="AI1792" s="55" t="n"/>
      <c r="AJ1792" s="55" t="n"/>
      <c r="AK1792" s="55" t="n"/>
      <c r="AL1792" s="55" t="n"/>
      <c r="AM1792" s="56" t="n"/>
      <c r="AN1792" s="55" t="n"/>
      <c r="AO1792" s="55" t="n"/>
      <c r="AP1792" s="55" t="n"/>
      <c r="AQ1792" s="55" t="n"/>
      <c r="AR1792" s="60">
        <f>IF(AND(C1792="",E1792=""),"",IF(A1792="","⚠ Date manquante",IF(AND(C1792="",E1792&lt;&gt;"Dépense"),"⚠ Prospect manquant",IF(E1792="","⚠ Action manquante",IF(AND(AU1792=1,D1792=""),"⚠ Canal manquant",IF(AND(W1792&lt;&gt;"",COUNTIFS('Saisie'!$W$5:$W$2004,W1792,'Saisie'!$C$5:$C$2004,"&lt;&gt;"&amp;C1792)&gt;0),"⚠ Numéro déjà utilisé par un autre prospect",IF(AND(J1792&lt;&gt;"",J1792&lt;A1792),"⚠ Relance avant la date de l'action",IF(A1792&gt;TODAY(),"⚠ Date dans le futur","✓"))))))))</f>
        <v/>
      </c>
      <c r="AS1792" s="61">
        <f>IF(AND(A1792="",C1792="",E1792=""),"",ROW())</f>
        <v/>
      </c>
      <c r="AT1792" s="61">
        <f>IF(E1792&amp;F1792="","",MAX(IFERROR(INDEX('Paramètres'!$J$6:$J$33,MATCH(E1792,'Paramètres'!$I$6:$I$33,0)),0),IFERROR(INDEX('Paramètres'!$N$6:$N$17,MATCH(F1792,'Paramètres'!$M$6:$M$17,0)),0)))</f>
        <v/>
      </c>
      <c r="AU1792" s="61">
        <f>IF(E1792="","",IFERROR(IF(INDEX('Paramètres'!$K$6:$K$33,MATCH(E1792,'Paramètres'!$I$6:$I$33,0))="Oui",1,0),0))</f>
        <v/>
      </c>
      <c r="AV1792" s="61">
        <f>IF(F1792="","",IFERROR(IF(INDEX('Paramètres'!$O$6:$O$17,MATCH(F1792,'Paramètres'!$M$6:$M$17,0))="Oui",1,0),0))</f>
        <v/>
      </c>
      <c r="AW1792" s="62">
        <f>IF(E1792="","",IF(G1792&lt;&gt;"",G1792,IF(OR(E1792="Proposition envoyée",E1792="Signature"),MAX(0,N(IFERROR(INDEX('Paramètres'!$R$6:$R$15,MATCH(IF(AL1792&lt;&gt;"",AL1792,IFERROR(INDEX('Prospects'!$AN$5:$AN$504,MATCH(C1792,'Prospects'!$C$5:$C$504,0)),"")),'Paramètres'!$Q$6:$Q$15,0)),0))-N(P1792)),0)))</f>
        <v/>
      </c>
      <c r="AX1792" s="61">
        <f>IF(C1792="","",IF(COUNTIF($C$5:C1792,C1792)=1,MAX($AX$4:AX1791)+1,""))</f>
        <v/>
      </c>
      <c r="AY1792" s="61">
        <f>IF(B1792="","",HOUR(B1792))</f>
        <v/>
      </c>
      <c r="AZ1792" s="61">
        <f>IF(A1792="","",MOD(A1792-2,7)+1)</f>
        <v/>
      </c>
      <c r="BA1792" s="60">
        <f>IF(C1792="","",IFERROR(INDEX('Prospects'!$N$5:$N$504,MATCH(C1792,'Prospects'!$C$5:$C$504,0)),""))</f>
        <v/>
      </c>
      <c r="BB1792" s="61">
        <f>IF(AND(C1792&lt;&gt;"",C1792='Fiche prospect'!$C$4),COUNTIF($C$5:C1792,C1792),"")</f>
        <v/>
      </c>
    </row>
    <row r="1793">
      <c r="A1793" s="53" t="n"/>
      <c r="B1793" s="54" t="n"/>
      <c r="C1793" s="55" t="n"/>
      <c r="D1793" s="55" t="n"/>
      <c r="E1793" s="55" t="n"/>
      <c r="F1793" s="55" t="n"/>
      <c r="G1793" s="56" t="n"/>
      <c r="H1793" s="57" t="n"/>
      <c r="I1793" s="55" t="n"/>
      <c r="J1793" s="53" t="n"/>
      <c r="K1793" s="54" t="n"/>
      <c r="L1793" s="55" t="n"/>
      <c r="M1793" s="55" t="n"/>
      <c r="N1793" s="57" t="n"/>
      <c r="O1793" s="55" t="n"/>
      <c r="P1793" s="56" t="n"/>
      <c r="Q1793" s="55" t="n"/>
      <c r="R1793" s="55" t="n"/>
      <c r="S1793" s="55" t="n"/>
      <c r="T1793" s="55" t="n"/>
      <c r="U1793" s="55" t="n"/>
      <c r="V1793" s="55" t="n"/>
      <c r="W1793" s="58" t="n"/>
      <c r="X1793" s="58" t="n"/>
      <c r="Y1793" s="55" t="n"/>
      <c r="Z1793" s="55" t="n"/>
      <c r="AA1793" s="55" t="n"/>
      <c r="AB1793" s="55" t="n"/>
      <c r="AC1793" s="55" t="n"/>
      <c r="AD1793" s="53" t="n"/>
      <c r="AE1793" s="55" t="n"/>
      <c r="AF1793" s="55" t="n"/>
      <c r="AG1793" s="59" t="n"/>
      <c r="AH1793" s="57" t="n"/>
      <c r="AI1793" s="55" t="n"/>
      <c r="AJ1793" s="55" t="n"/>
      <c r="AK1793" s="55" t="n"/>
      <c r="AL1793" s="55" t="n"/>
      <c r="AM1793" s="56" t="n"/>
      <c r="AN1793" s="55" t="n"/>
      <c r="AO1793" s="55" t="n"/>
      <c r="AP1793" s="55" t="n"/>
      <c r="AQ1793" s="55" t="n"/>
      <c r="AR1793" s="60">
        <f>IF(AND(C1793="",E1793=""),"",IF(A1793="","⚠ Date manquante",IF(AND(C1793="",E1793&lt;&gt;"Dépense"),"⚠ Prospect manquant",IF(E1793="","⚠ Action manquante",IF(AND(AU1793=1,D1793=""),"⚠ Canal manquant",IF(AND(W1793&lt;&gt;"",COUNTIFS('Saisie'!$W$5:$W$2004,W1793,'Saisie'!$C$5:$C$2004,"&lt;&gt;"&amp;C1793)&gt;0),"⚠ Numéro déjà utilisé par un autre prospect",IF(AND(J1793&lt;&gt;"",J1793&lt;A1793),"⚠ Relance avant la date de l'action",IF(A1793&gt;TODAY(),"⚠ Date dans le futur","✓"))))))))</f>
        <v/>
      </c>
      <c r="AS1793" s="61">
        <f>IF(AND(A1793="",C1793="",E1793=""),"",ROW())</f>
        <v/>
      </c>
      <c r="AT1793" s="61">
        <f>IF(E1793&amp;F1793="","",MAX(IFERROR(INDEX('Paramètres'!$J$6:$J$33,MATCH(E1793,'Paramètres'!$I$6:$I$33,0)),0),IFERROR(INDEX('Paramètres'!$N$6:$N$17,MATCH(F1793,'Paramètres'!$M$6:$M$17,0)),0)))</f>
        <v/>
      </c>
      <c r="AU1793" s="61">
        <f>IF(E1793="","",IFERROR(IF(INDEX('Paramètres'!$K$6:$K$33,MATCH(E1793,'Paramètres'!$I$6:$I$33,0))="Oui",1,0),0))</f>
        <v/>
      </c>
      <c r="AV1793" s="61">
        <f>IF(F1793="","",IFERROR(IF(INDEX('Paramètres'!$O$6:$O$17,MATCH(F1793,'Paramètres'!$M$6:$M$17,0))="Oui",1,0),0))</f>
        <v/>
      </c>
      <c r="AW1793" s="62">
        <f>IF(E1793="","",IF(G1793&lt;&gt;"",G1793,IF(OR(E1793="Proposition envoyée",E1793="Signature"),MAX(0,N(IFERROR(INDEX('Paramètres'!$R$6:$R$15,MATCH(IF(AL1793&lt;&gt;"",AL1793,IFERROR(INDEX('Prospects'!$AN$5:$AN$504,MATCH(C1793,'Prospects'!$C$5:$C$504,0)),"")),'Paramètres'!$Q$6:$Q$15,0)),0))-N(P1793)),0)))</f>
        <v/>
      </c>
      <c r="AX1793" s="61">
        <f>IF(C1793="","",IF(COUNTIF($C$5:C1793,C1793)=1,MAX($AX$4:AX1792)+1,""))</f>
        <v/>
      </c>
      <c r="AY1793" s="61">
        <f>IF(B1793="","",HOUR(B1793))</f>
        <v/>
      </c>
      <c r="AZ1793" s="61">
        <f>IF(A1793="","",MOD(A1793-2,7)+1)</f>
        <v/>
      </c>
      <c r="BA1793" s="60">
        <f>IF(C1793="","",IFERROR(INDEX('Prospects'!$N$5:$N$504,MATCH(C1793,'Prospects'!$C$5:$C$504,0)),""))</f>
        <v/>
      </c>
      <c r="BB1793" s="61">
        <f>IF(AND(C1793&lt;&gt;"",C1793='Fiche prospect'!$C$4),COUNTIF($C$5:C1793,C1793),"")</f>
        <v/>
      </c>
    </row>
    <row r="1794">
      <c r="A1794" s="53" t="n"/>
      <c r="B1794" s="54" t="n"/>
      <c r="C1794" s="55" t="n"/>
      <c r="D1794" s="55" t="n"/>
      <c r="E1794" s="55" t="n"/>
      <c r="F1794" s="55" t="n"/>
      <c r="G1794" s="56" t="n"/>
      <c r="H1794" s="57" t="n"/>
      <c r="I1794" s="55" t="n"/>
      <c r="J1794" s="53" t="n"/>
      <c r="K1794" s="54" t="n"/>
      <c r="L1794" s="55" t="n"/>
      <c r="M1794" s="55" t="n"/>
      <c r="N1794" s="57" t="n"/>
      <c r="O1794" s="55" t="n"/>
      <c r="P1794" s="56" t="n"/>
      <c r="Q1794" s="55" t="n"/>
      <c r="R1794" s="55" t="n"/>
      <c r="S1794" s="55" t="n"/>
      <c r="T1794" s="55" t="n"/>
      <c r="U1794" s="55" t="n"/>
      <c r="V1794" s="55" t="n"/>
      <c r="W1794" s="58" t="n"/>
      <c r="X1794" s="58" t="n"/>
      <c r="Y1794" s="55" t="n"/>
      <c r="Z1794" s="55" t="n"/>
      <c r="AA1794" s="55" t="n"/>
      <c r="AB1794" s="55" t="n"/>
      <c r="AC1794" s="55" t="n"/>
      <c r="AD1794" s="53" t="n"/>
      <c r="AE1794" s="55" t="n"/>
      <c r="AF1794" s="55" t="n"/>
      <c r="AG1794" s="59" t="n"/>
      <c r="AH1794" s="57" t="n"/>
      <c r="AI1794" s="55" t="n"/>
      <c r="AJ1794" s="55" t="n"/>
      <c r="AK1794" s="55" t="n"/>
      <c r="AL1794" s="55" t="n"/>
      <c r="AM1794" s="56" t="n"/>
      <c r="AN1794" s="55" t="n"/>
      <c r="AO1794" s="55" t="n"/>
      <c r="AP1794" s="55" t="n"/>
      <c r="AQ1794" s="55" t="n"/>
      <c r="AR1794" s="60">
        <f>IF(AND(C1794="",E1794=""),"",IF(A1794="","⚠ Date manquante",IF(AND(C1794="",E1794&lt;&gt;"Dépense"),"⚠ Prospect manquant",IF(E1794="","⚠ Action manquante",IF(AND(AU1794=1,D1794=""),"⚠ Canal manquant",IF(AND(W1794&lt;&gt;"",COUNTIFS('Saisie'!$W$5:$W$2004,W1794,'Saisie'!$C$5:$C$2004,"&lt;&gt;"&amp;C1794)&gt;0),"⚠ Numéro déjà utilisé par un autre prospect",IF(AND(J1794&lt;&gt;"",J1794&lt;A1794),"⚠ Relance avant la date de l'action",IF(A1794&gt;TODAY(),"⚠ Date dans le futur","✓"))))))))</f>
        <v/>
      </c>
      <c r="AS1794" s="61">
        <f>IF(AND(A1794="",C1794="",E1794=""),"",ROW())</f>
        <v/>
      </c>
      <c r="AT1794" s="61">
        <f>IF(E1794&amp;F1794="","",MAX(IFERROR(INDEX('Paramètres'!$J$6:$J$33,MATCH(E1794,'Paramètres'!$I$6:$I$33,0)),0),IFERROR(INDEX('Paramètres'!$N$6:$N$17,MATCH(F1794,'Paramètres'!$M$6:$M$17,0)),0)))</f>
        <v/>
      </c>
      <c r="AU1794" s="61">
        <f>IF(E1794="","",IFERROR(IF(INDEX('Paramètres'!$K$6:$K$33,MATCH(E1794,'Paramètres'!$I$6:$I$33,0))="Oui",1,0),0))</f>
        <v/>
      </c>
      <c r="AV1794" s="61">
        <f>IF(F1794="","",IFERROR(IF(INDEX('Paramètres'!$O$6:$O$17,MATCH(F1794,'Paramètres'!$M$6:$M$17,0))="Oui",1,0),0))</f>
        <v/>
      </c>
      <c r="AW1794" s="62">
        <f>IF(E1794="","",IF(G1794&lt;&gt;"",G1794,IF(OR(E1794="Proposition envoyée",E1794="Signature"),MAX(0,N(IFERROR(INDEX('Paramètres'!$R$6:$R$15,MATCH(IF(AL1794&lt;&gt;"",AL1794,IFERROR(INDEX('Prospects'!$AN$5:$AN$504,MATCH(C1794,'Prospects'!$C$5:$C$504,0)),"")),'Paramètres'!$Q$6:$Q$15,0)),0))-N(P1794)),0)))</f>
        <v/>
      </c>
      <c r="AX1794" s="61">
        <f>IF(C1794="","",IF(COUNTIF($C$5:C1794,C1794)=1,MAX($AX$4:AX1793)+1,""))</f>
        <v/>
      </c>
      <c r="AY1794" s="61">
        <f>IF(B1794="","",HOUR(B1794))</f>
        <v/>
      </c>
      <c r="AZ1794" s="61">
        <f>IF(A1794="","",MOD(A1794-2,7)+1)</f>
        <v/>
      </c>
      <c r="BA1794" s="60">
        <f>IF(C1794="","",IFERROR(INDEX('Prospects'!$N$5:$N$504,MATCH(C1794,'Prospects'!$C$5:$C$504,0)),""))</f>
        <v/>
      </c>
      <c r="BB1794" s="61">
        <f>IF(AND(C1794&lt;&gt;"",C1794='Fiche prospect'!$C$4),COUNTIF($C$5:C1794,C1794),"")</f>
        <v/>
      </c>
    </row>
    <row r="1795">
      <c r="A1795" s="53" t="n"/>
      <c r="B1795" s="54" t="n"/>
      <c r="C1795" s="55" t="n"/>
      <c r="D1795" s="55" t="n"/>
      <c r="E1795" s="55" t="n"/>
      <c r="F1795" s="55" t="n"/>
      <c r="G1795" s="56" t="n"/>
      <c r="H1795" s="57" t="n"/>
      <c r="I1795" s="55" t="n"/>
      <c r="J1795" s="53" t="n"/>
      <c r="K1795" s="54" t="n"/>
      <c r="L1795" s="55" t="n"/>
      <c r="M1795" s="55" t="n"/>
      <c r="N1795" s="57" t="n"/>
      <c r="O1795" s="55" t="n"/>
      <c r="P1795" s="56" t="n"/>
      <c r="Q1795" s="55" t="n"/>
      <c r="R1795" s="55" t="n"/>
      <c r="S1795" s="55" t="n"/>
      <c r="T1795" s="55" t="n"/>
      <c r="U1795" s="55" t="n"/>
      <c r="V1795" s="55" t="n"/>
      <c r="W1795" s="58" t="n"/>
      <c r="X1795" s="58" t="n"/>
      <c r="Y1795" s="55" t="n"/>
      <c r="Z1795" s="55" t="n"/>
      <c r="AA1795" s="55" t="n"/>
      <c r="AB1795" s="55" t="n"/>
      <c r="AC1795" s="55" t="n"/>
      <c r="AD1795" s="53" t="n"/>
      <c r="AE1795" s="55" t="n"/>
      <c r="AF1795" s="55" t="n"/>
      <c r="AG1795" s="59" t="n"/>
      <c r="AH1795" s="57" t="n"/>
      <c r="AI1795" s="55" t="n"/>
      <c r="AJ1795" s="55" t="n"/>
      <c r="AK1795" s="55" t="n"/>
      <c r="AL1795" s="55" t="n"/>
      <c r="AM1795" s="56" t="n"/>
      <c r="AN1795" s="55" t="n"/>
      <c r="AO1795" s="55" t="n"/>
      <c r="AP1795" s="55" t="n"/>
      <c r="AQ1795" s="55" t="n"/>
      <c r="AR1795" s="60">
        <f>IF(AND(C1795="",E1795=""),"",IF(A1795="","⚠ Date manquante",IF(AND(C1795="",E1795&lt;&gt;"Dépense"),"⚠ Prospect manquant",IF(E1795="","⚠ Action manquante",IF(AND(AU1795=1,D1795=""),"⚠ Canal manquant",IF(AND(W1795&lt;&gt;"",COUNTIFS('Saisie'!$W$5:$W$2004,W1795,'Saisie'!$C$5:$C$2004,"&lt;&gt;"&amp;C1795)&gt;0),"⚠ Numéro déjà utilisé par un autre prospect",IF(AND(J1795&lt;&gt;"",J1795&lt;A1795),"⚠ Relance avant la date de l'action",IF(A1795&gt;TODAY(),"⚠ Date dans le futur","✓"))))))))</f>
        <v/>
      </c>
      <c r="AS1795" s="61">
        <f>IF(AND(A1795="",C1795="",E1795=""),"",ROW())</f>
        <v/>
      </c>
      <c r="AT1795" s="61">
        <f>IF(E1795&amp;F1795="","",MAX(IFERROR(INDEX('Paramètres'!$J$6:$J$33,MATCH(E1795,'Paramètres'!$I$6:$I$33,0)),0),IFERROR(INDEX('Paramètres'!$N$6:$N$17,MATCH(F1795,'Paramètres'!$M$6:$M$17,0)),0)))</f>
        <v/>
      </c>
      <c r="AU1795" s="61">
        <f>IF(E1795="","",IFERROR(IF(INDEX('Paramètres'!$K$6:$K$33,MATCH(E1795,'Paramètres'!$I$6:$I$33,0))="Oui",1,0),0))</f>
        <v/>
      </c>
      <c r="AV1795" s="61">
        <f>IF(F1795="","",IFERROR(IF(INDEX('Paramètres'!$O$6:$O$17,MATCH(F1795,'Paramètres'!$M$6:$M$17,0))="Oui",1,0),0))</f>
        <v/>
      </c>
      <c r="AW1795" s="62">
        <f>IF(E1795="","",IF(G1795&lt;&gt;"",G1795,IF(OR(E1795="Proposition envoyée",E1795="Signature"),MAX(0,N(IFERROR(INDEX('Paramètres'!$R$6:$R$15,MATCH(IF(AL1795&lt;&gt;"",AL1795,IFERROR(INDEX('Prospects'!$AN$5:$AN$504,MATCH(C1795,'Prospects'!$C$5:$C$504,0)),"")),'Paramètres'!$Q$6:$Q$15,0)),0))-N(P1795)),0)))</f>
        <v/>
      </c>
      <c r="AX1795" s="61">
        <f>IF(C1795="","",IF(COUNTIF($C$5:C1795,C1795)=1,MAX($AX$4:AX1794)+1,""))</f>
        <v/>
      </c>
      <c r="AY1795" s="61">
        <f>IF(B1795="","",HOUR(B1795))</f>
        <v/>
      </c>
      <c r="AZ1795" s="61">
        <f>IF(A1795="","",MOD(A1795-2,7)+1)</f>
        <v/>
      </c>
      <c r="BA1795" s="60">
        <f>IF(C1795="","",IFERROR(INDEX('Prospects'!$N$5:$N$504,MATCH(C1795,'Prospects'!$C$5:$C$504,0)),""))</f>
        <v/>
      </c>
      <c r="BB1795" s="61">
        <f>IF(AND(C1795&lt;&gt;"",C1795='Fiche prospect'!$C$4),COUNTIF($C$5:C1795,C1795),"")</f>
        <v/>
      </c>
    </row>
    <row r="1796">
      <c r="A1796" s="53" t="n"/>
      <c r="B1796" s="54" t="n"/>
      <c r="C1796" s="55" t="n"/>
      <c r="D1796" s="55" t="n"/>
      <c r="E1796" s="55" t="n"/>
      <c r="F1796" s="55" t="n"/>
      <c r="G1796" s="56" t="n"/>
      <c r="H1796" s="57" t="n"/>
      <c r="I1796" s="55" t="n"/>
      <c r="J1796" s="53" t="n"/>
      <c r="K1796" s="54" t="n"/>
      <c r="L1796" s="55" t="n"/>
      <c r="M1796" s="55" t="n"/>
      <c r="N1796" s="57" t="n"/>
      <c r="O1796" s="55" t="n"/>
      <c r="P1796" s="56" t="n"/>
      <c r="Q1796" s="55" t="n"/>
      <c r="R1796" s="55" t="n"/>
      <c r="S1796" s="55" t="n"/>
      <c r="T1796" s="55" t="n"/>
      <c r="U1796" s="55" t="n"/>
      <c r="V1796" s="55" t="n"/>
      <c r="W1796" s="58" t="n"/>
      <c r="X1796" s="58" t="n"/>
      <c r="Y1796" s="55" t="n"/>
      <c r="Z1796" s="55" t="n"/>
      <c r="AA1796" s="55" t="n"/>
      <c r="AB1796" s="55" t="n"/>
      <c r="AC1796" s="55" t="n"/>
      <c r="AD1796" s="53" t="n"/>
      <c r="AE1796" s="55" t="n"/>
      <c r="AF1796" s="55" t="n"/>
      <c r="AG1796" s="59" t="n"/>
      <c r="AH1796" s="57" t="n"/>
      <c r="AI1796" s="55" t="n"/>
      <c r="AJ1796" s="55" t="n"/>
      <c r="AK1796" s="55" t="n"/>
      <c r="AL1796" s="55" t="n"/>
      <c r="AM1796" s="56" t="n"/>
      <c r="AN1796" s="55" t="n"/>
      <c r="AO1796" s="55" t="n"/>
      <c r="AP1796" s="55" t="n"/>
      <c r="AQ1796" s="55" t="n"/>
      <c r="AR1796" s="60">
        <f>IF(AND(C1796="",E1796=""),"",IF(A1796="","⚠ Date manquante",IF(AND(C1796="",E1796&lt;&gt;"Dépense"),"⚠ Prospect manquant",IF(E1796="","⚠ Action manquante",IF(AND(AU1796=1,D1796=""),"⚠ Canal manquant",IF(AND(W1796&lt;&gt;"",COUNTIFS('Saisie'!$W$5:$W$2004,W1796,'Saisie'!$C$5:$C$2004,"&lt;&gt;"&amp;C1796)&gt;0),"⚠ Numéro déjà utilisé par un autre prospect",IF(AND(J1796&lt;&gt;"",J1796&lt;A1796),"⚠ Relance avant la date de l'action",IF(A1796&gt;TODAY(),"⚠ Date dans le futur","✓"))))))))</f>
        <v/>
      </c>
      <c r="AS1796" s="61">
        <f>IF(AND(A1796="",C1796="",E1796=""),"",ROW())</f>
        <v/>
      </c>
      <c r="AT1796" s="61">
        <f>IF(E1796&amp;F1796="","",MAX(IFERROR(INDEX('Paramètres'!$J$6:$J$33,MATCH(E1796,'Paramètres'!$I$6:$I$33,0)),0),IFERROR(INDEX('Paramètres'!$N$6:$N$17,MATCH(F1796,'Paramètres'!$M$6:$M$17,0)),0)))</f>
        <v/>
      </c>
      <c r="AU1796" s="61">
        <f>IF(E1796="","",IFERROR(IF(INDEX('Paramètres'!$K$6:$K$33,MATCH(E1796,'Paramètres'!$I$6:$I$33,0))="Oui",1,0),0))</f>
        <v/>
      </c>
      <c r="AV1796" s="61">
        <f>IF(F1796="","",IFERROR(IF(INDEX('Paramètres'!$O$6:$O$17,MATCH(F1796,'Paramètres'!$M$6:$M$17,0))="Oui",1,0),0))</f>
        <v/>
      </c>
      <c r="AW1796" s="62">
        <f>IF(E1796="","",IF(G1796&lt;&gt;"",G1796,IF(OR(E1796="Proposition envoyée",E1796="Signature"),MAX(0,N(IFERROR(INDEX('Paramètres'!$R$6:$R$15,MATCH(IF(AL1796&lt;&gt;"",AL1796,IFERROR(INDEX('Prospects'!$AN$5:$AN$504,MATCH(C1796,'Prospects'!$C$5:$C$504,0)),"")),'Paramètres'!$Q$6:$Q$15,0)),0))-N(P1796)),0)))</f>
        <v/>
      </c>
      <c r="AX1796" s="61">
        <f>IF(C1796="","",IF(COUNTIF($C$5:C1796,C1796)=1,MAX($AX$4:AX1795)+1,""))</f>
        <v/>
      </c>
      <c r="AY1796" s="61">
        <f>IF(B1796="","",HOUR(B1796))</f>
        <v/>
      </c>
      <c r="AZ1796" s="61">
        <f>IF(A1796="","",MOD(A1796-2,7)+1)</f>
        <v/>
      </c>
      <c r="BA1796" s="60">
        <f>IF(C1796="","",IFERROR(INDEX('Prospects'!$N$5:$N$504,MATCH(C1796,'Prospects'!$C$5:$C$504,0)),""))</f>
        <v/>
      </c>
      <c r="BB1796" s="61">
        <f>IF(AND(C1796&lt;&gt;"",C1796='Fiche prospect'!$C$4),COUNTIF($C$5:C1796,C1796),"")</f>
        <v/>
      </c>
    </row>
    <row r="1797">
      <c r="A1797" s="53" t="n"/>
      <c r="B1797" s="54" t="n"/>
      <c r="C1797" s="55" t="n"/>
      <c r="D1797" s="55" t="n"/>
      <c r="E1797" s="55" t="n"/>
      <c r="F1797" s="55" t="n"/>
      <c r="G1797" s="56" t="n"/>
      <c r="H1797" s="57" t="n"/>
      <c r="I1797" s="55" t="n"/>
      <c r="J1797" s="53" t="n"/>
      <c r="K1797" s="54" t="n"/>
      <c r="L1797" s="55" t="n"/>
      <c r="M1797" s="55" t="n"/>
      <c r="N1797" s="57" t="n"/>
      <c r="O1797" s="55" t="n"/>
      <c r="P1797" s="56" t="n"/>
      <c r="Q1797" s="55" t="n"/>
      <c r="R1797" s="55" t="n"/>
      <c r="S1797" s="55" t="n"/>
      <c r="T1797" s="55" t="n"/>
      <c r="U1797" s="55" t="n"/>
      <c r="V1797" s="55" t="n"/>
      <c r="W1797" s="58" t="n"/>
      <c r="X1797" s="58" t="n"/>
      <c r="Y1797" s="55" t="n"/>
      <c r="Z1797" s="55" t="n"/>
      <c r="AA1797" s="55" t="n"/>
      <c r="AB1797" s="55" t="n"/>
      <c r="AC1797" s="55" t="n"/>
      <c r="AD1797" s="53" t="n"/>
      <c r="AE1797" s="55" t="n"/>
      <c r="AF1797" s="55" t="n"/>
      <c r="AG1797" s="59" t="n"/>
      <c r="AH1797" s="57" t="n"/>
      <c r="AI1797" s="55" t="n"/>
      <c r="AJ1797" s="55" t="n"/>
      <c r="AK1797" s="55" t="n"/>
      <c r="AL1797" s="55" t="n"/>
      <c r="AM1797" s="56" t="n"/>
      <c r="AN1797" s="55" t="n"/>
      <c r="AO1797" s="55" t="n"/>
      <c r="AP1797" s="55" t="n"/>
      <c r="AQ1797" s="55" t="n"/>
      <c r="AR1797" s="60">
        <f>IF(AND(C1797="",E1797=""),"",IF(A1797="","⚠ Date manquante",IF(AND(C1797="",E1797&lt;&gt;"Dépense"),"⚠ Prospect manquant",IF(E1797="","⚠ Action manquante",IF(AND(AU1797=1,D1797=""),"⚠ Canal manquant",IF(AND(W1797&lt;&gt;"",COUNTIFS('Saisie'!$W$5:$W$2004,W1797,'Saisie'!$C$5:$C$2004,"&lt;&gt;"&amp;C1797)&gt;0),"⚠ Numéro déjà utilisé par un autre prospect",IF(AND(J1797&lt;&gt;"",J1797&lt;A1797),"⚠ Relance avant la date de l'action",IF(A1797&gt;TODAY(),"⚠ Date dans le futur","✓"))))))))</f>
        <v/>
      </c>
      <c r="AS1797" s="61">
        <f>IF(AND(A1797="",C1797="",E1797=""),"",ROW())</f>
        <v/>
      </c>
      <c r="AT1797" s="61">
        <f>IF(E1797&amp;F1797="","",MAX(IFERROR(INDEX('Paramètres'!$J$6:$J$33,MATCH(E1797,'Paramètres'!$I$6:$I$33,0)),0),IFERROR(INDEX('Paramètres'!$N$6:$N$17,MATCH(F1797,'Paramètres'!$M$6:$M$17,0)),0)))</f>
        <v/>
      </c>
      <c r="AU1797" s="61">
        <f>IF(E1797="","",IFERROR(IF(INDEX('Paramètres'!$K$6:$K$33,MATCH(E1797,'Paramètres'!$I$6:$I$33,0))="Oui",1,0),0))</f>
        <v/>
      </c>
      <c r="AV1797" s="61">
        <f>IF(F1797="","",IFERROR(IF(INDEX('Paramètres'!$O$6:$O$17,MATCH(F1797,'Paramètres'!$M$6:$M$17,0))="Oui",1,0),0))</f>
        <v/>
      </c>
      <c r="AW1797" s="62">
        <f>IF(E1797="","",IF(G1797&lt;&gt;"",G1797,IF(OR(E1797="Proposition envoyée",E1797="Signature"),MAX(0,N(IFERROR(INDEX('Paramètres'!$R$6:$R$15,MATCH(IF(AL1797&lt;&gt;"",AL1797,IFERROR(INDEX('Prospects'!$AN$5:$AN$504,MATCH(C1797,'Prospects'!$C$5:$C$504,0)),"")),'Paramètres'!$Q$6:$Q$15,0)),0))-N(P1797)),0)))</f>
        <v/>
      </c>
      <c r="AX1797" s="61">
        <f>IF(C1797="","",IF(COUNTIF($C$5:C1797,C1797)=1,MAX($AX$4:AX1796)+1,""))</f>
        <v/>
      </c>
      <c r="AY1797" s="61">
        <f>IF(B1797="","",HOUR(B1797))</f>
        <v/>
      </c>
      <c r="AZ1797" s="61">
        <f>IF(A1797="","",MOD(A1797-2,7)+1)</f>
        <v/>
      </c>
      <c r="BA1797" s="60">
        <f>IF(C1797="","",IFERROR(INDEX('Prospects'!$N$5:$N$504,MATCH(C1797,'Prospects'!$C$5:$C$504,0)),""))</f>
        <v/>
      </c>
      <c r="BB1797" s="61">
        <f>IF(AND(C1797&lt;&gt;"",C1797='Fiche prospect'!$C$4),COUNTIF($C$5:C1797,C1797),"")</f>
        <v/>
      </c>
    </row>
    <row r="1798">
      <c r="A1798" s="53" t="n"/>
      <c r="B1798" s="54" t="n"/>
      <c r="C1798" s="55" t="n"/>
      <c r="D1798" s="55" t="n"/>
      <c r="E1798" s="55" t="n"/>
      <c r="F1798" s="55" t="n"/>
      <c r="G1798" s="56" t="n"/>
      <c r="H1798" s="57" t="n"/>
      <c r="I1798" s="55" t="n"/>
      <c r="J1798" s="53" t="n"/>
      <c r="K1798" s="54" t="n"/>
      <c r="L1798" s="55" t="n"/>
      <c r="M1798" s="55" t="n"/>
      <c r="N1798" s="57" t="n"/>
      <c r="O1798" s="55" t="n"/>
      <c r="P1798" s="56" t="n"/>
      <c r="Q1798" s="55" t="n"/>
      <c r="R1798" s="55" t="n"/>
      <c r="S1798" s="55" t="n"/>
      <c r="T1798" s="55" t="n"/>
      <c r="U1798" s="55" t="n"/>
      <c r="V1798" s="55" t="n"/>
      <c r="W1798" s="58" t="n"/>
      <c r="X1798" s="58" t="n"/>
      <c r="Y1798" s="55" t="n"/>
      <c r="Z1798" s="55" t="n"/>
      <c r="AA1798" s="55" t="n"/>
      <c r="AB1798" s="55" t="n"/>
      <c r="AC1798" s="55" t="n"/>
      <c r="AD1798" s="53" t="n"/>
      <c r="AE1798" s="55" t="n"/>
      <c r="AF1798" s="55" t="n"/>
      <c r="AG1798" s="59" t="n"/>
      <c r="AH1798" s="57" t="n"/>
      <c r="AI1798" s="55" t="n"/>
      <c r="AJ1798" s="55" t="n"/>
      <c r="AK1798" s="55" t="n"/>
      <c r="AL1798" s="55" t="n"/>
      <c r="AM1798" s="56" t="n"/>
      <c r="AN1798" s="55" t="n"/>
      <c r="AO1798" s="55" t="n"/>
      <c r="AP1798" s="55" t="n"/>
      <c r="AQ1798" s="55" t="n"/>
      <c r="AR1798" s="60">
        <f>IF(AND(C1798="",E1798=""),"",IF(A1798="","⚠ Date manquante",IF(AND(C1798="",E1798&lt;&gt;"Dépense"),"⚠ Prospect manquant",IF(E1798="","⚠ Action manquante",IF(AND(AU1798=1,D1798=""),"⚠ Canal manquant",IF(AND(W1798&lt;&gt;"",COUNTIFS('Saisie'!$W$5:$W$2004,W1798,'Saisie'!$C$5:$C$2004,"&lt;&gt;"&amp;C1798)&gt;0),"⚠ Numéro déjà utilisé par un autre prospect",IF(AND(J1798&lt;&gt;"",J1798&lt;A1798),"⚠ Relance avant la date de l'action",IF(A1798&gt;TODAY(),"⚠ Date dans le futur","✓"))))))))</f>
        <v/>
      </c>
      <c r="AS1798" s="61">
        <f>IF(AND(A1798="",C1798="",E1798=""),"",ROW())</f>
        <v/>
      </c>
      <c r="AT1798" s="61">
        <f>IF(E1798&amp;F1798="","",MAX(IFERROR(INDEX('Paramètres'!$J$6:$J$33,MATCH(E1798,'Paramètres'!$I$6:$I$33,0)),0),IFERROR(INDEX('Paramètres'!$N$6:$N$17,MATCH(F1798,'Paramètres'!$M$6:$M$17,0)),0)))</f>
        <v/>
      </c>
      <c r="AU1798" s="61">
        <f>IF(E1798="","",IFERROR(IF(INDEX('Paramètres'!$K$6:$K$33,MATCH(E1798,'Paramètres'!$I$6:$I$33,0))="Oui",1,0),0))</f>
        <v/>
      </c>
      <c r="AV1798" s="61">
        <f>IF(F1798="","",IFERROR(IF(INDEX('Paramètres'!$O$6:$O$17,MATCH(F1798,'Paramètres'!$M$6:$M$17,0))="Oui",1,0),0))</f>
        <v/>
      </c>
      <c r="AW1798" s="62">
        <f>IF(E1798="","",IF(G1798&lt;&gt;"",G1798,IF(OR(E1798="Proposition envoyée",E1798="Signature"),MAX(0,N(IFERROR(INDEX('Paramètres'!$R$6:$R$15,MATCH(IF(AL1798&lt;&gt;"",AL1798,IFERROR(INDEX('Prospects'!$AN$5:$AN$504,MATCH(C1798,'Prospects'!$C$5:$C$504,0)),"")),'Paramètres'!$Q$6:$Q$15,0)),0))-N(P1798)),0)))</f>
        <v/>
      </c>
      <c r="AX1798" s="61">
        <f>IF(C1798="","",IF(COUNTIF($C$5:C1798,C1798)=1,MAX($AX$4:AX1797)+1,""))</f>
        <v/>
      </c>
      <c r="AY1798" s="61">
        <f>IF(B1798="","",HOUR(B1798))</f>
        <v/>
      </c>
      <c r="AZ1798" s="61">
        <f>IF(A1798="","",MOD(A1798-2,7)+1)</f>
        <v/>
      </c>
      <c r="BA1798" s="60">
        <f>IF(C1798="","",IFERROR(INDEX('Prospects'!$N$5:$N$504,MATCH(C1798,'Prospects'!$C$5:$C$504,0)),""))</f>
        <v/>
      </c>
      <c r="BB1798" s="61">
        <f>IF(AND(C1798&lt;&gt;"",C1798='Fiche prospect'!$C$4),COUNTIF($C$5:C1798,C1798),"")</f>
        <v/>
      </c>
    </row>
    <row r="1799">
      <c r="A1799" s="53" t="n"/>
      <c r="B1799" s="54" t="n"/>
      <c r="C1799" s="55" t="n"/>
      <c r="D1799" s="55" t="n"/>
      <c r="E1799" s="55" t="n"/>
      <c r="F1799" s="55" t="n"/>
      <c r="G1799" s="56" t="n"/>
      <c r="H1799" s="57" t="n"/>
      <c r="I1799" s="55" t="n"/>
      <c r="J1799" s="53" t="n"/>
      <c r="K1799" s="54" t="n"/>
      <c r="L1799" s="55" t="n"/>
      <c r="M1799" s="55" t="n"/>
      <c r="N1799" s="57" t="n"/>
      <c r="O1799" s="55" t="n"/>
      <c r="P1799" s="56" t="n"/>
      <c r="Q1799" s="55" t="n"/>
      <c r="R1799" s="55" t="n"/>
      <c r="S1799" s="55" t="n"/>
      <c r="T1799" s="55" t="n"/>
      <c r="U1799" s="55" t="n"/>
      <c r="V1799" s="55" t="n"/>
      <c r="W1799" s="58" t="n"/>
      <c r="X1799" s="58" t="n"/>
      <c r="Y1799" s="55" t="n"/>
      <c r="Z1799" s="55" t="n"/>
      <c r="AA1799" s="55" t="n"/>
      <c r="AB1799" s="55" t="n"/>
      <c r="AC1799" s="55" t="n"/>
      <c r="AD1799" s="53" t="n"/>
      <c r="AE1799" s="55" t="n"/>
      <c r="AF1799" s="55" t="n"/>
      <c r="AG1799" s="59" t="n"/>
      <c r="AH1799" s="57" t="n"/>
      <c r="AI1799" s="55" t="n"/>
      <c r="AJ1799" s="55" t="n"/>
      <c r="AK1799" s="55" t="n"/>
      <c r="AL1799" s="55" t="n"/>
      <c r="AM1799" s="56" t="n"/>
      <c r="AN1799" s="55" t="n"/>
      <c r="AO1799" s="55" t="n"/>
      <c r="AP1799" s="55" t="n"/>
      <c r="AQ1799" s="55" t="n"/>
      <c r="AR1799" s="60">
        <f>IF(AND(C1799="",E1799=""),"",IF(A1799="","⚠ Date manquante",IF(AND(C1799="",E1799&lt;&gt;"Dépense"),"⚠ Prospect manquant",IF(E1799="","⚠ Action manquante",IF(AND(AU1799=1,D1799=""),"⚠ Canal manquant",IF(AND(W1799&lt;&gt;"",COUNTIFS('Saisie'!$W$5:$W$2004,W1799,'Saisie'!$C$5:$C$2004,"&lt;&gt;"&amp;C1799)&gt;0),"⚠ Numéro déjà utilisé par un autre prospect",IF(AND(J1799&lt;&gt;"",J1799&lt;A1799),"⚠ Relance avant la date de l'action",IF(A1799&gt;TODAY(),"⚠ Date dans le futur","✓"))))))))</f>
        <v/>
      </c>
      <c r="AS1799" s="61">
        <f>IF(AND(A1799="",C1799="",E1799=""),"",ROW())</f>
        <v/>
      </c>
      <c r="AT1799" s="61">
        <f>IF(E1799&amp;F1799="","",MAX(IFERROR(INDEX('Paramètres'!$J$6:$J$33,MATCH(E1799,'Paramètres'!$I$6:$I$33,0)),0),IFERROR(INDEX('Paramètres'!$N$6:$N$17,MATCH(F1799,'Paramètres'!$M$6:$M$17,0)),0)))</f>
        <v/>
      </c>
      <c r="AU1799" s="61">
        <f>IF(E1799="","",IFERROR(IF(INDEX('Paramètres'!$K$6:$K$33,MATCH(E1799,'Paramètres'!$I$6:$I$33,0))="Oui",1,0),0))</f>
        <v/>
      </c>
      <c r="AV1799" s="61">
        <f>IF(F1799="","",IFERROR(IF(INDEX('Paramètres'!$O$6:$O$17,MATCH(F1799,'Paramètres'!$M$6:$M$17,0))="Oui",1,0),0))</f>
        <v/>
      </c>
      <c r="AW1799" s="62">
        <f>IF(E1799="","",IF(G1799&lt;&gt;"",G1799,IF(OR(E1799="Proposition envoyée",E1799="Signature"),MAX(0,N(IFERROR(INDEX('Paramètres'!$R$6:$R$15,MATCH(IF(AL1799&lt;&gt;"",AL1799,IFERROR(INDEX('Prospects'!$AN$5:$AN$504,MATCH(C1799,'Prospects'!$C$5:$C$504,0)),"")),'Paramètres'!$Q$6:$Q$15,0)),0))-N(P1799)),0)))</f>
        <v/>
      </c>
      <c r="AX1799" s="61">
        <f>IF(C1799="","",IF(COUNTIF($C$5:C1799,C1799)=1,MAX($AX$4:AX1798)+1,""))</f>
        <v/>
      </c>
      <c r="AY1799" s="61">
        <f>IF(B1799="","",HOUR(B1799))</f>
        <v/>
      </c>
      <c r="AZ1799" s="61">
        <f>IF(A1799="","",MOD(A1799-2,7)+1)</f>
        <v/>
      </c>
      <c r="BA1799" s="60">
        <f>IF(C1799="","",IFERROR(INDEX('Prospects'!$N$5:$N$504,MATCH(C1799,'Prospects'!$C$5:$C$504,0)),""))</f>
        <v/>
      </c>
      <c r="BB1799" s="61">
        <f>IF(AND(C1799&lt;&gt;"",C1799='Fiche prospect'!$C$4),COUNTIF($C$5:C1799,C1799),"")</f>
        <v/>
      </c>
    </row>
    <row r="1800">
      <c r="A1800" s="53" t="n"/>
      <c r="B1800" s="54" t="n"/>
      <c r="C1800" s="55" t="n"/>
      <c r="D1800" s="55" t="n"/>
      <c r="E1800" s="55" t="n"/>
      <c r="F1800" s="55" t="n"/>
      <c r="G1800" s="56" t="n"/>
      <c r="H1800" s="57" t="n"/>
      <c r="I1800" s="55" t="n"/>
      <c r="J1800" s="53" t="n"/>
      <c r="K1800" s="54" t="n"/>
      <c r="L1800" s="55" t="n"/>
      <c r="M1800" s="55" t="n"/>
      <c r="N1800" s="57" t="n"/>
      <c r="O1800" s="55" t="n"/>
      <c r="P1800" s="56" t="n"/>
      <c r="Q1800" s="55" t="n"/>
      <c r="R1800" s="55" t="n"/>
      <c r="S1800" s="55" t="n"/>
      <c r="T1800" s="55" t="n"/>
      <c r="U1800" s="55" t="n"/>
      <c r="V1800" s="55" t="n"/>
      <c r="W1800" s="58" t="n"/>
      <c r="X1800" s="58" t="n"/>
      <c r="Y1800" s="55" t="n"/>
      <c r="Z1800" s="55" t="n"/>
      <c r="AA1800" s="55" t="n"/>
      <c r="AB1800" s="55" t="n"/>
      <c r="AC1800" s="55" t="n"/>
      <c r="AD1800" s="53" t="n"/>
      <c r="AE1800" s="55" t="n"/>
      <c r="AF1800" s="55" t="n"/>
      <c r="AG1800" s="59" t="n"/>
      <c r="AH1800" s="57" t="n"/>
      <c r="AI1800" s="55" t="n"/>
      <c r="AJ1800" s="55" t="n"/>
      <c r="AK1800" s="55" t="n"/>
      <c r="AL1800" s="55" t="n"/>
      <c r="AM1800" s="56" t="n"/>
      <c r="AN1800" s="55" t="n"/>
      <c r="AO1800" s="55" t="n"/>
      <c r="AP1800" s="55" t="n"/>
      <c r="AQ1800" s="55" t="n"/>
      <c r="AR1800" s="60">
        <f>IF(AND(C1800="",E1800=""),"",IF(A1800="","⚠ Date manquante",IF(AND(C1800="",E1800&lt;&gt;"Dépense"),"⚠ Prospect manquant",IF(E1800="","⚠ Action manquante",IF(AND(AU1800=1,D1800=""),"⚠ Canal manquant",IF(AND(W1800&lt;&gt;"",COUNTIFS('Saisie'!$W$5:$W$2004,W1800,'Saisie'!$C$5:$C$2004,"&lt;&gt;"&amp;C1800)&gt;0),"⚠ Numéro déjà utilisé par un autre prospect",IF(AND(J1800&lt;&gt;"",J1800&lt;A1800),"⚠ Relance avant la date de l'action",IF(A1800&gt;TODAY(),"⚠ Date dans le futur","✓"))))))))</f>
        <v/>
      </c>
      <c r="AS1800" s="61">
        <f>IF(AND(A1800="",C1800="",E1800=""),"",ROW())</f>
        <v/>
      </c>
      <c r="AT1800" s="61">
        <f>IF(E1800&amp;F1800="","",MAX(IFERROR(INDEX('Paramètres'!$J$6:$J$33,MATCH(E1800,'Paramètres'!$I$6:$I$33,0)),0),IFERROR(INDEX('Paramètres'!$N$6:$N$17,MATCH(F1800,'Paramètres'!$M$6:$M$17,0)),0)))</f>
        <v/>
      </c>
      <c r="AU1800" s="61">
        <f>IF(E1800="","",IFERROR(IF(INDEX('Paramètres'!$K$6:$K$33,MATCH(E1800,'Paramètres'!$I$6:$I$33,0))="Oui",1,0),0))</f>
        <v/>
      </c>
      <c r="AV1800" s="61">
        <f>IF(F1800="","",IFERROR(IF(INDEX('Paramètres'!$O$6:$O$17,MATCH(F1800,'Paramètres'!$M$6:$M$17,0))="Oui",1,0),0))</f>
        <v/>
      </c>
      <c r="AW1800" s="62">
        <f>IF(E1800="","",IF(G1800&lt;&gt;"",G1800,IF(OR(E1800="Proposition envoyée",E1800="Signature"),MAX(0,N(IFERROR(INDEX('Paramètres'!$R$6:$R$15,MATCH(IF(AL1800&lt;&gt;"",AL1800,IFERROR(INDEX('Prospects'!$AN$5:$AN$504,MATCH(C1800,'Prospects'!$C$5:$C$504,0)),"")),'Paramètres'!$Q$6:$Q$15,0)),0))-N(P1800)),0)))</f>
        <v/>
      </c>
      <c r="AX1800" s="61">
        <f>IF(C1800="","",IF(COUNTIF($C$5:C1800,C1800)=1,MAX($AX$4:AX1799)+1,""))</f>
        <v/>
      </c>
      <c r="AY1800" s="61">
        <f>IF(B1800="","",HOUR(B1800))</f>
        <v/>
      </c>
      <c r="AZ1800" s="61">
        <f>IF(A1800="","",MOD(A1800-2,7)+1)</f>
        <v/>
      </c>
      <c r="BA1800" s="60">
        <f>IF(C1800="","",IFERROR(INDEX('Prospects'!$N$5:$N$504,MATCH(C1800,'Prospects'!$C$5:$C$504,0)),""))</f>
        <v/>
      </c>
      <c r="BB1800" s="61">
        <f>IF(AND(C1800&lt;&gt;"",C1800='Fiche prospect'!$C$4),COUNTIF($C$5:C1800,C1800),"")</f>
        <v/>
      </c>
    </row>
    <row r="1801">
      <c r="A1801" s="53" t="n"/>
      <c r="B1801" s="54" t="n"/>
      <c r="C1801" s="55" t="n"/>
      <c r="D1801" s="55" t="n"/>
      <c r="E1801" s="55" t="n"/>
      <c r="F1801" s="55" t="n"/>
      <c r="G1801" s="56" t="n"/>
      <c r="H1801" s="57" t="n"/>
      <c r="I1801" s="55" t="n"/>
      <c r="J1801" s="53" t="n"/>
      <c r="K1801" s="54" t="n"/>
      <c r="L1801" s="55" t="n"/>
      <c r="M1801" s="55" t="n"/>
      <c r="N1801" s="57" t="n"/>
      <c r="O1801" s="55" t="n"/>
      <c r="P1801" s="56" t="n"/>
      <c r="Q1801" s="55" t="n"/>
      <c r="R1801" s="55" t="n"/>
      <c r="S1801" s="55" t="n"/>
      <c r="T1801" s="55" t="n"/>
      <c r="U1801" s="55" t="n"/>
      <c r="V1801" s="55" t="n"/>
      <c r="W1801" s="58" t="n"/>
      <c r="X1801" s="58" t="n"/>
      <c r="Y1801" s="55" t="n"/>
      <c r="Z1801" s="55" t="n"/>
      <c r="AA1801" s="55" t="n"/>
      <c r="AB1801" s="55" t="n"/>
      <c r="AC1801" s="55" t="n"/>
      <c r="AD1801" s="53" t="n"/>
      <c r="AE1801" s="55" t="n"/>
      <c r="AF1801" s="55" t="n"/>
      <c r="AG1801" s="59" t="n"/>
      <c r="AH1801" s="57" t="n"/>
      <c r="AI1801" s="55" t="n"/>
      <c r="AJ1801" s="55" t="n"/>
      <c r="AK1801" s="55" t="n"/>
      <c r="AL1801" s="55" t="n"/>
      <c r="AM1801" s="56" t="n"/>
      <c r="AN1801" s="55" t="n"/>
      <c r="AO1801" s="55" t="n"/>
      <c r="AP1801" s="55" t="n"/>
      <c r="AQ1801" s="55" t="n"/>
      <c r="AR1801" s="60">
        <f>IF(AND(C1801="",E1801=""),"",IF(A1801="","⚠ Date manquante",IF(AND(C1801="",E1801&lt;&gt;"Dépense"),"⚠ Prospect manquant",IF(E1801="","⚠ Action manquante",IF(AND(AU1801=1,D1801=""),"⚠ Canal manquant",IF(AND(W1801&lt;&gt;"",COUNTIFS('Saisie'!$W$5:$W$2004,W1801,'Saisie'!$C$5:$C$2004,"&lt;&gt;"&amp;C1801)&gt;0),"⚠ Numéro déjà utilisé par un autre prospect",IF(AND(J1801&lt;&gt;"",J1801&lt;A1801),"⚠ Relance avant la date de l'action",IF(A1801&gt;TODAY(),"⚠ Date dans le futur","✓"))))))))</f>
        <v/>
      </c>
      <c r="AS1801" s="61">
        <f>IF(AND(A1801="",C1801="",E1801=""),"",ROW())</f>
        <v/>
      </c>
      <c r="AT1801" s="61">
        <f>IF(E1801&amp;F1801="","",MAX(IFERROR(INDEX('Paramètres'!$J$6:$J$33,MATCH(E1801,'Paramètres'!$I$6:$I$33,0)),0),IFERROR(INDEX('Paramètres'!$N$6:$N$17,MATCH(F1801,'Paramètres'!$M$6:$M$17,0)),0)))</f>
        <v/>
      </c>
      <c r="AU1801" s="61">
        <f>IF(E1801="","",IFERROR(IF(INDEX('Paramètres'!$K$6:$K$33,MATCH(E1801,'Paramètres'!$I$6:$I$33,0))="Oui",1,0),0))</f>
        <v/>
      </c>
      <c r="AV1801" s="61">
        <f>IF(F1801="","",IFERROR(IF(INDEX('Paramètres'!$O$6:$O$17,MATCH(F1801,'Paramètres'!$M$6:$M$17,0))="Oui",1,0),0))</f>
        <v/>
      </c>
      <c r="AW1801" s="62">
        <f>IF(E1801="","",IF(G1801&lt;&gt;"",G1801,IF(OR(E1801="Proposition envoyée",E1801="Signature"),MAX(0,N(IFERROR(INDEX('Paramètres'!$R$6:$R$15,MATCH(IF(AL1801&lt;&gt;"",AL1801,IFERROR(INDEX('Prospects'!$AN$5:$AN$504,MATCH(C1801,'Prospects'!$C$5:$C$504,0)),"")),'Paramètres'!$Q$6:$Q$15,0)),0))-N(P1801)),0)))</f>
        <v/>
      </c>
      <c r="AX1801" s="61">
        <f>IF(C1801="","",IF(COUNTIF($C$5:C1801,C1801)=1,MAX($AX$4:AX1800)+1,""))</f>
        <v/>
      </c>
      <c r="AY1801" s="61">
        <f>IF(B1801="","",HOUR(B1801))</f>
        <v/>
      </c>
      <c r="AZ1801" s="61">
        <f>IF(A1801="","",MOD(A1801-2,7)+1)</f>
        <v/>
      </c>
      <c r="BA1801" s="60">
        <f>IF(C1801="","",IFERROR(INDEX('Prospects'!$N$5:$N$504,MATCH(C1801,'Prospects'!$C$5:$C$504,0)),""))</f>
        <v/>
      </c>
      <c r="BB1801" s="61">
        <f>IF(AND(C1801&lt;&gt;"",C1801='Fiche prospect'!$C$4),COUNTIF($C$5:C1801,C1801),"")</f>
        <v/>
      </c>
    </row>
    <row r="1802">
      <c r="A1802" s="53" t="n"/>
      <c r="B1802" s="54" t="n"/>
      <c r="C1802" s="55" t="n"/>
      <c r="D1802" s="55" t="n"/>
      <c r="E1802" s="55" t="n"/>
      <c r="F1802" s="55" t="n"/>
      <c r="G1802" s="56" t="n"/>
      <c r="H1802" s="57" t="n"/>
      <c r="I1802" s="55" t="n"/>
      <c r="J1802" s="53" t="n"/>
      <c r="K1802" s="54" t="n"/>
      <c r="L1802" s="55" t="n"/>
      <c r="M1802" s="55" t="n"/>
      <c r="N1802" s="57" t="n"/>
      <c r="O1802" s="55" t="n"/>
      <c r="P1802" s="56" t="n"/>
      <c r="Q1802" s="55" t="n"/>
      <c r="R1802" s="55" t="n"/>
      <c r="S1802" s="55" t="n"/>
      <c r="T1802" s="55" t="n"/>
      <c r="U1802" s="55" t="n"/>
      <c r="V1802" s="55" t="n"/>
      <c r="W1802" s="58" t="n"/>
      <c r="X1802" s="58" t="n"/>
      <c r="Y1802" s="55" t="n"/>
      <c r="Z1802" s="55" t="n"/>
      <c r="AA1802" s="55" t="n"/>
      <c r="AB1802" s="55" t="n"/>
      <c r="AC1802" s="55" t="n"/>
      <c r="AD1802" s="53" t="n"/>
      <c r="AE1802" s="55" t="n"/>
      <c r="AF1802" s="55" t="n"/>
      <c r="AG1802" s="59" t="n"/>
      <c r="AH1802" s="57" t="n"/>
      <c r="AI1802" s="55" t="n"/>
      <c r="AJ1802" s="55" t="n"/>
      <c r="AK1802" s="55" t="n"/>
      <c r="AL1802" s="55" t="n"/>
      <c r="AM1802" s="56" t="n"/>
      <c r="AN1802" s="55" t="n"/>
      <c r="AO1802" s="55" t="n"/>
      <c r="AP1802" s="55" t="n"/>
      <c r="AQ1802" s="55" t="n"/>
      <c r="AR1802" s="60">
        <f>IF(AND(C1802="",E1802=""),"",IF(A1802="","⚠ Date manquante",IF(AND(C1802="",E1802&lt;&gt;"Dépense"),"⚠ Prospect manquant",IF(E1802="","⚠ Action manquante",IF(AND(AU1802=1,D1802=""),"⚠ Canal manquant",IF(AND(W1802&lt;&gt;"",COUNTIFS('Saisie'!$W$5:$W$2004,W1802,'Saisie'!$C$5:$C$2004,"&lt;&gt;"&amp;C1802)&gt;0),"⚠ Numéro déjà utilisé par un autre prospect",IF(AND(J1802&lt;&gt;"",J1802&lt;A1802),"⚠ Relance avant la date de l'action",IF(A1802&gt;TODAY(),"⚠ Date dans le futur","✓"))))))))</f>
        <v/>
      </c>
      <c r="AS1802" s="61">
        <f>IF(AND(A1802="",C1802="",E1802=""),"",ROW())</f>
        <v/>
      </c>
      <c r="AT1802" s="61">
        <f>IF(E1802&amp;F1802="","",MAX(IFERROR(INDEX('Paramètres'!$J$6:$J$33,MATCH(E1802,'Paramètres'!$I$6:$I$33,0)),0),IFERROR(INDEX('Paramètres'!$N$6:$N$17,MATCH(F1802,'Paramètres'!$M$6:$M$17,0)),0)))</f>
        <v/>
      </c>
      <c r="AU1802" s="61">
        <f>IF(E1802="","",IFERROR(IF(INDEX('Paramètres'!$K$6:$K$33,MATCH(E1802,'Paramètres'!$I$6:$I$33,0))="Oui",1,0),0))</f>
        <v/>
      </c>
      <c r="AV1802" s="61">
        <f>IF(F1802="","",IFERROR(IF(INDEX('Paramètres'!$O$6:$O$17,MATCH(F1802,'Paramètres'!$M$6:$M$17,0))="Oui",1,0),0))</f>
        <v/>
      </c>
      <c r="AW1802" s="62">
        <f>IF(E1802="","",IF(G1802&lt;&gt;"",G1802,IF(OR(E1802="Proposition envoyée",E1802="Signature"),MAX(0,N(IFERROR(INDEX('Paramètres'!$R$6:$R$15,MATCH(IF(AL1802&lt;&gt;"",AL1802,IFERROR(INDEX('Prospects'!$AN$5:$AN$504,MATCH(C1802,'Prospects'!$C$5:$C$504,0)),"")),'Paramètres'!$Q$6:$Q$15,0)),0))-N(P1802)),0)))</f>
        <v/>
      </c>
      <c r="AX1802" s="61">
        <f>IF(C1802="","",IF(COUNTIF($C$5:C1802,C1802)=1,MAX($AX$4:AX1801)+1,""))</f>
        <v/>
      </c>
      <c r="AY1802" s="61">
        <f>IF(B1802="","",HOUR(B1802))</f>
        <v/>
      </c>
      <c r="AZ1802" s="61">
        <f>IF(A1802="","",MOD(A1802-2,7)+1)</f>
        <v/>
      </c>
      <c r="BA1802" s="60">
        <f>IF(C1802="","",IFERROR(INDEX('Prospects'!$N$5:$N$504,MATCH(C1802,'Prospects'!$C$5:$C$504,0)),""))</f>
        <v/>
      </c>
      <c r="BB1802" s="61">
        <f>IF(AND(C1802&lt;&gt;"",C1802='Fiche prospect'!$C$4),COUNTIF($C$5:C1802,C1802),"")</f>
        <v/>
      </c>
    </row>
    <row r="1803">
      <c r="A1803" s="53" t="n"/>
      <c r="B1803" s="54" t="n"/>
      <c r="C1803" s="55" t="n"/>
      <c r="D1803" s="55" t="n"/>
      <c r="E1803" s="55" t="n"/>
      <c r="F1803" s="55" t="n"/>
      <c r="G1803" s="56" t="n"/>
      <c r="H1803" s="57" t="n"/>
      <c r="I1803" s="55" t="n"/>
      <c r="J1803" s="53" t="n"/>
      <c r="K1803" s="54" t="n"/>
      <c r="L1803" s="55" t="n"/>
      <c r="M1803" s="55" t="n"/>
      <c r="N1803" s="57" t="n"/>
      <c r="O1803" s="55" t="n"/>
      <c r="P1803" s="56" t="n"/>
      <c r="Q1803" s="55" t="n"/>
      <c r="R1803" s="55" t="n"/>
      <c r="S1803" s="55" t="n"/>
      <c r="T1803" s="55" t="n"/>
      <c r="U1803" s="55" t="n"/>
      <c r="V1803" s="55" t="n"/>
      <c r="W1803" s="58" t="n"/>
      <c r="X1803" s="58" t="n"/>
      <c r="Y1803" s="55" t="n"/>
      <c r="Z1803" s="55" t="n"/>
      <c r="AA1803" s="55" t="n"/>
      <c r="AB1803" s="55" t="n"/>
      <c r="AC1803" s="55" t="n"/>
      <c r="AD1803" s="53" t="n"/>
      <c r="AE1803" s="55" t="n"/>
      <c r="AF1803" s="55" t="n"/>
      <c r="AG1803" s="59" t="n"/>
      <c r="AH1803" s="57" t="n"/>
      <c r="AI1803" s="55" t="n"/>
      <c r="AJ1803" s="55" t="n"/>
      <c r="AK1803" s="55" t="n"/>
      <c r="AL1803" s="55" t="n"/>
      <c r="AM1803" s="56" t="n"/>
      <c r="AN1803" s="55" t="n"/>
      <c r="AO1803" s="55" t="n"/>
      <c r="AP1803" s="55" t="n"/>
      <c r="AQ1803" s="55" t="n"/>
      <c r="AR1803" s="60">
        <f>IF(AND(C1803="",E1803=""),"",IF(A1803="","⚠ Date manquante",IF(AND(C1803="",E1803&lt;&gt;"Dépense"),"⚠ Prospect manquant",IF(E1803="","⚠ Action manquante",IF(AND(AU1803=1,D1803=""),"⚠ Canal manquant",IF(AND(W1803&lt;&gt;"",COUNTIFS('Saisie'!$W$5:$W$2004,W1803,'Saisie'!$C$5:$C$2004,"&lt;&gt;"&amp;C1803)&gt;0),"⚠ Numéro déjà utilisé par un autre prospect",IF(AND(J1803&lt;&gt;"",J1803&lt;A1803),"⚠ Relance avant la date de l'action",IF(A1803&gt;TODAY(),"⚠ Date dans le futur","✓"))))))))</f>
        <v/>
      </c>
      <c r="AS1803" s="61">
        <f>IF(AND(A1803="",C1803="",E1803=""),"",ROW())</f>
        <v/>
      </c>
      <c r="AT1803" s="61">
        <f>IF(E1803&amp;F1803="","",MAX(IFERROR(INDEX('Paramètres'!$J$6:$J$33,MATCH(E1803,'Paramètres'!$I$6:$I$33,0)),0),IFERROR(INDEX('Paramètres'!$N$6:$N$17,MATCH(F1803,'Paramètres'!$M$6:$M$17,0)),0)))</f>
        <v/>
      </c>
      <c r="AU1803" s="61">
        <f>IF(E1803="","",IFERROR(IF(INDEX('Paramètres'!$K$6:$K$33,MATCH(E1803,'Paramètres'!$I$6:$I$33,0))="Oui",1,0),0))</f>
        <v/>
      </c>
      <c r="AV1803" s="61">
        <f>IF(F1803="","",IFERROR(IF(INDEX('Paramètres'!$O$6:$O$17,MATCH(F1803,'Paramètres'!$M$6:$M$17,0))="Oui",1,0),0))</f>
        <v/>
      </c>
      <c r="AW1803" s="62">
        <f>IF(E1803="","",IF(G1803&lt;&gt;"",G1803,IF(OR(E1803="Proposition envoyée",E1803="Signature"),MAX(0,N(IFERROR(INDEX('Paramètres'!$R$6:$R$15,MATCH(IF(AL1803&lt;&gt;"",AL1803,IFERROR(INDEX('Prospects'!$AN$5:$AN$504,MATCH(C1803,'Prospects'!$C$5:$C$504,0)),"")),'Paramètres'!$Q$6:$Q$15,0)),0))-N(P1803)),0)))</f>
        <v/>
      </c>
      <c r="AX1803" s="61">
        <f>IF(C1803="","",IF(COUNTIF($C$5:C1803,C1803)=1,MAX($AX$4:AX1802)+1,""))</f>
        <v/>
      </c>
      <c r="AY1803" s="61">
        <f>IF(B1803="","",HOUR(B1803))</f>
        <v/>
      </c>
      <c r="AZ1803" s="61">
        <f>IF(A1803="","",MOD(A1803-2,7)+1)</f>
        <v/>
      </c>
      <c r="BA1803" s="60">
        <f>IF(C1803="","",IFERROR(INDEX('Prospects'!$N$5:$N$504,MATCH(C1803,'Prospects'!$C$5:$C$504,0)),""))</f>
        <v/>
      </c>
      <c r="BB1803" s="61">
        <f>IF(AND(C1803&lt;&gt;"",C1803='Fiche prospect'!$C$4),COUNTIF($C$5:C1803,C1803),"")</f>
        <v/>
      </c>
    </row>
    <row r="1804">
      <c r="A1804" s="53" t="n"/>
      <c r="B1804" s="54" t="n"/>
      <c r="C1804" s="55" t="n"/>
      <c r="D1804" s="55" t="n"/>
      <c r="E1804" s="55" t="n"/>
      <c r="F1804" s="55" t="n"/>
      <c r="G1804" s="56" t="n"/>
      <c r="H1804" s="57" t="n"/>
      <c r="I1804" s="55" t="n"/>
      <c r="J1804" s="53" t="n"/>
      <c r="K1804" s="54" t="n"/>
      <c r="L1804" s="55" t="n"/>
      <c r="M1804" s="55" t="n"/>
      <c r="N1804" s="57" t="n"/>
      <c r="O1804" s="55" t="n"/>
      <c r="P1804" s="56" t="n"/>
      <c r="Q1804" s="55" t="n"/>
      <c r="R1804" s="55" t="n"/>
      <c r="S1804" s="55" t="n"/>
      <c r="T1804" s="55" t="n"/>
      <c r="U1804" s="55" t="n"/>
      <c r="V1804" s="55" t="n"/>
      <c r="W1804" s="58" t="n"/>
      <c r="X1804" s="58" t="n"/>
      <c r="Y1804" s="55" t="n"/>
      <c r="Z1804" s="55" t="n"/>
      <c r="AA1804" s="55" t="n"/>
      <c r="AB1804" s="55" t="n"/>
      <c r="AC1804" s="55" t="n"/>
      <c r="AD1804" s="53" t="n"/>
      <c r="AE1804" s="55" t="n"/>
      <c r="AF1804" s="55" t="n"/>
      <c r="AG1804" s="59" t="n"/>
      <c r="AH1804" s="57" t="n"/>
      <c r="AI1804" s="55" t="n"/>
      <c r="AJ1804" s="55" t="n"/>
      <c r="AK1804" s="55" t="n"/>
      <c r="AL1804" s="55" t="n"/>
      <c r="AM1804" s="56" t="n"/>
      <c r="AN1804" s="55" t="n"/>
      <c r="AO1804" s="55" t="n"/>
      <c r="AP1804" s="55" t="n"/>
      <c r="AQ1804" s="55" t="n"/>
      <c r="AR1804" s="60">
        <f>IF(AND(C1804="",E1804=""),"",IF(A1804="","⚠ Date manquante",IF(AND(C1804="",E1804&lt;&gt;"Dépense"),"⚠ Prospect manquant",IF(E1804="","⚠ Action manquante",IF(AND(AU1804=1,D1804=""),"⚠ Canal manquant",IF(AND(W1804&lt;&gt;"",COUNTIFS('Saisie'!$W$5:$W$2004,W1804,'Saisie'!$C$5:$C$2004,"&lt;&gt;"&amp;C1804)&gt;0),"⚠ Numéro déjà utilisé par un autre prospect",IF(AND(J1804&lt;&gt;"",J1804&lt;A1804),"⚠ Relance avant la date de l'action",IF(A1804&gt;TODAY(),"⚠ Date dans le futur","✓"))))))))</f>
        <v/>
      </c>
      <c r="AS1804" s="61">
        <f>IF(AND(A1804="",C1804="",E1804=""),"",ROW())</f>
        <v/>
      </c>
      <c r="AT1804" s="61">
        <f>IF(E1804&amp;F1804="","",MAX(IFERROR(INDEX('Paramètres'!$J$6:$J$33,MATCH(E1804,'Paramètres'!$I$6:$I$33,0)),0),IFERROR(INDEX('Paramètres'!$N$6:$N$17,MATCH(F1804,'Paramètres'!$M$6:$M$17,0)),0)))</f>
        <v/>
      </c>
      <c r="AU1804" s="61">
        <f>IF(E1804="","",IFERROR(IF(INDEX('Paramètres'!$K$6:$K$33,MATCH(E1804,'Paramètres'!$I$6:$I$33,0))="Oui",1,0),0))</f>
        <v/>
      </c>
      <c r="AV1804" s="61">
        <f>IF(F1804="","",IFERROR(IF(INDEX('Paramètres'!$O$6:$O$17,MATCH(F1804,'Paramètres'!$M$6:$M$17,0))="Oui",1,0),0))</f>
        <v/>
      </c>
      <c r="AW1804" s="62">
        <f>IF(E1804="","",IF(G1804&lt;&gt;"",G1804,IF(OR(E1804="Proposition envoyée",E1804="Signature"),MAX(0,N(IFERROR(INDEX('Paramètres'!$R$6:$R$15,MATCH(IF(AL1804&lt;&gt;"",AL1804,IFERROR(INDEX('Prospects'!$AN$5:$AN$504,MATCH(C1804,'Prospects'!$C$5:$C$504,0)),"")),'Paramètres'!$Q$6:$Q$15,0)),0))-N(P1804)),0)))</f>
        <v/>
      </c>
      <c r="AX1804" s="61">
        <f>IF(C1804="","",IF(COUNTIF($C$5:C1804,C1804)=1,MAX($AX$4:AX1803)+1,""))</f>
        <v/>
      </c>
      <c r="AY1804" s="61">
        <f>IF(B1804="","",HOUR(B1804))</f>
        <v/>
      </c>
      <c r="AZ1804" s="61">
        <f>IF(A1804="","",MOD(A1804-2,7)+1)</f>
        <v/>
      </c>
      <c r="BA1804" s="60">
        <f>IF(C1804="","",IFERROR(INDEX('Prospects'!$N$5:$N$504,MATCH(C1804,'Prospects'!$C$5:$C$504,0)),""))</f>
        <v/>
      </c>
      <c r="BB1804" s="61">
        <f>IF(AND(C1804&lt;&gt;"",C1804='Fiche prospect'!$C$4),COUNTIF($C$5:C1804,C1804),"")</f>
        <v/>
      </c>
    </row>
    <row r="1805">
      <c r="A1805" s="53" t="n"/>
      <c r="B1805" s="54" t="n"/>
      <c r="C1805" s="55" t="n"/>
      <c r="D1805" s="55" t="n"/>
      <c r="E1805" s="55" t="n"/>
      <c r="F1805" s="55" t="n"/>
      <c r="G1805" s="56" t="n"/>
      <c r="H1805" s="57" t="n"/>
      <c r="I1805" s="55" t="n"/>
      <c r="J1805" s="53" t="n"/>
      <c r="K1805" s="54" t="n"/>
      <c r="L1805" s="55" t="n"/>
      <c r="M1805" s="55" t="n"/>
      <c r="N1805" s="57" t="n"/>
      <c r="O1805" s="55" t="n"/>
      <c r="P1805" s="56" t="n"/>
      <c r="Q1805" s="55" t="n"/>
      <c r="R1805" s="55" t="n"/>
      <c r="S1805" s="55" t="n"/>
      <c r="T1805" s="55" t="n"/>
      <c r="U1805" s="55" t="n"/>
      <c r="V1805" s="55" t="n"/>
      <c r="W1805" s="58" t="n"/>
      <c r="X1805" s="58" t="n"/>
      <c r="Y1805" s="55" t="n"/>
      <c r="Z1805" s="55" t="n"/>
      <c r="AA1805" s="55" t="n"/>
      <c r="AB1805" s="55" t="n"/>
      <c r="AC1805" s="55" t="n"/>
      <c r="AD1805" s="53" t="n"/>
      <c r="AE1805" s="55" t="n"/>
      <c r="AF1805" s="55" t="n"/>
      <c r="AG1805" s="59" t="n"/>
      <c r="AH1805" s="57" t="n"/>
      <c r="AI1805" s="55" t="n"/>
      <c r="AJ1805" s="55" t="n"/>
      <c r="AK1805" s="55" t="n"/>
      <c r="AL1805" s="55" t="n"/>
      <c r="AM1805" s="56" t="n"/>
      <c r="AN1805" s="55" t="n"/>
      <c r="AO1805" s="55" t="n"/>
      <c r="AP1805" s="55" t="n"/>
      <c r="AQ1805" s="55" t="n"/>
      <c r="AR1805" s="60">
        <f>IF(AND(C1805="",E1805=""),"",IF(A1805="","⚠ Date manquante",IF(AND(C1805="",E1805&lt;&gt;"Dépense"),"⚠ Prospect manquant",IF(E1805="","⚠ Action manquante",IF(AND(AU1805=1,D1805=""),"⚠ Canal manquant",IF(AND(W1805&lt;&gt;"",COUNTIFS('Saisie'!$W$5:$W$2004,W1805,'Saisie'!$C$5:$C$2004,"&lt;&gt;"&amp;C1805)&gt;0),"⚠ Numéro déjà utilisé par un autre prospect",IF(AND(J1805&lt;&gt;"",J1805&lt;A1805),"⚠ Relance avant la date de l'action",IF(A1805&gt;TODAY(),"⚠ Date dans le futur","✓"))))))))</f>
        <v/>
      </c>
      <c r="AS1805" s="61">
        <f>IF(AND(A1805="",C1805="",E1805=""),"",ROW())</f>
        <v/>
      </c>
      <c r="AT1805" s="61">
        <f>IF(E1805&amp;F1805="","",MAX(IFERROR(INDEX('Paramètres'!$J$6:$J$33,MATCH(E1805,'Paramètres'!$I$6:$I$33,0)),0),IFERROR(INDEX('Paramètres'!$N$6:$N$17,MATCH(F1805,'Paramètres'!$M$6:$M$17,0)),0)))</f>
        <v/>
      </c>
      <c r="AU1805" s="61">
        <f>IF(E1805="","",IFERROR(IF(INDEX('Paramètres'!$K$6:$K$33,MATCH(E1805,'Paramètres'!$I$6:$I$33,0))="Oui",1,0),0))</f>
        <v/>
      </c>
      <c r="AV1805" s="61">
        <f>IF(F1805="","",IFERROR(IF(INDEX('Paramètres'!$O$6:$O$17,MATCH(F1805,'Paramètres'!$M$6:$M$17,0))="Oui",1,0),0))</f>
        <v/>
      </c>
      <c r="AW1805" s="62">
        <f>IF(E1805="","",IF(G1805&lt;&gt;"",G1805,IF(OR(E1805="Proposition envoyée",E1805="Signature"),MAX(0,N(IFERROR(INDEX('Paramètres'!$R$6:$R$15,MATCH(IF(AL1805&lt;&gt;"",AL1805,IFERROR(INDEX('Prospects'!$AN$5:$AN$504,MATCH(C1805,'Prospects'!$C$5:$C$504,0)),"")),'Paramètres'!$Q$6:$Q$15,0)),0))-N(P1805)),0)))</f>
        <v/>
      </c>
      <c r="AX1805" s="61">
        <f>IF(C1805="","",IF(COUNTIF($C$5:C1805,C1805)=1,MAX($AX$4:AX1804)+1,""))</f>
        <v/>
      </c>
      <c r="AY1805" s="61">
        <f>IF(B1805="","",HOUR(B1805))</f>
        <v/>
      </c>
      <c r="AZ1805" s="61">
        <f>IF(A1805="","",MOD(A1805-2,7)+1)</f>
        <v/>
      </c>
      <c r="BA1805" s="60">
        <f>IF(C1805="","",IFERROR(INDEX('Prospects'!$N$5:$N$504,MATCH(C1805,'Prospects'!$C$5:$C$504,0)),""))</f>
        <v/>
      </c>
      <c r="BB1805" s="61">
        <f>IF(AND(C1805&lt;&gt;"",C1805='Fiche prospect'!$C$4),COUNTIF($C$5:C1805,C1805),"")</f>
        <v/>
      </c>
    </row>
    <row r="1806">
      <c r="A1806" s="53" t="n"/>
      <c r="B1806" s="54" t="n"/>
      <c r="C1806" s="55" t="n"/>
      <c r="D1806" s="55" t="n"/>
      <c r="E1806" s="55" t="n"/>
      <c r="F1806" s="55" t="n"/>
      <c r="G1806" s="56" t="n"/>
      <c r="H1806" s="57" t="n"/>
      <c r="I1806" s="55" t="n"/>
      <c r="J1806" s="53" t="n"/>
      <c r="K1806" s="54" t="n"/>
      <c r="L1806" s="55" t="n"/>
      <c r="M1806" s="55" t="n"/>
      <c r="N1806" s="57" t="n"/>
      <c r="O1806" s="55" t="n"/>
      <c r="P1806" s="56" t="n"/>
      <c r="Q1806" s="55" t="n"/>
      <c r="R1806" s="55" t="n"/>
      <c r="S1806" s="55" t="n"/>
      <c r="T1806" s="55" t="n"/>
      <c r="U1806" s="55" t="n"/>
      <c r="V1806" s="55" t="n"/>
      <c r="W1806" s="58" t="n"/>
      <c r="X1806" s="58" t="n"/>
      <c r="Y1806" s="55" t="n"/>
      <c r="Z1806" s="55" t="n"/>
      <c r="AA1806" s="55" t="n"/>
      <c r="AB1806" s="55" t="n"/>
      <c r="AC1806" s="55" t="n"/>
      <c r="AD1806" s="53" t="n"/>
      <c r="AE1806" s="55" t="n"/>
      <c r="AF1806" s="55" t="n"/>
      <c r="AG1806" s="59" t="n"/>
      <c r="AH1806" s="57" t="n"/>
      <c r="AI1806" s="55" t="n"/>
      <c r="AJ1806" s="55" t="n"/>
      <c r="AK1806" s="55" t="n"/>
      <c r="AL1806" s="55" t="n"/>
      <c r="AM1806" s="56" t="n"/>
      <c r="AN1806" s="55" t="n"/>
      <c r="AO1806" s="55" t="n"/>
      <c r="AP1806" s="55" t="n"/>
      <c r="AQ1806" s="55" t="n"/>
      <c r="AR1806" s="60">
        <f>IF(AND(C1806="",E1806=""),"",IF(A1806="","⚠ Date manquante",IF(AND(C1806="",E1806&lt;&gt;"Dépense"),"⚠ Prospect manquant",IF(E1806="","⚠ Action manquante",IF(AND(AU1806=1,D1806=""),"⚠ Canal manquant",IF(AND(W1806&lt;&gt;"",COUNTIFS('Saisie'!$W$5:$W$2004,W1806,'Saisie'!$C$5:$C$2004,"&lt;&gt;"&amp;C1806)&gt;0),"⚠ Numéro déjà utilisé par un autre prospect",IF(AND(J1806&lt;&gt;"",J1806&lt;A1806),"⚠ Relance avant la date de l'action",IF(A1806&gt;TODAY(),"⚠ Date dans le futur","✓"))))))))</f>
        <v/>
      </c>
      <c r="AS1806" s="61">
        <f>IF(AND(A1806="",C1806="",E1806=""),"",ROW())</f>
        <v/>
      </c>
      <c r="AT1806" s="61">
        <f>IF(E1806&amp;F1806="","",MAX(IFERROR(INDEX('Paramètres'!$J$6:$J$33,MATCH(E1806,'Paramètres'!$I$6:$I$33,0)),0),IFERROR(INDEX('Paramètres'!$N$6:$N$17,MATCH(F1806,'Paramètres'!$M$6:$M$17,0)),0)))</f>
        <v/>
      </c>
      <c r="AU1806" s="61">
        <f>IF(E1806="","",IFERROR(IF(INDEX('Paramètres'!$K$6:$K$33,MATCH(E1806,'Paramètres'!$I$6:$I$33,0))="Oui",1,0),0))</f>
        <v/>
      </c>
      <c r="AV1806" s="61">
        <f>IF(F1806="","",IFERROR(IF(INDEX('Paramètres'!$O$6:$O$17,MATCH(F1806,'Paramètres'!$M$6:$M$17,0))="Oui",1,0),0))</f>
        <v/>
      </c>
      <c r="AW1806" s="62">
        <f>IF(E1806="","",IF(G1806&lt;&gt;"",G1806,IF(OR(E1806="Proposition envoyée",E1806="Signature"),MAX(0,N(IFERROR(INDEX('Paramètres'!$R$6:$R$15,MATCH(IF(AL1806&lt;&gt;"",AL1806,IFERROR(INDEX('Prospects'!$AN$5:$AN$504,MATCH(C1806,'Prospects'!$C$5:$C$504,0)),"")),'Paramètres'!$Q$6:$Q$15,0)),0))-N(P1806)),0)))</f>
        <v/>
      </c>
      <c r="AX1806" s="61">
        <f>IF(C1806="","",IF(COUNTIF($C$5:C1806,C1806)=1,MAX($AX$4:AX1805)+1,""))</f>
        <v/>
      </c>
      <c r="AY1806" s="61">
        <f>IF(B1806="","",HOUR(B1806))</f>
        <v/>
      </c>
      <c r="AZ1806" s="61">
        <f>IF(A1806="","",MOD(A1806-2,7)+1)</f>
        <v/>
      </c>
      <c r="BA1806" s="60">
        <f>IF(C1806="","",IFERROR(INDEX('Prospects'!$N$5:$N$504,MATCH(C1806,'Prospects'!$C$5:$C$504,0)),""))</f>
        <v/>
      </c>
      <c r="BB1806" s="61">
        <f>IF(AND(C1806&lt;&gt;"",C1806='Fiche prospect'!$C$4),COUNTIF($C$5:C1806,C1806),"")</f>
        <v/>
      </c>
    </row>
    <row r="1807">
      <c r="A1807" s="53" t="n"/>
      <c r="B1807" s="54" t="n"/>
      <c r="C1807" s="55" t="n"/>
      <c r="D1807" s="55" t="n"/>
      <c r="E1807" s="55" t="n"/>
      <c r="F1807" s="55" t="n"/>
      <c r="G1807" s="56" t="n"/>
      <c r="H1807" s="57" t="n"/>
      <c r="I1807" s="55" t="n"/>
      <c r="J1807" s="53" t="n"/>
      <c r="K1807" s="54" t="n"/>
      <c r="L1807" s="55" t="n"/>
      <c r="M1807" s="55" t="n"/>
      <c r="N1807" s="57" t="n"/>
      <c r="O1807" s="55" t="n"/>
      <c r="P1807" s="56" t="n"/>
      <c r="Q1807" s="55" t="n"/>
      <c r="R1807" s="55" t="n"/>
      <c r="S1807" s="55" t="n"/>
      <c r="T1807" s="55" t="n"/>
      <c r="U1807" s="55" t="n"/>
      <c r="V1807" s="55" t="n"/>
      <c r="W1807" s="58" t="n"/>
      <c r="X1807" s="58" t="n"/>
      <c r="Y1807" s="55" t="n"/>
      <c r="Z1807" s="55" t="n"/>
      <c r="AA1807" s="55" t="n"/>
      <c r="AB1807" s="55" t="n"/>
      <c r="AC1807" s="55" t="n"/>
      <c r="AD1807" s="53" t="n"/>
      <c r="AE1807" s="55" t="n"/>
      <c r="AF1807" s="55" t="n"/>
      <c r="AG1807" s="59" t="n"/>
      <c r="AH1807" s="57" t="n"/>
      <c r="AI1807" s="55" t="n"/>
      <c r="AJ1807" s="55" t="n"/>
      <c r="AK1807" s="55" t="n"/>
      <c r="AL1807" s="55" t="n"/>
      <c r="AM1807" s="56" t="n"/>
      <c r="AN1807" s="55" t="n"/>
      <c r="AO1807" s="55" t="n"/>
      <c r="AP1807" s="55" t="n"/>
      <c r="AQ1807" s="55" t="n"/>
      <c r="AR1807" s="60">
        <f>IF(AND(C1807="",E1807=""),"",IF(A1807="","⚠ Date manquante",IF(AND(C1807="",E1807&lt;&gt;"Dépense"),"⚠ Prospect manquant",IF(E1807="","⚠ Action manquante",IF(AND(AU1807=1,D1807=""),"⚠ Canal manquant",IF(AND(W1807&lt;&gt;"",COUNTIFS('Saisie'!$W$5:$W$2004,W1807,'Saisie'!$C$5:$C$2004,"&lt;&gt;"&amp;C1807)&gt;0),"⚠ Numéro déjà utilisé par un autre prospect",IF(AND(J1807&lt;&gt;"",J1807&lt;A1807),"⚠ Relance avant la date de l'action",IF(A1807&gt;TODAY(),"⚠ Date dans le futur","✓"))))))))</f>
        <v/>
      </c>
      <c r="AS1807" s="61">
        <f>IF(AND(A1807="",C1807="",E1807=""),"",ROW())</f>
        <v/>
      </c>
      <c r="AT1807" s="61">
        <f>IF(E1807&amp;F1807="","",MAX(IFERROR(INDEX('Paramètres'!$J$6:$J$33,MATCH(E1807,'Paramètres'!$I$6:$I$33,0)),0),IFERROR(INDEX('Paramètres'!$N$6:$N$17,MATCH(F1807,'Paramètres'!$M$6:$M$17,0)),0)))</f>
        <v/>
      </c>
      <c r="AU1807" s="61">
        <f>IF(E1807="","",IFERROR(IF(INDEX('Paramètres'!$K$6:$K$33,MATCH(E1807,'Paramètres'!$I$6:$I$33,0))="Oui",1,0),0))</f>
        <v/>
      </c>
      <c r="AV1807" s="61">
        <f>IF(F1807="","",IFERROR(IF(INDEX('Paramètres'!$O$6:$O$17,MATCH(F1807,'Paramètres'!$M$6:$M$17,0))="Oui",1,0),0))</f>
        <v/>
      </c>
      <c r="AW1807" s="62">
        <f>IF(E1807="","",IF(G1807&lt;&gt;"",G1807,IF(OR(E1807="Proposition envoyée",E1807="Signature"),MAX(0,N(IFERROR(INDEX('Paramètres'!$R$6:$R$15,MATCH(IF(AL1807&lt;&gt;"",AL1807,IFERROR(INDEX('Prospects'!$AN$5:$AN$504,MATCH(C1807,'Prospects'!$C$5:$C$504,0)),"")),'Paramètres'!$Q$6:$Q$15,0)),0))-N(P1807)),0)))</f>
        <v/>
      </c>
      <c r="AX1807" s="61">
        <f>IF(C1807="","",IF(COUNTIF($C$5:C1807,C1807)=1,MAX($AX$4:AX1806)+1,""))</f>
        <v/>
      </c>
      <c r="AY1807" s="61">
        <f>IF(B1807="","",HOUR(B1807))</f>
        <v/>
      </c>
      <c r="AZ1807" s="61">
        <f>IF(A1807="","",MOD(A1807-2,7)+1)</f>
        <v/>
      </c>
      <c r="BA1807" s="60">
        <f>IF(C1807="","",IFERROR(INDEX('Prospects'!$N$5:$N$504,MATCH(C1807,'Prospects'!$C$5:$C$504,0)),""))</f>
        <v/>
      </c>
      <c r="BB1807" s="61">
        <f>IF(AND(C1807&lt;&gt;"",C1807='Fiche prospect'!$C$4),COUNTIF($C$5:C1807,C1807),"")</f>
        <v/>
      </c>
    </row>
    <row r="1808">
      <c r="A1808" s="53" t="n"/>
      <c r="B1808" s="54" t="n"/>
      <c r="C1808" s="55" t="n"/>
      <c r="D1808" s="55" t="n"/>
      <c r="E1808" s="55" t="n"/>
      <c r="F1808" s="55" t="n"/>
      <c r="G1808" s="56" t="n"/>
      <c r="H1808" s="57" t="n"/>
      <c r="I1808" s="55" t="n"/>
      <c r="J1808" s="53" t="n"/>
      <c r="K1808" s="54" t="n"/>
      <c r="L1808" s="55" t="n"/>
      <c r="M1808" s="55" t="n"/>
      <c r="N1808" s="57" t="n"/>
      <c r="O1808" s="55" t="n"/>
      <c r="P1808" s="56" t="n"/>
      <c r="Q1808" s="55" t="n"/>
      <c r="R1808" s="55" t="n"/>
      <c r="S1808" s="55" t="n"/>
      <c r="T1808" s="55" t="n"/>
      <c r="U1808" s="55" t="n"/>
      <c r="V1808" s="55" t="n"/>
      <c r="W1808" s="58" t="n"/>
      <c r="X1808" s="58" t="n"/>
      <c r="Y1808" s="55" t="n"/>
      <c r="Z1808" s="55" t="n"/>
      <c r="AA1808" s="55" t="n"/>
      <c r="AB1808" s="55" t="n"/>
      <c r="AC1808" s="55" t="n"/>
      <c r="AD1808" s="53" t="n"/>
      <c r="AE1808" s="55" t="n"/>
      <c r="AF1808" s="55" t="n"/>
      <c r="AG1808" s="59" t="n"/>
      <c r="AH1808" s="57" t="n"/>
      <c r="AI1808" s="55" t="n"/>
      <c r="AJ1808" s="55" t="n"/>
      <c r="AK1808" s="55" t="n"/>
      <c r="AL1808" s="55" t="n"/>
      <c r="AM1808" s="56" t="n"/>
      <c r="AN1808" s="55" t="n"/>
      <c r="AO1808" s="55" t="n"/>
      <c r="AP1808" s="55" t="n"/>
      <c r="AQ1808" s="55" t="n"/>
      <c r="AR1808" s="60">
        <f>IF(AND(C1808="",E1808=""),"",IF(A1808="","⚠ Date manquante",IF(AND(C1808="",E1808&lt;&gt;"Dépense"),"⚠ Prospect manquant",IF(E1808="","⚠ Action manquante",IF(AND(AU1808=1,D1808=""),"⚠ Canal manquant",IF(AND(W1808&lt;&gt;"",COUNTIFS('Saisie'!$W$5:$W$2004,W1808,'Saisie'!$C$5:$C$2004,"&lt;&gt;"&amp;C1808)&gt;0),"⚠ Numéro déjà utilisé par un autre prospect",IF(AND(J1808&lt;&gt;"",J1808&lt;A1808),"⚠ Relance avant la date de l'action",IF(A1808&gt;TODAY(),"⚠ Date dans le futur","✓"))))))))</f>
        <v/>
      </c>
      <c r="AS1808" s="61">
        <f>IF(AND(A1808="",C1808="",E1808=""),"",ROW())</f>
        <v/>
      </c>
      <c r="AT1808" s="61">
        <f>IF(E1808&amp;F1808="","",MAX(IFERROR(INDEX('Paramètres'!$J$6:$J$33,MATCH(E1808,'Paramètres'!$I$6:$I$33,0)),0),IFERROR(INDEX('Paramètres'!$N$6:$N$17,MATCH(F1808,'Paramètres'!$M$6:$M$17,0)),0)))</f>
        <v/>
      </c>
      <c r="AU1808" s="61">
        <f>IF(E1808="","",IFERROR(IF(INDEX('Paramètres'!$K$6:$K$33,MATCH(E1808,'Paramètres'!$I$6:$I$33,0))="Oui",1,0),0))</f>
        <v/>
      </c>
      <c r="AV1808" s="61">
        <f>IF(F1808="","",IFERROR(IF(INDEX('Paramètres'!$O$6:$O$17,MATCH(F1808,'Paramètres'!$M$6:$M$17,0))="Oui",1,0),0))</f>
        <v/>
      </c>
      <c r="AW1808" s="62">
        <f>IF(E1808="","",IF(G1808&lt;&gt;"",G1808,IF(OR(E1808="Proposition envoyée",E1808="Signature"),MAX(0,N(IFERROR(INDEX('Paramètres'!$R$6:$R$15,MATCH(IF(AL1808&lt;&gt;"",AL1808,IFERROR(INDEX('Prospects'!$AN$5:$AN$504,MATCH(C1808,'Prospects'!$C$5:$C$504,0)),"")),'Paramètres'!$Q$6:$Q$15,0)),0))-N(P1808)),0)))</f>
        <v/>
      </c>
      <c r="AX1808" s="61">
        <f>IF(C1808="","",IF(COUNTIF($C$5:C1808,C1808)=1,MAX($AX$4:AX1807)+1,""))</f>
        <v/>
      </c>
      <c r="AY1808" s="61">
        <f>IF(B1808="","",HOUR(B1808))</f>
        <v/>
      </c>
      <c r="AZ1808" s="61">
        <f>IF(A1808="","",MOD(A1808-2,7)+1)</f>
        <v/>
      </c>
      <c r="BA1808" s="60">
        <f>IF(C1808="","",IFERROR(INDEX('Prospects'!$N$5:$N$504,MATCH(C1808,'Prospects'!$C$5:$C$504,0)),""))</f>
        <v/>
      </c>
      <c r="BB1808" s="61">
        <f>IF(AND(C1808&lt;&gt;"",C1808='Fiche prospect'!$C$4),COUNTIF($C$5:C1808,C1808),"")</f>
        <v/>
      </c>
    </row>
    <row r="1809">
      <c r="A1809" s="53" t="n"/>
      <c r="B1809" s="54" t="n"/>
      <c r="C1809" s="55" t="n"/>
      <c r="D1809" s="55" t="n"/>
      <c r="E1809" s="55" t="n"/>
      <c r="F1809" s="55" t="n"/>
      <c r="G1809" s="56" t="n"/>
      <c r="H1809" s="57" t="n"/>
      <c r="I1809" s="55" t="n"/>
      <c r="J1809" s="53" t="n"/>
      <c r="K1809" s="54" t="n"/>
      <c r="L1809" s="55" t="n"/>
      <c r="M1809" s="55" t="n"/>
      <c r="N1809" s="57" t="n"/>
      <c r="O1809" s="55" t="n"/>
      <c r="P1809" s="56" t="n"/>
      <c r="Q1809" s="55" t="n"/>
      <c r="R1809" s="55" t="n"/>
      <c r="S1809" s="55" t="n"/>
      <c r="T1809" s="55" t="n"/>
      <c r="U1809" s="55" t="n"/>
      <c r="V1809" s="55" t="n"/>
      <c r="W1809" s="58" t="n"/>
      <c r="X1809" s="58" t="n"/>
      <c r="Y1809" s="55" t="n"/>
      <c r="Z1809" s="55" t="n"/>
      <c r="AA1809" s="55" t="n"/>
      <c r="AB1809" s="55" t="n"/>
      <c r="AC1809" s="55" t="n"/>
      <c r="AD1809" s="53" t="n"/>
      <c r="AE1809" s="55" t="n"/>
      <c r="AF1809" s="55" t="n"/>
      <c r="AG1809" s="59" t="n"/>
      <c r="AH1809" s="57" t="n"/>
      <c r="AI1809" s="55" t="n"/>
      <c r="AJ1809" s="55" t="n"/>
      <c r="AK1809" s="55" t="n"/>
      <c r="AL1809" s="55" t="n"/>
      <c r="AM1809" s="56" t="n"/>
      <c r="AN1809" s="55" t="n"/>
      <c r="AO1809" s="55" t="n"/>
      <c r="AP1809" s="55" t="n"/>
      <c r="AQ1809" s="55" t="n"/>
      <c r="AR1809" s="60">
        <f>IF(AND(C1809="",E1809=""),"",IF(A1809="","⚠ Date manquante",IF(AND(C1809="",E1809&lt;&gt;"Dépense"),"⚠ Prospect manquant",IF(E1809="","⚠ Action manquante",IF(AND(AU1809=1,D1809=""),"⚠ Canal manquant",IF(AND(W1809&lt;&gt;"",COUNTIFS('Saisie'!$W$5:$W$2004,W1809,'Saisie'!$C$5:$C$2004,"&lt;&gt;"&amp;C1809)&gt;0),"⚠ Numéro déjà utilisé par un autre prospect",IF(AND(J1809&lt;&gt;"",J1809&lt;A1809),"⚠ Relance avant la date de l'action",IF(A1809&gt;TODAY(),"⚠ Date dans le futur","✓"))))))))</f>
        <v/>
      </c>
      <c r="AS1809" s="61">
        <f>IF(AND(A1809="",C1809="",E1809=""),"",ROW())</f>
        <v/>
      </c>
      <c r="AT1809" s="61">
        <f>IF(E1809&amp;F1809="","",MAX(IFERROR(INDEX('Paramètres'!$J$6:$J$33,MATCH(E1809,'Paramètres'!$I$6:$I$33,0)),0),IFERROR(INDEX('Paramètres'!$N$6:$N$17,MATCH(F1809,'Paramètres'!$M$6:$M$17,0)),0)))</f>
        <v/>
      </c>
      <c r="AU1809" s="61">
        <f>IF(E1809="","",IFERROR(IF(INDEX('Paramètres'!$K$6:$K$33,MATCH(E1809,'Paramètres'!$I$6:$I$33,0))="Oui",1,0),0))</f>
        <v/>
      </c>
      <c r="AV1809" s="61">
        <f>IF(F1809="","",IFERROR(IF(INDEX('Paramètres'!$O$6:$O$17,MATCH(F1809,'Paramètres'!$M$6:$M$17,0))="Oui",1,0),0))</f>
        <v/>
      </c>
      <c r="AW1809" s="62">
        <f>IF(E1809="","",IF(G1809&lt;&gt;"",G1809,IF(OR(E1809="Proposition envoyée",E1809="Signature"),MAX(0,N(IFERROR(INDEX('Paramètres'!$R$6:$R$15,MATCH(IF(AL1809&lt;&gt;"",AL1809,IFERROR(INDEX('Prospects'!$AN$5:$AN$504,MATCH(C1809,'Prospects'!$C$5:$C$504,0)),"")),'Paramètres'!$Q$6:$Q$15,0)),0))-N(P1809)),0)))</f>
        <v/>
      </c>
      <c r="AX1809" s="61">
        <f>IF(C1809="","",IF(COUNTIF($C$5:C1809,C1809)=1,MAX($AX$4:AX1808)+1,""))</f>
        <v/>
      </c>
      <c r="AY1809" s="61">
        <f>IF(B1809="","",HOUR(B1809))</f>
        <v/>
      </c>
      <c r="AZ1809" s="61">
        <f>IF(A1809="","",MOD(A1809-2,7)+1)</f>
        <v/>
      </c>
      <c r="BA1809" s="60">
        <f>IF(C1809="","",IFERROR(INDEX('Prospects'!$N$5:$N$504,MATCH(C1809,'Prospects'!$C$5:$C$504,0)),""))</f>
        <v/>
      </c>
      <c r="BB1809" s="61">
        <f>IF(AND(C1809&lt;&gt;"",C1809='Fiche prospect'!$C$4),COUNTIF($C$5:C1809,C1809),"")</f>
        <v/>
      </c>
    </row>
    <row r="1810">
      <c r="A1810" s="53" t="n"/>
      <c r="B1810" s="54" t="n"/>
      <c r="C1810" s="55" t="n"/>
      <c r="D1810" s="55" t="n"/>
      <c r="E1810" s="55" t="n"/>
      <c r="F1810" s="55" t="n"/>
      <c r="G1810" s="56" t="n"/>
      <c r="H1810" s="57" t="n"/>
      <c r="I1810" s="55" t="n"/>
      <c r="J1810" s="53" t="n"/>
      <c r="K1810" s="54" t="n"/>
      <c r="L1810" s="55" t="n"/>
      <c r="M1810" s="55" t="n"/>
      <c r="N1810" s="57" t="n"/>
      <c r="O1810" s="55" t="n"/>
      <c r="P1810" s="56" t="n"/>
      <c r="Q1810" s="55" t="n"/>
      <c r="R1810" s="55" t="n"/>
      <c r="S1810" s="55" t="n"/>
      <c r="T1810" s="55" t="n"/>
      <c r="U1810" s="55" t="n"/>
      <c r="V1810" s="55" t="n"/>
      <c r="W1810" s="58" t="n"/>
      <c r="X1810" s="58" t="n"/>
      <c r="Y1810" s="55" t="n"/>
      <c r="Z1810" s="55" t="n"/>
      <c r="AA1810" s="55" t="n"/>
      <c r="AB1810" s="55" t="n"/>
      <c r="AC1810" s="55" t="n"/>
      <c r="AD1810" s="53" t="n"/>
      <c r="AE1810" s="55" t="n"/>
      <c r="AF1810" s="55" t="n"/>
      <c r="AG1810" s="59" t="n"/>
      <c r="AH1810" s="57" t="n"/>
      <c r="AI1810" s="55" t="n"/>
      <c r="AJ1810" s="55" t="n"/>
      <c r="AK1810" s="55" t="n"/>
      <c r="AL1810" s="55" t="n"/>
      <c r="AM1810" s="56" t="n"/>
      <c r="AN1810" s="55" t="n"/>
      <c r="AO1810" s="55" t="n"/>
      <c r="AP1810" s="55" t="n"/>
      <c r="AQ1810" s="55" t="n"/>
      <c r="AR1810" s="60">
        <f>IF(AND(C1810="",E1810=""),"",IF(A1810="","⚠ Date manquante",IF(AND(C1810="",E1810&lt;&gt;"Dépense"),"⚠ Prospect manquant",IF(E1810="","⚠ Action manquante",IF(AND(AU1810=1,D1810=""),"⚠ Canal manquant",IF(AND(W1810&lt;&gt;"",COUNTIFS('Saisie'!$W$5:$W$2004,W1810,'Saisie'!$C$5:$C$2004,"&lt;&gt;"&amp;C1810)&gt;0),"⚠ Numéro déjà utilisé par un autre prospect",IF(AND(J1810&lt;&gt;"",J1810&lt;A1810),"⚠ Relance avant la date de l'action",IF(A1810&gt;TODAY(),"⚠ Date dans le futur","✓"))))))))</f>
        <v/>
      </c>
      <c r="AS1810" s="61">
        <f>IF(AND(A1810="",C1810="",E1810=""),"",ROW())</f>
        <v/>
      </c>
      <c r="AT1810" s="61">
        <f>IF(E1810&amp;F1810="","",MAX(IFERROR(INDEX('Paramètres'!$J$6:$J$33,MATCH(E1810,'Paramètres'!$I$6:$I$33,0)),0),IFERROR(INDEX('Paramètres'!$N$6:$N$17,MATCH(F1810,'Paramètres'!$M$6:$M$17,0)),0)))</f>
        <v/>
      </c>
      <c r="AU1810" s="61">
        <f>IF(E1810="","",IFERROR(IF(INDEX('Paramètres'!$K$6:$K$33,MATCH(E1810,'Paramètres'!$I$6:$I$33,0))="Oui",1,0),0))</f>
        <v/>
      </c>
      <c r="AV1810" s="61">
        <f>IF(F1810="","",IFERROR(IF(INDEX('Paramètres'!$O$6:$O$17,MATCH(F1810,'Paramètres'!$M$6:$M$17,0))="Oui",1,0),0))</f>
        <v/>
      </c>
      <c r="AW1810" s="62">
        <f>IF(E1810="","",IF(G1810&lt;&gt;"",G1810,IF(OR(E1810="Proposition envoyée",E1810="Signature"),MAX(0,N(IFERROR(INDEX('Paramètres'!$R$6:$R$15,MATCH(IF(AL1810&lt;&gt;"",AL1810,IFERROR(INDEX('Prospects'!$AN$5:$AN$504,MATCH(C1810,'Prospects'!$C$5:$C$504,0)),"")),'Paramètres'!$Q$6:$Q$15,0)),0))-N(P1810)),0)))</f>
        <v/>
      </c>
      <c r="AX1810" s="61">
        <f>IF(C1810="","",IF(COUNTIF($C$5:C1810,C1810)=1,MAX($AX$4:AX1809)+1,""))</f>
        <v/>
      </c>
      <c r="AY1810" s="61">
        <f>IF(B1810="","",HOUR(B1810))</f>
        <v/>
      </c>
      <c r="AZ1810" s="61">
        <f>IF(A1810="","",MOD(A1810-2,7)+1)</f>
        <v/>
      </c>
      <c r="BA1810" s="60">
        <f>IF(C1810="","",IFERROR(INDEX('Prospects'!$N$5:$N$504,MATCH(C1810,'Prospects'!$C$5:$C$504,0)),""))</f>
        <v/>
      </c>
      <c r="BB1810" s="61">
        <f>IF(AND(C1810&lt;&gt;"",C1810='Fiche prospect'!$C$4),COUNTIF($C$5:C1810,C1810),"")</f>
        <v/>
      </c>
    </row>
    <row r="1811">
      <c r="A1811" s="53" t="n"/>
      <c r="B1811" s="54" t="n"/>
      <c r="C1811" s="55" t="n"/>
      <c r="D1811" s="55" t="n"/>
      <c r="E1811" s="55" t="n"/>
      <c r="F1811" s="55" t="n"/>
      <c r="G1811" s="56" t="n"/>
      <c r="H1811" s="57" t="n"/>
      <c r="I1811" s="55" t="n"/>
      <c r="J1811" s="53" t="n"/>
      <c r="K1811" s="54" t="n"/>
      <c r="L1811" s="55" t="n"/>
      <c r="M1811" s="55" t="n"/>
      <c r="N1811" s="57" t="n"/>
      <c r="O1811" s="55" t="n"/>
      <c r="P1811" s="56" t="n"/>
      <c r="Q1811" s="55" t="n"/>
      <c r="R1811" s="55" t="n"/>
      <c r="S1811" s="55" t="n"/>
      <c r="T1811" s="55" t="n"/>
      <c r="U1811" s="55" t="n"/>
      <c r="V1811" s="55" t="n"/>
      <c r="W1811" s="58" t="n"/>
      <c r="X1811" s="58" t="n"/>
      <c r="Y1811" s="55" t="n"/>
      <c r="Z1811" s="55" t="n"/>
      <c r="AA1811" s="55" t="n"/>
      <c r="AB1811" s="55" t="n"/>
      <c r="AC1811" s="55" t="n"/>
      <c r="AD1811" s="53" t="n"/>
      <c r="AE1811" s="55" t="n"/>
      <c r="AF1811" s="55" t="n"/>
      <c r="AG1811" s="59" t="n"/>
      <c r="AH1811" s="57" t="n"/>
      <c r="AI1811" s="55" t="n"/>
      <c r="AJ1811" s="55" t="n"/>
      <c r="AK1811" s="55" t="n"/>
      <c r="AL1811" s="55" t="n"/>
      <c r="AM1811" s="56" t="n"/>
      <c r="AN1811" s="55" t="n"/>
      <c r="AO1811" s="55" t="n"/>
      <c r="AP1811" s="55" t="n"/>
      <c r="AQ1811" s="55" t="n"/>
      <c r="AR1811" s="60">
        <f>IF(AND(C1811="",E1811=""),"",IF(A1811="","⚠ Date manquante",IF(AND(C1811="",E1811&lt;&gt;"Dépense"),"⚠ Prospect manquant",IF(E1811="","⚠ Action manquante",IF(AND(AU1811=1,D1811=""),"⚠ Canal manquant",IF(AND(W1811&lt;&gt;"",COUNTIFS('Saisie'!$W$5:$W$2004,W1811,'Saisie'!$C$5:$C$2004,"&lt;&gt;"&amp;C1811)&gt;0),"⚠ Numéro déjà utilisé par un autre prospect",IF(AND(J1811&lt;&gt;"",J1811&lt;A1811),"⚠ Relance avant la date de l'action",IF(A1811&gt;TODAY(),"⚠ Date dans le futur","✓"))))))))</f>
        <v/>
      </c>
      <c r="AS1811" s="61">
        <f>IF(AND(A1811="",C1811="",E1811=""),"",ROW())</f>
        <v/>
      </c>
      <c r="AT1811" s="61">
        <f>IF(E1811&amp;F1811="","",MAX(IFERROR(INDEX('Paramètres'!$J$6:$J$33,MATCH(E1811,'Paramètres'!$I$6:$I$33,0)),0),IFERROR(INDEX('Paramètres'!$N$6:$N$17,MATCH(F1811,'Paramètres'!$M$6:$M$17,0)),0)))</f>
        <v/>
      </c>
      <c r="AU1811" s="61">
        <f>IF(E1811="","",IFERROR(IF(INDEX('Paramètres'!$K$6:$K$33,MATCH(E1811,'Paramètres'!$I$6:$I$33,0))="Oui",1,0),0))</f>
        <v/>
      </c>
      <c r="AV1811" s="61">
        <f>IF(F1811="","",IFERROR(IF(INDEX('Paramètres'!$O$6:$O$17,MATCH(F1811,'Paramètres'!$M$6:$M$17,0))="Oui",1,0),0))</f>
        <v/>
      </c>
      <c r="AW1811" s="62">
        <f>IF(E1811="","",IF(G1811&lt;&gt;"",G1811,IF(OR(E1811="Proposition envoyée",E1811="Signature"),MAX(0,N(IFERROR(INDEX('Paramètres'!$R$6:$R$15,MATCH(IF(AL1811&lt;&gt;"",AL1811,IFERROR(INDEX('Prospects'!$AN$5:$AN$504,MATCH(C1811,'Prospects'!$C$5:$C$504,0)),"")),'Paramètres'!$Q$6:$Q$15,0)),0))-N(P1811)),0)))</f>
        <v/>
      </c>
      <c r="AX1811" s="61">
        <f>IF(C1811="","",IF(COUNTIF($C$5:C1811,C1811)=1,MAX($AX$4:AX1810)+1,""))</f>
        <v/>
      </c>
      <c r="AY1811" s="61">
        <f>IF(B1811="","",HOUR(B1811))</f>
        <v/>
      </c>
      <c r="AZ1811" s="61">
        <f>IF(A1811="","",MOD(A1811-2,7)+1)</f>
        <v/>
      </c>
      <c r="BA1811" s="60">
        <f>IF(C1811="","",IFERROR(INDEX('Prospects'!$N$5:$N$504,MATCH(C1811,'Prospects'!$C$5:$C$504,0)),""))</f>
        <v/>
      </c>
      <c r="BB1811" s="61">
        <f>IF(AND(C1811&lt;&gt;"",C1811='Fiche prospect'!$C$4),COUNTIF($C$5:C1811,C1811),"")</f>
        <v/>
      </c>
    </row>
    <row r="1812">
      <c r="A1812" s="53" t="n"/>
      <c r="B1812" s="54" t="n"/>
      <c r="C1812" s="55" t="n"/>
      <c r="D1812" s="55" t="n"/>
      <c r="E1812" s="55" t="n"/>
      <c r="F1812" s="55" t="n"/>
      <c r="G1812" s="56" t="n"/>
      <c r="H1812" s="57" t="n"/>
      <c r="I1812" s="55" t="n"/>
      <c r="J1812" s="53" t="n"/>
      <c r="K1812" s="54" t="n"/>
      <c r="L1812" s="55" t="n"/>
      <c r="M1812" s="55" t="n"/>
      <c r="N1812" s="57" t="n"/>
      <c r="O1812" s="55" t="n"/>
      <c r="P1812" s="56" t="n"/>
      <c r="Q1812" s="55" t="n"/>
      <c r="R1812" s="55" t="n"/>
      <c r="S1812" s="55" t="n"/>
      <c r="T1812" s="55" t="n"/>
      <c r="U1812" s="55" t="n"/>
      <c r="V1812" s="55" t="n"/>
      <c r="W1812" s="58" t="n"/>
      <c r="X1812" s="58" t="n"/>
      <c r="Y1812" s="55" t="n"/>
      <c r="Z1812" s="55" t="n"/>
      <c r="AA1812" s="55" t="n"/>
      <c r="AB1812" s="55" t="n"/>
      <c r="AC1812" s="55" t="n"/>
      <c r="AD1812" s="53" t="n"/>
      <c r="AE1812" s="55" t="n"/>
      <c r="AF1812" s="55" t="n"/>
      <c r="AG1812" s="59" t="n"/>
      <c r="AH1812" s="57" t="n"/>
      <c r="AI1812" s="55" t="n"/>
      <c r="AJ1812" s="55" t="n"/>
      <c r="AK1812" s="55" t="n"/>
      <c r="AL1812" s="55" t="n"/>
      <c r="AM1812" s="56" t="n"/>
      <c r="AN1812" s="55" t="n"/>
      <c r="AO1812" s="55" t="n"/>
      <c r="AP1812" s="55" t="n"/>
      <c r="AQ1812" s="55" t="n"/>
      <c r="AR1812" s="60">
        <f>IF(AND(C1812="",E1812=""),"",IF(A1812="","⚠ Date manquante",IF(AND(C1812="",E1812&lt;&gt;"Dépense"),"⚠ Prospect manquant",IF(E1812="","⚠ Action manquante",IF(AND(AU1812=1,D1812=""),"⚠ Canal manquant",IF(AND(W1812&lt;&gt;"",COUNTIFS('Saisie'!$W$5:$W$2004,W1812,'Saisie'!$C$5:$C$2004,"&lt;&gt;"&amp;C1812)&gt;0),"⚠ Numéro déjà utilisé par un autre prospect",IF(AND(J1812&lt;&gt;"",J1812&lt;A1812),"⚠ Relance avant la date de l'action",IF(A1812&gt;TODAY(),"⚠ Date dans le futur","✓"))))))))</f>
        <v/>
      </c>
      <c r="AS1812" s="61">
        <f>IF(AND(A1812="",C1812="",E1812=""),"",ROW())</f>
        <v/>
      </c>
      <c r="AT1812" s="61">
        <f>IF(E1812&amp;F1812="","",MAX(IFERROR(INDEX('Paramètres'!$J$6:$J$33,MATCH(E1812,'Paramètres'!$I$6:$I$33,0)),0),IFERROR(INDEX('Paramètres'!$N$6:$N$17,MATCH(F1812,'Paramètres'!$M$6:$M$17,0)),0)))</f>
        <v/>
      </c>
      <c r="AU1812" s="61">
        <f>IF(E1812="","",IFERROR(IF(INDEX('Paramètres'!$K$6:$K$33,MATCH(E1812,'Paramètres'!$I$6:$I$33,0))="Oui",1,0),0))</f>
        <v/>
      </c>
      <c r="AV1812" s="61">
        <f>IF(F1812="","",IFERROR(IF(INDEX('Paramètres'!$O$6:$O$17,MATCH(F1812,'Paramètres'!$M$6:$M$17,0))="Oui",1,0),0))</f>
        <v/>
      </c>
      <c r="AW1812" s="62">
        <f>IF(E1812="","",IF(G1812&lt;&gt;"",G1812,IF(OR(E1812="Proposition envoyée",E1812="Signature"),MAX(0,N(IFERROR(INDEX('Paramètres'!$R$6:$R$15,MATCH(IF(AL1812&lt;&gt;"",AL1812,IFERROR(INDEX('Prospects'!$AN$5:$AN$504,MATCH(C1812,'Prospects'!$C$5:$C$504,0)),"")),'Paramètres'!$Q$6:$Q$15,0)),0))-N(P1812)),0)))</f>
        <v/>
      </c>
      <c r="AX1812" s="61">
        <f>IF(C1812="","",IF(COUNTIF($C$5:C1812,C1812)=1,MAX($AX$4:AX1811)+1,""))</f>
        <v/>
      </c>
      <c r="AY1812" s="61">
        <f>IF(B1812="","",HOUR(B1812))</f>
        <v/>
      </c>
      <c r="AZ1812" s="61">
        <f>IF(A1812="","",MOD(A1812-2,7)+1)</f>
        <v/>
      </c>
      <c r="BA1812" s="60">
        <f>IF(C1812="","",IFERROR(INDEX('Prospects'!$N$5:$N$504,MATCH(C1812,'Prospects'!$C$5:$C$504,0)),""))</f>
        <v/>
      </c>
      <c r="BB1812" s="61">
        <f>IF(AND(C1812&lt;&gt;"",C1812='Fiche prospect'!$C$4),COUNTIF($C$5:C1812,C1812),"")</f>
        <v/>
      </c>
    </row>
    <row r="1813">
      <c r="A1813" s="53" t="n"/>
      <c r="B1813" s="54" t="n"/>
      <c r="C1813" s="55" t="n"/>
      <c r="D1813" s="55" t="n"/>
      <c r="E1813" s="55" t="n"/>
      <c r="F1813" s="55" t="n"/>
      <c r="G1813" s="56" t="n"/>
      <c r="H1813" s="57" t="n"/>
      <c r="I1813" s="55" t="n"/>
      <c r="J1813" s="53" t="n"/>
      <c r="K1813" s="54" t="n"/>
      <c r="L1813" s="55" t="n"/>
      <c r="M1813" s="55" t="n"/>
      <c r="N1813" s="57" t="n"/>
      <c r="O1813" s="55" t="n"/>
      <c r="P1813" s="56" t="n"/>
      <c r="Q1813" s="55" t="n"/>
      <c r="R1813" s="55" t="n"/>
      <c r="S1813" s="55" t="n"/>
      <c r="T1813" s="55" t="n"/>
      <c r="U1813" s="55" t="n"/>
      <c r="V1813" s="55" t="n"/>
      <c r="W1813" s="58" t="n"/>
      <c r="X1813" s="58" t="n"/>
      <c r="Y1813" s="55" t="n"/>
      <c r="Z1813" s="55" t="n"/>
      <c r="AA1813" s="55" t="n"/>
      <c r="AB1813" s="55" t="n"/>
      <c r="AC1813" s="55" t="n"/>
      <c r="AD1813" s="53" t="n"/>
      <c r="AE1813" s="55" t="n"/>
      <c r="AF1813" s="55" t="n"/>
      <c r="AG1813" s="59" t="n"/>
      <c r="AH1813" s="57" t="n"/>
      <c r="AI1813" s="55" t="n"/>
      <c r="AJ1813" s="55" t="n"/>
      <c r="AK1813" s="55" t="n"/>
      <c r="AL1813" s="55" t="n"/>
      <c r="AM1813" s="56" t="n"/>
      <c r="AN1813" s="55" t="n"/>
      <c r="AO1813" s="55" t="n"/>
      <c r="AP1813" s="55" t="n"/>
      <c r="AQ1813" s="55" t="n"/>
      <c r="AR1813" s="60">
        <f>IF(AND(C1813="",E1813=""),"",IF(A1813="","⚠ Date manquante",IF(AND(C1813="",E1813&lt;&gt;"Dépense"),"⚠ Prospect manquant",IF(E1813="","⚠ Action manquante",IF(AND(AU1813=1,D1813=""),"⚠ Canal manquant",IF(AND(W1813&lt;&gt;"",COUNTIFS('Saisie'!$W$5:$W$2004,W1813,'Saisie'!$C$5:$C$2004,"&lt;&gt;"&amp;C1813)&gt;0),"⚠ Numéro déjà utilisé par un autre prospect",IF(AND(J1813&lt;&gt;"",J1813&lt;A1813),"⚠ Relance avant la date de l'action",IF(A1813&gt;TODAY(),"⚠ Date dans le futur","✓"))))))))</f>
        <v/>
      </c>
      <c r="AS1813" s="61">
        <f>IF(AND(A1813="",C1813="",E1813=""),"",ROW())</f>
        <v/>
      </c>
      <c r="AT1813" s="61">
        <f>IF(E1813&amp;F1813="","",MAX(IFERROR(INDEX('Paramètres'!$J$6:$J$33,MATCH(E1813,'Paramètres'!$I$6:$I$33,0)),0),IFERROR(INDEX('Paramètres'!$N$6:$N$17,MATCH(F1813,'Paramètres'!$M$6:$M$17,0)),0)))</f>
        <v/>
      </c>
      <c r="AU1813" s="61">
        <f>IF(E1813="","",IFERROR(IF(INDEX('Paramètres'!$K$6:$K$33,MATCH(E1813,'Paramètres'!$I$6:$I$33,0))="Oui",1,0),0))</f>
        <v/>
      </c>
      <c r="AV1813" s="61">
        <f>IF(F1813="","",IFERROR(IF(INDEX('Paramètres'!$O$6:$O$17,MATCH(F1813,'Paramètres'!$M$6:$M$17,0))="Oui",1,0),0))</f>
        <v/>
      </c>
      <c r="AW1813" s="62">
        <f>IF(E1813="","",IF(G1813&lt;&gt;"",G1813,IF(OR(E1813="Proposition envoyée",E1813="Signature"),MAX(0,N(IFERROR(INDEX('Paramètres'!$R$6:$R$15,MATCH(IF(AL1813&lt;&gt;"",AL1813,IFERROR(INDEX('Prospects'!$AN$5:$AN$504,MATCH(C1813,'Prospects'!$C$5:$C$504,0)),"")),'Paramètres'!$Q$6:$Q$15,0)),0))-N(P1813)),0)))</f>
        <v/>
      </c>
      <c r="AX1813" s="61">
        <f>IF(C1813="","",IF(COUNTIF($C$5:C1813,C1813)=1,MAX($AX$4:AX1812)+1,""))</f>
        <v/>
      </c>
      <c r="AY1813" s="61">
        <f>IF(B1813="","",HOUR(B1813))</f>
        <v/>
      </c>
      <c r="AZ1813" s="61">
        <f>IF(A1813="","",MOD(A1813-2,7)+1)</f>
        <v/>
      </c>
      <c r="BA1813" s="60">
        <f>IF(C1813="","",IFERROR(INDEX('Prospects'!$N$5:$N$504,MATCH(C1813,'Prospects'!$C$5:$C$504,0)),""))</f>
        <v/>
      </c>
      <c r="BB1813" s="61">
        <f>IF(AND(C1813&lt;&gt;"",C1813='Fiche prospect'!$C$4),COUNTIF($C$5:C1813,C1813),"")</f>
        <v/>
      </c>
    </row>
    <row r="1814">
      <c r="A1814" s="53" t="n"/>
      <c r="B1814" s="54" t="n"/>
      <c r="C1814" s="55" t="n"/>
      <c r="D1814" s="55" t="n"/>
      <c r="E1814" s="55" t="n"/>
      <c r="F1814" s="55" t="n"/>
      <c r="G1814" s="56" t="n"/>
      <c r="H1814" s="57" t="n"/>
      <c r="I1814" s="55" t="n"/>
      <c r="J1814" s="53" t="n"/>
      <c r="K1814" s="54" t="n"/>
      <c r="L1814" s="55" t="n"/>
      <c r="M1814" s="55" t="n"/>
      <c r="N1814" s="57" t="n"/>
      <c r="O1814" s="55" t="n"/>
      <c r="P1814" s="56" t="n"/>
      <c r="Q1814" s="55" t="n"/>
      <c r="R1814" s="55" t="n"/>
      <c r="S1814" s="55" t="n"/>
      <c r="T1814" s="55" t="n"/>
      <c r="U1814" s="55" t="n"/>
      <c r="V1814" s="55" t="n"/>
      <c r="W1814" s="58" t="n"/>
      <c r="X1814" s="58" t="n"/>
      <c r="Y1814" s="55" t="n"/>
      <c r="Z1814" s="55" t="n"/>
      <c r="AA1814" s="55" t="n"/>
      <c r="AB1814" s="55" t="n"/>
      <c r="AC1814" s="55" t="n"/>
      <c r="AD1814" s="53" t="n"/>
      <c r="AE1814" s="55" t="n"/>
      <c r="AF1814" s="55" t="n"/>
      <c r="AG1814" s="59" t="n"/>
      <c r="AH1814" s="57" t="n"/>
      <c r="AI1814" s="55" t="n"/>
      <c r="AJ1814" s="55" t="n"/>
      <c r="AK1814" s="55" t="n"/>
      <c r="AL1814" s="55" t="n"/>
      <c r="AM1814" s="56" t="n"/>
      <c r="AN1814" s="55" t="n"/>
      <c r="AO1814" s="55" t="n"/>
      <c r="AP1814" s="55" t="n"/>
      <c r="AQ1814" s="55" t="n"/>
      <c r="AR1814" s="60">
        <f>IF(AND(C1814="",E1814=""),"",IF(A1814="","⚠ Date manquante",IF(AND(C1814="",E1814&lt;&gt;"Dépense"),"⚠ Prospect manquant",IF(E1814="","⚠ Action manquante",IF(AND(AU1814=1,D1814=""),"⚠ Canal manquant",IF(AND(W1814&lt;&gt;"",COUNTIFS('Saisie'!$W$5:$W$2004,W1814,'Saisie'!$C$5:$C$2004,"&lt;&gt;"&amp;C1814)&gt;0),"⚠ Numéro déjà utilisé par un autre prospect",IF(AND(J1814&lt;&gt;"",J1814&lt;A1814),"⚠ Relance avant la date de l'action",IF(A1814&gt;TODAY(),"⚠ Date dans le futur","✓"))))))))</f>
        <v/>
      </c>
      <c r="AS1814" s="61">
        <f>IF(AND(A1814="",C1814="",E1814=""),"",ROW())</f>
        <v/>
      </c>
      <c r="AT1814" s="61">
        <f>IF(E1814&amp;F1814="","",MAX(IFERROR(INDEX('Paramètres'!$J$6:$J$33,MATCH(E1814,'Paramètres'!$I$6:$I$33,0)),0),IFERROR(INDEX('Paramètres'!$N$6:$N$17,MATCH(F1814,'Paramètres'!$M$6:$M$17,0)),0)))</f>
        <v/>
      </c>
      <c r="AU1814" s="61">
        <f>IF(E1814="","",IFERROR(IF(INDEX('Paramètres'!$K$6:$K$33,MATCH(E1814,'Paramètres'!$I$6:$I$33,0))="Oui",1,0),0))</f>
        <v/>
      </c>
      <c r="AV1814" s="61">
        <f>IF(F1814="","",IFERROR(IF(INDEX('Paramètres'!$O$6:$O$17,MATCH(F1814,'Paramètres'!$M$6:$M$17,0))="Oui",1,0),0))</f>
        <v/>
      </c>
      <c r="AW1814" s="62">
        <f>IF(E1814="","",IF(G1814&lt;&gt;"",G1814,IF(OR(E1814="Proposition envoyée",E1814="Signature"),MAX(0,N(IFERROR(INDEX('Paramètres'!$R$6:$R$15,MATCH(IF(AL1814&lt;&gt;"",AL1814,IFERROR(INDEX('Prospects'!$AN$5:$AN$504,MATCH(C1814,'Prospects'!$C$5:$C$504,0)),"")),'Paramètres'!$Q$6:$Q$15,0)),0))-N(P1814)),0)))</f>
        <v/>
      </c>
      <c r="AX1814" s="61">
        <f>IF(C1814="","",IF(COUNTIF($C$5:C1814,C1814)=1,MAX($AX$4:AX1813)+1,""))</f>
        <v/>
      </c>
      <c r="AY1814" s="61">
        <f>IF(B1814="","",HOUR(B1814))</f>
        <v/>
      </c>
      <c r="AZ1814" s="61">
        <f>IF(A1814="","",MOD(A1814-2,7)+1)</f>
        <v/>
      </c>
      <c r="BA1814" s="60">
        <f>IF(C1814="","",IFERROR(INDEX('Prospects'!$N$5:$N$504,MATCH(C1814,'Prospects'!$C$5:$C$504,0)),""))</f>
        <v/>
      </c>
      <c r="BB1814" s="61">
        <f>IF(AND(C1814&lt;&gt;"",C1814='Fiche prospect'!$C$4),COUNTIF($C$5:C1814,C1814),"")</f>
        <v/>
      </c>
    </row>
    <row r="1815">
      <c r="A1815" s="53" t="n"/>
      <c r="B1815" s="54" t="n"/>
      <c r="C1815" s="55" t="n"/>
      <c r="D1815" s="55" t="n"/>
      <c r="E1815" s="55" t="n"/>
      <c r="F1815" s="55" t="n"/>
      <c r="G1815" s="56" t="n"/>
      <c r="H1815" s="57" t="n"/>
      <c r="I1815" s="55" t="n"/>
      <c r="J1815" s="53" t="n"/>
      <c r="K1815" s="54" t="n"/>
      <c r="L1815" s="55" t="n"/>
      <c r="M1815" s="55" t="n"/>
      <c r="N1815" s="57" t="n"/>
      <c r="O1815" s="55" t="n"/>
      <c r="P1815" s="56" t="n"/>
      <c r="Q1815" s="55" t="n"/>
      <c r="R1815" s="55" t="n"/>
      <c r="S1815" s="55" t="n"/>
      <c r="T1815" s="55" t="n"/>
      <c r="U1815" s="55" t="n"/>
      <c r="V1815" s="55" t="n"/>
      <c r="W1815" s="58" t="n"/>
      <c r="X1815" s="58" t="n"/>
      <c r="Y1815" s="55" t="n"/>
      <c r="Z1815" s="55" t="n"/>
      <c r="AA1815" s="55" t="n"/>
      <c r="AB1815" s="55" t="n"/>
      <c r="AC1815" s="55" t="n"/>
      <c r="AD1815" s="53" t="n"/>
      <c r="AE1815" s="55" t="n"/>
      <c r="AF1815" s="55" t="n"/>
      <c r="AG1815" s="59" t="n"/>
      <c r="AH1815" s="57" t="n"/>
      <c r="AI1815" s="55" t="n"/>
      <c r="AJ1815" s="55" t="n"/>
      <c r="AK1815" s="55" t="n"/>
      <c r="AL1815" s="55" t="n"/>
      <c r="AM1815" s="56" t="n"/>
      <c r="AN1815" s="55" t="n"/>
      <c r="AO1815" s="55" t="n"/>
      <c r="AP1815" s="55" t="n"/>
      <c r="AQ1815" s="55" t="n"/>
      <c r="AR1815" s="60">
        <f>IF(AND(C1815="",E1815=""),"",IF(A1815="","⚠ Date manquante",IF(AND(C1815="",E1815&lt;&gt;"Dépense"),"⚠ Prospect manquant",IF(E1815="","⚠ Action manquante",IF(AND(AU1815=1,D1815=""),"⚠ Canal manquant",IF(AND(W1815&lt;&gt;"",COUNTIFS('Saisie'!$W$5:$W$2004,W1815,'Saisie'!$C$5:$C$2004,"&lt;&gt;"&amp;C1815)&gt;0),"⚠ Numéro déjà utilisé par un autre prospect",IF(AND(J1815&lt;&gt;"",J1815&lt;A1815),"⚠ Relance avant la date de l'action",IF(A1815&gt;TODAY(),"⚠ Date dans le futur","✓"))))))))</f>
        <v/>
      </c>
      <c r="AS1815" s="61">
        <f>IF(AND(A1815="",C1815="",E1815=""),"",ROW())</f>
        <v/>
      </c>
      <c r="AT1815" s="61">
        <f>IF(E1815&amp;F1815="","",MAX(IFERROR(INDEX('Paramètres'!$J$6:$J$33,MATCH(E1815,'Paramètres'!$I$6:$I$33,0)),0),IFERROR(INDEX('Paramètres'!$N$6:$N$17,MATCH(F1815,'Paramètres'!$M$6:$M$17,0)),0)))</f>
        <v/>
      </c>
      <c r="AU1815" s="61">
        <f>IF(E1815="","",IFERROR(IF(INDEX('Paramètres'!$K$6:$K$33,MATCH(E1815,'Paramètres'!$I$6:$I$33,0))="Oui",1,0),0))</f>
        <v/>
      </c>
      <c r="AV1815" s="61">
        <f>IF(F1815="","",IFERROR(IF(INDEX('Paramètres'!$O$6:$O$17,MATCH(F1815,'Paramètres'!$M$6:$M$17,0))="Oui",1,0),0))</f>
        <v/>
      </c>
      <c r="AW1815" s="62">
        <f>IF(E1815="","",IF(G1815&lt;&gt;"",G1815,IF(OR(E1815="Proposition envoyée",E1815="Signature"),MAX(0,N(IFERROR(INDEX('Paramètres'!$R$6:$R$15,MATCH(IF(AL1815&lt;&gt;"",AL1815,IFERROR(INDEX('Prospects'!$AN$5:$AN$504,MATCH(C1815,'Prospects'!$C$5:$C$504,0)),"")),'Paramètres'!$Q$6:$Q$15,0)),0))-N(P1815)),0)))</f>
        <v/>
      </c>
      <c r="AX1815" s="61">
        <f>IF(C1815="","",IF(COUNTIF($C$5:C1815,C1815)=1,MAX($AX$4:AX1814)+1,""))</f>
        <v/>
      </c>
      <c r="AY1815" s="61">
        <f>IF(B1815="","",HOUR(B1815))</f>
        <v/>
      </c>
      <c r="AZ1815" s="61">
        <f>IF(A1815="","",MOD(A1815-2,7)+1)</f>
        <v/>
      </c>
      <c r="BA1815" s="60">
        <f>IF(C1815="","",IFERROR(INDEX('Prospects'!$N$5:$N$504,MATCH(C1815,'Prospects'!$C$5:$C$504,0)),""))</f>
        <v/>
      </c>
      <c r="BB1815" s="61">
        <f>IF(AND(C1815&lt;&gt;"",C1815='Fiche prospect'!$C$4),COUNTIF($C$5:C1815,C1815),"")</f>
        <v/>
      </c>
    </row>
    <row r="1816">
      <c r="A1816" s="53" t="n"/>
      <c r="B1816" s="54" t="n"/>
      <c r="C1816" s="55" t="n"/>
      <c r="D1816" s="55" t="n"/>
      <c r="E1816" s="55" t="n"/>
      <c r="F1816" s="55" t="n"/>
      <c r="G1816" s="56" t="n"/>
      <c r="H1816" s="57" t="n"/>
      <c r="I1816" s="55" t="n"/>
      <c r="J1816" s="53" t="n"/>
      <c r="K1816" s="54" t="n"/>
      <c r="L1816" s="55" t="n"/>
      <c r="M1816" s="55" t="n"/>
      <c r="N1816" s="57" t="n"/>
      <c r="O1816" s="55" t="n"/>
      <c r="P1816" s="56" t="n"/>
      <c r="Q1816" s="55" t="n"/>
      <c r="R1816" s="55" t="n"/>
      <c r="S1816" s="55" t="n"/>
      <c r="T1816" s="55" t="n"/>
      <c r="U1816" s="55" t="n"/>
      <c r="V1816" s="55" t="n"/>
      <c r="W1816" s="58" t="n"/>
      <c r="X1816" s="58" t="n"/>
      <c r="Y1816" s="55" t="n"/>
      <c r="Z1816" s="55" t="n"/>
      <c r="AA1816" s="55" t="n"/>
      <c r="AB1816" s="55" t="n"/>
      <c r="AC1816" s="55" t="n"/>
      <c r="AD1816" s="53" t="n"/>
      <c r="AE1816" s="55" t="n"/>
      <c r="AF1816" s="55" t="n"/>
      <c r="AG1816" s="59" t="n"/>
      <c r="AH1816" s="57" t="n"/>
      <c r="AI1816" s="55" t="n"/>
      <c r="AJ1816" s="55" t="n"/>
      <c r="AK1816" s="55" t="n"/>
      <c r="AL1816" s="55" t="n"/>
      <c r="AM1816" s="56" t="n"/>
      <c r="AN1816" s="55" t="n"/>
      <c r="AO1816" s="55" t="n"/>
      <c r="AP1816" s="55" t="n"/>
      <c r="AQ1816" s="55" t="n"/>
      <c r="AR1816" s="60">
        <f>IF(AND(C1816="",E1816=""),"",IF(A1816="","⚠ Date manquante",IF(AND(C1816="",E1816&lt;&gt;"Dépense"),"⚠ Prospect manquant",IF(E1816="","⚠ Action manquante",IF(AND(AU1816=1,D1816=""),"⚠ Canal manquant",IF(AND(W1816&lt;&gt;"",COUNTIFS('Saisie'!$W$5:$W$2004,W1816,'Saisie'!$C$5:$C$2004,"&lt;&gt;"&amp;C1816)&gt;0),"⚠ Numéro déjà utilisé par un autre prospect",IF(AND(J1816&lt;&gt;"",J1816&lt;A1816),"⚠ Relance avant la date de l'action",IF(A1816&gt;TODAY(),"⚠ Date dans le futur","✓"))))))))</f>
        <v/>
      </c>
      <c r="AS1816" s="61">
        <f>IF(AND(A1816="",C1816="",E1816=""),"",ROW())</f>
        <v/>
      </c>
      <c r="AT1816" s="61">
        <f>IF(E1816&amp;F1816="","",MAX(IFERROR(INDEX('Paramètres'!$J$6:$J$33,MATCH(E1816,'Paramètres'!$I$6:$I$33,0)),0),IFERROR(INDEX('Paramètres'!$N$6:$N$17,MATCH(F1816,'Paramètres'!$M$6:$M$17,0)),0)))</f>
        <v/>
      </c>
      <c r="AU1816" s="61">
        <f>IF(E1816="","",IFERROR(IF(INDEX('Paramètres'!$K$6:$K$33,MATCH(E1816,'Paramètres'!$I$6:$I$33,0))="Oui",1,0),0))</f>
        <v/>
      </c>
      <c r="AV1816" s="61">
        <f>IF(F1816="","",IFERROR(IF(INDEX('Paramètres'!$O$6:$O$17,MATCH(F1816,'Paramètres'!$M$6:$M$17,0))="Oui",1,0),0))</f>
        <v/>
      </c>
      <c r="AW1816" s="62">
        <f>IF(E1816="","",IF(G1816&lt;&gt;"",G1816,IF(OR(E1816="Proposition envoyée",E1816="Signature"),MAX(0,N(IFERROR(INDEX('Paramètres'!$R$6:$R$15,MATCH(IF(AL1816&lt;&gt;"",AL1816,IFERROR(INDEX('Prospects'!$AN$5:$AN$504,MATCH(C1816,'Prospects'!$C$5:$C$504,0)),"")),'Paramètres'!$Q$6:$Q$15,0)),0))-N(P1816)),0)))</f>
        <v/>
      </c>
      <c r="AX1816" s="61">
        <f>IF(C1816="","",IF(COUNTIF($C$5:C1816,C1816)=1,MAX($AX$4:AX1815)+1,""))</f>
        <v/>
      </c>
      <c r="AY1816" s="61">
        <f>IF(B1816="","",HOUR(B1816))</f>
        <v/>
      </c>
      <c r="AZ1816" s="61">
        <f>IF(A1816="","",MOD(A1816-2,7)+1)</f>
        <v/>
      </c>
      <c r="BA1816" s="60">
        <f>IF(C1816="","",IFERROR(INDEX('Prospects'!$N$5:$N$504,MATCH(C1816,'Prospects'!$C$5:$C$504,0)),""))</f>
        <v/>
      </c>
      <c r="BB1816" s="61">
        <f>IF(AND(C1816&lt;&gt;"",C1816='Fiche prospect'!$C$4),COUNTIF($C$5:C1816,C1816),"")</f>
        <v/>
      </c>
    </row>
    <row r="1817">
      <c r="A1817" s="53" t="n"/>
      <c r="B1817" s="54" t="n"/>
      <c r="C1817" s="55" t="n"/>
      <c r="D1817" s="55" t="n"/>
      <c r="E1817" s="55" t="n"/>
      <c r="F1817" s="55" t="n"/>
      <c r="G1817" s="56" t="n"/>
      <c r="H1817" s="57" t="n"/>
      <c r="I1817" s="55" t="n"/>
      <c r="J1817" s="53" t="n"/>
      <c r="K1817" s="54" t="n"/>
      <c r="L1817" s="55" t="n"/>
      <c r="M1817" s="55" t="n"/>
      <c r="N1817" s="57" t="n"/>
      <c r="O1817" s="55" t="n"/>
      <c r="P1817" s="56" t="n"/>
      <c r="Q1817" s="55" t="n"/>
      <c r="R1817" s="55" t="n"/>
      <c r="S1817" s="55" t="n"/>
      <c r="T1817" s="55" t="n"/>
      <c r="U1817" s="55" t="n"/>
      <c r="V1817" s="55" t="n"/>
      <c r="W1817" s="58" t="n"/>
      <c r="X1817" s="58" t="n"/>
      <c r="Y1817" s="55" t="n"/>
      <c r="Z1817" s="55" t="n"/>
      <c r="AA1817" s="55" t="n"/>
      <c r="AB1817" s="55" t="n"/>
      <c r="AC1817" s="55" t="n"/>
      <c r="AD1817" s="53" t="n"/>
      <c r="AE1817" s="55" t="n"/>
      <c r="AF1817" s="55" t="n"/>
      <c r="AG1817" s="59" t="n"/>
      <c r="AH1817" s="57" t="n"/>
      <c r="AI1817" s="55" t="n"/>
      <c r="AJ1817" s="55" t="n"/>
      <c r="AK1817" s="55" t="n"/>
      <c r="AL1817" s="55" t="n"/>
      <c r="AM1817" s="56" t="n"/>
      <c r="AN1817" s="55" t="n"/>
      <c r="AO1817" s="55" t="n"/>
      <c r="AP1817" s="55" t="n"/>
      <c r="AQ1817" s="55" t="n"/>
      <c r="AR1817" s="60">
        <f>IF(AND(C1817="",E1817=""),"",IF(A1817="","⚠ Date manquante",IF(AND(C1817="",E1817&lt;&gt;"Dépense"),"⚠ Prospect manquant",IF(E1817="","⚠ Action manquante",IF(AND(AU1817=1,D1817=""),"⚠ Canal manquant",IF(AND(W1817&lt;&gt;"",COUNTIFS('Saisie'!$W$5:$W$2004,W1817,'Saisie'!$C$5:$C$2004,"&lt;&gt;"&amp;C1817)&gt;0),"⚠ Numéro déjà utilisé par un autre prospect",IF(AND(J1817&lt;&gt;"",J1817&lt;A1817),"⚠ Relance avant la date de l'action",IF(A1817&gt;TODAY(),"⚠ Date dans le futur","✓"))))))))</f>
        <v/>
      </c>
      <c r="AS1817" s="61">
        <f>IF(AND(A1817="",C1817="",E1817=""),"",ROW())</f>
        <v/>
      </c>
      <c r="AT1817" s="61">
        <f>IF(E1817&amp;F1817="","",MAX(IFERROR(INDEX('Paramètres'!$J$6:$J$33,MATCH(E1817,'Paramètres'!$I$6:$I$33,0)),0),IFERROR(INDEX('Paramètres'!$N$6:$N$17,MATCH(F1817,'Paramètres'!$M$6:$M$17,0)),0)))</f>
        <v/>
      </c>
      <c r="AU1817" s="61">
        <f>IF(E1817="","",IFERROR(IF(INDEX('Paramètres'!$K$6:$K$33,MATCH(E1817,'Paramètres'!$I$6:$I$33,0))="Oui",1,0),0))</f>
        <v/>
      </c>
      <c r="AV1817" s="61">
        <f>IF(F1817="","",IFERROR(IF(INDEX('Paramètres'!$O$6:$O$17,MATCH(F1817,'Paramètres'!$M$6:$M$17,0))="Oui",1,0),0))</f>
        <v/>
      </c>
      <c r="AW1817" s="62">
        <f>IF(E1817="","",IF(G1817&lt;&gt;"",G1817,IF(OR(E1817="Proposition envoyée",E1817="Signature"),MAX(0,N(IFERROR(INDEX('Paramètres'!$R$6:$R$15,MATCH(IF(AL1817&lt;&gt;"",AL1817,IFERROR(INDEX('Prospects'!$AN$5:$AN$504,MATCH(C1817,'Prospects'!$C$5:$C$504,0)),"")),'Paramètres'!$Q$6:$Q$15,0)),0))-N(P1817)),0)))</f>
        <v/>
      </c>
      <c r="AX1817" s="61">
        <f>IF(C1817="","",IF(COUNTIF($C$5:C1817,C1817)=1,MAX($AX$4:AX1816)+1,""))</f>
        <v/>
      </c>
      <c r="AY1817" s="61">
        <f>IF(B1817="","",HOUR(B1817))</f>
        <v/>
      </c>
      <c r="AZ1817" s="61">
        <f>IF(A1817="","",MOD(A1817-2,7)+1)</f>
        <v/>
      </c>
      <c r="BA1817" s="60">
        <f>IF(C1817="","",IFERROR(INDEX('Prospects'!$N$5:$N$504,MATCH(C1817,'Prospects'!$C$5:$C$504,0)),""))</f>
        <v/>
      </c>
      <c r="BB1817" s="61">
        <f>IF(AND(C1817&lt;&gt;"",C1817='Fiche prospect'!$C$4),COUNTIF($C$5:C1817,C1817),"")</f>
        <v/>
      </c>
    </row>
    <row r="1818">
      <c r="A1818" s="53" t="n"/>
      <c r="B1818" s="54" t="n"/>
      <c r="C1818" s="55" t="n"/>
      <c r="D1818" s="55" t="n"/>
      <c r="E1818" s="55" t="n"/>
      <c r="F1818" s="55" t="n"/>
      <c r="G1818" s="56" t="n"/>
      <c r="H1818" s="57" t="n"/>
      <c r="I1818" s="55" t="n"/>
      <c r="J1818" s="53" t="n"/>
      <c r="K1818" s="54" t="n"/>
      <c r="L1818" s="55" t="n"/>
      <c r="M1818" s="55" t="n"/>
      <c r="N1818" s="57" t="n"/>
      <c r="O1818" s="55" t="n"/>
      <c r="P1818" s="56" t="n"/>
      <c r="Q1818" s="55" t="n"/>
      <c r="R1818" s="55" t="n"/>
      <c r="S1818" s="55" t="n"/>
      <c r="T1818" s="55" t="n"/>
      <c r="U1818" s="55" t="n"/>
      <c r="V1818" s="55" t="n"/>
      <c r="W1818" s="58" t="n"/>
      <c r="X1818" s="58" t="n"/>
      <c r="Y1818" s="55" t="n"/>
      <c r="Z1818" s="55" t="n"/>
      <c r="AA1818" s="55" t="n"/>
      <c r="AB1818" s="55" t="n"/>
      <c r="AC1818" s="55" t="n"/>
      <c r="AD1818" s="53" t="n"/>
      <c r="AE1818" s="55" t="n"/>
      <c r="AF1818" s="55" t="n"/>
      <c r="AG1818" s="59" t="n"/>
      <c r="AH1818" s="57" t="n"/>
      <c r="AI1818" s="55" t="n"/>
      <c r="AJ1818" s="55" t="n"/>
      <c r="AK1818" s="55" t="n"/>
      <c r="AL1818" s="55" t="n"/>
      <c r="AM1818" s="56" t="n"/>
      <c r="AN1818" s="55" t="n"/>
      <c r="AO1818" s="55" t="n"/>
      <c r="AP1818" s="55" t="n"/>
      <c r="AQ1818" s="55" t="n"/>
      <c r="AR1818" s="60">
        <f>IF(AND(C1818="",E1818=""),"",IF(A1818="","⚠ Date manquante",IF(AND(C1818="",E1818&lt;&gt;"Dépense"),"⚠ Prospect manquant",IF(E1818="","⚠ Action manquante",IF(AND(AU1818=1,D1818=""),"⚠ Canal manquant",IF(AND(W1818&lt;&gt;"",COUNTIFS('Saisie'!$W$5:$W$2004,W1818,'Saisie'!$C$5:$C$2004,"&lt;&gt;"&amp;C1818)&gt;0),"⚠ Numéro déjà utilisé par un autre prospect",IF(AND(J1818&lt;&gt;"",J1818&lt;A1818),"⚠ Relance avant la date de l'action",IF(A1818&gt;TODAY(),"⚠ Date dans le futur","✓"))))))))</f>
        <v/>
      </c>
      <c r="AS1818" s="61">
        <f>IF(AND(A1818="",C1818="",E1818=""),"",ROW())</f>
        <v/>
      </c>
      <c r="AT1818" s="61">
        <f>IF(E1818&amp;F1818="","",MAX(IFERROR(INDEX('Paramètres'!$J$6:$J$33,MATCH(E1818,'Paramètres'!$I$6:$I$33,0)),0),IFERROR(INDEX('Paramètres'!$N$6:$N$17,MATCH(F1818,'Paramètres'!$M$6:$M$17,0)),0)))</f>
        <v/>
      </c>
      <c r="AU1818" s="61">
        <f>IF(E1818="","",IFERROR(IF(INDEX('Paramètres'!$K$6:$K$33,MATCH(E1818,'Paramètres'!$I$6:$I$33,0))="Oui",1,0),0))</f>
        <v/>
      </c>
      <c r="AV1818" s="61">
        <f>IF(F1818="","",IFERROR(IF(INDEX('Paramètres'!$O$6:$O$17,MATCH(F1818,'Paramètres'!$M$6:$M$17,0))="Oui",1,0),0))</f>
        <v/>
      </c>
      <c r="AW1818" s="62">
        <f>IF(E1818="","",IF(G1818&lt;&gt;"",G1818,IF(OR(E1818="Proposition envoyée",E1818="Signature"),MAX(0,N(IFERROR(INDEX('Paramètres'!$R$6:$R$15,MATCH(IF(AL1818&lt;&gt;"",AL1818,IFERROR(INDEX('Prospects'!$AN$5:$AN$504,MATCH(C1818,'Prospects'!$C$5:$C$504,0)),"")),'Paramètres'!$Q$6:$Q$15,0)),0))-N(P1818)),0)))</f>
        <v/>
      </c>
      <c r="AX1818" s="61">
        <f>IF(C1818="","",IF(COUNTIF($C$5:C1818,C1818)=1,MAX($AX$4:AX1817)+1,""))</f>
        <v/>
      </c>
      <c r="AY1818" s="61">
        <f>IF(B1818="","",HOUR(B1818))</f>
        <v/>
      </c>
      <c r="AZ1818" s="61">
        <f>IF(A1818="","",MOD(A1818-2,7)+1)</f>
        <v/>
      </c>
      <c r="BA1818" s="60">
        <f>IF(C1818="","",IFERROR(INDEX('Prospects'!$N$5:$N$504,MATCH(C1818,'Prospects'!$C$5:$C$504,0)),""))</f>
        <v/>
      </c>
      <c r="BB1818" s="61">
        <f>IF(AND(C1818&lt;&gt;"",C1818='Fiche prospect'!$C$4),COUNTIF($C$5:C1818,C1818),"")</f>
        <v/>
      </c>
    </row>
    <row r="1819">
      <c r="A1819" s="53" t="n"/>
      <c r="B1819" s="54" t="n"/>
      <c r="C1819" s="55" t="n"/>
      <c r="D1819" s="55" t="n"/>
      <c r="E1819" s="55" t="n"/>
      <c r="F1819" s="55" t="n"/>
      <c r="G1819" s="56" t="n"/>
      <c r="H1819" s="57" t="n"/>
      <c r="I1819" s="55" t="n"/>
      <c r="J1819" s="53" t="n"/>
      <c r="K1819" s="54" t="n"/>
      <c r="L1819" s="55" t="n"/>
      <c r="M1819" s="55" t="n"/>
      <c r="N1819" s="57" t="n"/>
      <c r="O1819" s="55" t="n"/>
      <c r="P1819" s="56" t="n"/>
      <c r="Q1819" s="55" t="n"/>
      <c r="R1819" s="55" t="n"/>
      <c r="S1819" s="55" t="n"/>
      <c r="T1819" s="55" t="n"/>
      <c r="U1819" s="55" t="n"/>
      <c r="V1819" s="55" t="n"/>
      <c r="W1819" s="58" t="n"/>
      <c r="X1819" s="58" t="n"/>
      <c r="Y1819" s="55" t="n"/>
      <c r="Z1819" s="55" t="n"/>
      <c r="AA1819" s="55" t="n"/>
      <c r="AB1819" s="55" t="n"/>
      <c r="AC1819" s="55" t="n"/>
      <c r="AD1819" s="53" t="n"/>
      <c r="AE1819" s="55" t="n"/>
      <c r="AF1819" s="55" t="n"/>
      <c r="AG1819" s="59" t="n"/>
      <c r="AH1819" s="57" t="n"/>
      <c r="AI1819" s="55" t="n"/>
      <c r="AJ1819" s="55" t="n"/>
      <c r="AK1819" s="55" t="n"/>
      <c r="AL1819" s="55" t="n"/>
      <c r="AM1819" s="56" t="n"/>
      <c r="AN1819" s="55" t="n"/>
      <c r="AO1819" s="55" t="n"/>
      <c r="AP1819" s="55" t="n"/>
      <c r="AQ1819" s="55" t="n"/>
      <c r="AR1819" s="60">
        <f>IF(AND(C1819="",E1819=""),"",IF(A1819="","⚠ Date manquante",IF(AND(C1819="",E1819&lt;&gt;"Dépense"),"⚠ Prospect manquant",IF(E1819="","⚠ Action manquante",IF(AND(AU1819=1,D1819=""),"⚠ Canal manquant",IF(AND(W1819&lt;&gt;"",COUNTIFS('Saisie'!$W$5:$W$2004,W1819,'Saisie'!$C$5:$C$2004,"&lt;&gt;"&amp;C1819)&gt;0),"⚠ Numéro déjà utilisé par un autre prospect",IF(AND(J1819&lt;&gt;"",J1819&lt;A1819),"⚠ Relance avant la date de l'action",IF(A1819&gt;TODAY(),"⚠ Date dans le futur","✓"))))))))</f>
        <v/>
      </c>
      <c r="AS1819" s="61">
        <f>IF(AND(A1819="",C1819="",E1819=""),"",ROW())</f>
        <v/>
      </c>
      <c r="AT1819" s="61">
        <f>IF(E1819&amp;F1819="","",MAX(IFERROR(INDEX('Paramètres'!$J$6:$J$33,MATCH(E1819,'Paramètres'!$I$6:$I$33,0)),0),IFERROR(INDEX('Paramètres'!$N$6:$N$17,MATCH(F1819,'Paramètres'!$M$6:$M$17,0)),0)))</f>
        <v/>
      </c>
      <c r="AU1819" s="61">
        <f>IF(E1819="","",IFERROR(IF(INDEX('Paramètres'!$K$6:$K$33,MATCH(E1819,'Paramètres'!$I$6:$I$33,0))="Oui",1,0),0))</f>
        <v/>
      </c>
      <c r="AV1819" s="61">
        <f>IF(F1819="","",IFERROR(IF(INDEX('Paramètres'!$O$6:$O$17,MATCH(F1819,'Paramètres'!$M$6:$M$17,0))="Oui",1,0),0))</f>
        <v/>
      </c>
      <c r="AW1819" s="62">
        <f>IF(E1819="","",IF(G1819&lt;&gt;"",G1819,IF(OR(E1819="Proposition envoyée",E1819="Signature"),MAX(0,N(IFERROR(INDEX('Paramètres'!$R$6:$R$15,MATCH(IF(AL1819&lt;&gt;"",AL1819,IFERROR(INDEX('Prospects'!$AN$5:$AN$504,MATCH(C1819,'Prospects'!$C$5:$C$504,0)),"")),'Paramètres'!$Q$6:$Q$15,0)),0))-N(P1819)),0)))</f>
        <v/>
      </c>
      <c r="AX1819" s="61">
        <f>IF(C1819="","",IF(COUNTIF($C$5:C1819,C1819)=1,MAX($AX$4:AX1818)+1,""))</f>
        <v/>
      </c>
      <c r="AY1819" s="61">
        <f>IF(B1819="","",HOUR(B1819))</f>
        <v/>
      </c>
      <c r="AZ1819" s="61">
        <f>IF(A1819="","",MOD(A1819-2,7)+1)</f>
        <v/>
      </c>
      <c r="BA1819" s="60">
        <f>IF(C1819="","",IFERROR(INDEX('Prospects'!$N$5:$N$504,MATCH(C1819,'Prospects'!$C$5:$C$504,0)),""))</f>
        <v/>
      </c>
      <c r="BB1819" s="61">
        <f>IF(AND(C1819&lt;&gt;"",C1819='Fiche prospect'!$C$4),COUNTIF($C$5:C1819,C1819),"")</f>
        <v/>
      </c>
    </row>
    <row r="1820">
      <c r="A1820" s="53" t="n"/>
      <c r="B1820" s="54" t="n"/>
      <c r="C1820" s="55" t="n"/>
      <c r="D1820" s="55" t="n"/>
      <c r="E1820" s="55" t="n"/>
      <c r="F1820" s="55" t="n"/>
      <c r="G1820" s="56" t="n"/>
      <c r="H1820" s="57" t="n"/>
      <c r="I1820" s="55" t="n"/>
      <c r="J1820" s="53" t="n"/>
      <c r="K1820" s="54" t="n"/>
      <c r="L1820" s="55" t="n"/>
      <c r="M1820" s="55" t="n"/>
      <c r="N1820" s="57" t="n"/>
      <c r="O1820" s="55" t="n"/>
      <c r="P1820" s="56" t="n"/>
      <c r="Q1820" s="55" t="n"/>
      <c r="R1820" s="55" t="n"/>
      <c r="S1820" s="55" t="n"/>
      <c r="T1820" s="55" t="n"/>
      <c r="U1820" s="55" t="n"/>
      <c r="V1820" s="55" t="n"/>
      <c r="W1820" s="58" t="n"/>
      <c r="X1820" s="58" t="n"/>
      <c r="Y1820" s="55" t="n"/>
      <c r="Z1820" s="55" t="n"/>
      <c r="AA1820" s="55" t="n"/>
      <c r="AB1820" s="55" t="n"/>
      <c r="AC1820" s="55" t="n"/>
      <c r="AD1820" s="53" t="n"/>
      <c r="AE1820" s="55" t="n"/>
      <c r="AF1820" s="55" t="n"/>
      <c r="AG1820" s="59" t="n"/>
      <c r="AH1820" s="57" t="n"/>
      <c r="AI1820" s="55" t="n"/>
      <c r="AJ1820" s="55" t="n"/>
      <c r="AK1820" s="55" t="n"/>
      <c r="AL1820" s="55" t="n"/>
      <c r="AM1820" s="56" t="n"/>
      <c r="AN1820" s="55" t="n"/>
      <c r="AO1820" s="55" t="n"/>
      <c r="AP1820" s="55" t="n"/>
      <c r="AQ1820" s="55" t="n"/>
      <c r="AR1820" s="60">
        <f>IF(AND(C1820="",E1820=""),"",IF(A1820="","⚠ Date manquante",IF(AND(C1820="",E1820&lt;&gt;"Dépense"),"⚠ Prospect manquant",IF(E1820="","⚠ Action manquante",IF(AND(AU1820=1,D1820=""),"⚠ Canal manquant",IF(AND(W1820&lt;&gt;"",COUNTIFS('Saisie'!$W$5:$W$2004,W1820,'Saisie'!$C$5:$C$2004,"&lt;&gt;"&amp;C1820)&gt;0),"⚠ Numéro déjà utilisé par un autre prospect",IF(AND(J1820&lt;&gt;"",J1820&lt;A1820),"⚠ Relance avant la date de l'action",IF(A1820&gt;TODAY(),"⚠ Date dans le futur","✓"))))))))</f>
        <v/>
      </c>
      <c r="AS1820" s="61">
        <f>IF(AND(A1820="",C1820="",E1820=""),"",ROW())</f>
        <v/>
      </c>
      <c r="AT1820" s="61">
        <f>IF(E1820&amp;F1820="","",MAX(IFERROR(INDEX('Paramètres'!$J$6:$J$33,MATCH(E1820,'Paramètres'!$I$6:$I$33,0)),0),IFERROR(INDEX('Paramètres'!$N$6:$N$17,MATCH(F1820,'Paramètres'!$M$6:$M$17,0)),0)))</f>
        <v/>
      </c>
      <c r="AU1820" s="61">
        <f>IF(E1820="","",IFERROR(IF(INDEX('Paramètres'!$K$6:$K$33,MATCH(E1820,'Paramètres'!$I$6:$I$33,0))="Oui",1,0),0))</f>
        <v/>
      </c>
      <c r="AV1820" s="61">
        <f>IF(F1820="","",IFERROR(IF(INDEX('Paramètres'!$O$6:$O$17,MATCH(F1820,'Paramètres'!$M$6:$M$17,0))="Oui",1,0),0))</f>
        <v/>
      </c>
      <c r="AW1820" s="62">
        <f>IF(E1820="","",IF(G1820&lt;&gt;"",G1820,IF(OR(E1820="Proposition envoyée",E1820="Signature"),MAX(0,N(IFERROR(INDEX('Paramètres'!$R$6:$R$15,MATCH(IF(AL1820&lt;&gt;"",AL1820,IFERROR(INDEX('Prospects'!$AN$5:$AN$504,MATCH(C1820,'Prospects'!$C$5:$C$504,0)),"")),'Paramètres'!$Q$6:$Q$15,0)),0))-N(P1820)),0)))</f>
        <v/>
      </c>
      <c r="AX1820" s="61">
        <f>IF(C1820="","",IF(COUNTIF($C$5:C1820,C1820)=1,MAX($AX$4:AX1819)+1,""))</f>
        <v/>
      </c>
      <c r="AY1820" s="61">
        <f>IF(B1820="","",HOUR(B1820))</f>
        <v/>
      </c>
      <c r="AZ1820" s="61">
        <f>IF(A1820="","",MOD(A1820-2,7)+1)</f>
        <v/>
      </c>
      <c r="BA1820" s="60">
        <f>IF(C1820="","",IFERROR(INDEX('Prospects'!$N$5:$N$504,MATCH(C1820,'Prospects'!$C$5:$C$504,0)),""))</f>
        <v/>
      </c>
      <c r="BB1820" s="61">
        <f>IF(AND(C1820&lt;&gt;"",C1820='Fiche prospect'!$C$4),COUNTIF($C$5:C1820,C1820),"")</f>
        <v/>
      </c>
    </row>
    <row r="1821">
      <c r="A1821" s="53" t="n"/>
      <c r="B1821" s="54" t="n"/>
      <c r="C1821" s="55" t="n"/>
      <c r="D1821" s="55" t="n"/>
      <c r="E1821" s="55" t="n"/>
      <c r="F1821" s="55" t="n"/>
      <c r="G1821" s="56" t="n"/>
      <c r="H1821" s="57" t="n"/>
      <c r="I1821" s="55" t="n"/>
      <c r="J1821" s="53" t="n"/>
      <c r="K1821" s="54" t="n"/>
      <c r="L1821" s="55" t="n"/>
      <c r="M1821" s="55" t="n"/>
      <c r="N1821" s="57" t="n"/>
      <c r="O1821" s="55" t="n"/>
      <c r="P1821" s="56" t="n"/>
      <c r="Q1821" s="55" t="n"/>
      <c r="R1821" s="55" t="n"/>
      <c r="S1821" s="55" t="n"/>
      <c r="T1821" s="55" t="n"/>
      <c r="U1821" s="55" t="n"/>
      <c r="V1821" s="55" t="n"/>
      <c r="W1821" s="58" t="n"/>
      <c r="X1821" s="58" t="n"/>
      <c r="Y1821" s="55" t="n"/>
      <c r="Z1821" s="55" t="n"/>
      <c r="AA1821" s="55" t="n"/>
      <c r="AB1821" s="55" t="n"/>
      <c r="AC1821" s="55" t="n"/>
      <c r="AD1821" s="53" t="n"/>
      <c r="AE1821" s="55" t="n"/>
      <c r="AF1821" s="55" t="n"/>
      <c r="AG1821" s="59" t="n"/>
      <c r="AH1821" s="57" t="n"/>
      <c r="AI1821" s="55" t="n"/>
      <c r="AJ1821" s="55" t="n"/>
      <c r="AK1821" s="55" t="n"/>
      <c r="AL1821" s="55" t="n"/>
      <c r="AM1821" s="56" t="n"/>
      <c r="AN1821" s="55" t="n"/>
      <c r="AO1821" s="55" t="n"/>
      <c r="AP1821" s="55" t="n"/>
      <c r="AQ1821" s="55" t="n"/>
      <c r="AR1821" s="60">
        <f>IF(AND(C1821="",E1821=""),"",IF(A1821="","⚠ Date manquante",IF(AND(C1821="",E1821&lt;&gt;"Dépense"),"⚠ Prospect manquant",IF(E1821="","⚠ Action manquante",IF(AND(AU1821=1,D1821=""),"⚠ Canal manquant",IF(AND(W1821&lt;&gt;"",COUNTIFS('Saisie'!$W$5:$W$2004,W1821,'Saisie'!$C$5:$C$2004,"&lt;&gt;"&amp;C1821)&gt;0),"⚠ Numéro déjà utilisé par un autre prospect",IF(AND(J1821&lt;&gt;"",J1821&lt;A1821),"⚠ Relance avant la date de l'action",IF(A1821&gt;TODAY(),"⚠ Date dans le futur","✓"))))))))</f>
        <v/>
      </c>
      <c r="AS1821" s="61">
        <f>IF(AND(A1821="",C1821="",E1821=""),"",ROW())</f>
        <v/>
      </c>
      <c r="AT1821" s="61">
        <f>IF(E1821&amp;F1821="","",MAX(IFERROR(INDEX('Paramètres'!$J$6:$J$33,MATCH(E1821,'Paramètres'!$I$6:$I$33,0)),0),IFERROR(INDEX('Paramètres'!$N$6:$N$17,MATCH(F1821,'Paramètres'!$M$6:$M$17,0)),0)))</f>
        <v/>
      </c>
      <c r="AU1821" s="61">
        <f>IF(E1821="","",IFERROR(IF(INDEX('Paramètres'!$K$6:$K$33,MATCH(E1821,'Paramètres'!$I$6:$I$33,0))="Oui",1,0),0))</f>
        <v/>
      </c>
      <c r="AV1821" s="61">
        <f>IF(F1821="","",IFERROR(IF(INDEX('Paramètres'!$O$6:$O$17,MATCH(F1821,'Paramètres'!$M$6:$M$17,0))="Oui",1,0),0))</f>
        <v/>
      </c>
      <c r="AW1821" s="62">
        <f>IF(E1821="","",IF(G1821&lt;&gt;"",G1821,IF(OR(E1821="Proposition envoyée",E1821="Signature"),MAX(0,N(IFERROR(INDEX('Paramètres'!$R$6:$R$15,MATCH(IF(AL1821&lt;&gt;"",AL1821,IFERROR(INDEX('Prospects'!$AN$5:$AN$504,MATCH(C1821,'Prospects'!$C$5:$C$504,0)),"")),'Paramètres'!$Q$6:$Q$15,0)),0))-N(P1821)),0)))</f>
        <v/>
      </c>
      <c r="AX1821" s="61">
        <f>IF(C1821="","",IF(COUNTIF($C$5:C1821,C1821)=1,MAX($AX$4:AX1820)+1,""))</f>
        <v/>
      </c>
      <c r="AY1821" s="61">
        <f>IF(B1821="","",HOUR(B1821))</f>
        <v/>
      </c>
      <c r="AZ1821" s="61">
        <f>IF(A1821="","",MOD(A1821-2,7)+1)</f>
        <v/>
      </c>
      <c r="BA1821" s="60">
        <f>IF(C1821="","",IFERROR(INDEX('Prospects'!$N$5:$N$504,MATCH(C1821,'Prospects'!$C$5:$C$504,0)),""))</f>
        <v/>
      </c>
      <c r="BB1821" s="61">
        <f>IF(AND(C1821&lt;&gt;"",C1821='Fiche prospect'!$C$4),COUNTIF($C$5:C1821,C1821),"")</f>
        <v/>
      </c>
    </row>
    <row r="1822">
      <c r="A1822" s="53" t="n"/>
      <c r="B1822" s="54" t="n"/>
      <c r="C1822" s="55" t="n"/>
      <c r="D1822" s="55" t="n"/>
      <c r="E1822" s="55" t="n"/>
      <c r="F1822" s="55" t="n"/>
      <c r="G1822" s="56" t="n"/>
      <c r="H1822" s="57" t="n"/>
      <c r="I1822" s="55" t="n"/>
      <c r="J1822" s="53" t="n"/>
      <c r="K1822" s="54" t="n"/>
      <c r="L1822" s="55" t="n"/>
      <c r="M1822" s="55" t="n"/>
      <c r="N1822" s="57" t="n"/>
      <c r="O1822" s="55" t="n"/>
      <c r="P1822" s="56" t="n"/>
      <c r="Q1822" s="55" t="n"/>
      <c r="R1822" s="55" t="n"/>
      <c r="S1822" s="55" t="n"/>
      <c r="T1822" s="55" t="n"/>
      <c r="U1822" s="55" t="n"/>
      <c r="V1822" s="55" t="n"/>
      <c r="W1822" s="58" t="n"/>
      <c r="X1822" s="58" t="n"/>
      <c r="Y1822" s="55" t="n"/>
      <c r="Z1822" s="55" t="n"/>
      <c r="AA1822" s="55" t="n"/>
      <c r="AB1822" s="55" t="n"/>
      <c r="AC1822" s="55" t="n"/>
      <c r="AD1822" s="53" t="n"/>
      <c r="AE1822" s="55" t="n"/>
      <c r="AF1822" s="55" t="n"/>
      <c r="AG1822" s="59" t="n"/>
      <c r="AH1822" s="57" t="n"/>
      <c r="AI1822" s="55" t="n"/>
      <c r="AJ1822" s="55" t="n"/>
      <c r="AK1822" s="55" t="n"/>
      <c r="AL1822" s="55" t="n"/>
      <c r="AM1822" s="56" t="n"/>
      <c r="AN1822" s="55" t="n"/>
      <c r="AO1822" s="55" t="n"/>
      <c r="AP1822" s="55" t="n"/>
      <c r="AQ1822" s="55" t="n"/>
      <c r="AR1822" s="60">
        <f>IF(AND(C1822="",E1822=""),"",IF(A1822="","⚠ Date manquante",IF(AND(C1822="",E1822&lt;&gt;"Dépense"),"⚠ Prospect manquant",IF(E1822="","⚠ Action manquante",IF(AND(AU1822=1,D1822=""),"⚠ Canal manquant",IF(AND(W1822&lt;&gt;"",COUNTIFS('Saisie'!$W$5:$W$2004,W1822,'Saisie'!$C$5:$C$2004,"&lt;&gt;"&amp;C1822)&gt;0),"⚠ Numéro déjà utilisé par un autre prospect",IF(AND(J1822&lt;&gt;"",J1822&lt;A1822),"⚠ Relance avant la date de l'action",IF(A1822&gt;TODAY(),"⚠ Date dans le futur","✓"))))))))</f>
        <v/>
      </c>
      <c r="AS1822" s="61">
        <f>IF(AND(A1822="",C1822="",E1822=""),"",ROW())</f>
        <v/>
      </c>
      <c r="AT1822" s="61">
        <f>IF(E1822&amp;F1822="","",MAX(IFERROR(INDEX('Paramètres'!$J$6:$J$33,MATCH(E1822,'Paramètres'!$I$6:$I$33,0)),0),IFERROR(INDEX('Paramètres'!$N$6:$N$17,MATCH(F1822,'Paramètres'!$M$6:$M$17,0)),0)))</f>
        <v/>
      </c>
      <c r="AU1822" s="61">
        <f>IF(E1822="","",IFERROR(IF(INDEX('Paramètres'!$K$6:$K$33,MATCH(E1822,'Paramètres'!$I$6:$I$33,0))="Oui",1,0),0))</f>
        <v/>
      </c>
      <c r="AV1822" s="61">
        <f>IF(F1822="","",IFERROR(IF(INDEX('Paramètres'!$O$6:$O$17,MATCH(F1822,'Paramètres'!$M$6:$M$17,0))="Oui",1,0),0))</f>
        <v/>
      </c>
      <c r="AW1822" s="62">
        <f>IF(E1822="","",IF(G1822&lt;&gt;"",G1822,IF(OR(E1822="Proposition envoyée",E1822="Signature"),MAX(0,N(IFERROR(INDEX('Paramètres'!$R$6:$R$15,MATCH(IF(AL1822&lt;&gt;"",AL1822,IFERROR(INDEX('Prospects'!$AN$5:$AN$504,MATCH(C1822,'Prospects'!$C$5:$C$504,0)),"")),'Paramètres'!$Q$6:$Q$15,0)),0))-N(P1822)),0)))</f>
        <v/>
      </c>
      <c r="AX1822" s="61">
        <f>IF(C1822="","",IF(COUNTIF($C$5:C1822,C1822)=1,MAX($AX$4:AX1821)+1,""))</f>
        <v/>
      </c>
      <c r="AY1822" s="61">
        <f>IF(B1822="","",HOUR(B1822))</f>
        <v/>
      </c>
      <c r="AZ1822" s="61">
        <f>IF(A1822="","",MOD(A1822-2,7)+1)</f>
        <v/>
      </c>
      <c r="BA1822" s="60">
        <f>IF(C1822="","",IFERROR(INDEX('Prospects'!$N$5:$N$504,MATCH(C1822,'Prospects'!$C$5:$C$504,0)),""))</f>
        <v/>
      </c>
      <c r="BB1822" s="61">
        <f>IF(AND(C1822&lt;&gt;"",C1822='Fiche prospect'!$C$4),COUNTIF($C$5:C1822,C1822),"")</f>
        <v/>
      </c>
    </row>
    <row r="1823">
      <c r="A1823" s="53" t="n"/>
      <c r="B1823" s="54" t="n"/>
      <c r="C1823" s="55" t="n"/>
      <c r="D1823" s="55" t="n"/>
      <c r="E1823" s="55" t="n"/>
      <c r="F1823" s="55" t="n"/>
      <c r="G1823" s="56" t="n"/>
      <c r="H1823" s="57" t="n"/>
      <c r="I1823" s="55" t="n"/>
      <c r="J1823" s="53" t="n"/>
      <c r="K1823" s="54" t="n"/>
      <c r="L1823" s="55" t="n"/>
      <c r="M1823" s="55" t="n"/>
      <c r="N1823" s="57" t="n"/>
      <c r="O1823" s="55" t="n"/>
      <c r="P1823" s="56" t="n"/>
      <c r="Q1823" s="55" t="n"/>
      <c r="R1823" s="55" t="n"/>
      <c r="S1823" s="55" t="n"/>
      <c r="T1823" s="55" t="n"/>
      <c r="U1823" s="55" t="n"/>
      <c r="V1823" s="55" t="n"/>
      <c r="W1823" s="58" t="n"/>
      <c r="X1823" s="58" t="n"/>
      <c r="Y1823" s="55" t="n"/>
      <c r="Z1823" s="55" t="n"/>
      <c r="AA1823" s="55" t="n"/>
      <c r="AB1823" s="55" t="n"/>
      <c r="AC1823" s="55" t="n"/>
      <c r="AD1823" s="53" t="n"/>
      <c r="AE1823" s="55" t="n"/>
      <c r="AF1823" s="55" t="n"/>
      <c r="AG1823" s="59" t="n"/>
      <c r="AH1823" s="57" t="n"/>
      <c r="AI1823" s="55" t="n"/>
      <c r="AJ1823" s="55" t="n"/>
      <c r="AK1823" s="55" t="n"/>
      <c r="AL1823" s="55" t="n"/>
      <c r="AM1823" s="56" t="n"/>
      <c r="AN1823" s="55" t="n"/>
      <c r="AO1823" s="55" t="n"/>
      <c r="AP1823" s="55" t="n"/>
      <c r="AQ1823" s="55" t="n"/>
      <c r="AR1823" s="60">
        <f>IF(AND(C1823="",E1823=""),"",IF(A1823="","⚠ Date manquante",IF(AND(C1823="",E1823&lt;&gt;"Dépense"),"⚠ Prospect manquant",IF(E1823="","⚠ Action manquante",IF(AND(AU1823=1,D1823=""),"⚠ Canal manquant",IF(AND(W1823&lt;&gt;"",COUNTIFS('Saisie'!$W$5:$W$2004,W1823,'Saisie'!$C$5:$C$2004,"&lt;&gt;"&amp;C1823)&gt;0),"⚠ Numéro déjà utilisé par un autre prospect",IF(AND(J1823&lt;&gt;"",J1823&lt;A1823),"⚠ Relance avant la date de l'action",IF(A1823&gt;TODAY(),"⚠ Date dans le futur","✓"))))))))</f>
        <v/>
      </c>
      <c r="AS1823" s="61">
        <f>IF(AND(A1823="",C1823="",E1823=""),"",ROW())</f>
        <v/>
      </c>
      <c r="AT1823" s="61">
        <f>IF(E1823&amp;F1823="","",MAX(IFERROR(INDEX('Paramètres'!$J$6:$J$33,MATCH(E1823,'Paramètres'!$I$6:$I$33,0)),0),IFERROR(INDEX('Paramètres'!$N$6:$N$17,MATCH(F1823,'Paramètres'!$M$6:$M$17,0)),0)))</f>
        <v/>
      </c>
      <c r="AU1823" s="61">
        <f>IF(E1823="","",IFERROR(IF(INDEX('Paramètres'!$K$6:$K$33,MATCH(E1823,'Paramètres'!$I$6:$I$33,0))="Oui",1,0),0))</f>
        <v/>
      </c>
      <c r="AV1823" s="61">
        <f>IF(F1823="","",IFERROR(IF(INDEX('Paramètres'!$O$6:$O$17,MATCH(F1823,'Paramètres'!$M$6:$M$17,0))="Oui",1,0),0))</f>
        <v/>
      </c>
      <c r="AW1823" s="62">
        <f>IF(E1823="","",IF(G1823&lt;&gt;"",G1823,IF(OR(E1823="Proposition envoyée",E1823="Signature"),MAX(0,N(IFERROR(INDEX('Paramètres'!$R$6:$R$15,MATCH(IF(AL1823&lt;&gt;"",AL1823,IFERROR(INDEX('Prospects'!$AN$5:$AN$504,MATCH(C1823,'Prospects'!$C$5:$C$504,0)),"")),'Paramètres'!$Q$6:$Q$15,0)),0))-N(P1823)),0)))</f>
        <v/>
      </c>
      <c r="AX1823" s="61">
        <f>IF(C1823="","",IF(COUNTIF($C$5:C1823,C1823)=1,MAX($AX$4:AX1822)+1,""))</f>
        <v/>
      </c>
      <c r="AY1823" s="61">
        <f>IF(B1823="","",HOUR(B1823))</f>
        <v/>
      </c>
      <c r="AZ1823" s="61">
        <f>IF(A1823="","",MOD(A1823-2,7)+1)</f>
        <v/>
      </c>
      <c r="BA1823" s="60">
        <f>IF(C1823="","",IFERROR(INDEX('Prospects'!$N$5:$N$504,MATCH(C1823,'Prospects'!$C$5:$C$504,0)),""))</f>
        <v/>
      </c>
      <c r="BB1823" s="61">
        <f>IF(AND(C1823&lt;&gt;"",C1823='Fiche prospect'!$C$4),COUNTIF($C$5:C1823,C1823),"")</f>
        <v/>
      </c>
    </row>
    <row r="1824">
      <c r="A1824" s="53" t="n"/>
      <c r="B1824" s="54" t="n"/>
      <c r="C1824" s="55" t="n"/>
      <c r="D1824" s="55" t="n"/>
      <c r="E1824" s="55" t="n"/>
      <c r="F1824" s="55" t="n"/>
      <c r="G1824" s="56" t="n"/>
      <c r="H1824" s="57" t="n"/>
      <c r="I1824" s="55" t="n"/>
      <c r="J1824" s="53" t="n"/>
      <c r="K1824" s="54" t="n"/>
      <c r="L1824" s="55" t="n"/>
      <c r="M1824" s="55" t="n"/>
      <c r="N1824" s="57" t="n"/>
      <c r="O1824" s="55" t="n"/>
      <c r="P1824" s="56" t="n"/>
      <c r="Q1824" s="55" t="n"/>
      <c r="R1824" s="55" t="n"/>
      <c r="S1824" s="55" t="n"/>
      <c r="T1824" s="55" t="n"/>
      <c r="U1824" s="55" t="n"/>
      <c r="V1824" s="55" t="n"/>
      <c r="W1824" s="58" t="n"/>
      <c r="X1824" s="58" t="n"/>
      <c r="Y1824" s="55" t="n"/>
      <c r="Z1824" s="55" t="n"/>
      <c r="AA1824" s="55" t="n"/>
      <c r="AB1824" s="55" t="n"/>
      <c r="AC1824" s="55" t="n"/>
      <c r="AD1824" s="53" t="n"/>
      <c r="AE1824" s="55" t="n"/>
      <c r="AF1824" s="55" t="n"/>
      <c r="AG1824" s="59" t="n"/>
      <c r="AH1824" s="57" t="n"/>
      <c r="AI1824" s="55" t="n"/>
      <c r="AJ1824" s="55" t="n"/>
      <c r="AK1824" s="55" t="n"/>
      <c r="AL1824" s="55" t="n"/>
      <c r="AM1824" s="56" t="n"/>
      <c r="AN1824" s="55" t="n"/>
      <c r="AO1824" s="55" t="n"/>
      <c r="AP1824" s="55" t="n"/>
      <c r="AQ1824" s="55" t="n"/>
      <c r="AR1824" s="60">
        <f>IF(AND(C1824="",E1824=""),"",IF(A1824="","⚠ Date manquante",IF(AND(C1824="",E1824&lt;&gt;"Dépense"),"⚠ Prospect manquant",IF(E1824="","⚠ Action manquante",IF(AND(AU1824=1,D1824=""),"⚠ Canal manquant",IF(AND(W1824&lt;&gt;"",COUNTIFS('Saisie'!$W$5:$W$2004,W1824,'Saisie'!$C$5:$C$2004,"&lt;&gt;"&amp;C1824)&gt;0),"⚠ Numéro déjà utilisé par un autre prospect",IF(AND(J1824&lt;&gt;"",J1824&lt;A1824),"⚠ Relance avant la date de l'action",IF(A1824&gt;TODAY(),"⚠ Date dans le futur","✓"))))))))</f>
        <v/>
      </c>
      <c r="AS1824" s="61">
        <f>IF(AND(A1824="",C1824="",E1824=""),"",ROW())</f>
        <v/>
      </c>
      <c r="AT1824" s="61">
        <f>IF(E1824&amp;F1824="","",MAX(IFERROR(INDEX('Paramètres'!$J$6:$J$33,MATCH(E1824,'Paramètres'!$I$6:$I$33,0)),0),IFERROR(INDEX('Paramètres'!$N$6:$N$17,MATCH(F1824,'Paramètres'!$M$6:$M$17,0)),0)))</f>
        <v/>
      </c>
      <c r="AU1824" s="61">
        <f>IF(E1824="","",IFERROR(IF(INDEX('Paramètres'!$K$6:$K$33,MATCH(E1824,'Paramètres'!$I$6:$I$33,0))="Oui",1,0),0))</f>
        <v/>
      </c>
      <c r="AV1824" s="61">
        <f>IF(F1824="","",IFERROR(IF(INDEX('Paramètres'!$O$6:$O$17,MATCH(F1824,'Paramètres'!$M$6:$M$17,0))="Oui",1,0),0))</f>
        <v/>
      </c>
      <c r="AW1824" s="62">
        <f>IF(E1824="","",IF(G1824&lt;&gt;"",G1824,IF(OR(E1824="Proposition envoyée",E1824="Signature"),MAX(0,N(IFERROR(INDEX('Paramètres'!$R$6:$R$15,MATCH(IF(AL1824&lt;&gt;"",AL1824,IFERROR(INDEX('Prospects'!$AN$5:$AN$504,MATCH(C1824,'Prospects'!$C$5:$C$504,0)),"")),'Paramètres'!$Q$6:$Q$15,0)),0))-N(P1824)),0)))</f>
        <v/>
      </c>
      <c r="AX1824" s="61">
        <f>IF(C1824="","",IF(COUNTIF($C$5:C1824,C1824)=1,MAX($AX$4:AX1823)+1,""))</f>
        <v/>
      </c>
      <c r="AY1824" s="61">
        <f>IF(B1824="","",HOUR(B1824))</f>
        <v/>
      </c>
      <c r="AZ1824" s="61">
        <f>IF(A1824="","",MOD(A1824-2,7)+1)</f>
        <v/>
      </c>
      <c r="BA1824" s="60">
        <f>IF(C1824="","",IFERROR(INDEX('Prospects'!$N$5:$N$504,MATCH(C1824,'Prospects'!$C$5:$C$504,0)),""))</f>
        <v/>
      </c>
      <c r="BB1824" s="61">
        <f>IF(AND(C1824&lt;&gt;"",C1824='Fiche prospect'!$C$4),COUNTIF($C$5:C1824,C1824),"")</f>
        <v/>
      </c>
    </row>
    <row r="1825">
      <c r="A1825" s="53" t="n"/>
      <c r="B1825" s="54" t="n"/>
      <c r="C1825" s="55" t="n"/>
      <c r="D1825" s="55" t="n"/>
      <c r="E1825" s="55" t="n"/>
      <c r="F1825" s="55" t="n"/>
      <c r="G1825" s="56" t="n"/>
      <c r="H1825" s="57" t="n"/>
      <c r="I1825" s="55" t="n"/>
      <c r="J1825" s="53" t="n"/>
      <c r="K1825" s="54" t="n"/>
      <c r="L1825" s="55" t="n"/>
      <c r="M1825" s="55" t="n"/>
      <c r="N1825" s="57" t="n"/>
      <c r="O1825" s="55" t="n"/>
      <c r="P1825" s="56" t="n"/>
      <c r="Q1825" s="55" t="n"/>
      <c r="R1825" s="55" t="n"/>
      <c r="S1825" s="55" t="n"/>
      <c r="T1825" s="55" t="n"/>
      <c r="U1825" s="55" t="n"/>
      <c r="V1825" s="55" t="n"/>
      <c r="W1825" s="58" t="n"/>
      <c r="X1825" s="58" t="n"/>
      <c r="Y1825" s="55" t="n"/>
      <c r="Z1825" s="55" t="n"/>
      <c r="AA1825" s="55" t="n"/>
      <c r="AB1825" s="55" t="n"/>
      <c r="AC1825" s="55" t="n"/>
      <c r="AD1825" s="53" t="n"/>
      <c r="AE1825" s="55" t="n"/>
      <c r="AF1825" s="55" t="n"/>
      <c r="AG1825" s="59" t="n"/>
      <c r="AH1825" s="57" t="n"/>
      <c r="AI1825" s="55" t="n"/>
      <c r="AJ1825" s="55" t="n"/>
      <c r="AK1825" s="55" t="n"/>
      <c r="AL1825" s="55" t="n"/>
      <c r="AM1825" s="56" t="n"/>
      <c r="AN1825" s="55" t="n"/>
      <c r="AO1825" s="55" t="n"/>
      <c r="AP1825" s="55" t="n"/>
      <c r="AQ1825" s="55" t="n"/>
      <c r="AR1825" s="60">
        <f>IF(AND(C1825="",E1825=""),"",IF(A1825="","⚠ Date manquante",IF(AND(C1825="",E1825&lt;&gt;"Dépense"),"⚠ Prospect manquant",IF(E1825="","⚠ Action manquante",IF(AND(AU1825=1,D1825=""),"⚠ Canal manquant",IF(AND(W1825&lt;&gt;"",COUNTIFS('Saisie'!$W$5:$W$2004,W1825,'Saisie'!$C$5:$C$2004,"&lt;&gt;"&amp;C1825)&gt;0),"⚠ Numéro déjà utilisé par un autre prospect",IF(AND(J1825&lt;&gt;"",J1825&lt;A1825),"⚠ Relance avant la date de l'action",IF(A1825&gt;TODAY(),"⚠ Date dans le futur","✓"))))))))</f>
        <v/>
      </c>
      <c r="AS1825" s="61">
        <f>IF(AND(A1825="",C1825="",E1825=""),"",ROW())</f>
        <v/>
      </c>
      <c r="AT1825" s="61">
        <f>IF(E1825&amp;F1825="","",MAX(IFERROR(INDEX('Paramètres'!$J$6:$J$33,MATCH(E1825,'Paramètres'!$I$6:$I$33,0)),0),IFERROR(INDEX('Paramètres'!$N$6:$N$17,MATCH(F1825,'Paramètres'!$M$6:$M$17,0)),0)))</f>
        <v/>
      </c>
      <c r="AU1825" s="61">
        <f>IF(E1825="","",IFERROR(IF(INDEX('Paramètres'!$K$6:$K$33,MATCH(E1825,'Paramètres'!$I$6:$I$33,0))="Oui",1,0),0))</f>
        <v/>
      </c>
      <c r="AV1825" s="61">
        <f>IF(F1825="","",IFERROR(IF(INDEX('Paramètres'!$O$6:$O$17,MATCH(F1825,'Paramètres'!$M$6:$M$17,0))="Oui",1,0),0))</f>
        <v/>
      </c>
      <c r="AW1825" s="62">
        <f>IF(E1825="","",IF(G1825&lt;&gt;"",G1825,IF(OR(E1825="Proposition envoyée",E1825="Signature"),MAX(0,N(IFERROR(INDEX('Paramètres'!$R$6:$R$15,MATCH(IF(AL1825&lt;&gt;"",AL1825,IFERROR(INDEX('Prospects'!$AN$5:$AN$504,MATCH(C1825,'Prospects'!$C$5:$C$504,0)),"")),'Paramètres'!$Q$6:$Q$15,0)),0))-N(P1825)),0)))</f>
        <v/>
      </c>
      <c r="AX1825" s="61">
        <f>IF(C1825="","",IF(COUNTIF($C$5:C1825,C1825)=1,MAX($AX$4:AX1824)+1,""))</f>
        <v/>
      </c>
      <c r="AY1825" s="61">
        <f>IF(B1825="","",HOUR(B1825))</f>
        <v/>
      </c>
      <c r="AZ1825" s="61">
        <f>IF(A1825="","",MOD(A1825-2,7)+1)</f>
        <v/>
      </c>
      <c r="BA1825" s="60">
        <f>IF(C1825="","",IFERROR(INDEX('Prospects'!$N$5:$N$504,MATCH(C1825,'Prospects'!$C$5:$C$504,0)),""))</f>
        <v/>
      </c>
      <c r="BB1825" s="61">
        <f>IF(AND(C1825&lt;&gt;"",C1825='Fiche prospect'!$C$4),COUNTIF($C$5:C1825,C1825),"")</f>
        <v/>
      </c>
    </row>
    <row r="1826">
      <c r="A1826" s="53" t="n"/>
      <c r="B1826" s="54" t="n"/>
      <c r="C1826" s="55" t="n"/>
      <c r="D1826" s="55" t="n"/>
      <c r="E1826" s="55" t="n"/>
      <c r="F1826" s="55" t="n"/>
      <c r="G1826" s="56" t="n"/>
      <c r="H1826" s="57" t="n"/>
      <c r="I1826" s="55" t="n"/>
      <c r="J1826" s="53" t="n"/>
      <c r="K1826" s="54" t="n"/>
      <c r="L1826" s="55" t="n"/>
      <c r="M1826" s="55" t="n"/>
      <c r="N1826" s="57" t="n"/>
      <c r="O1826" s="55" t="n"/>
      <c r="P1826" s="56" t="n"/>
      <c r="Q1826" s="55" t="n"/>
      <c r="R1826" s="55" t="n"/>
      <c r="S1826" s="55" t="n"/>
      <c r="T1826" s="55" t="n"/>
      <c r="U1826" s="55" t="n"/>
      <c r="V1826" s="55" t="n"/>
      <c r="W1826" s="58" t="n"/>
      <c r="X1826" s="58" t="n"/>
      <c r="Y1826" s="55" t="n"/>
      <c r="Z1826" s="55" t="n"/>
      <c r="AA1826" s="55" t="n"/>
      <c r="AB1826" s="55" t="n"/>
      <c r="AC1826" s="55" t="n"/>
      <c r="AD1826" s="53" t="n"/>
      <c r="AE1826" s="55" t="n"/>
      <c r="AF1826" s="55" t="n"/>
      <c r="AG1826" s="59" t="n"/>
      <c r="AH1826" s="57" t="n"/>
      <c r="AI1826" s="55" t="n"/>
      <c r="AJ1826" s="55" t="n"/>
      <c r="AK1826" s="55" t="n"/>
      <c r="AL1826" s="55" t="n"/>
      <c r="AM1826" s="56" t="n"/>
      <c r="AN1826" s="55" t="n"/>
      <c r="AO1826" s="55" t="n"/>
      <c r="AP1826" s="55" t="n"/>
      <c r="AQ1826" s="55" t="n"/>
      <c r="AR1826" s="60">
        <f>IF(AND(C1826="",E1826=""),"",IF(A1826="","⚠ Date manquante",IF(AND(C1826="",E1826&lt;&gt;"Dépense"),"⚠ Prospect manquant",IF(E1826="","⚠ Action manquante",IF(AND(AU1826=1,D1826=""),"⚠ Canal manquant",IF(AND(W1826&lt;&gt;"",COUNTIFS('Saisie'!$W$5:$W$2004,W1826,'Saisie'!$C$5:$C$2004,"&lt;&gt;"&amp;C1826)&gt;0),"⚠ Numéro déjà utilisé par un autre prospect",IF(AND(J1826&lt;&gt;"",J1826&lt;A1826),"⚠ Relance avant la date de l'action",IF(A1826&gt;TODAY(),"⚠ Date dans le futur","✓"))))))))</f>
        <v/>
      </c>
      <c r="AS1826" s="61">
        <f>IF(AND(A1826="",C1826="",E1826=""),"",ROW())</f>
        <v/>
      </c>
      <c r="AT1826" s="61">
        <f>IF(E1826&amp;F1826="","",MAX(IFERROR(INDEX('Paramètres'!$J$6:$J$33,MATCH(E1826,'Paramètres'!$I$6:$I$33,0)),0),IFERROR(INDEX('Paramètres'!$N$6:$N$17,MATCH(F1826,'Paramètres'!$M$6:$M$17,0)),0)))</f>
        <v/>
      </c>
      <c r="AU1826" s="61">
        <f>IF(E1826="","",IFERROR(IF(INDEX('Paramètres'!$K$6:$K$33,MATCH(E1826,'Paramètres'!$I$6:$I$33,0))="Oui",1,0),0))</f>
        <v/>
      </c>
      <c r="AV1826" s="61">
        <f>IF(F1826="","",IFERROR(IF(INDEX('Paramètres'!$O$6:$O$17,MATCH(F1826,'Paramètres'!$M$6:$M$17,0))="Oui",1,0),0))</f>
        <v/>
      </c>
      <c r="AW1826" s="62">
        <f>IF(E1826="","",IF(G1826&lt;&gt;"",G1826,IF(OR(E1826="Proposition envoyée",E1826="Signature"),MAX(0,N(IFERROR(INDEX('Paramètres'!$R$6:$R$15,MATCH(IF(AL1826&lt;&gt;"",AL1826,IFERROR(INDEX('Prospects'!$AN$5:$AN$504,MATCH(C1826,'Prospects'!$C$5:$C$504,0)),"")),'Paramètres'!$Q$6:$Q$15,0)),0))-N(P1826)),0)))</f>
        <v/>
      </c>
      <c r="AX1826" s="61">
        <f>IF(C1826="","",IF(COUNTIF($C$5:C1826,C1826)=1,MAX($AX$4:AX1825)+1,""))</f>
        <v/>
      </c>
      <c r="AY1826" s="61">
        <f>IF(B1826="","",HOUR(B1826))</f>
        <v/>
      </c>
      <c r="AZ1826" s="61">
        <f>IF(A1826="","",MOD(A1826-2,7)+1)</f>
        <v/>
      </c>
      <c r="BA1826" s="60">
        <f>IF(C1826="","",IFERROR(INDEX('Prospects'!$N$5:$N$504,MATCH(C1826,'Prospects'!$C$5:$C$504,0)),""))</f>
        <v/>
      </c>
      <c r="BB1826" s="61">
        <f>IF(AND(C1826&lt;&gt;"",C1826='Fiche prospect'!$C$4),COUNTIF($C$5:C1826,C1826),"")</f>
        <v/>
      </c>
    </row>
    <row r="1827">
      <c r="A1827" s="53" t="n"/>
      <c r="B1827" s="54" t="n"/>
      <c r="C1827" s="55" t="n"/>
      <c r="D1827" s="55" t="n"/>
      <c r="E1827" s="55" t="n"/>
      <c r="F1827" s="55" t="n"/>
      <c r="G1827" s="56" t="n"/>
      <c r="H1827" s="57" t="n"/>
      <c r="I1827" s="55" t="n"/>
      <c r="J1827" s="53" t="n"/>
      <c r="K1827" s="54" t="n"/>
      <c r="L1827" s="55" t="n"/>
      <c r="M1827" s="55" t="n"/>
      <c r="N1827" s="57" t="n"/>
      <c r="O1827" s="55" t="n"/>
      <c r="P1827" s="56" t="n"/>
      <c r="Q1827" s="55" t="n"/>
      <c r="R1827" s="55" t="n"/>
      <c r="S1827" s="55" t="n"/>
      <c r="T1827" s="55" t="n"/>
      <c r="U1827" s="55" t="n"/>
      <c r="V1827" s="55" t="n"/>
      <c r="W1827" s="58" t="n"/>
      <c r="X1827" s="58" t="n"/>
      <c r="Y1827" s="55" t="n"/>
      <c r="Z1827" s="55" t="n"/>
      <c r="AA1827" s="55" t="n"/>
      <c r="AB1827" s="55" t="n"/>
      <c r="AC1827" s="55" t="n"/>
      <c r="AD1827" s="53" t="n"/>
      <c r="AE1827" s="55" t="n"/>
      <c r="AF1827" s="55" t="n"/>
      <c r="AG1827" s="59" t="n"/>
      <c r="AH1827" s="57" t="n"/>
      <c r="AI1827" s="55" t="n"/>
      <c r="AJ1827" s="55" t="n"/>
      <c r="AK1827" s="55" t="n"/>
      <c r="AL1827" s="55" t="n"/>
      <c r="AM1827" s="56" t="n"/>
      <c r="AN1827" s="55" t="n"/>
      <c r="AO1827" s="55" t="n"/>
      <c r="AP1827" s="55" t="n"/>
      <c r="AQ1827" s="55" t="n"/>
      <c r="AR1827" s="60">
        <f>IF(AND(C1827="",E1827=""),"",IF(A1827="","⚠ Date manquante",IF(AND(C1827="",E1827&lt;&gt;"Dépense"),"⚠ Prospect manquant",IF(E1827="","⚠ Action manquante",IF(AND(AU1827=1,D1827=""),"⚠ Canal manquant",IF(AND(W1827&lt;&gt;"",COUNTIFS('Saisie'!$W$5:$W$2004,W1827,'Saisie'!$C$5:$C$2004,"&lt;&gt;"&amp;C1827)&gt;0),"⚠ Numéro déjà utilisé par un autre prospect",IF(AND(J1827&lt;&gt;"",J1827&lt;A1827),"⚠ Relance avant la date de l'action",IF(A1827&gt;TODAY(),"⚠ Date dans le futur","✓"))))))))</f>
        <v/>
      </c>
      <c r="AS1827" s="61">
        <f>IF(AND(A1827="",C1827="",E1827=""),"",ROW())</f>
        <v/>
      </c>
      <c r="AT1827" s="61">
        <f>IF(E1827&amp;F1827="","",MAX(IFERROR(INDEX('Paramètres'!$J$6:$J$33,MATCH(E1827,'Paramètres'!$I$6:$I$33,0)),0),IFERROR(INDEX('Paramètres'!$N$6:$N$17,MATCH(F1827,'Paramètres'!$M$6:$M$17,0)),0)))</f>
        <v/>
      </c>
      <c r="AU1827" s="61">
        <f>IF(E1827="","",IFERROR(IF(INDEX('Paramètres'!$K$6:$K$33,MATCH(E1827,'Paramètres'!$I$6:$I$33,0))="Oui",1,0),0))</f>
        <v/>
      </c>
      <c r="AV1827" s="61">
        <f>IF(F1827="","",IFERROR(IF(INDEX('Paramètres'!$O$6:$O$17,MATCH(F1827,'Paramètres'!$M$6:$M$17,0))="Oui",1,0),0))</f>
        <v/>
      </c>
      <c r="AW1827" s="62">
        <f>IF(E1827="","",IF(G1827&lt;&gt;"",G1827,IF(OR(E1827="Proposition envoyée",E1827="Signature"),MAX(0,N(IFERROR(INDEX('Paramètres'!$R$6:$R$15,MATCH(IF(AL1827&lt;&gt;"",AL1827,IFERROR(INDEX('Prospects'!$AN$5:$AN$504,MATCH(C1827,'Prospects'!$C$5:$C$504,0)),"")),'Paramètres'!$Q$6:$Q$15,0)),0))-N(P1827)),0)))</f>
        <v/>
      </c>
      <c r="AX1827" s="61">
        <f>IF(C1827="","",IF(COUNTIF($C$5:C1827,C1827)=1,MAX($AX$4:AX1826)+1,""))</f>
        <v/>
      </c>
      <c r="AY1827" s="61">
        <f>IF(B1827="","",HOUR(B1827))</f>
        <v/>
      </c>
      <c r="AZ1827" s="61">
        <f>IF(A1827="","",MOD(A1827-2,7)+1)</f>
        <v/>
      </c>
      <c r="BA1827" s="60">
        <f>IF(C1827="","",IFERROR(INDEX('Prospects'!$N$5:$N$504,MATCH(C1827,'Prospects'!$C$5:$C$504,0)),""))</f>
        <v/>
      </c>
      <c r="BB1827" s="61">
        <f>IF(AND(C1827&lt;&gt;"",C1827='Fiche prospect'!$C$4),COUNTIF($C$5:C1827,C1827),"")</f>
        <v/>
      </c>
    </row>
    <row r="1828">
      <c r="A1828" s="53" t="n"/>
      <c r="B1828" s="54" t="n"/>
      <c r="C1828" s="55" t="n"/>
      <c r="D1828" s="55" t="n"/>
      <c r="E1828" s="55" t="n"/>
      <c r="F1828" s="55" t="n"/>
      <c r="G1828" s="56" t="n"/>
      <c r="H1828" s="57" t="n"/>
      <c r="I1828" s="55" t="n"/>
      <c r="J1828" s="53" t="n"/>
      <c r="K1828" s="54" t="n"/>
      <c r="L1828" s="55" t="n"/>
      <c r="M1828" s="55" t="n"/>
      <c r="N1828" s="57" t="n"/>
      <c r="O1828" s="55" t="n"/>
      <c r="P1828" s="56" t="n"/>
      <c r="Q1828" s="55" t="n"/>
      <c r="R1828" s="55" t="n"/>
      <c r="S1828" s="55" t="n"/>
      <c r="T1828" s="55" t="n"/>
      <c r="U1828" s="55" t="n"/>
      <c r="V1828" s="55" t="n"/>
      <c r="W1828" s="58" t="n"/>
      <c r="X1828" s="58" t="n"/>
      <c r="Y1828" s="55" t="n"/>
      <c r="Z1828" s="55" t="n"/>
      <c r="AA1828" s="55" t="n"/>
      <c r="AB1828" s="55" t="n"/>
      <c r="AC1828" s="55" t="n"/>
      <c r="AD1828" s="53" t="n"/>
      <c r="AE1828" s="55" t="n"/>
      <c r="AF1828" s="55" t="n"/>
      <c r="AG1828" s="59" t="n"/>
      <c r="AH1828" s="57" t="n"/>
      <c r="AI1828" s="55" t="n"/>
      <c r="AJ1828" s="55" t="n"/>
      <c r="AK1828" s="55" t="n"/>
      <c r="AL1828" s="55" t="n"/>
      <c r="AM1828" s="56" t="n"/>
      <c r="AN1828" s="55" t="n"/>
      <c r="AO1828" s="55" t="n"/>
      <c r="AP1828" s="55" t="n"/>
      <c r="AQ1828" s="55" t="n"/>
      <c r="AR1828" s="60">
        <f>IF(AND(C1828="",E1828=""),"",IF(A1828="","⚠ Date manquante",IF(AND(C1828="",E1828&lt;&gt;"Dépense"),"⚠ Prospect manquant",IF(E1828="","⚠ Action manquante",IF(AND(AU1828=1,D1828=""),"⚠ Canal manquant",IF(AND(W1828&lt;&gt;"",COUNTIFS('Saisie'!$W$5:$W$2004,W1828,'Saisie'!$C$5:$C$2004,"&lt;&gt;"&amp;C1828)&gt;0),"⚠ Numéro déjà utilisé par un autre prospect",IF(AND(J1828&lt;&gt;"",J1828&lt;A1828),"⚠ Relance avant la date de l'action",IF(A1828&gt;TODAY(),"⚠ Date dans le futur","✓"))))))))</f>
        <v/>
      </c>
      <c r="AS1828" s="61">
        <f>IF(AND(A1828="",C1828="",E1828=""),"",ROW())</f>
        <v/>
      </c>
      <c r="AT1828" s="61">
        <f>IF(E1828&amp;F1828="","",MAX(IFERROR(INDEX('Paramètres'!$J$6:$J$33,MATCH(E1828,'Paramètres'!$I$6:$I$33,0)),0),IFERROR(INDEX('Paramètres'!$N$6:$N$17,MATCH(F1828,'Paramètres'!$M$6:$M$17,0)),0)))</f>
        <v/>
      </c>
      <c r="AU1828" s="61">
        <f>IF(E1828="","",IFERROR(IF(INDEX('Paramètres'!$K$6:$K$33,MATCH(E1828,'Paramètres'!$I$6:$I$33,0))="Oui",1,0),0))</f>
        <v/>
      </c>
      <c r="AV1828" s="61">
        <f>IF(F1828="","",IFERROR(IF(INDEX('Paramètres'!$O$6:$O$17,MATCH(F1828,'Paramètres'!$M$6:$M$17,0))="Oui",1,0),0))</f>
        <v/>
      </c>
      <c r="AW1828" s="62">
        <f>IF(E1828="","",IF(G1828&lt;&gt;"",G1828,IF(OR(E1828="Proposition envoyée",E1828="Signature"),MAX(0,N(IFERROR(INDEX('Paramètres'!$R$6:$R$15,MATCH(IF(AL1828&lt;&gt;"",AL1828,IFERROR(INDEX('Prospects'!$AN$5:$AN$504,MATCH(C1828,'Prospects'!$C$5:$C$504,0)),"")),'Paramètres'!$Q$6:$Q$15,0)),0))-N(P1828)),0)))</f>
        <v/>
      </c>
      <c r="AX1828" s="61">
        <f>IF(C1828="","",IF(COUNTIF($C$5:C1828,C1828)=1,MAX($AX$4:AX1827)+1,""))</f>
        <v/>
      </c>
      <c r="AY1828" s="61">
        <f>IF(B1828="","",HOUR(B1828))</f>
        <v/>
      </c>
      <c r="AZ1828" s="61">
        <f>IF(A1828="","",MOD(A1828-2,7)+1)</f>
        <v/>
      </c>
      <c r="BA1828" s="60">
        <f>IF(C1828="","",IFERROR(INDEX('Prospects'!$N$5:$N$504,MATCH(C1828,'Prospects'!$C$5:$C$504,0)),""))</f>
        <v/>
      </c>
      <c r="BB1828" s="61">
        <f>IF(AND(C1828&lt;&gt;"",C1828='Fiche prospect'!$C$4),COUNTIF($C$5:C1828,C1828),"")</f>
        <v/>
      </c>
    </row>
    <row r="1829">
      <c r="A1829" s="53" t="n"/>
      <c r="B1829" s="54" t="n"/>
      <c r="C1829" s="55" t="n"/>
      <c r="D1829" s="55" t="n"/>
      <c r="E1829" s="55" t="n"/>
      <c r="F1829" s="55" t="n"/>
      <c r="G1829" s="56" t="n"/>
      <c r="H1829" s="57" t="n"/>
      <c r="I1829" s="55" t="n"/>
      <c r="J1829" s="53" t="n"/>
      <c r="K1829" s="54" t="n"/>
      <c r="L1829" s="55" t="n"/>
      <c r="M1829" s="55" t="n"/>
      <c r="N1829" s="57" t="n"/>
      <c r="O1829" s="55" t="n"/>
      <c r="P1829" s="56" t="n"/>
      <c r="Q1829" s="55" t="n"/>
      <c r="R1829" s="55" t="n"/>
      <c r="S1829" s="55" t="n"/>
      <c r="T1829" s="55" t="n"/>
      <c r="U1829" s="55" t="n"/>
      <c r="V1829" s="55" t="n"/>
      <c r="W1829" s="58" t="n"/>
      <c r="X1829" s="58" t="n"/>
      <c r="Y1829" s="55" t="n"/>
      <c r="Z1829" s="55" t="n"/>
      <c r="AA1829" s="55" t="n"/>
      <c r="AB1829" s="55" t="n"/>
      <c r="AC1829" s="55" t="n"/>
      <c r="AD1829" s="53" t="n"/>
      <c r="AE1829" s="55" t="n"/>
      <c r="AF1829" s="55" t="n"/>
      <c r="AG1829" s="59" t="n"/>
      <c r="AH1829" s="57" t="n"/>
      <c r="AI1829" s="55" t="n"/>
      <c r="AJ1829" s="55" t="n"/>
      <c r="AK1829" s="55" t="n"/>
      <c r="AL1829" s="55" t="n"/>
      <c r="AM1829" s="56" t="n"/>
      <c r="AN1829" s="55" t="n"/>
      <c r="AO1829" s="55" t="n"/>
      <c r="AP1829" s="55" t="n"/>
      <c r="AQ1829" s="55" t="n"/>
      <c r="AR1829" s="60">
        <f>IF(AND(C1829="",E1829=""),"",IF(A1829="","⚠ Date manquante",IF(AND(C1829="",E1829&lt;&gt;"Dépense"),"⚠ Prospect manquant",IF(E1829="","⚠ Action manquante",IF(AND(AU1829=1,D1829=""),"⚠ Canal manquant",IF(AND(W1829&lt;&gt;"",COUNTIFS('Saisie'!$W$5:$W$2004,W1829,'Saisie'!$C$5:$C$2004,"&lt;&gt;"&amp;C1829)&gt;0),"⚠ Numéro déjà utilisé par un autre prospect",IF(AND(J1829&lt;&gt;"",J1829&lt;A1829),"⚠ Relance avant la date de l'action",IF(A1829&gt;TODAY(),"⚠ Date dans le futur","✓"))))))))</f>
        <v/>
      </c>
      <c r="AS1829" s="61">
        <f>IF(AND(A1829="",C1829="",E1829=""),"",ROW())</f>
        <v/>
      </c>
      <c r="AT1829" s="61">
        <f>IF(E1829&amp;F1829="","",MAX(IFERROR(INDEX('Paramètres'!$J$6:$J$33,MATCH(E1829,'Paramètres'!$I$6:$I$33,0)),0),IFERROR(INDEX('Paramètres'!$N$6:$N$17,MATCH(F1829,'Paramètres'!$M$6:$M$17,0)),0)))</f>
        <v/>
      </c>
      <c r="AU1829" s="61">
        <f>IF(E1829="","",IFERROR(IF(INDEX('Paramètres'!$K$6:$K$33,MATCH(E1829,'Paramètres'!$I$6:$I$33,0))="Oui",1,0),0))</f>
        <v/>
      </c>
      <c r="AV1829" s="61">
        <f>IF(F1829="","",IFERROR(IF(INDEX('Paramètres'!$O$6:$O$17,MATCH(F1829,'Paramètres'!$M$6:$M$17,0))="Oui",1,0),0))</f>
        <v/>
      </c>
      <c r="AW1829" s="62">
        <f>IF(E1829="","",IF(G1829&lt;&gt;"",G1829,IF(OR(E1829="Proposition envoyée",E1829="Signature"),MAX(0,N(IFERROR(INDEX('Paramètres'!$R$6:$R$15,MATCH(IF(AL1829&lt;&gt;"",AL1829,IFERROR(INDEX('Prospects'!$AN$5:$AN$504,MATCH(C1829,'Prospects'!$C$5:$C$504,0)),"")),'Paramètres'!$Q$6:$Q$15,0)),0))-N(P1829)),0)))</f>
        <v/>
      </c>
      <c r="AX1829" s="61">
        <f>IF(C1829="","",IF(COUNTIF($C$5:C1829,C1829)=1,MAX($AX$4:AX1828)+1,""))</f>
        <v/>
      </c>
      <c r="AY1829" s="61">
        <f>IF(B1829="","",HOUR(B1829))</f>
        <v/>
      </c>
      <c r="AZ1829" s="61">
        <f>IF(A1829="","",MOD(A1829-2,7)+1)</f>
        <v/>
      </c>
      <c r="BA1829" s="60">
        <f>IF(C1829="","",IFERROR(INDEX('Prospects'!$N$5:$N$504,MATCH(C1829,'Prospects'!$C$5:$C$504,0)),""))</f>
        <v/>
      </c>
      <c r="BB1829" s="61">
        <f>IF(AND(C1829&lt;&gt;"",C1829='Fiche prospect'!$C$4),COUNTIF($C$5:C1829,C1829),"")</f>
        <v/>
      </c>
    </row>
    <row r="1830">
      <c r="A1830" s="53" t="n"/>
      <c r="B1830" s="54" t="n"/>
      <c r="C1830" s="55" t="n"/>
      <c r="D1830" s="55" t="n"/>
      <c r="E1830" s="55" t="n"/>
      <c r="F1830" s="55" t="n"/>
      <c r="G1830" s="56" t="n"/>
      <c r="H1830" s="57" t="n"/>
      <c r="I1830" s="55" t="n"/>
      <c r="J1830" s="53" t="n"/>
      <c r="K1830" s="54" t="n"/>
      <c r="L1830" s="55" t="n"/>
      <c r="M1830" s="55" t="n"/>
      <c r="N1830" s="57" t="n"/>
      <c r="O1830" s="55" t="n"/>
      <c r="P1830" s="56" t="n"/>
      <c r="Q1830" s="55" t="n"/>
      <c r="R1830" s="55" t="n"/>
      <c r="S1830" s="55" t="n"/>
      <c r="T1830" s="55" t="n"/>
      <c r="U1830" s="55" t="n"/>
      <c r="V1830" s="55" t="n"/>
      <c r="W1830" s="58" t="n"/>
      <c r="X1830" s="58" t="n"/>
      <c r="Y1830" s="55" t="n"/>
      <c r="Z1830" s="55" t="n"/>
      <c r="AA1830" s="55" t="n"/>
      <c r="AB1830" s="55" t="n"/>
      <c r="AC1830" s="55" t="n"/>
      <c r="AD1830" s="53" t="n"/>
      <c r="AE1830" s="55" t="n"/>
      <c r="AF1830" s="55" t="n"/>
      <c r="AG1830" s="59" t="n"/>
      <c r="AH1830" s="57" t="n"/>
      <c r="AI1830" s="55" t="n"/>
      <c r="AJ1830" s="55" t="n"/>
      <c r="AK1830" s="55" t="n"/>
      <c r="AL1830" s="55" t="n"/>
      <c r="AM1830" s="56" t="n"/>
      <c r="AN1830" s="55" t="n"/>
      <c r="AO1830" s="55" t="n"/>
      <c r="AP1830" s="55" t="n"/>
      <c r="AQ1830" s="55" t="n"/>
      <c r="AR1830" s="60">
        <f>IF(AND(C1830="",E1830=""),"",IF(A1830="","⚠ Date manquante",IF(AND(C1830="",E1830&lt;&gt;"Dépense"),"⚠ Prospect manquant",IF(E1830="","⚠ Action manquante",IF(AND(AU1830=1,D1830=""),"⚠ Canal manquant",IF(AND(W1830&lt;&gt;"",COUNTIFS('Saisie'!$W$5:$W$2004,W1830,'Saisie'!$C$5:$C$2004,"&lt;&gt;"&amp;C1830)&gt;0),"⚠ Numéro déjà utilisé par un autre prospect",IF(AND(J1830&lt;&gt;"",J1830&lt;A1830),"⚠ Relance avant la date de l'action",IF(A1830&gt;TODAY(),"⚠ Date dans le futur","✓"))))))))</f>
        <v/>
      </c>
      <c r="AS1830" s="61">
        <f>IF(AND(A1830="",C1830="",E1830=""),"",ROW())</f>
        <v/>
      </c>
      <c r="AT1830" s="61">
        <f>IF(E1830&amp;F1830="","",MAX(IFERROR(INDEX('Paramètres'!$J$6:$J$33,MATCH(E1830,'Paramètres'!$I$6:$I$33,0)),0),IFERROR(INDEX('Paramètres'!$N$6:$N$17,MATCH(F1830,'Paramètres'!$M$6:$M$17,0)),0)))</f>
        <v/>
      </c>
      <c r="AU1830" s="61">
        <f>IF(E1830="","",IFERROR(IF(INDEX('Paramètres'!$K$6:$K$33,MATCH(E1830,'Paramètres'!$I$6:$I$33,0))="Oui",1,0),0))</f>
        <v/>
      </c>
      <c r="AV1830" s="61">
        <f>IF(F1830="","",IFERROR(IF(INDEX('Paramètres'!$O$6:$O$17,MATCH(F1830,'Paramètres'!$M$6:$M$17,0))="Oui",1,0),0))</f>
        <v/>
      </c>
      <c r="AW1830" s="62">
        <f>IF(E1830="","",IF(G1830&lt;&gt;"",G1830,IF(OR(E1830="Proposition envoyée",E1830="Signature"),MAX(0,N(IFERROR(INDEX('Paramètres'!$R$6:$R$15,MATCH(IF(AL1830&lt;&gt;"",AL1830,IFERROR(INDEX('Prospects'!$AN$5:$AN$504,MATCH(C1830,'Prospects'!$C$5:$C$504,0)),"")),'Paramètres'!$Q$6:$Q$15,0)),0))-N(P1830)),0)))</f>
        <v/>
      </c>
      <c r="AX1830" s="61">
        <f>IF(C1830="","",IF(COUNTIF($C$5:C1830,C1830)=1,MAX($AX$4:AX1829)+1,""))</f>
        <v/>
      </c>
      <c r="AY1830" s="61">
        <f>IF(B1830="","",HOUR(B1830))</f>
        <v/>
      </c>
      <c r="AZ1830" s="61">
        <f>IF(A1830="","",MOD(A1830-2,7)+1)</f>
        <v/>
      </c>
      <c r="BA1830" s="60">
        <f>IF(C1830="","",IFERROR(INDEX('Prospects'!$N$5:$N$504,MATCH(C1830,'Prospects'!$C$5:$C$504,0)),""))</f>
        <v/>
      </c>
      <c r="BB1830" s="61">
        <f>IF(AND(C1830&lt;&gt;"",C1830='Fiche prospect'!$C$4),COUNTIF($C$5:C1830,C1830),"")</f>
        <v/>
      </c>
    </row>
    <row r="1831">
      <c r="A1831" s="53" t="n"/>
      <c r="B1831" s="54" t="n"/>
      <c r="C1831" s="55" t="n"/>
      <c r="D1831" s="55" t="n"/>
      <c r="E1831" s="55" t="n"/>
      <c r="F1831" s="55" t="n"/>
      <c r="G1831" s="56" t="n"/>
      <c r="H1831" s="57" t="n"/>
      <c r="I1831" s="55" t="n"/>
      <c r="J1831" s="53" t="n"/>
      <c r="K1831" s="54" t="n"/>
      <c r="L1831" s="55" t="n"/>
      <c r="M1831" s="55" t="n"/>
      <c r="N1831" s="57" t="n"/>
      <c r="O1831" s="55" t="n"/>
      <c r="P1831" s="56" t="n"/>
      <c r="Q1831" s="55" t="n"/>
      <c r="R1831" s="55" t="n"/>
      <c r="S1831" s="55" t="n"/>
      <c r="T1831" s="55" t="n"/>
      <c r="U1831" s="55" t="n"/>
      <c r="V1831" s="55" t="n"/>
      <c r="W1831" s="58" t="n"/>
      <c r="X1831" s="58" t="n"/>
      <c r="Y1831" s="55" t="n"/>
      <c r="Z1831" s="55" t="n"/>
      <c r="AA1831" s="55" t="n"/>
      <c r="AB1831" s="55" t="n"/>
      <c r="AC1831" s="55" t="n"/>
      <c r="AD1831" s="53" t="n"/>
      <c r="AE1831" s="55" t="n"/>
      <c r="AF1831" s="55" t="n"/>
      <c r="AG1831" s="59" t="n"/>
      <c r="AH1831" s="57" t="n"/>
      <c r="AI1831" s="55" t="n"/>
      <c r="AJ1831" s="55" t="n"/>
      <c r="AK1831" s="55" t="n"/>
      <c r="AL1831" s="55" t="n"/>
      <c r="AM1831" s="56" t="n"/>
      <c r="AN1831" s="55" t="n"/>
      <c r="AO1831" s="55" t="n"/>
      <c r="AP1831" s="55" t="n"/>
      <c r="AQ1831" s="55" t="n"/>
      <c r="AR1831" s="60">
        <f>IF(AND(C1831="",E1831=""),"",IF(A1831="","⚠ Date manquante",IF(AND(C1831="",E1831&lt;&gt;"Dépense"),"⚠ Prospect manquant",IF(E1831="","⚠ Action manquante",IF(AND(AU1831=1,D1831=""),"⚠ Canal manquant",IF(AND(W1831&lt;&gt;"",COUNTIFS('Saisie'!$W$5:$W$2004,W1831,'Saisie'!$C$5:$C$2004,"&lt;&gt;"&amp;C1831)&gt;0),"⚠ Numéro déjà utilisé par un autre prospect",IF(AND(J1831&lt;&gt;"",J1831&lt;A1831),"⚠ Relance avant la date de l'action",IF(A1831&gt;TODAY(),"⚠ Date dans le futur","✓"))))))))</f>
        <v/>
      </c>
      <c r="AS1831" s="61">
        <f>IF(AND(A1831="",C1831="",E1831=""),"",ROW())</f>
        <v/>
      </c>
      <c r="AT1831" s="61">
        <f>IF(E1831&amp;F1831="","",MAX(IFERROR(INDEX('Paramètres'!$J$6:$J$33,MATCH(E1831,'Paramètres'!$I$6:$I$33,0)),0),IFERROR(INDEX('Paramètres'!$N$6:$N$17,MATCH(F1831,'Paramètres'!$M$6:$M$17,0)),0)))</f>
        <v/>
      </c>
      <c r="AU1831" s="61">
        <f>IF(E1831="","",IFERROR(IF(INDEX('Paramètres'!$K$6:$K$33,MATCH(E1831,'Paramètres'!$I$6:$I$33,0))="Oui",1,0),0))</f>
        <v/>
      </c>
      <c r="AV1831" s="61">
        <f>IF(F1831="","",IFERROR(IF(INDEX('Paramètres'!$O$6:$O$17,MATCH(F1831,'Paramètres'!$M$6:$M$17,0))="Oui",1,0),0))</f>
        <v/>
      </c>
      <c r="AW1831" s="62">
        <f>IF(E1831="","",IF(G1831&lt;&gt;"",G1831,IF(OR(E1831="Proposition envoyée",E1831="Signature"),MAX(0,N(IFERROR(INDEX('Paramètres'!$R$6:$R$15,MATCH(IF(AL1831&lt;&gt;"",AL1831,IFERROR(INDEX('Prospects'!$AN$5:$AN$504,MATCH(C1831,'Prospects'!$C$5:$C$504,0)),"")),'Paramètres'!$Q$6:$Q$15,0)),0))-N(P1831)),0)))</f>
        <v/>
      </c>
      <c r="AX1831" s="61">
        <f>IF(C1831="","",IF(COUNTIF($C$5:C1831,C1831)=1,MAX($AX$4:AX1830)+1,""))</f>
        <v/>
      </c>
      <c r="AY1831" s="61">
        <f>IF(B1831="","",HOUR(B1831))</f>
        <v/>
      </c>
      <c r="AZ1831" s="61">
        <f>IF(A1831="","",MOD(A1831-2,7)+1)</f>
        <v/>
      </c>
      <c r="BA1831" s="60">
        <f>IF(C1831="","",IFERROR(INDEX('Prospects'!$N$5:$N$504,MATCH(C1831,'Prospects'!$C$5:$C$504,0)),""))</f>
        <v/>
      </c>
      <c r="BB1831" s="61">
        <f>IF(AND(C1831&lt;&gt;"",C1831='Fiche prospect'!$C$4),COUNTIF($C$5:C1831,C1831),"")</f>
        <v/>
      </c>
    </row>
    <row r="1832">
      <c r="A1832" s="53" t="n"/>
      <c r="B1832" s="54" t="n"/>
      <c r="C1832" s="55" t="n"/>
      <c r="D1832" s="55" t="n"/>
      <c r="E1832" s="55" t="n"/>
      <c r="F1832" s="55" t="n"/>
      <c r="G1832" s="56" t="n"/>
      <c r="H1832" s="57" t="n"/>
      <c r="I1832" s="55" t="n"/>
      <c r="J1832" s="53" t="n"/>
      <c r="K1832" s="54" t="n"/>
      <c r="L1832" s="55" t="n"/>
      <c r="M1832" s="55" t="n"/>
      <c r="N1832" s="57" t="n"/>
      <c r="O1832" s="55" t="n"/>
      <c r="P1832" s="56" t="n"/>
      <c r="Q1832" s="55" t="n"/>
      <c r="R1832" s="55" t="n"/>
      <c r="S1832" s="55" t="n"/>
      <c r="T1832" s="55" t="n"/>
      <c r="U1832" s="55" t="n"/>
      <c r="V1832" s="55" t="n"/>
      <c r="W1832" s="58" t="n"/>
      <c r="X1832" s="58" t="n"/>
      <c r="Y1832" s="55" t="n"/>
      <c r="Z1832" s="55" t="n"/>
      <c r="AA1832" s="55" t="n"/>
      <c r="AB1832" s="55" t="n"/>
      <c r="AC1832" s="55" t="n"/>
      <c r="AD1832" s="53" t="n"/>
      <c r="AE1832" s="55" t="n"/>
      <c r="AF1832" s="55" t="n"/>
      <c r="AG1832" s="59" t="n"/>
      <c r="AH1832" s="57" t="n"/>
      <c r="AI1832" s="55" t="n"/>
      <c r="AJ1832" s="55" t="n"/>
      <c r="AK1832" s="55" t="n"/>
      <c r="AL1832" s="55" t="n"/>
      <c r="AM1832" s="56" t="n"/>
      <c r="AN1832" s="55" t="n"/>
      <c r="AO1832" s="55" t="n"/>
      <c r="AP1832" s="55" t="n"/>
      <c r="AQ1832" s="55" t="n"/>
      <c r="AR1832" s="60">
        <f>IF(AND(C1832="",E1832=""),"",IF(A1832="","⚠ Date manquante",IF(AND(C1832="",E1832&lt;&gt;"Dépense"),"⚠ Prospect manquant",IF(E1832="","⚠ Action manquante",IF(AND(AU1832=1,D1832=""),"⚠ Canal manquant",IF(AND(W1832&lt;&gt;"",COUNTIFS('Saisie'!$W$5:$W$2004,W1832,'Saisie'!$C$5:$C$2004,"&lt;&gt;"&amp;C1832)&gt;0),"⚠ Numéro déjà utilisé par un autre prospect",IF(AND(J1832&lt;&gt;"",J1832&lt;A1832),"⚠ Relance avant la date de l'action",IF(A1832&gt;TODAY(),"⚠ Date dans le futur","✓"))))))))</f>
        <v/>
      </c>
      <c r="AS1832" s="61">
        <f>IF(AND(A1832="",C1832="",E1832=""),"",ROW())</f>
        <v/>
      </c>
      <c r="AT1832" s="61">
        <f>IF(E1832&amp;F1832="","",MAX(IFERROR(INDEX('Paramètres'!$J$6:$J$33,MATCH(E1832,'Paramètres'!$I$6:$I$33,0)),0),IFERROR(INDEX('Paramètres'!$N$6:$N$17,MATCH(F1832,'Paramètres'!$M$6:$M$17,0)),0)))</f>
        <v/>
      </c>
      <c r="AU1832" s="61">
        <f>IF(E1832="","",IFERROR(IF(INDEX('Paramètres'!$K$6:$K$33,MATCH(E1832,'Paramètres'!$I$6:$I$33,0))="Oui",1,0),0))</f>
        <v/>
      </c>
      <c r="AV1832" s="61">
        <f>IF(F1832="","",IFERROR(IF(INDEX('Paramètres'!$O$6:$O$17,MATCH(F1832,'Paramètres'!$M$6:$M$17,0))="Oui",1,0),0))</f>
        <v/>
      </c>
      <c r="AW1832" s="62">
        <f>IF(E1832="","",IF(G1832&lt;&gt;"",G1832,IF(OR(E1832="Proposition envoyée",E1832="Signature"),MAX(0,N(IFERROR(INDEX('Paramètres'!$R$6:$R$15,MATCH(IF(AL1832&lt;&gt;"",AL1832,IFERROR(INDEX('Prospects'!$AN$5:$AN$504,MATCH(C1832,'Prospects'!$C$5:$C$504,0)),"")),'Paramètres'!$Q$6:$Q$15,0)),0))-N(P1832)),0)))</f>
        <v/>
      </c>
      <c r="AX1832" s="61">
        <f>IF(C1832="","",IF(COUNTIF($C$5:C1832,C1832)=1,MAX($AX$4:AX1831)+1,""))</f>
        <v/>
      </c>
      <c r="AY1832" s="61">
        <f>IF(B1832="","",HOUR(B1832))</f>
        <v/>
      </c>
      <c r="AZ1832" s="61">
        <f>IF(A1832="","",MOD(A1832-2,7)+1)</f>
        <v/>
      </c>
      <c r="BA1832" s="60">
        <f>IF(C1832="","",IFERROR(INDEX('Prospects'!$N$5:$N$504,MATCH(C1832,'Prospects'!$C$5:$C$504,0)),""))</f>
        <v/>
      </c>
      <c r="BB1832" s="61">
        <f>IF(AND(C1832&lt;&gt;"",C1832='Fiche prospect'!$C$4),COUNTIF($C$5:C1832,C1832),"")</f>
        <v/>
      </c>
    </row>
    <row r="1833">
      <c r="A1833" s="53" t="n"/>
      <c r="B1833" s="54" t="n"/>
      <c r="C1833" s="55" t="n"/>
      <c r="D1833" s="55" t="n"/>
      <c r="E1833" s="55" t="n"/>
      <c r="F1833" s="55" t="n"/>
      <c r="G1833" s="56" t="n"/>
      <c r="H1833" s="57" t="n"/>
      <c r="I1833" s="55" t="n"/>
      <c r="J1833" s="53" t="n"/>
      <c r="K1833" s="54" t="n"/>
      <c r="L1833" s="55" t="n"/>
      <c r="M1833" s="55" t="n"/>
      <c r="N1833" s="57" t="n"/>
      <c r="O1833" s="55" t="n"/>
      <c r="P1833" s="56" t="n"/>
      <c r="Q1833" s="55" t="n"/>
      <c r="R1833" s="55" t="n"/>
      <c r="S1833" s="55" t="n"/>
      <c r="T1833" s="55" t="n"/>
      <c r="U1833" s="55" t="n"/>
      <c r="V1833" s="55" t="n"/>
      <c r="W1833" s="58" t="n"/>
      <c r="X1833" s="58" t="n"/>
      <c r="Y1833" s="55" t="n"/>
      <c r="Z1833" s="55" t="n"/>
      <c r="AA1833" s="55" t="n"/>
      <c r="AB1833" s="55" t="n"/>
      <c r="AC1833" s="55" t="n"/>
      <c r="AD1833" s="53" t="n"/>
      <c r="AE1833" s="55" t="n"/>
      <c r="AF1833" s="55" t="n"/>
      <c r="AG1833" s="59" t="n"/>
      <c r="AH1833" s="57" t="n"/>
      <c r="AI1833" s="55" t="n"/>
      <c r="AJ1833" s="55" t="n"/>
      <c r="AK1833" s="55" t="n"/>
      <c r="AL1833" s="55" t="n"/>
      <c r="AM1833" s="56" t="n"/>
      <c r="AN1833" s="55" t="n"/>
      <c r="AO1833" s="55" t="n"/>
      <c r="AP1833" s="55" t="n"/>
      <c r="AQ1833" s="55" t="n"/>
      <c r="AR1833" s="60">
        <f>IF(AND(C1833="",E1833=""),"",IF(A1833="","⚠ Date manquante",IF(AND(C1833="",E1833&lt;&gt;"Dépense"),"⚠ Prospect manquant",IF(E1833="","⚠ Action manquante",IF(AND(AU1833=1,D1833=""),"⚠ Canal manquant",IF(AND(W1833&lt;&gt;"",COUNTIFS('Saisie'!$W$5:$W$2004,W1833,'Saisie'!$C$5:$C$2004,"&lt;&gt;"&amp;C1833)&gt;0),"⚠ Numéro déjà utilisé par un autre prospect",IF(AND(J1833&lt;&gt;"",J1833&lt;A1833),"⚠ Relance avant la date de l'action",IF(A1833&gt;TODAY(),"⚠ Date dans le futur","✓"))))))))</f>
        <v/>
      </c>
      <c r="AS1833" s="61">
        <f>IF(AND(A1833="",C1833="",E1833=""),"",ROW())</f>
        <v/>
      </c>
      <c r="AT1833" s="61">
        <f>IF(E1833&amp;F1833="","",MAX(IFERROR(INDEX('Paramètres'!$J$6:$J$33,MATCH(E1833,'Paramètres'!$I$6:$I$33,0)),0),IFERROR(INDEX('Paramètres'!$N$6:$N$17,MATCH(F1833,'Paramètres'!$M$6:$M$17,0)),0)))</f>
        <v/>
      </c>
      <c r="AU1833" s="61">
        <f>IF(E1833="","",IFERROR(IF(INDEX('Paramètres'!$K$6:$K$33,MATCH(E1833,'Paramètres'!$I$6:$I$33,0))="Oui",1,0),0))</f>
        <v/>
      </c>
      <c r="AV1833" s="61">
        <f>IF(F1833="","",IFERROR(IF(INDEX('Paramètres'!$O$6:$O$17,MATCH(F1833,'Paramètres'!$M$6:$M$17,0))="Oui",1,0),0))</f>
        <v/>
      </c>
      <c r="AW1833" s="62">
        <f>IF(E1833="","",IF(G1833&lt;&gt;"",G1833,IF(OR(E1833="Proposition envoyée",E1833="Signature"),MAX(0,N(IFERROR(INDEX('Paramètres'!$R$6:$R$15,MATCH(IF(AL1833&lt;&gt;"",AL1833,IFERROR(INDEX('Prospects'!$AN$5:$AN$504,MATCH(C1833,'Prospects'!$C$5:$C$504,0)),"")),'Paramètres'!$Q$6:$Q$15,0)),0))-N(P1833)),0)))</f>
        <v/>
      </c>
      <c r="AX1833" s="61">
        <f>IF(C1833="","",IF(COUNTIF($C$5:C1833,C1833)=1,MAX($AX$4:AX1832)+1,""))</f>
        <v/>
      </c>
      <c r="AY1833" s="61">
        <f>IF(B1833="","",HOUR(B1833))</f>
        <v/>
      </c>
      <c r="AZ1833" s="61">
        <f>IF(A1833="","",MOD(A1833-2,7)+1)</f>
        <v/>
      </c>
      <c r="BA1833" s="60">
        <f>IF(C1833="","",IFERROR(INDEX('Prospects'!$N$5:$N$504,MATCH(C1833,'Prospects'!$C$5:$C$504,0)),""))</f>
        <v/>
      </c>
      <c r="BB1833" s="61">
        <f>IF(AND(C1833&lt;&gt;"",C1833='Fiche prospect'!$C$4),COUNTIF($C$5:C1833,C1833),"")</f>
        <v/>
      </c>
    </row>
    <row r="1834">
      <c r="A1834" s="53" t="n"/>
      <c r="B1834" s="54" t="n"/>
      <c r="C1834" s="55" t="n"/>
      <c r="D1834" s="55" t="n"/>
      <c r="E1834" s="55" t="n"/>
      <c r="F1834" s="55" t="n"/>
      <c r="G1834" s="56" t="n"/>
      <c r="H1834" s="57" t="n"/>
      <c r="I1834" s="55" t="n"/>
      <c r="J1834" s="53" t="n"/>
      <c r="K1834" s="54" t="n"/>
      <c r="L1834" s="55" t="n"/>
      <c r="M1834" s="55" t="n"/>
      <c r="N1834" s="57" t="n"/>
      <c r="O1834" s="55" t="n"/>
      <c r="P1834" s="56" t="n"/>
      <c r="Q1834" s="55" t="n"/>
      <c r="R1834" s="55" t="n"/>
      <c r="S1834" s="55" t="n"/>
      <c r="T1834" s="55" t="n"/>
      <c r="U1834" s="55" t="n"/>
      <c r="V1834" s="55" t="n"/>
      <c r="W1834" s="58" t="n"/>
      <c r="X1834" s="58" t="n"/>
      <c r="Y1834" s="55" t="n"/>
      <c r="Z1834" s="55" t="n"/>
      <c r="AA1834" s="55" t="n"/>
      <c r="AB1834" s="55" t="n"/>
      <c r="AC1834" s="55" t="n"/>
      <c r="AD1834" s="53" t="n"/>
      <c r="AE1834" s="55" t="n"/>
      <c r="AF1834" s="55" t="n"/>
      <c r="AG1834" s="59" t="n"/>
      <c r="AH1834" s="57" t="n"/>
      <c r="AI1834" s="55" t="n"/>
      <c r="AJ1834" s="55" t="n"/>
      <c r="AK1834" s="55" t="n"/>
      <c r="AL1834" s="55" t="n"/>
      <c r="AM1834" s="56" t="n"/>
      <c r="AN1834" s="55" t="n"/>
      <c r="AO1834" s="55" t="n"/>
      <c r="AP1834" s="55" t="n"/>
      <c r="AQ1834" s="55" t="n"/>
      <c r="AR1834" s="60">
        <f>IF(AND(C1834="",E1834=""),"",IF(A1834="","⚠ Date manquante",IF(AND(C1834="",E1834&lt;&gt;"Dépense"),"⚠ Prospect manquant",IF(E1834="","⚠ Action manquante",IF(AND(AU1834=1,D1834=""),"⚠ Canal manquant",IF(AND(W1834&lt;&gt;"",COUNTIFS('Saisie'!$W$5:$W$2004,W1834,'Saisie'!$C$5:$C$2004,"&lt;&gt;"&amp;C1834)&gt;0),"⚠ Numéro déjà utilisé par un autre prospect",IF(AND(J1834&lt;&gt;"",J1834&lt;A1834),"⚠ Relance avant la date de l'action",IF(A1834&gt;TODAY(),"⚠ Date dans le futur","✓"))))))))</f>
        <v/>
      </c>
      <c r="AS1834" s="61">
        <f>IF(AND(A1834="",C1834="",E1834=""),"",ROW())</f>
        <v/>
      </c>
      <c r="AT1834" s="61">
        <f>IF(E1834&amp;F1834="","",MAX(IFERROR(INDEX('Paramètres'!$J$6:$J$33,MATCH(E1834,'Paramètres'!$I$6:$I$33,0)),0),IFERROR(INDEX('Paramètres'!$N$6:$N$17,MATCH(F1834,'Paramètres'!$M$6:$M$17,0)),0)))</f>
        <v/>
      </c>
      <c r="AU1834" s="61">
        <f>IF(E1834="","",IFERROR(IF(INDEX('Paramètres'!$K$6:$K$33,MATCH(E1834,'Paramètres'!$I$6:$I$33,0))="Oui",1,0),0))</f>
        <v/>
      </c>
      <c r="AV1834" s="61">
        <f>IF(F1834="","",IFERROR(IF(INDEX('Paramètres'!$O$6:$O$17,MATCH(F1834,'Paramètres'!$M$6:$M$17,0))="Oui",1,0),0))</f>
        <v/>
      </c>
      <c r="AW1834" s="62">
        <f>IF(E1834="","",IF(G1834&lt;&gt;"",G1834,IF(OR(E1834="Proposition envoyée",E1834="Signature"),MAX(0,N(IFERROR(INDEX('Paramètres'!$R$6:$R$15,MATCH(IF(AL1834&lt;&gt;"",AL1834,IFERROR(INDEX('Prospects'!$AN$5:$AN$504,MATCH(C1834,'Prospects'!$C$5:$C$504,0)),"")),'Paramètres'!$Q$6:$Q$15,0)),0))-N(P1834)),0)))</f>
        <v/>
      </c>
      <c r="AX1834" s="61">
        <f>IF(C1834="","",IF(COUNTIF($C$5:C1834,C1834)=1,MAX($AX$4:AX1833)+1,""))</f>
        <v/>
      </c>
      <c r="AY1834" s="61">
        <f>IF(B1834="","",HOUR(B1834))</f>
        <v/>
      </c>
      <c r="AZ1834" s="61">
        <f>IF(A1834="","",MOD(A1834-2,7)+1)</f>
        <v/>
      </c>
      <c r="BA1834" s="60">
        <f>IF(C1834="","",IFERROR(INDEX('Prospects'!$N$5:$N$504,MATCH(C1834,'Prospects'!$C$5:$C$504,0)),""))</f>
        <v/>
      </c>
      <c r="BB1834" s="61">
        <f>IF(AND(C1834&lt;&gt;"",C1834='Fiche prospect'!$C$4),COUNTIF($C$5:C1834,C1834),"")</f>
        <v/>
      </c>
    </row>
    <row r="1835">
      <c r="A1835" s="53" t="n"/>
      <c r="B1835" s="54" t="n"/>
      <c r="C1835" s="55" t="n"/>
      <c r="D1835" s="55" t="n"/>
      <c r="E1835" s="55" t="n"/>
      <c r="F1835" s="55" t="n"/>
      <c r="G1835" s="56" t="n"/>
      <c r="H1835" s="57" t="n"/>
      <c r="I1835" s="55" t="n"/>
      <c r="J1835" s="53" t="n"/>
      <c r="K1835" s="54" t="n"/>
      <c r="L1835" s="55" t="n"/>
      <c r="M1835" s="55" t="n"/>
      <c r="N1835" s="57" t="n"/>
      <c r="O1835" s="55" t="n"/>
      <c r="P1835" s="56" t="n"/>
      <c r="Q1835" s="55" t="n"/>
      <c r="R1835" s="55" t="n"/>
      <c r="S1835" s="55" t="n"/>
      <c r="T1835" s="55" t="n"/>
      <c r="U1835" s="55" t="n"/>
      <c r="V1835" s="55" t="n"/>
      <c r="W1835" s="58" t="n"/>
      <c r="X1835" s="58" t="n"/>
      <c r="Y1835" s="55" t="n"/>
      <c r="Z1835" s="55" t="n"/>
      <c r="AA1835" s="55" t="n"/>
      <c r="AB1835" s="55" t="n"/>
      <c r="AC1835" s="55" t="n"/>
      <c r="AD1835" s="53" t="n"/>
      <c r="AE1835" s="55" t="n"/>
      <c r="AF1835" s="55" t="n"/>
      <c r="AG1835" s="59" t="n"/>
      <c r="AH1835" s="57" t="n"/>
      <c r="AI1835" s="55" t="n"/>
      <c r="AJ1835" s="55" t="n"/>
      <c r="AK1835" s="55" t="n"/>
      <c r="AL1835" s="55" t="n"/>
      <c r="AM1835" s="56" t="n"/>
      <c r="AN1835" s="55" t="n"/>
      <c r="AO1835" s="55" t="n"/>
      <c r="AP1835" s="55" t="n"/>
      <c r="AQ1835" s="55" t="n"/>
      <c r="AR1835" s="60">
        <f>IF(AND(C1835="",E1835=""),"",IF(A1835="","⚠ Date manquante",IF(AND(C1835="",E1835&lt;&gt;"Dépense"),"⚠ Prospect manquant",IF(E1835="","⚠ Action manquante",IF(AND(AU1835=1,D1835=""),"⚠ Canal manquant",IF(AND(W1835&lt;&gt;"",COUNTIFS('Saisie'!$W$5:$W$2004,W1835,'Saisie'!$C$5:$C$2004,"&lt;&gt;"&amp;C1835)&gt;0),"⚠ Numéro déjà utilisé par un autre prospect",IF(AND(J1835&lt;&gt;"",J1835&lt;A1835),"⚠ Relance avant la date de l'action",IF(A1835&gt;TODAY(),"⚠ Date dans le futur","✓"))))))))</f>
        <v/>
      </c>
      <c r="AS1835" s="61">
        <f>IF(AND(A1835="",C1835="",E1835=""),"",ROW())</f>
        <v/>
      </c>
      <c r="AT1835" s="61">
        <f>IF(E1835&amp;F1835="","",MAX(IFERROR(INDEX('Paramètres'!$J$6:$J$33,MATCH(E1835,'Paramètres'!$I$6:$I$33,0)),0),IFERROR(INDEX('Paramètres'!$N$6:$N$17,MATCH(F1835,'Paramètres'!$M$6:$M$17,0)),0)))</f>
        <v/>
      </c>
      <c r="AU1835" s="61">
        <f>IF(E1835="","",IFERROR(IF(INDEX('Paramètres'!$K$6:$K$33,MATCH(E1835,'Paramètres'!$I$6:$I$33,0))="Oui",1,0),0))</f>
        <v/>
      </c>
      <c r="AV1835" s="61">
        <f>IF(F1835="","",IFERROR(IF(INDEX('Paramètres'!$O$6:$O$17,MATCH(F1835,'Paramètres'!$M$6:$M$17,0))="Oui",1,0),0))</f>
        <v/>
      </c>
      <c r="AW1835" s="62">
        <f>IF(E1835="","",IF(G1835&lt;&gt;"",G1835,IF(OR(E1835="Proposition envoyée",E1835="Signature"),MAX(0,N(IFERROR(INDEX('Paramètres'!$R$6:$R$15,MATCH(IF(AL1835&lt;&gt;"",AL1835,IFERROR(INDEX('Prospects'!$AN$5:$AN$504,MATCH(C1835,'Prospects'!$C$5:$C$504,0)),"")),'Paramètres'!$Q$6:$Q$15,0)),0))-N(P1835)),0)))</f>
        <v/>
      </c>
      <c r="AX1835" s="61">
        <f>IF(C1835="","",IF(COUNTIF($C$5:C1835,C1835)=1,MAX($AX$4:AX1834)+1,""))</f>
        <v/>
      </c>
      <c r="AY1835" s="61">
        <f>IF(B1835="","",HOUR(B1835))</f>
        <v/>
      </c>
      <c r="AZ1835" s="61">
        <f>IF(A1835="","",MOD(A1835-2,7)+1)</f>
        <v/>
      </c>
      <c r="BA1835" s="60">
        <f>IF(C1835="","",IFERROR(INDEX('Prospects'!$N$5:$N$504,MATCH(C1835,'Prospects'!$C$5:$C$504,0)),""))</f>
        <v/>
      </c>
      <c r="BB1835" s="61">
        <f>IF(AND(C1835&lt;&gt;"",C1835='Fiche prospect'!$C$4),COUNTIF($C$5:C1835,C1835),"")</f>
        <v/>
      </c>
    </row>
    <row r="1836">
      <c r="A1836" s="53" t="n"/>
      <c r="B1836" s="54" t="n"/>
      <c r="C1836" s="55" t="n"/>
      <c r="D1836" s="55" t="n"/>
      <c r="E1836" s="55" t="n"/>
      <c r="F1836" s="55" t="n"/>
      <c r="G1836" s="56" t="n"/>
      <c r="H1836" s="57" t="n"/>
      <c r="I1836" s="55" t="n"/>
      <c r="J1836" s="53" t="n"/>
      <c r="K1836" s="54" t="n"/>
      <c r="L1836" s="55" t="n"/>
      <c r="M1836" s="55" t="n"/>
      <c r="N1836" s="57" t="n"/>
      <c r="O1836" s="55" t="n"/>
      <c r="P1836" s="56" t="n"/>
      <c r="Q1836" s="55" t="n"/>
      <c r="R1836" s="55" t="n"/>
      <c r="S1836" s="55" t="n"/>
      <c r="T1836" s="55" t="n"/>
      <c r="U1836" s="55" t="n"/>
      <c r="V1836" s="55" t="n"/>
      <c r="W1836" s="58" t="n"/>
      <c r="X1836" s="58" t="n"/>
      <c r="Y1836" s="55" t="n"/>
      <c r="Z1836" s="55" t="n"/>
      <c r="AA1836" s="55" t="n"/>
      <c r="AB1836" s="55" t="n"/>
      <c r="AC1836" s="55" t="n"/>
      <c r="AD1836" s="53" t="n"/>
      <c r="AE1836" s="55" t="n"/>
      <c r="AF1836" s="55" t="n"/>
      <c r="AG1836" s="59" t="n"/>
      <c r="AH1836" s="57" t="n"/>
      <c r="AI1836" s="55" t="n"/>
      <c r="AJ1836" s="55" t="n"/>
      <c r="AK1836" s="55" t="n"/>
      <c r="AL1836" s="55" t="n"/>
      <c r="AM1836" s="56" t="n"/>
      <c r="AN1836" s="55" t="n"/>
      <c r="AO1836" s="55" t="n"/>
      <c r="AP1836" s="55" t="n"/>
      <c r="AQ1836" s="55" t="n"/>
      <c r="AR1836" s="60">
        <f>IF(AND(C1836="",E1836=""),"",IF(A1836="","⚠ Date manquante",IF(AND(C1836="",E1836&lt;&gt;"Dépense"),"⚠ Prospect manquant",IF(E1836="","⚠ Action manquante",IF(AND(AU1836=1,D1836=""),"⚠ Canal manquant",IF(AND(W1836&lt;&gt;"",COUNTIFS('Saisie'!$W$5:$W$2004,W1836,'Saisie'!$C$5:$C$2004,"&lt;&gt;"&amp;C1836)&gt;0),"⚠ Numéro déjà utilisé par un autre prospect",IF(AND(J1836&lt;&gt;"",J1836&lt;A1836),"⚠ Relance avant la date de l'action",IF(A1836&gt;TODAY(),"⚠ Date dans le futur","✓"))))))))</f>
        <v/>
      </c>
      <c r="AS1836" s="61">
        <f>IF(AND(A1836="",C1836="",E1836=""),"",ROW())</f>
        <v/>
      </c>
      <c r="AT1836" s="61">
        <f>IF(E1836&amp;F1836="","",MAX(IFERROR(INDEX('Paramètres'!$J$6:$J$33,MATCH(E1836,'Paramètres'!$I$6:$I$33,0)),0),IFERROR(INDEX('Paramètres'!$N$6:$N$17,MATCH(F1836,'Paramètres'!$M$6:$M$17,0)),0)))</f>
        <v/>
      </c>
      <c r="AU1836" s="61">
        <f>IF(E1836="","",IFERROR(IF(INDEX('Paramètres'!$K$6:$K$33,MATCH(E1836,'Paramètres'!$I$6:$I$33,0))="Oui",1,0),0))</f>
        <v/>
      </c>
      <c r="AV1836" s="61">
        <f>IF(F1836="","",IFERROR(IF(INDEX('Paramètres'!$O$6:$O$17,MATCH(F1836,'Paramètres'!$M$6:$M$17,0))="Oui",1,0),0))</f>
        <v/>
      </c>
      <c r="AW1836" s="62">
        <f>IF(E1836="","",IF(G1836&lt;&gt;"",G1836,IF(OR(E1836="Proposition envoyée",E1836="Signature"),MAX(0,N(IFERROR(INDEX('Paramètres'!$R$6:$R$15,MATCH(IF(AL1836&lt;&gt;"",AL1836,IFERROR(INDEX('Prospects'!$AN$5:$AN$504,MATCH(C1836,'Prospects'!$C$5:$C$504,0)),"")),'Paramètres'!$Q$6:$Q$15,0)),0))-N(P1836)),0)))</f>
        <v/>
      </c>
      <c r="AX1836" s="61">
        <f>IF(C1836="","",IF(COUNTIF($C$5:C1836,C1836)=1,MAX($AX$4:AX1835)+1,""))</f>
        <v/>
      </c>
      <c r="AY1836" s="61">
        <f>IF(B1836="","",HOUR(B1836))</f>
        <v/>
      </c>
      <c r="AZ1836" s="61">
        <f>IF(A1836="","",MOD(A1836-2,7)+1)</f>
        <v/>
      </c>
      <c r="BA1836" s="60">
        <f>IF(C1836="","",IFERROR(INDEX('Prospects'!$N$5:$N$504,MATCH(C1836,'Prospects'!$C$5:$C$504,0)),""))</f>
        <v/>
      </c>
      <c r="BB1836" s="61">
        <f>IF(AND(C1836&lt;&gt;"",C1836='Fiche prospect'!$C$4),COUNTIF($C$5:C1836,C1836),"")</f>
        <v/>
      </c>
    </row>
    <row r="1837">
      <c r="A1837" s="53" t="n"/>
      <c r="B1837" s="54" t="n"/>
      <c r="C1837" s="55" t="n"/>
      <c r="D1837" s="55" t="n"/>
      <c r="E1837" s="55" t="n"/>
      <c r="F1837" s="55" t="n"/>
      <c r="G1837" s="56" t="n"/>
      <c r="H1837" s="57" t="n"/>
      <c r="I1837" s="55" t="n"/>
      <c r="J1837" s="53" t="n"/>
      <c r="K1837" s="54" t="n"/>
      <c r="L1837" s="55" t="n"/>
      <c r="M1837" s="55" t="n"/>
      <c r="N1837" s="57" t="n"/>
      <c r="O1837" s="55" t="n"/>
      <c r="P1837" s="56" t="n"/>
      <c r="Q1837" s="55" t="n"/>
      <c r="R1837" s="55" t="n"/>
      <c r="S1837" s="55" t="n"/>
      <c r="T1837" s="55" t="n"/>
      <c r="U1837" s="55" t="n"/>
      <c r="V1837" s="55" t="n"/>
      <c r="W1837" s="58" t="n"/>
      <c r="X1837" s="58" t="n"/>
      <c r="Y1837" s="55" t="n"/>
      <c r="Z1837" s="55" t="n"/>
      <c r="AA1837" s="55" t="n"/>
      <c r="AB1837" s="55" t="n"/>
      <c r="AC1837" s="55" t="n"/>
      <c r="AD1837" s="53" t="n"/>
      <c r="AE1837" s="55" t="n"/>
      <c r="AF1837" s="55" t="n"/>
      <c r="AG1837" s="59" t="n"/>
      <c r="AH1837" s="57" t="n"/>
      <c r="AI1837" s="55" t="n"/>
      <c r="AJ1837" s="55" t="n"/>
      <c r="AK1837" s="55" t="n"/>
      <c r="AL1837" s="55" t="n"/>
      <c r="AM1837" s="56" t="n"/>
      <c r="AN1837" s="55" t="n"/>
      <c r="AO1837" s="55" t="n"/>
      <c r="AP1837" s="55" t="n"/>
      <c r="AQ1837" s="55" t="n"/>
      <c r="AR1837" s="60">
        <f>IF(AND(C1837="",E1837=""),"",IF(A1837="","⚠ Date manquante",IF(AND(C1837="",E1837&lt;&gt;"Dépense"),"⚠ Prospect manquant",IF(E1837="","⚠ Action manquante",IF(AND(AU1837=1,D1837=""),"⚠ Canal manquant",IF(AND(W1837&lt;&gt;"",COUNTIFS('Saisie'!$W$5:$W$2004,W1837,'Saisie'!$C$5:$C$2004,"&lt;&gt;"&amp;C1837)&gt;0),"⚠ Numéro déjà utilisé par un autre prospect",IF(AND(J1837&lt;&gt;"",J1837&lt;A1837),"⚠ Relance avant la date de l'action",IF(A1837&gt;TODAY(),"⚠ Date dans le futur","✓"))))))))</f>
        <v/>
      </c>
      <c r="AS1837" s="61">
        <f>IF(AND(A1837="",C1837="",E1837=""),"",ROW())</f>
        <v/>
      </c>
      <c r="AT1837" s="61">
        <f>IF(E1837&amp;F1837="","",MAX(IFERROR(INDEX('Paramètres'!$J$6:$J$33,MATCH(E1837,'Paramètres'!$I$6:$I$33,0)),0),IFERROR(INDEX('Paramètres'!$N$6:$N$17,MATCH(F1837,'Paramètres'!$M$6:$M$17,0)),0)))</f>
        <v/>
      </c>
      <c r="AU1837" s="61">
        <f>IF(E1837="","",IFERROR(IF(INDEX('Paramètres'!$K$6:$K$33,MATCH(E1837,'Paramètres'!$I$6:$I$33,0))="Oui",1,0),0))</f>
        <v/>
      </c>
      <c r="AV1837" s="61">
        <f>IF(F1837="","",IFERROR(IF(INDEX('Paramètres'!$O$6:$O$17,MATCH(F1837,'Paramètres'!$M$6:$M$17,0))="Oui",1,0),0))</f>
        <v/>
      </c>
      <c r="AW1837" s="62">
        <f>IF(E1837="","",IF(G1837&lt;&gt;"",G1837,IF(OR(E1837="Proposition envoyée",E1837="Signature"),MAX(0,N(IFERROR(INDEX('Paramètres'!$R$6:$R$15,MATCH(IF(AL1837&lt;&gt;"",AL1837,IFERROR(INDEX('Prospects'!$AN$5:$AN$504,MATCH(C1837,'Prospects'!$C$5:$C$504,0)),"")),'Paramètres'!$Q$6:$Q$15,0)),0))-N(P1837)),0)))</f>
        <v/>
      </c>
      <c r="AX1837" s="61">
        <f>IF(C1837="","",IF(COUNTIF($C$5:C1837,C1837)=1,MAX($AX$4:AX1836)+1,""))</f>
        <v/>
      </c>
      <c r="AY1837" s="61">
        <f>IF(B1837="","",HOUR(B1837))</f>
        <v/>
      </c>
      <c r="AZ1837" s="61">
        <f>IF(A1837="","",MOD(A1837-2,7)+1)</f>
        <v/>
      </c>
      <c r="BA1837" s="60">
        <f>IF(C1837="","",IFERROR(INDEX('Prospects'!$N$5:$N$504,MATCH(C1837,'Prospects'!$C$5:$C$504,0)),""))</f>
        <v/>
      </c>
      <c r="BB1837" s="61">
        <f>IF(AND(C1837&lt;&gt;"",C1837='Fiche prospect'!$C$4),COUNTIF($C$5:C1837,C1837),"")</f>
        <v/>
      </c>
    </row>
    <row r="1838">
      <c r="A1838" s="53" t="n"/>
      <c r="B1838" s="54" t="n"/>
      <c r="C1838" s="55" t="n"/>
      <c r="D1838" s="55" t="n"/>
      <c r="E1838" s="55" t="n"/>
      <c r="F1838" s="55" t="n"/>
      <c r="G1838" s="56" t="n"/>
      <c r="H1838" s="57" t="n"/>
      <c r="I1838" s="55" t="n"/>
      <c r="J1838" s="53" t="n"/>
      <c r="K1838" s="54" t="n"/>
      <c r="L1838" s="55" t="n"/>
      <c r="M1838" s="55" t="n"/>
      <c r="N1838" s="57" t="n"/>
      <c r="O1838" s="55" t="n"/>
      <c r="P1838" s="56" t="n"/>
      <c r="Q1838" s="55" t="n"/>
      <c r="R1838" s="55" t="n"/>
      <c r="S1838" s="55" t="n"/>
      <c r="T1838" s="55" t="n"/>
      <c r="U1838" s="55" t="n"/>
      <c r="V1838" s="55" t="n"/>
      <c r="W1838" s="58" t="n"/>
      <c r="X1838" s="58" t="n"/>
      <c r="Y1838" s="55" t="n"/>
      <c r="Z1838" s="55" t="n"/>
      <c r="AA1838" s="55" t="n"/>
      <c r="AB1838" s="55" t="n"/>
      <c r="AC1838" s="55" t="n"/>
      <c r="AD1838" s="53" t="n"/>
      <c r="AE1838" s="55" t="n"/>
      <c r="AF1838" s="55" t="n"/>
      <c r="AG1838" s="59" t="n"/>
      <c r="AH1838" s="57" t="n"/>
      <c r="AI1838" s="55" t="n"/>
      <c r="AJ1838" s="55" t="n"/>
      <c r="AK1838" s="55" t="n"/>
      <c r="AL1838" s="55" t="n"/>
      <c r="AM1838" s="56" t="n"/>
      <c r="AN1838" s="55" t="n"/>
      <c r="AO1838" s="55" t="n"/>
      <c r="AP1838" s="55" t="n"/>
      <c r="AQ1838" s="55" t="n"/>
      <c r="AR1838" s="60">
        <f>IF(AND(C1838="",E1838=""),"",IF(A1838="","⚠ Date manquante",IF(AND(C1838="",E1838&lt;&gt;"Dépense"),"⚠ Prospect manquant",IF(E1838="","⚠ Action manquante",IF(AND(AU1838=1,D1838=""),"⚠ Canal manquant",IF(AND(W1838&lt;&gt;"",COUNTIFS('Saisie'!$W$5:$W$2004,W1838,'Saisie'!$C$5:$C$2004,"&lt;&gt;"&amp;C1838)&gt;0),"⚠ Numéro déjà utilisé par un autre prospect",IF(AND(J1838&lt;&gt;"",J1838&lt;A1838),"⚠ Relance avant la date de l'action",IF(A1838&gt;TODAY(),"⚠ Date dans le futur","✓"))))))))</f>
        <v/>
      </c>
      <c r="AS1838" s="61">
        <f>IF(AND(A1838="",C1838="",E1838=""),"",ROW())</f>
        <v/>
      </c>
      <c r="AT1838" s="61">
        <f>IF(E1838&amp;F1838="","",MAX(IFERROR(INDEX('Paramètres'!$J$6:$J$33,MATCH(E1838,'Paramètres'!$I$6:$I$33,0)),0),IFERROR(INDEX('Paramètres'!$N$6:$N$17,MATCH(F1838,'Paramètres'!$M$6:$M$17,0)),0)))</f>
        <v/>
      </c>
      <c r="AU1838" s="61">
        <f>IF(E1838="","",IFERROR(IF(INDEX('Paramètres'!$K$6:$K$33,MATCH(E1838,'Paramètres'!$I$6:$I$33,0))="Oui",1,0),0))</f>
        <v/>
      </c>
      <c r="AV1838" s="61">
        <f>IF(F1838="","",IFERROR(IF(INDEX('Paramètres'!$O$6:$O$17,MATCH(F1838,'Paramètres'!$M$6:$M$17,0))="Oui",1,0),0))</f>
        <v/>
      </c>
      <c r="AW1838" s="62">
        <f>IF(E1838="","",IF(G1838&lt;&gt;"",G1838,IF(OR(E1838="Proposition envoyée",E1838="Signature"),MAX(0,N(IFERROR(INDEX('Paramètres'!$R$6:$R$15,MATCH(IF(AL1838&lt;&gt;"",AL1838,IFERROR(INDEX('Prospects'!$AN$5:$AN$504,MATCH(C1838,'Prospects'!$C$5:$C$504,0)),"")),'Paramètres'!$Q$6:$Q$15,0)),0))-N(P1838)),0)))</f>
        <v/>
      </c>
      <c r="AX1838" s="61">
        <f>IF(C1838="","",IF(COUNTIF($C$5:C1838,C1838)=1,MAX($AX$4:AX1837)+1,""))</f>
        <v/>
      </c>
      <c r="AY1838" s="61">
        <f>IF(B1838="","",HOUR(B1838))</f>
        <v/>
      </c>
      <c r="AZ1838" s="61">
        <f>IF(A1838="","",MOD(A1838-2,7)+1)</f>
        <v/>
      </c>
      <c r="BA1838" s="60">
        <f>IF(C1838="","",IFERROR(INDEX('Prospects'!$N$5:$N$504,MATCH(C1838,'Prospects'!$C$5:$C$504,0)),""))</f>
        <v/>
      </c>
      <c r="BB1838" s="61">
        <f>IF(AND(C1838&lt;&gt;"",C1838='Fiche prospect'!$C$4),COUNTIF($C$5:C1838,C1838),"")</f>
        <v/>
      </c>
    </row>
    <row r="1839">
      <c r="A1839" s="53" t="n"/>
      <c r="B1839" s="54" t="n"/>
      <c r="C1839" s="55" t="n"/>
      <c r="D1839" s="55" t="n"/>
      <c r="E1839" s="55" t="n"/>
      <c r="F1839" s="55" t="n"/>
      <c r="G1839" s="56" t="n"/>
      <c r="H1839" s="57" t="n"/>
      <c r="I1839" s="55" t="n"/>
      <c r="J1839" s="53" t="n"/>
      <c r="K1839" s="54" t="n"/>
      <c r="L1839" s="55" t="n"/>
      <c r="M1839" s="55" t="n"/>
      <c r="N1839" s="57" t="n"/>
      <c r="O1839" s="55" t="n"/>
      <c r="P1839" s="56" t="n"/>
      <c r="Q1839" s="55" t="n"/>
      <c r="R1839" s="55" t="n"/>
      <c r="S1839" s="55" t="n"/>
      <c r="T1839" s="55" t="n"/>
      <c r="U1839" s="55" t="n"/>
      <c r="V1839" s="55" t="n"/>
      <c r="W1839" s="58" t="n"/>
      <c r="X1839" s="58" t="n"/>
      <c r="Y1839" s="55" t="n"/>
      <c r="Z1839" s="55" t="n"/>
      <c r="AA1839" s="55" t="n"/>
      <c r="AB1839" s="55" t="n"/>
      <c r="AC1839" s="55" t="n"/>
      <c r="AD1839" s="53" t="n"/>
      <c r="AE1839" s="55" t="n"/>
      <c r="AF1839" s="55" t="n"/>
      <c r="AG1839" s="59" t="n"/>
      <c r="AH1839" s="57" t="n"/>
      <c r="AI1839" s="55" t="n"/>
      <c r="AJ1839" s="55" t="n"/>
      <c r="AK1839" s="55" t="n"/>
      <c r="AL1839" s="55" t="n"/>
      <c r="AM1839" s="56" t="n"/>
      <c r="AN1839" s="55" t="n"/>
      <c r="AO1839" s="55" t="n"/>
      <c r="AP1839" s="55" t="n"/>
      <c r="AQ1839" s="55" t="n"/>
      <c r="AR1839" s="60">
        <f>IF(AND(C1839="",E1839=""),"",IF(A1839="","⚠ Date manquante",IF(AND(C1839="",E1839&lt;&gt;"Dépense"),"⚠ Prospect manquant",IF(E1839="","⚠ Action manquante",IF(AND(AU1839=1,D1839=""),"⚠ Canal manquant",IF(AND(W1839&lt;&gt;"",COUNTIFS('Saisie'!$W$5:$W$2004,W1839,'Saisie'!$C$5:$C$2004,"&lt;&gt;"&amp;C1839)&gt;0),"⚠ Numéro déjà utilisé par un autre prospect",IF(AND(J1839&lt;&gt;"",J1839&lt;A1839),"⚠ Relance avant la date de l'action",IF(A1839&gt;TODAY(),"⚠ Date dans le futur","✓"))))))))</f>
        <v/>
      </c>
      <c r="AS1839" s="61">
        <f>IF(AND(A1839="",C1839="",E1839=""),"",ROW())</f>
        <v/>
      </c>
      <c r="AT1839" s="61">
        <f>IF(E1839&amp;F1839="","",MAX(IFERROR(INDEX('Paramètres'!$J$6:$J$33,MATCH(E1839,'Paramètres'!$I$6:$I$33,0)),0),IFERROR(INDEX('Paramètres'!$N$6:$N$17,MATCH(F1839,'Paramètres'!$M$6:$M$17,0)),0)))</f>
        <v/>
      </c>
      <c r="AU1839" s="61">
        <f>IF(E1839="","",IFERROR(IF(INDEX('Paramètres'!$K$6:$K$33,MATCH(E1839,'Paramètres'!$I$6:$I$33,0))="Oui",1,0),0))</f>
        <v/>
      </c>
      <c r="AV1839" s="61">
        <f>IF(F1839="","",IFERROR(IF(INDEX('Paramètres'!$O$6:$O$17,MATCH(F1839,'Paramètres'!$M$6:$M$17,0))="Oui",1,0),0))</f>
        <v/>
      </c>
      <c r="AW1839" s="62">
        <f>IF(E1839="","",IF(G1839&lt;&gt;"",G1839,IF(OR(E1839="Proposition envoyée",E1839="Signature"),MAX(0,N(IFERROR(INDEX('Paramètres'!$R$6:$R$15,MATCH(IF(AL1839&lt;&gt;"",AL1839,IFERROR(INDEX('Prospects'!$AN$5:$AN$504,MATCH(C1839,'Prospects'!$C$5:$C$504,0)),"")),'Paramètres'!$Q$6:$Q$15,0)),0))-N(P1839)),0)))</f>
        <v/>
      </c>
      <c r="AX1839" s="61">
        <f>IF(C1839="","",IF(COUNTIF($C$5:C1839,C1839)=1,MAX($AX$4:AX1838)+1,""))</f>
        <v/>
      </c>
      <c r="AY1839" s="61">
        <f>IF(B1839="","",HOUR(B1839))</f>
        <v/>
      </c>
      <c r="AZ1839" s="61">
        <f>IF(A1839="","",MOD(A1839-2,7)+1)</f>
        <v/>
      </c>
      <c r="BA1839" s="60">
        <f>IF(C1839="","",IFERROR(INDEX('Prospects'!$N$5:$N$504,MATCH(C1839,'Prospects'!$C$5:$C$504,0)),""))</f>
        <v/>
      </c>
      <c r="BB1839" s="61">
        <f>IF(AND(C1839&lt;&gt;"",C1839='Fiche prospect'!$C$4),COUNTIF($C$5:C1839,C1839),"")</f>
        <v/>
      </c>
    </row>
    <row r="1840">
      <c r="A1840" s="53" t="n"/>
      <c r="B1840" s="54" t="n"/>
      <c r="C1840" s="55" t="n"/>
      <c r="D1840" s="55" t="n"/>
      <c r="E1840" s="55" t="n"/>
      <c r="F1840" s="55" t="n"/>
      <c r="G1840" s="56" t="n"/>
      <c r="H1840" s="57" t="n"/>
      <c r="I1840" s="55" t="n"/>
      <c r="J1840" s="53" t="n"/>
      <c r="K1840" s="54" t="n"/>
      <c r="L1840" s="55" t="n"/>
      <c r="M1840" s="55" t="n"/>
      <c r="N1840" s="57" t="n"/>
      <c r="O1840" s="55" t="n"/>
      <c r="P1840" s="56" t="n"/>
      <c r="Q1840" s="55" t="n"/>
      <c r="R1840" s="55" t="n"/>
      <c r="S1840" s="55" t="n"/>
      <c r="T1840" s="55" t="n"/>
      <c r="U1840" s="55" t="n"/>
      <c r="V1840" s="55" t="n"/>
      <c r="W1840" s="58" t="n"/>
      <c r="X1840" s="58" t="n"/>
      <c r="Y1840" s="55" t="n"/>
      <c r="Z1840" s="55" t="n"/>
      <c r="AA1840" s="55" t="n"/>
      <c r="AB1840" s="55" t="n"/>
      <c r="AC1840" s="55" t="n"/>
      <c r="AD1840" s="53" t="n"/>
      <c r="AE1840" s="55" t="n"/>
      <c r="AF1840" s="55" t="n"/>
      <c r="AG1840" s="59" t="n"/>
      <c r="AH1840" s="57" t="n"/>
      <c r="AI1840" s="55" t="n"/>
      <c r="AJ1840" s="55" t="n"/>
      <c r="AK1840" s="55" t="n"/>
      <c r="AL1840" s="55" t="n"/>
      <c r="AM1840" s="56" t="n"/>
      <c r="AN1840" s="55" t="n"/>
      <c r="AO1840" s="55" t="n"/>
      <c r="AP1840" s="55" t="n"/>
      <c r="AQ1840" s="55" t="n"/>
      <c r="AR1840" s="60">
        <f>IF(AND(C1840="",E1840=""),"",IF(A1840="","⚠ Date manquante",IF(AND(C1840="",E1840&lt;&gt;"Dépense"),"⚠ Prospect manquant",IF(E1840="","⚠ Action manquante",IF(AND(AU1840=1,D1840=""),"⚠ Canal manquant",IF(AND(W1840&lt;&gt;"",COUNTIFS('Saisie'!$W$5:$W$2004,W1840,'Saisie'!$C$5:$C$2004,"&lt;&gt;"&amp;C1840)&gt;0),"⚠ Numéro déjà utilisé par un autre prospect",IF(AND(J1840&lt;&gt;"",J1840&lt;A1840),"⚠ Relance avant la date de l'action",IF(A1840&gt;TODAY(),"⚠ Date dans le futur","✓"))))))))</f>
        <v/>
      </c>
      <c r="AS1840" s="61">
        <f>IF(AND(A1840="",C1840="",E1840=""),"",ROW())</f>
        <v/>
      </c>
      <c r="AT1840" s="61">
        <f>IF(E1840&amp;F1840="","",MAX(IFERROR(INDEX('Paramètres'!$J$6:$J$33,MATCH(E1840,'Paramètres'!$I$6:$I$33,0)),0),IFERROR(INDEX('Paramètres'!$N$6:$N$17,MATCH(F1840,'Paramètres'!$M$6:$M$17,0)),0)))</f>
        <v/>
      </c>
      <c r="AU1840" s="61">
        <f>IF(E1840="","",IFERROR(IF(INDEX('Paramètres'!$K$6:$K$33,MATCH(E1840,'Paramètres'!$I$6:$I$33,0))="Oui",1,0),0))</f>
        <v/>
      </c>
      <c r="AV1840" s="61">
        <f>IF(F1840="","",IFERROR(IF(INDEX('Paramètres'!$O$6:$O$17,MATCH(F1840,'Paramètres'!$M$6:$M$17,0))="Oui",1,0),0))</f>
        <v/>
      </c>
      <c r="AW1840" s="62">
        <f>IF(E1840="","",IF(G1840&lt;&gt;"",G1840,IF(OR(E1840="Proposition envoyée",E1840="Signature"),MAX(0,N(IFERROR(INDEX('Paramètres'!$R$6:$R$15,MATCH(IF(AL1840&lt;&gt;"",AL1840,IFERROR(INDEX('Prospects'!$AN$5:$AN$504,MATCH(C1840,'Prospects'!$C$5:$C$504,0)),"")),'Paramètres'!$Q$6:$Q$15,0)),0))-N(P1840)),0)))</f>
        <v/>
      </c>
      <c r="AX1840" s="61">
        <f>IF(C1840="","",IF(COUNTIF($C$5:C1840,C1840)=1,MAX($AX$4:AX1839)+1,""))</f>
        <v/>
      </c>
      <c r="AY1840" s="61">
        <f>IF(B1840="","",HOUR(B1840))</f>
        <v/>
      </c>
      <c r="AZ1840" s="61">
        <f>IF(A1840="","",MOD(A1840-2,7)+1)</f>
        <v/>
      </c>
      <c r="BA1840" s="60">
        <f>IF(C1840="","",IFERROR(INDEX('Prospects'!$N$5:$N$504,MATCH(C1840,'Prospects'!$C$5:$C$504,0)),""))</f>
        <v/>
      </c>
      <c r="BB1840" s="61">
        <f>IF(AND(C1840&lt;&gt;"",C1840='Fiche prospect'!$C$4),COUNTIF($C$5:C1840,C1840),"")</f>
        <v/>
      </c>
    </row>
    <row r="1841">
      <c r="A1841" s="53" t="n"/>
      <c r="B1841" s="54" t="n"/>
      <c r="C1841" s="55" t="n"/>
      <c r="D1841" s="55" t="n"/>
      <c r="E1841" s="55" t="n"/>
      <c r="F1841" s="55" t="n"/>
      <c r="G1841" s="56" t="n"/>
      <c r="H1841" s="57" t="n"/>
      <c r="I1841" s="55" t="n"/>
      <c r="J1841" s="53" t="n"/>
      <c r="K1841" s="54" t="n"/>
      <c r="L1841" s="55" t="n"/>
      <c r="M1841" s="55" t="n"/>
      <c r="N1841" s="57" t="n"/>
      <c r="O1841" s="55" t="n"/>
      <c r="P1841" s="56" t="n"/>
      <c r="Q1841" s="55" t="n"/>
      <c r="R1841" s="55" t="n"/>
      <c r="S1841" s="55" t="n"/>
      <c r="T1841" s="55" t="n"/>
      <c r="U1841" s="55" t="n"/>
      <c r="V1841" s="55" t="n"/>
      <c r="W1841" s="58" t="n"/>
      <c r="X1841" s="58" t="n"/>
      <c r="Y1841" s="55" t="n"/>
      <c r="Z1841" s="55" t="n"/>
      <c r="AA1841" s="55" t="n"/>
      <c r="AB1841" s="55" t="n"/>
      <c r="AC1841" s="55" t="n"/>
      <c r="AD1841" s="53" t="n"/>
      <c r="AE1841" s="55" t="n"/>
      <c r="AF1841" s="55" t="n"/>
      <c r="AG1841" s="59" t="n"/>
      <c r="AH1841" s="57" t="n"/>
      <c r="AI1841" s="55" t="n"/>
      <c r="AJ1841" s="55" t="n"/>
      <c r="AK1841" s="55" t="n"/>
      <c r="AL1841" s="55" t="n"/>
      <c r="AM1841" s="56" t="n"/>
      <c r="AN1841" s="55" t="n"/>
      <c r="AO1841" s="55" t="n"/>
      <c r="AP1841" s="55" t="n"/>
      <c r="AQ1841" s="55" t="n"/>
      <c r="AR1841" s="60">
        <f>IF(AND(C1841="",E1841=""),"",IF(A1841="","⚠ Date manquante",IF(AND(C1841="",E1841&lt;&gt;"Dépense"),"⚠ Prospect manquant",IF(E1841="","⚠ Action manquante",IF(AND(AU1841=1,D1841=""),"⚠ Canal manquant",IF(AND(W1841&lt;&gt;"",COUNTIFS('Saisie'!$W$5:$W$2004,W1841,'Saisie'!$C$5:$C$2004,"&lt;&gt;"&amp;C1841)&gt;0),"⚠ Numéro déjà utilisé par un autre prospect",IF(AND(J1841&lt;&gt;"",J1841&lt;A1841),"⚠ Relance avant la date de l'action",IF(A1841&gt;TODAY(),"⚠ Date dans le futur","✓"))))))))</f>
        <v/>
      </c>
      <c r="AS1841" s="61">
        <f>IF(AND(A1841="",C1841="",E1841=""),"",ROW())</f>
        <v/>
      </c>
      <c r="AT1841" s="61">
        <f>IF(E1841&amp;F1841="","",MAX(IFERROR(INDEX('Paramètres'!$J$6:$J$33,MATCH(E1841,'Paramètres'!$I$6:$I$33,0)),0),IFERROR(INDEX('Paramètres'!$N$6:$N$17,MATCH(F1841,'Paramètres'!$M$6:$M$17,0)),0)))</f>
        <v/>
      </c>
      <c r="AU1841" s="61">
        <f>IF(E1841="","",IFERROR(IF(INDEX('Paramètres'!$K$6:$K$33,MATCH(E1841,'Paramètres'!$I$6:$I$33,0))="Oui",1,0),0))</f>
        <v/>
      </c>
      <c r="AV1841" s="61">
        <f>IF(F1841="","",IFERROR(IF(INDEX('Paramètres'!$O$6:$O$17,MATCH(F1841,'Paramètres'!$M$6:$M$17,0))="Oui",1,0),0))</f>
        <v/>
      </c>
      <c r="AW1841" s="62">
        <f>IF(E1841="","",IF(G1841&lt;&gt;"",G1841,IF(OR(E1841="Proposition envoyée",E1841="Signature"),MAX(0,N(IFERROR(INDEX('Paramètres'!$R$6:$R$15,MATCH(IF(AL1841&lt;&gt;"",AL1841,IFERROR(INDEX('Prospects'!$AN$5:$AN$504,MATCH(C1841,'Prospects'!$C$5:$C$504,0)),"")),'Paramètres'!$Q$6:$Q$15,0)),0))-N(P1841)),0)))</f>
        <v/>
      </c>
      <c r="AX1841" s="61">
        <f>IF(C1841="","",IF(COUNTIF($C$5:C1841,C1841)=1,MAX($AX$4:AX1840)+1,""))</f>
        <v/>
      </c>
      <c r="AY1841" s="61">
        <f>IF(B1841="","",HOUR(B1841))</f>
        <v/>
      </c>
      <c r="AZ1841" s="61">
        <f>IF(A1841="","",MOD(A1841-2,7)+1)</f>
        <v/>
      </c>
      <c r="BA1841" s="60">
        <f>IF(C1841="","",IFERROR(INDEX('Prospects'!$N$5:$N$504,MATCH(C1841,'Prospects'!$C$5:$C$504,0)),""))</f>
        <v/>
      </c>
      <c r="BB1841" s="61">
        <f>IF(AND(C1841&lt;&gt;"",C1841='Fiche prospect'!$C$4),COUNTIF($C$5:C1841,C1841),"")</f>
        <v/>
      </c>
    </row>
    <row r="1842">
      <c r="A1842" s="53" t="n"/>
      <c r="B1842" s="54" t="n"/>
      <c r="C1842" s="55" t="n"/>
      <c r="D1842" s="55" t="n"/>
      <c r="E1842" s="55" t="n"/>
      <c r="F1842" s="55" t="n"/>
      <c r="G1842" s="56" t="n"/>
      <c r="H1842" s="57" t="n"/>
      <c r="I1842" s="55" t="n"/>
      <c r="J1842" s="53" t="n"/>
      <c r="K1842" s="54" t="n"/>
      <c r="L1842" s="55" t="n"/>
      <c r="M1842" s="55" t="n"/>
      <c r="N1842" s="57" t="n"/>
      <c r="O1842" s="55" t="n"/>
      <c r="P1842" s="56" t="n"/>
      <c r="Q1842" s="55" t="n"/>
      <c r="R1842" s="55" t="n"/>
      <c r="S1842" s="55" t="n"/>
      <c r="T1842" s="55" t="n"/>
      <c r="U1842" s="55" t="n"/>
      <c r="V1842" s="55" t="n"/>
      <c r="W1842" s="58" t="n"/>
      <c r="X1842" s="58" t="n"/>
      <c r="Y1842" s="55" t="n"/>
      <c r="Z1842" s="55" t="n"/>
      <c r="AA1842" s="55" t="n"/>
      <c r="AB1842" s="55" t="n"/>
      <c r="AC1842" s="55" t="n"/>
      <c r="AD1842" s="53" t="n"/>
      <c r="AE1842" s="55" t="n"/>
      <c r="AF1842" s="55" t="n"/>
      <c r="AG1842" s="59" t="n"/>
      <c r="AH1842" s="57" t="n"/>
      <c r="AI1842" s="55" t="n"/>
      <c r="AJ1842" s="55" t="n"/>
      <c r="AK1842" s="55" t="n"/>
      <c r="AL1842" s="55" t="n"/>
      <c r="AM1842" s="56" t="n"/>
      <c r="AN1842" s="55" t="n"/>
      <c r="AO1842" s="55" t="n"/>
      <c r="AP1842" s="55" t="n"/>
      <c r="AQ1842" s="55" t="n"/>
      <c r="AR1842" s="60">
        <f>IF(AND(C1842="",E1842=""),"",IF(A1842="","⚠ Date manquante",IF(AND(C1842="",E1842&lt;&gt;"Dépense"),"⚠ Prospect manquant",IF(E1842="","⚠ Action manquante",IF(AND(AU1842=1,D1842=""),"⚠ Canal manquant",IF(AND(W1842&lt;&gt;"",COUNTIFS('Saisie'!$W$5:$W$2004,W1842,'Saisie'!$C$5:$C$2004,"&lt;&gt;"&amp;C1842)&gt;0),"⚠ Numéro déjà utilisé par un autre prospect",IF(AND(J1842&lt;&gt;"",J1842&lt;A1842),"⚠ Relance avant la date de l'action",IF(A1842&gt;TODAY(),"⚠ Date dans le futur","✓"))))))))</f>
        <v/>
      </c>
      <c r="AS1842" s="61">
        <f>IF(AND(A1842="",C1842="",E1842=""),"",ROW())</f>
        <v/>
      </c>
      <c r="AT1842" s="61">
        <f>IF(E1842&amp;F1842="","",MAX(IFERROR(INDEX('Paramètres'!$J$6:$J$33,MATCH(E1842,'Paramètres'!$I$6:$I$33,0)),0),IFERROR(INDEX('Paramètres'!$N$6:$N$17,MATCH(F1842,'Paramètres'!$M$6:$M$17,0)),0)))</f>
        <v/>
      </c>
      <c r="AU1842" s="61">
        <f>IF(E1842="","",IFERROR(IF(INDEX('Paramètres'!$K$6:$K$33,MATCH(E1842,'Paramètres'!$I$6:$I$33,0))="Oui",1,0),0))</f>
        <v/>
      </c>
      <c r="AV1842" s="61">
        <f>IF(F1842="","",IFERROR(IF(INDEX('Paramètres'!$O$6:$O$17,MATCH(F1842,'Paramètres'!$M$6:$M$17,0))="Oui",1,0),0))</f>
        <v/>
      </c>
      <c r="AW1842" s="62">
        <f>IF(E1842="","",IF(G1842&lt;&gt;"",G1842,IF(OR(E1842="Proposition envoyée",E1842="Signature"),MAX(0,N(IFERROR(INDEX('Paramètres'!$R$6:$R$15,MATCH(IF(AL1842&lt;&gt;"",AL1842,IFERROR(INDEX('Prospects'!$AN$5:$AN$504,MATCH(C1842,'Prospects'!$C$5:$C$504,0)),"")),'Paramètres'!$Q$6:$Q$15,0)),0))-N(P1842)),0)))</f>
        <v/>
      </c>
      <c r="AX1842" s="61">
        <f>IF(C1842="","",IF(COUNTIF($C$5:C1842,C1842)=1,MAX($AX$4:AX1841)+1,""))</f>
        <v/>
      </c>
      <c r="AY1842" s="61">
        <f>IF(B1842="","",HOUR(B1842))</f>
        <v/>
      </c>
      <c r="AZ1842" s="61">
        <f>IF(A1842="","",MOD(A1842-2,7)+1)</f>
        <v/>
      </c>
      <c r="BA1842" s="60">
        <f>IF(C1842="","",IFERROR(INDEX('Prospects'!$N$5:$N$504,MATCH(C1842,'Prospects'!$C$5:$C$504,0)),""))</f>
        <v/>
      </c>
      <c r="BB1842" s="61">
        <f>IF(AND(C1842&lt;&gt;"",C1842='Fiche prospect'!$C$4),COUNTIF($C$5:C1842,C1842),"")</f>
        <v/>
      </c>
    </row>
    <row r="1843">
      <c r="A1843" s="53" t="n"/>
      <c r="B1843" s="54" t="n"/>
      <c r="C1843" s="55" t="n"/>
      <c r="D1843" s="55" t="n"/>
      <c r="E1843" s="55" t="n"/>
      <c r="F1843" s="55" t="n"/>
      <c r="G1843" s="56" t="n"/>
      <c r="H1843" s="57" t="n"/>
      <c r="I1843" s="55" t="n"/>
      <c r="J1843" s="53" t="n"/>
      <c r="K1843" s="54" t="n"/>
      <c r="L1843" s="55" t="n"/>
      <c r="M1843" s="55" t="n"/>
      <c r="N1843" s="57" t="n"/>
      <c r="O1843" s="55" t="n"/>
      <c r="P1843" s="56" t="n"/>
      <c r="Q1843" s="55" t="n"/>
      <c r="R1843" s="55" t="n"/>
      <c r="S1843" s="55" t="n"/>
      <c r="T1843" s="55" t="n"/>
      <c r="U1843" s="55" t="n"/>
      <c r="V1843" s="55" t="n"/>
      <c r="W1843" s="58" t="n"/>
      <c r="X1843" s="58" t="n"/>
      <c r="Y1843" s="55" t="n"/>
      <c r="Z1843" s="55" t="n"/>
      <c r="AA1843" s="55" t="n"/>
      <c r="AB1843" s="55" t="n"/>
      <c r="AC1843" s="55" t="n"/>
      <c r="AD1843" s="53" t="n"/>
      <c r="AE1843" s="55" t="n"/>
      <c r="AF1843" s="55" t="n"/>
      <c r="AG1843" s="59" t="n"/>
      <c r="AH1843" s="57" t="n"/>
      <c r="AI1843" s="55" t="n"/>
      <c r="AJ1843" s="55" t="n"/>
      <c r="AK1843" s="55" t="n"/>
      <c r="AL1843" s="55" t="n"/>
      <c r="AM1843" s="56" t="n"/>
      <c r="AN1843" s="55" t="n"/>
      <c r="AO1843" s="55" t="n"/>
      <c r="AP1843" s="55" t="n"/>
      <c r="AQ1843" s="55" t="n"/>
      <c r="AR1843" s="60">
        <f>IF(AND(C1843="",E1843=""),"",IF(A1843="","⚠ Date manquante",IF(AND(C1843="",E1843&lt;&gt;"Dépense"),"⚠ Prospect manquant",IF(E1843="","⚠ Action manquante",IF(AND(AU1843=1,D1843=""),"⚠ Canal manquant",IF(AND(W1843&lt;&gt;"",COUNTIFS('Saisie'!$W$5:$W$2004,W1843,'Saisie'!$C$5:$C$2004,"&lt;&gt;"&amp;C1843)&gt;0),"⚠ Numéro déjà utilisé par un autre prospect",IF(AND(J1843&lt;&gt;"",J1843&lt;A1843),"⚠ Relance avant la date de l'action",IF(A1843&gt;TODAY(),"⚠ Date dans le futur","✓"))))))))</f>
        <v/>
      </c>
      <c r="AS1843" s="61">
        <f>IF(AND(A1843="",C1843="",E1843=""),"",ROW())</f>
        <v/>
      </c>
      <c r="AT1843" s="61">
        <f>IF(E1843&amp;F1843="","",MAX(IFERROR(INDEX('Paramètres'!$J$6:$J$33,MATCH(E1843,'Paramètres'!$I$6:$I$33,0)),0),IFERROR(INDEX('Paramètres'!$N$6:$N$17,MATCH(F1843,'Paramètres'!$M$6:$M$17,0)),0)))</f>
        <v/>
      </c>
      <c r="AU1843" s="61">
        <f>IF(E1843="","",IFERROR(IF(INDEX('Paramètres'!$K$6:$K$33,MATCH(E1843,'Paramètres'!$I$6:$I$33,0))="Oui",1,0),0))</f>
        <v/>
      </c>
      <c r="AV1843" s="61">
        <f>IF(F1843="","",IFERROR(IF(INDEX('Paramètres'!$O$6:$O$17,MATCH(F1843,'Paramètres'!$M$6:$M$17,0))="Oui",1,0),0))</f>
        <v/>
      </c>
      <c r="AW1843" s="62">
        <f>IF(E1843="","",IF(G1843&lt;&gt;"",G1843,IF(OR(E1843="Proposition envoyée",E1843="Signature"),MAX(0,N(IFERROR(INDEX('Paramètres'!$R$6:$R$15,MATCH(IF(AL1843&lt;&gt;"",AL1843,IFERROR(INDEX('Prospects'!$AN$5:$AN$504,MATCH(C1843,'Prospects'!$C$5:$C$504,0)),"")),'Paramètres'!$Q$6:$Q$15,0)),0))-N(P1843)),0)))</f>
        <v/>
      </c>
      <c r="AX1843" s="61">
        <f>IF(C1843="","",IF(COUNTIF($C$5:C1843,C1843)=1,MAX($AX$4:AX1842)+1,""))</f>
        <v/>
      </c>
      <c r="AY1843" s="61">
        <f>IF(B1843="","",HOUR(B1843))</f>
        <v/>
      </c>
      <c r="AZ1843" s="61">
        <f>IF(A1843="","",MOD(A1843-2,7)+1)</f>
        <v/>
      </c>
      <c r="BA1843" s="60">
        <f>IF(C1843="","",IFERROR(INDEX('Prospects'!$N$5:$N$504,MATCH(C1843,'Prospects'!$C$5:$C$504,0)),""))</f>
        <v/>
      </c>
      <c r="BB1843" s="61">
        <f>IF(AND(C1843&lt;&gt;"",C1843='Fiche prospect'!$C$4),COUNTIF($C$5:C1843,C1843),"")</f>
        <v/>
      </c>
    </row>
    <row r="1844">
      <c r="A1844" s="53" t="n"/>
      <c r="B1844" s="54" t="n"/>
      <c r="C1844" s="55" t="n"/>
      <c r="D1844" s="55" t="n"/>
      <c r="E1844" s="55" t="n"/>
      <c r="F1844" s="55" t="n"/>
      <c r="G1844" s="56" t="n"/>
      <c r="H1844" s="57" t="n"/>
      <c r="I1844" s="55" t="n"/>
      <c r="J1844" s="53" t="n"/>
      <c r="K1844" s="54" t="n"/>
      <c r="L1844" s="55" t="n"/>
      <c r="M1844" s="55" t="n"/>
      <c r="N1844" s="57" t="n"/>
      <c r="O1844" s="55" t="n"/>
      <c r="P1844" s="56" t="n"/>
      <c r="Q1844" s="55" t="n"/>
      <c r="R1844" s="55" t="n"/>
      <c r="S1844" s="55" t="n"/>
      <c r="T1844" s="55" t="n"/>
      <c r="U1844" s="55" t="n"/>
      <c r="V1844" s="55" t="n"/>
      <c r="W1844" s="58" t="n"/>
      <c r="X1844" s="58" t="n"/>
      <c r="Y1844" s="55" t="n"/>
      <c r="Z1844" s="55" t="n"/>
      <c r="AA1844" s="55" t="n"/>
      <c r="AB1844" s="55" t="n"/>
      <c r="AC1844" s="55" t="n"/>
      <c r="AD1844" s="53" t="n"/>
      <c r="AE1844" s="55" t="n"/>
      <c r="AF1844" s="55" t="n"/>
      <c r="AG1844" s="59" t="n"/>
      <c r="AH1844" s="57" t="n"/>
      <c r="AI1844" s="55" t="n"/>
      <c r="AJ1844" s="55" t="n"/>
      <c r="AK1844" s="55" t="n"/>
      <c r="AL1844" s="55" t="n"/>
      <c r="AM1844" s="56" t="n"/>
      <c r="AN1844" s="55" t="n"/>
      <c r="AO1844" s="55" t="n"/>
      <c r="AP1844" s="55" t="n"/>
      <c r="AQ1844" s="55" t="n"/>
      <c r="AR1844" s="60">
        <f>IF(AND(C1844="",E1844=""),"",IF(A1844="","⚠ Date manquante",IF(AND(C1844="",E1844&lt;&gt;"Dépense"),"⚠ Prospect manquant",IF(E1844="","⚠ Action manquante",IF(AND(AU1844=1,D1844=""),"⚠ Canal manquant",IF(AND(W1844&lt;&gt;"",COUNTIFS('Saisie'!$W$5:$W$2004,W1844,'Saisie'!$C$5:$C$2004,"&lt;&gt;"&amp;C1844)&gt;0),"⚠ Numéro déjà utilisé par un autre prospect",IF(AND(J1844&lt;&gt;"",J1844&lt;A1844),"⚠ Relance avant la date de l'action",IF(A1844&gt;TODAY(),"⚠ Date dans le futur","✓"))))))))</f>
        <v/>
      </c>
      <c r="AS1844" s="61">
        <f>IF(AND(A1844="",C1844="",E1844=""),"",ROW())</f>
        <v/>
      </c>
      <c r="AT1844" s="61">
        <f>IF(E1844&amp;F1844="","",MAX(IFERROR(INDEX('Paramètres'!$J$6:$J$33,MATCH(E1844,'Paramètres'!$I$6:$I$33,0)),0),IFERROR(INDEX('Paramètres'!$N$6:$N$17,MATCH(F1844,'Paramètres'!$M$6:$M$17,0)),0)))</f>
        <v/>
      </c>
      <c r="AU1844" s="61">
        <f>IF(E1844="","",IFERROR(IF(INDEX('Paramètres'!$K$6:$K$33,MATCH(E1844,'Paramètres'!$I$6:$I$33,0))="Oui",1,0),0))</f>
        <v/>
      </c>
      <c r="AV1844" s="61">
        <f>IF(F1844="","",IFERROR(IF(INDEX('Paramètres'!$O$6:$O$17,MATCH(F1844,'Paramètres'!$M$6:$M$17,0))="Oui",1,0),0))</f>
        <v/>
      </c>
      <c r="AW1844" s="62">
        <f>IF(E1844="","",IF(G1844&lt;&gt;"",G1844,IF(OR(E1844="Proposition envoyée",E1844="Signature"),MAX(0,N(IFERROR(INDEX('Paramètres'!$R$6:$R$15,MATCH(IF(AL1844&lt;&gt;"",AL1844,IFERROR(INDEX('Prospects'!$AN$5:$AN$504,MATCH(C1844,'Prospects'!$C$5:$C$504,0)),"")),'Paramètres'!$Q$6:$Q$15,0)),0))-N(P1844)),0)))</f>
        <v/>
      </c>
      <c r="AX1844" s="61">
        <f>IF(C1844="","",IF(COUNTIF($C$5:C1844,C1844)=1,MAX($AX$4:AX1843)+1,""))</f>
        <v/>
      </c>
      <c r="AY1844" s="61">
        <f>IF(B1844="","",HOUR(B1844))</f>
        <v/>
      </c>
      <c r="AZ1844" s="61">
        <f>IF(A1844="","",MOD(A1844-2,7)+1)</f>
        <v/>
      </c>
      <c r="BA1844" s="60">
        <f>IF(C1844="","",IFERROR(INDEX('Prospects'!$N$5:$N$504,MATCH(C1844,'Prospects'!$C$5:$C$504,0)),""))</f>
        <v/>
      </c>
      <c r="BB1844" s="61">
        <f>IF(AND(C1844&lt;&gt;"",C1844='Fiche prospect'!$C$4),COUNTIF($C$5:C1844,C1844),"")</f>
        <v/>
      </c>
    </row>
    <row r="1845">
      <c r="A1845" s="53" t="n"/>
      <c r="B1845" s="54" t="n"/>
      <c r="C1845" s="55" t="n"/>
      <c r="D1845" s="55" t="n"/>
      <c r="E1845" s="55" t="n"/>
      <c r="F1845" s="55" t="n"/>
      <c r="G1845" s="56" t="n"/>
      <c r="H1845" s="57" t="n"/>
      <c r="I1845" s="55" t="n"/>
      <c r="J1845" s="53" t="n"/>
      <c r="K1845" s="54" t="n"/>
      <c r="L1845" s="55" t="n"/>
      <c r="M1845" s="55" t="n"/>
      <c r="N1845" s="57" t="n"/>
      <c r="O1845" s="55" t="n"/>
      <c r="P1845" s="56" t="n"/>
      <c r="Q1845" s="55" t="n"/>
      <c r="R1845" s="55" t="n"/>
      <c r="S1845" s="55" t="n"/>
      <c r="T1845" s="55" t="n"/>
      <c r="U1845" s="55" t="n"/>
      <c r="V1845" s="55" t="n"/>
      <c r="W1845" s="58" t="n"/>
      <c r="X1845" s="58" t="n"/>
      <c r="Y1845" s="55" t="n"/>
      <c r="Z1845" s="55" t="n"/>
      <c r="AA1845" s="55" t="n"/>
      <c r="AB1845" s="55" t="n"/>
      <c r="AC1845" s="55" t="n"/>
      <c r="AD1845" s="53" t="n"/>
      <c r="AE1845" s="55" t="n"/>
      <c r="AF1845" s="55" t="n"/>
      <c r="AG1845" s="59" t="n"/>
      <c r="AH1845" s="57" t="n"/>
      <c r="AI1845" s="55" t="n"/>
      <c r="AJ1845" s="55" t="n"/>
      <c r="AK1845" s="55" t="n"/>
      <c r="AL1845" s="55" t="n"/>
      <c r="AM1845" s="56" t="n"/>
      <c r="AN1845" s="55" t="n"/>
      <c r="AO1845" s="55" t="n"/>
      <c r="AP1845" s="55" t="n"/>
      <c r="AQ1845" s="55" t="n"/>
      <c r="AR1845" s="60">
        <f>IF(AND(C1845="",E1845=""),"",IF(A1845="","⚠ Date manquante",IF(AND(C1845="",E1845&lt;&gt;"Dépense"),"⚠ Prospect manquant",IF(E1845="","⚠ Action manquante",IF(AND(AU1845=1,D1845=""),"⚠ Canal manquant",IF(AND(W1845&lt;&gt;"",COUNTIFS('Saisie'!$W$5:$W$2004,W1845,'Saisie'!$C$5:$C$2004,"&lt;&gt;"&amp;C1845)&gt;0),"⚠ Numéro déjà utilisé par un autre prospect",IF(AND(J1845&lt;&gt;"",J1845&lt;A1845),"⚠ Relance avant la date de l'action",IF(A1845&gt;TODAY(),"⚠ Date dans le futur","✓"))))))))</f>
        <v/>
      </c>
      <c r="AS1845" s="61">
        <f>IF(AND(A1845="",C1845="",E1845=""),"",ROW())</f>
        <v/>
      </c>
      <c r="AT1845" s="61">
        <f>IF(E1845&amp;F1845="","",MAX(IFERROR(INDEX('Paramètres'!$J$6:$J$33,MATCH(E1845,'Paramètres'!$I$6:$I$33,0)),0),IFERROR(INDEX('Paramètres'!$N$6:$N$17,MATCH(F1845,'Paramètres'!$M$6:$M$17,0)),0)))</f>
        <v/>
      </c>
      <c r="AU1845" s="61">
        <f>IF(E1845="","",IFERROR(IF(INDEX('Paramètres'!$K$6:$K$33,MATCH(E1845,'Paramètres'!$I$6:$I$33,0))="Oui",1,0),0))</f>
        <v/>
      </c>
      <c r="AV1845" s="61">
        <f>IF(F1845="","",IFERROR(IF(INDEX('Paramètres'!$O$6:$O$17,MATCH(F1845,'Paramètres'!$M$6:$M$17,0))="Oui",1,0),0))</f>
        <v/>
      </c>
      <c r="AW1845" s="62">
        <f>IF(E1845="","",IF(G1845&lt;&gt;"",G1845,IF(OR(E1845="Proposition envoyée",E1845="Signature"),MAX(0,N(IFERROR(INDEX('Paramètres'!$R$6:$R$15,MATCH(IF(AL1845&lt;&gt;"",AL1845,IFERROR(INDEX('Prospects'!$AN$5:$AN$504,MATCH(C1845,'Prospects'!$C$5:$C$504,0)),"")),'Paramètres'!$Q$6:$Q$15,0)),0))-N(P1845)),0)))</f>
        <v/>
      </c>
      <c r="AX1845" s="61">
        <f>IF(C1845="","",IF(COUNTIF($C$5:C1845,C1845)=1,MAX($AX$4:AX1844)+1,""))</f>
        <v/>
      </c>
      <c r="AY1845" s="61">
        <f>IF(B1845="","",HOUR(B1845))</f>
        <v/>
      </c>
      <c r="AZ1845" s="61">
        <f>IF(A1845="","",MOD(A1845-2,7)+1)</f>
        <v/>
      </c>
      <c r="BA1845" s="60">
        <f>IF(C1845="","",IFERROR(INDEX('Prospects'!$N$5:$N$504,MATCH(C1845,'Prospects'!$C$5:$C$504,0)),""))</f>
        <v/>
      </c>
      <c r="BB1845" s="61">
        <f>IF(AND(C1845&lt;&gt;"",C1845='Fiche prospect'!$C$4),COUNTIF($C$5:C1845,C1845),"")</f>
        <v/>
      </c>
    </row>
    <row r="1846">
      <c r="A1846" s="53" t="n"/>
      <c r="B1846" s="54" t="n"/>
      <c r="C1846" s="55" t="n"/>
      <c r="D1846" s="55" t="n"/>
      <c r="E1846" s="55" t="n"/>
      <c r="F1846" s="55" t="n"/>
      <c r="G1846" s="56" t="n"/>
      <c r="H1846" s="57" t="n"/>
      <c r="I1846" s="55" t="n"/>
      <c r="J1846" s="53" t="n"/>
      <c r="K1846" s="54" t="n"/>
      <c r="L1846" s="55" t="n"/>
      <c r="M1846" s="55" t="n"/>
      <c r="N1846" s="57" t="n"/>
      <c r="O1846" s="55" t="n"/>
      <c r="P1846" s="56" t="n"/>
      <c r="Q1846" s="55" t="n"/>
      <c r="R1846" s="55" t="n"/>
      <c r="S1846" s="55" t="n"/>
      <c r="T1846" s="55" t="n"/>
      <c r="U1846" s="55" t="n"/>
      <c r="V1846" s="55" t="n"/>
      <c r="W1846" s="58" t="n"/>
      <c r="X1846" s="58" t="n"/>
      <c r="Y1846" s="55" t="n"/>
      <c r="Z1846" s="55" t="n"/>
      <c r="AA1846" s="55" t="n"/>
      <c r="AB1846" s="55" t="n"/>
      <c r="AC1846" s="55" t="n"/>
      <c r="AD1846" s="53" t="n"/>
      <c r="AE1846" s="55" t="n"/>
      <c r="AF1846" s="55" t="n"/>
      <c r="AG1846" s="59" t="n"/>
      <c r="AH1846" s="57" t="n"/>
      <c r="AI1846" s="55" t="n"/>
      <c r="AJ1846" s="55" t="n"/>
      <c r="AK1846" s="55" t="n"/>
      <c r="AL1846" s="55" t="n"/>
      <c r="AM1846" s="56" t="n"/>
      <c r="AN1846" s="55" t="n"/>
      <c r="AO1846" s="55" t="n"/>
      <c r="AP1846" s="55" t="n"/>
      <c r="AQ1846" s="55" t="n"/>
      <c r="AR1846" s="60">
        <f>IF(AND(C1846="",E1846=""),"",IF(A1846="","⚠ Date manquante",IF(AND(C1846="",E1846&lt;&gt;"Dépense"),"⚠ Prospect manquant",IF(E1846="","⚠ Action manquante",IF(AND(AU1846=1,D1846=""),"⚠ Canal manquant",IF(AND(W1846&lt;&gt;"",COUNTIFS('Saisie'!$W$5:$W$2004,W1846,'Saisie'!$C$5:$C$2004,"&lt;&gt;"&amp;C1846)&gt;0),"⚠ Numéro déjà utilisé par un autre prospect",IF(AND(J1846&lt;&gt;"",J1846&lt;A1846),"⚠ Relance avant la date de l'action",IF(A1846&gt;TODAY(),"⚠ Date dans le futur","✓"))))))))</f>
        <v/>
      </c>
      <c r="AS1846" s="61">
        <f>IF(AND(A1846="",C1846="",E1846=""),"",ROW())</f>
        <v/>
      </c>
      <c r="AT1846" s="61">
        <f>IF(E1846&amp;F1846="","",MAX(IFERROR(INDEX('Paramètres'!$J$6:$J$33,MATCH(E1846,'Paramètres'!$I$6:$I$33,0)),0),IFERROR(INDEX('Paramètres'!$N$6:$N$17,MATCH(F1846,'Paramètres'!$M$6:$M$17,0)),0)))</f>
        <v/>
      </c>
      <c r="AU1846" s="61">
        <f>IF(E1846="","",IFERROR(IF(INDEX('Paramètres'!$K$6:$K$33,MATCH(E1846,'Paramètres'!$I$6:$I$33,0))="Oui",1,0),0))</f>
        <v/>
      </c>
      <c r="AV1846" s="61">
        <f>IF(F1846="","",IFERROR(IF(INDEX('Paramètres'!$O$6:$O$17,MATCH(F1846,'Paramètres'!$M$6:$M$17,0))="Oui",1,0),0))</f>
        <v/>
      </c>
      <c r="AW1846" s="62">
        <f>IF(E1846="","",IF(G1846&lt;&gt;"",G1846,IF(OR(E1846="Proposition envoyée",E1846="Signature"),MAX(0,N(IFERROR(INDEX('Paramètres'!$R$6:$R$15,MATCH(IF(AL1846&lt;&gt;"",AL1846,IFERROR(INDEX('Prospects'!$AN$5:$AN$504,MATCH(C1846,'Prospects'!$C$5:$C$504,0)),"")),'Paramètres'!$Q$6:$Q$15,0)),0))-N(P1846)),0)))</f>
        <v/>
      </c>
      <c r="AX1846" s="61">
        <f>IF(C1846="","",IF(COUNTIF($C$5:C1846,C1846)=1,MAX($AX$4:AX1845)+1,""))</f>
        <v/>
      </c>
      <c r="AY1846" s="61">
        <f>IF(B1846="","",HOUR(B1846))</f>
        <v/>
      </c>
      <c r="AZ1846" s="61">
        <f>IF(A1846="","",MOD(A1846-2,7)+1)</f>
        <v/>
      </c>
      <c r="BA1846" s="60">
        <f>IF(C1846="","",IFERROR(INDEX('Prospects'!$N$5:$N$504,MATCH(C1846,'Prospects'!$C$5:$C$504,0)),""))</f>
        <v/>
      </c>
      <c r="BB1846" s="61">
        <f>IF(AND(C1846&lt;&gt;"",C1846='Fiche prospect'!$C$4),COUNTIF($C$5:C1846,C1846),"")</f>
        <v/>
      </c>
    </row>
    <row r="1847">
      <c r="A1847" s="53" t="n"/>
      <c r="B1847" s="54" t="n"/>
      <c r="C1847" s="55" t="n"/>
      <c r="D1847" s="55" t="n"/>
      <c r="E1847" s="55" t="n"/>
      <c r="F1847" s="55" t="n"/>
      <c r="G1847" s="56" t="n"/>
      <c r="H1847" s="57" t="n"/>
      <c r="I1847" s="55" t="n"/>
      <c r="J1847" s="53" t="n"/>
      <c r="K1847" s="54" t="n"/>
      <c r="L1847" s="55" t="n"/>
      <c r="M1847" s="55" t="n"/>
      <c r="N1847" s="57" t="n"/>
      <c r="O1847" s="55" t="n"/>
      <c r="P1847" s="56" t="n"/>
      <c r="Q1847" s="55" t="n"/>
      <c r="R1847" s="55" t="n"/>
      <c r="S1847" s="55" t="n"/>
      <c r="T1847" s="55" t="n"/>
      <c r="U1847" s="55" t="n"/>
      <c r="V1847" s="55" t="n"/>
      <c r="W1847" s="58" t="n"/>
      <c r="X1847" s="58" t="n"/>
      <c r="Y1847" s="55" t="n"/>
      <c r="Z1847" s="55" t="n"/>
      <c r="AA1847" s="55" t="n"/>
      <c r="AB1847" s="55" t="n"/>
      <c r="AC1847" s="55" t="n"/>
      <c r="AD1847" s="53" t="n"/>
      <c r="AE1847" s="55" t="n"/>
      <c r="AF1847" s="55" t="n"/>
      <c r="AG1847" s="59" t="n"/>
      <c r="AH1847" s="57" t="n"/>
      <c r="AI1847" s="55" t="n"/>
      <c r="AJ1847" s="55" t="n"/>
      <c r="AK1847" s="55" t="n"/>
      <c r="AL1847" s="55" t="n"/>
      <c r="AM1847" s="56" t="n"/>
      <c r="AN1847" s="55" t="n"/>
      <c r="AO1847" s="55" t="n"/>
      <c r="AP1847" s="55" t="n"/>
      <c r="AQ1847" s="55" t="n"/>
      <c r="AR1847" s="60">
        <f>IF(AND(C1847="",E1847=""),"",IF(A1847="","⚠ Date manquante",IF(AND(C1847="",E1847&lt;&gt;"Dépense"),"⚠ Prospect manquant",IF(E1847="","⚠ Action manquante",IF(AND(AU1847=1,D1847=""),"⚠ Canal manquant",IF(AND(W1847&lt;&gt;"",COUNTIFS('Saisie'!$W$5:$W$2004,W1847,'Saisie'!$C$5:$C$2004,"&lt;&gt;"&amp;C1847)&gt;0),"⚠ Numéro déjà utilisé par un autre prospect",IF(AND(J1847&lt;&gt;"",J1847&lt;A1847),"⚠ Relance avant la date de l'action",IF(A1847&gt;TODAY(),"⚠ Date dans le futur","✓"))))))))</f>
        <v/>
      </c>
      <c r="AS1847" s="61">
        <f>IF(AND(A1847="",C1847="",E1847=""),"",ROW())</f>
        <v/>
      </c>
      <c r="AT1847" s="61">
        <f>IF(E1847&amp;F1847="","",MAX(IFERROR(INDEX('Paramètres'!$J$6:$J$33,MATCH(E1847,'Paramètres'!$I$6:$I$33,0)),0),IFERROR(INDEX('Paramètres'!$N$6:$N$17,MATCH(F1847,'Paramètres'!$M$6:$M$17,0)),0)))</f>
        <v/>
      </c>
      <c r="AU1847" s="61">
        <f>IF(E1847="","",IFERROR(IF(INDEX('Paramètres'!$K$6:$K$33,MATCH(E1847,'Paramètres'!$I$6:$I$33,0))="Oui",1,0),0))</f>
        <v/>
      </c>
      <c r="AV1847" s="61">
        <f>IF(F1847="","",IFERROR(IF(INDEX('Paramètres'!$O$6:$O$17,MATCH(F1847,'Paramètres'!$M$6:$M$17,0))="Oui",1,0),0))</f>
        <v/>
      </c>
      <c r="AW1847" s="62">
        <f>IF(E1847="","",IF(G1847&lt;&gt;"",G1847,IF(OR(E1847="Proposition envoyée",E1847="Signature"),MAX(0,N(IFERROR(INDEX('Paramètres'!$R$6:$R$15,MATCH(IF(AL1847&lt;&gt;"",AL1847,IFERROR(INDEX('Prospects'!$AN$5:$AN$504,MATCH(C1847,'Prospects'!$C$5:$C$504,0)),"")),'Paramètres'!$Q$6:$Q$15,0)),0))-N(P1847)),0)))</f>
        <v/>
      </c>
      <c r="AX1847" s="61">
        <f>IF(C1847="","",IF(COUNTIF($C$5:C1847,C1847)=1,MAX($AX$4:AX1846)+1,""))</f>
        <v/>
      </c>
      <c r="AY1847" s="61">
        <f>IF(B1847="","",HOUR(B1847))</f>
        <v/>
      </c>
      <c r="AZ1847" s="61">
        <f>IF(A1847="","",MOD(A1847-2,7)+1)</f>
        <v/>
      </c>
      <c r="BA1847" s="60">
        <f>IF(C1847="","",IFERROR(INDEX('Prospects'!$N$5:$N$504,MATCH(C1847,'Prospects'!$C$5:$C$504,0)),""))</f>
        <v/>
      </c>
      <c r="BB1847" s="61">
        <f>IF(AND(C1847&lt;&gt;"",C1847='Fiche prospect'!$C$4),COUNTIF($C$5:C1847,C1847),"")</f>
        <v/>
      </c>
    </row>
    <row r="1848">
      <c r="A1848" s="53" t="n"/>
      <c r="B1848" s="54" t="n"/>
      <c r="C1848" s="55" t="n"/>
      <c r="D1848" s="55" t="n"/>
      <c r="E1848" s="55" t="n"/>
      <c r="F1848" s="55" t="n"/>
      <c r="G1848" s="56" t="n"/>
      <c r="H1848" s="57" t="n"/>
      <c r="I1848" s="55" t="n"/>
      <c r="J1848" s="53" t="n"/>
      <c r="K1848" s="54" t="n"/>
      <c r="L1848" s="55" t="n"/>
      <c r="M1848" s="55" t="n"/>
      <c r="N1848" s="57" t="n"/>
      <c r="O1848" s="55" t="n"/>
      <c r="P1848" s="56" t="n"/>
      <c r="Q1848" s="55" t="n"/>
      <c r="R1848" s="55" t="n"/>
      <c r="S1848" s="55" t="n"/>
      <c r="T1848" s="55" t="n"/>
      <c r="U1848" s="55" t="n"/>
      <c r="V1848" s="55" t="n"/>
      <c r="W1848" s="58" t="n"/>
      <c r="X1848" s="58" t="n"/>
      <c r="Y1848" s="55" t="n"/>
      <c r="Z1848" s="55" t="n"/>
      <c r="AA1848" s="55" t="n"/>
      <c r="AB1848" s="55" t="n"/>
      <c r="AC1848" s="55" t="n"/>
      <c r="AD1848" s="53" t="n"/>
      <c r="AE1848" s="55" t="n"/>
      <c r="AF1848" s="55" t="n"/>
      <c r="AG1848" s="59" t="n"/>
      <c r="AH1848" s="57" t="n"/>
      <c r="AI1848" s="55" t="n"/>
      <c r="AJ1848" s="55" t="n"/>
      <c r="AK1848" s="55" t="n"/>
      <c r="AL1848" s="55" t="n"/>
      <c r="AM1848" s="56" t="n"/>
      <c r="AN1848" s="55" t="n"/>
      <c r="AO1848" s="55" t="n"/>
      <c r="AP1848" s="55" t="n"/>
      <c r="AQ1848" s="55" t="n"/>
      <c r="AR1848" s="60">
        <f>IF(AND(C1848="",E1848=""),"",IF(A1848="","⚠ Date manquante",IF(AND(C1848="",E1848&lt;&gt;"Dépense"),"⚠ Prospect manquant",IF(E1848="","⚠ Action manquante",IF(AND(AU1848=1,D1848=""),"⚠ Canal manquant",IF(AND(W1848&lt;&gt;"",COUNTIFS('Saisie'!$W$5:$W$2004,W1848,'Saisie'!$C$5:$C$2004,"&lt;&gt;"&amp;C1848)&gt;0),"⚠ Numéro déjà utilisé par un autre prospect",IF(AND(J1848&lt;&gt;"",J1848&lt;A1848),"⚠ Relance avant la date de l'action",IF(A1848&gt;TODAY(),"⚠ Date dans le futur","✓"))))))))</f>
        <v/>
      </c>
      <c r="AS1848" s="61">
        <f>IF(AND(A1848="",C1848="",E1848=""),"",ROW())</f>
        <v/>
      </c>
      <c r="AT1848" s="61">
        <f>IF(E1848&amp;F1848="","",MAX(IFERROR(INDEX('Paramètres'!$J$6:$J$33,MATCH(E1848,'Paramètres'!$I$6:$I$33,0)),0),IFERROR(INDEX('Paramètres'!$N$6:$N$17,MATCH(F1848,'Paramètres'!$M$6:$M$17,0)),0)))</f>
        <v/>
      </c>
      <c r="AU1848" s="61">
        <f>IF(E1848="","",IFERROR(IF(INDEX('Paramètres'!$K$6:$K$33,MATCH(E1848,'Paramètres'!$I$6:$I$33,0))="Oui",1,0),0))</f>
        <v/>
      </c>
      <c r="AV1848" s="61">
        <f>IF(F1848="","",IFERROR(IF(INDEX('Paramètres'!$O$6:$O$17,MATCH(F1848,'Paramètres'!$M$6:$M$17,0))="Oui",1,0),0))</f>
        <v/>
      </c>
      <c r="AW1848" s="62">
        <f>IF(E1848="","",IF(G1848&lt;&gt;"",G1848,IF(OR(E1848="Proposition envoyée",E1848="Signature"),MAX(0,N(IFERROR(INDEX('Paramètres'!$R$6:$R$15,MATCH(IF(AL1848&lt;&gt;"",AL1848,IFERROR(INDEX('Prospects'!$AN$5:$AN$504,MATCH(C1848,'Prospects'!$C$5:$C$504,0)),"")),'Paramètres'!$Q$6:$Q$15,0)),0))-N(P1848)),0)))</f>
        <v/>
      </c>
      <c r="AX1848" s="61">
        <f>IF(C1848="","",IF(COUNTIF($C$5:C1848,C1848)=1,MAX($AX$4:AX1847)+1,""))</f>
        <v/>
      </c>
      <c r="AY1848" s="61">
        <f>IF(B1848="","",HOUR(B1848))</f>
        <v/>
      </c>
      <c r="AZ1848" s="61">
        <f>IF(A1848="","",MOD(A1848-2,7)+1)</f>
        <v/>
      </c>
      <c r="BA1848" s="60">
        <f>IF(C1848="","",IFERROR(INDEX('Prospects'!$N$5:$N$504,MATCH(C1848,'Prospects'!$C$5:$C$504,0)),""))</f>
        <v/>
      </c>
      <c r="BB1848" s="61">
        <f>IF(AND(C1848&lt;&gt;"",C1848='Fiche prospect'!$C$4),COUNTIF($C$5:C1848,C1848),"")</f>
        <v/>
      </c>
    </row>
    <row r="1849">
      <c r="A1849" s="53" t="n"/>
      <c r="B1849" s="54" t="n"/>
      <c r="C1849" s="55" t="n"/>
      <c r="D1849" s="55" t="n"/>
      <c r="E1849" s="55" t="n"/>
      <c r="F1849" s="55" t="n"/>
      <c r="G1849" s="56" t="n"/>
      <c r="H1849" s="57" t="n"/>
      <c r="I1849" s="55" t="n"/>
      <c r="J1849" s="53" t="n"/>
      <c r="K1849" s="54" t="n"/>
      <c r="L1849" s="55" t="n"/>
      <c r="M1849" s="55" t="n"/>
      <c r="N1849" s="57" t="n"/>
      <c r="O1849" s="55" t="n"/>
      <c r="P1849" s="56" t="n"/>
      <c r="Q1849" s="55" t="n"/>
      <c r="R1849" s="55" t="n"/>
      <c r="S1849" s="55" t="n"/>
      <c r="T1849" s="55" t="n"/>
      <c r="U1849" s="55" t="n"/>
      <c r="V1849" s="55" t="n"/>
      <c r="W1849" s="58" t="n"/>
      <c r="X1849" s="58" t="n"/>
      <c r="Y1849" s="55" t="n"/>
      <c r="Z1849" s="55" t="n"/>
      <c r="AA1849" s="55" t="n"/>
      <c r="AB1849" s="55" t="n"/>
      <c r="AC1849" s="55" t="n"/>
      <c r="AD1849" s="53" t="n"/>
      <c r="AE1849" s="55" t="n"/>
      <c r="AF1849" s="55" t="n"/>
      <c r="AG1849" s="59" t="n"/>
      <c r="AH1849" s="57" t="n"/>
      <c r="AI1849" s="55" t="n"/>
      <c r="AJ1849" s="55" t="n"/>
      <c r="AK1849" s="55" t="n"/>
      <c r="AL1849" s="55" t="n"/>
      <c r="AM1849" s="56" t="n"/>
      <c r="AN1849" s="55" t="n"/>
      <c r="AO1849" s="55" t="n"/>
      <c r="AP1849" s="55" t="n"/>
      <c r="AQ1849" s="55" t="n"/>
      <c r="AR1849" s="60">
        <f>IF(AND(C1849="",E1849=""),"",IF(A1849="","⚠ Date manquante",IF(AND(C1849="",E1849&lt;&gt;"Dépense"),"⚠ Prospect manquant",IF(E1849="","⚠ Action manquante",IF(AND(AU1849=1,D1849=""),"⚠ Canal manquant",IF(AND(W1849&lt;&gt;"",COUNTIFS('Saisie'!$W$5:$W$2004,W1849,'Saisie'!$C$5:$C$2004,"&lt;&gt;"&amp;C1849)&gt;0),"⚠ Numéro déjà utilisé par un autre prospect",IF(AND(J1849&lt;&gt;"",J1849&lt;A1849),"⚠ Relance avant la date de l'action",IF(A1849&gt;TODAY(),"⚠ Date dans le futur","✓"))))))))</f>
        <v/>
      </c>
      <c r="AS1849" s="61">
        <f>IF(AND(A1849="",C1849="",E1849=""),"",ROW())</f>
        <v/>
      </c>
      <c r="AT1849" s="61">
        <f>IF(E1849&amp;F1849="","",MAX(IFERROR(INDEX('Paramètres'!$J$6:$J$33,MATCH(E1849,'Paramètres'!$I$6:$I$33,0)),0),IFERROR(INDEX('Paramètres'!$N$6:$N$17,MATCH(F1849,'Paramètres'!$M$6:$M$17,0)),0)))</f>
        <v/>
      </c>
      <c r="AU1849" s="61">
        <f>IF(E1849="","",IFERROR(IF(INDEX('Paramètres'!$K$6:$K$33,MATCH(E1849,'Paramètres'!$I$6:$I$33,0))="Oui",1,0),0))</f>
        <v/>
      </c>
      <c r="AV1849" s="61">
        <f>IF(F1849="","",IFERROR(IF(INDEX('Paramètres'!$O$6:$O$17,MATCH(F1849,'Paramètres'!$M$6:$M$17,0))="Oui",1,0),0))</f>
        <v/>
      </c>
      <c r="AW1849" s="62">
        <f>IF(E1849="","",IF(G1849&lt;&gt;"",G1849,IF(OR(E1849="Proposition envoyée",E1849="Signature"),MAX(0,N(IFERROR(INDEX('Paramètres'!$R$6:$R$15,MATCH(IF(AL1849&lt;&gt;"",AL1849,IFERROR(INDEX('Prospects'!$AN$5:$AN$504,MATCH(C1849,'Prospects'!$C$5:$C$504,0)),"")),'Paramètres'!$Q$6:$Q$15,0)),0))-N(P1849)),0)))</f>
        <v/>
      </c>
      <c r="AX1849" s="61">
        <f>IF(C1849="","",IF(COUNTIF($C$5:C1849,C1849)=1,MAX($AX$4:AX1848)+1,""))</f>
        <v/>
      </c>
      <c r="AY1849" s="61">
        <f>IF(B1849="","",HOUR(B1849))</f>
        <v/>
      </c>
      <c r="AZ1849" s="61">
        <f>IF(A1849="","",MOD(A1849-2,7)+1)</f>
        <v/>
      </c>
      <c r="BA1849" s="60">
        <f>IF(C1849="","",IFERROR(INDEX('Prospects'!$N$5:$N$504,MATCH(C1849,'Prospects'!$C$5:$C$504,0)),""))</f>
        <v/>
      </c>
      <c r="BB1849" s="61">
        <f>IF(AND(C1849&lt;&gt;"",C1849='Fiche prospect'!$C$4),COUNTIF($C$5:C1849,C1849),"")</f>
        <v/>
      </c>
    </row>
    <row r="1850">
      <c r="A1850" s="53" t="n"/>
      <c r="B1850" s="54" t="n"/>
      <c r="C1850" s="55" t="n"/>
      <c r="D1850" s="55" t="n"/>
      <c r="E1850" s="55" t="n"/>
      <c r="F1850" s="55" t="n"/>
      <c r="G1850" s="56" t="n"/>
      <c r="H1850" s="57" t="n"/>
      <c r="I1850" s="55" t="n"/>
      <c r="J1850" s="53" t="n"/>
      <c r="K1850" s="54" t="n"/>
      <c r="L1850" s="55" t="n"/>
      <c r="M1850" s="55" t="n"/>
      <c r="N1850" s="57" t="n"/>
      <c r="O1850" s="55" t="n"/>
      <c r="P1850" s="56" t="n"/>
      <c r="Q1850" s="55" t="n"/>
      <c r="R1850" s="55" t="n"/>
      <c r="S1850" s="55" t="n"/>
      <c r="T1850" s="55" t="n"/>
      <c r="U1850" s="55" t="n"/>
      <c r="V1850" s="55" t="n"/>
      <c r="W1850" s="58" t="n"/>
      <c r="X1850" s="58" t="n"/>
      <c r="Y1850" s="55" t="n"/>
      <c r="Z1850" s="55" t="n"/>
      <c r="AA1850" s="55" t="n"/>
      <c r="AB1850" s="55" t="n"/>
      <c r="AC1850" s="55" t="n"/>
      <c r="AD1850" s="53" t="n"/>
      <c r="AE1850" s="55" t="n"/>
      <c r="AF1850" s="55" t="n"/>
      <c r="AG1850" s="59" t="n"/>
      <c r="AH1850" s="57" t="n"/>
      <c r="AI1850" s="55" t="n"/>
      <c r="AJ1850" s="55" t="n"/>
      <c r="AK1850" s="55" t="n"/>
      <c r="AL1850" s="55" t="n"/>
      <c r="AM1850" s="56" t="n"/>
      <c r="AN1850" s="55" t="n"/>
      <c r="AO1850" s="55" t="n"/>
      <c r="AP1850" s="55" t="n"/>
      <c r="AQ1850" s="55" t="n"/>
      <c r="AR1850" s="60">
        <f>IF(AND(C1850="",E1850=""),"",IF(A1850="","⚠ Date manquante",IF(AND(C1850="",E1850&lt;&gt;"Dépense"),"⚠ Prospect manquant",IF(E1850="","⚠ Action manquante",IF(AND(AU1850=1,D1850=""),"⚠ Canal manquant",IF(AND(W1850&lt;&gt;"",COUNTIFS('Saisie'!$W$5:$W$2004,W1850,'Saisie'!$C$5:$C$2004,"&lt;&gt;"&amp;C1850)&gt;0),"⚠ Numéro déjà utilisé par un autre prospect",IF(AND(J1850&lt;&gt;"",J1850&lt;A1850),"⚠ Relance avant la date de l'action",IF(A1850&gt;TODAY(),"⚠ Date dans le futur","✓"))))))))</f>
        <v/>
      </c>
      <c r="AS1850" s="61">
        <f>IF(AND(A1850="",C1850="",E1850=""),"",ROW())</f>
        <v/>
      </c>
      <c r="AT1850" s="61">
        <f>IF(E1850&amp;F1850="","",MAX(IFERROR(INDEX('Paramètres'!$J$6:$J$33,MATCH(E1850,'Paramètres'!$I$6:$I$33,0)),0),IFERROR(INDEX('Paramètres'!$N$6:$N$17,MATCH(F1850,'Paramètres'!$M$6:$M$17,0)),0)))</f>
        <v/>
      </c>
      <c r="AU1850" s="61">
        <f>IF(E1850="","",IFERROR(IF(INDEX('Paramètres'!$K$6:$K$33,MATCH(E1850,'Paramètres'!$I$6:$I$33,0))="Oui",1,0),0))</f>
        <v/>
      </c>
      <c r="AV1850" s="61">
        <f>IF(F1850="","",IFERROR(IF(INDEX('Paramètres'!$O$6:$O$17,MATCH(F1850,'Paramètres'!$M$6:$M$17,0))="Oui",1,0),0))</f>
        <v/>
      </c>
      <c r="AW1850" s="62">
        <f>IF(E1850="","",IF(G1850&lt;&gt;"",G1850,IF(OR(E1850="Proposition envoyée",E1850="Signature"),MAX(0,N(IFERROR(INDEX('Paramètres'!$R$6:$R$15,MATCH(IF(AL1850&lt;&gt;"",AL1850,IFERROR(INDEX('Prospects'!$AN$5:$AN$504,MATCH(C1850,'Prospects'!$C$5:$C$504,0)),"")),'Paramètres'!$Q$6:$Q$15,0)),0))-N(P1850)),0)))</f>
        <v/>
      </c>
      <c r="AX1850" s="61">
        <f>IF(C1850="","",IF(COUNTIF($C$5:C1850,C1850)=1,MAX($AX$4:AX1849)+1,""))</f>
        <v/>
      </c>
      <c r="AY1850" s="61">
        <f>IF(B1850="","",HOUR(B1850))</f>
        <v/>
      </c>
      <c r="AZ1850" s="61">
        <f>IF(A1850="","",MOD(A1850-2,7)+1)</f>
        <v/>
      </c>
      <c r="BA1850" s="60">
        <f>IF(C1850="","",IFERROR(INDEX('Prospects'!$N$5:$N$504,MATCH(C1850,'Prospects'!$C$5:$C$504,0)),""))</f>
        <v/>
      </c>
      <c r="BB1850" s="61">
        <f>IF(AND(C1850&lt;&gt;"",C1850='Fiche prospect'!$C$4),COUNTIF($C$5:C1850,C1850),"")</f>
        <v/>
      </c>
    </row>
    <row r="1851">
      <c r="A1851" s="53" t="n"/>
      <c r="B1851" s="54" t="n"/>
      <c r="C1851" s="55" t="n"/>
      <c r="D1851" s="55" t="n"/>
      <c r="E1851" s="55" t="n"/>
      <c r="F1851" s="55" t="n"/>
      <c r="G1851" s="56" t="n"/>
      <c r="H1851" s="57" t="n"/>
      <c r="I1851" s="55" t="n"/>
      <c r="J1851" s="53" t="n"/>
      <c r="K1851" s="54" t="n"/>
      <c r="L1851" s="55" t="n"/>
      <c r="M1851" s="55" t="n"/>
      <c r="N1851" s="57" t="n"/>
      <c r="O1851" s="55" t="n"/>
      <c r="P1851" s="56" t="n"/>
      <c r="Q1851" s="55" t="n"/>
      <c r="R1851" s="55" t="n"/>
      <c r="S1851" s="55" t="n"/>
      <c r="T1851" s="55" t="n"/>
      <c r="U1851" s="55" t="n"/>
      <c r="V1851" s="55" t="n"/>
      <c r="W1851" s="58" t="n"/>
      <c r="X1851" s="58" t="n"/>
      <c r="Y1851" s="55" t="n"/>
      <c r="Z1851" s="55" t="n"/>
      <c r="AA1851" s="55" t="n"/>
      <c r="AB1851" s="55" t="n"/>
      <c r="AC1851" s="55" t="n"/>
      <c r="AD1851" s="53" t="n"/>
      <c r="AE1851" s="55" t="n"/>
      <c r="AF1851" s="55" t="n"/>
      <c r="AG1851" s="59" t="n"/>
      <c r="AH1851" s="57" t="n"/>
      <c r="AI1851" s="55" t="n"/>
      <c r="AJ1851" s="55" t="n"/>
      <c r="AK1851" s="55" t="n"/>
      <c r="AL1851" s="55" t="n"/>
      <c r="AM1851" s="56" t="n"/>
      <c r="AN1851" s="55" t="n"/>
      <c r="AO1851" s="55" t="n"/>
      <c r="AP1851" s="55" t="n"/>
      <c r="AQ1851" s="55" t="n"/>
      <c r="AR1851" s="60">
        <f>IF(AND(C1851="",E1851=""),"",IF(A1851="","⚠ Date manquante",IF(AND(C1851="",E1851&lt;&gt;"Dépense"),"⚠ Prospect manquant",IF(E1851="","⚠ Action manquante",IF(AND(AU1851=1,D1851=""),"⚠ Canal manquant",IF(AND(W1851&lt;&gt;"",COUNTIFS('Saisie'!$W$5:$W$2004,W1851,'Saisie'!$C$5:$C$2004,"&lt;&gt;"&amp;C1851)&gt;0),"⚠ Numéro déjà utilisé par un autre prospect",IF(AND(J1851&lt;&gt;"",J1851&lt;A1851),"⚠ Relance avant la date de l'action",IF(A1851&gt;TODAY(),"⚠ Date dans le futur","✓"))))))))</f>
        <v/>
      </c>
      <c r="AS1851" s="61">
        <f>IF(AND(A1851="",C1851="",E1851=""),"",ROW())</f>
        <v/>
      </c>
      <c r="AT1851" s="61">
        <f>IF(E1851&amp;F1851="","",MAX(IFERROR(INDEX('Paramètres'!$J$6:$J$33,MATCH(E1851,'Paramètres'!$I$6:$I$33,0)),0),IFERROR(INDEX('Paramètres'!$N$6:$N$17,MATCH(F1851,'Paramètres'!$M$6:$M$17,0)),0)))</f>
        <v/>
      </c>
      <c r="AU1851" s="61">
        <f>IF(E1851="","",IFERROR(IF(INDEX('Paramètres'!$K$6:$K$33,MATCH(E1851,'Paramètres'!$I$6:$I$33,0))="Oui",1,0),0))</f>
        <v/>
      </c>
      <c r="AV1851" s="61">
        <f>IF(F1851="","",IFERROR(IF(INDEX('Paramètres'!$O$6:$O$17,MATCH(F1851,'Paramètres'!$M$6:$M$17,0))="Oui",1,0),0))</f>
        <v/>
      </c>
      <c r="AW1851" s="62">
        <f>IF(E1851="","",IF(G1851&lt;&gt;"",G1851,IF(OR(E1851="Proposition envoyée",E1851="Signature"),MAX(0,N(IFERROR(INDEX('Paramètres'!$R$6:$R$15,MATCH(IF(AL1851&lt;&gt;"",AL1851,IFERROR(INDEX('Prospects'!$AN$5:$AN$504,MATCH(C1851,'Prospects'!$C$5:$C$504,0)),"")),'Paramètres'!$Q$6:$Q$15,0)),0))-N(P1851)),0)))</f>
        <v/>
      </c>
      <c r="AX1851" s="61">
        <f>IF(C1851="","",IF(COUNTIF($C$5:C1851,C1851)=1,MAX($AX$4:AX1850)+1,""))</f>
        <v/>
      </c>
      <c r="AY1851" s="61">
        <f>IF(B1851="","",HOUR(B1851))</f>
        <v/>
      </c>
      <c r="AZ1851" s="61">
        <f>IF(A1851="","",MOD(A1851-2,7)+1)</f>
        <v/>
      </c>
      <c r="BA1851" s="60">
        <f>IF(C1851="","",IFERROR(INDEX('Prospects'!$N$5:$N$504,MATCH(C1851,'Prospects'!$C$5:$C$504,0)),""))</f>
        <v/>
      </c>
      <c r="BB1851" s="61">
        <f>IF(AND(C1851&lt;&gt;"",C1851='Fiche prospect'!$C$4),COUNTIF($C$5:C1851,C1851),"")</f>
        <v/>
      </c>
    </row>
    <row r="1852">
      <c r="A1852" s="53" t="n"/>
      <c r="B1852" s="54" t="n"/>
      <c r="C1852" s="55" t="n"/>
      <c r="D1852" s="55" t="n"/>
      <c r="E1852" s="55" t="n"/>
      <c r="F1852" s="55" t="n"/>
      <c r="G1852" s="56" t="n"/>
      <c r="H1852" s="57" t="n"/>
      <c r="I1852" s="55" t="n"/>
      <c r="J1852" s="53" t="n"/>
      <c r="K1852" s="54" t="n"/>
      <c r="L1852" s="55" t="n"/>
      <c r="M1852" s="55" t="n"/>
      <c r="N1852" s="57" t="n"/>
      <c r="O1852" s="55" t="n"/>
      <c r="P1852" s="56" t="n"/>
      <c r="Q1852" s="55" t="n"/>
      <c r="R1852" s="55" t="n"/>
      <c r="S1852" s="55" t="n"/>
      <c r="T1852" s="55" t="n"/>
      <c r="U1852" s="55" t="n"/>
      <c r="V1852" s="55" t="n"/>
      <c r="W1852" s="58" t="n"/>
      <c r="X1852" s="58" t="n"/>
      <c r="Y1852" s="55" t="n"/>
      <c r="Z1852" s="55" t="n"/>
      <c r="AA1852" s="55" t="n"/>
      <c r="AB1852" s="55" t="n"/>
      <c r="AC1852" s="55" t="n"/>
      <c r="AD1852" s="53" t="n"/>
      <c r="AE1852" s="55" t="n"/>
      <c r="AF1852" s="55" t="n"/>
      <c r="AG1852" s="59" t="n"/>
      <c r="AH1852" s="57" t="n"/>
      <c r="AI1852" s="55" t="n"/>
      <c r="AJ1852" s="55" t="n"/>
      <c r="AK1852" s="55" t="n"/>
      <c r="AL1852" s="55" t="n"/>
      <c r="AM1852" s="56" t="n"/>
      <c r="AN1852" s="55" t="n"/>
      <c r="AO1852" s="55" t="n"/>
      <c r="AP1852" s="55" t="n"/>
      <c r="AQ1852" s="55" t="n"/>
      <c r="AR1852" s="60">
        <f>IF(AND(C1852="",E1852=""),"",IF(A1852="","⚠ Date manquante",IF(AND(C1852="",E1852&lt;&gt;"Dépense"),"⚠ Prospect manquant",IF(E1852="","⚠ Action manquante",IF(AND(AU1852=1,D1852=""),"⚠ Canal manquant",IF(AND(W1852&lt;&gt;"",COUNTIFS('Saisie'!$W$5:$W$2004,W1852,'Saisie'!$C$5:$C$2004,"&lt;&gt;"&amp;C1852)&gt;0),"⚠ Numéro déjà utilisé par un autre prospect",IF(AND(J1852&lt;&gt;"",J1852&lt;A1852),"⚠ Relance avant la date de l'action",IF(A1852&gt;TODAY(),"⚠ Date dans le futur","✓"))))))))</f>
        <v/>
      </c>
      <c r="AS1852" s="61">
        <f>IF(AND(A1852="",C1852="",E1852=""),"",ROW())</f>
        <v/>
      </c>
      <c r="AT1852" s="61">
        <f>IF(E1852&amp;F1852="","",MAX(IFERROR(INDEX('Paramètres'!$J$6:$J$33,MATCH(E1852,'Paramètres'!$I$6:$I$33,0)),0),IFERROR(INDEX('Paramètres'!$N$6:$N$17,MATCH(F1852,'Paramètres'!$M$6:$M$17,0)),0)))</f>
        <v/>
      </c>
      <c r="AU1852" s="61">
        <f>IF(E1852="","",IFERROR(IF(INDEX('Paramètres'!$K$6:$K$33,MATCH(E1852,'Paramètres'!$I$6:$I$33,0))="Oui",1,0),0))</f>
        <v/>
      </c>
      <c r="AV1852" s="61">
        <f>IF(F1852="","",IFERROR(IF(INDEX('Paramètres'!$O$6:$O$17,MATCH(F1852,'Paramètres'!$M$6:$M$17,0))="Oui",1,0),0))</f>
        <v/>
      </c>
      <c r="AW1852" s="62">
        <f>IF(E1852="","",IF(G1852&lt;&gt;"",G1852,IF(OR(E1852="Proposition envoyée",E1852="Signature"),MAX(0,N(IFERROR(INDEX('Paramètres'!$R$6:$R$15,MATCH(IF(AL1852&lt;&gt;"",AL1852,IFERROR(INDEX('Prospects'!$AN$5:$AN$504,MATCH(C1852,'Prospects'!$C$5:$C$504,0)),"")),'Paramètres'!$Q$6:$Q$15,0)),0))-N(P1852)),0)))</f>
        <v/>
      </c>
      <c r="AX1852" s="61">
        <f>IF(C1852="","",IF(COUNTIF($C$5:C1852,C1852)=1,MAX($AX$4:AX1851)+1,""))</f>
        <v/>
      </c>
      <c r="AY1852" s="61">
        <f>IF(B1852="","",HOUR(B1852))</f>
        <v/>
      </c>
      <c r="AZ1852" s="61">
        <f>IF(A1852="","",MOD(A1852-2,7)+1)</f>
        <v/>
      </c>
      <c r="BA1852" s="60">
        <f>IF(C1852="","",IFERROR(INDEX('Prospects'!$N$5:$N$504,MATCH(C1852,'Prospects'!$C$5:$C$504,0)),""))</f>
        <v/>
      </c>
      <c r="BB1852" s="61">
        <f>IF(AND(C1852&lt;&gt;"",C1852='Fiche prospect'!$C$4),COUNTIF($C$5:C1852,C1852),"")</f>
        <v/>
      </c>
    </row>
    <row r="1853">
      <c r="A1853" s="53" t="n"/>
      <c r="B1853" s="54" t="n"/>
      <c r="C1853" s="55" t="n"/>
      <c r="D1853" s="55" t="n"/>
      <c r="E1853" s="55" t="n"/>
      <c r="F1853" s="55" t="n"/>
      <c r="G1853" s="56" t="n"/>
      <c r="H1853" s="57" t="n"/>
      <c r="I1853" s="55" t="n"/>
      <c r="J1853" s="53" t="n"/>
      <c r="K1853" s="54" t="n"/>
      <c r="L1853" s="55" t="n"/>
      <c r="M1853" s="55" t="n"/>
      <c r="N1853" s="57" t="n"/>
      <c r="O1853" s="55" t="n"/>
      <c r="P1853" s="56" t="n"/>
      <c r="Q1853" s="55" t="n"/>
      <c r="R1853" s="55" t="n"/>
      <c r="S1853" s="55" t="n"/>
      <c r="T1853" s="55" t="n"/>
      <c r="U1853" s="55" t="n"/>
      <c r="V1853" s="55" t="n"/>
      <c r="W1853" s="58" t="n"/>
      <c r="X1853" s="58" t="n"/>
      <c r="Y1853" s="55" t="n"/>
      <c r="Z1853" s="55" t="n"/>
      <c r="AA1853" s="55" t="n"/>
      <c r="AB1853" s="55" t="n"/>
      <c r="AC1853" s="55" t="n"/>
      <c r="AD1853" s="53" t="n"/>
      <c r="AE1853" s="55" t="n"/>
      <c r="AF1853" s="55" t="n"/>
      <c r="AG1853" s="59" t="n"/>
      <c r="AH1853" s="57" t="n"/>
      <c r="AI1853" s="55" t="n"/>
      <c r="AJ1853" s="55" t="n"/>
      <c r="AK1853" s="55" t="n"/>
      <c r="AL1853" s="55" t="n"/>
      <c r="AM1853" s="56" t="n"/>
      <c r="AN1853" s="55" t="n"/>
      <c r="AO1853" s="55" t="n"/>
      <c r="AP1853" s="55" t="n"/>
      <c r="AQ1853" s="55" t="n"/>
      <c r="AR1853" s="60">
        <f>IF(AND(C1853="",E1853=""),"",IF(A1853="","⚠ Date manquante",IF(AND(C1853="",E1853&lt;&gt;"Dépense"),"⚠ Prospect manquant",IF(E1853="","⚠ Action manquante",IF(AND(AU1853=1,D1853=""),"⚠ Canal manquant",IF(AND(W1853&lt;&gt;"",COUNTIFS('Saisie'!$W$5:$W$2004,W1853,'Saisie'!$C$5:$C$2004,"&lt;&gt;"&amp;C1853)&gt;0),"⚠ Numéro déjà utilisé par un autre prospect",IF(AND(J1853&lt;&gt;"",J1853&lt;A1853),"⚠ Relance avant la date de l'action",IF(A1853&gt;TODAY(),"⚠ Date dans le futur","✓"))))))))</f>
        <v/>
      </c>
      <c r="AS1853" s="61">
        <f>IF(AND(A1853="",C1853="",E1853=""),"",ROW())</f>
        <v/>
      </c>
      <c r="AT1853" s="61">
        <f>IF(E1853&amp;F1853="","",MAX(IFERROR(INDEX('Paramètres'!$J$6:$J$33,MATCH(E1853,'Paramètres'!$I$6:$I$33,0)),0),IFERROR(INDEX('Paramètres'!$N$6:$N$17,MATCH(F1853,'Paramètres'!$M$6:$M$17,0)),0)))</f>
        <v/>
      </c>
      <c r="AU1853" s="61">
        <f>IF(E1853="","",IFERROR(IF(INDEX('Paramètres'!$K$6:$K$33,MATCH(E1853,'Paramètres'!$I$6:$I$33,0))="Oui",1,0),0))</f>
        <v/>
      </c>
      <c r="AV1853" s="61">
        <f>IF(F1853="","",IFERROR(IF(INDEX('Paramètres'!$O$6:$O$17,MATCH(F1853,'Paramètres'!$M$6:$M$17,0))="Oui",1,0),0))</f>
        <v/>
      </c>
      <c r="AW1853" s="62">
        <f>IF(E1853="","",IF(G1853&lt;&gt;"",G1853,IF(OR(E1853="Proposition envoyée",E1853="Signature"),MAX(0,N(IFERROR(INDEX('Paramètres'!$R$6:$R$15,MATCH(IF(AL1853&lt;&gt;"",AL1853,IFERROR(INDEX('Prospects'!$AN$5:$AN$504,MATCH(C1853,'Prospects'!$C$5:$C$504,0)),"")),'Paramètres'!$Q$6:$Q$15,0)),0))-N(P1853)),0)))</f>
        <v/>
      </c>
      <c r="AX1853" s="61">
        <f>IF(C1853="","",IF(COUNTIF($C$5:C1853,C1853)=1,MAX($AX$4:AX1852)+1,""))</f>
        <v/>
      </c>
      <c r="AY1853" s="61">
        <f>IF(B1853="","",HOUR(B1853))</f>
        <v/>
      </c>
      <c r="AZ1853" s="61">
        <f>IF(A1853="","",MOD(A1853-2,7)+1)</f>
        <v/>
      </c>
      <c r="BA1853" s="60">
        <f>IF(C1853="","",IFERROR(INDEX('Prospects'!$N$5:$N$504,MATCH(C1853,'Prospects'!$C$5:$C$504,0)),""))</f>
        <v/>
      </c>
      <c r="BB1853" s="61">
        <f>IF(AND(C1853&lt;&gt;"",C1853='Fiche prospect'!$C$4),COUNTIF($C$5:C1853,C1853),"")</f>
        <v/>
      </c>
    </row>
    <row r="1854">
      <c r="A1854" s="53" t="n"/>
      <c r="B1854" s="54" t="n"/>
      <c r="C1854" s="55" t="n"/>
      <c r="D1854" s="55" t="n"/>
      <c r="E1854" s="55" t="n"/>
      <c r="F1854" s="55" t="n"/>
      <c r="G1854" s="56" t="n"/>
      <c r="H1854" s="57" t="n"/>
      <c r="I1854" s="55" t="n"/>
      <c r="J1854" s="53" t="n"/>
      <c r="K1854" s="54" t="n"/>
      <c r="L1854" s="55" t="n"/>
      <c r="M1854" s="55" t="n"/>
      <c r="N1854" s="57" t="n"/>
      <c r="O1854" s="55" t="n"/>
      <c r="P1854" s="56" t="n"/>
      <c r="Q1854" s="55" t="n"/>
      <c r="R1854" s="55" t="n"/>
      <c r="S1854" s="55" t="n"/>
      <c r="T1854" s="55" t="n"/>
      <c r="U1854" s="55" t="n"/>
      <c r="V1854" s="55" t="n"/>
      <c r="W1854" s="58" t="n"/>
      <c r="X1854" s="58" t="n"/>
      <c r="Y1854" s="55" t="n"/>
      <c r="Z1854" s="55" t="n"/>
      <c r="AA1854" s="55" t="n"/>
      <c r="AB1854" s="55" t="n"/>
      <c r="AC1854" s="55" t="n"/>
      <c r="AD1854" s="53" t="n"/>
      <c r="AE1854" s="55" t="n"/>
      <c r="AF1854" s="55" t="n"/>
      <c r="AG1854" s="59" t="n"/>
      <c r="AH1854" s="57" t="n"/>
      <c r="AI1854" s="55" t="n"/>
      <c r="AJ1854" s="55" t="n"/>
      <c r="AK1854" s="55" t="n"/>
      <c r="AL1854" s="55" t="n"/>
      <c r="AM1854" s="56" t="n"/>
      <c r="AN1854" s="55" t="n"/>
      <c r="AO1854" s="55" t="n"/>
      <c r="AP1854" s="55" t="n"/>
      <c r="AQ1854" s="55" t="n"/>
      <c r="AR1854" s="60">
        <f>IF(AND(C1854="",E1854=""),"",IF(A1854="","⚠ Date manquante",IF(AND(C1854="",E1854&lt;&gt;"Dépense"),"⚠ Prospect manquant",IF(E1854="","⚠ Action manquante",IF(AND(AU1854=1,D1854=""),"⚠ Canal manquant",IF(AND(W1854&lt;&gt;"",COUNTIFS('Saisie'!$W$5:$W$2004,W1854,'Saisie'!$C$5:$C$2004,"&lt;&gt;"&amp;C1854)&gt;0),"⚠ Numéro déjà utilisé par un autre prospect",IF(AND(J1854&lt;&gt;"",J1854&lt;A1854),"⚠ Relance avant la date de l'action",IF(A1854&gt;TODAY(),"⚠ Date dans le futur","✓"))))))))</f>
        <v/>
      </c>
      <c r="AS1854" s="61">
        <f>IF(AND(A1854="",C1854="",E1854=""),"",ROW())</f>
        <v/>
      </c>
      <c r="AT1854" s="61">
        <f>IF(E1854&amp;F1854="","",MAX(IFERROR(INDEX('Paramètres'!$J$6:$J$33,MATCH(E1854,'Paramètres'!$I$6:$I$33,0)),0),IFERROR(INDEX('Paramètres'!$N$6:$N$17,MATCH(F1854,'Paramètres'!$M$6:$M$17,0)),0)))</f>
        <v/>
      </c>
      <c r="AU1854" s="61">
        <f>IF(E1854="","",IFERROR(IF(INDEX('Paramètres'!$K$6:$K$33,MATCH(E1854,'Paramètres'!$I$6:$I$33,0))="Oui",1,0),0))</f>
        <v/>
      </c>
      <c r="AV1854" s="61">
        <f>IF(F1854="","",IFERROR(IF(INDEX('Paramètres'!$O$6:$O$17,MATCH(F1854,'Paramètres'!$M$6:$M$17,0))="Oui",1,0),0))</f>
        <v/>
      </c>
      <c r="AW1854" s="62">
        <f>IF(E1854="","",IF(G1854&lt;&gt;"",G1854,IF(OR(E1854="Proposition envoyée",E1854="Signature"),MAX(0,N(IFERROR(INDEX('Paramètres'!$R$6:$R$15,MATCH(IF(AL1854&lt;&gt;"",AL1854,IFERROR(INDEX('Prospects'!$AN$5:$AN$504,MATCH(C1854,'Prospects'!$C$5:$C$504,0)),"")),'Paramètres'!$Q$6:$Q$15,0)),0))-N(P1854)),0)))</f>
        <v/>
      </c>
      <c r="AX1854" s="61">
        <f>IF(C1854="","",IF(COUNTIF($C$5:C1854,C1854)=1,MAX($AX$4:AX1853)+1,""))</f>
        <v/>
      </c>
      <c r="AY1854" s="61">
        <f>IF(B1854="","",HOUR(B1854))</f>
        <v/>
      </c>
      <c r="AZ1854" s="61">
        <f>IF(A1854="","",MOD(A1854-2,7)+1)</f>
        <v/>
      </c>
      <c r="BA1854" s="60">
        <f>IF(C1854="","",IFERROR(INDEX('Prospects'!$N$5:$N$504,MATCH(C1854,'Prospects'!$C$5:$C$504,0)),""))</f>
        <v/>
      </c>
      <c r="BB1854" s="61">
        <f>IF(AND(C1854&lt;&gt;"",C1854='Fiche prospect'!$C$4),COUNTIF($C$5:C1854,C1854),"")</f>
        <v/>
      </c>
    </row>
    <row r="1855">
      <c r="A1855" s="53" t="n"/>
      <c r="B1855" s="54" t="n"/>
      <c r="C1855" s="55" t="n"/>
      <c r="D1855" s="55" t="n"/>
      <c r="E1855" s="55" t="n"/>
      <c r="F1855" s="55" t="n"/>
      <c r="G1855" s="56" t="n"/>
      <c r="H1855" s="57" t="n"/>
      <c r="I1855" s="55" t="n"/>
      <c r="J1855" s="53" t="n"/>
      <c r="K1855" s="54" t="n"/>
      <c r="L1855" s="55" t="n"/>
      <c r="M1855" s="55" t="n"/>
      <c r="N1855" s="57" t="n"/>
      <c r="O1855" s="55" t="n"/>
      <c r="P1855" s="56" t="n"/>
      <c r="Q1855" s="55" t="n"/>
      <c r="R1855" s="55" t="n"/>
      <c r="S1855" s="55" t="n"/>
      <c r="T1855" s="55" t="n"/>
      <c r="U1855" s="55" t="n"/>
      <c r="V1855" s="55" t="n"/>
      <c r="W1855" s="58" t="n"/>
      <c r="X1855" s="58" t="n"/>
      <c r="Y1855" s="55" t="n"/>
      <c r="Z1855" s="55" t="n"/>
      <c r="AA1855" s="55" t="n"/>
      <c r="AB1855" s="55" t="n"/>
      <c r="AC1855" s="55" t="n"/>
      <c r="AD1855" s="53" t="n"/>
      <c r="AE1855" s="55" t="n"/>
      <c r="AF1855" s="55" t="n"/>
      <c r="AG1855" s="59" t="n"/>
      <c r="AH1855" s="57" t="n"/>
      <c r="AI1855" s="55" t="n"/>
      <c r="AJ1855" s="55" t="n"/>
      <c r="AK1855" s="55" t="n"/>
      <c r="AL1855" s="55" t="n"/>
      <c r="AM1855" s="56" t="n"/>
      <c r="AN1855" s="55" t="n"/>
      <c r="AO1855" s="55" t="n"/>
      <c r="AP1855" s="55" t="n"/>
      <c r="AQ1855" s="55" t="n"/>
      <c r="AR1855" s="60">
        <f>IF(AND(C1855="",E1855=""),"",IF(A1855="","⚠ Date manquante",IF(AND(C1855="",E1855&lt;&gt;"Dépense"),"⚠ Prospect manquant",IF(E1855="","⚠ Action manquante",IF(AND(AU1855=1,D1855=""),"⚠ Canal manquant",IF(AND(W1855&lt;&gt;"",COUNTIFS('Saisie'!$W$5:$W$2004,W1855,'Saisie'!$C$5:$C$2004,"&lt;&gt;"&amp;C1855)&gt;0),"⚠ Numéro déjà utilisé par un autre prospect",IF(AND(J1855&lt;&gt;"",J1855&lt;A1855),"⚠ Relance avant la date de l'action",IF(A1855&gt;TODAY(),"⚠ Date dans le futur","✓"))))))))</f>
        <v/>
      </c>
      <c r="AS1855" s="61">
        <f>IF(AND(A1855="",C1855="",E1855=""),"",ROW())</f>
        <v/>
      </c>
      <c r="AT1855" s="61">
        <f>IF(E1855&amp;F1855="","",MAX(IFERROR(INDEX('Paramètres'!$J$6:$J$33,MATCH(E1855,'Paramètres'!$I$6:$I$33,0)),0),IFERROR(INDEX('Paramètres'!$N$6:$N$17,MATCH(F1855,'Paramètres'!$M$6:$M$17,0)),0)))</f>
        <v/>
      </c>
      <c r="AU1855" s="61">
        <f>IF(E1855="","",IFERROR(IF(INDEX('Paramètres'!$K$6:$K$33,MATCH(E1855,'Paramètres'!$I$6:$I$33,0))="Oui",1,0),0))</f>
        <v/>
      </c>
      <c r="AV1855" s="61">
        <f>IF(F1855="","",IFERROR(IF(INDEX('Paramètres'!$O$6:$O$17,MATCH(F1855,'Paramètres'!$M$6:$M$17,0))="Oui",1,0),0))</f>
        <v/>
      </c>
      <c r="AW1855" s="62">
        <f>IF(E1855="","",IF(G1855&lt;&gt;"",G1855,IF(OR(E1855="Proposition envoyée",E1855="Signature"),MAX(0,N(IFERROR(INDEX('Paramètres'!$R$6:$R$15,MATCH(IF(AL1855&lt;&gt;"",AL1855,IFERROR(INDEX('Prospects'!$AN$5:$AN$504,MATCH(C1855,'Prospects'!$C$5:$C$504,0)),"")),'Paramètres'!$Q$6:$Q$15,0)),0))-N(P1855)),0)))</f>
        <v/>
      </c>
      <c r="AX1855" s="61">
        <f>IF(C1855="","",IF(COUNTIF($C$5:C1855,C1855)=1,MAX($AX$4:AX1854)+1,""))</f>
        <v/>
      </c>
      <c r="AY1855" s="61">
        <f>IF(B1855="","",HOUR(B1855))</f>
        <v/>
      </c>
      <c r="AZ1855" s="61">
        <f>IF(A1855="","",MOD(A1855-2,7)+1)</f>
        <v/>
      </c>
      <c r="BA1855" s="60">
        <f>IF(C1855="","",IFERROR(INDEX('Prospects'!$N$5:$N$504,MATCH(C1855,'Prospects'!$C$5:$C$504,0)),""))</f>
        <v/>
      </c>
      <c r="BB1855" s="61">
        <f>IF(AND(C1855&lt;&gt;"",C1855='Fiche prospect'!$C$4),COUNTIF($C$5:C1855,C1855),"")</f>
        <v/>
      </c>
    </row>
    <row r="1856">
      <c r="A1856" s="53" t="n"/>
      <c r="B1856" s="54" t="n"/>
      <c r="C1856" s="55" t="n"/>
      <c r="D1856" s="55" t="n"/>
      <c r="E1856" s="55" t="n"/>
      <c r="F1856" s="55" t="n"/>
      <c r="G1856" s="56" t="n"/>
      <c r="H1856" s="57" t="n"/>
      <c r="I1856" s="55" t="n"/>
      <c r="J1856" s="53" t="n"/>
      <c r="K1856" s="54" t="n"/>
      <c r="L1856" s="55" t="n"/>
      <c r="M1856" s="55" t="n"/>
      <c r="N1856" s="57" t="n"/>
      <c r="O1856" s="55" t="n"/>
      <c r="P1856" s="56" t="n"/>
      <c r="Q1856" s="55" t="n"/>
      <c r="R1856" s="55" t="n"/>
      <c r="S1856" s="55" t="n"/>
      <c r="T1856" s="55" t="n"/>
      <c r="U1856" s="55" t="n"/>
      <c r="V1856" s="55" t="n"/>
      <c r="W1856" s="58" t="n"/>
      <c r="X1856" s="58" t="n"/>
      <c r="Y1856" s="55" t="n"/>
      <c r="Z1856" s="55" t="n"/>
      <c r="AA1856" s="55" t="n"/>
      <c r="AB1856" s="55" t="n"/>
      <c r="AC1856" s="55" t="n"/>
      <c r="AD1856" s="53" t="n"/>
      <c r="AE1856" s="55" t="n"/>
      <c r="AF1856" s="55" t="n"/>
      <c r="AG1856" s="59" t="n"/>
      <c r="AH1856" s="57" t="n"/>
      <c r="AI1856" s="55" t="n"/>
      <c r="AJ1856" s="55" t="n"/>
      <c r="AK1856" s="55" t="n"/>
      <c r="AL1856" s="55" t="n"/>
      <c r="AM1856" s="56" t="n"/>
      <c r="AN1856" s="55" t="n"/>
      <c r="AO1856" s="55" t="n"/>
      <c r="AP1856" s="55" t="n"/>
      <c r="AQ1856" s="55" t="n"/>
      <c r="AR1856" s="60">
        <f>IF(AND(C1856="",E1856=""),"",IF(A1856="","⚠ Date manquante",IF(AND(C1856="",E1856&lt;&gt;"Dépense"),"⚠ Prospect manquant",IF(E1856="","⚠ Action manquante",IF(AND(AU1856=1,D1856=""),"⚠ Canal manquant",IF(AND(W1856&lt;&gt;"",COUNTIFS('Saisie'!$W$5:$W$2004,W1856,'Saisie'!$C$5:$C$2004,"&lt;&gt;"&amp;C1856)&gt;0),"⚠ Numéro déjà utilisé par un autre prospect",IF(AND(J1856&lt;&gt;"",J1856&lt;A1856),"⚠ Relance avant la date de l'action",IF(A1856&gt;TODAY(),"⚠ Date dans le futur","✓"))))))))</f>
        <v/>
      </c>
      <c r="AS1856" s="61">
        <f>IF(AND(A1856="",C1856="",E1856=""),"",ROW())</f>
        <v/>
      </c>
      <c r="AT1856" s="61">
        <f>IF(E1856&amp;F1856="","",MAX(IFERROR(INDEX('Paramètres'!$J$6:$J$33,MATCH(E1856,'Paramètres'!$I$6:$I$33,0)),0),IFERROR(INDEX('Paramètres'!$N$6:$N$17,MATCH(F1856,'Paramètres'!$M$6:$M$17,0)),0)))</f>
        <v/>
      </c>
      <c r="AU1856" s="61">
        <f>IF(E1856="","",IFERROR(IF(INDEX('Paramètres'!$K$6:$K$33,MATCH(E1856,'Paramètres'!$I$6:$I$33,0))="Oui",1,0),0))</f>
        <v/>
      </c>
      <c r="AV1856" s="61">
        <f>IF(F1856="","",IFERROR(IF(INDEX('Paramètres'!$O$6:$O$17,MATCH(F1856,'Paramètres'!$M$6:$M$17,0))="Oui",1,0),0))</f>
        <v/>
      </c>
      <c r="AW1856" s="62">
        <f>IF(E1856="","",IF(G1856&lt;&gt;"",G1856,IF(OR(E1856="Proposition envoyée",E1856="Signature"),MAX(0,N(IFERROR(INDEX('Paramètres'!$R$6:$R$15,MATCH(IF(AL1856&lt;&gt;"",AL1856,IFERROR(INDEX('Prospects'!$AN$5:$AN$504,MATCH(C1856,'Prospects'!$C$5:$C$504,0)),"")),'Paramètres'!$Q$6:$Q$15,0)),0))-N(P1856)),0)))</f>
        <v/>
      </c>
      <c r="AX1856" s="61">
        <f>IF(C1856="","",IF(COUNTIF($C$5:C1856,C1856)=1,MAX($AX$4:AX1855)+1,""))</f>
        <v/>
      </c>
      <c r="AY1856" s="61">
        <f>IF(B1856="","",HOUR(B1856))</f>
        <v/>
      </c>
      <c r="AZ1856" s="61">
        <f>IF(A1856="","",MOD(A1856-2,7)+1)</f>
        <v/>
      </c>
      <c r="BA1856" s="60">
        <f>IF(C1856="","",IFERROR(INDEX('Prospects'!$N$5:$N$504,MATCH(C1856,'Prospects'!$C$5:$C$504,0)),""))</f>
        <v/>
      </c>
      <c r="BB1856" s="61">
        <f>IF(AND(C1856&lt;&gt;"",C1856='Fiche prospect'!$C$4),COUNTIF($C$5:C1856,C1856),"")</f>
        <v/>
      </c>
    </row>
    <row r="1857">
      <c r="A1857" s="53" t="n"/>
      <c r="B1857" s="54" t="n"/>
      <c r="C1857" s="55" t="n"/>
      <c r="D1857" s="55" t="n"/>
      <c r="E1857" s="55" t="n"/>
      <c r="F1857" s="55" t="n"/>
      <c r="G1857" s="56" t="n"/>
      <c r="H1857" s="57" t="n"/>
      <c r="I1857" s="55" t="n"/>
      <c r="J1857" s="53" t="n"/>
      <c r="K1857" s="54" t="n"/>
      <c r="L1857" s="55" t="n"/>
      <c r="M1857" s="55" t="n"/>
      <c r="N1857" s="57" t="n"/>
      <c r="O1857" s="55" t="n"/>
      <c r="P1857" s="56" t="n"/>
      <c r="Q1857" s="55" t="n"/>
      <c r="R1857" s="55" t="n"/>
      <c r="S1857" s="55" t="n"/>
      <c r="T1857" s="55" t="n"/>
      <c r="U1857" s="55" t="n"/>
      <c r="V1857" s="55" t="n"/>
      <c r="W1857" s="58" t="n"/>
      <c r="X1857" s="58" t="n"/>
      <c r="Y1857" s="55" t="n"/>
      <c r="Z1857" s="55" t="n"/>
      <c r="AA1857" s="55" t="n"/>
      <c r="AB1857" s="55" t="n"/>
      <c r="AC1857" s="55" t="n"/>
      <c r="AD1857" s="53" t="n"/>
      <c r="AE1857" s="55" t="n"/>
      <c r="AF1857" s="55" t="n"/>
      <c r="AG1857" s="59" t="n"/>
      <c r="AH1857" s="57" t="n"/>
      <c r="AI1857" s="55" t="n"/>
      <c r="AJ1857" s="55" t="n"/>
      <c r="AK1857" s="55" t="n"/>
      <c r="AL1857" s="55" t="n"/>
      <c r="AM1857" s="56" t="n"/>
      <c r="AN1857" s="55" t="n"/>
      <c r="AO1857" s="55" t="n"/>
      <c r="AP1857" s="55" t="n"/>
      <c r="AQ1857" s="55" t="n"/>
      <c r="AR1857" s="60">
        <f>IF(AND(C1857="",E1857=""),"",IF(A1857="","⚠ Date manquante",IF(AND(C1857="",E1857&lt;&gt;"Dépense"),"⚠ Prospect manquant",IF(E1857="","⚠ Action manquante",IF(AND(AU1857=1,D1857=""),"⚠ Canal manquant",IF(AND(W1857&lt;&gt;"",COUNTIFS('Saisie'!$W$5:$W$2004,W1857,'Saisie'!$C$5:$C$2004,"&lt;&gt;"&amp;C1857)&gt;0),"⚠ Numéro déjà utilisé par un autre prospect",IF(AND(J1857&lt;&gt;"",J1857&lt;A1857),"⚠ Relance avant la date de l'action",IF(A1857&gt;TODAY(),"⚠ Date dans le futur","✓"))))))))</f>
        <v/>
      </c>
      <c r="AS1857" s="61">
        <f>IF(AND(A1857="",C1857="",E1857=""),"",ROW())</f>
        <v/>
      </c>
      <c r="AT1857" s="61">
        <f>IF(E1857&amp;F1857="","",MAX(IFERROR(INDEX('Paramètres'!$J$6:$J$33,MATCH(E1857,'Paramètres'!$I$6:$I$33,0)),0),IFERROR(INDEX('Paramètres'!$N$6:$N$17,MATCH(F1857,'Paramètres'!$M$6:$M$17,0)),0)))</f>
        <v/>
      </c>
      <c r="AU1857" s="61">
        <f>IF(E1857="","",IFERROR(IF(INDEX('Paramètres'!$K$6:$K$33,MATCH(E1857,'Paramètres'!$I$6:$I$33,0))="Oui",1,0),0))</f>
        <v/>
      </c>
      <c r="AV1857" s="61">
        <f>IF(F1857="","",IFERROR(IF(INDEX('Paramètres'!$O$6:$O$17,MATCH(F1857,'Paramètres'!$M$6:$M$17,0))="Oui",1,0),0))</f>
        <v/>
      </c>
      <c r="AW1857" s="62">
        <f>IF(E1857="","",IF(G1857&lt;&gt;"",G1857,IF(OR(E1857="Proposition envoyée",E1857="Signature"),MAX(0,N(IFERROR(INDEX('Paramètres'!$R$6:$R$15,MATCH(IF(AL1857&lt;&gt;"",AL1857,IFERROR(INDEX('Prospects'!$AN$5:$AN$504,MATCH(C1857,'Prospects'!$C$5:$C$504,0)),"")),'Paramètres'!$Q$6:$Q$15,0)),0))-N(P1857)),0)))</f>
        <v/>
      </c>
      <c r="AX1857" s="61">
        <f>IF(C1857="","",IF(COUNTIF($C$5:C1857,C1857)=1,MAX($AX$4:AX1856)+1,""))</f>
        <v/>
      </c>
      <c r="AY1857" s="61">
        <f>IF(B1857="","",HOUR(B1857))</f>
        <v/>
      </c>
      <c r="AZ1857" s="61">
        <f>IF(A1857="","",MOD(A1857-2,7)+1)</f>
        <v/>
      </c>
      <c r="BA1857" s="60">
        <f>IF(C1857="","",IFERROR(INDEX('Prospects'!$N$5:$N$504,MATCH(C1857,'Prospects'!$C$5:$C$504,0)),""))</f>
        <v/>
      </c>
      <c r="BB1857" s="61">
        <f>IF(AND(C1857&lt;&gt;"",C1857='Fiche prospect'!$C$4),COUNTIF($C$5:C1857,C1857),"")</f>
        <v/>
      </c>
    </row>
    <row r="1858">
      <c r="A1858" s="53" t="n"/>
      <c r="B1858" s="54" t="n"/>
      <c r="C1858" s="55" t="n"/>
      <c r="D1858" s="55" t="n"/>
      <c r="E1858" s="55" t="n"/>
      <c r="F1858" s="55" t="n"/>
      <c r="G1858" s="56" t="n"/>
      <c r="H1858" s="57" t="n"/>
      <c r="I1858" s="55" t="n"/>
      <c r="J1858" s="53" t="n"/>
      <c r="K1858" s="54" t="n"/>
      <c r="L1858" s="55" t="n"/>
      <c r="M1858" s="55" t="n"/>
      <c r="N1858" s="57" t="n"/>
      <c r="O1858" s="55" t="n"/>
      <c r="P1858" s="56" t="n"/>
      <c r="Q1858" s="55" t="n"/>
      <c r="R1858" s="55" t="n"/>
      <c r="S1858" s="55" t="n"/>
      <c r="T1858" s="55" t="n"/>
      <c r="U1858" s="55" t="n"/>
      <c r="V1858" s="55" t="n"/>
      <c r="W1858" s="58" t="n"/>
      <c r="X1858" s="58" t="n"/>
      <c r="Y1858" s="55" t="n"/>
      <c r="Z1858" s="55" t="n"/>
      <c r="AA1858" s="55" t="n"/>
      <c r="AB1858" s="55" t="n"/>
      <c r="AC1858" s="55" t="n"/>
      <c r="AD1858" s="53" t="n"/>
      <c r="AE1858" s="55" t="n"/>
      <c r="AF1858" s="55" t="n"/>
      <c r="AG1858" s="59" t="n"/>
      <c r="AH1858" s="57" t="n"/>
      <c r="AI1858" s="55" t="n"/>
      <c r="AJ1858" s="55" t="n"/>
      <c r="AK1858" s="55" t="n"/>
      <c r="AL1858" s="55" t="n"/>
      <c r="AM1858" s="56" t="n"/>
      <c r="AN1858" s="55" t="n"/>
      <c r="AO1858" s="55" t="n"/>
      <c r="AP1858" s="55" t="n"/>
      <c r="AQ1858" s="55" t="n"/>
      <c r="AR1858" s="60">
        <f>IF(AND(C1858="",E1858=""),"",IF(A1858="","⚠ Date manquante",IF(AND(C1858="",E1858&lt;&gt;"Dépense"),"⚠ Prospect manquant",IF(E1858="","⚠ Action manquante",IF(AND(AU1858=1,D1858=""),"⚠ Canal manquant",IF(AND(W1858&lt;&gt;"",COUNTIFS('Saisie'!$W$5:$W$2004,W1858,'Saisie'!$C$5:$C$2004,"&lt;&gt;"&amp;C1858)&gt;0),"⚠ Numéro déjà utilisé par un autre prospect",IF(AND(J1858&lt;&gt;"",J1858&lt;A1858),"⚠ Relance avant la date de l'action",IF(A1858&gt;TODAY(),"⚠ Date dans le futur","✓"))))))))</f>
        <v/>
      </c>
      <c r="AS1858" s="61">
        <f>IF(AND(A1858="",C1858="",E1858=""),"",ROW())</f>
        <v/>
      </c>
      <c r="AT1858" s="61">
        <f>IF(E1858&amp;F1858="","",MAX(IFERROR(INDEX('Paramètres'!$J$6:$J$33,MATCH(E1858,'Paramètres'!$I$6:$I$33,0)),0),IFERROR(INDEX('Paramètres'!$N$6:$N$17,MATCH(F1858,'Paramètres'!$M$6:$M$17,0)),0)))</f>
        <v/>
      </c>
      <c r="AU1858" s="61">
        <f>IF(E1858="","",IFERROR(IF(INDEX('Paramètres'!$K$6:$K$33,MATCH(E1858,'Paramètres'!$I$6:$I$33,0))="Oui",1,0),0))</f>
        <v/>
      </c>
      <c r="AV1858" s="61">
        <f>IF(F1858="","",IFERROR(IF(INDEX('Paramètres'!$O$6:$O$17,MATCH(F1858,'Paramètres'!$M$6:$M$17,0))="Oui",1,0),0))</f>
        <v/>
      </c>
      <c r="AW1858" s="62">
        <f>IF(E1858="","",IF(G1858&lt;&gt;"",G1858,IF(OR(E1858="Proposition envoyée",E1858="Signature"),MAX(0,N(IFERROR(INDEX('Paramètres'!$R$6:$R$15,MATCH(IF(AL1858&lt;&gt;"",AL1858,IFERROR(INDEX('Prospects'!$AN$5:$AN$504,MATCH(C1858,'Prospects'!$C$5:$C$504,0)),"")),'Paramètres'!$Q$6:$Q$15,0)),0))-N(P1858)),0)))</f>
        <v/>
      </c>
      <c r="AX1858" s="61">
        <f>IF(C1858="","",IF(COUNTIF($C$5:C1858,C1858)=1,MAX($AX$4:AX1857)+1,""))</f>
        <v/>
      </c>
      <c r="AY1858" s="61">
        <f>IF(B1858="","",HOUR(B1858))</f>
        <v/>
      </c>
      <c r="AZ1858" s="61">
        <f>IF(A1858="","",MOD(A1858-2,7)+1)</f>
        <v/>
      </c>
      <c r="BA1858" s="60">
        <f>IF(C1858="","",IFERROR(INDEX('Prospects'!$N$5:$N$504,MATCH(C1858,'Prospects'!$C$5:$C$504,0)),""))</f>
        <v/>
      </c>
      <c r="BB1858" s="61">
        <f>IF(AND(C1858&lt;&gt;"",C1858='Fiche prospect'!$C$4),COUNTIF($C$5:C1858,C1858),"")</f>
        <v/>
      </c>
    </row>
    <row r="1859">
      <c r="A1859" s="53" t="n"/>
      <c r="B1859" s="54" t="n"/>
      <c r="C1859" s="55" t="n"/>
      <c r="D1859" s="55" t="n"/>
      <c r="E1859" s="55" t="n"/>
      <c r="F1859" s="55" t="n"/>
      <c r="G1859" s="56" t="n"/>
      <c r="H1859" s="57" t="n"/>
      <c r="I1859" s="55" t="n"/>
      <c r="J1859" s="53" t="n"/>
      <c r="K1859" s="54" t="n"/>
      <c r="L1859" s="55" t="n"/>
      <c r="M1859" s="55" t="n"/>
      <c r="N1859" s="57" t="n"/>
      <c r="O1859" s="55" t="n"/>
      <c r="P1859" s="56" t="n"/>
      <c r="Q1859" s="55" t="n"/>
      <c r="R1859" s="55" t="n"/>
      <c r="S1859" s="55" t="n"/>
      <c r="T1859" s="55" t="n"/>
      <c r="U1859" s="55" t="n"/>
      <c r="V1859" s="55" t="n"/>
      <c r="W1859" s="58" t="n"/>
      <c r="X1859" s="58" t="n"/>
      <c r="Y1859" s="55" t="n"/>
      <c r="Z1859" s="55" t="n"/>
      <c r="AA1859" s="55" t="n"/>
      <c r="AB1859" s="55" t="n"/>
      <c r="AC1859" s="55" t="n"/>
      <c r="AD1859" s="53" t="n"/>
      <c r="AE1859" s="55" t="n"/>
      <c r="AF1859" s="55" t="n"/>
      <c r="AG1859" s="59" t="n"/>
      <c r="AH1859" s="57" t="n"/>
      <c r="AI1859" s="55" t="n"/>
      <c r="AJ1859" s="55" t="n"/>
      <c r="AK1859" s="55" t="n"/>
      <c r="AL1859" s="55" t="n"/>
      <c r="AM1859" s="56" t="n"/>
      <c r="AN1859" s="55" t="n"/>
      <c r="AO1859" s="55" t="n"/>
      <c r="AP1859" s="55" t="n"/>
      <c r="AQ1859" s="55" t="n"/>
      <c r="AR1859" s="60">
        <f>IF(AND(C1859="",E1859=""),"",IF(A1859="","⚠ Date manquante",IF(AND(C1859="",E1859&lt;&gt;"Dépense"),"⚠ Prospect manquant",IF(E1859="","⚠ Action manquante",IF(AND(AU1859=1,D1859=""),"⚠ Canal manquant",IF(AND(W1859&lt;&gt;"",COUNTIFS('Saisie'!$W$5:$W$2004,W1859,'Saisie'!$C$5:$C$2004,"&lt;&gt;"&amp;C1859)&gt;0),"⚠ Numéro déjà utilisé par un autre prospect",IF(AND(J1859&lt;&gt;"",J1859&lt;A1859),"⚠ Relance avant la date de l'action",IF(A1859&gt;TODAY(),"⚠ Date dans le futur","✓"))))))))</f>
        <v/>
      </c>
      <c r="AS1859" s="61">
        <f>IF(AND(A1859="",C1859="",E1859=""),"",ROW())</f>
        <v/>
      </c>
      <c r="AT1859" s="61">
        <f>IF(E1859&amp;F1859="","",MAX(IFERROR(INDEX('Paramètres'!$J$6:$J$33,MATCH(E1859,'Paramètres'!$I$6:$I$33,0)),0),IFERROR(INDEX('Paramètres'!$N$6:$N$17,MATCH(F1859,'Paramètres'!$M$6:$M$17,0)),0)))</f>
        <v/>
      </c>
      <c r="AU1859" s="61">
        <f>IF(E1859="","",IFERROR(IF(INDEX('Paramètres'!$K$6:$K$33,MATCH(E1859,'Paramètres'!$I$6:$I$33,0))="Oui",1,0),0))</f>
        <v/>
      </c>
      <c r="AV1859" s="61">
        <f>IF(F1859="","",IFERROR(IF(INDEX('Paramètres'!$O$6:$O$17,MATCH(F1859,'Paramètres'!$M$6:$M$17,0))="Oui",1,0),0))</f>
        <v/>
      </c>
      <c r="AW1859" s="62">
        <f>IF(E1859="","",IF(G1859&lt;&gt;"",G1859,IF(OR(E1859="Proposition envoyée",E1859="Signature"),MAX(0,N(IFERROR(INDEX('Paramètres'!$R$6:$R$15,MATCH(IF(AL1859&lt;&gt;"",AL1859,IFERROR(INDEX('Prospects'!$AN$5:$AN$504,MATCH(C1859,'Prospects'!$C$5:$C$504,0)),"")),'Paramètres'!$Q$6:$Q$15,0)),0))-N(P1859)),0)))</f>
        <v/>
      </c>
      <c r="AX1859" s="61">
        <f>IF(C1859="","",IF(COUNTIF($C$5:C1859,C1859)=1,MAX($AX$4:AX1858)+1,""))</f>
        <v/>
      </c>
      <c r="AY1859" s="61">
        <f>IF(B1859="","",HOUR(B1859))</f>
        <v/>
      </c>
      <c r="AZ1859" s="61">
        <f>IF(A1859="","",MOD(A1859-2,7)+1)</f>
        <v/>
      </c>
      <c r="BA1859" s="60">
        <f>IF(C1859="","",IFERROR(INDEX('Prospects'!$N$5:$N$504,MATCH(C1859,'Prospects'!$C$5:$C$504,0)),""))</f>
        <v/>
      </c>
      <c r="BB1859" s="61">
        <f>IF(AND(C1859&lt;&gt;"",C1859='Fiche prospect'!$C$4),COUNTIF($C$5:C1859,C1859),"")</f>
        <v/>
      </c>
    </row>
    <row r="1860">
      <c r="A1860" s="53" t="n"/>
      <c r="B1860" s="54" t="n"/>
      <c r="C1860" s="55" t="n"/>
      <c r="D1860" s="55" t="n"/>
      <c r="E1860" s="55" t="n"/>
      <c r="F1860" s="55" t="n"/>
      <c r="G1860" s="56" t="n"/>
      <c r="H1860" s="57" t="n"/>
      <c r="I1860" s="55" t="n"/>
      <c r="J1860" s="53" t="n"/>
      <c r="K1860" s="54" t="n"/>
      <c r="L1860" s="55" t="n"/>
      <c r="M1860" s="55" t="n"/>
      <c r="N1860" s="57" t="n"/>
      <c r="O1860" s="55" t="n"/>
      <c r="P1860" s="56" t="n"/>
      <c r="Q1860" s="55" t="n"/>
      <c r="R1860" s="55" t="n"/>
      <c r="S1860" s="55" t="n"/>
      <c r="T1860" s="55" t="n"/>
      <c r="U1860" s="55" t="n"/>
      <c r="V1860" s="55" t="n"/>
      <c r="W1860" s="58" t="n"/>
      <c r="X1860" s="58" t="n"/>
      <c r="Y1860" s="55" t="n"/>
      <c r="Z1860" s="55" t="n"/>
      <c r="AA1860" s="55" t="n"/>
      <c r="AB1860" s="55" t="n"/>
      <c r="AC1860" s="55" t="n"/>
      <c r="AD1860" s="53" t="n"/>
      <c r="AE1860" s="55" t="n"/>
      <c r="AF1860" s="55" t="n"/>
      <c r="AG1860" s="59" t="n"/>
      <c r="AH1860" s="57" t="n"/>
      <c r="AI1860" s="55" t="n"/>
      <c r="AJ1860" s="55" t="n"/>
      <c r="AK1860" s="55" t="n"/>
      <c r="AL1860" s="55" t="n"/>
      <c r="AM1860" s="56" t="n"/>
      <c r="AN1860" s="55" t="n"/>
      <c r="AO1860" s="55" t="n"/>
      <c r="AP1860" s="55" t="n"/>
      <c r="AQ1860" s="55" t="n"/>
      <c r="AR1860" s="60">
        <f>IF(AND(C1860="",E1860=""),"",IF(A1860="","⚠ Date manquante",IF(AND(C1860="",E1860&lt;&gt;"Dépense"),"⚠ Prospect manquant",IF(E1860="","⚠ Action manquante",IF(AND(AU1860=1,D1860=""),"⚠ Canal manquant",IF(AND(W1860&lt;&gt;"",COUNTIFS('Saisie'!$W$5:$W$2004,W1860,'Saisie'!$C$5:$C$2004,"&lt;&gt;"&amp;C1860)&gt;0),"⚠ Numéro déjà utilisé par un autre prospect",IF(AND(J1860&lt;&gt;"",J1860&lt;A1860),"⚠ Relance avant la date de l'action",IF(A1860&gt;TODAY(),"⚠ Date dans le futur","✓"))))))))</f>
        <v/>
      </c>
      <c r="AS1860" s="61">
        <f>IF(AND(A1860="",C1860="",E1860=""),"",ROW())</f>
        <v/>
      </c>
      <c r="AT1860" s="61">
        <f>IF(E1860&amp;F1860="","",MAX(IFERROR(INDEX('Paramètres'!$J$6:$J$33,MATCH(E1860,'Paramètres'!$I$6:$I$33,0)),0),IFERROR(INDEX('Paramètres'!$N$6:$N$17,MATCH(F1860,'Paramètres'!$M$6:$M$17,0)),0)))</f>
        <v/>
      </c>
      <c r="AU1860" s="61">
        <f>IF(E1860="","",IFERROR(IF(INDEX('Paramètres'!$K$6:$K$33,MATCH(E1860,'Paramètres'!$I$6:$I$33,0))="Oui",1,0),0))</f>
        <v/>
      </c>
      <c r="AV1860" s="61">
        <f>IF(F1860="","",IFERROR(IF(INDEX('Paramètres'!$O$6:$O$17,MATCH(F1860,'Paramètres'!$M$6:$M$17,0))="Oui",1,0),0))</f>
        <v/>
      </c>
      <c r="AW1860" s="62">
        <f>IF(E1860="","",IF(G1860&lt;&gt;"",G1860,IF(OR(E1860="Proposition envoyée",E1860="Signature"),MAX(0,N(IFERROR(INDEX('Paramètres'!$R$6:$R$15,MATCH(IF(AL1860&lt;&gt;"",AL1860,IFERROR(INDEX('Prospects'!$AN$5:$AN$504,MATCH(C1860,'Prospects'!$C$5:$C$504,0)),"")),'Paramètres'!$Q$6:$Q$15,0)),0))-N(P1860)),0)))</f>
        <v/>
      </c>
      <c r="AX1860" s="61">
        <f>IF(C1860="","",IF(COUNTIF($C$5:C1860,C1860)=1,MAX($AX$4:AX1859)+1,""))</f>
        <v/>
      </c>
      <c r="AY1860" s="61">
        <f>IF(B1860="","",HOUR(B1860))</f>
        <v/>
      </c>
      <c r="AZ1860" s="61">
        <f>IF(A1860="","",MOD(A1860-2,7)+1)</f>
        <v/>
      </c>
      <c r="BA1860" s="60">
        <f>IF(C1860="","",IFERROR(INDEX('Prospects'!$N$5:$N$504,MATCH(C1860,'Prospects'!$C$5:$C$504,0)),""))</f>
        <v/>
      </c>
      <c r="BB1860" s="61">
        <f>IF(AND(C1860&lt;&gt;"",C1860='Fiche prospect'!$C$4),COUNTIF($C$5:C1860,C1860),"")</f>
        <v/>
      </c>
    </row>
    <row r="1861">
      <c r="A1861" s="53" t="n"/>
      <c r="B1861" s="54" t="n"/>
      <c r="C1861" s="55" t="n"/>
      <c r="D1861" s="55" t="n"/>
      <c r="E1861" s="55" t="n"/>
      <c r="F1861" s="55" t="n"/>
      <c r="G1861" s="56" t="n"/>
      <c r="H1861" s="57" t="n"/>
      <c r="I1861" s="55" t="n"/>
      <c r="J1861" s="53" t="n"/>
      <c r="K1861" s="54" t="n"/>
      <c r="L1861" s="55" t="n"/>
      <c r="M1861" s="55" t="n"/>
      <c r="N1861" s="57" t="n"/>
      <c r="O1861" s="55" t="n"/>
      <c r="P1861" s="56" t="n"/>
      <c r="Q1861" s="55" t="n"/>
      <c r="R1861" s="55" t="n"/>
      <c r="S1861" s="55" t="n"/>
      <c r="T1861" s="55" t="n"/>
      <c r="U1861" s="55" t="n"/>
      <c r="V1861" s="55" t="n"/>
      <c r="W1861" s="58" t="n"/>
      <c r="X1861" s="58" t="n"/>
      <c r="Y1861" s="55" t="n"/>
      <c r="Z1861" s="55" t="n"/>
      <c r="AA1861" s="55" t="n"/>
      <c r="AB1861" s="55" t="n"/>
      <c r="AC1861" s="55" t="n"/>
      <c r="AD1861" s="53" t="n"/>
      <c r="AE1861" s="55" t="n"/>
      <c r="AF1861" s="55" t="n"/>
      <c r="AG1861" s="59" t="n"/>
      <c r="AH1861" s="57" t="n"/>
      <c r="AI1861" s="55" t="n"/>
      <c r="AJ1861" s="55" t="n"/>
      <c r="AK1861" s="55" t="n"/>
      <c r="AL1861" s="55" t="n"/>
      <c r="AM1861" s="56" t="n"/>
      <c r="AN1861" s="55" t="n"/>
      <c r="AO1861" s="55" t="n"/>
      <c r="AP1861" s="55" t="n"/>
      <c r="AQ1861" s="55" t="n"/>
      <c r="AR1861" s="60">
        <f>IF(AND(C1861="",E1861=""),"",IF(A1861="","⚠ Date manquante",IF(AND(C1861="",E1861&lt;&gt;"Dépense"),"⚠ Prospect manquant",IF(E1861="","⚠ Action manquante",IF(AND(AU1861=1,D1861=""),"⚠ Canal manquant",IF(AND(W1861&lt;&gt;"",COUNTIFS('Saisie'!$W$5:$W$2004,W1861,'Saisie'!$C$5:$C$2004,"&lt;&gt;"&amp;C1861)&gt;0),"⚠ Numéro déjà utilisé par un autre prospect",IF(AND(J1861&lt;&gt;"",J1861&lt;A1861),"⚠ Relance avant la date de l'action",IF(A1861&gt;TODAY(),"⚠ Date dans le futur","✓"))))))))</f>
        <v/>
      </c>
      <c r="AS1861" s="61">
        <f>IF(AND(A1861="",C1861="",E1861=""),"",ROW())</f>
        <v/>
      </c>
      <c r="AT1861" s="61">
        <f>IF(E1861&amp;F1861="","",MAX(IFERROR(INDEX('Paramètres'!$J$6:$J$33,MATCH(E1861,'Paramètres'!$I$6:$I$33,0)),0),IFERROR(INDEX('Paramètres'!$N$6:$N$17,MATCH(F1861,'Paramètres'!$M$6:$M$17,0)),0)))</f>
        <v/>
      </c>
      <c r="AU1861" s="61">
        <f>IF(E1861="","",IFERROR(IF(INDEX('Paramètres'!$K$6:$K$33,MATCH(E1861,'Paramètres'!$I$6:$I$33,0))="Oui",1,0),0))</f>
        <v/>
      </c>
      <c r="AV1861" s="61">
        <f>IF(F1861="","",IFERROR(IF(INDEX('Paramètres'!$O$6:$O$17,MATCH(F1861,'Paramètres'!$M$6:$M$17,0))="Oui",1,0),0))</f>
        <v/>
      </c>
      <c r="AW1861" s="62">
        <f>IF(E1861="","",IF(G1861&lt;&gt;"",G1861,IF(OR(E1861="Proposition envoyée",E1861="Signature"),MAX(0,N(IFERROR(INDEX('Paramètres'!$R$6:$R$15,MATCH(IF(AL1861&lt;&gt;"",AL1861,IFERROR(INDEX('Prospects'!$AN$5:$AN$504,MATCH(C1861,'Prospects'!$C$5:$C$504,0)),"")),'Paramètres'!$Q$6:$Q$15,0)),0))-N(P1861)),0)))</f>
        <v/>
      </c>
      <c r="AX1861" s="61">
        <f>IF(C1861="","",IF(COUNTIF($C$5:C1861,C1861)=1,MAX($AX$4:AX1860)+1,""))</f>
        <v/>
      </c>
      <c r="AY1861" s="61">
        <f>IF(B1861="","",HOUR(B1861))</f>
        <v/>
      </c>
      <c r="AZ1861" s="61">
        <f>IF(A1861="","",MOD(A1861-2,7)+1)</f>
        <v/>
      </c>
      <c r="BA1861" s="60">
        <f>IF(C1861="","",IFERROR(INDEX('Prospects'!$N$5:$N$504,MATCH(C1861,'Prospects'!$C$5:$C$504,0)),""))</f>
        <v/>
      </c>
      <c r="BB1861" s="61">
        <f>IF(AND(C1861&lt;&gt;"",C1861='Fiche prospect'!$C$4),COUNTIF($C$5:C1861,C1861),"")</f>
        <v/>
      </c>
    </row>
    <row r="1862">
      <c r="A1862" s="53" t="n"/>
      <c r="B1862" s="54" t="n"/>
      <c r="C1862" s="55" t="n"/>
      <c r="D1862" s="55" t="n"/>
      <c r="E1862" s="55" t="n"/>
      <c r="F1862" s="55" t="n"/>
      <c r="G1862" s="56" t="n"/>
      <c r="H1862" s="57" t="n"/>
      <c r="I1862" s="55" t="n"/>
      <c r="J1862" s="53" t="n"/>
      <c r="K1862" s="54" t="n"/>
      <c r="L1862" s="55" t="n"/>
      <c r="M1862" s="55" t="n"/>
      <c r="N1862" s="57" t="n"/>
      <c r="O1862" s="55" t="n"/>
      <c r="P1862" s="56" t="n"/>
      <c r="Q1862" s="55" t="n"/>
      <c r="R1862" s="55" t="n"/>
      <c r="S1862" s="55" t="n"/>
      <c r="T1862" s="55" t="n"/>
      <c r="U1862" s="55" t="n"/>
      <c r="V1862" s="55" t="n"/>
      <c r="W1862" s="58" t="n"/>
      <c r="X1862" s="58" t="n"/>
      <c r="Y1862" s="55" t="n"/>
      <c r="Z1862" s="55" t="n"/>
      <c r="AA1862" s="55" t="n"/>
      <c r="AB1862" s="55" t="n"/>
      <c r="AC1862" s="55" t="n"/>
      <c r="AD1862" s="53" t="n"/>
      <c r="AE1862" s="55" t="n"/>
      <c r="AF1862" s="55" t="n"/>
      <c r="AG1862" s="59" t="n"/>
      <c r="AH1862" s="57" t="n"/>
      <c r="AI1862" s="55" t="n"/>
      <c r="AJ1862" s="55" t="n"/>
      <c r="AK1862" s="55" t="n"/>
      <c r="AL1862" s="55" t="n"/>
      <c r="AM1862" s="56" t="n"/>
      <c r="AN1862" s="55" t="n"/>
      <c r="AO1862" s="55" t="n"/>
      <c r="AP1862" s="55" t="n"/>
      <c r="AQ1862" s="55" t="n"/>
      <c r="AR1862" s="60">
        <f>IF(AND(C1862="",E1862=""),"",IF(A1862="","⚠ Date manquante",IF(AND(C1862="",E1862&lt;&gt;"Dépense"),"⚠ Prospect manquant",IF(E1862="","⚠ Action manquante",IF(AND(AU1862=1,D1862=""),"⚠ Canal manquant",IF(AND(W1862&lt;&gt;"",COUNTIFS('Saisie'!$W$5:$W$2004,W1862,'Saisie'!$C$5:$C$2004,"&lt;&gt;"&amp;C1862)&gt;0),"⚠ Numéro déjà utilisé par un autre prospect",IF(AND(J1862&lt;&gt;"",J1862&lt;A1862),"⚠ Relance avant la date de l'action",IF(A1862&gt;TODAY(),"⚠ Date dans le futur","✓"))))))))</f>
        <v/>
      </c>
      <c r="AS1862" s="61">
        <f>IF(AND(A1862="",C1862="",E1862=""),"",ROW())</f>
        <v/>
      </c>
      <c r="AT1862" s="61">
        <f>IF(E1862&amp;F1862="","",MAX(IFERROR(INDEX('Paramètres'!$J$6:$J$33,MATCH(E1862,'Paramètres'!$I$6:$I$33,0)),0),IFERROR(INDEX('Paramètres'!$N$6:$N$17,MATCH(F1862,'Paramètres'!$M$6:$M$17,0)),0)))</f>
        <v/>
      </c>
      <c r="AU1862" s="61">
        <f>IF(E1862="","",IFERROR(IF(INDEX('Paramètres'!$K$6:$K$33,MATCH(E1862,'Paramètres'!$I$6:$I$33,0))="Oui",1,0),0))</f>
        <v/>
      </c>
      <c r="AV1862" s="61">
        <f>IF(F1862="","",IFERROR(IF(INDEX('Paramètres'!$O$6:$O$17,MATCH(F1862,'Paramètres'!$M$6:$M$17,0))="Oui",1,0),0))</f>
        <v/>
      </c>
      <c r="AW1862" s="62">
        <f>IF(E1862="","",IF(G1862&lt;&gt;"",G1862,IF(OR(E1862="Proposition envoyée",E1862="Signature"),MAX(0,N(IFERROR(INDEX('Paramètres'!$R$6:$R$15,MATCH(IF(AL1862&lt;&gt;"",AL1862,IFERROR(INDEX('Prospects'!$AN$5:$AN$504,MATCH(C1862,'Prospects'!$C$5:$C$504,0)),"")),'Paramètres'!$Q$6:$Q$15,0)),0))-N(P1862)),0)))</f>
        <v/>
      </c>
      <c r="AX1862" s="61">
        <f>IF(C1862="","",IF(COUNTIF($C$5:C1862,C1862)=1,MAX($AX$4:AX1861)+1,""))</f>
        <v/>
      </c>
      <c r="AY1862" s="61">
        <f>IF(B1862="","",HOUR(B1862))</f>
        <v/>
      </c>
      <c r="AZ1862" s="61">
        <f>IF(A1862="","",MOD(A1862-2,7)+1)</f>
        <v/>
      </c>
      <c r="BA1862" s="60">
        <f>IF(C1862="","",IFERROR(INDEX('Prospects'!$N$5:$N$504,MATCH(C1862,'Prospects'!$C$5:$C$504,0)),""))</f>
        <v/>
      </c>
      <c r="BB1862" s="61">
        <f>IF(AND(C1862&lt;&gt;"",C1862='Fiche prospect'!$C$4),COUNTIF($C$5:C1862,C1862),"")</f>
        <v/>
      </c>
    </row>
    <row r="1863">
      <c r="A1863" s="53" t="n"/>
      <c r="B1863" s="54" t="n"/>
      <c r="C1863" s="55" t="n"/>
      <c r="D1863" s="55" t="n"/>
      <c r="E1863" s="55" t="n"/>
      <c r="F1863" s="55" t="n"/>
      <c r="G1863" s="56" t="n"/>
      <c r="H1863" s="57" t="n"/>
      <c r="I1863" s="55" t="n"/>
      <c r="J1863" s="53" t="n"/>
      <c r="K1863" s="54" t="n"/>
      <c r="L1863" s="55" t="n"/>
      <c r="M1863" s="55" t="n"/>
      <c r="N1863" s="57" t="n"/>
      <c r="O1863" s="55" t="n"/>
      <c r="P1863" s="56" t="n"/>
      <c r="Q1863" s="55" t="n"/>
      <c r="R1863" s="55" t="n"/>
      <c r="S1863" s="55" t="n"/>
      <c r="T1863" s="55" t="n"/>
      <c r="U1863" s="55" t="n"/>
      <c r="V1863" s="55" t="n"/>
      <c r="W1863" s="58" t="n"/>
      <c r="X1863" s="58" t="n"/>
      <c r="Y1863" s="55" t="n"/>
      <c r="Z1863" s="55" t="n"/>
      <c r="AA1863" s="55" t="n"/>
      <c r="AB1863" s="55" t="n"/>
      <c r="AC1863" s="55" t="n"/>
      <c r="AD1863" s="53" t="n"/>
      <c r="AE1863" s="55" t="n"/>
      <c r="AF1863" s="55" t="n"/>
      <c r="AG1863" s="59" t="n"/>
      <c r="AH1863" s="57" t="n"/>
      <c r="AI1863" s="55" t="n"/>
      <c r="AJ1863" s="55" t="n"/>
      <c r="AK1863" s="55" t="n"/>
      <c r="AL1863" s="55" t="n"/>
      <c r="AM1863" s="56" t="n"/>
      <c r="AN1863" s="55" t="n"/>
      <c r="AO1863" s="55" t="n"/>
      <c r="AP1863" s="55" t="n"/>
      <c r="AQ1863" s="55" t="n"/>
      <c r="AR1863" s="60">
        <f>IF(AND(C1863="",E1863=""),"",IF(A1863="","⚠ Date manquante",IF(AND(C1863="",E1863&lt;&gt;"Dépense"),"⚠ Prospect manquant",IF(E1863="","⚠ Action manquante",IF(AND(AU1863=1,D1863=""),"⚠ Canal manquant",IF(AND(W1863&lt;&gt;"",COUNTIFS('Saisie'!$W$5:$W$2004,W1863,'Saisie'!$C$5:$C$2004,"&lt;&gt;"&amp;C1863)&gt;0),"⚠ Numéro déjà utilisé par un autre prospect",IF(AND(J1863&lt;&gt;"",J1863&lt;A1863),"⚠ Relance avant la date de l'action",IF(A1863&gt;TODAY(),"⚠ Date dans le futur","✓"))))))))</f>
        <v/>
      </c>
      <c r="AS1863" s="61">
        <f>IF(AND(A1863="",C1863="",E1863=""),"",ROW())</f>
        <v/>
      </c>
      <c r="AT1863" s="61">
        <f>IF(E1863&amp;F1863="","",MAX(IFERROR(INDEX('Paramètres'!$J$6:$J$33,MATCH(E1863,'Paramètres'!$I$6:$I$33,0)),0),IFERROR(INDEX('Paramètres'!$N$6:$N$17,MATCH(F1863,'Paramètres'!$M$6:$M$17,0)),0)))</f>
        <v/>
      </c>
      <c r="AU1863" s="61">
        <f>IF(E1863="","",IFERROR(IF(INDEX('Paramètres'!$K$6:$K$33,MATCH(E1863,'Paramètres'!$I$6:$I$33,0))="Oui",1,0),0))</f>
        <v/>
      </c>
      <c r="AV1863" s="61">
        <f>IF(F1863="","",IFERROR(IF(INDEX('Paramètres'!$O$6:$O$17,MATCH(F1863,'Paramètres'!$M$6:$M$17,0))="Oui",1,0),0))</f>
        <v/>
      </c>
      <c r="AW1863" s="62">
        <f>IF(E1863="","",IF(G1863&lt;&gt;"",G1863,IF(OR(E1863="Proposition envoyée",E1863="Signature"),MAX(0,N(IFERROR(INDEX('Paramètres'!$R$6:$R$15,MATCH(IF(AL1863&lt;&gt;"",AL1863,IFERROR(INDEX('Prospects'!$AN$5:$AN$504,MATCH(C1863,'Prospects'!$C$5:$C$504,0)),"")),'Paramètres'!$Q$6:$Q$15,0)),0))-N(P1863)),0)))</f>
        <v/>
      </c>
      <c r="AX1863" s="61">
        <f>IF(C1863="","",IF(COUNTIF($C$5:C1863,C1863)=1,MAX($AX$4:AX1862)+1,""))</f>
        <v/>
      </c>
      <c r="AY1863" s="61">
        <f>IF(B1863="","",HOUR(B1863))</f>
        <v/>
      </c>
      <c r="AZ1863" s="61">
        <f>IF(A1863="","",MOD(A1863-2,7)+1)</f>
        <v/>
      </c>
      <c r="BA1863" s="60">
        <f>IF(C1863="","",IFERROR(INDEX('Prospects'!$N$5:$N$504,MATCH(C1863,'Prospects'!$C$5:$C$504,0)),""))</f>
        <v/>
      </c>
      <c r="BB1863" s="61">
        <f>IF(AND(C1863&lt;&gt;"",C1863='Fiche prospect'!$C$4),COUNTIF($C$5:C1863,C1863),"")</f>
        <v/>
      </c>
    </row>
    <row r="1864">
      <c r="A1864" s="53" t="n"/>
      <c r="B1864" s="54" t="n"/>
      <c r="C1864" s="55" t="n"/>
      <c r="D1864" s="55" t="n"/>
      <c r="E1864" s="55" t="n"/>
      <c r="F1864" s="55" t="n"/>
      <c r="G1864" s="56" t="n"/>
      <c r="H1864" s="57" t="n"/>
      <c r="I1864" s="55" t="n"/>
      <c r="J1864" s="53" t="n"/>
      <c r="K1864" s="54" t="n"/>
      <c r="L1864" s="55" t="n"/>
      <c r="M1864" s="55" t="n"/>
      <c r="N1864" s="57" t="n"/>
      <c r="O1864" s="55" t="n"/>
      <c r="P1864" s="56" t="n"/>
      <c r="Q1864" s="55" t="n"/>
      <c r="R1864" s="55" t="n"/>
      <c r="S1864" s="55" t="n"/>
      <c r="T1864" s="55" t="n"/>
      <c r="U1864" s="55" t="n"/>
      <c r="V1864" s="55" t="n"/>
      <c r="W1864" s="58" t="n"/>
      <c r="X1864" s="58" t="n"/>
      <c r="Y1864" s="55" t="n"/>
      <c r="Z1864" s="55" t="n"/>
      <c r="AA1864" s="55" t="n"/>
      <c r="AB1864" s="55" t="n"/>
      <c r="AC1864" s="55" t="n"/>
      <c r="AD1864" s="53" t="n"/>
      <c r="AE1864" s="55" t="n"/>
      <c r="AF1864" s="55" t="n"/>
      <c r="AG1864" s="59" t="n"/>
      <c r="AH1864" s="57" t="n"/>
      <c r="AI1864" s="55" t="n"/>
      <c r="AJ1864" s="55" t="n"/>
      <c r="AK1864" s="55" t="n"/>
      <c r="AL1864" s="55" t="n"/>
      <c r="AM1864" s="56" t="n"/>
      <c r="AN1864" s="55" t="n"/>
      <c r="AO1864" s="55" t="n"/>
      <c r="AP1864" s="55" t="n"/>
      <c r="AQ1864" s="55" t="n"/>
      <c r="AR1864" s="60">
        <f>IF(AND(C1864="",E1864=""),"",IF(A1864="","⚠ Date manquante",IF(AND(C1864="",E1864&lt;&gt;"Dépense"),"⚠ Prospect manquant",IF(E1864="","⚠ Action manquante",IF(AND(AU1864=1,D1864=""),"⚠ Canal manquant",IF(AND(W1864&lt;&gt;"",COUNTIFS('Saisie'!$W$5:$W$2004,W1864,'Saisie'!$C$5:$C$2004,"&lt;&gt;"&amp;C1864)&gt;0),"⚠ Numéro déjà utilisé par un autre prospect",IF(AND(J1864&lt;&gt;"",J1864&lt;A1864),"⚠ Relance avant la date de l'action",IF(A1864&gt;TODAY(),"⚠ Date dans le futur","✓"))))))))</f>
        <v/>
      </c>
      <c r="AS1864" s="61">
        <f>IF(AND(A1864="",C1864="",E1864=""),"",ROW())</f>
        <v/>
      </c>
      <c r="AT1864" s="61">
        <f>IF(E1864&amp;F1864="","",MAX(IFERROR(INDEX('Paramètres'!$J$6:$J$33,MATCH(E1864,'Paramètres'!$I$6:$I$33,0)),0),IFERROR(INDEX('Paramètres'!$N$6:$N$17,MATCH(F1864,'Paramètres'!$M$6:$M$17,0)),0)))</f>
        <v/>
      </c>
      <c r="AU1864" s="61">
        <f>IF(E1864="","",IFERROR(IF(INDEX('Paramètres'!$K$6:$K$33,MATCH(E1864,'Paramètres'!$I$6:$I$33,0))="Oui",1,0),0))</f>
        <v/>
      </c>
      <c r="AV1864" s="61">
        <f>IF(F1864="","",IFERROR(IF(INDEX('Paramètres'!$O$6:$O$17,MATCH(F1864,'Paramètres'!$M$6:$M$17,0))="Oui",1,0),0))</f>
        <v/>
      </c>
      <c r="AW1864" s="62">
        <f>IF(E1864="","",IF(G1864&lt;&gt;"",G1864,IF(OR(E1864="Proposition envoyée",E1864="Signature"),MAX(0,N(IFERROR(INDEX('Paramètres'!$R$6:$R$15,MATCH(IF(AL1864&lt;&gt;"",AL1864,IFERROR(INDEX('Prospects'!$AN$5:$AN$504,MATCH(C1864,'Prospects'!$C$5:$C$504,0)),"")),'Paramètres'!$Q$6:$Q$15,0)),0))-N(P1864)),0)))</f>
        <v/>
      </c>
      <c r="AX1864" s="61">
        <f>IF(C1864="","",IF(COUNTIF($C$5:C1864,C1864)=1,MAX($AX$4:AX1863)+1,""))</f>
        <v/>
      </c>
      <c r="AY1864" s="61">
        <f>IF(B1864="","",HOUR(B1864))</f>
        <v/>
      </c>
      <c r="AZ1864" s="61">
        <f>IF(A1864="","",MOD(A1864-2,7)+1)</f>
        <v/>
      </c>
      <c r="BA1864" s="60">
        <f>IF(C1864="","",IFERROR(INDEX('Prospects'!$N$5:$N$504,MATCH(C1864,'Prospects'!$C$5:$C$504,0)),""))</f>
        <v/>
      </c>
      <c r="BB1864" s="61">
        <f>IF(AND(C1864&lt;&gt;"",C1864='Fiche prospect'!$C$4),COUNTIF($C$5:C1864,C1864),"")</f>
        <v/>
      </c>
    </row>
    <row r="1865">
      <c r="A1865" s="53" t="n"/>
      <c r="B1865" s="54" t="n"/>
      <c r="C1865" s="55" t="n"/>
      <c r="D1865" s="55" t="n"/>
      <c r="E1865" s="55" t="n"/>
      <c r="F1865" s="55" t="n"/>
      <c r="G1865" s="56" t="n"/>
      <c r="H1865" s="57" t="n"/>
      <c r="I1865" s="55" t="n"/>
      <c r="J1865" s="53" t="n"/>
      <c r="K1865" s="54" t="n"/>
      <c r="L1865" s="55" t="n"/>
      <c r="M1865" s="55" t="n"/>
      <c r="N1865" s="57" t="n"/>
      <c r="O1865" s="55" t="n"/>
      <c r="P1865" s="56" t="n"/>
      <c r="Q1865" s="55" t="n"/>
      <c r="R1865" s="55" t="n"/>
      <c r="S1865" s="55" t="n"/>
      <c r="T1865" s="55" t="n"/>
      <c r="U1865" s="55" t="n"/>
      <c r="V1865" s="55" t="n"/>
      <c r="W1865" s="58" t="n"/>
      <c r="X1865" s="58" t="n"/>
      <c r="Y1865" s="55" t="n"/>
      <c r="Z1865" s="55" t="n"/>
      <c r="AA1865" s="55" t="n"/>
      <c r="AB1865" s="55" t="n"/>
      <c r="AC1865" s="55" t="n"/>
      <c r="AD1865" s="53" t="n"/>
      <c r="AE1865" s="55" t="n"/>
      <c r="AF1865" s="55" t="n"/>
      <c r="AG1865" s="59" t="n"/>
      <c r="AH1865" s="57" t="n"/>
      <c r="AI1865" s="55" t="n"/>
      <c r="AJ1865" s="55" t="n"/>
      <c r="AK1865" s="55" t="n"/>
      <c r="AL1865" s="55" t="n"/>
      <c r="AM1865" s="56" t="n"/>
      <c r="AN1865" s="55" t="n"/>
      <c r="AO1865" s="55" t="n"/>
      <c r="AP1865" s="55" t="n"/>
      <c r="AQ1865" s="55" t="n"/>
      <c r="AR1865" s="60">
        <f>IF(AND(C1865="",E1865=""),"",IF(A1865="","⚠ Date manquante",IF(AND(C1865="",E1865&lt;&gt;"Dépense"),"⚠ Prospect manquant",IF(E1865="","⚠ Action manquante",IF(AND(AU1865=1,D1865=""),"⚠ Canal manquant",IF(AND(W1865&lt;&gt;"",COUNTIFS('Saisie'!$W$5:$W$2004,W1865,'Saisie'!$C$5:$C$2004,"&lt;&gt;"&amp;C1865)&gt;0),"⚠ Numéro déjà utilisé par un autre prospect",IF(AND(J1865&lt;&gt;"",J1865&lt;A1865),"⚠ Relance avant la date de l'action",IF(A1865&gt;TODAY(),"⚠ Date dans le futur","✓"))))))))</f>
        <v/>
      </c>
      <c r="AS1865" s="61">
        <f>IF(AND(A1865="",C1865="",E1865=""),"",ROW())</f>
        <v/>
      </c>
      <c r="AT1865" s="61">
        <f>IF(E1865&amp;F1865="","",MAX(IFERROR(INDEX('Paramètres'!$J$6:$J$33,MATCH(E1865,'Paramètres'!$I$6:$I$33,0)),0),IFERROR(INDEX('Paramètres'!$N$6:$N$17,MATCH(F1865,'Paramètres'!$M$6:$M$17,0)),0)))</f>
        <v/>
      </c>
      <c r="AU1865" s="61">
        <f>IF(E1865="","",IFERROR(IF(INDEX('Paramètres'!$K$6:$K$33,MATCH(E1865,'Paramètres'!$I$6:$I$33,0))="Oui",1,0),0))</f>
        <v/>
      </c>
      <c r="AV1865" s="61">
        <f>IF(F1865="","",IFERROR(IF(INDEX('Paramètres'!$O$6:$O$17,MATCH(F1865,'Paramètres'!$M$6:$M$17,0))="Oui",1,0),0))</f>
        <v/>
      </c>
      <c r="AW1865" s="62">
        <f>IF(E1865="","",IF(G1865&lt;&gt;"",G1865,IF(OR(E1865="Proposition envoyée",E1865="Signature"),MAX(0,N(IFERROR(INDEX('Paramètres'!$R$6:$R$15,MATCH(IF(AL1865&lt;&gt;"",AL1865,IFERROR(INDEX('Prospects'!$AN$5:$AN$504,MATCH(C1865,'Prospects'!$C$5:$C$504,0)),"")),'Paramètres'!$Q$6:$Q$15,0)),0))-N(P1865)),0)))</f>
        <v/>
      </c>
      <c r="AX1865" s="61">
        <f>IF(C1865="","",IF(COUNTIF($C$5:C1865,C1865)=1,MAX($AX$4:AX1864)+1,""))</f>
        <v/>
      </c>
      <c r="AY1865" s="61">
        <f>IF(B1865="","",HOUR(B1865))</f>
        <v/>
      </c>
      <c r="AZ1865" s="61">
        <f>IF(A1865="","",MOD(A1865-2,7)+1)</f>
        <v/>
      </c>
      <c r="BA1865" s="60">
        <f>IF(C1865="","",IFERROR(INDEX('Prospects'!$N$5:$N$504,MATCH(C1865,'Prospects'!$C$5:$C$504,0)),""))</f>
        <v/>
      </c>
      <c r="BB1865" s="61">
        <f>IF(AND(C1865&lt;&gt;"",C1865='Fiche prospect'!$C$4),COUNTIF($C$5:C1865,C1865),"")</f>
        <v/>
      </c>
    </row>
    <row r="1866">
      <c r="A1866" s="53" t="n"/>
      <c r="B1866" s="54" t="n"/>
      <c r="C1866" s="55" t="n"/>
      <c r="D1866" s="55" t="n"/>
      <c r="E1866" s="55" t="n"/>
      <c r="F1866" s="55" t="n"/>
      <c r="G1866" s="56" t="n"/>
      <c r="H1866" s="57" t="n"/>
      <c r="I1866" s="55" t="n"/>
      <c r="J1866" s="53" t="n"/>
      <c r="K1866" s="54" t="n"/>
      <c r="L1866" s="55" t="n"/>
      <c r="M1866" s="55" t="n"/>
      <c r="N1866" s="57" t="n"/>
      <c r="O1866" s="55" t="n"/>
      <c r="P1866" s="56" t="n"/>
      <c r="Q1866" s="55" t="n"/>
      <c r="R1866" s="55" t="n"/>
      <c r="S1866" s="55" t="n"/>
      <c r="T1866" s="55" t="n"/>
      <c r="U1866" s="55" t="n"/>
      <c r="V1866" s="55" t="n"/>
      <c r="W1866" s="58" t="n"/>
      <c r="X1866" s="58" t="n"/>
      <c r="Y1866" s="55" t="n"/>
      <c r="Z1866" s="55" t="n"/>
      <c r="AA1866" s="55" t="n"/>
      <c r="AB1866" s="55" t="n"/>
      <c r="AC1866" s="55" t="n"/>
      <c r="AD1866" s="53" t="n"/>
      <c r="AE1866" s="55" t="n"/>
      <c r="AF1866" s="55" t="n"/>
      <c r="AG1866" s="59" t="n"/>
      <c r="AH1866" s="57" t="n"/>
      <c r="AI1866" s="55" t="n"/>
      <c r="AJ1866" s="55" t="n"/>
      <c r="AK1866" s="55" t="n"/>
      <c r="AL1866" s="55" t="n"/>
      <c r="AM1866" s="56" t="n"/>
      <c r="AN1866" s="55" t="n"/>
      <c r="AO1866" s="55" t="n"/>
      <c r="AP1866" s="55" t="n"/>
      <c r="AQ1866" s="55" t="n"/>
      <c r="AR1866" s="60">
        <f>IF(AND(C1866="",E1866=""),"",IF(A1866="","⚠ Date manquante",IF(AND(C1866="",E1866&lt;&gt;"Dépense"),"⚠ Prospect manquant",IF(E1866="","⚠ Action manquante",IF(AND(AU1866=1,D1866=""),"⚠ Canal manquant",IF(AND(W1866&lt;&gt;"",COUNTIFS('Saisie'!$W$5:$W$2004,W1866,'Saisie'!$C$5:$C$2004,"&lt;&gt;"&amp;C1866)&gt;0),"⚠ Numéro déjà utilisé par un autre prospect",IF(AND(J1866&lt;&gt;"",J1866&lt;A1866),"⚠ Relance avant la date de l'action",IF(A1866&gt;TODAY(),"⚠ Date dans le futur","✓"))))))))</f>
        <v/>
      </c>
      <c r="AS1866" s="61">
        <f>IF(AND(A1866="",C1866="",E1866=""),"",ROW())</f>
        <v/>
      </c>
      <c r="AT1866" s="61">
        <f>IF(E1866&amp;F1866="","",MAX(IFERROR(INDEX('Paramètres'!$J$6:$J$33,MATCH(E1866,'Paramètres'!$I$6:$I$33,0)),0),IFERROR(INDEX('Paramètres'!$N$6:$N$17,MATCH(F1866,'Paramètres'!$M$6:$M$17,0)),0)))</f>
        <v/>
      </c>
      <c r="AU1866" s="61">
        <f>IF(E1866="","",IFERROR(IF(INDEX('Paramètres'!$K$6:$K$33,MATCH(E1866,'Paramètres'!$I$6:$I$33,0))="Oui",1,0),0))</f>
        <v/>
      </c>
      <c r="AV1866" s="61">
        <f>IF(F1866="","",IFERROR(IF(INDEX('Paramètres'!$O$6:$O$17,MATCH(F1866,'Paramètres'!$M$6:$M$17,0))="Oui",1,0),0))</f>
        <v/>
      </c>
      <c r="AW1866" s="62">
        <f>IF(E1866="","",IF(G1866&lt;&gt;"",G1866,IF(OR(E1866="Proposition envoyée",E1866="Signature"),MAX(0,N(IFERROR(INDEX('Paramètres'!$R$6:$R$15,MATCH(IF(AL1866&lt;&gt;"",AL1866,IFERROR(INDEX('Prospects'!$AN$5:$AN$504,MATCH(C1866,'Prospects'!$C$5:$C$504,0)),"")),'Paramètres'!$Q$6:$Q$15,0)),0))-N(P1866)),0)))</f>
        <v/>
      </c>
      <c r="AX1866" s="61">
        <f>IF(C1866="","",IF(COUNTIF($C$5:C1866,C1866)=1,MAX($AX$4:AX1865)+1,""))</f>
        <v/>
      </c>
      <c r="AY1866" s="61">
        <f>IF(B1866="","",HOUR(B1866))</f>
        <v/>
      </c>
      <c r="AZ1866" s="61">
        <f>IF(A1866="","",MOD(A1866-2,7)+1)</f>
        <v/>
      </c>
      <c r="BA1866" s="60">
        <f>IF(C1866="","",IFERROR(INDEX('Prospects'!$N$5:$N$504,MATCH(C1866,'Prospects'!$C$5:$C$504,0)),""))</f>
        <v/>
      </c>
      <c r="BB1866" s="61">
        <f>IF(AND(C1866&lt;&gt;"",C1866='Fiche prospect'!$C$4),COUNTIF($C$5:C1866,C1866),"")</f>
        <v/>
      </c>
    </row>
    <row r="1867">
      <c r="A1867" s="53" t="n"/>
      <c r="B1867" s="54" t="n"/>
      <c r="C1867" s="55" t="n"/>
      <c r="D1867" s="55" t="n"/>
      <c r="E1867" s="55" t="n"/>
      <c r="F1867" s="55" t="n"/>
      <c r="G1867" s="56" t="n"/>
      <c r="H1867" s="57" t="n"/>
      <c r="I1867" s="55" t="n"/>
      <c r="J1867" s="53" t="n"/>
      <c r="K1867" s="54" t="n"/>
      <c r="L1867" s="55" t="n"/>
      <c r="M1867" s="55" t="n"/>
      <c r="N1867" s="57" t="n"/>
      <c r="O1867" s="55" t="n"/>
      <c r="P1867" s="56" t="n"/>
      <c r="Q1867" s="55" t="n"/>
      <c r="R1867" s="55" t="n"/>
      <c r="S1867" s="55" t="n"/>
      <c r="T1867" s="55" t="n"/>
      <c r="U1867" s="55" t="n"/>
      <c r="V1867" s="55" t="n"/>
      <c r="W1867" s="58" t="n"/>
      <c r="X1867" s="58" t="n"/>
      <c r="Y1867" s="55" t="n"/>
      <c r="Z1867" s="55" t="n"/>
      <c r="AA1867" s="55" t="n"/>
      <c r="AB1867" s="55" t="n"/>
      <c r="AC1867" s="55" t="n"/>
      <c r="AD1867" s="53" t="n"/>
      <c r="AE1867" s="55" t="n"/>
      <c r="AF1867" s="55" t="n"/>
      <c r="AG1867" s="59" t="n"/>
      <c r="AH1867" s="57" t="n"/>
      <c r="AI1867" s="55" t="n"/>
      <c r="AJ1867" s="55" t="n"/>
      <c r="AK1867" s="55" t="n"/>
      <c r="AL1867" s="55" t="n"/>
      <c r="AM1867" s="56" t="n"/>
      <c r="AN1867" s="55" t="n"/>
      <c r="AO1867" s="55" t="n"/>
      <c r="AP1867" s="55" t="n"/>
      <c r="AQ1867" s="55" t="n"/>
      <c r="AR1867" s="60">
        <f>IF(AND(C1867="",E1867=""),"",IF(A1867="","⚠ Date manquante",IF(AND(C1867="",E1867&lt;&gt;"Dépense"),"⚠ Prospect manquant",IF(E1867="","⚠ Action manquante",IF(AND(AU1867=1,D1867=""),"⚠ Canal manquant",IF(AND(W1867&lt;&gt;"",COUNTIFS('Saisie'!$W$5:$W$2004,W1867,'Saisie'!$C$5:$C$2004,"&lt;&gt;"&amp;C1867)&gt;0),"⚠ Numéro déjà utilisé par un autre prospect",IF(AND(J1867&lt;&gt;"",J1867&lt;A1867),"⚠ Relance avant la date de l'action",IF(A1867&gt;TODAY(),"⚠ Date dans le futur","✓"))))))))</f>
        <v/>
      </c>
      <c r="AS1867" s="61">
        <f>IF(AND(A1867="",C1867="",E1867=""),"",ROW())</f>
        <v/>
      </c>
      <c r="AT1867" s="61">
        <f>IF(E1867&amp;F1867="","",MAX(IFERROR(INDEX('Paramètres'!$J$6:$J$33,MATCH(E1867,'Paramètres'!$I$6:$I$33,0)),0),IFERROR(INDEX('Paramètres'!$N$6:$N$17,MATCH(F1867,'Paramètres'!$M$6:$M$17,0)),0)))</f>
        <v/>
      </c>
      <c r="AU1867" s="61">
        <f>IF(E1867="","",IFERROR(IF(INDEX('Paramètres'!$K$6:$K$33,MATCH(E1867,'Paramètres'!$I$6:$I$33,0))="Oui",1,0),0))</f>
        <v/>
      </c>
      <c r="AV1867" s="61">
        <f>IF(F1867="","",IFERROR(IF(INDEX('Paramètres'!$O$6:$O$17,MATCH(F1867,'Paramètres'!$M$6:$M$17,0))="Oui",1,0),0))</f>
        <v/>
      </c>
      <c r="AW1867" s="62">
        <f>IF(E1867="","",IF(G1867&lt;&gt;"",G1867,IF(OR(E1867="Proposition envoyée",E1867="Signature"),MAX(0,N(IFERROR(INDEX('Paramètres'!$R$6:$R$15,MATCH(IF(AL1867&lt;&gt;"",AL1867,IFERROR(INDEX('Prospects'!$AN$5:$AN$504,MATCH(C1867,'Prospects'!$C$5:$C$504,0)),"")),'Paramètres'!$Q$6:$Q$15,0)),0))-N(P1867)),0)))</f>
        <v/>
      </c>
      <c r="AX1867" s="61">
        <f>IF(C1867="","",IF(COUNTIF($C$5:C1867,C1867)=1,MAX($AX$4:AX1866)+1,""))</f>
        <v/>
      </c>
      <c r="AY1867" s="61">
        <f>IF(B1867="","",HOUR(B1867))</f>
        <v/>
      </c>
      <c r="AZ1867" s="61">
        <f>IF(A1867="","",MOD(A1867-2,7)+1)</f>
        <v/>
      </c>
      <c r="BA1867" s="60">
        <f>IF(C1867="","",IFERROR(INDEX('Prospects'!$N$5:$N$504,MATCH(C1867,'Prospects'!$C$5:$C$504,0)),""))</f>
        <v/>
      </c>
      <c r="BB1867" s="61">
        <f>IF(AND(C1867&lt;&gt;"",C1867='Fiche prospect'!$C$4),COUNTIF($C$5:C1867,C1867),"")</f>
        <v/>
      </c>
    </row>
    <row r="1868">
      <c r="A1868" s="53" t="n"/>
      <c r="B1868" s="54" t="n"/>
      <c r="C1868" s="55" t="n"/>
      <c r="D1868" s="55" t="n"/>
      <c r="E1868" s="55" t="n"/>
      <c r="F1868" s="55" t="n"/>
      <c r="G1868" s="56" t="n"/>
      <c r="H1868" s="57" t="n"/>
      <c r="I1868" s="55" t="n"/>
      <c r="J1868" s="53" t="n"/>
      <c r="K1868" s="54" t="n"/>
      <c r="L1868" s="55" t="n"/>
      <c r="M1868" s="55" t="n"/>
      <c r="N1868" s="57" t="n"/>
      <c r="O1868" s="55" t="n"/>
      <c r="P1868" s="56" t="n"/>
      <c r="Q1868" s="55" t="n"/>
      <c r="R1868" s="55" t="n"/>
      <c r="S1868" s="55" t="n"/>
      <c r="T1868" s="55" t="n"/>
      <c r="U1868" s="55" t="n"/>
      <c r="V1868" s="55" t="n"/>
      <c r="W1868" s="58" t="n"/>
      <c r="X1868" s="58" t="n"/>
      <c r="Y1868" s="55" t="n"/>
      <c r="Z1868" s="55" t="n"/>
      <c r="AA1868" s="55" t="n"/>
      <c r="AB1868" s="55" t="n"/>
      <c r="AC1868" s="55" t="n"/>
      <c r="AD1868" s="53" t="n"/>
      <c r="AE1868" s="55" t="n"/>
      <c r="AF1868" s="55" t="n"/>
      <c r="AG1868" s="59" t="n"/>
      <c r="AH1868" s="57" t="n"/>
      <c r="AI1868" s="55" t="n"/>
      <c r="AJ1868" s="55" t="n"/>
      <c r="AK1868" s="55" t="n"/>
      <c r="AL1868" s="55" t="n"/>
      <c r="AM1868" s="56" t="n"/>
      <c r="AN1868" s="55" t="n"/>
      <c r="AO1868" s="55" t="n"/>
      <c r="AP1868" s="55" t="n"/>
      <c r="AQ1868" s="55" t="n"/>
      <c r="AR1868" s="60">
        <f>IF(AND(C1868="",E1868=""),"",IF(A1868="","⚠ Date manquante",IF(AND(C1868="",E1868&lt;&gt;"Dépense"),"⚠ Prospect manquant",IF(E1868="","⚠ Action manquante",IF(AND(AU1868=1,D1868=""),"⚠ Canal manquant",IF(AND(W1868&lt;&gt;"",COUNTIFS('Saisie'!$W$5:$W$2004,W1868,'Saisie'!$C$5:$C$2004,"&lt;&gt;"&amp;C1868)&gt;0),"⚠ Numéro déjà utilisé par un autre prospect",IF(AND(J1868&lt;&gt;"",J1868&lt;A1868),"⚠ Relance avant la date de l'action",IF(A1868&gt;TODAY(),"⚠ Date dans le futur","✓"))))))))</f>
        <v/>
      </c>
      <c r="AS1868" s="61">
        <f>IF(AND(A1868="",C1868="",E1868=""),"",ROW())</f>
        <v/>
      </c>
      <c r="AT1868" s="61">
        <f>IF(E1868&amp;F1868="","",MAX(IFERROR(INDEX('Paramètres'!$J$6:$J$33,MATCH(E1868,'Paramètres'!$I$6:$I$33,0)),0),IFERROR(INDEX('Paramètres'!$N$6:$N$17,MATCH(F1868,'Paramètres'!$M$6:$M$17,0)),0)))</f>
        <v/>
      </c>
      <c r="AU1868" s="61">
        <f>IF(E1868="","",IFERROR(IF(INDEX('Paramètres'!$K$6:$K$33,MATCH(E1868,'Paramètres'!$I$6:$I$33,0))="Oui",1,0),0))</f>
        <v/>
      </c>
      <c r="AV1868" s="61">
        <f>IF(F1868="","",IFERROR(IF(INDEX('Paramètres'!$O$6:$O$17,MATCH(F1868,'Paramètres'!$M$6:$M$17,0))="Oui",1,0),0))</f>
        <v/>
      </c>
      <c r="AW1868" s="62">
        <f>IF(E1868="","",IF(G1868&lt;&gt;"",G1868,IF(OR(E1868="Proposition envoyée",E1868="Signature"),MAX(0,N(IFERROR(INDEX('Paramètres'!$R$6:$R$15,MATCH(IF(AL1868&lt;&gt;"",AL1868,IFERROR(INDEX('Prospects'!$AN$5:$AN$504,MATCH(C1868,'Prospects'!$C$5:$C$504,0)),"")),'Paramètres'!$Q$6:$Q$15,0)),0))-N(P1868)),0)))</f>
        <v/>
      </c>
      <c r="AX1868" s="61">
        <f>IF(C1868="","",IF(COUNTIF($C$5:C1868,C1868)=1,MAX($AX$4:AX1867)+1,""))</f>
        <v/>
      </c>
      <c r="AY1868" s="61">
        <f>IF(B1868="","",HOUR(B1868))</f>
        <v/>
      </c>
      <c r="AZ1868" s="61">
        <f>IF(A1868="","",MOD(A1868-2,7)+1)</f>
        <v/>
      </c>
      <c r="BA1868" s="60">
        <f>IF(C1868="","",IFERROR(INDEX('Prospects'!$N$5:$N$504,MATCH(C1868,'Prospects'!$C$5:$C$504,0)),""))</f>
        <v/>
      </c>
      <c r="BB1868" s="61">
        <f>IF(AND(C1868&lt;&gt;"",C1868='Fiche prospect'!$C$4),COUNTIF($C$5:C1868,C1868),"")</f>
        <v/>
      </c>
    </row>
    <row r="1869">
      <c r="A1869" s="53" t="n"/>
      <c r="B1869" s="54" t="n"/>
      <c r="C1869" s="55" t="n"/>
      <c r="D1869" s="55" t="n"/>
      <c r="E1869" s="55" t="n"/>
      <c r="F1869" s="55" t="n"/>
      <c r="G1869" s="56" t="n"/>
      <c r="H1869" s="57" t="n"/>
      <c r="I1869" s="55" t="n"/>
      <c r="J1869" s="53" t="n"/>
      <c r="K1869" s="54" t="n"/>
      <c r="L1869" s="55" t="n"/>
      <c r="M1869" s="55" t="n"/>
      <c r="N1869" s="57" t="n"/>
      <c r="O1869" s="55" t="n"/>
      <c r="P1869" s="56" t="n"/>
      <c r="Q1869" s="55" t="n"/>
      <c r="R1869" s="55" t="n"/>
      <c r="S1869" s="55" t="n"/>
      <c r="T1869" s="55" t="n"/>
      <c r="U1869" s="55" t="n"/>
      <c r="V1869" s="55" t="n"/>
      <c r="W1869" s="58" t="n"/>
      <c r="X1869" s="58" t="n"/>
      <c r="Y1869" s="55" t="n"/>
      <c r="Z1869" s="55" t="n"/>
      <c r="AA1869" s="55" t="n"/>
      <c r="AB1869" s="55" t="n"/>
      <c r="AC1869" s="55" t="n"/>
      <c r="AD1869" s="53" t="n"/>
      <c r="AE1869" s="55" t="n"/>
      <c r="AF1869" s="55" t="n"/>
      <c r="AG1869" s="59" t="n"/>
      <c r="AH1869" s="57" t="n"/>
      <c r="AI1869" s="55" t="n"/>
      <c r="AJ1869" s="55" t="n"/>
      <c r="AK1869" s="55" t="n"/>
      <c r="AL1869" s="55" t="n"/>
      <c r="AM1869" s="56" t="n"/>
      <c r="AN1869" s="55" t="n"/>
      <c r="AO1869" s="55" t="n"/>
      <c r="AP1869" s="55" t="n"/>
      <c r="AQ1869" s="55" t="n"/>
      <c r="AR1869" s="60">
        <f>IF(AND(C1869="",E1869=""),"",IF(A1869="","⚠ Date manquante",IF(AND(C1869="",E1869&lt;&gt;"Dépense"),"⚠ Prospect manquant",IF(E1869="","⚠ Action manquante",IF(AND(AU1869=1,D1869=""),"⚠ Canal manquant",IF(AND(W1869&lt;&gt;"",COUNTIFS('Saisie'!$W$5:$W$2004,W1869,'Saisie'!$C$5:$C$2004,"&lt;&gt;"&amp;C1869)&gt;0),"⚠ Numéro déjà utilisé par un autre prospect",IF(AND(J1869&lt;&gt;"",J1869&lt;A1869),"⚠ Relance avant la date de l'action",IF(A1869&gt;TODAY(),"⚠ Date dans le futur","✓"))))))))</f>
        <v/>
      </c>
      <c r="AS1869" s="61">
        <f>IF(AND(A1869="",C1869="",E1869=""),"",ROW())</f>
        <v/>
      </c>
      <c r="AT1869" s="61">
        <f>IF(E1869&amp;F1869="","",MAX(IFERROR(INDEX('Paramètres'!$J$6:$J$33,MATCH(E1869,'Paramètres'!$I$6:$I$33,0)),0),IFERROR(INDEX('Paramètres'!$N$6:$N$17,MATCH(F1869,'Paramètres'!$M$6:$M$17,0)),0)))</f>
        <v/>
      </c>
      <c r="AU1869" s="61">
        <f>IF(E1869="","",IFERROR(IF(INDEX('Paramètres'!$K$6:$K$33,MATCH(E1869,'Paramètres'!$I$6:$I$33,0))="Oui",1,0),0))</f>
        <v/>
      </c>
      <c r="AV1869" s="61">
        <f>IF(F1869="","",IFERROR(IF(INDEX('Paramètres'!$O$6:$O$17,MATCH(F1869,'Paramètres'!$M$6:$M$17,0))="Oui",1,0),0))</f>
        <v/>
      </c>
      <c r="AW1869" s="62">
        <f>IF(E1869="","",IF(G1869&lt;&gt;"",G1869,IF(OR(E1869="Proposition envoyée",E1869="Signature"),MAX(0,N(IFERROR(INDEX('Paramètres'!$R$6:$R$15,MATCH(IF(AL1869&lt;&gt;"",AL1869,IFERROR(INDEX('Prospects'!$AN$5:$AN$504,MATCH(C1869,'Prospects'!$C$5:$C$504,0)),"")),'Paramètres'!$Q$6:$Q$15,0)),0))-N(P1869)),0)))</f>
        <v/>
      </c>
      <c r="AX1869" s="61">
        <f>IF(C1869="","",IF(COUNTIF($C$5:C1869,C1869)=1,MAX($AX$4:AX1868)+1,""))</f>
        <v/>
      </c>
      <c r="AY1869" s="61">
        <f>IF(B1869="","",HOUR(B1869))</f>
        <v/>
      </c>
      <c r="AZ1869" s="61">
        <f>IF(A1869="","",MOD(A1869-2,7)+1)</f>
        <v/>
      </c>
      <c r="BA1869" s="60">
        <f>IF(C1869="","",IFERROR(INDEX('Prospects'!$N$5:$N$504,MATCH(C1869,'Prospects'!$C$5:$C$504,0)),""))</f>
        <v/>
      </c>
      <c r="BB1869" s="61">
        <f>IF(AND(C1869&lt;&gt;"",C1869='Fiche prospect'!$C$4),COUNTIF($C$5:C1869,C1869),"")</f>
        <v/>
      </c>
    </row>
    <row r="1870">
      <c r="A1870" s="53" t="n"/>
      <c r="B1870" s="54" t="n"/>
      <c r="C1870" s="55" t="n"/>
      <c r="D1870" s="55" t="n"/>
      <c r="E1870" s="55" t="n"/>
      <c r="F1870" s="55" t="n"/>
      <c r="G1870" s="56" t="n"/>
      <c r="H1870" s="57" t="n"/>
      <c r="I1870" s="55" t="n"/>
      <c r="J1870" s="53" t="n"/>
      <c r="K1870" s="54" t="n"/>
      <c r="L1870" s="55" t="n"/>
      <c r="M1870" s="55" t="n"/>
      <c r="N1870" s="57" t="n"/>
      <c r="O1870" s="55" t="n"/>
      <c r="P1870" s="56" t="n"/>
      <c r="Q1870" s="55" t="n"/>
      <c r="R1870" s="55" t="n"/>
      <c r="S1870" s="55" t="n"/>
      <c r="T1870" s="55" t="n"/>
      <c r="U1870" s="55" t="n"/>
      <c r="V1870" s="55" t="n"/>
      <c r="W1870" s="58" t="n"/>
      <c r="X1870" s="58" t="n"/>
      <c r="Y1870" s="55" t="n"/>
      <c r="Z1870" s="55" t="n"/>
      <c r="AA1870" s="55" t="n"/>
      <c r="AB1870" s="55" t="n"/>
      <c r="AC1870" s="55" t="n"/>
      <c r="AD1870" s="53" t="n"/>
      <c r="AE1870" s="55" t="n"/>
      <c r="AF1870" s="55" t="n"/>
      <c r="AG1870" s="59" t="n"/>
      <c r="AH1870" s="57" t="n"/>
      <c r="AI1870" s="55" t="n"/>
      <c r="AJ1870" s="55" t="n"/>
      <c r="AK1870" s="55" t="n"/>
      <c r="AL1870" s="55" t="n"/>
      <c r="AM1870" s="56" t="n"/>
      <c r="AN1870" s="55" t="n"/>
      <c r="AO1870" s="55" t="n"/>
      <c r="AP1870" s="55" t="n"/>
      <c r="AQ1870" s="55" t="n"/>
      <c r="AR1870" s="60">
        <f>IF(AND(C1870="",E1870=""),"",IF(A1870="","⚠ Date manquante",IF(AND(C1870="",E1870&lt;&gt;"Dépense"),"⚠ Prospect manquant",IF(E1870="","⚠ Action manquante",IF(AND(AU1870=1,D1870=""),"⚠ Canal manquant",IF(AND(W1870&lt;&gt;"",COUNTIFS('Saisie'!$W$5:$W$2004,W1870,'Saisie'!$C$5:$C$2004,"&lt;&gt;"&amp;C1870)&gt;0),"⚠ Numéro déjà utilisé par un autre prospect",IF(AND(J1870&lt;&gt;"",J1870&lt;A1870),"⚠ Relance avant la date de l'action",IF(A1870&gt;TODAY(),"⚠ Date dans le futur","✓"))))))))</f>
        <v/>
      </c>
      <c r="AS1870" s="61">
        <f>IF(AND(A1870="",C1870="",E1870=""),"",ROW())</f>
        <v/>
      </c>
      <c r="AT1870" s="61">
        <f>IF(E1870&amp;F1870="","",MAX(IFERROR(INDEX('Paramètres'!$J$6:$J$33,MATCH(E1870,'Paramètres'!$I$6:$I$33,0)),0),IFERROR(INDEX('Paramètres'!$N$6:$N$17,MATCH(F1870,'Paramètres'!$M$6:$M$17,0)),0)))</f>
        <v/>
      </c>
      <c r="AU1870" s="61">
        <f>IF(E1870="","",IFERROR(IF(INDEX('Paramètres'!$K$6:$K$33,MATCH(E1870,'Paramètres'!$I$6:$I$33,0))="Oui",1,0),0))</f>
        <v/>
      </c>
      <c r="AV1870" s="61">
        <f>IF(F1870="","",IFERROR(IF(INDEX('Paramètres'!$O$6:$O$17,MATCH(F1870,'Paramètres'!$M$6:$M$17,0))="Oui",1,0),0))</f>
        <v/>
      </c>
      <c r="AW1870" s="62">
        <f>IF(E1870="","",IF(G1870&lt;&gt;"",G1870,IF(OR(E1870="Proposition envoyée",E1870="Signature"),MAX(0,N(IFERROR(INDEX('Paramètres'!$R$6:$R$15,MATCH(IF(AL1870&lt;&gt;"",AL1870,IFERROR(INDEX('Prospects'!$AN$5:$AN$504,MATCH(C1870,'Prospects'!$C$5:$C$504,0)),"")),'Paramètres'!$Q$6:$Q$15,0)),0))-N(P1870)),0)))</f>
        <v/>
      </c>
      <c r="AX1870" s="61">
        <f>IF(C1870="","",IF(COUNTIF($C$5:C1870,C1870)=1,MAX($AX$4:AX1869)+1,""))</f>
        <v/>
      </c>
      <c r="AY1870" s="61">
        <f>IF(B1870="","",HOUR(B1870))</f>
        <v/>
      </c>
      <c r="AZ1870" s="61">
        <f>IF(A1870="","",MOD(A1870-2,7)+1)</f>
        <v/>
      </c>
      <c r="BA1870" s="60">
        <f>IF(C1870="","",IFERROR(INDEX('Prospects'!$N$5:$N$504,MATCH(C1870,'Prospects'!$C$5:$C$504,0)),""))</f>
        <v/>
      </c>
      <c r="BB1870" s="61">
        <f>IF(AND(C1870&lt;&gt;"",C1870='Fiche prospect'!$C$4),COUNTIF($C$5:C1870,C1870),"")</f>
        <v/>
      </c>
    </row>
    <row r="1871">
      <c r="A1871" s="53" t="n"/>
      <c r="B1871" s="54" t="n"/>
      <c r="C1871" s="55" t="n"/>
      <c r="D1871" s="55" t="n"/>
      <c r="E1871" s="55" t="n"/>
      <c r="F1871" s="55" t="n"/>
      <c r="G1871" s="56" t="n"/>
      <c r="H1871" s="57" t="n"/>
      <c r="I1871" s="55" t="n"/>
      <c r="J1871" s="53" t="n"/>
      <c r="K1871" s="54" t="n"/>
      <c r="L1871" s="55" t="n"/>
      <c r="M1871" s="55" t="n"/>
      <c r="N1871" s="57" t="n"/>
      <c r="O1871" s="55" t="n"/>
      <c r="P1871" s="56" t="n"/>
      <c r="Q1871" s="55" t="n"/>
      <c r="R1871" s="55" t="n"/>
      <c r="S1871" s="55" t="n"/>
      <c r="T1871" s="55" t="n"/>
      <c r="U1871" s="55" t="n"/>
      <c r="V1871" s="55" t="n"/>
      <c r="W1871" s="58" t="n"/>
      <c r="X1871" s="58" t="n"/>
      <c r="Y1871" s="55" t="n"/>
      <c r="Z1871" s="55" t="n"/>
      <c r="AA1871" s="55" t="n"/>
      <c r="AB1871" s="55" t="n"/>
      <c r="AC1871" s="55" t="n"/>
      <c r="AD1871" s="53" t="n"/>
      <c r="AE1871" s="55" t="n"/>
      <c r="AF1871" s="55" t="n"/>
      <c r="AG1871" s="59" t="n"/>
      <c r="AH1871" s="57" t="n"/>
      <c r="AI1871" s="55" t="n"/>
      <c r="AJ1871" s="55" t="n"/>
      <c r="AK1871" s="55" t="n"/>
      <c r="AL1871" s="55" t="n"/>
      <c r="AM1871" s="56" t="n"/>
      <c r="AN1871" s="55" t="n"/>
      <c r="AO1871" s="55" t="n"/>
      <c r="AP1871" s="55" t="n"/>
      <c r="AQ1871" s="55" t="n"/>
      <c r="AR1871" s="60">
        <f>IF(AND(C1871="",E1871=""),"",IF(A1871="","⚠ Date manquante",IF(AND(C1871="",E1871&lt;&gt;"Dépense"),"⚠ Prospect manquant",IF(E1871="","⚠ Action manquante",IF(AND(AU1871=1,D1871=""),"⚠ Canal manquant",IF(AND(W1871&lt;&gt;"",COUNTIFS('Saisie'!$W$5:$W$2004,W1871,'Saisie'!$C$5:$C$2004,"&lt;&gt;"&amp;C1871)&gt;0),"⚠ Numéro déjà utilisé par un autre prospect",IF(AND(J1871&lt;&gt;"",J1871&lt;A1871),"⚠ Relance avant la date de l'action",IF(A1871&gt;TODAY(),"⚠ Date dans le futur","✓"))))))))</f>
        <v/>
      </c>
      <c r="AS1871" s="61">
        <f>IF(AND(A1871="",C1871="",E1871=""),"",ROW())</f>
        <v/>
      </c>
      <c r="AT1871" s="61">
        <f>IF(E1871&amp;F1871="","",MAX(IFERROR(INDEX('Paramètres'!$J$6:$J$33,MATCH(E1871,'Paramètres'!$I$6:$I$33,0)),0),IFERROR(INDEX('Paramètres'!$N$6:$N$17,MATCH(F1871,'Paramètres'!$M$6:$M$17,0)),0)))</f>
        <v/>
      </c>
      <c r="AU1871" s="61">
        <f>IF(E1871="","",IFERROR(IF(INDEX('Paramètres'!$K$6:$K$33,MATCH(E1871,'Paramètres'!$I$6:$I$33,0))="Oui",1,0),0))</f>
        <v/>
      </c>
      <c r="AV1871" s="61">
        <f>IF(F1871="","",IFERROR(IF(INDEX('Paramètres'!$O$6:$O$17,MATCH(F1871,'Paramètres'!$M$6:$M$17,0))="Oui",1,0),0))</f>
        <v/>
      </c>
      <c r="AW1871" s="62">
        <f>IF(E1871="","",IF(G1871&lt;&gt;"",G1871,IF(OR(E1871="Proposition envoyée",E1871="Signature"),MAX(0,N(IFERROR(INDEX('Paramètres'!$R$6:$R$15,MATCH(IF(AL1871&lt;&gt;"",AL1871,IFERROR(INDEX('Prospects'!$AN$5:$AN$504,MATCH(C1871,'Prospects'!$C$5:$C$504,0)),"")),'Paramètres'!$Q$6:$Q$15,0)),0))-N(P1871)),0)))</f>
        <v/>
      </c>
      <c r="AX1871" s="61">
        <f>IF(C1871="","",IF(COUNTIF($C$5:C1871,C1871)=1,MAX($AX$4:AX1870)+1,""))</f>
        <v/>
      </c>
      <c r="AY1871" s="61">
        <f>IF(B1871="","",HOUR(B1871))</f>
        <v/>
      </c>
      <c r="AZ1871" s="61">
        <f>IF(A1871="","",MOD(A1871-2,7)+1)</f>
        <v/>
      </c>
      <c r="BA1871" s="60">
        <f>IF(C1871="","",IFERROR(INDEX('Prospects'!$N$5:$N$504,MATCH(C1871,'Prospects'!$C$5:$C$504,0)),""))</f>
        <v/>
      </c>
      <c r="BB1871" s="61">
        <f>IF(AND(C1871&lt;&gt;"",C1871='Fiche prospect'!$C$4),COUNTIF($C$5:C1871,C1871),"")</f>
        <v/>
      </c>
    </row>
    <row r="1872">
      <c r="A1872" s="53" t="n"/>
      <c r="B1872" s="54" t="n"/>
      <c r="C1872" s="55" t="n"/>
      <c r="D1872" s="55" t="n"/>
      <c r="E1872" s="55" t="n"/>
      <c r="F1872" s="55" t="n"/>
      <c r="G1872" s="56" t="n"/>
      <c r="H1872" s="57" t="n"/>
      <c r="I1872" s="55" t="n"/>
      <c r="J1872" s="53" t="n"/>
      <c r="K1872" s="54" t="n"/>
      <c r="L1872" s="55" t="n"/>
      <c r="M1872" s="55" t="n"/>
      <c r="N1872" s="57" t="n"/>
      <c r="O1872" s="55" t="n"/>
      <c r="P1872" s="56" t="n"/>
      <c r="Q1872" s="55" t="n"/>
      <c r="R1872" s="55" t="n"/>
      <c r="S1872" s="55" t="n"/>
      <c r="T1872" s="55" t="n"/>
      <c r="U1872" s="55" t="n"/>
      <c r="V1872" s="55" t="n"/>
      <c r="W1872" s="58" t="n"/>
      <c r="X1872" s="58" t="n"/>
      <c r="Y1872" s="55" t="n"/>
      <c r="Z1872" s="55" t="n"/>
      <c r="AA1872" s="55" t="n"/>
      <c r="AB1872" s="55" t="n"/>
      <c r="AC1872" s="55" t="n"/>
      <c r="AD1872" s="53" t="n"/>
      <c r="AE1872" s="55" t="n"/>
      <c r="AF1872" s="55" t="n"/>
      <c r="AG1872" s="59" t="n"/>
      <c r="AH1872" s="57" t="n"/>
      <c r="AI1872" s="55" t="n"/>
      <c r="AJ1872" s="55" t="n"/>
      <c r="AK1872" s="55" t="n"/>
      <c r="AL1872" s="55" t="n"/>
      <c r="AM1872" s="56" t="n"/>
      <c r="AN1872" s="55" t="n"/>
      <c r="AO1872" s="55" t="n"/>
      <c r="AP1872" s="55" t="n"/>
      <c r="AQ1872" s="55" t="n"/>
      <c r="AR1872" s="60">
        <f>IF(AND(C1872="",E1872=""),"",IF(A1872="","⚠ Date manquante",IF(AND(C1872="",E1872&lt;&gt;"Dépense"),"⚠ Prospect manquant",IF(E1872="","⚠ Action manquante",IF(AND(AU1872=1,D1872=""),"⚠ Canal manquant",IF(AND(W1872&lt;&gt;"",COUNTIFS('Saisie'!$W$5:$W$2004,W1872,'Saisie'!$C$5:$C$2004,"&lt;&gt;"&amp;C1872)&gt;0),"⚠ Numéro déjà utilisé par un autre prospect",IF(AND(J1872&lt;&gt;"",J1872&lt;A1872),"⚠ Relance avant la date de l'action",IF(A1872&gt;TODAY(),"⚠ Date dans le futur","✓"))))))))</f>
        <v/>
      </c>
      <c r="AS1872" s="61">
        <f>IF(AND(A1872="",C1872="",E1872=""),"",ROW())</f>
        <v/>
      </c>
      <c r="AT1872" s="61">
        <f>IF(E1872&amp;F1872="","",MAX(IFERROR(INDEX('Paramètres'!$J$6:$J$33,MATCH(E1872,'Paramètres'!$I$6:$I$33,0)),0),IFERROR(INDEX('Paramètres'!$N$6:$N$17,MATCH(F1872,'Paramètres'!$M$6:$M$17,0)),0)))</f>
        <v/>
      </c>
      <c r="AU1872" s="61">
        <f>IF(E1872="","",IFERROR(IF(INDEX('Paramètres'!$K$6:$K$33,MATCH(E1872,'Paramètres'!$I$6:$I$33,0))="Oui",1,0),0))</f>
        <v/>
      </c>
      <c r="AV1872" s="61">
        <f>IF(F1872="","",IFERROR(IF(INDEX('Paramètres'!$O$6:$O$17,MATCH(F1872,'Paramètres'!$M$6:$M$17,0))="Oui",1,0),0))</f>
        <v/>
      </c>
      <c r="AW1872" s="62">
        <f>IF(E1872="","",IF(G1872&lt;&gt;"",G1872,IF(OR(E1872="Proposition envoyée",E1872="Signature"),MAX(0,N(IFERROR(INDEX('Paramètres'!$R$6:$R$15,MATCH(IF(AL1872&lt;&gt;"",AL1872,IFERROR(INDEX('Prospects'!$AN$5:$AN$504,MATCH(C1872,'Prospects'!$C$5:$C$504,0)),"")),'Paramètres'!$Q$6:$Q$15,0)),0))-N(P1872)),0)))</f>
        <v/>
      </c>
      <c r="AX1872" s="61">
        <f>IF(C1872="","",IF(COUNTIF($C$5:C1872,C1872)=1,MAX($AX$4:AX1871)+1,""))</f>
        <v/>
      </c>
      <c r="AY1872" s="61">
        <f>IF(B1872="","",HOUR(B1872))</f>
        <v/>
      </c>
      <c r="AZ1872" s="61">
        <f>IF(A1872="","",MOD(A1872-2,7)+1)</f>
        <v/>
      </c>
      <c r="BA1872" s="60">
        <f>IF(C1872="","",IFERROR(INDEX('Prospects'!$N$5:$N$504,MATCH(C1872,'Prospects'!$C$5:$C$504,0)),""))</f>
        <v/>
      </c>
      <c r="BB1872" s="61">
        <f>IF(AND(C1872&lt;&gt;"",C1872='Fiche prospect'!$C$4),COUNTIF($C$5:C1872,C1872),"")</f>
        <v/>
      </c>
    </row>
    <row r="1873">
      <c r="A1873" s="53" t="n"/>
      <c r="B1873" s="54" t="n"/>
      <c r="C1873" s="55" t="n"/>
      <c r="D1873" s="55" t="n"/>
      <c r="E1873" s="55" t="n"/>
      <c r="F1873" s="55" t="n"/>
      <c r="G1873" s="56" t="n"/>
      <c r="H1873" s="57" t="n"/>
      <c r="I1873" s="55" t="n"/>
      <c r="J1873" s="53" t="n"/>
      <c r="K1873" s="54" t="n"/>
      <c r="L1873" s="55" t="n"/>
      <c r="M1873" s="55" t="n"/>
      <c r="N1873" s="57" t="n"/>
      <c r="O1873" s="55" t="n"/>
      <c r="P1873" s="56" t="n"/>
      <c r="Q1873" s="55" t="n"/>
      <c r="R1873" s="55" t="n"/>
      <c r="S1873" s="55" t="n"/>
      <c r="T1873" s="55" t="n"/>
      <c r="U1873" s="55" t="n"/>
      <c r="V1873" s="55" t="n"/>
      <c r="W1873" s="58" t="n"/>
      <c r="X1873" s="58" t="n"/>
      <c r="Y1873" s="55" t="n"/>
      <c r="Z1873" s="55" t="n"/>
      <c r="AA1873" s="55" t="n"/>
      <c r="AB1873" s="55" t="n"/>
      <c r="AC1873" s="55" t="n"/>
      <c r="AD1873" s="53" t="n"/>
      <c r="AE1873" s="55" t="n"/>
      <c r="AF1873" s="55" t="n"/>
      <c r="AG1873" s="59" t="n"/>
      <c r="AH1873" s="57" t="n"/>
      <c r="AI1873" s="55" t="n"/>
      <c r="AJ1873" s="55" t="n"/>
      <c r="AK1873" s="55" t="n"/>
      <c r="AL1873" s="55" t="n"/>
      <c r="AM1873" s="56" t="n"/>
      <c r="AN1873" s="55" t="n"/>
      <c r="AO1873" s="55" t="n"/>
      <c r="AP1873" s="55" t="n"/>
      <c r="AQ1873" s="55" t="n"/>
      <c r="AR1873" s="60">
        <f>IF(AND(C1873="",E1873=""),"",IF(A1873="","⚠ Date manquante",IF(AND(C1873="",E1873&lt;&gt;"Dépense"),"⚠ Prospect manquant",IF(E1873="","⚠ Action manquante",IF(AND(AU1873=1,D1873=""),"⚠ Canal manquant",IF(AND(W1873&lt;&gt;"",COUNTIFS('Saisie'!$W$5:$W$2004,W1873,'Saisie'!$C$5:$C$2004,"&lt;&gt;"&amp;C1873)&gt;0),"⚠ Numéro déjà utilisé par un autre prospect",IF(AND(J1873&lt;&gt;"",J1873&lt;A1873),"⚠ Relance avant la date de l'action",IF(A1873&gt;TODAY(),"⚠ Date dans le futur","✓"))))))))</f>
        <v/>
      </c>
      <c r="AS1873" s="61">
        <f>IF(AND(A1873="",C1873="",E1873=""),"",ROW())</f>
        <v/>
      </c>
      <c r="AT1873" s="61">
        <f>IF(E1873&amp;F1873="","",MAX(IFERROR(INDEX('Paramètres'!$J$6:$J$33,MATCH(E1873,'Paramètres'!$I$6:$I$33,0)),0),IFERROR(INDEX('Paramètres'!$N$6:$N$17,MATCH(F1873,'Paramètres'!$M$6:$M$17,0)),0)))</f>
        <v/>
      </c>
      <c r="AU1873" s="61">
        <f>IF(E1873="","",IFERROR(IF(INDEX('Paramètres'!$K$6:$K$33,MATCH(E1873,'Paramètres'!$I$6:$I$33,0))="Oui",1,0),0))</f>
        <v/>
      </c>
      <c r="AV1873" s="61">
        <f>IF(F1873="","",IFERROR(IF(INDEX('Paramètres'!$O$6:$O$17,MATCH(F1873,'Paramètres'!$M$6:$M$17,0))="Oui",1,0),0))</f>
        <v/>
      </c>
      <c r="AW1873" s="62">
        <f>IF(E1873="","",IF(G1873&lt;&gt;"",G1873,IF(OR(E1873="Proposition envoyée",E1873="Signature"),MAX(0,N(IFERROR(INDEX('Paramètres'!$R$6:$R$15,MATCH(IF(AL1873&lt;&gt;"",AL1873,IFERROR(INDEX('Prospects'!$AN$5:$AN$504,MATCH(C1873,'Prospects'!$C$5:$C$504,0)),"")),'Paramètres'!$Q$6:$Q$15,0)),0))-N(P1873)),0)))</f>
        <v/>
      </c>
      <c r="AX1873" s="61">
        <f>IF(C1873="","",IF(COUNTIF($C$5:C1873,C1873)=1,MAX($AX$4:AX1872)+1,""))</f>
        <v/>
      </c>
      <c r="AY1873" s="61">
        <f>IF(B1873="","",HOUR(B1873))</f>
        <v/>
      </c>
      <c r="AZ1873" s="61">
        <f>IF(A1873="","",MOD(A1873-2,7)+1)</f>
        <v/>
      </c>
      <c r="BA1873" s="60">
        <f>IF(C1873="","",IFERROR(INDEX('Prospects'!$N$5:$N$504,MATCH(C1873,'Prospects'!$C$5:$C$504,0)),""))</f>
        <v/>
      </c>
      <c r="BB1873" s="61">
        <f>IF(AND(C1873&lt;&gt;"",C1873='Fiche prospect'!$C$4),COUNTIF($C$5:C1873,C1873),"")</f>
        <v/>
      </c>
    </row>
    <row r="1874">
      <c r="A1874" s="53" t="n"/>
      <c r="B1874" s="54" t="n"/>
      <c r="C1874" s="55" t="n"/>
      <c r="D1874" s="55" t="n"/>
      <c r="E1874" s="55" t="n"/>
      <c r="F1874" s="55" t="n"/>
      <c r="G1874" s="56" t="n"/>
      <c r="H1874" s="57" t="n"/>
      <c r="I1874" s="55" t="n"/>
      <c r="J1874" s="53" t="n"/>
      <c r="K1874" s="54" t="n"/>
      <c r="L1874" s="55" t="n"/>
      <c r="M1874" s="55" t="n"/>
      <c r="N1874" s="57" t="n"/>
      <c r="O1874" s="55" t="n"/>
      <c r="P1874" s="56" t="n"/>
      <c r="Q1874" s="55" t="n"/>
      <c r="R1874" s="55" t="n"/>
      <c r="S1874" s="55" t="n"/>
      <c r="T1874" s="55" t="n"/>
      <c r="U1874" s="55" t="n"/>
      <c r="V1874" s="55" t="n"/>
      <c r="W1874" s="58" t="n"/>
      <c r="X1874" s="58" t="n"/>
      <c r="Y1874" s="55" t="n"/>
      <c r="Z1874" s="55" t="n"/>
      <c r="AA1874" s="55" t="n"/>
      <c r="AB1874" s="55" t="n"/>
      <c r="AC1874" s="55" t="n"/>
      <c r="AD1874" s="53" t="n"/>
      <c r="AE1874" s="55" t="n"/>
      <c r="AF1874" s="55" t="n"/>
      <c r="AG1874" s="59" t="n"/>
      <c r="AH1874" s="57" t="n"/>
      <c r="AI1874" s="55" t="n"/>
      <c r="AJ1874" s="55" t="n"/>
      <c r="AK1874" s="55" t="n"/>
      <c r="AL1874" s="55" t="n"/>
      <c r="AM1874" s="56" t="n"/>
      <c r="AN1874" s="55" t="n"/>
      <c r="AO1874" s="55" t="n"/>
      <c r="AP1874" s="55" t="n"/>
      <c r="AQ1874" s="55" t="n"/>
      <c r="AR1874" s="60">
        <f>IF(AND(C1874="",E1874=""),"",IF(A1874="","⚠ Date manquante",IF(AND(C1874="",E1874&lt;&gt;"Dépense"),"⚠ Prospect manquant",IF(E1874="","⚠ Action manquante",IF(AND(AU1874=1,D1874=""),"⚠ Canal manquant",IF(AND(W1874&lt;&gt;"",COUNTIFS('Saisie'!$W$5:$W$2004,W1874,'Saisie'!$C$5:$C$2004,"&lt;&gt;"&amp;C1874)&gt;0),"⚠ Numéro déjà utilisé par un autre prospect",IF(AND(J1874&lt;&gt;"",J1874&lt;A1874),"⚠ Relance avant la date de l'action",IF(A1874&gt;TODAY(),"⚠ Date dans le futur","✓"))))))))</f>
        <v/>
      </c>
      <c r="AS1874" s="61">
        <f>IF(AND(A1874="",C1874="",E1874=""),"",ROW())</f>
        <v/>
      </c>
      <c r="AT1874" s="61">
        <f>IF(E1874&amp;F1874="","",MAX(IFERROR(INDEX('Paramètres'!$J$6:$J$33,MATCH(E1874,'Paramètres'!$I$6:$I$33,0)),0),IFERROR(INDEX('Paramètres'!$N$6:$N$17,MATCH(F1874,'Paramètres'!$M$6:$M$17,0)),0)))</f>
        <v/>
      </c>
      <c r="AU1874" s="61">
        <f>IF(E1874="","",IFERROR(IF(INDEX('Paramètres'!$K$6:$K$33,MATCH(E1874,'Paramètres'!$I$6:$I$33,0))="Oui",1,0),0))</f>
        <v/>
      </c>
      <c r="AV1874" s="61">
        <f>IF(F1874="","",IFERROR(IF(INDEX('Paramètres'!$O$6:$O$17,MATCH(F1874,'Paramètres'!$M$6:$M$17,0))="Oui",1,0),0))</f>
        <v/>
      </c>
      <c r="AW1874" s="62">
        <f>IF(E1874="","",IF(G1874&lt;&gt;"",G1874,IF(OR(E1874="Proposition envoyée",E1874="Signature"),MAX(0,N(IFERROR(INDEX('Paramètres'!$R$6:$R$15,MATCH(IF(AL1874&lt;&gt;"",AL1874,IFERROR(INDEX('Prospects'!$AN$5:$AN$504,MATCH(C1874,'Prospects'!$C$5:$C$504,0)),"")),'Paramètres'!$Q$6:$Q$15,0)),0))-N(P1874)),0)))</f>
        <v/>
      </c>
      <c r="AX1874" s="61">
        <f>IF(C1874="","",IF(COUNTIF($C$5:C1874,C1874)=1,MAX($AX$4:AX1873)+1,""))</f>
        <v/>
      </c>
      <c r="AY1874" s="61">
        <f>IF(B1874="","",HOUR(B1874))</f>
        <v/>
      </c>
      <c r="AZ1874" s="61">
        <f>IF(A1874="","",MOD(A1874-2,7)+1)</f>
        <v/>
      </c>
      <c r="BA1874" s="60">
        <f>IF(C1874="","",IFERROR(INDEX('Prospects'!$N$5:$N$504,MATCH(C1874,'Prospects'!$C$5:$C$504,0)),""))</f>
        <v/>
      </c>
      <c r="BB1874" s="61">
        <f>IF(AND(C1874&lt;&gt;"",C1874='Fiche prospect'!$C$4),COUNTIF($C$5:C1874,C1874),"")</f>
        <v/>
      </c>
    </row>
    <row r="1875">
      <c r="A1875" s="53" t="n"/>
      <c r="B1875" s="54" t="n"/>
      <c r="C1875" s="55" t="n"/>
      <c r="D1875" s="55" t="n"/>
      <c r="E1875" s="55" t="n"/>
      <c r="F1875" s="55" t="n"/>
      <c r="G1875" s="56" t="n"/>
      <c r="H1875" s="57" t="n"/>
      <c r="I1875" s="55" t="n"/>
      <c r="J1875" s="53" t="n"/>
      <c r="K1875" s="54" t="n"/>
      <c r="L1875" s="55" t="n"/>
      <c r="M1875" s="55" t="n"/>
      <c r="N1875" s="57" t="n"/>
      <c r="O1875" s="55" t="n"/>
      <c r="P1875" s="56" t="n"/>
      <c r="Q1875" s="55" t="n"/>
      <c r="R1875" s="55" t="n"/>
      <c r="S1875" s="55" t="n"/>
      <c r="T1875" s="55" t="n"/>
      <c r="U1875" s="55" t="n"/>
      <c r="V1875" s="55" t="n"/>
      <c r="W1875" s="58" t="n"/>
      <c r="X1875" s="58" t="n"/>
      <c r="Y1875" s="55" t="n"/>
      <c r="Z1875" s="55" t="n"/>
      <c r="AA1875" s="55" t="n"/>
      <c r="AB1875" s="55" t="n"/>
      <c r="AC1875" s="55" t="n"/>
      <c r="AD1875" s="53" t="n"/>
      <c r="AE1875" s="55" t="n"/>
      <c r="AF1875" s="55" t="n"/>
      <c r="AG1875" s="59" t="n"/>
      <c r="AH1875" s="57" t="n"/>
      <c r="AI1875" s="55" t="n"/>
      <c r="AJ1875" s="55" t="n"/>
      <c r="AK1875" s="55" t="n"/>
      <c r="AL1875" s="55" t="n"/>
      <c r="AM1875" s="56" t="n"/>
      <c r="AN1875" s="55" t="n"/>
      <c r="AO1875" s="55" t="n"/>
      <c r="AP1875" s="55" t="n"/>
      <c r="AQ1875" s="55" t="n"/>
      <c r="AR1875" s="60">
        <f>IF(AND(C1875="",E1875=""),"",IF(A1875="","⚠ Date manquante",IF(AND(C1875="",E1875&lt;&gt;"Dépense"),"⚠ Prospect manquant",IF(E1875="","⚠ Action manquante",IF(AND(AU1875=1,D1875=""),"⚠ Canal manquant",IF(AND(W1875&lt;&gt;"",COUNTIFS('Saisie'!$W$5:$W$2004,W1875,'Saisie'!$C$5:$C$2004,"&lt;&gt;"&amp;C1875)&gt;0),"⚠ Numéro déjà utilisé par un autre prospect",IF(AND(J1875&lt;&gt;"",J1875&lt;A1875),"⚠ Relance avant la date de l'action",IF(A1875&gt;TODAY(),"⚠ Date dans le futur","✓"))))))))</f>
        <v/>
      </c>
      <c r="AS1875" s="61">
        <f>IF(AND(A1875="",C1875="",E1875=""),"",ROW())</f>
        <v/>
      </c>
      <c r="AT1875" s="61">
        <f>IF(E1875&amp;F1875="","",MAX(IFERROR(INDEX('Paramètres'!$J$6:$J$33,MATCH(E1875,'Paramètres'!$I$6:$I$33,0)),0),IFERROR(INDEX('Paramètres'!$N$6:$N$17,MATCH(F1875,'Paramètres'!$M$6:$M$17,0)),0)))</f>
        <v/>
      </c>
      <c r="AU1875" s="61">
        <f>IF(E1875="","",IFERROR(IF(INDEX('Paramètres'!$K$6:$K$33,MATCH(E1875,'Paramètres'!$I$6:$I$33,0))="Oui",1,0),0))</f>
        <v/>
      </c>
      <c r="AV1875" s="61">
        <f>IF(F1875="","",IFERROR(IF(INDEX('Paramètres'!$O$6:$O$17,MATCH(F1875,'Paramètres'!$M$6:$M$17,0))="Oui",1,0),0))</f>
        <v/>
      </c>
      <c r="AW1875" s="62">
        <f>IF(E1875="","",IF(G1875&lt;&gt;"",G1875,IF(OR(E1875="Proposition envoyée",E1875="Signature"),MAX(0,N(IFERROR(INDEX('Paramètres'!$R$6:$R$15,MATCH(IF(AL1875&lt;&gt;"",AL1875,IFERROR(INDEX('Prospects'!$AN$5:$AN$504,MATCH(C1875,'Prospects'!$C$5:$C$504,0)),"")),'Paramètres'!$Q$6:$Q$15,0)),0))-N(P1875)),0)))</f>
        <v/>
      </c>
      <c r="AX1875" s="61">
        <f>IF(C1875="","",IF(COUNTIF($C$5:C1875,C1875)=1,MAX($AX$4:AX1874)+1,""))</f>
        <v/>
      </c>
      <c r="AY1875" s="61">
        <f>IF(B1875="","",HOUR(B1875))</f>
        <v/>
      </c>
      <c r="AZ1875" s="61">
        <f>IF(A1875="","",MOD(A1875-2,7)+1)</f>
        <v/>
      </c>
      <c r="BA1875" s="60">
        <f>IF(C1875="","",IFERROR(INDEX('Prospects'!$N$5:$N$504,MATCH(C1875,'Prospects'!$C$5:$C$504,0)),""))</f>
        <v/>
      </c>
      <c r="BB1875" s="61">
        <f>IF(AND(C1875&lt;&gt;"",C1875='Fiche prospect'!$C$4),COUNTIF($C$5:C1875,C1875),"")</f>
        <v/>
      </c>
    </row>
    <row r="1876">
      <c r="A1876" s="53" t="n"/>
      <c r="B1876" s="54" t="n"/>
      <c r="C1876" s="55" t="n"/>
      <c r="D1876" s="55" t="n"/>
      <c r="E1876" s="55" t="n"/>
      <c r="F1876" s="55" t="n"/>
      <c r="G1876" s="56" t="n"/>
      <c r="H1876" s="57" t="n"/>
      <c r="I1876" s="55" t="n"/>
      <c r="J1876" s="53" t="n"/>
      <c r="K1876" s="54" t="n"/>
      <c r="L1876" s="55" t="n"/>
      <c r="M1876" s="55" t="n"/>
      <c r="N1876" s="57" t="n"/>
      <c r="O1876" s="55" t="n"/>
      <c r="P1876" s="56" t="n"/>
      <c r="Q1876" s="55" t="n"/>
      <c r="R1876" s="55" t="n"/>
      <c r="S1876" s="55" t="n"/>
      <c r="T1876" s="55" t="n"/>
      <c r="U1876" s="55" t="n"/>
      <c r="V1876" s="55" t="n"/>
      <c r="W1876" s="58" t="n"/>
      <c r="X1876" s="58" t="n"/>
      <c r="Y1876" s="55" t="n"/>
      <c r="Z1876" s="55" t="n"/>
      <c r="AA1876" s="55" t="n"/>
      <c r="AB1876" s="55" t="n"/>
      <c r="AC1876" s="55" t="n"/>
      <c r="AD1876" s="53" t="n"/>
      <c r="AE1876" s="55" t="n"/>
      <c r="AF1876" s="55" t="n"/>
      <c r="AG1876" s="59" t="n"/>
      <c r="AH1876" s="57" t="n"/>
      <c r="AI1876" s="55" t="n"/>
      <c r="AJ1876" s="55" t="n"/>
      <c r="AK1876" s="55" t="n"/>
      <c r="AL1876" s="55" t="n"/>
      <c r="AM1876" s="56" t="n"/>
      <c r="AN1876" s="55" t="n"/>
      <c r="AO1876" s="55" t="n"/>
      <c r="AP1876" s="55" t="n"/>
      <c r="AQ1876" s="55" t="n"/>
      <c r="AR1876" s="60">
        <f>IF(AND(C1876="",E1876=""),"",IF(A1876="","⚠ Date manquante",IF(AND(C1876="",E1876&lt;&gt;"Dépense"),"⚠ Prospect manquant",IF(E1876="","⚠ Action manquante",IF(AND(AU1876=1,D1876=""),"⚠ Canal manquant",IF(AND(W1876&lt;&gt;"",COUNTIFS('Saisie'!$W$5:$W$2004,W1876,'Saisie'!$C$5:$C$2004,"&lt;&gt;"&amp;C1876)&gt;0),"⚠ Numéro déjà utilisé par un autre prospect",IF(AND(J1876&lt;&gt;"",J1876&lt;A1876),"⚠ Relance avant la date de l'action",IF(A1876&gt;TODAY(),"⚠ Date dans le futur","✓"))))))))</f>
        <v/>
      </c>
      <c r="AS1876" s="61">
        <f>IF(AND(A1876="",C1876="",E1876=""),"",ROW())</f>
        <v/>
      </c>
      <c r="AT1876" s="61">
        <f>IF(E1876&amp;F1876="","",MAX(IFERROR(INDEX('Paramètres'!$J$6:$J$33,MATCH(E1876,'Paramètres'!$I$6:$I$33,0)),0),IFERROR(INDEX('Paramètres'!$N$6:$N$17,MATCH(F1876,'Paramètres'!$M$6:$M$17,0)),0)))</f>
        <v/>
      </c>
      <c r="AU1876" s="61">
        <f>IF(E1876="","",IFERROR(IF(INDEX('Paramètres'!$K$6:$K$33,MATCH(E1876,'Paramètres'!$I$6:$I$33,0))="Oui",1,0),0))</f>
        <v/>
      </c>
      <c r="AV1876" s="61">
        <f>IF(F1876="","",IFERROR(IF(INDEX('Paramètres'!$O$6:$O$17,MATCH(F1876,'Paramètres'!$M$6:$M$17,0))="Oui",1,0),0))</f>
        <v/>
      </c>
      <c r="AW1876" s="62">
        <f>IF(E1876="","",IF(G1876&lt;&gt;"",G1876,IF(OR(E1876="Proposition envoyée",E1876="Signature"),MAX(0,N(IFERROR(INDEX('Paramètres'!$R$6:$R$15,MATCH(IF(AL1876&lt;&gt;"",AL1876,IFERROR(INDEX('Prospects'!$AN$5:$AN$504,MATCH(C1876,'Prospects'!$C$5:$C$504,0)),"")),'Paramètres'!$Q$6:$Q$15,0)),0))-N(P1876)),0)))</f>
        <v/>
      </c>
      <c r="AX1876" s="61">
        <f>IF(C1876="","",IF(COUNTIF($C$5:C1876,C1876)=1,MAX($AX$4:AX1875)+1,""))</f>
        <v/>
      </c>
      <c r="AY1876" s="61">
        <f>IF(B1876="","",HOUR(B1876))</f>
        <v/>
      </c>
      <c r="AZ1876" s="61">
        <f>IF(A1876="","",MOD(A1876-2,7)+1)</f>
        <v/>
      </c>
      <c r="BA1876" s="60">
        <f>IF(C1876="","",IFERROR(INDEX('Prospects'!$N$5:$N$504,MATCH(C1876,'Prospects'!$C$5:$C$504,0)),""))</f>
        <v/>
      </c>
      <c r="BB1876" s="61">
        <f>IF(AND(C1876&lt;&gt;"",C1876='Fiche prospect'!$C$4),COUNTIF($C$5:C1876,C1876),"")</f>
        <v/>
      </c>
    </row>
    <row r="1877">
      <c r="A1877" s="53" t="n"/>
      <c r="B1877" s="54" t="n"/>
      <c r="C1877" s="55" t="n"/>
      <c r="D1877" s="55" t="n"/>
      <c r="E1877" s="55" t="n"/>
      <c r="F1877" s="55" t="n"/>
      <c r="G1877" s="56" t="n"/>
      <c r="H1877" s="57" t="n"/>
      <c r="I1877" s="55" t="n"/>
      <c r="J1877" s="53" t="n"/>
      <c r="K1877" s="54" t="n"/>
      <c r="L1877" s="55" t="n"/>
      <c r="M1877" s="55" t="n"/>
      <c r="N1877" s="57" t="n"/>
      <c r="O1877" s="55" t="n"/>
      <c r="P1877" s="56" t="n"/>
      <c r="Q1877" s="55" t="n"/>
      <c r="R1877" s="55" t="n"/>
      <c r="S1877" s="55" t="n"/>
      <c r="T1877" s="55" t="n"/>
      <c r="U1877" s="55" t="n"/>
      <c r="V1877" s="55" t="n"/>
      <c r="W1877" s="58" t="n"/>
      <c r="X1877" s="58" t="n"/>
      <c r="Y1877" s="55" t="n"/>
      <c r="Z1877" s="55" t="n"/>
      <c r="AA1877" s="55" t="n"/>
      <c r="AB1877" s="55" t="n"/>
      <c r="AC1877" s="55" t="n"/>
      <c r="AD1877" s="53" t="n"/>
      <c r="AE1877" s="55" t="n"/>
      <c r="AF1877" s="55" t="n"/>
      <c r="AG1877" s="59" t="n"/>
      <c r="AH1877" s="57" t="n"/>
      <c r="AI1877" s="55" t="n"/>
      <c r="AJ1877" s="55" t="n"/>
      <c r="AK1877" s="55" t="n"/>
      <c r="AL1877" s="55" t="n"/>
      <c r="AM1877" s="56" t="n"/>
      <c r="AN1877" s="55" t="n"/>
      <c r="AO1877" s="55" t="n"/>
      <c r="AP1877" s="55" t="n"/>
      <c r="AQ1877" s="55" t="n"/>
      <c r="AR1877" s="60">
        <f>IF(AND(C1877="",E1877=""),"",IF(A1877="","⚠ Date manquante",IF(AND(C1877="",E1877&lt;&gt;"Dépense"),"⚠ Prospect manquant",IF(E1877="","⚠ Action manquante",IF(AND(AU1877=1,D1877=""),"⚠ Canal manquant",IF(AND(W1877&lt;&gt;"",COUNTIFS('Saisie'!$W$5:$W$2004,W1877,'Saisie'!$C$5:$C$2004,"&lt;&gt;"&amp;C1877)&gt;0),"⚠ Numéro déjà utilisé par un autre prospect",IF(AND(J1877&lt;&gt;"",J1877&lt;A1877),"⚠ Relance avant la date de l'action",IF(A1877&gt;TODAY(),"⚠ Date dans le futur","✓"))))))))</f>
        <v/>
      </c>
      <c r="AS1877" s="61">
        <f>IF(AND(A1877="",C1877="",E1877=""),"",ROW())</f>
        <v/>
      </c>
      <c r="AT1877" s="61">
        <f>IF(E1877&amp;F1877="","",MAX(IFERROR(INDEX('Paramètres'!$J$6:$J$33,MATCH(E1877,'Paramètres'!$I$6:$I$33,0)),0),IFERROR(INDEX('Paramètres'!$N$6:$N$17,MATCH(F1877,'Paramètres'!$M$6:$M$17,0)),0)))</f>
        <v/>
      </c>
      <c r="AU1877" s="61">
        <f>IF(E1877="","",IFERROR(IF(INDEX('Paramètres'!$K$6:$K$33,MATCH(E1877,'Paramètres'!$I$6:$I$33,0))="Oui",1,0),0))</f>
        <v/>
      </c>
      <c r="AV1877" s="61">
        <f>IF(F1877="","",IFERROR(IF(INDEX('Paramètres'!$O$6:$O$17,MATCH(F1877,'Paramètres'!$M$6:$M$17,0))="Oui",1,0),0))</f>
        <v/>
      </c>
      <c r="AW1877" s="62">
        <f>IF(E1877="","",IF(G1877&lt;&gt;"",G1877,IF(OR(E1877="Proposition envoyée",E1877="Signature"),MAX(0,N(IFERROR(INDEX('Paramètres'!$R$6:$R$15,MATCH(IF(AL1877&lt;&gt;"",AL1877,IFERROR(INDEX('Prospects'!$AN$5:$AN$504,MATCH(C1877,'Prospects'!$C$5:$C$504,0)),"")),'Paramètres'!$Q$6:$Q$15,0)),0))-N(P1877)),0)))</f>
        <v/>
      </c>
      <c r="AX1877" s="61">
        <f>IF(C1877="","",IF(COUNTIF($C$5:C1877,C1877)=1,MAX($AX$4:AX1876)+1,""))</f>
        <v/>
      </c>
      <c r="AY1877" s="61">
        <f>IF(B1877="","",HOUR(B1877))</f>
        <v/>
      </c>
      <c r="AZ1877" s="61">
        <f>IF(A1877="","",MOD(A1877-2,7)+1)</f>
        <v/>
      </c>
      <c r="BA1877" s="60">
        <f>IF(C1877="","",IFERROR(INDEX('Prospects'!$N$5:$N$504,MATCH(C1877,'Prospects'!$C$5:$C$504,0)),""))</f>
        <v/>
      </c>
      <c r="BB1877" s="61">
        <f>IF(AND(C1877&lt;&gt;"",C1877='Fiche prospect'!$C$4),COUNTIF($C$5:C1877,C1877),"")</f>
        <v/>
      </c>
    </row>
    <row r="1878">
      <c r="A1878" s="53" t="n"/>
      <c r="B1878" s="54" t="n"/>
      <c r="C1878" s="55" t="n"/>
      <c r="D1878" s="55" t="n"/>
      <c r="E1878" s="55" t="n"/>
      <c r="F1878" s="55" t="n"/>
      <c r="G1878" s="56" t="n"/>
      <c r="H1878" s="57" t="n"/>
      <c r="I1878" s="55" t="n"/>
      <c r="J1878" s="53" t="n"/>
      <c r="K1878" s="54" t="n"/>
      <c r="L1878" s="55" t="n"/>
      <c r="M1878" s="55" t="n"/>
      <c r="N1878" s="57" t="n"/>
      <c r="O1878" s="55" t="n"/>
      <c r="P1878" s="56" t="n"/>
      <c r="Q1878" s="55" t="n"/>
      <c r="R1878" s="55" t="n"/>
      <c r="S1878" s="55" t="n"/>
      <c r="T1878" s="55" t="n"/>
      <c r="U1878" s="55" t="n"/>
      <c r="V1878" s="55" t="n"/>
      <c r="W1878" s="58" t="n"/>
      <c r="X1878" s="58" t="n"/>
      <c r="Y1878" s="55" t="n"/>
      <c r="Z1878" s="55" t="n"/>
      <c r="AA1878" s="55" t="n"/>
      <c r="AB1878" s="55" t="n"/>
      <c r="AC1878" s="55" t="n"/>
      <c r="AD1878" s="53" t="n"/>
      <c r="AE1878" s="55" t="n"/>
      <c r="AF1878" s="55" t="n"/>
      <c r="AG1878" s="59" t="n"/>
      <c r="AH1878" s="57" t="n"/>
      <c r="AI1878" s="55" t="n"/>
      <c r="AJ1878" s="55" t="n"/>
      <c r="AK1878" s="55" t="n"/>
      <c r="AL1878" s="55" t="n"/>
      <c r="AM1878" s="56" t="n"/>
      <c r="AN1878" s="55" t="n"/>
      <c r="AO1878" s="55" t="n"/>
      <c r="AP1878" s="55" t="n"/>
      <c r="AQ1878" s="55" t="n"/>
      <c r="AR1878" s="60">
        <f>IF(AND(C1878="",E1878=""),"",IF(A1878="","⚠ Date manquante",IF(AND(C1878="",E1878&lt;&gt;"Dépense"),"⚠ Prospect manquant",IF(E1878="","⚠ Action manquante",IF(AND(AU1878=1,D1878=""),"⚠ Canal manquant",IF(AND(W1878&lt;&gt;"",COUNTIFS('Saisie'!$W$5:$W$2004,W1878,'Saisie'!$C$5:$C$2004,"&lt;&gt;"&amp;C1878)&gt;0),"⚠ Numéro déjà utilisé par un autre prospect",IF(AND(J1878&lt;&gt;"",J1878&lt;A1878),"⚠ Relance avant la date de l'action",IF(A1878&gt;TODAY(),"⚠ Date dans le futur","✓"))))))))</f>
        <v/>
      </c>
      <c r="AS1878" s="61">
        <f>IF(AND(A1878="",C1878="",E1878=""),"",ROW())</f>
        <v/>
      </c>
      <c r="AT1878" s="61">
        <f>IF(E1878&amp;F1878="","",MAX(IFERROR(INDEX('Paramètres'!$J$6:$J$33,MATCH(E1878,'Paramètres'!$I$6:$I$33,0)),0),IFERROR(INDEX('Paramètres'!$N$6:$N$17,MATCH(F1878,'Paramètres'!$M$6:$M$17,0)),0)))</f>
        <v/>
      </c>
      <c r="AU1878" s="61">
        <f>IF(E1878="","",IFERROR(IF(INDEX('Paramètres'!$K$6:$K$33,MATCH(E1878,'Paramètres'!$I$6:$I$33,0))="Oui",1,0),0))</f>
        <v/>
      </c>
      <c r="AV1878" s="61">
        <f>IF(F1878="","",IFERROR(IF(INDEX('Paramètres'!$O$6:$O$17,MATCH(F1878,'Paramètres'!$M$6:$M$17,0))="Oui",1,0),0))</f>
        <v/>
      </c>
      <c r="AW1878" s="62">
        <f>IF(E1878="","",IF(G1878&lt;&gt;"",G1878,IF(OR(E1878="Proposition envoyée",E1878="Signature"),MAX(0,N(IFERROR(INDEX('Paramètres'!$R$6:$R$15,MATCH(IF(AL1878&lt;&gt;"",AL1878,IFERROR(INDEX('Prospects'!$AN$5:$AN$504,MATCH(C1878,'Prospects'!$C$5:$C$504,0)),"")),'Paramètres'!$Q$6:$Q$15,0)),0))-N(P1878)),0)))</f>
        <v/>
      </c>
      <c r="AX1878" s="61">
        <f>IF(C1878="","",IF(COUNTIF($C$5:C1878,C1878)=1,MAX($AX$4:AX1877)+1,""))</f>
        <v/>
      </c>
      <c r="AY1878" s="61">
        <f>IF(B1878="","",HOUR(B1878))</f>
        <v/>
      </c>
      <c r="AZ1878" s="61">
        <f>IF(A1878="","",MOD(A1878-2,7)+1)</f>
        <v/>
      </c>
      <c r="BA1878" s="60">
        <f>IF(C1878="","",IFERROR(INDEX('Prospects'!$N$5:$N$504,MATCH(C1878,'Prospects'!$C$5:$C$504,0)),""))</f>
        <v/>
      </c>
      <c r="BB1878" s="61">
        <f>IF(AND(C1878&lt;&gt;"",C1878='Fiche prospect'!$C$4),COUNTIF($C$5:C1878,C1878),"")</f>
        <v/>
      </c>
    </row>
    <row r="1879">
      <c r="A1879" s="53" t="n"/>
      <c r="B1879" s="54" t="n"/>
      <c r="C1879" s="55" t="n"/>
      <c r="D1879" s="55" t="n"/>
      <c r="E1879" s="55" t="n"/>
      <c r="F1879" s="55" t="n"/>
      <c r="G1879" s="56" t="n"/>
      <c r="H1879" s="57" t="n"/>
      <c r="I1879" s="55" t="n"/>
      <c r="J1879" s="53" t="n"/>
      <c r="K1879" s="54" t="n"/>
      <c r="L1879" s="55" t="n"/>
      <c r="M1879" s="55" t="n"/>
      <c r="N1879" s="57" t="n"/>
      <c r="O1879" s="55" t="n"/>
      <c r="P1879" s="56" t="n"/>
      <c r="Q1879" s="55" t="n"/>
      <c r="R1879" s="55" t="n"/>
      <c r="S1879" s="55" t="n"/>
      <c r="T1879" s="55" t="n"/>
      <c r="U1879" s="55" t="n"/>
      <c r="V1879" s="55" t="n"/>
      <c r="W1879" s="58" t="n"/>
      <c r="X1879" s="58" t="n"/>
      <c r="Y1879" s="55" t="n"/>
      <c r="Z1879" s="55" t="n"/>
      <c r="AA1879" s="55" t="n"/>
      <c r="AB1879" s="55" t="n"/>
      <c r="AC1879" s="55" t="n"/>
      <c r="AD1879" s="53" t="n"/>
      <c r="AE1879" s="55" t="n"/>
      <c r="AF1879" s="55" t="n"/>
      <c r="AG1879" s="59" t="n"/>
      <c r="AH1879" s="57" t="n"/>
      <c r="AI1879" s="55" t="n"/>
      <c r="AJ1879" s="55" t="n"/>
      <c r="AK1879" s="55" t="n"/>
      <c r="AL1879" s="55" t="n"/>
      <c r="AM1879" s="56" t="n"/>
      <c r="AN1879" s="55" t="n"/>
      <c r="AO1879" s="55" t="n"/>
      <c r="AP1879" s="55" t="n"/>
      <c r="AQ1879" s="55" t="n"/>
      <c r="AR1879" s="60">
        <f>IF(AND(C1879="",E1879=""),"",IF(A1879="","⚠ Date manquante",IF(AND(C1879="",E1879&lt;&gt;"Dépense"),"⚠ Prospect manquant",IF(E1879="","⚠ Action manquante",IF(AND(AU1879=1,D1879=""),"⚠ Canal manquant",IF(AND(W1879&lt;&gt;"",COUNTIFS('Saisie'!$W$5:$W$2004,W1879,'Saisie'!$C$5:$C$2004,"&lt;&gt;"&amp;C1879)&gt;0),"⚠ Numéro déjà utilisé par un autre prospect",IF(AND(J1879&lt;&gt;"",J1879&lt;A1879),"⚠ Relance avant la date de l'action",IF(A1879&gt;TODAY(),"⚠ Date dans le futur","✓"))))))))</f>
        <v/>
      </c>
      <c r="AS1879" s="61">
        <f>IF(AND(A1879="",C1879="",E1879=""),"",ROW())</f>
        <v/>
      </c>
      <c r="AT1879" s="61">
        <f>IF(E1879&amp;F1879="","",MAX(IFERROR(INDEX('Paramètres'!$J$6:$J$33,MATCH(E1879,'Paramètres'!$I$6:$I$33,0)),0),IFERROR(INDEX('Paramètres'!$N$6:$N$17,MATCH(F1879,'Paramètres'!$M$6:$M$17,0)),0)))</f>
        <v/>
      </c>
      <c r="AU1879" s="61">
        <f>IF(E1879="","",IFERROR(IF(INDEX('Paramètres'!$K$6:$K$33,MATCH(E1879,'Paramètres'!$I$6:$I$33,0))="Oui",1,0),0))</f>
        <v/>
      </c>
      <c r="AV1879" s="61">
        <f>IF(F1879="","",IFERROR(IF(INDEX('Paramètres'!$O$6:$O$17,MATCH(F1879,'Paramètres'!$M$6:$M$17,0))="Oui",1,0),0))</f>
        <v/>
      </c>
      <c r="AW1879" s="62">
        <f>IF(E1879="","",IF(G1879&lt;&gt;"",G1879,IF(OR(E1879="Proposition envoyée",E1879="Signature"),MAX(0,N(IFERROR(INDEX('Paramètres'!$R$6:$R$15,MATCH(IF(AL1879&lt;&gt;"",AL1879,IFERROR(INDEX('Prospects'!$AN$5:$AN$504,MATCH(C1879,'Prospects'!$C$5:$C$504,0)),"")),'Paramètres'!$Q$6:$Q$15,0)),0))-N(P1879)),0)))</f>
        <v/>
      </c>
      <c r="AX1879" s="61">
        <f>IF(C1879="","",IF(COUNTIF($C$5:C1879,C1879)=1,MAX($AX$4:AX1878)+1,""))</f>
        <v/>
      </c>
      <c r="AY1879" s="61">
        <f>IF(B1879="","",HOUR(B1879))</f>
        <v/>
      </c>
      <c r="AZ1879" s="61">
        <f>IF(A1879="","",MOD(A1879-2,7)+1)</f>
        <v/>
      </c>
      <c r="BA1879" s="60">
        <f>IF(C1879="","",IFERROR(INDEX('Prospects'!$N$5:$N$504,MATCH(C1879,'Prospects'!$C$5:$C$504,0)),""))</f>
        <v/>
      </c>
      <c r="BB1879" s="61">
        <f>IF(AND(C1879&lt;&gt;"",C1879='Fiche prospect'!$C$4),COUNTIF($C$5:C1879,C1879),"")</f>
        <v/>
      </c>
    </row>
    <row r="1880">
      <c r="A1880" s="53" t="n"/>
      <c r="B1880" s="54" t="n"/>
      <c r="C1880" s="55" t="n"/>
      <c r="D1880" s="55" t="n"/>
      <c r="E1880" s="55" t="n"/>
      <c r="F1880" s="55" t="n"/>
      <c r="G1880" s="56" t="n"/>
      <c r="H1880" s="57" t="n"/>
      <c r="I1880" s="55" t="n"/>
      <c r="J1880" s="53" t="n"/>
      <c r="K1880" s="54" t="n"/>
      <c r="L1880" s="55" t="n"/>
      <c r="M1880" s="55" t="n"/>
      <c r="N1880" s="57" t="n"/>
      <c r="O1880" s="55" t="n"/>
      <c r="P1880" s="56" t="n"/>
      <c r="Q1880" s="55" t="n"/>
      <c r="R1880" s="55" t="n"/>
      <c r="S1880" s="55" t="n"/>
      <c r="T1880" s="55" t="n"/>
      <c r="U1880" s="55" t="n"/>
      <c r="V1880" s="55" t="n"/>
      <c r="W1880" s="58" t="n"/>
      <c r="X1880" s="58" t="n"/>
      <c r="Y1880" s="55" t="n"/>
      <c r="Z1880" s="55" t="n"/>
      <c r="AA1880" s="55" t="n"/>
      <c r="AB1880" s="55" t="n"/>
      <c r="AC1880" s="55" t="n"/>
      <c r="AD1880" s="53" t="n"/>
      <c r="AE1880" s="55" t="n"/>
      <c r="AF1880" s="55" t="n"/>
      <c r="AG1880" s="59" t="n"/>
      <c r="AH1880" s="57" t="n"/>
      <c r="AI1880" s="55" t="n"/>
      <c r="AJ1880" s="55" t="n"/>
      <c r="AK1880" s="55" t="n"/>
      <c r="AL1880" s="55" t="n"/>
      <c r="AM1880" s="56" t="n"/>
      <c r="AN1880" s="55" t="n"/>
      <c r="AO1880" s="55" t="n"/>
      <c r="AP1880" s="55" t="n"/>
      <c r="AQ1880" s="55" t="n"/>
      <c r="AR1880" s="60">
        <f>IF(AND(C1880="",E1880=""),"",IF(A1880="","⚠ Date manquante",IF(AND(C1880="",E1880&lt;&gt;"Dépense"),"⚠ Prospect manquant",IF(E1880="","⚠ Action manquante",IF(AND(AU1880=1,D1880=""),"⚠ Canal manquant",IF(AND(W1880&lt;&gt;"",COUNTIFS('Saisie'!$W$5:$W$2004,W1880,'Saisie'!$C$5:$C$2004,"&lt;&gt;"&amp;C1880)&gt;0),"⚠ Numéro déjà utilisé par un autre prospect",IF(AND(J1880&lt;&gt;"",J1880&lt;A1880),"⚠ Relance avant la date de l'action",IF(A1880&gt;TODAY(),"⚠ Date dans le futur","✓"))))))))</f>
        <v/>
      </c>
      <c r="AS1880" s="61">
        <f>IF(AND(A1880="",C1880="",E1880=""),"",ROW())</f>
        <v/>
      </c>
      <c r="AT1880" s="61">
        <f>IF(E1880&amp;F1880="","",MAX(IFERROR(INDEX('Paramètres'!$J$6:$J$33,MATCH(E1880,'Paramètres'!$I$6:$I$33,0)),0),IFERROR(INDEX('Paramètres'!$N$6:$N$17,MATCH(F1880,'Paramètres'!$M$6:$M$17,0)),0)))</f>
        <v/>
      </c>
      <c r="AU1880" s="61">
        <f>IF(E1880="","",IFERROR(IF(INDEX('Paramètres'!$K$6:$K$33,MATCH(E1880,'Paramètres'!$I$6:$I$33,0))="Oui",1,0),0))</f>
        <v/>
      </c>
      <c r="AV1880" s="61">
        <f>IF(F1880="","",IFERROR(IF(INDEX('Paramètres'!$O$6:$O$17,MATCH(F1880,'Paramètres'!$M$6:$M$17,0))="Oui",1,0),0))</f>
        <v/>
      </c>
      <c r="AW1880" s="62">
        <f>IF(E1880="","",IF(G1880&lt;&gt;"",G1880,IF(OR(E1880="Proposition envoyée",E1880="Signature"),MAX(0,N(IFERROR(INDEX('Paramètres'!$R$6:$R$15,MATCH(IF(AL1880&lt;&gt;"",AL1880,IFERROR(INDEX('Prospects'!$AN$5:$AN$504,MATCH(C1880,'Prospects'!$C$5:$C$504,0)),"")),'Paramètres'!$Q$6:$Q$15,0)),0))-N(P1880)),0)))</f>
        <v/>
      </c>
      <c r="AX1880" s="61">
        <f>IF(C1880="","",IF(COUNTIF($C$5:C1880,C1880)=1,MAX($AX$4:AX1879)+1,""))</f>
        <v/>
      </c>
      <c r="AY1880" s="61">
        <f>IF(B1880="","",HOUR(B1880))</f>
        <v/>
      </c>
      <c r="AZ1880" s="61">
        <f>IF(A1880="","",MOD(A1880-2,7)+1)</f>
        <v/>
      </c>
      <c r="BA1880" s="60">
        <f>IF(C1880="","",IFERROR(INDEX('Prospects'!$N$5:$N$504,MATCH(C1880,'Prospects'!$C$5:$C$504,0)),""))</f>
        <v/>
      </c>
      <c r="BB1880" s="61">
        <f>IF(AND(C1880&lt;&gt;"",C1880='Fiche prospect'!$C$4),COUNTIF($C$5:C1880,C1880),"")</f>
        <v/>
      </c>
    </row>
    <row r="1881">
      <c r="A1881" s="53" t="n"/>
      <c r="B1881" s="54" t="n"/>
      <c r="C1881" s="55" t="n"/>
      <c r="D1881" s="55" t="n"/>
      <c r="E1881" s="55" t="n"/>
      <c r="F1881" s="55" t="n"/>
      <c r="G1881" s="56" t="n"/>
      <c r="H1881" s="57" t="n"/>
      <c r="I1881" s="55" t="n"/>
      <c r="J1881" s="53" t="n"/>
      <c r="K1881" s="54" t="n"/>
      <c r="L1881" s="55" t="n"/>
      <c r="M1881" s="55" t="n"/>
      <c r="N1881" s="57" t="n"/>
      <c r="O1881" s="55" t="n"/>
      <c r="P1881" s="56" t="n"/>
      <c r="Q1881" s="55" t="n"/>
      <c r="R1881" s="55" t="n"/>
      <c r="S1881" s="55" t="n"/>
      <c r="T1881" s="55" t="n"/>
      <c r="U1881" s="55" t="n"/>
      <c r="V1881" s="55" t="n"/>
      <c r="W1881" s="58" t="n"/>
      <c r="X1881" s="58" t="n"/>
      <c r="Y1881" s="55" t="n"/>
      <c r="Z1881" s="55" t="n"/>
      <c r="AA1881" s="55" t="n"/>
      <c r="AB1881" s="55" t="n"/>
      <c r="AC1881" s="55" t="n"/>
      <c r="AD1881" s="53" t="n"/>
      <c r="AE1881" s="55" t="n"/>
      <c r="AF1881" s="55" t="n"/>
      <c r="AG1881" s="59" t="n"/>
      <c r="AH1881" s="57" t="n"/>
      <c r="AI1881" s="55" t="n"/>
      <c r="AJ1881" s="55" t="n"/>
      <c r="AK1881" s="55" t="n"/>
      <c r="AL1881" s="55" t="n"/>
      <c r="AM1881" s="56" t="n"/>
      <c r="AN1881" s="55" t="n"/>
      <c r="AO1881" s="55" t="n"/>
      <c r="AP1881" s="55" t="n"/>
      <c r="AQ1881" s="55" t="n"/>
      <c r="AR1881" s="60">
        <f>IF(AND(C1881="",E1881=""),"",IF(A1881="","⚠ Date manquante",IF(AND(C1881="",E1881&lt;&gt;"Dépense"),"⚠ Prospect manquant",IF(E1881="","⚠ Action manquante",IF(AND(AU1881=1,D1881=""),"⚠ Canal manquant",IF(AND(W1881&lt;&gt;"",COUNTIFS('Saisie'!$W$5:$W$2004,W1881,'Saisie'!$C$5:$C$2004,"&lt;&gt;"&amp;C1881)&gt;0),"⚠ Numéro déjà utilisé par un autre prospect",IF(AND(J1881&lt;&gt;"",J1881&lt;A1881),"⚠ Relance avant la date de l'action",IF(A1881&gt;TODAY(),"⚠ Date dans le futur","✓"))))))))</f>
        <v/>
      </c>
      <c r="AS1881" s="61">
        <f>IF(AND(A1881="",C1881="",E1881=""),"",ROW())</f>
        <v/>
      </c>
      <c r="AT1881" s="61">
        <f>IF(E1881&amp;F1881="","",MAX(IFERROR(INDEX('Paramètres'!$J$6:$J$33,MATCH(E1881,'Paramètres'!$I$6:$I$33,0)),0),IFERROR(INDEX('Paramètres'!$N$6:$N$17,MATCH(F1881,'Paramètres'!$M$6:$M$17,0)),0)))</f>
        <v/>
      </c>
      <c r="AU1881" s="61">
        <f>IF(E1881="","",IFERROR(IF(INDEX('Paramètres'!$K$6:$K$33,MATCH(E1881,'Paramètres'!$I$6:$I$33,0))="Oui",1,0),0))</f>
        <v/>
      </c>
      <c r="AV1881" s="61">
        <f>IF(F1881="","",IFERROR(IF(INDEX('Paramètres'!$O$6:$O$17,MATCH(F1881,'Paramètres'!$M$6:$M$17,0))="Oui",1,0),0))</f>
        <v/>
      </c>
      <c r="AW1881" s="62">
        <f>IF(E1881="","",IF(G1881&lt;&gt;"",G1881,IF(OR(E1881="Proposition envoyée",E1881="Signature"),MAX(0,N(IFERROR(INDEX('Paramètres'!$R$6:$R$15,MATCH(IF(AL1881&lt;&gt;"",AL1881,IFERROR(INDEX('Prospects'!$AN$5:$AN$504,MATCH(C1881,'Prospects'!$C$5:$C$504,0)),"")),'Paramètres'!$Q$6:$Q$15,0)),0))-N(P1881)),0)))</f>
        <v/>
      </c>
      <c r="AX1881" s="61">
        <f>IF(C1881="","",IF(COUNTIF($C$5:C1881,C1881)=1,MAX($AX$4:AX1880)+1,""))</f>
        <v/>
      </c>
      <c r="AY1881" s="61">
        <f>IF(B1881="","",HOUR(B1881))</f>
        <v/>
      </c>
      <c r="AZ1881" s="61">
        <f>IF(A1881="","",MOD(A1881-2,7)+1)</f>
        <v/>
      </c>
      <c r="BA1881" s="60">
        <f>IF(C1881="","",IFERROR(INDEX('Prospects'!$N$5:$N$504,MATCH(C1881,'Prospects'!$C$5:$C$504,0)),""))</f>
        <v/>
      </c>
      <c r="BB1881" s="61">
        <f>IF(AND(C1881&lt;&gt;"",C1881='Fiche prospect'!$C$4),COUNTIF($C$5:C1881,C1881),"")</f>
        <v/>
      </c>
    </row>
    <row r="1882">
      <c r="A1882" s="53" t="n"/>
      <c r="B1882" s="54" t="n"/>
      <c r="C1882" s="55" t="n"/>
      <c r="D1882" s="55" t="n"/>
      <c r="E1882" s="55" t="n"/>
      <c r="F1882" s="55" t="n"/>
      <c r="G1882" s="56" t="n"/>
      <c r="H1882" s="57" t="n"/>
      <c r="I1882" s="55" t="n"/>
      <c r="J1882" s="53" t="n"/>
      <c r="K1882" s="54" t="n"/>
      <c r="L1882" s="55" t="n"/>
      <c r="M1882" s="55" t="n"/>
      <c r="N1882" s="57" t="n"/>
      <c r="O1882" s="55" t="n"/>
      <c r="P1882" s="56" t="n"/>
      <c r="Q1882" s="55" t="n"/>
      <c r="R1882" s="55" t="n"/>
      <c r="S1882" s="55" t="n"/>
      <c r="T1882" s="55" t="n"/>
      <c r="U1882" s="55" t="n"/>
      <c r="V1882" s="55" t="n"/>
      <c r="W1882" s="58" t="n"/>
      <c r="X1882" s="58" t="n"/>
      <c r="Y1882" s="55" t="n"/>
      <c r="Z1882" s="55" t="n"/>
      <c r="AA1882" s="55" t="n"/>
      <c r="AB1882" s="55" t="n"/>
      <c r="AC1882" s="55" t="n"/>
      <c r="AD1882" s="53" t="n"/>
      <c r="AE1882" s="55" t="n"/>
      <c r="AF1882" s="55" t="n"/>
      <c r="AG1882" s="59" t="n"/>
      <c r="AH1882" s="57" t="n"/>
      <c r="AI1882" s="55" t="n"/>
      <c r="AJ1882" s="55" t="n"/>
      <c r="AK1882" s="55" t="n"/>
      <c r="AL1882" s="55" t="n"/>
      <c r="AM1882" s="56" t="n"/>
      <c r="AN1882" s="55" t="n"/>
      <c r="AO1882" s="55" t="n"/>
      <c r="AP1882" s="55" t="n"/>
      <c r="AQ1882" s="55" t="n"/>
      <c r="AR1882" s="60">
        <f>IF(AND(C1882="",E1882=""),"",IF(A1882="","⚠ Date manquante",IF(AND(C1882="",E1882&lt;&gt;"Dépense"),"⚠ Prospect manquant",IF(E1882="","⚠ Action manquante",IF(AND(AU1882=1,D1882=""),"⚠ Canal manquant",IF(AND(W1882&lt;&gt;"",COUNTIFS('Saisie'!$W$5:$W$2004,W1882,'Saisie'!$C$5:$C$2004,"&lt;&gt;"&amp;C1882)&gt;0),"⚠ Numéro déjà utilisé par un autre prospect",IF(AND(J1882&lt;&gt;"",J1882&lt;A1882),"⚠ Relance avant la date de l'action",IF(A1882&gt;TODAY(),"⚠ Date dans le futur","✓"))))))))</f>
        <v/>
      </c>
      <c r="AS1882" s="61">
        <f>IF(AND(A1882="",C1882="",E1882=""),"",ROW())</f>
        <v/>
      </c>
      <c r="AT1882" s="61">
        <f>IF(E1882&amp;F1882="","",MAX(IFERROR(INDEX('Paramètres'!$J$6:$J$33,MATCH(E1882,'Paramètres'!$I$6:$I$33,0)),0),IFERROR(INDEX('Paramètres'!$N$6:$N$17,MATCH(F1882,'Paramètres'!$M$6:$M$17,0)),0)))</f>
        <v/>
      </c>
      <c r="AU1882" s="61">
        <f>IF(E1882="","",IFERROR(IF(INDEX('Paramètres'!$K$6:$K$33,MATCH(E1882,'Paramètres'!$I$6:$I$33,0))="Oui",1,0),0))</f>
        <v/>
      </c>
      <c r="AV1882" s="61">
        <f>IF(F1882="","",IFERROR(IF(INDEX('Paramètres'!$O$6:$O$17,MATCH(F1882,'Paramètres'!$M$6:$M$17,0))="Oui",1,0),0))</f>
        <v/>
      </c>
      <c r="AW1882" s="62">
        <f>IF(E1882="","",IF(G1882&lt;&gt;"",G1882,IF(OR(E1882="Proposition envoyée",E1882="Signature"),MAX(0,N(IFERROR(INDEX('Paramètres'!$R$6:$R$15,MATCH(IF(AL1882&lt;&gt;"",AL1882,IFERROR(INDEX('Prospects'!$AN$5:$AN$504,MATCH(C1882,'Prospects'!$C$5:$C$504,0)),"")),'Paramètres'!$Q$6:$Q$15,0)),0))-N(P1882)),0)))</f>
        <v/>
      </c>
      <c r="AX1882" s="61">
        <f>IF(C1882="","",IF(COUNTIF($C$5:C1882,C1882)=1,MAX($AX$4:AX1881)+1,""))</f>
        <v/>
      </c>
      <c r="AY1882" s="61">
        <f>IF(B1882="","",HOUR(B1882))</f>
        <v/>
      </c>
      <c r="AZ1882" s="61">
        <f>IF(A1882="","",MOD(A1882-2,7)+1)</f>
        <v/>
      </c>
      <c r="BA1882" s="60">
        <f>IF(C1882="","",IFERROR(INDEX('Prospects'!$N$5:$N$504,MATCH(C1882,'Prospects'!$C$5:$C$504,0)),""))</f>
        <v/>
      </c>
      <c r="BB1882" s="61">
        <f>IF(AND(C1882&lt;&gt;"",C1882='Fiche prospect'!$C$4),COUNTIF($C$5:C1882,C1882),"")</f>
        <v/>
      </c>
    </row>
    <row r="1883">
      <c r="A1883" s="53" t="n"/>
      <c r="B1883" s="54" t="n"/>
      <c r="C1883" s="55" t="n"/>
      <c r="D1883" s="55" t="n"/>
      <c r="E1883" s="55" t="n"/>
      <c r="F1883" s="55" t="n"/>
      <c r="G1883" s="56" t="n"/>
      <c r="H1883" s="57" t="n"/>
      <c r="I1883" s="55" t="n"/>
      <c r="J1883" s="53" t="n"/>
      <c r="K1883" s="54" t="n"/>
      <c r="L1883" s="55" t="n"/>
      <c r="M1883" s="55" t="n"/>
      <c r="N1883" s="57" t="n"/>
      <c r="O1883" s="55" t="n"/>
      <c r="P1883" s="56" t="n"/>
      <c r="Q1883" s="55" t="n"/>
      <c r="R1883" s="55" t="n"/>
      <c r="S1883" s="55" t="n"/>
      <c r="T1883" s="55" t="n"/>
      <c r="U1883" s="55" t="n"/>
      <c r="V1883" s="55" t="n"/>
      <c r="W1883" s="58" t="n"/>
      <c r="X1883" s="58" t="n"/>
      <c r="Y1883" s="55" t="n"/>
      <c r="Z1883" s="55" t="n"/>
      <c r="AA1883" s="55" t="n"/>
      <c r="AB1883" s="55" t="n"/>
      <c r="AC1883" s="55" t="n"/>
      <c r="AD1883" s="53" t="n"/>
      <c r="AE1883" s="55" t="n"/>
      <c r="AF1883" s="55" t="n"/>
      <c r="AG1883" s="59" t="n"/>
      <c r="AH1883" s="57" t="n"/>
      <c r="AI1883" s="55" t="n"/>
      <c r="AJ1883" s="55" t="n"/>
      <c r="AK1883" s="55" t="n"/>
      <c r="AL1883" s="55" t="n"/>
      <c r="AM1883" s="56" t="n"/>
      <c r="AN1883" s="55" t="n"/>
      <c r="AO1883" s="55" t="n"/>
      <c r="AP1883" s="55" t="n"/>
      <c r="AQ1883" s="55" t="n"/>
      <c r="AR1883" s="60">
        <f>IF(AND(C1883="",E1883=""),"",IF(A1883="","⚠ Date manquante",IF(AND(C1883="",E1883&lt;&gt;"Dépense"),"⚠ Prospect manquant",IF(E1883="","⚠ Action manquante",IF(AND(AU1883=1,D1883=""),"⚠ Canal manquant",IF(AND(W1883&lt;&gt;"",COUNTIFS('Saisie'!$W$5:$W$2004,W1883,'Saisie'!$C$5:$C$2004,"&lt;&gt;"&amp;C1883)&gt;0),"⚠ Numéro déjà utilisé par un autre prospect",IF(AND(J1883&lt;&gt;"",J1883&lt;A1883),"⚠ Relance avant la date de l'action",IF(A1883&gt;TODAY(),"⚠ Date dans le futur","✓"))))))))</f>
        <v/>
      </c>
      <c r="AS1883" s="61">
        <f>IF(AND(A1883="",C1883="",E1883=""),"",ROW())</f>
        <v/>
      </c>
      <c r="AT1883" s="61">
        <f>IF(E1883&amp;F1883="","",MAX(IFERROR(INDEX('Paramètres'!$J$6:$J$33,MATCH(E1883,'Paramètres'!$I$6:$I$33,0)),0),IFERROR(INDEX('Paramètres'!$N$6:$N$17,MATCH(F1883,'Paramètres'!$M$6:$M$17,0)),0)))</f>
        <v/>
      </c>
      <c r="AU1883" s="61">
        <f>IF(E1883="","",IFERROR(IF(INDEX('Paramètres'!$K$6:$K$33,MATCH(E1883,'Paramètres'!$I$6:$I$33,0))="Oui",1,0),0))</f>
        <v/>
      </c>
      <c r="AV1883" s="61">
        <f>IF(F1883="","",IFERROR(IF(INDEX('Paramètres'!$O$6:$O$17,MATCH(F1883,'Paramètres'!$M$6:$M$17,0))="Oui",1,0),0))</f>
        <v/>
      </c>
      <c r="AW1883" s="62">
        <f>IF(E1883="","",IF(G1883&lt;&gt;"",G1883,IF(OR(E1883="Proposition envoyée",E1883="Signature"),MAX(0,N(IFERROR(INDEX('Paramètres'!$R$6:$R$15,MATCH(IF(AL1883&lt;&gt;"",AL1883,IFERROR(INDEX('Prospects'!$AN$5:$AN$504,MATCH(C1883,'Prospects'!$C$5:$C$504,0)),"")),'Paramètres'!$Q$6:$Q$15,0)),0))-N(P1883)),0)))</f>
        <v/>
      </c>
      <c r="AX1883" s="61">
        <f>IF(C1883="","",IF(COUNTIF($C$5:C1883,C1883)=1,MAX($AX$4:AX1882)+1,""))</f>
        <v/>
      </c>
      <c r="AY1883" s="61">
        <f>IF(B1883="","",HOUR(B1883))</f>
        <v/>
      </c>
      <c r="AZ1883" s="61">
        <f>IF(A1883="","",MOD(A1883-2,7)+1)</f>
        <v/>
      </c>
      <c r="BA1883" s="60">
        <f>IF(C1883="","",IFERROR(INDEX('Prospects'!$N$5:$N$504,MATCH(C1883,'Prospects'!$C$5:$C$504,0)),""))</f>
        <v/>
      </c>
      <c r="BB1883" s="61">
        <f>IF(AND(C1883&lt;&gt;"",C1883='Fiche prospect'!$C$4),COUNTIF($C$5:C1883,C1883),"")</f>
        <v/>
      </c>
    </row>
    <row r="1884">
      <c r="A1884" s="53" t="n"/>
      <c r="B1884" s="54" t="n"/>
      <c r="C1884" s="55" t="n"/>
      <c r="D1884" s="55" t="n"/>
      <c r="E1884" s="55" t="n"/>
      <c r="F1884" s="55" t="n"/>
      <c r="G1884" s="56" t="n"/>
      <c r="H1884" s="57" t="n"/>
      <c r="I1884" s="55" t="n"/>
      <c r="J1884" s="53" t="n"/>
      <c r="K1884" s="54" t="n"/>
      <c r="L1884" s="55" t="n"/>
      <c r="M1884" s="55" t="n"/>
      <c r="N1884" s="57" t="n"/>
      <c r="O1884" s="55" t="n"/>
      <c r="P1884" s="56" t="n"/>
      <c r="Q1884" s="55" t="n"/>
      <c r="R1884" s="55" t="n"/>
      <c r="S1884" s="55" t="n"/>
      <c r="T1884" s="55" t="n"/>
      <c r="U1884" s="55" t="n"/>
      <c r="V1884" s="55" t="n"/>
      <c r="W1884" s="58" t="n"/>
      <c r="X1884" s="58" t="n"/>
      <c r="Y1884" s="55" t="n"/>
      <c r="Z1884" s="55" t="n"/>
      <c r="AA1884" s="55" t="n"/>
      <c r="AB1884" s="55" t="n"/>
      <c r="AC1884" s="55" t="n"/>
      <c r="AD1884" s="53" t="n"/>
      <c r="AE1884" s="55" t="n"/>
      <c r="AF1884" s="55" t="n"/>
      <c r="AG1884" s="59" t="n"/>
      <c r="AH1884" s="57" t="n"/>
      <c r="AI1884" s="55" t="n"/>
      <c r="AJ1884" s="55" t="n"/>
      <c r="AK1884" s="55" t="n"/>
      <c r="AL1884" s="55" t="n"/>
      <c r="AM1884" s="56" t="n"/>
      <c r="AN1884" s="55" t="n"/>
      <c r="AO1884" s="55" t="n"/>
      <c r="AP1884" s="55" t="n"/>
      <c r="AQ1884" s="55" t="n"/>
      <c r="AR1884" s="60">
        <f>IF(AND(C1884="",E1884=""),"",IF(A1884="","⚠ Date manquante",IF(AND(C1884="",E1884&lt;&gt;"Dépense"),"⚠ Prospect manquant",IF(E1884="","⚠ Action manquante",IF(AND(AU1884=1,D1884=""),"⚠ Canal manquant",IF(AND(W1884&lt;&gt;"",COUNTIFS('Saisie'!$W$5:$W$2004,W1884,'Saisie'!$C$5:$C$2004,"&lt;&gt;"&amp;C1884)&gt;0),"⚠ Numéro déjà utilisé par un autre prospect",IF(AND(J1884&lt;&gt;"",J1884&lt;A1884),"⚠ Relance avant la date de l'action",IF(A1884&gt;TODAY(),"⚠ Date dans le futur","✓"))))))))</f>
        <v/>
      </c>
      <c r="AS1884" s="61">
        <f>IF(AND(A1884="",C1884="",E1884=""),"",ROW())</f>
        <v/>
      </c>
      <c r="AT1884" s="61">
        <f>IF(E1884&amp;F1884="","",MAX(IFERROR(INDEX('Paramètres'!$J$6:$J$33,MATCH(E1884,'Paramètres'!$I$6:$I$33,0)),0),IFERROR(INDEX('Paramètres'!$N$6:$N$17,MATCH(F1884,'Paramètres'!$M$6:$M$17,0)),0)))</f>
        <v/>
      </c>
      <c r="AU1884" s="61">
        <f>IF(E1884="","",IFERROR(IF(INDEX('Paramètres'!$K$6:$K$33,MATCH(E1884,'Paramètres'!$I$6:$I$33,0))="Oui",1,0),0))</f>
        <v/>
      </c>
      <c r="AV1884" s="61">
        <f>IF(F1884="","",IFERROR(IF(INDEX('Paramètres'!$O$6:$O$17,MATCH(F1884,'Paramètres'!$M$6:$M$17,0))="Oui",1,0),0))</f>
        <v/>
      </c>
      <c r="AW1884" s="62">
        <f>IF(E1884="","",IF(G1884&lt;&gt;"",G1884,IF(OR(E1884="Proposition envoyée",E1884="Signature"),MAX(0,N(IFERROR(INDEX('Paramètres'!$R$6:$R$15,MATCH(IF(AL1884&lt;&gt;"",AL1884,IFERROR(INDEX('Prospects'!$AN$5:$AN$504,MATCH(C1884,'Prospects'!$C$5:$C$504,0)),"")),'Paramètres'!$Q$6:$Q$15,0)),0))-N(P1884)),0)))</f>
        <v/>
      </c>
      <c r="AX1884" s="61">
        <f>IF(C1884="","",IF(COUNTIF($C$5:C1884,C1884)=1,MAX($AX$4:AX1883)+1,""))</f>
        <v/>
      </c>
      <c r="AY1884" s="61">
        <f>IF(B1884="","",HOUR(B1884))</f>
        <v/>
      </c>
      <c r="AZ1884" s="61">
        <f>IF(A1884="","",MOD(A1884-2,7)+1)</f>
        <v/>
      </c>
      <c r="BA1884" s="60">
        <f>IF(C1884="","",IFERROR(INDEX('Prospects'!$N$5:$N$504,MATCH(C1884,'Prospects'!$C$5:$C$504,0)),""))</f>
        <v/>
      </c>
      <c r="BB1884" s="61">
        <f>IF(AND(C1884&lt;&gt;"",C1884='Fiche prospect'!$C$4),COUNTIF($C$5:C1884,C1884),"")</f>
        <v/>
      </c>
    </row>
    <row r="1885">
      <c r="A1885" s="53" t="n"/>
      <c r="B1885" s="54" t="n"/>
      <c r="C1885" s="55" t="n"/>
      <c r="D1885" s="55" t="n"/>
      <c r="E1885" s="55" t="n"/>
      <c r="F1885" s="55" t="n"/>
      <c r="G1885" s="56" t="n"/>
      <c r="H1885" s="57" t="n"/>
      <c r="I1885" s="55" t="n"/>
      <c r="J1885" s="53" t="n"/>
      <c r="K1885" s="54" t="n"/>
      <c r="L1885" s="55" t="n"/>
      <c r="M1885" s="55" t="n"/>
      <c r="N1885" s="57" t="n"/>
      <c r="O1885" s="55" t="n"/>
      <c r="P1885" s="56" t="n"/>
      <c r="Q1885" s="55" t="n"/>
      <c r="R1885" s="55" t="n"/>
      <c r="S1885" s="55" t="n"/>
      <c r="T1885" s="55" t="n"/>
      <c r="U1885" s="55" t="n"/>
      <c r="V1885" s="55" t="n"/>
      <c r="W1885" s="58" t="n"/>
      <c r="X1885" s="58" t="n"/>
      <c r="Y1885" s="55" t="n"/>
      <c r="Z1885" s="55" t="n"/>
      <c r="AA1885" s="55" t="n"/>
      <c r="AB1885" s="55" t="n"/>
      <c r="AC1885" s="55" t="n"/>
      <c r="AD1885" s="53" t="n"/>
      <c r="AE1885" s="55" t="n"/>
      <c r="AF1885" s="55" t="n"/>
      <c r="AG1885" s="59" t="n"/>
      <c r="AH1885" s="57" t="n"/>
      <c r="AI1885" s="55" t="n"/>
      <c r="AJ1885" s="55" t="n"/>
      <c r="AK1885" s="55" t="n"/>
      <c r="AL1885" s="55" t="n"/>
      <c r="AM1885" s="56" t="n"/>
      <c r="AN1885" s="55" t="n"/>
      <c r="AO1885" s="55" t="n"/>
      <c r="AP1885" s="55" t="n"/>
      <c r="AQ1885" s="55" t="n"/>
      <c r="AR1885" s="60">
        <f>IF(AND(C1885="",E1885=""),"",IF(A1885="","⚠ Date manquante",IF(AND(C1885="",E1885&lt;&gt;"Dépense"),"⚠ Prospect manquant",IF(E1885="","⚠ Action manquante",IF(AND(AU1885=1,D1885=""),"⚠ Canal manquant",IF(AND(W1885&lt;&gt;"",COUNTIFS('Saisie'!$W$5:$W$2004,W1885,'Saisie'!$C$5:$C$2004,"&lt;&gt;"&amp;C1885)&gt;0),"⚠ Numéro déjà utilisé par un autre prospect",IF(AND(J1885&lt;&gt;"",J1885&lt;A1885),"⚠ Relance avant la date de l'action",IF(A1885&gt;TODAY(),"⚠ Date dans le futur","✓"))))))))</f>
        <v/>
      </c>
      <c r="AS1885" s="61">
        <f>IF(AND(A1885="",C1885="",E1885=""),"",ROW())</f>
        <v/>
      </c>
      <c r="AT1885" s="61">
        <f>IF(E1885&amp;F1885="","",MAX(IFERROR(INDEX('Paramètres'!$J$6:$J$33,MATCH(E1885,'Paramètres'!$I$6:$I$33,0)),0),IFERROR(INDEX('Paramètres'!$N$6:$N$17,MATCH(F1885,'Paramètres'!$M$6:$M$17,0)),0)))</f>
        <v/>
      </c>
      <c r="AU1885" s="61">
        <f>IF(E1885="","",IFERROR(IF(INDEX('Paramètres'!$K$6:$K$33,MATCH(E1885,'Paramètres'!$I$6:$I$33,0))="Oui",1,0),0))</f>
        <v/>
      </c>
      <c r="AV1885" s="61">
        <f>IF(F1885="","",IFERROR(IF(INDEX('Paramètres'!$O$6:$O$17,MATCH(F1885,'Paramètres'!$M$6:$M$17,0))="Oui",1,0),0))</f>
        <v/>
      </c>
      <c r="AW1885" s="62">
        <f>IF(E1885="","",IF(G1885&lt;&gt;"",G1885,IF(OR(E1885="Proposition envoyée",E1885="Signature"),MAX(0,N(IFERROR(INDEX('Paramètres'!$R$6:$R$15,MATCH(IF(AL1885&lt;&gt;"",AL1885,IFERROR(INDEX('Prospects'!$AN$5:$AN$504,MATCH(C1885,'Prospects'!$C$5:$C$504,0)),"")),'Paramètres'!$Q$6:$Q$15,0)),0))-N(P1885)),0)))</f>
        <v/>
      </c>
      <c r="AX1885" s="61">
        <f>IF(C1885="","",IF(COUNTIF($C$5:C1885,C1885)=1,MAX($AX$4:AX1884)+1,""))</f>
        <v/>
      </c>
      <c r="AY1885" s="61">
        <f>IF(B1885="","",HOUR(B1885))</f>
        <v/>
      </c>
      <c r="AZ1885" s="61">
        <f>IF(A1885="","",MOD(A1885-2,7)+1)</f>
        <v/>
      </c>
      <c r="BA1885" s="60">
        <f>IF(C1885="","",IFERROR(INDEX('Prospects'!$N$5:$N$504,MATCH(C1885,'Prospects'!$C$5:$C$504,0)),""))</f>
        <v/>
      </c>
      <c r="BB1885" s="61">
        <f>IF(AND(C1885&lt;&gt;"",C1885='Fiche prospect'!$C$4),COUNTIF($C$5:C1885,C1885),"")</f>
        <v/>
      </c>
    </row>
    <row r="1886">
      <c r="A1886" s="53" t="n"/>
      <c r="B1886" s="54" t="n"/>
      <c r="C1886" s="55" t="n"/>
      <c r="D1886" s="55" t="n"/>
      <c r="E1886" s="55" t="n"/>
      <c r="F1886" s="55" t="n"/>
      <c r="G1886" s="56" t="n"/>
      <c r="H1886" s="57" t="n"/>
      <c r="I1886" s="55" t="n"/>
      <c r="J1886" s="53" t="n"/>
      <c r="K1886" s="54" t="n"/>
      <c r="L1886" s="55" t="n"/>
      <c r="M1886" s="55" t="n"/>
      <c r="N1886" s="57" t="n"/>
      <c r="O1886" s="55" t="n"/>
      <c r="P1886" s="56" t="n"/>
      <c r="Q1886" s="55" t="n"/>
      <c r="R1886" s="55" t="n"/>
      <c r="S1886" s="55" t="n"/>
      <c r="T1886" s="55" t="n"/>
      <c r="U1886" s="55" t="n"/>
      <c r="V1886" s="55" t="n"/>
      <c r="W1886" s="58" t="n"/>
      <c r="X1886" s="58" t="n"/>
      <c r="Y1886" s="55" t="n"/>
      <c r="Z1886" s="55" t="n"/>
      <c r="AA1886" s="55" t="n"/>
      <c r="AB1886" s="55" t="n"/>
      <c r="AC1886" s="55" t="n"/>
      <c r="AD1886" s="53" t="n"/>
      <c r="AE1886" s="55" t="n"/>
      <c r="AF1886" s="55" t="n"/>
      <c r="AG1886" s="59" t="n"/>
      <c r="AH1886" s="57" t="n"/>
      <c r="AI1886" s="55" t="n"/>
      <c r="AJ1886" s="55" t="n"/>
      <c r="AK1886" s="55" t="n"/>
      <c r="AL1886" s="55" t="n"/>
      <c r="AM1886" s="56" t="n"/>
      <c r="AN1886" s="55" t="n"/>
      <c r="AO1886" s="55" t="n"/>
      <c r="AP1886" s="55" t="n"/>
      <c r="AQ1886" s="55" t="n"/>
      <c r="AR1886" s="60">
        <f>IF(AND(C1886="",E1886=""),"",IF(A1886="","⚠ Date manquante",IF(AND(C1886="",E1886&lt;&gt;"Dépense"),"⚠ Prospect manquant",IF(E1886="","⚠ Action manquante",IF(AND(AU1886=1,D1886=""),"⚠ Canal manquant",IF(AND(W1886&lt;&gt;"",COUNTIFS('Saisie'!$W$5:$W$2004,W1886,'Saisie'!$C$5:$C$2004,"&lt;&gt;"&amp;C1886)&gt;0),"⚠ Numéro déjà utilisé par un autre prospect",IF(AND(J1886&lt;&gt;"",J1886&lt;A1886),"⚠ Relance avant la date de l'action",IF(A1886&gt;TODAY(),"⚠ Date dans le futur","✓"))))))))</f>
        <v/>
      </c>
      <c r="AS1886" s="61">
        <f>IF(AND(A1886="",C1886="",E1886=""),"",ROW())</f>
        <v/>
      </c>
      <c r="AT1886" s="61">
        <f>IF(E1886&amp;F1886="","",MAX(IFERROR(INDEX('Paramètres'!$J$6:$J$33,MATCH(E1886,'Paramètres'!$I$6:$I$33,0)),0),IFERROR(INDEX('Paramètres'!$N$6:$N$17,MATCH(F1886,'Paramètres'!$M$6:$M$17,0)),0)))</f>
        <v/>
      </c>
      <c r="AU1886" s="61">
        <f>IF(E1886="","",IFERROR(IF(INDEX('Paramètres'!$K$6:$K$33,MATCH(E1886,'Paramètres'!$I$6:$I$33,0))="Oui",1,0),0))</f>
        <v/>
      </c>
      <c r="AV1886" s="61">
        <f>IF(F1886="","",IFERROR(IF(INDEX('Paramètres'!$O$6:$O$17,MATCH(F1886,'Paramètres'!$M$6:$M$17,0))="Oui",1,0),0))</f>
        <v/>
      </c>
      <c r="AW1886" s="62">
        <f>IF(E1886="","",IF(G1886&lt;&gt;"",G1886,IF(OR(E1886="Proposition envoyée",E1886="Signature"),MAX(0,N(IFERROR(INDEX('Paramètres'!$R$6:$R$15,MATCH(IF(AL1886&lt;&gt;"",AL1886,IFERROR(INDEX('Prospects'!$AN$5:$AN$504,MATCH(C1886,'Prospects'!$C$5:$C$504,0)),"")),'Paramètres'!$Q$6:$Q$15,0)),0))-N(P1886)),0)))</f>
        <v/>
      </c>
      <c r="AX1886" s="61">
        <f>IF(C1886="","",IF(COUNTIF($C$5:C1886,C1886)=1,MAX($AX$4:AX1885)+1,""))</f>
        <v/>
      </c>
      <c r="AY1886" s="61">
        <f>IF(B1886="","",HOUR(B1886))</f>
        <v/>
      </c>
      <c r="AZ1886" s="61">
        <f>IF(A1886="","",MOD(A1886-2,7)+1)</f>
        <v/>
      </c>
      <c r="BA1886" s="60">
        <f>IF(C1886="","",IFERROR(INDEX('Prospects'!$N$5:$N$504,MATCH(C1886,'Prospects'!$C$5:$C$504,0)),""))</f>
        <v/>
      </c>
      <c r="BB1886" s="61">
        <f>IF(AND(C1886&lt;&gt;"",C1886='Fiche prospect'!$C$4),COUNTIF($C$5:C1886,C1886),"")</f>
        <v/>
      </c>
    </row>
    <row r="1887">
      <c r="A1887" s="53" t="n"/>
      <c r="B1887" s="54" t="n"/>
      <c r="C1887" s="55" t="n"/>
      <c r="D1887" s="55" t="n"/>
      <c r="E1887" s="55" t="n"/>
      <c r="F1887" s="55" t="n"/>
      <c r="G1887" s="56" t="n"/>
      <c r="H1887" s="57" t="n"/>
      <c r="I1887" s="55" t="n"/>
      <c r="J1887" s="53" t="n"/>
      <c r="K1887" s="54" t="n"/>
      <c r="L1887" s="55" t="n"/>
      <c r="M1887" s="55" t="n"/>
      <c r="N1887" s="57" t="n"/>
      <c r="O1887" s="55" t="n"/>
      <c r="P1887" s="56" t="n"/>
      <c r="Q1887" s="55" t="n"/>
      <c r="R1887" s="55" t="n"/>
      <c r="S1887" s="55" t="n"/>
      <c r="T1887" s="55" t="n"/>
      <c r="U1887" s="55" t="n"/>
      <c r="V1887" s="55" t="n"/>
      <c r="W1887" s="58" t="n"/>
      <c r="X1887" s="58" t="n"/>
      <c r="Y1887" s="55" t="n"/>
      <c r="Z1887" s="55" t="n"/>
      <c r="AA1887" s="55" t="n"/>
      <c r="AB1887" s="55" t="n"/>
      <c r="AC1887" s="55" t="n"/>
      <c r="AD1887" s="53" t="n"/>
      <c r="AE1887" s="55" t="n"/>
      <c r="AF1887" s="55" t="n"/>
      <c r="AG1887" s="59" t="n"/>
      <c r="AH1887" s="57" t="n"/>
      <c r="AI1887" s="55" t="n"/>
      <c r="AJ1887" s="55" t="n"/>
      <c r="AK1887" s="55" t="n"/>
      <c r="AL1887" s="55" t="n"/>
      <c r="AM1887" s="56" t="n"/>
      <c r="AN1887" s="55" t="n"/>
      <c r="AO1887" s="55" t="n"/>
      <c r="AP1887" s="55" t="n"/>
      <c r="AQ1887" s="55" t="n"/>
      <c r="AR1887" s="60">
        <f>IF(AND(C1887="",E1887=""),"",IF(A1887="","⚠ Date manquante",IF(AND(C1887="",E1887&lt;&gt;"Dépense"),"⚠ Prospect manquant",IF(E1887="","⚠ Action manquante",IF(AND(AU1887=1,D1887=""),"⚠ Canal manquant",IF(AND(W1887&lt;&gt;"",COUNTIFS('Saisie'!$W$5:$W$2004,W1887,'Saisie'!$C$5:$C$2004,"&lt;&gt;"&amp;C1887)&gt;0),"⚠ Numéro déjà utilisé par un autre prospect",IF(AND(J1887&lt;&gt;"",J1887&lt;A1887),"⚠ Relance avant la date de l'action",IF(A1887&gt;TODAY(),"⚠ Date dans le futur","✓"))))))))</f>
        <v/>
      </c>
      <c r="AS1887" s="61">
        <f>IF(AND(A1887="",C1887="",E1887=""),"",ROW())</f>
        <v/>
      </c>
      <c r="AT1887" s="61">
        <f>IF(E1887&amp;F1887="","",MAX(IFERROR(INDEX('Paramètres'!$J$6:$J$33,MATCH(E1887,'Paramètres'!$I$6:$I$33,0)),0),IFERROR(INDEX('Paramètres'!$N$6:$N$17,MATCH(F1887,'Paramètres'!$M$6:$M$17,0)),0)))</f>
        <v/>
      </c>
      <c r="AU1887" s="61">
        <f>IF(E1887="","",IFERROR(IF(INDEX('Paramètres'!$K$6:$K$33,MATCH(E1887,'Paramètres'!$I$6:$I$33,0))="Oui",1,0),0))</f>
        <v/>
      </c>
      <c r="AV1887" s="61">
        <f>IF(F1887="","",IFERROR(IF(INDEX('Paramètres'!$O$6:$O$17,MATCH(F1887,'Paramètres'!$M$6:$M$17,0))="Oui",1,0),0))</f>
        <v/>
      </c>
      <c r="AW1887" s="62">
        <f>IF(E1887="","",IF(G1887&lt;&gt;"",G1887,IF(OR(E1887="Proposition envoyée",E1887="Signature"),MAX(0,N(IFERROR(INDEX('Paramètres'!$R$6:$R$15,MATCH(IF(AL1887&lt;&gt;"",AL1887,IFERROR(INDEX('Prospects'!$AN$5:$AN$504,MATCH(C1887,'Prospects'!$C$5:$C$504,0)),"")),'Paramètres'!$Q$6:$Q$15,0)),0))-N(P1887)),0)))</f>
        <v/>
      </c>
      <c r="AX1887" s="61">
        <f>IF(C1887="","",IF(COUNTIF($C$5:C1887,C1887)=1,MAX($AX$4:AX1886)+1,""))</f>
        <v/>
      </c>
      <c r="AY1887" s="61">
        <f>IF(B1887="","",HOUR(B1887))</f>
        <v/>
      </c>
      <c r="AZ1887" s="61">
        <f>IF(A1887="","",MOD(A1887-2,7)+1)</f>
        <v/>
      </c>
      <c r="BA1887" s="60">
        <f>IF(C1887="","",IFERROR(INDEX('Prospects'!$N$5:$N$504,MATCH(C1887,'Prospects'!$C$5:$C$504,0)),""))</f>
        <v/>
      </c>
      <c r="BB1887" s="61">
        <f>IF(AND(C1887&lt;&gt;"",C1887='Fiche prospect'!$C$4),COUNTIF($C$5:C1887,C1887),"")</f>
        <v/>
      </c>
    </row>
    <row r="1888">
      <c r="A1888" s="53" t="n"/>
      <c r="B1888" s="54" t="n"/>
      <c r="C1888" s="55" t="n"/>
      <c r="D1888" s="55" t="n"/>
      <c r="E1888" s="55" t="n"/>
      <c r="F1888" s="55" t="n"/>
      <c r="G1888" s="56" t="n"/>
      <c r="H1888" s="57" t="n"/>
      <c r="I1888" s="55" t="n"/>
      <c r="J1888" s="53" t="n"/>
      <c r="K1888" s="54" t="n"/>
      <c r="L1888" s="55" t="n"/>
      <c r="M1888" s="55" t="n"/>
      <c r="N1888" s="57" t="n"/>
      <c r="O1888" s="55" t="n"/>
      <c r="P1888" s="56" t="n"/>
      <c r="Q1888" s="55" t="n"/>
      <c r="R1888" s="55" t="n"/>
      <c r="S1888" s="55" t="n"/>
      <c r="T1888" s="55" t="n"/>
      <c r="U1888" s="55" t="n"/>
      <c r="V1888" s="55" t="n"/>
      <c r="W1888" s="58" t="n"/>
      <c r="X1888" s="58" t="n"/>
      <c r="Y1888" s="55" t="n"/>
      <c r="Z1888" s="55" t="n"/>
      <c r="AA1888" s="55" t="n"/>
      <c r="AB1888" s="55" t="n"/>
      <c r="AC1888" s="55" t="n"/>
      <c r="AD1888" s="53" t="n"/>
      <c r="AE1888" s="55" t="n"/>
      <c r="AF1888" s="55" t="n"/>
      <c r="AG1888" s="59" t="n"/>
      <c r="AH1888" s="57" t="n"/>
      <c r="AI1888" s="55" t="n"/>
      <c r="AJ1888" s="55" t="n"/>
      <c r="AK1888" s="55" t="n"/>
      <c r="AL1888" s="55" t="n"/>
      <c r="AM1888" s="56" t="n"/>
      <c r="AN1888" s="55" t="n"/>
      <c r="AO1888" s="55" t="n"/>
      <c r="AP1888" s="55" t="n"/>
      <c r="AQ1888" s="55" t="n"/>
      <c r="AR1888" s="60">
        <f>IF(AND(C1888="",E1888=""),"",IF(A1888="","⚠ Date manquante",IF(AND(C1888="",E1888&lt;&gt;"Dépense"),"⚠ Prospect manquant",IF(E1888="","⚠ Action manquante",IF(AND(AU1888=1,D1888=""),"⚠ Canal manquant",IF(AND(W1888&lt;&gt;"",COUNTIFS('Saisie'!$W$5:$W$2004,W1888,'Saisie'!$C$5:$C$2004,"&lt;&gt;"&amp;C1888)&gt;0),"⚠ Numéro déjà utilisé par un autre prospect",IF(AND(J1888&lt;&gt;"",J1888&lt;A1888),"⚠ Relance avant la date de l'action",IF(A1888&gt;TODAY(),"⚠ Date dans le futur","✓"))))))))</f>
        <v/>
      </c>
      <c r="AS1888" s="61">
        <f>IF(AND(A1888="",C1888="",E1888=""),"",ROW())</f>
        <v/>
      </c>
      <c r="AT1888" s="61">
        <f>IF(E1888&amp;F1888="","",MAX(IFERROR(INDEX('Paramètres'!$J$6:$J$33,MATCH(E1888,'Paramètres'!$I$6:$I$33,0)),0),IFERROR(INDEX('Paramètres'!$N$6:$N$17,MATCH(F1888,'Paramètres'!$M$6:$M$17,0)),0)))</f>
        <v/>
      </c>
      <c r="AU1888" s="61">
        <f>IF(E1888="","",IFERROR(IF(INDEX('Paramètres'!$K$6:$K$33,MATCH(E1888,'Paramètres'!$I$6:$I$33,0))="Oui",1,0),0))</f>
        <v/>
      </c>
      <c r="AV1888" s="61">
        <f>IF(F1888="","",IFERROR(IF(INDEX('Paramètres'!$O$6:$O$17,MATCH(F1888,'Paramètres'!$M$6:$M$17,0))="Oui",1,0),0))</f>
        <v/>
      </c>
      <c r="AW1888" s="62">
        <f>IF(E1888="","",IF(G1888&lt;&gt;"",G1888,IF(OR(E1888="Proposition envoyée",E1888="Signature"),MAX(0,N(IFERROR(INDEX('Paramètres'!$R$6:$R$15,MATCH(IF(AL1888&lt;&gt;"",AL1888,IFERROR(INDEX('Prospects'!$AN$5:$AN$504,MATCH(C1888,'Prospects'!$C$5:$C$504,0)),"")),'Paramètres'!$Q$6:$Q$15,0)),0))-N(P1888)),0)))</f>
        <v/>
      </c>
      <c r="AX1888" s="61">
        <f>IF(C1888="","",IF(COUNTIF($C$5:C1888,C1888)=1,MAX($AX$4:AX1887)+1,""))</f>
        <v/>
      </c>
      <c r="AY1888" s="61">
        <f>IF(B1888="","",HOUR(B1888))</f>
        <v/>
      </c>
      <c r="AZ1888" s="61">
        <f>IF(A1888="","",MOD(A1888-2,7)+1)</f>
        <v/>
      </c>
      <c r="BA1888" s="60">
        <f>IF(C1888="","",IFERROR(INDEX('Prospects'!$N$5:$N$504,MATCH(C1888,'Prospects'!$C$5:$C$504,0)),""))</f>
        <v/>
      </c>
      <c r="BB1888" s="61">
        <f>IF(AND(C1888&lt;&gt;"",C1888='Fiche prospect'!$C$4),COUNTIF($C$5:C1888,C1888),"")</f>
        <v/>
      </c>
    </row>
    <row r="1889">
      <c r="A1889" s="53" t="n"/>
      <c r="B1889" s="54" t="n"/>
      <c r="C1889" s="55" t="n"/>
      <c r="D1889" s="55" t="n"/>
      <c r="E1889" s="55" t="n"/>
      <c r="F1889" s="55" t="n"/>
      <c r="G1889" s="56" t="n"/>
      <c r="H1889" s="57" t="n"/>
      <c r="I1889" s="55" t="n"/>
      <c r="J1889" s="53" t="n"/>
      <c r="K1889" s="54" t="n"/>
      <c r="L1889" s="55" t="n"/>
      <c r="M1889" s="55" t="n"/>
      <c r="N1889" s="57" t="n"/>
      <c r="O1889" s="55" t="n"/>
      <c r="P1889" s="56" t="n"/>
      <c r="Q1889" s="55" t="n"/>
      <c r="R1889" s="55" t="n"/>
      <c r="S1889" s="55" t="n"/>
      <c r="T1889" s="55" t="n"/>
      <c r="U1889" s="55" t="n"/>
      <c r="V1889" s="55" t="n"/>
      <c r="W1889" s="58" t="n"/>
      <c r="X1889" s="58" t="n"/>
      <c r="Y1889" s="55" t="n"/>
      <c r="Z1889" s="55" t="n"/>
      <c r="AA1889" s="55" t="n"/>
      <c r="AB1889" s="55" t="n"/>
      <c r="AC1889" s="55" t="n"/>
      <c r="AD1889" s="53" t="n"/>
      <c r="AE1889" s="55" t="n"/>
      <c r="AF1889" s="55" t="n"/>
      <c r="AG1889" s="59" t="n"/>
      <c r="AH1889" s="57" t="n"/>
      <c r="AI1889" s="55" t="n"/>
      <c r="AJ1889" s="55" t="n"/>
      <c r="AK1889" s="55" t="n"/>
      <c r="AL1889" s="55" t="n"/>
      <c r="AM1889" s="56" t="n"/>
      <c r="AN1889" s="55" t="n"/>
      <c r="AO1889" s="55" t="n"/>
      <c r="AP1889" s="55" t="n"/>
      <c r="AQ1889" s="55" t="n"/>
      <c r="AR1889" s="60">
        <f>IF(AND(C1889="",E1889=""),"",IF(A1889="","⚠ Date manquante",IF(AND(C1889="",E1889&lt;&gt;"Dépense"),"⚠ Prospect manquant",IF(E1889="","⚠ Action manquante",IF(AND(AU1889=1,D1889=""),"⚠ Canal manquant",IF(AND(W1889&lt;&gt;"",COUNTIFS('Saisie'!$W$5:$W$2004,W1889,'Saisie'!$C$5:$C$2004,"&lt;&gt;"&amp;C1889)&gt;0),"⚠ Numéro déjà utilisé par un autre prospect",IF(AND(J1889&lt;&gt;"",J1889&lt;A1889),"⚠ Relance avant la date de l'action",IF(A1889&gt;TODAY(),"⚠ Date dans le futur","✓"))))))))</f>
        <v/>
      </c>
      <c r="AS1889" s="61">
        <f>IF(AND(A1889="",C1889="",E1889=""),"",ROW())</f>
        <v/>
      </c>
      <c r="AT1889" s="61">
        <f>IF(E1889&amp;F1889="","",MAX(IFERROR(INDEX('Paramètres'!$J$6:$J$33,MATCH(E1889,'Paramètres'!$I$6:$I$33,0)),0),IFERROR(INDEX('Paramètres'!$N$6:$N$17,MATCH(F1889,'Paramètres'!$M$6:$M$17,0)),0)))</f>
        <v/>
      </c>
      <c r="AU1889" s="61">
        <f>IF(E1889="","",IFERROR(IF(INDEX('Paramètres'!$K$6:$K$33,MATCH(E1889,'Paramètres'!$I$6:$I$33,0))="Oui",1,0),0))</f>
        <v/>
      </c>
      <c r="AV1889" s="61">
        <f>IF(F1889="","",IFERROR(IF(INDEX('Paramètres'!$O$6:$O$17,MATCH(F1889,'Paramètres'!$M$6:$M$17,0))="Oui",1,0),0))</f>
        <v/>
      </c>
      <c r="AW1889" s="62">
        <f>IF(E1889="","",IF(G1889&lt;&gt;"",G1889,IF(OR(E1889="Proposition envoyée",E1889="Signature"),MAX(0,N(IFERROR(INDEX('Paramètres'!$R$6:$R$15,MATCH(IF(AL1889&lt;&gt;"",AL1889,IFERROR(INDEX('Prospects'!$AN$5:$AN$504,MATCH(C1889,'Prospects'!$C$5:$C$504,0)),"")),'Paramètres'!$Q$6:$Q$15,0)),0))-N(P1889)),0)))</f>
        <v/>
      </c>
      <c r="AX1889" s="61">
        <f>IF(C1889="","",IF(COUNTIF($C$5:C1889,C1889)=1,MAX($AX$4:AX1888)+1,""))</f>
        <v/>
      </c>
      <c r="AY1889" s="61">
        <f>IF(B1889="","",HOUR(B1889))</f>
        <v/>
      </c>
      <c r="AZ1889" s="61">
        <f>IF(A1889="","",MOD(A1889-2,7)+1)</f>
        <v/>
      </c>
      <c r="BA1889" s="60">
        <f>IF(C1889="","",IFERROR(INDEX('Prospects'!$N$5:$N$504,MATCH(C1889,'Prospects'!$C$5:$C$504,0)),""))</f>
        <v/>
      </c>
      <c r="BB1889" s="61">
        <f>IF(AND(C1889&lt;&gt;"",C1889='Fiche prospect'!$C$4),COUNTIF($C$5:C1889,C1889),"")</f>
        <v/>
      </c>
    </row>
    <row r="1890">
      <c r="A1890" s="53" t="n"/>
      <c r="B1890" s="54" t="n"/>
      <c r="C1890" s="55" t="n"/>
      <c r="D1890" s="55" t="n"/>
      <c r="E1890" s="55" t="n"/>
      <c r="F1890" s="55" t="n"/>
      <c r="G1890" s="56" t="n"/>
      <c r="H1890" s="57" t="n"/>
      <c r="I1890" s="55" t="n"/>
      <c r="J1890" s="53" t="n"/>
      <c r="K1890" s="54" t="n"/>
      <c r="L1890" s="55" t="n"/>
      <c r="M1890" s="55" t="n"/>
      <c r="N1890" s="57" t="n"/>
      <c r="O1890" s="55" t="n"/>
      <c r="P1890" s="56" t="n"/>
      <c r="Q1890" s="55" t="n"/>
      <c r="R1890" s="55" t="n"/>
      <c r="S1890" s="55" t="n"/>
      <c r="T1890" s="55" t="n"/>
      <c r="U1890" s="55" t="n"/>
      <c r="V1890" s="55" t="n"/>
      <c r="W1890" s="58" t="n"/>
      <c r="X1890" s="58" t="n"/>
      <c r="Y1890" s="55" t="n"/>
      <c r="Z1890" s="55" t="n"/>
      <c r="AA1890" s="55" t="n"/>
      <c r="AB1890" s="55" t="n"/>
      <c r="AC1890" s="55" t="n"/>
      <c r="AD1890" s="53" t="n"/>
      <c r="AE1890" s="55" t="n"/>
      <c r="AF1890" s="55" t="n"/>
      <c r="AG1890" s="59" t="n"/>
      <c r="AH1890" s="57" t="n"/>
      <c r="AI1890" s="55" t="n"/>
      <c r="AJ1890" s="55" t="n"/>
      <c r="AK1890" s="55" t="n"/>
      <c r="AL1890" s="55" t="n"/>
      <c r="AM1890" s="56" t="n"/>
      <c r="AN1890" s="55" t="n"/>
      <c r="AO1890" s="55" t="n"/>
      <c r="AP1890" s="55" t="n"/>
      <c r="AQ1890" s="55" t="n"/>
      <c r="AR1890" s="60">
        <f>IF(AND(C1890="",E1890=""),"",IF(A1890="","⚠ Date manquante",IF(AND(C1890="",E1890&lt;&gt;"Dépense"),"⚠ Prospect manquant",IF(E1890="","⚠ Action manquante",IF(AND(AU1890=1,D1890=""),"⚠ Canal manquant",IF(AND(W1890&lt;&gt;"",COUNTIFS('Saisie'!$W$5:$W$2004,W1890,'Saisie'!$C$5:$C$2004,"&lt;&gt;"&amp;C1890)&gt;0),"⚠ Numéro déjà utilisé par un autre prospect",IF(AND(J1890&lt;&gt;"",J1890&lt;A1890),"⚠ Relance avant la date de l'action",IF(A1890&gt;TODAY(),"⚠ Date dans le futur","✓"))))))))</f>
        <v/>
      </c>
      <c r="AS1890" s="61">
        <f>IF(AND(A1890="",C1890="",E1890=""),"",ROW())</f>
        <v/>
      </c>
      <c r="AT1890" s="61">
        <f>IF(E1890&amp;F1890="","",MAX(IFERROR(INDEX('Paramètres'!$J$6:$J$33,MATCH(E1890,'Paramètres'!$I$6:$I$33,0)),0),IFERROR(INDEX('Paramètres'!$N$6:$N$17,MATCH(F1890,'Paramètres'!$M$6:$M$17,0)),0)))</f>
        <v/>
      </c>
      <c r="AU1890" s="61">
        <f>IF(E1890="","",IFERROR(IF(INDEX('Paramètres'!$K$6:$K$33,MATCH(E1890,'Paramètres'!$I$6:$I$33,0))="Oui",1,0),0))</f>
        <v/>
      </c>
      <c r="AV1890" s="61">
        <f>IF(F1890="","",IFERROR(IF(INDEX('Paramètres'!$O$6:$O$17,MATCH(F1890,'Paramètres'!$M$6:$M$17,0))="Oui",1,0),0))</f>
        <v/>
      </c>
      <c r="AW1890" s="62">
        <f>IF(E1890="","",IF(G1890&lt;&gt;"",G1890,IF(OR(E1890="Proposition envoyée",E1890="Signature"),MAX(0,N(IFERROR(INDEX('Paramètres'!$R$6:$R$15,MATCH(IF(AL1890&lt;&gt;"",AL1890,IFERROR(INDEX('Prospects'!$AN$5:$AN$504,MATCH(C1890,'Prospects'!$C$5:$C$504,0)),"")),'Paramètres'!$Q$6:$Q$15,0)),0))-N(P1890)),0)))</f>
        <v/>
      </c>
      <c r="AX1890" s="61">
        <f>IF(C1890="","",IF(COUNTIF($C$5:C1890,C1890)=1,MAX($AX$4:AX1889)+1,""))</f>
        <v/>
      </c>
      <c r="AY1890" s="61">
        <f>IF(B1890="","",HOUR(B1890))</f>
        <v/>
      </c>
      <c r="AZ1890" s="61">
        <f>IF(A1890="","",MOD(A1890-2,7)+1)</f>
        <v/>
      </c>
      <c r="BA1890" s="60">
        <f>IF(C1890="","",IFERROR(INDEX('Prospects'!$N$5:$N$504,MATCH(C1890,'Prospects'!$C$5:$C$504,0)),""))</f>
        <v/>
      </c>
      <c r="BB1890" s="61">
        <f>IF(AND(C1890&lt;&gt;"",C1890='Fiche prospect'!$C$4),COUNTIF($C$5:C1890,C1890),"")</f>
        <v/>
      </c>
    </row>
    <row r="1891">
      <c r="A1891" s="53" t="n"/>
      <c r="B1891" s="54" t="n"/>
      <c r="C1891" s="55" t="n"/>
      <c r="D1891" s="55" t="n"/>
      <c r="E1891" s="55" t="n"/>
      <c r="F1891" s="55" t="n"/>
      <c r="G1891" s="56" t="n"/>
      <c r="H1891" s="57" t="n"/>
      <c r="I1891" s="55" t="n"/>
      <c r="J1891" s="53" t="n"/>
      <c r="K1891" s="54" t="n"/>
      <c r="L1891" s="55" t="n"/>
      <c r="M1891" s="55" t="n"/>
      <c r="N1891" s="57" t="n"/>
      <c r="O1891" s="55" t="n"/>
      <c r="P1891" s="56" t="n"/>
      <c r="Q1891" s="55" t="n"/>
      <c r="R1891" s="55" t="n"/>
      <c r="S1891" s="55" t="n"/>
      <c r="T1891" s="55" t="n"/>
      <c r="U1891" s="55" t="n"/>
      <c r="V1891" s="55" t="n"/>
      <c r="W1891" s="58" t="n"/>
      <c r="X1891" s="58" t="n"/>
      <c r="Y1891" s="55" t="n"/>
      <c r="Z1891" s="55" t="n"/>
      <c r="AA1891" s="55" t="n"/>
      <c r="AB1891" s="55" t="n"/>
      <c r="AC1891" s="55" t="n"/>
      <c r="AD1891" s="53" t="n"/>
      <c r="AE1891" s="55" t="n"/>
      <c r="AF1891" s="55" t="n"/>
      <c r="AG1891" s="59" t="n"/>
      <c r="AH1891" s="57" t="n"/>
      <c r="AI1891" s="55" t="n"/>
      <c r="AJ1891" s="55" t="n"/>
      <c r="AK1891" s="55" t="n"/>
      <c r="AL1891" s="55" t="n"/>
      <c r="AM1891" s="56" t="n"/>
      <c r="AN1891" s="55" t="n"/>
      <c r="AO1891" s="55" t="n"/>
      <c r="AP1891" s="55" t="n"/>
      <c r="AQ1891" s="55" t="n"/>
      <c r="AR1891" s="60">
        <f>IF(AND(C1891="",E1891=""),"",IF(A1891="","⚠ Date manquante",IF(AND(C1891="",E1891&lt;&gt;"Dépense"),"⚠ Prospect manquant",IF(E1891="","⚠ Action manquante",IF(AND(AU1891=1,D1891=""),"⚠ Canal manquant",IF(AND(W1891&lt;&gt;"",COUNTIFS('Saisie'!$W$5:$W$2004,W1891,'Saisie'!$C$5:$C$2004,"&lt;&gt;"&amp;C1891)&gt;0),"⚠ Numéro déjà utilisé par un autre prospect",IF(AND(J1891&lt;&gt;"",J1891&lt;A1891),"⚠ Relance avant la date de l'action",IF(A1891&gt;TODAY(),"⚠ Date dans le futur","✓"))))))))</f>
        <v/>
      </c>
      <c r="AS1891" s="61">
        <f>IF(AND(A1891="",C1891="",E1891=""),"",ROW())</f>
        <v/>
      </c>
      <c r="AT1891" s="61">
        <f>IF(E1891&amp;F1891="","",MAX(IFERROR(INDEX('Paramètres'!$J$6:$J$33,MATCH(E1891,'Paramètres'!$I$6:$I$33,0)),0),IFERROR(INDEX('Paramètres'!$N$6:$N$17,MATCH(F1891,'Paramètres'!$M$6:$M$17,0)),0)))</f>
        <v/>
      </c>
      <c r="AU1891" s="61">
        <f>IF(E1891="","",IFERROR(IF(INDEX('Paramètres'!$K$6:$K$33,MATCH(E1891,'Paramètres'!$I$6:$I$33,0))="Oui",1,0),0))</f>
        <v/>
      </c>
      <c r="AV1891" s="61">
        <f>IF(F1891="","",IFERROR(IF(INDEX('Paramètres'!$O$6:$O$17,MATCH(F1891,'Paramètres'!$M$6:$M$17,0))="Oui",1,0),0))</f>
        <v/>
      </c>
      <c r="AW1891" s="62">
        <f>IF(E1891="","",IF(G1891&lt;&gt;"",G1891,IF(OR(E1891="Proposition envoyée",E1891="Signature"),MAX(0,N(IFERROR(INDEX('Paramètres'!$R$6:$R$15,MATCH(IF(AL1891&lt;&gt;"",AL1891,IFERROR(INDEX('Prospects'!$AN$5:$AN$504,MATCH(C1891,'Prospects'!$C$5:$C$504,0)),"")),'Paramètres'!$Q$6:$Q$15,0)),0))-N(P1891)),0)))</f>
        <v/>
      </c>
      <c r="AX1891" s="61">
        <f>IF(C1891="","",IF(COUNTIF($C$5:C1891,C1891)=1,MAX($AX$4:AX1890)+1,""))</f>
        <v/>
      </c>
      <c r="AY1891" s="61">
        <f>IF(B1891="","",HOUR(B1891))</f>
        <v/>
      </c>
      <c r="AZ1891" s="61">
        <f>IF(A1891="","",MOD(A1891-2,7)+1)</f>
        <v/>
      </c>
      <c r="BA1891" s="60">
        <f>IF(C1891="","",IFERROR(INDEX('Prospects'!$N$5:$N$504,MATCH(C1891,'Prospects'!$C$5:$C$504,0)),""))</f>
        <v/>
      </c>
      <c r="BB1891" s="61">
        <f>IF(AND(C1891&lt;&gt;"",C1891='Fiche prospect'!$C$4),COUNTIF($C$5:C1891,C1891),"")</f>
        <v/>
      </c>
    </row>
    <row r="1892">
      <c r="A1892" s="53" t="n"/>
      <c r="B1892" s="54" t="n"/>
      <c r="C1892" s="55" t="n"/>
      <c r="D1892" s="55" t="n"/>
      <c r="E1892" s="55" t="n"/>
      <c r="F1892" s="55" t="n"/>
      <c r="G1892" s="56" t="n"/>
      <c r="H1892" s="57" t="n"/>
      <c r="I1892" s="55" t="n"/>
      <c r="J1892" s="53" t="n"/>
      <c r="K1892" s="54" t="n"/>
      <c r="L1892" s="55" t="n"/>
      <c r="M1892" s="55" t="n"/>
      <c r="N1892" s="57" t="n"/>
      <c r="O1892" s="55" t="n"/>
      <c r="P1892" s="56" t="n"/>
      <c r="Q1892" s="55" t="n"/>
      <c r="R1892" s="55" t="n"/>
      <c r="S1892" s="55" t="n"/>
      <c r="T1892" s="55" t="n"/>
      <c r="U1892" s="55" t="n"/>
      <c r="V1892" s="55" t="n"/>
      <c r="W1892" s="58" t="n"/>
      <c r="X1892" s="58" t="n"/>
      <c r="Y1892" s="55" t="n"/>
      <c r="Z1892" s="55" t="n"/>
      <c r="AA1892" s="55" t="n"/>
      <c r="AB1892" s="55" t="n"/>
      <c r="AC1892" s="55" t="n"/>
      <c r="AD1892" s="53" t="n"/>
      <c r="AE1892" s="55" t="n"/>
      <c r="AF1892" s="55" t="n"/>
      <c r="AG1892" s="59" t="n"/>
      <c r="AH1892" s="57" t="n"/>
      <c r="AI1892" s="55" t="n"/>
      <c r="AJ1892" s="55" t="n"/>
      <c r="AK1892" s="55" t="n"/>
      <c r="AL1892" s="55" t="n"/>
      <c r="AM1892" s="56" t="n"/>
      <c r="AN1892" s="55" t="n"/>
      <c r="AO1892" s="55" t="n"/>
      <c r="AP1892" s="55" t="n"/>
      <c r="AQ1892" s="55" t="n"/>
      <c r="AR1892" s="60">
        <f>IF(AND(C1892="",E1892=""),"",IF(A1892="","⚠ Date manquante",IF(AND(C1892="",E1892&lt;&gt;"Dépense"),"⚠ Prospect manquant",IF(E1892="","⚠ Action manquante",IF(AND(AU1892=1,D1892=""),"⚠ Canal manquant",IF(AND(W1892&lt;&gt;"",COUNTIFS('Saisie'!$W$5:$W$2004,W1892,'Saisie'!$C$5:$C$2004,"&lt;&gt;"&amp;C1892)&gt;0),"⚠ Numéro déjà utilisé par un autre prospect",IF(AND(J1892&lt;&gt;"",J1892&lt;A1892),"⚠ Relance avant la date de l'action",IF(A1892&gt;TODAY(),"⚠ Date dans le futur","✓"))))))))</f>
        <v/>
      </c>
      <c r="AS1892" s="61">
        <f>IF(AND(A1892="",C1892="",E1892=""),"",ROW())</f>
        <v/>
      </c>
      <c r="AT1892" s="61">
        <f>IF(E1892&amp;F1892="","",MAX(IFERROR(INDEX('Paramètres'!$J$6:$J$33,MATCH(E1892,'Paramètres'!$I$6:$I$33,0)),0),IFERROR(INDEX('Paramètres'!$N$6:$N$17,MATCH(F1892,'Paramètres'!$M$6:$M$17,0)),0)))</f>
        <v/>
      </c>
      <c r="AU1892" s="61">
        <f>IF(E1892="","",IFERROR(IF(INDEX('Paramètres'!$K$6:$K$33,MATCH(E1892,'Paramètres'!$I$6:$I$33,0))="Oui",1,0),0))</f>
        <v/>
      </c>
      <c r="AV1892" s="61">
        <f>IF(F1892="","",IFERROR(IF(INDEX('Paramètres'!$O$6:$O$17,MATCH(F1892,'Paramètres'!$M$6:$M$17,0))="Oui",1,0),0))</f>
        <v/>
      </c>
      <c r="AW1892" s="62">
        <f>IF(E1892="","",IF(G1892&lt;&gt;"",G1892,IF(OR(E1892="Proposition envoyée",E1892="Signature"),MAX(0,N(IFERROR(INDEX('Paramètres'!$R$6:$R$15,MATCH(IF(AL1892&lt;&gt;"",AL1892,IFERROR(INDEX('Prospects'!$AN$5:$AN$504,MATCH(C1892,'Prospects'!$C$5:$C$504,0)),"")),'Paramètres'!$Q$6:$Q$15,0)),0))-N(P1892)),0)))</f>
        <v/>
      </c>
      <c r="AX1892" s="61">
        <f>IF(C1892="","",IF(COUNTIF($C$5:C1892,C1892)=1,MAX($AX$4:AX1891)+1,""))</f>
        <v/>
      </c>
      <c r="AY1892" s="61">
        <f>IF(B1892="","",HOUR(B1892))</f>
        <v/>
      </c>
      <c r="AZ1892" s="61">
        <f>IF(A1892="","",MOD(A1892-2,7)+1)</f>
        <v/>
      </c>
      <c r="BA1892" s="60">
        <f>IF(C1892="","",IFERROR(INDEX('Prospects'!$N$5:$N$504,MATCH(C1892,'Prospects'!$C$5:$C$504,0)),""))</f>
        <v/>
      </c>
      <c r="BB1892" s="61">
        <f>IF(AND(C1892&lt;&gt;"",C1892='Fiche prospect'!$C$4),COUNTIF($C$5:C1892,C1892),"")</f>
        <v/>
      </c>
    </row>
    <row r="1893">
      <c r="A1893" s="53" t="n"/>
      <c r="B1893" s="54" t="n"/>
      <c r="C1893" s="55" t="n"/>
      <c r="D1893" s="55" t="n"/>
      <c r="E1893" s="55" t="n"/>
      <c r="F1893" s="55" t="n"/>
      <c r="G1893" s="56" t="n"/>
      <c r="H1893" s="57" t="n"/>
      <c r="I1893" s="55" t="n"/>
      <c r="J1893" s="53" t="n"/>
      <c r="K1893" s="54" t="n"/>
      <c r="L1893" s="55" t="n"/>
      <c r="M1893" s="55" t="n"/>
      <c r="N1893" s="57" t="n"/>
      <c r="O1893" s="55" t="n"/>
      <c r="P1893" s="56" t="n"/>
      <c r="Q1893" s="55" t="n"/>
      <c r="R1893" s="55" t="n"/>
      <c r="S1893" s="55" t="n"/>
      <c r="T1893" s="55" t="n"/>
      <c r="U1893" s="55" t="n"/>
      <c r="V1893" s="55" t="n"/>
      <c r="W1893" s="58" t="n"/>
      <c r="X1893" s="58" t="n"/>
      <c r="Y1893" s="55" t="n"/>
      <c r="Z1893" s="55" t="n"/>
      <c r="AA1893" s="55" t="n"/>
      <c r="AB1893" s="55" t="n"/>
      <c r="AC1893" s="55" t="n"/>
      <c r="AD1893" s="53" t="n"/>
      <c r="AE1893" s="55" t="n"/>
      <c r="AF1893" s="55" t="n"/>
      <c r="AG1893" s="59" t="n"/>
      <c r="AH1893" s="57" t="n"/>
      <c r="AI1893" s="55" t="n"/>
      <c r="AJ1893" s="55" t="n"/>
      <c r="AK1893" s="55" t="n"/>
      <c r="AL1893" s="55" t="n"/>
      <c r="AM1893" s="56" t="n"/>
      <c r="AN1893" s="55" t="n"/>
      <c r="AO1893" s="55" t="n"/>
      <c r="AP1893" s="55" t="n"/>
      <c r="AQ1893" s="55" t="n"/>
      <c r="AR1893" s="60">
        <f>IF(AND(C1893="",E1893=""),"",IF(A1893="","⚠ Date manquante",IF(AND(C1893="",E1893&lt;&gt;"Dépense"),"⚠ Prospect manquant",IF(E1893="","⚠ Action manquante",IF(AND(AU1893=1,D1893=""),"⚠ Canal manquant",IF(AND(W1893&lt;&gt;"",COUNTIFS('Saisie'!$W$5:$W$2004,W1893,'Saisie'!$C$5:$C$2004,"&lt;&gt;"&amp;C1893)&gt;0),"⚠ Numéro déjà utilisé par un autre prospect",IF(AND(J1893&lt;&gt;"",J1893&lt;A1893),"⚠ Relance avant la date de l'action",IF(A1893&gt;TODAY(),"⚠ Date dans le futur","✓"))))))))</f>
        <v/>
      </c>
      <c r="AS1893" s="61">
        <f>IF(AND(A1893="",C1893="",E1893=""),"",ROW())</f>
        <v/>
      </c>
      <c r="AT1893" s="61">
        <f>IF(E1893&amp;F1893="","",MAX(IFERROR(INDEX('Paramètres'!$J$6:$J$33,MATCH(E1893,'Paramètres'!$I$6:$I$33,0)),0),IFERROR(INDEX('Paramètres'!$N$6:$N$17,MATCH(F1893,'Paramètres'!$M$6:$M$17,0)),0)))</f>
        <v/>
      </c>
      <c r="AU1893" s="61">
        <f>IF(E1893="","",IFERROR(IF(INDEX('Paramètres'!$K$6:$K$33,MATCH(E1893,'Paramètres'!$I$6:$I$33,0))="Oui",1,0),0))</f>
        <v/>
      </c>
      <c r="AV1893" s="61">
        <f>IF(F1893="","",IFERROR(IF(INDEX('Paramètres'!$O$6:$O$17,MATCH(F1893,'Paramètres'!$M$6:$M$17,0))="Oui",1,0),0))</f>
        <v/>
      </c>
      <c r="AW1893" s="62">
        <f>IF(E1893="","",IF(G1893&lt;&gt;"",G1893,IF(OR(E1893="Proposition envoyée",E1893="Signature"),MAX(0,N(IFERROR(INDEX('Paramètres'!$R$6:$R$15,MATCH(IF(AL1893&lt;&gt;"",AL1893,IFERROR(INDEX('Prospects'!$AN$5:$AN$504,MATCH(C1893,'Prospects'!$C$5:$C$504,0)),"")),'Paramètres'!$Q$6:$Q$15,0)),0))-N(P1893)),0)))</f>
        <v/>
      </c>
      <c r="AX1893" s="61">
        <f>IF(C1893="","",IF(COUNTIF($C$5:C1893,C1893)=1,MAX($AX$4:AX1892)+1,""))</f>
        <v/>
      </c>
      <c r="AY1893" s="61">
        <f>IF(B1893="","",HOUR(B1893))</f>
        <v/>
      </c>
      <c r="AZ1893" s="61">
        <f>IF(A1893="","",MOD(A1893-2,7)+1)</f>
        <v/>
      </c>
      <c r="BA1893" s="60">
        <f>IF(C1893="","",IFERROR(INDEX('Prospects'!$N$5:$N$504,MATCH(C1893,'Prospects'!$C$5:$C$504,0)),""))</f>
        <v/>
      </c>
      <c r="BB1893" s="61">
        <f>IF(AND(C1893&lt;&gt;"",C1893='Fiche prospect'!$C$4),COUNTIF($C$5:C1893,C1893),"")</f>
        <v/>
      </c>
    </row>
    <row r="1894">
      <c r="A1894" s="53" t="n"/>
      <c r="B1894" s="54" t="n"/>
      <c r="C1894" s="55" t="n"/>
      <c r="D1894" s="55" t="n"/>
      <c r="E1894" s="55" t="n"/>
      <c r="F1894" s="55" t="n"/>
      <c r="G1894" s="56" t="n"/>
      <c r="H1894" s="57" t="n"/>
      <c r="I1894" s="55" t="n"/>
      <c r="J1894" s="53" t="n"/>
      <c r="K1894" s="54" t="n"/>
      <c r="L1894" s="55" t="n"/>
      <c r="M1894" s="55" t="n"/>
      <c r="N1894" s="57" t="n"/>
      <c r="O1894" s="55" t="n"/>
      <c r="P1894" s="56" t="n"/>
      <c r="Q1894" s="55" t="n"/>
      <c r="R1894" s="55" t="n"/>
      <c r="S1894" s="55" t="n"/>
      <c r="T1894" s="55" t="n"/>
      <c r="U1894" s="55" t="n"/>
      <c r="V1894" s="55" t="n"/>
      <c r="W1894" s="58" t="n"/>
      <c r="X1894" s="58" t="n"/>
      <c r="Y1894" s="55" t="n"/>
      <c r="Z1894" s="55" t="n"/>
      <c r="AA1894" s="55" t="n"/>
      <c r="AB1894" s="55" t="n"/>
      <c r="AC1894" s="55" t="n"/>
      <c r="AD1894" s="53" t="n"/>
      <c r="AE1894" s="55" t="n"/>
      <c r="AF1894" s="55" t="n"/>
      <c r="AG1894" s="59" t="n"/>
      <c r="AH1894" s="57" t="n"/>
      <c r="AI1894" s="55" t="n"/>
      <c r="AJ1894" s="55" t="n"/>
      <c r="AK1894" s="55" t="n"/>
      <c r="AL1894" s="55" t="n"/>
      <c r="AM1894" s="56" t="n"/>
      <c r="AN1894" s="55" t="n"/>
      <c r="AO1894" s="55" t="n"/>
      <c r="AP1894" s="55" t="n"/>
      <c r="AQ1894" s="55" t="n"/>
      <c r="AR1894" s="60">
        <f>IF(AND(C1894="",E1894=""),"",IF(A1894="","⚠ Date manquante",IF(AND(C1894="",E1894&lt;&gt;"Dépense"),"⚠ Prospect manquant",IF(E1894="","⚠ Action manquante",IF(AND(AU1894=1,D1894=""),"⚠ Canal manquant",IF(AND(W1894&lt;&gt;"",COUNTIFS('Saisie'!$W$5:$W$2004,W1894,'Saisie'!$C$5:$C$2004,"&lt;&gt;"&amp;C1894)&gt;0),"⚠ Numéro déjà utilisé par un autre prospect",IF(AND(J1894&lt;&gt;"",J1894&lt;A1894),"⚠ Relance avant la date de l'action",IF(A1894&gt;TODAY(),"⚠ Date dans le futur","✓"))))))))</f>
        <v/>
      </c>
      <c r="AS1894" s="61">
        <f>IF(AND(A1894="",C1894="",E1894=""),"",ROW())</f>
        <v/>
      </c>
      <c r="AT1894" s="61">
        <f>IF(E1894&amp;F1894="","",MAX(IFERROR(INDEX('Paramètres'!$J$6:$J$33,MATCH(E1894,'Paramètres'!$I$6:$I$33,0)),0),IFERROR(INDEX('Paramètres'!$N$6:$N$17,MATCH(F1894,'Paramètres'!$M$6:$M$17,0)),0)))</f>
        <v/>
      </c>
      <c r="AU1894" s="61">
        <f>IF(E1894="","",IFERROR(IF(INDEX('Paramètres'!$K$6:$K$33,MATCH(E1894,'Paramètres'!$I$6:$I$33,0))="Oui",1,0),0))</f>
        <v/>
      </c>
      <c r="AV1894" s="61">
        <f>IF(F1894="","",IFERROR(IF(INDEX('Paramètres'!$O$6:$O$17,MATCH(F1894,'Paramètres'!$M$6:$M$17,0))="Oui",1,0),0))</f>
        <v/>
      </c>
      <c r="AW1894" s="62">
        <f>IF(E1894="","",IF(G1894&lt;&gt;"",G1894,IF(OR(E1894="Proposition envoyée",E1894="Signature"),MAX(0,N(IFERROR(INDEX('Paramètres'!$R$6:$R$15,MATCH(IF(AL1894&lt;&gt;"",AL1894,IFERROR(INDEX('Prospects'!$AN$5:$AN$504,MATCH(C1894,'Prospects'!$C$5:$C$504,0)),"")),'Paramètres'!$Q$6:$Q$15,0)),0))-N(P1894)),0)))</f>
        <v/>
      </c>
      <c r="AX1894" s="61">
        <f>IF(C1894="","",IF(COUNTIF($C$5:C1894,C1894)=1,MAX($AX$4:AX1893)+1,""))</f>
        <v/>
      </c>
      <c r="AY1894" s="61">
        <f>IF(B1894="","",HOUR(B1894))</f>
        <v/>
      </c>
      <c r="AZ1894" s="61">
        <f>IF(A1894="","",MOD(A1894-2,7)+1)</f>
        <v/>
      </c>
      <c r="BA1894" s="60">
        <f>IF(C1894="","",IFERROR(INDEX('Prospects'!$N$5:$N$504,MATCH(C1894,'Prospects'!$C$5:$C$504,0)),""))</f>
        <v/>
      </c>
      <c r="BB1894" s="61">
        <f>IF(AND(C1894&lt;&gt;"",C1894='Fiche prospect'!$C$4),COUNTIF($C$5:C1894,C1894),"")</f>
        <v/>
      </c>
    </row>
    <row r="1895">
      <c r="A1895" s="53" t="n"/>
      <c r="B1895" s="54" t="n"/>
      <c r="C1895" s="55" t="n"/>
      <c r="D1895" s="55" t="n"/>
      <c r="E1895" s="55" t="n"/>
      <c r="F1895" s="55" t="n"/>
      <c r="G1895" s="56" t="n"/>
      <c r="H1895" s="57" t="n"/>
      <c r="I1895" s="55" t="n"/>
      <c r="J1895" s="53" t="n"/>
      <c r="K1895" s="54" t="n"/>
      <c r="L1895" s="55" t="n"/>
      <c r="M1895" s="55" t="n"/>
      <c r="N1895" s="57" t="n"/>
      <c r="O1895" s="55" t="n"/>
      <c r="P1895" s="56" t="n"/>
      <c r="Q1895" s="55" t="n"/>
      <c r="R1895" s="55" t="n"/>
      <c r="S1895" s="55" t="n"/>
      <c r="T1895" s="55" t="n"/>
      <c r="U1895" s="55" t="n"/>
      <c r="V1895" s="55" t="n"/>
      <c r="W1895" s="58" t="n"/>
      <c r="X1895" s="58" t="n"/>
      <c r="Y1895" s="55" t="n"/>
      <c r="Z1895" s="55" t="n"/>
      <c r="AA1895" s="55" t="n"/>
      <c r="AB1895" s="55" t="n"/>
      <c r="AC1895" s="55" t="n"/>
      <c r="AD1895" s="53" t="n"/>
      <c r="AE1895" s="55" t="n"/>
      <c r="AF1895" s="55" t="n"/>
      <c r="AG1895" s="59" t="n"/>
      <c r="AH1895" s="57" t="n"/>
      <c r="AI1895" s="55" t="n"/>
      <c r="AJ1895" s="55" t="n"/>
      <c r="AK1895" s="55" t="n"/>
      <c r="AL1895" s="55" t="n"/>
      <c r="AM1895" s="56" t="n"/>
      <c r="AN1895" s="55" t="n"/>
      <c r="AO1895" s="55" t="n"/>
      <c r="AP1895" s="55" t="n"/>
      <c r="AQ1895" s="55" t="n"/>
      <c r="AR1895" s="60">
        <f>IF(AND(C1895="",E1895=""),"",IF(A1895="","⚠ Date manquante",IF(AND(C1895="",E1895&lt;&gt;"Dépense"),"⚠ Prospect manquant",IF(E1895="","⚠ Action manquante",IF(AND(AU1895=1,D1895=""),"⚠ Canal manquant",IF(AND(W1895&lt;&gt;"",COUNTIFS('Saisie'!$W$5:$W$2004,W1895,'Saisie'!$C$5:$C$2004,"&lt;&gt;"&amp;C1895)&gt;0),"⚠ Numéro déjà utilisé par un autre prospect",IF(AND(J1895&lt;&gt;"",J1895&lt;A1895),"⚠ Relance avant la date de l'action",IF(A1895&gt;TODAY(),"⚠ Date dans le futur","✓"))))))))</f>
        <v/>
      </c>
      <c r="AS1895" s="61">
        <f>IF(AND(A1895="",C1895="",E1895=""),"",ROW())</f>
        <v/>
      </c>
      <c r="AT1895" s="61">
        <f>IF(E1895&amp;F1895="","",MAX(IFERROR(INDEX('Paramètres'!$J$6:$J$33,MATCH(E1895,'Paramètres'!$I$6:$I$33,0)),0),IFERROR(INDEX('Paramètres'!$N$6:$N$17,MATCH(F1895,'Paramètres'!$M$6:$M$17,0)),0)))</f>
        <v/>
      </c>
      <c r="AU1895" s="61">
        <f>IF(E1895="","",IFERROR(IF(INDEX('Paramètres'!$K$6:$K$33,MATCH(E1895,'Paramètres'!$I$6:$I$33,0))="Oui",1,0),0))</f>
        <v/>
      </c>
      <c r="AV1895" s="61">
        <f>IF(F1895="","",IFERROR(IF(INDEX('Paramètres'!$O$6:$O$17,MATCH(F1895,'Paramètres'!$M$6:$M$17,0))="Oui",1,0),0))</f>
        <v/>
      </c>
      <c r="AW1895" s="62">
        <f>IF(E1895="","",IF(G1895&lt;&gt;"",G1895,IF(OR(E1895="Proposition envoyée",E1895="Signature"),MAX(0,N(IFERROR(INDEX('Paramètres'!$R$6:$R$15,MATCH(IF(AL1895&lt;&gt;"",AL1895,IFERROR(INDEX('Prospects'!$AN$5:$AN$504,MATCH(C1895,'Prospects'!$C$5:$C$504,0)),"")),'Paramètres'!$Q$6:$Q$15,0)),0))-N(P1895)),0)))</f>
        <v/>
      </c>
      <c r="AX1895" s="61">
        <f>IF(C1895="","",IF(COUNTIF($C$5:C1895,C1895)=1,MAX($AX$4:AX1894)+1,""))</f>
        <v/>
      </c>
      <c r="AY1895" s="61">
        <f>IF(B1895="","",HOUR(B1895))</f>
        <v/>
      </c>
      <c r="AZ1895" s="61">
        <f>IF(A1895="","",MOD(A1895-2,7)+1)</f>
        <v/>
      </c>
      <c r="BA1895" s="60">
        <f>IF(C1895="","",IFERROR(INDEX('Prospects'!$N$5:$N$504,MATCH(C1895,'Prospects'!$C$5:$C$504,0)),""))</f>
        <v/>
      </c>
      <c r="BB1895" s="61">
        <f>IF(AND(C1895&lt;&gt;"",C1895='Fiche prospect'!$C$4),COUNTIF($C$5:C1895,C1895),"")</f>
        <v/>
      </c>
    </row>
    <row r="1896">
      <c r="A1896" s="53" t="n"/>
      <c r="B1896" s="54" t="n"/>
      <c r="C1896" s="55" t="n"/>
      <c r="D1896" s="55" t="n"/>
      <c r="E1896" s="55" t="n"/>
      <c r="F1896" s="55" t="n"/>
      <c r="G1896" s="56" t="n"/>
      <c r="H1896" s="57" t="n"/>
      <c r="I1896" s="55" t="n"/>
      <c r="J1896" s="53" t="n"/>
      <c r="K1896" s="54" t="n"/>
      <c r="L1896" s="55" t="n"/>
      <c r="M1896" s="55" t="n"/>
      <c r="N1896" s="57" t="n"/>
      <c r="O1896" s="55" t="n"/>
      <c r="P1896" s="56" t="n"/>
      <c r="Q1896" s="55" t="n"/>
      <c r="R1896" s="55" t="n"/>
      <c r="S1896" s="55" t="n"/>
      <c r="T1896" s="55" t="n"/>
      <c r="U1896" s="55" t="n"/>
      <c r="V1896" s="55" t="n"/>
      <c r="W1896" s="58" t="n"/>
      <c r="X1896" s="58" t="n"/>
      <c r="Y1896" s="55" t="n"/>
      <c r="Z1896" s="55" t="n"/>
      <c r="AA1896" s="55" t="n"/>
      <c r="AB1896" s="55" t="n"/>
      <c r="AC1896" s="55" t="n"/>
      <c r="AD1896" s="53" t="n"/>
      <c r="AE1896" s="55" t="n"/>
      <c r="AF1896" s="55" t="n"/>
      <c r="AG1896" s="59" t="n"/>
      <c r="AH1896" s="57" t="n"/>
      <c r="AI1896" s="55" t="n"/>
      <c r="AJ1896" s="55" t="n"/>
      <c r="AK1896" s="55" t="n"/>
      <c r="AL1896" s="55" t="n"/>
      <c r="AM1896" s="56" t="n"/>
      <c r="AN1896" s="55" t="n"/>
      <c r="AO1896" s="55" t="n"/>
      <c r="AP1896" s="55" t="n"/>
      <c r="AQ1896" s="55" t="n"/>
      <c r="AR1896" s="60">
        <f>IF(AND(C1896="",E1896=""),"",IF(A1896="","⚠ Date manquante",IF(AND(C1896="",E1896&lt;&gt;"Dépense"),"⚠ Prospect manquant",IF(E1896="","⚠ Action manquante",IF(AND(AU1896=1,D1896=""),"⚠ Canal manquant",IF(AND(W1896&lt;&gt;"",COUNTIFS('Saisie'!$W$5:$W$2004,W1896,'Saisie'!$C$5:$C$2004,"&lt;&gt;"&amp;C1896)&gt;0),"⚠ Numéro déjà utilisé par un autre prospect",IF(AND(J1896&lt;&gt;"",J1896&lt;A1896),"⚠ Relance avant la date de l'action",IF(A1896&gt;TODAY(),"⚠ Date dans le futur","✓"))))))))</f>
        <v/>
      </c>
      <c r="AS1896" s="61">
        <f>IF(AND(A1896="",C1896="",E1896=""),"",ROW())</f>
        <v/>
      </c>
      <c r="AT1896" s="61">
        <f>IF(E1896&amp;F1896="","",MAX(IFERROR(INDEX('Paramètres'!$J$6:$J$33,MATCH(E1896,'Paramètres'!$I$6:$I$33,0)),0),IFERROR(INDEX('Paramètres'!$N$6:$N$17,MATCH(F1896,'Paramètres'!$M$6:$M$17,0)),0)))</f>
        <v/>
      </c>
      <c r="AU1896" s="61">
        <f>IF(E1896="","",IFERROR(IF(INDEX('Paramètres'!$K$6:$K$33,MATCH(E1896,'Paramètres'!$I$6:$I$33,0))="Oui",1,0),0))</f>
        <v/>
      </c>
      <c r="AV1896" s="61">
        <f>IF(F1896="","",IFERROR(IF(INDEX('Paramètres'!$O$6:$O$17,MATCH(F1896,'Paramètres'!$M$6:$M$17,0))="Oui",1,0),0))</f>
        <v/>
      </c>
      <c r="AW1896" s="62">
        <f>IF(E1896="","",IF(G1896&lt;&gt;"",G1896,IF(OR(E1896="Proposition envoyée",E1896="Signature"),MAX(0,N(IFERROR(INDEX('Paramètres'!$R$6:$R$15,MATCH(IF(AL1896&lt;&gt;"",AL1896,IFERROR(INDEX('Prospects'!$AN$5:$AN$504,MATCH(C1896,'Prospects'!$C$5:$C$504,0)),"")),'Paramètres'!$Q$6:$Q$15,0)),0))-N(P1896)),0)))</f>
        <v/>
      </c>
      <c r="AX1896" s="61">
        <f>IF(C1896="","",IF(COUNTIF($C$5:C1896,C1896)=1,MAX($AX$4:AX1895)+1,""))</f>
        <v/>
      </c>
      <c r="AY1896" s="61">
        <f>IF(B1896="","",HOUR(B1896))</f>
        <v/>
      </c>
      <c r="AZ1896" s="61">
        <f>IF(A1896="","",MOD(A1896-2,7)+1)</f>
        <v/>
      </c>
      <c r="BA1896" s="60">
        <f>IF(C1896="","",IFERROR(INDEX('Prospects'!$N$5:$N$504,MATCH(C1896,'Prospects'!$C$5:$C$504,0)),""))</f>
        <v/>
      </c>
      <c r="BB1896" s="61">
        <f>IF(AND(C1896&lt;&gt;"",C1896='Fiche prospect'!$C$4),COUNTIF($C$5:C1896,C1896),"")</f>
        <v/>
      </c>
    </row>
    <row r="1897">
      <c r="A1897" s="53" t="n"/>
      <c r="B1897" s="54" t="n"/>
      <c r="C1897" s="55" t="n"/>
      <c r="D1897" s="55" t="n"/>
      <c r="E1897" s="55" t="n"/>
      <c r="F1897" s="55" t="n"/>
      <c r="G1897" s="56" t="n"/>
      <c r="H1897" s="57" t="n"/>
      <c r="I1897" s="55" t="n"/>
      <c r="J1897" s="53" t="n"/>
      <c r="K1897" s="54" t="n"/>
      <c r="L1897" s="55" t="n"/>
      <c r="M1897" s="55" t="n"/>
      <c r="N1897" s="57" t="n"/>
      <c r="O1897" s="55" t="n"/>
      <c r="P1897" s="56" t="n"/>
      <c r="Q1897" s="55" t="n"/>
      <c r="R1897" s="55" t="n"/>
      <c r="S1897" s="55" t="n"/>
      <c r="T1897" s="55" t="n"/>
      <c r="U1897" s="55" t="n"/>
      <c r="V1897" s="55" t="n"/>
      <c r="W1897" s="58" t="n"/>
      <c r="X1897" s="58" t="n"/>
      <c r="Y1897" s="55" t="n"/>
      <c r="Z1897" s="55" t="n"/>
      <c r="AA1897" s="55" t="n"/>
      <c r="AB1897" s="55" t="n"/>
      <c r="AC1897" s="55" t="n"/>
      <c r="AD1897" s="53" t="n"/>
      <c r="AE1897" s="55" t="n"/>
      <c r="AF1897" s="55" t="n"/>
      <c r="AG1897" s="59" t="n"/>
      <c r="AH1897" s="57" t="n"/>
      <c r="AI1897" s="55" t="n"/>
      <c r="AJ1897" s="55" t="n"/>
      <c r="AK1897" s="55" t="n"/>
      <c r="AL1897" s="55" t="n"/>
      <c r="AM1897" s="56" t="n"/>
      <c r="AN1897" s="55" t="n"/>
      <c r="AO1897" s="55" t="n"/>
      <c r="AP1897" s="55" t="n"/>
      <c r="AQ1897" s="55" t="n"/>
      <c r="AR1897" s="60">
        <f>IF(AND(C1897="",E1897=""),"",IF(A1897="","⚠ Date manquante",IF(AND(C1897="",E1897&lt;&gt;"Dépense"),"⚠ Prospect manquant",IF(E1897="","⚠ Action manquante",IF(AND(AU1897=1,D1897=""),"⚠ Canal manquant",IF(AND(W1897&lt;&gt;"",COUNTIFS('Saisie'!$W$5:$W$2004,W1897,'Saisie'!$C$5:$C$2004,"&lt;&gt;"&amp;C1897)&gt;0),"⚠ Numéro déjà utilisé par un autre prospect",IF(AND(J1897&lt;&gt;"",J1897&lt;A1897),"⚠ Relance avant la date de l'action",IF(A1897&gt;TODAY(),"⚠ Date dans le futur","✓"))))))))</f>
        <v/>
      </c>
      <c r="AS1897" s="61">
        <f>IF(AND(A1897="",C1897="",E1897=""),"",ROW())</f>
        <v/>
      </c>
      <c r="AT1897" s="61">
        <f>IF(E1897&amp;F1897="","",MAX(IFERROR(INDEX('Paramètres'!$J$6:$J$33,MATCH(E1897,'Paramètres'!$I$6:$I$33,0)),0),IFERROR(INDEX('Paramètres'!$N$6:$N$17,MATCH(F1897,'Paramètres'!$M$6:$M$17,0)),0)))</f>
        <v/>
      </c>
      <c r="AU1897" s="61">
        <f>IF(E1897="","",IFERROR(IF(INDEX('Paramètres'!$K$6:$K$33,MATCH(E1897,'Paramètres'!$I$6:$I$33,0))="Oui",1,0),0))</f>
        <v/>
      </c>
      <c r="AV1897" s="61">
        <f>IF(F1897="","",IFERROR(IF(INDEX('Paramètres'!$O$6:$O$17,MATCH(F1897,'Paramètres'!$M$6:$M$17,0))="Oui",1,0),0))</f>
        <v/>
      </c>
      <c r="AW1897" s="62">
        <f>IF(E1897="","",IF(G1897&lt;&gt;"",G1897,IF(OR(E1897="Proposition envoyée",E1897="Signature"),MAX(0,N(IFERROR(INDEX('Paramètres'!$R$6:$R$15,MATCH(IF(AL1897&lt;&gt;"",AL1897,IFERROR(INDEX('Prospects'!$AN$5:$AN$504,MATCH(C1897,'Prospects'!$C$5:$C$504,0)),"")),'Paramètres'!$Q$6:$Q$15,0)),0))-N(P1897)),0)))</f>
        <v/>
      </c>
      <c r="AX1897" s="61">
        <f>IF(C1897="","",IF(COUNTIF($C$5:C1897,C1897)=1,MAX($AX$4:AX1896)+1,""))</f>
        <v/>
      </c>
      <c r="AY1897" s="61">
        <f>IF(B1897="","",HOUR(B1897))</f>
        <v/>
      </c>
      <c r="AZ1897" s="61">
        <f>IF(A1897="","",MOD(A1897-2,7)+1)</f>
        <v/>
      </c>
      <c r="BA1897" s="60">
        <f>IF(C1897="","",IFERROR(INDEX('Prospects'!$N$5:$N$504,MATCH(C1897,'Prospects'!$C$5:$C$504,0)),""))</f>
        <v/>
      </c>
      <c r="BB1897" s="61">
        <f>IF(AND(C1897&lt;&gt;"",C1897='Fiche prospect'!$C$4),COUNTIF($C$5:C1897,C1897),"")</f>
        <v/>
      </c>
    </row>
    <row r="1898">
      <c r="A1898" s="53" t="n"/>
      <c r="B1898" s="54" t="n"/>
      <c r="C1898" s="55" t="n"/>
      <c r="D1898" s="55" t="n"/>
      <c r="E1898" s="55" t="n"/>
      <c r="F1898" s="55" t="n"/>
      <c r="G1898" s="56" t="n"/>
      <c r="H1898" s="57" t="n"/>
      <c r="I1898" s="55" t="n"/>
      <c r="J1898" s="53" t="n"/>
      <c r="K1898" s="54" t="n"/>
      <c r="L1898" s="55" t="n"/>
      <c r="M1898" s="55" t="n"/>
      <c r="N1898" s="57" t="n"/>
      <c r="O1898" s="55" t="n"/>
      <c r="P1898" s="56" t="n"/>
      <c r="Q1898" s="55" t="n"/>
      <c r="R1898" s="55" t="n"/>
      <c r="S1898" s="55" t="n"/>
      <c r="T1898" s="55" t="n"/>
      <c r="U1898" s="55" t="n"/>
      <c r="V1898" s="55" t="n"/>
      <c r="W1898" s="58" t="n"/>
      <c r="X1898" s="58" t="n"/>
      <c r="Y1898" s="55" t="n"/>
      <c r="Z1898" s="55" t="n"/>
      <c r="AA1898" s="55" t="n"/>
      <c r="AB1898" s="55" t="n"/>
      <c r="AC1898" s="55" t="n"/>
      <c r="AD1898" s="53" t="n"/>
      <c r="AE1898" s="55" t="n"/>
      <c r="AF1898" s="55" t="n"/>
      <c r="AG1898" s="59" t="n"/>
      <c r="AH1898" s="57" t="n"/>
      <c r="AI1898" s="55" t="n"/>
      <c r="AJ1898" s="55" t="n"/>
      <c r="AK1898" s="55" t="n"/>
      <c r="AL1898" s="55" t="n"/>
      <c r="AM1898" s="56" t="n"/>
      <c r="AN1898" s="55" t="n"/>
      <c r="AO1898" s="55" t="n"/>
      <c r="AP1898" s="55" t="n"/>
      <c r="AQ1898" s="55" t="n"/>
      <c r="AR1898" s="60">
        <f>IF(AND(C1898="",E1898=""),"",IF(A1898="","⚠ Date manquante",IF(AND(C1898="",E1898&lt;&gt;"Dépense"),"⚠ Prospect manquant",IF(E1898="","⚠ Action manquante",IF(AND(AU1898=1,D1898=""),"⚠ Canal manquant",IF(AND(W1898&lt;&gt;"",COUNTIFS('Saisie'!$W$5:$W$2004,W1898,'Saisie'!$C$5:$C$2004,"&lt;&gt;"&amp;C1898)&gt;0),"⚠ Numéro déjà utilisé par un autre prospect",IF(AND(J1898&lt;&gt;"",J1898&lt;A1898),"⚠ Relance avant la date de l'action",IF(A1898&gt;TODAY(),"⚠ Date dans le futur","✓"))))))))</f>
        <v/>
      </c>
      <c r="AS1898" s="61">
        <f>IF(AND(A1898="",C1898="",E1898=""),"",ROW())</f>
        <v/>
      </c>
      <c r="AT1898" s="61">
        <f>IF(E1898&amp;F1898="","",MAX(IFERROR(INDEX('Paramètres'!$J$6:$J$33,MATCH(E1898,'Paramètres'!$I$6:$I$33,0)),0),IFERROR(INDEX('Paramètres'!$N$6:$N$17,MATCH(F1898,'Paramètres'!$M$6:$M$17,0)),0)))</f>
        <v/>
      </c>
      <c r="AU1898" s="61">
        <f>IF(E1898="","",IFERROR(IF(INDEX('Paramètres'!$K$6:$K$33,MATCH(E1898,'Paramètres'!$I$6:$I$33,0))="Oui",1,0),0))</f>
        <v/>
      </c>
      <c r="AV1898" s="61">
        <f>IF(F1898="","",IFERROR(IF(INDEX('Paramètres'!$O$6:$O$17,MATCH(F1898,'Paramètres'!$M$6:$M$17,0))="Oui",1,0),0))</f>
        <v/>
      </c>
      <c r="AW1898" s="62">
        <f>IF(E1898="","",IF(G1898&lt;&gt;"",G1898,IF(OR(E1898="Proposition envoyée",E1898="Signature"),MAX(0,N(IFERROR(INDEX('Paramètres'!$R$6:$R$15,MATCH(IF(AL1898&lt;&gt;"",AL1898,IFERROR(INDEX('Prospects'!$AN$5:$AN$504,MATCH(C1898,'Prospects'!$C$5:$C$504,0)),"")),'Paramètres'!$Q$6:$Q$15,0)),0))-N(P1898)),0)))</f>
        <v/>
      </c>
      <c r="AX1898" s="61">
        <f>IF(C1898="","",IF(COUNTIF($C$5:C1898,C1898)=1,MAX($AX$4:AX1897)+1,""))</f>
        <v/>
      </c>
      <c r="AY1898" s="61">
        <f>IF(B1898="","",HOUR(B1898))</f>
        <v/>
      </c>
      <c r="AZ1898" s="61">
        <f>IF(A1898="","",MOD(A1898-2,7)+1)</f>
        <v/>
      </c>
      <c r="BA1898" s="60">
        <f>IF(C1898="","",IFERROR(INDEX('Prospects'!$N$5:$N$504,MATCH(C1898,'Prospects'!$C$5:$C$504,0)),""))</f>
        <v/>
      </c>
      <c r="BB1898" s="61">
        <f>IF(AND(C1898&lt;&gt;"",C1898='Fiche prospect'!$C$4),COUNTIF($C$5:C1898,C1898),"")</f>
        <v/>
      </c>
    </row>
    <row r="1899">
      <c r="A1899" s="53" t="n"/>
      <c r="B1899" s="54" t="n"/>
      <c r="C1899" s="55" t="n"/>
      <c r="D1899" s="55" t="n"/>
      <c r="E1899" s="55" t="n"/>
      <c r="F1899" s="55" t="n"/>
      <c r="G1899" s="56" t="n"/>
      <c r="H1899" s="57" t="n"/>
      <c r="I1899" s="55" t="n"/>
      <c r="J1899" s="53" t="n"/>
      <c r="K1899" s="54" t="n"/>
      <c r="L1899" s="55" t="n"/>
      <c r="M1899" s="55" t="n"/>
      <c r="N1899" s="57" t="n"/>
      <c r="O1899" s="55" t="n"/>
      <c r="P1899" s="56" t="n"/>
      <c r="Q1899" s="55" t="n"/>
      <c r="R1899" s="55" t="n"/>
      <c r="S1899" s="55" t="n"/>
      <c r="T1899" s="55" t="n"/>
      <c r="U1899" s="55" t="n"/>
      <c r="V1899" s="55" t="n"/>
      <c r="W1899" s="58" t="n"/>
      <c r="X1899" s="58" t="n"/>
      <c r="Y1899" s="55" t="n"/>
      <c r="Z1899" s="55" t="n"/>
      <c r="AA1899" s="55" t="n"/>
      <c r="AB1899" s="55" t="n"/>
      <c r="AC1899" s="55" t="n"/>
      <c r="AD1899" s="53" t="n"/>
      <c r="AE1899" s="55" t="n"/>
      <c r="AF1899" s="55" t="n"/>
      <c r="AG1899" s="59" t="n"/>
      <c r="AH1899" s="57" t="n"/>
      <c r="AI1899" s="55" t="n"/>
      <c r="AJ1899" s="55" t="n"/>
      <c r="AK1899" s="55" t="n"/>
      <c r="AL1899" s="55" t="n"/>
      <c r="AM1899" s="56" t="n"/>
      <c r="AN1899" s="55" t="n"/>
      <c r="AO1899" s="55" t="n"/>
      <c r="AP1899" s="55" t="n"/>
      <c r="AQ1899" s="55" t="n"/>
      <c r="AR1899" s="60">
        <f>IF(AND(C1899="",E1899=""),"",IF(A1899="","⚠ Date manquante",IF(AND(C1899="",E1899&lt;&gt;"Dépense"),"⚠ Prospect manquant",IF(E1899="","⚠ Action manquante",IF(AND(AU1899=1,D1899=""),"⚠ Canal manquant",IF(AND(W1899&lt;&gt;"",COUNTIFS('Saisie'!$W$5:$W$2004,W1899,'Saisie'!$C$5:$C$2004,"&lt;&gt;"&amp;C1899)&gt;0),"⚠ Numéro déjà utilisé par un autre prospect",IF(AND(J1899&lt;&gt;"",J1899&lt;A1899),"⚠ Relance avant la date de l'action",IF(A1899&gt;TODAY(),"⚠ Date dans le futur","✓"))))))))</f>
        <v/>
      </c>
      <c r="AS1899" s="61">
        <f>IF(AND(A1899="",C1899="",E1899=""),"",ROW())</f>
        <v/>
      </c>
      <c r="AT1899" s="61">
        <f>IF(E1899&amp;F1899="","",MAX(IFERROR(INDEX('Paramètres'!$J$6:$J$33,MATCH(E1899,'Paramètres'!$I$6:$I$33,0)),0),IFERROR(INDEX('Paramètres'!$N$6:$N$17,MATCH(F1899,'Paramètres'!$M$6:$M$17,0)),0)))</f>
        <v/>
      </c>
      <c r="AU1899" s="61">
        <f>IF(E1899="","",IFERROR(IF(INDEX('Paramètres'!$K$6:$K$33,MATCH(E1899,'Paramètres'!$I$6:$I$33,0))="Oui",1,0),0))</f>
        <v/>
      </c>
      <c r="AV1899" s="61">
        <f>IF(F1899="","",IFERROR(IF(INDEX('Paramètres'!$O$6:$O$17,MATCH(F1899,'Paramètres'!$M$6:$M$17,0))="Oui",1,0),0))</f>
        <v/>
      </c>
      <c r="AW1899" s="62">
        <f>IF(E1899="","",IF(G1899&lt;&gt;"",G1899,IF(OR(E1899="Proposition envoyée",E1899="Signature"),MAX(0,N(IFERROR(INDEX('Paramètres'!$R$6:$R$15,MATCH(IF(AL1899&lt;&gt;"",AL1899,IFERROR(INDEX('Prospects'!$AN$5:$AN$504,MATCH(C1899,'Prospects'!$C$5:$C$504,0)),"")),'Paramètres'!$Q$6:$Q$15,0)),0))-N(P1899)),0)))</f>
        <v/>
      </c>
      <c r="AX1899" s="61">
        <f>IF(C1899="","",IF(COUNTIF($C$5:C1899,C1899)=1,MAX($AX$4:AX1898)+1,""))</f>
        <v/>
      </c>
      <c r="AY1899" s="61">
        <f>IF(B1899="","",HOUR(B1899))</f>
        <v/>
      </c>
      <c r="AZ1899" s="61">
        <f>IF(A1899="","",MOD(A1899-2,7)+1)</f>
        <v/>
      </c>
      <c r="BA1899" s="60">
        <f>IF(C1899="","",IFERROR(INDEX('Prospects'!$N$5:$N$504,MATCH(C1899,'Prospects'!$C$5:$C$504,0)),""))</f>
        <v/>
      </c>
      <c r="BB1899" s="61">
        <f>IF(AND(C1899&lt;&gt;"",C1899='Fiche prospect'!$C$4),COUNTIF($C$5:C1899,C1899),"")</f>
        <v/>
      </c>
    </row>
    <row r="1900">
      <c r="A1900" s="53" t="n"/>
      <c r="B1900" s="54" t="n"/>
      <c r="C1900" s="55" t="n"/>
      <c r="D1900" s="55" t="n"/>
      <c r="E1900" s="55" t="n"/>
      <c r="F1900" s="55" t="n"/>
      <c r="G1900" s="56" t="n"/>
      <c r="H1900" s="57" t="n"/>
      <c r="I1900" s="55" t="n"/>
      <c r="J1900" s="53" t="n"/>
      <c r="K1900" s="54" t="n"/>
      <c r="L1900" s="55" t="n"/>
      <c r="M1900" s="55" t="n"/>
      <c r="N1900" s="57" t="n"/>
      <c r="O1900" s="55" t="n"/>
      <c r="P1900" s="56" t="n"/>
      <c r="Q1900" s="55" t="n"/>
      <c r="R1900" s="55" t="n"/>
      <c r="S1900" s="55" t="n"/>
      <c r="T1900" s="55" t="n"/>
      <c r="U1900" s="55" t="n"/>
      <c r="V1900" s="55" t="n"/>
      <c r="W1900" s="58" t="n"/>
      <c r="X1900" s="58" t="n"/>
      <c r="Y1900" s="55" t="n"/>
      <c r="Z1900" s="55" t="n"/>
      <c r="AA1900" s="55" t="n"/>
      <c r="AB1900" s="55" t="n"/>
      <c r="AC1900" s="55" t="n"/>
      <c r="AD1900" s="53" t="n"/>
      <c r="AE1900" s="55" t="n"/>
      <c r="AF1900" s="55" t="n"/>
      <c r="AG1900" s="59" t="n"/>
      <c r="AH1900" s="57" t="n"/>
      <c r="AI1900" s="55" t="n"/>
      <c r="AJ1900" s="55" t="n"/>
      <c r="AK1900" s="55" t="n"/>
      <c r="AL1900" s="55" t="n"/>
      <c r="AM1900" s="56" t="n"/>
      <c r="AN1900" s="55" t="n"/>
      <c r="AO1900" s="55" t="n"/>
      <c r="AP1900" s="55" t="n"/>
      <c r="AQ1900" s="55" t="n"/>
      <c r="AR1900" s="60">
        <f>IF(AND(C1900="",E1900=""),"",IF(A1900="","⚠ Date manquante",IF(AND(C1900="",E1900&lt;&gt;"Dépense"),"⚠ Prospect manquant",IF(E1900="","⚠ Action manquante",IF(AND(AU1900=1,D1900=""),"⚠ Canal manquant",IF(AND(W1900&lt;&gt;"",COUNTIFS('Saisie'!$W$5:$W$2004,W1900,'Saisie'!$C$5:$C$2004,"&lt;&gt;"&amp;C1900)&gt;0),"⚠ Numéro déjà utilisé par un autre prospect",IF(AND(J1900&lt;&gt;"",J1900&lt;A1900),"⚠ Relance avant la date de l'action",IF(A1900&gt;TODAY(),"⚠ Date dans le futur","✓"))))))))</f>
        <v/>
      </c>
      <c r="AS1900" s="61">
        <f>IF(AND(A1900="",C1900="",E1900=""),"",ROW())</f>
        <v/>
      </c>
      <c r="AT1900" s="61">
        <f>IF(E1900&amp;F1900="","",MAX(IFERROR(INDEX('Paramètres'!$J$6:$J$33,MATCH(E1900,'Paramètres'!$I$6:$I$33,0)),0),IFERROR(INDEX('Paramètres'!$N$6:$N$17,MATCH(F1900,'Paramètres'!$M$6:$M$17,0)),0)))</f>
        <v/>
      </c>
      <c r="AU1900" s="61">
        <f>IF(E1900="","",IFERROR(IF(INDEX('Paramètres'!$K$6:$K$33,MATCH(E1900,'Paramètres'!$I$6:$I$33,0))="Oui",1,0),0))</f>
        <v/>
      </c>
      <c r="AV1900" s="61">
        <f>IF(F1900="","",IFERROR(IF(INDEX('Paramètres'!$O$6:$O$17,MATCH(F1900,'Paramètres'!$M$6:$M$17,0))="Oui",1,0),0))</f>
        <v/>
      </c>
      <c r="AW1900" s="62">
        <f>IF(E1900="","",IF(G1900&lt;&gt;"",G1900,IF(OR(E1900="Proposition envoyée",E1900="Signature"),MAX(0,N(IFERROR(INDEX('Paramètres'!$R$6:$R$15,MATCH(IF(AL1900&lt;&gt;"",AL1900,IFERROR(INDEX('Prospects'!$AN$5:$AN$504,MATCH(C1900,'Prospects'!$C$5:$C$504,0)),"")),'Paramètres'!$Q$6:$Q$15,0)),0))-N(P1900)),0)))</f>
        <v/>
      </c>
      <c r="AX1900" s="61">
        <f>IF(C1900="","",IF(COUNTIF($C$5:C1900,C1900)=1,MAX($AX$4:AX1899)+1,""))</f>
        <v/>
      </c>
      <c r="AY1900" s="61">
        <f>IF(B1900="","",HOUR(B1900))</f>
        <v/>
      </c>
      <c r="AZ1900" s="61">
        <f>IF(A1900="","",MOD(A1900-2,7)+1)</f>
        <v/>
      </c>
      <c r="BA1900" s="60">
        <f>IF(C1900="","",IFERROR(INDEX('Prospects'!$N$5:$N$504,MATCH(C1900,'Prospects'!$C$5:$C$504,0)),""))</f>
        <v/>
      </c>
      <c r="BB1900" s="61">
        <f>IF(AND(C1900&lt;&gt;"",C1900='Fiche prospect'!$C$4),COUNTIF($C$5:C1900,C1900),"")</f>
        <v/>
      </c>
    </row>
    <row r="1901">
      <c r="A1901" s="53" t="n"/>
      <c r="B1901" s="54" t="n"/>
      <c r="C1901" s="55" t="n"/>
      <c r="D1901" s="55" t="n"/>
      <c r="E1901" s="55" t="n"/>
      <c r="F1901" s="55" t="n"/>
      <c r="G1901" s="56" t="n"/>
      <c r="H1901" s="57" t="n"/>
      <c r="I1901" s="55" t="n"/>
      <c r="J1901" s="53" t="n"/>
      <c r="K1901" s="54" t="n"/>
      <c r="L1901" s="55" t="n"/>
      <c r="M1901" s="55" t="n"/>
      <c r="N1901" s="57" t="n"/>
      <c r="O1901" s="55" t="n"/>
      <c r="P1901" s="56" t="n"/>
      <c r="Q1901" s="55" t="n"/>
      <c r="R1901" s="55" t="n"/>
      <c r="S1901" s="55" t="n"/>
      <c r="T1901" s="55" t="n"/>
      <c r="U1901" s="55" t="n"/>
      <c r="V1901" s="55" t="n"/>
      <c r="W1901" s="58" t="n"/>
      <c r="X1901" s="58" t="n"/>
      <c r="Y1901" s="55" t="n"/>
      <c r="Z1901" s="55" t="n"/>
      <c r="AA1901" s="55" t="n"/>
      <c r="AB1901" s="55" t="n"/>
      <c r="AC1901" s="55" t="n"/>
      <c r="AD1901" s="53" t="n"/>
      <c r="AE1901" s="55" t="n"/>
      <c r="AF1901" s="55" t="n"/>
      <c r="AG1901" s="59" t="n"/>
      <c r="AH1901" s="57" t="n"/>
      <c r="AI1901" s="55" t="n"/>
      <c r="AJ1901" s="55" t="n"/>
      <c r="AK1901" s="55" t="n"/>
      <c r="AL1901" s="55" t="n"/>
      <c r="AM1901" s="56" t="n"/>
      <c r="AN1901" s="55" t="n"/>
      <c r="AO1901" s="55" t="n"/>
      <c r="AP1901" s="55" t="n"/>
      <c r="AQ1901" s="55" t="n"/>
      <c r="AR1901" s="60">
        <f>IF(AND(C1901="",E1901=""),"",IF(A1901="","⚠ Date manquante",IF(AND(C1901="",E1901&lt;&gt;"Dépense"),"⚠ Prospect manquant",IF(E1901="","⚠ Action manquante",IF(AND(AU1901=1,D1901=""),"⚠ Canal manquant",IF(AND(W1901&lt;&gt;"",COUNTIFS('Saisie'!$W$5:$W$2004,W1901,'Saisie'!$C$5:$C$2004,"&lt;&gt;"&amp;C1901)&gt;0),"⚠ Numéro déjà utilisé par un autre prospect",IF(AND(J1901&lt;&gt;"",J1901&lt;A1901),"⚠ Relance avant la date de l'action",IF(A1901&gt;TODAY(),"⚠ Date dans le futur","✓"))))))))</f>
        <v/>
      </c>
      <c r="AS1901" s="61">
        <f>IF(AND(A1901="",C1901="",E1901=""),"",ROW())</f>
        <v/>
      </c>
      <c r="AT1901" s="61">
        <f>IF(E1901&amp;F1901="","",MAX(IFERROR(INDEX('Paramètres'!$J$6:$J$33,MATCH(E1901,'Paramètres'!$I$6:$I$33,0)),0),IFERROR(INDEX('Paramètres'!$N$6:$N$17,MATCH(F1901,'Paramètres'!$M$6:$M$17,0)),0)))</f>
        <v/>
      </c>
      <c r="AU1901" s="61">
        <f>IF(E1901="","",IFERROR(IF(INDEX('Paramètres'!$K$6:$K$33,MATCH(E1901,'Paramètres'!$I$6:$I$33,0))="Oui",1,0),0))</f>
        <v/>
      </c>
      <c r="AV1901" s="61">
        <f>IF(F1901="","",IFERROR(IF(INDEX('Paramètres'!$O$6:$O$17,MATCH(F1901,'Paramètres'!$M$6:$M$17,0))="Oui",1,0),0))</f>
        <v/>
      </c>
      <c r="AW1901" s="62">
        <f>IF(E1901="","",IF(G1901&lt;&gt;"",G1901,IF(OR(E1901="Proposition envoyée",E1901="Signature"),MAX(0,N(IFERROR(INDEX('Paramètres'!$R$6:$R$15,MATCH(IF(AL1901&lt;&gt;"",AL1901,IFERROR(INDEX('Prospects'!$AN$5:$AN$504,MATCH(C1901,'Prospects'!$C$5:$C$504,0)),"")),'Paramètres'!$Q$6:$Q$15,0)),0))-N(P1901)),0)))</f>
        <v/>
      </c>
      <c r="AX1901" s="61">
        <f>IF(C1901="","",IF(COUNTIF($C$5:C1901,C1901)=1,MAX($AX$4:AX1900)+1,""))</f>
        <v/>
      </c>
      <c r="AY1901" s="61">
        <f>IF(B1901="","",HOUR(B1901))</f>
        <v/>
      </c>
      <c r="AZ1901" s="61">
        <f>IF(A1901="","",MOD(A1901-2,7)+1)</f>
        <v/>
      </c>
      <c r="BA1901" s="60">
        <f>IF(C1901="","",IFERROR(INDEX('Prospects'!$N$5:$N$504,MATCH(C1901,'Prospects'!$C$5:$C$504,0)),""))</f>
        <v/>
      </c>
      <c r="BB1901" s="61">
        <f>IF(AND(C1901&lt;&gt;"",C1901='Fiche prospect'!$C$4),COUNTIF($C$5:C1901,C1901),"")</f>
        <v/>
      </c>
    </row>
    <row r="1902">
      <c r="A1902" s="53" t="n"/>
      <c r="B1902" s="54" t="n"/>
      <c r="C1902" s="55" t="n"/>
      <c r="D1902" s="55" t="n"/>
      <c r="E1902" s="55" t="n"/>
      <c r="F1902" s="55" t="n"/>
      <c r="G1902" s="56" t="n"/>
      <c r="H1902" s="57" t="n"/>
      <c r="I1902" s="55" t="n"/>
      <c r="J1902" s="53" t="n"/>
      <c r="K1902" s="54" t="n"/>
      <c r="L1902" s="55" t="n"/>
      <c r="M1902" s="55" t="n"/>
      <c r="N1902" s="57" t="n"/>
      <c r="O1902" s="55" t="n"/>
      <c r="P1902" s="56" t="n"/>
      <c r="Q1902" s="55" t="n"/>
      <c r="R1902" s="55" t="n"/>
      <c r="S1902" s="55" t="n"/>
      <c r="T1902" s="55" t="n"/>
      <c r="U1902" s="55" t="n"/>
      <c r="V1902" s="55" t="n"/>
      <c r="W1902" s="58" t="n"/>
      <c r="X1902" s="58" t="n"/>
      <c r="Y1902" s="55" t="n"/>
      <c r="Z1902" s="55" t="n"/>
      <c r="AA1902" s="55" t="n"/>
      <c r="AB1902" s="55" t="n"/>
      <c r="AC1902" s="55" t="n"/>
      <c r="AD1902" s="53" t="n"/>
      <c r="AE1902" s="55" t="n"/>
      <c r="AF1902" s="55" t="n"/>
      <c r="AG1902" s="59" t="n"/>
      <c r="AH1902" s="57" t="n"/>
      <c r="AI1902" s="55" t="n"/>
      <c r="AJ1902" s="55" t="n"/>
      <c r="AK1902" s="55" t="n"/>
      <c r="AL1902" s="55" t="n"/>
      <c r="AM1902" s="56" t="n"/>
      <c r="AN1902" s="55" t="n"/>
      <c r="AO1902" s="55" t="n"/>
      <c r="AP1902" s="55" t="n"/>
      <c r="AQ1902" s="55" t="n"/>
      <c r="AR1902" s="60">
        <f>IF(AND(C1902="",E1902=""),"",IF(A1902="","⚠ Date manquante",IF(AND(C1902="",E1902&lt;&gt;"Dépense"),"⚠ Prospect manquant",IF(E1902="","⚠ Action manquante",IF(AND(AU1902=1,D1902=""),"⚠ Canal manquant",IF(AND(W1902&lt;&gt;"",COUNTIFS('Saisie'!$W$5:$W$2004,W1902,'Saisie'!$C$5:$C$2004,"&lt;&gt;"&amp;C1902)&gt;0),"⚠ Numéro déjà utilisé par un autre prospect",IF(AND(J1902&lt;&gt;"",J1902&lt;A1902),"⚠ Relance avant la date de l'action",IF(A1902&gt;TODAY(),"⚠ Date dans le futur","✓"))))))))</f>
        <v/>
      </c>
      <c r="AS1902" s="61">
        <f>IF(AND(A1902="",C1902="",E1902=""),"",ROW())</f>
        <v/>
      </c>
      <c r="AT1902" s="61">
        <f>IF(E1902&amp;F1902="","",MAX(IFERROR(INDEX('Paramètres'!$J$6:$J$33,MATCH(E1902,'Paramètres'!$I$6:$I$33,0)),0),IFERROR(INDEX('Paramètres'!$N$6:$N$17,MATCH(F1902,'Paramètres'!$M$6:$M$17,0)),0)))</f>
        <v/>
      </c>
      <c r="AU1902" s="61">
        <f>IF(E1902="","",IFERROR(IF(INDEX('Paramètres'!$K$6:$K$33,MATCH(E1902,'Paramètres'!$I$6:$I$33,0))="Oui",1,0),0))</f>
        <v/>
      </c>
      <c r="AV1902" s="61">
        <f>IF(F1902="","",IFERROR(IF(INDEX('Paramètres'!$O$6:$O$17,MATCH(F1902,'Paramètres'!$M$6:$M$17,0))="Oui",1,0),0))</f>
        <v/>
      </c>
      <c r="AW1902" s="62">
        <f>IF(E1902="","",IF(G1902&lt;&gt;"",G1902,IF(OR(E1902="Proposition envoyée",E1902="Signature"),MAX(0,N(IFERROR(INDEX('Paramètres'!$R$6:$R$15,MATCH(IF(AL1902&lt;&gt;"",AL1902,IFERROR(INDEX('Prospects'!$AN$5:$AN$504,MATCH(C1902,'Prospects'!$C$5:$C$504,0)),"")),'Paramètres'!$Q$6:$Q$15,0)),0))-N(P1902)),0)))</f>
        <v/>
      </c>
      <c r="AX1902" s="61">
        <f>IF(C1902="","",IF(COUNTIF($C$5:C1902,C1902)=1,MAX($AX$4:AX1901)+1,""))</f>
        <v/>
      </c>
      <c r="AY1902" s="61">
        <f>IF(B1902="","",HOUR(B1902))</f>
        <v/>
      </c>
      <c r="AZ1902" s="61">
        <f>IF(A1902="","",MOD(A1902-2,7)+1)</f>
        <v/>
      </c>
      <c r="BA1902" s="60">
        <f>IF(C1902="","",IFERROR(INDEX('Prospects'!$N$5:$N$504,MATCH(C1902,'Prospects'!$C$5:$C$504,0)),""))</f>
        <v/>
      </c>
      <c r="BB1902" s="61">
        <f>IF(AND(C1902&lt;&gt;"",C1902='Fiche prospect'!$C$4),COUNTIF($C$5:C1902,C1902),"")</f>
        <v/>
      </c>
    </row>
    <row r="1903">
      <c r="A1903" s="53" t="n"/>
      <c r="B1903" s="54" t="n"/>
      <c r="C1903" s="55" t="n"/>
      <c r="D1903" s="55" t="n"/>
      <c r="E1903" s="55" t="n"/>
      <c r="F1903" s="55" t="n"/>
      <c r="G1903" s="56" t="n"/>
      <c r="H1903" s="57" t="n"/>
      <c r="I1903" s="55" t="n"/>
      <c r="J1903" s="53" t="n"/>
      <c r="K1903" s="54" t="n"/>
      <c r="L1903" s="55" t="n"/>
      <c r="M1903" s="55" t="n"/>
      <c r="N1903" s="57" t="n"/>
      <c r="O1903" s="55" t="n"/>
      <c r="P1903" s="56" t="n"/>
      <c r="Q1903" s="55" t="n"/>
      <c r="R1903" s="55" t="n"/>
      <c r="S1903" s="55" t="n"/>
      <c r="T1903" s="55" t="n"/>
      <c r="U1903" s="55" t="n"/>
      <c r="V1903" s="55" t="n"/>
      <c r="W1903" s="58" t="n"/>
      <c r="X1903" s="58" t="n"/>
      <c r="Y1903" s="55" t="n"/>
      <c r="Z1903" s="55" t="n"/>
      <c r="AA1903" s="55" t="n"/>
      <c r="AB1903" s="55" t="n"/>
      <c r="AC1903" s="55" t="n"/>
      <c r="AD1903" s="53" t="n"/>
      <c r="AE1903" s="55" t="n"/>
      <c r="AF1903" s="55" t="n"/>
      <c r="AG1903" s="59" t="n"/>
      <c r="AH1903" s="57" t="n"/>
      <c r="AI1903" s="55" t="n"/>
      <c r="AJ1903" s="55" t="n"/>
      <c r="AK1903" s="55" t="n"/>
      <c r="AL1903" s="55" t="n"/>
      <c r="AM1903" s="56" t="n"/>
      <c r="AN1903" s="55" t="n"/>
      <c r="AO1903" s="55" t="n"/>
      <c r="AP1903" s="55" t="n"/>
      <c r="AQ1903" s="55" t="n"/>
      <c r="AR1903" s="60">
        <f>IF(AND(C1903="",E1903=""),"",IF(A1903="","⚠ Date manquante",IF(AND(C1903="",E1903&lt;&gt;"Dépense"),"⚠ Prospect manquant",IF(E1903="","⚠ Action manquante",IF(AND(AU1903=1,D1903=""),"⚠ Canal manquant",IF(AND(W1903&lt;&gt;"",COUNTIFS('Saisie'!$W$5:$W$2004,W1903,'Saisie'!$C$5:$C$2004,"&lt;&gt;"&amp;C1903)&gt;0),"⚠ Numéro déjà utilisé par un autre prospect",IF(AND(J1903&lt;&gt;"",J1903&lt;A1903),"⚠ Relance avant la date de l'action",IF(A1903&gt;TODAY(),"⚠ Date dans le futur","✓"))))))))</f>
        <v/>
      </c>
      <c r="AS1903" s="61">
        <f>IF(AND(A1903="",C1903="",E1903=""),"",ROW())</f>
        <v/>
      </c>
      <c r="AT1903" s="61">
        <f>IF(E1903&amp;F1903="","",MAX(IFERROR(INDEX('Paramètres'!$J$6:$J$33,MATCH(E1903,'Paramètres'!$I$6:$I$33,0)),0),IFERROR(INDEX('Paramètres'!$N$6:$N$17,MATCH(F1903,'Paramètres'!$M$6:$M$17,0)),0)))</f>
        <v/>
      </c>
      <c r="AU1903" s="61">
        <f>IF(E1903="","",IFERROR(IF(INDEX('Paramètres'!$K$6:$K$33,MATCH(E1903,'Paramètres'!$I$6:$I$33,0))="Oui",1,0),0))</f>
        <v/>
      </c>
      <c r="AV1903" s="61">
        <f>IF(F1903="","",IFERROR(IF(INDEX('Paramètres'!$O$6:$O$17,MATCH(F1903,'Paramètres'!$M$6:$M$17,0))="Oui",1,0),0))</f>
        <v/>
      </c>
      <c r="AW1903" s="62">
        <f>IF(E1903="","",IF(G1903&lt;&gt;"",G1903,IF(OR(E1903="Proposition envoyée",E1903="Signature"),MAX(0,N(IFERROR(INDEX('Paramètres'!$R$6:$R$15,MATCH(IF(AL1903&lt;&gt;"",AL1903,IFERROR(INDEX('Prospects'!$AN$5:$AN$504,MATCH(C1903,'Prospects'!$C$5:$C$504,0)),"")),'Paramètres'!$Q$6:$Q$15,0)),0))-N(P1903)),0)))</f>
        <v/>
      </c>
      <c r="AX1903" s="61">
        <f>IF(C1903="","",IF(COUNTIF($C$5:C1903,C1903)=1,MAX($AX$4:AX1902)+1,""))</f>
        <v/>
      </c>
      <c r="AY1903" s="61">
        <f>IF(B1903="","",HOUR(B1903))</f>
        <v/>
      </c>
      <c r="AZ1903" s="61">
        <f>IF(A1903="","",MOD(A1903-2,7)+1)</f>
        <v/>
      </c>
      <c r="BA1903" s="60">
        <f>IF(C1903="","",IFERROR(INDEX('Prospects'!$N$5:$N$504,MATCH(C1903,'Prospects'!$C$5:$C$504,0)),""))</f>
        <v/>
      </c>
      <c r="BB1903" s="61">
        <f>IF(AND(C1903&lt;&gt;"",C1903='Fiche prospect'!$C$4),COUNTIF($C$5:C1903,C1903),"")</f>
        <v/>
      </c>
    </row>
    <row r="1904">
      <c r="A1904" s="53" t="n"/>
      <c r="B1904" s="54" t="n"/>
      <c r="C1904" s="55" t="n"/>
      <c r="D1904" s="55" t="n"/>
      <c r="E1904" s="55" t="n"/>
      <c r="F1904" s="55" t="n"/>
      <c r="G1904" s="56" t="n"/>
      <c r="H1904" s="57" t="n"/>
      <c r="I1904" s="55" t="n"/>
      <c r="J1904" s="53" t="n"/>
      <c r="K1904" s="54" t="n"/>
      <c r="L1904" s="55" t="n"/>
      <c r="M1904" s="55" t="n"/>
      <c r="N1904" s="57" t="n"/>
      <c r="O1904" s="55" t="n"/>
      <c r="P1904" s="56" t="n"/>
      <c r="Q1904" s="55" t="n"/>
      <c r="R1904" s="55" t="n"/>
      <c r="S1904" s="55" t="n"/>
      <c r="T1904" s="55" t="n"/>
      <c r="U1904" s="55" t="n"/>
      <c r="V1904" s="55" t="n"/>
      <c r="W1904" s="58" t="n"/>
      <c r="X1904" s="58" t="n"/>
      <c r="Y1904" s="55" t="n"/>
      <c r="Z1904" s="55" t="n"/>
      <c r="AA1904" s="55" t="n"/>
      <c r="AB1904" s="55" t="n"/>
      <c r="AC1904" s="55" t="n"/>
      <c r="AD1904" s="53" t="n"/>
      <c r="AE1904" s="55" t="n"/>
      <c r="AF1904" s="55" t="n"/>
      <c r="AG1904" s="59" t="n"/>
      <c r="AH1904" s="57" t="n"/>
      <c r="AI1904" s="55" t="n"/>
      <c r="AJ1904" s="55" t="n"/>
      <c r="AK1904" s="55" t="n"/>
      <c r="AL1904" s="55" t="n"/>
      <c r="AM1904" s="56" t="n"/>
      <c r="AN1904" s="55" t="n"/>
      <c r="AO1904" s="55" t="n"/>
      <c r="AP1904" s="55" t="n"/>
      <c r="AQ1904" s="55" t="n"/>
      <c r="AR1904" s="60">
        <f>IF(AND(C1904="",E1904=""),"",IF(A1904="","⚠ Date manquante",IF(AND(C1904="",E1904&lt;&gt;"Dépense"),"⚠ Prospect manquant",IF(E1904="","⚠ Action manquante",IF(AND(AU1904=1,D1904=""),"⚠ Canal manquant",IF(AND(W1904&lt;&gt;"",COUNTIFS('Saisie'!$W$5:$W$2004,W1904,'Saisie'!$C$5:$C$2004,"&lt;&gt;"&amp;C1904)&gt;0),"⚠ Numéro déjà utilisé par un autre prospect",IF(AND(J1904&lt;&gt;"",J1904&lt;A1904),"⚠ Relance avant la date de l'action",IF(A1904&gt;TODAY(),"⚠ Date dans le futur","✓"))))))))</f>
        <v/>
      </c>
      <c r="AS1904" s="61">
        <f>IF(AND(A1904="",C1904="",E1904=""),"",ROW())</f>
        <v/>
      </c>
      <c r="AT1904" s="61">
        <f>IF(E1904&amp;F1904="","",MAX(IFERROR(INDEX('Paramètres'!$J$6:$J$33,MATCH(E1904,'Paramètres'!$I$6:$I$33,0)),0),IFERROR(INDEX('Paramètres'!$N$6:$N$17,MATCH(F1904,'Paramètres'!$M$6:$M$17,0)),0)))</f>
        <v/>
      </c>
      <c r="AU1904" s="61">
        <f>IF(E1904="","",IFERROR(IF(INDEX('Paramètres'!$K$6:$K$33,MATCH(E1904,'Paramètres'!$I$6:$I$33,0))="Oui",1,0),0))</f>
        <v/>
      </c>
      <c r="AV1904" s="61">
        <f>IF(F1904="","",IFERROR(IF(INDEX('Paramètres'!$O$6:$O$17,MATCH(F1904,'Paramètres'!$M$6:$M$17,0))="Oui",1,0),0))</f>
        <v/>
      </c>
      <c r="AW1904" s="62">
        <f>IF(E1904="","",IF(G1904&lt;&gt;"",G1904,IF(OR(E1904="Proposition envoyée",E1904="Signature"),MAX(0,N(IFERROR(INDEX('Paramètres'!$R$6:$R$15,MATCH(IF(AL1904&lt;&gt;"",AL1904,IFERROR(INDEX('Prospects'!$AN$5:$AN$504,MATCH(C1904,'Prospects'!$C$5:$C$504,0)),"")),'Paramètres'!$Q$6:$Q$15,0)),0))-N(P1904)),0)))</f>
        <v/>
      </c>
      <c r="AX1904" s="61">
        <f>IF(C1904="","",IF(COUNTIF($C$5:C1904,C1904)=1,MAX($AX$4:AX1903)+1,""))</f>
        <v/>
      </c>
      <c r="AY1904" s="61">
        <f>IF(B1904="","",HOUR(B1904))</f>
        <v/>
      </c>
      <c r="AZ1904" s="61">
        <f>IF(A1904="","",MOD(A1904-2,7)+1)</f>
        <v/>
      </c>
      <c r="BA1904" s="60">
        <f>IF(C1904="","",IFERROR(INDEX('Prospects'!$N$5:$N$504,MATCH(C1904,'Prospects'!$C$5:$C$504,0)),""))</f>
        <v/>
      </c>
      <c r="BB1904" s="61">
        <f>IF(AND(C1904&lt;&gt;"",C1904='Fiche prospect'!$C$4),COUNTIF($C$5:C1904,C1904),"")</f>
        <v/>
      </c>
    </row>
    <row r="1905">
      <c r="A1905" s="53" t="n"/>
      <c r="B1905" s="54" t="n"/>
      <c r="C1905" s="55" t="n"/>
      <c r="D1905" s="55" t="n"/>
      <c r="E1905" s="55" t="n"/>
      <c r="F1905" s="55" t="n"/>
      <c r="G1905" s="56" t="n"/>
      <c r="H1905" s="57" t="n"/>
      <c r="I1905" s="55" t="n"/>
      <c r="J1905" s="53" t="n"/>
      <c r="K1905" s="54" t="n"/>
      <c r="L1905" s="55" t="n"/>
      <c r="M1905" s="55" t="n"/>
      <c r="N1905" s="57" t="n"/>
      <c r="O1905" s="55" t="n"/>
      <c r="P1905" s="56" t="n"/>
      <c r="Q1905" s="55" t="n"/>
      <c r="R1905" s="55" t="n"/>
      <c r="S1905" s="55" t="n"/>
      <c r="T1905" s="55" t="n"/>
      <c r="U1905" s="55" t="n"/>
      <c r="V1905" s="55" t="n"/>
      <c r="W1905" s="58" t="n"/>
      <c r="X1905" s="58" t="n"/>
      <c r="Y1905" s="55" t="n"/>
      <c r="Z1905" s="55" t="n"/>
      <c r="AA1905" s="55" t="n"/>
      <c r="AB1905" s="55" t="n"/>
      <c r="AC1905" s="55" t="n"/>
      <c r="AD1905" s="53" t="n"/>
      <c r="AE1905" s="55" t="n"/>
      <c r="AF1905" s="55" t="n"/>
      <c r="AG1905" s="59" t="n"/>
      <c r="AH1905" s="57" t="n"/>
      <c r="AI1905" s="55" t="n"/>
      <c r="AJ1905" s="55" t="n"/>
      <c r="AK1905" s="55" t="n"/>
      <c r="AL1905" s="55" t="n"/>
      <c r="AM1905" s="56" t="n"/>
      <c r="AN1905" s="55" t="n"/>
      <c r="AO1905" s="55" t="n"/>
      <c r="AP1905" s="55" t="n"/>
      <c r="AQ1905" s="55" t="n"/>
      <c r="AR1905" s="60">
        <f>IF(AND(C1905="",E1905=""),"",IF(A1905="","⚠ Date manquante",IF(AND(C1905="",E1905&lt;&gt;"Dépense"),"⚠ Prospect manquant",IF(E1905="","⚠ Action manquante",IF(AND(AU1905=1,D1905=""),"⚠ Canal manquant",IF(AND(W1905&lt;&gt;"",COUNTIFS('Saisie'!$W$5:$W$2004,W1905,'Saisie'!$C$5:$C$2004,"&lt;&gt;"&amp;C1905)&gt;0),"⚠ Numéro déjà utilisé par un autre prospect",IF(AND(J1905&lt;&gt;"",J1905&lt;A1905),"⚠ Relance avant la date de l'action",IF(A1905&gt;TODAY(),"⚠ Date dans le futur","✓"))))))))</f>
        <v/>
      </c>
      <c r="AS1905" s="61">
        <f>IF(AND(A1905="",C1905="",E1905=""),"",ROW())</f>
        <v/>
      </c>
      <c r="AT1905" s="61">
        <f>IF(E1905&amp;F1905="","",MAX(IFERROR(INDEX('Paramètres'!$J$6:$J$33,MATCH(E1905,'Paramètres'!$I$6:$I$33,0)),0),IFERROR(INDEX('Paramètres'!$N$6:$N$17,MATCH(F1905,'Paramètres'!$M$6:$M$17,0)),0)))</f>
        <v/>
      </c>
      <c r="AU1905" s="61">
        <f>IF(E1905="","",IFERROR(IF(INDEX('Paramètres'!$K$6:$K$33,MATCH(E1905,'Paramètres'!$I$6:$I$33,0))="Oui",1,0),0))</f>
        <v/>
      </c>
      <c r="AV1905" s="61">
        <f>IF(F1905="","",IFERROR(IF(INDEX('Paramètres'!$O$6:$O$17,MATCH(F1905,'Paramètres'!$M$6:$M$17,0))="Oui",1,0),0))</f>
        <v/>
      </c>
      <c r="AW1905" s="62">
        <f>IF(E1905="","",IF(G1905&lt;&gt;"",G1905,IF(OR(E1905="Proposition envoyée",E1905="Signature"),MAX(0,N(IFERROR(INDEX('Paramètres'!$R$6:$R$15,MATCH(IF(AL1905&lt;&gt;"",AL1905,IFERROR(INDEX('Prospects'!$AN$5:$AN$504,MATCH(C1905,'Prospects'!$C$5:$C$504,0)),"")),'Paramètres'!$Q$6:$Q$15,0)),0))-N(P1905)),0)))</f>
        <v/>
      </c>
      <c r="AX1905" s="61">
        <f>IF(C1905="","",IF(COUNTIF($C$5:C1905,C1905)=1,MAX($AX$4:AX1904)+1,""))</f>
        <v/>
      </c>
      <c r="AY1905" s="61">
        <f>IF(B1905="","",HOUR(B1905))</f>
        <v/>
      </c>
      <c r="AZ1905" s="61">
        <f>IF(A1905="","",MOD(A1905-2,7)+1)</f>
        <v/>
      </c>
      <c r="BA1905" s="60">
        <f>IF(C1905="","",IFERROR(INDEX('Prospects'!$N$5:$N$504,MATCH(C1905,'Prospects'!$C$5:$C$504,0)),""))</f>
        <v/>
      </c>
      <c r="BB1905" s="61">
        <f>IF(AND(C1905&lt;&gt;"",C1905='Fiche prospect'!$C$4),COUNTIF($C$5:C1905,C1905),"")</f>
        <v/>
      </c>
    </row>
    <row r="1906">
      <c r="A1906" s="53" t="n"/>
      <c r="B1906" s="54" t="n"/>
      <c r="C1906" s="55" t="n"/>
      <c r="D1906" s="55" t="n"/>
      <c r="E1906" s="55" t="n"/>
      <c r="F1906" s="55" t="n"/>
      <c r="G1906" s="56" t="n"/>
      <c r="H1906" s="57" t="n"/>
      <c r="I1906" s="55" t="n"/>
      <c r="J1906" s="53" t="n"/>
      <c r="K1906" s="54" t="n"/>
      <c r="L1906" s="55" t="n"/>
      <c r="M1906" s="55" t="n"/>
      <c r="N1906" s="57" t="n"/>
      <c r="O1906" s="55" t="n"/>
      <c r="P1906" s="56" t="n"/>
      <c r="Q1906" s="55" t="n"/>
      <c r="R1906" s="55" t="n"/>
      <c r="S1906" s="55" t="n"/>
      <c r="T1906" s="55" t="n"/>
      <c r="U1906" s="55" t="n"/>
      <c r="V1906" s="55" t="n"/>
      <c r="W1906" s="58" t="n"/>
      <c r="X1906" s="58" t="n"/>
      <c r="Y1906" s="55" t="n"/>
      <c r="Z1906" s="55" t="n"/>
      <c r="AA1906" s="55" t="n"/>
      <c r="AB1906" s="55" t="n"/>
      <c r="AC1906" s="55" t="n"/>
      <c r="AD1906" s="53" t="n"/>
      <c r="AE1906" s="55" t="n"/>
      <c r="AF1906" s="55" t="n"/>
      <c r="AG1906" s="59" t="n"/>
      <c r="AH1906" s="57" t="n"/>
      <c r="AI1906" s="55" t="n"/>
      <c r="AJ1906" s="55" t="n"/>
      <c r="AK1906" s="55" t="n"/>
      <c r="AL1906" s="55" t="n"/>
      <c r="AM1906" s="56" t="n"/>
      <c r="AN1906" s="55" t="n"/>
      <c r="AO1906" s="55" t="n"/>
      <c r="AP1906" s="55" t="n"/>
      <c r="AQ1906" s="55" t="n"/>
      <c r="AR1906" s="60">
        <f>IF(AND(C1906="",E1906=""),"",IF(A1906="","⚠ Date manquante",IF(AND(C1906="",E1906&lt;&gt;"Dépense"),"⚠ Prospect manquant",IF(E1906="","⚠ Action manquante",IF(AND(AU1906=1,D1906=""),"⚠ Canal manquant",IF(AND(W1906&lt;&gt;"",COUNTIFS('Saisie'!$W$5:$W$2004,W1906,'Saisie'!$C$5:$C$2004,"&lt;&gt;"&amp;C1906)&gt;0),"⚠ Numéro déjà utilisé par un autre prospect",IF(AND(J1906&lt;&gt;"",J1906&lt;A1906),"⚠ Relance avant la date de l'action",IF(A1906&gt;TODAY(),"⚠ Date dans le futur","✓"))))))))</f>
        <v/>
      </c>
      <c r="AS1906" s="61">
        <f>IF(AND(A1906="",C1906="",E1906=""),"",ROW())</f>
        <v/>
      </c>
      <c r="AT1906" s="61">
        <f>IF(E1906&amp;F1906="","",MAX(IFERROR(INDEX('Paramètres'!$J$6:$J$33,MATCH(E1906,'Paramètres'!$I$6:$I$33,0)),0),IFERROR(INDEX('Paramètres'!$N$6:$N$17,MATCH(F1906,'Paramètres'!$M$6:$M$17,0)),0)))</f>
        <v/>
      </c>
      <c r="AU1906" s="61">
        <f>IF(E1906="","",IFERROR(IF(INDEX('Paramètres'!$K$6:$K$33,MATCH(E1906,'Paramètres'!$I$6:$I$33,0))="Oui",1,0),0))</f>
        <v/>
      </c>
      <c r="AV1906" s="61">
        <f>IF(F1906="","",IFERROR(IF(INDEX('Paramètres'!$O$6:$O$17,MATCH(F1906,'Paramètres'!$M$6:$M$17,0))="Oui",1,0),0))</f>
        <v/>
      </c>
      <c r="AW1906" s="62">
        <f>IF(E1906="","",IF(G1906&lt;&gt;"",G1906,IF(OR(E1906="Proposition envoyée",E1906="Signature"),MAX(0,N(IFERROR(INDEX('Paramètres'!$R$6:$R$15,MATCH(IF(AL1906&lt;&gt;"",AL1906,IFERROR(INDEX('Prospects'!$AN$5:$AN$504,MATCH(C1906,'Prospects'!$C$5:$C$504,0)),"")),'Paramètres'!$Q$6:$Q$15,0)),0))-N(P1906)),0)))</f>
        <v/>
      </c>
      <c r="AX1906" s="61">
        <f>IF(C1906="","",IF(COUNTIF($C$5:C1906,C1906)=1,MAX($AX$4:AX1905)+1,""))</f>
        <v/>
      </c>
      <c r="AY1906" s="61">
        <f>IF(B1906="","",HOUR(B1906))</f>
        <v/>
      </c>
      <c r="AZ1906" s="61">
        <f>IF(A1906="","",MOD(A1906-2,7)+1)</f>
        <v/>
      </c>
      <c r="BA1906" s="60">
        <f>IF(C1906="","",IFERROR(INDEX('Prospects'!$N$5:$N$504,MATCH(C1906,'Prospects'!$C$5:$C$504,0)),""))</f>
        <v/>
      </c>
      <c r="BB1906" s="61">
        <f>IF(AND(C1906&lt;&gt;"",C1906='Fiche prospect'!$C$4),COUNTIF($C$5:C1906,C1906),"")</f>
        <v/>
      </c>
    </row>
    <row r="1907">
      <c r="A1907" s="53" t="n"/>
      <c r="B1907" s="54" t="n"/>
      <c r="C1907" s="55" t="n"/>
      <c r="D1907" s="55" t="n"/>
      <c r="E1907" s="55" t="n"/>
      <c r="F1907" s="55" t="n"/>
      <c r="G1907" s="56" t="n"/>
      <c r="H1907" s="57" t="n"/>
      <c r="I1907" s="55" t="n"/>
      <c r="J1907" s="53" t="n"/>
      <c r="K1907" s="54" t="n"/>
      <c r="L1907" s="55" t="n"/>
      <c r="M1907" s="55" t="n"/>
      <c r="N1907" s="57" t="n"/>
      <c r="O1907" s="55" t="n"/>
      <c r="P1907" s="56" t="n"/>
      <c r="Q1907" s="55" t="n"/>
      <c r="R1907" s="55" t="n"/>
      <c r="S1907" s="55" t="n"/>
      <c r="T1907" s="55" t="n"/>
      <c r="U1907" s="55" t="n"/>
      <c r="V1907" s="55" t="n"/>
      <c r="W1907" s="58" t="n"/>
      <c r="X1907" s="58" t="n"/>
      <c r="Y1907" s="55" t="n"/>
      <c r="Z1907" s="55" t="n"/>
      <c r="AA1907" s="55" t="n"/>
      <c r="AB1907" s="55" t="n"/>
      <c r="AC1907" s="55" t="n"/>
      <c r="AD1907" s="53" t="n"/>
      <c r="AE1907" s="55" t="n"/>
      <c r="AF1907" s="55" t="n"/>
      <c r="AG1907" s="59" t="n"/>
      <c r="AH1907" s="57" t="n"/>
      <c r="AI1907" s="55" t="n"/>
      <c r="AJ1907" s="55" t="n"/>
      <c r="AK1907" s="55" t="n"/>
      <c r="AL1907" s="55" t="n"/>
      <c r="AM1907" s="56" t="n"/>
      <c r="AN1907" s="55" t="n"/>
      <c r="AO1907" s="55" t="n"/>
      <c r="AP1907" s="55" t="n"/>
      <c r="AQ1907" s="55" t="n"/>
      <c r="AR1907" s="60">
        <f>IF(AND(C1907="",E1907=""),"",IF(A1907="","⚠ Date manquante",IF(AND(C1907="",E1907&lt;&gt;"Dépense"),"⚠ Prospect manquant",IF(E1907="","⚠ Action manquante",IF(AND(AU1907=1,D1907=""),"⚠ Canal manquant",IF(AND(W1907&lt;&gt;"",COUNTIFS('Saisie'!$W$5:$W$2004,W1907,'Saisie'!$C$5:$C$2004,"&lt;&gt;"&amp;C1907)&gt;0),"⚠ Numéro déjà utilisé par un autre prospect",IF(AND(J1907&lt;&gt;"",J1907&lt;A1907),"⚠ Relance avant la date de l'action",IF(A1907&gt;TODAY(),"⚠ Date dans le futur","✓"))))))))</f>
        <v/>
      </c>
      <c r="AS1907" s="61">
        <f>IF(AND(A1907="",C1907="",E1907=""),"",ROW())</f>
        <v/>
      </c>
      <c r="AT1907" s="61">
        <f>IF(E1907&amp;F1907="","",MAX(IFERROR(INDEX('Paramètres'!$J$6:$J$33,MATCH(E1907,'Paramètres'!$I$6:$I$33,0)),0),IFERROR(INDEX('Paramètres'!$N$6:$N$17,MATCH(F1907,'Paramètres'!$M$6:$M$17,0)),0)))</f>
        <v/>
      </c>
      <c r="AU1907" s="61">
        <f>IF(E1907="","",IFERROR(IF(INDEX('Paramètres'!$K$6:$K$33,MATCH(E1907,'Paramètres'!$I$6:$I$33,0))="Oui",1,0),0))</f>
        <v/>
      </c>
      <c r="AV1907" s="61">
        <f>IF(F1907="","",IFERROR(IF(INDEX('Paramètres'!$O$6:$O$17,MATCH(F1907,'Paramètres'!$M$6:$M$17,0))="Oui",1,0),0))</f>
        <v/>
      </c>
      <c r="AW1907" s="62">
        <f>IF(E1907="","",IF(G1907&lt;&gt;"",G1907,IF(OR(E1907="Proposition envoyée",E1907="Signature"),MAX(0,N(IFERROR(INDEX('Paramètres'!$R$6:$R$15,MATCH(IF(AL1907&lt;&gt;"",AL1907,IFERROR(INDEX('Prospects'!$AN$5:$AN$504,MATCH(C1907,'Prospects'!$C$5:$C$504,0)),"")),'Paramètres'!$Q$6:$Q$15,0)),0))-N(P1907)),0)))</f>
        <v/>
      </c>
      <c r="AX1907" s="61">
        <f>IF(C1907="","",IF(COUNTIF($C$5:C1907,C1907)=1,MAX($AX$4:AX1906)+1,""))</f>
        <v/>
      </c>
      <c r="AY1907" s="61">
        <f>IF(B1907="","",HOUR(B1907))</f>
        <v/>
      </c>
      <c r="AZ1907" s="61">
        <f>IF(A1907="","",MOD(A1907-2,7)+1)</f>
        <v/>
      </c>
      <c r="BA1907" s="60">
        <f>IF(C1907="","",IFERROR(INDEX('Prospects'!$N$5:$N$504,MATCH(C1907,'Prospects'!$C$5:$C$504,0)),""))</f>
        <v/>
      </c>
      <c r="BB1907" s="61">
        <f>IF(AND(C1907&lt;&gt;"",C1907='Fiche prospect'!$C$4),COUNTIF($C$5:C1907,C1907),"")</f>
        <v/>
      </c>
    </row>
    <row r="1908">
      <c r="A1908" s="53" t="n"/>
      <c r="B1908" s="54" t="n"/>
      <c r="C1908" s="55" t="n"/>
      <c r="D1908" s="55" t="n"/>
      <c r="E1908" s="55" t="n"/>
      <c r="F1908" s="55" t="n"/>
      <c r="G1908" s="56" t="n"/>
      <c r="H1908" s="57" t="n"/>
      <c r="I1908" s="55" t="n"/>
      <c r="J1908" s="53" t="n"/>
      <c r="K1908" s="54" t="n"/>
      <c r="L1908" s="55" t="n"/>
      <c r="M1908" s="55" t="n"/>
      <c r="N1908" s="57" t="n"/>
      <c r="O1908" s="55" t="n"/>
      <c r="P1908" s="56" t="n"/>
      <c r="Q1908" s="55" t="n"/>
      <c r="R1908" s="55" t="n"/>
      <c r="S1908" s="55" t="n"/>
      <c r="T1908" s="55" t="n"/>
      <c r="U1908" s="55" t="n"/>
      <c r="V1908" s="55" t="n"/>
      <c r="W1908" s="58" t="n"/>
      <c r="X1908" s="58" t="n"/>
      <c r="Y1908" s="55" t="n"/>
      <c r="Z1908" s="55" t="n"/>
      <c r="AA1908" s="55" t="n"/>
      <c r="AB1908" s="55" t="n"/>
      <c r="AC1908" s="55" t="n"/>
      <c r="AD1908" s="53" t="n"/>
      <c r="AE1908" s="55" t="n"/>
      <c r="AF1908" s="55" t="n"/>
      <c r="AG1908" s="59" t="n"/>
      <c r="AH1908" s="57" t="n"/>
      <c r="AI1908" s="55" t="n"/>
      <c r="AJ1908" s="55" t="n"/>
      <c r="AK1908" s="55" t="n"/>
      <c r="AL1908" s="55" t="n"/>
      <c r="AM1908" s="56" t="n"/>
      <c r="AN1908" s="55" t="n"/>
      <c r="AO1908" s="55" t="n"/>
      <c r="AP1908" s="55" t="n"/>
      <c r="AQ1908" s="55" t="n"/>
      <c r="AR1908" s="60">
        <f>IF(AND(C1908="",E1908=""),"",IF(A1908="","⚠ Date manquante",IF(AND(C1908="",E1908&lt;&gt;"Dépense"),"⚠ Prospect manquant",IF(E1908="","⚠ Action manquante",IF(AND(AU1908=1,D1908=""),"⚠ Canal manquant",IF(AND(W1908&lt;&gt;"",COUNTIFS('Saisie'!$W$5:$W$2004,W1908,'Saisie'!$C$5:$C$2004,"&lt;&gt;"&amp;C1908)&gt;0),"⚠ Numéro déjà utilisé par un autre prospect",IF(AND(J1908&lt;&gt;"",J1908&lt;A1908),"⚠ Relance avant la date de l'action",IF(A1908&gt;TODAY(),"⚠ Date dans le futur","✓"))))))))</f>
        <v/>
      </c>
      <c r="AS1908" s="61">
        <f>IF(AND(A1908="",C1908="",E1908=""),"",ROW())</f>
        <v/>
      </c>
      <c r="AT1908" s="61">
        <f>IF(E1908&amp;F1908="","",MAX(IFERROR(INDEX('Paramètres'!$J$6:$J$33,MATCH(E1908,'Paramètres'!$I$6:$I$33,0)),0),IFERROR(INDEX('Paramètres'!$N$6:$N$17,MATCH(F1908,'Paramètres'!$M$6:$M$17,0)),0)))</f>
        <v/>
      </c>
      <c r="AU1908" s="61">
        <f>IF(E1908="","",IFERROR(IF(INDEX('Paramètres'!$K$6:$K$33,MATCH(E1908,'Paramètres'!$I$6:$I$33,0))="Oui",1,0),0))</f>
        <v/>
      </c>
      <c r="AV1908" s="61">
        <f>IF(F1908="","",IFERROR(IF(INDEX('Paramètres'!$O$6:$O$17,MATCH(F1908,'Paramètres'!$M$6:$M$17,0))="Oui",1,0),0))</f>
        <v/>
      </c>
      <c r="AW1908" s="62">
        <f>IF(E1908="","",IF(G1908&lt;&gt;"",G1908,IF(OR(E1908="Proposition envoyée",E1908="Signature"),MAX(0,N(IFERROR(INDEX('Paramètres'!$R$6:$R$15,MATCH(IF(AL1908&lt;&gt;"",AL1908,IFERROR(INDEX('Prospects'!$AN$5:$AN$504,MATCH(C1908,'Prospects'!$C$5:$C$504,0)),"")),'Paramètres'!$Q$6:$Q$15,0)),0))-N(P1908)),0)))</f>
        <v/>
      </c>
      <c r="AX1908" s="61">
        <f>IF(C1908="","",IF(COUNTIF($C$5:C1908,C1908)=1,MAX($AX$4:AX1907)+1,""))</f>
        <v/>
      </c>
      <c r="AY1908" s="61">
        <f>IF(B1908="","",HOUR(B1908))</f>
        <v/>
      </c>
      <c r="AZ1908" s="61">
        <f>IF(A1908="","",MOD(A1908-2,7)+1)</f>
        <v/>
      </c>
      <c r="BA1908" s="60">
        <f>IF(C1908="","",IFERROR(INDEX('Prospects'!$N$5:$N$504,MATCH(C1908,'Prospects'!$C$5:$C$504,0)),""))</f>
        <v/>
      </c>
      <c r="BB1908" s="61">
        <f>IF(AND(C1908&lt;&gt;"",C1908='Fiche prospect'!$C$4),COUNTIF($C$5:C1908,C1908),"")</f>
        <v/>
      </c>
    </row>
    <row r="1909">
      <c r="A1909" s="53" t="n"/>
      <c r="B1909" s="54" t="n"/>
      <c r="C1909" s="55" t="n"/>
      <c r="D1909" s="55" t="n"/>
      <c r="E1909" s="55" t="n"/>
      <c r="F1909" s="55" t="n"/>
      <c r="G1909" s="56" t="n"/>
      <c r="H1909" s="57" t="n"/>
      <c r="I1909" s="55" t="n"/>
      <c r="J1909" s="53" t="n"/>
      <c r="K1909" s="54" t="n"/>
      <c r="L1909" s="55" t="n"/>
      <c r="M1909" s="55" t="n"/>
      <c r="N1909" s="57" t="n"/>
      <c r="O1909" s="55" t="n"/>
      <c r="P1909" s="56" t="n"/>
      <c r="Q1909" s="55" t="n"/>
      <c r="R1909" s="55" t="n"/>
      <c r="S1909" s="55" t="n"/>
      <c r="T1909" s="55" t="n"/>
      <c r="U1909" s="55" t="n"/>
      <c r="V1909" s="55" t="n"/>
      <c r="W1909" s="58" t="n"/>
      <c r="X1909" s="58" t="n"/>
      <c r="Y1909" s="55" t="n"/>
      <c r="Z1909" s="55" t="n"/>
      <c r="AA1909" s="55" t="n"/>
      <c r="AB1909" s="55" t="n"/>
      <c r="AC1909" s="55" t="n"/>
      <c r="AD1909" s="53" t="n"/>
      <c r="AE1909" s="55" t="n"/>
      <c r="AF1909" s="55" t="n"/>
      <c r="AG1909" s="59" t="n"/>
      <c r="AH1909" s="57" t="n"/>
      <c r="AI1909" s="55" t="n"/>
      <c r="AJ1909" s="55" t="n"/>
      <c r="AK1909" s="55" t="n"/>
      <c r="AL1909" s="55" t="n"/>
      <c r="AM1909" s="56" t="n"/>
      <c r="AN1909" s="55" t="n"/>
      <c r="AO1909" s="55" t="n"/>
      <c r="AP1909" s="55" t="n"/>
      <c r="AQ1909" s="55" t="n"/>
      <c r="AR1909" s="60">
        <f>IF(AND(C1909="",E1909=""),"",IF(A1909="","⚠ Date manquante",IF(AND(C1909="",E1909&lt;&gt;"Dépense"),"⚠ Prospect manquant",IF(E1909="","⚠ Action manquante",IF(AND(AU1909=1,D1909=""),"⚠ Canal manquant",IF(AND(W1909&lt;&gt;"",COUNTIFS('Saisie'!$W$5:$W$2004,W1909,'Saisie'!$C$5:$C$2004,"&lt;&gt;"&amp;C1909)&gt;0),"⚠ Numéro déjà utilisé par un autre prospect",IF(AND(J1909&lt;&gt;"",J1909&lt;A1909),"⚠ Relance avant la date de l'action",IF(A1909&gt;TODAY(),"⚠ Date dans le futur","✓"))))))))</f>
        <v/>
      </c>
      <c r="AS1909" s="61">
        <f>IF(AND(A1909="",C1909="",E1909=""),"",ROW())</f>
        <v/>
      </c>
      <c r="AT1909" s="61">
        <f>IF(E1909&amp;F1909="","",MAX(IFERROR(INDEX('Paramètres'!$J$6:$J$33,MATCH(E1909,'Paramètres'!$I$6:$I$33,0)),0),IFERROR(INDEX('Paramètres'!$N$6:$N$17,MATCH(F1909,'Paramètres'!$M$6:$M$17,0)),0)))</f>
        <v/>
      </c>
      <c r="AU1909" s="61">
        <f>IF(E1909="","",IFERROR(IF(INDEX('Paramètres'!$K$6:$K$33,MATCH(E1909,'Paramètres'!$I$6:$I$33,0))="Oui",1,0),0))</f>
        <v/>
      </c>
      <c r="AV1909" s="61">
        <f>IF(F1909="","",IFERROR(IF(INDEX('Paramètres'!$O$6:$O$17,MATCH(F1909,'Paramètres'!$M$6:$M$17,0))="Oui",1,0),0))</f>
        <v/>
      </c>
      <c r="AW1909" s="62">
        <f>IF(E1909="","",IF(G1909&lt;&gt;"",G1909,IF(OR(E1909="Proposition envoyée",E1909="Signature"),MAX(0,N(IFERROR(INDEX('Paramètres'!$R$6:$R$15,MATCH(IF(AL1909&lt;&gt;"",AL1909,IFERROR(INDEX('Prospects'!$AN$5:$AN$504,MATCH(C1909,'Prospects'!$C$5:$C$504,0)),"")),'Paramètres'!$Q$6:$Q$15,0)),0))-N(P1909)),0)))</f>
        <v/>
      </c>
      <c r="AX1909" s="61">
        <f>IF(C1909="","",IF(COUNTIF($C$5:C1909,C1909)=1,MAX($AX$4:AX1908)+1,""))</f>
        <v/>
      </c>
      <c r="AY1909" s="61">
        <f>IF(B1909="","",HOUR(B1909))</f>
        <v/>
      </c>
      <c r="AZ1909" s="61">
        <f>IF(A1909="","",MOD(A1909-2,7)+1)</f>
        <v/>
      </c>
      <c r="BA1909" s="60">
        <f>IF(C1909="","",IFERROR(INDEX('Prospects'!$N$5:$N$504,MATCH(C1909,'Prospects'!$C$5:$C$504,0)),""))</f>
        <v/>
      </c>
      <c r="BB1909" s="61">
        <f>IF(AND(C1909&lt;&gt;"",C1909='Fiche prospect'!$C$4),COUNTIF($C$5:C1909,C1909),"")</f>
        <v/>
      </c>
    </row>
    <row r="1910">
      <c r="A1910" s="53" t="n"/>
      <c r="B1910" s="54" t="n"/>
      <c r="C1910" s="55" t="n"/>
      <c r="D1910" s="55" t="n"/>
      <c r="E1910" s="55" t="n"/>
      <c r="F1910" s="55" t="n"/>
      <c r="G1910" s="56" t="n"/>
      <c r="H1910" s="57" t="n"/>
      <c r="I1910" s="55" t="n"/>
      <c r="J1910" s="53" t="n"/>
      <c r="K1910" s="54" t="n"/>
      <c r="L1910" s="55" t="n"/>
      <c r="M1910" s="55" t="n"/>
      <c r="N1910" s="57" t="n"/>
      <c r="O1910" s="55" t="n"/>
      <c r="P1910" s="56" t="n"/>
      <c r="Q1910" s="55" t="n"/>
      <c r="R1910" s="55" t="n"/>
      <c r="S1910" s="55" t="n"/>
      <c r="T1910" s="55" t="n"/>
      <c r="U1910" s="55" t="n"/>
      <c r="V1910" s="55" t="n"/>
      <c r="W1910" s="58" t="n"/>
      <c r="X1910" s="58" t="n"/>
      <c r="Y1910" s="55" t="n"/>
      <c r="Z1910" s="55" t="n"/>
      <c r="AA1910" s="55" t="n"/>
      <c r="AB1910" s="55" t="n"/>
      <c r="AC1910" s="55" t="n"/>
      <c r="AD1910" s="53" t="n"/>
      <c r="AE1910" s="55" t="n"/>
      <c r="AF1910" s="55" t="n"/>
      <c r="AG1910" s="59" t="n"/>
      <c r="AH1910" s="57" t="n"/>
      <c r="AI1910" s="55" t="n"/>
      <c r="AJ1910" s="55" t="n"/>
      <c r="AK1910" s="55" t="n"/>
      <c r="AL1910" s="55" t="n"/>
      <c r="AM1910" s="56" t="n"/>
      <c r="AN1910" s="55" t="n"/>
      <c r="AO1910" s="55" t="n"/>
      <c r="AP1910" s="55" t="n"/>
      <c r="AQ1910" s="55" t="n"/>
      <c r="AR1910" s="60">
        <f>IF(AND(C1910="",E1910=""),"",IF(A1910="","⚠ Date manquante",IF(AND(C1910="",E1910&lt;&gt;"Dépense"),"⚠ Prospect manquant",IF(E1910="","⚠ Action manquante",IF(AND(AU1910=1,D1910=""),"⚠ Canal manquant",IF(AND(W1910&lt;&gt;"",COUNTIFS('Saisie'!$W$5:$W$2004,W1910,'Saisie'!$C$5:$C$2004,"&lt;&gt;"&amp;C1910)&gt;0),"⚠ Numéro déjà utilisé par un autre prospect",IF(AND(J1910&lt;&gt;"",J1910&lt;A1910),"⚠ Relance avant la date de l'action",IF(A1910&gt;TODAY(),"⚠ Date dans le futur","✓"))))))))</f>
        <v/>
      </c>
      <c r="AS1910" s="61">
        <f>IF(AND(A1910="",C1910="",E1910=""),"",ROW())</f>
        <v/>
      </c>
      <c r="AT1910" s="61">
        <f>IF(E1910&amp;F1910="","",MAX(IFERROR(INDEX('Paramètres'!$J$6:$J$33,MATCH(E1910,'Paramètres'!$I$6:$I$33,0)),0),IFERROR(INDEX('Paramètres'!$N$6:$N$17,MATCH(F1910,'Paramètres'!$M$6:$M$17,0)),0)))</f>
        <v/>
      </c>
      <c r="AU1910" s="61">
        <f>IF(E1910="","",IFERROR(IF(INDEX('Paramètres'!$K$6:$K$33,MATCH(E1910,'Paramètres'!$I$6:$I$33,0))="Oui",1,0),0))</f>
        <v/>
      </c>
      <c r="AV1910" s="61">
        <f>IF(F1910="","",IFERROR(IF(INDEX('Paramètres'!$O$6:$O$17,MATCH(F1910,'Paramètres'!$M$6:$M$17,0))="Oui",1,0),0))</f>
        <v/>
      </c>
      <c r="AW1910" s="62">
        <f>IF(E1910="","",IF(G1910&lt;&gt;"",G1910,IF(OR(E1910="Proposition envoyée",E1910="Signature"),MAX(0,N(IFERROR(INDEX('Paramètres'!$R$6:$R$15,MATCH(IF(AL1910&lt;&gt;"",AL1910,IFERROR(INDEX('Prospects'!$AN$5:$AN$504,MATCH(C1910,'Prospects'!$C$5:$C$504,0)),"")),'Paramètres'!$Q$6:$Q$15,0)),0))-N(P1910)),0)))</f>
        <v/>
      </c>
      <c r="AX1910" s="61">
        <f>IF(C1910="","",IF(COUNTIF($C$5:C1910,C1910)=1,MAX($AX$4:AX1909)+1,""))</f>
        <v/>
      </c>
      <c r="AY1910" s="61">
        <f>IF(B1910="","",HOUR(B1910))</f>
        <v/>
      </c>
      <c r="AZ1910" s="61">
        <f>IF(A1910="","",MOD(A1910-2,7)+1)</f>
        <v/>
      </c>
      <c r="BA1910" s="60">
        <f>IF(C1910="","",IFERROR(INDEX('Prospects'!$N$5:$N$504,MATCH(C1910,'Prospects'!$C$5:$C$504,0)),""))</f>
        <v/>
      </c>
      <c r="BB1910" s="61">
        <f>IF(AND(C1910&lt;&gt;"",C1910='Fiche prospect'!$C$4),COUNTIF($C$5:C1910,C1910),"")</f>
        <v/>
      </c>
    </row>
    <row r="1911">
      <c r="A1911" s="53" t="n"/>
      <c r="B1911" s="54" t="n"/>
      <c r="C1911" s="55" t="n"/>
      <c r="D1911" s="55" t="n"/>
      <c r="E1911" s="55" t="n"/>
      <c r="F1911" s="55" t="n"/>
      <c r="G1911" s="56" t="n"/>
      <c r="H1911" s="57" t="n"/>
      <c r="I1911" s="55" t="n"/>
      <c r="J1911" s="53" t="n"/>
      <c r="K1911" s="54" t="n"/>
      <c r="L1911" s="55" t="n"/>
      <c r="M1911" s="55" t="n"/>
      <c r="N1911" s="57" t="n"/>
      <c r="O1911" s="55" t="n"/>
      <c r="P1911" s="56" t="n"/>
      <c r="Q1911" s="55" t="n"/>
      <c r="R1911" s="55" t="n"/>
      <c r="S1911" s="55" t="n"/>
      <c r="T1911" s="55" t="n"/>
      <c r="U1911" s="55" t="n"/>
      <c r="V1911" s="55" t="n"/>
      <c r="W1911" s="58" t="n"/>
      <c r="X1911" s="58" t="n"/>
      <c r="Y1911" s="55" t="n"/>
      <c r="Z1911" s="55" t="n"/>
      <c r="AA1911" s="55" t="n"/>
      <c r="AB1911" s="55" t="n"/>
      <c r="AC1911" s="55" t="n"/>
      <c r="AD1911" s="53" t="n"/>
      <c r="AE1911" s="55" t="n"/>
      <c r="AF1911" s="55" t="n"/>
      <c r="AG1911" s="59" t="n"/>
      <c r="AH1911" s="57" t="n"/>
      <c r="AI1911" s="55" t="n"/>
      <c r="AJ1911" s="55" t="n"/>
      <c r="AK1911" s="55" t="n"/>
      <c r="AL1911" s="55" t="n"/>
      <c r="AM1911" s="56" t="n"/>
      <c r="AN1911" s="55" t="n"/>
      <c r="AO1911" s="55" t="n"/>
      <c r="AP1911" s="55" t="n"/>
      <c r="AQ1911" s="55" t="n"/>
      <c r="AR1911" s="60">
        <f>IF(AND(C1911="",E1911=""),"",IF(A1911="","⚠ Date manquante",IF(AND(C1911="",E1911&lt;&gt;"Dépense"),"⚠ Prospect manquant",IF(E1911="","⚠ Action manquante",IF(AND(AU1911=1,D1911=""),"⚠ Canal manquant",IF(AND(W1911&lt;&gt;"",COUNTIFS('Saisie'!$W$5:$W$2004,W1911,'Saisie'!$C$5:$C$2004,"&lt;&gt;"&amp;C1911)&gt;0),"⚠ Numéro déjà utilisé par un autre prospect",IF(AND(J1911&lt;&gt;"",J1911&lt;A1911),"⚠ Relance avant la date de l'action",IF(A1911&gt;TODAY(),"⚠ Date dans le futur","✓"))))))))</f>
        <v/>
      </c>
      <c r="AS1911" s="61">
        <f>IF(AND(A1911="",C1911="",E1911=""),"",ROW())</f>
        <v/>
      </c>
      <c r="AT1911" s="61">
        <f>IF(E1911&amp;F1911="","",MAX(IFERROR(INDEX('Paramètres'!$J$6:$J$33,MATCH(E1911,'Paramètres'!$I$6:$I$33,0)),0),IFERROR(INDEX('Paramètres'!$N$6:$N$17,MATCH(F1911,'Paramètres'!$M$6:$M$17,0)),0)))</f>
        <v/>
      </c>
      <c r="AU1911" s="61">
        <f>IF(E1911="","",IFERROR(IF(INDEX('Paramètres'!$K$6:$K$33,MATCH(E1911,'Paramètres'!$I$6:$I$33,0))="Oui",1,0),0))</f>
        <v/>
      </c>
      <c r="AV1911" s="61">
        <f>IF(F1911="","",IFERROR(IF(INDEX('Paramètres'!$O$6:$O$17,MATCH(F1911,'Paramètres'!$M$6:$M$17,0))="Oui",1,0),0))</f>
        <v/>
      </c>
      <c r="AW1911" s="62">
        <f>IF(E1911="","",IF(G1911&lt;&gt;"",G1911,IF(OR(E1911="Proposition envoyée",E1911="Signature"),MAX(0,N(IFERROR(INDEX('Paramètres'!$R$6:$R$15,MATCH(IF(AL1911&lt;&gt;"",AL1911,IFERROR(INDEX('Prospects'!$AN$5:$AN$504,MATCH(C1911,'Prospects'!$C$5:$C$504,0)),"")),'Paramètres'!$Q$6:$Q$15,0)),0))-N(P1911)),0)))</f>
        <v/>
      </c>
      <c r="AX1911" s="61">
        <f>IF(C1911="","",IF(COUNTIF($C$5:C1911,C1911)=1,MAX($AX$4:AX1910)+1,""))</f>
        <v/>
      </c>
      <c r="AY1911" s="61">
        <f>IF(B1911="","",HOUR(B1911))</f>
        <v/>
      </c>
      <c r="AZ1911" s="61">
        <f>IF(A1911="","",MOD(A1911-2,7)+1)</f>
        <v/>
      </c>
      <c r="BA1911" s="60">
        <f>IF(C1911="","",IFERROR(INDEX('Prospects'!$N$5:$N$504,MATCH(C1911,'Prospects'!$C$5:$C$504,0)),""))</f>
        <v/>
      </c>
      <c r="BB1911" s="61">
        <f>IF(AND(C1911&lt;&gt;"",C1911='Fiche prospect'!$C$4),COUNTIF($C$5:C1911,C1911),"")</f>
        <v/>
      </c>
    </row>
    <row r="1912">
      <c r="A1912" s="53" t="n"/>
      <c r="B1912" s="54" t="n"/>
      <c r="C1912" s="55" t="n"/>
      <c r="D1912" s="55" t="n"/>
      <c r="E1912" s="55" t="n"/>
      <c r="F1912" s="55" t="n"/>
      <c r="G1912" s="56" t="n"/>
      <c r="H1912" s="57" t="n"/>
      <c r="I1912" s="55" t="n"/>
      <c r="J1912" s="53" t="n"/>
      <c r="K1912" s="54" t="n"/>
      <c r="L1912" s="55" t="n"/>
      <c r="M1912" s="55" t="n"/>
      <c r="N1912" s="57" t="n"/>
      <c r="O1912" s="55" t="n"/>
      <c r="P1912" s="56" t="n"/>
      <c r="Q1912" s="55" t="n"/>
      <c r="R1912" s="55" t="n"/>
      <c r="S1912" s="55" t="n"/>
      <c r="T1912" s="55" t="n"/>
      <c r="U1912" s="55" t="n"/>
      <c r="V1912" s="55" t="n"/>
      <c r="W1912" s="58" t="n"/>
      <c r="X1912" s="58" t="n"/>
      <c r="Y1912" s="55" t="n"/>
      <c r="Z1912" s="55" t="n"/>
      <c r="AA1912" s="55" t="n"/>
      <c r="AB1912" s="55" t="n"/>
      <c r="AC1912" s="55" t="n"/>
      <c r="AD1912" s="53" t="n"/>
      <c r="AE1912" s="55" t="n"/>
      <c r="AF1912" s="55" t="n"/>
      <c r="AG1912" s="59" t="n"/>
      <c r="AH1912" s="57" t="n"/>
      <c r="AI1912" s="55" t="n"/>
      <c r="AJ1912" s="55" t="n"/>
      <c r="AK1912" s="55" t="n"/>
      <c r="AL1912" s="55" t="n"/>
      <c r="AM1912" s="56" t="n"/>
      <c r="AN1912" s="55" t="n"/>
      <c r="AO1912" s="55" t="n"/>
      <c r="AP1912" s="55" t="n"/>
      <c r="AQ1912" s="55" t="n"/>
      <c r="AR1912" s="60">
        <f>IF(AND(C1912="",E1912=""),"",IF(A1912="","⚠ Date manquante",IF(AND(C1912="",E1912&lt;&gt;"Dépense"),"⚠ Prospect manquant",IF(E1912="","⚠ Action manquante",IF(AND(AU1912=1,D1912=""),"⚠ Canal manquant",IF(AND(W1912&lt;&gt;"",COUNTIFS('Saisie'!$W$5:$W$2004,W1912,'Saisie'!$C$5:$C$2004,"&lt;&gt;"&amp;C1912)&gt;0),"⚠ Numéro déjà utilisé par un autre prospect",IF(AND(J1912&lt;&gt;"",J1912&lt;A1912),"⚠ Relance avant la date de l'action",IF(A1912&gt;TODAY(),"⚠ Date dans le futur","✓"))))))))</f>
        <v/>
      </c>
      <c r="AS1912" s="61">
        <f>IF(AND(A1912="",C1912="",E1912=""),"",ROW())</f>
        <v/>
      </c>
      <c r="AT1912" s="61">
        <f>IF(E1912&amp;F1912="","",MAX(IFERROR(INDEX('Paramètres'!$J$6:$J$33,MATCH(E1912,'Paramètres'!$I$6:$I$33,0)),0),IFERROR(INDEX('Paramètres'!$N$6:$N$17,MATCH(F1912,'Paramètres'!$M$6:$M$17,0)),0)))</f>
        <v/>
      </c>
      <c r="AU1912" s="61">
        <f>IF(E1912="","",IFERROR(IF(INDEX('Paramètres'!$K$6:$K$33,MATCH(E1912,'Paramètres'!$I$6:$I$33,0))="Oui",1,0),0))</f>
        <v/>
      </c>
      <c r="AV1912" s="61">
        <f>IF(F1912="","",IFERROR(IF(INDEX('Paramètres'!$O$6:$O$17,MATCH(F1912,'Paramètres'!$M$6:$M$17,0))="Oui",1,0),0))</f>
        <v/>
      </c>
      <c r="AW1912" s="62">
        <f>IF(E1912="","",IF(G1912&lt;&gt;"",G1912,IF(OR(E1912="Proposition envoyée",E1912="Signature"),MAX(0,N(IFERROR(INDEX('Paramètres'!$R$6:$R$15,MATCH(IF(AL1912&lt;&gt;"",AL1912,IFERROR(INDEX('Prospects'!$AN$5:$AN$504,MATCH(C1912,'Prospects'!$C$5:$C$504,0)),"")),'Paramètres'!$Q$6:$Q$15,0)),0))-N(P1912)),0)))</f>
        <v/>
      </c>
      <c r="AX1912" s="61">
        <f>IF(C1912="","",IF(COUNTIF($C$5:C1912,C1912)=1,MAX($AX$4:AX1911)+1,""))</f>
        <v/>
      </c>
      <c r="AY1912" s="61">
        <f>IF(B1912="","",HOUR(B1912))</f>
        <v/>
      </c>
      <c r="AZ1912" s="61">
        <f>IF(A1912="","",MOD(A1912-2,7)+1)</f>
        <v/>
      </c>
      <c r="BA1912" s="60">
        <f>IF(C1912="","",IFERROR(INDEX('Prospects'!$N$5:$N$504,MATCH(C1912,'Prospects'!$C$5:$C$504,0)),""))</f>
        <v/>
      </c>
      <c r="BB1912" s="61">
        <f>IF(AND(C1912&lt;&gt;"",C1912='Fiche prospect'!$C$4),COUNTIF($C$5:C1912,C1912),"")</f>
        <v/>
      </c>
    </row>
    <row r="1913">
      <c r="A1913" s="53" t="n"/>
      <c r="B1913" s="54" t="n"/>
      <c r="C1913" s="55" t="n"/>
      <c r="D1913" s="55" t="n"/>
      <c r="E1913" s="55" t="n"/>
      <c r="F1913" s="55" t="n"/>
      <c r="G1913" s="56" t="n"/>
      <c r="H1913" s="57" t="n"/>
      <c r="I1913" s="55" t="n"/>
      <c r="J1913" s="53" t="n"/>
      <c r="K1913" s="54" t="n"/>
      <c r="L1913" s="55" t="n"/>
      <c r="M1913" s="55" t="n"/>
      <c r="N1913" s="57" t="n"/>
      <c r="O1913" s="55" t="n"/>
      <c r="P1913" s="56" t="n"/>
      <c r="Q1913" s="55" t="n"/>
      <c r="R1913" s="55" t="n"/>
      <c r="S1913" s="55" t="n"/>
      <c r="T1913" s="55" t="n"/>
      <c r="U1913" s="55" t="n"/>
      <c r="V1913" s="55" t="n"/>
      <c r="W1913" s="58" t="n"/>
      <c r="X1913" s="58" t="n"/>
      <c r="Y1913" s="55" t="n"/>
      <c r="Z1913" s="55" t="n"/>
      <c r="AA1913" s="55" t="n"/>
      <c r="AB1913" s="55" t="n"/>
      <c r="AC1913" s="55" t="n"/>
      <c r="AD1913" s="53" t="n"/>
      <c r="AE1913" s="55" t="n"/>
      <c r="AF1913" s="55" t="n"/>
      <c r="AG1913" s="59" t="n"/>
      <c r="AH1913" s="57" t="n"/>
      <c r="AI1913" s="55" t="n"/>
      <c r="AJ1913" s="55" t="n"/>
      <c r="AK1913" s="55" t="n"/>
      <c r="AL1913" s="55" t="n"/>
      <c r="AM1913" s="56" t="n"/>
      <c r="AN1913" s="55" t="n"/>
      <c r="AO1913" s="55" t="n"/>
      <c r="AP1913" s="55" t="n"/>
      <c r="AQ1913" s="55" t="n"/>
      <c r="AR1913" s="60">
        <f>IF(AND(C1913="",E1913=""),"",IF(A1913="","⚠ Date manquante",IF(AND(C1913="",E1913&lt;&gt;"Dépense"),"⚠ Prospect manquant",IF(E1913="","⚠ Action manquante",IF(AND(AU1913=1,D1913=""),"⚠ Canal manquant",IF(AND(W1913&lt;&gt;"",COUNTIFS('Saisie'!$W$5:$W$2004,W1913,'Saisie'!$C$5:$C$2004,"&lt;&gt;"&amp;C1913)&gt;0),"⚠ Numéro déjà utilisé par un autre prospect",IF(AND(J1913&lt;&gt;"",J1913&lt;A1913),"⚠ Relance avant la date de l'action",IF(A1913&gt;TODAY(),"⚠ Date dans le futur","✓"))))))))</f>
        <v/>
      </c>
      <c r="AS1913" s="61">
        <f>IF(AND(A1913="",C1913="",E1913=""),"",ROW())</f>
        <v/>
      </c>
      <c r="AT1913" s="61">
        <f>IF(E1913&amp;F1913="","",MAX(IFERROR(INDEX('Paramètres'!$J$6:$J$33,MATCH(E1913,'Paramètres'!$I$6:$I$33,0)),0),IFERROR(INDEX('Paramètres'!$N$6:$N$17,MATCH(F1913,'Paramètres'!$M$6:$M$17,0)),0)))</f>
        <v/>
      </c>
      <c r="AU1913" s="61">
        <f>IF(E1913="","",IFERROR(IF(INDEX('Paramètres'!$K$6:$K$33,MATCH(E1913,'Paramètres'!$I$6:$I$33,0))="Oui",1,0),0))</f>
        <v/>
      </c>
      <c r="AV1913" s="61">
        <f>IF(F1913="","",IFERROR(IF(INDEX('Paramètres'!$O$6:$O$17,MATCH(F1913,'Paramètres'!$M$6:$M$17,0))="Oui",1,0),0))</f>
        <v/>
      </c>
      <c r="AW1913" s="62">
        <f>IF(E1913="","",IF(G1913&lt;&gt;"",G1913,IF(OR(E1913="Proposition envoyée",E1913="Signature"),MAX(0,N(IFERROR(INDEX('Paramètres'!$R$6:$R$15,MATCH(IF(AL1913&lt;&gt;"",AL1913,IFERROR(INDEX('Prospects'!$AN$5:$AN$504,MATCH(C1913,'Prospects'!$C$5:$C$504,0)),"")),'Paramètres'!$Q$6:$Q$15,0)),0))-N(P1913)),0)))</f>
        <v/>
      </c>
      <c r="AX1913" s="61">
        <f>IF(C1913="","",IF(COUNTIF($C$5:C1913,C1913)=1,MAX($AX$4:AX1912)+1,""))</f>
        <v/>
      </c>
      <c r="AY1913" s="61">
        <f>IF(B1913="","",HOUR(B1913))</f>
        <v/>
      </c>
      <c r="AZ1913" s="61">
        <f>IF(A1913="","",MOD(A1913-2,7)+1)</f>
        <v/>
      </c>
      <c r="BA1913" s="60">
        <f>IF(C1913="","",IFERROR(INDEX('Prospects'!$N$5:$N$504,MATCH(C1913,'Prospects'!$C$5:$C$504,0)),""))</f>
        <v/>
      </c>
      <c r="BB1913" s="61">
        <f>IF(AND(C1913&lt;&gt;"",C1913='Fiche prospect'!$C$4),COUNTIF($C$5:C1913,C1913),"")</f>
        <v/>
      </c>
    </row>
    <row r="1914">
      <c r="A1914" s="53" t="n"/>
      <c r="B1914" s="54" t="n"/>
      <c r="C1914" s="55" t="n"/>
      <c r="D1914" s="55" t="n"/>
      <c r="E1914" s="55" t="n"/>
      <c r="F1914" s="55" t="n"/>
      <c r="G1914" s="56" t="n"/>
      <c r="H1914" s="57" t="n"/>
      <c r="I1914" s="55" t="n"/>
      <c r="J1914" s="53" t="n"/>
      <c r="K1914" s="54" t="n"/>
      <c r="L1914" s="55" t="n"/>
      <c r="M1914" s="55" t="n"/>
      <c r="N1914" s="57" t="n"/>
      <c r="O1914" s="55" t="n"/>
      <c r="P1914" s="56" t="n"/>
      <c r="Q1914" s="55" t="n"/>
      <c r="R1914" s="55" t="n"/>
      <c r="S1914" s="55" t="n"/>
      <c r="T1914" s="55" t="n"/>
      <c r="U1914" s="55" t="n"/>
      <c r="V1914" s="55" t="n"/>
      <c r="W1914" s="58" t="n"/>
      <c r="X1914" s="58" t="n"/>
      <c r="Y1914" s="55" t="n"/>
      <c r="Z1914" s="55" t="n"/>
      <c r="AA1914" s="55" t="n"/>
      <c r="AB1914" s="55" t="n"/>
      <c r="AC1914" s="55" t="n"/>
      <c r="AD1914" s="53" t="n"/>
      <c r="AE1914" s="55" t="n"/>
      <c r="AF1914" s="55" t="n"/>
      <c r="AG1914" s="59" t="n"/>
      <c r="AH1914" s="57" t="n"/>
      <c r="AI1914" s="55" t="n"/>
      <c r="AJ1914" s="55" t="n"/>
      <c r="AK1914" s="55" t="n"/>
      <c r="AL1914" s="55" t="n"/>
      <c r="AM1914" s="56" t="n"/>
      <c r="AN1914" s="55" t="n"/>
      <c r="AO1914" s="55" t="n"/>
      <c r="AP1914" s="55" t="n"/>
      <c r="AQ1914" s="55" t="n"/>
      <c r="AR1914" s="60">
        <f>IF(AND(C1914="",E1914=""),"",IF(A1914="","⚠ Date manquante",IF(AND(C1914="",E1914&lt;&gt;"Dépense"),"⚠ Prospect manquant",IF(E1914="","⚠ Action manquante",IF(AND(AU1914=1,D1914=""),"⚠ Canal manquant",IF(AND(W1914&lt;&gt;"",COUNTIFS('Saisie'!$W$5:$W$2004,W1914,'Saisie'!$C$5:$C$2004,"&lt;&gt;"&amp;C1914)&gt;0),"⚠ Numéro déjà utilisé par un autre prospect",IF(AND(J1914&lt;&gt;"",J1914&lt;A1914),"⚠ Relance avant la date de l'action",IF(A1914&gt;TODAY(),"⚠ Date dans le futur","✓"))))))))</f>
        <v/>
      </c>
      <c r="AS1914" s="61">
        <f>IF(AND(A1914="",C1914="",E1914=""),"",ROW())</f>
        <v/>
      </c>
      <c r="AT1914" s="61">
        <f>IF(E1914&amp;F1914="","",MAX(IFERROR(INDEX('Paramètres'!$J$6:$J$33,MATCH(E1914,'Paramètres'!$I$6:$I$33,0)),0),IFERROR(INDEX('Paramètres'!$N$6:$N$17,MATCH(F1914,'Paramètres'!$M$6:$M$17,0)),0)))</f>
        <v/>
      </c>
      <c r="AU1914" s="61">
        <f>IF(E1914="","",IFERROR(IF(INDEX('Paramètres'!$K$6:$K$33,MATCH(E1914,'Paramètres'!$I$6:$I$33,0))="Oui",1,0),0))</f>
        <v/>
      </c>
      <c r="AV1914" s="61">
        <f>IF(F1914="","",IFERROR(IF(INDEX('Paramètres'!$O$6:$O$17,MATCH(F1914,'Paramètres'!$M$6:$M$17,0))="Oui",1,0),0))</f>
        <v/>
      </c>
      <c r="AW1914" s="62">
        <f>IF(E1914="","",IF(G1914&lt;&gt;"",G1914,IF(OR(E1914="Proposition envoyée",E1914="Signature"),MAX(0,N(IFERROR(INDEX('Paramètres'!$R$6:$R$15,MATCH(IF(AL1914&lt;&gt;"",AL1914,IFERROR(INDEX('Prospects'!$AN$5:$AN$504,MATCH(C1914,'Prospects'!$C$5:$C$504,0)),"")),'Paramètres'!$Q$6:$Q$15,0)),0))-N(P1914)),0)))</f>
        <v/>
      </c>
      <c r="AX1914" s="61">
        <f>IF(C1914="","",IF(COUNTIF($C$5:C1914,C1914)=1,MAX($AX$4:AX1913)+1,""))</f>
        <v/>
      </c>
      <c r="AY1914" s="61">
        <f>IF(B1914="","",HOUR(B1914))</f>
        <v/>
      </c>
      <c r="AZ1914" s="61">
        <f>IF(A1914="","",MOD(A1914-2,7)+1)</f>
        <v/>
      </c>
      <c r="BA1914" s="60">
        <f>IF(C1914="","",IFERROR(INDEX('Prospects'!$N$5:$N$504,MATCH(C1914,'Prospects'!$C$5:$C$504,0)),""))</f>
        <v/>
      </c>
      <c r="BB1914" s="61">
        <f>IF(AND(C1914&lt;&gt;"",C1914='Fiche prospect'!$C$4),COUNTIF($C$5:C1914,C1914),"")</f>
        <v/>
      </c>
    </row>
    <row r="1915">
      <c r="A1915" s="53" t="n"/>
      <c r="B1915" s="54" t="n"/>
      <c r="C1915" s="55" t="n"/>
      <c r="D1915" s="55" t="n"/>
      <c r="E1915" s="55" t="n"/>
      <c r="F1915" s="55" t="n"/>
      <c r="G1915" s="56" t="n"/>
      <c r="H1915" s="57" t="n"/>
      <c r="I1915" s="55" t="n"/>
      <c r="J1915" s="53" t="n"/>
      <c r="K1915" s="54" t="n"/>
      <c r="L1915" s="55" t="n"/>
      <c r="M1915" s="55" t="n"/>
      <c r="N1915" s="57" t="n"/>
      <c r="O1915" s="55" t="n"/>
      <c r="P1915" s="56" t="n"/>
      <c r="Q1915" s="55" t="n"/>
      <c r="R1915" s="55" t="n"/>
      <c r="S1915" s="55" t="n"/>
      <c r="T1915" s="55" t="n"/>
      <c r="U1915" s="55" t="n"/>
      <c r="V1915" s="55" t="n"/>
      <c r="W1915" s="58" t="n"/>
      <c r="X1915" s="58" t="n"/>
      <c r="Y1915" s="55" t="n"/>
      <c r="Z1915" s="55" t="n"/>
      <c r="AA1915" s="55" t="n"/>
      <c r="AB1915" s="55" t="n"/>
      <c r="AC1915" s="55" t="n"/>
      <c r="AD1915" s="53" t="n"/>
      <c r="AE1915" s="55" t="n"/>
      <c r="AF1915" s="55" t="n"/>
      <c r="AG1915" s="59" t="n"/>
      <c r="AH1915" s="57" t="n"/>
      <c r="AI1915" s="55" t="n"/>
      <c r="AJ1915" s="55" t="n"/>
      <c r="AK1915" s="55" t="n"/>
      <c r="AL1915" s="55" t="n"/>
      <c r="AM1915" s="56" t="n"/>
      <c r="AN1915" s="55" t="n"/>
      <c r="AO1915" s="55" t="n"/>
      <c r="AP1915" s="55" t="n"/>
      <c r="AQ1915" s="55" t="n"/>
      <c r="AR1915" s="60">
        <f>IF(AND(C1915="",E1915=""),"",IF(A1915="","⚠ Date manquante",IF(AND(C1915="",E1915&lt;&gt;"Dépense"),"⚠ Prospect manquant",IF(E1915="","⚠ Action manquante",IF(AND(AU1915=1,D1915=""),"⚠ Canal manquant",IF(AND(W1915&lt;&gt;"",COUNTIFS('Saisie'!$W$5:$W$2004,W1915,'Saisie'!$C$5:$C$2004,"&lt;&gt;"&amp;C1915)&gt;0),"⚠ Numéro déjà utilisé par un autre prospect",IF(AND(J1915&lt;&gt;"",J1915&lt;A1915),"⚠ Relance avant la date de l'action",IF(A1915&gt;TODAY(),"⚠ Date dans le futur","✓"))))))))</f>
        <v/>
      </c>
      <c r="AS1915" s="61">
        <f>IF(AND(A1915="",C1915="",E1915=""),"",ROW())</f>
        <v/>
      </c>
      <c r="AT1915" s="61">
        <f>IF(E1915&amp;F1915="","",MAX(IFERROR(INDEX('Paramètres'!$J$6:$J$33,MATCH(E1915,'Paramètres'!$I$6:$I$33,0)),0),IFERROR(INDEX('Paramètres'!$N$6:$N$17,MATCH(F1915,'Paramètres'!$M$6:$M$17,0)),0)))</f>
        <v/>
      </c>
      <c r="AU1915" s="61">
        <f>IF(E1915="","",IFERROR(IF(INDEX('Paramètres'!$K$6:$K$33,MATCH(E1915,'Paramètres'!$I$6:$I$33,0))="Oui",1,0),0))</f>
        <v/>
      </c>
      <c r="AV1915" s="61">
        <f>IF(F1915="","",IFERROR(IF(INDEX('Paramètres'!$O$6:$O$17,MATCH(F1915,'Paramètres'!$M$6:$M$17,0))="Oui",1,0),0))</f>
        <v/>
      </c>
      <c r="AW1915" s="62">
        <f>IF(E1915="","",IF(G1915&lt;&gt;"",G1915,IF(OR(E1915="Proposition envoyée",E1915="Signature"),MAX(0,N(IFERROR(INDEX('Paramètres'!$R$6:$R$15,MATCH(IF(AL1915&lt;&gt;"",AL1915,IFERROR(INDEX('Prospects'!$AN$5:$AN$504,MATCH(C1915,'Prospects'!$C$5:$C$504,0)),"")),'Paramètres'!$Q$6:$Q$15,0)),0))-N(P1915)),0)))</f>
        <v/>
      </c>
      <c r="AX1915" s="61">
        <f>IF(C1915="","",IF(COUNTIF($C$5:C1915,C1915)=1,MAX($AX$4:AX1914)+1,""))</f>
        <v/>
      </c>
      <c r="AY1915" s="61">
        <f>IF(B1915="","",HOUR(B1915))</f>
        <v/>
      </c>
      <c r="AZ1915" s="61">
        <f>IF(A1915="","",MOD(A1915-2,7)+1)</f>
        <v/>
      </c>
      <c r="BA1915" s="60">
        <f>IF(C1915="","",IFERROR(INDEX('Prospects'!$N$5:$N$504,MATCH(C1915,'Prospects'!$C$5:$C$504,0)),""))</f>
        <v/>
      </c>
      <c r="BB1915" s="61">
        <f>IF(AND(C1915&lt;&gt;"",C1915='Fiche prospect'!$C$4),COUNTIF($C$5:C1915,C1915),"")</f>
        <v/>
      </c>
    </row>
    <row r="1916">
      <c r="A1916" s="53" t="n"/>
      <c r="B1916" s="54" t="n"/>
      <c r="C1916" s="55" t="n"/>
      <c r="D1916" s="55" t="n"/>
      <c r="E1916" s="55" t="n"/>
      <c r="F1916" s="55" t="n"/>
      <c r="G1916" s="56" t="n"/>
      <c r="H1916" s="57" t="n"/>
      <c r="I1916" s="55" t="n"/>
      <c r="J1916" s="53" t="n"/>
      <c r="K1916" s="54" t="n"/>
      <c r="L1916" s="55" t="n"/>
      <c r="M1916" s="55" t="n"/>
      <c r="N1916" s="57" t="n"/>
      <c r="O1916" s="55" t="n"/>
      <c r="P1916" s="56" t="n"/>
      <c r="Q1916" s="55" t="n"/>
      <c r="R1916" s="55" t="n"/>
      <c r="S1916" s="55" t="n"/>
      <c r="T1916" s="55" t="n"/>
      <c r="U1916" s="55" t="n"/>
      <c r="V1916" s="55" t="n"/>
      <c r="W1916" s="58" t="n"/>
      <c r="X1916" s="58" t="n"/>
      <c r="Y1916" s="55" t="n"/>
      <c r="Z1916" s="55" t="n"/>
      <c r="AA1916" s="55" t="n"/>
      <c r="AB1916" s="55" t="n"/>
      <c r="AC1916" s="55" t="n"/>
      <c r="AD1916" s="53" t="n"/>
      <c r="AE1916" s="55" t="n"/>
      <c r="AF1916" s="55" t="n"/>
      <c r="AG1916" s="59" t="n"/>
      <c r="AH1916" s="57" t="n"/>
      <c r="AI1916" s="55" t="n"/>
      <c r="AJ1916" s="55" t="n"/>
      <c r="AK1916" s="55" t="n"/>
      <c r="AL1916" s="55" t="n"/>
      <c r="AM1916" s="56" t="n"/>
      <c r="AN1916" s="55" t="n"/>
      <c r="AO1916" s="55" t="n"/>
      <c r="AP1916" s="55" t="n"/>
      <c r="AQ1916" s="55" t="n"/>
      <c r="AR1916" s="60">
        <f>IF(AND(C1916="",E1916=""),"",IF(A1916="","⚠ Date manquante",IF(AND(C1916="",E1916&lt;&gt;"Dépense"),"⚠ Prospect manquant",IF(E1916="","⚠ Action manquante",IF(AND(AU1916=1,D1916=""),"⚠ Canal manquant",IF(AND(W1916&lt;&gt;"",COUNTIFS('Saisie'!$W$5:$W$2004,W1916,'Saisie'!$C$5:$C$2004,"&lt;&gt;"&amp;C1916)&gt;0),"⚠ Numéro déjà utilisé par un autre prospect",IF(AND(J1916&lt;&gt;"",J1916&lt;A1916),"⚠ Relance avant la date de l'action",IF(A1916&gt;TODAY(),"⚠ Date dans le futur","✓"))))))))</f>
        <v/>
      </c>
      <c r="AS1916" s="61">
        <f>IF(AND(A1916="",C1916="",E1916=""),"",ROW())</f>
        <v/>
      </c>
      <c r="AT1916" s="61">
        <f>IF(E1916&amp;F1916="","",MAX(IFERROR(INDEX('Paramètres'!$J$6:$J$33,MATCH(E1916,'Paramètres'!$I$6:$I$33,0)),0),IFERROR(INDEX('Paramètres'!$N$6:$N$17,MATCH(F1916,'Paramètres'!$M$6:$M$17,0)),0)))</f>
        <v/>
      </c>
      <c r="AU1916" s="61">
        <f>IF(E1916="","",IFERROR(IF(INDEX('Paramètres'!$K$6:$K$33,MATCH(E1916,'Paramètres'!$I$6:$I$33,0))="Oui",1,0),0))</f>
        <v/>
      </c>
      <c r="AV1916" s="61">
        <f>IF(F1916="","",IFERROR(IF(INDEX('Paramètres'!$O$6:$O$17,MATCH(F1916,'Paramètres'!$M$6:$M$17,0))="Oui",1,0),0))</f>
        <v/>
      </c>
      <c r="AW1916" s="62">
        <f>IF(E1916="","",IF(G1916&lt;&gt;"",G1916,IF(OR(E1916="Proposition envoyée",E1916="Signature"),MAX(0,N(IFERROR(INDEX('Paramètres'!$R$6:$R$15,MATCH(IF(AL1916&lt;&gt;"",AL1916,IFERROR(INDEX('Prospects'!$AN$5:$AN$504,MATCH(C1916,'Prospects'!$C$5:$C$504,0)),"")),'Paramètres'!$Q$6:$Q$15,0)),0))-N(P1916)),0)))</f>
        <v/>
      </c>
      <c r="AX1916" s="61">
        <f>IF(C1916="","",IF(COUNTIF($C$5:C1916,C1916)=1,MAX($AX$4:AX1915)+1,""))</f>
        <v/>
      </c>
      <c r="AY1916" s="61">
        <f>IF(B1916="","",HOUR(B1916))</f>
        <v/>
      </c>
      <c r="AZ1916" s="61">
        <f>IF(A1916="","",MOD(A1916-2,7)+1)</f>
        <v/>
      </c>
      <c r="BA1916" s="60">
        <f>IF(C1916="","",IFERROR(INDEX('Prospects'!$N$5:$N$504,MATCH(C1916,'Prospects'!$C$5:$C$504,0)),""))</f>
        <v/>
      </c>
      <c r="BB1916" s="61">
        <f>IF(AND(C1916&lt;&gt;"",C1916='Fiche prospect'!$C$4),COUNTIF($C$5:C1916,C1916),"")</f>
        <v/>
      </c>
    </row>
    <row r="1917">
      <c r="A1917" s="53" t="n"/>
      <c r="B1917" s="54" t="n"/>
      <c r="C1917" s="55" t="n"/>
      <c r="D1917" s="55" t="n"/>
      <c r="E1917" s="55" t="n"/>
      <c r="F1917" s="55" t="n"/>
      <c r="G1917" s="56" t="n"/>
      <c r="H1917" s="57" t="n"/>
      <c r="I1917" s="55" t="n"/>
      <c r="J1917" s="53" t="n"/>
      <c r="K1917" s="54" t="n"/>
      <c r="L1917" s="55" t="n"/>
      <c r="M1917" s="55" t="n"/>
      <c r="N1917" s="57" t="n"/>
      <c r="O1917" s="55" t="n"/>
      <c r="P1917" s="56" t="n"/>
      <c r="Q1917" s="55" t="n"/>
      <c r="R1917" s="55" t="n"/>
      <c r="S1917" s="55" t="n"/>
      <c r="T1917" s="55" t="n"/>
      <c r="U1917" s="55" t="n"/>
      <c r="V1917" s="55" t="n"/>
      <c r="W1917" s="58" t="n"/>
      <c r="X1917" s="58" t="n"/>
      <c r="Y1917" s="55" t="n"/>
      <c r="Z1917" s="55" t="n"/>
      <c r="AA1917" s="55" t="n"/>
      <c r="AB1917" s="55" t="n"/>
      <c r="AC1917" s="55" t="n"/>
      <c r="AD1917" s="53" t="n"/>
      <c r="AE1917" s="55" t="n"/>
      <c r="AF1917" s="55" t="n"/>
      <c r="AG1917" s="59" t="n"/>
      <c r="AH1917" s="57" t="n"/>
      <c r="AI1917" s="55" t="n"/>
      <c r="AJ1917" s="55" t="n"/>
      <c r="AK1917" s="55" t="n"/>
      <c r="AL1917" s="55" t="n"/>
      <c r="AM1917" s="56" t="n"/>
      <c r="AN1917" s="55" t="n"/>
      <c r="AO1917" s="55" t="n"/>
      <c r="AP1917" s="55" t="n"/>
      <c r="AQ1917" s="55" t="n"/>
      <c r="AR1917" s="60">
        <f>IF(AND(C1917="",E1917=""),"",IF(A1917="","⚠ Date manquante",IF(AND(C1917="",E1917&lt;&gt;"Dépense"),"⚠ Prospect manquant",IF(E1917="","⚠ Action manquante",IF(AND(AU1917=1,D1917=""),"⚠ Canal manquant",IF(AND(W1917&lt;&gt;"",COUNTIFS('Saisie'!$W$5:$W$2004,W1917,'Saisie'!$C$5:$C$2004,"&lt;&gt;"&amp;C1917)&gt;0),"⚠ Numéro déjà utilisé par un autre prospect",IF(AND(J1917&lt;&gt;"",J1917&lt;A1917),"⚠ Relance avant la date de l'action",IF(A1917&gt;TODAY(),"⚠ Date dans le futur","✓"))))))))</f>
        <v/>
      </c>
      <c r="AS1917" s="61">
        <f>IF(AND(A1917="",C1917="",E1917=""),"",ROW())</f>
        <v/>
      </c>
      <c r="AT1917" s="61">
        <f>IF(E1917&amp;F1917="","",MAX(IFERROR(INDEX('Paramètres'!$J$6:$J$33,MATCH(E1917,'Paramètres'!$I$6:$I$33,0)),0),IFERROR(INDEX('Paramètres'!$N$6:$N$17,MATCH(F1917,'Paramètres'!$M$6:$M$17,0)),0)))</f>
        <v/>
      </c>
      <c r="AU1917" s="61">
        <f>IF(E1917="","",IFERROR(IF(INDEX('Paramètres'!$K$6:$K$33,MATCH(E1917,'Paramètres'!$I$6:$I$33,0))="Oui",1,0),0))</f>
        <v/>
      </c>
      <c r="AV1917" s="61">
        <f>IF(F1917="","",IFERROR(IF(INDEX('Paramètres'!$O$6:$O$17,MATCH(F1917,'Paramètres'!$M$6:$M$17,0))="Oui",1,0),0))</f>
        <v/>
      </c>
      <c r="AW1917" s="62">
        <f>IF(E1917="","",IF(G1917&lt;&gt;"",G1917,IF(OR(E1917="Proposition envoyée",E1917="Signature"),MAX(0,N(IFERROR(INDEX('Paramètres'!$R$6:$R$15,MATCH(IF(AL1917&lt;&gt;"",AL1917,IFERROR(INDEX('Prospects'!$AN$5:$AN$504,MATCH(C1917,'Prospects'!$C$5:$C$504,0)),"")),'Paramètres'!$Q$6:$Q$15,0)),0))-N(P1917)),0)))</f>
        <v/>
      </c>
      <c r="AX1917" s="61">
        <f>IF(C1917="","",IF(COUNTIF($C$5:C1917,C1917)=1,MAX($AX$4:AX1916)+1,""))</f>
        <v/>
      </c>
      <c r="AY1917" s="61">
        <f>IF(B1917="","",HOUR(B1917))</f>
        <v/>
      </c>
      <c r="AZ1917" s="61">
        <f>IF(A1917="","",MOD(A1917-2,7)+1)</f>
        <v/>
      </c>
      <c r="BA1917" s="60">
        <f>IF(C1917="","",IFERROR(INDEX('Prospects'!$N$5:$N$504,MATCH(C1917,'Prospects'!$C$5:$C$504,0)),""))</f>
        <v/>
      </c>
      <c r="BB1917" s="61">
        <f>IF(AND(C1917&lt;&gt;"",C1917='Fiche prospect'!$C$4),COUNTIF($C$5:C1917,C1917),"")</f>
        <v/>
      </c>
    </row>
    <row r="1918">
      <c r="A1918" s="53" t="n"/>
      <c r="B1918" s="54" t="n"/>
      <c r="C1918" s="55" t="n"/>
      <c r="D1918" s="55" t="n"/>
      <c r="E1918" s="55" t="n"/>
      <c r="F1918" s="55" t="n"/>
      <c r="G1918" s="56" t="n"/>
      <c r="H1918" s="57" t="n"/>
      <c r="I1918" s="55" t="n"/>
      <c r="J1918" s="53" t="n"/>
      <c r="K1918" s="54" t="n"/>
      <c r="L1918" s="55" t="n"/>
      <c r="M1918" s="55" t="n"/>
      <c r="N1918" s="57" t="n"/>
      <c r="O1918" s="55" t="n"/>
      <c r="P1918" s="56" t="n"/>
      <c r="Q1918" s="55" t="n"/>
      <c r="R1918" s="55" t="n"/>
      <c r="S1918" s="55" t="n"/>
      <c r="T1918" s="55" t="n"/>
      <c r="U1918" s="55" t="n"/>
      <c r="V1918" s="55" t="n"/>
      <c r="W1918" s="58" t="n"/>
      <c r="X1918" s="58" t="n"/>
      <c r="Y1918" s="55" t="n"/>
      <c r="Z1918" s="55" t="n"/>
      <c r="AA1918" s="55" t="n"/>
      <c r="AB1918" s="55" t="n"/>
      <c r="AC1918" s="55" t="n"/>
      <c r="AD1918" s="53" t="n"/>
      <c r="AE1918" s="55" t="n"/>
      <c r="AF1918" s="55" t="n"/>
      <c r="AG1918" s="59" t="n"/>
      <c r="AH1918" s="57" t="n"/>
      <c r="AI1918" s="55" t="n"/>
      <c r="AJ1918" s="55" t="n"/>
      <c r="AK1918" s="55" t="n"/>
      <c r="AL1918" s="55" t="n"/>
      <c r="AM1918" s="56" t="n"/>
      <c r="AN1918" s="55" t="n"/>
      <c r="AO1918" s="55" t="n"/>
      <c r="AP1918" s="55" t="n"/>
      <c r="AQ1918" s="55" t="n"/>
      <c r="AR1918" s="60">
        <f>IF(AND(C1918="",E1918=""),"",IF(A1918="","⚠ Date manquante",IF(AND(C1918="",E1918&lt;&gt;"Dépense"),"⚠ Prospect manquant",IF(E1918="","⚠ Action manquante",IF(AND(AU1918=1,D1918=""),"⚠ Canal manquant",IF(AND(W1918&lt;&gt;"",COUNTIFS('Saisie'!$W$5:$W$2004,W1918,'Saisie'!$C$5:$C$2004,"&lt;&gt;"&amp;C1918)&gt;0),"⚠ Numéro déjà utilisé par un autre prospect",IF(AND(J1918&lt;&gt;"",J1918&lt;A1918),"⚠ Relance avant la date de l'action",IF(A1918&gt;TODAY(),"⚠ Date dans le futur","✓"))))))))</f>
        <v/>
      </c>
      <c r="AS1918" s="61">
        <f>IF(AND(A1918="",C1918="",E1918=""),"",ROW())</f>
        <v/>
      </c>
      <c r="AT1918" s="61">
        <f>IF(E1918&amp;F1918="","",MAX(IFERROR(INDEX('Paramètres'!$J$6:$J$33,MATCH(E1918,'Paramètres'!$I$6:$I$33,0)),0),IFERROR(INDEX('Paramètres'!$N$6:$N$17,MATCH(F1918,'Paramètres'!$M$6:$M$17,0)),0)))</f>
        <v/>
      </c>
      <c r="AU1918" s="61">
        <f>IF(E1918="","",IFERROR(IF(INDEX('Paramètres'!$K$6:$K$33,MATCH(E1918,'Paramètres'!$I$6:$I$33,0))="Oui",1,0),0))</f>
        <v/>
      </c>
      <c r="AV1918" s="61">
        <f>IF(F1918="","",IFERROR(IF(INDEX('Paramètres'!$O$6:$O$17,MATCH(F1918,'Paramètres'!$M$6:$M$17,0))="Oui",1,0),0))</f>
        <v/>
      </c>
      <c r="AW1918" s="62">
        <f>IF(E1918="","",IF(G1918&lt;&gt;"",G1918,IF(OR(E1918="Proposition envoyée",E1918="Signature"),MAX(0,N(IFERROR(INDEX('Paramètres'!$R$6:$R$15,MATCH(IF(AL1918&lt;&gt;"",AL1918,IFERROR(INDEX('Prospects'!$AN$5:$AN$504,MATCH(C1918,'Prospects'!$C$5:$C$504,0)),"")),'Paramètres'!$Q$6:$Q$15,0)),0))-N(P1918)),0)))</f>
        <v/>
      </c>
      <c r="AX1918" s="61">
        <f>IF(C1918="","",IF(COUNTIF($C$5:C1918,C1918)=1,MAX($AX$4:AX1917)+1,""))</f>
        <v/>
      </c>
      <c r="AY1918" s="61">
        <f>IF(B1918="","",HOUR(B1918))</f>
        <v/>
      </c>
      <c r="AZ1918" s="61">
        <f>IF(A1918="","",MOD(A1918-2,7)+1)</f>
        <v/>
      </c>
      <c r="BA1918" s="60">
        <f>IF(C1918="","",IFERROR(INDEX('Prospects'!$N$5:$N$504,MATCH(C1918,'Prospects'!$C$5:$C$504,0)),""))</f>
        <v/>
      </c>
      <c r="BB1918" s="61">
        <f>IF(AND(C1918&lt;&gt;"",C1918='Fiche prospect'!$C$4),COUNTIF($C$5:C1918,C1918),"")</f>
        <v/>
      </c>
    </row>
    <row r="1919">
      <c r="A1919" s="53" t="n"/>
      <c r="B1919" s="54" t="n"/>
      <c r="C1919" s="55" t="n"/>
      <c r="D1919" s="55" t="n"/>
      <c r="E1919" s="55" t="n"/>
      <c r="F1919" s="55" t="n"/>
      <c r="G1919" s="56" t="n"/>
      <c r="H1919" s="57" t="n"/>
      <c r="I1919" s="55" t="n"/>
      <c r="J1919" s="53" t="n"/>
      <c r="K1919" s="54" t="n"/>
      <c r="L1919" s="55" t="n"/>
      <c r="M1919" s="55" t="n"/>
      <c r="N1919" s="57" t="n"/>
      <c r="O1919" s="55" t="n"/>
      <c r="P1919" s="56" t="n"/>
      <c r="Q1919" s="55" t="n"/>
      <c r="R1919" s="55" t="n"/>
      <c r="S1919" s="55" t="n"/>
      <c r="T1919" s="55" t="n"/>
      <c r="U1919" s="55" t="n"/>
      <c r="V1919" s="55" t="n"/>
      <c r="W1919" s="58" t="n"/>
      <c r="X1919" s="58" t="n"/>
      <c r="Y1919" s="55" t="n"/>
      <c r="Z1919" s="55" t="n"/>
      <c r="AA1919" s="55" t="n"/>
      <c r="AB1919" s="55" t="n"/>
      <c r="AC1919" s="55" t="n"/>
      <c r="AD1919" s="53" t="n"/>
      <c r="AE1919" s="55" t="n"/>
      <c r="AF1919" s="55" t="n"/>
      <c r="AG1919" s="59" t="n"/>
      <c r="AH1919" s="57" t="n"/>
      <c r="AI1919" s="55" t="n"/>
      <c r="AJ1919" s="55" t="n"/>
      <c r="AK1919" s="55" t="n"/>
      <c r="AL1919" s="55" t="n"/>
      <c r="AM1919" s="56" t="n"/>
      <c r="AN1919" s="55" t="n"/>
      <c r="AO1919" s="55" t="n"/>
      <c r="AP1919" s="55" t="n"/>
      <c r="AQ1919" s="55" t="n"/>
      <c r="AR1919" s="60">
        <f>IF(AND(C1919="",E1919=""),"",IF(A1919="","⚠ Date manquante",IF(AND(C1919="",E1919&lt;&gt;"Dépense"),"⚠ Prospect manquant",IF(E1919="","⚠ Action manquante",IF(AND(AU1919=1,D1919=""),"⚠ Canal manquant",IF(AND(W1919&lt;&gt;"",COUNTIFS('Saisie'!$W$5:$W$2004,W1919,'Saisie'!$C$5:$C$2004,"&lt;&gt;"&amp;C1919)&gt;0),"⚠ Numéro déjà utilisé par un autre prospect",IF(AND(J1919&lt;&gt;"",J1919&lt;A1919),"⚠ Relance avant la date de l'action",IF(A1919&gt;TODAY(),"⚠ Date dans le futur","✓"))))))))</f>
        <v/>
      </c>
      <c r="AS1919" s="61">
        <f>IF(AND(A1919="",C1919="",E1919=""),"",ROW())</f>
        <v/>
      </c>
      <c r="AT1919" s="61">
        <f>IF(E1919&amp;F1919="","",MAX(IFERROR(INDEX('Paramètres'!$J$6:$J$33,MATCH(E1919,'Paramètres'!$I$6:$I$33,0)),0),IFERROR(INDEX('Paramètres'!$N$6:$N$17,MATCH(F1919,'Paramètres'!$M$6:$M$17,0)),0)))</f>
        <v/>
      </c>
      <c r="AU1919" s="61">
        <f>IF(E1919="","",IFERROR(IF(INDEX('Paramètres'!$K$6:$K$33,MATCH(E1919,'Paramètres'!$I$6:$I$33,0))="Oui",1,0),0))</f>
        <v/>
      </c>
      <c r="AV1919" s="61">
        <f>IF(F1919="","",IFERROR(IF(INDEX('Paramètres'!$O$6:$O$17,MATCH(F1919,'Paramètres'!$M$6:$M$17,0))="Oui",1,0),0))</f>
        <v/>
      </c>
      <c r="AW1919" s="62">
        <f>IF(E1919="","",IF(G1919&lt;&gt;"",G1919,IF(OR(E1919="Proposition envoyée",E1919="Signature"),MAX(0,N(IFERROR(INDEX('Paramètres'!$R$6:$R$15,MATCH(IF(AL1919&lt;&gt;"",AL1919,IFERROR(INDEX('Prospects'!$AN$5:$AN$504,MATCH(C1919,'Prospects'!$C$5:$C$504,0)),"")),'Paramètres'!$Q$6:$Q$15,0)),0))-N(P1919)),0)))</f>
        <v/>
      </c>
      <c r="AX1919" s="61">
        <f>IF(C1919="","",IF(COUNTIF($C$5:C1919,C1919)=1,MAX($AX$4:AX1918)+1,""))</f>
        <v/>
      </c>
      <c r="AY1919" s="61">
        <f>IF(B1919="","",HOUR(B1919))</f>
        <v/>
      </c>
      <c r="AZ1919" s="61">
        <f>IF(A1919="","",MOD(A1919-2,7)+1)</f>
        <v/>
      </c>
      <c r="BA1919" s="60">
        <f>IF(C1919="","",IFERROR(INDEX('Prospects'!$N$5:$N$504,MATCH(C1919,'Prospects'!$C$5:$C$504,0)),""))</f>
        <v/>
      </c>
      <c r="BB1919" s="61">
        <f>IF(AND(C1919&lt;&gt;"",C1919='Fiche prospect'!$C$4),COUNTIF($C$5:C1919,C1919),"")</f>
        <v/>
      </c>
    </row>
    <row r="1920">
      <c r="A1920" s="53" t="n"/>
      <c r="B1920" s="54" t="n"/>
      <c r="C1920" s="55" t="n"/>
      <c r="D1920" s="55" t="n"/>
      <c r="E1920" s="55" t="n"/>
      <c r="F1920" s="55" t="n"/>
      <c r="G1920" s="56" t="n"/>
      <c r="H1920" s="57" t="n"/>
      <c r="I1920" s="55" t="n"/>
      <c r="J1920" s="53" t="n"/>
      <c r="K1920" s="54" t="n"/>
      <c r="L1920" s="55" t="n"/>
      <c r="M1920" s="55" t="n"/>
      <c r="N1920" s="57" t="n"/>
      <c r="O1920" s="55" t="n"/>
      <c r="P1920" s="56" t="n"/>
      <c r="Q1920" s="55" t="n"/>
      <c r="R1920" s="55" t="n"/>
      <c r="S1920" s="55" t="n"/>
      <c r="T1920" s="55" t="n"/>
      <c r="U1920" s="55" t="n"/>
      <c r="V1920" s="55" t="n"/>
      <c r="W1920" s="58" t="n"/>
      <c r="X1920" s="58" t="n"/>
      <c r="Y1920" s="55" t="n"/>
      <c r="Z1920" s="55" t="n"/>
      <c r="AA1920" s="55" t="n"/>
      <c r="AB1920" s="55" t="n"/>
      <c r="AC1920" s="55" t="n"/>
      <c r="AD1920" s="53" t="n"/>
      <c r="AE1920" s="55" t="n"/>
      <c r="AF1920" s="55" t="n"/>
      <c r="AG1920" s="59" t="n"/>
      <c r="AH1920" s="57" t="n"/>
      <c r="AI1920" s="55" t="n"/>
      <c r="AJ1920" s="55" t="n"/>
      <c r="AK1920" s="55" t="n"/>
      <c r="AL1920" s="55" t="n"/>
      <c r="AM1920" s="56" t="n"/>
      <c r="AN1920" s="55" t="n"/>
      <c r="AO1920" s="55" t="n"/>
      <c r="AP1920" s="55" t="n"/>
      <c r="AQ1920" s="55" t="n"/>
      <c r="AR1920" s="60">
        <f>IF(AND(C1920="",E1920=""),"",IF(A1920="","⚠ Date manquante",IF(AND(C1920="",E1920&lt;&gt;"Dépense"),"⚠ Prospect manquant",IF(E1920="","⚠ Action manquante",IF(AND(AU1920=1,D1920=""),"⚠ Canal manquant",IF(AND(W1920&lt;&gt;"",COUNTIFS('Saisie'!$W$5:$W$2004,W1920,'Saisie'!$C$5:$C$2004,"&lt;&gt;"&amp;C1920)&gt;0),"⚠ Numéro déjà utilisé par un autre prospect",IF(AND(J1920&lt;&gt;"",J1920&lt;A1920),"⚠ Relance avant la date de l'action",IF(A1920&gt;TODAY(),"⚠ Date dans le futur","✓"))))))))</f>
        <v/>
      </c>
      <c r="AS1920" s="61">
        <f>IF(AND(A1920="",C1920="",E1920=""),"",ROW())</f>
        <v/>
      </c>
      <c r="AT1920" s="61">
        <f>IF(E1920&amp;F1920="","",MAX(IFERROR(INDEX('Paramètres'!$J$6:$J$33,MATCH(E1920,'Paramètres'!$I$6:$I$33,0)),0),IFERROR(INDEX('Paramètres'!$N$6:$N$17,MATCH(F1920,'Paramètres'!$M$6:$M$17,0)),0)))</f>
        <v/>
      </c>
      <c r="AU1920" s="61">
        <f>IF(E1920="","",IFERROR(IF(INDEX('Paramètres'!$K$6:$K$33,MATCH(E1920,'Paramètres'!$I$6:$I$33,0))="Oui",1,0),0))</f>
        <v/>
      </c>
      <c r="AV1920" s="61">
        <f>IF(F1920="","",IFERROR(IF(INDEX('Paramètres'!$O$6:$O$17,MATCH(F1920,'Paramètres'!$M$6:$M$17,0))="Oui",1,0),0))</f>
        <v/>
      </c>
      <c r="AW1920" s="62">
        <f>IF(E1920="","",IF(G1920&lt;&gt;"",G1920,IF(OR(E1920="Proposition envoyée",E1920="Signature"),MAX(0,N(IFERROR(INDEX('Paramètres'!$R$6:$R$15,MATCH(IF(AL1920&lt;&gt;"",AL1920,IFERROR(INDEX('Prospects'!$AN$5:$AN$504,MATCH(C1920,'Prospects'!$C$5:$C$504,0)),"")),'Paramètres'!$Q$6:$Q$15,0)),0))-N(P1920)),0)))</f>
        <v/>
      </c>
      <c r="AX1920" s="61">
        <f>IF(C1920="","",IF(COUNTIF($C$5:C1920,C1920)=1,MAX($AX$4:AX1919)+1,""))</f>
        <v/>
      </c>
      <c r="AY1920" s="61">
        <f>IF(B1920="","",HOUR(B1920))</f>
        <v/>
      </c>
      <c r="AZ1920" s="61">
        <f>IF(A1920="","",MOD(A1920-2,7)+1)</f>
        <v/>
      </c>
      <c r="BA1920" s="60">
        <f>IF(C1920="","",IFERROR(INDEX('Prospects'!$N$5:$N$504,MATCH(C1920,'Prospects'!$C$5:$C$504,0)),""))</f>
        <v/>
      </c>
      <c r="BB1920" s="61">
        <f>IF(AND(C1920&lt;&gt;"",C1920='Fiche prospect'!$C$4),COUNTIF($C$5:C1920,C1920),"")</f>
        <v/>
      </c>
    </row>
    <row r="1921">
      <c r="A1921" s="53" t="n"/>
      <c r="B1921" s="54" t="n"/>
      <c r="C1921" s="55" t="n"/>
      <c r="D1921" s="55" t="n"/>
      <c r="E1921" s="55" t="n"/>
      <c r="F1921" s="55" t="n"/>
      <c r="G1921" s="56" t="n"/>
      <c r="H1921" s="57" t="n"/>
      <c r="I1921" s="55" t="n"/>
      <c r="J1921" s="53" t="n"/>
      <c r="K1921" s="54" t="n"/>
      <c r="L1921" s="55" t="n"/>
      <c r="M1921" s="55" t="n"/>
      <c r="N1921" s="57" t="n"/>
      <c r="O1921" s="55" t="n"/>
      <c r="P1921" s="56" t="n"/>
      <c r="Q1921" s="55" t="n"/>
      <c r="R1921" s="55" t="n"/>
      <c r="S1921" s="55" t="n"/>
      <c r="T1921" s="55" t="n"/>
      <c r="U1921" s="55" t="n"/>
      <c r="V1921" s="55" t="n"/>
      <c r="W1921" s="58" t="n"/>
      <c r="X1921" s="58" t="n"/>
      <c r="Y1921" s="55" t="n"/>
      <c r="Z1921" s="55" t="n"/>
      <c r="AA1921" s="55" t="n"/>
      <c r="AB1921" s="55" t="n"/>
      <c r="AC1921" s="55" t="n"/>
      <c r="AD1921" s="53" t="n"/>
      <c r="AE1921" s="55" t="n"/>
      <c r="AF1921" s="55" t="n"/>
      <c r="AG1921" s="59" t="n"/>
      <c r="AH1921" s="57" t="n"/>
      <c r="AI1921" s="55" t="n"/>
      <c r="AJ1921" s="55" t="n"/>
      <c r="AK1921" s="55" t="n"/>
      <c r="AL1921" s="55" t="n"/>
      <c r="AM1921" s="56" t="n"/>
      <c r="AN1921" s="55" t="n"/>
      <c r="AO1921" s="55" t="n"/>
      <c r="AP1921" s="55" t="n"/>
      <c r="AQ1921" s="55" t="n"/>
      <c r="AR1921" s="60">
        <f>IF(AND(C1921="",E1921=""),"",IF(A1921="","⚠ Date manquante",IF(AND(C1921="",E1921&lt;&gt;"Dépense"),"⚠ Prospect manquant",IF(E1921="","⚠ Action manquante",IF(AND(AU1921=1,D1921=""),"⚠ Canal manquant",IF(AND(W1921&lt;&gt;"",COUNTIFS('Saisie'!$W$5:$W$2004,W1921,'Saisie'!$C$5:$C$2004,"&lt;&gt;"&amp;C1921)&gt;0),"⚠ Numéro déjà utilisé par un autre prospect",IF(AND(J1921&lt;&gt;"",J1921&lt;A1921),"⚠ Relance avant la date de l'action",IF(A1921&gt;TODAY(),"⚠ Date dans le futur","✓"))))))))</f>
        <v/>
      </c>
      <c r="AS1921" s="61">
        <f>IF(AND(A1921="",C1921="",E1921=""),"",ROW())</f>
        <v/>
      </c>
      <c r="AT1921" s="61">
        <f>IF(E1921&amp;F1921="","",MAX(IFERROR(INDEX('Paramètres'!$J$6:$J$33,MATCH(E1921,'Paramètres'!$I$6:$I$33,0)),0),IFERROR(INDEX('Paramètres'!$N$6:$N$17,MATCH(F1921,'Paramètres'!$M$6:$M$17,0)),0)))</f>
        <v/>
      </c>
      <c r="AU1921" s="61">
        <f>IF(E1921="","",IFERROR(IF(INDEX('Paramètres'!$K$6:$K$33,MATCH(E1921,'Paramètres'!$I$6:$I$33,0))="Oui",1,0),0))</f>
        <v/>
      </c>
      <c r="AV1921" s="61">
        <f>IF(F1921="","",IFERROR(IF(INDEX('Paramètres'!$O$6:$O$17,MATCH(F1921,'Paramètres'!$M$6:$M$17,0))="Oui",1,0),0))</f>
        <v/>
      </c>
      <c r="AW1921" s="62">
        <f>IF(E1921="","",IF(G1921&lt;&gt;"",G1921,IF(OR(E1921="Proposition envoyée",E1921="Signature"),MAX(0,N(IFERROR(INDEX('Paramètres'!$R$6:$R$15,MATCH(IF(AL1921&lt;&gt;"",AL1921,IFERROR(INDEX('Prospects'!$AN$5:$AN$504,MATCH(C1921,'Prospects'!$C$5:$C$504,0)),"")),'Paramètres'!$Q$6:$Q$15,0)),0))-N(P1921)),0)))</f>
        <v/>
      </c>
      <c r="AX1921" s="61">
        <f>IF(C1921="","",IF(COUNTIF($C$5:C1921,C1921)=1,MAX($AX$4:AX1920)+1,""))</f>
        <v/>
      </c>
      <c r="AY1921" s="61">
        <f>IF(B1921="","",HOUR(B1921))</f>
        <v/>
      </c>
      <c r="AZ1921" s="61">
        <f>IF(A1921="","",MOD(A1921-2,7)+1)</f>
        <v/>
      </c>
      <c r="BA1921" s="60">
        <f>IF(C1921="","",IFERROR(INDEX('Prospects'!$N$5:$N$504,MATCH(C1921,'Prospects'!$C$5:$C$504,0)),""))</f>
        <v/>
      </c>
      <c r="BB1921" s="61">
        <f>IF(AND(C1921&lt;&gt;"",C1921='Fiche prospect'!$C$4),COUNTIF($C$5:C1921,C1921),"")</f>
        <v/>
      </c>
    </row>
    <row r="1922">
      <c r="A1922" s="53" t="n"/>
      <c r="B1922" s="54" t="n"/>
      <c r="C1922" s="55" t="n"/>
      <c r="D1922" s="55" t="n"/>
      <c r="E1922" s="55" t="n"/>
      <c r="F1922" s="55" t="n"/>
      <c r="G1922" s="56" t="n"/>
      <c r="H1922" s="57" t="n"/>
      <c r="I1922" s="55" t="n"/>
      <c r="J1922" s="53" t="n"/>
      <c r="K1922" s="54" t="n"/>
      <c r="L1922" s="55" t="n"/>
      <c r="M1922" s="55" t="n"/>
      <c r="N1922" s="57" t="n"/>
      <c r="O1922" s="55" t="n"/>
      <c r="P1922" s="56" t="n"/>
      <c r="Q1922" s="55" t="n"/>
      <c r="R1922" s="55" t="n"/>
      <c r="S1922" s="55" t="n"/>
      <c r="T1922" s="55" t="n"/>
      <c r="U1922" s="55" t="n"/>
      <c r="V1922" s="55" t="n"/>
      <c r="W1922" s="58" t="n"/>
      <c r="X1922" s="58" t="n"/>
      <c r="Y1922" s="55" t="n"/>
      <c r="Z1922" s="55" t="n"/>
      <c r="AA1922" s="55" t="n"/>
      <c r="AB1922" s="55" t="n"/>
      <c r="AC1922" s="55" t="n"/>
      <c r="AD1922" s="53" t="n"/>
      <c r="AE1922" s="55" t="n"/>
      <c r="AF1922" s="55" t="n"/>
      <c r="AG1922" s="59" t="n"/>
      <c r="AH1922" s="57" t="n"/>
      <c r="AI1922" s="55" t="n"/>
      <c r="AJ1922" s="55" t="n"/>
      <c r="AK1922" s="55" t="n"/>
      <c r="AL1922" s="55" t="n"/>
      <c r="AM1922" s="56" t="n"/>
      <c r="AN1922" s="55" t="n"/>
      <c r="AO1922" s="55" t="n"/>
      <c r="AP1922" s="55" t="n"/>
      <c r="AQ1922" s="55" t="n"/>
      <c r="AR1922" s="60">
        <f>IF(AND(C1922="",E1922=""),"",IF(A1922="","⚠ Date manquante",IF(AND(C1922="",E1922&lt;&gt;"Dépense"),"⚠ Prospect manquant",IF(E1922="","⚠ Action manquante",IF(AND(AU1922=1,D1922=""),"⚠ Canal manquant",IF(AND(W1922&lt;&gt;"",COUNTIFS('Saisie'!$W$5:$W$2004,W1922,'Saisie'!$C$5:$C$2004,"&lt;&gt;"&amp;C1922)&gt;0),"⚠ Numéro déjà utilisé par un autre prospect",IF(AND(J1922&lt;&gt;"",J1922&lt;A1922),"⚠ Relance avant la date de l'action",IF(A1922&gt;TODAY(),"⚠ Date dans le futur","✓"))))))))</f>
        <v/>
      </c>
      <c r="AS1922" s="61">
        <f>IF(AND(A1922="",C1922="",E1922=""),"",ROW())</f>
        <v/>
      </c>
      <c r="AT1922" s="61">
        <f>IF(E1922&amp;F1922="","",MAX(IFERROR(INDEX('Paramètres'!$J$6:$J$33,MATCH(E1922,'Paramètres'!$I$6:$I$33,0)),0),IFERROR(INDEX('Paramètres'!$N$6:$N$17,MATCH(F1922,'Paramètres'!$M$6:$M$17,0)),0)))</f>
        <v/>
      </c>
      <c r="AU1922" s="61">
        <f>IF(E1922="","",IFERROR(IF(INDEX('Paramètres'!$K$6:$K$33,MATCH(E1922,'Paramètres'!$I$6:$I$33,0))="Oui",1,0),0))</f>
        <v/>
      </c>
      <c r="AV1922" s="61">
        <f>IF(F1922="","",IFERROR(IF(INDEX('Paramètres'!$O$6:$O$17,MATCH(F1922,'Paramètres'!$M$6:$M$17,0))="Oui",1,0),0))</f>
        <v/>
      </c>
      <c r="AW1922" s="62">
        <f>IF(E1922="","",IF(G1922&lt;&gt;"",G1922,IF(OR(E1922="Proposition envoyée",E1922="Signature"),MAX(0,N(IFERROR(INDEX('Paramètres'!$R$6:$R$15,MATCH(IF(AL1922&lt;&gt;"",AL1922,IFERROR(INDEX('Prospects'!$AN$5:$AN$504,MATCH(C1922,'Prospects'!$C$5:$C$504,0)),"")),'Paramètres'!$Q$6:$Q$15,0)),0))-N(P1922)),0)))</f>
        <v/>
      </c>
      <c r="AX1922" s="61">
        <f>IF(C1922="","",IF(COUNTIF($C$5:C1922,C1922)=1,MAX($AX$4:AX1921)+1,""))</f>
        <v/>
      </c>
      <c r="AY1922" s="61">
        <f>IF(B1922="","",HOUR(B1922))</f>
        <v/>
      </c>
      <c r="AZ1922" s="61">
        <f>IF(A1922="","",MOD(A1922-2,7)+1)</f>
        <v/>
      </c>
      <c r="BA1922" s="60">
        <f>IF(C1922="","",IFERROR(INDEX('Prospects'!$N$5:$N$504,MATCH(C1922,'Prospects'!$C$5:$C$504,0)),""))</f>
        <v/>
      </c>
      <c r="BB1922" s="61">
        <f>IF(AND(C1922&lt;&gt;"",C1922='Fiche prospect'!$C$4),COUNTIF($C$5:C1922,C1922),"")</f>
        <v/>
      </c>
    </row>
    <row r="1923">
      <c r="A1923" s="53" t="n"/>
      <c r="B1923" s="54" t="n"/>
      <c r="C1923" s="55" t="n"/>
      <c r="D1923" s="55" t="n"/>
      <c r="E1923" s="55" t="n"/>
      <c r="F1923" s="55" t="n"/>
      <c r="G1923" s="56" t="n"/>
      <c r="H1923" s="57" t="n"/>
      <c r="I1923" s="55" t="n"/>
      <c r="J1923" s="53" t="n"/>
      <c r="K1923" s="54" t="n"/>
      <c r="L1923" s="55" t="n"/>
      <c r="M1923" s="55" t="n"/>
      <c r="N1923" s="57" t="n"/>
      <c r="O1923" s="55" t="n"/>
      <c r="P1923" s="56" t="n"/>
      <c r="Q1923" s="55" t="n"/>
      <c r="R1923" s="55" t="n"/>
      <c r="S1923" s="55" t="n"/>
      <c r="T1923" s="55" t="n"/>
      <c r="U1923" s="55" t="n"/>
      <c r="V1923" s="55" t="n"/>
      <c r="W1923" s="58" t="n"/>
      <c r="X1923" s="58" t="n"/>
      <c r="Y1923" s="55" t="n"/>
      <c r="Z1923" s="55" t="n"/>
      <c r="AA1923" s="55" t="n"/>
      <c r="AB1923" s="55" t="n"/>
      <c r="AC1923" s="55" t="n"/>
      <c r="AD1923" s="53" t="n"/>
      <c r="AE1923" s="55" t="n"/>
      <c r="AF1923" s="55" t="n"/>
      <c r="AG1923" s="59" t="n"/>
      <c r="AH1923" s="57" t="n"/>
      <c r="AI1923" s="55" t="n"/>
      <c r="AJ1923" s="55" t="n"/>
      <c r="AK1923" s="55" t="n"/>
      <c r="AL1923" s="55" t="n"/>
      <c r="AM1923" s="56" t="n"/>
      <c r="AN1923" s="55" t="n"/>
      <c r="AO1923" s="55" t="n"/>
      <c r="AP1923" s="55" t="n"/>
      <c r="AQ1923" s="55" t="n"/>
      <c r="AR1923" s="60">
        <f>IF(AND(C1923="",E1923=""),"",IF(A1923="","⚠ Date manquante",IF(AND(C1923="",E1923&lt;&gt;"Dépense"),"⚠ Prospect manquant",IF(E1923="","⚠ Action manquante",IF(AND(AU1923=1,D1923=""),"⚠ Canal manquant",IF(AND(W1923&lt;&gt;"",COUNTIFS('Saisie'!$W$5:$W$2004,W1923,'Saisie'!$C$5:$C$2004,"&lt;&gt;"&amp;C1923)&gt;0),"⚠ Numéro déjà utilisé par un autre prospect",IF(AND(J1923&lt;&gt;"",J1923&lt;A1923),"⚠ Relance avant la date de l'action",IF(A1923&gt;TODAY(),"⚠ Date dans le futur","✓"))))))))</f>
        <v/>
      </c>
      <c r="AS1923" s="61">
        <f>IF(AND(A1923="",C1923="",E1923=""),"",ROW())</f>
        <v/>
      </c>
      <c r="AT1923" s="61">
        <f>IF(E1923&amp;F1923="","",MAX(IFERROR(INDEX('Paramètres'!$J$6:$J$33,MATCH(E1923,'Paramètres'!$I$6:$I$33,0)),0),IFERROR(INDEX('Paramètres'!$N$6:$N$17,MATCH(F1923,'Paramètres'!$M$6:$M$17,0)),0)))</f>
        <v/>
      </c>
      <c r="AU1923" s="61">
        <f>IF(E1923="","",IFERROR(IF(INDEX('Paramètres'!$K$6:$K$33,MATCH(E1923,'Paramètres'!$I$6:$I$33,0))="Oui",1,0),0))</f>
        <v/>
      </c>
      <c r="AV1923" s="61">
        <f>IF(F1923="","",IFERROR(IF(INDEX('Paramètres'!$O$6:$O$17,MATCH(F1923,'Paramètres'!$M$6:$M$17,0))="Oui",1,0),0))</f>
        <v/>
      </c>
      <c r="AW1923" s="62">
        <f>IF(E1923="","",IF(G1923&lt;&gt;"",G1923,IF(OR(E1923="Proposition envoyée",E1923="Signature"),MAX(0,N(IFERROR(INDEX('Paramètres'!$R$6:$R$15,MATCH(IF(AL1923&lt;&gt;"",AL1923,IFERROR(INDEX('Prospects'!$AN$5:$AN$504,MATCH(C1923,'Prospects'!$C$5:$C$504,0)),"")),'Paramètres'!$Q$6:$Q$15,0)),0))-N(P1923)),0)))</f>
        <v/>
      </c>
      <c r="AX1923" s="61">
        <f>IF(C1923="","",IF(COUNTIF($C$5:C1923,C1923)=1,MAX($AX$4:AX1922)+1,""))</f>
        <v/>
      </c>
      <c r="AY1923" s="61">
        <f>IF(B1923="","",HOUR(B1923))</f>
        <v/>
      </c>
      <c r="AZ1923" s="61">
        <f>IF(A1923="","",MOD(A1923-2,7)+1)</f>
        <v/>
      </c>
      <c r="BA1923" s="60">
        <f>IF(C1923="","",IFERROR(INDEX('Prospects'!$N$5:$N$504,MATCH(C1923,'Prospects'!$C$5:$C$504,0)),""))</f>
        <v/>
      </c>
      <c r="BB1923" s="61">
        <f>IF(AND(C1923&lt;&gt;"",C1923='Fiche prospect'!$C$4),COUNTIF($C$5:C1923,C1923),"")</f>
        <v/>
      </c>
    </row>
    <row r="1924">
      <c r="A1924" s="53" t="n"/>
      <c r="B1924" s="54" t="n"/>
      <c r="C1924" s="55" t="n"/>
      <c r="D1924" s="55" t="n"/>
      <c r="E1924" s="55" t="n"/>
      <c r="F1924" s="55" t="n"/>
      <c r="G1924" s="56" t="n"/>
      <c r="H1924" s="57" t="n"/>
      <c r="I1924" s="55" t="n"/>
      <c r="J1924" s="53" t="n"/>
      <c r="K1924" s="54" t="n"/>
      <c r="L1924" s="55" t="n"/>
      <c r="M1924" s="55" t="n"/>
      <c r="N1924" s="57" t="n"/>
      <c r="O1924" s="55" t="n"/>
      <c r="P1924" s="56" t="n"/>
      <c r="Q1924" s="55" t="n"/>
      <c r="R1924" s="55" t="n"/>
      <c r="S1924" s="55" t="n"/>
      <c r="T1924" s="55" t="n"/>
      <c r="U1924" s="55" t="n"/>
      <c r="V1924" s="55" t="n"/>
      <c r="W1924" s="58" t="n"/>
      <c r="X1924" s="58" t="n"/>
      <c r="Y1924" s="55" t="n"/>
      <c r="Z1924" s="55" t="n"/>
      <c r="AA1924" s="55" t="n"/>
      <c r="AB1924" s="55" t="n"/>
      <c r="AC1924" s="55" t="n"/>
      <c r="AD1924" s="53" t="n"/>
      <c r="AE1924" s="55" t="n"/>
      <c r="AF1924" s="55" t="n"/>
      <c r="AG1924" s="59" t="n"/>
      <c r="AH1924" s="57" t="n"/>
      <c r="AI1924" s="55" t="n"/>
      <c r="AJ1924" s="55" t="n"/>
      <c r="AK1924" s="55" t="n"/>
      <c r="AL1924" s="55" t="n"/>
      <c r="AM1924" s="56" t="n"/>
      <c r="AN1924" s="55" t="n"/>
      <c r="AO1924" s="55" t="n"/>
      <c r="AP1924" s="55" t="n"/>
      <c r="AQ1924" s="55" t="n"/>
      <c r="AR1924" s="60">
        <f>IF(AND(C1924="",E1924=""),"",IF(A1924="","⚠ Date manquante",IF(AND(C1924="",E1924&lt;&gt;"Dépense"),"⚠ Prospect manquant",IF(E1924="","⚠ Action manquante",IF(AND(AU1924=1,D1924=""),"⚠ Canal manquant",IF(AND(W1924&lt;&gt;"",COUNTIFS('Saisie'!$W$5:$W$2004,W1924,'Saisie'!$C$5:$C$2004,"&lt;&gt;"&amp;C1924)&gt;0),"⚠ Numéro déjà utilisé par un autre prospect",IF(AND(J1924&lt;&gt;"",J1924&lt;A1924),"⚠ Relance avant la date de l'action",IF(A1924&gt;TODAY(),"⚠ Date dans le futur","✓"))))))))</f>
        <v/>
      </c>
      <c r="AS1924" s="61">
        <f>IF(AND(A1924="",C1924="",E1924=""),"",ROW())</f>
        <v/>
      </c>
      <c r="AT1924" s="61">
        <f>IF(E1924&amp;F1924="","",MAX(IFERROR(INDEX('Paramètres'!$J$6:$J$33,MATCH(E1924,'Paramètres'!$I$6:$I$33,0)),0),IFERROR(INDEX('Paramètres'!$N$6:$N$17,MATCH(F1924,'Paramètres'!$M$6:$M$17,0)),0)))</f>
        <v/>
      </c>
      <c r="AU1924" s="61">
        <f>IF(E1924="","",IFERROR(IF(INDEX('Paramètres'!$K$6:$K$33,MATCH(E1924,'Paramètres'!$I$6:$I$33,0))="Oui",1,0),0))</f>
        <v/>
      </c>
      <c r="AV1924" s="61">
        <f>IF(F1924="","",IFERROR(IF(INDEX('Paramètres'!$O$6:$O$17,MATCH(F1924,'Paramètres'!$M$6:$M$17,0))="Oui",1,0),0))</f>
        <v/>
      </c>
      <c r="AW1924" s="62">
        <f>IF(E1924="","",IF(G1924&lt;&gt;"",G1924,IF(OR(E1924="Proposition envoyée",E1924="Signature"),MAX(0,N(IFERROR(INDEX('Paramètres'!$R$6:$R$15,MATCH(IF(AL1924&lt;&gt;"",AL1924,IFERROR(INDEX('Prospects'!$AN$5:$AN$504,MATCH(C1924,'Prospects'!$C$5:$C$504,0)),"")),'Paramètres'!$Q$6:$Q$15,0)),0))-N(P1924)),0)))</f>
        <v/>
      </c>
      <c r="AX1924" s="61">
        <f>IF(C1924="","",IF(COUNTIF($C$5:C1924,C1924)=1,MAX($AX$4:AX1923)+1,""))</f>
        <v/>
      </c>
      <c r="AY1924" s="61">
        <f>IF(B1924="","",HOUR(B1924))</f>
        <v/>
      </c>
      <c r="AZ1924" s="61">
        <f>IF(A1924="","",MOD(A1924-2,7)+1)</f>
        <v/>
      </c>
      <c r="BA1924" s="60">
        <f>IF(C1924="","",IFERROR(INDEX('Prospects'!$N$5:$N$504,MATCH(C1924,'Prospects'!$C$5:$C$504,0)),""))</f>
        <v/>
      </c>
      <c r="BB1924" s="61">
        <f>IF(AND(C1924&lt;&gt;"",C1924='Fiche prospect'!$C$4),COUNTIF($C$5:C1924,C1924),"")</f>
        <v/>
      </c>
    </row>
    <row r="1925">
      <c r="A1925" s="53" t="n"/>
      <c r="B1925" s="54" t="n"/>
      <c r="C1925" s="55" t="n"/>
      <c r="D1925" s="55" t="n"/>
      <c r="E1925" s="55" t="n"/>
      <c r="F1925" s="55" t="n"/>
      <c r="G1925" s="56" t="n"/>
      <c r="H1925" s="57" t="n"/>
      <c r="I1925" s="55" t="n"/>
      <c r="J1925" s="53" t="n"/>
      <c r="K1925" s="54" t="n"/>
      <c r="L1925" s="55" t="n"/>
      <c r="M1925" s="55" t="n"/>
      <c r="N1925" s="57" t="n"/>
      <c r="O1925" s="55" t="n"/>
      <c r="P1925" s="56" t="n"/>
      <c r="Q1925" s="55" t="n"/>
      <c r="R1925" s="55" t="n"/>
      <c r="S1925" s="55" t="n"/>
      <c r="T1925" s="55" t="n"/>
      <c r="U1925" s="55" t="n"/>
      <c r="V1925" s="55" t="n"/>
      <c r="W1925" s="58" t="n"/>
      <c r="X1925" s="58" t="n"/>
      <c r="Y1925" s="55" t="n"/>
      <c r="Z1925" s="55" t="n"/>
      <c r="AA1925" s="55" t="n"/>
      <c r="AB1925" s="55" t="n"/>
      <c r="AC1925" s="55" t="n"/>
      <c r="AD1925" s="53" t="n"/>
      <c r="AE1925" s="55" t="n"/>
      <c r="AF1925" s="55" t="n"/>
      <c r="AG1925" s="59" t="n"/>
      <c r="AH1925" s="57" t="n"/>
      <c r="AI1925" s="55" t="n"/>
      <c r="AJ1925" s="55" t="n"/>
      <c r="AK1925" s="55" t="n"/>
      <c r="AL1925" s="55" t="n"/>
      <c r="AM1925" s="56" t="n"/>
      <c r="AN1925" s="55" t="n"/>
      <c r="AO1925" s="55" t="n"/>
      <c r="AP1925" s="55" t="n"/>
      <c r="AQ1925" s="55" t="n"/>
      <c r="AR1925" s="60">
        <f>IF(AND(C1925="",E1925=""),"",IF(A1925="","⚠ Date manquante",IF(AND(C1925="",E1925&lt;&gt;"Dépense"),"⚠ Prospect manquant",IF(E1925="","⚠ Action manquante",IF(AND(AU1925=1,D1925=""),"⚠ Canal manquant",IF(AND(W1925&lt;&gt;"",COUNTIFS('Saisie'!$W$5:$W$2004,W1925,'Saisie'!$C$5:$C$2004,"&lt;&gt;"&amp;C1925)&gt;0),"⚠ Numéro déjà utilisé par un autre prospect",IF(AND(J1925&lt;&gt;"",J1925&lt;A1925),"⚠ Relance avant la date de l'action",IF(A1925&gt;TODAY(),"⚠ Date dans le futur","✓"))))))))</f>
        <v/>
      </c>
      <c r="AS1925" s="61">
        <f>IF(AND(A1925="",C1925="",E1925=""),"",ROW())</f>
        <v/>
      </c>
      <c r="AT1925" s="61">
        <f>IF(E1925&amp;F1925="","",MAX(IFERROR(INDEX('Paramètres'!$J$6:$J$33,MATCH(E1925,'Paramètres'!$I$6:$I$33,0)),0),IFERROR(INDEX('Paramètres'!$N$6:$N$17,MATCH(F1925,'Paramètres'!$M$6:$M$17,0)),0)))</f>
        <v/>
      </c>
      <c r="AU1925" s="61">
        <f>IF(E1925="","",IFERROR(IF(INDEX('Paramètres'!$K$6:$K$33,MATCH(E1925,'Paramètres'!$I$6:$I$33,0))="Oui",1,0),0))</f>
        <v/>
      </c>
      <c r="AV1925" s="61">
        <f>IF(F1925="","",IFERROR(IF(INDEX('Paramètres'!$O$6:$O$17,MATCH(F1925,'Paramètres'!$M$6:$M$17,0))="Oui",1,0),0))</f>
        <v/>
      </c>
      <c r="AW1925" s="62">
        <f>IF(E1925="","",IF(G1925&lt;&gt;"",G1925,IF(OR(E1925="Proposition envoyée",E1925="Signature"),MAX(0,N(IFERROR(INDEX('Paramètres'!$R$6:$R$15,MATCH(IF(AL1925&lt;&gt;"",AL1925,IFERROR(INDEX('Prospects'!$AN$5:$AN$504,MATCH(C1925,'Prospects'!$C$5:$C$504,0)),"")),'Paramètres'!$Q$6:$Q$15,0)),0))-N(P1925)),0)))</f>
        <v/>
      </c>
      <c r="AX1925" s="61">
        <f>IF(C1925="","",IF(COUNTIF($C$5:C1925,C1925)=1,MAX($AX$4:AX1924)+1,""))</f>
        <v/>
      </c>
      <c r="AY1925" s="61">
        <f>IF(B1925="","",HOUR(B1925))</f>
        <v/>
      </c>
      <c r="AZ1925" s="61">
        <f>IF(A1925="","",MOD(A1925-2,7)+1)</f>
        <v/>
      </c>
      <c r="BA1925" s="60">
        <f>IF(C1925="","",IFERROR(INDEX('Prospects'!$N$5:$N$504,MATCH(C1925,'Prospects'!$C$5:$C$504,0)),""))</f>
        <v/>
      </c>
      <c r="BB1925" s="61">
        <f>IF(AND(C1925&lt;&gt;"",C1925='Fiche prospect'!$C$4),COUNTIF($C$5:C1925,C1925),"")</f>
        <v/>
      </c>
    </row>
    <row r="1926">
      <c r="A1926" s="53" t="n"/>
      <c r="B1926" s="54" t="n"/>
      <c r="C1926" s="55" t="n"/>
      <c r="D1926" s="55" t="n"/>
      <c r="E1926" s="55" t="n"/>
      <c r="F1926" s="55" t="n"/>
      <c r="G1926" s="56" t="n"/>
      <c r="H1926" s="57" t="n"/>
      <c r="I1926" s="55" t="n"/>
      <c r="J1926" s="53" t="n"/>
      <c r="K1926" s="54" t="n"/>
      <c r="L1926" s="55" t="n"/>
      <c r="M1926" s="55" t="n"/>
      <c r="N1926" s="57" t="n"/>
      <c r="O1926" s="55" t="n"/>
      <c r="P1926" s="56" t="n"/>
      <c r="Q1926" s="55" t="n"/>
      <c r="R1926" s="55" t="n"/>
      <c r="S1926" s="55" t="n"/>
      <c r="T1926" s="55" t="n"/>
      <c r="U1926" s="55" t="n"/>
      <c r="V1926" s="55" t="n"/>
      <c r="W1926" s="58" t="n"/>
      <c r="X1926" s="58" t="n"/>
      <c r="Y1926" s="55" t="n"/>
      <c r="Z1926" s="55" t="n"/>
      <c r="AA1926" s="55" t="n"/>
      <c r="AB1926" s="55" t="n"/>
      <c r="AC1926" s="55" t="n"/>
      <c r="AD1926" s="53" t="n"/>
      <c r="AE1926" s="55" t="n"/>
      <c r="AF1926" s="55" t="n"/>
      <c r="AG1926" s="59" t="n"/>
      <c r="AH1926" s="57" t="n"/>
      <c r="AI1926" s="55" t="n"/>
      <c r="AJ1926" s="55" t="n"/>
      <c r="AK1926" s="55" t="n"/>
      <c r="AL1926" s="55" t="n"/>
      <c r="AM1926" s="56" t="n"/>
      <c r="AN1926" s="55" t="n"/>
      <c r="AO1926" s="55" t="n"/>
      <c r="AP1926" s="55" t="n"/>
      <c r="AQ1926" s="55" t="n"/>
      <c r="AR1926" s="60">
        <f>IF(AND(C1926="",E1926=""),"",IF(A1926="","⚠ Date manquante",IF(AND(C1926="",E1926&lt;&gt;"Dépense"),"⚠ Prospect manquant",IF(E1926="","⚠ Action manquante",IF(AND(AU1926=1,D1926=""),"⚠ Canal manquant",IF(AND(W1926&lt;&gt;"",COUNTIFS('Saisie'!$W$5:$W$2004,W1926,'Saisie'!$C$5:$C$2004,"&lt;&gt;"&amp;C1926)&gt;0),"⚠ Numéro déjà utilisé par un autre prospect",IF(AND(J1926&lt;&gt;"",J1926&lt;A1926),"⚠ Relance avant la date de l'action",IF(A1926&gt;TODAY(),"⚠ Date dans le futur","✓"))))))))</f>
        <v/>
      </c>
      <c r="AS1926" s="61">
        <f>IF(AND(A1926="",C1926="",E1926=""),"",ROW())</f>
        <v/>
      </c>
      <c r="AT1926" s="61">
        <f>IF(E1926&amp;F1926="","",MAX(IFERROR(INDEX('Paramètres'!$J$6:$J$33,MATCH(E1926,'Paramètres'!$I$6:$I$33,0)),0),IFERROR(INDEX('Paramètres'!$N$6:$N$17,MATCH(F1926,'Paramètres'!$M$6:$M$17,0)),0)))</f>
        <v/>
      </c>
      <c r="AU1926" s="61">
        <f>IF(E1926="","",IFERROR(IF(INDEX('Paramètres'!$K$6:$K$33,MATCH(E1926,'Paramètres'!$I$6:$I$33,0))="Oui",1,0),0))</f>
        <v/>
      </c>
      <c r="AV1926" s="61">
        <f>IF(F1926="","",IFERROR(IF(INDEX('Paramètres'!$O$6:$O$17,MATCH(F1926,'Paramètres'!$M$6:$M$17,0))="Oui",1,0),0))</f>
        <v/>
      </c>
      <c r="AW1926" s="62">
        <f>IF(E1926="","",IF(G1926&lt;&gt;"",G1926,IF(OR(E1926="Proposition envoyée",E1926="Signature"),MAX(0,N(IFERROR(INDEX('Paramètres'!$R$6:$R$15,MATCH(IF(AL1926&lt;&gt;"",AL1926,IFERROR(INDEX('Prospects'!$AN$5:$AN$504,MATCH(C1926,'Prospects'!$C$5:$C$504,0)),"")),'Paramètres'!$Q$6:$Q$15,0)),0))-N(P1926)),0)))</f>
        <v/>
      </c>
      <c r="AX1926" s="61">
        <f>IF(C1926="","",IF(COUNTIF($C$5:C1926,C1926)=1,MAX($AX$4:AX1925)+1,""))</f>
        <v/>
      </c>
      <c r="AY1926" s="61">
        <f>IF(B1926="","",HOUR(B1926))</f>
        <v/>
      </c>
      <c r="AZ1926" s="61">
        <f>IF(A1926="","",MOD(A1926-2,7)+1)</f>
        <v/>
      </c>
      <c r="BA1926" s="60">
        <f>IF(C1926="","",IFERROR(INDEX('Prospects'!$N$5:$N$504,MATCH(C1926,'Prospects'!$C$5:$C$504,0)),""))</f>
        <v/>
      </c>
      <c r="BB1926" s="61">
        <f>IF(AND(C1926&lt;&gt;"",C1926='Fiche prospect'!$C$4),COUNTIF($C$5:C1926,C1926),"")</f>
        <v/>
      </c>
    </row>
    <row r="1927">
      <c r="A1927" s="53" t="n"/>
      <c r="B1927" s="54" t="n"/>
      <c r="C1927" s="55" t="n"/>
      <c r="D1927" s="55" t="n"/>
      <c r="E1927" s="55" t="n"/>
      <c r="F1927" s="55" t="n"/>
      <c r="G1927" s="56" t="n"/>
      <c r="H1927" s="57" t="n"/>
      <c r="I1927" s="55" t="n"/>
      <c r="J1927" s="53" t="n"/>
      <c r="K1927" s="54" t="n"/>
      <c r="L1927" s="55" t="n"/>
      <c r="M1927" s="55" t="n"/>
      <c r="N1927" s="57" t="n"/>
      <c r="O1927" s="55" t="n"/>
      <c r="P1927" s="56" t="n"/>
      <c r="Q1927" s="55" t="n"/>
      <c r="R1927" s="55" t="n"/>
      <c r="S1927" s="55" t="n"/>
      <c r="T1927" s="55" t="n"/>
      <c r="U1927" s="55" t="n"/>
      <c r="V1927" s="55" t="n"/>
      <c r="W1927" s="58" t="n"/>
      <c r="X1927" s="58" t="n"/>
      <c r="Y1927" s="55" t="n"/>
      <c r="Z1927" s="55" t="n"/>
      <c r="AA1927" s="55" t="n"/>
      <c r="AB1927" s="55" t="n"/>
      <c r="AC1927" s="55" t="n"/>
      <c r="AD1927" s="53" t="n"/>
      <c r="AE1927" s="55" t="n"/>
      <c r="AF1927" s="55" t="n"/>
      <c r="AG1927" s="59" t="n"/>
      <c r="AH1927" s="57" t="n"/>
      <c r="AI1927" s="55" t="n"/>
      <c r="AJ1927" s="55" t="n"/>
      <c r="AK1927" s="55" t="n"/>
      <c r="AL1927" s="55" t="n"/>
      <c r="AM1927" s="56" t="n"/>
      <c r="AN1927" s="55" t="n"/>
      <c r="AO1927" s="55" t="n"/>
      <c r="AP1927" s="55" t="n"/>
      <c r="AQ1927" s="55" t="n"/>
      <c r="AR1927" s="60">
        <f>IF(AND(C1927="",E1927=""),"",IF(A1927="","⚠ Date manquante",IF(AND(C1927="",E1927&lt;&gt;"Dépense"),"⚠ Prospect manquant",IF(E1927="","⚠ Action manquante",IF(AND(AU1927=1,D1927=""),"⚠ Canal manquant",IF(AND(W1927&lt;&gt;"",COUNTIFS('Saisie'!$W$5:$W$2004,W1927,'Saisie'!$C$5:$C$2004,"&lt;&gt;"&amp;C1927)&gt;0),"⚠ Numéro déjà utilisé par un autre prospect",IF(AND(J1927&lt;&gt;"",J1927&lt;A1927),"⚠ Relance avant la date de l'action",IF(A1927&gt;TODAY(),"⚠ Date dans le futur","✓"))))))))</f>
        <v/>
      </c>
      <c r="AS1927" s="61">
        <f>IF(AND(A1927="",C1927="",E1927=""),"",ROW())</f>
        <v/>
      </c>
      <c r="AT1927" s="61">
        <f>IF(E1927&amp;F1927="","",MAX(IFERROR(INDEX('Paramètres'!$J$6:$J$33,MATCH(E1927,'Paramètres'!$I$6:$I$33,0)),0),IFERROR(INDEX('Paramètres'!$N$6:$N$17,MATCH(F1927,'Paramètres'!$M$6:$M$17,0)),0)))</f>
        <v/>
      </c>
      <c r="AU1927" s="61">
        <f>IF(E1927="","",IFERROR(IF(INDEX('Paramètres'!$K$6:$K$33,MATCH(E1927,'Paramètres'!$I$6:$I$33,0))="Oui",1,0),0))</f>
        <v/>
      </c>
      <c r="AV1927" s="61">
        <f>IF(F1927="","",IFERROR(IF(INDEX('Paramètres'!$O$6:$O$17,MATCH(F1927,'Paramètres'!$M$6:$M$17,0))="Oui",1,0),0))</f>
        <v/>
      </c>
      <c r="AW1927" s="62">
        <f>IF(E1927="","",IF(G1927&lt;&gt;"",G1927,IF(OR(E1927="Proposition envoyée",E1927="Signature"),MAX(0,N(IFERROR(INDEX('Paramètres'!$R$6:$R$15,MATCH(IF(AL1927&lt;&gt;"",AL1927,IFERROR(INDEX('Prospects'!$AN$5:$AN$504,MATCH(C1927,'Prospects'!$C$5:$C$504,0)),"")),'Paramètres'!$Q$6:$Q$15,0)),0))-N(P1927)),0)))</f>
        <v/>
      </c>
      <c r="AX1927" s="61">
        <f>IF(C1927="","",IF(COUNTIF($C$5:C1927,C1927)=1,MAX($AX$4:AX1926)+1,""))</f>
        <v/>
      </c>
      <c r="AY1927" s="61">
        <f>IF(B1927="","",HOUR(B1927))</f>
        <v/>
      </c>
      <c r="AZ1927" s="61">
        <f>IF(A1927="","",MOD(A1927-2,7)+1)</f>
        <v/>
      </c>
      <c r="BA1927" s="60">
        <f>IF(C1927="","",IFERROR(INDEX('Prospects'!$N$5:$N$504,MATCH(C1927,'Prospects'!$C$5:$C$504,0)),""))</f>
        <v/>
      </c>
      <c r="BB1927" s="61">
        <f>IF(AND(C1927&lt;&gt;"",C1927='Fiche prospect'!$C$4),COUNTIF($C$5:C1927,C1927),"")</f>
        <v/>
      </c>
    </row>
    <row r="1928">
      <c r="A1928" s="53" t="n"/>
      <c r="B1928" s="54" t="n"/>
      <c r="C1928" s="55" t="n"/>
      <c r="D1928" s="55" t="n"/>
      <c r="E1928" s="55" t="n"/>
      <c r="F1928" s="55" t="n"/>
      <c r="G1928" s="56" t="n"/>
      <c r="H1928" s="57" t="n"/>
      <c r="I1928" s="55" t="n"/>
      <c r="J1928" s="53" t="n"/>
      <c r="K1928" s="54" t="n"/>
      <c r="L1928" s="55" t="n"/>
      <c r="M1928" s="55" t="n"/>
      <c r="N1928" s="57" t="n"/>
      <c r="O1928" s="55" t="n"/>
      <c r="P1928" s="56" t="n"/>
      <c r="Q1928" s="55" t="n"/>
      <c r="R1928" s="55" t="n"/>
      <c r="S1928" s="55" t="n"/>
      <c r="T1928" s="55" t="n"/>
      <c r="U1928" s="55" t="n"/>
      <c r="V1928" s="55" t="n"/>
      <c r="W1928" s="58" t="n"/>
      <c r="X1928" s="58" t="n"/>
      <c r="Y1928" s="55" t="n"/>
      <c r="Z1928" s="55" t="n"/>
      <c r="AA1928" s="55" t="n"/>
      <c r="AB1928" s="55" t="n"/>
      <c r="AC1928" s="55" t="n"/>
      <c r="AD1928" s="53" t="n"/>
      <c r="AE1928" s="55" t="n"/>
      <c r="AF1928" s="55" t="n"/>
      <c r="AG1928" s="59" t="n"/>
      <c r="AH1928" s="57" t="n"/>
      <c r="AI1928" s="55" t="n"/>
      <c r="AJ1928" s="55" t="n"/>
      <c r="AK1928" s="55" t="n"/>
      <c r="AL1928" s="55" t="n"/>
      <c r="AM1928" s="56" t="n"/>
      <c r="AN1928" s="55" t="n"/>
      <c r="AO1928" s="55" t="n"/>
      <c r="AP1928" s="55" t="n"/>
      <c r="AQ1928" s="55" t="n"/>
      <c r="AR1928" s="60">
        <f>IF(AND(C1928="",E1928=""),"",IF(A1928="","⚠ Date manquante",IF(AND(C1928="",E1928&lt;&gt;"Dépense"),"⚠ Prospect manquant",IF(E1928="","⚠ Action manquante",IF(AND(AU1928=1,D1928=""),"⚠ Canal manquant",IF(AND(W1928&lt;&gt;"",COUNTIFS('Saisie'!$W$5:$W$2004,W1928,'Saisie'!$C$5:$C$2004,"&lt;&gt;"&amp;C1928)&gt;0),"⚠ Numéro déjà utilisé par un autre prospect",IF(AND(J1928&lt;&gt;"",J1928&lt;A1928),"⚠ Relance avant la date de l'action",IF(A1928&gt;TODAY(),"⚠ Date dans le futur","✓"))))))))</f>
        <v/>
      </c>
      <c r="AS1928" s="61">
        <f>IF(AND(A1928="",C1928="",E1928=""),"",ROW())</f>
        <v/>
      </c>
      <c r="AT1928" s="61">
        <f>IF(E1928&amp;F1928="","",MAX(IFERROR(INDEX('Paramètres'!$J$6:$J$33,MATCH(E1928,'Paramètres'!$I$6:$I$33,0)),0),IFERROR(INDEX('Paramètres'!$N$6:$N$17,MATCH(F1928,'Paramètres'!$M$6:$M$17,0)),0)))</f>
        <v/>
      </c>
      <c r="AU1928" s="61">
        <f>IF(E1928="","",IFERROR(IF(INDEX('Paramètres'!$K$6:$K$33,MATCH(E1928,'Paramètres'!$I$6:$I$33,0))="Oui",1,0),0))</f>
        <v/>
      </c>
      <c r="AV1928" s="61">
        <f>IF(F1928="","",IFERROR(IF(INDEX('Paramètres'!$O$6:$O$17,MATCH(F1928,'Paramètres'!$M$6:$M$17,0))="Oui",1,0),0))</f>
        <v/>
      </c>
      <c r="AW1928" s="62">
        <f>IF(E1928="","",IF(G1928&lt;&gt;"",G1928,IF(OR(E1928="Proposition envoyée",E1928="Signature"),MAX(0,N(IFERROR(INDEX('Paramètres'!$R$6:$R$15,MATCH(IF(AL1928&lt;&gt;"",AL1928,IFERROR(INDEX('Prospects'!$AN$5:$AN$504,MATCH(C1928,'Prospects'!$C$5:$C$504,0)),"")),'Paramètres'!$Q$6:$Q$15,0)),0))-N(P1928)),0)))</f>
        <v/>
      </c>
      <c r="AX1928" s="61">
        <f>IF(C1928="","",IF(COUNTIF($C$5:C1928,C1928)=1,MAX($AX$4:AX1927)+1,""))</f>
        <v/>
      </c>
      <c r="AY1928" s="61">
        <f>IF(B1928="","",HOUR(B1928))</f>
        <v/>
      </c>
      <c r="AZ1928" s="61">
        <f>IF(A1928="","",MOD(A1928-2,7)+1)</f>
        <v/>
      </c>
      <c r="BA1928" s="60">
        <f>IF(C1928="","",IFERROR(INDEX('Prospects'!$N$5:$N$504,MATCH(C1928,'Prospects'!$C$5:$C$504,0)),""))</f>
        <v/>
      </c>
      <c r="BB1928" s="61">
        <f>IF(AND(C1928&lt;&gt;"",C1928='Fiche prospect'!$C$4),COUNTIF($C$5:C1928,C1928),"")</f>
        <v/>
      </c>
    </row>
    <row r="1929">
      <c r="A1929" s="53" t="n"/>
      <c r="B1929" s="54" t="n"/>
      <c r="C1929" s="55" t="n"/>
      <c r="D1929" s="55" t="n"/>
      <c r="E1929" s="55" t="n"/>
      <c r="F1929" s="55" t="n"/>
      <c r="G1929" s="56" t="n"/>
      <c r="H1929" s="57" t="n"/>
      <c r="I1929" s="55" t="n"/>
      <c r="J1929" s="53" t="n"/>
      <c r="K1929" s="54" t="n"/>
      <c r="L1929" s="55" t="n"/>
      <c r="M1929" s="55" t="n"/>
      <c r="N1929" s="57" t="n"/>
      <c r="O1929" s="55" t="n"/>
      <c r="P1929" s="56" t="n"/>
      <c r="Q1929" s="55" t="n"/>
      <c r="R1929" s="55" t="n"/>
      <c r="S1929" s="55" t="n"/>
      <c r="T1929" s="55" t="n"/>
      <c r="U1929" s="55" t="n"/>
      <c r="V1929" s="55" t="n"/>
      <c r="W1929" s="58" t="n"/>
      <c r="X1929" s="58" t="n"/>
      <c r="Y1929" s="55" t="n"/>
      <c r="Z1929" s="55" t="n"/>
      <c r="AA1929" s="55" t="n"/>
      <c r="AB1929" s="55" t="n"/>
      <c r="AC1929" s="55" t="n"/>
      <c r="AD1929" s="53" t="n"/>
      <c r="AE1929" s="55" t="n"/>
      <c r="AF1929" s="55" t="n"/>
      <c r="AG1929" s="59" t="n"/>
      <c r="AH1929" s="57" t="n"/>
      <c r="AI1929" s="55" t="n"/>
      <c r="AJ1929" s="55" t="n"/>
      <c r="AK1929" s="55" t="n"/>
      <c r="AL1929" s="55" t="n"/>
      <c r="AM1929" s="56" t="n"/>
      <c r="AN1929" s="55" t="n"/>
      <c r="AO1929" s="55" t="n"/>
      <c r="AP1929" s="55" t="n"/>
      <c r="AQ1929" s="55" t="n"/>
      <c r="AR1929" s="60">
        <f>IF(AND(C1929="",E1929=""),"",IF(A1929="","⚠ Date manquante",IF(AND(C1929="",E1929&lt;&gt;"Dépense"),"⚠ Prospect manquant",IF(E1929="","⚠ Action manquante",IF(AND(AU1929=1,D1929=""),"⚠ Canal manquant",IF(AND(W1929&lt;&gt;"",COUNTIFS('Saisie'!$W$5:$W$2004,W1929,'Saisie'!$C$5:$C$2004,"&lt;&gt;"&amp;C1929)&gt;0),"⚠ Numéro déjà utilisé par un autre prospect",IF(AND(J1929&lt;&gt;"",J1929&lt;A1929),"⚠ Relance avant la date de l'action",IF(A1929&gt;TODAY(),"⚠ Date dans le futur","✓"))))))))</f>
        <v/>
      </c>
      <c r="AS1929" s="61">
        <f>IF(AND(A1929="",C1929="",E1929=""),"",ROW())</f>
        <v/>
      </c>
      <c r="AT1929" s="61">
        <f>IF(E1929&amp;F1929="","",MAX(IFERROR(INDEX('Paramètres'!$J$6:$J$33,MATCH(E1929,'Paramètres'!$I$6:$I$33,0)),0),IFERROR(INDEX('Paramètres'!$N$6:$N$17,MATCH(F1929,'Paramètres'!$M$6:$M$17,0)),0)))</f>
        <v/>
      </c>
      <c r="AU1929" s="61">
        <f>IF(E1929="","",IFERROR(IF(INDEX('Paramètres'!$K$6:$K$33,MATCH(E1929,'Paramètres'!$I$6:$I$33,0))="Oui",1,0),0))</f>
        <v/>
      </c>
      <c r="AV1929" s="61">
        <f>IF(F1929="","",IFERROR(IF(INDEX('Paramètres'!$O$6:$O$17,MATCH(F1929,'Paramètres'!$M$6:$M$17,0))="Oui",1,0),0))</f>
        <v/>
      </c>
      <c r="AW1929" s="62">
        <f>IF(E1929="","",IF(G1929&lt;&gt;"",G1929,IF(OR(E1929="Proposition envoyée",E1929="Signature"),MAX(0,N(IFERROR(INDEX('Paramètres'!$R$6:$R$15,MATCH(IF(AL1929&lt;&gt;"",AL1929,IFERROR(INDEX('Prospects'!$AN$5:$AN$504,MATCH(C1929,'Prospects'!$C$5:$C$504,0)),"")),'Paramètres'!$Q$6:$Q$15,0)),0))-N(P1929)),0)))</f>
        <v/>
      </c>
      <c r="AX1929" s="61">
        <f>IF(C1929="","",IF(COUNTIF($C$5:C1929,C1929)=1,MAX($AX$4:AX1928)+1,""))</f>
        <v/>
      </c>
      <c r="AY1929" s="61">
        <f>IF(B1929="","",HOUR(B1929))</f>
        <v/>
      </c>
      <c r="AZ1929" s="61">
        <f>IF(A1929="","",MOD(A1929-2,7)+1)</f>
        <v/>
      </c>
      <c r="BA1929" s="60">
        <f>IF(C1929="","",IFERROR(INDEX('Prospects'!$N$5:$N$504,MATCH(C1929,'Prospects'!$C$5:$C$504,0)),""))</f>
        <v/>
      </c>
      <c r="BB1929" s="61">
        <f>IF(AND(C1929&lt;&gt;"",C1929='Fiche prospect'!$C$4),COUNTIF($C$5:C1929,C1929),"")</f>
        <v/>
      </c>
    </row>
    <row r="1930">
      <c r="A1930" s="53" t="n"/>
      <c r="B1930" s="54" t="n"/>
      <c r="C1930" s="55" t="n"/>
      <c r="D1930" s="55" t="n"/>
      <c r="E1930" s="55" t="n"/>
      <c r="F1930" s="55" t="n"/>
      <c r="G1930" s="56" t="n"/>
      <c r="H1930" s="57" t="n"/>
      <c r="I1930" s="55" t="n"/>
      <c r="J1930" s="53" t="n"/>
      <c r="K1930" s="54" t="n"/>
      <c r="L1930" s="55" t="n"/>
      <c r="M1930" s="55" t="n"/>
      <c r="N1930" s="57" t="n"/>
      <c r="O1930" s="55" t="n"/>
      <c r="P1930" s="56" t="n"/>
      <c r="Q1930" s="55" t="n"/>
      <c r="R1930" s="55" t="n"/>
      <c r="S1930" s="55" t="n"/>
      <c r="T1930" s="55" t="n"/>
      <c r="U1930" s="55" t="n"/>
      <c r="V1930" s="55" t="n"/>
      <c r="W1930" s="58" t="n"/>
      <c r="X1930" s="58" t="n"/>
      <c r="Y1930" s="55" t="n"/>
      <c r="Z1930" s="55" t="n"/>
      <c r="AA1930" s="55" t="n"/>
      <c r="AB1930" s="55" t="n"/>
      <c r="AC1930" s="55" t="n"/>
      <c r="AD1930" s="53" t="n"/>
      <c r="AE1930" s="55" t="n"/>
      <c r="AF1930" s="55" t="n"/>
      <c r="AG1930" s="59" t="n"/>
      <c r="AH1930" s="57" t="n"/>
      <c r="AI1930" s="55" t="n"/>
      <c r="AJ1930" s="55" t="n"/>
      <c r="AK1930" s="55" t="n"/>
      <c r="AL1930" s="55" t="n"/>
      <c r="AM1930" s="56" t="n"/>
      <c r="AN1930" s="55" t="n"/>
      <c r="AO1930" s="55" t="n"/>
      <c r="AP1930" s="55" t="n"/>
      <c r="AQ1930" s="55" t="n"/>
      <c r="AR1930" s="60">
        <f>IF(AND(C1930="",E1930=""),"",IF(A1930="","⚠ Date manquante",IF(AND(C1930="",E1930&lt;&gt;"Dépense"),"⚠ Prospect manquant",IF(E1930="","⚠ Action manquante",IF(AND(AU1930=1,D1930=""),"⚠ Canal manquant",IF(AND(W1930&lt;&gt;"",COUNTIFS('Saisie'!$W$5:$W$2004,W1930,'Saisie'!$C$5:$C$2004,"&lt;&gt;"&amp;C1930)&gt;0),"⚠ Numéro déjà utilisé par un autre prospect",IF(AND(J1930&lt;&gt;"",J1930&lt;A1930),"⚠ Relance avant la date de l'action",IF(A1930&gt;TODAY(),"⚠ Date dans le futur","✓"))))))))</f>
        <v/>
      </c>
      <c r="AS1930" s="61">
        <f>IF(AND(A1930="",C1930="",E1930=""),"",ROW())</f>
        <v/>
      </c>
      <c r="AT1930" s="61">
        <f>IF(E1930&amp;F1930="","",MAX(IFERROR(INDEX('Paramètres'!$J$6:$J$33,MATCH(E1930,'Paramètres'!$I$6:$I$33,0)),0),IFERROR(INDEX('Paramètres'!$N$6:$N$17,MATCH(F1930,'Paramètres'!$M$6:$M$17,0)),0)))</f>
        <v/>
      </c>
      <c r="AU1930" s="61">
        <f>IF(E1930="","",IFERROR(IF(INDEX('Paramètres'!$K$6:$K$33,MATCH(E1930,'Paramètres'!$I$6:$I$33,0))="Oui",1,0),0))</f>
        <v/>
      </c>
      <c r="AV1930" s="61">
        <f>IF(F1930="","",IFERROR(IF(INDEX('Paramètres'!$O$6:$O$17,MATCH(F1930,'Paramètres'!$M$6:$M$17,0))="Oui",1,0),0))</f>
        <v/>
      </c>
      <c r="AW1930" s="62">
        <f>IF(E1930="","",IF(G1930&lt;&gt;"",G1930,IF(OR(E1930="Proposition envoyée",E1930="Signature"),MAX(0,N(IFERROR(INDEX('Paramètres'!$R$6:$R$15,MATCH(IF(AL1930&lt;&gt;"",AL1930,IFERROR(INDEX('Prospects'!$AN$5:$AN$504,MATCH(C1930,'Prospects'!$C$5:$C$504,0)),"")),'Paramètres'!$Q$6:$Q$15,0)),0))-N(P1930)),0)))</f>
        <v/>
      </c>
      <c r="AX1930" s="61">
        <f>IF(C1930="","",IF(COUNTIF($C$5:C1930,C1930)=1,MAX($AX$4:AX1929)+1,""))</f>
        <v/>
      </c>
      <c r="AY1930" s="61">
        <f>IF(B1930="","",HOUR(B1930))</f>
        <v/>
      </c>
      <c r="AZ1930" s="61">
        <f>IF(A1930="","",MOD(A1930-2,7)+1)</f>
        <v/>
      </c>
      <c r="BA1930" s="60">
        <f>IF(C1930="","",IFERROR(INDEX('Prospects'!$N$5:$N$504,MATCH(C1930,'Prospects'!$C$5:$C$504,0)),""))</f>
        <v/>
      </c>
      <c r="BB1930" s="61">
        <f>IF(AND(C1930&lt;&gt;"",C1930='Fiche prospect'!$C$4),COUNTIF($C$5:C1930,C1930),"")</f>
        <v/>
      </c>
    </row>
    <row r="1931">
      <c r="A1931" s="53" t="n"/>
      <c r="B1931" s="54" t="n"/>
      <c r="C1931" s="55" t="n"/>
      <c r="D1931" s="55" t="n"/>
      <c r="E1931" s="55" t="n"/>
      <c r="F1931" s="55" t="n"/>
      <c r="G1931" s="56" t="n"/>
      <c r="H1931" s="57" t="n"/>
      <c r="I1931" s="55" t="n"/>
      <c r="J1931" s="53" t="n"/>
      <c r="K1931" s="54" t="n"/>
      <c r="L1931" s="55" t="n"/>
      <c r="M1931" s="55" t="n"/>
      <c r="N1931" s="57" t="n"/>
      <c r="O1931" s="55" t="n"/>
      <c r="P1931" s="56" t="n"/>
      <c r="Q1931" s="55" t="n"/>
      <c r="R1931" s="55" t="n"/>
      <c r="S1931" s="55" t="n"/>
      <c r="T1931" s="55" t="n"/>
      <c r="U1931" s="55" t="n"/>
      <c r="V1931" s="55" t="n"/>
      <c r="W1931" s="58" t="n"/>
      <c r="X1931" s="58" t="n"/>
      <c r="Y1931" s="55" t="n"/>
      <c r="Z1931" s="55" t="n"/>
      <c r="AA1931" s="55" t="n"/>
      <c r="AB1931" s="55" t="n"/>
      <c r="AC1931" s="55" t="n"/>
      <c r="AD1931" s="53" t="n"/>
      <c r="AE1931" s="55" t="n"/>
      <c r="AF1931" s="55" t="n"/>
      <c r="AG1931" s="59" t="n"/>
      <c r="AH1931" s="57" t="n"/>
      <c r="AI1931" s="55" t="n"/>
      <c r="AJ1931" s="55" t="n"/>
      <c r="AK1931" s="55" t="n"/>
      <c r="AL1931" s="55" t="n"/>
      <c r="AM1931" s="56" t="n"/>
      <c r="AN1931" s="55" t="n"/>
      <c r="AO1931" s="55" t="n"/>
      <c r="AP1931" s="55" t="n"/>
      <c r="AQ1931" s="55" t="n"/>
      <c r="AR1931" s="60">
        <f>IF(AND(C1931="",E1931=""),"",IF(A1931="","⚠ Date manquante",IF(AND(C1931="",E1931&lt;&gt;"Dépense"),"⚠ Prospect manquant",IF(E1931="","⚠ Action manquante",IF(AND(AU1931=1,D1931=""),"⚠ Canal manquant",IF(AND(W1931&lt;&gt;"",COUNTIFS('Saisie'!$W$5:$W$2004,W1931,'Saisie'!$C$5:$C$2004,"&lt;&gt;"&amp;C1931)&gt;0),"⚠ Numéro déjà utilisé par un autre prospect",IF(AND(J1931&lt;&gt;"",J1931&lt;A1931),"⚠ Relance avant la date de l'action",IF(A1931&gt;TODAY(),"⚠ Date dans le futur","✓"))))))))</f>
        <v/>
      </c>
      <c r="AS1931" s="61">
        <f>IF(AND(A1931="",C1931="",E1931=""),"",ROW())</f>
        <v/>
      </c>
      <c r="AT1931" s="61">
        <f>IF(E1931&amp;F1931="","",MAX(IFERROR(INDEX('Paramètres'!$J$6:$J$33,MATCH(E1931,'Paramètres'!$I$6:$I$33,0)),0),IFERROR(INDEX('Paramètres'!$N$6:$N$17,MATCH(F1931,'Paramètres'!$M$6:$M$17,0)),0)))</f>
        <v/>
      </c>
      <c r="AU1931" s="61">
        <f>IF(E1931="","",IFERROR(IF(INDEX('Paramètres'!$K$6:$K$33,MATCH(E1931,'Paramètres'!$I$6:$I$33,0))="Oui",1,0),0))</f>
        <v/>
      </c>
      <c r="AV1931" s="61">
        <f>IF(F1931="","",IFERROR(IF(INDEX('Paramètres'!$O$6:$O$17,MATCH(F1931,'Paramètres'!$M$6:$M$17,0))="Oui",1,0),0))</f>
        <v/>
      </c>
      <c r="AW1931" s="62">
        <f>IF(E1931="","",IF(G1931&lt;&gt;"",G1931,IF(OR(E1931="Proposition envoyée",E1931="Signature"),MAX(0,N(IFERROR(INDEX('Paramètres'!$R$6:$R$15,MATCH(IF(AL1931&lt;&gt;"",AL1931,IFERROR(INDEX('Prospects'!$AN$5:$AN$504,MATCH(C1931,'Prospects'!$C$5:$C$504,0)),"")),'Paramètres'!$Q$6:$Q$15,0)),0))-N(P1931)),0)))</f>
        <v/>
      </c>
      <c r="AX1931" s="61">
        <f>IF(C1931="","",IF(COUNTIF($C$5:C1931,C1931)=1,MAX($AX$4:AX1930)+1,""))</f>
        <v/>
      </c>
      <c r="AY1931" s="61">
        <f>IF(B1931="","",HOUR(B1931))</f>
        <v/>
      </c>
      <c r="AZ1931" s="61">
        <f>IF(A1931="","",MOD(A1931-2,7)+1)</f>
        <v/>
      </c>
      <c r="BA1931" s="60">
        <f>IF(C1931="","",IFERROR(INDEX('Prospects'!$N$5:$N$504,MATCH(C1931,'Prospects'!$C$5:$C$504,0)),""))</f>
        <v/>
      </c>
      <c r="BB1931" s="61">
        <f>IF(AND(C1931&lt;&gt;"",C1931='Fiche prospect'!$C$4),COUNTIF($C$5:C1931,C1931),"")</f>
        <v/>
      </c>
    </row>
    <row r="1932">
      <c r="A1932" s="53" t="n"/>
      <c r="B1932" s="54" t="n"/>
      <c r="C1932" s="55" t="n"/>
      <c r="D1932" s="55" t="n"/>
      <c r="E1932" s="55" t="n"/>
      <c r="F1932" s="55" t="n"/>
      <c r="G1932" s="56" t="n"/>
      <c r="H1932" s="57" t="n"/>
      <c r="I1932" s="55" t="n"/>
      <c r="J1932" s="53" t="n"/>
      <c r="K1932" s="54" t="n"/>
      <c r="L1932" s="55" t="n"/>
      <c r="M1932" s="55" t="n"/>
      <c r="N1932" s="57" t="n"/>
      <c r="O1932" s="55" t="n"/>
      <c r="P1932" s="56" t="n"/>
      <c r="Q1932" s="55" t="n"/>
      <c r="R1932" s="55" t="n"/>
      <c r="S1932" s="55" t="n"/>
      <c r="T1932" s="55" t="n"/>
      <c r="U1932" s="55" t="n"/>
      <c r="V1932" s="55" t="n"/>
      <c r="W1932" s="58" t="n"/>
      <c r="X1932" s="58" t="n"/>
      <c r="Y1932" s="55" t="n"/>
      <c r="Z1932" s="55" t="n"/>
      <c r="AA1932" s="55" t="n"/>
      <c r="AB1932" s="55" t="n"/>
      <c r="AC1932" s="55" t="n"/>
      <c r="AD1932" s="53" t="n"/>
      <c r="AE1932" s="55" t="n"/>
      <c r="AF1932" s="55" t="n"/>
      <c r="AG1932" s="59" t="n"/>
      <c r="AH1932" s="57" t="n"/>
      <c r="AI1932" s="55" t="n"/>
      <c r="AJ1932" s="55" t="n"/>
      <c r="AK1932" s="55" t="n"/>
      <c r="AL1932" s="55" t="n"/>
      <c r="AM1932" s="56" t="n"/>
      <c r="AN1932" s="55" t="n"/>
      <c r="AO1932" s="55" t="n"/>
      <c r="AP1932" s="55" t="n"/>
      <c r="AQ1932" s="55" t="n"/>
      <c r="AR1932" s="60">
        <f>IF(AND(C1932="",E1932=""),"",IF(A1932="","⚠ Date manquante",IF(AND(C1932="",E1932&lt;&gt;"Dépense"),"⚠ Prospect manquant",IF(E1932="","⚠ Action manquante",IF(AND(AU1932=1,D1932=""),"⚠ Canal manquant",IF(AND(W1932&lt;&gt;"",COUNTIFS('Saisie'!$W$5:$W$2004,W1932,'Saisie'!$C$5:$C$2004,"&lt;&gt;"&amp;C1932)&gt;0),"⚠ Numéro déjà utilisé par un autre prospect",IF(AND(J1932&lt;&gt;"",J1932&lt;A1932),"⚠ Relance avant la date de l'action",IF(A1932&gt;TODAY(),"⚠ Date dans le futur","✓"))))))))</f>
        <v/>
      </c>
      <c r="AS1932" s="61">
        <f>IF(AND(A1932="",C1932="",E1932=""),"",ROW())</f>
        <v/>
      </c>
      <c r="AT1932" s="61">
        <f>IF(E1932&amp;F1932="","",MAX(IFERROR(INDEX('Paramètres'!$J$6:$J$33,MATCH(E1932,'Paramètres'!$I$6:$I$33,0)),0),IFERROR(INDEX('Paramètres'!$N$6:$N$17,MATCH(F1932,'Paramètres'!$M$6:$M$17,0)),0)))</f>
        <v/>
      </c>
      <c r="AU1932" s="61">
        <f>IF(E1932="","",IFERROR(IF(INDEX('Paramètres'!$K$6:$K$33,MATCH(E1932,'Paramètres'!$I$6:$I$33,0))="Oui",1,0),0))</f>
        <v/>
      </c>
      <c r="AV1932" s="61">
        <f>IF(F1932="","",IFERROR(IF(INDEX('Paramètres'!$O$6:$O$17,MATCH(F1932,'Paramètres'!$M$6:$M$17,0))="Oui",1,0),0))</f>
        <v/>
      </c>
      <c r="AW1932" s="62">
        <f>IF(E1932="","",IF(G1932&lt;&gt;"",G1932,IF(OR(E1932="Proposition envoyée",E1932="Signature"),MAX(0,N(IFERROR(INDEX('Paramètres'!$R$6:$R$15,MATCH(IF(AL1932&lt;&gt;"",AL1932,IFERROR(INDEX('Prospects'!$AN$5:$AN$504,MATCH(C1932,'Prospects'!$C$5:$C$504,0)),"")),'Paramètres'!$Q$6:$Q$15,0)),0))-N(P1932)),0)))</f>
        <v/>
      </c>
      <c r="AX1932" s="61">
        <f>IF(C1932="","",IF(COUNTIF($C$5:C1932,C1932)=1,MAX($AX$4:AX1931)+1,""))</f>
        <v/>
      </c>
      <c r="AY1932" s="61">
        <f>IF(B1932="","",HOUR(B1932))</f>
        <v/>
      </c>
      <c r="AZ1932" s="61">
        <f>IF(A1932="","",MOD(A1932-2,7)+1)</f>
        <v/>
      </c>
      <c r="BA1932" s="60">
        <f>IF(C1932="","",IFERROR(INDEX('Prospects'!$N$5:$N$504,MATCH(C1932,'Prospects'!$C$5:$C$504,0)),""))</f>
        <v/>
      </c>
      <c r="BB1932" s="61">
        <f>IF(AND(C1932&lt;&gt;"",C1932='Fiche prospect'!$C$4),COUNTIF($C$5:C1932,C1932),"")</f>
        <v/>
      </c>
    </row>
    <row r="1933">
      <c r="A1933" s="53" t="n"/>
      <c r="B1933" s="54" t="n"/>
      <c r="C1933" s="55" t="n"/>
      <c r="D1933" s="55" t="n"/>
      <c r="E1933" s="55" t="n"/>
      <c r="F1933" s="55" t="n"/>
      <c r="G1933" s="56" t="n"/>
      <c r="H1933" s="57" t="n"/>
      <c r="I1933" s="55" t="n"/>
      <c r="J1933" s="53" t="n"/>
      <c r="K1933" s="54" t="n"/>
      <c r="L1933" s="55" t="n"/>
      <c r="M1933" s="55" t="n"/>
      <c r="N1933" s="57" t="n"/>
      <c r="O1933" s="55" t="n"/>
      <c r="P1933" s="56" t="n"/>
      <c r="Q1933" s="55" t="n"/>
      <c r="R1933" s="55" t="n"/>
      <c r="S1933" s="55" t="n"/>
      <c r="T1933" s="55" t="n"/>
      <c r="U1933" s="55" t="n"/>
      <c r="V1933" s="55" t="n"/>
      <c r="W1933" s="58" t="n"/>
      <c r="X1933" s="58" t="n"/>
      <c r="Y1933" s="55" t="n"/>
      <c r="Z1933" s="55" t="n"/>
      <c r="AA1933" s="55" t="n"/>
      <c r="AB1933" s="55" t="n"/>
      <c r="AC1933" s="55" t="n"/>
      <c r="AD1933" s="53" t="n"/>
      <c r="AE1933" s="55" t="n"/>
      <c r="AF1933" s="55" t="n"/>
      <c r="AG1933" s="59" t="n"/>
      <c r="AH1933" s="57" t="n"/>
      <c r="AI1933" s="55" t="n"/>
      <c r="AJ1933" s="55" t="n"/>
      <c r="AK1933" s="55" t="n"/>
      <c r="AL1933" s="55" t="n"/>
      <c r="AM1933" s="56" t="n"/>
      <c r="AN1933" s="55" t="n"/>
      <c r="AO1933" s="55" t="n"/>
      <c r="AP1933" s="55" t="n"/>
      <c r="AQ1933" s="55" t="n"/>
      <c r="AR1933" s="60">
        <f>IF(AND(C1933="",E1933=""),"",IF(A1933="","⚠ Date manquante",IF(AND(C1933="",E1933&lt;&gt;"Dépense"),"⚠ Prospect manquant",IF(E1933="","⚠ Action manquante",IF(AND(AU1933=1,D1933=""),"⚠ Canal manquant",IF(AND(W1933&lt;&gt;"",COUNTIFS('Saisie'!$W$5:$W$2004,W1933,'Saisie'!$C$5:$C$2004,"&lt;&gt;"&amp;C1933)&gt;0),"⚠ Numéro déjà utilisé par un autre prospect",IF(AND(J1933&lt;&gt;"",J1933&lt;A1933),"⚠ Relance avant la date de l'action",IF(A1933&gt;TODAY(),"⚠ Date dans le futur","✓"))))))))</f>
        <v/>
      </c>
      <c r="AS1933" s="61">
        <f>IF(AND(A1933="",C1933="",E1933=""),"",ROW())</f>
        <v/>
      </c>
      <c r="AT1933" s="61">
        <f>IF(E1933&amp;F1933="","",MAX(IFERROR(INDEX('Paramètres'!$J$6:$J$33,MATCH(E1933,'Paramètres'!$I$6:$I$33,0)),0),IFERROR(INDEX('Paramètres'!$N$6:$N$17,MATCH(F1933,'Paramètres'!$M$6:$M$17,0)),0)))</f>
        <v/>
      </c>
      <c r="AU1933" s="61">
        <f>IF(E1933="","",IFERROR(IF(INDEX('Paramètres'!$K$6:$K$33,MATCH(E1933,'Paramètres'!$I$6:$I$33,0))="Oui",1,0),0))</f>
        <v/>
      </c>
      <c r="AV1933" s="61">
        <f>IF(F1933="","",IFERROR(IF(INDEX('Paramètres'!$O$6:$O$17,MATCH(F1933,'Paramètres'!$M$6:$M$17,0))="Oui",1,0),0))</f>
        <v/>
      </c>
      <c r="AW1933" s="62">
        <f>IF(E1933="","",IF(G1933&lt;&gt;"",G1933,IF(OR(E1933="Proposition envoyée",E1933="Signature"),MAX(0,N(IFERROR(INDEX('Paramètres'!$R$6:$R$15,MATCH(IF(AL1933&lt;&gt;"",AL1933,IFERROR(INDEX('Prospects'!$AN$5:$AN$504,MATCH(C1933,'Prospects'!$C$5:$C$504,0)),"")),'Paramètres'!$Q$6:$Q$15,0)),0))-N(P1933)),0)))</f>
        <v/>
      </c>
      <c r="AX1933" s="61">
        <f>IF(C1933="","",IF(COUNTIF($C$5:C1933,C1933)=1,MAX($AX$4:AX1932)+1,""))</f>
        <v/>
      </c>
      <c r="AY1933" s="61">
        <f>IF(B1933="","",HOUR(B1933))</f>
        <v/>
      </c>
      <c r="AZ1933" s="61">
        <f>IF(A1933="","",MOD(A1933-2,7)+1)</f>
        <v/>
      </c>
      <c r="BA1933" s="60">
        <f>IF(C1933="","",IFERROR(INDEX('Prospects'!$N$5:$N$504,MATCH(C1933,'Prospects'!$C$5:$C$504,0)),""))</f>
        <v/>
      </c>
      <c r="BB1933" s="61">
        <f>IF(AND(C1933&lt;&gt;"",C1933='Fiche prospect'!$C$4),COUNTIF($C$5:C1933,C1933),"")</f>
        <v/>
      </c>
    </row>
    <row r="1934">
      <c r="A1934" s="53" t="n"/>
      <c r="B1934" s="54" t="n"/>
      <c r="C1934" s="55" t="n"/>
      <c r="D1934" s="55" t="n"/>
      <c r="E1934" s="55" t="n"/>
      <c r="F1934" s="55" t="n"/>
      <c r="G1934" s="56" t="n"/>
      <c r="H1934" s="57" t="n"/>
      <c r="I1934" s="55" t="n"/>
      <c r="J1934" s="53" t="n"/>
      <c r="K1934" s="54" t="n"/>
      <c r="L1934" s="55" t="n"/>
      <c r="M1934" s="55" t="n"/>
      <c r="N1934" s="57" t="n"/>
      <c r="O1934" s="55" t="n"/>
      <c r="P1934" s="56" t="n"/>
      <c r="Q1934" s="55" t="n"/>
      <c r="R1934" s="55" t="n"/>
      <c r="S1934" s="55" t="n"/>
      <c r="T1934" s="55" t="n"/>
      <c r="U1934" s="55" t="n"/>
      <c r="V1934" s="55" t="n"/>
      <c r="W1934" s="58" t="n"/>
      <c r="X1934" s="58" t="n"/>
      <c r="Y1934" s="55" t="n"/>
      <c r="Z1934" s="55" t="n"/>
      <c r="AA1934" s="55" t="n"/>
      <c r="AB1934" s="55" t="n"/>
      <c r="AC1934" s="55" t="n"/>
      <c r="AD1934" s="53" t="n"/>
      <c r="AE1934" s="55" t="n"/>
      <c r="AF1934" s="55" t="n"/>
      <c r="AG1934" s="59" t="n"/>
      <c r="AH1934" s="57" t="n"/>
      <c r="AI1934" s="55" t="n"/>
      <c r="AJ1934" s="55" t="n"/>
      <c r="AK1934" s="55" t="n"/>
      <c r="AL1934" s="55" t="n"/>
      <c r="AM1934" s="56" t="n"/>
      <c r="AN1934" s="55" t="n"/>
      <c r="AO1934" s="55" t="n"/>
      <c r="AP1934" s="55" t="n"/>
      <c r="AQ1934" s="55" t="n"/>
      <c r="AR1934" s="60">
        <f>IF(AND(C1934="",E1934=""),"",IF(A1934="","⚠ Date manquante",IF(AND(C1934="",E1934&lt;&gt;"Dépense"),"⚠ Prospect manquant",IF(E1934="","⚠ Action manquante",IF(AND(AU1934=1,D1934=""),"⚠ Canal manquant",IF(AND(W1934&lt;&gt;"",COUNTIFS('Saisie'!$W$5:$W$2004,W1934,'Saisie'!$C$5:$C$2004,"&lt;&gt;"&amp;C1934)&gt;0),"⚠ Numéro déjà utilisé par un autre prospect",IF(AND(J1934&lt;&gt;"",J1934&lt;A1934),"⚠ Relance avant la date de l'action",IF(A1934&gt;TODAY(),"⚠ Date dans le futur","✓"))))))))</f>
        <v/>
      </c>
      <c r="AS1934" s="61">
        <f>IF(AND(A1934="",C1934="",E1934=""),"",ROW())</f>
        <v/>
      </c>
      <c r="AT1934" s="61">
        <f>IF(E1934&amp;F1934="","",MAX(IFERROR(INDEX('Paramètres'!$J$6:$J$33,MATCH(E1934,'Paramètres'!$I$6:$I$33,0)),0),IFERROR(INDEX('Paramètres'!$N$6:$N$17,MATCH(F1934,'Paramètres'!$M$6:$M$17,0)),0)))</f>
        <v/>
      </c>
      <c r="AU1934" s="61">
        <f>IF(E1934="","",IFERROR(IF(INDEX('Paramètres'!$K$6:$K$33,MATCH(E1934,'Paramètres'!$I$6:$I$33,0))="Oui",1,0),0))</f>
        <v/>
      </c>
      <c r="AV1934" s="61">
        <f>IF(F1934="","",IFERROR(IF(INDEX('Paramètres'!$O$6:$O$17,MATCH(F1934,'Paramètres'!$M$6:$M$17,0))="Oui",1,0),0))</f>
        <v/>
      </c>
      <c r="AW1934" s="62">
        <f>IF(E1934="","",IF(G1934&lt;&gt;"",G1934,IF(OR(E1934="Proposition envoyée",E1934="Signature"),MAX(0,N(IFERROR(INDEX('Paramètres'!$R$6:$R$15,MATCH(IF(AL1934&lt;&gt;"",AL1934,IFERROR(INDEX('Prospects'!$AN$5:$AN$504,MATCH(C1934,'Prospects'!$C$5:$C$504,0)),"")),'Paramètres'!$Q$6:$Q$15,0)),0))-N(P1934)),0)))</f>
        <v/>
      </c>
      <c r="AX1934" s="61">
        <f>IF(C1934="","",IF(COUNTIF($C$5:C1934,C1934)=1,MAX($AX$4:AX1933)+1,""))</f>
        <v/>
      </c>
      <c r="AY1934" s="61">
        <f>IF(B1934="","",HOUR(B1934))</f>
        <v/>
      </c>
      <c r="AZ1934" s="61">
        <f>IF(A1934="","",MOD(A1934-2,7)+1)</f>
        <v/>
      </c>
      <c r="BA1934" s="60">
        <f>IF(C1934="","",IFERROR(INDEX('Prospects'!$N$5:$N$504,MATCH(C1934,'Prospects'!$C$5:$C$504,0)),""))</f>
        <v/>
      </c>
      <c r="BB1934" s="61">
        <f>IF(AND(C1934&lt;&gt;"",C1934='Fiche prospect'!$C$4),COUNTIF($C$5:C1934,C1934),"")</f>
        <v/>
      </c>
    </row>
    <row r="1935">
      <c r="A1935" s="53" t="n"/>
      <c r="B1935" s="54" t="n"/>
      <c r="C1935" s="55" t="n"/>
      <c r="D1935" s="55" t="n"/>
      <c r="E1935" s="55" t="n"/>
      <c r="F1935" s="55" t="n"/>
      <c r="G1935" s="56" t="n"/>
      <c r="H1935" s="57" t="n"/>
      <c r="I1935" s="55" t="n"/>
      <c r="J1935" s="53" t="n"/>
      <c r="K1935" s="54" t="n"/>
      <c r="L1935" s="55" t="n"/>
      <c r="M1935" s="55" t="n"/>
      <c r="N1935" s="57" t="n"/>
      <c r="O1935" s="55" t="n"/>
      <c r="P1935" s="56" t="n"/>
      <c r="Q1935" s="55" t="n"/>
      <c r="R1935" s="55" t="n"/>
      <c r="S1935" s="55" t="n"/>
      <c r="T1935" s="55" t="n"/>
      <c r="U1935" s="55" t="n"/>
      <c r="V1935" s="55" t="n"/>
      <c r="W1935" s="58" t="n"/>
      <c r="X1935" s="58" t="n"/>
      <c r="Y1935" s="55" t="n"/>
      <c r="Z1935" s="55" t="n"/>
      <c r="AA1935" s="55" t="n"/>
      <c r="AB1935" s="55" t="n"/>
      <c r="AC1935" s="55" t="n"/>
      <c r="AD1935" s="53" t="n"/>
      <c r="AE1935" s="55" t="n"/>
      <c r="AF1935" s="55" t="n"/>
      <c r="AG1935" s="59" t="n"/>
      <c r="AH1935" s="57" t="n"/>
      <c r="AI1935" s="55" t="n"/>
      <c r="AJ1935" s="55" t="n"/>
      <c r="AK1935" s="55" t="n"/>
      <c r="AL1935" s="55" t="n"/>
      <c r="AM1935" s="56" t="n"/>
      <c r="AN1935" s="55" t="n"/>
      <c r="AO1935" s="55" t="n"/>
      <c r="AP1935" s="55" t="n"/>
      <c r="AQ1935" s="55" t="n"/>
      <c r="AR1935" s="60">
        <f>IF(AND(C1935="",E1935=""),"",IF(A1935="","⚠ Date manquante",IF(AND(C1935="",E1935&lt;&gt;"Dépense"),"⚠ Prospect manquant",IF(E1935="","⚠ Action manquante",IF(AND(AU1935=1,D1935=""),"⚠ Canal manquant",IF(AND(W1935&lt;&gt;"",COUNTIFS('Saisie'!$W$5:$W$2004,W1935,'Saisie'!$C$5:$C$2004,"&lt;&gt;"&amp;C1935)&gt;0),"⚠ Numéro déjà utilisé par un autre prospect",IF(AND(J1935&lt;&gt;"",J1935&lt;A1935),"⚠ Relance avant la date de l'action",IF(A1935&gt;TODAY(),"⚠ Date dans le futur","✓"))))))))</f>
        <v/>
      </c>
      <c r="AS1935" s="61">
        <f>IF(AND(A1935="",C1935="",E1935=""),"",ROW())</f>
        <v/>
      </c>
      <c r="AT1935" s="61">
        <f>IF(E1935&amp;F1935="","",MAX(IFERROR(INDEX('Paramètres'!$J$6:$J$33,MATCH(E1935,'Paramètres'!$I$6:$I$33,0)),0),IFERROR(INDEX('Paramètres'!$N$6:$N$17,MATCH(F1935,'Paramètres'!$M$6:$M$17,0)),0)))</f>
        <v/>
      </c>
      <c r="AU1935" s="61">
        <f>IF(E1935="","",IFERROR(IF(INDEX('Paramètres'!$K$6:$K$33,MATCH(E1935,'Paramètres'!$I$6:$I$33,0))="Oui",1,0),0))</f>
        <v/>
      </c>
      <c r="AV1935" s="61">
        <f>IF(F1935="","",IFERROR(IF(INDEX('Paramètres'!$O$6:$O$17,MATCH(F1935,'Paramètres'!$M$6:$M$17,0))="Oui",1,0),0))</f>
        <v/>
      </c>
      <c r="AW1935" s="62">
        <f>IF(E1935="","",IF(G1935&lt;&gt;"",G1935,IF(OR(E1935="Proposition envoyée",E1935="Signature"),MAX(0,N(IFERROR(INDEX('Paramètres'!$R$6:$R$15,MATCH(IF(AL1935&lt;&gt;"",AL1935,IFERROR(INDEX('Prospects'!$AN$5:$AN$504,MATCH(C1935,'Prospects'!$C$5:$C$504,0)),"")),'Paramètres'!$Q$6:$Q$15,0)),0))-N(P1935)),0)))</f>
        <v/>
      </c>
      <c r="AX1935" s="61">
        <f>IF(C1935="","",IF(COUNTIF($C$5:C1935,C1935)=1,MAX($AX$4:AX1934)+1,""))</f>
        <v/>
      </c>
      <c r="AY1935" s="61">
        <f>IF(B1935="","",HOUR(B1935))</f>
        <v/>
      </c>
      <c r="AZ1935" s="61">
        <f>IF(A1935="","",MOD(A1935-2,7)+1)</f>
        <v/>
      </c>
      <c r="BA1935" s="60">
        <f>IF(C1935="","",IFERROR(INDEX('Prospects'!$N$5:$N$504,MATCH(C1935,'Prospects'!$C$5:$C$504,0)),""))</f>
        <v/>
      </c>
      <c r="BB1935" s="61">
        <f>IF(AND(C1935&lt;&gt;"",C1935='Fiche prospect'!$C$4),COUNTIF($C$5:C1935,C1935),"")</f>
        <v/>
      </c>
    </row>
    <row r="1936">
      <c r="A1936" s="53" t="n"/>
      <c r="B1936" s="54" t="n"/>
      <c r="C1936" s="55" t="n"/>
      <c r="D1936" s="55" t="n"/>
      <c r="E1936" s="55" t="n"/>
      <c r="F1936" s="55" t="n"/>
      <c r="G1936" s="56" t="n"/>
      <c r="H1936" s="57" t="n"/>
      <c r="I1936" s="55" t="n"/>
      <c r="J1936" s="53" t="n"/>
      <c r="K1936" s="54" t="n"/>
      <c r="L1936" s="55" t="n"/>
      <c r="M1936" s="55" t="n"/>
      <c r="N1936" s="57" t="n"/>
      <c r="O1936" s="55" t="n"/>
      <c r="P1936" s="56" t="n"/>
      <c r="Q1936" s="55" t="n"/>
      <c r="R1936" s="55" t="n"/>
      <c r="S1936" s="55" t="n"/>
      <c r="T1936" s="55" t="n"/>
      <c r="U1936" s="55" t="n"/>
      <c r="V1936" s="55" t="n"/>
      <c r="W1936" s="58" t="n"/>
      <c r="X1936" s="58" t="n"/>
      <c r="Y1936" s="55" t="n"/>
      <c r="Z1936" s="55" t="n"/>
      <c r="AA1936" s="55" t="n"/>
      <c r="AB1936" s="55" t="n"/>
      <c r="AC1936" s="55" t="n"/>
      <c r="AD1936" s="53" t="n"/>
      <c r="AE1936" s="55" t="n"/>
      <c r="AF1936" s="55" t="n"/>
      <c r="AG1936" s="59" t="n"/>
      <c r="AH1936" s="57" t="n"/>
      <c r="AI1936" s="55" t="n"/>
      <c r="AJ1936" s="55" t="n"/>
      <c r="AK1936" s="55" t="n"/>
      <c r="AL1936" s="55" t="n"/>
      <c r="AM1936" s="56" t="n"/>
      <c r="AN1936" s="55" t="n"/>
      <c r="AO1936" s="55" t="n"/>
      <c r="AP1936" s="55" t="n"/>
      <c r="AQ1936" s="55" t="n"/>
      <c r="AR1936" s="60">
        <f>IF(AND(C1936="",E1936=""),"",IF(A1936="","⚠ Date manquante",IF(AND(C1936="",E1936&lt;&gt;"Dépense"),"⚠ Prospect manquant",IF(E1936="","⚠ Action manquante",IF(AND(AU1936=1,D1936=""),"⚠ Canal manquant",IF(AND(W1936&lt;&gt;"",COUNTIFS('Saisie'!$W$5:$W$2004,W1936,'Saisie'!$C$5:$C$2004,"&lt;&gt;"&amp;C1936)&gt;0),"⚠ Numéro déjà utilisé par un autre prospect",IF(AND(J1936&lt;&gt;"",J1936&lt;A1936),"⚠ Relance avant la date de l'action",IF(A1936&gt;TODAY(),"⚠ Date dans le futur","✓"))))))))</f>
        <v/>
      </c>
      <c r="AS1936" s="61">
        <f>IF(AND(A1936="",C1936="",E1936=""),"",ROW())</f>
        <v/>
      </c>
      <c r="AT1936" s="61">
        <f>IF(E1936&amp;F1936="","",MAX(IFERROR(INDEX('Paramètres'!$J$6:$J$33,MATCH(E1936,'Paramètres'!$I$6:$I$33,0)),0),IFERROR(INDEX('Paramètres'!$N$6:$N$17,MATCH(F1936,'Paramètres'!$M$6:$M$17,0)),0)))</f>
        <v/>
      </c>
      <c r="AU1936" s="61">
        <f>IF(E1936="","",IFERROR(IF(INDEX('Paramètres'!$K$6:$K$33,MATCH(E1936,'Paramètres'!$I$6:$I$33,0))="Oui",1,0),0))</f>
        <v/>
      </c>
      <c r="AV1936" s="61">
        <f>IF(F1936="","",IFERROR(IF(INDEX('Paramètres'!$O$6:$O$17,MATCH(F1936,'Paramètres'!$M$6:$M$17,0))="Oui",1,0),0))</f>
        <v/>
      </c>
      <c r="AW1936" s="62">
        <f>IF(E1936="","",IF(G1936&lt;&gt;"",G1936,IF(OR(E1936="Proposition envoyée",E1936="Signature"),MAX(0,N(IFERROR(INDEX('Paramètres'!$R$6:$R$15,MATCH(IF(AL1936&lt;&gt;"",AL1936,IFERROR(INDEX('Prospects'!$AN$5:$AN$504,MATCH(C1936,'Prospects'!$C$5:$C$504,0)),"")),'Paramètres'!$Q$6:$Q$15,0)),0))-N(P1936)),0)))</f>
        <v/>
      </c>
      <c r="AX1936" s="61">
        <f>IF(C1936="","",IF(COUNTIF($C$5:C1936,C1936)=1,MAX($AX$4:AX1935)+1,""))</f>
        <v/>
      </c>
      <c r="AY1936" s="61">
        <f>IF(B1936="","",HOUR(B1936))</f>
        <v/>
      </c>
      <c r="AZ1936" s="61">
        <f>IF(A1936="","",MOD(A1936-2,7)+1)</f>
        <v/>
      </c>
      <c r="BA1936" s="60">
        <f>IF(C1936="","",IFERROR(INDEX('Prospects'!$N$5:$N$504,MATCH(C1936,'Prospects'!$C$5:$C$504,0)),""))</f>
        <v/>
      </c>
      <c r="BB1936" s="61">
        <f>IF(AND(C1936&lt;&gt;"",C1936='Fiche prospect'!$C$4),COUNTIF($C$5:C1936,C1936),"")</f>
        <v/>
      </c>
    </row>
    <row r="1937">
      <c r="A1937" s="53" t="n"/>
      <c r="B1937" s="54" t="n"/>
      <c r="C1937" s="55" t="n"/>
      <c r="D1937" s="55" t="n"/>
      <c r="E1937" s="55" t="n"/>
      <c r="F1937" s="55" t="n"/>
      <c r="G1937" s="56" t="n"/>
      <c r="H1937" s="57" t="n"/>
      <c r="I1937" s="55" t="n"/>
      <c r="J1937" s="53" t="n"/>
      <c r="K1937" s="54" t="n"/>
      <c r="L1937" s="55" t="n"/>
      <c r="M1937" s="55" t="n"/>
      <c r="N1937" s="57" t="n"/>
      <c r="O1937" s="55" t="n"/>
      <c r="P1937" s="56" t="n"/>
      <c r="Q1937" s="55" t="n"/>
      <c r="R1937" s="55" t="n"/>
      <c r="S1937" s="55" t="n"/>
      <c r="T1937" s="55" t="n"/>
      <c r="U1937" s="55" t="n"/>
      <c r="V1937" s="55" t="n"/>
      <c r="W1937" s="58" t="n"/>
      <c r="X1937" s="58" t="n"/>
      <c r="Y1937" s="55" t="n"/>
      <c r="Z1937" s="55" t="n"/>
      <c r="AA1937" s="55" t="n"/>
      <c r="AB1937" s="55" t="n"/>
      <c r="AC1937" s="55" t="n"/>
      <c r="AD1937" s="53" t="n"/>
      <c r="AE1937" s="55" t="n"/>
      <c r="AF1937" s="55" t="n"/>
      <c r="AG1937" s="59" t="n"/>
      <c r="AH1937" s="57" t="n"/>
      <c r="AI1937" s="55" t="n"/>
      <c r="AJ1937" s="55" t="n"/>
      <c r="AK1937" s="55" t="n"/>
      <c r="AL1937" s="55" t="n"/>
      <c r="AM1937" s="56" t="n"/>
      <c r="AN1937" s="55" t="n"/>
      <c r="AO1937" s="55" t="n"/>
      <c r="AP1937" s="55" t="n"/>
      <c r="AQ1937" s="55" t="n"/>
      <c r="AR1937" s="60">
        <f>IF(AND(C1937="",E1937=""),"",IF(A1937="","⚠ Date manquante",IF(AND(C1937="",E1937&lt;&gt;"Dépense"),"⚠ Prospect manquant",IF(E1937="","⚠ Action manquante",IF(AND(AU1937=1,D1937=""),"⚠ Canal manquant",IF(AND(W1937&lt;&gt;"",COUNTIFS('Saisie'!$W$5:$W$2004,W1937,'Saisie'!$C$5:$C$2004,"&lt;&gt;"&amp;C1937)&gt;0),"⚠ Numéro déjà utilisé par un autre prospect",IF(AND(J1937&lt;&gt;"",J1937&lt;A1937),"⚠ Relance avant la date de l'action",IF(A1937&gt;TODAY(),"⚠ Date dans le futur","✓"))))))))</f>
        <v/>
      </c>
      <c r="AS1937" s="61">
        <f>IF(AND(A1937="",C1937="",E1937=""),"",ROW())</f>
        <v/>
      </c>
      <c r="AT1937" s="61">
        <f>IF(E1937&amp;F1937="","",MAX(IFERROR(INDEX('Paramètres'!$J$6:$J$33,MATCH(E1937,'Paramètres'!$I$6:$I$33,0)),0),IFERROR(INDEX('Paramètres'!$N$6:$N$17,MATCH(F1937,'Paramètres'!$M$6:$M$17,0)),0)))</f>
        <v/>
      </c>
      <c r="AU1937" s="61">
        <f>IF(E1937="","",IFERROR(IF(INDEX('Paramètres'!$K$6:$K$33,MATCH(E1937,'Paramètres'!$I$6:$I$33,0))="Oui",1,0),0))</f>
        <v/>
      </c>
      <c r="AV1937" s="61">
        <f>IF(F1937="","",IFERROR(IF(INDEX('Paramètres'!$O$6:$O$17,MATCH(F1937,'Paramètres'!$M$6:$M$17,0))="Oui",1,0),0))</f>
        <v/>
      </c>
      <c r="AW1937" s="62">
        <f>IF(E1937="","",IF(G1937&lt;&gt;"",G1937,IF(OR(E1937="Proposition envoyée",E1937="Signature"),MAX(0,N(IFERROR(INDEX('Paramètres'!$R$6:$R$15,MATCH(IF(AL1937&lt;&gt;"",AL1937,IFERROR(INDEX('Prospects'!$AN$5:$AN$504,MATCH(C1937,'Prospects'!$C$5:$C$504,0)),"")),'Paramètres'!$Q$6:$Q$15,0)),0))-N(P1937)),0)))</f>
        <v/>
      </c>
      <c r="AX1937" s="61">
        <f>IF(C1937="","",IF(COUNTIF($C$5:C1937,C1937)=1,MAX($AX$4:AX1936)+1,""))</f>
        <v/>
      </c>
      <c r="AY1937" s="61">
        <f>IF(B1937="","",HOUR(B1937))</f>
        <v/>
      </c>
      <c r="AZ1937" s="61">
        <f>IF(A1937="","",MOD(A1937-2,7)+1)</f>
        <v/>
      </c>
      <c r="BA1937" s="60">
        <f>IF(C1937="","",IFERROR(INDEX('Prospects'!$N$5:$N$504,MATCH(C1937,'Prospects'!$C$5:$C$504,0)),""))</f>
        <v/>
      </c>
      <c r="BB1937" s="61">
        <f>IF(AND(C1937&lt;&gt;"",C1937='Fiche prospect'!$C$4),COUNTIF($C$5:C1937,C1937),"")</f>
        <v/>
      </c>
    </row>
    <row r="1938">
      <c r="A1938" s="53" t="n"/>
      <c r="B1938" s="54" t="n"/>
      <c r="C1938" s="55" t="n"/>
      <c r="D1938" s="55" t="n"/>
      <c r="E1938" s="55" t="n"/>
      <c r="F1938" s="55" t="n"/>
      <c r="G1938" s="56" t="n"/>
      <c r="H1938" s="57" t="n"/>
      <c r="I1938" s="55" t="n"/>
      <c r="J1938" s="53" t="n"/>
      <c r="K1938" s="54" t="n"/>
      <c r="L1938" s="55" t="n"/>
      <c r="M1938" s="55" t="n"/>
      <c r="N1938" s="57" t="n"/>
      <c r="O1938" s="55" t="n"/>
      <c r="P1938" s="56" t="n"/>
      <c r="Q1938" s="55" t="n"/>
      <c r="R1938" s="55" t="n"/>
      <c r="S1938" s="55" t="n"/>
      <c r="T1938" s="55" t="n"/>
      <c r="U1938" s="55" t="n"/>
      <c r="V1938" s="55" t="n"/>
      <c r="W1938" s="58" t="n"/>
      <c r="X1938" s="58" t="n"/>
      <c r="Y1938" s="55" t="n"/>
      <c r="Z1938" s="55" t="n"/>
      <c r="AA1938" s="55" t="n"/>
      <c r="AB1938" s="55" t="n"/>
      <c r="AC1938" s="55" t="n"/>
      <c r="AD1938" s="53" t="n"/>
      <c r="AE1938" s="55" t="n"/>
      <c r="AF1938" s="55" t="n"/>
      <c r="AG1938" s="59" t="n"/>
      <c r="AH1938" s="57" t="n"/>
      <c r="AI1938" s="55" t="n"/>
      <c r="AJ1938" s="55" t="n"/>
      <c r="AK1938" s="55" t="n"/>
      <c r="AL1938" s="55" t="n"/>
      <c r="AM1938" s="56" t="n"/>
      <c r="AN1938" s="55" t="n"/>
      <c r="AO1938" s="55" t="n"/>
      <c r="AP1938" s="55" t="n"/>
      <c r="AQ1938" s="55" t="n"/>
      <c r="AR1938" s="60">
        <f>IF(AND(C1938="",E1938=""),"",IF(A1938="","⚠ Date manquante",IF(AND(C1938="",E1938&lt;&gt;"Dépense"),"⚠ Prospect manquant",IF(E1938="","⚠ Action manquante",IF(AND(AU1938=1,D1938=""),"⚠ Canal manquant",IF(AND(W1938&lt;&gt;"",COUNTIFS('Saisie'!$W$5:$W$2004,W1938,'Saisie'!$C$5:$C$2004,"&lt;&gt;"&amp;C1938)&gt;0),"⚠ Numéro déjà utilisé par un autre prospect",IF(AND(J1938&lt;&gt;"",J1938&lt;A1938),"⚠ Relance avant la date de l'action",IF(A1938&gt;TODAY(),"⚠ Date dans le futur","✓"))))))))</f>
        <v/>
      </c>
      <c r="AS1938" s="61">
        <f>IF(AND(A1938="",C1938="",E1938=""),"",ROW())</f>
        <v/>
      </c>
      <c r="AT1938" s="61">
        <f>IF(E1938&amp;F1938="","",MAX(IFERROR(INDEX('Paramètres'!$J$6:$J$33,MATCH(E1938,'Paramètres'!$I$6:$I$33,0)),0),IFERROR(INDEX('Paramètres'!$N$6:$N$17,MATCH(F1938,'Paramètres'!$M$6:$M$17,0)),0)))</f>
        <v/>
      </c>
      <c r="AU1938" s="61">
        <f>IF(E1938="","",IFERROR(IF(INDEX('Paramètres'!$K$6:$K$33,MATCH(E1938,'Paramètres'!$I$6:$I$33,0))="Oui",1,0),0))</f>
        <v/>
      </c>
      <c r="AV1938" s="61">
        <f>IF(F1938="","",IFERROR(IF(INDEX('Paramètres'!$O$6:$O$17,MATCH(F1938,'Paramètres'!$M$6:$M$17,0))="Oui",1,0),0))</f>
        <v/>
      </c>
      <c r="AW1938" s="62">
        <f>IF(E1938="","",IF(G1938&lt;&gt;"",G1938,IF(OR(E1938="Proposition envoyée",E1938="Signature"),MAX(0,N(IFERROR(INDEX('Paramètres'!$R$6:$R$15,MATCH(IF(AL1938&lt;&gt;"",AL1938,IFERROR(INDEX('Prospects'!$AN$5:$AN$504,MATCH(C1938,'Prospects'!$C$5:$C$504,0)),"")),'Paramètres'!$Q$6:$Q$15,0)),0))-N(P1938)),0)))</f>
        <v/>
      </c>
      <c r="AX1938" s="61">
        <f>IF(C1938="","",IF(COUNTIF($C$5:C1938,C1938)=1,MAX($AX$4:AX1937)+1,""))</f>
        <v/>
      </c>
      <c r="AY1938" s="61">
        <f>IF(B1938="","",HOUR(B1938))</f>
        <v/>
      </c>
      <c r="AZ1938" s="61">
        <f>IF(A1938="","",MOD(A1938-2,7)+1)</f>
        <v/>
      </c>
      <c r="BA1938" s="60">
        <f>IF(C1938="","",IFERROR(INDEX('Prospects'!$N$5:$N$504,MATCH(C1938,'Prospects'!$C$5:$C$504,0)),""))</f>
        <v/>
      </c>
      <c r="BB1938" s="61">
        <f>IF(AND(C1938&lt;&gt;"",C1938='Fiche prospect'!$C$4),COUNTIF($C$5:C1938,C1938),"")</f>
        <v/>
      </c>
    </row>
    <row r="1939">
      <c r="A1939" s="53" t="n"/>
      <c r="B1939" s="54" t="n"/>
      <c r="C1939" s="55" t="n"/>
      <c r="D1939" s="55" t="n"/>
      <c r="E1939" s="55" t="n"/>
      <c r="F1939" s="55" t="n"/>
      <c r="G1939" s="56" t="n"/>
      <c r="H1939" s="57" t="n"/>
      <c r="I1939" s="55" t="n"/>
      <c r="J1939" s="53" t="n"/>
      <c r="K1939" s="54" t="n"/>
      <c r="L1939" s="55" t="n"/>
      <c r="M1939" s="55" t="n"/>
      <c r="N1939" s="57" t="n"/>
      <c r="O1939" s="55" t="n"/>
      <c r="P1939" s="56" t="n"/>
      <c r="Q1939" s="55" t="n"/>
      <c r="R1939" s="55" t="n"/>
      <c r="S1939" s="55" t="n"/>
      <c r="T1939" s="55" t="n"/>
      <c r="U1939" s="55" t="n"/>
      <c r="V1939" s="55" t="n"/>
      <c r="W1939" s="58" t="n"/>
      <c r="X1939" s="58" t="n"/>
      <c r="Y1939" s="55" t="n"/>
      <c r="Z1939" s="55" t="n"/>
      <c r="AA1939" s="55" t="n"/>
      <c r="AB1939" s="55" t="n"/>
      <c r="AC1939" s="55" t="n"/>
      <c r="AD1939" s="53" t="n"/>
      <c r="AE1939" s="55" t="n"/>
      <c r="AF1939" s="55" t="n"/>
      <c r="AG1939" s="59" t="n"/>
      <c r="AH1939" s="57" t="n"/>
      <c r="AI1939" s="55" t="n"/>
      <c r="AJ1939" s="55" t="n"/>
      <c r="AK1939" s="55" t="n"/>
      <c r="AL1939" s="55" t="n"/>
      <c r="AM1939" s="56" t="n"/>
      <c r="AN1939" s="55" t="n"/>
      <c r="AO1939" s="55" t="n"/>
      <c r="AP1939" s="55" t="n"/>
      <c r="AQ1939" s="55" t="n"/>
      <c r="AR1939" s="60">
        <f>IF(AND(C1939="",E1939=""),"",IF(A1939="","⚠ Date manquante",IF(AND(C1939="",E1939&lt;&gt;"Dépense"),"⚠ Prospect manquant",IF(E1939="","⚠ Action manquante",IF(AND(AU1939=1,D1939=""),"⚠ Canal manquant",IF(AND(W1939&lt;&gt;"",COUNTIFS('Saisie'!$W$5:$W$2004,W1939,'Saisie'!$C$5:$C$2004,"&lt;&gt;"&amp;C1939)&gt;0),"⚠ Numéro déjà utilisé par un autre prospect",IF(AND(J1939&lt;&gt;"",J1939&lt;A1939),"⚠ Relance avant la date de l'action",IF(A1939&gt;TODAY(),"⚠ Date dans le futur","✓"))))))))</f>
        <v/>
      </c>
      <c r="AS1939" s="61">
        <f>IF(AND(A1939="",C1939="",E1939=""),"",ROW())</f>
        <v/>
      </c>
      <c r="AT1939" s="61">
        <f>IF(E1939&amp;F1939="","",MAX(IFERROR(INDEX('Paramètres'!$J$6:$J$33,MATCH(E1939,'Paramètres'!$I$6:$I$33,0)),0),IFERROR(INDEX('Paramètres'!$N$6:$N$17,MATCH(F1939,'Paramètres'!$M$6:$M$17,0)),0)))</f>
        <v/>
      </c>
      <c r="AU1939" s="61">
        <f>IF(E1939="","",IFERROR(IF(INDEX('Paramètres'!$K$6:$K$33,MATCH(E1939,'Paramètres'!$I$6:$I$33,0))="Oui",1,0),0))</f>
        <v/>
      </c>
      <c r="AV1939" s="61">
        <f>IF(F1939="","",IFERROR(IF(INDEX('Paramètres'!$O$6:$O$17,MATCH(F1939,'Paramètres'!$M$6:$M$17,0))="Oui",1,0),0))</f>
        <v/>
      </c>
      <c r="AW1939" s="62">
        <f>IF(E1939="","",IF(G1939&lt;&gt;"",G1939,IF(OR(E1939="Proposition envoyée",E1939="Signature"),MAX(0,N(IFERROR(INDEX('Paramètres'!$R$6:$R$15,MATCH(IF(AL1939&lt;&gt;"",AL1939,IFERROR(INDEX('Prospects'!$AN$5:$AN$504,MATCH(C1939,'Prospects'!$C$5:$C$504,0)),"")),'Paramètres'!$Q$6:$Q$15,0)),0))-N(P1939)),0)))</f>
        <v/>
      </c>
      <c r="AX1939" s="61">
        <f>IF(C1939="","",IF(COUNTIF($C$5:C1939,C1939)=1,MAX($AX$4:AX1938)+1,""))</f>
        <v/>
      </c>
      <c r="AY1939" s="61">
        <f>IF(B1939="","",HOUR(B1939))</f>
        <v/>
      </c>
      <c r="AZ1939" s="61">
        <f>IF(A1939="","",MOD(A1939-2,7)+1)</f>
        <v/>
      </c>
      <c r="BA1939" s="60">
        <f>IF(C1939="","",IFERROR(INDEX('Prospects'!$N$5:$N$504,MATCH(C1939,'Prospects'!$C$5:$C$504,0)),""))</f>
        <v/>
      </c>
      <c r="BB1939" s="61">
        <f>IF(AND(C1939&lt;&gt;"",C1939='Fiche prospect'!$C$4),COUNTIF($C$5:C1939,C1939),"")</f>
        <v/>
      </c>
    </row>
    <row r="1940">
      <c r="A1940" s="53" t="n"/>
      <c r="B1940" s="54" t="n"/>
      <c r="C1940" s="55" t="n"/>
      <c r="D1940" s="55" t="n"/>
      <c r="E1940" s="55" t="n"/>
      <c r="F1940" s="55" t="n"/>
      <c r="G1940" s="56" t="n"/>
      <c r="H1940" s="57" t="n"/>
      <c r="I1940" s="55" t="n"/>
      <c r="J1940" s="53" t="n"/>
      <c r="K1940" s="54" t="n"/>
      <c r="L1940" s="55" t="n"/>
      <c r="M1940" s="55" t="n"/>
      <c r="N1940" s="57" t="n"/>
      <c r="O1940" s="55" t="n"/>
      <c r="P1940" s="56" t="n"/>
      <c r="Q1940" s="55" t="n"/>
      <c r="R1940" s="55" t="n"/>
      <c r="S1940" s="55" t="n"/>
      <c r="T1940" s="55" t="n"/>
      <c r="U1940" s="55" t="n"/>
      <c r="V1940" s="55" t="n"/>
      <c r="W1940" s="58" t="n"/>
      <c r="X1940" s="58" t="n"/>
      <c r="Y1940" s="55" t="n"/>
      <c r="Z1940" s="55" t="n"/>
      <c r="AA1940" s="55" t="n"/>
      <c r="AB1940" s="55" t="n"/>
      <c r="AC1940" s="55" t="n"/>
      <c r="AD1940" s="53" t="n"/>
      <c r="AE1940" s="55" t="n"/>
      <c r="AF1940" s="55" t="n"/>
      <c r="AG1940" s="59" t="n"/>
      <c r="AH1940" s="57" t="n"/>
      <c r="AI1940" s="55" t="n"/>
      <c r="AJ1940" s="55" t="n"/>
      <c r="AK1940" s="55" t="n"/>
      <c r="AL1940" s="55" t="n"/>
      <c r="AM1940" s="56" t="n"/>
      <c r="AN1940" s="55" t="n"/>
      <c r="AO1940" s="55" t="n"/>
      <c r="AP1940" s="55" t="n"/>
      <c r="AQ1940" s="55" t="n"/>
      <c r="AR1940" s="60">
        <f>IF(AND(C1940="",E1940=""),"",IF(A1940="","⚠ Date manquante",IF(AND(C1940="",E1940&lt;&gt;"Dépense"),"⚠ Prospect manquant",IF(E1940="","⚠ Action manquante",IF(AND(AU1940=1,D1940=""),"⚠ Canal manquant",IF(AND(W1940&lt;&gt;"",COUNTIFS('Saisie'!$W$5:$W$2004,W1940,'Saisie'!$C$5:$C$2004,"&lt;&gt;"&amp;C1940)&gt;0),"⚠ Numéro déjà utilisé par un autre prospect",IF(AND(J1940&lt;&gt;"",J1940&lt;A1940),"⚠ Relance avant la date de l'action",IF(A1940&gt;TODAY(),"⚠ Date dans le futur","✓"))))))))</f>
        <v/>
      </c>
      <c r="AS1940" s="61">
        <f>IF(AND(A1940="",C1940="",E1940=""),"",ROW())</f>
        <v/>
      </c>
      <c r="AT1940" s="61">
        <f>IF(E1940&amp;F1940="","",MAX(IFERROR(INDEX('Paramètres'!$J$6:$J$33,MATCH(E1940,'Paramètres'!$I$6:$I$33,0)),0),IFERROR(INDEX('Paramètres'!$N$6:$N$17,MATCH(F1940,'Paramètres'!$M$6:$M$17,0)),0)))</f>
        <v/>
      </c>
      <c r="AU1940" s="61">
        <f>IF(E1940="","",IFERROR(IF(INDEX('Paramètres'!$K$6:$K$33,MATCH(E1940,'Paramètres'!$I$6:$I$33,0))="Oui",1,0),0))</f>
        <v/>
      </c>
      <c r="AV1940" s="61">
        <f>IF(F1940="","",IFERROR(IF(INDEX('Paramètres'!$O$6:$O$17,MATCH(F1940,'Paramètres'!$M$6:$M$17,0))="Oui",1,0),0))</f>
        <v/>
      </c>
      <c r="AW1940" s="62">
        <f>IF(E1940="","",IF(G1940&lt;&gt;"",G1940,IF(OR(E1940="Proposition envoyée",E1940="Signature"),MAX(0,N(IFERROR(INDEX('Paramètres'!$R$6:$R$15,MATCH(IF(AL1940&lt;&gt;"",AL1940,IFERROR(INDEX('Prospects'!$AN$5:$AN$504,MATCH(C1940,'Prospects'!$C$5:$C$504,0)),"")),'Paramètres'!$Q$6:$Q$15,0)),0))-N(P1940)),0)))</f>
        <v/>
      </c>
      <c r="AX1940" s="61">
        <f>IF(C1940="","",IF(COUNTIF($C$5:C1940,C1940)=1,MAX($AX$4:AX1939)+1,""))</f>
        <v/>
      </c>
      <c r="AY1940" s="61">
        <f>IF(B1940="","",HOUR(B1940))</f>
        <v/>
      </c>
      <c r="AZ1940" s="61">
        <f>IF(A1940="","",MOD(A1940-2,7)+1)</f>
        <v/>
      </c>
      <c r="BA1940" s="60">
        <f>IF(C1940="","",IFERROR(INDEX('Prospects'!$N$5:$N$504,MATCH(C1940,'Prospects'!$C$5:$C$504,0)),""))</f>
        <v/>
      </c>
      <c r="BB1940" s="61">
        <f>IF(AND(C1940&lt;&gt;"",C1940='Fiche prospect'!$C$4),COUNTIF($C$5:C1940,C1940),"")</f>
        <v/>
      </c>
    </row>
    <row r="1941">
      <c r="A1941" s="53" t="n"/>
      <c r="B1941" s="54" t="n"/>
      <c r="C1941" s="55" t="n"/>
      <c r="D1941" s="55" t="n"/>
      <c r="E1941" s="55" t="n"/>
      <c r="F1941" s="55" t="n"/>
      <c r="G1941" s="56" t="n"/>
      <c r="H1941" s="57" t="n"/>
      <c r="I1941" s="55" t="n"/>
      <c r="J1941" s="53" t="n"/>
      <c r="K1941" s="54" t="n"/>
      <c r="L1941" s="55" t="n"/>
      <c r="M1941" s="55" t="n"/>
      <c r="N1941" s="57" t="n"/>
      <c r="O1941" s="55" t="n"/>
      <c r="P1941" s="56" t="n"/>
      <c r="Q1941" s="55" t="n"/>
      <c r="R1941" s="55" t="n"/>
      <c r="S1941" s="55" t="n"/>
      <c r="T1941" s="55" t="n"/>
      <c r="U1941" s="55" t="n"/>
      <c r="V1941" s="55" t="n"/>
      <c r="W1941" s="58" t="n"/>
      <c r="X1941" s="58" t="n"/>
      <c r="Y1941" s="55" t="n"/>
      <c r="Z1941" s="55" t="n"/>
      <c r="AA1941" s="55" t="n"/>
      <c r="AB1941" s="55" t="n"/>
      <c r="AC1941" s="55" t="n"/>
      <c r="AD1941" s="53" t="n"/>
      <c r="AE1941" s="55" t="n"/>
      <c r="AF1941" s="55" t="n"/>
      <c r="AG1941" s="59" t="n"/>
      <c r="AH1941" s="57" t="n"/>
      <c r="AI1941" s="55" t="n"/>
      <c r="AJ1941" s="55" t="n"/>
      <c r="AK1941" s="55" t="n"/>
      <c r="AL1941" s="55" t="n"/>
      <c r="AM1941" s="56" t="n"/>
      <c r="AN1941" s="55" t="n"/>
      <c r="AO1941" s="55" t="n"/>
      <c r="AP1941" s="55" t="n"/>
      <c r="AQ1941" s="55" t="n"/>
      <c r="AR1941" s="60">
        <f>IF(AND(C1941="",E1941=""),"",IF(A1941="","⚠ Date manquante",IF(AND(C1941="",E1941&lt;&gt;"Dépense"),"⚠ Prospect manquant",IF(E1941="","⚠ Action manquante",IF(AND(AU1941=1,D1941=""),"⚠ Canal manquant",IF(AND(W1941&lt;&gt;"",COUNTIFS('Saisie'!$W$5:$W$2004,W1941,'Saisie'!$C$5:$C$2004,"&lt;&gt;"&amp;C1941)&gt;0),"⚠ Numéro déjà utilisé par un autre prospect",IF(AND(J1941&lt;&gt;"",J1941&lt;A1941),"⚠ Relance avant la date de l'action",IF(A1941&gt;TODAY(),"⚠ Date dans le futur","✓"))))))))</f>
        <v/>
      </c>
      <c r="AS1941" s="61">
        <f>IF(AND(A1941="",C1941="",E1941=""),"",ROW())</f>
        <v/>
      </c>
      <c r="AT1941" s="61">
        <f>IF(E1941&amp;F1941="","",MAX(IFERROR(INDEX('Paramètres'!$J$6:$J$33,MATCH(E1941,'Paramètres'!$I$6:$I$33,0)),0),IFERROR(INDEX('Paramètres'!$N$6:$N$17,MATCH(F1941,'Paramètres'!$M$6:$M$17,0)),0)))</f>
        <v/>
      </c>
      <c r="AU1941" s="61">
        <f>IF(E1941="","",IFERROR(IF(INDEX('Paramètres'!$K$6:$K$33,MATCH(E1941,'Paramètres'!$I$6:$I$33,0))="Oui",1,0),0))</f>
        <v/>
      </c>
      <c r="AV1941" s="61">
        <f>IF(F1941="","",IFERROR(IF(INDEX('Paramètres'!$O$6:$O$17,MATCH(F1941,'Paramètres'!$M$6:$M$17,0))="Oui",1,0),0))</f>
        <v/>
      </c>
      <c r="AW1941" s="62">
        <f>IF(E1941="","",IF(G1941&lt;&gt;"",G1941,IF(OR(E1941="Proposition envoyée",E1941="Signature"),MAX(0,N(IFERROR(INDEX('Paramètres'!$R$6:$R$15,MATCH(IF(AL1941&lt;&gt;"",AL1941,IFERROR(INDEX('Prospects'!$AN$5:$AN$504,MATCH(C1941,'Prospects'!$C$5:$C$504,0)),"")),'Paramètres'!$Q$6:$Q$15,0)),0))-N(P1941)),0)))</f>
        <v/>
      </c>
      <c r="AX1941" s="61">
        <f>IF(C1941="","",IF(COUNTIF($C$5:C1941,C1941)=1,MAX($AX$4:AX1940)+1,""))</f>
        <v/>
      </c>
      <c r="AY1941" s="61">
        <f>IF(B1941="","",HOUR(B1941))</f>
        <v/>
      </c>
      <c r="AZ1941" s="61">
        <f>IF(A1941="","",MOD(A1941-2,7)+1)</f>
        <v/>
      </c>
      <c r="BA1941" s="60">
        <f>IF(C1941="","",IFERROR(INDEX('Prospects'!$N$5:$N$504,MATCH(C1941,'Prospects'!$C$5:$C$504,0)),""))</f>
        <v/>
      </c>
      <c r="BB1941" s="61">
        <f>IF(AND(C1941&lt;&gt;"",C1941='Fiche prospect'!$C$4),COUNTIF($C$5:C1941,C1941),"")</f>
        <v/>
      </c>
    </row>
    <row r="1942">
      <c r="A1942" s="53" t="n"/>
      <c r="B1942" s="54" t="n"/>
      <c r="C1942" s="55" t="n"/>
      <c r="D1942" s="55" t="n"/>
      <c r="E1942" s="55" t="n"/>
      <c r="F1942" s="55" t="n"/>
      <c r="G1942" s="56" t="n"/>
      <c r="H1942" s="57" t="n"/>
      <c r="I1942" s="55" t="n"/>
      <c r="J1942" s="53" t="n"/>
      <c r="K1942" s="54" t="n"/>
      <c r="L1942" s="55" t="n"/>
      <c r="M1942" s="55" t="n"/>
      <c r="N1942" s="57" t="n"/>
      <c r="O1942" s="55" t="n"/>
      <c r="P1942" s="56" t="n"/>
      <c r="Q1942" s="55" t="n"/>
      <c r="R1942" s="55" t="n"/>
      <c r="S1942" s="55" t="n"/>
      <c r="T1942" s="55" t="n"/>
      <c r="U1942" s="55" t="n"/>
      <c r="V1942" s="55" t="n"/>
      <c r="W1942" s="58" t="n"/>
      <c r="X1942" s="58" t="n"/>
      <c r="Y1942" s="55" t="n"/>
      <c r="Z1942" s="55" t="n"/>
      <c r="AA1942" s="55" t="n"/>
      <c r="AB1942" s="55" t="n"/>
      <c r="AC1942" s="55" t="n"/>
      <c r="AD1942" s="53" t="n"/>
      <c r="AE1942" s="55" t="n"/>
      <c r="AF1942" s="55" t="n"/>
      <c r="AG1942" s="59" t="n"/>
      <c r="AH1942" s="57" t="n"/>
      <c r="AI1942" s="55" t="n"/>
      <c r="AJ1942" s="55" t="n"/>
      <c r="AK1942" s="55" t="n"/>
      <c r="AL1942" s="55" t="n"/>
      <c r="AM1942" s="56" t="n"/>
      <c r="AN1942" s="55" t="n"/>
      <c r="AO1942" s="55" t="n"/>
      <c r="AP1942" s="55" t="n"/>
      <c r="AQ1942" s="55" t="n"/>
      <c r="AR1942" s="60">
        <f>IF(AND(C1942="",E1942=""),"",IF(A1942="","⚠ Date manquante",IF(AND(C1942="",E1942&lt;&gt;"Dépense"),"⚠ Prospect manquant",IF(E1942="","⚠ Action manquante",IF(AND(AU1942=1,D1942=""),"⚠ Canal manquant",IF(AND(W1942&lt;&gt;"",COUNTIFS('Saisie'!$W$5:$W$2004,W1942,'Saisie'!$C$5:$C$2004,"&lt;&gt;"&amp;C1942)&gt;0),"⚠ Numéro déjà utilisé par un autre prospect",IF(AND(J1942&lt;&gt;"",J1942&lt;A1942),"⚠ Relance avant la date de l'action",IF(A1942&gt;TODAY(),"⚠ Date dans le futur","✓"))))))))</f>
        <v/>
      </c>
      <c r="AS1942" s="61">
        <f>IF(AND(A1942="",C1942="",E1942=""),"",ROW())</f>
        <v/>
      </c>
      <c r="AT1942" s="61">
        <f>IF(E1942&amp;F1942="","",MAX(IFERROR(INDEX('Paramètres'!$J$6:$J$33,MATCH(E1942,'Paramètres'!$I$6:$I$33,0)),0),IFERROR(INDEX('Paramètres'!$N$6:$N$17,MATCH(F1942,'Paramètres'!$M$6:$M$17,0)),0)))</f>
        <v/>
      </c>
      <c r="AU1942" s="61">
        <f>IF(E1942="","",IFERROR(IF(INDEX('Paramètres'!$K$6:$K$33,MATCH(E1942,'Paramètres'!$I$6:$I$33,0))="Oui",1,0),0))</f>
        <v/>
      </c>
      <c r="AV1942" s="61">
        <f>IF(F1942="","",IFERROR(IF(INDEX('Paramètres'!$O$6:$O$17,MATCH(F1942,'Paramètres'!$M$6:$M$17,0))="Oui",1,0),0))</f>
        <v/>
      </c>
      <c r="AW1942" s="62">
        <f>IF(E1942="","",IF(G1942&lt;&gt;"",G1942,IF(OR(E1942="Proposition envoyée",E1942="Signature"),MAX(0,N(IFERROR(INDEX('Paramètres'!$R$6:$R$15,MATCH(IF(AL1942&lt;&gt;"",AL1942,IFERROR(INDEX('Prospects'!$AN$5:$AN$504,MATCH(C1942,'Prospects'!$C$5:$C$504,0)),"")),'Paramètres'!$Q$6:$Q$15,0)),0))-N(P1942)),0)))</f>
        <v/>
      </c>
      <c r="AX1942" s="61">
        <f>IF(C1942="","",IF(COUNTIF($C$5:C1942,C1942)=1,MAX($AX$4:AX1941)+1,""))</f>
        <v/>
      </c>
      <c r="AY1942" s="61">
        <f>IF(B1942="","",HOUR(B1942))</f>
        <v/>
      </c>
      <c r="AZ1942" s="61">
        <f>IF(A1942="","",MOD(A1942-2,7)+1)</f>
        <v/>
      </c>
      <c r="BA1942" s="60">
        <f>IF(C1942="","",IFERROR(INDEX('Prospects'!$N$5:$N$504,MATCH(C1942,'Prospects'!$C$5:$C$504,0)),""))</f>
        <v/>
      </c>
      <c r="BB1942" s="61">
        <f>IF(AND(C1942&lt;&gt;"",C1942='Fiche prospect'!$C$4),COUNTIF($C$5:C1942,C1942),"")</f>
        <v/>
      </c>
    </row>
    <row r="1943">
      <c r="A1943" s="53" t="n"/>
      <c r="B1943" s="54" t="n"/>
      <c r="C1943" s="55" t="n"/>
      <c r="D1943" s="55" t="n"/>
      <c r="E1943" s="55" t="n"/>
      <c r="F1943" s="55" t="n"/>
      <c r="G1943" s="56" t="n"/>
      <c r="H1943" s="57" t="n"/>
      <c r="I1943" s="55" t="n"/>
      <c r="J1943" s="53" t="n"/>
      <c r="K1943" s="54" t="n"/>
      <c r="L1943" s="55" t="n"/>
      <c r="M1943" s="55" t="n"/>
      <c r="N1943" s="57" t="n"/>
      <c r="O1943" s="55" t="n"/>
      <c r="P1943" s="56" t="n"/>
      <c r="Q1943" s="55" t="n"/>
      <c r="R1943" s="55" t="n"/>
      <c r="S1943" s="55" t="n"/>
      <c r="T1943" s="55" t="n"/>
      <c r="U1943" s="55" t="n"/>
      <c r="V1943" s="55" t="n"/>
      <c r="W1943" s="58" t="n"/>
      <c r="X1943" s="58" t="n"/>
      <c r="Y1943" s="55" t="n"/>
      <c r="Z1943" s="55" t="n"/>
      <c r="AA1943" s="55" t="n"/>
      <c r="AB1943" s="55" t="n"/>
      <c r="AC1943" s="55" t="n"/>
      <c r="AD1943" s="53" t="n"/>
      <c r="AE1943" s="55" t="n"/>
      <c r="AF1943" s="55" t="n"/>
      <c r="AG1943" s="59" t="n"/>
      <c r="AH1943" s="57" t="n"/>
      <c r="AI1943" s="55" t="n"/>
      <c r="AJ1943" s="55" t="n"/>
      <c r="AK1943" s="55" t="n"/>
      <c r="AL1943" s="55" t="n"/>
      <c r="AM1943" s="56" t="n"/>
      <c r="AN1943" s="55" t="n"/>
      <c r="AO1943" s="55" t="n"/>
      <c r="AP1943" s="55" t="n"/>
      <c r="AQ1943" s="55" t="n"/>
      <c r="AR1943" s="60">
        <f>IF(AND(C1943="",E1943=""),"",IF(A1943="","⚠ Date manquante",IF(AND(C1943="",E1943&lt;&gt;"Dépense"),"⚠ Prospect manquant",IF(E1943="","⚠ Action manquante",IF(AND(AU1943=1,D1943=""),"⚠ Canal manquant",IF(AND(W1943&lt;&gt;"",COUNTIFS('Saisie'!$W$5:$W$2004,W1943,'Saisie'!$C$5:$C$2004,"&lt;&gt;"&amp;C1943)&gt;0),"⚠ Numéro déjà utilisé par un autre prospect",IF(AND(J1943&lt;&gt;"",J1943&lt;A1943),"⚠ Relance avant la date de l'action",IF(A1943&gt;TODAY(),"⚠ Date dans le futur","✓"))))))))</f>
        <v/>
      </c>
      <c r="AS1943" s="61">
        <f>IF(AND(A1943="",C1943="",E1943=""),"",ROW())</f>
        <v/>
      </c>
      <c r="AT1943" s="61">
        <f>IF(E1943&amp;F1943="","",MAX(IFERROR(INDEX('Paramètres'!$J$6:$J$33,MATCH(E1943,'Paramètres'!$I$6:$I$33,0)),0),IFERROR(INDEX('Paramètres'!$N$6:$N$17,MATCH(F1943,'Paramètres'!$M$6:$M$17,0)),0)))</f>
        <v/>
      </c>
      <c r="AU1943" s="61">
        <f>IF(E1943="","",IFERROR(IF(INDEX('Paramètres'!$K$6:$K$33,MATCH(E1943,'Paramètres'!$I$6:$I$33,0))="Oui",1,0),0))</f>
        <v/>
      </c>
      <c r="AV1943" s="61">
        <f>IF(F1943="","",IFERROR(IF(INDEX('Paramètres'!$O$6:$O$17,MATCH(F1943,'Paramètres'!$M$6:$M$17,0))="Oui",1,0),0))</f>
        <v/>
      </c>
      <c r="AW1943" s="62">
        <f>IF(E1943="","",IF(G1943&lt;&gt;"",G1943,IF(OR(E1943="Proposition envoyée",E1943="Signature"),MAX(0,N(IFERROR(INDEX('Paramètres'!$R$6:$R$15,MATCH(IF(AL1943&lt;&gt;"",AL1943,IFERROR(INDEX('Prospects'!$AN$5:$AN$504,MATCH(C1943,'Prospects'!$C$5:$C$504,0)),"")),'Paramètres'!$Q$6:$Q$15,0)),0))-N(P1943)),0)))</f>
        <v/>
      </c>
      <c r="AX1943" s="61">
        <f>IF(C1943="","",IF(COUNTIF($C$5:C1943,C1943)=1,MAX($AX$4:AX1942)+1,""))</f>
        <v/>
      </c>
      <c r="AY1943" s="61">
        <f>IF(B1943="","",HOUR(B1943))</f>
        <v/>
      </c>
      <c r="AZ1943" s="61">
        <f>IF(A1943="","",MOD(A1943-2,7)+1)</f>
        <v/>
      </c>
      <c r="BA1943" s="60">
        <f>IF(C1943="","",IFERROR(INDEX('Prospects'!$N$5:$N$504,MATCH(C1943,'Prospects'!$C$5:$C$504,0)),""))</f>
        <v/>
      </c>
      <c r="BB1943" s="61">
        <f>IF(AND(C1943&lt;&gt;"",C1943='Fiche prospect'!$C$4),COUNTIF($C$5:C1943,C1943),"")</f>
        <v/>
      </c>
    </row>
    <row r="1944">
      <c r="A1944" s="53" t="n"/>
      <c r="B1944" s="54" t="n"/>
      <c r="C1944" s="55" t="n"/>
      <c r="D1944" s="55" t="n"/>
      <c r="E1944" s="55" t="n"/>
      <c r="F1944" s="55" t="n"/>
      <c r="G1944" s="56" t="n"/>
      <c r="H1944" s="57" t="n"/>
      <c r="I1944" s="55" t="n"/>
      <c r="J1944" s="53" t="n"/>
      <c r="K1944" s="54" t="n"/>
      <c r="L1944" s="55" t="n"/>
      <c r="M1944" s="55" t="n"/>
      <c r="N1944" s="57" t="n"/>
      <c r="O1944" s="55" t="n"/>
      <c r="P1944" s="56" t="n"/>
      <c r="Q1944" s="55" t="n"/>
      <c r="R1944" s="55" t="n"/>
      <c r="S1944" s="55" t="n"/>
      <c r="T1944" s="55" t="n"/>
      <c r="U1944" s="55" t="n"/>
      <c r="V1944" s="55" t="n"/>
      <c r="W1944" s="58" t="n"/>
      <c r="X1944" s="58" t="n"/>
      <c r="Y1944" s="55" t="n"/>
      <c r="Z1944" s="55" t="n"/>
      <c r="AA1944" s="55" t="n"/>
      <c r="AB1944" s="55" t="n"/>
      <c r="AC1944" s="55" t="n"/>
      <c r="AD1944" s="53" t="n"/>
      <c r="AE1944" s="55" t="n"/>
      <c r="AF1944" s="55" t="n"/>
      <c r="AG1944" s="59" t="n"/>
      <c r="AH1944" s="57" t="n"/>
      <c r="AI1944" s="55" t="n"/>
      <c r="AJ1944" s="55" t="n"/>
      <c r="AK1944" s="55" t="n"/>
      <c r="AL1944" s="55" t="n"/>
      <c r="AM1944" s="56" t="n"/>
      <c r="AN1944" s="55" t="n"/>
      <c r="AO1944" s="55" t="n"/>
      <c r="AP1944" s="55" t="n"/>
      <c r="AQ1944" s="55" t="n"/>
      <c r="AR1944" s="60">
        <f>IF(AND(C1944="",E1944=""),"",IF(A1944="","⚠ Date manquante",IF(AND(C1944="",E1944&lt;&gt;"Dépense"),"⚠ Prospect manquant",IF(E1944="","⚠ Action manquante",IF(AND(AU1944=1,D1944=""),"⚠ Canal manquant",IF(AND(W1944&lt;&gt;"",COUNTIFS('Saisie'!$W$5:$W$2004,W1944,'Saisie'!$C$5:$C$2004,"&lt;&gt;"&amp;C1944)&gt;0),"⚠ Numéro déjà utilisé par un autre prospect",IF(AND(J1944&lt;&gt;"",J1944&lt;A1944),"⚠ Relance avant la date de l'action",IF(A1944&gt;TODAY(),"⚠ Date dans le futur","✓"))))))))</f>
        <v/>
      </c>
      <c r="AS1944" s="61">
        <f>IF(AND(A1944="",C1944="",E1944=""),"",ROW())</f>
        <v/>
      </c>
      <c r="AT1944" s="61">
        <f>IF(E1944&amp;F1944="","",MAX(IFERROR(INDEX('Paramètres'!$J$6:$J$33,MATCH(E1944,'Paramètres'!$I$6:$I$33,0)),0),IFERROR(INDEX('Paramètres'!$N$6:$N$17,MATCH(F1944,'Paramètres'!$M$6:$M$17,0)),0)))</f>
        <v/>
      </c>
      <c r="AU1944" s="61">
        <f>IF(E1944="","",IFERROR(IF(INDEX('Paramètres'!$K$6:$K$33,MATCH(E1944,'Paramètres'!$I$6:$I$33,0))="Oui",1,0),0))</f>
        <v/>
      </c>
      <c r="AV1944" s="61">
        <f>IF(F1944="","",IFERROR(IF(INDEX('Paramètres'!$O$6:$O$17,MATCH(F1944,'Paramètres'!$M$6:$M$17,0))="Oui",1,0),0))</f>
        <v/>
      </c>
      <c r="AW1944" s="62">
        <f>IF(E1944="","",IF(G1944&lt;&gt;"",G1944,IF(OR(E1944="Proposition envoyée",E1944="Signature"),MAX(0,N(IFERROR(INDEX('Paramètres'!$R$6:$R$15,MATCH(IF(AL1944&lt;&gt;"",AL1944,IFERROR(INDEX('Prospects'!$AN$5:$AN$504,MATCH(C1944,'Prospects'!$C$5:$C$504,0)),"")),'Paramètres'!$Q$6:$Q$15,0)),0))-N(P1944)),0)))</f>
        <v/>
      </c>
      <c r="AX1944" s="61">
        <f>IF(C1944="","",IF(COUNTIF($C$5:C1944,C1944)=1,MAX($AX$4:AX1943)+1,""))</f>
        <v/>
      </c>
      <c r="AY1944" s="61">
        <f>IF(B1944="","",HOUR(B1944))</f>
        <v/>
      </c>
      <c r="AZ1944" s="61">
        <f>IF(A1944="","",MOD(A1944-2,7)+1)</f>
        <v/>
      </c>
      <c r="BA1944" s="60">
        <f>IF(C1944="","",IFERROR(INDEX('Prospects'!$N$5:$N$504,MATCH(C1944,'Prospects'!$C$5:$C$504,0)),""))</f>
        <v/>
      </c>
      <c r="BB1944" s="61">
        <f>IF(AND(C1944&lt;&gt;"",C1944='Fiche prospect'!$C$4),COUNTIF($C$5:C1944,C1944),"")</f>
        <v/>
      </c>
    </row>
    <row r="1945">
      <c r="A1945" s="53" t="n"/>
      <c r="B1945" s="54" t="n"/>
      <c r="C1945" s="55" t="n"/>
      <c r="D1945" s="55" t="n"/>
      <c r="E1945" s="55" t="n"/>
      <c r="F1945" s="55" t="n"/>
      <c r="G1945" s="56" t="n"/>
      <c r="H1945" s="57" t="n"/>
      <c r="I1945" s="55" t="n"/>
      <c r="J1945" s="53" t="n"/>
      <c r="K1945" s="54" t="n"/>
      <c r="L1945" s="55" t="n"/>
      <c r="M1945" s="55" t="n"/>
      <c r="N1945" s="57" t="n"/>
      <c r="O1945" s="55" t="n"/>
      <c r="P1945" s="56" t="n"/>
      <c r="Q1945" s="55" t="n"/>
      <c r="R1945" s="55" t="n"/>
      <c r="S1945" s="55" t="n"/>
      <c r="T1945" s="55" t="n"/>
      <c r="U1945" s="55" t="n"/>
      <c r="V1945" s="55" t="n"/>
      <c r="W1945" s="58" t="n"/>
      <c r="X1945" s="58" t="n"/>
      <c r="Y1945" s="55" t="n"/>
      <c r="Z1945" s="55" t="n"/>
      <c r="AA1945" s="55" t="n"/>
      <c r="AB1945" s="55" t="n"/>
      <c r="AC1945" s="55" t="n"/>
      <c r="AD1945" s="53" t="n"/>
      <c r="AE1945" s="55" t="n"/>
      <c r="AF1945" s="55" t="n"/>
      <c r="AG1945" s="59" t="n"/>
      <c r="AH1945" s="57" t="n"/>
      <c r="AI1945" s="55" t="n"/>
      <c r="AJ1945" s="55" t="n"/>
      <c r="AK1945" s="55" t="n"/>
      <c r="AL1945" s="55" t="n"/>
      <c r="AM1945" s="56" t="n"/>
      <c r="AN1945" s="55" t="n"/>
      <c r="AO1945" s="55" t="n"/>
      <c r="AP1945" s="55" t="n"/>
      <c r="AQ1945" s="55" t="n"/>
      <c r="AR1945" s="60">
        <f>IF(AND(C1945="",E1945=""),"",IF(A1945="","⚠ Date manquante",IF(AND(C1945="",E1945&lt;&gt;"Dépense"),"⚠ Prospect manquant",IF(E1945="","⚠ Action manquante",IF(AND(AU1945=1,D1945=""),"⚠ Canal manquant",IF(AND(W1945&lt;&gt;"",COUNTIFS('Saisie'!$W$5:$W$2004,W1945,'Saisie'!$C$5:$C$2004,"&lt;&gt;"&amp;C1945)&gt;0),"⚠ Numéro déjà utilisé par un autre prospect",IF(AND(J1945&lt;&gt;"",J1945&lt;A1945),"⚠ Relance avant la date de l'action",IF(A1945&gt;TODAY(),"⚠ Date dans le futur","✓"))))))))</f>
        <v/>
      </c>
      <c r="AS1945" s="61">
        <f>IF(AND(A1945="",C1945="",E1945=""),"",ROW())</f>
        <v/>
      </c>
      <c r="AT1945" s="61">
        <f>IF(E1945&amp;F1945="","",MAX(IFERROR(INDEX('Paramètres'!$J$6:$J$33,MATCH(E1945,'Paramètres'!$I$6:$I$33,0)),0),IFERROR(INDEX('Paramètres'!$N$6:$N$17,MATCH(F1945,'Paramètres'!$M$6:$M$17,0)),0)))</f>
        <v/>
      </c>
      <c r="AU1945" s="61">
        <f>IF(E1945="","",IFERROR(IF(INDEX('Paramètres'!$K$6:$K$33,MATCH(E1945,'Paramètres'!$I$6:$I$33,0))="Oui",1,0),0))</f>
        <v/>
      </c>
      <c r="AV1945" s="61">
        <f>IF(F1945="","",IFERROR(IF(INDEX('Paramètres'!$O$6:$O$17,MATCH(F1945,'Paramètres'!$M$6:$M$17,0))="Oui",1,0),0))</f>
        <v/>
      </c>
      <c r="AW1945" s="62">
        <f>IF(E1945="","",IF(G1945&lt;&gt;"",G1945,IF(OR(E1945="Proposition envoyée",E1945="Signature"),MAX(0,N(IFERROR(INDEX('Paramètres'!$R$6:$R$15,MATCH(IF(AL1945&lt;&gt;"",AL1945,IFERROR(INDEX('Prospects'!$AN$5:$AN$504,MATCH(C1945,'Prospects'!$C$5:$C$504,0)),"")),'Paramètres'!$Q$6:$Q$15,0)),0))-N(P1945)),0)))</f>
        <v/>
      </c>
      <c r="AX1945" s="61">
        <f>IF(C1945="","",IF(COUNTIF($C$5:C1945,C1945)=1,MAX($AX$4:AX1944)+1,""))</f>
        <v/>
      </c>
      <c r="AY1945" s="61">
        <f>IF(B1945="","",HOUR(B1945))</f>
        <v/>
      </c>
      <c r="AZ1945" s="61">
        <f>IF(A1945="","",MOD(A1945-2,7)+1)</f>
        <v/>
      </c>
      <c r="BA1945" s="60">
        <f>IF(C1945="","",IFERROR(INDEX('Prospects'!$N$5:$N$504,MATCH(C1945,'Prospects'!$C$5:$C$504,0)),""))</f>
        <v/>
      </c>
      <c r="BB1945" s="61">
        <f>IF(AND(C1945&lt;&gt;"",C1945='Fiche prospect'!$C$4),COUNTIF($C$5:C1945,C1945),"")</f>
        <v/>
      </c>
    </row>
    <row r="1946">
      <c r="A1946" s="53" t="n"/>
      <c r="B1946" s="54" t="n"/>
      <c r="C1946" s="55" t="n"/>
      <c r="D1946" s="55" t="n"/>
      <c r="E1946" s="55" t="n"/>
      <c r="F1946" s="55" t="n"/>
      <c r="G1946" s="56" t="n"/>
      <c r="H1946" s="57" t="n"/>
      <c r="I1946" s="55" t="n"/>
      <c r="J1946" s="53" t="n"/>
      <c r="K1946" s="54" t="n"/>
      <c r="L1946" s="55" t="n"/>
      <c r="M1946" s="55" t="n"/>
      <c r="N1946" s="57" t="n"/>
      <c r="O1946" s="55" t="n"/>
      <c r="P1946" s="56" t="n"/>
      <c r="Q1946" s="55" t="n"/>
      <c r="R1946" s="55" t="n"/>
      <c r="S1946" s="55" t="n"/>
      <c r="T1946" s="55" t="n"/>
      <c r="U1946" s="55" t="n"/>
      <c r="V1946" s="55" t="n"/>
      <c r="W1946" s="58" t="n"/>
      <c r="X1946" s="58" t="n"/>
      <c r="Y1946" s="55" t="n"/>
      <c r="Z1946" s="55" t="n"/>
      <c r="AA1946" s="55" t="n"/>
      <c r="AB1946" s="55" t="n"/>
      <c r="AC1946" s="55" t="n"/>
      <c r="AD1946" s="53" t="n"/>
      <c r="AE1946" s="55" t="n"/>
      <c r="AF1946" s="55" t="n"/>
      <c r="AG1946" s="59" t="n"/>
      <c r="AH1946" s="57" t="n"/>
      <c r="AI1946" s="55" t="n"/>
      <c r="AJ1946" s="55" t="n"/>
      <c r="AK1946" s="55" t="n"/>
      <c r="AL1946" s="55" t="n"/>
      <c r="AM1946" s="56" t="n"/>
      <c r="AN1946" s="55" t="n"/>
      <c r="AO1946" s="55" t="n"/>
      <c r="AP1946" s="55" t="n"/>
      <c r="AQ1946" s="55" t="n"/>
      <c r="AR1946" s="60">
        <f>IF(AND(C1946="",E1946=""),"",IF(A1946="","⚠ Date manquante",IF(AND(C1946="",E1946&lt;&gt;"Dépense"),"⚠ Prospect manquant",IF(E1946="","⚠ Action manquante",IF(AND(AU1946=1,D1946=""),"⚠ Canal manquant",IF(AND(W1946&lt;&gt;"",COUNTIFS('Saisie'!$W$5:$W$2004,W1946,'Saisie'!$C$5:$C$2004,"&lt;&gt;"&amp;C1946)&gt;0),"⚠ Numéro déjà utilisé par un autre prospect",IF(AND(J1946&lt;&gt;"",J1946&lt;A1946),"⚠ Relance avant la date de l'action",IF(A1946&gt;TODAY(),"⚠ Date dans le futur","✓"))))))))</f>
        <v/>
      </c>
      <c r="AS1946" s="61">
        <f>IF(AND(A1946="",C1946="",E1946=""),"",ROW())</f>
        <v/>
      </c>
      <c r="AT1946" s="61">
        <f>IF(E1946&amp;F1946="","",MAX(IFERROR(INDEX('Paramètres'!$J$6:$J$33,MATCH(E1946,'Paramètres'!$I$6:$I$33,0)),0),IFERROR(INDEX('Paramètres'!$N$6:$N$17,MATCH(F1946,'Paramètres'!$M$6:$M$17,0)),0)))</f>
        <v/>
      </c>
      <c r="AU1946" s="61">
        <f>IF(E1946="","",IFERROR(IF(INDEX('Paramètres'!$K$6:$K$33,MATCH(E1946,'Paramètres'!$I$6:$I$33,0))="Oui",1,0),0))</f>
        <v/>
      </c>
      <c r="AV1946" s="61">
        <f>IF(F1946="","",IFERROR(IF(INDEX('Paramètres'!$O$6:$O$17,MATCH(F1946,'Paramètres'!$M$6:$M$17,0))="Oui",1,0),0))</f>
        <v/>
      </c>
      <c r="AW1946" s="62">
        <f>IF(E1946="","",IF(G1946&lt;&gt;"",G1946,IF(OR(E1946="Proposition envoyée",E1946="Signature"),MAX(0,N(IFERROR(INDEX('Paramètres'!$R$6:$R$15,MATCH(IF(AL1946&lt;&gt;"",AL1946,IFERROR(INDEX('Prospects'!$AN$5:$AN$504,MATCH(C1946,'Prospects'!$C$5:$C$504,0)),"")),'Paramètres'!$Q$6:$Q$15,0)),0))-N(P1946)),0)))</f>
        <v/>
      </c>
      <c r="AX1946" s="61">
        <f>IF(C1946="","",IF(COUNTIF($C$5:C1946,C1946)=1,MAX($AX$4:AX1945)+1,""))</f>
        <v/>
      </c>
      <c r="AY1946" s="61">
        <f>IF(B1946="","",HOUR(B1946))</f>
        <v/>
      </c>
      <c r="AZ1946" s="61">
        <f>IF(A1946="","",MOD(A1946-2,7)+1)</f>
        <v/>
      </c>
      <c r="BA1946" s="60">
        <f>IF(C1946="","",IFERROR(INDEX('Prospects'!$N$5:$N$504,MATCH(C1946,'Prospects'!$C$5:$C$504,0)),""))</f>
        <v/>
      </c>
      <c r="BB1946" s="61">
        <f>IF(AND(C1946&lt;&gt;"",C1946='Fiche prospect'!$C$4),COUNTIF($C$5:C1946,C1946),"")</f>
        <v/>
      </c>
    </row>
    <row r="1947">
      <c r="A1947" s="53" t="n"/>
      <c r="B1947" s="54" t="n"/>
      <c r="C1947" s="55" t="n"/>
      <c r="D1947" s="55" t="n"/>
      <c r="E1947" s="55" t="n"/>
      <c r="F1947" s="55" t="n"/>
      <c r="G1947" s="56" t="n"/>
      <c r="H1947" s="57" t="n"/>
      <c r="I1947" s="55" t="n"/>
      <c r="J1947" s="53" t="n"/>
      <c r="K1947" s="54" t="n"/>
      <c r="L1947" s="55" t="n"/>
      <c r="M1947" s="55" t="n"/>
      <c r="N1947" s="57" t="n"/>
      <c r="O1947" s="55" t="n"/>
      <c r="P1947" s="56" t="n"/>
      <c r="Q1947" s="55" t="n"/>
      <c r="R1947" s="55" t="n"/>
      <c r="S1947" s="55" t="n"/>
      <c r="T1947" s="55" t="n"/>
      <c r="U1947" s="55" t="n"/>
      <c r="V1947" s="55" t="n"/>
      <c r="W1947" s="58" t="n"/>
      <c r="X1947" s="58" t="n"/>
      <c r="Y1947" s="55" t="n"/>
      <c r="Z1947" s="55" t="n"/>
      <c r="AA1947" s="55" t="n"/>
      <c r="AB1947" s="55" t="n"/>
      <c r="AC1947" s="55" t="n"/>
      <c r="AD1947" s="53" t="n"/>
      <c r="AE1947" s="55" t="n"/>
      <c r="AF1947" s="55" t="n"/>
      <c r="AG1947" s="59" t="n"/>
      <c r="AH1947" s="57" t="n"/>
      <c r="AI1947" s="55" t="n"/>
      <c r="AJ1947" s="55" t="n"/>
      <c r="AK1947" s="55" t="n"/>
      <c r="AL1947" s="55" t="n"/>
      <c r="AM1947" s="56" t="n"/>
      <c r="AN1947" s="55" t="n"/>
      <c r="AO1947" s="55" t="n"/>
      <c r="AP1947" s="55" t="n"/>
      <c r="AQ1947" s="55" t="n"/>
      <c r="AR1947" s="60">
        <f>IF(AND(C1947="",E1947=""),"",IF(A1947="","⚠ Date manquante",IF(AND(C1947="",E1947&lt;&gt;"Dépense"),"⚠ Prospect manquant",IF(E1947="","⚠ Action manquante",IF(AND(AU1947=1,D1947=""),"⚠ Canal manquant",IF(AND(W1947&lt;&gt;"",COUNTIFS('Saisie'!$W$5:$W$2004,W1947,'Saisie'!$C$5:$C$2004,"&lt;&gt;"&amp;C1947)&gt;0),"⚠ Numéro déjà utilisé par un autre prospect",IF(AND(J1947&lt;&gt;"",J1947&lt;A1947),"⚠ Relance avant la date de l'action",IF(A1947&gt;TODAY(),"⚠ Date dans le futur","✓"))))))))</f>
        <v/>
      </c>
      <c r="AS1947" s="61">
        <f>IF(AND(A1947="",C1947="",E1947=""),"",ROW())</f>
        <v/>
      </c>
      <c r="AT1947" s="61">
        <f>IF(E1947&amp;F1947="","",MAX(IFERROR(INDEX('Paramètres'!$J$6:$J$33,MATCH(E1947,'Paramètres'!$I$6:$I$33,0)),0),IFERROR(INDEX('Paramètres'!$N$6:$N$17,MATCH(F1947,'Paramètres'!$M$6:$M$17,0)),0)))</f>
        <v/>
      </c>
      <c r="AU1947" s="61">
        <f>IF(E1947="","",IFERROR(IF(INDEX('Paramètres'!$K$6:$K$33,MATCH(E1947,'Paramètres'!$I$6:$I$33,0))="Oui",1,0),0))</f>
        <v/>
      </c>
      <c r="AV1947" s="61">
        <f>IF(F1947="","",IFERROR(IF(INDEX('Paramètres'!$O$6:$O$17,MATCH(F1947,'Paramètres'!$M$6:$M$17,0))="Oui",1,0),0))</f>
        <v/>
      </c>
      <c r="AW1947" s="62">
        <f>IF(E1947="","",IF(G1947&lt;&gt;"",G1947,IF(OR(E1947="Proposition envoyée",E1947="Signature"),MAX(0,N(IFERROR(INDEX('Paramètres'!$R$6:$R$15,MATCH(IF(AL1947&lt;&gt;"",AL1947,IFERROR(INDEX('Prospects'!$AN$5:$AN$504,MATCH(C1947,'Prospects'!$C$5:$C$504,0)),"")),'Paramètres'!$Q$6:$Q$15,0)),0))-N(P1947)),0)))</f>
        <v/>
      </c>
      <c r="AX1947" s="61">
        <f>IF(C1947="","",IF(COUNTIF($C$5:C1947,C1947)=1,MAX($AX$4:AX1946)+1,""))</f>
        <v/>
      </c>
      <c r="AY1947" s="61">
        <f>IF(B1947="","",HOUR(B1947))</f>
        <v/>
      </c>
      <c r="AZ1947" s="61">
        <f>IF(A1947="","",MOD(A1947-2,7)+1)</f>
        <v/>
      </c>
      <c r="BA1947" s="60">
        <f>IF(C1947="","",IFERROR(INDEX('Prospects'!$N$5:$N$504,MATCH(C1947,'Prospects'!$C$5:$C$504,0)),""))</f>
        <v/>
      </c>
      <c r="BB1947" s="61">
        <f>IF(AND(C1947&lt;&gt;"",C1947='Fiche prospect'!$C$4),COUNTIF($C$5:C1947,C1947),"")</f>
        <v/>
      </c>
    </row>
    <row r="1948">
      <c r="A1948" s="53" t="n"/>
      <c r="B1948" s="54" t="n"/>
      <c r="C1948" s="55" t="n"/>
      <c r="D1948" s="55" t="n"/>
      <c r="E1948" s="55" t="n"/>
      <c r="F1948" s="55" t="n"/>
      <c r="G1948" s="56" t="n"/>
      <c r="H1948" s="57" t="n"/>
      <c r="I1948" s="55" t="n"/>
      <c r="J1948" s="53" t="n"/>
      <c r="K1948" s="54" t="n"/>
      <c r="L1948" s="55" t="n"/>
      <c r="M1948" s="55" t="n"/>
      <c r="N1948" s="57" t="n"/>
      <c r="O1948" s="55" t="n"/>
      <c r="P1948" s="56" t="n"/>
      <c r="Q1948" s="55" t="n"/>
      <c r="R1948" s="55" t="n"/>
      <c r="S1948" s="55" t="n"/>
      <c r="T1948" s="55" t="n"/>
      <c r="U1948" s="55" t="n"/>
      <c r="V1948" s="55" t="n"/>
      <c r="W1948" s="58" t="n"/>
      <c r="X1948" s="58" t="n"/>
      <c r="Y1948" s="55" t="n"/>
      <c r="Z1948" s="55" t="n"/>
      <c r="AA1948" s="55" t="n"/>
      <c r="AB1948" s="55" t="n"/>
      <c r="AC1948" s="55" t="n"/>
      <c r="AD1948" s="53" t="n"/>
      <c r="AE1948" s="55" t="n"/>
      <c r="AF1948" s="55" t="n"/>
      <c r="AG1948" s="59" t="n"/>
      <c r="AH1948" s="57" t="n"/>
      <c r="AI1948" s="55" t="n"/>
      <c r="AJ1948" s="55" t="n"/>
      <c r="AK1948" s="55" t="n"/>
      <c r="AL1948" s="55" t="n"/>
      <c r="AM1948" s="56" t="n"/>
      <c r="AN1948" s="55" t="n"/>
      <c r="AO1948" s="55" t="n"/>
      <c r="AP1948" s="55" t="n"/>
      <c r="AQ1948" s="55" t="n"/>
      <c r="AR1948" s="60">
        <f>IF(AND(C1948="",E1948=""),"",IF(A1948="","⚠ Date manquante",IF(AND(C1948="",E1948&lt;&gt;"Dépense"),"⚠ Prospect manquant",IF(E1948="","⚠ Action manquante",IF(AND(AU1948=1,D1948=""),"⚠ Canal manquant",IF(AND(W1948&lt;&gt;"",COUNTIFS('Saisie'!$W$5:$W$2004,W1948,'Saisie'!$C$5:$C$2004,"&lt;&gt;"&amp;C1948)&gt;0),"⚠ Numéro déjà utilisé par un autre prospect",IF(AND(J1948&lt;&gt;"",J1948&lt;A1948),"⚠ Relance avant la date de l'action",IF(A1948&gt;TODAY(),"⚠ Date dans le futur","✓"))))))))</f>
        <v/>
      </c>
      <c r="AS1948" s="61">
        <f>IF(AND(A1948="",C1948="",E1948=""),"",ROW())</f>
        <v/>
      </c>
      <c r="AT1948" s="61">
        <f>IF(E1948&amp;F1948="","",MAX(IFERROR(INDEX('Paramètres'!$J$6:$J$33,MATCH(E1948,'Paramètres'!$I$6:$I$33,0)),0),IFERROR(INDEX('Paramètres'!$N$6:$N$17,MATCH(F1948,'Paramètres'!$M$6:$M$17,0)),0)))</f>
        <v/>
      </c>
      <c r="AU1948" s="61">
        <f>IF(E1948="","",IFERROR(IF(INDEX('Paramètres'!$K$6:$K$33,MATCH(E1948,'Paramètres'!$I$6:$I$33,0))="Oui",1,0),0))</f>
        <v/>
      </c>
      <c r="AV1948" s="61">
        <f>IF(F1948="","",IFERROR(IF(INDEX('Paramètres'!$O$6:$O$17,MATCH(F1948,'Paramètres'!$M$6:$M$17,0))="Oui",1,0),0))</f>
        <v/>
      </c>
      <c r="AW1948" s="62">
        <f>IF(E1948="","",IF(G1948&lt;&gt;"",G1948,IF(OR(E1948="Proposition envoyée",E1948="Signature"),MAX(0,N(IFERROR(INDEX('Paramètres'!$R$6:$R$15,MATCH(IF(AL1948&lt;&gt;"",AL1948,IFERROR(INDEX('Prospects'!$AN$5:$AN$504,MATCH(C1948,'Prospects'!$C$5:$C$504,0)),"")),'Paramètres'!$Q$6:$Q$15,0)),0))-N(P1948)),0)))</f>
        <v/>
      </c>
      <c r="AX1948" s="61">
        <f>IF(C1948="","",IF(COUNTIF($C$5:C1948,C1948)=1,MAX($AX$4:AX1947)+1,""))</f>
        <v/>
      </c>
      <c r="AY1948" s="61">
        <f>IF(B1948="","",HOUR(B1948))</f>
        <v/>
      </c>
      <c r="AZ1948" s="61">
        <f>IF(A1948="","",MOD(A1948-2,7)+1)</f>
        <v/>
      </c>
      <c r="BA1948" s="60">
        <f>IF(C1948="","",IFERROR(INDEX('Prospects'!$N$5:$N$504,MATCH(C1948,'Prospects'!$C$5:$C$504,0)),""))</f>
        <v/>
      </c>
      <c r="BB1948" s="61">
        <f>IF(AND(C1948&lt;&gt;"",C1948='Fiche prospect'!$C$4),COUNTIF($C$5:C1948,C1948),"")</f>
        <v/>
      </c>
    </row>
    <row r="1949">
      <c r="A1949" s="53" t="n"/>
      <c r="B1949" s="54" t="n"/>
      <c r="C1949" s="55" t="n"/>
      <c r="D1949" s="55" t="n"/>
      <c r="E1949" s="55" t="n"/>
      <c r="F1949" s="55" t="n"/>
      <c r="G1949" s="56" t="n"/>
      <c r="H1949" s="57" t="n"/>
      <c r="I1949" s="55" t="n"/>
      <c r="J1949" s="53" t="n"/>
      <c r="K1949" s="54" t="n"/>
      <c r="L1949" s="55" t="n"/>
      <c r="M1949" s="55" t="n"/>
      <c r="N1949" s="57" t="n"/>
      <c r="O1949" s="55" t="n"/>
      <c r="P1949" s="56" t="n"/>
      <c r="Q1949" s="55" t="n"/>
      <c r="R1949" s="55" t="n"/>
      <c r="S1949" s="55" t="n"/>
      <c r="T1949" s="55" t="n"/>
      <c r="U1949" s="55" t="n"/>
      <c r="V1949" s="55" t="n"/>
      <c r="W1949" s="58" t="n"/>
      <c r="X1949" s="58" t="n"/>
      <c r="Y1949" s="55" t="n"/>
      <c r="Z1949" s="55" t="n"/>
      <c r="AA1949" s="55" t="n"/>
      <c r="AB1949" s="55" t="n"/>
      <c r="AC1949" s="55" t="n"/>
      <c r="AD1949" s="53" t="n"/>
      <c r="AE1949" s="55" t="n"/>
      <c r="AF1949" s="55" t="n"/>
      <c r="AG1949" s="59" t="n"/>
      <c r="AH1949" s="57" t="n"/>
      <c r="AI1949" s="55" t="n"/>
      <c r="AJ1949" s="55" t="n"/>
      <c r="AK1949" s="55" t="n"/>
      <c r="AL1949" s="55" t="n"/>
      <c r="AM1949" s="56" t="n"/>
      <c r="AN1949" s="55" t="n"/>
      <c r="AO1949" s="55" t="n"/>
      <c r="AP1949" s="55" t="n"/>
      <c r="AQ1949" s="55" t="n"/>
      <c r="AR1949" s="60">
        <f>IF(AND(C1949="",E1949=""),"",IF(A1949="","⚠ Date manquante",IF(AND(C1949="",E1949&lt;&gt;"Dépense"),"⚠ Prospect manquant",IF(E1949="","⚠ Action manquante",IF(AND(AU1949=1,D1949=""),"⚠ Canal manquant",IF(AND(W1949&lt;&gt;"",COUNTIFS('Saisie'!$W$5:$W$2004,W1949,'Saisie'!$C$5:$C$2004,"&lt;&gt;"&amp;C1949)&gt;0),"⚠ Numéro déjà utilisé par un autre prospect",IF(AND(J1949&lt;&gt;"",J1949&lt;A1949),"⚠ Relance avant la date de l'action",IF(A1949&gt;TODAY(),"⚠ Date dans le futur","✓"))))))))</f>
        <v/>
      </c>
      <c r="AS1949" s="61">
        <f>IF(AND(A1949="",C1949="",E1949=""),"",ROW())</f>
        <v/>
      </c>
      <c r="AT1949" s="61">
        <f>IF(E1949&amp;F1949="","",MAX(IFERROR(INDEX('Paramètres'!$J$6:$J$33,MATCH(E1949,'Paramètres'!$I$6:$I$33,0)),0),IFERROR(INDEX('Paramètres'!$N$6:$N$17,MATCH(F1949,'Paramètres'!$M$6:$M$17,0)),0)))</f>
        <v/>
      </c>
      <c r="AU1949" s="61">
        <f>IF(E1949="","",IFERROR(IF(INDEX('Paramètres'!$K$6:$K$33,MATCH(E1949,'Paramètres'!$I$6:$I$33,0))="Oui",1,0),0))</f>
        <v/>
      </c>
      <c r="AV1949" s="61">
        <f>IF(F1949="","",IFERROR(IF(INDEX('Paramètres'!$O$6:$O$17,MATCH(F1949,'Paramètres'!$M$6:$M$17,0))="Oui",1,0),0))</f>
        <v/>
      </c>
      <c r="AW1949" s="62">
        <f>IF(E1949="","",IF(G1949&lt;&gt;"",G1949,IF(OR(E1949="Proposition envoyée",E1949="Signature"),MAX(0,N(IFERROR(INDEX('Paramètres'!$R$6:$R$15,MATCH(IF(AL1949&lt;&gt;"",AL1949,IFERROR(INDEX('Prospects'!$AN$5:$AN$504,MATCH(C1949,'Prospects'!$C$5:$C$504,0)),"")),'Paramètres'!$Q$6:$Q$15,0)),0))-N(P1949)),0)))</f>
        <v/>
      </c>
      <c r="AX1949" s="61">
        <f>IF(C1949="","",IF(COUNTIF($C$5:C1949,C1949)=1,MAX($AX$4:AX1948)+1,""))</f>
        <v/>
      </c>
      <c r="AY1949" s="61">
        <f>IF(B1949="","",HOUR(B1949))</f>
        <v/>
      </c>
      <c r="AZ1949" s="61">
        <f>IF(A1949="","",MOD(A1949-2,7)+1)</f>
        <v/>
      </c>
      <c r="BA1949" s="60">
        <f>IF(C1949="","",IFERROR(INDEX('Prospects'!$N$5:$N$504,MATCH(C1949,'Prospects'!$C$5:$C$504,0)),""))</f>
        <v/>
      </c>
      <c r="BB1949" s="61">
        <f>IF(AND(C1949&lt;&gt;"",C1949='Fiche prospect'!$C$4),COUNTIF($C$5:C1949,C1949),"")</f>
        <v/>
      </c>
    </row>
    <row r="1950">
      <c r="A1950" s="53" t="n"/>
      <c r="B1950" s="54" t="n"/>
      <c r="C1950" s="55" t="n"/>
      <c r="D1950" s="55" t="n"/>
      <c r="E1950" s="55" t="n"/>
      <c r="F1950" s="55" t="n"/>
      <c r="G1950" s="56" t="n"/>
      <c r="H1950" s="57" t="n"/>
      <c r="I1950" s="55" t="n"/>
      <c r="J1950" s="53" t="n"/>
      <c r="K1950" s="54" t="n"/>
      <c r="L1950" s="55" t="n"/>
      <c r="M1950" s="55" t="n"/>
      <c r="N1950" s="57" t="n"/>
      <c r="O1950" s="55" t="n"/>
      <c r="P1950" s="56" t="n"/>
      <c r="Q1950" s="55" t="n"/>
      <c r="R1950" s="55" t="n"/>
      <c r="S1950" s="55" t="n"/>
      <c r="T1950" s="55" t="n"/>
      <c r="U1950" s="55" t="n"/>
      <c r="V1950" s="55" t="n"/>
      <c r="W1950" s="58" t="n"/>
      <c r="X1950" s="58" t="n"/>
      <c r="Y1950" s="55" t="n"/>
      <c r="Z1950" s="55" t="n"/>
      <c r="AA1950" s="55" t="n"/>
      <c r="AB1950" s="55" t="n"/>
      <c r="AC1950" s="55" t="n"/>
      <c r="AD1950" s="53" t="n"/>
      <c r="AE1950" s="55" t="n"/>
      <c r="AF1950" s="55" t="n"/>
      <c r="AG1950" s="59" t="n"/>
      <c r="AH1950" s="57" t="n"/>
      <c r="AI1950" s="55" t="n"/>
      <c r="AJ1950" s="55" t="n"/>
      <c r="AK1950" s="55" t="n"/>
      <c r="AL1950" s="55" t="n"/>
      <c r="AM1950" s="56" t="n"/>
      <c r="AN1950" s="55" t="n"/>
      <c r="AO1950" s="55" t="n"/>
      <c r="AP1950" s="55" t="n"/>
      <c r="AQ1950" s="55" t="n"/>
      <c r="AR1950" s="60">
        <f>IF(AND(C1950="",E1950=""),"",IF(A1950="","⚠ Date manquante",IF(AND(C1950="",E1950&lt;&gt;"Dépense"),"⚠ Prospect manquant",IF(E1950="","⚠ Action manquante",IF(AND(AU1950=1,D1950=""),"⚠ Canal manquant",IF(AND(W1950&lt;&gt;"",COUNTIFS('Saisie'!$W$5:$W$2004,W1950,'Saisie'!$C$5:$C$2004,"&lt;&gt;"&amp;C1950)&gt;0),"⚠ Numéro déjà utilisé par un autre prospect",IF(AND(J1950&lt;&gt;"",J1950&lt;A1950),"⚠ Relance avant la date de l'action",IF(A1950&gt;TODAY(),"⚠ Date dans le futur","✓"))))))))</f>
        <v/>
      </c>
      <c r="AS1950" s="61">
        <f>IF(AND(A1950="",C1950="",E1950=""),"",ROW())</f>
        <v/>
      </c>
      <c r="AT1950" s="61">
        <f>IF(E1950&amp;F1950="","",MAX(IFERROR(INDEX('Paramètres'!$J$6:$J$33,MATCH(E1950,'Paramètres'!$I$6:$I$33,0)),0),IFERROR(INDEX('Paramètres'!$N$6:$N$17,MATCH(F1950,'Paramètres'!$M$6:$M$17,0)),0)))</f>
        <v/>
      </c>
      <c r="AU1950" s="61">
        <f>IF(E1950="","",IFERROR(IF(INDEX('Paramètres'!$K$6:$K$33,MATCH(E1950,'Paramètres'!$I$6:$I$33,0))="Oui",1,0),0))</f>
        <v/>
      </c>
      <c r="AV1950" s="61">
        <f>IF(F1950="","",IFERROR(IF(INDEX('Paramètres'!$O$6:$O$17,MATCH(F1950,'Paramètres'!$M$6:$M$17,0))="Oui",1,0),0))</f>
        <v/>
      </c>
      <c r="AW1950" s="62">
        <f>IF(E1950="","",IF(G1950&lt;&gt;"",G1950,IF(OR(E1950="Proposition envoyée",E1950="Signature"),MAX(0,N(IFERROR(INDEX('Paramètres'!$R$6:$R$15,MATCH(IF(AL1950&lt;&gt;"",AL1950,IFERROR(INDEX('Prospects'!$AN$5:$AN$504,MATCH(C1950,'Prospects'!$C$5:$C$504,0)),"")),'Paramètres'!$Q$6:$Q$15,0)),0))-N(P1950)),0)))</f>
        <v/>
      </c>
      <c r="AX1950" s="61">
        <f>IF(C1950="","",IF(COUNTIF($C$5:C1950,C1950)=1,MAX($AX$4:AX1949)+1,""))</f>
        <v/>
      </c>
      <c r="AY1950" s="61">
        <f>IF(B1950="","",HOUR(B1950))</f>
        <v/>
      </c>
      <c r="AZ1950" s="61">
        <f>IF(A1950="","",MOD(A1950-2,7)+1)</f>
        <v/>
      </c>
      <c r="BA1950" s="60">
        <f>IF(C1950="","",IFERROR(INDEX('Prospects'!$N$5:$N$504,MATCH(C1950,'Prospects'!$C$5:$C$504,0)),""))</f>
        <v/>
      </c>
      <c r="BB1950" s="61">
        <f>IF(AND(C1950&lt;&gt;"",C1950='Fiche prospect'!$C$4),COUNTIF($C$5:C1950,C1950),"")</f>
        <v/>
      </c>
    </row>
    <row r="1951">
      <c r="A1951" s="53" t="n"/>
      <c r="B1951" s="54" t="n"/>
      <c r="C1951" s="55" t="n"/>
      <c r="D1951" s="55" t="n"/>
      <c r="E1951" s="55" t="n"/>
      <c r="F1951" s="55" t="n"/>
      <c r="G1951" s="56" t="n"/>
      <c r="H1951" s="57" t="n"/>
      <c r="I1951" s="55" t="n"/>
      <c r="J1951" s="53" t="n"/>
      <c r="K1951" s="54" t="n"/>
      <c r="L1951" s="55" t="n"/>
      <c r="M1951" s="55" t="n"/>
      <c r="N1951" s="57" t="n"/>
      <c r="O1951" s="55" t="n"/>
      <c r="P1951" s="56" t="n"/>
      <c r="Q1951" s="55" t="n"/>
      <c r="R1951" s="55" t="n"/>
      <c r="S1951" s="55" t="n"/>
      <c r="T1951" s="55" t="n"/>
      <c r="U1951" s="55" t="n"/>
      <c r="V1951" s="55" t="n"/>
      <c r="W1951" s="58" t="n"/>
      <c r="X1951" s="58" t="n"/>
      <c r="Y1951" s="55" t="n"/>
      <c r="Z1951" s="55" t="n"/>
      <c r="AA1951" s="55" t="n"/>
      <c r="AB1951" s="55" t="n"/>
      <c r="AC1951" s="55" t="n"/>
      <c r="AD1951" s="53" t="n"/>
      <c r="AE1951" s="55" t="n"/>
      <c r="AF1951" s="55" t="n"/>
      <c r="AG1951" s="59" t="n"/>
      <c r="AH1951" s="57" t="n"/>
      <c r="AI1951" s="55" t="n"/>
      <c r="AJ1951" s="55" t="n"/>
      <c r="AK1951" s="55" t="n"/>
      <c r="AL1951" s="55" t="n"/>
      <c r="AM1951" s="56" t="n"/>
      <c r="AN1951" s="55" t="n"/>
      <c r="AO1951" s="55" t="n"/>
      <c r="AP1951" s="55" t="n"/>
      <c r="AQ1951" s="55" t="n"/>
      <c r="AR1951" s="60">
        <f>IF(AND(C1951="",E1951=""),"",IF(A1951="","⚠ Date manquante",IF(AND(C1951="",E1951&lt;&gt;"Dépense"),"⚠ Prospect manquant",IF(E1951="","⚠ Action manquante",IF(AND(AU1951=1,D1951=""),"⚠ Canal manquant",IF(AND(W1951&lt;&gt;"",COUNTIFS('Saisie'!$W$5:$W$2004,W1951,'Saisie'!$C$5:$C$2004,"&lt;&gt;"&amp;C1951)&gt;0),"⚠ Numéro déjà utilisé par un autre prospect",IF(AND(J1951&lt;&gt;"",J1951&lt;A1951),"⚠ Relance avant la date de l'action",IF(A1951&gt;TODAY(),"⚠ Date dans le futur","✓"))))))))</f>
        <v/>
      </c>
      <c r="AS1951" s="61">
        <f>IF(AND(A1951="",C1951="",E1951=""),"",ROW())</f>
        <v/>
      </c>
      <c r="AT1951" s="61">
        <f>IF(E1951&amp;F1951="","",MAX(IFERROR(INDEX('Paramètres'!$J$6:$J$33,MATCH(E1951,'Paramètres'!$I$6:$I$33,0)),0),IFERROR(INDEX('Paramètres'!$N$6:$N$17,MATCH(F1951,'Paramètres'!$M$6:$M$17,0)),0)))</f>
        <v/>
      </c>
      <c r="AU1951" s="61">
        <f>IF(E1951="","",IFERROR(IF(INDEX('Paramètres'!$K$6:$K$33,MATCH(E1951,'Paramètres'!$I$6:$I$33,0))="Oui",1,0),0))</f>
        <v/>
      </c>
      <c r="AV1951" s="61">
        <f>IF(F1951="","",IFERROR(IF(INDEX('Paramètres'!$O$6:$O$17,MATCH(F1951,'Paramètres'!$M$6:$M$17,0))="Oui",1,0),0))</f>
        <v/>
      </c>
      <c r="AW1951" s="62">
        <f>IF(E1951="","",IF(G1951&lt;&gt;"",G1951,IF(OR(E1951="Proposition envoyée",E1951="Signature"),MAX(0,N(IFERROR(INDEX('Paramètres'!$R$6:$R$15,MATCH(IF(AL1951&lt;&gt;"",AL1951,IFERROR(INDEX('Prospects'!$AN$5:$AN$504,MATCH(C1951,'Prospects'!$C$5:$C$504,0)),"")),'Paramètres'!$Q$6:$Q$15,0)),0))-N(P1951)),0)))</f>
        <v/>
      </c>
      <c r="AX1951" s="61">
        <f>IF(C1951="","",IF(COUNTIF($C$5:C1951,C1951)=1,MAX($AX$4:AX1950)+1,""))</f>
        <v/>
      </c>
      <c r="AY1951" s="61">
        <f>IF(B1951="","",HOUR(B1951))</f>
        <v/>
      </c>
      <c r="AZ1951" s="61">
        <f>IF(A1951="","",MOD(A1951-2,7)+1)</f>
        <v/>
      </c>
      <c r="BA1951" s="60">
        <f>IF(C1951="","",IFERROR(INDEX('Prospects'!$N$5:$N$504,MATCH(C1951,'Prospects'!$C$5:$C$504,0)),""))</f>
        <v/>
      </c>
      <c r="BB1951" s="61">
        <f>IF(AND(C1951&lt;&gt;"",C1951='Fiche prospect'!$C$4),COUNTIF($C$5:C1951,C1951),"")</f>
        <v/>
      </c>
    </row>
    <row r="1952">
      <c r="A1952" s="53" t="n"/>
      <c r="B1952" s="54" t="n"/>
      <c r="C1952" s="55" t="n"/>
      <c r="D1952" s="55" t="n"/>
      <c r="E1952" s="55" t="n"/>
      <c r="F1952" s="55" t="n"/>
      <c r="G1952" s="56" t="n"/>
      <c r="H1952" s="57" t="n"/>
      <c r="I1952" s="55" t="n"/>
      <c r="J1952" s="53" t="n"/>
      <c r="K1952" s="54" t="n"/>
      <c r="L1952" s="55" t="n"/>
      <c r="M1952" s="55" t="n"/>
      <c r="N1952" s="57" t="n"/>
      <c r="O1952" s="55" t="n"/>
      <c r="P1952" s="56" t="n"/>
      <c r="Q1952" s="55" t="n"/>
      <c r="R1952" s="55" t="n"/>
      <c r="S1952" s="55" t="n"/>
      <c r="T1952" s="55" t="n"/>
      <c r="U1952" s="55" t="n"/>
      <c r="V1952" s="55" t="n"/>
      <c r="W1952" s="58" t="n"/>
      <c r="X1952" s="58" t="n"/>
      <c r="Y1952" s="55" t="n"/>
      <c r="Z1952" s="55" t="n"/>
      <c r="AA1952" s="55" t="n"/>
      <c r="AB1952" s="55" t="n"/>
      <c r="AC1952" s="55" t="n"/>
      <c r="AD1952" s="53" t="n"/>
      <c r="AE1952" s="55" t="n"/>
      <c r="AF1952" s="55" t="n"/>
      <c r="AG1952" s="59" t="n"/>
      <c r="AH1952" s="57" t="n"/>
      <c r="AI1952" s="55" t="n"/>
      <c r="AJ1952" s="55" t="n"/>
      <c r="AK1952" s="55" t="n"/>
      <c r="AL1952" s="55" t="n"/>
      <c r="AM1952" s="56" t="n"/>
      <c r="AN1952" s="55" t="n"/>
      <c r="AO1952" s="55" t="n"/>
      <c r="AP1952" s="55" t="n"/>
      <c r="AQ1952" s="55" t="n"/>
      <c r="AR1952" s="60">
        <f>IF(AND(C1952="",E1952=""),"",IF(A1952="","⚠ Date manquante",IF(AND(C1952="",E1952&lt;&gt;"Dépense"),"⚠ Prospect manquant",IF(E1952="","⚠ Action manquante",IF(AND(AU1952=1,D1952=""),"⚠ Canal manquant",IF(AND(W1952&lt;&gt;"",COUNTIFS('Saisie'!$W$5:$W$2004,W1952,'Saisie'!$C$5:$C$2004,"&lt;&gt;"&amp;C1952)&gt;0),"⚠ Numéro déjà utilisé par un autre prospect",IF(AND(J1952&lt;&gt;"",J1952&lt;A1952),"⚠ Relance avant la date de l'action",IF(A1952&gt;TODAY(),"⚠ Date dans le futur","✓"))))))))</f>
        <v/>
      </c>
      <c r="AS1952" s="61">
        <f>IF(AND(A1952="",C1952="",E1952=""),"",ROW())</f>
        <v/>
      </c>
      <c r="AT1952" s="61">
        <f>IF(E1952&amp;F1952="","",MAX(IFERROR(INDEX('Paramètres'!$J$6:$J$33,MATCH(E1952,'Paramètres'!$I$6:$I$33,0)),0),IFERROR(INDEX('Paramètres'!$N$6:$N$17,MATCH(F1952,'Paramètres'!$M$6:$M$17,0)),0)))</f>
        <v/>
      </c>
      <c r="AU1952" s="61">
        <f>IF(E1952="","",IFERROR(IF(INDEX('Paramètres'!$K$6:$K$33,MATCH(E1952,'Paramètres'!$I$6:$I$33,0))="Oui",1,0),0))</f>
        <v/>
      </c>
      <c r="AV1952" s="61">
        <f>IF(F1952="","",IFERROR(IF(INDEX('Paramètres'!$O$6:$O$17,MATCH(F1952,'Paramètres'!$M$6:$M$17,0))="Oui",1,0),0))</f>
        <v/>
      </c>
      <c r="AW1952" s="62">
        <f>IF(E1952="","",IF(G1952&lt;&gt;"",G1952,IF(OR(E1952="Proposition envoyée",E1952="Signature"),MAX(0,N(IFERROR(INDEX('Paramètres'!$R$6:$R$15,MATCH(IF(AL1952&lt;&gt;"",AL1952,IFERROR(INDEX('Prospects'!$AN$5:$AN$504,MATCH(C1952,'Prospects'!$C$5:$C$504,0)),"")),'Paramètres'!$Q$6:$Q$15,0)),0))-N(P1952)),0)))</f>
        <v/>
      </c>
      <c r="AX1952" s="61">
        <f>IF(C1952="","",IF(COUNTIF($C$5:C1952,C1952)=1,MAX($AX$4:AX1951)+1,""))</f>
        <v/>
      </c>
      <c r="AY1952" s="61">
        <f>IF(B1952="","",HOUR(B1952))</f>
        <v/>
      </c>
      <c r="AZ1952" s="61">
        <f>IF(A1952="","",MOD(A1952-2,7)+1)</f>
        <v/>
      </c>
      <c r="BA1952" s="60">
        <f>IF(C1952="","",IFERROR(INDEX('Prospects'!$N$5:$N$504,MATCH(C1952,'Prospects'!$C$5:$C$504,0)),""))</f>
        <v/>
      </c>
      <c r="BB1952" s="61">
        <f>IF(AND(C1952&lt;&gt;"",C1952='Fiche prospect'!$C$4),COUNTIF($C$5:C1952,C1952),"")</f>
        <v/>
      </c>
    </row>
    <row r="1953">
      <c r="A1953" s="53" t="n"/>
      <c r="B1953" s="54" t="n"/>
      <c r="C1953" s="55" t="n"/>
      <c r="D1953" s="55" t="n"/>
      <c r="E1953" s="55" t="n"/>
      <c r="F1953" s="55" t="n"/>
      <c r="G1953" s="56" t="n"/>
      <c r="H1953" s="57" t="n"/>
      <c r="I1953" s="55" t="n"/>
      <c r="J1953" s="53" t="n"/>
      <c r="K1953" s="54" t="n"/>
      <c r="L1953" s="55" t="n"/>
      <c r="M1953" s="55" t="n"/>
      <c r="N1953" s="57" t="n"/>
      <c r="O1953" s="55" t="n"/>
      <c r="P1953" s="56" t="n"/>
      <c r="Q1953" s="55" t="n"/>
      <c r="R1953" s="55" t="n"/>
      <c r="S1953" s="55" t="n"/>
      <c r="T1953" s="55" t="n"/>
      <c r="U1953" s="55" t="n"/>
      <c r="V1953" s="55" t="n"/>
      <c r="W1953" s="58" t="n"/>
      <c r="X1953" s="58" t="n"/>
      <c r="Y1953" s="55" t="n"/>
      <c r="Z1953" s="55" t="n"/>
      <c r="AA1953" s="55" t="n"/>
      <c r="AB1953" s="55" t="n"/>
      <c r="AC1953" s="55" t="n"/>
      <c r="AD1953" s="53" t="n"/>
      <c r="AE1953" s="55" t="n"/>
      <c r="AF1953" s="55" t="n"/>
      <c r="AG1953" s="59" t="n"/>
      <c r="AH1953" s="57" t="n"/>
      <c r="AI1953" s="55" t="n"/>
      <c r="AJ1953" s="55" t="n"/>
      <c r="AK1953" s="55" t="n"/>
      <c r="AL1953" s="55" t="n"/>
      <c r="AM1953" s="56" t="n"/>
      <c r="AN1953" s="55" t="n"/>
      <c r="AO1953" s="55" t="n"/>
      <c r="AP1953" s="55" t="n"/>
      <c r="AQ1953" s="55" t="n"/>
      <c r="AR1953" s="60">
        <f>IF(AND(C1953="",E1953=""),"",IF(A1953="","⚠ Date manquante",IF(AND(C1953="",E1953&lt;&gt;"Dépense"),"⚠ Prospect manquant",IF(E1953="","⚠ Action manquante",IF(AND(AU1953=1,D1953=""),"⚠ Canal manquant",IF(AND(W1953&lt;&gt;"",COUNTIFS('Saisie'!$W$5:$W$2004,W1953,'Saisie'!$C$5:$C$2004,"&lt;&gt;"&amp;C1953)&gt;0),"⚠ Numéro déjà utilisé par un autre prospect",IF(AND(J1953&lt;&gt;"",J1953&lt;A1953),"⚠ Relance avant la date de l'action",IF(A1953&gt;TODAY(),"⚠ Date dans le futur","✓"))))))))</f>
        <v/>
      </c>
      <c r="AS1953" s="61">
        <f>IF(AND(A1953="",C1953="",E1953=""),"",ROW())</f>
        <v/>
      </c>
      <c r="AT1953" s="61">
        <f>IF(E1953&amp;F1953="","",MAX(IFERROR(INDEX('Paramètres'!$J$6:$J$33,MATCH(E1953,'Paramètres'!$I$6:$I$33,0)),0),IFERROR(INDEX('Paramètres'!$N$6:$N$17,MATCH(F1953,'Paramètres'!$M$6:$M$17,0)),0)))</f>
        <v/>
      </c>
      <c r="AU1953" s="61">
        <f>IF(E1953="","",IFERROR(IF(INDEX('Paramètres'!$K$6:$K$33,MATCH(E1953,'Paramètres'!$I$6:$I$33,0))="Oui",1,0),0))</f>
        <v/>
      </c>
      <c r="AV1953" s="61">
        <f>IF(F1953="","",IFERROR(IF(INDEX('Paramètres'!$O$6:$O$17,MATCH(F1953,'Paramètres'!$M$6:$M$17,0))="Oui",1,0),0))</f>
        <v/>
      </c>
      <c r="AW1953" s="62">
        <f>IF(E1953="","",IF(G1953&lt;&gt;"",G1953,IF(OR(E1953="Proposition envoyée",E1953="Signature"),MAX(0,N(IFERROR(INDEX('Paramètres'!$R$6:$R$15,MATCH(IF(AL1953&lt;&gt;"",AL1953,IFERROR(INDEX('Prospects'!$AN$5:$AN$504,MATCH(C1953,'Prospects'!$C$5:$C$504,0)),"")),'Paramètres'!$Q$6:$Q$15,0)),0))-N(P1953)),0)))</f>
        <v/>
      </c>
      <c r="AX1953" s="61">
        <f>IF(C1953="","",IF(COUNTIF($C$5:C1953,C1953)=1,MAX($AX$4:AX1952)+1,""))</f>
        <v/>
      </c>
      <c r="AY1953" s="61">
        <f>IF(B1953="","",HOUR(B1953))</f>
        <v/>
      </c>
      <c r="AZ1953" s="61">
        <f>IF(A1953="","",MOD(A1953-2,7)+1)</f>
        <v/>
      </c>
      <c r="BA1953" s="60">
        <f>IF(C1953="","",IFERROR(INDEX('Prospects'!$N$5:$N$504,MATCH(C1953,'Prospects'!$C$5:$C$504,0)),""))</f>
        <v/>
      </c>
      <c r="BB1953" s="61">
        <f>IF(AND(C1953&lt;&gt;"",C1953='Fiche prospect'!$C$4),COUNTIF($C$5:C1953,C1953),"")</f>
        <v/>
      </c>
    </row>
    <row r="1954">
      <c r="A1954" s="53" t="n"/>
      <c r="B1954" s="54" t="n"/>
      <c r="C1954" s="55" t="n"/>
      <c r="D1954" s="55" t="n"/>
      <c r="E1954" s="55" t="n"/>
      <c r="F1954" s="55" t="n"/>
      <c r="G1954" s="56" t="n"/>
      <c r="H1954" s="57" t="n"/>
      <c r="I1954" s="55" t="n"/>
      <c r="J1954" s="53" t="n"/>
      <c r="K1954" s="54" t="n"/>
      <c r="L1954" s="55" t="n"/>
      <c r="M1954" s="55" t="n"/>
      <c r="N1954" s="57" t="n"/>
      <c r="O1954" s="55" t="n"/>
      <c r="P1954" s="56" t="n"/>
      <c r="Q1954" s="55" t="n"/>
      <c r="R1954" s="55" t="n"/>
      <c r="S1954" s="55" t="n"/>
      <c r="T1954" s="55" t="n"/>
      <c r="U1954" s="55" t="n"/>
      <c r="V1954" s="55" t="n"/>
      <c r="W1954" s="58" t="n"/>
      <c r="X1954" s="58" t="n"/>
      <c r="Y1954" s="55" t="n"/>
      <c r="Z1954" s="55" t="n"/>
      <c r="AA1954" s="55" t="n"/>
      <c r="AB1954" s="55" t="n"/>
      <c r="AC1954" s="55" t="n"/>
      <c r="AD1954" s="53" t="n"/>
      <c r="AE1954" s="55" t="n"/>
      <c r="AF1954" s="55" t="n"/>
      <c r="AG1954" s="59" t="n"/>
      <c r="AH1954" s="57" t="n"/>
      <c r="AI1954" s="55" t="n"/>
      <c r="AJ1954" s="55" t="n"/>
      <c r="AK1954" s="55" t="n"/>
      <c r="AL1954" s="55" t="n"/>
      <c r="AM1954" s="56" t="n"/>
      <c r="AN1954" s="55" t="n"/>
      <c r="AO1954" s="55" t="n"/>
      <c r="AP1954" s="55" t="n"/>
      <c r="AQ1954" s="55" t="n"/>
      <c r="AR1954" s="60">
        <f>IF(AND(C1954="",E1954=""),"",IF(A1954="","⚠ Date manquante",IF(AND(C1954="",E1954&lt;&gt;"Dépense"),"⚠ Prospect manquant",IF(E1954="","⚠ Action manquante",IF(AND(AU1954=1,D1954=""),"⚠ Canal manquant",IF(AND(W1954&lt;&gt;"",COUNTIFS('Saisie'!$W$5:$W$2004,W1954,'Saisie'!$C$5:$C$2004,"&lt;&gt;"&amp;C1954)&gt;0),"⚠ Numéro déjà utilisé par un autre prospect",IF(AND(J1954&lt;&gt;"",J1954&lt;A1954),"⚠ Relance avant la date de l'action",IF(A1954&gt;TODAY(),"⚠ Date dans le futur","✓"))))))))</f>
        <v/>
      </c>
      <c r="AS1954" s="61">
        <f>IF(AND(A1954="",C1954="",E1954=""),"",ROW())</f>
        <v/>
      </c>
      <c r="AT1954" s="61">
        <f>IF(E1954&amp;F1954="","",MAX(IFERROR(INDEX('Paramètres'!$J$6:$J$33,MATCH(E1954,'Paramètres'!$I$6:$I$33,0)),0),IFERROR(INDEX('Paramètres'!$N$6:$N$17,MATCH(F1954,'Paramètres'!$M$6:$M$17,0)),0)))</f>
        <v/>
      </c>
      <c r="AU1954" s="61">
        <f>IF(E1954="","",IFERROR(IF(INDEX('Paramètres'!$K$6:$K$33,MATCH(E1954,'Paramètres'!$I$6:$I$33,0))="Oui",1,0),0))</f>
        <v/>
      </c>
      <c r="AV1954" s="61">
        <f>IF(F1954="","",IFERROR(IF(INDEX('Paramètres'!$O$6:$O$17,MATCH(F1954,'Paramètres'!$M$6:$M$17,0))="Oui",1,0),0))</f>
        <v/>
      </c>
      <c r="AW1954" s="62">
        <f>IF(E1954="","",IF(G1954&lt;&gt;"",G1954,IF(OR(E1954="Proposition envoyée",E1954="Signature"),MAX(0,N(IFERROR(INDEX('Paramètres'!$R$6:$R$15,MATCH(IF(AL1954&lt;&gt;"",AL1954,IFERROR(INDEX('Prospects'!$AN$5:$AN$504,MATCH(C1954,'Prospects'!$C$5:$C$504,0)),"")),'Paramètres'!$Q$6:$Q$15,0)),0))-N(P1954)),0)))</f>
        <v/>
      </c>
      <c r="AX1954" s="61">
        <f>IF(C1954="","",IF(COUNTIF($C$5:C1954,C1954)=1,MAX($AX$4:AX1953)+1,""))</f>
        <v/>
      </c>
      <c r="AY1954" s="61">
        <f>IF(B1954="","",HOUR(B1954))</f>
        <v/>
      </c>
      <c r="AZ1954" s="61">
        <f>IF(A1954="","",MOD(A1954-2,7)+1)</f>
        <v/>
      </c>
      <c r="BA1954" s="60">
        <f>IF(C1954="","",IFERROR(INDEX('Prospects'!$N$5:$N$504,MATCH(C1954,'Prospects'!$C$5:$C$504,0)),""))</f>
        <v/>
      </c>
      <c r="BB1954" s="61">
        <f>IF(AND(C1954&lt;&gt;"",C1954='Fiche prospect'!$C$4),COUNTIF($C$5:C1954,C1954),"")</f>
        <v/>
      </c>
    </row>
    <row r="1955">
      <c r="A1955" s="53" t="n"/>
      <c r="B1955" s="54" t="n"/>
      <c r="C1955" s="55" t="n"/>
      <c r="D1955" s="55" t="n"/>
      <c r="E1955" s="55" t="n"/>
      <c r="F1955" s="55" t="n"/>
      <c r="G1955" s="56" t="n"/>
      <c r="H1955" s="57" t="n"/>
      <c r="I1955" s="55" t="n"/>
      <c r="J1955" s="53" t="n"/>
      <c r="K1955" s="54" t="n"/>
      <c r="L1955" s="55" t="n"/>
      <c r="M1955" s="55" t="n"/>
      <c r="N1955" s="57" t="n"/>
      <c r="O1955" s="55" t="n"/>
      <c r="P1955" s="56" t="n"/>
      <c r="Q1955" s="55" t="n"/>
      <c r="R1955" s="55" t="n"/>
      <c r="S1955" s="55" t="n"/>
      <c r="T1955" s="55" t="n"/>
      <c r="U1955" s="55" t="n"/>
      <c r="V1955" s="55" t="n"/>
      <c r="W1955" s="58" t="n"/>
      <c r="X1955" s="58" t="n"/>
      <c r="Y1955" s="55" t="n"/>
      <c r="Z1955" s="55" t="n"/>
      <c r="AA1955" s="55" t="n"/>
      <c r="AB1955" s="55" t="n"/>
      <c r="AC1955" s="55" t="n"/>
      <c r="AD1955" s="53" t="n"/>
      <c r="AE1955" s="55" t="n"/>
      <c r="AF1955" s="55" t="n"/>
      <c r="AG1955" s="59" t="n"/>
      <c r="AH1955" s="57" t="n"/>
      <c r="AI1955" s="55" t="n"/>
      <c r="AJ1955" s="55" t="n"/>
      <c r="AK1955" s="55" t="n"/>
      <c r="AL1955" s="55" t="n"/>
      <c r="AM1955" s="56" t="n"/>
      <c r="AN1955" s="55" t="n"/>
      <c r="AO1955" s="55" t="n"/>
      <c r="AP1955" s="55" t="n"/>
      <c r="AQ1955" s="55" t="n"/>
      <c r="AR1955" s="60">
        <f>IF(AND(C1955="",E1955=""),"",IF(A1955="","⚠ Date manquante",IF(AND(C1955="",E1955&lt;&gt;"Dépense"),"⚠ Prospect manquant",IF(E1955="","⚠ Action manquante",IF(AND(AU1955=1,D1955=""),"⚠ Canal manquant",IF(AND(W1955&lt;&gt;"",COUNTIFS('Saisie'!$W$5:$W$2004,W1955,'Saisie'!$C$5:$C$2004,"&lt;&gt;"&amp;C1955)&gt;0),"⚠ Numéro déjà utilisé par un autre prospect",IF(AND(J1955&lt;&gt;"",J1955&lt;A1955),"⚠ Relance avant la date de l'action",IF(A1955&gt;TODAY(),"⚠ Date dans le futur","✓"))))))))</f>
        <v/>
      </c>
      <c r="AS1955" s="61">
        <f>IF(AND(A1955="",C1955="",E1955=""),"",ROW())</f>
        <v/>
      </c>
      <c r="AT1955" s="61">
        <f>IF(E1955&amp;F1955="","",MAX(IFERROR(INDEX('Paramètres'!$J$6:$J$33,MATCH(E1955,'Paramètres'!$I$6:$I$33,0)),0),IFERROR(INDEX('Paramètres'!$N$6:$N$17,MATCH(F1955,'Paramètres'!$M$6:$M$17,0)),0)))</f>
        <v/>
      </c>
      <c r="AU1955" s="61">
        <f>IF(E1955="","",IFERROR(IF(INDEX('Paramètres'!$K$6:$K$33,MATCH(E1955,'Paramètres'!$I$6:$I$33,0))="Oui",1,0),0))</f>
        <v/>
      </c>
      <c r="AV1955" s="61">
        <f>IF(F1955="","",IFERROR(IF(INDEX('Paramètres'!$O$6:$O$17,MATCH(F1955,'Paramètres'!$M$6:$M$17,0))="Oui",1,0),0))</f>
        <v/>
      </c>
      <c r="AW1955" s="62">
        <f>IF(E1955="","",IF(G1955&lt;&gt;"",G1955,IF(OR(E1955="Proposition envoyée",E1955="Signature"),MAX(0,N(IFERROR(INDEX('Paramètres'!$R$6:$R$15,MATCH(IF(AL1955&lt;&gt;"",AL1955,IFERROR(INDEX('Prospects'!$AN$5:$AN$504,MATCH(C1955,'Prospects'!$C$5:$C$504,0)),"")),'Paramètres'!$Q$6:$Q$15,0)),0))-N(P1955)),0)))</f>
        <v/>
      </c>
      <c r="AX1955" s="61">
        <f>IF(C1955="","",IF(COUNTIF($C$5:C1955,C1955)=1,MAX($AX$4:AX1954)+1,""))</f>
        <v/>
      </c>
      <c r="AY1955" s="61">
        <f>IF(B1955="","",HOUR(B1955))</f>
        <v/>
      </c>
      <c r="AZ1955" s="61">
        <f>IF(A1955="","",MOD(A1955-2,7)+1)</f>
        <v/>
      </c>
      <c r="BA1955" s="60">
        <f>IF(C1955="","",IFERROR(INDEX('Prospects'!$N$5:$N$504,MATCH(C1955,'Prospects'!$C$5:$C$504,0)),""))</f>
        <v/>
      </c>
      <c r="BB1955" s="61">
        <f>IF(AND(C1955&lt;&gt;"",C1955='Fiche prospect'!$C$4),COUNTIF($C$5:C1955,C1955),"")</f>
        <v/>
      </c>
    </row>
    <row r="1956">
      <c r="A1956" s="53" t="n"/>
      <c r="B1956" s="54" t="n"/>
      <c r="C1956" s="55" t="n"/>
      <c r="D1956" s="55" t="n"/>
      <c r="E1956" s="55" t="n"/>
      <c r="F1956" s="55" t="n"/>
      <c r="G1956" s="56" t="n"/>
      <c r="H1956" s="57" t="n"/>
      <c r="I1956" s="55" t="n"/>
      <c r="J1956" s="53" t="n"/>
      <c r="K1956" s="54" t="n"/>
      <c r="L1956" s="55" t="n"/>
      <c r="M1956" s="55" t="n"/>
      <c r="N1956" s="57" t="n"/>
      <c r="O1956" s="55" t="n"/>
      <c r="P1956" s="56" t="n"/>
      <c r="Q1956" s="55" t="n"/>
      <c r="R1956" s="55" t="n"/>
      <c r="S1956" s="55" t="n"/>
      <c r="T1956" s="55" t="n"/>
      <c r="U1956" s="55" t="n"/>
      <c r="V1956" s="55" t="n"/>
      <c r="W1956" s="58" t="n"/>
      <c r="X1956" s="58" t="n"/>
      <c r="Y1956" s="55" t="n"/>
      <c r="Z1956" s="55" t="n"/>
      <c r="AA1956" s="55" t="n"/>
      <c r="AB1956" s="55" t="n"/>
      <c r="AC1956" s="55" t="n"/>
      <c r="AD1956" s="53" t="n"/>
      <c r="AE1956" s="55" t="n"/>
      <c r="AF1956" s="55" t="n"/>
      <c r="AG1956" s="59" t="n"/>
      <c r="AH1956" s="57" t="n"/>
      <c r="AI1956" s="55" t="n"/>
      <c r="AJ1956" s="55" t="n"/>
      <c r="AK1956" s="55" t="n"/>
      <c r="AL1956" s="55" t="n"/>
      <c r="AM1956" s="56" t="n"/>
      <c r="AN1956" s="55" t="n"/>
      <c r="AO1956" s="55" t="n"/>
      <c r="AP1956" s="55" t="n"/>
      <c r="AQ1956" s="55" t="n"/>
      <c r="AR1956" s="60">
        <f>IF(AND(C1956="",E1956=""),"",IF(A1956="","⚠ Date manquante",IF(AND(C1956="",E1956&lt;&gt;"Dépense"),"⚠ Prospect manquant",IF(E1956="","⚠ Action manquante",IF(AND(AU1956=1,D1956=""),"⚠ Canal manquant",IF(AND(W1956&lt;&gt;"",COUNTIFS('Saisie'!$W$5:$W$2004,W1956,'Saisie'!$C$5:$C$2004,"&lt;&gt;"&amp;C1956)&gt;0),"⚠ Numéro déjà utilisé par un autre prospect",IF(AND(J1956&lt;&gt;"",J1956&lt;A1956),"⚠ Relance avant la date de l'action",IF(A1956&gt;TODAY(),"⚠ Date dans le futur","✓"))))))))</f>
        <v/>
      </c>
      <c r="AS1956" s="61">
        <f>IF(AND(A1956="",C1956="",E1956=""),"",ROW())</f>
        <v/>
      </c>
      <c r="AT1956" s="61">
        <f>IF(E1956&amp;F1956="","",MAX(IFERROR(INDEX('Paramètres'!$J$6:$J$33,MATCH(E1956,'Paramètres'!$I$6:$I$33,0)),0),IFERROR(INDEX('Paramètres'!$N$6:$N$17,MATCH(F1956,'Paramètres'!$M$6:$M$17,0)),0)))</f>
        <v/>
      </c>
      <c r="AU1956" s="61">
        <f>IF(E1956="","",IFERROR(IF(INDEX('Paramètres'!$K$6:$K$33,MATCH(E1956,'Paramètres'!$I$6:$I$33,0))="Oui",1,0),0))</f>
        <v/>
      </c>
      <c r="AV1956" s="61">
        <f>IF(F1956="","",IFERROR(IF(INDEX('Paramètres'!$O$6:$O$17,MATCH(F1956,'Paramètres'!$M$6:$M$17,0))="Oui",1,0),0))</f>
        <v/>
      </c>
      <c r="AW1956" s="62">
        <f>IF(E1956="","",IF(G1956&lt;&gt;"",G1956,IF(OR(E1956="Proposition envoyée",E1956="Signature"),MAX(0,N(IFERROR(INDEX('Paramètres'!$R$6:$R$15,MATCH(IF(AL1956&lt;&gt;"",AL1956,IFERROR(INDEX('Prospects'!$AN$5:$AN$504,MATCH(C1956,'Prospects'!$C$5:$C$504,0)),"")),'Paramètres'!$Q$6:$Q$15,0)),0))-N(P1956)),0)))</f>
        <v/>
      </c>
      <c r="AX1956" s="61">
        <f>IF(C1956="","",IF(COUNTIF($C$5:C1956,C1956)=1,MAX($AX$4:AX1955)+1,""))</f>
        <v/>
      </c>
      <c r="AY1956" s="61">
        <f>IF(B1956="","",HOUR(B1956))</f>
        <v/>
      </c>
      <c r="AZ1956" s="61">
        <f>IF(A1956="","",MOD(A1956-2,7)+1)</f>
        <v/>
      </c>
      <c r="BA1956" s="60">
        <f>IF(C1956="","",IFERROR(INDEX('Prospects'!$N$5:$N$504,MATCH(C1956,'Prospects'!$C$5:$C$504,0)),""))</f>
        <v/>
      </c>
      <c r="BB1956" s="61">
        <f>IF(AND(C1956&lt;&gt;"",C1956='Fiche prospect'!$C$4),COUNTIF($C$5:C1956,C1956),"")</f>
        <v/>
      </c>
    </row>
    <row r="1957">
      <c r="A1957" s="53" t="n"/>
      <c r="B1957" s="54" t="n"/>
      <c r="C1957" s="55" t="n"/>
      <c r="D1957" s="55" t="n"/>
      <c r="E1957" s="55" t="n"/>
      <c r="F1957" s="55" t="n"/>
      <c r="G1957" s="56" t="n"/>
      <c r="H1957" s="57" t="n"/>
      <c r="I1957" s="55" t="n"/>
      <c r="J1957" s="53" t="n"/>
      <c r="K1957" s="54" t="n"/>
      <c r="L1957" s="55" t="n"/>
      <c r="M1957" s="55" t="n"/>
      <c r="N1957" s="57" t="n"/>
      <c r="O1957" s="55" t="n"/>
      <c r="P1957" s="56" t="n"/>
      <c r="Q1957" s="55" t="n"/>
      <c r="R1957" s="55" t="n"/>
      <c r="S1957" s="55" t="n"/>
      <c r="T1957" s="55" t="n"/>
      <c r="U1957" s="55" t="n"/>
      <c r="V1957" s="55" t="n"/>
      <c r="W1957" s="58" t="n"/>
      <c r="X1957" s="58" t="n"/>
      <c r="Y1957" s="55" t="n"/>
      <c r="Z1957" s="55" t="n"/>
      <c r="AA1957" s="55" t="n"/>
      <c r="AB1957" s="55" t="n"/>
      <c r="AC1957" s="55" t="n"/>
      <c r="AD1957" s="53" t="n"/>
      <c r="AE1957" s="55" t="n"/>
      <c r="AF1957" s="55" t="n"/>
      <c r="AG1957" s="59" t="n"/>
      <c r="AH1957" s="57" t="n"/>
      <c r="AI1957" s="55" t="n"/>
      <c r="AJ1957" s="55" t="n"/>
      <c r="AK1957" s="55" t="n"/>
      <c r="AL1957" s="55" t="n"/>
      <c r="AM1957" s="56" t="n"/>
      <c r="AN1957" s="55" t="n"/>
      <c r="AO1957" s="55" t="n"/>
      <c r="AP1957" s="55" t="n"/>
      <c r="AQ1957" s="55" t="n"/>
      <c r="AR1957" s="60">
        <f>IF(AND(C1957="",E1957=""),"",IF(A1957="","⚠ Date manquante",IF(AND(C1957="",E1957&lt;&gt;"Dépense"),"⚠ Prospect manquant",IF(E1957="","⚠ Action manquante",IF(AND(AU1957=1,D1957=""),"⚠ Canal manquant",IF(AND(W1957&lt;&gt;"",COUNTIFS('Saisie'!$W$5:$W$2004,W1957,'Saisie'!$C$5:$C$2004,"&lt;&gt;"&amp;C1957)&gt;0),"⚠ Numéro déjà utilisé par un autre prospect",IF(AND(J1957&lt;&gt;"",J1957&lt;A1957),"⚠ Relance avant la date de l'action",IF(A1957&gt;TODAY(),"⚠ Date dans le futur","✓"))))))))</f>
        <v/>
      </c>
      <c r="AS1957" s="61">
        <f>IF(AND(A1957="",C1957="",E1957=""),"",ROW())</f>
        <v/>
      </c>
      <c r="AT1957" s="61">
        <f>IF(E1957&amp;F1957="","",MAX(IFERROR(INDEX('Paramètres'!$J$6:$J$33,MATCH(E1957,'Paramètres'!$I$6:$I$33,0)),0),IFERROR(INDEX('Paramètres'!$N$6:$N$17,MATCH(F1957,'Paramètres'!$M$6:$M$17,0)),0)))</f>
        <v/>
      </c>
      <c r="AU1957" s="61">
        <f>IF(E1957="","",IFERROR(IF(INDEX('Paramètres'!$K$6:$K$33,MATCH(E1957,'Paramètres'!$I$6:$I$33,0))="Oui",1,0),0))</f>
        <v/>
      </c>
      <c r="AV1957" s="61">
        <f>IF(F1957="","",IFERROR(IF(INDEX('Paramètres'!$O$6:$O$17,MATCH(F1957,'Paramètres'!$M$6:$M$17,0))="Oui",1,0),0))</f>
        <v/>
      </c>
      <c r="AW1957" s="62">
        <f>IF(E1957="","",IF(G1957&lt;&gt;"",G1957,IF(OR(E1957="Proposition envoyée",E1957="Signature"),MAX(0,N(IFERROR(INDEX('Paramètres'!$R$6:$R$15,MATCH(IF(AL1957&lt;&gt;"",AL1957,IFERROR(INDEX('Prospects'!$AN$5:$AN$504,MATCH(C1957,'Prospects'!$C$5:$C$504,0)),"")),'Paramètres'!$Q$6:$Q$15,0)),0))-N(P1957)),0)))</f>
        <v/>
      </c>
      <c r="AX1957" s="61">
        <f>IF(C1957="","",IF(COUNTIF($C$5:C1957,C1957)=1,MAX($AX$4:AX1956)+1,""))</f>
        <v/>
      </c>
      <c r="AY1957" s="61">
        <f>IF(B1957="","",HOUR(B1957))</f>
        <v/>
      </c>
      <c r="AZ1957" s="61">
        <f>IF(A1957="","",MOD(A1957-2,7)+1)</f>
        <v/>
      </c>
      <c r="BA1957" s="60">
        <f>IF(C1957="","",IFERROR(INDEX('Prospects'!$N$5:$N$504,MATCH(C1957,'Prospects'!$C$5:$C$504,0)),""))</f>
        <v/>
      </c>
      <c r="BB1957" s="61">
        <f>IF(AND(C1957&lt;&gt;"",C1957='Fiche prospect'!$C$4),COUNTIF($C$5:C1957,C1957),"")</f>
        <v/>
      </c>
    </row>
    <row r="1958">
      <c r="A1958" s="53" t="n"/>
      <c r="B1958" s="54" t="n"/>
      <c r="C1958" s="55" t="n"/>
      <c r="D1958" s="55" t="n"/>
      <c r="E1958" s="55" t="n"/>
      <c r="F1958" s="55" t="n"/>
      <c r="G1958" s="56" t="n"/>
      <c r="H1958" s="57" t="n"/>
      <c r="I1958" s="55" t="n"/>
      <c r="J1958" s="53" t="n"/>
      <c r="K1958" s="54" t="n"/>
      <c r="L1958" s="55" t="n"/>
      <c r="M1958" s="55" t="n"/>
      <c r="N1958" s="57" t="n"/>
      <c r="O1958" s="55" t="n"/>
      <c r="P1958" s="56" t="n"/>
      <c r="Q1958" s="55" t="n"/>
      <c r="R1958" s="55" t="n"/>
      <c r="S1958" s="55" t="n"/>
      <c r="T1958" s="55" t="n"/>
      <c r="U1958" s="55" t="n"/>
      <c r="V1958" s="55" t="n"/>
      <c r="W1958" s="58" t="n"/>
      <c r="X1958" s="58" t="n"/>
      <c r="Y1958" s="55" t="n"/>
      <c r="Z1958" s="55" t="n"/>
      <c r="AA1958" s="55" t="n"/>
      <c r="AB1958" s="55" t="n"/>
      <c r="AC1958" s="55" t="n"/>
      <c r="AD1958" s="53" t="n"/>
      <c r="AE1958" s="55" t="n"/>
      <c r="AF1958" s="55" t="n"/>
      <c r="AG1958" s="59" t="n"/>
      <c r="AH1958" s="57" t="n"/>
      <c r="AI1958" s="55" t="n"/>
      <c r="AJ1958" s="55" t="n"/>
      <c r="AK1958" s="55" t="n"/>
      <c r="AL1958" s="55" t="n"/>
      <c r="AM1958" s="56" t="n"/>
      <c r="AN1958" s="55" t="n"/>
      <c r="AO1958" s="55" t="n"/>
      <c r="AP1958" s="55" t="n"/>
      <c r="AQ1958" s="55" t="n"/>
      <c r="AR1958" s="60">
        <f>IF(AND(C1958="",E1958=""),"",IF(A1958="","⚠ Date manquante",IF(AND(C1958="",E1958&lt;&gt;"Dépense"),"⚠ Prospect manquant",IF(E1958="","⚠ Action manquante",IF(AND(AU1958=1,D1958=""),"⚠ Canal manquant",IF(AND(W1958&lt;&gt;"",COUNTIFS('Saisie'!$W$5:$W$2004,W1958,'Saisie'!$C$5:$C$2004,"&lt;&gt;"&amp;C1958)&gt;0),"⚠ Numéro déjà utilisé par un autre prospect",IF(AND(J1958&lt;&gt;"",J1958&lt;A1958),"⚠ Relance avant la date de l'action",IF(A1958&gt;TODAY(),"⚠ Date dans le futur","✓"))))))))</f>
        <v/>
      </c>
      <c r="AS1958" s="61">
        <f>IF(AND(A1958="",C1958="",E1958=""),"",ROW())</f>
        <v/>
      </c>
      <c r="AT1958" s="61">
        <f>IF(E1958&amp;F1958="","",MAX(IFERROR(INDEX('Paramètres'!$J$6:$J$33,MATCH(E1958,'Paramètres'!$I$6:$I$33,0)),0),IFERROR(INDEX('Paramètres'!$N$6:$N$17,MATCH(F1958,'Paramètres'!$M$6:$M$17,0)),0)))</f>
        <v/>
      </c>
      <c r="AU1958" s="61">
        <f>IF(E1958="","",IFERROR(IF(INDEX('Paramètres'!$K$6:$K$33,MATCH(E1958,'Paramètres'!$I$6:$I$33,0))="Oui",1,0),0))</f>
        <v/>
      </c>
      <c r="AV1958" s="61">
        <f>IF(F1958="","",IFERROR(IF(INDEX('Paramètres'!$O$6:$O$17,MATCH(F1958,'Paramètres'!$M$6:$M$17,0))="Oui",1,0),0))</f>
        <v/>
      </c>
      <c r="AW1958" s="62">
        <f>IF(E1958="","",IF(G1958&lt;&gt;"",G1958,IF(OR(E1958="Proposition envoyée",E1958="Signature"),MAX(0,N(IFERROR(INDEX('Paramètres'!$R$6:$R$15,MATCH(IF(AL1958&lt;&gt;"",AL1958,IFERROR(INDEX('Prospects'!$AN$5:$AN$504,MATCH(C1958,'Prospects'!$C$5:$C$504,0)),"")),'Paramètres'!$Q$6:$Q$15,0)),0))-N(P1958)),0)))</f>
        <v/>
      </c>
      <c r="AX1958" s="61">
        <f>IF(C1958="","",IF(COUNTIF($C$5:C1958,C1958)=1,MAX($AX$4:AX1957)+1,""))</f>
        <v/>
      </c>
      <c r="AY1958" s="61">
        <f>IF(B1958="","",HOUR(B1958))</f>
        <v/>
      </c>
      <c r="AZ1958" s="61">
        <f>IF(A1958="","",MOD(A1958-2,7)+1)</f>
        <v/>
      </c>
      <c r="BA1958" s="60">
        <f>IF(C1958="","",IFERROR(INDEX('Prospects'!$N$5:$N$504,MATCH(C1958,'Prospects'!$C$5:$C$504,0)),""))</f>
        <v/>
      </c>
      <c r="BB1958" s="61">
        <f>IF(AND(C1958&lt;&gt;"",C1958='Fiche prospect'!$C$4),COUNTIF($C$5:C1958,C1958),"")</f>
        <v/>
      </c>
    </row>
    <row r="1959">
      <c r="A1959" s="53" t="n"/>
      <c r="B1959" s="54" t="n"/>
      <c r="C1959" s="55" t="n"/>
      <c r="D1959" s="55" t="n"/>
      <c r="E1959" s="55" t="n"/>
      <c r="F1959" s="55" t="n"/>
      <c r="G1959" s="56" t="n"/>
      <c r="H1959" s="57" t="n"/>
      <c r="I1959" s="55" t="n"/>
      <c r="J1959" s="53" t="n"/>
      <c r="K1959" s="54" t="n"/>
      <c r="L1959" s="55" t="n"/>
      <c r="M1959" s="55" t="n"/>
      <c r="N1959" s="57" t="n"/>
      <c r="O1959" s="55" t="n"/>
      <c r="P1959" s="56" t="n"/>
      <c r="Q1959" s="55" t="n"/>
      <c r="R1959" s="55" t="n"/>
      <c r="S1959" s="55" t="n"/>
      <c r="T1959" s="55" t="n"/>
      <c r="U1959" s="55" t="n"/>
      <c r="V1959" s="55" t="n"/>
      <c r="W1959" s="58" t="n"/>
      <c r="X1959" s="58" t="n"/>
      <c r="Y1959" s="55" t="n"/>
      <c r="Z1959" s="55" t="n"/>
      <c r="AA1959" s="55" t="n"/>
      <c r="AB1959" s="55" t="n"/>
      <c r="AC1959" s="55" t="n"/>
      <c r="AD1959" s="53" t="n"/>
      <c r="AE1959" s="55" t="n"/>
      <c r="AF1959" s="55" t="n"/>
      <c r="AG1959" s="59" t="n"/>
      <c r="AH1959" s="57" t="n"/>
      <c r="AI1959" s="55" t="n"/>
      <c r="AJ1959" s="55" t="n"/>
      <c r="AK1959" s="55" t="n"/>
      <c r="AL1959" s="55" t="n"/>
      <c r="AM1959" s="56" t="n"/>
      <c r="AN1959" s="55" t="n"/>
      <c r="AO1959" s="55" t="n"/>
      <c r="AP1959" s="55" t="n"/>
      <c r="AQ1959" s="55" t="n"/>
      <c r="AR1959" s="60">
        <f>IF(AND(C1959="",E1959=""),"",IF(A1959="","⚠ Date manquante",IF(AND(C1959="",E1959&lt;&gt;"Dépense"),"⚠ Prospect manquant",IF(E1959="","⚠ Action manquante",IF(AND(AU1959=1,D1959=""),"⚠ Canal manquant",IF(AND(W1959&lt;&gt;"",COUNTIFS('Saisie'!$W$5:$W$2004,W1959,'Saisie'!$C$5:$C$2004,"&lt;&gt;"&amp;C1959)&gt;0),"⚠ Numéro déjà utilisé par un autre prospect",IF(AND(J1959&lt;&gt;"",J1959&lt;A1959),"⚠ Relance avant la date de l'action",IF(A1959&gt;TODAY(),"⚠ Date dans le futur","✓"))))))))</f>
        <v/>
      </c>
      <c r="AS1959" s="61">
        <f>IF(AND(A1959="",C1959="",E1959=""),"",ROW())</f>
        <v/>
      </c>
      <c r="AT1959" s="61">
        <f>IF(E1959&amp;F1959="","",MAX(IFERROR(INDEX('Paramètres'!$J$6:$J$33,MATCH(E1959,'Paramètres'!$I$6:$I$33,0)),0),IFERROR(INDEX('Paramètres'!$N$6:$N$17,MATCH(F1959,'Paramètres'!$M$6:$M$17,0)),0)))</f>
        <v/>
      </c>
      <c r="AU1959" s="61">
        <f>IF(E1959="","",IFERROR(IF(INDEX('Paramètres'!$K$6:$K$33,MATCH(E1959,'Paramètres'!$I$6:$I$33,0))="Oui",1,0),0))</f>
        <v/>
      </c>
      <c r="AV1959" s="61">
        <f>IF(F1959="","",IFERROR(IF(INDEX('Paramètres'!$O$6:$O$17,MATCH(F1959,'Paramètres'!$M$6:$M$17,0))="Oui",1,0),0))</f>
        <v/>
      </c>
      <c r="AW1959" s="62">
        <f>IF(E1959="","",IF(G1959&lt;&gt;"",G1959,IF(OR(E1959="Proposition envoyée",E1959="Signature"),MAX(0,N(IFERROR(INDEX('Paramètres'!$R$6:$R$15,MATCH(IF(AL1959&lt;&gt;"",AL1959,IFERROR(INDEX('Prospects'!$AN$5:$AN$504,MATCH(C1959,'Prospects'!$C$5:$C$504,0)),"")),'Paramètres'!$Q$6:$Q$15,0)),0))-N(P1959)),0)))</f>
        <v/>
      </c>
      <c r="AX1959" s="61">
        <f>IF(C1959="","",IF(COUNTIF($C$5:C1959,C1959)=1,MAX($AX$4:AX1958)+1,""))</f>
        <v/>
      </c>
      <c r="AY1959" s="61">
        <f>IF(B1959="","",HOUR(B1959))</f>
        <v/>
      </c>
      <c r="AZ1959" s="61">
        <f>IF(A1959="","",MOD(A1959-2,7)+1)</f>
        <v/>
      </c>
      <c r="BA1959" s="60">
        <f>IF(C1959="","",IFERROR(INDEX('Prospects'!$N$5:$N$504,MATCH(C1959,'Prospects'!$C$5:$C$504,0)),""))</f>
        <v/>
      </c>
      <c r="BB1959" s="61">
        <f>IF(AND(C1959&lt;&gt;"",C1959='Fiche prospect'!$C$4),COUNTIF($C$5:C1959,C1959),"")</f>
        <v/>
      </c>
    </row>
    <row r="1960">
      <c r="A1960" s="53" t="n"/>
      <c r="B1960" s="54" t="n"/>
      <c r="C1960" s="55" t="n"/>
      <c r="D1960" s="55" t="n"/>
      <c r="E1960" s="55" t="n"/>
      <c r="F1960" s="55" t="n"/>
      <c r="G1960" s="56" t="n"/>
      <c r="H1960" s="57" t="n"/>
      <c r="I1960" s="55" t="n"/>
      <c r="J1960" s="53" t="n"/>
      <c r="K1960" s="54" t="n"/>
      <c r="L1960" s="55" t="n"/>
      <c r="M1960" s="55" t="n"/>
      <c r="N1960" s="57" t="n"/>
      <c r="O1960" s="55" t="n"/>
      <c r="P1960" s="56" t="n"/>
      <c r="Q1960" s="55" t="n"/>
      <c r="R1960" s="55" t="n"/>
      <c r="S1960" s="55" t="n"/>
      <c r="T1960" s="55" t="n"/>
      <c r="U1960" s="55" t="n"/>
      <c r="V1960" s="55" t="n"/>
      <c r="W1960" s="58" t="n"/>
      <c r="X1960" s="58" t="n"/>
      <c r="Y1960" s="55" t="n"/>
      <c r="Z1960" s="55" t="n"/>
      <c r="AA1960" s="55" t="n"/>
      <c r="AB1960" s="55" t="n"/>
      <c r="AC1960" s="55" t="n"/>
      <c r="AD1960" s="53" t="n"/>
      <c r="AE1960" s="55" t="n"/>
      <c r="AF1960" s="55" t="n"/>
      <c r="AG1960" s="59" t="n"/>
      <c r="AH1960" s="57" t="n"/>
      <c r="AI1960" s="55" t="n"/>
      <c r="AJ1960" s="55" t="n"/>
      <c r="AK1960" s="55" t="n"/>
      <c r="AL1960" s="55" t="n"/>
      <c r="AM1960" s="56" t="n"/>
      <c r="AN1960" s="55" t="n"/>
      <c r="AO1960" s="55" t="n"/>
      <c r="AP1960" s="55" t="n"/>
      <c r="AQ1960" s="55" t="n"/>
      <c r="AR1960" s="60">
        <f>IF(AND(C1960="",E1960=""),"",IF(A1960="","⚠ Date manquante",IF(AND(C1960="",E1960&lt;&gt;"Dépense"),"⚠ Prospect manquant",IF(E1960="","⚠ Action manquante",IF(AND(AU1960=1,D1960=""),"⚠ Canal manquant",IF(AND(W1960&lt;&gt;"",COUNTIFS('Saisie'!$W$5:$W$2004,W1960,'Saisie'!$C$5:$C$2004,"&lt;&gt;"&amp;C1960)&gt;0),"⚠ Numéro déjà utilisé par un autre prospect",IF(AND(J1960&lt;&gt;"",J1960&lt;A1960),"⚠ Relance avant la date de l'action",IF(A1960&gt;TODAY(),"⚠ Date dans le futur","✓"))))))))</f>
        <v/>
      </c>
      <c r="AS1960" s="61">
        <f>IF(AND(A1960="",C1960="",E1960=""),"",ROW())</f>
        <v/>
      </c>
      <c r="AT1960" s="61">
        <f>IF(E1960&amp;F1960="","",MAX(IFERROR(INDEX('Paramètres'!$J$6:$J$33,MATCH(E1960,'Paramètres'!$I$6:$I$33,0)),0),IFERROR(INDEX('Paramètres'!$N$6:$N$17,MATCH(F1960,'Paramètres'!$M$6:$M$17,0)),0)))</f>
        <v/>
      </c>
      <c r="AU1960" s="61">
        <f>IF(E1960="","",IFERROR(IF(INDEX('Paramètres'!$K$6:$K$33,MATCH(E1960,'Paramètres'!$I$6:$I$33,0))="Oui",1,0),0))</f>
        <v/>
      </c>
      <c r="AV1960" s="61">
        <f>IF(F1960="","",IFERROR(IF(INDEX('Paramètres'!$O$6:$O$17,MATCH(F1960,'Paramètres'!$M$6:$M$17,0))="Oui",1,0),0))</f>
        <v/>
      </c>
      <c r="AW1960" s="62">
        <f>IF(E1960="","",IF(G1960&lt;&gt;"",G1960,IF(OR(E1960="Proposition envoyée",E1960="Signature"),MAX(0,N(IFERROR(INDEX('Paramètres'!$R$6:$R$15,MATCH(IF(AL1960&lt;&gt;"",AL1960,IFERROR(INDEX('Prospects'!$AN$5:$AN$504,MATCH(C1960,'Prospects'!$C$5:$C$504,0)),"")),'Paramètres'!$Q$6:$Q$15,0)),0))-N(P1960)),0)))</f>
        <v/>
      </c>
      <c r="AX1960" s="61">
        <f>IF(C1960="","",IF(COUNTIF($C$5:C1960,C1960)=1,MAX($AX$4:AX1959)+1,""))</f>
        <v/>
      </c>
      <c r="AY1960" s="61">
        <f>IF(B1960="","",HOUR(B1960))</f>
        <v/>
      </c>
      <c r="AZ1960" s="61">
        <f>IF(A1960="","",MOD(A1960-2,7)+1)</f>
        <v/>
      </c>
      <c r="BA1960" s="60">
        <f>IF(C1960="","",IFERROR(INDEX('Prospects'!$N$5:$N$504,MATCH(C1960,'Prospects'!$C$5:$C$504,0)),""))</f>
        <v/>
      </c>
      <c r="BB1960" s="61">
        <f>IF(AND(C1960&lt;&gt;"",C1960='Fiche prospect'!$C$4),COUNTIF($C$5:C1960,C1960),"")</f>
        <v/>
      </c>
    </row>
    <row r="1961">
      <c r="A1961" s="53" t="n"/>
      <c r="B1961" s="54" t="n"/>
      <c r="C1961" s="55" t="n"/>
      <c r="D1961" s="55" t="n"/>
      <c r="E1961" s="55" t="n"/>
      <c r="F1961" s="55" t="n"/>
      <c r="G1961" s="56" t="n"/>
      <c r="H1961" s="57" t="n"/>
      <c r="I1961" s="55" t="n"/>
      <c r="J1961" s="53" t="n"/>
      <c r="K1961" s="54" t="n"/>
      <c r="L1961" s="55" t="n"/>
      <c r="M1961" s="55" t="n"/>
      <c r="N1961" s="57" t="n"/>
      <c r="O1961" s="55" t="n"/>
      <c r="P1961" s="56" t="n"/>
      <c r="Q1961" s="55" t="n"/>
      <c r="R1961" s="55" t="n"/>
      <c r="S1961" s="55" t="n"/>
      <c r="T1961" s="55" t="n"/>
      <c r="U1961" s="55" t="n"/>
      <c r="V1961" s="55" t="n"/>
      <c r="W1961" s="58" t="n"/>
      <c r="X1961" s="58" t="n"/>
      <c r="Y1961" s="55" t="n"/>
      <c r="Z1961" s="55" t="n"/>
      <c r="AA1961" s="55" t="n"/>
      <c r="AB1961" s="55" t="n"/>
      <c r="AC1961" s="55" t="n"/>
      <c r="AD1961" s="53" t="n"/>
      <c r="AE1961" s="55" t="n"/>
      <c r="AF1961" s="55" t="n"/>
      <c r="AG1961" s="59" t="n"/>
      <c r="AH1961" s="57" t="n"/>
      <c r="AI1961" s="55" t="n"/>
      <c r="AJ1961" s="55" t="n"/>
      <c r="AK1961" s="55" t="n"/>
      <c r="AL1961" s="55" t="n"/>
      <c r="AM1961" s="56" t="n"/>
      <c r="AN1961" s="55" t="n"/>
      <c r="AO1961" s="55" t="n"/>
      <c r="AP1961" s="55" t="n"/>
      <c r="AQ1961" s="55" t="n"/>
      <c r="AR1961" s="60">
        <f>IF(AND(C1961="",E1961=""),"",IF(A1961="","⚠ Date manquante",IF(AND(C1961="",E1961&lt;&gt;"Dépense"),"⚠ Prospect manquant",IF(E1961="","⚠ Action manquante",IF(AND(AU1961=1,D1961=""),"⚠ Canal manquant",IF(AND(W1961&lt;&gt;"",COUNTIFS('Saisie'!$W$5:$W$2004,W1961,'Saisie'!$C$5:$C$2004,"&lt;&gt;"&amp;C1961)&gt;0),"⚠ Numéro déjà utilisé par un autre prospect",IF(AND(J1961&lt;&gt;"",J1961&lt;A1961),"⚠ Relance avant la date de l'action",IF(A1961&gt;TODAY(),"⚠ Date dans le futur","✓"))))))))</f>
        <v/>
      </c>
      <c r="AS1961" s="61">
        <f>IF(AND(A1961="",C1961="",E1961=""),"",ROW())</f>
        <v/>
      </c>
      <c r="AT1961" s="61">
        <f>IF(E1961&amp;F1961="","",MAX(IFERROR(INDEX('Paramètres'!$J$6:$J$33,MATCH(E1961,'Paramètres'!$I$6:$I$33,0)),0),IFERROR(INDEX('Paramètres'!$N$6:$N$17,MATCH(F1961,'Paramètres'!$M$6:$M$17,0)),0)))</f>
        <v/>
      </c>
      <c r="AU1961" s="61">
        <f>IF(E1961="","",IFERROR(IF(INDEX('Paramètres'!$K$6:$K$33,MATCH(E1961,'Paramètres'!$I$6:$I$33,0))="Oui",1,0),0))</f>
        <v/>
      </c>
      <c r="AV1961" s="61">
        <f>IF(F1961="","",IFERROR(IF(INDEX('Paramètres'!$O$6:$O$17,MATCH(F1961,'Paramètres'!$M$6:$M$17,0))="Oui",1,0),0))</f>
        <v/>
      </c>
      <c r="AW1961" s="62">
        <f>IF(E1961="","",IF(G1961&lt;&gt;"",G1961,IF(OR(E1961="Proposition envoyée",E1961="Signature"),MAX(0,N(IFERROR(INDEX('Paramètres'!$R$6:$R$15,MATCH(IF(AL1961&lt;&gt;"",AL1961,IFERROR(INDEX('Prospects'!$AN$5:$AN$504,MATCH(C1961,'Prospects'!$C$5:$C$504,0)),"")),'Paramètres'!$Q$6:$Q$15,0)),0))-N(P1961)),0)))</f>
        <v/>
      </c>
      <c r="AX1961" s="61">
        <f>IF(C1961="","",IF(COUNTIF($C$5:C1961,C1961)=1,MAX($AX$4:AX1960)+1,""))</f>
        <v/>
      </c>
      <c r="AY1961" s="61">
        <f>IF(B1961="","",HOUR(B1961))</f>
        <v/>
      </c>
      <c r="AZ1961" s="61">
        <f>IF(A1961="","",MOD(A1961-2,7)+1)</f>
        <v/>
      </c>
      <c r="BA1961" s="60">
        <f>IF(C1961="","",IFERROR(INDEX('Prospects'!$N$5:$N$504,MATCH(C1961,'Prospects'!$C$5:$C$504,0)),""))</f>
        <v/>
      </c>
      <c r="BB1961" s="61">
        <f>IF(AND(C1961&lt;&gt;"",C1961='Fiche prospect'!$C$4),COUNTIF($C$5:C1961,C1961),"")</f>
        <v/>
      </c>
    </row>
    <row r="1962">
      <c r="A1962" s="53" t="n"/>
      <c r="B1962" s="54" t="n"/>
      <c r="C1962" s="55" t="n"/>
      <c r="D1962" s="55" t="n"/>
      <c r="E1962" s="55" t="n"/>
      <c r="F1962" s="55" t="n"/>
      <c r="G1962" s="56" t="n"/>
      <c r="H1962" s="57" t="n"/>
      <c r="I1962" s="55" t="n"/>
      <c r="J1962" s="53" t="n"/>
      <c r="K1962" s="54" t="n"/>
      <c r="L1962" s="55" t="n"/>
      <c r="M1962" s="55" t="n"/>
      <c r="N1962" s="57" t="n"/>
      <c r="O1962" s="55" t="n"/>
      <c r="P1962" s="56" t="n"/>
      <c r="Q1962" s="55" t="n"/>
      <c r="R1962" s="55" t="n"/>
      <c r="S1962" s="55" t="n"/>
      <c r="T1962" s="55" t="n"/>
      <c r="U1962" s="55" t="n"/>
      <c r="V1962" s="55" t="n"/>
      <c r="W1962" s="58" t="n"/>
      <c r="X1962" s="58" t="n"/>
      <c r="Y1962" s="55" t="n"/>
      <c r="Z1962" s="55" t="n"/>
      <c r="AA1962" s="55" t="n"/>
      <c r="AB1962" s="55" t="n"/>
      <c r="AC1962" s="55" t="n"/>
      <c r="AD1962" s="53" t="n"/>
      <c r="AE1962" s="55" t="n"/>
      <c r="AF1962" s="55" t="n"/>
      <c r="AG1962" s="59" t="n"/>
      <c r="AH1962" s="57" t="n"/>
      <c r="AI1962" s="55" t="n"/>
      <c r="AJ1962" s="55" t="n"/>
      <c r="AK1962" s="55" t="n"/>
      <c r="AL1962" s="55" t="n"/>
      <c r="AM1962" s="56" t="n"/>
      <c r="AN1962" s="55" t="n"/>
      <c r="AO1962" s="55" t="n"/>
      <c r="AP1962" s="55" t="n"/>
      <c r="AQ1962" s="55" t="n"/>
      <c r="AR1962" s="60">
        <f>IF(AND(C1962="",E1962=""),"",IF(A1962="","⚠ Date manquante",IF(AND(C1962="",E1962&lt;&gt;"Dépense"),"⚠ Prospect manquant",IF(E1962="","⚠ Action manquante",IF(AND(AU1962=1,D1962=""),"⚠ Canal manquant",IF(AND(W1962&lt;&gt;"",COUNTIFS('Saisie'!$W$5:$W$2004,W1962,'Saisie'!$C$5:$C$2004,"&lt;&gt;"&amp;C1962)&gt;0),"⚠ Numéro déjà utilisé par un autre prospect",IF(AND(J1962&lt;&gt;"",J1962&lt;A1962),"⚠ Relance avant la date de l'action",IF(A1962&gt;TODAY(),"⚠ Date dans le futur","✓"))))))))</f>
        <v/>
      </c>
      <c r="AS1962" s="61">
        <f>IF(AND(A1962="",C1962="",E1962=""),"",ROW())</f>
        <v/>
      </c>
      <c r="AT1962" s="61">
        <f>IF(E1962&amp;F1962="","",MAX(IFERROR(INDEX('Paramètres'!$J$6:$J$33,MATCH(E1962,'Paramètres'!$I$6:$I$33,0)),0),IFERROR(INDEX('Paramètres'!$N$6:$N$17,MATCH(F1962,'Paramètres'!$M$6:$M$17,0)),0)))</f>
        <v/>
      </c>
      <c r="AU1962" s="61">
        <f>IF(E1962="","",IFERROR(IF(INDEX('Paramètres'!$K$6:$K$33,MATCH(E1962,'Paramètres'!$I$6:$I$33,0))="Oui",1,0),0))</f>
        <v/>
      </c>
      <c r="AV1962" s="61">
        <f>IF(F1962="","",IFERROR(IF(INDEX('Paramètres'!$O$6:$O$17,MATCH(F1962,'Paramètres'!$M$6:$M$17,0))="Oui",1,0),0))</f>
        <v/>
      </c>
      <c r="AW1962" s="62">
        <f>IF(E1962="","",IF(G1962&lt;&gt;"",G1962,IF(OR(E1962="Proposition envoyée",E1962="Signature"),MAX(0,N(IFERROR(INDEX('Paramètres'!$R$6:$R$15,MATCH(IF(AL1962&lt;&gt;"",AL1962,IFERROR(INDEX('Prospects'!$AN$5:$AN$504,MATCH(C1962,'Prospects'!$C$5:$C$504,0)),"")),'Paramètres'!$Q$6:$Q$15,0)),0))-N(P1962)),0)))</f>
        <v/>
      </c>
      <c r="AX1962" s="61">
        <f>IF(C1962="","",IF(COUNTIF($C$5:C1962,C1962)=1,MAX($AX$4:AX1961)+1,""))</f>
        <v/>
      </c>
      <c r="AY1962" s="61">
        <f>IF(B1962="","",HOUR(B1962))</f>
        <v/>
      </c>
      <c r="AZ1962" s="61">
        <f>IF(A1962="","",MOD(A1962-2,7)+1)</f>
        <v/>
      </c>
      <c r="BA1962" s="60">
        <f>IF(C1962="","",IFERROR(INDEX('Prospects'!$N$5:$N$504,MATCH(C1962,'Prospects'!$C$5:$C$504,0)),""))</f>
        <v/>
      </c>
      <c r="BB1962" s="61">
        <f>IF(AND(C1962&lt;&gt;"",C1962='Fiche prospect'!$C$4),COUNTIF($C$5:C1962,C1962),"")</f>
        <v/>
      </c>
    </row>
    <row r="1963">
      <c r="A1963" s="53" t="n"/>
      <c r="B1963" s="54" t="n"/>
      <c r="C1963" s="55" t="n"/>
      <c r="D1963" s="55" t="n"/>
      <c r="E1963" s="55" t="n"/>
      <c r="F1963" s="55" t="n"/>
      <c r="G1963" s="56" t="n"/>
      <c r="H1963" s="57" t="n"/>
      <c r="I1963" s="55" t="n"/>
      <c r="J1963" s="53" t="n"/>
      <c r="K1963" s="54" t="n"/>
      <c r="L1963" s="55" t="n"/>
      <c r="M1963" s="55" t="n"/>
      <c r="N1963" s="57" t="n"/>
      <c r="O1963" s="55" t="n"/>
      <c r="P1963" s="56" t="n"/>
      <c r="Q1963" s="55" t="n"/>
      <c r="R1963" s="55" t="n"/>
      <c r="S1963" s="55" t="n"/>
      <c r="T1963" s="55" t="n"/>
      <c r="U1963" s="55" t="n"/>
      <c r="V1963" s="55" t="n"/>
      <c r="W1963" s="58" t="n"/>
      <c r="X1963" s="58" t="n"/>
      <c r="Y1963" s="55" t="n"/>
      <c r="Z1963" s="55" t="n"/>
      <c r="AA1963" s="55" t="n"/>
      <c r="AB1963" s="55" t="n"/>
      <c r="AC1963" s="55" t="n"/>
      <c r="AD1963" s="53" t="n"/>
      <c r="AE1963" s="55" t="n"/>
      <c r="AF1963" s="55" t="n"/>
      <c r="AG1963" s="59" t="n"/>
      <c r="AH1963" s="57" t="n"/>
      <c r="AI1963" s="55" t="n"/>
      <c r="AJ1963" s="55" t="n"/>
      <c r="AK1963" s="55" t="n"/>
      <c r="AL1963" s="55" t="n"/>
      <c r="AM1963" s="56" t="n"/>
      <c r="AN1963" s="55" t="n"/>
      <c r="AO1963" s="55" t="n"/>
      <c r="AP1963" s="55" t="n"/>
      <c r="AQ1963" s="55" t="n"/>
      <c r="AR1963" s="60">
        <f>IF(AND(C1963="",E1963=""),"",IF(A1963="","⚠ Date manquante",IF(AND(C1963="",E1963&lt;&gt;"Dépense"),"⚠ Prospect manquant",IF(E1963="","⚠ Action manquante",IF(AND(AU1963=1,D1963=""),"⚠ Canal manquant",IF(AND(W1963&lt;&gt;"",COUNTIFS('Saisie'!$W$5:$W$2004,W1963,'Saisie'!$C$5:$C$2004,"&lt;&gt;"&amp;C1963)&gt;0),"⚠ Numéro déjà utilisé par un autre prospect",IF(AND(J1963&lt;&gt;"",J1963&lt;A1963),"⚠ Relance avant la date de l'action",IF(A1963&gt;TODAY(),"⚠ Date dans le futur","✓"))))))))</f>
        <v/>
      </c>
      <c r="AS1963" s="61">
        <f>IF(AND(A1963="",C1963="",E1963=""),"",ROW())</f>
        <v/>
      </c>
      <c r="AT1963" s="61">
        <f>IF(E1963&amp;F1963="","",MAX(IFERROR(INDEX('Paramètres'!$J$6:$J$33,MATCH(E1963,'Paramètres'!$I$6:$I$33,0)),0),IFERROR(INDEX('Paramètres'!$N$6:$N$17,MATCH(F1963,'Paramètres'!$M$6:$M$17,0)),0)))</f>
        <v/>
      </c>
      <c r="AU1963" s="61">
        <f>IF(E1963="","",IFERROR(IF(INDEX('Paramètres'!$K$6:$K$33,MATCH(E1963,'Paramètres'!$I$6:$I$33,0))="Oui",1,0),0))</f>
        <v/>
      </c>
      <c r="AV1963" s="61">
        <f>IF(F1963="","",IFERROR(IF(INDEX('Paramètres'!$O$6:$O$17,MATCH(F1963,'Paramètres'!$M$6:$M$17,0))="Oui",1,0),0))</f>
        <v/>
      </c>
      <c r="AW1963" s="62">
        <f>IF(E1963="","",IF(G1963&lt;&gt;"",G1963,IF(OR(E1963="Proposition envoyée",E1963="Signature"),MAX(0,N(IFERROR(INDEX('Paramètres'!$R$6:$R$15,MATCH(IF(AL1963&lt;&gt;"",AL1963,IFERROR(INDEX('Prospects'!$AN$5:$AN$504,MATCH(C1963,'Prospects'!$C$5:$C$504,0)),"")),'Paramètres'!$Q$6:$Q$15,0)),0))-N(P1963)),0)))</f>
        <v/>
      </c>
      <c r="AX1963" s="61">
        <f>IF(C1963="","",IF(COUNTIF($C$5:C1963,C1963)=1,MAX($AX$4:AX1962)+1,""))</f>
        <v/>
      </c>
      <c r="AY1963" s="61">
        <f>IF(B1963="","",HOUR(B1963))</f>
        <v/>
      </c>
      <c r="AZ1963" s="61">
        <f>IF(A1963="","",MOD(A1963-2,7)+1)</f>
        <v/>
      </c>
      <c r="BA1963" s="60">
        <f>IF(C1963="","",IFERROR(INDEX('Prospects'!$N$5:$N$504,MATCH(C1963,'Prospects'!$C$5:$C$504,0)),""))</f>
        <v/>
      </c>
      <c r="BB1963" s="61">
        <f>IF(AND(C1963&lt;&gt;"",C1963='Fiche prospect'!$C$4),COUNTIF($C$5:C1963,C1963),"")</f>
        <v/>
      </c>
    </row>
    <row r="1964">
      <c r="A1964" s="53" t="n"/>
      <c r="B1964" s="54" t="n"/>
      <c r="C1964" s="55" t="n"/>
      <c r="D1964" s="55" t="n"/>
      <c r="E1964" s="55" t="n"/>
      <c r="F1964" s="55" t="n"/>
      <c r="G1964" s="56" t="n"/>
      <c r="H1964" s="57" t="n"/>
      <c r="I1964" s="55" t="n"/>
      <c r="J1964" s="53" t="n"/>
      <c r="K1964" s="54" t="n"/>
      <c r="L1964" s="55" t="n"/>
      <c r="M1964" s="55" t="n"/>
      <c r="N1964" s="57" t="n"/>
      <c r="O1964" s="55" t="n"/>
      <c r="P1964" s="56" t="n"/>
      <c r="Q1964" s="55" t="n"/>
      <c r="R1964" s="55" t="n"/>
      <c r="S1964" s="55" t="n"/>
      <c r="T1964" s="55" t="n"/>
      <c r="U1964" s="55" t="n"/>
      <c r="V1964" s="55" t="n"/>
      <c r="W1964" s="58" t="n"/>
      <c r="X1964" s="58" t="n"/>
      <c r="Y1964" s="55" t="n"/>
      <c r="Z1964" s="55" t="n"/>
      <c r="AA1964" s="55" t="n"/>
      <c r="AB1964" s="55" t="n"/>
      <c r="AC1964" s="55" t="n"/>
      <c r="AD1964" s="53" t="n"/>
      <c r="AE1964" s="55" t="n"/>
      <c r="AF1964" s="55" t="n"/>
      <c r="AG1964" s="59" t="n"/>
      <c r="AH1964" s="57" t="n"/>
      <c r="AI1964" s="55" t="n"/>
      <c r="AJ1964" s="55" t="n"/>
      <c r="AK1964" s="55" t="n"/>
      <c r="AL1964" s="55" t="n"/>
      <c r="AM1964" s="56" t="n"/>
      <c r="AN1964" s="55" t="n"/>
      <c r="AO1964" s="55" t="n"/>
      <c r="AP1964" s="55" t="n"/>
      <c r="AQ1964" s="55" t="n"/>
      <c r="AR1964" s="60">
        <f>IF(AND(C1964="",E1964=""),"",IF(A1964="","⚠ Date manquante",IF(AND(C1964="",E1964&lt;&gt;"Dépense"),"⚠ Prospect manquant",IF(E1964="","⚠ Action manquante",IF(AND(AU1964=1,D1964=""),"⚠ Canal manquant",IF(AND(W1964&lt;&gt;"",COUNTIFS('Saisie'!$W$5:$W$2004,W1964,'Saisie'!$C$5:$C$2004,"&lt;&gt;"&amp;C1964)&gt;0),"⚠ Numéro déjà utilisé par un autre prospect",IF(AND(J1964&lt;&gt;"",J1964&lt;A1964),"⚠ Relance avant la date de l'action",IF(A1964&gt;TODAY(),"⚠ Date dans le futur","✓"))))))))</f>
        <v/>
      </c>
      <c r="AS1964" s="61">
        <f>IF(AND(A1964="",C1964="",E1964=""),"",ROW())</f>
        <v/>
      </c>
      <c r="AT1964" s="61">
        <f>IF(E1964&amp;F1964="","",MAX(IFERROR(INDEX('Paramètres'!$J$6:$J$33,MATCH(E1964,'Paramètres'!$I$6:$I$33,0)),0),IFERROR(INDEX('Paramètres'!$N$6:$N$17,MATCH(F1964,'Paramètres'!$M$6:$M$17,0)),0)))</f>
        <v/>
      </c>
      <c r="AU1964" s="61">
        <f>IF(E1964="","",IFERROR(IF(INDEX('Paramètres'!$K$6:$K$33,MATCH(E1964,'Paramètres'!$I$6:$I$33,0))="Oui",1,0),0))</f>
        <v/>
      </c>
      <c r="AV1964" s="61">
        <f>IF(F1964="","",IFERROR(IF(INDEX('Paramètres'!$O$6:$O$17,MATCH(F1964,'Paramètres'!$M$6:$M$17,0))="Oui",1,0),0))</f>
        <v/>
      </c>
      <c r="AW1964" s="62">
        <f>IF(E1964="","",IF(G1964&lt;&gt;"",G1964,IF(OR(E1964="Proposition envoyée",E1964="Signature"),MAX(0,N(IFERROR(INDEX('Paramètres'!$R$6:$R$15,MATCH(IF(AL1964&lt;&gt;"",AL1964,IFERROR(INDEX('Prospects'!$AN$5:$AN$504,MATCH(C1964,'Prospects'!$C$5:$C$504,0)),"")),'Paramètres'!$Q$6:$Q$15,0)),0))-N(P1964)),0)))</f>
        <v/>
      </c>
      <c r="AX1964" s="61">
        <f>IF(C1964="","",IF(COUNTIF($C$5:C1964,C1964)=1,MAX($AX$4:AX1963)+1,""))</f>
        <v/>
      </c>
      <c r="AY1964" s="61">
        <f>IF(B1964="","",HOUR(B1964))</f>
        <v/>
      </c>
      <c r="AZ1964" s="61">
        <f>IF(A1964="","",MOD(A1964-2,7)+1)</f>
        <v/>
      </c>
      <c r="BA1964" s="60">
        <f>IF(C1964="","",IFERROR(INDEX('Prospects'!$N$5:$N$504,MATCH(C1964,'Prospects'!$C$5:$C$504,0)),""))</f>
        <v/>
      </c>
      <c r="BB1964" s="61">
        <f>IF(AND(C1964&lt;&gt;"",C1964='Fiche prospect'!$C$4),COUNTIF($C$5:C1964,C1964),"")</f>
        <v/>
      </c>
    </row>
    <row r="1965">
      <c r="A1965" s="53" t="n"/>
      <c r="B1965" s="54" t="n"/>
      <c r="C1965" s="55" t="n"/>
      <c r="D1965" s="55" t="n"/>
      <c r="E1965" s="55" t="n"/>
      <c r="F1965" s="55" t="n"/>
      <c r="G1965" s="56" t="n"/>
      <c r="H1965" s="57" t="n"/>
      <c r="I1965" s="55" t="n"/>
      <c r="J1965" s="53" t="n"/>
      <c r="K1965" s="54" t="n"/>
      <c r="L1965" s="55" t="n"/>
      <c r="M1965" s="55" t="n"/>
      <c r="N1965" s="57" t="n"/>
      <c r="O1965" s="55" t="n"/>
      <c r="P1965" s="56" t="n"/>
      <c r="Q1965" s="55" t="n"/>
      <c r="R1965" s="55" t="n"/>
      <c r="S1965" s="55" t="n"/>
      <c r="T1965" s="55" t="n"/>
      <c r="U1965" s="55" t="n"/>
      <c r="V1965" s="55" t="n"/>
      <c r="W1965" s="58" t="n"/>
      <c r="X1965" s="58" t="n"/>
      <c r="Y1965" s="55" t="n"/>
      <c r="Z1965" s="55" t="n"/>
      <c r="AA1965" s="55" t="n"/>
      <c r="AB1965" s="55" t="n"/>
      <c r="AC1965" s="55" t="n"/>
      <c r="AD1965" s="53" t="n"/>
      <c r="AE1965" s="55" t="n"/>
      <c r="AF1965" s="55" t="n"/>
      <c r="AG1965" s="59" t="n"/>
      <c r="AH1965" s="57" t="n"/>
      <c r="AI1965" s="55" t="n"/>
      <c r="AJ1965" s="55" t="n"/>
      <c r="AK1965" s="55" t="n"/>
      <c r="AL1965" s="55" t="n"/>
      <c r="AM1965" s="56" t="n"/>
      <c r="AN1965" s="55" t="n"/>
      <c r="AO1965" s="55" t="n"/>
      <c r="AP1965" s="55" t="n"/>
      <c r="AQ1965" s="55" t="n"/>
      <c r="AR1965" s="60">
        <f>IF(AND(C1965="",E1965=""),"",IF(A1965="","⚠ Date manquante",IF(AND(C1965="",E1965&lt;&gt;"Dépense"),"⚠ Prospect manquant",IF(E1965="","⚠ Action manquante",IF(AND(AU1965=1,D1965=""),"⚠ Canal manquant",IF(AND(W1965&lt;&gt;"",COUNTIFS('Saisie'!$W$5:$W$2004,W1965,'Saisie'!$C$5:$C$2004,"&lt;&gt;"&amp;C1965)&gt;0),"⚠ Numéro déjà utilisé par un autre prospect",IF(AND(J1965&lt;&gt;"",J1965&lt;A1965),"⚠ Relance avant la date de l'action",IF(A1965&gt;TODAY(),"⚠ Date dans le futur","✓"))))))))</f>
        <v/>
      </c>
      <c r="AS1965" s="61">
        <f>IF(AND(A1965="",C1965="",E1965=""),"",ROW())</f>
        <v/>
      </c>
      <c r="AT1965" s="61">
        <f>IF(E1965&amp;F1965="","",MAX(IFERROR(INDEX('Paramètres'!$J$6:$J$33,MATCH(E1965,'Paramètres'!$I$6:$I$33,0)),0),IFERROR(INDEX('Paramètres'!$N$6:$N$17,MATCH(F1965,'Paramètres'!$M$6:$M$17,0)),0)))</f>
        <v/>
      </c>
      <c r="AU1965" s="61">
        <f>IF(E1965="","",IFERROR(IF(INDEX('Paramètres'!$K$6:$K$33,MATCH(E1965,'Paramètres'!$I$6:$I$33,0))="Oui",1,0),0))</f>
        <v/>
      </c>
      <c r="AV1965" s="61">
        <f>IF(F1965="","",IFERROR(IF(INDEX('Paramètres'!$O$6:$O$17,MATCH(F1965,'Paramètres'!$M$6:$M$17,0))="Oui",1,0),0))</f>
        <v/>
      </c>
      <c r="AW1965" s="62">
        <f>IF(E1965="","",IF(G1965&lt;&gt;"",G1965,IF(OR(E1965="Proposition envoyée",E1965="Signature"),MAX(0,N(IFERROR(INDEX('Paramètres'!$R$6:$R$15,MATCH(IF(AL1965&lt;&gt;"",AL1965,IFERROR(INDEX('Prospects'!$AN$5:$AN$504,MATCH(C1965,'Prospects'!$C$5:$C$504,0)),"")),'Paramètres'!$Q$6:$Q$15,0)),0))-N(P1965)),0)))</f>
        <v/>
      </c>
      <c r="AX1965" s="61">
        <f>IF(C1965="","",IF(COUNTIF($C$5:C1965,C1965)=1,MAX($AX$4:AX1964)+1,""))</f>
        <v/>
      </c>
      <c r="AY1965" s="61">
        <f>IF(B1965="","",HOUR(B1965))</f>
        <v/>
      </c>
      <c r="AZ1965" s="61">
        <f>IF(A1965="","",MOD(A1965-2,7)+1)</f>
        <v/>
      </c>
      <c r="BA1965" s="60">
        <f>IF(C1965="","",IFERROR(INDEX('Prospects'!$N$5:$N$504,MATCH(C1965,'Prospects'!$C$5:$C$504,0)),""))</f>
        <v/>
      </c>
      <c r="BB1965" s="61">
        <f>IF(AND(C1965&lt;&gt;"",C1965='Fiche prospect'!$C$4),COUNTIF($C$5:C1965,C1965),"")</f>
        <v/>
      </c>
    </row>
    <row r="1966">
      <c r="A1966" s="53" t="n"/>
      <c r="B1966" s="54" t="n"/>
      <c r="C1966" s="55" t="n"/>
      <c r="D1966" s="55" t="n"/>
      <c r="E1966" s="55" t="n"/>
      <c r="F1966" s="55" t="n"/>
      <c r="G1966" s="56" t="n"/>
      <c r="H1966" s="57" t="n"/>
      <c r="I1966" s="55" t="n"/>
      <c r="J1966" s="53" t="n"/>
      <c r="K1966" s="54" t="n"/>
      <c r="L1966" s="55" t="n"/>
      <c r="M1966" s="55" t="n"/>
      <c r="N1966" s="57" t="n"/>
      <c r="O1966" s="55" t="n"/>
      <c r="P1966" s="56" t="n"/>
      <c r="Q1966" s="55" t="n"/>
      <c r="R1966" s="55" t="n"/>
      <c r="S1966" s="55" t="n"/>
      <c r="T1966" s="55" t="n"/>
      <c r="U1966" s="55" t="n"/>
      <c r="V1966" s="55" t="n"/>
      <c r="W1966" s="58" t="n"/>
      <c r="X1966" s="58" t="n"/>
      <c r="Y1966" s="55" t="n"/>
      <c r="Z1966" s="55" t="n"/>
      <c r="AA1966" s="55" t="n"/>
      <c r="AB1966" s="55" t="n"/>
      <c r="AC1966" s="55" t="n"/>
      <c r="AD1966" s="53" t="n"/>
      <c r="AE1966" s="55" t="n"/>
      <c r="AF1966" s="55" t="n"/>
      <c r="AG1966" s="59" t="n"/>
      <c r="AH1966" s="57" t="n"/>
      <c r="AI1966" s="55" t="n"/>
      <c r="AJ1966" s="55" t="n"/>
      <c r="AK1966" s="55" t="n"/>
      <c r="AL1966" s="55" t="n"/>
      <c r="AM1966" s="56" t="n"/>
      <c r="AN1966" s="55" t="n"/>
      <c r="AO1966" s="55" t="n"/>
      <c r="AP1966" s="55" t="n"/>
      <c r="AQ1966" s="55" t="n"/>
      <c r="AR1966" s="60">
        <f>IF(AND(C1966="",E1966=""),"",IF(A1966="","⚠ Date manquante",IF(AND(C1966="",E1966&lt;&gt;"Dépense"),"⚠ Prospect manquant",IF(E1966="","⚠ Action manquante",IF(AND(AU1966=1,D1966=""),"⚠ Canal manquant",IF(AND(W1966&lt;&gt;"",COUNTIFS('Saisie'!$W$5:$W$2004,W1966,'Saisie'!$C$5:$C$2004,"&lt;&gt;"&amp;C1966)&gt;0),"⚠ Numéro déjà utilisé par un autre prospect",IF(AND(J1966&lt;&gt;"",J1966&lt;A1966),"⚠ Relance avant la date de l'action",IF(A1966&gt;TODAY(),"⚠ Date dans le futur","✓"))))))))</f>
        <v/>
      </c>
      <c r="AS1966" s="61">
        <f>IF(AND(A1966="",C1966="",E1966=""),"",ROW())</f>
        <v/>
      </c>
      <c r="AT1966" s="61">
        <f>IF(E1966&amp;F1966="","",MAX(IFERROR(INDEX('Paramètres'!$J$6:$J$33,MATCH(E1966,'Paramètres'!$I$6:$I$33,0)),0),IFERROR(INDEX('Paramètres'!$N$6:$N$17,MATCH(F1966,'Paramètres'!$M$6:$M$17,0)),0)))</f>
        <v/>
      </c>
      <c r="AU1966" s="61">
        <f>IF(E1966="","",IFERROR(IF(INDEX('Paramètres'!$K$6:$K$33,MATCH(E1966,'Paramètres'!$I$6:$I$33,0))="Oui",1,0),0))</f>
        <v/>
      </c>
      <c r="AV1966" s="61">
        <f>IF(F1966="","",IFERROR(IF(INDEX('Paramètres'!$O$6:$O$17,MATCH(F1966,'Paramètres'!$M$6:$M$17,0))="Oui",1,0),0))</f>
        <v/>
      </c>
      <c r="AW1966" s="62">
        <f>IF(E1966="","",IF(G1966&lt;&gt;"",G1966,IF(OR(E1966="Proposition envoyée",E1966="Signature"),MAX(0,N(IFERROR(INDEX('Paramètres'!$R$6:$R$15,MATCH(IF(AL1966&lt;&gt;"",AL1966,IFERROR(INDEX('Prospects'!$AN$5:$AN$504,MATCH(C1966,'Prospects'!$C$5:$C$504,0)),"")),'Paramètres'!$Q$6:$Q$15,0)),0))-N(P1966)),0)))</f>
        <v/>
      </c>
      <c r="AX1966" s="61">
        <f>IF(C1966="","",IF(COUNTIF($C$5:C1966,C1966)=1,MAX($AX$4:AX1965)+1,""))</f>
        <v/>
      </c>
      <c r="AY1966" s="61">
        <f>IF(B1966="","",HOUR(B1966))</f>
        <v/>
      </c>
      <c r="AZ1966" s="61">
        <f>IF(A1966="","",MOD(A1966-2,7)+1)</f>
        <v/>
      </c>
      <c r="BA1966" s="60">
        <f>IF(C1966="","",IFERROR(INDEX('Prospects'!$N$5:$N$504,MATCH(C1966,'Prospects'!$C$5:$C$504,0)),""))</f>
        <v/>
      </c>
      <c r="BB1966" s="61">
        <f>IF(AND(C1966&lt;&gt;"",C1966='Fiche prospect'!$C$4),COUNTIF($C$5:C1966,C1966),"")</f>
        <v/>
      </c>
    </row>
    <row r="1967">
      <c r="A1967" s="53" t="n"/>
      <c r="B1967" s="54" t="n"/>
      <c r="C1967" s="55" t="n"/>
      <c r="D1967" s="55" t="n"/>
      <c r="E1967" s="55" t="n"/>
      <c r="F1967" s="55" t="n"/>
      <c r="G1967" s="56" t="n"/>
      <c r="H1967" s="57" t="n"/>
      <c r="I1967" s="55" t="n"/>
      <c r="J1967" s="53" t="n"/>
      <c r="K1967" s="54" t="n"/>
      <c r="L1967" s="55" t="n"/>
      <c r="M1967" s="55" t="n"/>
      <c r="N1967" s="57" t="n"/>
      <c r="O1967" s="55" t="n"/>
      <c r="P1967" s="56" t="n"/>
      <c r="Q1967" s="55" t="n"/>
      <c r="R1967" s="55" t="n"/>
      <c r="S1967" s="55" t="n"/>
      <c r="T1967" s="55" t="n"/>
      <c r="U1967" s="55" t="n"/>
      <c r="V1967" s="55" t="n"/>
      <c r="W1967" s="58" t="n"/>
      <c r="X1967" s="58" t="n"/>
      <c r="Y1967" s="55" t="n"/>
      <c r="Z1967" s="55" t="n"/>
      <c r="AA1967" s="55" t="n"/>
      <c r="AB1967" s="55" t="n"/>
      <c r="AC1967" s="55" t="n"/>
      <c r="AD1967" s="53" t="n"/>
      <c r="AE1967" s="55" t="n"/>
      <c r="AF1967" s="55" t="n"/>
      <c r="AG1967" s="59" t="n"/>
      <c r="AH1967" s="57" t="n"/>
      <c r="AI1967" s="55" t="n"/>
      <c r="AJ1967" s="55" t="n"/>
      <c r="AK1967" s="55" t="n"/>
      <c r="AL1967" s="55" t="n"/>
      <c r="AM1967" s="56" t="n"/>
      <c r="AN1967" s="55" t="n"/>
      <c r="AO1967" s="55" t="n"/>
      <c r="AP1967" s="55" t="n"/>
      <c r="AQ1967" s="55" t="n"/>
      <c r="AR1967" s="60">
        <f>IF(AND(C1967="",E1967=""),"",IF(A1967="","⚠ Date manquante",IF(AND(C1967="",E1967&lt;&gt;"Dépense"),"⚠ Prospect manquant",IF(E1967="","⚠ Action manquante",IF(AND(AU1967=1,D1967=""),"⚠ Canal manquant",IF(AND(W1967&lt;&gt;"",COUNTIFS('Saisie'!$W$5:$W$2004,W1967,'Saisie'!$C$5:$C$2004,"&lt;&gt;"&amp;C1967)&gt;0),"⚠ Numéro déjà utilisé par un autre prospect",IF(AND(J1967&lt;&gt;"",J1967&lt;A1967),"⚠ Relance avant la date de l'action",IF(A1967&gt;TODAY(),"⚠ Date dans le futur","✓"))))))))</f>
        <v/>
      </c>
      <c r="AS1967" s="61">
        <f>IF(AND(A1967="",C1967="",E1967=""),"",ROW())</f>
        <v/>
      </c>
      <c r="AT1967" s="61">
        <f>IF(E1967&amp;F1967="","",MAX(IFERROR(INDEX('Paramètres'!$J$6:$J$33,MATCH(E1967,'Paramètres'!$I$6:$I$33,0)),0),IFERROR(INDEX('Paramètres'!$N$6:$N$17,MATCH(F1967,'Paramètres'!$M$6:$M$17,0)),0)))</f>
        <v/>
      </c>
      <c r="AU1967" s="61">
        <f>IF(E1967="","",IFERROR(IF(INDEX('Paramètres'!$K$6:$K$33,MATCH(E1967,'Paramètres'!$I$6:$I$33,0))="Oui",1,0),0))</f>
        <v/>
      </c>
      <c r="AV1967" s="61">
        <f>IF(F1967="","",IFERROR(IF(INDEX('Paramètres'!$O$6:$O$17,MATCH(F1967,'Paramètres'!$M$6:$M$17,0))="Oui",1,0),0))</f>
        <v/>
      </c>
      <c r="AW1967" s="62">
        <f>IF(E1967="","",IF(G1967&lt;&gt;"",G1967,IF(OR(E1967="Proposition envoyée",E1967="Signature"),MAX(0,N(IFERROR(INDEX('Paramètres'!$R$6:$R$15,MATCH(IF(AL1967&lt;&gt;"",AL1967,IFERROR(INDEX('Prospects'!$AN$5:$AN$504,MATCH(C1967,'Prospects'!$C$5:$C$504,0)),"")),'Paramètres'!$Q$6:$Q$15,0)),0))-N(P1967)),0)))</f>
        <v/>
      </c>
      <c r="AX1967" s="61">
        <f>IF(C1967="","",IF(COUNTIF($C$5:C1967,C1967)=1,MAX($AX$4:AX1966)+1,""))</f>
        <v/>
      </c>
      <c r="AY1967" s="61">
        <f>IF(B1967="","",HOUR(B1967))</f>
        <v/>
      </c>
      <c r="AZ1967" s="61">
        <f>IF(A1967="","",MOD(A1967-2,7)+1)</f>
        <v/>
      </c>
      <c r="BA1967" s="60">
        <f>IF(C1967="","",IFERROR(INDEX('Prospects'!$N$5:$N$504,MATCH(C1967,'Prospects'!$C$5:$C$504,0)),""))</f>
        <v/>
      </c>
      <c r="BB1967" s="61">
        <f>IF(AND(C1967&lt;&gt;"",C1967='Fiche prospect'!$C$4),COUNTIF($C$5:C1967,C1967),"")</f>
        <v/>
      </c>
    </row>
    <row r="1968">
      <c r="A1968" s="53" t="n"/>
      <c r="B1968" s="54" t="n"/>
      <c r="C1968" s="55" t="n"/>
      <c r="D1968" s="55" t="n"/>
      <c r="E1968" s="55" t="n"/>
      <c r="F1968" s="55" t="n"/>
      <c r="G1968" s="56" t="n"/>
      <c r="H1968" s="57" t="n"/>
      <c r="I1968" s="55" t="n"/>
      <c r="J1968" s="53" t="n"/>
      <c r="K1968" s="54" t="n"/>
      <c r="L1968" s="55" t="n"/>
      <c r="M1968" s="55" t="n"/>
      <c r="N1968" s="57" t="n"/>
      <c r="O1968" s="55" t="n"/>
      <c r="P1968" s="56" t="n"/>
      <c r="Q1968" s="55" t="n"/>
      <c r="R1968" s="55" t="n"/>
      <c r="S1968" s="55" t="n"/>
      <c r="T1968" s="55" t="n"/>
      <c r="U1968" s="55" t="n"/>
      <c r="V1968" s="55" t="n"/>
      <c r="W1968" s="58" t="n"/>
      <c r="X1968" s="58" t="n"/>
      <c r="Y1968" s="55" t="n"/>
      <c r="Z1968" s="55" t="n"/>
      <c r="AA1968" s="55" t="n"/>
      <c r="AB1968" s="55" t="n"/>
      <c r="AC1968" s="55" t="n"/>
      <c r="AD1968" s="53" t="n"/>
      <c r="AE1968" s="55" t="n"/>
      <c r="AF1968" s="55" t="n"/>
      <c r="AG1968" s="59" t="n"/>
      <c r="AH1968" s="57" t="n"/>
      <c r="AI1968" s="55" t="n"/>
      <c r="AJ1968" s="55" t="n"/>
      <c r="AK1968" s="55" t="n"/>
      <c r="AL1968" s="55" t="n"/>
      <c r="AM1968" s="56" t="n"/>
      <c r="AN1968" s="55" t="n"/>
      <c r="AO1968" s="55" t="n"/>
      <c r="AP1968" s="55" t="n"/>
      <c r="AQ1968" s="55" t="n"/>
      <c r="AR1968" s="60">
        <f>IF(AND(C1968="",E1968=""),"",IF(A1968="","⚠ Date manquante",IF(AND(C1968="",E1968&lt;&gt;"Dépense"),"⚠ Prospect manquant",IF(E1968="","⚠ Action manquante",IF(AND(AU1968=1,D1968=""),"⚠ Canal manquant",IF(AND(W1968&lt;&gt;"",COUNTIFS('Saisie'!$W$5:$W$2004,W1968,'Saisie'!$C$5:$C$2004,"&lt;&gt;"&amp;C1968)&gt;0),"⚠ Numéro déjà utilisé par un autre prospect",IF(AND(J1968&lt;&gt;"",J1968&lt;A1968),"⚠ Relance avant la date de l'action",IF(A1968&gt;TODAY(),"⚠ Date dans le futur","✓"))))))))</f>
        <v/>
      </c>
      <c r="AS1968" s="61">
        <f>IF(AND(A1968="",C1968="",E1968=""),"",ROW())</f>
        <v/>
      </c>
      <c r="AT1968" s="61">
        <f>IF(E1968&amp;F1968="","",MAX(IFERROR(INDEX('Paramètres'!$J$6:$J$33,MATCH(E1968,'Paramètres'!$I$6:$I$33,0)),0),IFERROR(INDEX('Paramètres'!$N$6:$N$17,MATCH(F1968,'Paramètres'!$M$6:$M$17,0)),0)))</f>
        <v/>
      </c>
      <c r="AU1968" s="61">
        <f>IF(E1968="","",IFERROR(IF(INDEX('Paramètres'!$K$6:$K$33,MATCH(E1968,'Paramètres'!$I$6:$I$33,0))="Oui",1,0),0))</f>
        <v/>
      </c>
      <c r="AV1968" s="61">
        <f>IF(F1968="","",IFERROR(IF(INDEX('Paramètres'!$O$6:$O$17,MATCH(F1968,'Paramètres'!$M$6:$M$17,0))="Oui",1,0),0))</f>
        <v/>
      </c>
      <c r="AW1968" s="62">
        <f>IF(E1968="","",IF(G1968&lt;&gt;"",G1968,IF(OR(E1968="Proposition envoyée",E1968="Signature"),MAX(0,N(IFERROR(INDEX('Paramètres'!$R$6:$R$15,MATCH(IF(AL1968&lt;&gt;"",AL1968,IFERROR(INDEX('Prospects'!$AN$5:$AN$504,MATCH(C1968,'Prospects'!$C$5:$C$504,0)),"")),'Paramètres'!$Q$6:$Q$15,0)),0))-N(P1968)),0)))</f>
        <v/>
      </c>
      <c r="AX1968" s="61">
        <f>IF(C1968="","",IF(COUNTIF($C$5:C1968,C1968)=1,MAX($AX$4:AX1967)+1,""))</f>
        <v/>
      </c>
      <c r="AY1968" s="61">
        <f>IF(B1968="","",HOUR(B1968))</f>
        <v/>
      </c>
      <c r="AZ1968" s="61">
        <f>IF(A1968="","",MOD(A1968-2,7)+1)</f>
        <v/>
      </c>
      <c r="BA1968" s="60">
        <f>IF(C1968="","",IFERROR(INDEX('Prospects'!$N$5:$N$504,MATCH(C1968,'Prospects'!$C$5:$C$504,0)),""))</f>
        <v/>
      </c>
      <c r="BB1968" s="61">
        <f>IF(AND(C1968&lt;&gt;"",C1968='Fiche prospect'!$C$4),COUNTIF($C$5:C1968,C1968),"")</f>
        <v/>
      </c>
    </row>
    <row r="1969">
      <c r="A1969" s="53" t="n"/>
      <c r="B1969" s="54" t="n"/>
      <c r="C1969" s="55" t="n"/>
      <c r="D1969" s="55" t="n"/>
      <c r="E1969" s="55" t="n"/>
      <c r="F1969" s="55" t="n"/>
      <c r="G1969" s="56" t="n"/>
      <c r="H1969" s="57" t="n"/>
      <c r="I1969" s="55" t="n"/>
      <c r="J1969" s="53" t="n"/>
      <c r="K1969" s="54" t="n"/>
      <c r="L1969" s="55" t="n"/>
      <c r="M1969" s="55" t="n"/>
      <c r="N1969" s="57" t="n"/>
      <c r="O1969" s="55" t="n"/>
      <c r="P1969" s="56" t="n"/>
      <c r="Q1969" s="55" t="n"/>
      <c r="R1969" s="55" t="n"/>
      <c r="S1969" s="55" t="n"/>
      <c r="T1969" s="55" t="n"/>
      <c r="U1969" s="55" t="n"/>
      <c r="V1969" s="55" t="n"/>
      <c r="W1969" s="58" t="n"/>
      <c r="X1969" s="58" t="n"/>
      <c r="Y1969" s="55" t="n"/>
      <c r="Z1969" s="55" t="n"/>
      <c r="AA1969" s="55" t="n"/>
      <c r="AB1969" s="55" t="n"/>
      <c r="AC1969" s="55" t="n"/>
      <c r="AD1969" s="53" t="n"/>
      <c r="AE1969" s="55" t="n"/>
      <c r="AF1969" s="55" t="n"/>
      <c r="AG1969" s="59" t="n"/>
      <c r="AH1969" s="57" t="n"/>
      <c r="AI1969" s="55" t="n"/>
      <c r="AJ1969" s="55" t="n"/>
      <c r="AK1969" s="55" t="n"/>
      <c r="AL1969" s="55" t="n"/>
      <c r="AM1969" s="56" t="n"/>
      <c r="AN1969" s="55" t="n"/>
      <c r="AO1969" s="55" t="n"/>
      <c r="AP1969" s="55" t="n"/>
      <c r="AQ1969" s="55" t="n"/>
      <c r="AR1969" s="60">
        <f>IF(AND(C1969="",E1969=""),"",IF(A1969="","⚠ Date manquante",IF(AND(C1969="",E1969&lt;&gt;"Dépense"),"⚠ Prospect manquant",IF(E1969="","⚠ Action manquante",IF(AND(AU1969=1,D1969=""),"⚠ Canal manquant",IF(AND(W1969&lt;&gt;"",COUNTIFS('Saisie'!$W$5:$W$2004,W1969,'Saisie'!$C$5:$C$2004,"&lt;&gt;"&amp;C1969)&gt;0),"⚠ Numéro déjà utilisé par un autre prospect",IF(AND(J1969&lt;&gt;"",J1969&lt;A1969),"⚠ Relance avant la date de l'action",IF(A1969&gt;TODAY(),"⚠ Date dans le futur","✓"))))))))</f>
        <v/>
      </c>
      <c r="AS1969" s="61">
        <f>IF(AND(A1969="",C1969="",E1969=""),"",ROW())</f>
        <v/>
      </c>
      <c r="AT1969" s="61">
        <f>IF(E1969&amp;F1969="","",MAX(IFERROR(INDEX('Paramètres'!$J$6:$J$33,MATCH(E1969,'Paramètres'!$I$6:$I$33,0)),0),IFERROR(INDEX('Paramètres'!$N$6:$N$17,MATCH(F1969,'Paramètres'!$M$6:$M$17,0)),0)))</f>
        <v/>
      </c>
      <c r="AU1969" s="61">
        <f>IF(E1969="","",IFERROR(IF(INDEX('Paramètres'!$K$6:$K$33,MATCH(E1969,'Paramètres'!$I$6:$I$33,0))="Oui",1,0),0))</f>
        <v/>
      </c>
      <c r="AV1969" s="61">
        <f>IF(F1969="","",IFERROR(IF(INDEX('Paramètres'!$O$6:$O$17,MATCH(F1969,'Paramètres'!$M$6:$M$17,0))="Oui",1,0),0))</f>
        <v/>
      </c>
      <c r="AW1969" s="62">
        <f>IF(E1969="","",IF(G1969&lt;&gt;"",G1969,IF(OR(E1969="Proposition envoyée",E1969="Signature"),MAX(0,N(IFERROR(INDEX('Paramètres'!$R$6:$R$15,MATCH(IF(AL1969&lt;&gt;"",AL1969,IFERROR(INDEX('Prospects'!$AN$5:$AN$504,MATCH(C1969,'Prospects'!$C$5:$C$504,0)),"")),'Paramètres'!$Q$6:$Q$15,0)),0))-N(P1969)),0)))</f>
        <v/>
      </c>
      <c r="AX1969" s="61">
        <f>IF(C1969="","",IF(COUNTIF($C$5:C1969,C1969)=1,MAX($AX$4:AX1968)+1,""))</f>
        <v/>
      </c>
      <c r="AY1969" s="61">
        <f>IF(B1969="","",HOUR(B1969))</f>
        <v/>
      </c>
      <c r="AZ1969" s="61">
        <f>IF(A1969="","",MOD(A1969-2,7)+1)</f>
        <v/>
      </c>
      <c r="BA1969" s="60">
        <f>IF(C1969="","",IFERROR(INDEX('Prospects'!$N$5:$N$504,MATCH(C1969,'Prospects'!$C$5:$C$504,0)),""))</f>
        <v/>
      </c>
      <c r="BB1969" s="61">
        <f>IF(AND(C1969&lt;&gt;"",C1969='Fiche prospect'!$C$4),COUNTIF($C$5:C1969,C1969),"")</f>
        <v/>
      </c>
    </row>
    <row r="1970">
      <c r="A1970" s="53" t="n"/>
      <c r="B1970" s="54" t="n"/>
      <c r="C1970" s="55" t="n"/>
      <c r="D1970" s="55" t="n"/>
      <c r="E1970" s="55" t="n"/>
      <c r="F1970" s="55" t="n"/>
      <c r="G1970" s="56" t="n"/>
      <c r="H1970" s="57" t="n"/>
      <c r="I1970" s="55" t="n"/>
      <c r="J1970" s="53" t="n"/>
      <c r="K1970" s="54" t="n"/>
      <c r="L1970" s="55" t="n"/>
      <c r="M1970" s="55" t="n"/>
      <c r="N1970" s="57" t="n"/>
      <c r="O1970" s="55" t="n"/>
      <c r="P1970" s="56" t="n"/>
      <c r="Q1970" s="55" t="n"/>
      <c r="R1970" s="55" t="n"/>
      <c r="S1970" s="55" t="n"/>
      <c r="T1970" s="55" t="n"/>
      <c r="U1970" s="55" t="n"/>
      <c r="V1970" s="55" t="n"/>
      <c r="W1970" s="58" t="n"/>
      <c r="X1970" s="58" t="n"/>
      <c r="Y1970" s="55" t="n"/>
      <c r="Z1970" s="55" t="n"/>
      <c r="AA1970" s="55" t="n"/>
      <c r="AB1970" s="55" t="n"/>
      <c r="AC1970" s="55" t="n"/>
      <c r="AD1970" s="53" t="n"/>
      <c r="AE1970" s="55" t="n"/>
      <c r="AF1970" s="55" t="n"/>
      <c r="AG1970" s="59" t="n"/>
      <c r="AH1970" s="57" t="n"/>
      <c r="AI1970" s="55" t="n"/>
      <c r="AJ1970" s="55" t="n"/>
      <c r="AK1970" s="55" t="n"/>
      <c r="AL1970" s="55" t="n"/>
      <c r="AM1970" s="56" t="n"/>
      <c r="AN1970" s="55" t="n"/>
      <c r="AO1970" s="55" t="n"/>
      <c r="AP1970" s="55" t="n"/>
      <c r="AQ1970" s="55" t="n"/>
      <c r="AR1970" s="60">
        <f>IF(AND(C1970="",E1970=""),"",IF(A1970="","⚠ Date manquante",IF(AND(C1970="",E1970&lt;&gt;"Dépense"),"⚠ Prospect manquant",IF(E1970="","⚠ Action manquante",IF(AND(AU1970=1,D1970=""),"⚠ Canal manquant",IF(AND(W1970&lt;&gt;"",COUNTIFS('Saisie'!$W$5:$W$2004,W1970,'Saisie'!$C$5:$C$2004,"&lt;&gt;"&amp;C1970)&gt;0),"⚠ Numéro déjà utilisé par un autre prospect",IF(AND(J1970&lt;&gt;"",J1970&lt;A1970),"⚠ Relance avant la date de l'action",IF(A1970&gt;TODAY(),"⚠ Date dans le futur","✓"))))))))</f>
        <v/>
      </c>
      <c r="AS1970" s="61">
        <f>IF(AND(A1970="",C1970="",E1970=""),"",ROW())</f>
        <v/>
      </c>
      <c r="AT1970" s="61">
        <f>IF(E1970&amp;F1970="","",MAX(IFERROR(INDEX('Paramètres'!$J$6:$J$33,MATCH(E1970,'Paramètres'!$I$6:$I$33,0)),0),IFERROR(INDEX('Paramètres'!$N$6:$N$17,MATCH(F1970,'Paramètres'!$M$6:$M$17,0)),0)))</f>
        <v/>
      </c>
      <c r="AU1970" s="61">
        <f>IF(E1970="","",IFERROR(IF(INDEX('Paramètres'!$K$6:$K$33,MATCH(E1970,'Paramètres'!$I$6:$I$33,0))="Oui",1,0),0))</f>
        <v/>
      </c>
      <c r="AV1970" s="61">
        <f>IF(F1970="","",IFERROR(IF(INDEX('Paramètres'!$O$6:$O$17,MATCH(F1970,'Paramètres'!$M$6:$M$17,0))="Oui",1,0),0))</f>
        <v/>
      </c>
      <c r="AW1970" s="62">
        <f>IF(E1970="","",IF(G1970&lt;&gt;"",G1970,IF(OR(E1970="Proposition envoyée",E1970="Signature"),MAX(0,N(IFERROR(INDEX('Paramètres'!$R$6:$R$15,MATCH(IF(AL1970&lt;&gt;"",AL1970,IFERROR(INDEX('Prospects'!$AN$5:$AN$504,MATCH(C1970,'Prospects'!$C$5:$C$504,0)),"")),'Paramètres'!$Q$6:$Q$15,0)),0))-N(P1970)),0)))</f>
        <v/>
      </c>
      <c r="AX1970" s="61">
        <f>IF(C1970="","",IF(COUNTIF($C$5:C1970,C1970)=1,MAX($AX$4:AX1969)+1,""))</f>
        <v/>
      </c>
      <c r="AY1970" s="61">
        <f>IF(B1970="","",HOUR(B1970))</f>
        <v/>
      </c>
      <c r="AZ1970" s="61">
        <f>IF(A1970="","",MOD(A1970-2,7)+1)</f>
        <v/>
      </c>
      <c r="BA1970" s="60">
        <f>IF(C1970="","",IFERROR(INDEX('Prospects'!$N$5:$N$504,MATCH(C1970,'Prospects'!$C$5:$C$504,0)),""))</f>
        <v/>
      </c>
      <c r="BB1970" s="61">
        <f>IF(AND(C1970&lt;&gt;"",C1970='Fiche prospect'!$C$4),COUNTIF($C$5:C1970,C1970),"")</f>
        <v/>
      </c>
    </row>
    <row r="1971">
      <c r="A1971" s="53" t="n"/>
      <c r="B1971" s="54" t="n"/>
      <c r="C1971" s="55" t="n"/>
      <c r="D1971" s="55" t="n"/>
      <c r="E1971" s="55" t="n"/>
      <c r="F1971" s="55" t="n"/>
      <c r="G1971" s="56" t="n"/>
      <c r="H1971" s="57" t="n"/>
      <c r="I1971" s="55" t="n"/>
      <c r="J1971" s="53" t="n"/>
      <c r="K1971" s="54" t="n"/>
      <c r="L1971" s="55" t="n"/>
      <c r="M1971" s="55" t="n"/>
      <c r="N1971" s="57" t="n"/>
      <c r="O1971" s="55" t="n"/>
      <c r="P1971" s="56" t="n"/>
      <c r="Q1971" s="55" t="n"/>
      <c r="R1971" s="55" t="n"/>
      <c r="S1971" s="55" t="n"/>
      <c r="T1971" s="55" t="n"/>
      <c r="U1971" s="55" t="n"/>
      <c r="V1971" s="55" t="n"/>
      <c r="W1971" s="58" t="n"/>
      <c r="X1971" s="58" t="n"/>
      <c r="Y1971" s="55" t="n"/>
      <c r="Z1971" s="55" t="n"/>
      <c r="AA1971" s="55" t="n"/>
      <c r="AB1971" s="55" t="n"/>
      <c r="AC1971" s="55" t="n"/>
      <c r="AD1971" s="53" t="n"/>
      <c r="AE1971" s="55" t="n"/>
      <c r="AF1971" s="55" t="n"/>
      <c r="AG1971" s="59" t="n"/>
      <c r="AH1971" s="57" t="n"/>
      <c r="AI1971" s="55" t="n"/>
      <c r="AJ1971" s="55" t="n"/>
      <c r="AK1971" s="55" t="n"/>
      <c r="AL1971" s="55" t="n"/>
      <c r="AM1971" s="56" t="n"/>
      <c r="AN1971" s="55" t="n"/>
      <c r="AO1971" s="55" t="n"/>
      <c r="AP1971" s="55" t="n"/>
      <c r="AQ1971" s="55" t="n"/>
      <c r="AR1971" s="60">
        <f>IF(AND(C1971="",E1971=""),"",IF(A1971="","⚠ Date manquante",IF(AND(C1971="",E1971&lt;&gt;"Dépense"),"⚠ Prospect manquant",IF(E1971="","⚠ Action manquante",IF(AND(AU1971=1,D1971=""),"⚠ Canal manquant",IF(AND(W1971&lt;&gt;"",COUNTIFS('Saisie'!$W$5:$W$2004,W1971,'Saisie'!$C$5:$C$2004,"&lt;&gt;"&amp;C1971)&gt;0),"⚠ Numéro déjà utilisé par un autre prospect",IF(AND(J1971&lt;&gt;"",J1971&lt;A1971),"⚠ Relance avant la date de l'action",IF(A1971&gt;TODAY(),"⚠ Date dans le futur","✓"))))))))</f>
        <v/>
      </c>
      <c r="AS1971" s="61">
        <f>IF(AND(A1971="",C1971="",E1971=""),"",ROW())</f>
        <v/>
      </c>
      <c r="AT1971" s="61">
        <f>IF(E1971&amp;F1971="","",MAX(IFERROR(INDEX('Paramètres'!$J$6:$J$33,MATCH(E1971,'Paramètres'!$I$6:$I$33,0)),0),IFERROR(INDEX('Paramètres'!$N$6:$N$17,MATCH(F1971,'Paramètres'!$M$6:$M$17,0)),0)))</f>
        <v/>
      </c>
      <c r="AU1971" s="61">
        <f>IF(E1971="","",IFERROR(IF(INDEX('Paramètres'!$K$6:$K$33,MATCH(E1971,'Paramètres'!$I$6:$I$33,0))="Oui",1,0),0))</f>
        <v/>
      </c>
      <c r="AV1971" s="61">
        <f>IF(F1971="","",IFERROR(IF(INDEX('Paramètres'!$O$6:$O$17,MATCH(F1971,'Paramètres'!$M$6:$M$17,0))="Oui",1,0),0))</f>
        <v/>
      </c>
      <c r="AW1971" s="62">
        <f>IF(E1971="","",IF(G1971&lt;&gt;"",G1971,IF(OR(E1971="Proposition envoyée",E1971="Signature"),MAX(0,N(IFERROR(INDEX('Paramètres'!$R$6:$R$15,MATCH(IF(AL1971&lt;&gt;"",AL1971,IFERROR(INDEX('Prospects'!$AN$5:$AN$504,MATCH(C1971,'Prospects'!$C$5:$C$504,0)),"")),'Paramètres'!$Q$6:$Q$15,0)),0))-N(P1971)),0)))</f>
        <v/>
      </c>
      <c r="AX1971" s="61">
        <f>IF(C1971="","",IF(COUNTIF($C$5:C1971,C1971)=1,MAX($AX$4:AX1970)+1,""))</f>
        <v/>
      </c>
      <c r="AY1971" s="61">
        <f>IF(B1971="","",HOUR(B1971))</f>
        <v/>
      </c>
      <c r="AZ1971" s="61">
        <f>IF(A1971="","",MOD(A1971-2,7)+1)</f>
        <v/>
      </c>
      <c r="BA1971" s="60">
        <f>IF(C1971="","",IFERROR(INDEX('Prospects'!$N$5:$N$504,MATCH(C1971,'Prospects'!$C$5:$C$504,0)),""))</f>
        <v/>
      </c>
      <c r="BB1971" s="61">
        <f>IF(AND(C1971&lt;&gt;"",C1971='Fiche prospect'!$C$4),COUNTIF($C$5:C1971,C1971),"")</f>
        <v/>
      </c>
    </row>
    <row r="1972">
      <c r="A1972" s="53" t="n"/>
      <c r="B1972" s="54" t="n"/>
      <c r="C1972" s="55" t="n"/>
      <c r="D1972" s="55" t="n"/>
      <c r="E1972" s="55" t="n"/>
      <c r="F1972" s="55" t="n"/>
      <c r="G1972" s="56" t="n"/>
      <c r="H1972" s="57" t="n"/>
      <c r="I1972" s="55" t="n"/>
      <c r="J1972" s="53" t="n"/>
      <c r="K1972" s="54" t="n"/>
      <c r="L1972" s="55" t="n"/>
      <c r="M1972" s="55" t="n"/>
      <c r="N1972" s="57" t="n"/>
      <c r="O1972" s="55" t="n"/>
      <c r="P1972" s="56" t="n"/>
      <c r="Q1972" s="55" t="n"/>
      <c r="R1972" s="55" t="n"/>
      <c r="S1972" s="55" t="n"/>
      <c r="T1972" s="55" t="n"/>
      <c r="U1972" s="55" t="n"/>
      <c r="V1972" s="55" t="n"/>
      <c r="W1972" s="58" t="n"/>
      <c r="X1972" s="58" t="n"/>
      <c r="Y1972" s="55" t="n"/>
      <c r="Z1972" s="55" t="n"/>
      <c r="AA1972" s="55" t="n"/>
      <c r="AB1972" s="55" t="n"/>
      <c r="AC1972" s="55" t="n"/>
      <c r="AD1972" s="53" t="n"/>
      <c r="AE1972" s="55" t="n"/>
      <c r="AF1972" s="55" t="n"/>
      <c r="AG1972" s="59" t="n"/>
      <c r="AH1972" s="57" t="n"/>
      <c r="AI1972" s="55" t="n"/>
      <c r="AJ1972" s="55" t="n"/>
      <c r="AK1972" s="55" t="n"/>
      <c r="AL1972" s="55" t="n"/>
      <c r="AM1972" s="56" t="n"/>
      <c r="AN1972" s="55" t="n"/>
      <c r="AO1972" s="55" t="n"/>
      <c r="AP1972" s="55" t="n"/>
      <c r="AQ1972" s="55" t="n"/>
      <c r="AR1972" s="60">
        <f>IF(AND(C1972="",E1972=""),"",IF(A1972="","⚠ Date manquante",IF(AND(C1972="",E1972&lt;&gt;"Dépense"),"⚠ Prospect manquant",IF(E1972="","⚠ Action manquante",IF(AND(AU1972=1,D1972=""),"⚠ Canal manquant",IF(AND(W1972&lt;&gt;"",COUNTIFS('Saisie'!$W$5:$W$2004,W1972,'Saisie'!$C$5:$C$2004,"&lt;&gt;"&amp;C1972)&gt;0),"⚠ Numéro déjà utilisé par un autre prospect",IF(AND(J1972&lt;&gt;"",J1972&lt;A1972),"⚠ Relance avant la date de l'action",IF(A1972&gt;TODAY(),"⚠ Date dans le futur","✓"))))))))</f>
        <v/>
      </c>
      <c r="AS1972" s="61">
        <f>IF(AND(A1972="",C1972="",E1972=""),"",ROW())</f>
        <v/>
      </c>
      <c r="AT1972" s="61">
        <f>IF(E1972&amp;F1972="","",MAX(IFERROR(INDEX('Paramètres'!$J$6:$J$33,MATCH(E1972,'Paramètres'!$I$6:$I$33,0)),0),IFERROR(INDEX('Paramètres'!$N$6:$N$17,MATCH(F1972,'Paramètres'!$M$6:$M$17,0)),0)))</f>
        <v/>
      </c>
      <c r="AU1972" s="61">
        <f>IF(E1972="","",IFERROR(IF(INDEX('Paramètres'!$K$6:$K$33,MATCH(E1972,'Paramètres'!$I$6:$I$33,0))="Oui",1,0),0))</f>
        <v/>
      </c>
      <c r="AV1972" s="61">
        <f>IF(F1972="","",IFERROR(IF(INDEX('Paramètres'!$O$6:$O$17,MATCH(F1972,'Paramètres'!$M$6:$M$17,0))="Oui",1,0),0))</f>
        <v/>
      </c>
      <c r="AW1972" s="62">
        <f>IF(E1972="","",IF(G1972&lt;&gt;"",G1972,IF(OR(E1972="Proposition envoyée",E1972="Signature"),MAX(0,N(IFERROR(INDEX('Paramètres'!$R$6:$R$15,MATCH(IF(AL1972&lt;&gt;"",AL1972,IFERROR(INDEX('Prospects'!$AN$5:$AN$504,MATCH(C1972,'Prospects'!$C$5:$C$504,0)),"")),'Paramètres'!$Q$6:$Q$15,0)),0))-N(P1972)),0)))</f>
        <v/>
      </c>
      <c r="AX1972" s="61">
        <f>IF(C1972="","",IF(COUNTIF($C$5:C1972,C1972)=1,MAX($AX$4:AX1971)+1,""))</f>
        <v/>
      </c>
      <c r="AY1972" s="61">
        <f>IF(B1972="","",HOUR(B1972))</f>
        <v/>
      </c>
      <c r="AZ1972" s="61">
        <f>IF(A1972="","",MOD(A1972-2,7)+1)</f>
        <v/>
      </c>
      <c r="BA1972" s="60">
        <f>IF(C1972="","",IFERROR(INDEX('Prospects'!$N$5:$N$504,MATCH(C1972,'Prospects'!$C$5:$C$504,0)),""))</f>
        <v/>
      </c>
      <c r="BB1972" s="61">
        <f>IF(AND(C1972&lt;&gt;"",C1972='Fiche prospect'!$C$4),COUNTIF($C$5:C1972,C1972),"")</f>
        <v/>
      </c>
    </row>
    <row r="1973">
      <c r="A1973" s="53" t="n"/>
      <c r="B1973" s="54" t="n"/>
      <c r="C1973" s="55" t="n"/>
      <c r="D1973" s="55" t="n"/>
      <c r="E1973" s="55" t="n"/>
      <c r="F1973" s="55" t="n"/>
      <c r="G1973" s="56" t="n"/>
      <c r="H1973" s="57" t="n"/>
      <c r="I1973" s="55" t="n"/>
      <c r="J1973" s="53" t="n"/>
      <c r="K1973" s="54" t="n"/>
      <c r="L1973" s="55" t="n"/>
      <c r="M1973" s="55" t="n"/>
      <c r="N1973" s="57" t="n"/>
      <c r="O1973" s="55" t="n"/>
      <c r="P1973" s="56" t="n"/>
      <c r="Q1973" s="55" t="n"/>
      <c r="R1973" s="55" t="n"/>
      <c r="S1973" s="55" t="n"/>
      <c r="T1973" s="55" t="n"/>
      <c r="U1973" s="55" t="n"/>
      <c r="V1973" s="55" t="n"/>
      <c r="W1973" s="58" t="n"/>
      <c r="X1973" s="58" t="n"/>
      <c r="Y1973" s="55" t="n"/>
      <c r="Z1973" s="55" t="n"/>
      <c r="AA1973" s="55" t="n"/>
      <c r="AB1973" s="55" t="n"/>
      <c r="AC1973" s="55" t="n"/>
      <c r="AD1973" s="53" t="n"/>
      <c r="AE1973" s="55" t="n"/>
      <c r="AF1973" s="55" t="n"/>
      <c r="AG1973" s="59" t="n"/>
      <c r="AH1973" s="57" t="n"/>
      <c r="AI1973" s="55" t="n"/>
      <c r="AJ1973" s="55" t="n"/>
      <c r="AK1973" s="55" t="n"/>
      <c r="AL1973" s="55" t="n"/>
      <c r="AM1973" s="56" t="n"/>
      <c r="AN1973" s="55" t="n"/>
      <c r="AO1973" s="55" t="n"/>
      <c r="AP1973" s="55" t="n"/>
      <c r="AQ1973" s="55" t="n"/>
      <c r="AR1973" s="60">
        <f>IF(AND(C1973="",E1973=""),"",IF(A1973="","⚠ Date manquante",IF(AND(C1973="",E1973&lt;&gt;"Dépense"),"⚠ Prospect manquant",IF(E1973="","⚠ Action manquante",IF(AND(AU1973=1,D1973=""),"⚠ Canal manquant",IF(AND(W1973&lt;&gt;"",COUNTIFS('Saisie'!$W$5:$W$2004,W1973,'Saisie'!$C$5:$C$2004,"&lt;&gt;"&amp;C1973)&gt;0),"⚠ Numéro déjà utilisé par un autre prospect",IF(AND(J1973&lt;&gt;"",J1973&lt;A1973),"⚠ Relance avant la date de l'action",IF(A1973&gt;TODAY(),"⚠ Date dans le futur","✓"))))))))</f>
        <v/>
      </c>
      <c r="AS1973" s="61">
        <f>IF(AND(A1973="",C1973="",E1973=""),"",ROW())</f>
        <v/>
      </c>
      <c r="AT1973" s="61">
        <f>IF(E1973&amp;F1973="","",MAX(IFERROR(INDEX('Paramètres'!$J$6:$J$33,MATCH(E1973,'Paramètres'!$I$6:$I$33,0)),0),IFERROR(INDEX('Paramètres'!$N$6:$N$17,MATCH(F1973,'Paramètres'!$M$6:$M$17,0)),0)))</f>
        <v/>
      </c>
      <c r="AU1973" s="61">
        <f>IF(E1973="","",IFERROR(IF(INDEX('Paramètres'!$K$6:$K$33,MATCH(E1973,'Paramètres'!$I$6:$I$33,0))="Oui",1,0),0))</f>
        <v/>
      </c>
      <c r="AV1973" s="61">
        <f>IF(F1973="","",IFERROR(IF(INDEX('Paramètres'!$O$6:$O$17,MATCH(F1973,'Paramètres'!$M$6:$M$17,0))="Oui",1,0),0))</f>
        <v/>
      </c>
      <c r="AW1973" s="62">
        <f>IF(E1973="","",IF(G1973&lt;&gt;"",G1973,IF(OR(E1973="Proposition envoyée",E1973="Signature"),MAX(0,N(IFERROR(INDEX('Paramètres'!$R$6:$R$15,MATCH(IF(AL1973&lt;&gt;"",AL1973,IFERROR(INDEX('Prospects'!$AN$5:$AN$504,MATCH(C1973,'Prospects'!$C$5:$C$504,0)),"")),'Paramètres'!$Q$6:$Q$15,0)),0))-N(P1973)),0)))</f>
        <v/>
      </c>
      <c r="AX1973" s="61">
        <f>IF(C1973="","",IF(COUNTIF($C$5:C1973,C1973)=1,MAX($AX$4:AX1972)+1,""))</f>
        <v/>
      </c>
      <c r="AY1973" s="61">
        <f>IF(B1973="","",HOUR(B1973))</f>
        <v/>
      </c>
      <c r="AZ1973" s="61">
        <f>IF(A1973="","",MOD(A1973-2,7)+1)</f>
        <v/>
      </c>
      <c r="BA1973" s="60">
        <f>IF(C1973="","",IFERROR(INDEX('Prospects'!$N$5:$N$504,MATCH(C1973,'Prospects'!$C$5:$C$504,0)),""))</f>
        <v/>
      </c>
      <c r="BB1973" s="61">
        <f>IF(AND(C1973&lt;&gt;"",C1973='Fiche prospect'!$C$4),COUNTIF($C$5:C1973,C1973),"")</f>
        <v/>
      </c>
    </row>
    <row r="1974">
      <c r="A1974" s="53" t="n"/>
      <c r="B1974" s="54" t="n"/>
      <c r="C1974" s="55" t="n"/>
      <c r="D1974" s="55" t="n"/>
      <c r="E1974" s="55" t="n"/>
      <c r="F1974" s="55" t="n"/>
      <c r="G1974" s="56" t="n"/>
      <c r="H1974" s="57" t="n"/>
      <c r="I1974" s="55" t="n"/>
      <c r="J1974" s="53" t="n"/>
      <c r="K1974" s="54" t="n"/>
      <c r="L1974" s="55" t="n"/>
      <c r="M1974" s="55" t="n"/>
      <c r="N1974" s="57" t="n"/>
      <c r="O1974" s="55" t="n"/>
      <c r="P1974" s="56" t="n"/>
      <c r="Q1974" s="55" t="n"/>
      <c r="R1974" s="55" t="n"/>
      <c r="S1974" s="55" t="n"/>
      <c r="T1974" s="55" t="n"/>
      <c r="U1974" s="55" t="n"/>
      <c r="V1974" s="55" t="n"/>
      <c r="W1974" s="58" t="n"/>
      <c r="X1974" s="58" t="n"/>
      <c r="Y1974" s="55" t="n"/>
      <c r="Z1974" s="55" t="n"/>
      <c r="AA1974" s="55" t="n"/>
      <c r="AB1974" s="55" t="n"/>
      <c r="AC1974" s="55" t="n"/>
      <c r="AD1974" s="53" t="n"/>
      <c r="AE1974" s="55" t="n"/>
      <c r="AF1974" s="55" t="n"/>
      <c r="AG1974" s="59" t="n"/>
      <c r="AH1974" s="57" t="n"/>
      <c r="AI1974" s="55" t="n"/>
      <c r="AJ1974" s="55" t="n"/>
      <c r="AK1974" s="55" t="n"/>
      <c r="AL1974" s="55" t="n"/>
      <c r="AM1974" s="56" t="n"/>
      <c r="AN1974" s="55" t="n"/>
      <c r="AO1974" s="55" t="n"/>
      <c r="AP1974" s="55" t="n"/>
      <c r="AQ1974" s="55" t="n"/>
      <c r="AR1974" s="60">
        <f>IF(AND(C1974="",E1974=""),"",IF(A1974="","⚠ Date manquante",IF(AND(C1974="",E1974&lt;&gt;"Dépense"),"⚠ Prospect manquant",IF(E1974="","⚠ Action manquante",IF(AND(AU1974=1,D1974=""),"⚠ Canal manquant",IF(AND(W1974&lt;&gt;"",COUNTIFS('Saisie'!$W$5:$W$2004,W1974,'Saisie'!$C$5:$C$2004,"&lt;&gt;"&amp;C1974)&gt;0),"⚠ Numéro déjà utilisé par un autre prospect",IF(AND(J1974&lt;&gt;"",J1974&lt;A1974),"⚠ Relance avant la date de l'action",IF(A1974&gt;TODAY(),"⚠ Date dans le futur","✓"))))))))</f>
        <v/>
      </c>
      <c r="AS1974" s="61">
        <f>IF(AND(A1974="",C1974="",E1974=""),"",ROW())</f>
        <v/>
      </c>
      <c r="AT1974" s="61">
        <f>IF(E1974&amp;F1974="","",MAX(IFERROR(INDEX('Paramètres'!$J$6:$J$33,MATCH(E1974,'Paramètres'!$I$6:$I$33,0)),0),IFERROR(INDEX('Paramètres'!$N$6:$N$17,MATCH(F1974,'Paramètres'!$M$6:$M$17,0)),0)))</f>
        <v/>
      </c>
      <c r="AU1974" s="61">
        <f>IF(E1974="","",IFERROR(IF(INDEX('Paramètres'!$K$6:$K$33,MATCH(E1974,'Paramètres'!$I$6:$I$33,0))="Oui",1,0),0))</f>
        <v/>
      </c>
      <c r="AV1974" s="61">
        <f>IF(F1974="","",IFERROR(IF(INDEX('Paramètres'!$O$6:$O$17,MATCH(F1974,'Paramètres'!$M$6:$M$17,0))="Oui",1,0),0))</f>
        <v/>
      </c>
      <c r="AW1974" s="62">
        <f>IF(E1974="","",IF(G1974&lt;&gt;"",G1974,IF(OR(E1974="Proposition envoyée",E1974="Signature"),MAX(0,N(IFERROR(INDEX('Paramètres'!$R$6:$R$15,MATCH(IF(AL1974&lt;&gt;"",AL1974,IFERROR(INDEX('Prospects'!$AN$5:$AN$504,MATCH(C1974,'Prospects'!$C$5:$C$504,0)),"")),'Paramètres'!$Q$6:$Q$15,0)),0))-N(P1974)),0)))</f>
        <v/>
      </c>
      <c r="AX1974" s="61">
        <f>IF(C1974="","",IF(COUNTIF($C$5:C1974,C1974)=1,MAX($AX$4:AX1973)+1,""))</f>
        <v/>
      </c>
      <c r="AY1974" s="61">
        <f>IF(B1974="","",HOUR(B1974))</f>
        <v/>
      </c>
      <c r="AZ1974" s="61">
        <f>IF(A1974="","",MOD(A1974-2,7)+1)</f>
        <v/>
      </c>
      <c r="BA1974" s="60">
        <f>IF(C1974="","",IFERROR(INDEX('Prospects'!$N$5:$N$504,MATCH(C1974,'Prospects'!$C$5:$C$504,0)),""))</f>
        <v/>
      </c>
      <c r="BB1974" s="61">
        <f>IF(AND(C1974&lt;&gt;"",C1974='Fiche prospect'!$C$4),COUNTIF($C$5:C1974,C1974),"")</f>
        <v/>
      </c>
    </row>
    <row r="1975">
      <c r="A1975" s="53" t="n"/>
      <c r="B1975" s="54" t="n"/>
      <c r="C1975" s="55" t="n"/>
      <c r="D1975" s="55" t="n"/>
      <c r="E1975" s="55" t="n"/>
      <c r="F1975" s="55" t="n"/>
      <c r="G1975" s="56" t="n"/>
      <c r="H1975" s="57" t="n"/>
      <c r="I1975" s="55" t="n"/>
      <c r="J1975" s="53" t="n"/>
      <c r="K1975" s="54" t="n"/>
      <c r="L1975" s="55" t="n"/>
      <c r="M1975" s="55" t="n"/>
      <c r="N1975" s="57" t="n"/>
      <c r="O1975" s="55" t="n"/>
      <c r="P1975" s="56" t="n"/>
      <c r="Q1975" s="55" t="n"/>
      <c r="R1975" s="55" t="n"/>
      <c r="S1975" s="55" t="n"/>
      <c r="T1975" s="55" t="n"/>
      <c r="U1975" s="55" t="n"/>
      <c r="V1975" s="55" t="n"/>
      <c r="W1975" s="58" t="n"/>
      <c r="X1975" s="58" t="n"/>
      <c r="Y1975" s="55" t="n"/>
      <c r="Z1975" s="55" t="n"/>
      <c r="AA1975" s="55" t="n"/>
      <c r="AB1975" s="55" t="n"/>
      <c r="AC1975" s="55" t="n"/>
      <c r="AD1975" s="53" t="n"/>
      <c r="AE1975" s="55" t="n"/>
      <c r="AF1975" s="55" t="n"/>
      <c r="AG1975" s="59" t="n"/>
      <c r="AH1975" s="57" t="n"/>
      <c r="AI1975" s="55" t="n"/>
      <c r="AJ1975" s="55" t="n"/>
      <c r="AK1975" s="55" t="n"/>
      <c r="AL1975" s="55" t="n"/>
      <c r="AM1975" s="56" t="n"/>
      <c r="AN1975" s="55" t="n"/>
      <c r="AO1975" s="55" t="n"/>
      <c r="AP1975" s="55" t="n"/>
      <c r="AQ1975" s="55" t="n"/>
      <c r="AR1975" s="60">
        <f>IF(AND(C1975="",E1975=""),"",IF(A1975="","⚠ Date manquante",IF(AND(C1975="",E1975&lt;&gt;"Dépense"),"⚠ Prospect manquant",IF(E1975="","⚠ Action manquante",IF(AND(AU1975=1,D1975=""),"⚠ Canal manquant",IF(AND(W1975&lt;&gt;"",COUNTIFS('Saisie'!$W$5:$W$2004,W1975,'Saisie'!$C$5:$C$2004,"&lt;&gt;"&amp;C1975)&gt;0),"⚠ Numéro déjà utilisé par un autre prospect",IF(AND(J1975&lt;&gt;"",J1975&lt;A1975),"⚠ Relance avant la date de l'action",IF(A1975&gt;TODAY(),"⚠ Date dans le futur","✓"))))))))</f>
        <v/>
      </c>
      <c r="AS1975" s="61">
        <f>IF(AND(A1975="",C1975="",E1975=""),"",ROW())</f>
        <v/>
      </c>
      <c r="AT1975" s="61">
        <f>IF(E1975&amp;F1975="","",MAX(IFERROR(INDEX('Paramètres'!$J$6:$J$33,MATCH(E1975,'Paramètres'!$I$6:$I$33,0)),0),IFERROR(INDEX('Paramètres'!$N$6:$N$17,MATCH(F1975,'Paramètres'!$M$6:$M$17,0)),0)))</f>
        <v/>
      </c>
      <c r="AU1975" s="61">
        <f>IF(E1975="","",IFERROR(IF(INDEX('Paramètres'!$K$6:$K$33,MATCH(E1975,'Paramètres'!$I$6:$I$33,0))="Oui",1,0),0))</f>
        <v/>
      </c>
      <c r="AV1975" s="61">
        <f>IF(F1975="","",IFERROR(IF(INDEX('Paramètres'!$O$6:$O$17,MATCH(F1975,'Paramètres'!$M$6:$M$17,0))="Oui",1,0),0))</f>
        <v/>
      </c>
      <c r="AW1975" s="62">
        <f>IF(E1975="","",IF(G1975&lt;&gt;"",G1975,IF(OR(E1975="Proposition envoyée",E1975="Signature"),MAX(0,N(IFERROR(INDEX('Paramètres'!$R$6:$R$15,MATCH(IF(AL1975&lt;&gt;"",AL1975,IFERROR(INDEX('Prospects'!$AN$5:$AN$504,MATCH(C1975,'Prospects'!$C$5:$C$504,0)),"")),'Paramètres'!$Q$6:$Q$15,0)),0))-N(P1975)),0)))</f>
        <v/>
      </c>
      <c r="AX1975" s="61">
        <f>IF(C1975="","",IF(COUNTIF($C$5:C1975,C1975)=1,MAX($AX$4:AX1974)+1,""))</f>
        <v/>
      </c>
      <c r="AY1975" s="61">
        <f>IF(B1975="","",HOUR(B1975))</f>
        <v/>
      </c>
      <c r="AZ1975" s="61">
        <f>IF(A1975="","",MOD(A1975-2,7)+1)</f>
        <v/>
      </c>
      <c r="BA1975" s="60">
        <f>IF(C1975="","",IFERROR(INDEX('Prospects'!$N$5:$N$504,MATCH(C1975,'Prospects'!$C$5:$C$504,0)),""))</f>
        <v/>
      </c>
      <c r="BB1975" s="61">
        <f>IF(AND(C1975&lt;&gt;"",C1975='Fiche prospect'!$C$4),COUNTIF($C$5:C1975,C1975),"")</f>
        <v/>
      </c>
    </row>
    <row r="1976">
      <c r="A1976" s="53" t="n"/>
      <c r="B1976" s="54" t="n"/>
      <c r="C1976" s="55" t="n"/>
      <c r="D1976" s="55" t="n"/>
      <c r="E1976" s="55" t="n"/>
      <c r="F1976" s="55" t="n"/>
      <c r="G1976" s="56" t="n"/>
      <c r="H1976" s="57" t="n"/>
      <c r="I1976" s="55" t="n"/>
      <c r="J1976" s="53" t="n"/>
      <c r="K1976" s="54" t="n"/>
      <c r="L1976" s="55" t="n"/>
      <c r="M1976" s="55" t="n"/>
      <c r="N1976" s="57" t="n"/>
      <c r="O1976" s="55" t="n"/>
      <c r="P1976" s="56" t="n"/>
      <c r="Q1976" s="55" t="n"/>
      <c r="R1976" s="55" t="n"/>
      <c r="S1976" s="55" t="n"/>
      <c r="T1976" s="55" t="n"/>
      <c r="U1976" s="55" t="n"/>
      <c r="V1976" s="55" t="n"/>
      <c r="W1976" s="58" t="n"/>
      <c r="X1976" s="58" t="n"/>
      <c r="Y1976" s="55" t="n"/>
      <c r="Z1976" s="55" t="n"/>
      <c r="AA1976" s="55" t="n"/>
      <c r="AB1976" s="55" t="n"/>
      <c r="AC1976" s="55" t="n"/>
      <c r="AD1976" s="53" t="n"/>
      <c r="AE1976" s="55" t="n"/>
      <c r="AF1976" s="55" t="n"/>
      <c r="AG1976" s="59" t="n"/>
      <c r="AH1976" s="57" t="n"/>
      <c r="AI1976" s="55" t="n"/>
      <c r="AJ1976" s="55" t="n"/>
      <c r="AK1976" s="55" t="n"/>
      <c r="AL1976" s="55" t="n"/>
      <c r="AM1976" s="56" t="n"/>
      <c r="AN1976" s="55" t="n"/>
      <c r="AO1976" s="55" t="n"/>
      <c r="AP1976" s="55" t="n"/>
      <c r="AQ1976" s="55" t="n"/>
      <c r="AR1976" s="60">
        <f>IF(AND(C1976="",E1976=""),"",IF(A1976="","⚠ Date manquante",IF(AND(C1976="",E1976&lt;&gt;"Dépense"),"⚠ Prospect manquant",IF(E1976="","⚠ Action manquante",IF(AND(AU1976=1,D1976=""),"⚠ Canal manquant",IF(AND(W1976&lt;&gt;"",COUNTIFS('Saisie'!$W$5:$W$2004,W1976,'Saisie'!$C$5:$C$2004,"&lt;&gt;"&amp;C1976)&gt;0),"⚠ Numéro déjà utilisé par un autre prospect",IF(AND(J1976&lt;&gt;"",J1976&lt;A1976),"⚠ Relance avant la date de l'action",IF(A1976&gt;TODAY(),"⚠ Date dans le futur","✓"))))))))</f>
        <v/>
      </c>
      <c r="AS1976" s="61">
        <f>IF(AND(A1976="",C1976="",E1976=""),"",ROW())</f>
        <v/>
      </c>
      <c r="AT1976" s="61">
        <f>IF(E1976&amp;F1976="","",MAX(IFERROR(INDEX('Paramètres'!$J$6:$J$33,MATCH(E1976,'Paramètres'!$I$6:$I$33,0)),0),IFERROR(INDEX('Paramètres'!$N$6:$N$17,MATCH(F1976,'Paramètres'!$M$6:$M$17,0)),0)))</f>
        <v/>
      </c>
      <c r="AU1976" s="61">
        <f>IF(E1976="","",IFERROR(IF(INDEX('Paramètres'!$K$6:$K$33,MATCH(E1976,'Paramètres'!$I$6:$I$33,0))="Oui",1,0),0))</f>
        <v/>
      </c>
      <c r="AV1976" s="61">
        <f>IF(F1976="","",IFERROR(IF(INDEX('Paramètres'!$O$6:$O$17,MATCH(F1976,'Paramètres'!$M$6:$M$17,0))="Oui",1,0),0))</f>
        <v/>
      </c>
      <c r="AW1976" s="62">
        <f>IF(E1976="","",IF(G1976&lt;&gt;"",G1976,IF(OR(E1976="Proposition envoyée",E1976="Signature"),MAX(0,N(IFERROR(INDEX('Paramètres'!$R$6:$R$15,MATCH(IF(AL1976&lt;&gt;"",AL1976,IFERROR(INDEX('Prospects'!$AN$5:$AN$504,MATCH(C1976,'Prospects'!$C$5:$C$504,0)),"")),'Paramètres'!$Q$6:$Q$15,0)),0))-N(P1976)),0)))</f>
        <v/>
      </c>
      <c r="AX1976" s="61">
        <f>IF(C1976="","",IF(COUNTIF($C$5:C1976,C1976)=1,MAX($AX$4:AX1975)+1,""))</f>
        <v/>
      </c>
      <c r="AY1976" s="61">
        <f>IF(B1976="","",HOUR(B1976))</f>
        <v/>
      </c>
      <c r="AZ1976" s="61">
        <f>IF(A1976="","",MOD(A1976-2,7)+1)</f>
        <v/>
      </c>
      <c r="BA1976" s="60">
        <f>IF(C1976="","",IFERROR(INDEX('Prospects'!$N$5:$N$504,MATCH(C1976,'Prospects'!$C$5:$C$504,0)),""))</f>
        <v/>
      </c>
      <c r="BB1976" s="61">
        <f>IF(AND(C1976&lt;&gt;"",C1976='Fiche prospect'!$C$4),COUNTIF($C$5:C1976,C1976),"")</f>
        <v/>
      </c>
    </row>
    <row r="1977">
      <c r="A1977" s="53" t="n"/>
      <c r="B1977" s="54" t="n"/>
      <c r="C1977" s="55" t="n"/>
      <c r="D1977" s="55" t="n"/>
      <c r="E1977" s="55" t="n"/>
      <c r="F1977" s="55" t="n"/>
      <c r="G1977" s="56" t="n"/>
      <c r="H1977" s="57" t="n"/>
      <c r="I1977" s="55" t="n"/>
      <c r="J1977" s="53" t="n"/>
      <c r="K1977" s="54" t="n"/>
      <c r="L1977" s="55" t="n"/>
      <c r="M1977" s="55" t="n"/>
      <c r="N1977" s="57" t="n"/>
      <c r="O1977" s="55" t="n"/>
      <c r="P1977" s="56" t="n"/>
      <c r="Q1977" s="55" t="n"/>
      <c r="R1977" s="55" t="n"/>
      <c r="S1977" s="55" t="n"/>
      <c r="T1977" s="55" t="n"/>
      <c r="U1977" s="55" t="n"/>
      <c r="V1977" s="55" t="n"/>
      <c r="W1977" s="58" t="n"/>
      <c r="X1977" s="58" t="n"/>
      <c r="Y1977" s="55" t="n"/>
      <c r="Z1977" s="55" t="n"/>
      <c r="AA1977" s="55" t="n"/>
      <c r="AB1977" s="55" t="n"/>
      <c r="AC1977" s="55" t="n"/>
      <c r="AD1977" s="53" t="n"/>
      <c r="AE1977" s="55" t="n"/>
      <c r="AF1977" s="55" t="n"/>
      <c r="AG1977" s="59" t="n"/>
      <c r="AH1977" s="57" t="n"/>
      <c r="AI1977" s="55" t="n"/>
      <c r="AJ1977" s="55" t="n"/>
      <c r="AK1977" s="55" t="n"/>
      <c r="AL1977" s="55" t="n"/>
      <c r="AM1977" s="56" t="n"/>
      <c r="AN1977" s="55" t="n"/>
      <c r="AO1977" s="55" t="n"/>
      <c r="AP1977" s="55" t="n"/>
      <c r="AQ1977" s="55" t="n"/>
      <c r="AR1977" s="60">
        <f>IF(AND(C1977="",E1977=""),"",IF(A1977="","⚠ Date manquante",IF(AND(C1977="",E1977&lt;&gt;"Dépense"),"⚠ Prospect manquant",IF(E1977="","⚠ Action manquante",IF(AND(AU1977=1,D1977=""),"⚠ Canal manquant",IF(AND(W1977&lt;&gt;"",COUNTIFS('Saisie'!$W$5:$W$2004,W1977,'Saisie'!$C$5:$C$2004,"&lt;&gt;"&amp;C1977)&gt;0),"⚠ Numéro déjà utilisé par un autre prospect",IF(AND(J1977&lt;&gt;"",J1977&lt;A1977),"⚠ Relance avant la date de l'action",IF(A1977&gt;TODAY(),"⚠ Date dans le futur","✓"))))))))</f>
        <v/>
      </c>
      <c r="AS1977" s="61">
        <f>IF(AND(A1977="",C1977="",E1977=""),"",ROW())</f>
        <v/>
      </c>
      <c r="AT1977" s="61">
        <f>IF(E1977&amp;F1977="","",MAX(IFERROR(INDEX('Paramètres'!$J$6:$J$33,MATCH(E1977,'Paramètres'!$I$6:$I$33,0)),0),IFERROR(INDEX('Paramètres'!$N$6:$N$17,MATCH(F1977,'Paramètres'!$M$6:$M$17,0)),0)))</f>
        <v/>
      </c>
      <c r="AU1977" s="61">
        <f>IF(E1977="","",IFERROR(IF(INDEX('Paramètres'!$K$6:$K$33,MATCH(E1977,'Paramètres'!$I$6:$I$33,0))="Oui",1,0),0))</f>
        <v/>
      </c>
      <c r="AV1977" s="61">
        <f>IF(F1977="","",IFERROR(IF(INDEX('Paramètres'!$O$6:$O$17,MATCH(F1977,'Paramètres'!$M$6:$M$17,0))="Oui",1,0),0))</f>
        <v/>
      </c>
      <c r="AW1977" s="62">
        <f>IF(E1977="","",IF(G1977&lt;&gt;"",G1977,IF(OR(E1977="Proposition envoyée",E1977="Signature"),MAX(0,N(IFERROR(INDEX('Paramètres'!$R$6:$R$15,MATCH(IF(AL1977&lt;&gt;"",AL1977,IFERROR(INDEX('Prospects'!$AN$5:$AN$504,MATCH(C1977,'Prospects'!$C$5:$C$504,0)),"")),'Paramètres'!$Q$6:$Q$15,0)),0))-N(P1977)),0)))</f>
        <v/>
      </c>
      <c r="AX1977" s="61">
        <f>IF(C1977="","",IF(COUNTIF($C$5:C1977,C1977)=1,MAX($AX$4:AX1976)+1,""))</f>
        <v/>
      </c>
      <c r="AY1977" s="61">
        <f>IF(B1977="","",HOUR(B1977))</f>
        <v/>
      </c>
      <c r="AZ1977" s="61">
        <f>IF(A1977="","",MOD(A1977-2,7)+1)</f>
        <v/>
      </c>
      <c r="BA1977" s="60">
        <f>IF(C1977="","",IFERROR(INDEX('Prospects'!$N$5:$N$504,MATCH(C1977,'Prospects'!$C$5:$C$504,0)),""))</f>
        <v/>
      </c>
      <c r="BB1977" s="61">
        <f>IF(AND(C1977&lt;&gt;"",C1977='Fiche prospect'!$C$4),COUNTIF($C$5:C1977,C1977),"")</f>
        <v/>
      </c>
    </row>
    <row r="1978">
      <c r="A1978" s="53" t="n"/>
      <c r="B1978" s="54" t="n"/>
      <c r="C1978" s="55" t="n"/>
      <c r="D1978" s="55" t="n"/>
      <c r="E1978" s="55" t="n"/>
      <c r="F1978" s="55" t="n"/>
      <c r="G1978" s="56" t="n"/>
      <c r="H1978" s="57" t="n"/>
      <c r="I1978" s="55" t="n"/>
      <c r="J1978" s="53" t="n"/>
      <c r="K1978" s="54" t="n"/>
      <c r="L1978" s="55" t="n"/>
      <c r="M1978" s="55" t="n"/>
      <c r="N1978" s="57" t="n"/>
      <c r="O1978" s="55" t="n"/>
      <c r="P1978" s="56" t="n"/>
      <c r="Q1978" s="55" t="n"/>
      <c r="R1978" s="55" t="n"/>
      <c r="S1978" s="55" t="n"/>
      <c r="T1978" s="55" t="n"/>
      <c r="U1978" s="55" t="n"/>
      <c r="V1978" s="55" t="n"/>
      <c r="W1978" s="58" t="n"/>
      <c r="X1978" s="58" t="n"/>
      <c r="Y1978" s="55" t="n"/>
      <c r="Z1978" s="55" t="n"/>
      <c r="AA1978" s="55" t="n"/>
      <c r="AB1978" s="55" t="n"/>
      <c r="AC1978" s="55" t="n"/>
      <c r="AD1978" s="53" t="n"/>
      <c r="AE1978" s="55" t="n"/>
      <c r="AF1978" s="55" t="n"/>
      <c r="AG1978" s="59" t="n"/>
      <c r="AH1978" s="57" t="n"/>
      <c r="AI1978" s="55" t="n"/>
      <c r="AJ1978" s="55" t="n"/>
      <c r="AK1978" s="55" t="n"/>
      <c r="AL1978" s="55" t="n"/>
      <c r="AM1978" s="56" t="n"/>
      <c r="AN1978" s="55" t="n"/>
      <c r="AO1978" s="55" t="n"/>
      <c r="AP1978" s="55" t="n"/>
      <c r="AQ1978" s="55" t="n"/>
      <c r="AR1978" s="60">
        <f>IF(AND(C1978="",E1978=""),"",IF(A1978="","⚠ Date manquante",IF(AND(C1978="",E1978&lt;&gt;"Dépense"),"⚠ Prospect manquant",IF(E1978="","⚠ Action manquante",IF(AND(AU1978=1,D1978=""),"⚠ Canal manquant",IF(AND(W1978&lt;&gt;"",COUNTIFS('Saisie'!$W$5:$W$2004,W1978,'Saisie'!$C$5:$C$2004,"&lt;&gt;"&amp;C1978)&gt;0),"⚠ Numéro déjà utilisé par un autre prospect",IF(AND(J1978&lt;&gt;"",J1978&lt;A1978),"⚠ Relance avant la date de l'action",IF(A1978&gt;TODAY(),"⚠ Date dans le futur","✓"))))))))</f>
        <v/>
      </c>
      <c r="AS1978" s="61">
        <f>IF(AND(A1978="",C1978="",E1978=""),"",ROW())</f>
        <v/>
      </c>
      <c r="AT1978" s="61">
        <f>IF(E1978&amp;F1978="","",MAX(IFERROR(INDEX('Paramètres'!$J$6:$J$33,MATCH(E1978,'Paramètres'!$I$6:$I$33,0)),0),IFERROR(INDEX('Paramètres'!$N$6:$N$17,MATCH(F1978,'Paramètres'!$M$6:$M$17,0)),0)))</f>
        <v/>
      </c>
      <c r="AU1978" s="61">
        <f>IF(E1978="","",IFERROR(IF(INDEX('Paramètres'!$K$6:$K$33,MATCH(E1978,'Paramètres'!$I$6:$I$33,0))="Oui",1,0),0))</f>
        <v/>
      </c>
      <c r="AV1978" s="61">
        <f>IF(F1978="","",IFERROR(IF(INDEX('Paramètres'!$O$6:$O$17,MATCH(F1978,'Paramètres'!$M$6:$M$17,0))="Oui",1,0),0))</f>
        <v/>
      </c>
      <c r="AW1978" s="62">
        <f>IF(E1978="","",IF(G1978&lt;&gt;"",G1978,IF(OR(E1978="Proposition envoyée",E1978="Signature"),MAX(0,N(IFERROR(INDEX('Paramètres'!$R$6:$R$15,MATCH(IF(AL1978&lt;&gt;"",AL1978,IFERROR(INDEX('Prospects'!$AN$5:$AN$504,MATCH(C1978,'Prospects'!$C$5:$C$504,0)),"")),'Paramètres'!$Q$6:$Q$15,0)),0))-N(P1978)),0)))</f>
        <v/>
      </c>
      <c r="AX1978" s="61">
        <f>IF(C1978="","",IF(COUNTIF($C$5:C1978,C1978)=1,MAX($AX$4:AX1977)+1,""))</f>
        <v/>
      </c>
      <c r="AY1978" s="61">
        <f>IF(B1978="","",HOUR(B1978))</f>
        <v/>
      </c>
      <c r="AZ1978" s="61">
        <f>IF(A1978="","",MOD(A1978-2,7)+1)</f>
        <v/>
      </c>
      <c r="BA1978" s="60">
        <f>IF(C1978="","",IFERROR(INDEX('Prospects'!$N$5:$N$504,MATCH(C1978,'Prospects'!$C$5:$C$504,0)),""))</f>
        <v/>
      </c>
      <c r="BB1978" s="61">
        <f>IF(AND(C1978&lt;&gt;"",C1978='Fiche prospect'!$C$4),COUNTIF($C$5:C1978,C1978),"")</f>
        <v/>
      </c>
    </row>
    <row r="1979">
      <c r="A1979" s="53" t="n"/>
      <c r="B1979" s="54" t="n"/>
      <c r="C1979" s="55" t="n"/>
      <c r="D1979" s="55" t="n"/>
      <c r="E1979" s="55" t="n"/>
      <c r="F1979" s="55" t="n"/>
      <c r="G1979" s="56" t="n"/>
      <c r="H1979" s="57" t="n"/>
      <c r="I1979" s="55" t="n"/>
      <c r="J1979" s="53" t="n"/>
      <c r="K1979" s="54" t="n"/>
      <c r="L1979" s="55" t="n"/>
      <c r="M1979" s="55" t="n"/>
      <c r="N1979" s="57" t="n"/>
      <c r="O1979" s="55" t="n"/>
      <c r="P1979" s="56" t="n"/>
      <c r="Q1979" s="55" t="n"/>
      <c r="R1979" s="55" t="n"/>
      <c r="S1979" s="55" t="n"/>
      <c r="T1979" s="55" t="n"/>
      <c r="U1979" s="55" t="n"/>
      <c r="V1979" s="55" t="n"/>
      <c r="W1979" s="58" t="n"/>
      <c r="X1979" s="58" t="n"/>
      <c r="Y1979" s="55" t="n"/>
      <c r="Z1979" s="55" t="n"/>
      <c r="AA1979" s="55" t="n"/>
      <c r="AB1979" s="55" t="n"/>
      <c r="AC1979" s="55" t="n"/>
      <c r="AD1979" s="53" t="n"/>
      <c r="AE1979" s="55" t="n"/>
      <c r="AF1979" s="55" t="n"/>
      <c r="AG1979" s="59" t="n"/>
      <c r="AH1979" s="57" t="n"/>
      <c r="AI1979" s="55" t="n"/>
      <c r="AJ1979" s="55" t="n"/>
      <c r="AK1979" s="55" t="n"/>
      <c r="AL1979" s="55" t="n"/>
      <c r="AM1979" s="56" t="n"/>
      <c r="AN1979" s="55" t="n"/>
      <c r="AO1979" s="55" t="n"/>
      <c r="AP1979" s="55" t="n"/>
      <c r="AQ1979" s="55" t="n"/>
      <c r="AR1979" s="60">
        <f>IF(AND(C1979="",E1979=""),"",IF(A1979="","⚠ Date manquante",IF(AND(C1979="",E1979&lt;&gt;"Dépense"),"⚠ Prospect manquant",IF(E1979="","⚠ Action manquante",IF(AND(AU1979=1,D1979=""),"⚠ Canal manquant",IF(AND(W1979&lt;&gt;"",COUNTIFS('Saisie'!$W$5:$W$2004,W1979,'Saisie'!$C$5:$C$2004,"&lt;&gt;"&amp;C1979)&gt;0),"⚠ Numéro déjà utilisé par un autre prospect",IF(AND(J1979&lt;&gt;"",J1979&lt;A1979),"⚠ Relance avant la date de l'action",IF(A1979&gt;TODAY(),"⚠ Date dans le futur","✓"))))))))</f>
        <v/>
      </c>
      <c r="AS1979" s="61">
        <f>IF(AND(A1979="",C1979="",E1979=""),"",ROW())</f>
        <v/>
      </c>
      <c r="AT1979" s="61">
        <f>IF(E1979&amp;F1979="","",MAX(IFERROR(INDEX('Paramètres'!$J$6:$J$33,MATCH(E1979,'Paramètres'!$I$6:$I$33,0)),0),IFERROR(INDEX('Paramètres'!$N$6:$N$17,MATCH(F1979,'Paramètres'!$M$6:$M$17,0)),0)))</f>
        <v/>
      </c>
      <c r="AU1979" s="61">
        <f>IF(E1979="","",IFERROR(IF(INDEX('Paramètres'!$K$6:$K$33,MATCH(E1979,'Paramètres'!$I$6:$I$33,0))="Oui",1,0),0))</f>
        <v/>
      </c>
      <c r="AV1979" s="61">
        <f>IF(F1979="","",IFERROR(IF(INDEX('Paramètres'!$O$6:$O$17,MATCH(F1979,'Paramètres'!$M$6:$M$17,0))="Oui",1,0),0))</f>
        <v/>
      </c>
      <c r="AW1979" s="62">
        <f>IF(E1979="","",IF(G1979&lt;&gt;"",G1979,IF(OR(E1979="Proposition envoyée",E1979="Signature"),MAX(0,N(IFERROR(INDEX('Paramètres'!$R$6:$R$15,MATCH(IF(AL1979&lt;&gt;"",AL1979,IFERROR(INDEX('Prospects'!$AN$5:$AN$504,MATCH(C1979,'Prospects'!$C$5:$C$504,0)),"")),'Paramètres'!$Q$6:$Q$15,0)),0))-N(P1979)),0)))</f>
        <v/>
      </c>
      <c r="AX1979" s="61">
        <f>IF(C1979="","",IF(COUNTIF($C$5:C1979,C1979)=1,MAX($AX$4:AX1978)+1,""))</f>
        <v/>
      </c>
      <c r="AY1979" s="61">
        <f>IF(B1979="","",HOUR(B1979))</f>
        <v/>
      </c>
      <c r="AZ1979" s="61">
        <f>IF(A1979="","",MOD(A1979-2,7)+1)</f>
        <v/>
      </c>
      <c r="BA1979" s="60">
        <f>IF(C1979="","",IFERROR(INDEX('Prospects'!$N$5:$N$504,MATCH(C1979,'Prospects'!$C$5:$C$504,0)),""))</f>
        <v/>
      </c>
      <c r="BB1979" s="61">
        <f>IF(AND(C1979&lt;&gt;"",C1979='Fiche prospect'!$C$4),COUNTIF($C$5:C1979,C1979),"")</f>
        <v/>
      </c>
    </row>
    <row r="1980">
      <c r="A1980" s="53" t="n"/>
      <c r="B1980" s="54" t="n"/>
      <c r="C1980" s="55" t="n"/>
      <c r="D1980" s="55" t="n"/>
      <c r="E1980" s="55" t="n"/>
      <c r="F1980" s="55" t="n"/>
      <c r="G1980" s="56" t="n"/>
      <c r="H1980" s="57" t="n"/>
      <c r="I1980" s="55" t="n"/>
      <c r="J1980" s="53" t="n"/>
      <c r="K1980" s="54" t="n"/>
      <c r="L1980" s="55" t="n"/>
      <c r="M1980" s="55" t="n"/>
      <c r="N1980" s="57" t="n"/>
      <c r="O1980" s="55" t="n"/>
      <c r="P1980" s="56" t="n"/>
      <c r="Q1980" s="55" t="n"/>
      <c r="R1980" s="55" t="n"/>
      <c r="S1980" s="55" t="n"/>
      <c r="T1980" s="55" t="n"/>
      <c r="U1980" s="55" t="n"/>
      <c r="V1980" s="55" t="n"/>
      <c r="W1980" s="58" t="n"/>
      <c r="X1980" s="58" t="n"/>
      <c r="Y1980" s="55" t="n"/>
      <c r="Z1980" s="55" t="n"/>
      <c r="AA1980" s="55" t="n"/>
      <c r="AB1980" s="55" t="n"/>
      <c r="AC1980" s="55" t="n"/>
      <c r="AD1980" s="53" t="n"/>
      <c r="AE1980" s="55" t="n"/>
      <c r="AF1980" s="55" t="n"/>
      <c r="AG1980" s="59" t="n"/>
      <c r="AH1980" s="57" t="n"/>
      <c r="AI1980" s="55" t="n"/>
      <c r="AJ1980" s="55" t="n"/>
      <c r="AK1980" s="55" t="n"/>
      <c r="AL1980" s="55" t="n"/>
      <c r="AM1980" s="56" t="n"/>
      <c r="AN1980" s="55" t="n"/>
      <c r="AO1980" s="55" t="n"/>
      <c r="AP1980" s="55" t="n"/>
      <c r="AQ1980" s="55" t="n"/>
      <c r="AR1980" s="60">
        <f>IF(AND(C1980="",E1980=""),"",IF(A1980="","⚠ Date manquante",IF(AND(C1980="",E1980&lt;&gt;"Dépense"),"⚠ Prospect manquant",IF(E1980="","⚠ Action manquante",IF(AND(AU1980=1,D1980=""),"⚠ Canal manquant",IF(AND(W1980&lt;&gt;"",COUNTIFS('Saisie'!$W$5:$W$2004,W1980,'Saisie'!$C$5:$C$2004,"&lt;&gt;"&amp;C1980)&gt;0),"⚠ Numéro déjà utilisé par un autre prospect",IF(AND(J1980&lt;&gt;"",J1980&lt;A1980),"⚠ Relance avant la date de l'action",IF(A1980&gt;TODAY(),"⚠ Date dans le futur","✓"))))))))</f>
        <v/>
      </c>
      <c r="AS1980" s="61">
        <f>IF(AND(A1980="",C1980="",E1980=""),"",ROW())</f>
        <v/>
      </c>
      <c r="AT1980" s="61">
        <f>IF(E1980&amp;F1980="","",MAX(IFERROR(INDEX('Paramètres'!$J$6:$J$33,MATCH(E1980,'Paramètres'!$I$6:$I$33,0)),0),IFERROR(INDEX('Paramètres'!$N$6:$N$17,MATCH(F1980,'Paramètres'!$M$6:$M$17,0)),0)))</f>
        <v/>
      </c>
      <c r="AU1980" s="61">
        <f>IF(E1980="","",IFERROR(IF(INDEX('Paramètres'!$K$6:$K$33,MATCH(E1980,'Paramètres'!$I$6:$I$33,0))="Oui",1,0),0))</f>
        <v/>
      </c>
      <c r="AV1980" s="61">
        <f>IF(F1980="","",IFERROR(IF(INDEX('Paramètres'!$O$6:$O$17,MATCH(F1980,'Paramètres'!$M$6:$M$17,0))="Oui",1,0),0))</f>
        <v/>
      </c>
      <c r="AW1980" s="62">
        <f>IF(E1980="","",IF(G1980&lt;&gt;"",G1980,IF(OR(E1980="Proposition envoyée",E1980="Signature"),MAX(0,N(IFERROR(INDEX('Paramètres'!$R$6:$R$15,MATCH(IF(AL1980&lt;&gt;"",AL1980,IFERROR(INDEX('Prospects'!$AN$5:$AN$504,MATCH(C1980,'Prospects'!$C$5:$C$504,0)),"")),'Paramètres'!$Q$6:$Q$15,0)),0))-N(P1980)),0)))</f>
        <v/>
      </c>
      <c r="AX1980" s="61">
        <f>IF(C1980="","",IF(COUNTIF($C$5:C1980,C1980)=1,MAX($AX$4:AX1979)+1,""))</f>
        <v/>
      </c>
      <c r="AY1980" s="61">
        <f>IF(B1980="","",HOUR(B1980))</f>
        <v/>
      </c>
      <c r="AZ1980" s="61">
        <f>IF(A1980="","",MOD(A1980-2,7)+1)</f>
        <v/>
      </c>
      <c r="BA1980" s="60">
        <f>IF(C1980="","",IFERROR(INDEX('Prospects'!$N$5:$N$504,MATCH(C1980,'Prospects'!$C$5:$C$504,0)),""))</f>
        <v/>
      </c>
      <c r="BB1980" s="61">
        <f>IF(AND(C1980&lt;&gt;"",C1980='Fiche prospect'!$C$4),COUNTIF($C$5:C1980,C1980),"")</f>
        <v/>
      </c>
    </row>
    <row r="1981">
      <c r="A1981" s="53" t="n"/>
      <c r="B1981" s="54" t="n"/>
      <c r="C1981" s="55" t="n"/>
      <c r="D1981" s="55" t="n"/>
      <c r="E1981" s="55" t="n"/>
      <c r="F1981" s="55" t="n"/>
      <c r="G1981" s="56" t="n"/>
      <c r="H1981" s="57" t="n"/>
      <c r="I1981" s="55" t="n"/>
      <c r="J1981" s="53" t="n"/>
      <c r="K1981" s="54" t="n"/>
      <c r="L1981" s="55" t="n"/>
      <c r="M1981" s="55" t="n"/>
      <c r="N1981" s="57" t="n"/>
      <c r="O1981" s="55" t="n"/>
      <c r="P1981" s="56" t="n"/>
      <c r="Q1981" s="55" t="n"/>
      <c r="R1981" s="55" t="n"/>
      <c r="S1981" s="55" t="n"/>
      <c r="T1981" s="55" t="n"/>
      <c r="U1981" s="55" t="n"/>
      <c r="V1981" s="55" t="n"/>
      <c r="W1981" s="58" t="n"/>
      <c r="X1981" s="58" t="n"/>
      <c r="Y1981" s="55" t="n"/>
      <c r="Z1981" s="55" t="n"/>
      <c r="AA1981" s="55" t="n"/>
      <c r="AB1981" s="55" t="n"/>
      <c r="AC1981" s="55" t="n"/>
      <c r="AD1981" s="53" t="n"/>
      <c r="AE1981" s="55" t="n"/>
      <c r="AF1981" s="55" t="n"/>
      <c r="AG1981" s="59" t="n"/>
      <c r="AH1981" s="57" t="n"/>
      <c r="AI1981" s="55" t="n"/>
      <c r="AJ1981" s="55" t="n"/>
      <c r="AK1981" s="55" t="n"/>
      <c r="AL1981" s="55" t="n"/>
      <c r="AM1981" s="56" t="n"/>
      <c r="AN1981" s="55" t="n"/>
      <c r="AO1981" s="55" t="n"/>
      <c r="AP1981" s="55" t="n"/>
      <c r="AQ1981" s="55" t="n"/>
      <c r="AR1981" s="60">
        <f>IF(AND(C1981="",E1981=""),"",IF(A1981="","⚠ Date manquante",IF(AND(C1981="",E1981&lt;&gt;"Dépense"),"⚠ Prospect manquant",IF(E1981="","⚠ Action manquante",IF(AND(AU1981=1,D1981=""),"⚠ Canal manquant",IF(AND(W1981&lt;&gt;"",COUNTIFS('Saisie'!$W$5:$W$2004,W1981,'Saisie'!$C$5:$C$2004,"&lt;&gt;"&amp;C1981)&gt;0),"⚠ Numéro déjà utilisé par un autre prospect",IF(AND(J1981&lt;&gt;"",J1981&lt;A1981),"⚠ Relance avant la date de l'action",IF(A1981&gt;TODAY(),"⚠ Date dans le futur","✓"))))))))</f>
        <v/>
      </c>
      <c r="AS1981" s="61">
        <f>IF(AND(A1981="",C1981="",E1981=""),"",ROW())</f>
        <v/>
      </c>
      <c r="AT1981" s="61">
        <f>IF(E1981&amp;F1981="","",MAX(IFERROR(INDEX('Paramètres'!$J$6:$J$33,MATCH(E1981,'Paramètres'!$I$6:$I$33,0)),0),IFERROR(INDEX('Paramètres'!$N$6:$N$17,MATCH(F1981,'Paramètres'!$M$6:$M$17,0)),0)))</f>
        <v/>
      </c>
      <c r="AU1981" s="61">
        <f>IF(E1981="","",IFERROR(IF(INDEX('Paramètres'!$K$6:$K$33,MATCH(E1981,'Paramètres'!$I$6:$I$33,0))="Oui",1,0),0))</f>
        <v/>
      </c>
      <c r="AV1981" s="61">
        <f>IF(F1981="","",IFERROR(IF(INDEX('Paramètres'!$O$6:$O$17,MATCH(F1981,'Paramètres'!$M$6:$M$17,0))="Oui",1,0),0))</f>
        <v/>
      </c>
      <c r="AW1981" s="62">
        <f>IF(E1981="","",IF(G1981&lt;&gt;"",G1981,IF(OR(E1981="Proposition envoyée",E1981="Signature"),MAX(0,N(IFERROR(INDEX('Paramètres'!$R$6:$R$15,MATCH(IF(AL1981&lt;&gt;"",AL1981,IFERROR(INDEX('Prospects'!$AN$5:$AN$504,MATCH(C1981,'Prospects'!$C$5:$C$504,0)),"")),'Paramètres'!$Q$6:$Q$15,0)),0))-N(P1981)),0)))</f>
        <v/>
      </c>
      <c r="AX1981" s="61">
        <f>IF(C1981="","",IF(COUNTIF($C$5:C1981,C1981)=1,MAX($AX$4:AX1980)+1,""))</f>
        <v/>
      </c>
      <c r="AY1981" s="61">
        <f>IF(B1981="","",HOUR(B1981))</f>
        <v/>
      </c>
      <c r="AZ1981" s="61">
        <f>IF(A1981="","",MOD(A1981-2,7)+1)</f>
        <v/>
      </c>
      <c r="BA1981" s="60">
        <f>IF(C1981="","",IFERROR(INDEX('Prospects'!$N$5:$N$504,MATCH(C1981,'Prospects'!$C$5:$C$504,0)),""))</f>
        <v/>
      </c>
      <c r="BB1981" s="61">
        <f>IF(AND(C1981&lt;&gt;"",C1981='Fiche prospect'!$C$4),COUNTIF($C$5:C1981,C1981),"")</f>
        <v/>
      </c>
    </row>
    <row r="1982">
      <c r="A1982" s="53" t="n"/>
      <c r="B1982" s="54" t="n"/>
      <c r="C1982" s="55" t="n"/>
      <c r="D1982" s="55" t="n"/>
      <c r="E1982" s="55" t="n"/>
      <c r="F1982" s="55" t="n"/>
      <c r="G1982" s="56" t="n"/>
      <c r="H1982" s="57" t="n"/>
      <c r="I1982" s="55" t="n"/>
      <c r="J1982" s="53" t="n"/>
      <c r="K1982" s="54" t="n"/>
      <c r="L1982" s="55" t="n"/>
      <c r="M1982" s="55" t="n"/>
      <c r="N1982" s="57" t="n"/>
      <c r="O1982" s="55" t="n"/>
      <c r="P1982" s="56" t="n"/>
      <c r="Q1982" s="55" t="n"/>
      <c r="R1982" s="55" t="n"/>
      <c r="S1982" s="55" t="n"/>
      <c r="T1982" s="55" t="n"/>
      <c r="U1982" s="55" t="n"/>
      <c r="V1982" s="55" t="n"/>
      <c r="W1982" s="58" t="n"/>
      <c r="X1982" s="58" t="n"/>
      <c r="Y1982" s="55" t="n"/>
      <c r="Z1982" s="55" t="n"/>
      <c r="AA1982" s="55" t="n"/>
      <c r="AB1982" s="55" t="n"/>
      <c r="AC1982" s="55" t="n"/>
      <c r="AD1982" s="53" t="n"/>
      <c r="AE1982" s="55" t="n"/>
      <c r="AF1982" s="55" t="n"/>
      <c r="AG1982" s="59" t="n"/>
      <c r="AH1982" s="57" t="n"/>
      <c r="AI1982" s="55" t="n"/>
      <c r="AJ1982" s="55" t="n"/>
      <c r="AK1982" s="55" t="n"/>
      <c r="AL1982" s="55" t="n"/>
      <c r="AM1982" s="56" t="n"/>
      <c r="AN1982" s="55" t="n"/>
      <c r="AO1982" s="55" t="n"/>
      <c r="AP1982" s="55" t="n"/>
      <c r="AQ1982" s="55" t="n"/>
      <c r="AR1982" s="60">
        <f>IF(AND(C1982="",E1982=""),"",IF(A1982="","⚠ Date manquante",IF(AND(C1982="",E1982&lt;&gt;"Dépense"),"⚠ Prospect manquant",IF(E1982="","⚠ Action manquante",IF(AND(AU1982=1,D1982=""),"⚠ Canal manquant",IF(AND(W1982&lt;&gt;"",COUNTIFS('Saisie'!$W$5:$W$2004,W1982,'Saisie'!$C$5:$C$2004,"&lt;&gt;"&amp;C1982)&gt;0),"⚠ Numéro déjà utilisé par un autre prospect",IF(AND(J1982&lt;&gt;"",J1982&lt;A1982),"⚠ Relance avant la date de l'action",IF(A1982&gt;TODAY(),"⚠ Date dans le futur","✓"))))))))</f>
        <v/>
      </c>
      <c r="AS1982" s="61">
        <f>IF(AND(A1982="",C1982="",E1982=""),"",ROW())</f>
        <v/>
      </c>
      <c r="AT1982" s="61">
        <f>IF(E1982&amp;F1982="","",MAX(IFERROR(INDEX('Paramètres'!$J$6:$J$33,MATCH(E1982,'Paramètres'!$I$6:$I$33,0)),0),IFERROR(INDEX('Paramètres'!$N$6:$N$17,MATCH(F1982,'Paramètres'!$M$6:$M$17,0)),0)))</f>
        <v/>
      </c>
      <c r="AU1982" s="61">
        <f>IF(E1982="","",IFERROR(IF(INDEX('Paramètres'!$K$6:$K$33,MATCH(E1982,'Paramètres'!$I$6:$I$33,0))="Oui",1,0),0))</f>
        <v/>
      </c>
      <c r="AV1982" s="61">
        <f>IF(F1982="","",IFERROR(IF(INDEX('Paramètres'!$O$6:$O$17,MATCH(F1982,'Paramètres'!$M$6:$M$17,0))="Oui",1,0),0))</f>
        <v/>
      </c>
      <c r="AW1982" s="62">
        <f>IF(E1982="","",IF(G1982&lt;&gt;"",G1982,IF(OR(E1982="Proposition envoyée",E1982="Signature"),MAX(0,N(IFERROR(INDEX('Paramètres'!$R$6:$R$15,MATCH(IF(AL1982&lt;&gt;"",AL1982,IFERROR(INDEX('Prospects'!$AN$5:$AN$504,MATCH(C1982,'Prospects'!$C$5:$C$504,0)),"")),'Paramètres'!$Q$6:$Q$15,0)),0))-N(P1982)),0)))</f>
        <v/>
      </c>
      <c r="AX1982" s="61">
        <f>IF(C1982="","",IF(COUNTIF($C$5:C1982,C1982)=1,MAX($AX$4:AX1981)+1,""))</f>
        <v/>
      </c>
      <c r="AY1982" s="61">
        <f>IF(B1982="","",HOUR(B1982))</f>
        <v/>
      </c>
      <c r="AZ1982" s="61">
        <f>IF(A1982="","",MOD(A1982-2,7)+1)</f>
        <v/>
      </c>
      <c r="BA1982" s="60">
        <f>IF(C1982="","",IFERROR(INDEX('Prospects'!$N$5:$N$504,MATCH(C1982,'Prospects'!$C$5:$C$504,0)),""))</f>
        <v/>
      </c>
      <c r="BB1982" s="61">
        <f>IF(AND(C1982&lt;&gt;"",C1982='Fiche prospect'!$C$4),COUNTIF($C$5:C1982,C1982),"")</f>
        <v/>
      </c>
    </row>
    <row r="1983">
      <c r="A1983" s="53" t="n"/>
      <c r="B1983" s="54" t="n"/>
      <c r="C1983" s="55" t="n"/>
      <c r="D1983" s="55" t="n"/>
      <c r="E1983" s="55" t="n"/>
      <c r="F1983" s="55" t="n"/>
      <c r="G1983" s="56" t="n"/>
      <c r="H1983" s="57" t="n"/>
      <c r="I1983" s="55" t="n"/>
      <c r="J1983" s="53" t="n"/>
      <c r="K1983" s="54" t="n"/>
      <c r="L1983" s="55" t="n"/>
      <c r="M1983" s="55" t="n"/>
      <c r="N1983" s="57" t="n"/>
      <c r="O1983" s="55" t="n"/>
      <c r="P1983" s="56" t="n"/>
      <c r="Q1983" s="55" t="n"/>
      <c r="R1983" s="55" t="n"/>
      <c r="S1983" s="55" t="n"/>
      <c r="T1983" s="55" t="n"/>
      <c r="U1983" s="55" t="n"/>
      <c r="V1983" s="55" t="n"/>
      <c r="W1983" s="58" t="n"/>
      <c r="X1983" s="58" t="n"/>
      <c r="Y1983" s="55" t="n"/>
      <c r="Z1983" s="55" t="n"/>
      <c r="AA1983" s="55" t="n"/>
      <c r="AB1983" s="55" t="n"/>
      <c r="AC1983" s="55" t="n"/>
      <c r="AD1983" s="53" t="n"/>
      <c r="AE1983" s="55" t="n"/>
      <c r="AF1983" s="55" t="n"/>
      <c r="AG1983" s="59" t="n"/>
      <c r="AH1983" s="57" t="n"/>
      <c r="AI1983" s="55" t="n"/>
      <c r="AJ1983" s="55" t="n"/>
      <c r="AK1983" s="55" t="n"/>
      <c r="AL1983" s="55" t="n"/>
      <c r="AM1983" s="56" t="n"/>
      <c r="AN1983" s="55" t="n"/>
      <c r="AO1983" s="55" t="n"/>
      <c r="AP1983" s="55" t="n"/>
      <c r="AQ1983" s="55" t="n"/>
      <c r="AR1983" s="60">
        <f>IF(AND(C1983="",E1983=""),"",IF(A1983="","⚠ Date manquante",IF(AND(C1983="",E1983&lt;&gt;"Dépense"),"⚠ Prospect manquant",IF(E1983="","⚠ Action manquante",IF(AND(AU1983=1,D1983=""),"⚠ Canal manquant",IF(AND(W1983&lt;&gt;"",COUNTIFS('Saisie'!$W$5:$W$2004,W1983,'Saisie'!$C$5:$C$2004,"&lt;&gt;"&amp;C1983)&gt;0),"⚠ Numéro déjà utilisé par un autre prospect",IF(AND(J1983&lt;&gt;"",J1983&lt;A1983),"⚠ Relance avant la date de l'action",IF(A1983&gt;TODAY(),"⚠ Date dans le futur","✓"))))))))</f>
        <v/>
      </c>
      <c r="AS1983" s="61">
        <f>IF(AND(A1983="",C1983="",E1983=""),"",ROW())</f>
        <v/>
      </c>
      <c r="AT1983" s="61">
        <f>IF(E1983&amp;F1983="","",MAX(IFERROR(INDEX('Paramètres'!$J$6:$J$33,MATCH(E1983,'Paramètres'!$I$6:$I$33,0)),0),IFERROR(INDEX('Paramètres'!$N$6:$N$17,MATCH(F1983,'Paramètres'!$M$6:$M$17,0)),0)))</f>
        <v/>
      </c>
      <c r="AU1983" s="61">
        <f>IF(E1983="","",IFERROR(IF(INDEX('Paramètres'!$K$6:$K$33,MATCH(E1983,'Paramètres'!$I$6:$I$33,0))="Oui",1,0),0))</f>
        <v/>
      </c>
      <c r="AV1983" s="61">
        <f>IF(F1983="","",IFERROR(IF(INDEX('Paramètres'!$O$6:$O$17,MATCH(F1983,'Paramètres'!$M$6:$M$17,0))="Oui",1,0),0))</f>
        <v/>
      </c>
      <c r="AW1983" s="62">
        <f>IF(E1983="","",IF(G1983&lt;&gt;"",G1983,IF(OR(E1983="Proposition envoyée",E1983="Signature"),MAX(0,N(IFERROR(INDEX('Paramètres'!$R$6:$R$15,MATCH(IF(AL1983&lt;&gt;"",AL1983,IFERROR(INDEX('Prospects'!$AN$5:$AN$504,MATCH(C1983,'Prospects'!$C$5:$C$504,0)),"")),'Paramètres'!$Q$6:$Q$15,0)),0))-N(P1983)),0)))</f>
        <v/>
      </c>
      <c r="AX1983" s="61">
        <f>IF(C1983="","",IF(COUNTIF($C$5:C1983,C1983)=1,MAX($AX$4:AX1982)+1,""))</f>
        <v/>
      </c>
      <c r="AY1983" s="61">
        <f>IF(B1983="","",HOUR(B1983))</f>
        <v/>
      </c>
      <c r="AZ1983" s="61">
        <f>IF(A1983="","",MOD(A1983-2,7)+1)</f>
        <v/>
      </c>
      <c r="BA1983" s="60">
        <f>IF(C1983="","",IFERROR(INDEX('Prospects'!$N$5:$N$504,MATCH(C1983,'Prospects'!$C$5:$C$504,0)),""))</f>
        <v/>
      </c>
      <c r="BB1983" s="61">
        <f>IF(AND(C1983&lt;&gt;"",C1983='Fiche prospect'!$C$4),COUNTIF($C$5:C1983,C1983),"")</f>
        <v/>
      </c>
    </row>
    <row r="1984">
      <c r="A1984" s="53" t="n"/>
      <c r="B1984" s="54" t="n"/>
      <c r="C1984" s="55" t="n"/>
      <c r="D1984" s="55" t="n"/>
      <c r="E1984" s="55" t="n"/>
      <c r="F1984" s="55" t="n"/>
      <c r="G1984" s="56" t="n"/>
      <c r="H1984" s="57" t="n"/>
      <c r="I1984" s="55" t="n"/>
      <c r="J1984" s="53" t="n"/>
      <c r="K1984" s="54" t="n"/>
      <c r="L1984" s="55" t="n"/>
      <c r="M1984" s="55" t="n"/>
      <c r="N1984" s="57" t="n"/>
      <c r="O1984" s="55" t="n"/>
      <c r="P1984" s="56" t="n"/>
      <c r="Q1984" s="55" t="n"/>
      <c r="R1984" s="55" t="n"/>
      <c r="S1984" s="55" t="n"/>
      <c r="T1984" s="55" t="n"/>
      <c r="U1984" s="55" t="n"/>
      <c r="V1984" s="55" t="n"/>
      <c r="W1984" s="58" t="n"/>
      <c r="X1984" s="58" t="n"/>
      <c r="Y1984" s="55" t="n"/>
      <c r="Z1984" s="55" t="n"/>
      <c r="AA1984" s="55" t="n"/>
      <c r="AB1984" s="55" t="n"/>
      <c r="AC1984" s="55" t="n"/>
      <c r="AD1984" s="53" t="n"/>
      <c r="AE1984" s="55" t="n"/>
      <c r="AF1984" s="55" t="n"/>
      <c r="AG1984" s="59" t="n"/>
      <c r="AH1984" s="57" t="n"/>
      <c r="AI1984" s="55" t="n"/>
      <c r="AJ1984" s="55" t="n"/>
      <c r="AK1984" s="55" t="n"/>
      <c r="AL1984" s="55" t="n"/>
      <c r="AM1984" s="56" t="n"/>
      <c r="AN1984" s="55" t="n"/>
      <c r="AO1984" s="55" t="n"/>
      <c r="AP1984" s="55" t="n"/>
      <c r="AQ1984" s="55" t="n"/>
      <c r="AR1984" s="60">
        <f>IF(AND(C1984="",E1984=""),"",IF(A1984="","⚠ Date manquante",IF(AND(C1984="",E1984&lt;&gt;"Dépense"),"⚠ Prospect manquant",IF(E1984="","⚠ Action manquante",IF(AND(AU1984=1,D1984=""),"⚠ Canal manquant",IF(AND(W1984&lt;&gt;"",COUNTIFS('Saisie'!$W$5:$W$2004,W1984,'Saisie'!$C$5:$C$2004,"&lt;&gt;"&amp;C1984)&gt;0),"⚠ Numéro déjà utilisé par un autre prospect",IF(AND(J1984&lt;&gt;"",J1984&lt;A1984),"⚠ Relance avant la date de l'action",IF(A1984&gt;TODAY(),"⚠ Date dans le futur","✓"))))))))</f>
        <v/>
      </c>
      <c r="AS1984" s="61">
        <f>IF(AND(A1984="",C1984="",E1984=""),"",ROW())</f>
        <v/>
      </c>
      <c r="AT1984" s="61">
        <f>IF(E1984&amp;F1984="","",MAX(IFERROR(INDEX('Paramètres'!$J$6:$J$33,MATCH(E1984,'Paramètres'!$I$6:$I$33,0)),0),IFERROR(INDEX('Paramètres'!$N$6:$N$17,MATCH(F1984,'Paramètres'!$M$6:$M$17,0)),0)))</f>
        <v/>
      </c>
      <c r="AU1984" s="61">
        <f>IF(E1984="","",IFERROR(IF(INDEX('Paramètres'!$K$6:$K$33,MATCH(E1984,'Paramètres'!$I$6:$I$33,0))="Oui",1,0),0))</f>
        <v/>
      </c>
      <c r="AV1984" s="61">
        <f>IF(F1984="","",IFERROR(IF(INDEX('Paramètres'!$O$6:$O$17,MATCH(F1984,'Paramètres'!$M$6:$M$17,0))="Oui",1,0),0))</f>
        <v/>
      </c>
      <c r="AW1984" s="62">
        <f>IF(E1984="","",IF(G1984&lt;&gt;"",G1984,IF(OR(E1984="Proposition envoyée",E1984="Signature"),MAX(0,N(IFERROR(INDEX('Paramètres'!$R$6:$R$15,MATCH(IF(AL1984&lt;&gt;"",AL1984,IFERROR(INDEX('Prospects'!$AN$5:$AN$504,MATCH(C1984,'Prospects'!$C$5:$C$504,0)),"")),'Paramètres'!$Q$6:$Q$15,0)),0))-N(P1984)),0)))</f>
        <v/>
      </c>
      <c r="AX1984" s="61">
        <f>IF(C1984="","",IF(COUNTIF($C$5:C1984,C1984)=1,MAX($AX$4:AX1983)+1,""))</f>
        <v/>
      </c>
      <c r="AY1984" s="61">
        <f>IF(B1984="","",HOUR(B1984))</f>
        <v/>
      </c>
      <c r="AZ1984" s="61">
        <f>IF(A1984="","",MOD(A1984-2,7)+1)</f>
        <v/>
      </c>
      <c r="BA1984" s="60">
        <f>IF(C1984="","",IFERROR(INDEX('Prospects'!$N$5:$N$504,MATCH(C1984,'Prospects'!$C$5:$C$504,0)),""))</f>
        <v/>
      </c>
      <c r="BB1984" s="61">
        <f>IF(AND(C1984&lt;&gt;"",C1984='Fiche prospect'!$C$4),COUNTIF($C$5:C1984,C1984),"")</f>
        <v/>
      </c>
    </row>
    <row r="1985">
      <c r="A1985" s="53" t="n"/>
      <c r="B1985" s="54" t="n"/>
      <c r="C1985" s="55" t="n"/>
      <c r="D1985" s="55" t="n"/>
      <c r="E1985" s="55" t="n"/>
      <c r="F1985" s="55" t="n"/>
      <c r="G1985" s="56" t="n"/>
      <c r="H1985" s="57" t="n"/>
      <c r="I1985" s="55" t="n"/>
      <c r="J1985" s="53" t="n"/>
      <c r="K1985" s="54" t="n"/>
      <c r="L1985" s="55" t="n"/>
      <c r="M1985" s="55" t="n"/>
      <c r="N1985" s="57" t="n"/>
      <c r="O1985" s="55" t="n"/>
      <c r="P1985" s="56" t="n"/>
      <c r="Q1985" s="55" t="n"/>
      <c r="R1985" s="55" t="n"/>
      <c r="S1985" s="55" t="n"/>
      <c r="T1985" s="55" t="n"/>
      <c r="U1985" s="55" t="n"/>
      <c r="V1985" s="55" t="n"/>
      <c r="W1985" s="58" t="n"/>
      <c r="X1985" s="58" t="n"/>
      <c r="Y1985" s="55" t="n"/>
      <c r="Z1985" s="55" t="n"/>
      <c r="AA1985" s="55" t="n"/>
      <c r="AB1985" s="55" t="n"/>
      <c r="AC1985" s="55" t="n"/>
      <c r="AD1985" s="53" t="n"/>
      <c r="AE1985" s="55" t="n"/>
      <c r="AF1985" s="55" t="n"/>
      <c r="AG1985" s="59" t="n"/>
      <c r="AH1985" s="57" t="n"/>
      <c r="AI1985" s="55" t="n"/>
      <c r="AJ1985" s="55" t="n"/>
      <c r="AK1985" s="55" t="n"/>
      <c r="AL1985" s="55" t="n"/>
      <c r="AM1985" s="56" t="n"/>
      <c r="AN1985" s="55" t="n"/>
      <c r="AO1985" s="55" t="n"/>
      <c r="AP1985" s="55" t="n"/>
      <c r="AQ1985" s="55" t="n"/>
      <c r="AR1985" s="60">
        <f>IF(AND(C1985="",E1985=""),"",IF(A1985="","⚠ Date manquante",IF(AND(C1985="",E1985&lt;&gt;"Dépense"),"⚠ Prospect manquant",IF(E1985="","⚠ Action manquante",IF(AND(AU1985=1,D1985=""),"⚠ Canal manquant",IF(AND(W1985&lt;&gt;"",COUNTIFS('Saisie'!$W$5:$W$2004,W1985,'Saisie'!$C$5:$C$2004,"&lt;&gt;"&amp;C1985)&gt;0),"⚠ Numéro déjà utilisé par un autre prospect",IF(AND(J1985&lt;&gt;"",J1985&lt;A1985),"⚠ Relance avant la date de l'action",IF(A1985&gt;TODAY(),"⚠ Date dans le futur","✓"))))))))</f>
        <v/>
      </c>
      <c r="AS1985" s="61">
        <f>IF(AND(A1985="",C1985="",E1985=""),"",ROW())</f>
        <v/>
      </c>
      <c r="AT1985" s="61">
        <f>IF(E1985&amp;F1985="","",MAX(IFERROR(INDEX('Paramètres'!$J$6:$J$33,MATCH(E1985,'Paramètres'!$I$6:$I$33,0)),0),IFERROR(INDEX('Paramètres'!$N$6:$N$17,MATCH(F1985,'Paramètres'!$M$6:$M$17,0)),0)))</f>
        <v/>
      </c>
      <c r="AU1985" s="61">
        <f>IF(E1985="","",IFERROR(IF(INDEX('Paramètres'!$K$6:$K$33,MATCH(E1985,'Paramètres'!$I$6:$I$33,0))="Oui",1,0),0))</f>
        <v/>
      </c>
      <c r="AV1985" s="61">
        <f>IF(F1985="","",IFERROR(IF(INDEX('Paramètres'!$O$6:$O$17,MATCH(F1985,'Paramètres'!$M$6:$M$17,0))="Oui",1,0),0))</f>
        <v/>
      </c>
      <c r="AW1985" s="62">
        <f>IF(E1985="","",IF(G1985&lt;&gt;"",G1985,IF(OR(E1985="Proposition envoyée",E1985="Signature"),MAX(0,N(IFERROR(INDEX('Paramètres'!$R$6:$R$15,MATCH(IF(AL1985&lt;&gt;"",AL1985,IFERROR(INDEX('Prospects'!$AN$5:$AN$504,MATCH(C1985,'Prospects'!$C$5:$C$504,0)),"")),'Paramètres'!$Q$6:$Q$15,0)),0))-N(P1985)),0)))</f>
        <v/>
      </c>
      <c r="AX1985" s="61">
        <f>IF(C1985="","",IF(COUNTIF($C$5:C1985,C1985)=1,MAX($AX$4:AX1984)+1,""))</f>
        <v/>
      </c>
      <c r="AY1985" s="61">
        <f>IF(B1985="","",HOUR(B1985))</f>
        <v/>
      </c>
      <c r="AZ1985" s="61">
        <f>IF(A1985="","",MOD(A1985-2,7)+1)</f>
        <v/>
      </c>
      <c r="BA1985" s="60">
        <f>IF(C1985="","",IFERROR(INDEX('Prospects'!$N$5:$N$504,MATCH(C1985,'Prospects'!$C$5:$C$504,0)),""))</f>
        <v/>
      </c>
      <c r="BB1985" s="61">
        <f>IF(AND(C1985&lt;&gt;"",C1985='Fiche prospect'!$C$4),COUNTIF($C$5:C1985,C1985),"")</f>
        <v/>
      </c>
    </row>
    <row r="1986">
      <c r="A1986" s="53" t="n"/>
      <c r="B1986" s="54" t="n"/>
      <c r="C1986" s="55" t="n"/>
      <c r="D1986" s="55" t="n"/>
      <c r="E1986" s="55" t="n"/>
      <c r="F1986" s="55" t="n"/>
      <c r="G1986" s="56" t="n"/>
      <c r="H1986" s="57" t="n"/>
      <c r="I1986" s="55" t="n"/>
      <c r="J1986" s="53" t="n"/>
      <c r="K1986" s="54" t="n"/>
      <c r="L1986" s="55" t="n"/>
      <c r="M1986" s="55" t="n"/>
      <c r="N1986" s="57" t="n"/>
      <c r="O1986" s="55" t="n"/>
      <c r="P1986" s="56" t="n"/>
      <c r="Q1986" s="55" t="n"/>
      <c r="R1986" s="55" t="n"/>
      <c r="S1986" s="55" t="n"/>
      <c r="T1986" s="55" t="n"/>
      <c r="U1986" s="55" t="n"/>
      <c r="V1986" s="55" t="n"/>
      <c r="W1986" s="58" t="n"/>
      <c r="X1986" s="58" t="n"/>
      <c r="Y1986" s="55" t="n"/>
      <c r="Z1986" s="55" t="n"/>
      <c r="AA1986" s="55" t="n"/>
      <c r="AB1986" s="55" t="n"/>
      <c r="AC1986" s="55" t="n"/>
      <c r="AD1986" s="53" t="n"/>
      <c r="AE1986" s="55" t="n"/>
      <c r="AF1986" s="55" t="n"/>
      <c r="AG1986" s="59" t="n"/>
      <c r="AH1986" s="57" t="n"/>
      <c r="AI1986" s="55" t="n"/>
      <c r="AJ1986" s="55" t="n"/>
      <c r="AK1986" s="55" t="n"/>
      <c r="AL1986" s="55" t="n"/>
      <c r="AM1986" s="56" t="n"/>
      <c r="AN1986" s="55" t="n"/>
      <c r="AO1986" s="55" t="n"/>
      <c r="AP1986" s="55" t="n"/>
      <c r="AQ1986" s="55" t="n"/>
      <c r="AR1986" s="60">
        <f>IF(AND(C1986="",E1986=""),"",IF(A1986="","⚠ Date manquante",IF(AND(C1986="",E1986&lt;&gt;"Dépense"),"⚠ Prospect manquant",IF(E1986="","⚠ Action manquante",IF(AND(AU1986=1,D1986=""),"⚠ Canal manquant",IF(AND(W1986&lt;&gt;"",COUNTIFS('Saisie'!$W$5:$W$2004,W1986,'Saisie'!$C$5:$C$2004,"&lt;&gt;"&amp;C1986)&gt;0),"⚠ Numéro déjà utilisé par un autre prospect",IF(AND(J1986&lt;&gt;"",J1986&lt;A1986),"⚠ Relance avant la date de l'action",IF(A1986&gt;TODAY(),"⚠ Date dans le futur","✓"))))))))</f>
        <v/>
      </c>
      <c r="AS1986" s="61">
        <f>IF(AND(A1986="",C1986="",E1986=""),"",ROW())</f>
        <v/>
      </c>
      <c r="AT1986" s="61">
        <f>IF(E1986&amp;F1986="","",MAX(IFERROR(INDEX('Paramètres'!$J$6:$J$33,MATCH(E1986,'Paramètres'!$I$6:$I$33,0)),0),IFERROR(INDEX('Paramètres'!$N$6:$N$17,MATCH(F1986,'Paramètres'!$M$6:$M$17,0)),0)))</f>
        <v/>
      </c>
      <c r="AU1986" s="61">
        <f>IF(E1986="","",IFERROR(IF(INDEX('Paramètres'!$K$6:$K$33,MATCH(E1986,'Paramètres'!$I$6:$I$33,0))="Oui",1,0),0))</f>
        <v/>
      </c>
      <c r="AV1986" s="61">
        <f>IF(F1986="","",IFERROR(IF(INDEX('Paramètres'!$O$6:$O$17,MATCH(F1986,'Paramètres'!$M$6:$M$17,0))="Oui",1,0),0))</f>
        <v/>
      </c>
      <c r="AW1986" s="62">
        <f>IF(E1986="","",IF(G1986&lt;&gt;"",G1986,IF(OR(E1986="Proposition envoyée",E1986="Signature"),MAX(0,N(IFERROR(INDEX('Paramètres'!$R$6:$R$15,MATCH(IF(AL1986&lt;&gt;"",AL1986,IFERROR(INDEX('Prospects'!$AN$5:$AN$504,MATCH(C1986,'Prospects'!$C$5:$C$504,0)),"")),'Paramètres'!$Q$6:$Q$15,0)),0))-N(P1986)),0)))</f>
        <v/>
      </c>
      <c r="AX1986" s="61">
        <f>IF(C1986="","",IF(COUNTIF($C$5:C1986,C1986)=1,MAX($AX$4:AX1985)+1,""))</f>
        <v/>
      </c>
      <c r="AY1986" s="61">
        <f>IF(B1986="","",HOUR(B1986))</f>
        <v/>
      </c>
      <c r="AZ1986" s="61">
        <f>IF(A1986="","",MOD(A1986-2,7)+1)</f>
        <v/>
      </c>
      <c r="BA1986" s="60">
        <f>IF(C1986="","",IFERROR(INDEX('Prospects'!$N$5:$N$504,MATCH(C1986,'Prospects'!$C$5:$C$504,0)),""))</f>
        <v/>
      </c>
      <c r="BB1986" s="61">
        <f>IF(AND(C1986&lt;&gt;"",C1986='Fiche prospect'!$C$4),COUNTIF($C$5:C1986,C1986),"")</f>
        <v/>
      </c>
    </row>
    <row r="1987">
      <c r="A1987" s="53" t="n"/>
      <c r="B1987" s="54" t="n"/>
      <c r="C1987" s="55" t="n"/>
      <c r="D1987" s="55" t="n"/>
      <c r="E1987" s="55" t="n"/>
      <c r="F1987" s="55" t="n"/>
      <c r="G1987" s="56" t="n"/>
      <c r="H1987" s="57" t="n"/>
      <c r="I1987" s="55" t="n"/>
      <c r="J1987" s="53" t="n"/>
      <c r="K1987" s="54" t="n"/>
      <c r="L1987" s="55" t="n"/>
      <c r="M1987" s="55" t="n"/>
      <c r="N1987" s="57" t="n"/>
      <c r="O1987" s="55" t="n"/>
      <c r="P1987" s="56" t="n"/>
      <c r="Q1987" s="55" t="n"/>
      <c r="R1987" s="55" t="n"/>
      <c r="S1987" s="55" t="n"/>
      <c r="T1987" s="55" t="n"/>
      <c r="U1987" s="55" t="n"/>
      <c r="V1987" s="55" t="n"/>
      <c r="W1987" s="58" t="n"/>
      <c r="X1987" s="58" t="n"/>
      <c r="Y1987" s="55" t="n"/>
      <c r="Z1987" s="55" t="n"/>
      <c r="AA1987" s="55" t="n"/>
      <c r="AB1987" s="55" t="n"/>
      <c r="AC1987" s="55" t="n"/>
      <c r="AD1987" s="53" t="n"/>
      <c r="AE1987" s="55" t="n"/>
      <c r="AF1987" s="55" t="n"/>
      <c r="AG1987" s="59" t="n"/>
      <c r="AH1987" s="57" t="n"/>
      <c r="AI1987" s="55" t="n"/>
      <c r="AJ1987" s="55" t="n"/>
      <c r="AK1987" s="55" t="n"/>
      <c r="AL1987" s="55" t="n"/>
      <c r="AM1987" s="56" t="n"/>
      <c r="AN1987" s="55" t="n"/>
      <c r="AO1987" s="55" t="n"/>
      <c r="AP1987" s="55" t="n"/>
      <c r="AQ1987" s="55" t="n"/>
      <c r="AR1987" s="60">
        <f>IF(AND(C1987="",E1987=""),"",IF(A1987="","⚠ Date manquante",IF(AND(C1987="",E1987&lt;&gt;"Dépense"),"⚠ Prospect manquant",IF(E1987="","⚠ Action manquante",IF(AND(AU1987=1,D1987=""),"⚠ Canal manquant",IF(AND(W1987&lt;&gt;"",COUNTIFS('Saisie'!$W$5:$W$2004,W1987,'Saisie'!$C$5:$C$2004,"&lt;&gt;"&amp;C1987)&gt;0),"⚠ Numéro déjà utilisé par un autre prospect",IF(AND(J1987&lt;&gt;"",J1987&lt;A1987),"⚠ Relance avant la date de l'action",IF(A1987&gt;TODAY(),"⚠ Date dans le futur","✓"))))))))</f>
        <v/>
      </c>
      <c r="AS1987" s="61">
        <f>IF(AND(A1987="",C1987="",E1987=""),"",ROW())</f>
        <v/>
      </c>
      <c r="AT1987" s="61">
        <f>IF(E1987&amp;F1987="","",MAX(IFERROR(INDEX('Paramètres'!$J$6:$J$33,MATCH(E1987,'Paramètres'!$I$6:$I$33,0)),0),IFERROR(INDEX('Paramètres'!$N$6:$N$17,MATCH(F1987,'Paramètres'!$M$6:$M$17,0)),0)))</f>
        <v/>
      </c>
      <c r="AU1987" s="61">
        <f>IF(E1987="","",IFERROR(IF(INDEX('Paramètres'!$K$6:$K$33,MATCH(E1987,'Paramètres'!$I$6:$I$33,0))="Oui",1,0),0))</f>
        <v/>
      </c>
      <c r="AV1987" s="61">
        <f>IF(F1987="","",IFERROR(IF(INDEX('Paramètres'!$O$6:$O$17,MATCH(F1987,'Paramètres'!$M$6:$M$17,0))="Oui",1,0),0))</f>
        <v/>
      </c>
      <c r="AW1987" s="62">
        <f>IF(E1987="","",IF(G1987&lt;&gt;"",G1987,IF(OR(E1987="Proposition envoyée",E1987="Signature"),MAX(0,N(IFERROR(INDEX('Paramètres'!$R$6:$R$15,MATCH(IF(AL1987&lt;&gt;"",AL1987,IFERROR(INDEX('Prospects'!$AN$5:$AN$504,MATCH(C1987,'Prospects'!$C$5:$C$504,0)),"")),'Paramètres'!$Q$6:$Q$15,0)),0))-N(P1987)),0)))</f>
        <v/>
      </c>
      <c r="AX1987" s="61">
        <f>IF(C1987="","",IF(COUNTIF($C$5:C1987,C1987)=1,MAX($AX$4:AX1986)+1,""))</f>
        <v/>
      </c>
      <c r="AY1987" s="61">
        <f>IF(B1987="","",HOUR(B1987))</f>
        <v/>
      </c>
      <c r="AZ1987" s="61">
        <f>IF(A1987="","",MOD(A1987-2,7)+1)</f>
        <v/>
      </c>
      <c r="BA1987" s="60">
        <f>IF(C1987="","",IFERROR(INDEX('Prospects'!$N$5:$N$504,MATCH(C1987,'Prospects'!$C$5:$C$504,0)),""))</f>
        <v/>
      </c>
      <c r="BB1987" s="61">
        <f>IF(AND(C1987&lt;&gt;"",C1987='Fiche prospect'!$C$4),COUNTIF($C$5:C1987,C1987),"")</f>
        <v/>
      </c>
    </row>
    <row r="1988">
      <c r="A1988" s="53" t="n"/>
      <c r="B1988" s="54" t="n"/>
      <c r="C1988" s="55" t="n"/>
      <c r="D1988" s="55" t="n"/>
      <c r="E1988" s="55" t="n"/>
      <c r="F1988" s="55" t="n"/>
      <c r="G1988" s="56" t="n"/>
      <c r="H1988" s="57" t="n"/>
      <c r="I1988" s="55" t="n"/>
      <c r="J1988" s="53" t="n"/>
      <c r="K1988" s="54" t="n"/>
      <c r="L1988" s="55" t="n"/>
      <c r="M1988" s="55" t="n"/>
      <c r="N1988" s="57" t="n"/>
      <c r="O1988" s="55" t="n"/>
      <c r="P1988" s="56" t="n"/>
      <c r="Q1988" s="55" t="n"/>
      <c r="R1988" s="55" t="n"/>
      <c r="S1988" s="55" t="n"/>
      <c r="T1988" s="55" t="n"/>
      <c r="U1988" s="55" t="n"/>
      <c r="V1988" s="55" t="n"/>
      <c r="W1988" s="58" t="n"/>
      <c r="X1988" s="58" t="n"/>
      <c r="Y1988" s="55" t="n"/>
      <c r="Z1988" s="55" t="n"/>
      <c r="AA1988" s="55" t="n"/>
      <c r="AB1988" s="55" t="n"/>
      <c r="AC1988" s="55" t="n"/>
      <c r="AD1988" s="53" t="n"/>
      <c r="AE1988" s="55" t="n"/>
      <c r="AF1988" s="55" t="n"/>
      <c r="AG1988" s="59" t="n"/>
      <c r="AH1988" s="57" t="n"/>
      <c r="AI1988" s="55" t="n"/>
      <c r="AJ1988" s="55" t="n"/>
      <c r="AK1988" s="55" t="n"/>
      <c r="AL1988" s="55" t="n"/>
      <c r="AM1988" s="56" t="n"/>
      <c r="AN1988" s="55" t="n"/>
      <c r="AO1988" s="55" t="n"/>
      <c r="AP1988" s="55" t="n"/>
      <c r="AQ1988" s="55" t="n"/>
      <c r="AR1988" s="60">
        <f>IF(AND(C1988="",E1988=""),"",IF(A1988="","⚠ Date manquante",IF(AND(C1988="",E1988&lt;&gt;"Dépense"),"⚠ Prospect manquant",IF(E1988="","⚠ Action manquante",IF(AND(AU1988=1,D1988=""),"⚠ Canal manquant",IF(AND(W1988&lt;&gt;"",COUNTIFS('Saisie'!$W$5:$W$2004,W1988,'Saisie'!$C$5:$C$2004,"&lt;&gt;"&amp;C1988)&gt;0),"⚠ Numéro déjà utilisé par un autre prospect",IF(AND(J1988&lt;&gt;"",J1988&lt;A1988),"⚠ Relance avant la date de l'action",IF(A1988&gt;TODAY(),"⚠ Date dans le futur","✓"))))))))</f>
        <v/>
      </c>
      <c r="AS1988" s="61">
        <f>IF(AND(A1988="",C1988="",E1988=""),"",ROW())</f>
        <v/>
      </c>
      <c r="AT1988" s="61">
        <f>IF(E1988&amp;F1988="","",MAX(IFERROR(INDEX('Paramètres'!$J$6:$J$33,MATCH(E1988,'Paramètres'!$I$6:$I$33,0)),0),IFERROR(INDEX('Paramètres'!$N$6:$N$17,MATCH(F1988,'Paramètres'!$M$6:$M$17,0)),0)))</f>
        <v/>
      </c>
      <c r="AU1988" s="61">
        <f>IF(E1988="","",IFERROR(IF(INDEX('Paramètres'!$K$6:$K$33,MATCH(E1988,'Paramètres'!$I$6:$I$33,0))="Oui",1,0),0))</f>
        <v/>
      </c>
      <c r="AV1988" s="61">
        <f>IF(F1988="","",IFERROR(IF(INDEX('Paramètres'!$O$6:$O$17,MATCH(F1988,'Paramètres'!$M$6:$M$17,0))="Oui",1,0),0))</f>
        <v/>
      </c>
      <c r="AW1988" s="62">
        <f>IF(E1988="","",IF(G1988&lt;&gt;"",G1988,IF(OR(E1988="Proposition envoyée",E1988="Signature"),MAX(0,N(IFERROR(INDEX('Paramètres'!$R$6:$R$15,MATCH(IF(AL1988&lt;&gt;"",AL1988,IFERROR(INDEX('Prospects'!$AN$5:$AN$504,MATCH(C1988,'Prospects'!$C$5:$C$504,0)),"")),'Paramètres'!$Q$6:$Q$15,0)),0))-N(P1988)),0)))</f>
        <v/>
      </c>
      <c r="AX1988" s="61">
        <f>IF(C1988="","",IF(COUNTIF($C$5:C1988,C1988)=1,MAX($AX$4:AX1987)+1,""))</f>
        <v/>
      </c>
      <c r="AY1988" s="61">
        <f>IF(B1988="","",HOUR(B1988))</f>
        <v/>
      </c>
      <c r="AZ1988" s="61">
        <f>IF(A1988="","",MOD(A1988-2,7)+1)</f>
        <v/>
      </c>
      <c r="BA1988" s="60">
        <f>IF(C1988="","",IFERROR(INDEX('Prospects'!$N$5:$N$504,MATCH(C1988,'Prospects'!$C$5:$C$504,0)),""))</f>
        <v/>
      </c>
      <c r="BB1988" s="61">
        <f>IF(AND(C1988&lt;&gt;"",C1988='Fiche prospect'!$C$4),COUNTIF($C$5:C1988,C1988),"")</f>
        <v/>
      </c>
    </row>
    <row r="1989">
      <c r="A1989" s="53" t="n"/>
      <c r="B1989" s="54" t="n"/>
      <c r="C1989" s="55" t="n"/>
      <c r="D1989" s="55" t="n"/>
      <c r="E1989" s="55" t="n"/>
      <c r="F1989" s="55" t="n"/>
      <c r="G1989" s="56" t="n"/>
      <c r="H1989" s="57" t="n"/>
      <c r="I1989" s="55" t="n"/>
      <c r="J1989" s="53" t="n"/>
      <c r="K1989" s="54" t="n"/>
      <c r="L1989" s="55" t="n"/>
      <c r="M1989" s="55" t="n"/>
      <c r="N1989" s="57" t="n"/>
      <c r="O1989" s="55" t="n"/>
      <c r="P1989" s="56" t="n"/>
      <c r="Q1989" s="55" t="n"/>
      <c r="R1989" s="55" t="n"/>
      <c r="S1989" s="55" t="n"/>
      <c r="T1989" s="55" t="n"/>
      <c r="U1989" s="55" t="n"/>
      <c r="V1989" s="55" t="n"/>
      <c r="W1989" s="58" t="n"/>
      <c r="X1989" s="58" t="n"/>
      <c r="Y1989" s="55" t="n"/>
      <c r="Z1989" s="55" t="n"/>
      <c r="AA1989" s="55" t="n"/>
      <c r="AB1989" s="55" t="n"/>
      <c r="AC1989" s="55" t="n"/>
      <c r="AD1989" s="53" t="n"/>
      <c r="AE1989" s="55" t="n"/>
      <c r="AF1989" s="55" t="n"/>
      <c r="AG1989" s="59" t="n"/>
      <c r="AH1989" s="57" t="n"/>
      <c r="AI1989" s="55" t="n"/>
      <c r="AJ1989" s="55" t="n"/>
      <c r="AK1989" s="55" t="n"/>
      <c r="AL1989" s="55" t="n"/>
      <c r="AM1989" s="56" t="n"/>
      <c r="AN1989" s="55" t="n"/>
      <c r="AO1989" s="55" t="n"/>
      <c r="AP1989" s="55" t="n"/>
      <c r="AQ1989" s="55" t="n"/>
      <c r="AR1989" s="60">
        <f>IF(AND(C1989="",E1989=""),"",IF(A1989="","⚠ Date manquante",IF(AND(C1989="",E1989&lt;&gt;"Dépense"),"⚠ Prospect manquant",IF(E1989="","⚠ Action manquante",IF(AND(AU1989=1,D1989=""),"⚠ Canal manquant",IF(AND(W1989&lt;&gt;"",COUNTIFS('Saisie'!$W$5:$W$2004,W1989,'Saisie'!$C$5:$C$2004,"&lt;&gt;"&amp;C1989)&gt;0),"⚠ Numéro déjà utilisé par un autre prospect",IF(AND(J1989&lt;&gt;"",J1989&lt;A1989),"⚠ Relance avant la date de l'action",IF(A1989&gt;TODAY(),"⚠ Date dans le futur","✓"))))))))</f>
        <v/>
      </c>
      <c r="AS1989" s="61">
        <f>IF(AND(A1989="",C1989="",E1989=""),"",ROW())</f>
        <v/>
      </c>
      <c r="AT1989" s="61">
        <f>IF(E1989&amp;F1989="","",MAX(IFERROR(INDEX('Paramètres'!$J$6:$J$33,MATCH(E1989,'Paramètres'!$I$6:$I$33,0)),0),IFERROR(INDEX('Paramètres'!$N$6:$N$17,MATCH(F1989,'Paramètres'!$M$6:$M$17,0)),0)))</f>
        <v/>
      </c>
      <c r="AU1989" s="61">
        <f>IF(E1989="","",IFERROR(IF(INDEX('Paramètres'!$K$6:$K$33,MATCH(E1989,'Paramètres'!$I$6:$I$33,0))="Oui",1,0),0))</f>
        <v/>
      </c>
      <c r="AV1989" s="61">
        <f>IF(F1989="","",IFERROR(IF(INDEX('Paramètres'!$O$6:$O$17,MATCH(F1989,'Paramètres'!$M$6:$M$17,0))="Oui",1,0),0))</f>
        <v/>
      </c>
      <c r="AW1989" s="62">
        <f>IF(E1989="","",IF(G1989&lt;&gt;"",G1989,IF(OR(E1989="Proposition envoyée",E1989="Signature"),MAX(0,N(IFERROR(INDEX('Paramètres'!$R$6:$R$15,MATCH(IF(AL1989&lt;&gt;"",AL1989,IFERROR(INDEX('Prospects'!$AN$5:$AN$504,MATCH(C1989,'Prospects'!$C$5:$C$504,0)),"")),'Paramètres'!$Q$6:$Q$15,0)),0))-N(P1989)),0)))</f>
        <v/>
      </c>
      <c r="AX1989" s="61">
        <f>IF(C1989="","",IF(COUNTIF($C$5:C1989,C1989)=1,MAX($AX$4:AX1988)+1,""))</f>
        <v/>
      </c>
      <c r="AY1989" s="61">
        <f>IF(B1989="","",HOUR(B1989))</f>
        <v/>
      </c>
      <c r="AZ1989" s="61">
        <f>IF(A1989="","",MOD(A1989-2,7)+1)</f>
        <v/>
      </c>
      <c r="BA1989" s="60">
        <f>IF(C1989="","",IFERROR(INDEX('Prospects'!$N$5:$N$504,MATCH(C1989,'Prospects'!$C$5:$C$504,0)),""))</f>
        <v/>
      </c>
      <c r="BB1989" s="61">
        <f>IF(AND(C1989&lt;&gt;"",C1989='Fiche prospect'!$C$4),COUNTIF($C$5:C1989,C1989),"")</f>
        <v/>
      </c>
    </row>
    <row r="1990">
      <c r="A1990" s="53" t="n"/>
      <c r="B1990" s="54" t="n"/>
      <c r="C1990" s="55" t="n"/>
      <c r="D1990" s="55" t="n"/>
      <c r="E1990" s="55" t="n"/>
      <c r="F1990" s="55" t="n"/>
      <c r="G1990" s="56" t="n"/>
      <c r="H1990" s="57" t="n"/>
      <c r="I1990" s="55" t="n"/>
      <c r="J1990" s="53" t="n"/>
      <c r="K1990" s="54" t="n"/>
      <c r="L1990" s="55" t="n"/>
      <c r="M1990" s="55" t="n"/>
      <c r="N1990" s="57" t="n"/>
      <c r="O1990" s="55" t="n"/>
      <c r="P1990" s="56" t="n"/>
      <c r="Q1990" s="55" t="n"/>
      <c r="R1990" s="55" t="n"/>
      <c r="S1990" s="55" t="n"/>
      <c r="T1990" s="55" t="n"/>
      <c r="U1990" s="55" t="n"/>
      <c r="V1990" s="55" t="n"/>
      <c r="W1990" s="58" t="n"/>
      <c r="X1990" s="58" t="n"/>
      <c r="Y1990" s="55" t="n"/>
      <c r="Z1990" s="55" t="n"/>
      <c r="AA1990" s="55" t="n"/>
      <c r="AB1990" s="55" t="n"/>
      <c r="AC1990" s="55" t="n"/>
      <c r="AD1990" s="53" t="n"/>
      <c r="AE1990" s="55" t="n"/>
      <c r="AF1990" s="55" t="n"/>
      <c r="AG1990" s="59" t="n"/>
      <c r="AH1990" s="57" t="n"/>
      <c r="AI1990" s="55" t="n"/>
      <c r="AJ1990" s="55" t="n"/>
      <c r="AK1990" s="55" t="n"/>
      <c r="AL1990" s="55" t="n"/>
      <c r="AM1990" s="56" t="n"/>
      <c r="AN1990" s="55" t="n"/>
      <c r="AO1990" s="55" t="n"/>
      <c r="AP1990" s="55" t="n"/>
      <c r="AQ1990" s="55" t="n"/>
      <c r="AR1990" s="60">
        <f>IF(AND(C1990="",E1990=""),"",IF(A1990="","⚠ Date manquante",IF(AND(C1990="",E1990&lt;&gt;"Dépense"),"⚠ Prospect manquant",IF(E1990="","⚠ Action manquante",IF(AND(AU1990=1,D1990=""),"⚠ Canal manquant",IF(AND(W1990&lt;&gt;"",COUNTIFS('Saisie'!$W$5:$W$2004,W1990,'Saisie'!$C$5:$C$2004,"&lt;&gt;"&amp;C1990)&gt;0),"⚠ Numéro déjà utilisé par un autre prospect",IF(AND(J1990&lt;&gt;"",J1990&lt;A1990),"⚠ Relance avant la date de l'action",IF(A1990&gt;TODAY(),"⚠ Date dans le futur","✓"))))))))</f>
        <v/>
      </c>
      <c r="AS1990" s="61">
        <f>IF(AND(A1990="",C1990="",E1990=""),"",ROW())</f>
        <v/>
      </c>
      <c r="AT1990" s="61">
        <f>IF(E1990&amp;F1990="","",MAX(IFERROR(INDEX('Paramètres'!$J$6:$J$33,MATCH(E1990,'Paramètres'!$I$6:$I$33,0)),0),IFERROR(INDEX('Paramètres'!$N$6:$N$17,MATCH(F1990,'Paramètres'!$M$6:$M$17,0)),0)))</f>
        <v/>
      </c>
      <c r="AU1990" s="61">
        <f>IF(E1990="","",IFERROR(IF(INDEX('Paramètres'!$K$6:$K$33,MATCH(E1990,'Paramètres'!$I$6:$I$33,0))="Oui",1,0),0))</f>
        <v/>
      </c>
      <c r="AV1990" s="61">
        <f>IF(F1990="","",IFERROR(IF(INDEX('Paramètres'!$O$6:$O$17,MATCH(F1990,'Paramètres'!$M$6:$M$17,0))="Oui",1,0),0))</f>
        <v/>
      </c>
      <c r="AW1990" s="62">
        <f>IF(E1990="","",IF(G1990&lt;&gt;"",G1990,IF(OR(E1990="Proposition envoyée",E1990="Signature"),MAX(0,N(IFERROR(INDEX('Paramètres'!$R$6:$R$15,MATCH(IF(AL1990&lt;&gt;"",AL1990,IFERROR(INDEX('Prospects'!$AN$5:$AN$504,MATCH(C1990,'Prospects'!$C$5:$C$504,0)),"")),'Paramètres'!$Q$6:$Q$15,0)),0))-N(P1990)),0)))</f>
        <v/>
      </c>
      <c r="AX1990" s="61">
        <f>IF(C1990="","",IF(COUNTIF($C$5:C1990,C1990)=1,MAX($AX$4:AX1989)+1,""))</f>
        <v/>
      </c>
      <c r="AY1990" s="61">
        <f>IF(B1990="","",HOUR(B1990))</f>
        <v/>
      </c>
      <c r="AZ1990" s="61">
        <f>IF(A1990="","",MOD(A1990-2,7)+1)</f>
        <v/>
      </c>
      <c r="BA1990" s="60">
        <f>IF(C1990="","",IFERROR(INDEX('Prospects'!$N$5:$N$504,MATCH(C1990,'Prospects'!$C$5:$C$504,0)),""))</f>
        <v/>
      </c>
      <c r="BB1990" s="61">
        <f>IF(AND(C1990&lt;&gt;"",C1990='Fiche prospect'!$C$4),COUNTIF($C$5:C1990,C1990),"")</f>
        <v/>
      </c>
    </row>
    <row r="1991">
      <c r="A1991" s="53" t="n"/>
      <c r="B1991" s="54" t="n"/>
      <c r="C1991" s="55" t="n"/>
      <c r="D1991" s="55" t="n"/>
      <c r="E1991" s="55" t="n"/>
      <c r="F1991" s="55" t="n"/>
      <c r="G1991" s="56" t="n"/>
      <c r="H1991" s="57" t="n"/>
      <c r="I1991" s="55" t="n"/>
      <c r="J1991" s="53" t="n"/>
      <c r="K1991" s="54" t="n"/>
      <c r="L1991" s="55" t="n"/>
      <c r="M1991" s="55" t="n"/>
      <c r="N1991" s="57" t="n"/>
      <c r="O1991" s="55" t="n"/>
      <c r="P1991" s="56" t="n"/>
      <c r="Q1991" s="55" t="n"/>
      <c r="R1991" s="55" t="n"/>
      <c r="S1991" s="55" t="n"/>
      <c r="T1991" s="55" t="n"/>
      <c r="U1991" s="55" t="n"/>
      <c r="V1991" s="55" t="n"/>
      <c r="W1991" s="58" t="n"/>
      <c r="X1991" s="58" t="n"/>
      <c r="Y1991" s="55" t="n"/>
      <c r="Z1991" s="55" t="n"/>
      <c r="AA1991" s="55" t="n"/>
      <c r="AB1991" s="55" t="n"/>
      <c r="AC1991" s="55" t="n"/>
      <c r="AD1991" s="53" t="n"/>
      <c r="AE1991" s="55" t="n"/>
      <c r="AF1991" s="55" t="n"/>
      <c r="AG1991" s="59" t="n"/>
      <c r="AH1991" s="57" t="n"/>
      <c r="AI1991" s="55" t="n"/>
      <c r="AJ1991" s="55" t="n"/>
      <c r="AK1991" s="55" t="n"/>
      <c r="AL1991" s="55" t="n"/>
      <c r="AM1991" s="56" t="n"/>
      <c r="AN1991" s="55" t="n"/>
      <c r="AO1991" s="55" t="n"/>
      <c r="AP1991" s="55" t="n"/>
      <c r="AQ1991" s="55" t="n"/>
      <c r="AR1991" s="60">
        <f>IF(AND(C1991="",E1991=""),"",IF(A1991="","⚠ Date manquante",IF(AND(C1991="",E1991&lt;&gt;"Dépense"),"⚠ Prospect manquant",IF(E1991="","⚠ Action manquante",IF(AND(AU1991=1,D1991=""),"⚠ Canal manquant",IF(AND(W1991&lt;&gt;"",COUNTIFS('Saisie'!$W$5:$W$2004,W1991,'Saisie'!$C$5:$C$2004,"&lt;&gt;"&amp;C1991)&gt;0),"⚠ Numéro déjà utilisé par un autre prospect",IF(AND(J1991&lt;&gt;"",J1991&lt;A1991),"⚠ Relance avant la date de l'action",IF(A1991&gt;TODAY(),"⚠ Date dans le futur","✓"))))))))</f>
        <v/>
      </c>
      <c r="AS1991" s="61">
        <f>IF(AND(A1991="",C1991="",E1991=""),"",ROW())</f>
        <v/>
      </c>
      <c r="AT1991" s="61">
        <f>IF(E1991&amp;F1991="","",MAX(IFERROR(INDEX('Paramètres'!$J$6:$J$33,MATCH(E1991,'Paramètres'!$I$6:$I$33,0)),0),IFERROR(INDEX('Paramètres'!$N$6:$N$17,MATCH(F1991,'Paramètres'!$M$6:$M$17,0)),0)))</f>
        <v/>
      </c>
      <c r="AU1991" s="61">
        <f>IF(E1991="","",IFERROR(IF(INDEX('Paramètres'!$K$6:$K$33,MATCH(E1991,'Paramètres'!$I$6:$I$33,0))="Oui",1,0),0))</f>
        <v/>
      </c>
      <c r="AV1991" s="61">
        <f>IF(F1991="","",IFERROR(IF(INDEX('Paramètres'!$O$6:$O$17,MATCH(F1991,'Paramètres'!$M$6:$M$17,0))="Oui",1,0),0))</f>
        <v/>
      </c>
      <c r="AW1991" s="62">
        <f>IF(E1991="","",IF(G1991&lt;&gt;"",G1991,IF(OR(E1991="Proposition envoyée",E1991="Signature"),MAX(0,N(IFERROR(INDEX('Paramètres'!$R$6:$R$15,MATCH(IF(AL1991&lt;&gt;"",AL1991,IFERROR(INDEX('Prospects'!$AN$5:$AN$504,MATCH(C1991,'Prospects'!$C$5:$C$504,0)),"")),'Paramètres'!$Q$6:$Q$15,0)),0))-N(P1991)),0)))</f>
        <v/>
      </c>
      <c r="AX1991" s="61">
        <f>IF(C1991="","",IF(COUNTIF($C$5:C1991,C1991)=1,MAX($AX$4:AX1990)+1,""))</f>
        <v/>
      </c>
      <c r="AY1991" s="61">
        <f>IF(B1991="","",HOUR(B1991))</f>
        <v/>
      </c>
      <c r="AZ1991" s="61">
        <f>IF(A1991="","",MOD(A1991-2,7)+1)</f>
        <v/>
      </c>
      <c r="BA1991" s="60">
        <f>IF(C1991="","",IFERROR(INDEX('Prospects'!$N$5:$N$504,MATCH(C1991,'Prospects'!$C$5:$C$504,0)),""))</f>
        <v/>
      </c>
      <c r="BB1991" s="61">
        <f>IF(AND(C1991&lt;&gt;"",C1991='Fiche prospect'!$C$4),COUNTIF($C$5:C1991,C1991),"")</f>
        <v/>
      </c>
    </row>
    <row r="1992">
      <c r="A1992" s="53" t="n"/>
      <c r="B1992" s="54" t="n"/>
      <c r="C1992" s="55" t="n"/>
      <c r="D1992" s="55" t="n"/>
      <c r="E1992" s="55" t="n"/>
      <c r="F1992" s="55" t="n"/>
      <c r="G1992" s="56" t="n"/>
      <c r="H1992" s="57" t="n"/>
      <c r="I1992" s="55" t="n"/>
      <c r="J1992" s="53" t="n"/>
      <c r="K1992" s="54" t="n"/>
      <c r="L1992" s="55" t="n"/>
      <c r="M1992" s="55" t="n"/>
      <c r="N1992" s="57" t="n"/>
      <c r="O1992" s="55" t="n"/>
      <c r="P1992" s="56" t="n"/>
      <c r="Q1992" s="55" t="n"/>
      <c r="R1992" s="55" t="n"/>
      <c r="S1992" s="55" t="n"/>
      <c r="T1992" s="55" t="n"/>
      <c r="U1992" s="55" t="n"/>
      <c r="V1992" s="55" t="n"/>
      <c r="W1992" s="58" t="n"/>
      <c r="X1992" s="58" t="n"/>
      <c r="Y1992" s="55" t="n"/>
      <c r="Z1992" s="55" t="n"/>
      <c r="AA1992" s="55" t="n"/>
      <c r="AB1992" s="55" t="n"/>
      <c r="AC1992" s="55" t="n"/>
      <c r="AD1992" s="53" t="n"/>
      <c r="AE1992" s="55" t="n"/>
      <c r="AF1992" s="55" t="n"/>
      <c r="AG1992" s="59" t="n"/>
      <c r="AH1992" s="57" t="n"/>
      <c r="AI1992" s="55" t="n"/>
      <c r="AJ1992" s="55" t="n"/>
      <c r="AK1992" s="55" t="n"/>
      <c r="AL1992" s="55" t="n"/>
      <c r="AM1992" s="56" t="n"/>
      <c r="AN1992" s="55" t="n"/>
      <c r="AO1992" s="55" t="n"/>
      <c r="AP1992" s="55" t="n"/>
      <c r="AQ1992" s="55" t="n"/>
      <c r="AR1992" s="60">
        <f>IF(AND(C1992="",E1992=""),"",IF(A1992="","⚠ Date manquante",IF(AND(C1992="",E1992&lt;&gt;"Dépense"),"⚠ Prospect manquant",IF(E1992="","⚠ Action manquante",IF(AND(AU1992=1,D1992=""),"⚠ Canal manquant",IF(AND(W1992&lt;&gt;"",COUNTIFS('Saisie'!$W$5:$W$2004,W1992,'Saisie'!$C$5:$C$2004,"&lt;&gt;"&amp;C1992)&gt;0),"⚠ Numéro déjà utilisé par un autre prospect",IF(AND(J1992&lt;&gt;"",J1992&lt;A1992),"⚠ Relance avant la date de l'action",IF(A1992&gt;TODAY(),"⚠ Date dans le futur","✓"))))))))</f>
        <v/>
      </c>
      <c r="AS1992" s="61">
        <f>IF(AND(A1992="",C1992="",E1992=""),"",ROW())</f>
        <v/>
      </c>
      <c r="AT1992" s="61">
        <f>IF(E1992&amp;F1992="","",MAX(IFERROR(INDEX('Paramètres'!$J$6:$J$33,MATCH(E1992,'Paramètres'!$I$6:$I$33,0)),0),IFERROR(INDEX('Paramètres'!$N$6:$N$17,MATCH(F1992,'Paramètres'!$M$6:$M$17,0)),0)))</f>
        <v/>
      </c>
      <c r="AU1992" s="61">
        <f>IF(E1992="","",IFERROR(IF(INDEX('Paramètres'!$K$6:$K$33,MATCH(E1992,'Paramètres'!$I$6:$I$33,0))="Oui",1,0),0))</f>
        <v/>
      </c>
      <c r="AV1992" s="61">
        <f>IF(F1992="","",IFERROR(IF(INDEX('Paramètres'!$O$6:$O$17,MATCH(F1992,'Paramètres'!$M$6:$M$17,0))="Oui",1,0),0))</f>
        <v/>
      </c>
      <c r="AW1992" s="62">
        <f>IF(E1992="","",IF(G1992&lt;&gt;"",G1992,IF(OR(E1992="Proposition envoyée",E1992="Signature"),MAX(0,N(IFERROR(INDEX('Paramètres'!$R$6:$R$15,MATCH(IF(AL1992&lt;&gt;"",AL1992,IFERROR(INDEX('Prospects'!$AN$5:$AN$504,MATCH(C1992,'Prospects'!$C$5:$C$504,0)),"")),'Paramètres'!$Q$6:$Q$15,0)),0))-N(P1992)),0)))</f>
        <v/>
      </c>
      <c r="AX1992" s="61">
        <f>IF(C1992="","",IF(COUNTIF($C$5:C1992,C1992)=1,MAX($AX$4:AX1991)+1,""))</f>
        <v/>
      </c>
      <c r="AY1992" s="61">
        <f>IF(B1992="","",HOUR(B1992))</f>
        <v/>
      </c>
      <c r="AZ1992" s="61">
        <f>IF(A1992="","",MOD(A1992-2,7)+1)</f>
        <v/>
      </c>
      <c r="BA1992" s="60">
        <f>IF(C1992="","",IFERROR(INDEX('Prospects'!$N$5:$N$504,MATCH(C1992,'Prospects'!$C$5:$C$504,0)),""))</f>
        <v/>
      </c>
      <c r="BB1992" s="61">
        <f>IF(AND(C1992&lt;&gt;"",C1992='Fiche prospect'!$C$4),COUNTIF($C$5:C1992,C1992),"")</f>
        <v/>
      </c>
    </row>
    <row r="1993">
      <c r="A1993" s="53" t="n"/>
      <c r="B1993" s="54" t="n"/>
      <c r="C1993" s="55" t="n"/>
      <c r="D1993" s="55" t="n"/>
      <c r="E1993" s="55" t="n"/>
      <c r="F1993" s="55" t="n"/>
      <c r="G1993" s="56" t="n"/>
      <c r="H1993" s="57" t="n"/>
      <c r="I1993" s="55" t="n"/>
      <c r="J1993" s="53" t="n"/>
      <c r="K1993" s="54" t="n"/>
      <c r="L1993" s="55" t="n"/>
      <c r="M1993" s="55" t="n"/>
      <c r="N1993" s="57" t="n"/>
      <c r="O1993" s="55" t="n"/>
      <c r="P1993" s="56" t="n"/>
      <c r="Q1993" s="55" t="n"/>
      <c r="R1993" s="55" t="n"/>
      <c r="S1993" s="55" t="n"/>
      <c r="T1993" s="55" t="n"/>
      <c r="U1993" s="55" t="n"/>
      <c r="V1993" s="55" t="n"/>
      <c r="W1993" s="58" t="n"/>
      <c r="X1993" s="58" t="n"/>
      <c r="Y1993" s="55" t="n"/>
      <c r="Z1993" s="55" t="n"/>
      <c r="AA1993" s="55" t="n"/>
      <c r="AB1993" s="55" t="n"/>
      <c r="AC1993" s="55" t="n"/>
      <c r="AD1993" s="53" t="n"/>
      <c r="AE1993" s="55" t="n"/>
      <c r="AF1993" s="55" t="n"/>
      <c r="AG1993" s="59" t="n"/>
      <c r="AH1993" s="57" t="n"/>
      <c r="AI1993" s="55" t="n"/>
      <c r="AJ1993" s="55" t="n"/>
      <c r="AK1993" s="55" t="n"/>
      <c r="AL1993" s="55" t="n"/>
      <c r="AM1993" s="56" t="n"/>
      <c r="AN1993" s="55" t="n"/>
      <c r="AO1993" s="55" t="n"/>
      <c r="AP1993" s="55" t="n"/>
      <c r="AQ1993" s="55" t="n"/>
      <c r="AR1993" s="60">
        <f>IF(AND(C1993="",E1993=""),"",IF(A1993="","⚠ Date manquante",IF(AND(C1993="",E1993&lt;&gt;"Dépense"),"⚠ Prospect manquant",IF(E1993="","⚠ Action manquante",IF(AND(AU1993=1,D1993=""),"⚠ Canal manquant",IF(AND(W1993&lt;&gt;"",COUNTIFS('Saisie'!$W$5:$W$2004,W1993,'Saisie'!$C$5:$C$2004,"&lt;&gt;"&amp;C1993)&gt;0),"⚠ Numéro déjà utilisé par un autre prospect",IF(AND(J1993&lt;&gt;"",J1993&lt;A1993),"⚠ Relance avant la date de l'action",IF(A1993&gt;TODAY(),"⚠ Date dans le futur","✓"))))))))</f>
        <v/>
      </c>
      <c r="AS1993" s="61">
        <f>IF(AND(A1993="",C1993="",E1993=""),"",ROW())</f>
        <v/>
      </c>
      <c r="AT1993" s="61">
        <f>IF(E1993&amp;F1993="","",MAX(IFERROR(INDEX('Paramètres'!$J$6:$J$33,MATCH(E1993,'Paramètres'!$I$6:$I$33,0)),0),IFERROR(INDEX('Paramètres'!$N$6:$N$17,MATCH(F1993,'Paramètres'!$M$6:$M$17,0)),0)))</f>
        <v/>
      </c>
      <c r="AU1993" s="61">
        <f>IF(E1993="","",IFERROR(IF(INDEX('Paramètres'!$K$6:$K$33,MATCH(E1993,'Paramètres'!$I$6:$I$33,0))="Oui",1,0),0))</f>
        <v/>
      </c>
      <c r="AV1993" s="61">
        <f>IF(F1993="","",IFERROR(IF(INDEX('Paramètres'!$O$6:$O$17,MATCH(F1993,'Paramètres'!$M$6:$M$17,0))="Oui",1,0),0))</f>
        <v/>
      </c>
      <c r="AW1993" s="62">
        <f>IF(E1993="","",IF(G1993&lt;&gt;"",G1993,IF(OR(E1993="Proposition envoyée",E1993="Signature"),MAX(0,N(IFERROR(INDEX('Paramètres'!$R$6:$R$15,MATCH(IF(AL1993&lt;&gt;"",AL1993,IFERROR(INDEX('Prospects'!$AN$5:$AN$504,MATCH(C1993,'Prospects'!$C$5:$C$504,0)),"")),'Paramètres'!$Q$6:$Q$15,0)),0))-N(P1993)),0)))</f>
        <v/>
      </c>
      <c r="AX1993" s="61">
        <f>IF(C1993="","",IF(COUNTIF($C$5:C1993,C1993)=1,MAX($AX$4:AX1992)+1,""))</f>
        <v/>
      </c>
      <c r="AY1993" s="61">
        <f>IF(B1993="","",HOUR(B1993))</f>
        <v/>
      </c>
      <c r="AZ1993" s="61">
        <f>IF(A1993="","",MOD(A1993-2,7)+1)</f>
        <v/>
      </c>
      <c r="BA1993" s="60">
        <f>IF(C1993="","",IFERROR(INDEX('Prospects'!$N$5:$N$504,MATCH(C1993,'Prospects'!$C$5:$C$504,0)),""))</f>
        <v/>
      </c>
      <c r="BB1993" s="61">
        <f>IF(AND(C1993&lt;&gt;"",C1993='Fiche prospect'!$C$4),COUNTIF($C$5:C1993,C1993),"")</f>
        <v/>
      </c>
    </row>
    <row r="1994">
      <c r="A1994" s="53" t="n"/>
      <c r="B1994" s="54" t="n"/>
      <c r="C1994" s="55" t="n"/>
      <c r="D1994" s="55" t="n"/>
      <c r="E1994" s="55" t="n"/>
      <c r="F1994" s="55" t="n"/>
      <c r="G1994" s="56" t="n"/>
      <c r="H1994" s="57" t="n"/>
      <c r="I1994" s="55" t="n"/>
      <c r="J1994" s="53" t="n"/>
      <c r="K1994" s="54" t="n"/>
      <c r="L1994" s="55" t="n"/>
      <c r="M1994" s="55" t="n"/>
      <c r="N1994" s="57" t="n"/>
      <c r="O1994" s="55" t="n"/>
      <c r="P1994" s="56" t="n"/>
      <c r="Q1994" s="55" t="n"/>
      <c r="R1994" s="55" t="n"/>
      <c r="S1994" s="55" t="n"/>
      <c r="T1994" s="55" t="n"/>
      <c r="U1994" s="55" t="n"/>
      <c r="V1994" s="55" t="n"/>
      <c r="W1994" s="58" t="n"/>
      <c r="X1994" s="58" t="n"/>
      <c r="Y1994" s="55" t="n"/>
      <c r="Z1994" s="55" t="n"/>
      <c r="AA1994" s="55" t="n"/>
      <c r="AB1994" s="55" t="n"/>
      <c r="AC1994" s="55" t="n"/>
      <c r="AD1994" s="53" t="n"/>
      <c r="AE1994" s="55" t="n"/>
      <c r="AF1994" s="55" t="n"/>
      <c r="AG1994" s="59" t="n"/>
      <c r="AH1994" s="57" t="n"/>
      <c r="AI1994" s="55" t="n"/>
      <c r="AJ1994" s="55" t="n"/>
      <c r="AK1994" s="55" t="n"/>
      <c r="AL1994" s="55" t="n"/>
      <c r="AM1994" s="56" t="n"/>
      <c r="AN1994" s="55" t="n"/>
      <c r="AO1994" s="55" t="n"/>
      <c r="AP1994" s="55" t="n"/>
      <c r="AQ1994" s="55" t="n"/>
      <c r="AR1994" s="60">
        <f>IF(AND(C1994="",E1994=""),"",IF(A1994="","⚠ Date manquante",IF(AND(C1994="",E1994&lt;&gt;"Dépense"),"⚠ Prospect manquant",IF(E1994="","⚠ Action manquante",IF(AND(AU1994=1,D1994=""),"⚠ Canal manquant",IF(AND(W1994&lt;&gt;"",COUNTIFS('Saisie'!$W$5:$W$2004,W1994,'Saisie'!$C$5:$C$2004,"&lt;&gt;"&amp;C1994)&gt;0),"⚠ Numéro déjà utilisé par un autre prospect",IF(AND(J1994&lt;&gt;"",J1994&lt;A1994),"⚠ Relance avant la date de l'action",IF(A1994&gt;TODAY(),"⚠ Date dans le futur","✓"))))))))</f>
        <v/>
      </c>
      <c r="AS1994" s="61">
        <f>IF(AND(A1994="",C1994="",E1994=""),"",ROW())</f>
        <v/>
      </c>
      <c r="AT1994" s="61">
        <f>IF(E1994&amp;F1994="","",MAX(IFERROR(INDEX('Paramètres'!$J$6:$J$33,MATCH(E1994,'Paramètres'!$I$6:$I$33,0)),0),IFERROR(INDEX('Paramètres'!$N$6:$N$17,MATCH(F1994,'Paramètres'!$M$6:$M$17,0)),0)))</f>
        <v/>
      </c>
      <c r="AU1994" s="61">
        <f>IF(E1994="","",IFERROR(IF(INDEX('Paramètres'!$K$6:$K$33,MATCH(E1994,'Paramètres'!$I$6:$I$33,0))="Oui",1,0),0))</f>
        <v/>
      </c>
      <c r="AV1994" s="61">
        <f>IF(F1994="","",IFERROR(IF(INDEX('Paramètres'!$O$6:$O$17,MATCH(F1994,'Paramètres'!$M$6:$M$17,0))="Oui",1,0),0))</f>
        <v/>
      </c>
      <c r="AW1994" s="62">
        <f>IF(E1994="","",IF(G1994&lt;&gt;"",G1994,IF(OR(E1994="Proposition envoyée",E1994="Signature"),MAX(0,N(IFERROR(INDEX('Paramètres'!$R$6:$R$15,MATCH(IF(AL1994&lt;&gt;"",AL1994,IFERROR(INDEX('Prospects'!$AN$5:$AN$504,MATCH(C1994,'Prospects'!$C$5:$C$504,0)),"")),'Paramètres'!$Q$6:$Q$15,0)),0))-N(P1994)),0)))</f>
        <v/>
      </c>
      <c r="AX1994" s="61">
        <f>IF(C1994="","",IF(COUNTIF($C$5:C1994,C1994)=1,MAX($AX$4:AX1993)+1,""))</f>
        <v/>
      </c>
      <c r="AY1994" s="61">
        <f>IF(B1994="","",HOUR(B1994))</f>
        <v/>
      </c>
      <c r="AZ1994" s="61">
        <f>IF(A1994="","",MOD(A1994-2,7)+1)</f>
        <v/>
      </c>
      <c r="BA1994" s="60">
        <f>IF(C1994="","",IFERROR(INDEX('Prospects'!$N$5:$N$504,MATCH(C1994,'Prospects'!$C$5:$C$504,0)),""))</f>
        <v/>
      </c>
      <c r="BB1994" s="61">
        <f>IF(AND(C1994&lt;&gt;"",C1994='Fiche prospect'!$C$4),COUNTIF($C$5:C1994,C1994),"")</f>
        <v/>
      </c>
    </row>
    <row r="1995">
      <c r="A1995" s="53" t="n"/>
      <c r="B1995" s="54" t="n"/>
      <c r="C1995" s="55" t="n"/>
      <c r="D1995" s="55" t="n"/>
      <c r="E1995" s="55" t="n"/>
      <c r="F1995" s="55" t="n"/>
      <c r="G1995" s="56" t="n"/>
      <c r="H1995" s="57" t="n"/>
      <c r="I1995" s="55" t="n"/>
      <c r="J1995" s="53" t="n"/>
      <c r="K1995" s="54" t="n"/>
      <c r="L1995" s="55" t="n"/>
      <c r="M1995" s="55" t="n"/>
      <c r="N1995" s="57" t="n"/>
      <c r="O1995" s="55" t="n"/>
      <c r="P1995" s="56" t="n"/>
      <c r="Q1995" s="55" t="n"/>
      <c r="R1995" s="55" t="n"/>
      <c r="S1995" s="55" t="n"/>
      <c r="T1995" s="55" t="n"/>
      <c r="U1995" s="55" t="n"/>
      <c r="V1995" s="55" t="n"/>
      <c r="W1995" s="58" t="n"/>
      <c r="X1995" s="58" t="n"/>
      <c r="Y1995" s="55" t="n"/>
      <c r="Z1995" s="55" t="n"/>
      <c r="AA1995" s="55" t="n"/>
      <c r="AB1995" s="55" t="n"/>
      <c r="AC1995" s="55" t="n"/>
      <c r="AD1995" s="53" t="n"/>
      <c r="AE1995" s="55" t="n"/>
      <c r="AF1995" s="55" t="n"/>
      <c r="AG1995" s="59" t="n"/>
      <c r="AH1995" s="57" t="n"/>
      <c r="AI1995" s="55" t="n"/>
      <c r="AJ1995" s="55" t="n"/>
      <c r="AK1995" s="55" t="n"/>
      <c r="AL1995" s="55" t="n"/>
      <c r="AM1995" s="56" t="n"/>
      <c r="AN1995" s="55" t="n"/>
      <c r="AO1995" s="55" t="n"/>
      <c r="AP1995" s="55" t="n"/>
      <c r="AQ1995" s="55" t="n"/>
      <c r="AR1995" s="60">
        <f>IF(AND(C1995="",E1995=""),"",IF(A1995="","⚠ Date manquante",IF(AND(C1995="",E1995&lt;&gt;"Dépense"),"⚠ Prospect manquant",IF(E1995="","⚠ Action manquante",IF(AND(AU1995=1,D1995=""),"⚠ Canal manquant",IF(AND(W1995&lt;&gt;"",COUNTIFS('Saisie'!$W$5:$W$2004,W1995,'Saisie'!$C$5:$C$2004,"&lt;&gt;"&amp;C1995)&gt;0),"⚠ Numéro déjà utilisé par un autre prospect",IF(AND(J1995&lt;&gt;"",J1995&lt;A1995),"⚠ Relance avant la date de l'action",IF(A1995&gt;TODAY(),"⚠ Date dans le futur","✓"))))))))</f>
        <v/>
      </c>
      <c r="AS1995" s="61">
        <f>IF(AND(A1995="",C1995="",E1995=""),"",ROW())</f>
        <v/>
      </c>
      <c r="AT1995" s="61">
        <f>IF(E1995&amp;F1995="","",MAX(IFERROR(INDEX('Paramètres'!$J$6:$J$33,MATCH(E1995,'Paramètres'!$I$6:$I$33,0)),0),IFERROR(INDEX('Paramètres'!$N$6:$N$17,MATCH(F1995,'Paramètres'!$M$6:$M$17,0)),0)))</f>
        <v/>
      </c>
      <c r="AU1995" s="61">
        <f>IF(E1995="","",IFERROR(IF(INDEX('Paramètres'!$K$6:$K$33,MATCH(E1995,'Paramètres'!$I$6:$I$33,0))="Oui",1,0),0))</f>
        <v/>
      </c>
      <c r="AV1995" s="61">
        <f>IF(F1995="","",IFERROR(IF(INDEX('Paramètres'!$O$6:$O$17,MATCH(F1995,'Paramètres'!$M$6:$M$17,0))="Oui",1,0),0))</f>
        <v/>
      </c>
      <c r="AW1995" s="62">
        <f>IF(E1995="","",IF(G1995&lt;&gt;"",G1995,IF(OR(E1995="Proposition envoyée",E1995="Signature"),MAX(0,N(IFERROR(INDEX('Paramètres'!$R$6:$R$15,MATCH(IF(AL1995&lt;&gt;"",AL1995,IFERROR(INDEX('Prospects'!$AN$5:$AN$504,MATCH(C1995,'Prospects'!$C$5:$C$504,0)),"")),'Paramètres'!$Q$6:$Q$15,0)),0))-N(P1995)),0)))</f>
        <v/>
      </c>
      <c r="AX1995" s="61">
        <f>IF(C1995="","",IF(COUNTIF($C$5:C1995,C1995)=1,MAX($AX$4:AX1994)+1,""))</f>
        <v/>
      </c>
      <c r="AY1995" s="61">
        <f>IF(B1995="","",HOUR(B1995))</f>
        <v/>
      </c>
      <c r="AZ1995" s="61">
        <f>IF(A1995="","",MOD(A1995-2,7)+1)</f>
        <v/>
      </c>
      <c r="BA1995" s="60">
        <f>IF(C1995="","",IFERROR(INDEX('Prospects'!$N$5:$N$504,MATCH(C1995,'Prospects'!$C$5:$C$504,0)),""))</f>
        <v/>
      </c>
      <c r="BB1995" s="61">
        <f>IF(AND(C1995&lt;&gt;"",C1995='Fiche prospect'!$C$4),COUNTIF($C$5:C1995,C1995),"")</f>
        <v/>
      </c>
    </row>
    <row r="1996">
      <c r="A1996" s="53" t="n"/>
      <c r="B1996" s="54" t="n"/>
      <c r="C1996" s="55" t="n"/>
      <c r="D1996" s="55" t="n"/>
      <c r="E1996" s="55" t="n"/>
      <c r="F1996" s="55" t="n"/>
      <c r="G1996" s="56" t="n"/>
      <c r="H1996" s="57" t="n"/>
      <c r="I1996" s="55" t="n"/>
      <c r="J1996" s="53" t="n"/>
      <c r="K1996" s="54" t="n"/>
      <c r="L1996" s="55" t="n"/>
      <c r="M1996" s="55" t="n"/>
      <c r="N1996" s="57" t="n"/>
      <c r="O1996" s="55" t="n"/>
      <c r="P1996" s="56" t="n"/>
      <c r="Q1996" s="55" t="n"/>
      <c r="R1996" s="55" t="n"/>
      <c r="S1996" s="55" t="n"/>
      <c r="T1996" s="55" t="n"/>
      <c r="U1996" s="55" t="n"/>
      <c r="V1996" s="55" t="n"/>
      <c r="W1996" s="58" t="n"/>
      <c r="X1996" s="58" t="n"/>
      <c r="Y1996" s="55" t="n"/>
      <c r="Z1996" s="55" t="n"/>
      <c r="AA1996" s="55" t="n"/>
      <c r="AB1996" s="55" t="n"/>
      <c r="AC1996" s="55" t="n"/>
      <c r="AD1996" s="53" t="n"/>
      <c r="AE1996" s="55" t="n"/>
      <c r="AF1996" s="55" t="n"/>
      <c r="AG1996" s="59" t="n"/>
      <c r="AH1996" s="57" t="n"/>
      <c r="AI1996" s="55" t="n"/>
      <c r="AJ1996" s="55" t="n"/>
      <c r="AK1996" s="55" t="n"/>
      <c r="AL1996" s="55" t="n"/>
      <c r="AM1996" s="56" t="n"/>
      <c r="AN1996" s="55" t="n"/>
      <c r="AO1996" s="55" t="n"/>
      <c r="AP1996" s="55" t="n"/>
      <c r="AQ1996" s="55" t="n"/>
      <c r="AR1996" s="60">
        <f>IF(AND(C1996="",E1996=""),"",IF(A1996="","⚠ Date manquante",IF(AND(C1996="",E1996&lt;&gt;"Dépense"),"⚠ Prospect manquant",IF(E1996="","⚠ Action manquante",IF(AND(AU1996=1,D1996=""),"⚠ Canal manquant",IF(AND(W1996&lt;&gt;"",COUNTIFS('Saisie'!$W$5:$W$2004,W1996,'Saisie'!$C$5:$C$2004,"&lt;&gt;"&amp;C1996)&gt;0),"⚠ Numéro déjà utilisé par un autre prospect",IF(AND(J1996&lt;&gt;"",J1996&lt;A1996),"⚠ Relance avant la date de l'action",IF(A1996&gt;TODAY(),"⚠ Date dans le futur","✓"))))))))</f>
        <v/>
      </c>
      <c r="AS1996" s="61">
        <f>IF(AND(A1996="",C1996="",E1996=""),"",ROW())</f>
        <v/>
      </c>
      <c r="AT1996" s="61">
        <f>IF(E1996&amp;F1996="","",MAX(IFERROR(INDEX('Paramètres'!$J$6:$J$33,MATCH(E1996,'Paramètres'!$I$6:$I$33,0)),0),IFERROR(INDEX('Paramètres'!$N$6:$N$17,MATCH(F1996,'Paramètres'!$M$6:$M$17,0)),0)))</f>
        <v/>
      </c>
      <c r="AU1996" s="61">
        <f>IF(E1996="","",IFERROR(IF(INDEX('Paramètres'!$K$6:$K$33,MATCH(E1996,'Paramètres'!$I$6:$I$33,0))="Oui",1,0),0))</f>
        <v/>
      </c>
      <c r="AV1996" s="61">
        <f>IF(F1996="","",IFERROR(IF(INDEX('Paramètres'!$O$6:$O$17,MATCH(F1996,'Paramètres'!$M$6:$M$17,0))="Oui",1,0),0))</f>
        <v/>
      </c>
      <c r="AW1996" s="62">
        <f>IF(E1996="","",IF(G1996&lt;&gt;"",G1996,IF(OR(E1996="Proposition envoyée",E1996="Signature"),MAX(0,N(IFERROR(INDEX('Paramètres'!$R$6:$R$15,MATCH(IF(AL1996&lt;&gt;"",AL1996,IFERROR(INDEX('Prospects'!$AN$5:$AN$504,MATCH(C1996,'Prospects'!$C$5:$C$504,0)),"")),'Paramètres'!$Q$6:$Q$15,0)),0))-N(P1996)),0)))</f>
        <v/>
      </c>
      <c r="AX1996" s="61">
        <f>IF(C1996="","",IF(COUNTIF($C$5:C1996,C1996)=1,MAX($AX$4:AX1995)+1,""))</f>
        <v/>
      </c>
      <c r="AY1996" s="61">
        <f>IF(B1996="","",HOUR(B1996))</f>
        <v/>
      </c>
      <c r="AZ1996" s="61">
        <f>IF(A1996="","",MOD(A1996-2,7)+1)</f>
        <v/>
      </c>
      <c r="BA1996" s="60">
        <f>IF(C1996="","",IFERROR(INDEX('Prospects'!$N$5:$N$504,MATCH(C1996,'Prospects'!$C$5:$C$504,0)),""))</f>
        <v/>
      </c>
      <c r="BB1996" s="61">
        <f>IF(AND(C1996&lt;&gt;"",C1996='Fiche prospect'!$C$4),COUNTIF($C$5:C1996,C1996),"")</f>
        <v/>
      </c>
    </row>
    <row r="1997">
      <c r="A1997" s="53" t="n"/>
      <c r="B1997" s="54" t="n"/>
      <c r="C1997" s="55" t="n"/>
      <c r="D1997" s="55" t="n"/>
      <c r="E1997" s="55" t="n"/>
      <c r="F1997" s="55" t="n"/>
      <c r="G1997" s="56" t="n"/>
      <c r="H1997" s="57" t="n"/>
      <c r="I1997" s="55" t="n"/>
      <c r="J1997" s="53" t="n"/>
      <c r="K1997" s="54" t="n"/>
      <c r="L1997" s="55" t="n"/>
      <c r="M1997" s="55" t="n"/>
      <c r="N1997" s="57" t="n"/>
      <c r="O1997" s="55" t="n"/>
      <c r="P1997" s="56" t="n"/>
      <c r="Q1997" s="55" t="n"/>
      <c r="R1997" s="55" t="n"/>
      <c r="S1997" s="55" t="n"/>
      <c r="T1997" s="55" t="n"/>
      <c r="U1997" s="55" t="n"/>
      <c r="V1997" s="55" t="n"/>
      <c r="W1997" s="58" t="n"/>
      <c r="X1997" s="58" t="n"/>
      <c r="Y1997" s="55" t="n"/>
      <c r="Z1997" s="55" t="n"/>
      <c r="AA1997" s="55" t="n"/>
      <c r="AB1997" s="55" t="n"/>
      <c r="AC1997" s="55" t="n"/>
      <c r="AD1997" s="53" t="n"/>
      <c r="AE1997" s="55" t="n"/>
      <c r="AF1997" s="55" t="n"/>
      <c r="AG1997" s="59" t="n"/>
      <c r="AH1997" s="57" t="n"/>
      <c r="AI1997" s="55" t="n"/>
      <c r="AJ1997" s="55" t="n"/>
      <c r="AK1997" s="55" t="n"/>
      <c r="AL1997" s="55" t="n"/>
      <c r="AM1997" s="56" t="n"/>
      <c r="AN1997" s="55" t="n"/>
      <c r="AO1997" s="55" t="n"/>
      <c r="AP1997" s="55" t="n"/>
      <c r="AQ1997" s="55" t="n"/>
      <c r="AR1997" s="60">
        <f>IF(AND(C1997="",E1997=""),"",IF(A1997="","⚠ Date manquante",IF(AND(C1997="",E1997&lt;&gt;"Dépense"),"⚠ Prospect manquant",IF(E1997="","⚠ Action manquante",IF(AND(AU1997=1,D1997=""),"⚠ Canal manquant",IF(AND(W1997&lt;&gt;"",COUNTIFS('Saisie'!$W$5:$W$2004,W1997,'Saisie'!$C$5:$C$2004,"&lt;&gt;"&amp;C1997)&gt;0),"⚠ Numéro déjà utilisé par un autre prospect",IF(AND(J1997&lt;&gt;"",J1997&lt;A1997),"⚠ Relance avant la date de l'action",IF(A1997&gt;TODAY(),"⚠ Date dans le futur","✓"))))))))</f>
        <v/>
      </c>
      <c r="AS1997" s="61">
        <f>IF(AND(A1997="",C1997="",E1997=""),"",ROW())</f>
        <v/>
      </c>
      <c r="AT1997" s="61">
        <f>IF(E1997&amp;F1997="","",MAX(IFERROR(INDEX('Paramètres'!$J$6:$J$33,MATCH(E1997,'Paramètres'!$I$6:$I$33,0)),0),IFERROR(INDEX('Paramètres'!$N$6:$N$17,MATCH(F1997,'Paramètres'!$M$6:$M$17,0)),0)))</f>
        <v/>
      </c>
      <c r="AU1997" s="61">
        <f>IF(E1997="","",IFERROR(IF(INDEX('Paramètres'!$K$6:$K$33,MATCH(E1997,'Paramètres'!$I$6:$I$33,0))="Oui",1,0),0))</f>
        <v/>
      </c>
      <c r="AV1997" s="61">
        <f>IF(F1997="","",IFERROR(IF(INDEX('Paramètres'!$O$6:$O$17,MATCH(F1997,'Paramètres'!$M$6:$M$17,0))="Oui",1,0),0))</f>
        <v/>
      </c>
      <c r="AW1997" s="62">
        <f>IF(E1997="","",IF(G1997&lt;&gt;"",G1997,IF(OR(E1997="Proposition envoyée",E1997="Signature"),MAX(0,N(IFERROR(INDEX('Paramètres'!$R$6:$R$15,MATCH(IF(AL1997&lt;&gt;"",AL1997,IFERROR(INDEX('Prospects'!$AN$5:$AN$504,MATCH(C1997,'Prospects'!$C$5:$C$504,0)),"")),'Paramètres'!$Q$6:$Q$15,0)),0))-N(P1997)),0)))</f>
        <v/>
      </c>
      <c r="AX1997" s="61">
        <f>IF(C1997="","",IF(COUNTIF($C$5:C1997,C1997)=1,MAX($AX$4:AX1996)+1,""))</f>
        <v/>
      </c>
      <c r="AY1997" s="61">
        <f>IF(B1997="","",HOUR(B1997))</f>
        <v/>
      </c>
      <c r="AZ1997" s="61">
        <f>IF(A1997="","",MOD(A1997-2,7)+1)</f>
        <v/>
      </c>
      <c r="BA1997" s="60">
        <f>IF(C1997="","",IFERROR(INDEX('Prospects'!$N$5:$N$504,MATCH(C1997,'Prospects'!$C$5:$C$504,0)),""))</f>
        <v/>
      </c>
      <c r="BB1997" s="61">
        <f>IF(AND(C1997&lt;&gt;"",C1997='Fiche prospect'!$C$4),COUNTIF($C$5:C1997,C1997),"")</f>
        <v/>
      </c>
    </row>
    <row r="1998">
      <c r="A1998" s="53" t="n"/>
      <c r="B1998" s="54" t="n"/>
      <c r="C1998" s="55" t="n"/>
      <c r="D1998" s="55" t="n"/>
      <c r="E1998" s="55" t="n"/>
      <c r="F1998" s="55" t="n"/>
      <c r="G1998" s="56" t="n"/>
      <c r="H1998" s="57" t="n"/>
      <c r="I1998" s="55" t="n"/>
      <c r="J1998" s="53" t="n"/>
      <c r="K1998" s="54" t="n"/>
      <c r="L1998" s="55" t="n"/>
      <c r="M1998" s="55" t="n"/>
      <c r="N1998" s="57" t="n"/>
      <c r="O1998" s="55" t="n"/>
      <c r="P1998" s="56" t="n"/>
      <c r="Q1998" s="55" t="n"/>
      <c r="R1998" s="55" t="n"/>
      <c r="S1998" s="55" t="n"/>
      <c r="T1998" s="55" t="n"/>
      <c r="U1998" s="55" t="n"/>
      <c r="V1998" s="55" t="n"/>
      <c r="W1998" s="58" t="n"/>
      <c r="X1998" s="58" t="n"/>
      <c r="Y1998" s="55" t="n"/>
      <c r="Z1998" s="55" t="n"/>
      <c r="AA1998" s="55" t="n"/>
      <c r="AB1998" s="55" t="n"/>
      <c r="AC1998" s="55" t="n"/>
      <c r="AD1998" s="53" t="n"/>
      <c r="AE1998" s="55" t="n"/>
      <c r="AF1998" s="55" t="n"/>
      <c r="AG1998" s="59" t="n"/>
      <c r="AH1998" s="57" t="n"/>
      <c r="AI1998" s="55" t="n"/>
      <c r="AJ1998" s="55" t="n"/>
      <c r="AK1998" s="55" t="n"/>
      <c r="AL1998" s="55" t="n"/>
      <c r="AM1998" s="56" t="n"/>
      <c r="AN1998" s="55" t="n"/>
      <c r="AO1998" s="55" t="n"/>
      <c r="AP1998" s="55" t="n"/>
      <c r="AQ1998" s="55" t="n"/>
      <c r="AR1998" s="60">
        <f>IF(AND(C1998="",E1998=""),"",IF(A1998="","⚠ Date manquante",IF(AND(C1998="",E1998&lt;&gt;"Dépense"),"⚠ Prospect manquant",IF(E1998="","⚠ Action manquante",IF(AND(AU1998=1,D1998=""),"⚠ Canal manquant",IF(AND(W1998&lt;&gt;"",COUNTIFS('Saisie'!$W$5:$W$2004,W1998,'Saisie'!$C$5:$C$2004,"&lt;&gt;"&amp;C1998)&gt;0),"⚠ Numéro déjà utilisé par un autre prospect",IF(AND(J1998&lt;&gt;"",J1998&lt;A1998),"⚠ Relance avant la date de l'action",IF(A1998&gt;TODAY(),"⚠ Date dans le futur","✓"))))))))</f>
        <v/>
      </c>
      <c r="AS1998" s="61">
        <f>IF(AND(A1998="",C1998="",E1998=""),"",ROW())</f>
        <v/>
      </c>
      <c r="AT1998" s="61">
        <f>IF(E1998&amp;F1998="","",MAX(IFERROR(INDEX('Paramètres'!$J$6:$J$33,MATCH(E1998,'Paramètres'!$I$6:$I$33,0)),0),IFERROR(INDEX('Paramètres'!$N$6:$N$17,MATCH(F1998,'Paramètres'!$M$6:$M$17,0)),0)))</f>
        <v/>
      </c>
      <c r="AU1998" s="61">
        <f>IF(E1998="","",IFERROR(IF(INDEX('Paramètres'!$K$6:$K$33,MATCH(E1998,'Paramètres'!$I$6:$I$33,0))="Oui",1,0),0))</f>
        <v/>
      </c>
      <c r="AV1998" s="61">
        <f>IF(F1998="","",IFERROR(IF(INDEX('Paramètres'!$O$6:$O$17,MATCH(F1998,'Paramètres'!$M$6:$M$17,0))="Oui",1,0),0))</f>
        <v/>
      </c>
      <c r="AW1998" s="62">
        <f>IF(E1998="","",IF(G1998&lt;&gt;"",G1998,IF(OR(E1998="Proposition envoyée",E1998="Signature"),MAX(0,N(IFERROR(INDEX('Paramètres'!$R$6:$R$15,MATCH(IF(AL1998&lt;&gt;"",AL1998,IFERROR(INDEX('Prospects'!$AN$5:$AN$504,MATCH(C1998,'Prospects'!$C$5:$C$504,0)),"")),'Paramètres'!$Q$6:$Q$15,0)),0))-N(P1998)),0)))</f>
        <v/>
      </c>
      <c r="AX1998" s="61">
        <f>IF(C1998="","",IF(COUNTIF($C$5:C1998,C1998)=1,MAX($AX$4:AX1997)+1,""))</f>
        <v/>
      </c>
      <c r="AY1998" s="61">
        <f>IF(B1998="","",HOUR(B1998))</f>
        <v/>
      </c>
      <c r="AZ1998" s="61">
        <f>IF(A1998="","",MOD(A1998-2,7)+1)</f>
        <v/>
      </c>
      <c r="BA1998" s="60">
        <f>IF(C1998="","",IFERROR(INDEX('Prospects'!$N$5:$N$504,MATCH(C1998,'Prospects'!$C$5:$C$504,0)),""))</f>
        <v/>
      </c>
      <c r="BB1998" s="61">
        <f>IF(AND(C1998&lt;&gt;"",C1998='Fiche prospect'!$C$4),COUNTIF($C$5:C1998,C1998),"")</f>
        <v/>
      </c>
    </row>
    <row r="1999">
      <c r="A1999" s="53" t="n"/>
      <c r="B1999" s="54" t="n"/>
      <c r="C1999" s="55" t="n"/>
      <c r="D1999" s="55" t="n"/>
      <c r="E1999" s="55" t="n"/>
      <c r="F1999" s="55" t="n"/>
      <c r="G1999" s="56" t="n"/>
      <c r="H1999" s="57" t="n"/>
      <c r="I1999" s="55" t="n"/>
      <c r="J1999" s="53" t="n"/>
      <c r="K1999" s="54" t="n"/>
      <c r="L1999" s="55" t="n"/>
      <c r="M1999" s="55" t="n"/>
      <c r="N1999" s="57" t="n"/>
      <c r="O1999" s="55" t="n"/>
      <c r="P1999" s="56" t="n"/>
      <c r="Q1999" s="55" t="n"/>
      <c r="R1999" s="55" t="n"/>
      <c r="S1999" s="55" t="n"/>
      <c r="T1999" s="55" t="n"/>
      <c r="U1999" s="55" t="n"/>
      <c r="V1999" s="55" t="n"/>
      <c r="W1999" s="58" t="n"/>
      <c r="X1999" s="58" t="n"/>
      <c r="Y1999" s="55" t="n"/>
      <c r="Z1999" s="55" t="n"/>
      <c r="AA1999" s="55" t="n"/>
      <c r="AB1999" s="55" t="n"/>
      <c r="AC1999" s="55" t="n"/>
      <c r="AD1999" s="53" t="n"/>
      <c r="AE1999" s="55" t="n"/>
      <c r="AF1999" s="55" t="n"/>
      <c r="AG1999" s="59" t="n"/>
      <c r="AH1999" s="57" t="n"/>
      <c r="AI1999" s="55" t="n"/>
      <c r="AJ1999" s="55" t="n"/>
      <c r="AK1999" s="55" t="n"/>
      <c r="AL1999" s="55" t="n"/>
      <c r="AM1999" s="56" t="n"/>
      <c r="AN1999" s="55" t="n"/>
      <c r="AO1999" s="55" t="n"/>
      <c r="AP1999" s="55" t="n"/>
      <c r="AQ1999" s="55" t="n"/>
      <c r="AR1999" s="60">
        <f>IF(AND(C1999="",E1999=""),"",IF(A1999="","⚠ Date manquante",IF(AND(C1999="",E1999&lt;&gt;"Dépense"),"⚠ Prospect manquant",IF(E1999="","⚠ Action manquante",IF(AND(AU1999=1,D1999=""),"⚠ Canal manquant",IF(AND(W1999&lt;&gt;"",COUNTIFS('Saisie'!$W$5:$W$2004,W1999,'Saisie'!$C$5:$C$2004,"&lt;&gt;"&amp;C1999)&gt;0),"⚠ Numéro déjà utilisé par un autre prospect",IF(AND(J1999&lt;&gt;"",J1999&lt;A1999),"⚠ Relance avant la date de l'action",IF(A1999&gt;TODAY(),"⚠ Date dans le futur","✓"))))))))</f>
        <v/>
      </c>
      <c r="AS1999" s="61">
        <f>IF(AND(A1999="",C1999="",E1999=""),"",ROW())</f>
        <v/>
      </c>
      <c r="AT1999" s="61">
        <f>IF(E1999&amp;F1999="","",MAX(IFERROR(INDEX('Paramètres'!$J$6:$J$33,MATCH(E1999,'Paramètres'!$I$6:$I$33,0)),0),IFERROR(INDEX('Paramètres'!$N$6:$N$17,MATCH(F1999,'Paramètres'!$M$6:$M$17,0)),0)))</f>
        <v/>
      </c>
      <c r="AU1999" s="61">
        <f>IF(E1999="","",IFERROR(IF(INDEX('Paramètres'!$K$6:$K$33,MATCH(E1999,'Paramètres'!$I$6:$I$33,0))="Oui",1,0),0))</f>
        <v/>
      </c>
      <c r="AV1999" s="61">
        <f>IF(F1999="","",IFERROR(IF(INDEX('Paramètres'!$O$6:$O$17,MATCH(F1999,'Paramètres'!$M$6:$M$17,0))="Oui",1,0),0))</f>
        <v/>
      </c>
      <c r="AW1999" s="62">
        <f>IF(E1999="","",IF(G1999&lt;&gt;"",G1999,IF(OR(E1999="Proposition envoyée",E1999="Signature"),MAX(0,N(IFERROR(INDEX('Paramètres'!$R$6:$R$15,MATCH(IF(AL1999&lt;&gt;"",AL1999,IFERROR(INDEX('Prospects'!$AN$5:$AN$504,MATCH(C1999,'Prospects'!$C$5:$C$504,0)),"")),'Paramètres'!$Q$6:$Q$15,0)),0))-N(P1999)),0)))</f>
        <v/>
      </c>
      <c r="AX1999" s="61">
        <f>IF(C1999="","",IF(COUNTIF($C$5:C1999,C1999)=1,MAX($AX$4:AX1998)+1,""))</f>
        <v/>
      </c>
      <c r="AY1999" s="61">
        <f>IF(B1999="","",HOUR(B1999))</f>
        <v/>
      </c>
      <c r="AZ1999" s="61">
        <f>IF(A1999="","",MOD(A1999-2,7)+1)</f>
        <v/>
      </c>
      <c r="BA1999" s="60">
        <f>IF(C1999="","",IFERROR(INDEX('Prospects'!$N$5:$N$504,MATCH(C1999,'Prospects'!$C$5:$C$504,0)),""))</f>
        <v/>
      </c>
      <c r="BB1999" s="61">
        <f>IF(AND(C1999&lt;&gt;"",C1999='Fiche prospect'!$C$4),COUNTIF($C$5:C1999,C1999),"")</f>
        <v/>
      </c>
    </row>
    <row r="2000">
      <c r="A2000" s="53" t="n"/>
      <c r="B2000" s="54" t="n"/>
      <c r="C2000" s="55" t="n"/>
      <c r="D2000" s="55" t="n"/>
      <c r="E2000" s="55" t="n"/>
      <c r="F2000" s="55" t="n"/>
      <c r="G2000" s="56" t="n"/>
      <c r="H2000" s="57" t="n"/>
      <c r="I2000" s="55" t="n"/>
      <c r="J2000" s="53" t="n"/>
      <c r="K2000" s="54" t="n"/>
      <c r="L2000" s="55" t="n"/>
      <c r="M2000" s="55" t="n"/>
      <c r="N2000" s="57" t="n"/>
      <c r="O2000" s="55" t="n"/>
      <c r="P2000" s="56" t="n"/>
      <c r="Q2000" s="55" t="n"/>
      <c r="R2000" s="55" t="n"/>
      <c r="S2000" s="55" t="n"/>
      <c r="T2000" s="55" t="n"/>
      <c r="U2000" s="55" t="n"/>
      <c r="V2000" s="55" t="n"/>
      <c r="W2000" s="58" t="n"/>
      <c r="X2000" s="58" t="n"/>
      <c r="Y2000" s="55" t="n"/>
      <c r="Z2000" s="55" t="n"/>
      <c r="AA2000" s="55" t="n"/>
      <c r="AB2000" s="55" t="n"/>
      <c r="AC2000" s="55" t="n"/>
      <c r="AD2000" s="53" t="n"/>
      <c r="AE2000" s="55" t="n"/>
      <c r="AF2000" s="55" t="n"/>
      <c r="AG2000" s="59" t="n"/>
      <c r="AH2000" s="57" t="n"/>
      <c r="AI2000" s="55" t="n"/>
      <c r="AJ2000" s="55" t="n"/>
      <c r="AK2000" s="55" t="n"/>
      <c r="AL2000" s="55" t="n"/>
      <c r="AM2000" s="56" t="n"/>
      <c r="AN2000" s="55" t="n"/>
      <c r="AO2000" s="55" t="n"/>
      <c r="AP2000" s="55" t="n"/>
      <c r="AQ2000" s="55" t="n"/>
      <c r="AR2000" s="60">
        <f>IF(AND(C2000="",E2000=""),"",IF(A2000="","⚠ Date manquante",IF(AND(C2000="",E2000&lt;&gt;"Dépense"),"⚠ Prospect manquant",IF(E2000="","⚠ Action manquante",IF(AND(AU2000=1,D2000=""),"⚠ Canal manquant",IF(AND(W2000&lt;&gt;"",COUNTIFS('Saisie'!$W$5:$W$2004,W2000,'Saisie'!$C$5:$C$2004,"&lt;&gt;"&amp;C2000)&gt;0),"⚠ Numéro déjà utilisé par un autre prospect",IF(AND(J2000&lt;&gt;"",J2000&lt;A2000),"⚠ Relance avant la date de l'action",IF(A2000&gt;TODAY(),"⚠ Date dans le futur","✓"))))))))</f>
        <v/>
      </c>
      <c r="AS2000" s="61">
        <f>IF(AND(A2000="",C2000="",E2000=""),"",ROW())</f>
        <v/>
      </c>
      <c r="AT2000" s="61">
        <f>IF(E2000&amp;F2000="","",MAX(IFERROR(INDEX('Paramètres'!$J$6:$J$33,MATCH(E2000,'Paramètres'!$I$6:$I$33,0)),0),IFERROR(INDEX('Paramètres'!$N$6:$N$17,MATCH(F2000,'Paramètres'!$M$6:$M$17,0)),0)))</f>
        <v/>
      </c>
      <c r="AU2000" s="61">
        <f>IF(E2000="","",IFERROR(IF(INDEX('Paramètres'!$K$6:$K$33,MATCH(E2000,'Paramètres'!$I$6:$I$33,0))="Oui",1,0),0))</f>
        <v/>
      </c>
      <c r="AV2000" s="61">
        <f>IF(F2000="","",IFERROR(IF(INDEX('Paramètres'!$O$6:$O$17,MATCH(F2000,'Paramètres'!$M$6:$M$17,0))="Oui",1,0),0))</f>
        <v/>
      </c>
      <c r="AW2000" s="62">
        <f>IF(E2000="","",IF(G2000&lt;&gt;"",G2000,IF(OR(E2000="Proposition envoyée",E2000="Signature"),MAX(0,N(IFERROR(INDEX('Paramètres'!$R$6:$R$15,MATCH(IF(AL2000&lt;&gt;"",AL2000,IFERROR(INDEX('Prospects'!$AN$5:$AN$504,MATCH(C2000,'Prospects'!$C$5:$C$504,0)),"")),'Paramètres'!$Q$6:$Q$15,0)),0))-N(P2000)),0)))</f>
        <v/>
      </c>
      <c r="AX2000" s="61">
        <f>IF(C2000="","",IF(COUNTIF($C$5:C2000,C2000)=1,MAX($AX$4:AX1999)+1,""))</f>
        <v/>
      </c>
      <c r="AY2000" s="61">
        <f>IF(B2000="","",HOUR(B2000))</f>
        <v/>
      </c>
      <c r="AZ2000" s="61">
        <f>IF(A2000="","",MOD(A2000-2,7)+1)</f>
        <v/>
      </c>
      <c r="BA2000" s="60">
        <f>IF(C2000="","",IFERROR(INDEX('Prospects'!$N$5:$N$504,MATCH(C2000,'Prospects'!$C$5:$C$504,0)),""))</f>
        <v/>
      </c>
      <c r="BB2000" s="61">
        <f>IF(AND(C2000&lt;&gt;"",C2000='Fiche prospect'!$C$4),COUNTIF($C$5:C2000,C2000),"")</f>
        <v/>
      </c>
    </row>
    <row r="2001">
      <c r="A2001" s="53" t="n"/>
      <c r="B2001" s="54" t="n"/>
      <c r="C2001" s="55" t="n"/>
      <c r="D2001" s="55" t="n"/>
      <c r="E2001" s="55" t="n"/>
      <c r="F2001" s="55" t="n"/>
      <c r="G2001" s="56" t="n"/>
      <c r="H2001" s="57" t="n"/>
      <c r="I2001" s="55" t="n"/>
      <c r="J2001" s="53" t="n"/>
      <c r="K2001" s="54" t="n"/>
      <c r="L2001" s="55" t="n"/>
      <c r="M2001" s="55" t="n"/>
      <c r="N2001" s="57" t="n"/>
      <c r="O2001" s="55" t="n"/>
      <c r="P2001" s="56" t="n"/>
      <c r="Q2001" s="55" t="n"/>
      <c r="R2001" s="55" t="n"/>
      <c r="S2001" s="55" t="n"/>
      <c r="T2001" s="55" t="n"/>
      <c r="U2001" s="55" t="n"/>
      <c r="V2001" s="55" t="n"/>
      <c r="W2001" s="58" t="n"/>
      <c r="X2001" s="58" t="n"/>
      <c r="Y2001" s="55" t="n"/>
      <c r="Z2001" s="55" t="n"/>
      <c r="AA2001" s="55" t="n"/>
      <c r="AB2001" s="55" t="n"/>
      <c r="AC2001" s="55" t="n"/>
      <c r="AD2001" s="53" t="n"/>
      <c r="AE2001" s="55" t="n"/>
      <c r="AF2001" s="55" t="n"/>
      <c r="AG2001" s="59" t="n"/>
      <c r="AH2001" s="57" t="n"/>
      <c r="AI2001" s="55" t="n"/>
      <c r="AJ2001" s="55" t="n"/>
      <c r="AK2001" s="55" t="n"/>
      <c r="AL2001" s="55" t="n"/>
      <c r="AM2001" s="56" t="n"/>
      <c r="AN2001" s="55" t="n"/>
      <c r="AO2001" s="55" t="n"/>
      <c r="AP2001" s="55" t="n"/>
      <c r="AQ2001" s="55" t="n"/>
      <c r="AR2001" s="60">
        <f>IF(AND(C2001="",E2001=""),"",IF(A2001="","⚠ Date manquante",IF(AND(C2001="",E2001&lt;&gt;"Dépense"),"⚠ Prospect manquant",IF(E2001="","⚠ Action manquante",IF(AND(AU2001=1,D2001=""),"⚠ Canal manquant",IF(AND(W2001&lt;&gt;"",COUNTIFS('Saisie'!$W$5:$W$2004,W2001,'Saisie'!$C$5:$C$2004,"&lt;&gt;"&amp;C2001)&gt;0),"⚠ Numéro déjà utilisé par un autre prospect",IF(AND(J2001&lt;&gt;"",J2001&lt;A2001),"⚠ Relance avant la date de l'action",IF(A2001&gt;TODAY(),"⚠ Date dans le futur","✓"))))))))</f>
        <v/>
      </c>
      <c r="AS2001" s="61">
        <f>IF(AND(A2001="",C2001="",E2001=""),"",ROW())</f>
        <v/>
      </c>
      <c r="AT2001" s="61">
        <f>IF(E2001&amp;F2001="","",MAX(IFERROR(INDEX('Paramètres'!$J$6:$J$33,MATCH(E2001,'Paramètres'!$I$6:$I$33,0)),0),IFERROR(INDEX('Paramètres'!$N$6:$N$17,MATCH(F2001,'Paramètres'!$M$6:$M$17,0)),0)))</f>
        <v/>
      </c>
      <c r="AU2001" s="61">
        <f>IF(E2001="","",IFERROR(IF(INDEX('Paramètres'!$K$6:$K$33,MATCH(E2001,'Paramètres'!$I$6:$I$33,0))="Oui",1,0),0))</f>
        <v/>
      </c>
      <c r="AV2001" s="61">
        <f>IF(F2001="","",IFERROR(IF(INDEX('Paramètres'!$O$6:$O$17,MATCH(F2001,'Paramètres'!$M$6:$M$17,0))="Oui",1,0),0))</f>
        <v/>
      </c>
      <c r="AW2001" s="62">
        <f>IF(E2001="","",IF(G2001&lt;&gt;"",G2001,IF(OR(E2001="Proposition envoyée",E2001="Signature"),MAX(0,N(IFERROR(INDEX('Paramètres'!$R$6:$R$15,MATCH(IF(AL2001&lt;&gt;"",AL2001,IFERROR(INDEX('Prospects'!$AN$5:$AN$504,MATCH(C2001,'Prospects'!$C$5:$C$504,0)),"")),'Paramètres'!$Q$6:$Q$15,0)),0))-N(P2001)),0)))</f>
        <v/>
      </c>
      <c r="AX2001" s="61">
        <f>IF(C2001="","",IF(COUNTIF($C$5:C2001,C2001)=1,MAX($AX$4:AX2000)+1,""))</f>
        <v/>
      </c>
      <c r="AY2001" s="61">
        <f>IF(B2001="","",HOUR(B2001))</f>
        <v/>
      </c>
      <c r="AZ2001" s="61">
        <f>IF(A2001="","",MOD(A2001-2,7)+1)</f>
        <v/>
      </c>
      <c r="BA2001" s="60">
        <f>IF(C2001="","",IFERROR(INDEX('Prospects'!$N$5:$N$504,MATCH(C2001,'Prospects'!$C$5:$C$504,0)),""))</f>
        <v/>
      </c>
      <c r="BB2001" s="61">
        <f>IF(AND(C2001&lt;&gt;"",C2001='Fiche prospect'!$C$4),COUNTIF($C$5:C2001,C2001),"")</f>
        <v/>
      </c>
    </row>
    <row r="2002">
      <c r="A2002" s="53" t="n"/>
      <c r="B2002" s="54" t="n"/>
      <c r="C2002" s="55" t="n"/>
      <c r="D2002" s="55" t="n"/>
      <c r="E2002" s="55" t="n"/>
      <c r="F2002" s="55" t="n"/>
      <c r="G2002" s="56" t="n"/>
      <c r="H2002" s="57" t="n"/>
      <c r="I2002" s="55" t="n"/>
      <c r="J2002" s="53" t="n"/>
      <c r="K2002" s="54" t="n"/>
      <c r="L2002" s="55" t="n"/>
      <c r="M2002" s="55" t="n"/>
      <c r="N2002" s="57" t="n"/>
      <c r="O2002" s="55" t="n"/>
      <c r="P2002" s="56" t="n"/>
      <c r="Q2002" s="55" t="n"/>
      <c r="R2002" s="55" t="n"/>
      <c r="S2002" s="55" t="n"/>
      <c r="T2002" s="55" t="n"/>
      <c r="U2002" s="55" t="n"/>
      <c r="V2002" s="55" t="n"/>
      <c r="W2002" s="58" t="n"/>
      <c r="X2002" s="58" t="n"/>
      <c r="Y2002" s="55" t="n"/>
      <c r="Z2002" s="55" t="n"/>
      <c r="AA2002" s="55" t="n"/>
      <c r="AB2002" s="55" t="n"/>
      <c r="AC2002" s="55" t="n"/>
      <c r="AD2002" s="53" t="n"/>
      <c r="AE2002" s="55" t="n"/>
      <c r="AF2002" s="55" t="n"/>
      <c r="AG2002" s="59" t="n"/>
      <c r="AH2002" s="57" t="n"/>
      <c r="AI2002" s="55" t="n"/>
      <c r="AJ2002" s="55" t="n"/>
      <c r="AK2002" s="55" t="n"/>
      <c r="AL2002" s="55" t="n"/>
      <c r="AM2002" s="56" t="n"/>
      <c r="AN2002" s="55" t="n"/>
      <c r="AO2002" s="55" t="n"/>
      <c r="AP2002" s="55" t="n"/>
      <c r="AQ2002" s="55" t="n"/>
      <c r="AR2002" s="60">
        <f>IF(AND(C2002="",E2002=""),"",IF(A2002="","⚠ Date manquante",IF(AND(C2002="",E2002&lt;&gt;"Dépense"),"⚠ Prospect manquant",IF(E2002="","⚠ Action manquante",IF(AND(AU2002=1,D2002=""),"⚠ Canal manquant",IF(AND(W2002&lt;&gt;"",COUNTIFS('Saisie'!$W$5:$W$2004,W2002,'Saisie'!$C$5:$C$2004,"&lt;&gt;"&amp;C2002)&gt;0),"⚠ Numéro déjà utilisé par un autre prospect",IF(AND(J2002&lt;&gt;"",J2002&lt;A2002),"⚠ Relance avant la date de l'action",IF(A2002&gt;TODAY(),"⚠ Date dans le futur","✓"))))))))</f>
        <v/>
      </c>
      <c r="AS2002" s="61">
        <f>IF(AND(A2002="",C2002="",E2002=""),"",ROW())</f>
        <v/>
      </c>
      <c r="AT2002" s="61">
        <f>IF(E2002&amp;F2002="","",MAX(IFERROR(INDEX('Paramètres'!$J$6:$J$33,MATCH(E2002,'Paramètres'!$I$6:$I$33,0)),0),IFERROR(INDEX('Paramètres'!$N$6:$N$17,MATCH(F2002,'Paramètres'!$M$6:$M$17,0)),0)))</f>
        <v/>
      </c>
      <c r="AU2002" s="61">
        <f>IF(E2002="","",IFERROR(IF(INDEX('Paramètres'!$K$6:$K$33,MATCH(E2002,'Paramètres'!$I$6:$I$33,0))="Oui",1,0),0))</f>
        <v/>
      </c>
      <c r="AV2002" s="61">
        <f>IF(F2002="","",IFERROR(IF(INDEX('Paramètres'!$O$6:$O$17,MATCH(F2002,'Paramètres'!$M$6:$M$17,0))="Oui",1,0),0))</f>
        <v/>
      </c>
      <c r="AW2002" s="62">
        <f>IF(E2002="","",IF(G2002&lt;&gt;"",G2002,IF(OR(E2002="Proposition envoyée",E2002="Signature"),MAX(0,N(IFERROR(INDEX('Paramètres'!$R$6:$R$15,MATCH(IF(AL2002&lt;&gt;"",AL2002,IFERROR(INDEX('Prospects'!$AN$5:$AN$504,MATCH(C2002,'Prospects'!$C$5:$C$504,0)),"")),'Paramètres'!$Q$6:$Q$15,0)),0))-N(P2002)),0)))</f>
        <v/>
      </c>
      <c r="AX2002" s="61">
        <f>IF(C2002="","",IF(COUNTIF($C$5:C2002,C2002)=1,MAX($AX$4:AX2001)+1,""))</f>
        <v/>
      </c>
      <c r="AY2002" s="61">
        <f>IF(B2002="","",HOUR(B2002))</f>
        <v/>
      </c>
      <c r="AZ2002" s="61">
        <f>IF(A2002="","",MOD(A2002-2,7)+1)</f>
        <v/>
      </c>
      <c r="BA2002" s="60">
        <f>IF(C2002="","",IFERROR(INDEX('Prospects'!$N$5:$N$504,MATCH(C2002,'Prospects'!$C$5:$C$504,0)),""))</f>
        <v/>
      </c>
      <c r="BB2002" s="61">
        <f>IF(AND(C2002&lt;&gt;"",C2002='Fiche prospect'!$C$4),COUNTIF($C$5:C2002,C2002),"")</f>
        <v/>
      </c>
    </row>
    <row r="2003">
      <c r="A2003" s="53" t="n"/>
      <c r="B2003" s="54" t="n"/>
      <c r="C2003" s="55" t="n"/>
      <c r="D2003" s="55" t="n"/>
      <c r="E2003" s="55" t="n"/>
      <c r="F2003" s="55" t="n"/>
      <c r="G2003" s="56" t="n"/>
      <c r="H2003" s="57" t="n"/>
      <c r="I2003" s="55" t="n"/>
      <c r="J2003" s="53" t="n"/>
      <c r="K2003" s="54" t="n"/>
      <c r="L2003" s="55" t="n"/>
      <c r="M2003" s="55" t="n"/>
      <c r="N2003" s="57" t="n"/>
      <c r="O2003" s="55" t="n"/>
      <c r="P2003" s="56" t="n"/>
      <c r="Q2003" s="55" t="n"/>
      <c r="R2003" s="55" t="n"/>
      <c r="S2003" s="55" t="n"/>
      <c r="T2003" s="55" t="n"/>
      <c r="U2003" s="55" t="n"/>
      <c r="V2003" s="55" t="n"/>
      <c r="W2003" s="58" t="n"/>
      <c r="X2003" s="58" t="n"/>
      <c r="Y2003" s="55" t="n"/>
      <c r="Z2003" s="55" t="n"/>
      <c r="AA2003" s="55" t="n"/>
      <c r="AB2003" s="55" t="n"/>
      <c r="AC2003" s="55" t="n"/>
      <c r="AD2003" s="53" t="n"/>
      <c r="AE2003" s="55" t="n"/>
      <c r="AF2003" s="55" t="n"/>
      <c r="AG2003" s="59" t="n"/>
      <c r="AH2003" s="57" t="n"/>
      <c r="AI2003" s="55" t="n"/>
      <c r="AJ2003" s="55" t="n"/>
      <c r="AK2003" s="55" t="n"/>
      <c r="AL2003" s="55" t="n"/>
      <c r="AM2003" s="56" t="n"/>
      <c r="AN2003" s="55" t="n"/>
      <c r="AO2003" s="55" t="n"/>
      <c r="AP2003" s="55" t="n"/>
      <c r="AQ2003" s="55" t="n"/>
      <c r="AR2003" s="60">
        <f>IF(AND(C2003="",E2003=""),"",IF(A2003="","⚠ Date manquante",IF(AND(C2003="",E2003&lt;&gt;"Dépense"),"⚠ Prospect manquant",IF(E2003="","⚠ Action manquante",IF(AND(AU2003=1,D2003=""),"⚠ Canal manquant",IF(AND(W2003&lt;&gt;"",COUNTIFS('Saisie'!$W$5:$W$2004,W2003,'Saisie'!$C$5:$C$2004,"&lt;&gt;"&amp;C2003)&gt;0),"⚠ Numéro déjà utilisé par un autre prospect",IF(AND(J2003&lt;&gt;"",J2003&lt;A2003),"⚠ Relance avant la date de l'action",IF(A2003&gt;TODAY(),"⚠ Date dans le futur","✓"))))))))</f>
        <v/>
      </c>
      <c r="AS2003" s="61">
        <f>IF(AND(A2003="",C2003="",E2003=""),"",ROW())</f>
        <v/>
      </c>
      <c r="AT2003" s="61">
        <f>IF(E2003&amp;F2003="","",MAX(IFERROR(INDEX('Paramètres'!$J$6:$J$33,MATCH(E2003,'Paramètres'!$I$6:$I$33,0)),0),IFERROR(INDEX('Paramètres'!$N$6:$N$17,MATCH(F2003,'Paramètres'!$M$6:$M$17,0)),0)))</f>
        <v/>
      </c>
      <c r="AU2003" s="61">
        <f>IF(E2003="","",IFERROR(IF(INDEX('Paramètres'!$K$6:$K$33,MATCH(E2003,'Paramètres'!$I$6:$I$33,0))="Oui",1,0),0))</f>
        <v/>
      </c>
      <c r="AV2003" s="61">
        <f>IF(F2003="","",IFERROR(IF(INDEX('Paramètres'!$O$6:$O$17,MATCH(F2003,'Paramètres'!$M$6:$M$17,0))="Oui",1,0),0))</f>
        <v/>
      </c>
      <c r="AW2003" s="62">
        <f>IF(E2003="","",IF(G2003&lt;&gt;"",G2003,IF(OR(E2003="Proposition envoyée",E2003="Signature"),MAX(0,N(IFERROR(INDEX('Paramètres'!$R$6:$R$15,MATCH(IF(AL2003&lt;&gt;"",AL2003,IFERROR(INDEX('Prospects'!$AN$5:$AN$504,MATCH(C2003,'Prospects'!$C$5:$C$504,0)),"")),'Paramètres'!$Q$6:$Q$15,0)),0))-N(P2003)),0)))</f>
        <v/>
      </c>
      <c r="AX2003" s="61">
        <f>IF(C2003="","",IF(COUNTIF($C$5:C2003,C2003)=1,MAX($AX$4:AX2002)+1,""))</f>
        <v/>
      </c>
      <c r="AY2003" s="61">
        <f>IF(B2003="","",HOUR(B2003))</f>
        <v/>
      </c>
      <c r="AZ2003" s="61">
        <f>IF(A2003="","",MOD(A2003-2,7)+1)</f>
        <v/>
      </c>
      <c r="BA2003" s="60">
        <f>IF(C2003="","",IFERROR(INDEX('Prospects'!$N$5:$N$504,MATCH(C2003,'Prospects'!$C$5:$C$504,0)),""))</f>
        <v/>
      </c>
      <c r="BB2003" s="61">
        <f>IF(AND(C2003&lt;&gt;"",C2003='Fiche prospect'!$C$4),COUNTIF($C$5:C2003,C2003),"")</f>
        <v/>
      </c>
    </row>
    <row r="2004">
      <c r="A2004" s="53" t="n"/>
      <c r="B2004" s="54" t="n"/>
      <c r="C2004" s="55" t="n"/>
      <c r="D2004" s="55" t="n"/>
      <c r="E2004" s="55" t="n"/>
      <c r="F2004" s="55" t="n"/>
      <c r="G2004" s="56" t="n"/>
      <c r="H2004" s="57" t="n"/>
      <c r="I2004" s="55" t="n"/>
      <c r="J2004" s="53" t="n"/>
      <c r="K2004" s="54" t="n"/>
      <c r="L2004" s="55" t="n"/>
      <c r="M2004" s="55" t="n"/>
      <c r="N2004" s="57" t="n"/>
      <c r="O2004" s="55" t="n"/>
      <c r="P2004" s="56" t="n"/>
      <c r="Q2004" s="55" t="n"/>
      <c r="R2004" s="55" t="n"/>
      <c r="S2004" s="55" t="n"/>
      <c r="T2004" s="55" t="n"/>
      <c r="U2004" s="55" t="n"/>
      <c r="V2004" s="55" t="n"/>
      <c r="W2004" s="58" t="n"/>
      <c r="X2004" s="58" t="n"/>
      <c r="Y2004" s="55" t="n"/>
      <c r="Z2004" s="55" t="n"/>
      <c r="AA2004" s="55" t="n"/>
      <c r="AB2004" s="55" t="n"/>
      <c r="AC2004" s="55" t="n"/>
      <c r="AD2004" s="53" t="n"/>
      <c r="AE2004" s="55" t="n"/>
      <c r="AF2004" s="55" t="n"/>
      <c r="AG2004" s="59" t="n"/>
      <c r="AH2004" s="57" t="n"/>
      <c r="AI2004" s="55" t="n"/>
      <c r="AJ2004" s="55" t="n"/>
      <c r="AK2004" s="55" t="n"/>
      <c r="AL2004" s="55" t="n"/>
      <c r="AM2004" s="56" t="n"/>
      <c r="AN2004" s="55" t="n"/>
      <c r="AO2004" s="55" t="n"/>
      <c r="AP2004" s="55" t="n"/>
      <c r="AQ2004" s="55" t="n"/>
      <c r="AR2004" s="60">
        <f>IF(AND(C2004="",E2004=""),"",IF(A2004="","⚠ Date manquante",IF(AND(C2004="",E2004&lt;&gt;"Dépense"),"⚠ Prospect manquant",IF(E2004="","⚠ Action manquante",IF(AND(AU2004=1,D2004=""),"⚠ Canal manquant",IF(AND(W2004&lt;&gt;"",COUNTIFS('Saisie'!$W$5:$W$2004,W2004,'Saisie'!$C$5:$C$2004,"&lt;&gt;"&amp;C2004)&gt;0),"⚠ Numéro déjà utilisé par un autre prospect",IF(AND(J2004&lt;&gt;"",J2004&lt;A2004),"⚠ Relance avant la date de l'action",IF(A2004&gt;TODAY(),"⚠ Date dans le futur","✓"))))))))</f>
        <v/>
      </c>
      <c r="AS2004" s="61">
        <f>IF(AND(A2004="",C2004="",E2004=""),"",ROW())</f>
        <v/>
      </c>
      <c r="AT2004" s="61">
        <f>IF(E2004&amp;F2004="","",MAX(IFERROR(INDEX('Paramètres'!$J$6:$J$33,MATCH(E2004,'Paramètres'!$I$6:$I$33,0)),0),IFERROR(INDEX('Paramètres'!$N$6:$N$17,MATCH(F2004,'Paramètres'!$M$6:$M$17,0)),0)))</f>
        <v/>
      </c>
      <c r="AU2004" s="61">
        <f>IF(E2004="","",IFERROR(IF(INDEX('Paramètres'!$K$6:$K$33,MATCH(E2004,'Paramètres'!$I$6:$I$33,0))="Oui",1,0),0))</f>
        <v/>
      </c>
      <c r="AV2004" s="61">
        <f>IF(F2004="","",IFERROR(IF(INDEX('Paramètres'!$O$6:$O$17,MATCH(F2004,'Paramètres'!$M$6:$M$17,0))="Oui",1,0),0))</f>
        <v/>
      </c>
      <c r="AW2004" s="62">
        <f>IF(E2004="","",IF(G2004&lt;&gt;"",G2004,IF(OR(E2004="Proposition envoyée",E2004="Signature"),MAX(0,N(IFERROR(INDEX('Paramètres'!$R$6:$R$15,MATCH(IF(AL2004&lt;&gt;"",AL2004,IFERROR(INDEX('Prospects'!$AN$5:$AN$504,MATCH(C2004,'Prospects'!$C$5:$C$504,0)),"")),'Paramètres'!$Q$6:$Q$15,0)),0))-N(P2004)),0)))</f>
        <v/>
      </c>
      <c r="AX2004" s="61">
        <f>IF(C2004="","",IF(COUNTIF($C$5:C2004,C2004)=1,MAX($AX$4:AX2003)+1,""))</f>
        <v/>
      </c>
      <c r="AY2004" s="61">
        <f>IF(B2004="","",HOUR(B2004))</f>
        <v/>
      </c>
      <c r="AZ2004" s="61">
        <f>IF(A2004="","",MOD(A2004-2,7)+1)</f>
        <v/>
      </c>
      <c r="BA2004" s="60">
        <f>IF(C2004="","",IFERROR(INDEX('Prospects'!$N$5:$N$504,MATCH(C2004,'Prospects'!$C$5:$C$504,0)),""))</f>
        <v/>
      </c>
      <c r="BB2004" s="61">
        <f>IF(AND(C2004&lt;&gt;"",C2004='Fiche prospect'!$C$4),COUNTIF($C$5:C2004,C2004),"")</f>
        <v/>
      </c>
    </row>
  </sheetData>
  <autoFilter ref="A4:BB2004"/>
  <mergeCells count="6">
    <mergeCell ref="A2:BB2"/>
    <mergeCell ref="A3:Q3"/>
    <mergeCell ref="R3:AM3"/>
    <mergeCell ref="AN3:AQ3"/>
    <mergeCell ref="AR3:BB3"/>
    <mergeCell ref="B1:BB1"/>
  </mergeCells>
  <conditionalFormatting sqref="AR5:AR2004">
    <cfRule type="expression" priority="1" dxfId="0">
      <formula>LEFT($AR5,1)="⚠"</formula>
    </cfRule>
    <cfRule type="expression" priority="2" dxfId="1">
      <formula>$AR5="✓"</formula>
    </cfRule>
  </conditionalFormatting>
  <conditionalFormatting sqref="A5:Q2004">
    <cfRule type="expression" priority="3" dxfId="2">
      <formula>$AX5&lt;&gt;""</formula>
    </cfRule>
  </conditionalFormatting>
  <dataValidations count="21">
    <dataValidation sqref="A5:A2004 J5:J2004 AD5:AD2004" showDropDown="0" showInputMessage="0" showErrorMessage="1" allowBlank="1" error="Saisis une date (jj/mm/aaaa)." type="date" operator="between">
      <formula1>43831</formula1>
      <formula2>54789</formula2>
    </dataValidation>
    <dataValidation sqref="B5:B2004 K5:K2004" showDropDown="0" showInputMessage="0" showErrorMessage="1" allowBlank="1" error="Saisis une heure (hh:mm)." type="time" operator="between">
      <formula1>0</formula1>
      <formula2>0.99999</formula2>
    </dataValidation>
    <dataValidation sqref="C5:C2004" showDropDown="0" showInputMessage="1" showErrorMessage="0" allowBlank="1" errorTitle="Valeur non valide" error="Choisis une valeur dans la liste (modifiable dans Paramètres)." promptTitle="Prospect" prompt="Choisis un prospect existant, ou tape le nom d'un nouveau prospect puis remplis sa fiche." type="list">
      <formula1>'Prospects'!$C$5:$C$504</formula1>
    </dataValidation>
    <dataValidation sqref="D5:D2004" showDropDown="0" showInputMessage="1" showErrorMessage="1" allowBlank="1" errorTitle="Valeur non valide" error="Choisis une valeur dans la liste (modifiable dans Paramètres)." promptTitle="" prompt="DM / Appel / WhatsApp / Facebook / Autre" type="list">
      <formula1>'Paramètres'!$D$6:$D$10</formula1>
    </dataValidation>
    <dataValidation sqref="E5:E2004" showDropDown="0" showInputMessage="0" showErrorMessage="1" allowBlank="1" errorTitle="Valeur non valide" error="Choisis une valeur dans la liste (modifiable dans Paramètres)." type="list">
      <formula1>'Paramètres'!$I$6:$I$33</formula1>
    </dataValidation>
    <dataValidation sqref="F5:F2004" showDropDown="0" showInputMessage="0" showErrorMessage="1" allowBlank="1" errorTitle="Valeur non valide" error="Choisis une valeur dans la liste (modifiable dans Paramètres)." type="list">
      <formula1>'Paramètres'!$M$6:$M$17</formula1>
    </dataValidation>
    <dataValidation sqref="L5:L2004" showDropDown="0" showInputMessage="0" showErrorMessage="1" allowBlank="1" errorTitle="Valeur non valide" error="Choisis une valeur dans la liste (modifiable dans Paramètres)." type="list">
      <formula1>'Paramètres'!$Y$6:$Y$17</formula1>
    </dataValidation>
    <dataValidation sqref="M5:M2004" showDropDown="0" showInputMessage="0" showErrorMessage="1" allowBlank="1" errorTitle="Valeur non valide" error="Choisis une valeur dans la liste (modifiable dans Paramètres)." type="list">
      <formula1>'Paramètres'!$AA$6:$AA$14</formula1>
    </dataValidation>
    <dataValidation sqref="R5:R2004" showDropDown="0" showInputMessage="0" showErrorMessage="1" allowBlank="1" errorTitle="Valeur non valide" error="Choisis une valeur dans la liste (modifiable dans Paramètres)." type="list">
      <formula1>'Paramètres'!$V$6:$V$20</formula1>
    </dataValidation>
    <dataValidation sqref="T5:T2004" showDropDown="0" showInputMessage="0" showErrorMessage="1" allowBlank="1" errorTitle="Valeur non valide" error="Choisis une valeur dans la liste (modifiable dans Paramètres)." type="list">
      <formula1>'Paramètres'!$AE$6:$AE$13</formula1>
    </dataValidation>
    <dataValidation sqref="AA5:AA2004" showDropDown="0" showInputMessage="0" showErrorMessage="1" allowBlank="1" errorTitle="Valeur non valide" error="Choisis une valeur dans la liste (modifiable dans Paramètres)." type="list">
      <formula1>'Paramètres'!$AC$6:$AC$16</formula1>
    </dataValidation>
    <dataValidation sqref="AC5:AC2004" showDropDown="0" showInputMessage="0" showErrorMessage="1" allowBlank="1" errorTitle="Valeur non valide" error="Choisis une valeur dans la liste (modifiable dans Paramètres)." type="list">
      <formula1>'Paramètres'!$AJ$6:$AJ$7</formula1>
    </dataValidation>
    <dataValidation sqref="AE5:AE2004" showDropDown="0" showInputMessage="0" showErrorMessage="1" allowBlank="1" errorTitle="Valeur non valide" error="Choisis une valeur dans la liste (modifiable dans Paramètres)." type="list">
      <formula1>'Paramètres'!$AM$6:$AM$7</formula1>
    </dataValidation>
    <dataValidation sqref="AF5:AF2004" showDropDown="0" showInputMessage="0" showErrorMessage="1" allowBlank="1" errorTitle="Valeur non valide" error="Choisis une valeur dans la liste (modifiable dans Paramètres)." type="list">
      <formula1>'Paramètres'!$AN$6:$AN$8</formula1>
    </dataValidation>
    <dataValidation sqref="AI5:AI2004" showDropDown="0" showInputMessage="0" showErrorMessage="1" allowBlank="1" errorTitle="Valeur non valide" error="Choisis une valeur dans la liste (modifiable dans Paramètres)." type="list">
      <formula1>'Paramètres'!$AL$6:$AL$8</formula1>
    </dataValidation>
    <dataValidation sqref="AL5:AL2004" showDropDown="0" showInputMessage="1" showErrorMessage="1" allowBlank="1" errorTitle="Valeur non valide" error="Choisis une valeur dans la liste (modifiable dans Paramètres)." promptTitle="" prompt="Vide + montant vide = prix de la grille" type="list">
      <formula1>'Paramètres'!$Q$6:$Q$15</formula1>
    </dataValidation>
    <dataValidation sqref="AN5:AN2004" showDropDown="0" showInputMessage="0" showErrorMessage="1" allowBlank="1" errorTitle="Valeur non valide" error="Choisis une valeur dans la liste (modifiable dans Paramètres)." type="list">
      <formula1>'Paramètres'!$AK$6:$AK$8</formula1>
    </dataValidation>
    <dataValidation sqref="AO5:AO2004" showDropDown="0" showInputMessage="0" showErrorMessage="1" allowBlank="1" errorTitle="Valeur non valide" error="Choisis une valeur dans la liste (modifiable dans Paramètres)." type="list">
      <formula1>'Paramètres'!$AK$6:$AK$8</formula1>
    </dataValidation>
    <dataValidation sqref="AP5:AP2004" showDropDown="0" showInputMessage="0" showErrorMessage="1" allowBlank="1" errorTitle="Valeur non valide" error="Choisis une valeur dans la liste (modifiable dans Paramètres)." type="list">
      <formula1>'Paramètres'!$AK$6:$AK$8</formula1>
    </dataValidation>
    <dataValidation sqref="AQ5:AQ2004" showDropDown="0" showInputMessage="0" showErrorMessage="1" allowBlank="1" errorTitle="Valeur non valide" error="Choisis une valeur dans la liste (modifiable dans Paramètres)." type="list">
      <formula1>'Paramètres'!$AO$6:$AO$9</formula1>
    </dataValidation>
    <dataValidation sqref="W5:W2004" showDropDown="0" showInputMessage="0" showErrorMessage="1" allowBlank="1" errorTitle="Doublon" error="Ce numéro est déjà enregistré pour un autre prospect (doublon)." type="custom">
      <formula1>COUNTIFS($W$5:$W$2004,W5,$C$5:$C$2004,"&lt;&gt;"&amp;C5)=0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U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</cols>
  <sheetData>
    <row r="1" ht="34" customHeight="1">
      <c r="A1" s="1" t="inlineStr">
        <is>
          <t>📊 TABLEAU DE BORD — AGENCE ELITE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40" customHeight="1">
      <c r="A2" s="3" t="inlineStr">
        <is>
          <t>Rien à saisir : tout vient de l'onglet Saisie. Choisis le mois et le canal dans les cases jaunes, tout se recalcule. Les flèches comparent avec le mois précédent.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5">
        <f>HYPERLINK("#'Saisie'!A1","↩ Saisie")</f>
        <v/>
      </c>
      <c r="C3" s="5">
        <f>HYPERLINK("#'Ma journée'!A1","☀ Ma journée")</f>
        <v/>
      </c>
      <c r="Q3" s="63" t="inlineStr">
        <is>
          <t>Calculs période →</t>
        </is>
      </c>
      <c r="R3" s="63" t="inlineStr">
        <is>
          <t>Début</t>
        </is>
      </c>
      <c r="S3" s="63" t="inlineStr">
        <is>
          <t>Fin</t>
        </is>
      </c>
      <c r="T3" s="63" t="inlineStr">
        <is>
          <t>Début M-1</t>
        </is>
      </c>
      <c r="U3" s="63" t="inlineStr">
        <is>
          <t>Fin M-1</t>
        </is>
      </c>
    </row>
    <row r="4">
      <c r="B4" s="64" t="inlineStr">
        <is>
          <t>Mois</t>
        </is>
      </c>
      <c r="C4" s="65" t="inlineStr">
        <is>
          <t>Mois en cours</t>
        </is>
      </c>
      <c r="D4" s="11" t="n"/>
      <c r="F4" s="64" t="inlineStr">
        <is>
          <t>Canal</t>
        </is>
      </c>
      <c r="G4" s="65" t="inlineStr">
        <is>
          <t>Tous</t>
        </is>
      </c>
      <c r="H4" s="11" t="n"/>
      <c r="I4" s="66">
        <f>IF($C$4="Tous","Tout l'historique",IF($C$4="Mois en cours","Mois en cours","Mois "&amp;$C$4))&amp;IF($G$4="Tous",", tous canaux",", canal "&amp;$G$4)</f>
        <v/>
      </c>
      <c r="R4" s="67">
        <f>IF($C$4="Tous",DATE(2000,1,1),IF($C$4="Mois en cours",DATE(YEAR(TODAY()),MONTH(TODAY()),1),DATE(VALUE(LEFT($C$4,4)),VALUE(RIGHT($C$4,2)),1)))</f>
        <v/>
      </c>
      <c r="S4" s="67">
        <f>IF($C$4="Tous",DATE(2100,12,31),EOMONTH($R$4,0))</f>
        <v/>
      </c>
      <c r="T4" s="67">
        <f>IF($C$4="Tous",DATE(1999,1,1),EDATE($R$4,-1))</f>
        <v/>
      </c>
      <c r="U4" s="67">
        <f>IF($C$4="Tous",DATE(1999,1,31),EOMONTH($T$4,0))</f>
        <v/>
      </c>
    </row>
    <row r="6" ht="20" customHeight="1">
      <c r="B6" s="44" t="inlineStr">
        <is>
          <t>Prospects ajoutés</t>
        </is>
      </c>
      <c r="C6" s="2" t="n"/>
      <c r="D6" s="44" t="inlineStr">
        <is>
          <t>Appels passés</t>
        </is>
      </c>
      <c r="E6" s="2" t="n"/>
      <c r="F6" s="44" t="inlineStr">
        <is>
          <t>DM envoyés</t>
        </is>
      </c>
      <c r="G6" s="2" t="n"/>
      <c r="H6" s="44" t="inlineStr">
        <is>
          <t>Réponses</t>
        </is>
      </c>
      <c r="I6" s="2" t="n"/>
      <c r="J6" s="44" t="inlineStr">
        <is>
          <t>RDV obtenus</t>
        </is>
      </c>
      <c r="K6" s="2" t="n"/>
      <c r="L6" s="44" t="inlineStr">
        <is>
          <t>Propositions</t>
        </is>
      </c>
      <c r="M6" s="2" t="n"/>
    </row>
    <row r="7" ht="36" customHeight="1">
      <c r="B7" s="68">
        <f>COUNTIFS('Prospects'!$B$5:$B$504,"&gt;="&amp;$R$4,'Prospects'!$B$5:$B$504,"&lt;="&amp;$S$4,'Prospects'!$N$5:$N$504,IF('Tableau de bord'!$G$4="Tous","&lt;&gt;§",'Tableau de bord'!$G$4))</f>
        <v/>
      </c>
      <c r="C7" s="69" t="n"/>
      <c r="D7" s="68">
        <f>COUNTIFS('Saisie'!$A$5:$A$2004,"&gt;="&amp;$R$4,'Saisie'!$A$5:$A$2004,"&lt;="&amp;$S$4,'Saisie'!$D$5:$D$2004,"Appel",'Saisie'!$D$5:$D$2004,IF('Tableau de bord'!$G$4="Tous","&lt;&gt;§",'Tableau de bord'!$G$4),'Saisie'!$AU$5:$AU$2004,1)</f>
        <v/>
      </c>
      <c r="E7" s="69" t="n"/>
      <c r="F7" s="68">
        <f>COUNTIFS('Saisie'!$A$5:$A$2004,"&gt;="&amp;$R$4,'Saisie'!$A$5:$A$2004,"&lt;="&amp;$S$4,'Saisie'!$D$5:$D$2004,"DM",'Saisie'!$D$5:$D$2004,IF('Tableau de bord'!$G$4="Tous","&lt;&gt;§",'Tableau de bord'!$G$4),'Saisie'!$AU$5:$AU$2004,1)</f>
        <v/>
      </c>
      <c r="G7" s="69" t="n"/>
      <c r="H7" s="68">
        <f>COUNTIFS('Saisie'!$A$5:$A$2004,"&gt;="&amp;$R$4,'Saisie'!$A$5:$A$2004,"&lt;="&amp;$S$4,'Saisie'!$D$5:$D$2004,IF('Tableau de bord'!$G$4="Tous","&lt;&gt;§",'Tableau de bord'!$G$4),'Saisie'!$AV$5:$AV$2004,1)</f>
        <v/>
      </c>
      <c r="I7" s="69" t="n"/>
      <c r="J7" s="68">
        <f>COUNTIFS('Prospects'!$BG$5:$BG$504,"&gt;="&amp;$R$4,'Prospects'!$BG$5:$BG$504,"&lt;="&amp;$S$4,'Prospects'!$N$5:$N$504,IF('Tableau de bord'!$G$4="Tous","&lt;&gt;§",'Tableau de bord'!$G$4))</f>
        <v/>
      </c>
      <c r="K7" s="69" t="n"/>
      <c r="L7" s="68">
        <f>COUNTIFS('Saisie'!$A$5:$A$2004,"&gt;="&amp;$R$4,'Saisie'!$A$5:$A$2004,"&lt;="&amp;$S$4,'Saisie'!$E$5:$E$2004,"Proposition envoyée",'Saisie'!$BA$5:$BA$2004,IF('Tableau de bord'!$G$4="Tous","&lt;&gt;§",'Tableau de bord'!$G$4))</f>
        <v/>
      </c>
      <c r="M7" s="69" t="n"/>
    </row>
    <row r="8">
      <c r="B8" s="70">
        <f>IF(C8="","",IF(C8&gt;0,"▲",IF(C8&lt;0,"▼","=")))</f>
        <v/>
      </c>
      <c r="C8" s="71">
        <f>IF($C$4="Tous","",COUNTIFS('Prospects'!$B$5:$B$504,"&gt;="&amp;$R$4,'Prospects'!$B$5:$B$504,"&lt;="&amp;$S$4,'Prospects'!$N$5:$N$504,IF('Tableau de bord'!$G$4="Tous","&lt;&gt;§",'Tableau de bord'!$G$4))-COUNTIFS('Prospects'!$B$5:$B$504,"&gt;="&amp;$T$4,'Prospects'!$B$5:$B$504,"&lt;="&amp;$U$4,'Prospects'!$N$5:$N$504,IF('Tableau de bord'!$G$4="Tous","&lt;&gt;§",'Tableau de bord'!$G$4)))</f>
        <v/>
      </c>
      <c r="D8" s="70">
        <f>IF(E8="","",IF(E8&gt;0,"▲",IF(E8&lt;0,"▼","=")))</f>
        <v/>
      </c>
      <c r="E8" s="71">
        <f>IF($C$4="Tous","",COUNTIFS('Saisie'!$A$5:$A$2004,"&gt;="&amp;$R$4,'Saisie'!$A$5:$A$2004,"&lt;="&amp;$S$4,'Saisie'!$D$5:$D$2004,"Appel",'Saisie'!$D$5:$D$2004,IF('Tableau de bord'!$G$4="Tous","&lt;&gt;§",'Tableau de bord'!$G$4),'Saisie'!$AU$5:$AU$2004,1)-COUNTIFS('Saisie'!$A$5:$A$2004,"&gt;="&amp;$T$4,'Saisie'!$A$5:$A$2004,"&lt;="&amp;$U$4,'Saisie'!$D$5:$D$2004,"Appel",'Saisie'!$D$5:$D$2004,IF('Tableau de bord'!$G$4="Tous","&lt;&gt;§",'Tableau de bord'!$G$4),'Saisie'!$AU$5:$AU$2004,1))</f>
        <v/>
      </c>
      <c r="F8" s="70">
        <f>IF(G8="","",IF(G8&gt;0,"▲",IF(G8&lt;0,"▼","=")))</f>
        <v/>
      </c>
      <c r="G8" s="71">
        <f>IF($C$4="Tous","",COUNTIFS('Saisie'!$A$5:$A$2004,"&gt;="&amp;$R$4,'Saisie'!$A$5:$A$2004,"&lt;="&amp;$S$4,'Saisie'!$D$5:$D$2004,"DM",'Saisie'!$D$5:$D$2004,IF('Tableau de bord'!$G$4="Tous","&lt;&gt;§",'Tableau de bord'!$G$4),'Saisie'!$AU$5:$AU$2004,1)-COUNTIFS('Saisie'!$A$5:$A$2004,"&gt;="&amp;$T$4,'Saisie'!$A$5:$A$2004,"&lt;="&amp;$U$4,'Saisie'!$D$5:$D$2004,"DM",'Saisie'!$D$5:$D$2004,IF('Tableau de bord'!$G$4="Tous","&lt;&gt;§",'Tableau de bord'!$G$4),'Saisie'!$AU$5:$AU$2004,1))</f>
        <v/>
      </c>
      <c r="H8" s="70">
        <f>IF(I8="","",IF(I8&gt;0,"▲",IF(I8&lt;0,"▼","=")))</f>
        <v/>
      </c>
      <c r="I8" s="71">
        <f>IF($C$4="Tous","",COUNTIFS('Saisie'!$A$5:$A$2004,"&gt;="&amp;$R$4,'Saisie'!$A$5:$A$2004,"&lt;="&amp;$S$4,'Saisie'!$D$5:$D$2004,IF('Tableau de bord'!$G$4="Tous","&lt;&gt;§",'Tableau de bord'!$G$4),'Saisie'!$AV$5:$AV$2004,1)-COUNTIFS('Saisie'!$A$5:$A$2004,"&gt;="&amp;$T$4,'Saisie'!$A$5:$A$2004,"&lt;="&amp;$U$4,'Saisie'!$D$5:$D$2004,IF('Tableau de bord'!$G$4="Tous","&lt;&gt;§",'Tableau de bord'!$G$4),'Saisie'!$AV$5:$AV$2004,1))</f>
        <v/>
      </c>
      <c r="J8" s="70">
        <f>IF(K8="","",IF(K8&gt;0,"▲",IF(K8&lt;0,"▼","=")))</f>
        <v/>
      </c>
      <c r="K8" s="71">
        <f>IF($C$4="Tous","",COUNTIFS('Prospects'!$BG$5:$BG$504,"&gt;="&amp;$R$4,'Prospects'!$BG$5:$BG$504,"&lt;="&amp;$S$4,'Prospects'!$N$5:$N$504,IF('Tableau de bord'!$G$4="Tous","&lt;&gt;§",'Tableau de bord'!$G$4))-COUNTIFS('Prospects'!$BG$5:$BG$504,"&gt;="&amp;$T$4,'Prospects'!$BG$5:$BG$504,"&lt;="&amp;$U$4,'Prospects'!$N$5:$N$504,IF('Tableau de bord'!$G$4="Tous","&lt;&gt;§",'Tableau de bord'!$G$4)))</f>
        <v/>
      </c>
      <c r="L8" s="70">
        <f>IF(M8="","",IF(M8&gt;0,"▲",IF(M8&lt;0,"▼","=")))</f>
        <v/>
      </c>
      <c r="M8" s="71">
        <f>IF($C$4="Tous","",COUNTIFS('Saisie'!$A$5:$A$2004,"&gt;="&amp;$R$4,'Saisie'!$A$5:$A$2004,"&lt;="&amp;$S$4,'Saisie'!$E$5:$E$2004,"Proposition envoyée",'Saisie'!$BA$5:$BA$2004,IF('Tableau de bord'!$G$4="Tous","&lt;&gt;§",'Tableau de bord'!$G$4))-COUNTIFS('Saisie'!$A$5:$A$2004,"&gt;="&amp;$T$4,'Saisie'!$A$5:$A$2004,"&lt;="&amp;$U$4,'Saisie'!$E$5:$E$2004,"Proposition envoyée",'Saisie'!$BA$5:$BA$2004,IF('Tableau de bord'!$G$4="Tous","&lt;&gt;§",'Tableau de bord'!$G$4)))</f>
        <v/>
      </c>
    </row>
    <row r="10" ht="20" customHeight="1">
      <c r="B10" s="44" t="inlineStr">
        <is>
          <t>Clients signés</t>
        </is>
      </c>
      <c r="C10" s="2" t="n"/>
      <c r="D10" s="44" t="inlineStr">
        <is>
          <t>Taux de closing</t>
        </is>
      </c>
      <c r="E10" s="2" t="n"/>
      <c r="F10" s="44" t="inlineStr">
        <is>
          <t>CA signé</t>
        </is>
      </c>
      <c r="G10" s="2" t="n"/>
      <c r="H10" s="44" t="inlineStr">
        <is>
          <t>CA encaissé</t>
        </is>
      </c>
      <c r="I10" s="2" t="n"/>
      <c r="J10" s="44" t="inlineStr">
        <is>
          <t>Bénéfice net</t>
        </is>
      </c>
      <c r="K10" s="2" t="n"/>
      <c r="L10" s="44" t="inlineStr">
        <is>
          <t>Revenu récurrent (MRR)</t>
        </is>
      </c>
      <c r="M10" s="2" t="n"/>
    </row>
    <row r="11" ht="36" customHeight="1">
      <c r="B11" s="68">
        <f>COUNTIFS('Prospects'!$BI$5:$BI$504,"&gt;="&amp;$R$4,'Prospects'!$BI$5:$BI$504,"&lt;="&amp;$S$4,'Prospects'!$N$5:$N$504,IF('Tableau de bord'!$G$4="Tous","&lt;&gt;§",'Tableau de bord'!$G$4))</f>
        <v/>
      </c>
      <c r="C11" s="69" t="n"/>
      <c r="D11" s="72">
        <f>IFERROR(COUNTIFS('Prospects'!$BI$5:$BI$504,"&gt;="&amp;$R$4,'Prospects'!$BI$5:$BI$504,"&lt;="&amp;$S$4,'Prospects'!$N$5:$N$504,IF('Tableau de bord'!$G$4="Tous","&lt;&gt;§",'Tableau de bord'!$G$4))/COUNTIFS('Saisie'!$A$5:$A$2004,"&gt;="&amp;$R$4,'Saisie'!$A$5:$A$2004,"&lt;="&amp;$S$4,'Saisie'!$E$5:$E$2004,"Proposition envoyée",'Saisie'!$BA$5:$BA$2004,IF('Tableau de bord'!$G$4="Tous","&lt;&gt;§",'Tableau de bord'!$G$4)),0)</f>
        <v/>
      </c>
      <c r="E11" s="69" t="n"/>
      <c r="F11" s="73">
        <f>SUMIFS('Saisie'!$AW$5:$AW$2004,'Saisie'!$A$5:$A$2004,"&gt;="&amp;$R$4,'Saisie'!$A$5:$A$2004,"&lt;="&amp;$S$4,'Saisie'!$E$5:$E$2004,"Signature",'Saisie'!$BA$5:$BA$2004,IF('Tableau de bord'!$G$4="Tous","&lt;&gt;§",'Tableau de bord'!$G$4))+SUMIFS('Saisie'!$AW$5:$AW$2004,'Saisie'!$A$5:$A$2004,"&gt;="&amp;$R$4,'Saisie'!$A$5:$A$2004,"&lt;="&amp;$S$4,'Saisie'!$E$5:$E$2004,"Vente additionnelle",'Saisie'!$BA$5:$BA$2004,IF('Tableau de bord'!$G$4="Tous","&lt;&gt;§",'Tableau de bord'!$G$4))</f>
        <v/>
      </c>
      <c r="G11" s="69" t="n"/>
      <c r="H11" s="73">
        <f>SUMIFS('Saisie'!$AW$5:$AW$2004,'Saisie'!$A$5:$A$2004,"&gt;="&amp;$R$4,'Saisie'!$A$5:$A$2004,"&lt;="&amp;$S$4,'Saisie'!$E$5:$E$2004,"Paiement reçu",'Saisie'!$BA$5:$BA$2004,IF('Tableau de bord'!$G$4="Tous","&lt;&gt;§",'Tableau de bord'!$G$4))</f>
        <v/>
      </c>
      <c r="I11" s="69" t="n"/>
      <c r="J11" s="73">
        <f>(SUMIFS('Saisie'!$AW$5:$AW$2004,'Saisie'!$A$5:$A$2004,"&gt;="&amp;$R$4,'Saisie'!$A$5:$A$2004,"&lt;="&amp;$S$4,'Saisie'!$E$5:$E$2004,"Paiement reçu",'Saisie'!$BA$5:$BA$2004,IF('Tableau de bord'!$G$4="Tous","&lt;&gt;§",'Tableau de bord'!$G$4))-(SUMIFS('Saisie'!$AW$5:$AW$2004,'Saisie'!$A$5:$A$2004,"&gt;="&amp;$R$4,'Saisie'!$A$5:$A$2004,"&lt;="&amp;$S$4,'Saisie'!$E$5:$E$2004,"Dépense")+IF($C$4="Tous",0,SUM('Paramètres'!$AH$6:$AH$12))))</f>
        <v/>
      </c>
      <c r="K11" s="69" t="n"/>
      <c r="L11" s="73">
        <f>SUMIFS('Clients'!$T$5:$T$154,'Clients'!$C$5:$C$154,"Actif",'Clients'!$G$5:$G$154,IF('Tableau de bord'!$G$4="Tous","&lt;&gt;§",'Tableau de bord'!$G$4))</f>
        <v/>
      </c>
      <c r="M11" s="69" t="n"/>
    </row>
    <row r="12">
      <c r="B12" s="70">
        <f>IF(C12="","",IF(C12&gt;0,"▲",IF(C12&lt;0,"▼","=")))</f>
        <v/>
      </c>
      <c r="C12" s="71">
        <f>IF($C$4="Tous","",COUNTIFS('Prospects'!$BI$5:$BI$504,"&gt;="&amp;$R$4,'Prospects'!$BI$5:$BI$504,"&lt;="&amp;$S$4,'Prospects'!$N$5:$N$504,IF('Tableau de bord'!$G$4="Tous","&lt;&gt;§",'Tableau de bord'!$G$4))-COUNTIFS('Prospects'!$BI$5:$BI$504,"&gt;="&amp;$T$4,'Prospects'!$BI$5:$BI$504,"&lt;="&amp;$U$4,'Prospects'!$N$5:$N$504,IF('Tableau de bord'!$G$4="Tous","&lt;&gt;§",'Tableau de bord'!$G$4)))</f>
        <v/>
      </c>
      <c r="D12" s="70">
        <f>IF(E12="","",IF(E12&gt;0,"▲",IF(E12&lt;0,"▼","=")))</f>
        <v/>
      </c>
      <c r="E12" s="74">
        <f>IF($C$4="Tous","",IFERROR(COUNTIFS('Prospects'!$BI$5:$BI$504,"&gt;="&amp;$R$4,'Prospects'!$BI$5:$BI$504,"&lt;="&amp;$S$4,'Prospects'!$N$5:$N$504,IF('Tableau de bord'!$G$4="Tous","&lt;&gt;§",'Tableau de bord'!$G$4))/COUNTIFS('Saisie'!$A$5:$A$2004,"&gt;="&amp;$R$4,'Saisie'!$A$5:$A$2004,"&lt;="&amp;$S$4,'Saisie'!$E$5:$E$2004,"Proposition envoyée",'Saisie'!$BA$5:$BA$2004,IF('Tableau de bord'!$G$4="Tous","&lt;&gt;§",'Tableau de bord'!$G$4)),0)-IFERROR(COUNTIFS('Prospects'!$BI$5:$BI$504,"&gt;="&amp;$T$4,'Prospects'!$BI$5:$BI$504,"&lt;="&amp;$U$4,'Prospects'!$N$5:$N$504,IF('Tableau de bord'!$G$4="Tous","&lt;&gt;§",'Tableau de bord'!$G$4))/COUNTIFS('Saisie'!$A$5:$A$2004,"&gt;="&amp;$T$4,'Saisie'!$A$5:$A$2004,"&lt;="&amp;$U$4,'Saisie'!$E$5:$E$2004,"Proposition envoyée",'Saisie'!$BA$5:$BA$2004,IF('Tableau de bord'!$G$4="Tous","&lt;&gt;§",'Tableau de bord'!$G$4)),0))</f>
        <v/>
      </c>
      <c r="F12" s="70">
        <f>IF(G12="","",IF(G12&gt;0,"▲",IF(G12&lt;0,"▼","=")))</f>
        <v/>
      </c>
      <c r="G12" s="75">
        <f>IF($C$4="Tous","",SUMIFS('Saisie'!$AW$5:$AW$2004,'Saisie'!$A$5:$A$2004,"&gt;="&amp;$R$4,'Saisie'!$A$5:$A$2004,"&lt;="&amp;$S$4,'Saisie'!$E$5:$E$2004,"Signature",'Saisie'!$BA$5:$BA$2004,IF('Tableau de bord'!$G$4="Tous","&lt;&gt;§",'Tableau de bord'!$G$4))+SUMIFS('Saisie'!$AW$5:$AW$2004,'Saisie'!$A$5:$A$2004,"&gt;="&amp;$R$4,'Saisie'!$A$5:$A$2004,"&lt;="&amp;$S$4,'Saisie'!$E$5:$E$2004,"Vente additionnelle",'Saisie'!$BA$5:$BA$2004,IF('Tableau de bord'!$G$4="Tous","&lt;&gt;§",'Tableau de bord'!$G$4))-SUMIFS('Saisie'!$AW$5:$AW$2004,'Saisie'!$A$5:$A$2004,"&gt;="&amp;$T$4,'Saisie'!$A$5:$A$2004,"&lt;="&amp;$U$4,'Saisie'!$E$5:$E$2004,"Signature",'Saisie'!$BA$5:$BA$2004,IF('Tableau de bord'!$G$4="Tous","&lt;&gt;§",'Tableau de bord'!$G$4))+SUMIFS('Saisie'!$AW$5:$AW$2004,'Saisie'!$A$5:$A$2004,"&gt;="&amp;$T$4,'Saisie'!$A$5:$A$2004,"&lt;="&amp;$U$4,'Saisie'!$E$5:$E$2004,"Vente additionnelle",'Saisie'!$BA$5:$BA$2004,IF('Tableau de bord'!$G$4="Tous","&lt;&gt;§",'Tableau de bord'!$G$4)))</f>
        <v/>
      </c>
      <c r="H12" s="70">
        <f>IF(I12="","",IF(I12&gt;0,"▲",IF(I12&lt;0,"▼","=")))</f>
        <v/>
      </c>
      <c r="I12" s="75">
        <f>IF($C$4="Tous","",SUMIFS('Saisie'!$AW$5:$AW$2004,'Saisie'!$A$5:$A$2004,"&gt;="&amp;$R$4,'Saisie'!$A$5:$A$2004,"&lt;="&amp;$S$4,'Saisie'!$E$5:$E$2004,"Paiement reçu",'Saisie'!$BA$5:$BA$2004,IF('Tableau de bord'!$G$4="Tous","&lt;&gt;§",'Tableau de bord'!$G$4))-SUMIFS('Saisie'!$AW$5:$AW$2004,'Saisie'!$A$5:$A$2004,"&gt;="&amp;$T$4,'Saisie'!$A$5:$A$2004,"&lt;="&amp;$U$4,'Saisie'!$E$5:$E$2004,"Paiement reçu",'Saisie'!$BA$5:$BA$2004,IF('Tableau de bord'!$G$4="Tous","&lt;&gt;§",'Tableau de bord'!$G$4)))</f>
        <v/>
      </c>
      <c r="J12" s="70">
        <f>IF(K12="","",IF(K12&gt;0,"▲",IF(K12&lt;0,"▼","=")))</f>
        <v/>
      </c>
      <c r="K12" s="75">
        <f>IF($C$4="Tous","",(SUMIFS('Saisie'!$AW$5:$AW$2004,'Saisie'!$A$5:$A$2004,"&gt;="&amp;$R$4,'Saisie'!$A$5:$A$2004,"&lt;="&amp;$S$4,'Saisie'!$E$5:$E$2004,"Paiement reçu",'Saisie'!$BA$5:$BA$2004,IF('Tableau de bord'!$G$4="Tous","&lt;&gt;§",'Tableau de bord'!$G$4))-(SUMIFS('Saisie'!$AW$5:$AW$2004,'Saisie'!$A$5:$A$2004,"&gt;="&amp;$R$4,'Saisie'!$A$5:$A$2004,"&lt;="&amp;$S$4,'Saisie'!$E$5:$E$2004,"Dépense")+IF($C$4="Tous",0,SUM('Paramètres'!$AH$6:$AH$12))))-(SUMIFS('Saisie'!$AW$5:$AW$2004,'Saisie'!$A$5:$A$2004,"&gt;="&amp;$T$4,'Saisie'!$A$5:$A$2004,"&lt;="&amp;$U$4,'Saisie'!$E$5:$E$2004,"Paiement reçu",'Saisie'!$BA$5:$BA$2004,IF('Tableau de bord'!$G$4="Tous","&lt;&gt;§",'Tableau de bord'!$G$4))-(SUMIFS('Saisie'!$AW$5:$AW$2004,'Saisie'!$A$5:$A$2004,"&gt;="&amp;$T$4,'Saisie'!$A$5:$A$2004,"&lt;="&amp;$U$4,'Saisie'!$E$5:$E$2004,"Dépense")+IF($C$4="Tous",0,SUM('Paramètres'!$AH$6:$AH$12)))))</f>
        <v/>
      </c>
      <c r="L12" s="70">
        <f>IF(M12="","",IF(M12&gt;0,"▲",IF(M12&lt;0,"▼","=")))</f>
        <v/>
      </c>
      <c r="M12" s="75">
        <f>""</f>
        <v/>
      </c>
    </row>
    <row r="13">
      <c r="B13" s="76" t="inlineStr">
        <is>
          <t>▲▼ = évolution par rapport au mois précédent (même canal).</t>
        </is>
      </c>
    </row>
    <row r="15" ht="22" customHeight="1">
      <c r="B15" s="8" t="inlineStr">
        <is>
          <t>🎯 OBJECTIFS DU MOIS EN COURS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B16" s="9" t="inlineStr">
        <is>
          <t>Objectif</t>
        </is>
      </c>
      <c r="C16" s="11" t="n"/>
      <c r="D16" s="9" t="inlineStr">
        <is>
          <t>Réalisé</t>
        </is>
      </c>
      <c r="E16" s="9" t="inlineStr">
        <is>
          <t>Cible</t>
        </is>
      </c>
      <c r="F16" s="9" t="inlineStr">
        <is>
          <t>% atteint</t>
        </is>
      </c>
      <c r="G16" s="9" t="inlineStr">
        <is>
          <t>Progression</t>
        </is>
      </c>
      <c r="H16" s="10" t="n"/>
      <c r="I16" s="11" t="n"/>
      <c r="J16" s="9" t="inlineStr">
        <is>
          <t>Projection fin de mois</t>
        </is>
      </c>
      <c r="K16" s="11" t="n"/>
      <c r="L16" s="9" t="inlineStr">
        <is>
          <t>Statut</t>
        </is>
      </c>
      <c r="M16" s="11" t="n"/>
    </row>
    <row r="17">
      <c r="B17" s="12" t="inlineStr">
        <is>
          <t>Appels</t>
        </is>
      </c>
      <c r="C17" s="77" t="n"/>
      <c r="D17" s="78">
        <f>COUNTIFS('Saisie'!$A$5:$A$2004,"&gt;="&amp;DATE(YEAR(TODAY()),MONTH(TODAY()),1),'Saisie'!$A$5:$A$2004,"&lt;="&amp;EOMONTH(TODAY(),0),'Saisie'!$D$5:$D$2004,"Appel",'Saisie'!$D$5:$D$2004,"&lt;&gt;§",'Saisie'!$AU$5:$AU$2004,1)</f>
        <v/>
      </c>
      <c r="E17" s="78">
        <f>'Paramètres'!$B$11</f>
        <v/>
      </c>
      <c r="F17" s="79">
        <f>IFERROR(D17/E17,0)</f>
        <v/>
      </c>
      <c r="G17" s="80">
        <f>REPT("█",ROUND(MIN(1,F17)*20,0))&amp;REPT("░",20-ROUND(MIN(1,F17)*20,0))</f>
        <v/>
      </c>
      <c r="H17" s="81" t="n"/>
      <c r="I17" s="81" t="n"/>
      <c r="J17" s="78">
        <f>IFERROR(D17/DAY(TODAY())*DAY(EOMONTH(TODAY(),0)),0)</f>
        <v/>
      </c>
      <c r="K17" s="81" t="n"/>
      <c r="L17" s="81">
        <f>IF(J17&gt;=E17,"✔ En avance","✖ En retard")</f>
        <v/>
      </c>
      <c r="M17" s="81" t="n"/>
    </row>
    <row r="18">
      <c r="B18" s="12" t="inlineStr">
        <is>
          <t>DM</t>
        </is>
      </c>
      <c r="C18" s="77" t="n"/>
      <c r="D18" s="78">
        <f>COUNTIFS('Saisie'!$A$5:$A$2004,"&gt;="&amp;DATE(YEAR(TODAY()),MONTH(TODAY()),1),'Saisie'!$A$5:$A$2004,"&lt;="&amp;EOMONTH(TODAY(),0),'Saisie'!$D$5:$D$2004,"DM",'Saisie'!$D$5:$D$2004,"&lt;&gt;§",'Saisie'!$AU$5:$AU$2004,1)</f>
        <v/>
      </c>
      <c r="E18" s="78">
        <f>'Paramètres'!$B$12</f>
        <v/>
      </c>
      <c r="F18" s="79">
        <f>IFERROR(D18/E18,0)</f>
        <v/>
      </c>
      <c r="G18" s="80">
        <f>REPT("█",ROUND(MIN(1,F18)*20,0))&amp;REPT("░",20-ROUND(MIN(1,F18)*20,0))</f>
        <v/>
      </c>
      <c r="H18" s="81" t="n"/>
      <c r="I18" s="81" t="n"/>
      <c r="J18" s="78">
        <f>IFERROR(D18/DAY(TODAY())*DAY(EOMONTH(TODAY(),0)),0)</f>
        <v/>
      </c>
      <c r="K18" s="81" t="n"/>
      <c r="L18" s="81">
        <f>IF(J18&gt;=E18,"✔ En avance","✖ En retard")</f>
        <v/>
      </c>
      <c r="M18" s="81" t="n"/>
    </row>
    <row r="19">
      <c r="B19" s="12" t="inlineStr">
        <is>
          <t>RDV</t>
        </is>
      </c>
      <c r="C19" s="77" t="n"/>
      <c r="D19" s="78">
        <f>COUNTIFS('Prospects'!$BG$5:$BG$504,"&gt;="&amp;DATE(YEAR(TODAY()),MONTH(TODAY()),1),'Prospects'!$BG$5:$BG$504,"&lt;="&amp;EOMONTH(TODAY(),0),'Prospects'!$N$5:$N$504,"&lt;&gt;§")</f>
        <v/>
      </c>
      <c r="E19" s="78">
        <f>'Paramètres'!$B$13</f>
        <v/>
      </c>
      <c r="F19" s="79">
        <f>IFERROR(D19/E19,0)</f>
        <v/>
      </c>
      <c r="G19" s="80">
        <f>REPT("█",ROUND(MIN(1,F19)*20,0))&amp;REPT("░",20-ROUND(MIN(1,F19)*20,0))</f>
        <v/>
      </c>
      <c r="H19" s="81" t="n"/>
      <c r="I19" s="81" t="n"/>
      <c r="J19" s="78">
        <f>IFERROR(D19/DAY(TODAY())*DAY(EOMONTH(TODAY(),0)),0)</f>
        <v/>
      </c>
      <c r="K19" s="81" t="n"/>
      <c r="L19" s="81">
        <f>IF(J19&gt;=E19,"✔ En avance","✖ En retard")</f>
        <v/>
      </c>
      <c r="M19" s="81" t="n"/>
    </row>
    <row r="20">
      <c r="B20" s="12" t="inlineStr">
        <is>
          <t>Clients signés</t>
        </is>
      </c>
      <c r="C20" s="77" t="n"/>
      <c r="D20" s="78">
        <f>COUNTIFS('Prospects'!$BI$5:$BI$504,"&gt;="&amp;DATE(YEAR(TODAY()),MONTH(TODAY()),1),'Prospects'!$BI$5:$BI$504,"&lt;="&amp;EOMONTH(TODAY(),0),'Prospects'!$N$5:$N$504,"&lt;&gt;§")</f>
        <v/>
      </c>
      <c r="E20" s="78">
        <f>'Paramètres'!$B$14</f>
        <v/>
      </c>
      <c r="F20" s="79">
        <f>IFERROR(D20/E20,0)</f>
        <v/>
      </c>
      <c r="G20" s="80">
        <f>REPT("█",ROUND(MIN(1,F20)*20,0))&amp;REPT("░",20-ROUND(MIN(1,F20)*20,0))</f>
        <v/>
      </c>
      <c r="H20" s="81" t="n"/>
      <c r="I20" s="81" t="n"/>
      <c r="J20" s="78">
        <f>IFERROR(D20/DAY(TODAY())*DAY(EOMONTH(TODAY(),0)),0)</f>
        <v/>
      </c>
      <c r="K20" s="81" t="n"/>
      <c r="L20" s="81">
        <f>IF(J20&gt;=E20,"✔ En avance","✖ En retard")</f>
        <v/>
      </c>
      <c r="M20" s="81" t="n"/>
    </row>
    <row r="21">
      <c r="B21" s="12" t="inlineStr">
        <is>
          <t>CA signé</t>
        </is>
      </c>
      <c r="C21" s="77" t="n"/>
      <c r="D21" s="82">
        <f>SUMIFS('Saisie'!$AW$5:$AW$2004,'Saisie'!$A$5:$A$2004,"&gt;="&amp;DATE(YEAR(TODAY()),MONTH(TODAY()),1),'Saisie'!$A$5:$A$2004,"&lt;="&amp;EOMONTH(TODAY(),0),'Saisie'!$E$5:$E$2004,"Signature",'Saisie'!$BA$5:$BA$2004,"&lt;&gt;§")+SUMIFS('Saisie'!$AW$5:$AW$2004,'Saisie'!$A$5:$A$2004,"&gt;="&amp;DATE(YEAR(TODAY()),MONTH(TODAY()),1),'Saisie'!$A$5:$A$2004,"&lt;="&amp;EOMONTH(TODAY(),0),'Saisie'!$E$5:$E$2004,"Vente additionnelle",'Saisie'!$BA$5:$BA$2004,"&lt;&gt;§")</f>
        <v/>
      </c>
      <c r="E21" s="82">
        <f>'Paramètres'!$B$15</f>
        <v/>
      </c>
      <c r="F21" s="79">
        <f>IFERROR(D21/E21,0)</f>
        <v/>
      </c>
      <c r="G21" s="80">
        <f>REPT("█",ROUND(MIN(1,F21)*20,0))&amp;REPT("░",20-ROUND(MIN(1,F21)*20,0))</f>
        <v/>
      </c>
      <c r="H21" s="81" t="n"/>
      <c r="I21" s="81" t="n"/>
      <c r="J21" s="82">
        <f>IFERROR(D21/DAY(TODAY())*DAY(EOMONTH(TODAY(),0)),0)</f>
        <v/>
      </c>
      <c r="K21" s="81" t="n"/>
      <c r="L21" s="81">
        <f>IF(J21&gt;=E21,"✔ En avance","✖ En retard")</f>
        <v/>
      </c>
      <c r="M21" s="81" t="n"/>
    </row>
    <row r="23" ht="22" customHeight="1">
      <c r="B23" s="8" t="inlineStr">
        <is>
          <t>💶 PIPELINE, TRÉSORERIE ET PRÉVISIONS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30" customHeight="1">
      <c r="B24" s="77" t="inlineStr">
        <is>
          <t>Pipeline pondéré (montant × probabilité)</t>
        </is>
      </c>
      <c r="C24" s="77" t="n"/>
      <c r="D24" s="77" t="n"/>
      <c r="E24" s="77" t="n"/>
      <c r="F24" s="83">
        <f>SUMIFS('Prospects'!$AS$5:$AS$504,'Prospects'!$N$5:$N$504,IF('Tableau de bord'!$G$4="Tous","&lt;&gt;§",'Tableau de bord'!$G$4))</f>
        <v/>
      </c>
      <c r="H24" s="9" t="inlineStr">
        <is>
          <t>Prévision</t>
        </is>
      </c>
      <c r="I24" s="9" t="inlineStr">
        <is>
          <t>Encaissements attendus</t>
        </is>
      </c>
      <c r="J24" s="11" t="n"/>
      <c r="K24" s="9" t="inlineStr">
        <is>
          <t>Dépenses fixes</t>
        </is>
      </c>
      <c r="L24" s="9" t="inlineStr">
        <is>
          <t>Solde</t>
        </is>
      </c>
    </row>
    <row r="25">
      <c r="B25" s="77" t="inlineStr">
        <is>
          <t>Propositions en attente (montant)</t>
        </is>
      </c>
      <c r="C25" s="77" t="n"/>
      <c r="D25" s="77" t="n"/>
      <c r="E25" s="77" t="n"/>
      <c r="F25" s="83">
        <f>SUMIFS('Prospects'!$AP$5:$AP$504,'Prospects'!$D$5:$D$504,"Proposition",'Prospects'!$N$5:$N$504,IF('Tableau de bord'!$G$4="Tous","&lt;&gt;§",'Tableau de bord'!$G$4))</f>
        <v/>
      </c>
      <c r="H25" s="84">
        <f>EDATE(DATE(YEAR(TODAY()),MONTH(TODAY()),1),1)</f>
        <v/>
      </c>
      <c r="I25" s="85">
        <f>SUMIFS('Clients'!$T$5:$T$154,'Clients'!$C$5:$C$154,"Actif")+SUM('Clients'!$Q$5:$Q$154)</f>
        <v/>
      </c>
      <c r="J25" s="85" t="n"/>
      <c r="K25" s="85">
        <f>SUM('Paramètres'!$AH$6:$AH$12)</f>
        <v/>
      </c>
      <c r="L25" s="85">
        <f>I25-K25</f>
        <v/>
      </c>
    </row>
    <row r="26">
      <c r="B26" s="77" t="inlineStr">
        <is>
          <t>Reste à encaisser (clients)</t>
        </is>
      </c>
      <c r="C26" s="77" t="n"/>
      <c r="D26" s="77" t="n"/>
      <c r="E26" s="77" t="n"/>
      <c r="F26" s="83">
        <f>SUMIFS('Clients'!$Q$5:$Q$154,'Clients'!$G$5:$G$154,IF('Tableau de bord'!$G$4="Tous","&lt;&gt;§",'Tableau de bord'!$G$4))</f>
        <v/>
      </c>
      <c r="H26" s="84">
        <f>EDATE(DATE(YEAR(TODAY()),MONTH(TODAY()),1),2)</f>
        <v/>
      </c>
      <c r="I26" s="85">
        <f>SUMIFS('Clients'!$T$5:$T$154,'Clients'!$C$5:$C$154,"Actif")</f>
        <v/>
      </c>
      <c r="J26" s="85" t="n"/>
      <c r="K26" s="85">
        <f>SUM('Paramètres'!$AH$6:$AH$12)</f>
        <v/>
      </c>
      <c r="L26" s="85">
        <f>I26-K26</f>
        <v/>
      </c>
    </row>
    <row r="27">
      <c r="B27" s="77" t="inlineStr">
        <is>
          <t>Dépenses de la période</t>
        </is>
      </c>
      <c r="C27" s="77" t="n"/>
      <c r="D27" s="77" t="n"/>
      <c r="E27" s="77" t="n"/>
      <c r="F27" s="83">
        <f>(SUMIFS('Saisie'!$AW$5:$AW$2004,'Saisie'!$A$5:$A$2004,"&gt;="&amp;$R$4,'Saisie'!$A$5:$A$2004,"&lt;="&amp;$S$4,'Saisie'!$E$5:$E$2004,"Dépense")+IF($C$4="Tous",0,SUM('Paramètres'!$AH$6:$AH$12)))</f>
        <v/>
      </c>
      <c r="H27" s="84">
        <f>EDATE(DATE(YEAR(TODAY()),MONTH(TODAY()),1),3)</f>
        <v/>
      </c>
      <c r="I27" s="85">
        <f>SUMIFS('Clients'!$T$5:$T$154,'Clients'!$C$5:$C$154,"Actif")</f>
        <v/>
      </c>
      <c r="J27" s="85" t="n"/>
      <c r="K27" s="85">
        <f>SUM('Paramètres'!$AH$6:$AH$12)</f>
        <v/>
      </c>
      <c r="L27" s="85">
        <f>I27-K27</f>
        <v/>
      </c>
    </row>
    <row r="28">
      <c r="B28" s="77" t="inlineStr">
        <is>
          <t>Valeur vie client moyenne</t>
        </is>
      </c>
      <c r="C28" s="77" t="n"/>
      <c r="D28" s="77" t="n"/>
      <c r="E28" s="77" t="n"/>
      <c r="F28" s="83">
        <f>IFERROR(AVERAGEIFS('Clients'!$X$5:$X$154,'Clients'!$B$5:$B$154,"?*"),0)</f>
        <v/>
      </c>
      <c r="H28" s="76" t="inlineStr">
        <is>
          <t>M+1 inclut le reste à encaisser. Le pipeline pondéré est un potentiel, non compté.</t>
        </is>
      </c>
    </row>
    <row r="29">
      <c r="B29" s="77" t="inlineStr">
        <is>
          <t>Taux de résiliation (période)</t>
        </is>
      </c>
      <c r="C29" s="77" t="n"/>
      <c r="D29" s="77" t="n"/>
      <c r="E29" s="77" t="n"/>
      <c r="F29" s="86">
        <f>IFERROR(COUNTIFS('Clients'!$AC$5:$AC$154,"&gt;="&amp;$R$4,'Clients'!$AC$5:$AC$154,"&lt;="&amp;$S$4)/COUNTIFS('Clients'!$L$5:$L$154,"&lt;"&amp;$R$4,'Clients'!$B$5:$B$154,"?*"),0)</f>
        <v/>
      </c>
    </row>
    <row r="31" ht="22" customHeight="1">
      <c r="B31" s="8" t="inlineStr">
        <is>
          <t>🔻 ENTONNOIR DU PIPELINE (prospects ajoutés sur la période)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B32" s="9" t="inlineStr">
        <is>
          <t>Étape</t>
        </is>
      </c>
      <c r="C32" s="11" t="n"/>
      <c r="D32" s="9" t="inlineStr">
        <is>
          <t>Prospects</t>
        </is>
      </c>
      <c r="E32" s="9" t="inlineStr">
        <is>
          <t>Conversion</t>
        </is>
      </c>
    </row>
    <row r="33">
      <c r="B33" s="12" t="inlineStr">
        <is>
          <t>Nouveau</t>
        </is>
      </c>
      <c r="C33" s="13" t="n"/>
      <c r="D33" s="87">
        <f>COUNTIFS('Prospects'!$BW$5:$BW$504,1,'Prospects'!$BA$5:$BA$504,"&gt;=1")</f>
        <v/>
      </c>
      <c r="E33" s="88" t="inlineStr"/>
    </row>
    <row r="34">
      <c r="B34" s="19" t="inlineStr">
        <is>
          <t>Contacté</t>
        </is>
      </c>
      <c r="C34" s="20" t="n"/>
      <c r="D34" s="89">
        <f>COUNTIFS('Prospects'!$BW$5:$BW$504,1,'Prospects'!$BA$5:$BA$504,"&gt;=2")</f>
        <v/>
      </c>
      <c r="E34" s="90">
        <f>IFERROR(D34/D33,0)</f>
        <v/>
      </c>
    </row>
    <row r="35">
      <c r="B35" s="12" t="inlineStr">
        <is>
          <t>Qualifié</t>
        </is>
      </c>
      <c r="C35" s="13" t="n"/>
      <c r="D35" s="87">
        <f>COUNTIFS('Prospects'!$BW$5:$BW$504,1,'Prospects'!$BA$5:$BA$504,"&gt;=3")</f>
        <v/>
      </c>
      <c r="E35" s="88">
        <f>IFERROR(D35/D34,0)</f>
        <v/>
      </c>
    </row>
    <row r="36">
      <c r="B36" s="19" t="inlineStr">
        <is>
          <t>Audit/Démo</t>
        </is>
      </c>
      <c r="C36" s="20" t="n"/>
      <c r="D36" s="89">
        <f>COUNTIFS('Prospects'!$BW$5:$BW$504,1,'Prospects'!$BA$5:$BA$504,"&gt;=4")</f>
        <v/>
      </c>
      <c r="E36" s="90">
        <f>IFERROR(D36/D35,0)</f>
        <v/>
      </c>
    </row>
    <row r="37">
      <c r="B37" s="12" t="inlineStr">
        <is>
          <t>RDV</t>
        </is>
      </c>
      <c r="C37" s="13" t="n"/>
      <c r="D37" s="87">
        <f>COUNTIFS('Prospects'!$BW$5:$BW$504,1,'Prospects'!$BA$5:$BA$504,"&gt;=5")</f>
        <v/>
      </c>
      <c r="E37" s="88">
        <f>IFERROR(D37/D36,0)</f>
        <v/>
      </c>
    </row>
    <row r="38">
      <c r="B38" s="19" t="inlineStr">
        <is>
          <t>Proposition</t>
        </is>
      </c>
      <c r="C38" s="20" t="n"/>
      <c r="D38" s="89">
        <f>COUNTIFS('Prospects'!$BW$5:$BW$504,1,'Prospects'!$BA$5:$BA$504,"&gt;=6")</f>
        <v/>
      </c>
      <c r="E38" s="90">
        <f>IFERROR(D38/D37,0)</f>
        <v/>
      </c>
    </row>
    <row r="39">
      <c r="B39" s="12" t="inlineStr">
        <is>
          <t>Gagné</t>
        </is>
      </c>
      <c r="C39" s="13" t="n"/>
      <c r="D39" s="87">
        <f>COUNTIFS('Prospects'!$BW$5:$BW$504,1,'Prospects'!$BA$5:$BA$504,"&gt;=7")</f>
        <v/>
      </c>
      <c r="E39" s="88">
        <f>IFERROR(D39/D38,0)</f>
        <v/>
      </c>
    </row>
    <row r="40">
      <c r="B40" s="12" t="inlineStr">
        <is>
          <t>Perdus</t>
        </is>
      </c>
      <c r="C40" s="13" t="n"/>
      <c r="D40" s="13">
        <f>COUNTIFS('Prospects'!$BW$5:$BW$504,1,'Prospects'!$D$5:$D$504,"Perdu")</f>
        <v/>
      </c>
      <c r="E40" s="13" t="n"/>
    </row>
    <row r="42" ht="22" customHeight="1">
      <c r="B42" s="8" t="inlineStr">
        <is>
          <t>📡 CE QUE PRODUIT CHAQUE CANAL (période choisie)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30" customHeight="1">
      <c r="B43" s="9" t="inlineStr">
        <is>
          <t>Canal</t>
        </is>
      </c>
      <c r="C43" s="9" t="inlineStr">
        <is>
          <t>Actions</t>
        </is>
      </c>
      <c r="D43" s="9" t="inlineStr">
        <is>
          <t>Réponses</t>
        </is>
      </c>
      <c r="E43" s="9" t="inlineStr">
        <is>
          <t>Taux de réponse</t>
        </is>
      </c>
      <c r="F43" s="9" t="inlineStr">
        <is>
          <t>Temps (h)</t>
        </is>
      </c>
      <c r="G43" s="9" t="inlineStr">
        <is>
          <t>RDV</t>
        </is>
      </c>
      <c r="H43" s="9" t="inlineStr">
        <is>
          <t>Clients</t>
        </is>
      </c>
      <c r="I43" s="9" t="inlineStr">
        <is>
          <t>CA signé</t>
        </is>
      </c>
      <c r="J43" s="9" t="inlineStr">
        <is>
          <t>CA / heure</t>
        </is>
      </c>
      <c r="K43" s="9" t="inlineStr">
        <is>
          <t>Heures / client</t>
        </is>
      </c>
      <c r="L43" s="9" t="inlineStr">
        <is>
          <t>Appels / heure</t>
        </is>
      </c>
    </row>
    <row r="44">
      <c r="B44" s="12" t="inlineStr">
        <is>
          <t>DM</t>
        </is>
      </c>
      <c r="C44" s="87">
        <f>COUNTIFS('Saisie'!$A$5:$A$2004,"&gt;="&amp;$R$4,'Saisie'!$A$5:$A$2004,"&lt;="&amp;$S$4,'Saisie'!$D$5:$D$2004,"DM",'Saisie'!$AU$5:$AU$2004,1)</f>
        <v/>
      </c>
      <c r="D44" s="87">
        <f>COUNTIFS('Saisie'!$A$5:$A$2004,"&gt;="&amp;$R$4,'Saisie'!$A$5:$A$2004,"&lt;="&amp;$S$4,'Saisie'!$D$5:$D$2004,"DM",'Saisie'!$AV$5:$AV$2004,1)</f>
        <v/>
      </c>
      <c r="E44" s="88">
        <f>IFERROR(D44/C44,0)</f>
        <v/>
      </c>
      <c r="F44" s="91">
        <f>SUMIFS('Saisie'!$H$5:$H$2004,'Saisie'!$A$5:$A$2004,"&gt;="&amp;$R$4,'Saisie'!$A$5:$A$2004,"&lt;="&amp;$S$4,'Saisie'!$D$5:$D$2004,"DM")/60</f>
        <v/>
      </c>
      <c r="G44" s="87">
        <f>COUNTIFS('Prospects'!$BG$5:$BG$504,"&gt;="&amp;$R$4,'Prospects'!$BG$5:$BG$504,"&lt;="&amp;$S$4,'Prospects'!$N$5:$N$504,"DM")</f>
        <v/>
      </c>
      <c r="H44" s="87">
        <f>COUNTIFS('Prospects'!$BI$5:$BI$504,"&gt;="&amp;$R$4,'Prospects'!$BI$5:$BI$504,"&lt;="&amp;$S$4,'Prospects'!$N$5:$N$504,"DM")</f>
        <v/>
      </c>
      <c r="I44" s="36">
        <f>SUMIFS('Saisie'!$AW$5:$AW$2004,'Saisie'!$A$5:$A$2004,"&gt;="&amp;$R$4,'Saisie'!$A$5:$A$2004,"&lt;="&amp;$S$4,'Saisie'!$E$5:$E$2004,"Signature",'Saisie'!$BA$5:$BA$2004,"DM")+SUMIFS('Saisie'!$AW$5:$AW$2004,'Saisie'!$A$5:$A$2004,"&gt;="&amp;$R$4,'Saisie'!$A$5:$A$2004,"&lt;="&amp;$S$4,'Saisie'!$E$5:$E$2004,"Vente additionnelle",'Saisie'!$BA$5:$BA$2004,"DM")</f>
        <v/>
      </c>
      <c r="J44" s="36">
        <f>IFERROR(I44/F44,0)</f>
        <v/>
      </c>
      <c r="K44" s="91">
        <f>IFERROR(F44/H44,0)</f>
        <v/>
      </c>
      <c r="L44" s="91">
        <f>IFERROR(C44/(SUMIFS('Saisie'!$H$5:$H$2004,'Saisie'!$A$5:$A$2004,"&gt;="&amp;$R$4,'Saisie'!$A$5:$A$2004,"&lt;="&amp;$S$4,'Saisie'!$D$5:$D$2004,"DM",'Saisie'!$AU$5:$AU$2004,1)/60),0)</f>
        <v/>
      </c>
    </row>
    <row r="45">
      <c r="B45" s="19" t="inlineStr">
        <is>
          <t>Appel</t>
        </is>
      </c>
      <c r="C45" s="89">
        <f>COUNTIFS('Saisie'!$A$5:$A$2004,"&gt;="&amp;$R$4,'Saisie'!$A$5:$A$2004,"&lt;="&amp;$S$4,'Saisie'!$D$5:$D$2004,"Appel",'Saisie'!$AU$5:$AU$2004,1)</f>
        <v/>
      </c>
      <c r="D45" s="89">
        <f>COUNTIFS('Saisie'!$A$5:$A$2004,"&gt;="&amp;$R$4,'Saisie'!$A$5:$A$2004,"&lt;="&amp;$S$4,'Saisie'!$D$5:$D$2004,"Appel",'Saisie'!$AV$5:$AV$2004,1)</f>
        <v/>
      </c>
      <c r="E45" s="90">
        <f>IFERROR(D45/C45,0)</f>
        <v/>
      </c>
      <c r="F45" s="92">
        <f>SUMIFS('Saisie'!$H$5:$H$2004,'Saisie'!$A$5:$A$2004,"&gt;="&amp;$R$4,'Saisie'!$A$5:$A$2004,"&lt;="&amp;$S$4,'Saisie'!$D$5:$D$2004,"Appel")/60</f>
        <v/>
      </c>
      <c r="G45" s="89">
        <f>COUNTIFS('Prospects'!$BG$5:$BG$504,"&gt;="&amp;$R$4,'Prospects'!$BG$5:$BG$504,"&lt;="&amp;$S$4,'Prospects'!$N$5:$N$504,"Appel")</f>
        <v/>
      </c>
      <c r="H45" s="89">
        <f>COUNTIFS('Prospects'!$BI$5:$BI$504,"&gt;="&amp;$R$4,'Prospects'!$BI$5:$BI$504,"&lt;="&amp;$S$4,'Prospects'!$N$5:$N$504,"Appel")</f>
        <v/>
      </c>
      <c r="I45" s="34">
        <f>SUMIFS('Saisie'!$AW$5:$AW$2004,'Saisie'!$A$5:$A$2004,"&gt;="&amp;$R$4,'Saisie'!$A$5:$A$2004,"&lt;="&amp;$S$4,'Saisie'!$E$5:$E$2004,"Signature",'Saisie'!$BA$5:$BA$2004,"Appel")+SUMIFS('Saisie'!$AW$5:$AW$2004,'Saisie'!$A$5:$A$2004,"&gt;="&amp;$R$4,'Saisie'!$A$5:$A$2004,"&lt;="&amp;$S$4,'Saisie'!$E$5:$E$2004,"Vente additionnelle",'Saisie'!$BA$5:$BA$2004,"Appel")</f>
        <v/>
      </c>
      <c r="J45" s="34">
        <f>IFERROR(I45/F45,0)</f>
        <v/>
      </c>
      <c r="K45" s="92">
        <f>IFERROR(F45/H45,0)</f>
        <v/>
      </c>
      <c r="L45" s="92">
        <f>IFERROR(C45/(SUMIFS('Saisie'!$H$5:$H$2004,'Saisie'!$A$5:$A$2004,"&gt;="&amp;$R$4,'Saisie'!$A$5:$A$2004,"&lt;="&amp;$S$4,'Saisie'!$D$5:$D$2004,"Appel",'Saisie'!$AU$5:$AU$2004,1)/60),0)</f>
        <v/>
      </c>
    </row>
    <row r="46">
      <c r="B46" s="12" t="inlineStr">
        <is>
          <t>WhatsApp</t>
        </is>
      </c>
      <c r="C46" s="87">
        <f>COUNTIFS('Saisie'!$A$5:$A$2004,"&gt;="&amp;$R$4,'Saisie'!$A$5:$A$2004,"&lt;="&amp;$S$4,'Saisie'!$D$5:$D$2004,"WhatsApp",'Saisie'!$AU$5:$AU$2004,1)</f>
        <v/>
      </c>
      <c r="D46" s="87">
        <f>COUNTIFS('Saisie'!$A$5:$A$2004,"&gt;="&amp;$R$4,'Saisie'!$A$5:$A$2004,"&lt;="&amp;$S$4,'Saisie'!$D$5:$D$2004,"WhatsApp",'Saisie'!$AV$5:$AV$2004,1)</f>
        <v/>
      </c>
      <c r="E46" s="88">
        <f>IFERROR(D46/C46,0)</f>
        <v/>
      </c>
      <c r="F46" s="91">
        <f>SUMIFS('Saisie'!$H$5:$H$2004,'Saisie'!$A$5:$A$2004,"&gt;="&amp;$R$4,'Saisie'!$A$5:$A$2004,"&lt;="&amp;$S$4,'Saisie'!$D$5:$D$2004,"WhatsApp")/60</f>
        <v/>
      </c>
      <c r="G46" s="87">
        <f>COUNTIFS('Prospects'!$BG$5:$BG$504,"&gt;="&amp;$R$4,'Prospects'!$BG$5:$BG$504,"&lt;="&amp;$S$4,'Prospects'!$N$5:$N$504,"WhatsApp")</f>
        <v/>
      </c>
      <c r="H46" s="87">
        <f>COUNTIFS('Prospects'!$BI$5:$BI$504,"&gt;="&amp;$R$4,'Prospects'!$BI$5:$BI$504,"&lt;="&amp;$S$4,'Prospects'!$N$5:$N$504,"WhatsApp")</f>
        <v/>
      </c>
      <c r="I46" s="36">
        <f>SUMIFS('Saisie'!$AW$5:$AW$2004,'Saisie'!$A$5:$A$2004,"&gt;="&amp;$R$4,'Saisie'!$A$5:$A$2004,"&lt;="&amp;$S$4,'Saisie'!$E$5:$E$2004,"Signature",'Saisie'!$BA$5:$BA$2004,"WhatsApp")+SUMIFS('Saisie'!$AW$5:$AW$2004,'Saisie'!$A$5:$A$2004,"&gt;="&amp;$R$4,'Saisie'!$A$5:$A$2004,"&lt;="&amp;$S$4,'Saisie'!$E$5:$E$2004,"Vente additionnelle",'Saisie'!$BA$5:$BA$2004,"WhatsApp")</f>
        <v/>
      </c>
      <c r="J46" s="36">
        <f>IFERROR(I46/F46,0)</f>
        <v/>
      </c>
      <c r="K46" s="91">
        <f>IFERROR(F46/H46,0)</f>
        <v/>
      </c>
      <c r="L46" s="91">
        <f>IFERROR(C46/(SUMIFS('Saisie'!$H$5:$H$2004,'Saisie'!$A$5:$A$2004,"&gt;="&amp;$R$4,'Saisie'!$A$5:$A$2004,"&lt;="&amp;$S$4,'Saisie'!$D$5:$D$2004,"WhatsApp",'Saisie'!$AU$5:$AU$2004,1)/60),0)</f>
        <v/>
      </c>
    </row>
    <row r="47">
      <c r="B47" s="19" t="inlineStr">
        <is>
          <t>Facebook</t>
        </is>
      </c>
      <c r="C47" s="89">
        <f>COUNTIFS('Saisie'!$A$5:$A$2004,"&gt;="&amp;$R$4,'Saisie'!$A$5:$A$2004,"&lt;="&amp;$S$4,'Saisie'!$D$5:$D$2004,"Facebook",'Saisie'!$AU$5:$AU$2004,1)</f>
        <v/>
      </c>
      <c r="D47" s="89">
        <f>COUNTIFS('Saisie'!$A$5:$A$2004,"&gt;="&amp;$R$4,'Saisie'!$A$5:$A$2004,"&lt;="&amp;$S$4,'Saisie'!$D$5:$D$2004,"Facebook",'Saisie'!$AV$5:$AV$2004,1)</f>
        <v/>
      </c>
      <c r="E47" s="90">
        <f>IFERROR(D47/C47,0)</f>
        <v/>
      </c>
      <c r="F47" s="92">
        <f>SUMIFS('Saisie'!$H$5:$H$2004,'Saisie'!$A$5:$A$2004,"&gt;="&amp;$R$4,'Saisie'!$A$5:$A$2004,"&lt;="&amp;$S$4,'Saisie'!$D$5:$D$2004,"Facebook")/60</f>
        <v/>
      </c>
      <c r="G47" s="89">
        <f>COUNTIFS('Prospects'!$BG$5:$BG$504,"&gt;="&amp;$R$4,'Prospects'!$BG$5:$BG$504,"&lt;="&amp;$S$4,'Prospects'!$N$5:$N$504,"Facebook")</f>
        <v/>
      </c>
      <c r="H47" s="89">
        <f>COUNTIFS('Prospects'!$BI$5:$BI$504,"&gt;="&amp;$R$4,'Prospects'!$BI$5:$BI$504,"&lt;="&amp;$S$4,'Prospects'!$N$5:$N$504,"Facebook")</f>
        <v/>
      </c>
      <c r="I47" s="34">
        <f>SUMIFS('Saisie'!$AW$5:$AW$2004,'Saisie'!$A$5:$A$2004,"&gt;="&amp;$R$4,'Saisie'!$A$5:$A$2004,"&lt;="&amp;$S$4,'Saisie'!$E$5:$E$2004,"Signature",'Saisie'!$BA$5:$BA$2004,"Facebook")+SUMIFS('Saisie'!$AW$5:$AW$2004,'Saisie'!$A$5:$A$2004,"&gt;="&amp;$R$4,'Saisie'!$A$5:$A$2004,"&lt;="&amp;$S$4,'Saisie'!$E$5:$E$2004,"Vente additionnelle",'Saisie'!$BA$5:$BA$2004,"Facebook")</f>
        <v/>
      </c>
      <c r="J47" s="34">
        <f>IFERROR(I47/F47,0)</f>
        <v/>
      </c>
      <c r="K47" s="92">
        <f>IFERROR(F47/H47,0)</f>
        <v/>
      </c>
      <c r="L47" s="92">
        <f>IFERROR(C47/(SUMIFS('Saisie'!$H$5:$H$2004,'Saisie'!$A$5:$A$2004,"&gt;="&amp;$R$4,'Saisie'!$A$5:$A$2004,"&lt;="&amp;$S$4,'Saisie'!$D$5:$D$2004,"Facebook",'Saisie'!$AU$5:$AU$2004,1)/60),0)</f>
        <v/>
      </c>
    </row>
    <row r="48">
      <c r="B48" s="12" t="inlineStr">
        <is>
          <t>Autre</t>
        </is>
      </c>
      <c r="C48" s="87">
        <f>COUNTIFS('Saisie'!$A$5:$A$2004,"&gt;="&amp;$R$4,'Saisie'!$A$5:$A$2004,"&lt;="&amp;$S$4,'Saisie'!$D$5:$D$2004,"Autre",'Saisie'!$AU$5:$AU$2004,1)</f>
        <v/>
      </c>
      <c r="D48" s="87">
        <f>COUNTIFS('Saisie'!$A$5:$A$2004,"&gt;="&amp;$R$4,'Saisie'!$A$5:$A$2004,"&lt;="&amp;$S$4,'Saisie'!$D$5:$D$2004,"Autre",'Saisie'!$AV$5:$AV$2004,1)</f>
        <v/>
      </c>
      <c r="E48" s="88">
        <f>IFERROR(D48/C48,0)</f>
        <v/>
      </c>
      <c r="F48" s="91">
        <f>SUMIFS('Saisie'!$H$5:$H$2004,'Saisie'!$A$5:$A$2004,"&gt;="&amp;$R$4,'Saisie'!$A$5:$A$2004,"&lt;="&amp;$S$4,'Saisie'!$D$5:$D$2004,"Autre")/60</f>
        <v/>
      </c>
      <c r="G48" s="87">
        <f>COUNTIFS('Prospects'!$BG$5:$BG$504,"&gt;="&amp;$R$4,'Prospects'!$BG$5:$BG$504,"&lt;="&amp;$S$4,'Prospects'!$N$5:$N$504,"Autre")</f>
        <v/>
      </c>
      <c r="H48" s="87">
        <f>COUNTIFS('Prospects'!$BI$5:$BI$504,"&gt;="&amp;$R$4,'Prospects'!$BI$5:$BI$504,"&lt;="&amp;$S$4,'Prospects'!$N$5:$N$504,"Autre")</f>
        <v/>
      </c>
      <c r="I48" s="36">
        <f>SUMIFS('Saisie'!$AW$5:$AW$2004,'Saisie'!$A$5:$A$2004,"&gt;="&amp;$R$4,'Saisie'!$A$5:$A$2004,"&lt;="&amp;$S$4,'Saisie'!$E$5:$E$2004,"Signature",'Saisie'!$BA$5:$BA$2004,"Autre")+SUMIFS('Saisie'!$AW$5:$AW$2004,'Saisie'!$A$5:$A$2004,"&gt;="&amp;$R$4,'Saisie'!$A$5:$A$2004,"&lt;="&amp;$S$4,'Saisie'!$E$5:$E$2004,"Vente additionnelle",'Saisie'!$BA$5:$BA$2004,"Autre")</f>
        <v/>
      </c>
      <c r="J48" s="36">
        <f>IFERROR(I48/F48,0)</f>
        <v/>
      </c>
      <c r="K48" s="91">
        <f>IFERROR(F48/H48,0)</f>
        <v/>
      </c>
      <c r="L48" s="91">
        <f>IFERROR(C48/(SUMIFS('Saisie'!$H$5:$H$2004,'Saisie'!$A$5:$A$2004,"&gt;="&amp;$R$4,'Saisie'!$A$5:$A$2004,"&lt;="&amp;$S$4,'Saisie'!$D$5:$D$2004,"Autre",'Saisie'!$AU$5:$AU$2004,1)/60),0)</f>
        <v/>
      </c>
    </row>
    <row r="49">
      <c r="B49" s="12" t="inlineStr">
        <is>
          <t>Total</t>
        </is>
      </c>
      <c r="C49" s="87">
        <f>SUM(C44:C48)</f>
        <v/>
      </c>
      <c r="D49" s="87">
        <f>SUM(D44:D48)</f>
        <v/>
      </c>
      <c r="E49" s="88">
        <f>IFERROR(D49/C49,0)</f>
        <v/>
      </c>
      <c r="F49" s="91">
        <f>SUM(F44:F48)</f>
        <v/>
      </c>
      <c r="G49" s="87">
        <f>SUM(G44:G48)</f>
        <v/>
      </c>
      <c r="H49" s="87">
        <f>SUM(H44:H48)</f>
        <v/>
      </c>
      <c r="I49" s="36">
        <f>SUM(I44:I48)</f>
        <v/>
      </c>
      <c r="J49" s="36">
        <f>IFERROR(I49/F49,0)</f>
        <v/>
      </c>
      <c r="K49" s="91">
        <f>IFERROR(F49/H49,0)</f>
        <v/>
      </c>
      <c r="L49" s="91" t="inlineStr"/>
    </row>
    <row r="64" ht="22" customHeight="1">
      <c r="B64" s="8" t="inlineStr">
        <is>
          <t>📈 ÉVOLUTION MOIS PAR MOIS (année du mois choisi, canal choisi)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28" customHeight="1">
      <c r="B65" s="9" t="inlineStr">
        <is>
          <t>Mois</t>
        </is>
      </c>
      <c r="C65" s="9" t="inlineStr">
        <is>
          <t>Prospects</t>
        </is>
      </c>
      <c r="D65" s="9" t="inlineStr">
        <is>
          <t>Appels</t>
        </is>
      </c>
      <c r="E65" s="9" t="inlineStr">
        <is>
          <t>DM</t>
        </is>
      </c>
      <c r="F65" s="9" t="inlineStr">
        <is>
          <t>RDV</t>
        </is>
      </c>
      <c r="G65" s="9" t="inlineStr">
        <is>
          <t>Clients</t>
        </is>
      </c>
      <c r="H65" s="9" t="inlineStr">
        <is>
          <t>CA signé</t>
        </is>
      </c>
      <c r="I65" s="9" t="inlineStr">
        <is>
          <t>CA encaissé</t>
        </is>
      </c>
      <c r="J65" s="9" t="inlineStr">
        <is>
          <t>Dépenses</t>
        </is>
      </c>
      <c r="K65" s="9" t="inlineStr">
        <is>
          <t>Bénéfice</t>
        </is>
      </c>
    </row>
    <row r="66">
      <c r="B66" s="93">
        <f>DATE(YEAR(IF($C$4="Tous",TODAY(),$R$4)),1,1)</f>
        <v/>
      </c>
      <c r="C66" s="89">
        <f>COUNTIFS('Prospects'!$B$5:$B$504,"&gt;="&amp;$B66,'Prospects'!$B$5:$B$504,"&lt;="&amp;EOMONTH($B66,0),'Prospects'!$N$5:$N$504,IF('Tableau de bord'!$G$4="Tous","&lt;&gt;§",'Tableau de bord'!$G$4))</f>
        <v/>
      </c>
      <c r="D66" s="89">
        <f>COUNTIFS('Saisie'!$A$5:$A$2004,"&gt;="&amp;$B66,'Saisie'!$A$5:$A$2004,"&lt;="&amp;EOMONTH($B66,0),'Saisie'!$D$5:$D$2004,"Appel",'Saisie'!$D$5:$D$2004,IF('Tableau de bord'!$G$4="Tous","&lt;&gt;§",'Tableau de bord'!$G$4),'Saisie'!$AU$5:$AU$2004,1)</f>
        <v/>
      </c>
      <c r="E66" s="89">
        <f>COUNTIFS('Saisie'!$A$5:$A$2004,"&gt;="&amp;$B66,'Saisie'!$A$5:$A$2004,"&lt;="&amp;EOMONTH($B66,0),'Saisie'!$D$5:$D$2004,"DM",'Saisie'!$D$5:$D$2004,IF('Tableau de bord'!$G$4="Tous","&lt;&gt;§",'Tableau de bord'!$G$4),'Saisie'!$AU$5:$AU$2004,1)</f>
        <v/>
      </c>
      <c r="F66" s="89">
        <f>COUNTIFS('Prospects'!$BG$5:$BG$504,"&gt;="&amp;$B66,'Prospects'!$BG$5:$BG$504,"&lt;="&amp;EOMONTH($B66,0),'Prospects'!$N$5:$N$504,IF('Tableau de bord'!$G$4="Tous","&lt;&gt;§",'Tableau de bord'!$G$4))</f>
        <v/>
      </c>
      <c r="G66" s="89">
        <f>COUNTIFS('Prospects'!$BI$5:$BI$504,"&gt;="&amp;$B66,'Prospects'!$BI$5:$BI$504,"&lt;="&amp;EOMONTH($B66,0),'Prospects'!$N$5:$N$504,IF('Tableau de bord'!$G$4="Tous","&lt;&gt;§",'Tableau de bord'!$G$4))</f>
        <v/>
      </c>
      <c r="H66" s="34">
        <f>SUMIFS('Saisie'!$AW$5:$AW$2004,'Saisie'!$A$5:$A$2004,"&gt;="&amp;$B66,'Saisie'!$A$5:$A$2004,"&lt;="&amp;EOMONTH($B66,0),'Saisie'!$E$5:$E$2004,"Signature",'Saisie'!$BA$5:$BA$2004,IF('Tableau de bord'!$G$4="Tous","&lt;&gt;§",'Tableau de bord'!$G$4))+SUMIFS('Saisie'!$AW$5:$AW$2004,'Saisie'!$A$5:$A$2004,"&gt;="&amp;$B66,'Saisie'!$A$5:$A$2004,"&lt;="&amp;EOMONTH($B66,0),'Saisie'!$E$5:$E$2004,"Vente additionnelle",'Saisie'!$BA$5:$BA$2004,IF('Tableau de bord'!$G$4="Tous","&lt;&gt;§",'Tableau de bord'!$G$4))</f>
        <v/>
      </c>
      <c r="I66" s="34">
        <f>SUMIFS('Saisie'!$AW$5:$AW$2004,'Saisie'!$A$5:$A$2004,"&gt;="&amp;$B66,'Saisie'!$A$5:$A$2004,"&lt;="&amp;EOMONTH($B66,0),'Saisie'!$E$5:$E$2004,"Paiement reçu",'Saisie'!$BA$5:$BA$2004,IF('Tableau de bord'!$G$4="Tous","&lt;&gt;§",'Tableau de bord'!$G$4))</f>
        <v/>
      </c>
      <c r="J66" s="34">
        <f>SUMIFS('Saisie'!$AW$5:$AW$2004,'Saisie'!$A$5:$A$2004,"&gt;="&amp;$B66,'Saisie'!$A$5:$A$2004,"&lt;="&amp;EOMONTH($B66,0),'Saisie'!$E$5:$E$2004,"Dépense")+SUM('Paramètres'!$AH$6:$AH$12)</f>
        <v/>
      </c>
      <c r="K66" s="34">
        <f>I66-J66</f>
        <v/>
      </c>
    </row>
    <row r="67">
      <c r="B67" s="94">
        <f>DATE(YEAR(IF($C$4="Tous",TODAY(),$R$4)),2,1)</f>
        <v/>
      </c>
      <c r="C67" s="87">
        <f>COUNTIFS('Prospects'!$B$5:$B$504,"&gt;="&amp;$B67,'Prospects'!$B$5:$B$504,"&lt;="&amp;EOMONTH($B67,0),'Prospects'!$N$5:$N$504,IF('Tableau de bord'!$G$4="Tous","&lt;&gt;§",'Tableau de bord'!$G$4))</f>
        <v/>
      </c>
      <c r="D67" s="87">
        <f>COUNTIFS('Saisie'!$A$5:$A$2004,"&gt;="&amp;$B67,'Saisie'!$A$5:$A$2004,"&lt;="&amp;EOMONTH($B67,0),'Saisie'!$D$5:$D$2004,"Appel",'Saisie'!$D$5:$D$2004,IF('Tableau de bord'!$G$4="Tous","&lt;&gt;§",'Tableau de bord'!$G$4),'Saisie'!$AU$5:$AU$2004,1)</f>
        <v/>
      </c>
      <c r="E67" s="87">
        <f>COUNTIFS('Saisie'!$A$5:$A$2004,"&gt;="&amp;$B67,'Saisie'!$A$5:$A$2004,"&lt;="&amp;EOMONTH($B67,0),'Saisie'!$D$5:$D$2004,"DM",'Saisie'!$D$5:$D$2004,IF('Tableau de bord'!$G$4="Tous","&lt;&gt;§",'Tableau de bord'!$G$4),'Saisie'!$AU$5:$AU$2004,1)</f>
        <v/>
      </c>
      <c r="F67" s="87">
        <f>COUNTIFS('Prospects'!$BG$5:$BG$504,"&gt;="&amp;$B67,'Prospects'!$BG$5:$BG$504,"&lt;="&amp;EOMONTH($B67,0),'Prospects'!$N$5:$N$504,IF('Tableau de bord'!$G$4="Tous","&lt;&gt;§",'Tableau de bord'!$G$4))</f>
        <v/>
      </c>
      <c r="G67" s="87">
        <f>COUNTIFS('Prospects'!$BI$5:$BI$504,"&gt;="&amp;$B67,'Prospects'!$BI$5:$BI$504,"&lt;="&amp;EOMONTH($B67,0),'Prospects'!$N$5:$N$504,IF('Tableau de bord'!$G$4="Tous","&lt;&gt;§",'Tableau de bord'!$G$4))</f>
        <v/>
      </c>
      <c r="H67" s="36">
        <f>SUMIFS('Saisie'!$AW$5:$AW$2004,'Saisie'!$A$5:$A$2004,"&gt;="&amp;$B67,'Saisie'!$A$5:$A$2004,"&lt;="&amp;EOMONTH($B67,0),'Saisie'!$E$5:$E$2004,"Signature",'Saisie'!$BA$5:$BA$2004,IF('Tableau de bord'!$G$4="Tous","&lt;&gt;§",'Tableau de bord'!$G$4))+SUMIFS('Saisie'!$AW$5:$AW$2004,'Saisie'!$A$5:$A$2004,"&gt;="&amp;$B67,'Saisie'!$A$5:$A$2004,"&lt;="&amp;EOMONTH($B67,0),'Saisie'!$E$5:$E$2004,"Vente additionnelle",'Saisie'!$BA$5:$BA$2004,IF('Tableau de bord'!$G$4="Tous","&lt;&gt;§",'Tableau de bord'!$G$4))</f>
        <v/>
      </c>
      <c r="I67" s="36">
        <f>SUMIFS('Saisie'!$AW$5:$AW$2004,'Saisie'!$A$5:$A$2004,"&gt;="&amp;$B67,'Saisie'!$A$5:$A$2004,"&lt;="&amp;EOMONTH($B67,0),'Saisie'!$E$5:$E$2004,"Paiement reçu",'Saisie'!$BA$5:$BA$2004,IF('Tableau de bord'!$G$4="Tous","&lt;&gt;§",'Tableau de bord'!$G$4))</f>
        <v/>
      </c>
      <c r="J67" s="36">
        <f>SUMIFS('Saisie'!$AW$5:$AW$2004,'Saisie'!$A$5:$A$2004,"&gt;="&amp;$B67,'Saisie'!$A$5:$A$2004,"&lt;="&amp;EOMONTH($B67,0),'Saisie'!$E$5:$E$2004,"Dépense")+SUM('Paramètres'!$AH$6:$AH$12)</f>
        <v/>
      </c>
      <c r="K67" s="36">
        <f>I67-J67</f>
        <v/>
      </c>
    </row>
    <row r="68">
      <c r="B68" s="93">
        <f>DATE(YEAR(IF($C$4="Tous",TODAY(),$R$4)),3,1)</f>
        <v/>
      </c>
      <c r="C68" s="89">
        <f>COUNTIFS('Prospects'!$B$5:$B$504,"&gt;="&amp;$B68,'Prospects'!$B$5:$B$504,"&lt;="&amp;EOMONTH($B68,0),'Prospects'!$N$5:$N$504,IF('Tableau de bord'!$G$4="Tous","&lt;&gt;§",'Tableau de bord'!$G$4))</f>
        <v/>
      </c>
      <c r="D68" s="89">
        <f>COUNTIFS('Saisie'!$A$5:$A$2004,"&gt;="&amp;$B68,'Saisie'!$A$5:$A$2004,"&lt;="&amp;EOMONTH($B68,0),'Saisie'!$D$5:$D$2004,"Appel",'Saisie'!$D$5:$D$2004,IF('Tableau de bord'!$G$4="Tous","&lt;&gt;§",'Tableau de bord'!$G$4),'Saisie'!$AU$5:$AU$2004,1)</f>
        <v/>
      </c>
      <c r="E68" s="89">
        <f>COUNTIFS('Saisie'!$A$5:$A$2004,"&gt;="&amp;$B68,'Saisie'!$A$5:$A$2004,"&lt;="&amp;EOMONTH($B68,0),'Saisie'!$D$5:$D$2004,"DM",'Saisie'!$D$5:$D$2004,IF('Tableau de bord'!$G$4="Tous","&lt;&gt;§",'Tableau de bord'!$G$4),'Saisie'!$AU$5:$AU$2004,1)</f>
        <v/>
      </c>
      <c r="F68" s="89">
        <f>COUNTIFS('Prospects'!$BG$5:$BG$504,"&gt;="&amp;$B68,'Prospects'!$BG$5:$BG$504,"&lt;="&amp;EOMONTH($B68,0),'Prospects'!$N$5:$N$504,IF('Tableau de bord'!$G$4="Tous","&lt;&gt;§",'Tableau de bord'!$G$4))</f>
        <v/>
      </c>
      <c r="G68" s="89">
        <f>COUNTIFS('Prospects'!$BI$5:$BI$504,"&gt;="&amp;$B68,'Prospects'!$BI$5:$BI$504,"&lt;="&amp;EOMONTH($B68,0),'Prospects'!$N$5:$N$504,IF('Tableau de bord'!$G$4="Tous","&lt;&gt;§",'Tableau de bord'!$G$4))</f>
        <v/>
      </c>
      <c r="H68" s="34">
        <f>SUMIFS('Saisie'!$AW$5:$AW$2004,'Saisie'!$A$5:$A$2004,"&gt;="&amp;$B68,'Saisie'!$A$5:$A$2004,"&lt;="&amp;EOMONTH($B68,0),'Saisie'!$E$5:$E$2004,"Signature",'Saisie'!$BA$5:$BA$2004,IF('Tableau de bord'!$G$4="Tous","&lt;&gt;§",'Tableau de bord'!$G$4))+SUMIFS('Saisie'!$AW$5:$AW$2004,'Saisie'!$A$5:$A$2004,"&gt;="&amp;$B68,'Saisie'!$A$5:$A$2004,"&lt;="&amp;EOMONTH($B68,0),'Saisie'!$E$5:$E$2004,"Vente additionnelle",'Saisie'!$BA$5:$BA$2004,IF('Tableau de bord'!$G$4="Tous","&lt;&gt;§",'Tableau de bord'!$G$4))</f>
        <v/>
      </c>
      <c r="I68" s="34">
        <f>SUMIFS('Saisie'!$AW$5:$AW$2004,'Saisie'!$A$5:$A$2004,"&gt;="&amp;$B68,'Saisie'!$A$5:$A$2004,"&lt;="&amp;EOMONTH($B68,0),'Saisie'!$E$5:$E$2004,"Paiement reçu",'Saisie'!$BA$5:$BA$2004,IF('Tableau de bord'!$G$4="Tous","&lt;&gt;§",'Tableau de bord'!$G$4))</f>
        <v/>
      </c>
      <c r="J68" s="34">
        <f>SUMIFS('Saisie'!$AW$5:$AW$2004,'Saisie'!$A$5:$A$2004,"&gt;="&amp;$B68,'Saisie'!$A$5:$A$2004,"&lt;="&amp;EOMONTH($B68,0),'Saisie'!$E$5:$E$2004,"Dépense")+SUM('Paramètres'!$AH$6:$AH$12)</f>
        <v/>
      </c>
      <c r="K68" s="34">
        <f>I68-J68</f>
        <v/>
      </c>
    </row>
    <row r="69">
      <c r="B69" s="94">
        <f>DATE(YEAR(IF($C$4="Tous",TODAY(),$R$4)),4,1)</f>
        <v/>
      </c>
      <c r="C69" s="87">
        <f>COUNTIFS('Prospects'!$B$5:$B$504,"&gt;="&amp;$B69,'Prospects'!$B$5:$B$504,"&lt;="&amp;EOMONTH($B69,0),'Prospects'!$N$5:$N$504,IF('Tableau de bord'!$G$4="Tous","&lt;&gt;§",'Tableau de bord'!$G$4))</f>
        <v/>
      </c>
      <c r="D69" s="87">
        <f>COUNTIFS('Saisie'!$A$5:$A$2004,"&gt;="&amp;$B69,'Saisie'!$A$5:$A$2004,"&lt;="&amp;EOMONTH($B69,0),'Saisie'!$D$5:$D$2004,"Appel",'Saisie'!$D$5:$D$2004,IF('Tableau de bord'!$G$4="Tous","&lt;&gt;§",'Tableau de bord'!$G$4),'Saisie'!$AU$5:$AU$2004,1)</f>
        <v/>
      </c>
      <c r="E69" s="87">
        <f>COUNTIFS('Saisie'!$A$5:$A$2004,"&gt;="&amp;$B69,'Saisie'!$A$5:$A$2004,"&lt;="&amp;EOMONTH($B69,0),'Saisie'!$D$5:$D$2004,"DM",'Saisie'!$D$5:$D$2004,IF('Tableau de bord'!$G$4="Tous","&lt;&gt;§",'Tableau de bord'!$G$4),'Saisie'!$AU$5:$AU$2004,1)</f>
        <v/>
      </c>
      <c r="F69" s="87">
        <f>COUNTIFS('Prospects'!$BG$5:$BG$504,"&gt;="&amp;$B69,'Prospects'!$BG$5:$BG$504,"&lt;="&amp;EOMONTH($B69,0),'Prospects'!$N$5:$N$504,IF('Tableau de bord'!$G$4="Tous","&lt;&gt;§",'Tableau de bord'!$G$4))</f>
        <v/>
      </c>
      <c r="G69" s="87">
        <f>COUNTIFS('Prospects'!$BI$5:$BI$504,"&gt;="&amp;$B69,'Prospects'!$BI$5:$BI$504,"&lt;="&amp;EOMONTH($B69,0),'Prospects'!$N$5:$N$504,IF('Tableau de bord'!$G$4="Tous","&lt;&gt;§",'Tableau de bord'!$G$4))</f>
        <v/>
      </c>
      <c r="H69" s="36">
        <f>SUMIFS('Saisie'!$AW$5:$AW$2004,'Saisie'!$A$5:$A$2004,"&gt;="&amp;$B69,'Saisie'!$A$5:$A$2004,"&lt;="&amp;EOMONTH($B69,0),'Saisie'!$E$5:$E$2004,"Signature",'Saisie'!$BA$5:$BA$2004,IF('Tableau de bord'!$G$4="Tous","&lt;&gt;§",'Tableau de bord'!$G$4))+SUMIFS('Saisie'!$AW$5:$AW$2004,'Saisie'!$A$5:$A$2004,"&gt;="&amp;$B69,'Saisie'!$A$5:$A$2004,"&lt;="&amp;EOMONTH($B69,0),'Saisie'!$E$5:$E$2004,"Vente additionnelle",'Saisie'!$BA$5:$BA$2004,IF('Tableau de bord'!$G$4="Tous","&lt;&gt;§",'Tableau de bord'!$G$4))</f>
        <v/>
      </c>
      <c r="I69" s="36">
        <f>SUMIFS('Saisie'!$AW$5:$AW$2004,'Saisie'!$A$5:$A$2004,"&gt;="&amp;$B69,'Saisie'!$A$5:$A$2004,"&lt;="&amp;EOMONTH($B69,0),'Saisie'!$E$5:$E$2004,"Paiement reçu",'Saisie'!$BA$5:$BA$2004,IF('Tableau de bord'!$G$4="Tous","&lt;&gt;§",'Tableau de bord'!$G$4))</f>
        <v/>
      </c>
      <c r="J69" s="36">
        <f>SUMIFS('Saisie'!$AW$5:$AW$2004,'Saisie'!$A$5:$A$2004,"&gt;="&amp;$B69,'Saisie'!$A$5:$A$2004,"&lt;="&amp;EOMONTH($B69,0),'Saisie'!$E$5:$E$2004,"Dépense")+SUM('Paramètres'!$AH$6:$AH$12)</f>
        <v/>
      </c>
      <c r="K69" s="36">
        <f>I69-J69</f>
        <v/>
      </c>
    </row>
    <row r="70">
      <c r="B70" s="93">
        <f>DATE(YEAR(IF($C$4="Tous",TODAY(),$R$4)),5,1)</f>
        <v/>
      </c>
      <c r="C70" s="89">
        <f>COUNTIFS('Prospects'!$B$5:$B$504,"&gt;="&amp;$B70,'Prospects'!$B$5:$B$504,"&lt;="&amp;EOMONTH($B70,0),'Prospects'!$N$5:$N$504,IF('Tableau de bord'!$G$4="Tous","&lt;&gt;§",'Tableau de bord'!$G$4))</f>
        <v/>
      </c>
      <c r="D70" s="89">
        <f>COUNTIFS('Saisie'!$A$5:$A$2004,"&gt;="&amp;$B70,'Saisie'!$A$5:$A$2004,"&lt;="&amp;EOMONTH($B70,0),'Saisie'!$D$5:$D$2004,"Appel",'Saisie'!$D$5:$D$2004,IF('Tableau de bord'!$G$4="Tous","&lt;&gt;§",'Tableau de bord'!$G$4),'Saisie'!$AU$5:$AU$2004,1)</f>
        <v/>
      </c>
      <c r="E70" s="89">
        <f>COUNTIFS('Saisie'!$A$5:$A$2004,"&gt;="&amp;$B70,'Saisie'!$A$5:$A$2004,"&lt;="&amp;EOMONTH($B70,0),'Saisie'!$D$5:$D$2004,"DM",'Saisie'!$D$5:$D$2004,IF('Tableau de bord'!$G$4="Tous","&lt;&gt;§",'Tableau de bord'!$G$4),'Saisie'!$AU$5:$AU$2004,1)</f>
        <v/>
      </c>
      <c r="F70" s="89">
        <f>COUNTIFS('Prospects'!$BG$5:$BG$504,"&gt;="&amp;$B70,'Prospects'!$BG$5:$BG$504,"&lt;="&amp;EOMONTH($B70,0),'Prospects'!$N$5:$N$504,IF('Tableau de bord'!$G$4="Tous","&lt;&gt;§",'Tableau de bord'!$G$4))</f>
        <v/>
      </c>
      <c r="G70" s="89">
        <f>COUNTIFS('Prospects'!$BI$5:$BI$504,"&gt;="&amp;$B70,'Prospects'!$BI$5:$BI$504,"&lt;="&amp;EOMONTH($B70,0),'Prospects'!$N$5:$N$504,IF('Tableau de bord'!$G$4="Tous","&lt;&gt;§",'Tableau de bord'!$G$4))</f>
        <v/>
      </c>
      <c r="H70" s="34">
        <f>SUMIFS('Saisie'!$AW$5:$AW$2004,'Saisie'!$A$5:$A$2004,"&gt;="&amp;$B70,'Saisie'!$A$5:$A$2004,"&lt;="&amp;EOMONTH($B70,0),'Saisie'!$E$5:$E$2004,"Signature",'Saisie'!$BA$5:$BA$2004,IF('Tableau de bord'!$G$4="Tous","&lt;&gt;§",'Tableau de bord'!$G$4))+SUMIFS('Saisie'!$AW$5:$AW$2004,'Saisie'!$A$5:$A$2004,"&gt;="&amp;$B70,'Saisie'!$A$5:$A$2004,"&lt;="&amp;EOMONTH($B70,0),'Saisie'!$E$5:$E$2004,"Vente additionnelle",'Saisie'!$BA$5:$BA$2004,IF('Tableau de bord'!$G$4="Tous","&lt;&gt;§",'Tableau de bord'!$G$4))</f>
        <v/>
      </c>
      <c r="I70" s="34">
        <f>SUMIFS('Saisie'!$AW$5:$AW$2004,'Saisie'!$A$5:$A$2004,"&gt;="&amp;$B70,'Saisie'!$A$5:$A$2004,"&lt;="&amp;EOMONTH($B70,0),'Saisie'!$E$5:$E$2004,"Paiement reçu",'Saisie'!$BA$5:$BA$2004,IF('Tableau de bord'!$G$4="Tous","&lt;&gt;§",'Tableau de bord'!$G$4))</f>
        <v/>
      </c>
      <c r="J70" s="34">
        <f>SUMIFS('Saisie'!$AW$5:$AW$2004,'Saisie'!$A$5:$A$2004,"&gt;="&amp;$B70,'Saisie'!$A$5:$A$2004,"&lt;="&amp;EOMONTH($B70,0),'Saisie'!$E$5:$E$2004,"Dépense")+SUM('Paramètres'!$AH$6:$AH$12)</f>
        <v/>
      </c>
      <c r="K70" s="34">
        <f>I70-J70</f>
        <v/>
      </c>
    </row>
    <row r="71">
      <c r="B71" s="94">
        <f>DATE(YEAR(IF($C$4="Tous",TODAY(),$R$4)),6,1)</f>
        <v/>
      </c>
      <c r="C71" s="87">
        <f>COUNTIFS('Prospects'!$B$5:$B$504,"&gt;="&amp;$B71,'Prospects'!$B$5:$B$504,"&lt;="&amp;EOMONTH($B71,0),'Prospects'!$N$5:$N$504,IF('Tableau de bord'!$G$4="Tous","&lt;&gt;§",'Tableau de bord'!$G$4))</f>
        <v/>
      </c>
      <c r="D71" s="87">
        <f>COUNTIFS('Saisie'!$A$5:$A$2004,"&gt;="&amp;$B71,'Saisie'!$A$5:$A$2004,"&lt;="&amp;EOMONTH($B71,0),'Saisie'!$D$5:$D$2004,"Appel",'Saisie'!$D$5:$D$2004,IF('Tableau de bord'!$G$4="Tous","&lt;&gt;§",'Tableau de bord'!$G$4),'Saisie'!$AU$5:$AU$2004,1)</f>
        <v/>
      </c>
      <c r="E71" s="87">
        <f>COUNTIFS('Saisie'!$A$5:$A$2004,"&gt;="&amp;$B71,'Saisie'!$A$5:$A$2004,"&lt;="&amp;EOMONTH($B71,0),'Saisie'!$D$5:$D$2004,"DM",'Saisie'!$D$5:$D$2004,IF('Tableau de bord'!$G$4="Tous","&lt;&gt;§",'Tableau de bord'!$G$4),'Saisie'!$AU$5:$AU$2004,1)</f>
        <v/>
      </c>
      <c r="F71" s="87">
        <f>COUNTIFS('Prospects'!$BG$5:$BG$504,"&gt;="&amp;$B71,'Prospects'!$BG$5:$BG$504,"&lt;="&amp;EOMONTH($B71,0),'Prospects'!$N$5:$N$504,IF('Tableau de bord'!$G$4="Tous","&lt;&gt;§",'Tableau de bord'!$G$4))</f>
        <v/>
      </c>
      <c r="G71" s="87">
        <f>COUNTIFS('Prospects'!$BI$5:$BI$504,"&gt;="&amp;$B71,'Prospects'!$BI$5:$BI$504,"&lt;="&amp;EOMONTH($B71,0),'Prospects'!$N$5:$N$504,IF('Tableau de bord'!$G$4="Tous","&lt;&gt;§",'Tableau de bord'!$G$4))</f>
        <v/>
      </c>
      <c r="H71" s="36">
        <f>SUMIFS('Saisie'!$AW$5:$AW$2004,'Saisie'!$A$5:$A$2004,"&gt;="&amp;$B71,'Saisie'!$A$5:$A$2004,"&lt;="&amp;EOMONTH($B71,0),'Saisie'!$E$5:$E$2004,"Signature",'Saisie'!$BA$5:$BA$2004,IF('Tableau de bord'!$G$4="Tous","&lt;&gt;§",'Tableau de bord'!$G$4))+SUMIFS('Saisie'!$AW$5:$AW$2004,'Saisie'!$A$5:$A$2004,"&gt;="&amp;$B71,'Saisie'!$A$5:$A$2004,"&lt;="&amp;EOMONTH($B71,0),'Saisie'!$E$5:$E$2004,"Vente additionnelle",'Saisie'!$BA$5:$BA$2004,IF('Tableau de bord'!$G$4="Tous","&lt;&gt;§",'Tableau de bord'!$G$4))</f>
        <v/>
      </c>
      <c r="I71" s="36">
        <f>SUMIFS('Saisie'!$AW$5:$AW$2004,'Saisie'!$A$5:$A$2004,"&gt;="&amp;$B71,'Saisie'!$A$5:$A$2004,"&lt;="&amp;EOMONTH($B71,0),'Saisie'!$E$5:$E$2004,"Paiement reçu",'Saisie'!$BA$5:$BA$2004,IF('Tableau de bord'!$G$4="Tous","&lt;&gt;§",'Tableau de bord'!$G$4))</f>
        <v/>
      </c>
      <c r="J71" s="36">
        <f>SUMIFS('Saisie'!$AW$5:$AW$2004,'Saisie'!$A$5:$A$2004,"&gt;="&amp;$B71,'Saisie'!$A$5:$A$2004,"&lt;="&amp;EOMONTH($B71,0),'Saisie'!$E$5:$E$2004,"Dépense")+SUM('Paramètres'!$AH$6:$AH$12)</f>
        <v/>
      </c>
      <c r="K71" s="36">
        <f>I71-J71</f>
        <v/>
      </c>
    </row>
    <row r="72">
      <c r="B72" s="93">
        <f>DATE(YEAR(IF($C$4="Tous",TODAY(),$R$4)),7,1)</f>
        <v/>
      </c>
      <c r="C72" s="89">
        <f>COUNTIFS('Prospects'!$B$5:$B$504,"&gt;="&amp;$B72,'Prospects'!$B$5:$B$504,"&lt;="&amp;EOMONTH($B72,0),'Prospects'!$N$5:$N$504,IF('Tableau de bord'!$G$4="Tous","&lt;&gt;§",'Tableau de bord'!$G$4))</f>
        <v/>
      </c>
      <c r="D72" s="89">
        <f>COUNTIFS('Saisie'!$A$5:$A$2004,"&gt;="&amp;$B72,'Saisie'!$A$5:$A$2004,"&lt;="&amp;EOMONTH($B72,0),'Saisie'!$D$5:$D$2004,"Appel",'Saisie'!$D$5:$D$2004,IF('Tableau de bord'!$G$4="Tous","&lt;&gt;§",'Tableau de bord'!$G$4),'Saisie'!$AU$5:$AU$2004,1)</f>
        <v/>
      </c>
      <c r="E72" s="89">
        <f>COUNTIFS('Saisie'!$A$5:$A$2004,"&gt;="&amp;$B72,'Saisie'!$A$5:$A$2004,"&lt;="&amp;EOMONTH($B72,0),'Saisie'!$D$5:$D$2004,"DM",'Saisie'!$D$5:$D$2004,IF('Tableau de bord'!$G$4="Tous","&lt;&gt;§",'Tableau de bord'!$G$4),'Saisie'!$AU$5:$AU$2004,1)</f>
        <v/>
      </c>
      <c r="F72" s="89">
        <f>COUNTIFS('Prospects'!$BG$5:$BG$504,"&gt;="&amp;$B72,'Prospects'!$BG$5:$BG$504,"&lt;="&amp;EOMONTH($B72,0),'Prospects'!$N$5:$N$504,IF('Tableau de bord'!$G$4="Tous","&lt;&gt;§",'Tableau de bord'!$G$4))</f>
        <v/>
      </c>
      <c r="G72" s="89">
        <f>COUNTIFS('Prospects'!$BI$5:$BI$504,"&gt;="&amp;$B72,'Prospects'!$BI$5:$BI$504,"&lt;="&amp;EOMONTH($B72,0),'Prospects'!$N$5:$N$504,IF('Tableau de bord'!$G$4="Tous","&lt;&gt;§",'Tableau de bord'!$G$4))</f>
        <v/>
      </c>
      <c r="H72" s="34">
        <f>SUMIFS('Saisie'!$AW$5:$AW$2004,'Saisie'!$A$5:$A$2004,"&gt;="&amp;$B72,'Saisie'!$A$5:$A$2004,"&lt;="&amp;EOMONTH($B72,0),'Saisie'!$E$5:$E$2004,"Signature",'Saisie'!$BA$5:$BA$2004,IF('Tableau de bord'!$G$4="Tous","&lt;&gt;§",'Tableau de bord'!$G$4))+SUMIFS('Saisie'!$AW$5:$AW$2004,'Saisie'!$A$5:$A$2004,"&gt;="&amp;$B72,'Saisie'!$A$5:$A$2004,"&lt;="&amp;EOMONTH($B72,0),'Saisie'!$E$5:$E$2004,"Vente additionnelle",'Saisie'!$BA$5:$BA$2004,IF('Tableau de bord'!$G$4="Tous","&lt;&gt;§",'Tableau de bord'!$G$4))</f>
        <v/>
      </c>
      <c r="I72" s="34">
        <f>SUMIFS('Saisie'!$AW$5:$AW$2004,'Saisie'!$A$5:$A$2004,"&gt;="&amp;$B72,'Saisie'!$A$5:$A$2004,"&lt;="&amp;EOMONTH($B72,0),'Saisie'!$E$5:$E$2004,"Paiement reçu",'Saisie'!$BA$5:$BA$2004,IF('Tableau de bord'!$G$4="Tous","&lt;&gt;§",'Tableau de bord'!$G$4))</f>
        <v/>
      </c>
      <c r="J72" s="34">
        <f>SUMIFS('Saisie'!$AW$5:$AW$2004,'Saisie'!$A$5:$A$2004,"&gt;="&amp;$B72,'Saisie'!$A$5:$A$2004,"&lt;="&amp;EOMONTH($B72,0),'Saisie'!$E$5:$E$2004,"Dépense")+SUM('Paramètres'!$AH$6:$AH$12)</f>
        <v/>
      </c>
      <c r="K72" s="34">
        <f>I72-J72</f>
        <v/>
      </c>
    </row>
    <row r="73">
      <c r="B73" s="94">
        <f>DATE(YEAR(IF($C$4="Tous",TODAY(),$R$4)),8,1)</f>
        <v/>
      </c>
      <c r="C73" s="87">
        <f>COUNTIFS('Prospects'!$B$5:$B$504,"&gt;="&amp;$B73,'Prospects'!$B$5:$B$504,"&lt;="&amp;EOMONTH($B73,0),'Prospects'!$N$5:$N$504,IF('Tableau de bord'!$G$4="Tous","&lt;&gt;§",'Tableau de bord'!$G$4))</f>
        <v/>
      </c>
      <c r="D73" s="87">
        <f>COUNTIFS('Saisie'!$A$5:$A$2004,"&gt;="&amp;$B73,'Saisie'!$A$5:$A$2004,"&lt;="&amp;EOMONTH($B73,0),'Saisie'!$D$5:$D$2004,"Appel",'Saisie'!$D$5:$D$2004,IF('Tableau de bord'!$G$4="Tous","&lt;&gt;§",'Tableau de bord'!$G$4),'Saisie'!$AU$5:$AU$2004,1)</f>
        <v/>
      </c>
      <c r="E73" s="87">
        <f>COUNTIFS('Saisie'!$A$5:$A$2004,"&gt;="&amp;$B73,'Saisie'!$A$5:$A$2004,"&lt;="&amp;EOMONTH($B73,0),'Saisie'!$D$5:$D$2004,"DM",'Saisie'!$D$5:$D$2004,IF('Tableau de bord'!$G$4="Tous","&lt;&gt;§",'Tableau de bord'!$G$4),'Saisie'!$AU$5:$AU$2004,1)</f>
        <v/>
      </c>
      <c r="F73" s="87">
        <f>COUNTIFS('Prospects'!$BG$5:$BG$504,"&gt;="&amp;$B73,'Prospects'!$BG$5:$BG$504,"&lt;="&amp;EOMONTH($B73,0),'Prospects'!$N$5:$N$504,IF('Tableau de bord'!$G$4="Tous","&lt;&gt;§",'Tableau de bord'!$G$4))</f>
        <v/>
      </c>
      <c r="G73" s="87">
        <f>COUNTIFS('Prospects'!$BI$5:$BI$504,"&gt;="&amp;$B73,'Prospects'!$BI$5:$BI$504,"&lt;="&amp;EOMONTH($B73,0),'Prospects'!$N$5:$N$504,IF('Tableau de bord'!$G$4="Tous","&lt;&gt;§",'Tableau de bord'!$G$4))</f>
        <v/>
      </c>
      <c r="H73" s="36">
        <f>SUMIFS('Saisie'!$AW$5:$AW$2004,'Saisie'!$A$5:$A$2004,"&gt;="&amp;$B73,'Saisie'!$A$5:$A$2004,"&lt;="&amp;EOMONTH($B73,0),'Saisie'!$E$5:$E$2004,"Signature",'Saisie'!$BA$5:$BA$2004,IF('Tableau de bord'!$G$4="Tous","&lt;&gt;§",'Tableau de bord'!$G$4))+SUMIFS('Saisie'!$AW$5:$AW$2004,'Saisie'!$A$5:$A$2004,"&gt;="&amp;$B73,'Saisie'!$A$5:$A$2004,"&lt;="&amp;EOMONTH($B73,0),'Saisie'!$E$5:$E$2004,"Vente additionnelle",'Saisie'!$BA$5:$BA$2004,IF('Tableau de bord'!$G$4="Tous","&lt;&gt;§",'Tableau de bord'!$G$4))</f>
        <v/>
      </c>
      <c r="I73" s="36">
        <f>SUMIFS('Saisie'!$AW$5:$AW$2004,'Saisie'!$A$5:$A$2004,"&gt;="&amp;$B73,'Saisie'!$A$5:$A$2004,"&lt;="&amp;EOMONTH($B73,0),'Saisie'!$E$5:$E$2004,"Paiement reçu",'Saisie'!$BA$5:$BA$2004,IF('Tableau de bord'!$G$4="Tous","&lt;&gt;§",'Tableau de bord'!$G$4))</f>
        <v/>
      </c>
      <c r="J73" s="36">
        <f>SUMIFS('Saisie'!$AW$5:$AW$2004,'Saisie'!$A$5:$A$2004,"&gt;="&amp;$B73,'Saisie'!$A$5:$A$2004,"&lt;="&amp;EOMONTH($B73,0),'Saisie'!$E$5:$E$2004,"Dépense")+SUM('Paramètres'!$AH$6:$AH$12)</f>
        <v/>
      </c>
      <c r="K73" s="36">
        <f>I73-J73</f>
        <v/>
      </c>
    </row>
    <row r="74">
      <c r="B74" s="93">
        <f>DATE(YEAR(IF($C$4="Tous",TODAY(),$R$4)),9,1)</f>
        <v/>
      </c>
      <c r="C74" s="89">
        <f>COUNTIFS('Prospects'!$B$5:$B$504,"&gt;="&amp;$B74,'Prospects'!$B$5:$B$504,"&lt;="&amp;EOMONTH($B74,0),'Prospects'!$N$5:$N$504,IF('Tableau de bord'!$G$4="Tous","&lt;&gt;§",'Tableau de bord'!$G$4))</f>
        <v/>
      </c>
      <c r="D74" s="89">
        <f>COUNTIFS('Saisie'!$A$5:$A$2004,"&gt;="&amp;$B74,'Saisie'!$A$5:$A$2004,"&lt;="&amp;EOMONTH($B74,0),'Saisie'!$D$5:$D$2004,"Appel",'Saisie'!$D$5:$D$2004,IF('Tableau de bord'!$G$4="Tous","&lt;&gt;§",'Tableau de bord'!$G$4),'Saisie'!$AU$5:$AU$2004,1)</f>
        <v/>
      </c>
      <c r="E74" s="89">
        <f>COUNTIFS('Saisie'!$A$5:$A$2004,"&gt;="&amp;$B74,'Saisie'!$A$5:$A$2004,"&lt;="&amp;EOMONTH($B74,0),'Saisie'!$D$5:$D$2004,"DM",'Saisie'!$D$5:$D$2004,IF('Tableau de bord'!$G$4="Tous","&lt;&gt;§",'Tableau de bord'!$G$4),'Saisie'!$AU$5:$AU$2004,1)</f>
        <v/>
      </c>
      <c r="F74" s="89">
        <f>COUNTIFS('Prospects'!$BG$5:$BG$504,"&gt;="&amp;$B74,'Prospects'!$BG$5:$BG$504,"&lt;="&amp;EOMONTH($B74,0),'Prospects'!$N$5:$N$504,IF('Tableau de bord'!$G$4="Tous","&lt;&gt;§",'Tableau de bord'!$G$4))</f>
        <v/>
      </c>
      <c r="G74" s="89">
        <f>COUNTIFS('Prospects'!$BI$5:$BI$504,"&gt;="&amp;$B74,'Prospects'!$BI$5:$BI$504,"&lt;="&amp;EOMONTH($B74,0),'Prospects'!$N$5:$N$504,IF('Tableau de bord'!$G$4="Tous","&lt;&gt;§",'Tableau de bord'!$G$4))</f>
        <v/>
      </c>
      <c r="H74" s="34">
        <f>SUMIFS('Saisie'!$AW$5:$AW$2004,'Saisie'!$A$5:$A$2004,"&gt;="&amp;$B74,'Saisie'!$A$5:$A$2004,"&lt;="&amp;EOMONTH($B74,0),'Saisie'!$E$5:$E$2004,"Signature",'Saisie'!$BA$5:$BA$2004,IF('Tableau de bord'!$G$4="Tous","&lt;&gt;§",'Tableau de bord'!$G$4))+SUMIFS('Saisie'!$AW$5:$AW$2004,'Saisie'!$A$5:$A$2004,"&gt;="&amp;$B74,'Saisie'!$A$5:$A$2004,"&lt;="&amp;EOMONTH($B74,0),'Saisie'!$E$5:$E$2004,"Vente additionnelle",'Saisie'!$BA$5:$BA$2004,IF('Tableau de bord'!$G$4="Tous","&lt;&gt;§",'Tableau de bord'!$G$4))</f>
        <v/>
      </c>
      <c r="I74" s="34">
        <f>SUMIFS('Saisie'!$AW$5:$AW$2004,'Saisie'!$A$5:$A$2004,"&gt;="&amp;$B74,'Saisie'!$A$5:$A$2004,"&lt;="&amp;EOMONTH($B74,0),'Saisie'!$E$5:$E$2004,"Paiement reçu",'Saisie'!$BA$5:$BA$2004,IF('Tableau de bord'!$G$4="Tous","&lt;&gt;§",'Tableau de bord'!$G$4))</f>
        <v/>
      </c>
      <c r="J74" s="34">
        <f>SUMIFS('Saisie'!$AW$5:$AW$2004,'Saisie'!$A$5:$A$2004,"&gt;="&amp;$B74,'Saisie'!$A$5:$A$2004,"&lt;="&amp;EOMONTH($B74,0),'Saisie'!$E$5:$E$2004,"Dépense")+SUM('Paramètres'!$AH$6:$AH$12)</f>
        <v/>
      </c>
      <c r="K74" s="34">
        <f>I74-J74</f>
        <v/>
      </c>
    </row>
    <row r="75">
      <c r="B75" s="94">
        <f>DATE(YEAR(IF($C$4="Tous",TODAY(),$R$4)),10,1)</f>
        <v/>
      </c>
      <c r="C75" s="87">
        <f>COUNTIFS('Prospects'!$B$5:$B$504,"&gt;="&amp;$B75,'Prospects'!$B$5:$B$504,"&lt;="&amp;EOMONTH($B75,0),'Prospects'!$N$5:$N$504,IF('Tableau de bord'!$G$4="Tous","&lt;&gt;§",'Tableau de bord'!$G$4))</f>
        <v/>
      </c>
      <c r="D75" s="87">
        <f>COUNTIFS('Saisie'!$A$5:$A$2004,"&gt;="&amp;$B75,'Saisie'!$A$5:$A$2004,"&lt;="&amp;EOMONTH($B75,0),'Saisie'!$D$5:$D$2004,"Appel",'Saisie'!$D$5:$D$2004,IF('Tableau de bord'!$G$4="Tous","&lt;&gt;§",'Tableau de bord'!$G$4),'Saisie'!$AU$5:$AU$2004,1)</f>
        <v/>
      </c>
      <c r="E75" s="87">
        <f>COUNTIFS('Saisie'!$A$5:$A$2004,"&gt;="&amp;$B75,'Saisie'!$A$5:$A$2004,"&lt;="&amp;EOMONTH($B75,0),'Saisie'!$D$5:$D$2004,"DM",'Saisie'!$D$5:$D$2004,IF('Tableau de bord'!$G$4="Tous","&lt;&gt;§",'Tableau de bord'!$G$4),'Saisie'!$AU$5:$AU$2004,1)</f>
        <v/>
      </c>
      <c r="F75" s="87">
        <f>COUNTIFS('Prospects'!$BG$5:$BG$504,"&gt;="&amp;$B75,'Prospects'!$BG$5:$BG$504,"&lt;="&amp;EOMONTH($B75,0),'Prospects'!$N$5:$N$504,IF('Tableau de bord'!$G$4="Tous","&lt;&gt;§",'Tableau de bord'!$G$4))</f>
        <v/>
      </c>
      <c r="G75" s="87">
        <f>COUNTIFS('Prospects'!$BI$5:$BI$504,"&gt;="&amp;$B75,'Prospects'!$BI$5:$BI$504,"&lt;="&amp;EOMONTH($B75,0),'Prospects'!$N$5:$N$504,IF('Tableau de bord'!$G$4="Tous","&lt;&gt;§",'Tableau de bord'!$G$4))</f>
        <v/>
      </c>
      <c r="H75" s="36">
        <f>SUMIFS('Saisie'!$AW$5:$AW$2004,'Saisie'!$A$5:$A$2004,"&gt;="&amp;$B75,'Saisie'!$A$5:$A$2004,"&lt;="&amp;EOMONTH($B75,0),'Saisie'!$E$5:$E$2004,"Signature",'Saisie'!$BA$5:$BA$2004,IF('Tableau de bord'!$G$4="Tous","&lt;&gt;§",'Tableau de bord'!$G$4))+SUMIFS('Saisie'!$AW$5:$AW$2004,'Saisie'!$A$5:$A$2004,"&gt;="&amp;$B75,'Saisie'!$A$5:$A$2004,"&lt;="&amp;EOMONTH($B75,0),'Saisie'!$E$5:$E$2004,"Vente additionnelle",'Saisie'!$BA$5:$BA$2004,IF('Tableau de bord'!$G$4="Tous","&lt;&gt;§",'Tableau de bord'!$G$4))</f>
        <v/>
      </c>
      <c r="I75" s="36">
        <f>SUMIFS('Saisie'!$AW$5:$AW$2004,'Saisie'!$A$5:$A$2004,"&gt;="&amp;$B75,'Saisie'!$A$5:$A$2004,"&lt;="&amp;EOMONTH($B75,0),'Saisie'!$E$5:$E$2004,"Paiement reçu",'Saisie'!$BA$5:$BA$2004,IF('Tableau de bord'!$G$4="Tous","&lt;&gt;§",'Tableau de bord'!$G$4))</f>
        <v/>
      </c>
      <c r="J75" s="36">
        <f>SUMIFS('Saisie'!$AW$5:$AW$2004,'Saisie'!$A$5:$A$2004,"&gt;="&amp;$B75,'Saisie'!$A$5:$A$2004,"&lt;="&amp;EOMONTH($B75,0),'Saisie'!$E$5:$E$2004,"Dépense")+SUM('Paramètres'!$AH$6:$AH$12)</f>
        <v/>
      </c>
      <c r="K75" s="36">
        <f>I75-J75</f>
        <v/>
      </c>
    </row>
    <row r="76">
      <c r="B76" s="93">
        <f>DATE(YEAR(IF($C$4="Tous",TODAY(),$R$4)),11,1)</f>
        <v/>
      </c>
      <c r="C76" s="89">
        <f>COUNTIFS('Prospects'!$B$5:$B$504,"&gt;="&amp;$B76,'Prospects'!$B$5:$B$504,"&lt;="&amp;EOMONTH($B76,0),'Prospects'!$N$5:$N$504,IF('Tableau de bord'!$G$4="Tous","&lt;&gt;§",'Tableau de bord'!$G$4))</f>
        <v/>
      </c>
      <c r="D76" s="89">
        <f>COUNTIFS('Saisie'!$A$5:$A$2004,"&gt;="&amp;$B76,'Saisie'!$A$5:$A$2004,"&lt;="&amp;EOMONTH($B76,0),'Saisie'!$D$5:$D$2004,"Appel",'Saisie'!$D$5:$D$2004,IF('Tableau de bord'!$G$4="Tous","&lt;&gt;§",'Tableau de bord'!$G$4),'Saisie'!$AU$5:$AU$2004,1)</f>
        <v/>
      </c>
      <c r="E76" s="89">
        <f>COUNTIFS('Saisie'!$A$5:$A$2004,"&gt;="&amp;$B76,'Saisie'!$A$5:$A$2004,"&lt;="&amp;EOMONTH($B76,0),'Saisie'!$D$5:$D$2004,"DM",'Saisie'!$D$5:$D$2004,IF('Tableau de bord'!$G$4="Tous","&lt;&gt;§",'Tableau de bord'!$G$4),'Saisie'!$AU$5:$AU$2004,1)</f>
        <v/>
      </c>
      <c r="F76" s="89">
        <f>COUNTIFS('Prospects'!$BG$5:$BG$504,"&gt;="&amp;$B76,'Prospects'!$BG$5:$BG$504,"&lt;="&amp;EOMONTH($B76,0),'Prospects'!$N$5:$N$504,IF('Tableau de bord'!$G$4="Tous","&lt;&gt;§",'Tableau de bord'!$G$4))</f>
        <v/>
      </c>
      <c r="G76" s="89">
        <f>COUNTIFS('Prospects'!$BI$5:$BI$504,"&gt;="&amp;$B76,'Prospects'!$BI$5:$BI$504,"&lt;="&amp;EOMONTH($B76,0),'Prospects'!$N$5:$N$504,IF('Tableau de bord'!$G$4="Tous","&lt;&gt;§",'Tableau de bord'!$G$4))</f>
        <v/>
      </c>
      <c r="H76" s="34">
        <f>SUMIFS('Saisie'!$AW$5:$AW$2004,'Saisie'!$A$5:$A$2004,"&gt;="&amp;$B76,'Saisie'!$A$5:$A$2004,"&lt;="&amp;EOMONTH($B76,0),'Saisie'!$E$5:$E$2004,"Signature",'Saisie'!$BA$5:$BA$2004,IF('Tableau de bord'!$G$4="Tous","&lt;&gt;§",'Tableau de bord'!$G$4))+SUMIFS('Saisie'!$AW$5:$AW$2004,'Saisie'!$A$5:$A$2004,"&gt;="&amp;$B76,'Saisie'!$A$5:$A$2004,"&lt;="&amp;EOMONTH($B76,0),'Saisie'!$E$5:$E$2004,"Vente additionnelle",'Saisie'!$BA$5:$BA$2004,IF('Tableau de bord'!$G$4="Tous","&lt;&gt;§",'Tableau de bord'!$G$4))</f>
        <v/>
      </c>
      <c r="I76" s="34">
        <f>SUMIFS('Saisie'!$AW$5:$AW$2004,'Saisie'!$A$5:$A$2004,"&gt;="&amp;$B76,'Saisie'!$A$5:$A$2004,"&lt;="&amp;EOMONTH($B76,0),'Saisie'!$E$5:$E$2004,"Paiement reçu",'Saisie'!$BA$5:$BA$2004,IF('Tableau de bord'!$G$4="Tous","&lt;&gt;§",'Tableau de bord'!$G$4))</f>
        <v/>
      </c>
      <c r="J76" s="34">
        <f>SUMIFS('Saisie'!$AW$5:$AW$2004,'Saisie'!$A$5:$A$2004,"&gt;="&amp;$B76,'Saisie'!$A$5:$A$2004,"&lt;="&amp;EOMONTH($B76,0),'Saisie'!$E$5:$E$2004,"Dépense")+SUM('Paramètres'!$AH$6:$AH$12)</f>
        <v/>
      </c>
      <c r="K76" s="34">
        <f>I76-J76</f>
        <v/>
      </c>
    </row>
    <row r="77">
      <c r="B77" s="94">
        <f>DATE(YEAR(IF($C$4="Tous",TODAY(),$R$4)),12,1)</f>
        <v/>
      </c>
      <c r="C77" s="87">
        <f>COUNTIFS('Prospects'!$B$5:$B$504,"&gt;="&amp;$B77,'Prospects'!$B$5:$B$504,"&lt;="&amp;EOMONTH($B77,0),'Prospects'!$N$5:$N$504,IF('Tableau de bord'!$G$4="Tous","&lt;&gt;§",'Tableau de bord'!$G$4))</f>
        <v/>
      </c>
      <c r="D77" s="87">
        <f>COUNTIFS('Saisie'!$A$5:$A$2004,"&gt;="&amp;$B77,'Saisie'!$A$5:$A$2004,"&lt;="&amp;EOMONTH($B77,0),'Saisie'!$D$5:$D$2004,"Appel",'Saisie'!$D$5:$D$2004,IF('Tableau de bord'!$G$4="Tous","&lt;&gt;§",'Tableau de bord'!$G$4),'Saisie'!$AU$5:$AU$2004,1)</f>
        <v/>
      </c>
      <c r="E77" s="87">
        <f>COUNTIFS('Saisie'!$A$5:$A$2004,"&gt;="&amp;$B77,'Saisie'!$A$5:$A$2004,"&lt;="&amp;EOMONTH($B77,0),'Saisie'!$D$5:$D$2004,"DM",'Saisie'!$D$5:$D$2004,IF('Tableau de bord'!$G$4="Tous","&lt;&gt;§",'Tableau de bord'!$G$4),'Saisie'!$AU$5:$AU$2004,1)</f>
        <v/>
      </c>
      <c r="F77" s="87">
        <f>COUNTIFS('Prospects'!$BG$5:$BG$504,"&gt;="&amp;$B77,'Prospects'!$BG$5:$BG$504,"&lt;="&amp;EOMONTH($B77,0),'Prospects'!$N$5:$N$504,IF('Tableau de bord'!$G$4="Tous","&lt;&gt;§",'Tableau de bord'!$G$4))</f>
        <v/>
      </c>
      <c r="G77" s="87">
        <f>COUNTIFS('Prospects'!$BI$5:$BI$504,"&gt;="&amp;$B77,'Prospects'!$BI$5:$BI$504,"&lt;="&amp;EOMONTH($B77,0),'Prospects'!$N$5:$N$504,IF('Tableau de bord'!$G$4="Tous","&lt;&gt;§",'Tableau de bord'!$G$4))</f>
        <v/>
      </c>
      <c r="H77" s="36">
        <f>SUMIFS('Saisie'!$AW$5:$AW$2004,'Saisie'!$A$5:$A$2004,"&gt;="&amp;$B77,'Saisie'!$A$5:$A$2004,"&lt;="&amp;EOMONTH($B77,0),'Saisie'!$E$5:$E$2004,"Signature",'Saisie'!$BA$5:$BA$2004,IF('Tableau de bord'!$G$4="Tous","&lt;&gt;§",'Tableau de bord'!$G$4))+SUMIFS('Saisie'!$AW$5:$AW$2004,'Saisie'!$A$5:$A$2004,"&gt;="&amp;$B77,'Saisie'!$A$5:$A$2004,"&lt;="&amp;EOMONTH($B77,0),'Saisie'!$E$5:$E$2004,"Vente additionnelle",'Saisie'!$BA$5:$BA$2004,IF('Tableau de bord'!$G$4="Tous","&lt;&gt;§",'Tableau de bord'!$G$4))</f>
        <v/>
      </c>
      <c r="I77" s="36">
        <f>SUMIFS('Saisie'!$AW$5:$AW$2004,'Saisie'!$A$5:$A$2004,"&gt;="&amp;$B77,'Saisie'!$A$5:$A$2004,"&lt;="&amp;EOMONTH($B77,0),'Saisie'!$E$5:$E$2004,"Paiement reçu",'Saisie'!$BA$5:$BA$2004,IF('Tableau de bord'!$G$4="Tous","&lt;&gt;§",'Tableau de bord'!$G$4))</f>
        <v/>
      </c>
      <c r="J77" s="36">
        <f>SUMIFS('Saisie'!$AW$5:$AW$2004,'Saisie'!$A$5:$A$2004,"&gt;="&amp;$B77,'Saisie'!$A$5:$A$2004,"&lt;="&amp;EOMONTH($B77,0),'Saisie'!$E$5:$E$2004,"Dépense")+SUM('Paramètres'!$AH$6:$AH$12)</f>
        <v/>
      </c>
      <c r="K77" s="36">
        <f>I77-J77</f>
        <v/>
      </c>
    </row>
    <row r="78">
      <c r="B78" s="95" t="inlineStr">
        <is>
          <t>🏆 Record</t>
        </is>
      </c>
      <c r="C78" s="96">
        <f>MAX(C66:C77)</f>
        <v/>
      </c>
      <c r="D78" s="96">
        <f>MAX(D66:D77)</f>
        <v/>
      </c>
      <c r="E78" s="96">
        <f>MAX(E66:E77)</f>
        <v/>
      </c>
      <c r="F78" s="96">
        <f>MAX(F66:F77)</f>
        <v/>
      </c>
      <c r="G78" s="96">
        <f>MAX(G66:G77)</f>
        <v/>
      </c>
      <c r="H78" s="97">
        <f>MAX(H66:H77)</f>
        <v/>
      </c>
      <c r="I78" s="97">
        <f>MAX(I66:I77)</f>
        <v/>
      </c>
      <c r="J78" s="97">
        <f>MAX(J66:J77)</f>
        <v/>
      </c>
      <c r="K78" s="97">
        <f>MAX(K66:K77)</f>
        <v/>
      </c>
    </row>
    <row r="79">
      <c r="B79" s="77" t="inlineStr">
        <is>
          <t>Meilleur mois</t>
        </is>
      </c>
      <c r="C79" s="98">
        <f>IF(C78=0,"",INDEX($B$66:$B$77,MATCH(C78,C66:C77,0)))</f>
        <v/>
      </c>
      <c r="D79" s="98">
        <f>IF(D78=0,"",INDEX($B$66:$B$77,MATCH(D78,D66:D77,0)))</f>
        <v/>
      </c>
      <c r="E79" s="98">
        <f>IF(E78=0,"",INDEX($B$66:$B$77,MATCH(E78,E66:E77,0)))</f>
        <v/>
      </c>
      <c r="F79" s="98">
        <f>IF(F78=0,"",INDEX($B$66:$B$77,MATCH(F78,F66:F77,0)))</f>
        <v/>
      </c>
      <c r="G79" s="98">
        <f>IF(G78=0,"",INDEX($B$66:$B$77,MATCH(G78,G66:G77,0)))</f>
        <v/>
      </c>
      <c r="H79" s="98">
        <f>IF(H78=0,"",INDEX($B$66:$B$77,MATCH(H78,H66:H77,0)))</f>
        <v/>
      </c>
      <c r="I79" s="98">
        <f>IF(I78=0,"",INDEX($B$66:$B$77,MATCH(I78,I66:I77,0)))</f>
        <v/>
      </c>
      <c r="J79" s="98">
        <f>IF(J78=0,"",INDEX($B$66:$B$77,MATCH(J78,J66:J77,0)))</f>
        <v/>
      </c>
      <c r="K79" s="98">
        <f>IF(K78=0,"",INDEX($B$66:$B$77,MATCH(K78,K66:K77,0)))</f>
        <v/>
      </c>
    </row>
    <row r="97" ht="22" customHeight="1">
      <c r="B97" s="8" t="inlineStr">
        <is>
          <t>🔍 ANALYSES POUR DÉCIDER (période choisie)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B98" s="41" t="inlineStr">
        <is>
          <t>Meilleurs créneaux d'appel</t>
        </is>
      </c>
      <c r="G98" s="41" t="inlineStr">
        <is>
          <t>Meilleurs jours d'appel</t>
        </is>
      </c>
    </row>
    <row r="99">
      <c r="B99" s="9" t="inlineStr">
        <is>
          <t>Créneau</t>
        </is>
      </c>
      <c r="C99" s="9" t="inlineStr">
        <is>
          <t>Appels</t>
        </is>
      </c>
      <c r="D99" s="9" t="inlineStr">
        <is>
          <t>Réponses</t>
        </is>
      </c>
      <c r="E99" s="9" t="inlineStr">
        <is>
          <t>Taux</t>
        </is>
      </c>
      <c r="G99" s="9" t="inlineStr">
        <is>
          <t>Jour</t>
        </is>
      </c>
      <c r="H99" s="9" t="inlineStr">
        <is>
          <t>Appels</t>
        </is>
      </c>
      <c r="I99" s="9" t="inlineStr">
        <is>
          <t>Réponses</t>
        </is>
      </c>
      <c r="J99" s="9" t="inlineStr">
        <is>
          <t>Taux</t>
        </is>
      </c>
    </row>
    <row r="100">
      <c r="B100" s="12" t="inlineStr">
        <is>
          <t>8h - 10h</t>
        </is>
      </c>
      <c r="C100" s="13">
        <f>COUNTIFS('Saisie'!$A$5:$A$2004,"&gt;="&amp;$R$4,'Saisie'!$A$5:$A$2004,"&lt;="&amp;$S$4,'Saisie'!$D$5:$D$2004,"Appel",'Saisie'!$AU$5:$AU$2004,1,'Saisie'!$AY$5:$AY$2004,"&gt;=8",'Saisie'!$AY$5:$AY$2004,"&lt;10")</f>
        <v/>
      </c>
      <c r="D100" s="13">
        <f>COUNTIFS('Saisie'!$A$5:$A$2004,"&gt;="&amp;$R$4,'Saisie'!$A$5:$A$2004,"&lt;="&amp;$S$4,'Saisie'!$D$5:$D$2004,"Appel",'Saisie'!$AU$5:$AU$2004,1,'Saisie'!$AY$5:$AY$2004,"&gt;=8",'Saisie'!$AY$5:$AY$2004,"&lt;10",'Saisie'!$AV$5:$AV$2004,1)</f>
        <v/>
      </c>
      <c r="E100" s="88">
        <f>IFERROR(D100/C100,0)</f>
        <v/>
      </c>
      <c r="G100" s="12" t="inlineStr">
        <is>
          <t>Lundi</t>
        </is>
      </c>
      <c r="H100" s="13">
        <f>COUNTIFS('Saisie'!$A$5:$A$2004,"&gt;="&amp;$R$4,'Saisie'!$A$5:$A$2004,"&lt;="&amp;$S$4,'Saisie'!$D$5:$D$2004,"Appel",'Saisie'!$AU$5:$AU$2004,1,'Saisie'!$AZ$5:$AZ$2004,1)</f>
        <v/>
      </c>
      <c r="I100" s="13">
        <f>COUNTIFS('Saisie'!$A$5:$A$2004,"&gt;="&amp;$R$4,'Saisie'!$A$5:$A$2004,"&lt;="&amp;$S$4,'Saisie'!$D$5:$D$2004,"Appel",'Saisie'!$AU$5:$AU$2004,1,'Saisie'!$AZ$5:$AZ$2004,1,'Saisie'!$AV$5:$AV$2004,1)</f>
        <v/>
      </c>
      <c r="J100" s="88">
        <f>IFERROR(I100/H100,0)</f>
        <v/>
      </c>
    </row>
    <row r="101">
      <c r="B101" s="19" t="inlineStr">
        <is>
          <t>10h - 12h</t>
        </is>
      </c>
      <c r="C101" s="20">
        <f>COUNTIFS('Saisie'!$A$5:$A$2004,"&gt;="&amp;$R$4,'Saisie'!$A$5:$A$2004,"&lt;="&amp;$S$4,'Saisie'!$D$5:$D$2004,"Appel",'Saisie'!$AU$5:$AU$2004,1,'Saisie'!$AY$5:$AY$2004,"&gt;=10",'Saisie'!$AY$5:$AY$2004,"&lt;12")</f>
        <v/>
      </c>
      <c r="D101" s="20">
        <f>COUNTIFS('Saisie'!$A$5:$A$2004,"&gt;="&amp;$R$4,'Saisie'!$A$5:$A$2004,"&lt;="&amp;$S$4,'Saisie'!$D$5:$D$2004,"Appel",'Saisie'!$AU$5:$AU$2004,1,'Saisie'!$AY$5:$AY$2004,"&gt;=10",'Saisie'!$AY$5:$AY$2004,"&lt;12",'Saisie'!$AV$5:$AV$2004,1)</f>
        <v/>
      </c>
      <c r="E101" s="90">
        <f>IFERROR(D101/C101,0)</f>
        <v/>
      </c>
      <c r="G101" s="19" t="inlineStr">
        <is>
          <t>Mardi</t>
        </is>
      </c>
      <c r="H101" s="20">
        <f>COUNTIFS('Saisie'!$A$5:$A$2004,"&gt;="&amp;$R$4,'Saisie'!$A$5:$A$2004,"&lt;="&amp;$S$4,'Saisie'!$D$5:$D$2004,"Appel",'Saisie'!$AU$5:$AU$2004,1,'Saisie'!$AZ$5:$AZ$2004,2)</f>
        <v/>
      </c>
      <c r="I101" s="20">
        <f>COUNTIFS('Saisie'!$A$5:$A$2004,"&gt;="&amp;$R$4,'Saisie'!$A$5:$A$2004,"&lt;="&amp;$S$4,'Saisie'!$D$5:$D$2004,"Appel",'Saisie'!$AU$5:$AU$2004,1,'Saisie'!$AZ$5:$AZ$2004,2,'Saisie'!$AV$5:$AV$2004,1)</f>
        <v/>
      </c>
      <c r="J101" s="90">
        <f>IFERROR(I101/H101,0)</f>
        <v/>
      </c>
    </row>
    <row r="102">
      <c r="B102" s="12" t="inlineStr">
        <is>
          <t>12h - 14h</t>
        </is>
      </c>
      <c r="C102" s="13">
        <f>COUNTIFS('Saisie'!$A$5:$A$2004,"&gt;="&amp;$R$4,'Saisie'!$A$5:$A$2004,"&lt;="&amp;$S$4,'Saisie'!$D$5:$D$2004,"Appel",'Saisie'!$AU$5:$AU$2004,1,'Saisie'!$AY$5:$AY$2004,"&gt;=12",'Saisie'!$AY$5:$AY$2004,"&lt;14")</f>
        <v/>
      </c>
      <c r="D102" s="13">
        <f>COUNTIFS('Saisie'!$A$5:$A$2004,"&gt;="&amp;$R$4,'Saisie'!$A$5:$A$2004,"&lt;="&amp;$S$4,'Saisie'!$D$5:$D$2004,"Appel",'Saisie'!$AU$5:$AU$2004,1,'Saisie'!$AY$5:$AY$2004,"&gt;=12",'Saisie'!$AY$5:$AY$2004,"&lt;14",'Saisie'!$AV$5:$AV$2004,1)</f>
        <v/>
      </c>
      <c r="E102" s="88">
        <f>IFERROR(D102/C102,0)</f>
        <v/>
      </c>
      <c r="G102" s="12" t="inlineStr">
        <is>
          <t>Mercredi</t>
        </is>
      </c>
      <c r="H102" s="13">
        <f>COUNTIFS('Saisie'!$A$5:$A$2004,"&gt;="&amp;$R$4,'Saisie'!$A$5:$A$2004,"&lt;="&amp;$S$4,'Saisie'!$D$5:$D$2004,"Appel",'Saisie'!$AU$5:$AU$2004,1,'Saisie'!$AZ$5:$AZ$2004,3)</f>
        <v/>
      </c>
      <c r="I102" s="13">
        <f>COUNTIFS('Saisie'!$A$5:$A$2004,"&gt;="&amp;$R$4,'Saisie'!$A$5:$A$2004,"&lt;="&amp;$S$4,'Saisie'!$D$5:$D$2004,"Appel",'Saisie'!$AU$5:$AU$2004,1,'Saisie'!$AZ$5:$AZ$2004,3,'Saisie'!$AV$5:$AV$2004,1)</f>
        <v/>
      </c>
      <c r="J102" s="88">
        <f>IFERROR(I102/H102,0)</f>
        <v/>
      </c>
    </row>
    <row r="103">
      <c r="B103" s="19" t="inlineStr">
        <is>
          <t>14h - 16h</t>
        </is>
      </c>
      <c r="C103" s="20">
        <f>COUNTIFS('Saisie'!$A$5:$A$2004,"&gt;="&amp;$R$4,'Saisie'!$A$5:$A$2004,"&lt;="&amp;$S$4,'Saisie'!$D$5:$D$2004,"Appel",'Saisie'!$AU$5:$AU$2004,1,'Saisie'!$AY$5:$AY$2004,"&gt;=14",'Saisie'!$AY$5:$AY$2004,"&lt;16")</f>
        <v/>
      </c>
      <c r="D103" s="20">
        <f>COUNTIFS('Saisie'!$A$5:$A$2004,"&gt;="&amp;$R$4,'Saisie'!$A$5:$A$2004,"&lt;="&amp;$S$4,'Saisie'!$D$5:$D$2004,"Appel",'Saisie'!$AU$5:$AU$2004,1,'Saisie'!$AY$5:$AY$2004,"&gt;=14",'Saisie'!$AY$5:$AY$2004,"&lt;16",'Saisie'!$AV$5:$AV$2004,1)</f>
        <v/>
      </c>
      <c r="E103" s="90">
        <f>IFERROR(D103/C103,0)</f>
        <v/>
      </c>
      <c r="G103" s="19" t="inlineStr">
        <is>
          <t>Jeudi</t>
        </is>
      </c>
      <c r="H103" s="20">
        <f>COUNTIFS('Saisie'!$A$5:$A$2004,"&gt;="&amp;$R$4,'Saisie'!$A$5:$A$2004,"&lt;="&amp;$S$4,'Saisie'!$D$5:$D$2004,"Appel",'Saisie'!$AU$5:$AU$2004,1,'Saisie'!$AZ$5:$AZ$2004,4)</f>
        <v/>
      </c>
      <c r="I103" s="20">
        <f>COUNTIFS('Saisie'!$A$5:$A$2004,"&gt;="&amp;$R$4,'Saisie'!$A$5:$A$2004,"&lt;="&amp;$S$4,'Saisie'!$D$5:$D$2004,"Appel",'Saisie'!$AU$5:$AU$2004,1,'Saisie'!$AZ$5:$AZ$2004,4,'Saisie'!$AV$5:$AV$2004,1)</f>
        <v/>
      </c>
      <c r="J103" s="90">
        <f>IFERROR(I103/H103,0)</f>
        <v/>
      </c>
    </row>
    <row r="104">
      <c r="B104" s="12" t="inlineStr">
        <is>
          <t>16h - 18h</t>
        </is>
      </c>
      <c r="C104" s="13">
        <f>COUNTIFS('Saisie'!$A$5:$A$2004,"&gt;="&amp;$R$4,'Saisie'!$A$5:$A$2004,"&lt;="&amp;$S$4,'Saisie'!$D$5:$D$2004,"Appel",'Saisie'!$AU$5:$AU$2004,1,'Saisie'!$AY$5:$AY$2004,"&gt;=16",'Saisie'!$AY$5:$AY$2004,"&lt;18")</f>
        <v/>
      </c>
      <c r="D104" s="13">
        <f>COUNTIFS('Saisie'!$A$5:$A$2004,"&gt;="&amp;$R$4,'Saisie'!$A$5:$A$2004,"&lt;="&amp;$S$4,'Saisie'!$D$5:$D$2004,"Appel",'Saisie'!$AU$5:$AU$2004,1,'Saisie'!$AY$5:$AY$2004,"&gt;=16",'Saisie'!$AY$5:$AY$2004,"&lt;18",'Saisie'!$AV$5:$AV$2004,1)</f>
        <v/>
      </c>
      <c r="E104" s="88">
        <f>IFERROR(D104/C104,0)</f>
        <v/>
      </c>
      <c r="G104" s="12" t="inlineStr">
        <is>
          <t>Vendredi</t>
        </is>
      </c>
      <c r="H104" s="13">
        <f>COUNTIFS('Saisie'!$A$5:$A$2004,"&gt;="&amp;$R$4,'Saisie'!$A$5:$A$2004,"&lt;="&amp;$S$4,'Saisie'!$D$5:$D$2004,"Appel",'Saisie'!$AU$5:$AU$2004,1,'Saisie'!$AZ$5:$AZ$2004,5)</f>
        <v/>
      </c>
      <c r="I104" s="13">
        <f>COUNTIFS('Saisie'!$A$5:$A$2004,"&gt;="&amp;$R$4,'Saisie'!$A$5:$A$2004,"&lt;="&amp;$S$4,'Saisie'!$D$5:$D$2004,"Appel",'Saisie'!$AU$5:$AU$2004,1,'Saisie'!$AZ$5:$AZ$2004,5,'Saisie'!$AV$5:$AV$2004,1)</f>
        <v/>
      </c>
      <c r="J104" s="88">
        <f>IFERROR(I104/H104,0)</f>
        <v/>
      </c>
    </row>
    <row r="105">
      <c r="B105" s="19" t="inlineStr">
        <is>
          <t>18h - 21h</t>
        </is>
      </c>
      <c r="C105" s="20">
        <f>COUNTIFS('Saisie'!$A$5:$A$2004,"&gt;="&amp;$R$4,'Saisie'!$A$5:$A$2004,"&lt;="&amp;$S$4,'Saisie'!$D$5:$D$2004,"Appel",'Saisie'!$AU$5:$AU$2004,1,'Saisie'!$AY$5:$AY$2004,"&gt;=18",'Saisie'!$AY$5:$AY$2004,"&lt;21")</f>
        <v/>
      </c>
      <c r="D105" s="20">
        <f>COUNTIFS('Saisie'!$A$5:$A$2004,"&gt;="&amp;$R$4,'Saisie'!$A$5:$A$2004,"&lt;="&amp;$S$4,'Saisie'!$D$5:$D$2004,"Appel",'Saisie'!$AU$5:$AU$2004,1,'Saisie'!$AY$5:$AY$2004,"&gt;=18",'Saisie'!$AY$5:$AY$2004,"&lt;21",'Saisie'!$AV$5:$AV$2004,1)</f>
        <v/>
      </c>
      <c r="E105" s="90">
        <f>IFERROR(D105/C105,0)</f>
        <v/>
      </c>
      <c r="G105" s="19" t="inlineStr">
        <is>
          <t>Samedi</t>
        </is>
      </c>
      <c r="H105" s="20">
        <f>COUNTIFS('Saisie'!$A$5:$A$2004,"&gt;="&amp;$R$4,'Saisie'!$A$5:$A$2004,"&lt;="&amp;$S$4,'Saisie'!$D$5:$D$2004,"Appel",'Saisie'!$AU$5:$AU$2004,1,'Saisie'!$AZ$5:$AZ$2004,6)</f>
        <v/>
      </c>
      <c r="I105" s="20">
        <f>COUNTIFS('Saisie'!$A$5:$A$2004,"&gt;="&amp;$R$4,'Saisie'!$A$5:$A$2004,"&lt;="&amp;$S$4,'Saisie'!$D$5:$D$2004,"Appel",'Saisie'!$AU$5:$AU$2004,1,'Saisie'!$AZ$5:$AZ$2004,6,'Saisie'!$AV$5:$AV$2004,1)</f>
        <v/>
      </c>
      <c r="J105" s="90">
        <f>IFERROR(I105/H105,0)</f>
        <v/>
      </c>
    </row>
    <row r="108">
      <c r="B108" s="41" t="inlineStr">
        <is>
          <t>Accroches et modèles de message (test A/B)</t>
        </is>
      </c>
      <c r="H108" s="41" t="inlineStr">
        <is>
          <t>Objections et motifs de perte</t>
        </is>
      </c>
    </row>
    <row r="109">
      <c r="B109" s="9" t="inlineStr">
        <is>
          <t>Modèle</t>
        </is>
      </c>
      <c r="C109" s="11" t="n"/>
      <c r="D109" s="9" t="inlineStr">
        <is>
          <t>Envois</t>
        </is>
      </c>
      <c r="E109" s="9" t="inlineStr">
        <is>
          <t>Réponses</t>
        </is>
      </c>
      <c r="F109" s="9" t="inlineStr">
        <is>
          <t>Taux</t>
        </is>
      </c>
      <c r="H109" s="9" t="inlineStr">
        <is>
          <t>Objection</t>
        </is>
      </c>
      <c r="I109" s="11" t="n"/>
      <c r="J109" s="9" t="inlineStr">
        <is>
          <t>Nombre</t>
        </is>
      </c>
      <c r="K109" s="9" t="inlineStr">
        <is>
          <t>Part</t>
        </is>
      </c>
    </row>
    <row r="110">
      <c r="B110" s="12">
        <f>INDEX('Paramètres'!$AA$6:$AA$14,1)&amp;""</f>
        <v/>
      </c>
      <c r="C110" s="13" t="n"/>
      <c r="D110" s="13">
        <f>IF($B110="","",COUNTIFS('Saisie'!$A$5:$A$2004,"&gt;="&amp;$R$4,'Saisie'!$A$5:$A$2004,"&lt;="&amp;$S$4,'Saisie'!$M$5:$M$2004,$B110,'Saisie'!$AU$5:$AU$2004,1))</f>
        <v/>
      </c>
      <c r="E110" s="13">
        <f>IF($B110="","",COUNTIFS('Saisie'!$A$5:$A$2004,"&gt;="&amp;$R$4,'Saisie'!$A$5:$A$2004,"&lt;="&amp;$S$4,'Saisie'!$M$5:$M$2004,$B110,'Saisie'!$AU$5:$AU$2004,1,'Saisie'!$AV$5:$AV$2004,1))</f>
        <v/>
      </c>
      <c r="F110" s="88">
        <f>IFERROR(E110/D110,0)</f>
        <v/>
      </c>
      <c r="H110" s="12">
        <f>INDEX('Paramètres'!$Y$6:$Y$17,1)&amp;""</f>
        <v/>
      </c>
      <c r="I110" s="13" t="n"/>
      <c r="J110" s="13">
        <f>IF($H110="","",COUNTIFS('Saisie'!$A$5:$A$2004,"&gt;="&amp;$R$4,'Saisie'!$A$5:$A$2004,"&lt;="&amp;$S$4,'Saisie'!$L$5:$L$2004,$H110))</f>
        <v/>
      </c>
      <c r="K110" s="88">
        <f>IFERROR(J110/SUM($J$110:$J$117),0)</f>
        <v/>
      </c>
    </row>
    <row r="111">
      <c r="B111" s="19">
        <f>INDEX('Paramètres'!$AA$6:$AA$14,2)&amp;""</f>
        <v/>
      </c>
      <c r="C111" s="20" t="n"/>
      <c r="D111" s="20">
        <f>IF($B111="","",COUNTIFS('Saisie'!$A$5:$A$2004,"&gt;="&amp;$R$4,'Saisie'!$A$5:$A$2004,"&lt;="&amp;$S$4,'Saisie'!$M$5:$M$2004,$B111,'Saisie'!$AU$5:$AU$2004,1))</f>
        <v/>
      </c>
      <c r="E111" s="20">
        <f>IF($B111="","",COUNTIFS('Saisie'!$A$5:$A$2004,"&gt;="&amp;$R$4,'Saisie'!$A$5:$A$2004,"&lt;="&amp;$S$4,'Saisie'!$M$5:$M$2004,$B111,'Saisie'!$AU$5:$AU$2004,1,'Saisie'!$AV$5:$AV$2004,1))</f>
        <v/>
      </c>
      <c r="F111" s="90">
        <f>IFERROR(E111/D111,0)</f>
        <v/>
      </c>
      <c r="H111" s="19">
        <f>INDEX('Paramètres'!$Y$6:$Y$17,2)&amp;""</f>
        <v/>
      </c>
      <c r="I111" s="20" t="n"/>
      <c r="J111" s="20">
        <f>IF($H111="","",COUNTIFS('Saisie'!$A$5:$A$2004,"&gt;="&amp;$R$4,'Saisie'!$A$5:$A$2004,"&lt;="&amp;$S$4,'Saisie'!$L$5:$L$2004,$H111))</f>
        <v/>
      </c>
      <c r="K111" s="90">
        <f>IFERROR(J111/SUM($J$110:$J$117),0)</f>
        <v/>
      </c>
    </row>
    <row r="112">
      <c r="B112" s="12">
        <f>INDEX('Paramètres'!$AA$6:$AA$14,3)&amp;""</f>
        <v/>
      </c>
      <c r="C112" s="13" t="n"/>
      <c r="D112" s="13">
        <f>IF($B112="","",COUNTIFS('Saisie'!$A$5:$A$2004,"&gt;="&amp;$R$4,'Saisie'!$A$5:$A$2004,"&lt;="&amp;$S$4,'Saisie'!$M$5:$M$2004,$B112,'Saisie'!$AU$5:$AU$2004,1))</f>
        <v/>
      </c>
      <c r="E112" s="13">
        <f>IF($B112="","",COUNTIFS('Saisie'!$A$5:$A$2004,"&gt;="&amp;$R$4,'Saisie'!$A$5:$A$2004,"&lt;="&amp;$S$4,'Saisie'!$M$5:$M$2004,$B112,'Saisie'!$AU$5:$AU$2004,1,'Saisie'!$AV$5:$AV$2004,1))</f>
        <v/>
      </c>
      <c r="F112" s="88">
        <f>IFERROR(E112/D112,0)</f>
        <v/>
      </c>
      <c r="H112" s="12">
        <f>INDEX('Paramètres'!$Y$6:$Y$17,3)&amp;""</f>
        <v/>
      </c>
      <c r="I112" s="13" t="n"/>
      <c r="J112" s="13">
        <f>IF($H112="","",COUNTIFS('Saisie'!$A$5:$A$2004,"&gt;="&amp;$R$4,'Saisie'!$A$5:$A$2004,"&lt;="&amp;$S$4,'Saisie'!$L$5:$L$2004,$H112))</f>
        <v/>
      </c>
      <c r="K112" s="88">
        <f>IFERROR(J112/SUM($J$110:$J$117),0)</f>
        <v/>
      </c>
    </row>
    <row r="113">
      <c r="B113" s="19">
        <f>INDEX('Paramètres'!$AA$6:$AA$14,4)&amp;""</f>
        <v/>
      </c>
      <c r="C113" s="20" t="n"/>
      <c r="D113" s="20">
        <f>IF($B113="","",COUNTIFS('Saisie'!$A$5:$A$2004,"&gt;="&amp;$R$4,'Saisie'!$A$5:$A$2004,"&lt;="&amp;$S$4,'Saisie'!$M$5:$M$2004,$B113,'Saisie'!$AU$5:$AU$2004,1))</f>
        <v/>
      </c>
      <c r="E113" s="20">
        <f>IF($B113="","",COUNTIFS('Saisie'!$A$5:$A$2004,"&gt;="&amp;$R$4,'Saisie'!$A$5:$A$2004,"&lt;="&amp;$S$4,'Saisie'!$M$5:$M$2004,$B113,'Saisie'!$AU$5:$AU$2004,1,'Saisie'!$AV$5:$AV$2004,1))</f>
        <v/>
      </c>
      <c r="F113" s="90">
        <f>IFERROR(E113/D113,0)</f>
        <v/>
      </c>
      <c r="H113" s="19">
        <f>INDEX('Paramètres'!$Y$6:$Y$17,4)&amp;""</f>
        <v/>
      </c>
      <c r="I113" s="20" t="n"/>
      <c r="J113" s="20">
        <f>IF($H113="","",COUNTIFS('Saisie'!$A$5:$A$2004,"&gt;="&amp;$R$4,'Saisie'!$A$5:$A$2004,"&lt;="&amp;$S$4,'Saisie'!$L$5:$L$2004,$H113))</f>
        <v/>
      </c>
      <c r="K113" s="90">
        <f>IFERROR(J113/SUM($J$110:$J$117),0)</f>
        <v/>
      </c>
    </row>
    <row r="114">
      <c r="B114" s="12">
        <f>INDEX('Paramètres'!$AA$6:$AA$14,5)&amp;""</f>
        <v/>
      </c>
      <c r="C114" s="13" t="n"/>
      <c r="D114" s="13">
        <f>IF($B114="","",COUNTIFS('Saisie'!$A$5:$A$2004,"&gt;="&amp;$R$4,'Saisie'!$A$5:$A$2004,"&lt;="&amp;$S$4,'Saisie'!$M$5:$M$2004,$B114,'Saisie'!$AU$5:$AU$2004,1))</f>
        <v/>
      </c>
      <c r="E114" s="13">
        <f>IF($B114="","",COUNTIFS('Saisie'!$A$5:$A$2004,"&gt;="&amp;$R$4,'Saisie'!$A$5:$A$2004,"&lt;="&amp;$S$4,'Saisie'!$M$5:$M$2004,$B114,'Saisie'!$AU$5:$AU$2004,1,'Saisie'!$AV$5:$AV$2004,1))</f>
        <v/>
      </c>
      <c r="F114" s="88">
        <f>IFERROR(E114/D114,0)</f>
        <v/>
      </c>
      <c r="H114" s="12">
        <f>INDEX('Paramètres'!$Y$6:$Y$17,5)&amp;""</f>
        <v/>
      </c>
      <c r="I114" s="13" t="n"/>
      <c r="J114" s="13">
        <f>IF($H114="","",COUNTIFS('Saisie'!$A$5:$A$2004,"&gt;="&amp;$R$4,'Saisie'!$A$5:$A$2004,"&lt;="&amp;$S$4,'Saisie'!$L$5:$L$2004,$H114))</f>
        <v/>
      </c>
      <c r="K114" s="88">
        <f>IFERROR(J114/SUM($J$110:$J$117),0)</f>
        <v/>
      </c>
    </row>
    <row r="115">
      <c r="H115" s="19">
        <f>INDEX('Paramètres'!$Y$6:$Y$17,6)&amp;""</f>
        <v/>
      </c>
      <c r="I115" s="20" t="n"/>
      <c r="J115" s="20">
        <f>IF($H115="","",COUNTIFS('Saisie'!$A$5:$A$2004,"&gt;="&amp;$R$4,'Saisie'!$A$5:$A$2004,"&lt;="&amp;$S$4,'Saisie'!$L$5:$L$2004,$H115))</f>
        <v/>
      </c>
      <c r="K115" s="90">
        <f>IFERROR(J115/SUM($J$110:$J$117),0)</f>
        <v/>
      </c>
    </row>
    <row r="116">
      <c r="H116" s="12">
        <f>INDEX('Paramètres'!$Y$6:$Y$17,7)&amp;""</f>
        <v/>
      </c>
      <c r="I116" s="13" t="n"/>
      <c r="J116" s="13">
        <f>IF($H116="","",COUNTIFS('Saisie'!$A$5:$A$2004,"&gt;="&amp;$R$4,'Saisie'!$A$5:$A$2004,"&lt;="&amp;$S$4,'Saisie'!$L$5:$L$2004,$H116))</f>
        <v/>
      </c>
      <c r="K116" s="88">
        <f>IFERROR(J116/SUM($J$110:$J$117),0)</f>
        <v/>
      </c>
    </row>
    <row r="117">
      <c r="H117" s="19">
        <f>INDEX('Paramètres'!$Y$6:$Y$17,8)&amp;""</f>
        <v/>
      </c>
      <c r="I117" s="20" t="n"/>
      <c r="J117" s="20">
        <f>IF($H117="","",COUNTIFS('Saisie'!$A$5:$A$2004,"&gt;="&amp;$R$4,'Saisie'!$A$5:$A$2004,"&lt;="&amp;$S$4,'Saisie'!$L$5:$L$2004,$H117))</f>
        <v/>
      </c>
      <c r="K117" s="90">
        <f>IFERROR(J117/SUM($J$110:$J$117),0)</f>
        <v/>
      </c>
    </row>
    <row r="120">
      <c r="B120" s="41" t="inlineStr">
        <is>
          <t>Secteurs qui signent le plus</t>
        </is>
      </c>
      <c r="I120" s="41" t="inlineStr">
        <is>
          <t>Vitesse et production</t>
        </is>
      </c>
    </row>
    <row r="121">
      <c r="B121" s="9" t="inlineStr">
        <is>
          <t>Secteur</t>
        </is>
      </c>
      <c r="C121" s="11" t="n"/>
      <c r="D121" s="9" t="inlineStr">
        <is>
          <t>Prospects</t>
        </is>
      </c>
      <c r="E121" s="9" t="inlineStr">
        <is>
          <t>Clients</t>
        </is>
      </c>
      <c r="F121" s="9" t="inlineStr">
        <is>
          <t>Taux</t>
        </is>
      </c>
      <c r="G121" s="9" t="inlineStr">
        <is>
          <t>CA signé</t>
        </is>
      </c>
      <c r="I121" s="77" t="inlineStr">
        <is>
          <t>Cycle de vente moyen (jours)</t>
        </is>
      </c>
      <c r="J121" s="77" t="n"/>
      <c r="K121" s="77" t="n"/>
      <c r="L121" s="77" t="n"/>
      <c r="M121" s="99">
        <f>IFERROR(AVERAGE('Prospects'!$AU$5:$AU$504),0)</f>
        <v/>
      </c>
    </row>
    <row r="122">
      <c r="B122" s="12">
        <f>INDEX('Paramètres'!$V$6:$V$20,1)&amp;""</f>
        <v/>
      </c>
      <c r="C122" s="13" t="n"/>
      <c r="D122" s="13">
        <f>IF($B122="","",COUNTIFS('Prospects'!$BW$5:$BW$504,1,'Prospects'!$S$5:$S$504,$B122))</f>
        <v/>
      </c>
      <c r="E122" s="13">
        <f>IF($B122="","",COUNTIFS('Prospects'!$BW$5:$BW$504,1,'Prospects'!$S$5:$S$504,$B122,'Prospects'!$BA$5:$BA$504,7))</f>
        <v/>
      </c>
      <c r="F122" s="88">
        <f>IFERROR(E122/D122,0)</f>
        <v/>
      </c>
      <c r="G122" s="36">
        <f>IF($B122="","",SUMIFS('Clients'!$O$5:$O$154,'Clients'!$H$5:$H$154,$B122))</f>
        <v/>
      </c>
      <c r="I122" s="100" t="inlineStr">
        <is>
          <t>Jours pour passer à Contacté</t>
        </is>
      </c>
      <c r="J122" s="100" t="n"/>
      <c r="K122" s="100" t="n"/>
      <c r="L122" s="100" t="n"/>
      <c r="M122" s="101">
        <f>IFERROR(AVERAGE('Prospects'!$BJ$5:$BJ$504),0)</f>
        <v/>
      </c>
    </row>
    <row r="123">
      <c r="B123" s="19">
        <f>INDEX('Paramètres'!$V$6:$V$20,2)&amp;""</f>
        <v/>
      </c>
      <c r="C123" s="20" t="n"/>
      <c r="D123" s="20">
        <f>IF($B123="","",COUNTIFS('Prospects'!$BW$5:$BW$504,1,'Prospects'!$S$5:$S$504,$B123))</f>
        <v/>
      </c>
      <c r="E123" s="20">
        <f>IF($B123="","",COUNTIFS('Prospects'!$BW$5:$BW$504,1,'Prospects'!$S$5:$S$504,$B123,'Prospects'!$BA$5:$BA$504,7))</f>
        <v/>
      </c>
      <c r="F123" s="90">
        <f>IFERROR(E123/D123,0)</f>
        <v/>
      </c>
      <c r="G123" s="34">
        <f>IF($B123="","",SUMIFS('Clients'!$O$5:$O$154,'Clients'!$H$5:$H$154,$B123))</f>
        <v/>
      </c>
      <c r="I123" s="77" t="inlineStr">
        <is>
          <t>Jours Contacté → Qualifié</t>
        </is>
      </c>
      <c r="J123" s="77" t="n"/>
      <c r="K123" s="77" t="n"/>
      <c r="L123" s="77" t="n"/>
      <c r="M123" s="102">
        <f>IFERROR(AVERAGE('Prospects'!$BK$5:$BK$504),0)</f>
        <v/>
      </c>
    </row>
    <row r="124">
      <c r="B124" s="12">
        <f>INDEX('Paramètres'!$V$6:$V$20,3)&amp;""</f>
        <v/>
      </c>
      <c r="C124" s="13" t="n"/>
      <c r="D124" s="13">
        <f>IF($B124="","",COUNTIFS('Prospects'!$BW$5:$BW$504,1,'Prospects'!$S$5:$S$504,$B124))</f>
        <v/>
      </c>
      <c r="E124" s="13">
        <f>IF($B124="","",COUNTIFS('Prospects'!$BW$5:$BW$504,1,'Prospects'!$S$5:$S$504,$B124,'Prospects'!$BA$5:$BA$504,7))</f>
        <v/>
      </c>
      <c r="F124" s="88">
        <f>IFERROR(E124/D124,0)</f>
        <v/>
      </c>
      <c r="G124" s="36">
        <f>IF($B124="","",SUMIFS('Clients'!$O$5:$O$154,'Clients'!$H$5:$H$154,$B124))</f>
        <v/>
      </c>
      <c r="I124" s="100" t="inlineStr">
        <is>
          <t>Jours Qualifié → Audit/Démo</t>
        </is>
      </c>
      <c r="J124" s="100" t="n"/>
      <c r="K124" s="100" t="n"/>
      <c r="L124" s="100" t="n"/>
      <c r="M124" s="101">
        <f>IFERROR(AVERAGE('Prospects'!$BL$5:$BL$504),0)</f>
        <v/>
      </c>
    </row>
    <row r="125">
      <c r="B125" s="19">
        <f>INDEX('Paramètres'!$V$6:$V$20,4)&amp;""</f>
        <v/>
      </c>
      <c r="C125" s="20" t="n"/>
      <c r="D125" s="20">
        <f>IF($B125="","",COUNTIFS('Prospects'!$BW$5:$BW$504,1,'Prospects'!$S$5:$S$504,$B125))</f>
        <v/>
      </c>
      <c r="E125" s="20">
        <f>IF($B125="","",COUNTIFS('Prospects'!$BW$5:$BW$504,1,'Prospects'!$S$5:$S$504,$B125,'Prospects'!$BA$5:$BA$504,7))</f>
        <v/>
      </c>
      <c r="F125" s="90">
        <f>IFERROR(E125/D125,0)</f>
        <v/>
      </c>
      <c r="G125" s="34">
        <f>IF($B125="","",SUMIFS('Clients'!$O$5:$O$154,'Clients'!$H$5:$H$154,$B125))</f>
        <v/>
      </c>
      <c r="I125" s="77" t="inlineStr">
        <is>
          <t>Jours Audit/Démo → RDV</t>
        </is>
      </c>
      <c r="J125" s="77" t="n"/>
      <c r="K125" s="77" t="n"/>
      <c r="L125" s="77" t="n"/>
      <c r="M125" s="102">
        <f>IFERROR(AVERAGE('Prospects'!$BM$5:$BM$504),0)</f>
        <v/>
      </c>
    </row>
    <row r="126">
      <c r="B126" s="12">
        <f>INDEX('Paramètres'!$V$6:$V$20,5)&amp;""</f>
        <v/>
      </c>
      <c r="C126" s="13" t="n"/>
      <c r="D126" s="13">
        <f>IF($B126="","",COUNTIFS('Prospects'!$BW$5:$BW$504,1,'Prospects'!$S$5:$S$504,$B126))</f>
        <v/>
      </c>
      <c r="E126" s="13">
        <f>IF($B126="","",COUNTIFS('Prospects'!$BW$5:$BW$504,1,'Prospects'!$S$5:$S$504,$B126,'Prospects'!$BA$5:$BA$504,7))</f>
        <v/>
      </c>
      <c r="F126" s="88">
        <f>IFERROR(E126/D126,0)</f>
        <v/>
      </c>
      <c r="G126" s="36">
        <f>IF($B126="","",SUMIFS('Clients'!$O$5:$O$154,'Clients'!$H$5:$H$154,$B126))</f>
        <v/>
      </c>
      <c r="I126" s="100" t="inlineStr">
        <is>
          <t>Jours RDV → Proposition</t>
        </is>
      </c>
      <c r="J126" s="100" t="n"/>
      <c r="K126" s="100" t="n"/>
      <c r="L126" s="100" t="n"/>
      <c r="M126" s="101">
        <f>IFERROR(AVERAGE('Prospects'!$BN$5:$BN$504),0)</f>
        <v/>
      </c>
    </row>
    <row r="127">
      <c r="B127" s="19">
        <f>INDEX('Paramètres'!$V$6:$V$20,6)&amp;""</f>
        <v/>
      </c>
      <c r="C127" s="20" t="n"/>
      <c r="D127" s="20">
        <f>IF($B127="","",COUNTIFS('Prospects'!$BW$5:$BW$504,1,'Prospects'!$S$5:$S$504,$B127))</f>
        <v/>
      </c>
      <c r="E127" s="20">
        <f>IF($B127="","",COUNTIFS('Prospects'!$BW$5:$BW$504,1,'Prospects'!$S$5:$S$504,$B127,'Prospects'!$BA$5:$BA$504,7))</f>
        <v/>
      </c>
      <c r="F127" s="90">
        <f>IFERROR(E127/D127,0)</f>
        <v/>
      </c>
      <c r="G127" s="34">
        <f>IF($B127="","",SUMIFS('Clients'!$O$5:$O$154,'Clients'!$H$5:$H$154,$B127))</f>
        <v/>
      </c>
      <c r="I127" s="77" t="inlineStr">
        <is>
          <t>Jours Proposition → Gagné</t>
        </is>
      </c>
      <c r="J127" s="77" t="n"/>
      <c r="K127" s="77" t="n"/>
      <c r="L127" s="77" t="n"/>
      <c r="M127" s="102">
        <f>IFERROR(AVERAGE('Prospects'!$BO$5:$BO$504),0)</f>
        <v/>
      </c>
    </row>
    <row r="128">
      <c r="B128" s="12">
        <f>INDEX('Paramètres'!$V$6:$V$20,7)&amp;""</f>
        <v/>
      </c>
      <c r="C128" s="13" t="n"/>
      <c r="D128" s="13">
        <f>IF($B128="","",COUNTIFS('Prospects'!$BW$5:$BW$504,1,'Prospects'!$S$5:$S$504,$B128))</f>
        <v/>
      </c>
      <c r="E128" s="13">
        <f>IF($B128="","",COUNTIFS('Prospects'!$BW$5:$BW$504,1,'Prospects'!$S$5:$S$504,$B128,'Prospects'!$BA$5:$BA$504,7))</f>
        <v/>
      </c>
      <c r="F128" s="88">
        <f>IFERROR(E128/D128,0)</f>
        <v/>
      </c>
      <c r="G128" s="36">
        <f>IF($B128="","",SUMIFS('Clients'!$O$5:$O$154,'Clients'!$H$5:$H$154,$B128))</f>
        <v/>
      </c>
      <c r="I128" s="100" t="inlineStr">
        <is>
          <t>Temps moyen par audit (min)</t>
        </is>
      </c>
      <c r="J128" s="100" t="n"/>
      <c r="K128" s="100" t="n"/>
      <c r="L128" s="100" t="n"/>
      <c r="M128" s="103">
        <f>IFERROR(AVERAGEIFS('Saisie'!$H$5:$H$2004,'Saisie'!$E$5:$E$2004,"Audit réalisé"),0)</f>
        <v/>
      </c>
    </row>
    <row r="129">
      <c r="B129" s="19">
        <f>INDEX('Paramètres'!$V$6:$V$20,8)&amp;""</f>
        <v/>
      </c>
      <c r="C129" s="20" t="n"/>
      <c r="D129" s="20">
        <f>IF($B129="","",COUNTIFS('Prospects'!$BW$5:$BW$504,1,'Prospects'!$S$5:$S$504,$B129))</f>
        <v/>
      </c>
      <c r="E129" s="20">
        <f>IF($B129="","",COUNTIFS('Prospects'!$BW$5:$BW$504,1,'Prospects'!$S$5:$S$504,$B129,'Prospects'!$BA$5:$BA$504,7))</f>
        <v/>
      </c>
      <c r="F129" s="90">
        <f>IFERROR(E129/D129,0)</f>
        <v/>
      </c>
      <c r="G129" s="34">
        <f>IF($B129="","",SUMIFS('Clients'!$O$5:$O$154,'Clients'!$H$5:$H$154,$B129))</f>
        <v/>
      </c>
      <c r="I129" s="77" t="inlineStr">
        <is>
          <t>Note moyenne d'audit (/100)</t>
        </is>
      </c>
      <c r="J129" s="77" t="n"/>
      <c r="K129" s="77" t="n"/>
      <c r="L129" s="77" t="n"/>
      <c r="M129" s="99">
        <f>IFERROR(AVERAGEIFS('Saisie'!$N$5:$N$2004,'Saisie'!$E$5:$E$2004,"Audit réalisé"),0)</f>
        <v/>
      </c>
    </row>
    <row r="130">
      <c r="B130" s="12">
        <f>INDEX('Paramètres'!$V$6:$V$20,9)&amp;""</f>
        <v/>
      </c>
      <c r="C130" s="13" t="n"/>
      <c r="D130" s="13">
        <f>IF($B130="","",COUNTIFS('Prospects'!$BW$5:$BW$504,1,'Prospects'!$S$5:$S$504,$B130))</f>
        <v/>
      </c>
      <c r="E130" s="13">
        <f>IF($B130="","",COUNTIFS('Prospects'!$BW$5:$BW$504,1,'Prospects'!$S$5:$S$504,$B130,'Prospects'!$BA$5:$BA$504,7))</f>
        <v/>
      </c>
      <c r="F130" s="88">
        <f>IFERROR(E130/D130,0)</f>
        <v/>
      </c>
      <c r="G130" s="36">
        <f>IF($B130="","",SUMIFS('Clients'!$O$5:$O$154,'Clients'!$H$5:$H$154,$B130))</f>
        <v/>
      </c>
      <c r="I130" s="100" t="inlineStr">
        <is>
          <t>Taux d'ouverture des Loom</t>
        </is>
      </c>
      <c r="J130" s="100" t="n"/>
      <c r="K130" s="100" t="n"/>
      <c r="L130" s="100" t="n"/>
      <c r="M130" s="104">
        <f>IFERROR(COUNTIFS('Saisie'!$E$5:$E$2004,"Loom envoyé",'Saisie'!$F$5:$F$2004,"Loom vu")/COUNTIFS('Saisie'!$E$5:$E$2004,"Loom envoyé"),0)</f>
        <v/>
      </c>
    </row>
    <row r="131">
      <c r="B131" s="19">
        <f>INDEX('Paramètres'!$V$6:$V$20,10)&amp;""</f>
        <v/>
      </c>
      <c r="C131" s="20" t="n"/>
      <c r="D131" s="20">
        <f>IF($B131="","",COUNTIFS('Prospects'!$BW$5:$BW$504,1,'Prospects'!$S$5:$S$504,$B131))</f>
        <v/>
      </c>
      <c r="E131" s="20">
        <f>IF($B131="","",COUNTIFS('Prospects'!$BW$5:$BW$504,1,'Prospects'!$S$5:$S$504,$B131,'Prospects'!$BA$5:$BA$504,7))</f>
        <v/>
      </c>
      <c r="F131" s="90">
        <f>IFERROR(E131/D131,0)</f>
        <v/>
      </c>
      <c r="G131" s="34">
        <f>IF($B131="","",SUMIFS('Clients'!$O$5:$O$154,'Clients'!$H$5:$H$154,$B131))</f>
        <v/>
      </c>
      <c r="I131" s="77" t="inlineStr">
        <is>
          <t>Clients venus par recommandation</t>
        </is>
      </c>
      <c r="J131" s="77" t="n"/>
      <c r="K131" s="77" t="n"/>
      <c r="L131" s="77" t="n"/>
      <c r="M131" s="105">
        <f>COUNTIFS('Clients'!$J$5:$J$154,"?*")</f>
        <v/>
      </c>
    </row>
    <row r="132">
      <c r="I132" s="100" t="inlineStr">
        <is>
          <t>Satisfaction moyenne (/10)</t>
        </is>
      </c>
      <c r="J132" s="100" t="n"/>
      <c r="K132" s="100" t="n"/>
      <c r="L132" s="100" t="n"/>
      <c r="M132" s="101">
        <f>IFERROR(AVERAGEIFS('Saisie'!$N$5:$N$2004,'Saisie'!$E$5:$E$2004,"Satisfaction client"),0)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mergeCells count="115">
    <mergeCell ref="L17:M17"/>
    <mergeCell ref="B42:M42"/>
    <mergeCell ref="H10:I10"/>
    <mergeCell ref="J10:K10"/>
    <mergeCell ref="J19:K19"/>
    <mergeCell ref="L19:M19"/>
    <mergeCell ref="H113:I113"/>
    <mergeCell ref="I26:J26"/>
    <mergeCell ref="D6:E6"/>
    <mergeCell ref="B21:C21"/>
    <mergeCell ref="I25:J25"/>
    <mergeCell ref="G16:I16"/>
    <mergeCell ref="B38:C38"/>
    <mergeCell ref="B15:M15"/>
    <mergeCell ref="D7:E7"/>
    <mergeCell ref="B112:C112"/>
    <mergeCell ref="I129:L129"/>
    <mergeCell ref="B127:C127"/>
    <mergeCell ref="B40:C40"/>
    <mergeCell ref="J21:K21"/>
    <mergeCell ref="I131:L131"/>
    <mergeCell ref="L21:M21"/>
    <mergeCell ref="B33:C33"/>
    <mergeCell ref="I121:L121"/>
    <mergeCell ref="B32:C32"/>
    <mergeCell ref="I130:L130"/>
    <mergeCell ref="B35:C35"/>
    <mergeCell ref="A2:M2"/>
    <mergeCell ref="B129:C129"/>
    <mergeCell ref="B16:C16"/>
    <mergeCell ref="I123:L123"/>
    <mergeCell ref="L7:M7"/>
    <mergeCell ref="D10:E10"/>
    <mergeCell ref="I132:L132"/>
    <mergeCell ref="F10:G10"/>
    <mergeCell ref="L16:M16"/>
    <mergeCell ref="F6:G6"/>
    <mergeCell ref="B131:C131"/>
    <mergeCell ref="B18:C18"/>
    <mergeCell ref="C4:D4"/>
    <mergeCell ref="B26:E26"/>
    <mergeCell ref="H117:I117"/>
    <mergeCell ref="B130:C130"/>
    <mergeCell ref="B11:C11"/>
    <mergeCell ref="D11:E11"/>
    <mergeCell ref="B25:E25"/>
    <mergeCell ref="H11:I11"/>
    <mergeCell ref="B27:E27"/>
    <mergeCell ref="J11:K11"/>
    <mergeCell ref="J20:K20"/>
    <mergeCell ref="H109:I109"/>
    <mergeCell ref="L20:M20"/>
    <mergeCell ref="I24:J24"/>
    <mergeCell ref="B37:C37"/>
    <mergeCell ref="I125:L125"/>
    <mergeCell ref="H111:I111"/>
    <mergeCell ref="B6:C6"/>
    <mergeCell ref="I122:L122"/>
    <mergeCell ref="L6:M6"/>
    <mergeCell ref="I127:L127"/>
    <mergeCell ref="B31:M31"/>
    <mergeCell ref="B29:E29"/>
    <mergeCell ref="G17:I17"/>
    <mergeCell ref="B125:C125"/>
    <mergeCell ref="B7:C7"/>
    <mergeCell ref="G19:I19"/>
    <mergeCell ref="B23:M23"/>
    <mergeCell ref="B121:C121"/>
    <mergeCell ref="B24:E24"/>
    <mergeCell ref="B122:C122"/>
    <mergeCell ref="F7:G7"/>
    <mergeCell ref="L18:M18"/>
    <mergeCell ref="G20:I20"/>
    <mergeCell ref="B17:C17"/>
    <mergeCell ref="I124:L124"/>
    <mergeCell ref="H110:I110"/>
    <mergeCell ref="A1:M1"/>
    <mergeCell ref="J16:K16"/>
    <mergeCell ref="B19:C19"/>
    <mergeCell ref="L10:M10"/>
    <mergeCell ref="B34:C34"/>
    <mergeCell ref="I126:L126"/>
    <mergeCell ref="G21:I21"/>
    <mergeCell ref="B124:C124"/>
    <mergeCell ref="B20:C20"/>
    <mergeCell ref="L11:M11"/>
    <mergeCell ref="B28:E28"/>
    <mergeCell ref="B126:C126"/>
    <mergeCell ref="B109:C109"/>
    <mergeCell ref="F11:G11"/>
    <mergeCell ref="B113:C113"/>
    <mergeCell ref="H112:I112"/>
    <mergeCell ref="G18:I18"/>
    <mergeCell ref="I27:J27"/>
    <mergeCell ref="I128:L128"/>
    <mergeCell ref="B39:C39"/>
    <mergeCell ref="H114:I114"/>
    <mergeCell ref="H6:I6"/>
    <mergeCell ref="J6:K6"/>
    <mergeCell ref="B111:C111"/>
    <mergeCell ref="B64:M64"/>
    <mergeCell ref="H115:I115"/>
    <mergeCell ref="H7:I7"/>
    <mergeCell ref="B128:C128"/>
    <mergeCell ref="J7:K7"/>
    <mergeCell ref="B10:C10"/>
    <mergeCell ref="B97:M97"/>
    <mergeCell ref="G4:H4"/>
    <mergeCell ref="B114:C114"/>
    <mergeCell ref="J18:K18"/>
    <mergeCell ref="B36:C36"/>
    <mergeCell ref="H116:I116"/>
    <mergeCell ref="B123:C123"/>
    <mergeCell ref="B110:C110"/>
    <mergeCell ref="J17:K17"/>
  </mergeCells>
  <conditionalFormatting sqref="B8">
    <cfRule type="expression" priority="1" dxfId="3">
      <formula>B8="▲"</formula>
    </cfRule>
    <cfRule type="expression" priority="2" dxfId="4">
      <formula>B8="▼"</formula>
    </cfRule>
  </conditionalFormatting>
  <conditionalFormatting sqref="D8">
    <cfRule type="expression" priority="3" dxfId="3">
      <formula>D8="▲"</formula>
    </cfRule>
    <cfRule type="expression" priority="4" dxfId="4">
      <formula>D8="▼"</formula>
    </cfRule>
  </conditionalFormatting>
  <conditionalFormatting sqref="F8">
    <cfRule type="expression" priority="5" dxfId="3">
      <formula>F8="▲"</formula>
    </cfRule>
    <cfRule type="expression" priority="6" dxfId="4">
      <formula>F8="▼"</formula>
    </cfRule>
  </conditionalFormatting>
  <conditionalFormatting sqref="H8">
    <cfRule type="expression" priority="7" dxfId="3">
      <formula>H8="▲"</formula>
    </cfRule>
    <cfRule type="expression" priority="8" dxfId="4">
      <formula>H8="▼"</formula>
    </cfRule>
  </conditionalFormatting>
  <conditionalFormatting sqref="J8">
    <cfRule type="expression" priority="9" dxfId="3">
      <formula>J8="▲"</formula>
    </cfRule>
    <cfRule type="expression" priority="10" dxfId="4">
      <formula>J8="▼"</formula>
    </cfRule>
  </conditionalFormatting>
  <conditionalFormatting sqref="L8">
    <cfRule type="expression" priority="11" dxfId="3">
      <formula>L8="▲"</formula>
    </cfRule>
    <cfRule type="expression" priority="12" dxfId="4">
      <formula>L8="▼"</formula>
    </cfRule>
  </conditionalFormatting>
  <conditionalFormatting sqref="B12">
    <cfRule type="expression" priority="13" dxfId="3">
      <formula>B12="▲"</formula>
    </cfRule>
    <cfRule type="expression" priority="14" dxfId="4">
      <formula>B12="▼"</formula>
    </cfRule>
  </conditionalFormatting>
  <conditionalFormatting sqref="D12">
    <cfRule type="expression" priority="15" dxfId="3">
      <formula>D12="▲"</formula>
    </cfRule>
    <cfRule type="expression" priority="16" dxfId="4">
      <formula>D12="▼"</formula>
    </cfRule>
  </conditionalFormatting>
  <conditionalFormatting sqref="F12">
    <cfRule type="expression" priority="17" dxfId="3">
      <formula>F12="▲"</formula>
    </cfRule>
    <cfRule type="expression" priority="18" dxfId="4">
      <formula>F12="▼"</formula>
    </cfRule>
  </conditionalFormatting>
  <conditionalFormatting sqref="H12">
    <cfRule type="expression" priority="19" dxfId="3">
      <formula>H12="▲"</formula>
    </cfRule>
    <cfRule type="expression" priority="20" dxfId="4">
      <formula>H12="▼"</formula>
    </cfRule>
  </conditionalFormatting>
  <conditionalFormatting sqref="J12">
    <cfRule type="expression" priority="21" dxfId="3">
      <formula>J12="▲"</formula>
    </cfRule>
    <cfRule type="expression" priority="22" dxfId="4">
      <formula>J12="▼"</formula>
    </cfRule>
  </conditionalFormatting>
  <conditionalFormatting sqref="L12">
    <cfRule type="expression" priority="23" dxfId="3">
      <formula>L12="▲"</formula>
    </cfRule>
    <cfRule type="expression" priority="24" dxfId="4">
      <formula>L12="▼"</formula>
    </cfRule>
  </conditionalFormatting>
  <conditionalFormatting sqref="L17">
    <cfRule type="expression" priority="25" dxfId="3">
      <formula>LEFT(L17,1)="✔"</formula>
    </cfRule>
    <cfRule type="expression" priority="26" dxfId="4">
      <formula>LEFT(L17,1)="✖"</formula>
    </cfRule>
  </conditionalFormatting>
  <conditionalFormatting sqref="L18">
    <cfRule type="expression" priority="27" dxfId="3">
      <formula>LEFT(L18,1)="✔"</formula>
    </cfRule>
    <cfRule type="expression" priority="28" dxfId="4">
      <formula>LEFT(L18,1)="✖"</formula>
    </cfRule>
  </conditionalFormatting>
  <conditionalFormatting sqref="L19">
    <cfRule type="expression" priority="29" dxfId="3">
      <formula>LEFT(L19,1)="✔"</formula>
    </cfRule>
    <cfRule type="expression" priority="30" dxfId="4">
      <formula>LEFT(L19,1)="✖"</formula>
    </cfRule>
  </conditionalFormatting>
  <conditionalFormatting sqref="L20">
    <cfRule type="expression" priority="31" dxfId="3">
      <formula>LEFT(L20,1)="✔"</formula>
    </cfRule>
    <cfRule type="expression" priority="32" dxfId="4">
      <formula>LEFT(L20,1)="✖"</formula>
    </cfRule>
  </conditionalFormatting>
  <conditionalFormatting sqref="L21">
    <cfRule type="expression" priority="33" dxfId="3">
      <formula>LEFT(L21,1)="✔"</formula>
    </cfRule>
    <cfRule type="expression" priority="34" dxfId="4">
      <formula>LEFT(L21,1)="✖"</formula>
    </cfRule>
  </conditionalFormatting>
  <conditionalFormatting sqref="E44:E48">
    <cfRule type="dataBar" priority="35">
      <dataBar>
        <cfvo type="min"/>
        <cfvo type="max"/>
        <color rgb="00C9A227"/>
      </dataBar>
    </cfRule>
  </conditionalFormatting>
  <conditionalFormatting sqref="G44:G48">
    <cfRule type="dataBar" priority="36">
      <dataBar>
        <cfvo type="min"/>
        <cfvo type="max"/>
        <color rgb="00C9A227"/>
      </dataBar>
    </cfRule>
  </conditionalFormatting>
  <conditionalFormatting sqref="I44:I48">
    <cfRule type="dataBar" priority="37">
      <dataBar>
        <cfvo type="min"/>
        <cfvo type="max"/>
        <color rgb="00C9A227"/>
      </dataBar>
    </cfRule>
  </conditionalFormatting>
  <conditionalFormatting sqref="B66:K77">
    <cfRule type="expression" priority="38" dxfId="5">
      <formula>AND(YEAR($B66)=YEAR(TODAY()),MONTH($B66)=MONTH(TODAY()))</formula>
    </cfRule>
  </conditionalFormatting>
  <conditionalFormatting sqref="E100:E105">
    <cfRule type="expression" priority="39" dxfId="6">
      <formula>AND(E100&gt;0,E100=MAX($E$100:$E$105))</formula>
    </cfRule>
  </conditionalFormatting>
  <conditionalFormatting sqref="J100:J105">
    <cfRule type="expression" priority="40" dxfId="6">
      <formula>AND(J100&gt;0,J100=MAX($J$100:$J$105))</formula>
    </cfRule>
  </conditionalFormatting>
  <conditionalFormatting sqref="J110:J117">
    <cfRule type="dataBar" priority="41">
      <dataBar>
        <cfvo type="num" val="0"/>
        <cfvo type="max"/>
        <color rgb="00E06666"/>
      </dataBar>
    </cfRule>
  </conditionalFormatting>
  <conditionalFormatting sqref="G122:G131">
    <cfRule type="dataBar" priority="42">
      <dataBar>
        <cfvo type="num" val="0"/>
        <cfvo type="max"/>
        <color rgb="00C9A227"/>
      </dataBar>
    </cfRule>
  </conditionalFormatting>
  <dataValidations count="2">
    <dataValidation sqref="C4" showDropDown="0" showInputMessage="0" showErrorMessage="1" allowBlank="1" errorTitle="Valeur non valide" error="Choisis une valeur dans la liste (modifiable dans Paramètres)." type="list">
      <formula1>'Paramètres'!$AQ$6:$AQ$43</formula1>
    </dataValidation>
    <dataValidation sqref="G4" showDropDown="0" showInputMessage="0" showErrorMessage="1" allowBlank="1" errorTitle="Valeur non valide" error="Choisis une valeur dans la liste (modifiable dans Paramètres)." type="list">
      <formula1>'Paramètres'!$AP$6:$AP$11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BX5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12" customWidth="1" min="4" max="4"/>
    <col width="8" customWidth="1" min="5" max="5"/>
    <col width="26" customWidth="1" min="6" max="6"/>
    <col width="11" customWidth="1" min="7" max="7"/>
    <col width="8" customWidth="1" min="8" max="8"/>
    <col width="24" customWidth="1" min="9" max="9"/>
    <col width="16" customWidth="1" min="10" max="10"/>
    <col width="15" customWidth="1" min="11" max="11"/>
    <col width="11" customWidth="1" min="12" max="12"/>
    <col width="16" customWidth="1" min="13" max="13"/>
    <col width="10" customWidth="1" min="14" max="14"/>
    <col width="8" customWidth="1" min="15" max="15"/>
    <col width="8" customWidth="1" min="16" max="16"/>
    <col width="11" customWidth="1" min="17" max="17"/>
    <col width="8" customWidth="1" min="18" max="18"/>
    <col width="16" customWidth="1" min="19" max="19"/>
    <col width="12" customWidth="1" min="20" max="20"/>
    <col width="11" customWidth="1" min="21" max="21"/>
    <col width="11" customWidth="1" min="22" max="22"/>
    <col width="18" customWidth="1" min="23" max="23"/>
    <col width="15" customWidth="1" min="24" max="24"/>
    <col width="15" customWidth="1" min="25" max="25"/>
    <col width="7" customWidth="1" min="26" max="26"/>
    <col width="10" customWidth="1" min="27" max="27"/>
    <col width="11" customWidth="1" min="28" max="28"/>
    <col width="9" customWidth="1" min="29" max="29"/>
    <col width="7" customWidth="1" min="30" max="30"/>
    <col width="7" customWidth="1" min="31" max="31"/>
    <col width="9" customWidth="1" min="32" max="32"/>
    <col width="14" customWidth="1" min="33" max="33"/>
    <col width="12" customWidth="1" min="34" max="34"/>
    <col width="7" customWidth="1" min="35" max="35"/>
    <col width="7" customWidth="1" min="36" max="36"/>
    <col width="7" customWidth="1" min="37" max="37"/>
    <col width="9" customWidth="1" min="38" max="38"/>
    <col width="7" customWidth="1" min="39" max="39"/>
    <col width="16" customWidth="1" min="40" max="40"/>
    <col width="10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8" customWidth="1" min="47" max="47"/>
    <col width="18" customWidth="1" min="48" max="48"/>
    <col width="11" customWidth="1" min="49" max="49"/>
    <col width="11" customWidth="1" min="50" max="50"/>
    <col width="8" customWidth="1" min="51" max="51"/>
    <col width="18" customWidth="1" min="52" max="52"/>
    <col width="6" customWidth="1" min="53" max="53"/>
    <col width="12" customWidth="1" min="54" max="54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8" customWidth="1" min="72" max="72"/>
    <col width="6" customWidth="1" min="73" max="73"/>
    <col width="6" customWidth="1" min="74" max="74"/>
    <col width="6" customWidth="1" min="75" max="75"/>
    <col width="6" customWidth="1" min="76" max="76"/>
  </cols>
  <sheetData>
    <row r="1" ht="34" customHeight="1">
      <c r="A1" s="43">
        <f>HYPERLINK("#'Saisie'!A1","↩ Saisie")</f>
        <v/>
      </c>
      <c r="B1" s="1" t="inlineStr">
        <is>
          <t>👥 PROSPECTS — automatique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</row>
    <row r="2" ht="40" customHeight="1">
      <c r="A2" s="3" t="inlineStr">
        <is>
          <t>100 % automatique : une ligne par prospect, construite depuis la Saisie. Étape, score, relance (séquence J+2 / J+5 / J+10) et alertes se calculent seuls. Tu peux filtrer et lire, pas modifier. Pour changer quelque chose, ajoute une ligne dans Saisie.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</row>
    <row r="3" ht="16" customHeight="1">
      <c r="A3" s="44" t="inlineStr">
        <is>
          <t>SUIVI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45" t="inlineStr">
        <is>
          <t>CONTACT</t>
        </is>
      </c>
      <c r="K3" s="46" t="n"/>
      <c r="L3" s="46" t="n"/>
      <c r="M3" s="46" t="n"/>
      <c r="N3" s="46" t="n"/>
      <c r="O3" s="46" t="n"/>
      <c r="P3" s="46" t="n"/>
      <c r="Q3" s="46" t="n"/>
      <c r="R3" s="46" t="n"/>
      <c r="S3" s="44" t="inlineStr">
        <is>
          <t>FICHE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47" t="inlineStr">
        <is>
          <t>QUALIFICATION</t>
        </is>
      </c>
      <c r="AJ3" s="48" t="n"/>
      <c r="AK3" s="48" t="n"/>
      <c r="AL3" s="48" t="n"/>
      <c r="AM3" s="48" t="n"/>
      <c r="AN3" s="45" t="inlineStr">
        <is>
          <t>VENTE</t>
        </is>
      </c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9" t="inlineStr">
        <is>
          <t>CALCULS</t>
        </is>
      </c>
      <c r="BB3" s="50" t="n"/>
      <c r="BC3" s="50" t="n"/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0" t="n"/>
      <c r="BP3" s="50" t="n"/>
      <c r="BQ3" s="50" t="n"/>
      <c r="BR3" s="50" t="n"/>
      <c r="BS3" s="50" t="n"/>
      <c r="BT3" s="50" t="n"/>
      <c r="BU3" s="50" t="n"/>
      <c r="BV3" s="50" t="n"/>
      <c r="BW3" s="50" t="n"/>
      <c r="BX3" s="50" t="n"/>
    </row>
    <row r="4" ht="40" customHeight="1">
      <c r="A4" s="52" t="inlineStr">
        <is>
          <t>ID</t>
        </is>
      </c>
      <c r="B4" s="52" t="inlineStr">
        <is>
          <t>Date d'ajout</t>
        </is>
      </c>
      <c r="C4" s="52" t="inlineStr">
        <is>
          <t>Entreprise</t>
        </is>
      </c>
      <c r="D4" s="52" t="inlineStr">
        <is>
          <t>Étape</t>
        </is>
      </c>
      <c r="E4" s="52" t="inlineStr">
        <is>
          <t>Score priorité</t>
        </is>
      </c>
      <c r="F4" s="52" t="inlineStr">
        <is>
          <t>Alerte</t>
        </is>
      </c>
      <c r="G4" s="52" t="inlineStr">
        <is>
          <t>Prochaine relance</t>
        </is>
      </c>
      <c r="H4" s="52" t="inlineStr">
        <is>
          <t>Heure de rappel</t>
        </is>
      </c>
      <c r="I4" s="52" t="inlineStr">
        <is>
          <t>Prochaine action</t>
        </is>
      </c>
      <c r="J4" s="52" t="inlineStr">
        <is>
          <t>Contact</t>
        </is>
      </c>
      <c r="K4" s="52" t="inlineStr">
        <is>
          <t>Téléphone</t>
        </is>
      </c>
      <c r="L4" s="52" t="inlineStr">
        <is>
          <t>WhatsApp</t>
        </is>
      </c>
      <c r="M4" s="52" t="inlineStr">
        <is>
          <t>Instagram</t>
        </is>
      </c>
      <c r="N4" s="52" t="inlineStr">
        <is>
          <t>Canal principal</t>
        </is>
      </c>
      <c r="O4" s="52" t="inlineStr">
        <is>
          <t>Tentatives</t>
        </is>
      </c>
      <c r="P4" s="52" t="inlineStr">
        <is>
          <t>Réponses</t>
        </is>
      </c>
      <c r="Q4" s="52" t="inlineStr">
        <is>
          <t>Dernière action</t>
        </is>
      </c>
      <c r="R4" s="52" t="inlineStr">
        <is>
          <t>Jours sans action</t>
        </is>
      </c>
      <c r="S4" s="52" t="inlineStr">
        <is>
          <t>Secteur</t>
        </is>
      </c>
      <c r="T4" s="52" t="inlineStr">
        <is>
          <t>Ville</t>
        </is>
      </c>
      <c r="U4" s="52" t="inlineStr">
        <is>
          <t>Zone</t>
        </is>
      </c>
      <c r="V4" s="52" t="inlineStr">
        <is>
          <t>Fonction</t>
        </is>
      </c>
      <c r="W4" s="52" t="inlineStr">
        <is>
          <t>Site internet</t>
        </is>
      </c>
      <c r="X4" s="52" t="inlineStr">
        <is>
          <t>Source</t>
        </is>
      </c>
      <c r="Y4" s="52" t="inlineStr">
        <is>
          <t>Recommandé par</t>
        </is>
      </c>
      <c r="Z4" s="52" t="inlineStr">
        <is>
          <t>Pub active</t>
        </is>
      </c>
      <c r="AA4" s="52" t="inlineStr">
        <is>
          <t>Date pub</t>
        </is>
      </c>
      <c r="AB4" s="52" t="inlineStr">
        <is>
          <t>Budget pub</t>
        </is>
      </c>
      <c r="AC4" s="52" t="inlineStr">
        <is>
          <t>Présence Google</t>
        </is>
      </c>
      <c r="AD4" s="52" t="inlineStr">
        <is>
          <t>Note Google</t>
        </is>
      </c>
      <c r="AE4" s="52" t="inlineStr">
        <is>
          <t>Nb avis</t>
        </is>
      </c>
      <c r="AF4" s="52" t="inlineStr">
        <is>
          <t>Taille</t>
        </is>
      </c>
      <c r="AG4" s="52" t="inlineStr">
        <is>
          <t>Concurrent</t>
        </is>
      </c>
      <c r="AH4" s="52" t="inlineStr">
        <is>
          <t>Standard</t>
        </is>
      </c>
      <c r="AI4" s="52" t="inlineStr">
        <is>
          <t>Budget OK</t>
        </is>
      </c>
      <c r="AJ4" s="52" t="inlineStr">
        <is>
          <t>Décideur</t>
        </is>
      </c>
      <c r="AK4" s="52" t="inlineStr">
        <is>
          <t>Besoin</t>
        </is>
      </c>
      <c r="AL4" s="52" t="inlineStr">
        <is>
          <t>Délai</t>
        </is>
      </c>
      <c r="AM4" s="52" t="inlineStr">
        <is>
          <t>Qualif. (/4)</t>
        </is>
      </c>
      <c r="AN4" s="52" t="inlineStr">
        <is>
          <t>Offre</t>
        </is>
      </c>
      <c r="AO4" s="52" t="inlineStr">
        <is>
          <t>Abonnement (€/mois)</t>
        </is>
      </c>
      <c r="AP4" s="52" t="inlineStr">
        <is>
          <t>Montant proposé</t>
        </is>
      </c>
      <c r="AQ4" s="52" t="inlineStr">
        <is>
          <t>Date proposition</t>
        </is>
      </c>
      <c r="AR4" s="52" t="inlineStr">
        <is>
          <t>Expiration proposition</t>
        </is>
      </c>
      <c r="AS4" s="52" t="inlineStr">
        <is>
          <t>Pipeline pondéré</t>
        </is>
      </c>
      <c r="AT4" s="52" t="inlineStr">
        <is>
          <t>Date signature</t>
        </is>
      </c>
      <c r="AU4" s="52" t="inlineStr">
        <is>
          <t>Cycle de vente (j)</t>
        </is>
      </c>
      <c r="AV4" s="52" t="inlineStr">
        <is>
          <t>Dernière objection / motif</t>
        </is>
      </c>
      <c r="AW4" s="52" t="inlineStr">
        <is>
          <t>Date perte</t>
        </is>
      </c>
      <c r="AX4" s="52" t="inlineStr">
        <is>
          <t>À recontacter le</t>
        </is>
      </c>
      <c r="AY4" s="52" t="inlineStr">
        <is>
          <t>Temps passé (min)</t>
        </is>
      </c>
      <c r="AZ4" s="52" t="inlineStr">
        <is>
          <t>Démo type du secteur</t>
        </is>
      </c>
      <c r="BA4" s="52" t="inlineStr">
        <is>
          <t>Niveau (1-7)</t>
        </is>
      </c>
      <c r="BB4" s="52" t="inlineStr">
        <is>
          <t>N° WhatsApp</t>
        </is>
      </c>
      <c r="BC4" s="52" t="inlineStr">
        <is>
          <t>Compte Insta</t>
        </is>
      </c>
      <c r="BD4" s="52" t="inlineStr">
        <is>
          <t>Date Contacté</t>
        </is>
      </c>
      <c r="BE4" s="52" t="inlineStr">
        <is>
          <t>Date Qualifié</t>
        </is>
      </c>
      <c r="BF4" s="52" t="inlineStr">
        <is>
          <t>Date Audit/Démo</t>
        </is>
      </c>
      <c r="BG4" s="52" t="inlineStr">
        <is>
          <t>Date RDV</t>
        </is>
      </c>
      <c r="BH4" s="52" t="inlineStr">
        <is>
          <t>Date Proposition</t>
        </is>
      </c>
      <c r="BI4" s="52" t="inlineStr">
        <is>
          <t>Date Gagné</t>
        </is>
      </c>
      <c r="BJ4" s="52" t="inlineStr">
        <is>
          <t>Jours → Contacté</t>
        </is>
      </c>
      <c r="BK4" s="52" t="inlineStr">
        <is>
          <t>Jours → Qualifié</t>
        </is>
      </c>
      <c r="BL4" s="52" t="inlineStr">
        <is>
          <t>Jours → Audit/Démo</t>
        </is>
      </c>
      <c r="BM4" s="52" t="inlineStr">
        <is>
          <t>Jours → RDV</t>
        </is>
      </c>
      <c r="BN4" s="52" t="inlineStr">
        <is>
          <t>Jours → Proposition</t>
        </is>
      </c>
      <c r="BO4" s="52" t="inlineStr">
        <is>
          <t>Jours → Gagné</t>
        </is>
      </c>
      <c r="BP4" s="52" t="inlineStr">
        <is>
          <t>Ligne relance</t>
        </is>
      </c>
      <c r="BQ4" s="52" t="inlineStr">
        <is>
          <t>Dernière ligne</t>
        </is>
      </c>
      <c r="BR4" s="52" t="inlineStr">
        <is>
          <t>Ligne perdu</t>
        </is>
      </c>
      <c r="BS4" s="52" t="inlineStr">
        <is>
          <t>Ligne progrès</t>
        </is>
      </c>
      <c r="BT4" s="52" t="inlineStr">
        <is>
          <t>Tri priorité</t>
        </is>
      </c>
      <c r="BU4" s="52" t="inlineStr">
        <is>
          <t>Rang relance</t>
        </is>
      </c>
      <c r="BV4" s="52" t="inlineStr">
        <is>
          <t>Rang alerte</t>
        </is>
      </c>
      <c r="BW4" s="52" t="inlineStr">
        <is>
          <t>Dans filtre</t>
        </is>
      </c>
      <c r="BX4" s="52" t="inlineStr">
        <is>
          <t>Rang client</t>
        </is>
      </c>
    </row>
    <row r="5">
      <c r="A5" s="60">
        <f>IF(C5="","","P-"&amp;TEXT(1,"000"))</f>
        <v/>
      </c>
      <c r="B5" s="106">
        <f>IF(C5="","",IFERROR(1/(1/_xlfn.MINIFS('Saisie'!$A$5:$A$2004,'Saisie'!$C$5:$C$2004,C5)),""))</f>
        <v/>
      </c>
      <c r="C5" s="60">
        <f>IFERROR(INDEX('Saisie'!$C$5:$C$2004,MATCH(1,'Saisie'!$AX$5:$AX$2004,0)),"")</f>
        <v/>
      </c>
      <c r="D5" s="60">
        <f>IF(C5="","",IF(AND(BR5&gt;0,BR5&gt;BS5,BA5&lt;7),"Perdu",INDEX('Paramètres'!$F$6:$F$13,BA5)))</f>
        <v/>
      </c>
      <c r="E5" s="61">
        <f>IF(C5="","",MIN(100,(Z5="Oui")*'Paramètres'!$B$38+(AB5="Régulière")*'Paramètres'!$B$39+IF(AND(N(AA5)&gt;0,TODAY()-N(AA5)&lt;=30),'Paramètres'!$B$40,0)+(W5="")*'Paramètres'!$B$41+(AC5="Absente")*'Paramètres'!$B$42+(AC5="Faible")*'Paramètres'!$B$43+IF(AND(N(AD5)&gt;0,N(AD5)&lt;4),'Paramètres'!$B$44,0)+(AF5="Moyenne")*'Paramètres'!$B$45+(AF5="Grande")*'Paramètres'!$B$46+(Y5&lt;&gt;"")*'Paramètres'!$B$47))</f>
        <v/>
      </c>
      <c r="F5" s="60">
        <f>IF(C5="","",IF(D5="Gagné","",IF(D5="Perdu",IF(AND(AX5&lt;&gt;"",AX5&lt;=TODAY()),"À recontacter (perdu)",""),IF(AND(O5&gt;='Paramètres'!$B$21,P5=0),"Stop : "&amp;'Paramètres'!$B$21&amp;" tentatives sans réponse",IF(AND(D5="Proposition",AR5&lt;&gt;"",TODAY()&gt;N(AR5)),"Proposition expirée",IF(AND(D5="Proposition",N(R5)&gt;='Paramètres'!$B$25),"Proposition sans réponse",IF(AND(G5&lt;&gt;"",N(G5)&lt;TODAY()),"Relance en retard",IF(N(R5)&gt;='Paramètres'!$B$24,"Sans action depuis "&amp;R5&amp;" j",""))))))))</f>
        <v/>
      </c>
      <c r="G5" s="106">
        <f>IF(OR(C5="",D5="Gagné",D5="Perdu"),"",IF(AND(BP5&gt;0,BP5=BQ5),INDEX('Saisie'!$J$5:$J$2004,BP5-4),IF(OR(O5=0,AND(O5&gt;='Paramètres'!$B$21,P5=0)),"",Q5+IF(O5&lt;=1,'Paramètres'!$B$18,IF(O5=2,'Paramètres'!$B$19,'Paramètres'!$B$20)))))</f>
        <v/>
      </c>
      <c r="H5" s="107">
        <f>IF(OR(G5="",BP5&lt;&gt;BQ5),"",IF(INDEX('Saisie'!$K$5:$K$2004,BP5-4)="","",INDEX('Saisie'!$K$5:$K$2004,BP5-4)))</f>
        <v/>
      </c>
      <c r="I5" s="60">
        <f>IF(C5="","",IF(OR(D5="Gagné",D5="Perdu"),"",IFERROR(INDEX('Saisie'!$I$5:$I$2004,_xlfn.MAXIFS('Saisie'!$AS$5:$AS$2004,'Saisie'!$C$5:$C$2004,C5,'Saisie'!$I$5:$I$2004,"&lt;&gt;")-4),"")))</f>
        <v/>
      </c>
      <c r="J5" s="60">
        <f>IF(C5="","",IFERROR(INDEX('Saisie'!$U$5:$U$2004,_xlfn.MAXIFS('Saisie'!$AS$5:$AS$2004,'Saisie'!$C$5:$C$2004,C5,'Saisie'!$U$5:$U$2004,"&lt;&gt;")-4),""))</f>
        <v/>
      </c>
      <c r="K5" s="60">
        <f>IF(C5="","",IFERROR(INDEX('Saisie'!$W$5:$W$2004,_xlfn.MAXIFS('Saisie'!$AS$5:$AS$2004,'Saisie'!$C$5:$C$2004,C5,'Saisie'!$W$5:$W$2004,"&lt;&gt;")-4),""))</f>
        <v/>
      </c>
      <c r="L5" s="60">
        <f>IF(IF(BB5&lt;&gt;"",BB5,K5)="","",HYPERLINK("https://wa.me/"&amp;IF(LEFT(SUBSTITUTE(SUBSTITUTE(SUBSTITUTE(IF(BB5&lt;&gt;"",BB5,K5)," ",""),".",""),"+",""),1)="0",'Paramètres'!$B$35&amp;MID(SUBSTITUTE(SUBSTITUTE(SUBSTITUTE(IF(BB5&lt;&gt;"",BB5,K5)," ",""),".",""),"+",""),2,20),SUBSTITUTE(SUBSTITUTE(SUBSTITUTE(IF(BB5&lt;&gt;"",BB5,K5)," ",""),".",""),"+","")),"WhatsApp"))</f>
        <v/>
      </c>
      <c r="M5" s="60">
        <f>IF(BC5="","",HYPERLINK(IF(LEFT(BC5,4)="http",BC5,"https://www.instagram.com/"&amp;SUBSTITUTE(SUBSTITUTE(BC5,"@","")," ","")),BC5))</f>
        <v/>
      </c>
      <c r="N5" s="60">
        <f>IF(C5="","",IFERROR(INDEX('Saisie'!$D$5:$D$2004,_xlfn.MINIFS('Saisie'!$AS$5:$AS$2004,'Saisie'!$C$5:$C$2004,C5,'Saisie'!$AU$5:$AU$2004,1)-4),IFERROR(INDEX('Saisie'!$D$5:$D$2004,_xlfn.MINIFS('Saisie'!$AS$5:$AS$2004,'Saisie'!$C$5:$C$2004,C5,'Saisie'!$D$5:$D$2004,"&lt;&gt;")-4),"")))</f>
        <v/>
      </c>
      <c r="O5" s="60">
        <f>IF(C5="","",COUNTIFS('Saisie'!$C$5:$C$2004,C5,'Saisie'!$AU$5:$AU$2004,1))</f>
        <v/>
      </c>
      <c r="P5" s="60">
        <f>IF(C5="","",COUNTIFS('Saisie'!$C$5:$C$2004,C5,'Saisie'!$AV$5:$AV$2004,1))</f>
        <v/>
      </c>
      <c r="Q5" s="106">
        <f>IF(C5="","",IFERROR(1/(1/_xlfn.MAXIFS('Saisie'!$A$5:$A$2004,'Saisie'!$C$5:$C$2004,C5)),""))</f>
        <v/>
      </c>
      <c r="R5" s="61">
        <f>IF(C5="","",IF(Q5="","",TODAY()-Q5))</f>
        <v/>
      </c>
      <c r="S5" s="60">
        <f>IF(C5="","",IFERROR(INDEX('Saisie'!$R$5:$R$2004,_xlfn.MAXIFS('Saisie'!$AS$5:$AS$2004,'Saisie'!$C$5:$C$2004,C5,'Saisie'!$R$5:$R$2004,"&lt;&gt;")-4),""))</f>
        <v/>
      </c>
      <c r="T5" s="60">
        <f>IF(C5="","",IFERROR(INDEX('Saisie'!$S$5:$S$2004,_xlfn.MAXIFS('Saisie'!$AS$5:$AS$2004,'Saisie'!$C$5:$C$2004,C5,'Saisie'!$S$5:$S$2004,"&lt;&gt;")-4),""))</f>
        <v/>
      </c>
      <c r="U5" s="60">
        <f>IF(C5="","",IFERROR(INDEX('Saisie'!$T$5:$T$2004,_xlfn.MAXIFS('Saisie'!$AS$5:$AS$2004,'Saisie'!$C$5:$C$2004,C5,'Saisie'!$T$5:$T$2004,"&lt;&gt;")-4),""))</f>
        <v/>
      </c>
      <c r="V5" s="60">
        <f>IF(C5="","",IFERROR(INDEX('Saisie'!$V$5:$V$2004,_xlfn.MAXIFS('Saisie'!$AS$5:$AS$2004,'Saisie'!$C$5:$C$2004,C5,'Saisie'!$V$5:$V$2004,"&lt;&gt;")-4),""))</f>
        <v/>
      </c>
      <c r="W5" s="60">
        <f>IF(C5="","",IFERROR(INDEX('Saisie'!$Z$5:$Z$2004,_xlfn.MAXIFS('Saisie'!$AS$5:$AS$2004,'Saisie'!$C$5:$C$2004,C5,'Saisie'!$Z$5:$Z$2004,"&lt;&gt;")-4),""))</f>
        <v/>
      </c>
      <c r="X5" s="60">
        <f>IF(C5="","",IFERROR(INDEX('Saisie'!$AA$5:$AA$2004,_xlfn.MAXIFS('Saisie'!$AS$5:$AS$2004,'Saisie'!$C$5:$C$2004,C5,'Saisie'!$AA$5:$AA$2004,"&lt;&gt;")-4),""))</f>
        <v/>
      </c>
      <c r="Y5" s="60">
        <f>IF(C5="","",IFERROR(INDEX('Saisie'!$AB$5:$AB$2004,_xlfn.MAXIFS('Saisie'!$AS$5:$AS$2004,'Saisie'!$C$5:$C$2004,C5,'Saisie'!$AB$5:$AB$2004,"&lt;&gt;")-4),""))</f>
        <v/>
      </c>
      <c r="Z5" s="60">
        <f>IF(C5="","",IFERROR(INDEX('Saisie'!$AC$5:$AC$2004,_xlfn.MAXIFS('Saisie'!$AS$5:$AS$2004,'Saisie'!$C$5:$C$2004,C5,'Saisie'!$AC$5:$AC$2004,"&lt;&gt;")-4),""))</f>
        <v/>
      </c>
      <c r="AA5" s="106">
        <f>IF(C5="","",IFERROR(INDEX('Saisie'!$AD$5:$AD$2004,_xlfn.MAXIFS('Saisie'!$AS$5:$AS$2004,'Saisie'!$C$5:$C$2004,C5,'Saisie'!$AD$5:$AD$2004,"&lt;&gt;")-4),""))</f>
        <v/>
      </c>
      <c r="AB5" s="60">
        <f>IF(C5="","",IFERROR(INDEX('Saisie'!$AE$5:$AE$2004,_xlfn.MAXIFS('Saisie'!$AS$5:$AS$2004,'Saisie'!$C$5:$C$2004,C5,'Saisie'!$AE$5:$AE$2004,"&lt;&gt;")-4),""))</f>
        <v/>
      </c>
      <c r="AC5" s="60">
        <f>IF(C5="","",IFERROR(INDEX('Saisie'!$AF$5:$AF$2004,_xlfn.MAXIFS('Saisie'!$AS$5:$AS$2004,'Saisie'!$C$5:$C$2004,C5,'Saisie'!$AF$5:$AF$2004,"&lt;&gt;")-4),""))</f>
        <v/>
      </c>
      <c r="AD5" s="108">
        <f>IF(C5="","",IFERROR(INDEX('Saisie'!$AG$5:$AG$2004,_xlfn.MAXIFS('Saisie'!$AS$5:$AS$2004,'Saisie'!$C$5:$C$2004,C5,'Saisie'!$AG$5:$AG$2004,"&lt;&gt;")-4),""))</f>
        <v/>
      </c>
      <c r="AE5" s="60">
        <f>IF(C5="","",IFERROR(INDEX('Saisie'!$AH$5:$AH$2004,_xlfn.MAXIFS('Saisie'!$AS$5:$AS$2004,'Saisie'!$C$5:$C$2004,C5,'Saisie'!$AH$5:$AH$2004,"&lt;&gt;")-4),""))</f>
        <v/>
      </c>
      <c r="AF5" s="60">
        <f>IF(C5="","",IFERROR(INDEX('Saisie'!$AI$5:$AI$2004,_xlfn.MAXIFS('Saisie'!$AS$5:$AS$2004,'Saisie'!$C$5:$C$2004,C5,'Saisie'!$AI$5:$AI$2004,"&lt;&gt;")-4),""))</f>
        <v/>
      </c>
      <c r="AG5" s="60">
        <f>IF(C5="","",IFERROR(INDEX('Saisie'!$AJ$5:$AJ$2004,_xlfn.MAXIFS('Saisie'!$AS$5:$AS$2004,'Saisie'!$C$5:$C$2004,C5,'Saisie'!$AJ$5:$AJ$2004,"&lt;&gt;")-4),""))</f>
        <v/>
      </c>
      <c r="AH5" s="60">
        <f>IF(C5="","",IFERROR(INDEX('Saisie'!$AK$5:$AK$2004,_xlfn.MAXIFS('Saisie'!$AS$5:$AS$2004,'Saisie'!$C$5:$C$2004,C5,'Saisie'!$AK$5:$AK$2004,"&lt;&gt;")-4),""))</f>
        <v/>
      </c>
      <c r="AI5" s="60">
        <f>IF(C5="","",IFERROR(INDEX('Saisie'!$AN$5:$AN$2004,_xlfn.MAXIFS('Saisie'!$AS$5:$AS$2004,'Saisie'!$C$5:$C$2004,C5,'Saisie'!$AN$5:$AN$2004,"&lt;&gt;")-4),""))</f>
        <v/>
      </c>
      <c r="AJ5" s="60">
        <f>IF(C5="","",IFERROR(INDEX('Saisie'!$AO$5:$AO$2004,_xlfn.MAXIFS('Saisie'!$AS$5:$AS$2004,'Saisie'!$C$5:$C$2004,C5,'Saisie'!$AO$5:$AO$2004,"&lt;&gt;")-4),""))</f>
        <v/>
      </c>
      <c r="AK5" s="60">
        <f>IF(C5="","",IFERROR(INDEX('Saisie'!$AP$5:$AP$2004,_xlfn.MAXIFS('Saisie'!$AS$5:$AS$2004,'Saisie'!$C$5:$C$2004,C5,'Saisie'!$AP$5:$AP$2004,"&lt;&gt;")-4),""))</f>
        <v/>
      </c>
      <c r="AL5" s="60">
        <f>IF(C5="","",IFERROR(INDEX('Saisie'!$AQ$5:$AQ$2004,_xlfn.MAXIFS('Saisie'!$AS$5:$AS$2004,'Saisie'!$C$5:$C$2004,C5,'Saisie'!$AQ$5:$AQ$2004,"&lt;&gt;")-4),""))</f>
        <v/>
      </c>
      <c r="AM5" s="60">
        <f>IF(C5="","",((AI5="Oui")+(AJ5="Oui")+(AK5="Oui")+OR(AL5="Immédiat",AL5="&lt; 1 mois"))&amp;"/4")</f>
        <v/>
      </c>
      <c r="AN5" s="60">
        <f>IF(C5="","",IFERROR(INDEX('Saisie'!$AL$5:$AL$2004,_xlfn.MAXIFS('Saisie'!$AS$5:$AS$2004,'Saisie'!$C$5:$C$2004,C5,'Saisie'!$AL$5:$AL$2004,"&lt;&gt;")-4),""))</f>
        <v/>
      </c>
      <c r="AO5" s="62">
        <f>IF(C5="","",IF(IFERROR(INDEX('Saisie'!$AM$5:$AM$2004,_xlfn.MAXIFS('Saisie'!$AS$5:$AS$2004,'Saisie'!$C$5:$C$2004,C5,'Saisie'!$AM$5:$AM$2004,"&lt;&gt;")-4),"")&lt;&gt;"",IFERROR(INDEX('Saisie'!$AM$5:$AM$2004,_xlfn.MAXIFS('Saisie'!$AS$5:$AS$2004,'Saisie'!$C$5:$C$2004,C5,'Saisie'!$AM$5:$AM$2004,"&lt;&gt;")-4),""),IFERROR(INDEX('Paramètres'!$S$6:$S$15,MATCH(AN5,'Paramètres'!$Q$6:$Q$15,0)),"")))</f>
        <v/>
      </c>
      <c r="AP5" s="62">
        <f>IF(C5="","",IFERROR(INDEX('Saisie'!$AW$5:$AW$2004,_xlfn.MAXIFS('Saisie'!$AS$5:$AS$2004,'Saisie'!$C$5:$C$2004,C5,'Saisie'!$E$5:$E$2004,"Proposition envoyée")-4),""))</f>
        <v/>
      </c>
      <c r="AQ5" s="106">
        <f>IF(C5="","",IFERROR(1/(1/_xlfn.MAXIFS('Saisie'!$A$5:$A$2004,'Saisie'!$C$5:$C$2004,C5,'Saisie'!$E$5:$E$2004,"Proposition envoyée")),""))</f>
        <v/>
      </c>
      <c r="AR5" s="106">
        <f>IF(C5="","",IF(AQ5="","",AQ5+'Paramètres'!$B$26))</f>
        <v/>
      </c>
      <c r="AS5" s="62">
        <f>IF(OR(C5="",D5="Gagné",D5="Perdu"),0,N(AP5)*IFERROR(INDEX('Paramètres'!$G$6:$G$13,MATCH(D5,'Paramètres'!$F$6:$F$13,0)),0))</f>
        <v/>
      </c>
      <c r="AT5" s="106">
        <f>IF(C5="","",IFERROR(1/(1/_xlfn.MINIFS('Saisie'!$A$5:$A$2004,'Saisie'!$C$5:$C$2004,C5,'Saisie'!$E$5:$E$2004,"Signature")),""))</f>
        <v/>
      </c>
      <c r="AU5" s="60">
        <f>IF(C5="","",IF(OR(AT5="",B5=""),"",AT5-B5))</f>
        <v/>
      </c>
      <c r="AV5" s="60">
        <f>IF(C5="","",IFERROR(INDEX('Saisie'!$L$5:$L$2004,_xlfn.MAXIFS('Saisie'!$AS$5:$AS$2004,'Saisie'!$C$5:$C$2004,C5,'Saisie'!$L$5:$L$2004,"&lt;&gt;")-4),""))</f>
        <v/>
      </c>
      <c r="AW5" s="106">
        <f>IF(C5="","",IF(D5&lt;&gt;"Perdu","",IFERROR(1/(1/_xlfn.MAXIFS('Saisie'!$A$5:$A$2004,'Saisie'!$C$5:$C$2004,C5,'Saisie'!$E$5:$E$2004,"Perdu")),"")))</f>
        <v/>
      </c>
      <c r="AX5" s="106">
        <f>IF(C5="","",IF(AW5="","",AW5+'Paramètres'!$B$28))</f>
        <v/>
      </c>
      <c r="AY5" s="60">
        <f>IF(C5="","",SUMIFS('Saisie'!$H$5:$H$2004,'Saisie'!$C$5:$C$2004,C5))</f>
        <v/>
      </c>
      <c r="AZ5" s="60">
        <f>IF(C5="","",IFERROR(INDEX('Paramètres'!$W$6:$W$20,MATCH(S5,'Paramètres'!$V$6:$V$20,0))&amp;"",""))</f>
        <v/>
      </c>
      <c r="BA5" s="60">
        <f>IF(C5="","",MAX(1,_xlfn.MAXIFS('Saisie'!$AT$5:$AT$2004,'Saisie'!$C$5:$C$2004,C5)))</f>
        <v/>
      </c>
      <c r="BB5" s="60">
        <f>IF(C5="","",IFERROR(INDEX('Saisie'!$X$5:$X$2004,_xlfn.MAXIFS('Saisie'!$AS$5:$AS$2004,'Saisie'!$C$5:$C$2004,C5,'Saisie'!$X$5:$X$2004,"&lt;&gt;")-4),""))</f>
        <v/>
      </c>
      <c r="BC5" s="60">
        <f>IF(C5="","",IFERROR(INDEX('Saisie'!$Y$5:$Y$2004,_xlfn.MAXIFS('Saisie'!$AS$5:$AS$2004,'Saisie'!$C$5:$C$2004,C5,'Saisie'!$Y$5:$Y$2004,"&lt;&gt;")-4),""))</f>
        <v/>
      </c>
      <c r="BD5" s="106">
        <f>IF(C5="","",IFERROR(1/(1/_xlfn.MINIFS('Saisie'!$A$5:$A$2004,'Saisie'!$C$5:$C$2004,C5,'Saisie'!$AT$5:$AT$2004,"&gt;=2")),""))</f>
        <v/>
      </c>
      <c r="BE5" s="106">
        <f>IF(C5="","",IFERROR(1/(1/_xlfn.MINIFS('Saisie'!$A$5:$A$2004,'Saisie'!$C$5:$C$2004,C5,'Saisie'!$AT$5:$AT$2004,"&gt;=3")),""))</f>
        <v/>
      </c>
      <c r="BF5" s="106">
        <f>IF(C5="","",IFERROR(1/(1/_xlfn.MINIFS('Saisie'!$A$5:$A$2004,'Saisie'!$C$5:$C$2004,C5,'Saisie'!$AT$5:$AT$2004,"&gt;=4")),""))</f>
        <v/>
      </c>
      <c r="BG5" s="106">
        <f>IF(C5="","",IFERROR(1/(1/_xlfn.MINIFS('Saisie'!$A$5:$A$2004,'Saisie'!$C$5:$C$2004,C5,'Saisie'!$AT$5:$AT$2004,"&gt;=5")),""))</f>
        <v/>
      </c>
      <c r="BH5" s="106">
        <f>IF(C5="","",IFERROR(1/(1/_xlfn.MINIFS('Saisie'!$A$5:$A$2004,'Saisie'!$C$5:$C$2004,C5,'Saisie'!$AT$5:$AT$2004,"&gt;=6")),""))</f>
        <v/>
      </c>
      <c r="BI5" s="106">
        <f>IF(C5="","",IFERROR(1/(1/_xlfn.MINIFS('Saisie'!$A$5:$A$2004,'Saisie'!$C$5:$C$2004,C5,'Saisie'!$AT$5:$AT$2004,"&gt;=7")),""))</f>
        <v/>
      </c>
      <c r="BJ5" s="60">
        <f>IF(OR(BD5="",B5=""),"",BD5-B5)</f>
        <v/>
      </c>
      <c r="BK5" s="60">
        <f>IF(OR(BE5="",BD5=""),"",BE5-BD5)</f>
        <v/>
      </c>
      <c r="BL5" s="60">
        <f>IF(OR(BF5="",BE5=""),"",BF5-BE5)</f>
        <v/>
      </c>
      <c r="BM5" s="60">
        <f>IF(OR(BG5="",BF5=""),"",BG5-BF5)</f>
        <v/>
      </c>
      <c r="BN5" s="60">
        <f>IF(OR(BH5="",BG5=""),"",BH5-BG5)</f>
        <v/>
      </c>
      <c r="BO5" s="60">
        <f>IF(OR(BI5="",BH5=""),"",BI5-BH5)</f>
        <v/>
      </c>
      <c r="BP5" s="60">
        <f>IF(C5="","",_xlfn.MAXIFS('Saisie'!$AS$5:$AS$2004,'Saisie'!$C$5:$C$2004,C5,'Saisie'!$J$5:$J$2004,"&lt;&gt;"))</f>
        <v/>
      </c>
      <c r="BQ5" s="60">
        <f>IF(C5="","",_xlfn.MAXIFS('Saisie'!$AS$5:$AS$2004,'Saisie'!$C$5:$C$2004,C5))</f>
        <v/>
      </c>
      <c r="BR5" s="60">
        <f>IF(C5="","",_xlfn.MAXIFS('Saisie'!$AS$5:$AS$2004,'Saisie'!$C$5:$C$2004,C5,'Saisie'!$E$5:$E$2004,"Perdu"))</f>
        <v/>
      </c>
      <c r="BS5" s="60">
        <f>IF(C5="","",_xlfn.MAXIFS('Saisie'!$AS$5:$AS$2004,'Saisie'!$C$5:$C$2004,C5,'Saisie'!$AT$5:$AT$2004,"&gt;0"))</f>
        <v/>
      </c>
      <c r="BT5" s="109">
        <f>IF(AND(C5&lt;&gt;"",OR(D5="Nouveau",D5="Contacté",D5="Qualifié"),OR(G5="",N(G5)&lt;=TODAY()),NOT(AND(O5&gt;='Paramètres'!$B$21,P5=0))),E5+1/10000,"")</f>
        <v/>
      </c>
      <c r="BU5" s="60">
        <f>IF(AND(G5&lt;&gt;"",N(G5)&lt;=TODAY()),MAX($BU$4:BU4)+1,"")</f>
        <v/>
      </c>
      <c r="BV5" s="60">
        <f>IF(AND(F5&lt;&gt;"",F5&lt;&gt;"Relance en retard"),MAX($BV$4:BV4)+1,"")</f>
        <v/>
      </c>
      <c r="BW5" s="60">
        <f>IF(C5="","",IF(AND(B5&gt;='Tableau de bord'!$R$4,B5&lt;='Tableau de bord'!$S$4,OR('Tableau de bord'!$G$4="Tous",N5='Tableau de bord'!$G$4)),1,0))</f>
        <v/>
      </c>
      <c r="BX5" s="60">
        <f>IF(AND(C5&lt;&gt;"",N(BA5)=7),MAX($BX$4:BX4)+1,"")</f>
        <v/>
      </c>
    </row>
    <row r="6">
      <c r="A6" s="60">
        <f>IF(C6="","","P-"&amp;TEXT(2,"000"))</f>
        <v/>
      </c>
      <c r="B6" s="106">
        <f>IF(C6="","",IFERROR(1/(1/_xlfn.MINIFS('Saisie'!$A$5:$A$2004,'Saisie'!$C$5:$C$2004,C6)),""))</f>
        <v/>
      </c>
      <c r="C6" s="60">
        <f>IFERROR(INDEX('Saisie'!$C$5:$C$2004,MATCH(2,'Saisie'!$AX$5:$AX$2004,0)),"")</f>
        <v/>
      </c>
      <c r="D6" s="60">
        <f>IF(C6="","",IF(AND(BR6&gt;0,BR6&gt;BS6,BA6&lt;7),"Perdu",INDEX('Paramètres'!$F$6:$F$13,BA6)))</f>
        <v/>
      </c>
      <c r="E6" s="61">
        <f>IF(C6="","",MIN(100,(Z6="Oui")*'Paramètres'!$B$38+(AB6="Régulière")*'Paramètres'!$B$39+IF(AND(N(AA6)&gt;0,TODAY()-N(AA6)&lt;=30),'Paramètres'!$B$40,0)+(W6="")*'Paramètres'!$B$41+(AC6="Absente")*'Paramètres'!$B$42+(AC6="Faible")*'Paramètres'!$B$43+IF(AND(N(AD6)&gt;0,N(AD6)&lt;4),'Paramètres'!$B$44,0)+(AF6="Moyenne")*'Paramètres'!$B$45+(AF6="Grande")*'Paramètres'!$B$46+(Y6&lt;&gt;"")*'Paramètres'!$B$47))</f>
        <v/>
      </c>
      <c r="F6" s="60">
        <f>IF(C6="","",IF(D6="Gagné","",IF(D6="Perdu",IF(AND(AX6&lt;&gt;"",AX6&lt;=TODAY()),"À recontacter (perdu)",""),IF(AND(O6&gt;='Paramètres'!$B$21,P6=0),"Stop : "&amp;'Paramètres'!$B$21&amp;" tentatives sans réponse",IF(AND(D6="Proposition",AR6&lt;&gt;"",TODAY()&gt;N(AR6)),"Proposition expirée",IF(AND(D6="Proposition",N(R6)&gt;='Paramètres'!$B$25),"Proposition sans réponse",IF(AND(G6&lt;&gt;"",N(G6)&lt;TODAY()),"Relance en retard",IF(N(R6)&gt;='Paramètres'!$B$24,"Sans action depuis "&amp;R6&amp;" j",""))))))))</f>
        <v/>
      </c>
      <c r="G6" s="106">
        <f>IF(OR(C6="",D6="Gagné",D6="Perdu"),"",IF(AND(BP6&gt;0,BP6=BQ6),INDEX('Saisie'!$J$5:$J$2004,BP6-4),IF(OR(O6=0,AND(O6&gt;='Paramètres'!$B$21,P6=0)),"",Q6+IF(O6&lt;=1,'Paramètres'!$B$18,IF(O6=2,'Paramètres'!$B$19,'Paramètres'!$B$20)))))</f>
        <v/>
      </c>
      <c r="H6" s="107">
        <f>IF(OR(G6="",BP6&lt;&gt;BQ6),"",IF(INDEX('Saisie'!$K$5:$K$2004,BP6-4)="","",INDEX('Saisie'!$K$5:$K$2004,BP6-4)))</f>
        <v/>
      </c>
      <c r="I6" s="60">
        <f>IF(C6="","",IF(OR(D6="Gagné",D6="Perdu"),"",IFERROR(INDEX('Saisie'!$I$5:$I$2004,_xlfn.MAXIFS('Saisie'!$AS$5:$AS$2004,'Saisie'!$C$5:$C$2004,C6,'Saisie'!$I$5:$I$2004,"&lt;&gt;")-4),"")))</f>
        <v/>
      </c>
      <c r="J6" s="60">
        <f>IF(C6="","",IFERROR(INDEX('Saisie'!$U$5:$U$2004,_xlfn.MAXIFS('Saisie'!$AS$5:$AS$2004,'Saisie'!$C$5:$C$2004,C6,'Saisie'!$U$5:$U$2004,"&lt;&gt;")-4),""))</f>
        <v/>
      </c>
      <c r="K6" s="60">
        <f>IF(C6="","",IFERROR(INDEX('Saisie'!$W$5:$W$2004,_xlfn.MAXIFS('Saisie'!$AS$5:$AS$2004,'Saisie'!$C$5:$C$2004,C6,'Saisie'!$W$5:$W$2004,"&lt;&gt;")-4),""))</f>
        <v/>
      </c>
      <c r="L6" s="60">
        <f>IF(IF(BB6&lt;&gt;"",BB6,K6)="","",HYPERLINK("https://wa.me/"&amp;IF(LEFT(SUBSTITUTE(SUBSTITUTE(SUBSTITUTE(IF(BB6&lt;&gt;"",BB6,K6)," ",""),".",""),"+",""),1)="0",'Paramètres'!$B$35&amp;MID(SUBSTITUTE(SUBSTITUTE(SUBSTITUTE(IF(BB6&lt;&gt;"",BB6,K6)," ",""),".",""),"+",""),2,20),SUBSTITUTE(SUBSTITUTE(SUBSTITUTE(IF(BB6&lt;&gt;"",BB6,K6)," ",""),".",""),"+","")),"WhatsApp"))</f>
        <v/>
      </c>
      <c r="M6" s="60">
        <f>IF(BC6="","",HYPERLINK(IF(LEFT(BC6,4)="http",BC6,"https://www.instagram.com/"&amp;SUBSTITUTE(SUBSTITUTE(BC6,"@","")," ","")),BC6))</f>
        <v/>
      </c>
      <c r="N6" s="60">
        <f>IF(C6="","",IFERROR(INDEX('Saisie'!$D$5:$D$2004,_xlfn.MINIFS('Saisie'!$AS$5:$AS$2004,'Saisie'!$C$5:$C$2004,C6,'Saisie'!$AU$5:$AU$2004,1)-4),IFERROR(INDEX('Saisie'!$D$5:$D$2004,_xlfn.MINIFS('Saisie'!$AS$5:$AS$2004,'Saisie'!$C$5:$C$2004,C6,'Saisie'!$D$5:$D$2004,"&lt;&gt;")-4),"")))</f>
        <v/>
      </c>
      <c r="O6" s="60">
        <f>IF(C6="","",COUNTIFS('Saisie'!$C$5:$C$2004,C6,'Saisie'!$AU$5:$AU$2004,1))</f>
        <v/>
      </c>
      <c r="P6" s="60">
        <f>IF(C6="","",COUNTIFS('Saisie'!$C$5:$C$2004,C6,'Saisie'!$AV$5:$AV$2004,1))</f>
        <v/>
      </c>
      <c r="Q6" s="106">
        <f>IF(C6="","",IFERROR(1/(1/_xlfn.MAXIFS('Saisie'!$A$5:$A$2004,'Saisie'!$C$5:$C$2004,C6)),""))</f>
        <v/>
      </c>
      <c r="R6" s="61">
        <f>IF(C6="","",IF(Q6="","",TODAY()-Q6))</f>
        <v/>
      </c>
      <c r="S6" s="60">
        <f>IF(C6="","",IFERROR(INDEX('Saisie'!$R$5:$R$2004,_xlfn.MAXIFS('Saisie'!$AS$5:$AS$2004,'Saisie'!$C$5:$C$2004,C6,'Saisie'!$R$5:$R$2004,"&lt;&gt;")-4),""))</f>
        <v/>
      </c>
      <c r="T6" s="60">
        <f>IF(C6="","",IFERROR(INDEX('Saisie'!$S$5:$S$2004,_xlfn.MAXIFS('Saisie'!$AS$5:$AS$2004,'Saisie'!$C$5:$C$2004,C6,'Saisie'!$S$5:$S$2004,"&lt;&gt;")-4),""))</f>
        <v/>
      </c>
      <c r="U6" s="60">
        <f>IF(C6="","",IFERROR(INDEX('Saisie'!$T$5:$T$2004,_xlfn.MAXIFS('Saisie'!$AS$5:$AS$2004,'Saisie'!$C$5:$C$2004,C6,'Saisie'!$T$5:$T$2004,"&lt;&gt;")-4),""))</f>
        <v/>
      </c>
      <c r="V6" s="60">
        <f>IF(C6="","",IFERROR(INDEX('Saisie'!$V$5:$V$2004,_xlfn.MAXIFS('Saisie'!$AS$5:$AS$2004,'Saisie'!$C$5:$C$2004,C6,'Saisie'!$V$5:$V$2004,"&lt;&gt;")-4),""))</f>
        <v/>
      </c>
      <c r="W6" s="60">
        <f>IF(C6="","",IFERROR(INDEX('Saisie'!$Z$5:$Z$2004,_xlfn.MAXIFS('Saisie'!$AS$5:$AS$2004,'Saisie'!$C$5:$C$2004,C6,'Saisie'!$Z$5:$Z$2004,"&lt;&gt;")-4),""))</f>
        <v/>
      </c>
      <c r="X6" s="60">
        <f>IF(C6="","",IFERROR(INDEX('Saisie'!$AA$5:$AA$2004,_xlfn.MAXIFS('Saisie'!$AS$5:$AS$2004,'Saisie'!$C$5:$C$2004,C6,'Saisie'!$AA$5:$AA$2004,"&lt;&gt;")-4),""))</f>
        <v/>
      </c>
      <c r="Y6" s="60">
        <f>IF(C6="","",IFERROR(INDEX('Saisie'!$AB$5:$AB$2004,_xlfn.MAXIFS('Saisie'!$AS$5:$AS$2004,'Saisie'!$C$5:$C$2004,C6,'Saisie'!$AB$5:$AB$2004,"&lt;&gt;")-4),""))</f>
        <v/>
      </c>
      <c r="Z6" s="60">
        <f>IF(C6="","",IFERROR(INDEX('Saisie'!$AC$5:$AC$2004,_xlfn.MAXIFS('Saisie'!$AS$5:$AS$2004,'Saisie'!$C$5:$C$2004,C6,'Saisie'!$AC$5:$AC$2004,"&lt;&gt;")-4),""))</f>
        <v/>
      </c>
      <c r="AA6" s="106">
        <f>IF(C6="","",IFERROR(INDEX('Saisie'!$AD$5:$AD$2004,_xlfn.MAXIFS('Saisie'!$AS$5:$AS$2004,'Saisie'!$C$5:$C$2004,C6,'Saisie'!$AD$5:$AD$2004,"&lt;&gt;")-4),""))</f>
        <v/>
      </c>
      <c r="AB6" s="60">
        <f>IF(C6="","",IFERROR(INDEX('Saisie'!$AE$5:$AE$2004,_xlfn.MAXIFS('Saisie'!$AS$5:$AS$2004,'Saisie'!$C$5:$C$2004,C6,'Saisie'!$AE$5:$AE$2004,"&lt;&gt;")-4),""))</f>
        <v/>
      </c>
      <c r="AC6" s="60">
        <f>IF(C6="","",IFERROR(INDEX('Saisie'!$AF$5:$AF$2004,_xlfn.MAXIFS('Saisie'!$AS$5:$AS$2004,'Saisie'!$C$5:$C$2004,C6,'Saisie'!$AF$5:$AF$2004,"&lt;&gt;")-4),""))</f>
        <v/>
      </c>
      <c r="AD6" s="108">
        <f>IF(C6="","",IFERROR(INDEX('Saisie'!$AG$5:$AG$2004,_xlfn.MAXIFS('Saisie'!$AS$5:$AS$2004,'Saisie'!$C$5:$C$2004,C6,'Saisie'!$AG$5:$AG$2004,"&lt;&gt;")-4),""))</f>
        <v/>
      </c>
      <c r="AE6" s="60">
        <f>IF(C6="","",IFERROR(INDEX('Saisie'!$AH$5:$AH$2004,_xlfn.MAXIFS('Saisie'!$AS$5:$AS$2004,'Saisie'!$C$5:$C$2004,C6,'Saisie'!$AH$5:$AH$2004,"&lt;&gt;")-4),""))</f>
        <v/>
      </c>
      <c r="AF6" s="60">
        <f>IF(C6="","",IFERROR(INDEX('Saisie'!$AI$5:$AI$2004,_xlfn.MAXIFS('Saisie'!$AS$5:$AS$2004,'Saisie'!$C$5:$C$2004,C6,'Saisie'!$AI$5:$AI$2004,"&lt;&gt;")-4),""))</f>
        <v/>
      </c>
      <c r="AG6" s="60">
        <f>IF(C6="","",IFERROR(INDEX('Saisie'!$AJ$5:$AJ$2004,_xlfn.MAXIFS('Saisie'!$AS$5:$AS$2004,'Saisie'!$C$5:$C$2004,C6,'Saisie'!$AJ$5:$AJ$2004,"&lt;&gt;")-4),""))</f>
        <v/>
      </c>
      <c r="AH6" s="60">
        <f>IF(C6="","",IFERROR(INDEX('Saisie'!$AK$5:$AK$2004,_xlfn.MAXIFS('Saisie'!$AS$5:$AS$2004,'Saisie'!$C$5:$C$2004,C6,'Saisie'!$AK$5:$AK$2004,"&lt;&gt;")-4),""))</f>
        <v/>
      </c>
      <c r="AI6" s="60">
        <f>IF(C6="","",IFERROR(INDEX('Saisie'!$AN$5:$AN$2004,_xlfn.MAXIFS('Saisie'!$AS$5:$AS$2004,'Saisie'!$C$5:$C$2004,C6,'Saisie'!$AN$5:$AN$2004,"&lt;&gt;")-4),""))</f>
        <v/>
      </c>
      <c r="AJ6" s="60">
        <f>IF(C6="","",IFERROR(INDEX('Saisie'!$AO$5:$AO$2004,_xlfn.MAXIFS('Saisie'!$AS$5:$AS$2004,'Saisie'!$C$5:$C$2004,C6,'Saisie'!$AO$5:$AO$2004,"&lt;&gt;")-4),""))</f>
        <v/>
      </c>
      <c r="AK6" s="60">
        <f>IF(C6="","",IFERROR(INDEX('Saisie'!$AP$5:$AP$2004,_xlfn.MAXIFS('Saisie'!$AS$5:$AS$2004,'Saisie'!$C$5:$C$2004,C6,'Saisie'!$AP$5:$AP$2004,"&lt;&gt;")-4),""))</f>
        <v/>
      </c>
      <c r="AL6" s="60">
        <f>IF(C6="","",IFERROR(INDEX('Saisie'!$AQ$5:$AQ$2004,_xlfn.MAXIFS('Saisie'!$AS$5:$AS$2004,'Saisie'!$C$5:$C$2004,C6,'Saisie'!$AQ$5:$AQ$2004,"&lt;&gt;")-4),""))</f>
        <v/>
      </c>
      <c r="AM6" s="60">
        <f>IF(C6="","",((AI6="Oui")+(AJ6="Oui")+(AK6="Oui")+OR(AL6="Immédiat",AL6="&lt; 1 mois"))&amp;"/4")</f>
        <v/>
      </c>
      <c r="AN6" s="60">
        <f>IF(C6="","",IFERROR(INDEX('Saisie'!$AL$5:$AL$2004,_xlfn.MAXIFS('Saisie'!$AS$5:$AS$2004,'Saisie'!$C$5:$C$2004,C6,'Saisie'!$AL$5:$AL$2004,"&lt;&gt;")-4),""))</f>
        <v/>
      </c>
      <c r="AO6" s="62">
        <f>IF(C6="","",IF(IFERROR(INDEX('Saisie'!$AM$5:$AM$2004,_xlfn.MAXIFS('Saisie'!$AS$5:$AS$2004,'Saisie'!$C$5:$C$2004,C6,'Saisie'!$AM$5:$AM$2004,"&lt;&gt;")-4),"")&lt;&gt;"",IFERROR(INDEX('Saisie'!$AM$5:$AM$2004,_xlfn.MAXIFS('Saisie'!$AS$5:$AS$2004,'Saisie'!$C$5:$C$2004,C6,'Saisie'!$AM$5:$AM$2004,"&lt;&gt;")-4),""),IFERROR(INDEX('Paramètres'!$S$6:$S$15,MATCH(AN6,'Paramètres'!$Q$6:$Q$15,0)),"")))</f>
        <v/>
      </c>
      <c r="AP6" s="62">
        <f>IF(C6="","",IFERROR(INDEX('Saisie'!$AW$5:$AW$2004,_xlfn.MAXIFS('Saisie'!$AS$5:$AS$2004,'Saisie'!$C$5:$C$2004,C6,'Saisie'!$E$5:$E$2004,"Proposition envoyée")-4),""))</f>
        <v/>
      </c>
      <c r="AQ6" s="106">
        <f>IF(C6="","",IFERROR(1/(1/_xlfn.MAXIFS('Saisie'!$A$5:$A$2004,'Saisie'!$C$5:$C$2004,C6,'Saisie'!$E$5:$E$2004,"Proposition envoyée")),""))</f>
        <v/>
      </c>
      <c r="AR6" s="106">
        <f>IF(C6="","",IF(AQ6="","",AQ6+'Paramètres'!$B$26))</f>
        <v/>
      </c>
      <c r="AS6" s="62">
        <f>IF(OR(C6="",D6="Gagné",D6="Perdu"),0,N(AP6)*IFERROR(INDEX('Paramètres'!$G$6:$G$13,MATCH(D6,'Paramètres'!$F$6:$F$13,0)),0))</f>
        <v/>
      </c>
      <c r="AT6" s="106">
        <f>IF(C6="","",IFERROR(1/(1/_xlfn.MINIFS('Saisie'!$A$5:$A$2004,'Saisie'!$C$5:$C$2004,C6,'Saisie'!$E$5:$E$2004,"Signature")),""))</f>
        <v/>
      </c>
      <c r="AU6" s="60">
        <f>IF(C6="","",IF(OR(AT6="",B6=""),"",AT6-B6))</f>
        <v/>
      </c>
      <c r="AV6" s="60">
        <f>IF(C6="","",IFERROR(INDEX('Saisie'!$L$5:$L$2004,_xlfn.MAXIFS('Saisie'!$AS$5:$AS$2004,'Saisie'!$C$5:$C$2004,C6,'Saisie'!$L$5:$L$2004,"&lt;&gt;")-4),""))</f>
        <v/>
      </c>
      <c r="AW6" s="106">
        <f>IF(C6="","",IF(D6&lt;&gt;"Perdu","",IFERROR(1/(1/_xlfn.MAXIFS('Saisie'!$A$5:$A$2004,'Saisie'!$C$5:$C$2004,C6,'Saisie'!$E$5:$E$2004,"Perdu")),"")))</f>
        <v/>
      </c>
      <c r="AX6" s="106">
        <f>IF(C6="","",IF(AW6="","",AW6+'Paramètres'!$B$28))</f>
        <v/>
      </c>
      <c r="AY6" s="60">
        <f>IF(C6="","",SUMIFS('Saisie'!$H$5:$H$2004,'Saisie'!$C$5:$C$2004,C6))</f>
        <v/>
      </c>
      <c r="AZ6" s="60">
        <f>IF(C6="","",IFERROR(INDEX('Paramètres'!$W$6:$W$20,MATCH(S6,'Paramètres'!$V$6:$V$20,0))&amp;"",""))</f>
        <v/>
      </c>
      <c r="BA6" s="60">
        <f>IF(C6="","",MAX(1,_xlfn.MAXIFS('Saisie'!$AT$5:$AT$2004,'Saisie'!$C$5:$C$2004,C6)))</f>
        <v/>
      </c>
      <c r="BB6" s="60">
        <f>IF(C6="","",IFERROR(INDEX('Saisie'!$X$5:$X$2004,_xlfn.MAXIFS('Saisie'!$AS$5:$AS$2004,'Saisie'!$C$5:$C$2004,C6,'Saisie'!$X$5:$X$2004,"&lt;&gt;")-4),""))</f>
        <v/>
      </c>
      <c r="BC6" s="60">
        <f>IF(C6="","",IFERROR(INDEX('Saisie'!$Y$5:$Y$2004,_xlfn.MAXIFS('Saisie'!$AS$5:$AS$2004,'Saisie'!$C$5:$C$2004,C6,'Saisie'!$Y$5:$Y$2004,"&lt;&gt;")-4),""))</f>
        <v/>
      </c>
      <c r="BD6" s="106">
        <f>IF(C6="","",IFERROR(1/(1/_xlfn.MINIFS('Saisie'!$A$5:$A$2004,'Saisie'!$C$5:$C$2004,C6,'Saisie'!$AT$5:$AT$2004,"&gt;=2")),""))</f>
        <v/>
      </c>
      <c r="BE6" s="106">
        <f>IF(C6="","",IFERROR(1/(1/_xlfn.MINIFS('Saisie'!$A$5:$A$2004,'Saisie'!$C$5:$C$2004,C6,'Saisie'!$AT$5:$AT$2004,"&gt;=3")),""))</f>
        <v/>
      </c>
      <c r="BF6" s="106">
        <f>IF(C6="","",IFERROR(1/(1/_xlfn.MINIFS('Saisie'!$A$5:$A$2004,'Saisie'!$C$5:$C$2004,C6,'Saisie'!$AT$5:$AT$2004,"&gt;=4")),""))</f>
        <v/>
      </c>
      <c r="BG6" s="106">
        <f>IF(C6="","",IFERROR(1/(1/_xlfn.MINIFS('Saisie'!$A$5:$A$2004,'Saisie'!$C$5:$C$2004,C6,'Saisie'!$AT$5:$AT$2004,"&gt;=5")),""))</f>
        <v/>
      </c>
      <c r="BH6" s="106">
        <f>IF(C6="","",IFERROR(1/(1/_xlfn.MINIFS('Saisie'!$A$5:$A$2004,'Saisie'!$C$5:$C$2004,C6,'Saisie'!$AT$5:$AT$2004,"&gt;=6")),""))</f>
        <v/>
      </c>
      <c r="BI6" s="106">
        <f>IF(C6="","",IFERROR(1/(1/_xlfn.MINIFS('Saisie'!$A$5:$A$2004,'Saisie'!$C$5:$C$2004,C6,'Saisie'!$AT$5:$AT$2004,"&gt;=7")),""))</f>
        <v/>
      </c>
      <c r="BJ6" s="60">
        <f>IF(OR(BD6="",B6=""),"",BD6-B6)</f>
        <v/>
      </c>
      <c r="BK6" s="60">
        <f>IF(OR(BE6="",BD6=""),"",BE6-BD6)</f>
        <v/>
      </c>
      <c r="BL6" s="60">
        <f>IF(OR(BF6="",BE6=""),"",BF6-BE6)</f>
        <v/>
      </c>
      <c r="BM6" s="60">
        <f>IF(OR(BG6="",BF6=""),"",BG6-BF6)</f>
        <v/>
      </c>
      <c r="BN6" s="60">
        <f>IF(OR(BH6="",BG6=""),"",BH6-BG6)</f>
        <v/>
      </c>
      <c r="BO6" s="60">
        <f>IF(OR(BI6="",BH6=""),"",BI6-BH6)</f>
        <v/>
      </c>
      <c r="BP6" s="60">
        <f>IF(C6="","",_xlfn.MAXIFS('Saisie'!$AS$5:$AS$2004,'Saisie'!$C$5:$C$2004,C6,'Saisie'!$J$5:$J$2004,"&lt;&gt;"))</f>
        <v/>
      </c>
      <c r="BQ6" s="60">
        <f>IF(C6="","",_xlfn.MAXIFS('Saisie'!$AS$5:$AS$2004,'Saisie'!$C$5:$C$2004,C6))</f>
        <v/>
      </c>
      <c r="BR6" s="60">
        <f>IF(C6="","",_xlfn.MAXIFS('Saisie'!$AS$5:$AS$2004,'Saisie'!$C$5:$C$2004,C6,'Saisie'!$E$5:$E$2004,"Perdu"))</f>
        <v/>
      </c>
      <c r="BS6" s="60">
        <f>IF(C6="","",_xlfn.MAXIFS('Saisie'!$AS$5:$AS$2004,'Saisie'!$C$5:$C$2004,C6,'Saisie'!$AT$5:$AT$2004,"&gt;0"))</f>
        <v/>
      </c>
      <c r="BT6" s="109">
        <f>IF(AND(C6&lt;&gt;"",OR(D6="Nouveau",D6="Contacté",D6="Qualifié"),OR(G6="",N(G6)&lt;=TODAY()),NOT(AND(O6&gt;='Paramètres'!$B$21,P6=0))),E6+2/10000,"")</f>
        <v/>
      </c>
      <c r="BU6" s="60">
        <f>IF(AND(G6&lt;&gt;"",N(G6)&lt;=TODAY()),MAX($BU$4:BU5)+1,"")</f>
        <v/>
      </c>
      <c r="BV6" s="60">
        <f>IF(AND(F6&lt;&gt;"",F6&lt;&gt;"Relance en retard"),MAX($BV$4:BV5)+1,"")</f>
        <v/>
      </c>
      <c r="BW6" s="60">
        <f>IF(C6="","",IF(AND(B6&gt;='Tableau de bord'!$R$4,B6&lt;='Tableau de bord'!$S$4,OR('Tableau de bord'!$G$4="Tous",N6='Tableau de bord'!$G$4)),1,0))</f>
        <v/>
      </c>
      <c r="BX6" s="60">
        <f>IF(AND(C6&lt;&gt;"",N(BA6)=7),MAX($BX$4:BX5)+1,"")</f>
        <v/>
      </c>
    </row>
    <row r="7">
      <c r="A7" s="60">
        <f>IF(C7="","","P-"&amp;TEXT(3,"000"))</f>
        <v/>
      </c>
      <c r="B7" s="106">
        <f>IF(C7="","",IFERROR(1/(1/_xlfn.MINIFS('Saisie'!$A$5:$A$2004,'Saisie'!$C$5:$C$2004,C7)),""))</f>
        <v/>
      </c>
      <c r="C7" s="60">
        <f>IFERROR(INDEX('Saisie'!$C$5:$C$2004,MATCH(3,'Saisie'!$AX$5:$AX$2004,0)),"")</f>
        <v/>
      </c>
      <c r="D7" s="60">
        <f>IF(C7="","",IF(AND(BR7&gt;0,BR7&gt;BS7,BA7&lt;7),"Perdu",INDEX('Paramètres'!$F$6:$F$13,BA7)))</f>
        <v/>
      </c>
      <c r="E7" s="61">
        <f>IF(C7="","",MIN(100,(Z7="Oui")*'Paramètres'!$B$38+(AB7="Régulière")*'Paramètres'!$B$39+IF(AND(N(AA7)&gt;0,TODAY()-N(AA7)&lt;=30),'Paramètres'!$B$40,0)+(W7="")*'Paramètres'!$B$41+(AC7="Absente")*'Paramètres'!$B$42+(AC7="Faible")*'Paramètres'!$B$43+IF(AND(N(AD7)&gt;0,N(AD7)&lt;4),'Paramètres'!$B$44,0)+(AF7="Moyenne")*'Paramètres'!$B$45+(AF7="Grande")*'Paramètres'!$B$46+(Y7&lt;&gt;"")*'Paramètres'!$B$47))</f>
        <v/>
      </c>
      <c r="F7" s="60">
        <f>IF(C7="","",IF(D7="Gagné","",IF(D7="Perdu",IF(AND(AX7&lt;&gt;"",AX7&lt;=TODAY()),"À recontacter (perdu)",""),IF(AND(O7&gt;='Paramètres'!$B$21,P7=0),"Stop : "&amp;'Paramètres'!$B$21&amp;" tentatives sans réponse",IF(AND(D7="Proposition",AR7&lt;&gt;"",TODAY()&gt;N(AR7)),"Proposition expirée",IF(AND(D7="Proposition",N(R7)&gt;='Paramètres'!$B$25),"Proposition sans réponse",IF(AND(G7&lt;&gt;"",N(G7)&lt;TODAY()),"Relance en retard",IF(N(R7)&gt;='Paramètres'!$B$24,"Sans action depuis "&amp;R7&amp;" j",""))))))))</f>
        <v/>
      </c>
      <c r="G7" s="106">
        <f>IF(OR(C7="",D7="Gagné",D7="Perdu"),"",IF(AND(BP7&gt;0,BP7=BQ7),INDEX('Saisie'!$J$5:$J$2004,BP7-4),IF(OR(O7=0,AND(O7&gt;='Paramètres'!$B$21,P7=0)),"",Q7+IF(O7&lt;=1,'Paramètres'!$B$18,IF(O7=2,'Paramètres'!$B$19,'Paramètres'!$B$20)))))</f>
        <v/>
      </c>
      <c r="H7" s="107">
        <f>IF(OR(G7="",BP7&lt;&gt;BQ7),"",IF(INDEX('Saisie'!$K$5:$K$2004,BP7-4)="","",INDEX('Saisie'!$K$5:$K$2004,BP7-4)))</f>
        <v/>
      </c>
      <c r="I7" s="60">
        <f>IF(C7="","",IF(OR(D7="Gagné",D7="Perdu"),"",IFERROR(INDEX('Saisie'!$I$5:$I$2004,_xlfn.MAXIFS('Saisie'!$AS$5:$AS$2004,'Saisie'!$C$5:$C$2004,C7,'Saisie'!$I$5:$I$2004,"&lt;&gt;")-4),"")))</f>
        <v/>
      </c>
      <c r="J7" s="60">
        <f>IF(C7="","",IFERROR(INDEX('Saisie'!$U$5:$U$2004,_xlfn.MAXIFS('Saisie'!$AS$5:$AS$2004,'Saisie'!$C$5:$C$2004,C7,'Saisie'!$U$5:$U$2004,"&lt;&gt;")-4),""))</f>
        <v/>
      </c>
      <c r="K7" s="60">
        <f>IF(C7="","",IFERROR(INDEX('Saisie'!$W$5:$W$2004,_xlfn.MAXIFS('Saisie'!$AS$5:$AS$2004,'Saisie'!$C$5:$C$2004,C7,'Saisie'!$W$5:$W$2004,"&lt;&gt;")-4),""))</f>
        <v/>
      </c>
      <c r="L7" s="60">
        <f>IF(IF(BB7&lt;&gt;"",BB7,K7)="","",HYPERLINK("https://wa.me/"&amp;IF(LEFT(SUBSTITUTE(SUBSTITUTE(SUBSTITUTE(IF(BB7&lt;&gt;"",BB7,K7)," ",""),".",""),"+",""),1)="0",'Paramètres'!$B$35&amp;MID(SUBSTITUTE(SUBSTITUTE(SUBSTITUTE(IF(BB7&lt;&gt;"",BB7,K7)," ",""),".",""),"+",""),2,20),SUBSTITUTE(SUBSTITUTE(SUBSTITUTE(IF(BB7&lt;&gt;"",BB7,K7)," ",""),".",""),"+","")),"WhatsApp"))</f>
        <v/>
      </c>
      <c r="M7" s="60">
        <f>IF(BC7="","",HYPERLINK(IF(LEFT(BC7,4)="http",BC7,"https://www.instagram.com/"&amp;SUBSTITUTE(SUBSTITUTE(BC7,"@","")," ","")),BC7))</f>
        <v/>
      </c>
      <c r="N7" s="60">
        <f>IF(C7="","",IFERROR(INDEX('Saisie'!$D$5:$D$2004,_xlfn.MINIFS('Saisie'!$AS$5:$AS$2004,'Saisie'!$C$5:$C$2004,C7,'Saisie'!$AU$5:$AU$2004,1)-4),IFERROR(INDEX('Saisie'!$D$5:$D$2004,_xlfn.MINIFS('Saisie'!$AS$5:$AS$2004,'Saisie'!$C$5:$C$2004,C7,'Saisie'!$D$5:$D$2004,"&lt;&gt;")-4),"")))</f>
        <v/>
      </c>
      <c r="O7" s="60">
        <f>IF(C7="","",COUNTIFS('Saisie'!$C$5:$C$2004,C7,'Saisie'!$AU$5:$AU$2004,1))</f>
        <v/>
      </c>
      <c r="P7" s="60">
        <f>IF(C7="","",COUNTIFS('Saisie'!$C$5:$C$2004,C7,'Saisie'!$AV$5:$AV$2004,1))</f>
        <v/>
      </c>
      <c r="Q7" s="106">
        <f>IF(C7="","",IFERROR(1/(1/_xlfn.MAXIFS('Saisie'!$A$5:$A$2004,'Saisie'!$C$5:$C$2004,C7)),""))</f>
        <v/>
      </c>
      <c r="R7" s="61">
        <f>IF(C7="","",IF(Q7="","",TODAY()-Q7))</f>
        <v/>
      </c>
      <c r="S7" s="60">
        <f>IF(C7="","",IFERROR(INDEX('Saisie'!$R$5:$R$2004,_xlfn.MAXIFS('Saisie'!$AS$5:$AS$2004,'Saisie'!$C$5:$C$2004,C7,'Saisie'!$R$5:$R$2004,"&lt;&gt;")-4),""))</f>
        <v/>
      </c>
      <c r="T7" s="60">
        <f>IF(C7="","",IFERROR(INDEX('Saisie'!$S$5:$S$2004,_xlfn.MAXIFS('Saisie'!$AS$5:$AS$2004,'Saisie'!$C$5:$C$2004,C7,'Saisie'!$S$5:$S$2004,"&lt;&gt;")-4),""))</f>
        <v/>
      </c>
      <c r="U7" s="60">
        <f>IF(C7="","",IFERROR(INDEX('Saisie'!$T$5:$T$2004,_xlfn.MAXIFS('Saisie'!$AS$5:$AS$2004,'Saisie'!$C$5:$C$2004,C7,'Saisie'!$T$5:$T$2004,"&lt;&gt;")-4),""))</f>
        <v/>
      </c>
      <c r="V7" s="60">
        <f>IF(C7="","",IFERROR(INDEX('Saisie'!$V$5:$V$2004,_xlfn.MAXIFS('Saisie'!$AS$5:$AS$2004,'Saisie'!$C$5:$C$2004,C7,'Saisie'!$V$5:$V$2004,"&lt;&gt;")-4),""))</f>
        <v/>
      </c>
      <c r="W7" s="60">
        <f>IF(C7="","",IFERROR(INDEX('Saisie'!$Z$5:$Z$2004,_xlfn.MAXIFS('Saisie'!$AS$5:$AS$2004,'Saisie'!$C$5:$C$2004,C7,'Saisie'!$Z$5:$Z$2004,"&lt;&gt;")-4),""))</f>
        <v/>
      </c>
      <c r="X7" s="60">
        <f>IF(C7="","",IFERROR(INDEX('Saisie'!$AA$5:$AA$2004,_xlfn.MAXIFS('Saisie'!$AS$5:$AS$2004,'Saisie'!$C$5:$C$2004,C7,'Saisie'!$AA$5:$AA$2004,"&lt;&gt;")-4),""))</f>
        <v/>
      </c>
      <c r="Y7" s="60">
        <f>IF(C7="","",IFERROR(INDEX('Saisie'!$AB$5:$AB$2004,_xlfn.MAXIFS('Saisie'!$AS$5:$AS$2004,'Saisie'!$C$5:$C$2004,C7,'Saisie'!$AB$5:$AB$2004,"&lt;&gt;")-4),""))</f>
        <v/>
      </c>
      <c r="Z7" s="60">
        <f>IF(C7="","",IFERROR(INDEX('Saisie'!$AC$5:$AC$2004,_xlfn.MAXIFS('Saisie'!$AS$5:$AS$2004,'Saisie'!$C$5:$C$2004,C7,'Saisie'!$AC$5:$AC$2004,"&lt;&gt;")-4),""))</f>
        <v/>
      </c>
      <c r="AA7" s="106">
        <f>IF(C7="","",IFERROR(INDEX('Saisie'!$AD$5:$AD$2004,_xlfn.MAXIFS('Saisie'!$AS$5:$AS$2004,'Saisie'!$C$5:$C$2004,C7,'Saisie'!$AD$5:$AD$2004,"&lt;&gt;")-4),""))</f>
        <v/>
      </c>
      <c r="AB7" s="60">
        <f>IF(C7="","",IFERROR(INDEX('Saisie'!$AE$5:$AE$2004,_xlfn.MAXIFS('Saisie'!$AS$5:$AS$2004,'Saisie'!$C$5:$C$2004,C7,'Saisie'!$AE$5:$AE$2004,"&lt;&gt;")-4),""))</f>
        <v/>
      </c>
      <c r="AC7" s="60">
        <f>IF(C7="","",IFERROR(INDEX('Saisie'!$AF$5:$AF$2004,_xlfn.MAXIFS('Saisie'!$AS$5:$AS$2004,'Saisie'!$C$5:$C$2004,C7,'Saisie'!$AF$5:$AF$2004,"&lt;&gt;")-4),""))</f>
        <v/>
      </c>
      <c r="AD7" s="108">
        <f>IF(C7="","",IFERROR(INDEX('Saisie'!$AG$5:$AG$2004,_xlfn.MAXIFS('Saisie'!$AS$5:$AS$2004,'Saisie'!$C$5:$C$2004,C7,'Saisie'!$AG$5:$AG$2004,"&lt;&gt;")-4),""))</f>
        <v/>
      </c>
      <c r="AE7" s="60">
        <f>IF(C7="","",IFERROR(INDEX('Saisie'!$AH$5:$AH$2004,_xlfn.MAXIFS('Saisie'!$AS$5:$AS$2004,'Saisie'!$C$5:$C$2004,C7,'Saisie'!$AH$5:$AH$2004,"&lt;&gt;")-4),""))</f>
        <v/>
      </c>
      <c r="AF7" s="60">
        <f>IF(C7="","",IFERROR(INDEX('Saisie'!$AI$5:$AI$2004,_xlfn.MAXIFS('Saisie'!$AS$5:$AS$2004,'Saisie'!$C$5:$C$2004,C7,'Saisie'!$AI$5:$AI$2004,"&lt;&gt;")-4),""))</f>
        <v/>
      </c>
      <c r="AG7" s="60">
        <f>IF(C7="","",IFERROR(INDEX('Saisie'!$AJ$5:$AJ$2004,_xlfn.MAXIFS('Saisie'!$AS$5:$AS$2004,'Saisie'!$C$5:$C$2004,C7,'Saisie'!$AJ$5:$AJ$2004,"&lt;&gt;")-4),""))</f>
        <v/>
      </c>
      <c r="AH7" s="60">
        <f>IF(C7="","",IFERROR(INDEX('Saisie'!$AK$5:$AK$2004,_xlfn.MAXIFS('Saisie'!$AS$5:$AS$2004,'Saisie'!$C$5:$C$2004,C7,'Saisie'!$AK$5:$AK$2004,"&lt;&gt;")-4),""))</f>
        <v/>
      </c>
      <c r="AI7" s="60">
        <f>IF(C7="","",IFERROR(INDEX('Saisie'!$AN$5:$AN$2004,_xlfn.MAXIFS('Saisie'!$AS$5:$AS$2004,'Saisie'!$C$5:$C$2004,C7,'Saisie'!$AN$5:$AN$2004,"&lt;&gt;")-4),""))</f>
        <v/>
      </c>
      <c r="AJ7" s="60">
        <f>IF(C7="","",IFERROR(INDEX('Saisie'!$AO$5:$AO$2004,_xlfn.MAXIFS('Saisie'!$AS$5:$AS$2004,'Saisie'!$C$5:$C$2004,C7,'Saisie'!$AO$5:$AO$2004,"&lt;&gt;")-4),""))</f>
        <v/>
      </c>
      <c r="AK7" s="60">
        <f>IF(C7="","",IFERROR(INDEX('Saisie'!$AP$5:$AP$2004,_xlfn.MAXIFS('Saisie'!$AS$5:$AS$2004,'Saisie'!$C$5:$C$2004,C7,'Saisie'!$AP$5:$AP$2004,"&lt;&gt;")-4),""))</f>
        <v/>
      </c>
      <c r="AL7" s="60">
        <f>IF(C7="","",IFERROR(INDEX('Saisie'!$AQ$5:$AQ$2004,_xlfn.MAXIFS('Saisie'!$AS$5:$AS$2004,'Saisie'!$C$5:$C$2004,C7,'Saisie'!$AQ$5:$AQ$2004,"&lt;&gt;")-4),""))</f>
        <v/>
      </c>
      <c r="AM7" s="60">
        <f>IF(C7="","",((AI7="Oui")+(AJ7="Oui")+(AK7="Oui")+OR(AL7="Immédiat",AL7="&lt; 1 mois"))&amp;"/4")</f>
        <v/>
      </c>
      <c r="AN7" s="60">
        <f>IF(C7="","",IFERROR(INDEX('Saisie'!$AL$5:$AL$2004,_xlfn.MAXIFS('Saisie'!$AS$5:$AS$2004,'Saisie'!$C$5:$C$2004,C7,'Saisie'!$AL$5:$AL$2004,"&lt;&gt;")-4),""))</f>
        <v/>
      </c>
      <c r="AO7" s="62">
        <f>IF(C7="","",IF(IFERROR(INDEX('Saisie'!$AM$5:$AM$2004,_xlfn.MAXIFS('Saisie'!$AS$5:$AS$2004,'Saisie'!$C$5:$C$2004,C7,'Saisie'!$AM$5:$AM$2004,"&lt;&gt;")-4),"")&lt;&gt;"",IFERROR(INDEX('Saisie'!$AM$5:$AM$2004,_xlfn.MAXIFS('Saisie'!$AS$5:$AS$2004,'Saisie'!$C$5:$C$2004,C7,'Saisie'!$AM$5:$AM$2004,"&lt;&gt;")-4),""),IFERROR(INDEX('Paramètres'!$S$6:$S$15,MATCH(AN7,'Paramètres'!$Q$6:$Q$15,0)),"")))</f>
        <v/>
      </c>
      <c r="AP7" s="62">
        <f>IF(C7="","",IFERROR(INDEX('Saisie'!$AW$5:$AW$2004,_xlfn.MAXIFS('Saisie'!$AS$5:$AS$2004,'Saisie'!$C$5:$C$2004,C7,'Saisie'!$E$5:$E$2004,"Proposition envoyée")-4),""))</f>
        <v/>
      </c>
      <c r="AQ7" s="106">
        <f>IF(C7="","",IFERROR(1/(1/_xlfn.MAXIFS('Saisie'!$A$5:$A$2004,'Saisie'!$C$5:$C$2004,C7,'Saisie'!$E$5:$E$2004,"Proposition envoyée")),""))</f>
        <v/>
      </c>
      <c r="AR7" s="106">
        <f>IF(C7="","",IF(AQ7="","",AQ7+'Paramètres'!$B$26))</f>
        <v/>
      </c>
      <c r="AS7" s="62">
        <f>IF(OR(C7="",D7="Gagné",D7="Perdu"),0,N(AP7)*IFERROR(INDEX('Paramètres'!$G$6:$G$13,MATCH(D7,'Paramètres'!$F$6:$F$13,0)),0))</f>
        <v/>
      </c>
      <c r="AT7" s="106">
        <f>IF(C7="","",IFERROR(1/(1/_xlfn.MINIFS('Saisie'!$A$5:$A$2004,'Saisie'!$C$5:$C$2004,C7,'Saisie'!$E$5:$E$2004,"Signature")),""))</f>
        <v/>
      </c>
      <c r="AU7" s="60">
        <f>IF(C7="","",IF(OR(AT7="",B7=""),"",AT7-B7))</f>
        <v/>
      </c>
      <c r="AV7" s="60">
        <f>IF(C7="","",IFERROR(INDEX('Saisie'!$L$5:$L$2004,_xlfn.MAXIFS('Saisie'!$AS$5:$AS$2004,'Saisie'!$C$5:$C$2004,C7,'Saisie'!$L$5:$L$2004,"&lt;&gt;")-4),""))</f>
        <v/>
      </c>
      <c r="AW7" s="106">
        <f>IF(C7="","",IF(D7&lt;&gt;"Perdu","",IFERROR(1/(1/_xlfn.MAXIFS('Saisie'!$A$5:$A$2004,'Saisie'!$C$5:$C$2004,C7,'Saisie'!$E$5:$E$2004,"Perdu")),"")))</f>
        <v/>
      </c>
      <c r="AX7" s="106">
        <f>IF(C7="","",IF(AW7="","",AW7+'Paramètres'!$B$28))</f>
        <v/>
      </c>
      <c r="AY7" s="60">
        <f>IF(C7="","",SUMIFS('Saisie'!$H$5:$H$2004,'Saisie'!$C$5:$C$2004,C7))</f>
        <v/>
      </c>
      <c r="AZ7" s="60">
        <f>IF(C7="","",IFERROR(INDEX('Paramètres'!$W$6:$W$20,MATCH(S7,'Paramètres'!$V$6:$V$20,0))&amp;"",""))</f>
        <v/>
      </c>
      <c r="BA7" s="60">
        <f>IF(C7="","",MAX(1,_xlfn.MAXIFS('Saisie'!$AT$5:$AT$2004,'Saisie'!$C$5:$C$2004,C7)))</f>
        <v/>
      </c>
      <c r="BB7" s="60">
        <f>IF(C7="","",IFERROR(INDEX('Saisie'!$X$5:$X$2004,_xlfn.MAXIFS('Saisie'!$AS$5:$AS$2004,'Saisie'!$C$5:$C$2004,C7,'Saisie'!$X$5:$X$2004,"&lt;&gt;")-4),""))</f>
        <v/>
      </c>
      <c r="BC7" s="60">
        <f>IF(C7="","",IFERROR(INDEX('Saisie'!$Y$5:$Y$2004,_xlfn.MAXIFS('Saisie'!$AS$5:$AS$2004,'Saisie'!$C$5:$C$2004,C7,'Saisie'!$Y$5:$Y$2004,"&lt;&gt;")-4),""))</f>
        <v/>
      </c>
      <c r="BD7" s="106">
        <f>IF(C7="","",IFERROR(1/(1/_xlfn.MINIFS('Saisie'!$A$5:$A$2004,'Saisie'!$C$5:$C$2004,C7,'Saisie'!$AT$5:$AT$2004,"&gt;=2")),""))</f>
        <v/>
      </c>
      <c r="BE7" s="106">
        <f>IF(C7="","",IFERROR(1/(1/_xlfn.MINIFS('Saisie'!$A$5:$A$2004,'Saisie'!$C$5:$C$2004,C7,'Saisie'!$AT$5:$AT$2004,"&gt;=3")),""))</f>
        <v/>
      </c>
      <c r="BF7" s="106">
        <f>IF(C7="","",IFERROR(1/(1/_xlfn.MINIFS('Saisie'!$A$5:$A$2004,'Saisie'!$C$5:$C$2004,C7,'Saisie'!$AT$5:$AT$2004,"&gt;=4")),""))</f>
        <v/>
      </c>
      <c r="BG7" s="106">
        <f>IF(C7="","",IFERROR(1/(1/_xlfn.MINIFS('Saisie'!$A$5:$A$2004,'Saisie'!$C$5:$C$2004,C7,'Saisie'!$AT$5:$AT$2004,"&gt;=5")),""))</f>
        <v/>
      </c>
      <c r="BH7" s="106">
        <f>IF(C7="","",IFERROR(1/(1/_xlfn.MINIFS('Saisie'!$A$5:$A$2004,'Saisie'!$C$5:$C$2004,C7,'Saisie'!$AT$5:$AT$2004,"&gt;=6")),""))</f>
        <v/>
      </c>
      <c r="BI7" s="106">
        <f>IF(C7="","",IFERROR(1/(1/_xlfn.MINIFS('Saisie'!$A$5:$A$2004,'Saisie'!$C$5:$C$2004,C7,'Saisie'!$AT$5:$AT$2004,"&gt;=7")),""))</f>
        <v/>
      </c>
      <c r="BJ7" s="60">
        <f>IF(OR(BD7="",B7=""),"",BD7-B7)</f>
        <v/>
      </c>
      <c r="BK7" s="60">
        <f>IF(OR(BE7="",BD7=""),"",BE7-BD7)</f>
        <v/>
      </c>
      <c r="BL7" s="60">
        <f>IF(OR(BF7="",BE7=""),"",BF7-BE7)</f>
        <v/>
      </c>
      <c r="BM7" s="60">
        <f>IF(OR(BG7="",BF7=""),"",BG7-BF7)</f>
        <v/>
      </c>
      <c r="BN7" s="60">
        <f>IF(OR(BH7="",BG7=""),"",BH7-BG7)</f>
        <v/>
      </c>
      <c r="BO7" s="60">
        <f>IF(OR(BI7="",BH7=""),"",BI7-BH7)</f>
        <v/>
      </c>
      <c r="BP7" s="60">
        <f>IF(C7="","",_xlfn.MAXIFS('Saisie'!$AS$5:$AS$2004,'Saisie'!$C$5:$C$2004,C7,'Saisie'!$J$5:$J$2004,"&lt;&gt;"))</f>
        <v/>
      </c>
      <c r="BQ7" s="60">
        <f>IF(C7="","",_xlfn.MAXIFS('Saisie'!$AS$5:$AS$2004,'Saisie'!$C$5:$C$2004,C7))</f>
        <v/>
      </c>
      <c r="BR7" s="60">
        <f>IF(C7="","",_xlfn.MAXIFS('Saisie'!$AS$5:$AS$2004,'Saisie'!$C$5:$C$2004,C7,'Saisie'!$E$5:$E$2004,"Perdu"))</f>
        <v/>
      </c>
      <c r="BS7" s="60">
        <f>IF(C7="","",_xlfn.MAXIFS('Saisie'!$AS$5:$AS$2004,'Saisie'!$C$5:$C$2004,C7,'Saisie'!$AT$5:$AT$2004,"&gt;0"))</f>
        <v/>
      </c>
      <c r="BT7" s="109">
        <f>IF(AND(C7&lt;&gt;"",OR(D7="Nouveau",D7="Contacté",D7="Qualifié"),OR(G7="",N(G7)&lt;=TODAY()),NOT(AND(O7&gt;='Paramètres'!$B$21,P7=0))),E7+3/10000,"")</f>
        <v/>
      </c>
      <c r="BU7" s="60">
        <f>IF(AND(G7&lt;&gt;"",N(G7)&lt;=TODAY()),MAX($BU$4:BU6)+1,"")</f>
        <v/>
      </c>
      <c r="BV7" s="60">
        <f>IF(AND(F7&lt;&gt;"",F7&lt;&gt;"Relance en retard"),MAX($BV$4:BV6)+1,"")</f>
        <v/>
      </c>
      <c r="BW7" s="60">
        <f>IF(C7="","",IF(AND(B7&gt;='Tableau de bord'!$R$4,B7&lt;='Tableau de bord'!$S$4,OR('Tableau de bord'!$G$4="Tous",N7='Tableau de bord'!$G$4)),1,0))</f>
        <v/>
      </c>
      <c r="BX7" s="60">
        <f>IF(AND(C7&lt;&gt;"",N(BA7)=7),MAX($BX$4:BX6)+1,"")</f>
        <v/>
      </c>
    </row>
    <row r="8">
      <c r="A8" s="60">
        <f>IF(C8="","","P-"&amp;TEXT(4,"000"))</f>
        <v/>
      </c>
      <c r="B8" s="106">
        <f>IF(C8="","",IFERROR(1/(1/_xlfn.MINIFS('Saisie'!$A$5:$A$2004,'Saisie'!$C$5:$C$2004,C8)),""))</f>
        <v/>
      </c>
      <c r="C8" s="60">
        <f>IFERROR(INDEX('Saisie'!$C$5:$C$2004,MATCH(4,'Saisie'!$AX$5:$AX$2004,0)),"")</f>
        <v/>
      </c>
      <c r="D8" s="60">
        <f>IF(C8="","",IF(AND(BR8&gt;0,BR8&gt;BS8,BA8&lt;7),"Perdu",INDEX('Paramètres'!$F$6:$F$13,BA8)))</f>
        <v/>
      </c>
      <c r="E8" s="61">
        <f>IF(C8="","",MIN(100,(Z8="Oui")*'Paramètres'!$B$38+(AB8="Régulière")*'Paramètres'!$B$39+IF(AND(N(AA8)&gt;0,TODAY()-N(AA8)&lt;=30),'Paramètres'!$B$40,0)+(W8="")*'Paramètres'!$B$41+(AC8="Absente")*'Paramètres'!$B$42+(AC8="Faible")*'Paramètres'!$B$43+IF(AND(N(AD8)&gt;0,N(AD8)&lt;4),'Paramètres'!$B$44,0)+(AF8="Moyenne")*'Paramètres'!$B$45+(AF8="Grande")*'Paramètres'!$B$46+(Y8&lt;&gt;"")*'Paramètres'!$B$47))</f>
        <v/>
      </c>
      <c r="F8" s="60">
        <f>IF(C8="","",IF(D8="Gagné","",IF(D8="Perdu",IF(AND(AX8&lt;&gt;"",AX8&lt;=TODAY()),"À recontacter (perdu)",""),IF(AND(O8&gt;='Paramètres'!$B$21,P8=0),"Stop : "&amp;'Paramètres'!$B$21&amp;" tentatives sans réponse",IF(AND(D8="Proposition",AR8&lt;&gt;"",TODAY()&gt;N(AR8)),"Proposition expirée",IF(AND(D8="Proposition",N(R8)&gt;='Paramètres'!$B$25),"Proposition sans réponse",IF(AND(G8&lt;&gt;"",N(G8)&lt;TODAY()),"Relance en retard",IF(N(R8)&gt;='Paramètres'!$B$24,"Sans action depuis "&amp;R8&amp;" j",""))))))))</f>
        <v/>
      </c>
      <c r="G8" s="106">
        <f>IF(OR(C8="",D8="Gagné",D8="Perdu"),"",IF(AND(BP8&gt;0,BP8=BQ8),INDEX('Saisie'!$J$5:$J$2004,BP8-4),IF(OR(O8=0,AND(O8&gt;='Paramètres'!$B$21,P8=0)),"",Q8+IF(O8&lt;=1,'Paramètres'!$B$18,IF(O8=2,'Paramètres'!$B$19,'Paramètres'!$B$20)))))</f>
        <v/>
      </c>
      <c r="H8" s="107">
        <f>IF(OR(G8="",BP8&lt;&gt;BQ8),"",IF(INDEX('Saisie'!$K$5:$K$2004,BP8-4)="","",INDEX('Saisie'!$K$5:$K$2004,BP8-4)))</f>
        <v/>
      </c>
      <c r="I8" s="60">
        <f>IF(C8="","",IF(OR(D8="Gagné",D8="Perdu"),"",IFERROR(INDEX('Saisie'!$I$5:$I$2004,_xlfn.MAXIFS('Saisie'!$AS$5:$AS$2004,'Saisie'!$C$5:$C$2004,C8,'Saisie'!$I$5:$I$2004,"&lt;&gt;")-4),"")))</f>
        <v/>
      </c>
      <c r="J8" s="60">
        <f>IF(C8="","",IFERROR(INDEX('Saisie'!$U$5:$U$2004,_xlfn.MAXIFS('Saisie'!$AS$5:$AS$2004,'Saisie'!$C$5:$C$2004,C8,'Saisie'!$U$5:$U$2004,"&lt;&gt;")-4),""))</f>
        <v/>
      </c>
      <c r="K8" s="60">
        <f>IF(C8="","",IFERROR(INDEX('Saisie'!$W$5:$W$2004,_xlfn.MAXIFS('Saisie'!$AS$5:$AS$2004,'Saisie'!$C$5:$C$2004,C8,'Saisie'!$W$5:$W$2004,"&lt;&gt;")-4),""))</f>
        <v/>
      </c>
      <c r="L8" s="60">
        <f>IF(IF(BB8&lt;&gt;"",BB8,K8)="","",HYPERLINK("https://wa.me/"&amp;IF(LEFT(SUBSTITUTE(SUBSTITUTE(SUBSTITUTE(IF(BB8&lt;&gt;"",BB8,K8)," ",""),".",""),"+",""),1)="0",'Paramètres'!$B$35&amp;MID(SUBSTITUTE(SUBSTITUTE(SUBSTITUTE(IF(BB8&lt;&gt;"",BB8,K8)," ",""),".",""),"+",""),2,20),SUBSTITUTE(SUBSTITUTE(SUBSTITUTE(IF(BB8&lt;&gt;"",BB8,K8)," ",""),".",""),"+","")),"WhatsApp"))</f>
        <v/>
      </c>
      <c r="M8" s="60">
        <f>IF(BC8="","",HYPERLINK(IF(LEFT(BC8,4)="http",BC8,"https://www.instagram.com/"&amp;SUBSTITUTE(SUBSTITUTE(BC8,"@","")," ","")),BC8))</f>
        <v/>
      </c>
      <c r="N8" s="60">
        <f>IF(C8="","",IFERROR(INDEX('Saisie'!$D$5:$D$2004,_xlfn.MINIFS('Saisie'!$AS$5:$AS$2004,'Saisie'!$C$5:$C$2004,C8,'Saisie'!$AU$5:$AU$2004,1)-4),IFERROR(INDEX('Saisie'!$D$5:$D$2004,_xlfn.MINIFS('Saisie'!$AS$5:$AS$2004,'Saisie'!$C$5:$C$2004,C8,'Saisie'!$D$5:$D$2004,"&lt;&gt;")-4),"")))</f>
        <v/>
      </c>
      <c r="O8" s="60">
        <f>IF(C8="","",COUNTIFS('Saisie'!$C$5:$C$2004,C8,'Saisie'!$AU$5:$AU$2004,1))</f>
        <v/>
      </c>
      <c r="P8" s="60">
        <f>IF(C8="","",COUNTIFS('Saisie'!$C$5:$C$2004,C8,'Saisie'!$AV$5:$AV$2004,1))</f>
        <v/>
      </c>
      <c r="Q8" s="106">
        <f>IF(C8="","",IFERROR(1/(1/_xlfn.MAXIFS('Saisie'!$A$5:$A$2004,'Saisie'!$C$5:$C$2004,C8)),""))</f>
        <v/>
      </c>
      <c r="R8" s="61">
        <f>IF(C8="","",IF(Q8="","",TODAY()-Q8))</f>
        <v/>
      </c>
      <c r="S8" s="60">
        <f>IF(C8="","",IFERROR(INDEX('Saisie'!$R$5:$R$2004,_xlfn.MAXIFS('Saisie'!$AS$5:$AS$2004,'Saisie'!$C$5:$C$2004,C8,'Saisie'!$R$5:$R$2004,"&lt;&gt;")-4),""))</f>
        <v/>
      </c>
      <c r="T8" s="60">
        <f>IF(C8="","",IFERROR(INDEX('Saisie'!$S$5:$S$2004,_xlfn.MAXIFS('Saisie'!$AS$5:$AS$2004,'Saisie'!$C$5:$C$2004,C8,'Saisie'!$S$5:$S$2004,"&lt;&gt;")-4),""))</f>
        <v/>
      </c>
      <c r="U8" s="60">
        <f>IF(C8="","",IFERROR(INDEX('Saisie'!$T$5:$T$2004,_xlfn.MAXIFS('Saisie'!$AS$5:$AS$2004,'Saisie'!$C$5:$C$2004,C8,'Saisie'!$T$5:$T$2004,"&lt;&gt;")-4),""))</f>
        <v/>
      </c>
      <c r="V8" s="60">
        <f>IF(C8="","",IFERROR(INDEX('Saisie'!$V$5:$V$2004,_xlfn.MAXIFS('Saisie'!$AS$5:$AS$2004,'Saisie'!$C$5:$C$2004,C8,'Saisie'!$V$5:$V$2004,"&lt;&gt;")-4),""))</f>
        <v/>
      </c>
      <c r="W8" s="60">
        <f>IF(C8="","",IFERROR(INDEX('Saisie'!$Z$5:$Z$2004,_xlfn.MAXIFS('Saisie'!$AS$5:$AS$2004,'Saisie'!$C$5:$C$2004,C8,'Saisie'!$Z$5:$Z$2004,"&lt;&gt;")-4),""))</f>
        <v/>
      </c>
      <c r="X8" s="60">
        <f>IF(C8="","",IFERROR(INDEX('Saisie'!$AA$5:$AA$2004,_xlfn.MAXIFS('Saisie'!$AS$5:$AS$2004,'Saisie'!$C$5:$C$2004,C8,'Saisie'!$AA$5:$AA$2004,"&lt;&gt;")-4),""))</f>
        <v/>
      </c>
      <c r="Y8" s="60">
        <f>IF(C8="","",IFERROR(INDEX('Saisie'!$AB$5:$AB$2004,_xlfn.MAXIFS('Saisie'!$AS$5:$AS$2004,'Saisie'!$C$5:$C$2004,C8,'Saisie'!$AB$5:$AB$2004,"&lt;&gt;")-4),""))</f>
        <v/>
      </c>
      <c r="Z8" s="60">
        <f>IF(C8="","",IFERROR(INDEX('Saisie'!$AC$5:$AC$2004,_xlfn.MAXIFS('Saisie'!$AS$5:$AS$2004,'Saisie'!$C$5:$C$2004,C8,'Saisie'!$AC$5:$AC$2004,"&lt;&gt;")-4),""))</f>
        <v/>
      </c>
      <c r="AA8" s="106">
        <f>IF(C8="","",IFERROR(INDEX('Saisie'!$AD$5:$AD$2004,_xlfn.MAXIFS('Saisie'!$AS$5:$AS$2004,'Saisie'!$C$5:$C$2004,C8,'Saisie'!$AD$5:$AD$2004,"&lt;&gt;")-4),""))</f>
        <v/>
      </c>
      <c r="AB8" s="60">
        <f>IF(C8="","",IFERROR(INDEX('Saisie'!$AE$5:$AE$2004,_xlfn.MAXIFS('Saisie'!$AS$5:$AS$2004,'Saisie'!$C$5:$C$2004,C8,'Saisie'!$AE$5:$AE$2004,"&lt;&gt;")-4),""))</f>
        <v/>
      </c>
      <c r="AC8" s="60">
        <f>IF(C8="","",IFERROR(INDEX('Saisie'!$AF$5:$AF$2004,_xlfn.MAXIFS('Saisie'!$AS$5:$AS$2004,'Saisie'!$C$5:$C$2004,C8,'Saisie'!$AF$5:$AF$2004,"&lt;&gt;")-4),""))</f>
        <v/>
      </c>
      <c r="AD8" s="108">
        <f>IF(C8="","",IFERROR(INDEX('Saisie'!$AG$5:$AG$2004,_xlfn.MAXIFS('Saisie'!$AS$5:$AS$2004,'Saisie'!$C$5:$C$2004,C8,'Saisie'!$AG$5:$AG$2004,"&lt;&gt;")-4),""))</f>
        <v/>
      </c>
      <c r="AE8" s="60">
        <f>IF(C8="","",IFERROR(INDEX('Saisie'!$AH$5:$AH$2004,_xlfn.MAXIFS('Saisie'!$AS$5:$AS$2004,'Saisie'!$C$5:$C$2004,C8,'Saisie'!$AH$5:$AH$2004,"&lt;&gt;")-4),""))</f>
        <v/>
      </c>
      <c r="AF8" s="60">
        <f>IF(C8="","",IFERROR(INDEX('Saisie'!$AI$5:$AI$2004,_xlfn.MAXIFS('Saisie'!$AS$5:$AS$2004,'Saisie'!$C$5:$C$2004,C8,'Saisie'!$AI$5:$AI$2004,"&lt;&gt;")-4),""))</f>
        <v/>
      </c>
      <c r="AG8" s="60">
        <f>IF(C8="","",IFERROR(INDEX('Saisie'!$AJ$5:$AJ$2004,_xlfn.MAXIFS('Saisie'!$AS$5:$AS$2004,'Saisie'!$C$5:$C$2004,C8,'Saisie'!$AJ$5:$AJ$2004,"&lt;&gt;")-4),""))</f>
        <v/>
      </c>
      <c r="AH8" s="60">
        <f>IF(C8="","",IFERROR(INDEX('Saisie'!$AK$5:$AK$2004,_xlfn.MAXIFS('Saisie'!$AS$5:$AS$2004,'Saisie'!$C$5:$C$2004,C8,'Saisie'!$AK$5:$AK$2004,"&lt;&gt;")-4),""))</f>
        <v/>
      </c>
      <c r="AI8" s="60">
        <f>IF(C8="","",IFERROR(INDEX('Saisie'!$AN$5:$AN$2004,_xlfn.MAXIFS('Saisie'!$AS$5:$AS$2004,'Saisie'!$C$5:$C$2004,C8,'Saisie'!$AN$5:$AN$2004,"&lt;&gt;")-4),""))</f>
        <v/>
      </c>
      <c r="AJ8" s="60">
        <f>IF(C8="","",IFERROR(INDEX('Saisie'!$AO$5:$AO$2004,_xlfn.MAXIFS('Saisie'!$AS$5:$AS$2004,'Saisie'!$C$5:$C$2004,C8,'Saisie'!$AO$5:$AO$2004,"&lt;&gt;")-4),""))</f>
        <v/>
      </c>
      <c r="AK8" s="60">
        <f>IF(C8="","",IFERROR(INDEX('Saisie'!$AP$5:$AP$2004,_xlfn.MAXIFS('Saisie'!$AS$5:$AS$2004,'Saisie'!$C$5:$C$2004,C8,'Saisie'!$AP$5:$AP$2004,"&lt;&gt;")-4),""))</f>
        <v/>
      </c>
      <c r="AL8" s="60">
        <f>IF(C8="","",IFERROR(INDEX('Saisie'!$AQ$5:$AQ$2004,_xlfn.MAXIFS('Saisie'!$AS$5:$AS$2004,'Saisie'!$C$5:$C$2004,C8,'Saisie'!$AQ$5:$AQ$2004,"&lt;&gt;")-4),""))</f>
        <v/>
      </c>
      <c r="AM8" s="60">
        <f>IF(C8="","",((AI8="Oui")+(AJ8="Oui")+(AK8="Oui")+OR(AL8="Immédiat",AL8="&lt; 1 mois"))&amp;"/4")</f>
        <v/>
      </c>
      <c r="AN8" s="60">
        <f>IF(C8="","",IFERROR(INDEX('Saisie'!$AL$5:$AL$2004,_xlfn.MAXIFS('Saisie'!$AS$5:$AS$2004,'Saisie'!$C$5:$C$2004,C8,'Saisie'!$AL$5:$AL$2004,"&lt;&gt;")-4),""))</f>
        <v/>
      </c>
      <c r="AO8" s="62">
        <f>IF(C8="","",IF(IFERROR(INDEX('Saisie'!$AM$5:$AM$2004,_xlfn.MAXIFS('Saisie'!$AS$5:$AS$2004,'Saisie'!$C$5:$C$2004,C8,'Saisie'!$AM$5:$AM$2004,"&lt;&gt;")-4),"")&lt;&gt;"",IFERROR(INDEX('Saisie'!$AM$5:$AM$2004,_xlfn.MAXIFS('Saisie'!$AS$5:$AS$2004,'Saisie'!$C$5:$C$2004,C8,'Saisie'!$AM$5:$AM$2004,"&lt;&gt;")-4),""),IFERROR(INDEX('Paramètres'!$S$6:$S$15,MATCH(AN8,'Paramètres'!$Q$6:$Q$15,0)),"")))</f>
        <v/>
      </c>
      <c r="AP8" s="62">
        <f>IF(C8="","",IFERROR(INDEX('Saisie'!$AW$5:$AW$2004,_xlfn.MAXIFS('Saisie'!$AS$5:$AS$2004,'Saisie'!$C$5:$C$2004,C8,'Saisie'!$E$5:$E$2004,"Proposition envoyée")-4),""))</f>
        <v/>
      </c>
      <c r="AQ8" s="106">
        <f>IF(C8="","",IFERROR(1/(1/_xlfn.MAXIFS('Saisie'!$A$5:$A$2004,'Saisie'!$C$5:$C$2004,C8,'Saisie'!$E$5:$E$2004,"Proposition envoyée")),""))</f>
        <v/>
      </c>
      <c r="AR8" s="106">
        <f>IF(C8="","",IF(AQ8="","",AQ8+'Paramètres'!$B$26))</f>
        <v/>
      </c>
      <c r="AS8" s="62">
        <f>IF(OR(C8="",D8="Gagné",D8="Perdu"),0,N(AP8)*IFERROR(INDEX('Paramètres'!$G$6:$G$13,MATCH(D8,'Paramètres'!$F$6:$F$13,0)),0))</f>
        <v/>
      </c>
      <c r="AT8" s="106">
        <f>IF(C8="","",IFERROR(1/(1/_xlfn.MINIFS('Saisie'!$A$5:$A$2004,'Saisie'!$C$5:$C$2004,C8,'Saisie'!$E$5:$E$2004,"Signature")),""))</f>
        <v/>
      </c>
      <c r="AU8" s="60">
        <f>IF(C8="","",IF(OR(AT8="",B8=""),"",AT8-B8))</f>
        <v/>
      </c>
      <c r="AV8" s="60">
        <f>IF(C8="","",IFERROR(INDEX('Saisie'!$L$5:$L$2004,_xlfn.MAXIFS('Saisie'!$AS$5:$AS$2004,'Saisie'!$C$5:$C$2004,C8,'Saisie'!$L$5:$L$2004,"&lt;&gt;")-4),""))</f>
        <v/>
      </c>
      <c r="AW8" s="106">
        <f>IF(C8="","",IF(D8&lt;&gt;"Perdu","",IFERROR(1/(1/_xlfn.MAXIFS('Saisie'!$A$5:$A$2004,'Saisie'!$C$5:$C$2004,C8,'Saisie'!$E$5:$E$2004,"Perdu")),"")))</f>
        <v/>
      </c>
      <c r="AX8" s="106">
        <f>IF(C8="","",IF(AW8="","",AW8+'Paramètres'!$B$28))</f>
        <v/>
      </c>
      <c r="AY8" s="60">
        <f>IF(C8="","",SUMIFS('Saisie'!$H$5:$H$2004,'Saisie'!$C$5:$C$2004,C8))</f>
        <v/>
      </c>
      <c r="AZ8" s="60">
        <f>IF(C8="","",IFERROR(INDEX('Paramètres'!$W$6:$W$20,MATCH(S8,'Paramètres'!$V$6:$V$20,0))&amp;"",""))</f>
        <v/>
      </c>
      <c r="BA8" s="60">
        <f>IF(C8="","",MAX(1,_xlfn.MAXIFS('Saisie'!$AT$5:$AT$2004,'Saisie'!$C$5:$C$2004,C8)))</f>
        <v/>
      </c>
      <c r="BB8" s="60">
        <f>IF(C8="","",IFERROR(INDEX('Saisie'!$X$5:$X$2004,_xlfn.MAXIFS('Saisie'!$AS$5:$AS$2004,'Saisie'!$C$5:$C$2004,C8,'Saisie'!$X$5:$X$2004,"&lt;&gt;")-4),""))</f>
        <v/>
      </c>
      <c r="BC8" s="60">
        <f>IF(C8="","",IFERROR(INDEX('Saisie'!$Y$5:$Y$2004,_xlfn.MAXIFS('Saisie'!$AS$5:$AS$2004,'Saisie'!$C$5:$C$2004,C8,'Saisie'!$Y$5:$Y$2004,"&lt;&gt;")-4),""))</f>
        <v/>
      </c>
      <c r="BD8" s="106">
        <f>IF(C8="","",IFERROR(1/(1/_xlfn.MINIFS('Saisie'!$A$5:$A$2004,'Saisie'!$C$5:$C$2004,C8,'Saisie'!$AT$5:$AT$2004,"&gt;=2")),""))</f>
        <v/>
      </c>
      <c r="BE8" s="106">
        <f>IF(C8="","",IFERROR(1/(1/_xlfn.MINIFS('Saisie'!$A$5:$A$2004,'Saisie'!$C$5:$C$2004,C8,'Saisie'!$AT$5:$AT$2004,"&gt;=3")),""))</f>
        <v/>
      </c>
      <c r="BF8" s="106">
        <f>IF(C8="","",IFERROR(1/(1/_xlfn.MINIFS('Saisie'!$A$5:$A$2004,'Saisie'!$C$5:$C$2004,C8,'Saisie'!$AT$5:$AT$2004,"&gt;=4")),""))</f>
        <v/>
      </c>
      <c r="BG8" s="106">
        <f>IF(C8="","",IFERROR(1/(1/_xlfn.MINIFS('Saisie'!$A$5:$A$2004,'Saisie'!$C$5:$C$2004,C8,'Saisie'!$AT$5:$AT$2004,"&gt;=5")),""))</f>
        <v/>
      </c>
      <c r="BH8" s="106">
        <f>IF(C8="","",IFERROR(1/(1/_xlfn.MINIFS('Saisie'!$A$5:$A$2004,'Saisie'!$C$5:$C$2004,C8,'Saisie'!$AT$5:$AT$2004,"&gt;=6")),""))</f>
        <v/>
      </c>
      <c r="BI8" s="106">
        <f>IF(C8="","",IFERROR(1/(1/_xlfn.MINIFS('Saisie'!$A$5:$A$2004,'Saisie'!$C$5:$C$2004,C8,'Saisie'!$AT$5:$AT$2004,"&gt;=7")),""))</f>
        <v/>
      </c>
      <c r="BJ8" s="60">
        <f>IF(OR(BD8="",B8=""),"",BD8-B8)</f>
        <v/>
      </c>
      <c r="BK8" s="60">
        <f>IF(OR(BE8="",BD8=""),"",BE8-BD8)</f>
        <v/>
      </c>
      <c r="BL8" s="60">
        <f>IF(OR(BF8="",BE8=""),"",BF8-BE8)</f>
        <v/>
      </c>
      <c r="BM8" s="60">
        <f>IF(OR(BG8="",BF8=""),"",BG8-BF8)</f>
        <v/>
      </c>
      <c r="BN8" s="60">
        <f>IF(OR(BH8="",BG8=""),"",BH8-BG8)</f>
        <v/>
      </c>
      <c r="BO8" s="60">
        <f>IF(OR(BI8="",BH8=""),"",BI8-BH8)</f>
        <v/>
      </c>
      <c r="BP8" s="60">
        <f>IF(C8="","",_xlfn.MAXIFS('Saisie'!$AS$5:$AS$2004,'Saisie'!$C$5:$C$2004,C8,'Saisie'!$J$5:$J$2004,"&lt;&gt;"))</f>
        <v/>
      </c>
      <c r="BQ8" s="60">
        <f>IF(C8="","",_xlfn.MAXIFS('Saisie'!$AS$5:$AS$2004,'Saisie'!$C$5:$C$2004,C8))</f>
        <v/>
      </c>
      <c r="BR8" s="60">
        <f>IF(C8="","",_xlfn.MAXIFS('Saisie'!$AS$5:$AS$2004,'Saisie'!$C$5:$C$2004,C8,'Saisie'!$E$5:$E$2004,"Perdu"))</f>
        <v/>
      </c>
      <c r="BS8" s="60">
        <f>IF(C8="","",_xlfn.MAXIFS('Saisie'!$AS$5:$AS$2004,'Saisie'!$C$5:$C$2004,C8,'Saisie'!$AT$5:$AT$2004,"&gt;0"))</f>
        <v/>
      </c>
      <c r="BT8" s="109">
        <f>IF(AND(C8&lt;&gt;"",OR(D8="Nouveau",D8="Contacté",D8="Qualifié"),OR(G8="",N(G8)&lt;=TODAY()),NOT(AND(O8&gt;='Paramètres'!$B$21,P8=0))),E8+4/10000,"")</f>
        <v/>
      </c>
      <c r="BU8" s="60">
        <f>IF(AND(G8&lt;&gt;"",N(G8)&lt;=TODAY()),MAX($BU$4:BU7)+1,"")</f>
        <v/>
      </c>
      <c r="BV8" s="60">
        <f>IF(AND(F8&lt;&gt;"",F8&lt;&gt;"Relance en retard"),MAX($BV$4:BV7)+1,"")</f>
        <v/>
      </c>
      <c r="BW8" s="60">
        <f>IF(C8="","",IF(AND(B8&gt;='Tableau de bord'!$R$4,B8&lt;='Tableau de bord'!$S$4,OR('Tableau de bord'!$G$4="Tous",N8='Tableau de bord'!$G$4)),1,0))</f>
        <v/>
      </c>
      <c r="BX8" s="60">
        <f>IF(AND(C8&lt;&gt;"",N(BA8)=7),MAX($BX$4:BX7)+1,"")</f>
        <v/>
      </c>
    </row>
    <row r="9">
      <c r="A9" s="60">
        <f>IF(C9="","","P-"&amp;TEXT(5,"000"))</f>
        <v/>
      </c>
      <c r="B9" s="106">
        <f>IF(C9="","",IFERROR(1/(1/_xlfn.MINIFS('Saisie'!$A$5:$A$2004,'Saisie'!$C$5:$C$2004,C9)),""))</f>
        <v/>
      </c>
      <c r="C9" s="60">
        <f>IFERROR(INDEX('Saisie'!$C$5:$C$2004,MATCH(5,'Saisie'!$AX$5:$AX$2004,0)),"")</f>
        <v/>
      </c>
      <c r="D9" s="60">
        <f>IF(C9="","",IF(AND(BR9&gt;0,BR9&gt;BS9,BA9&lt;7),"Perdu",INDEX('Paramètres'!$F$6:$F$13,BA9)))</f>
        <v/>
      </c>
      <c r="E9" s="61">
        <f>IF(C9="","",MIN(100,(Z9="Oui")*'Paramètres'!$B$38+(AB9="Régulière")*'Paramètres'!$B$39+IF(AND(N(AA9)&gt;0,TODAY()-N(AA9)&lt;=30),'Paramètres'!$B$40,0)+(W9="")*'Paramètres'!$B$41+(AC9="Absente")*'Paramètres'!$B$42+(AC9="Faible")*'Paramètres'!$B$43+IF(AND(N(AD9)&gt;0,N(AD9)&lt;4),'Paramètres'!$B$44,0)+(AF9="Moyenne")*'Paramètres'!$B$45+(AF9="Grande")*'Paramètres'!$B$46+(Y9&lt;&gt;"")*'Paramètres'!$B$47))</f>
        <v/>
      </c>
      <c r="F9" s="60">
        <f>IF(C9="","",IF(D9="Gagné","",IF(D9="Perdu",IF(AND(AX9&lt;&gt;"",AX9&lt;=TODAY()),"À recontacter (perdu)",""),IF(AND(O9&gt;='Paramètres'!$B$21,P9=0),"Stop : "&amp;'Paramètres'!$B$21&amp;" tentatives sans réponse",IF(AND(D9="Proposition",AR9&lt;&gt;"",TODAY()&gt;N(AR9)),"Proposition expirée",IF(AND(D9="Proposition",N(R9)&gt;='Paramètres'!$B$25),"Proposition sans réponse",IF(AND(G9&lt;&gt;"",N(G9)&lt;TODAY()),"Relance en retard",IF(N(R9)&gt;='Paramètres'!$B$24,"Sans action depuis "&amp;R9&amp;" j",""))))))))</f>
        <v/>
      </c>
      <c r="G9" s="106">
        <f>IF(OR(C9="",D9="Gagné",D9="Perdu"),"",IF(AND(BP9&gt;0,BP9=BQ9),INDEX('Saisie'!$J$5:$J$2004,BP9-4),IF(OR(O9=0,AND(O9&gt;='Paramètres'!$B$21,P9=0)),"",Q9+IF(O9&lt;=1,'Paramètres'!$B$18,IF(O9=2,'Paramètres'!$B$19,'Paramètres'!$B$20)))))</f>
        <v/>
      </c>
      <c r="H9" s="107">
        <f>IF(OR(G9="",BP9&lt;&gt;BQ9),"",IF(INDEX('Saisie'!$K$5:$K$2004,BP9-4)="","",INDEX('Saisie'!$K$5:$K$2004,BP9-4)))</f>
        <v/>
      </c>
      <c r="I9" s="60">
        <f>IF(C9="","",IF(OR(D9="Gagné",D9="Perdu"),"",IFERROR(INDEX('Saisie'!$I$5:$I$2004,_xlfn.MAXIFS('Saisie'!$AS$5:$AS$2004,'Saisie'!$C$5:$C$2004,C9,'Saisie'!$I$5:$I$2004,"&lt;&gt;")-4),"")))</f>
        <v/>
      </c>
      <c r="J9" s="60">
        <f>IF(C9="","",IFERROR(INDEX('Saisie'!$U$5:$U$2004,_xlfn.MAXIFS('Saisie'!$AS$5:$AS$2004,'Saisie'!$C$5:$C$2004,C9,'Saisie'!$U$5:$U$2004,"&lt;&gt;")-4),""))</f>
        <v/>
      </c>
      <c r="K9" s="60">
        <f>IF(C9="","",IFERROR(INDEX('Saisie'!$W$5:$W$2004,_xlfn.MAXIFS('Saisie'!$AS$5:$AS$2004,'Saisie'!$C$5:$C$2004,C9,'Saisie'!$W$5:$W$2004,"&lt;&gt;")-4),""))</f>
        <v/>
      </c>
      <c r="L9" s="60">
        <f>IF(IF(BB9&lt;&gt;"",BB9,K9)="","",HYPERLINK("https://wa.me/"&amp;IF(LEFT(SUBSTITUTE(SUBSTITUTE(SUBSTITUTE(IF(BB9&lt;&gt;"",BB9,K9)," ",""),".",""),"+",""),1)="0",'Paramètres'!$B$35&amp;MID(SUBSTITUTE(SUBSTITUTE(SUBSTITUTE(IF(BB9&lt;&gt;"",BB9,K9)," ",""),".",""),"+",""),2,20),SUBSTITUTE(SUBSTITUTE(SUBSTITUTE(IF(BB9&lt;&gt;"",BB9,K9)," ",""),".",""),"+","")),"WhatsApp"))</f>
        <v/>
      </c>
      <c r="M9" s="60">
        <f>IF(BC9="","",HYPERLINK(IF(LEFT(BC9,4)="http",BC9,"https://www.instagram.com/"&amp;SUBSTITUTE(SUBSTITUTE(BC9,"@","")," ","")),BC9))</f>
        <v/>
      </c>
      <c r="N9" s="60">
        <f>IF(C9="","",IFERROR(INDEX('Saisie'!$D$5:$D$2004,_xlfn.MINIFS('Saisie'!$AS$5:$AS$2004,'Saisie'!$C$5:$C$2004,C9,'Saisie'!$AU$5:$AU$2004,1)-4),IFERROR(INDEX('Saisie'!$D$5:$D$2004,_xlfn.MINIFS('Saisie'!$AS$5:$AS$2004,'Saisie'!$C$5:$C$2004,C9,'Saisie'!$D$5:$D$2004,"&lt;&gt;")-4),"")))</f>
        <v/>
      </c>
      <c r="O9" s="60">
        <f>IF(C9="","",COUNTIFS('Saisie'!$C$5:$C$2004,C9,'Saisie'!$AU$5:$AU$2004,1))</f>
        <v/>
      </c>
      <c r="P9" s="60">
        <f>IF(C9="","",COUNTIFS('Saisie'!$C$5:$C$2004,C9,'Saisie'!$AV$5:$AV$2004,1))</f>
        <v/>
      </c>
      <c r="Q9" s="106">
        <f>IF(C9="","",IFERROR(1/(1/_xlfn.MAXIFS('Saisie'!$A$5:$A$2004,'Saisie'!$C$5:$C$2004,C9)),""))</f>
        <v/>
      </c>
      <c r="R9" s="61">
        <f>IF(C9="","",IF(Q9="","",TODAY()-Q9))</f>
        <v/>
      </c>
      <c r="S9" s="60">
        <f>IF(C9="","",IFERROR(INDEX('Saisie'!$R$5:$R$2004,_xlfn.MAXIFS('Saisie'!$AS$5:$AS$2004,'Saisie'!$C$5:$C$2004,C9,'Saisie'!$R$5:$R$2004,"&lt;&gt;")-4),""))</f>
        <v/>
      </c>
      <c r="T9" s="60">
        <f>IF(C9="","",IFERROR(INDEX('Saisie'!$S$5:$S$2004,_xlfn.MAXIFS('Saisie'!$AS$5:$AS$2004,'Saisie'!$C$5:$C$2004,C9,'Saisie'!$S$5:$S$2004,"&lt;&gt;")-4),""))</f>
        <v/>
      </c>
      <c r="U9" s="60">
        <f>IF(C9="","",IFERROR(INDEX('Saisie'!$T$5:$T$2004,_xlfn.MAXIFS('Saisie'!$AS$5:$AS$2004,'Saisie'!$C$5:$C$2004,C9,'Saisie'!$T$5:$T$2004,"&lt;&gt;")-4),""))</f>
        <v/>
      </c>
      <c r="V9" s="60">
        <f>IF(C9="","",IFERROR(INDEX('Saisie'!$V$5:$V$2004,_xlfn.MAXIFS('Saisie'!$AS$5:$AS$2004,'Saisie'!$C$5:$C$2004,C9,'Saisie'!$V$5:$V$2004,"&lt;&gt;")-4),""))</f>
        <v/>
      </c>
      <c r="W9" s="60">
        <f>IF(C9="","",IFERROR(INDEX('Saisie'!$Z$5:$Z$2004,_xlfn.MAXIFS('Saisie'!$AS$5:$AS$2004,'Saisie'!$C$5:$C$2004,C9,'Saisie'!$Z$5:$Z$2004,"&lt;&gt;")-4),""))</f>
        <v/>
      </c>
      <c r="X9" s="60">
        <f>IF(C9="","",IFERROR(INDEX('Saisie'!$AA$5:$AA$2004,_xlfn.MAXIFS('Saisie'!$AS$5:$AS$2004,'Saisie'!$C$5:$C$2004,C9,'Saisie'!$AA$5:$AA$2004,"&lt;&gt;")-4),""))</f>
        <v/>
      </c>
      <c r="Y9" s="60">
        <f>IF(C9="","",IFERROR(INDEX('Saisie'!$AB$5:$AB$2004,_xlfn.MAXIFS('Saisie'!$AS$5:$AS$2004,'Saisie'!$C$5:$C$2004,C9,'Saisie'!$AB$5:$AB$2004,"&lt;&gt;")-4),""))</f>
        <v/>
      </c>
      <c r="Z9" s="60">
        <f>IF(C9="","",IFERROR(INDEX('Saisie'!$AC$5:$AC$2004,_xlfn.MAXIFS('Saisie'!$AS$5:$AS$2004,'Saisie'!$C$5:$C$2004,C9,'Saisie'!$AC$5:$AC$2004,"&lt;&gt;")-4),""))</f>
        <v/>
      </c>
      <c r="AA9" s="106">
        <f>IF(C9="","",IFERROR(INDEX('Saisie'!$AD$5:$AD$2004,_xlfn.MAXIFS('Saisie'!$AS$5:$AS$2004,'Saisie'!$C$5:$C$2004,C9,'Saisie'!$AD$5:$AD$2004,"&lt;&gt;")-4),""))</f>
        <v/>
      </c>
      <c r="AB9" s="60">
        <f>IF(C9="","",IFERROR(INDEX('Saisie'!$AE$5:$AE$2004,_xlfn.MAXIFS('Saisie'!$AS$5:$AS$2004,'Saisie'!$C$5:$C$2004,C9,'Saisie'!$AE$5:$AE$2004,"&lt;&gt;")-4),""))</f>
        <v/>
      </c>
      <c r="AC9" s="60">
        <f>IF(C9="","",IFERROR(INDEX('Saisie'!$AF$5:$AF$2004,_xlfn.MAXIFS('Saisie'!$AS$5:$AS$2004,'Saisie'!$C$5:$C$2004,C9,'Saisie'!$AF$5:$AF$2004,"&lt;&gt;")-4),""))</f>
        <v/>
      </c>
      <c r="AD9" s="108">
        <f>IF(C9="","",IFERROR(INDEX('Saisie'!$AG$5:$AG$2004,_xlfn.MAXIFS('Saisie'!$AS$5:$AS$2004,'Saisie'!$C$5:$C$2004,C9,'Saisie'!$AG$5:$AG$2004,"&lt;&gt;")-4),""))</f>
        <v/>
      </c>
      <c r="AE9" s="60">
        <f>IF(C9="","",IFERROR(INDEX('Saisie'!$AH$5:$AH$2004,_xlfn.MAXIFS('Saisie'!$AS$5:$AS$2004,'Saisie'!$C$5:$C$2004,C9,'Saisie'!$AH$5:$AH$2004,"&lt;&gt;")-4),""))</f>
        <v/>
      </c>
      <c r="AF9" s="60">
        <f>IF(C9="","",IFERROR(INDEX('Saisie'!$AI$5:$AI$2004,_xlfn.MAXIFS('Saisie'!$AS$5:$AS$2004,'Saisie'!$C$5:$C$2004,C9,'Saisie'!$AI$5:$AI$2004,"&lt;&gt;")-4),""))</f>
        <v/>
      </c>
      <c r="AG9" s="60">
        <f>IF(C9="","",IFERROR(INDEX('Saisie'!$AJ$5:$AJ$2004,_xlfn.MAXIFS('Saisie'!$AS$5:$AS$2004,'Saisie'!$C$5:$C$2004,C9,'Saisie'!$AJ$5:$AJ$2004,"&lt;&gt;")-4),""))</f>
        <v/>
      </c>
      <c r="AH9" s="60">
        <f>IF(C9="","",IFERROR(INDEX('Saisie'!$AK$5:$AK$2004,_xlfn.MAXIFS('Saisie'!$AS$5:$AS$2004,'Saisie'!$C$5:$C$2004,C9,'Saisie'!$AK$5:$AK$2004,"&lt;&gt;")-4),""))</f>
        <v/>
      </c>
      <c r="AI9" s="60">
        <f>IF(C9="","",IFERROR(INDEX('Saisie'!$AN$5:$AN$2004,_xlfn.MAXIFS('Saisie'!$AS$5:$AS$2004,'Saisie'!$C$5:$C$2004,C9,'Saisie'!$AN$5:$AN$2004,"&lt;&gt;")-4),""))</f>
        <v/>
      </c>
      <c r="AJ9" s="60">
        <f>IF(C9="","",IFERROR(INDEX('Saisie'!$AO$5:$AO$2004,_xlfn.MAXIFS('Saisie'!$AS$5:$AS$2004,'Saisie'!$C$5:$C$2004,C9,'Saisie'!$AO$5:$AO$2004,"&lt;&gt;")-4),""))</f>
        <v/>
      </c>
      <c r="AK9" s="60">
        <f>IF(C9="","",IFERROR(INDEX('Saisie'!$AP$5:$AP$2004,_xlfn.MAXIFS('Saisie'!$AS$5:$AS$2004,'Saisie'!$C$5:$C$2004,C9,'Saisie'!$AP$5:$AP$2004,"&lt;&gt;")-4),""))</f>
        <v/>
      </c>
      <c r="AL9" s="60">
        <f>IF(C9="","",IFERROR(INDEX('Saisie'!$AQ$5:$AQ$2004,_xlfn.MAXIFS('Saisie'!$AS$5:$AS$2004,'Saisie'!$C$5:$C$2004,C9,'Saisie'!$AQ$5:$AQ$2004,"&lt;&gt;")-4),""))</f>
        <v/>
      </c>
      <c r="AM9" s="60">
        <f>IF(C9="","",((AI9="Oui")+(AJ9="Oui")+(AK9="Oui")+OR(AL9="Immédiat",AL9="&lt; 1 mois"))&amp;"/4")</f>
        <v/>
      </c>
      <c r="AN9" s="60">
        <f>IF(C9="","",IFERROR(INDEX('Saisie'!$AL$5:$AL$2004,_xlfn.MAXIFS('Saisie'!$AS$5:$AS$2004,'Saisie'!$C$5:$C$2004,C9,'Saisie'!$AL$5:$AL$2004,"&lt;&gt;")-4),""))</f>
        <v/>
      </c>
      <c r="AO9" s="62">
        <f>IF(C9="","",IF(IFERROR(INDEX('Saisie'!$AM$5:$AM$2004,_xlfn.MAXIFS('Saisie'!$AS$5:$AS$2004,'Saisie'!$C$5:$C$2004,C9,'Saisie'!$AM$5:$AM$2004,"&lt;&gt;")-4),"")&lt;&gt;"",IFERROR(INDEX('Saisie'!$AM$5:$AM$2004,_xlfn.MAXIFS('Saisie'!$AS$5:$AS$2004,'Saisie'!$C$5:$C$2004,C9,'Saisie'!$AM$5:$AM$2004,"&lt;&gt;")-4),""),IFERROR(INDEX('Paramètres'!$S$6:$S$15,MATCH(AN9,'Paramètres'!$Q$6:$Q$15,0)),"")))</f>
        <v/>
      </c>
      <c r="AP9" s="62">
        <f>IF(C9="","",IFERROR(INDEX('Saisie'!$AW$5:$AW$2004,_xlfn.MAXIFS('Saisie'!$AS$5:$AS$2004,'Saisie'!$C$5:$C$2004,C9,'Saisie'!$E$5:$E$2004,"Proposition envoyée")-4),""))</f>
        <v/>
      </c>
      <c r="AQ9" s="106">
        <f>IF(C9="","",IFERROR(1/(1/_xlfn.MAXIFS('Saisie'!$A$5:$A$2004,'Saisie'!$C$5:$C$2004,C9,'Saisie'!$E$5:$E$2004,"Proposition envoyée")),""))</f>
        <v/>
      </c>
      <c r="AR9" s="106">
        <f>IF(C9="","",IF(AQ9="","",AQ9+'Paramètres'!$B$26))</f>
        <v/>
      </c>
      <c r="AS9" s="62">
        <f>IF(OR(C9="",D9="Gagné",D9="Perdu"),0,N(AP9)*IFERROR(INDEX('Paramètres'!$G$6:$G$13,MATCH(D9,'Paramètres'!$F$6:$F$13,0)),0))</f>
        <v/>
      </c>
      <c r="AT9" s="106">
        <f>IF(C9="","",IFERROR(1/(1/_xlfn.MINIFS('Saisie'!$A$5:$A$2004,'Saisie'!$C$5:$C$2004,C9,'Saisie'!$E$5:$E$2004,"Signature")),""))</f>
        <v/>
      </c>
      <c r="AU9" s="60">
        <f>IF(C9="","",IF(OR(AT9="",B9=""),"",AT9-B9))</f>
        <v/>
      </c>
      <c r="AV9" s="60">
        <f>IF(C9="","",IFERROR(INDEX('Saisie'!$L$5:$L$2004,_xlfn.MAXIFS('Saisie'!$AS$5:$AS$2004,'Saisie'!$C$5:$C$2004,C9,'Saisie'!$L$5:$L$2004,"&lt;&gt;")-4),""))</f>
        <v/>
      </c>
      <c r="AW9" s="106">
        <f>IF(C9="","",IF(D9&lt;&gt;"Perdu","",IFERROR(1/(1/_xlfn.MAXIFS('Saisie'!$A$5:$A$2004,'Saisie'!$C$5:$C$2004,C9,'Saisie'!$E$5:$E$2004,"Perdu")),"")))</f>
        <v/>
      </c>
      <c r="AX9" s="106">
        <f>IF(C9="","",IF(AW9="","",AW9+'Paramètres'!$B$28))</f>
        <v/>
      </c>
      <c r="AY9" s="60">
        <f>IF(C9="","",SUMIFS('Saisie'!$H$5:$H$2004,'Saisie'!$C$5:$C$2004,C9))</f>
        <v/>
      </c>
      <c r="AZ9" s="60">
        <f>IF(C9="","",IFERROR(INDEX('Paramètres'!$W$6:$W$20,MATCH(S9,'Paramètres'!$V$6:$V$20,0))&amp;"",""))</f>
        <v/>
      </c>
      <c r="BA9" s="60">
        <f>IF(C9="","",MAX(1,_xlfn.MAXIFS('Saisie'!$AT$5:$AT$2004,'Saisie'!$C$5:$C$2004,C9)))</f>
        <v/>
      </c>
      <c r="BB9" s="60">
        <f>IF(C9="","",IFERROR(INDEX('Saisie'!$X$5:$X$2004,_xlfn.MAXIFS('Saisie'!$AS$5:$AS$2004,'Saisie'!$C$5:$C$2004,C9,'Saisie'!$X$5:$X$2004,"&lt;&gt;")-4),""))</f>
        <v/>
      </c>
      <c r="BC9" s="60">
        <f>IF(C9="","",IFERROR(INDEX('Saisie'!$Y$5:$Y$2004,_xlfn.MAXIFS('Saisie'!$AS$5:$AS$2004,'Saisie'!$C$5:$C$2004,C9,'Saisie'!$Y$5:$Y$2004,"&lt;&gt;")-4),""))</f>
        <v/>
      </c>
      <c r="BD9" s="106">
        <f>IF(C9="","",IFERROR(1/(1/_xlfn.MINIFS('Saisie'!$A$5:$A$2004,'Saisie'!$C$5:$C$2004,C9,'Saisie'!$AT$5:$AT$2004,"&gt;=2")),""))</f>
        <v/>
      </c>
      <c r="BE9" s="106">
        <f>IF(C9="","",IFERROR(1/(1/_xlfn.MINIFS('Saisie'!$A$5:$A$2004,'Saisie'!$C$5:$C$2004,C9,'Saisie'!$AT$5:$AT$2004,"&gt;=3")),""))</f>
        <v/>
      </c>
      <c r="BF9" s="106">
        <f>IF(C9="","",IFERROR(1/(1/_xlfn.MINIFS('Saisie'!$A$5:$A$2004,'Saisie'!$C$5:$C$2004,C9,'Saisie'!$AT$5:$AT$2004,"&gt;=4")),""))</f>
        <v/>
      </c>
      <c r="BG9" s="106">
        <f>IF(C9="","",IFERROR(1/(1/_xlfn.MINIFS('Saisie'!$A$5:$A$2004,'Saisie'!$C$5:$C$2004,C9,'Saisie'!$AT$5:$AT$2004,"&gt;=5")),""))</f>
        <v/>
      </c>
      <c r="BH9" s="106">
        <f>IF(C9="","",IFERROR(1/(1/_xlfn.MINIFS('Saisie'!$A$5:$A$2004,'Saisie'!$C$5:$C$2004,C9,'Saisie'!$AT$5:$AT$2004,"&gt;=6")),""))</f>
        <v/>
      </c>
      <c r="BI9" s="106">
        <f>IF(C9="","",IFERROR(1/(1/_xlfn.MINIFS('Saisie'!$A$5:$A$2004,'Saisie'!$C$5:$C$2004,C9,'Saisie'!$AT$5:$AT$2004,"&gt;=7")),""))</f>
        <v/>
      </c>
      <c r="BJ9" s="60">
        <f>IF(OR(BD9="",B9=""),"",BD9-B9)</f>
        <v/>
      </c>
      <c r="BK9" s="60">
        <f>IF(OR(BE9="",BD9=""),"",BE9-BD9)</f>
        <v/>
      </c>
      <c r="BL9" s="60">
        <f>IF(OR(BF9="",BE9=""),"",BF9-BE9)</f>
        <v/>
      </c>
      <c r="BM9" s="60">
        <f>IF(OR(BG9="",BF9=""),"",BG9-BF9)</f>
        <v/>
      </c>
      <c r="BN9" s="60">
        <f>IF(OR(BH9="",BG9=""),"",BH9-BG9)</f>
        <v/>
      </c>
      <c r="BO9" s="60">
        <f>IF(OR(BI9="",BH9=""),"",BI9-BH9)</f>
        <v/>
      </c>
      <c r="BP9" s="60">
        <f>IF(C9="","",_xlfn.MAXIFS('Saisie'!$AS$5:$AS$2004,'Saisie'!$C$5:$C$2004,C9,'Saisie'!$J$5:$J$2004,"&lt;&gt;"))</f>
        <v/>
      </c>
      <c r="BQ9" s="60">
        <f>IF(C9="","",_xlfn.MAXIFS('Saisie'!$AS$5:$AS$2004,'Saisie'!$C$5:$C$2004,C9))</f>
        <v/>
      </c>
      <c r="BR9" s="60">
        <f>IF(C9="","",_xlfn.MAXIFS('Saisie'!$AS$5:$AS$2004,'Saisie'!$C$5:$C$2004,C9,'Saisie'!$E$5:$E$2004,"Perdu"))</f>
        <v/>
      </c>
      <c r="BS9" s="60">
        <f>IF(C9="","",_xlfn.MAXIFS('Saisie'!$AS$5:$AS$2004,'Saisie'!$C$5:$C$2004,C9,'Saisie'!$AT$5:$AT$2004,"&gt;0"))</f>
        <v/>
      </c>
      <c r="BT9" s="109">
        <f>IF(AND(C9&lt;&gt;"",OR(D9="Nouveau",D9="Contacté",D9="Qualifié"),OR(G9="",N(G9)&lt;=TODAY()),NOT(AND(O9&gt;='Paramètres'!$B$21,P9=0))),E9+5/10000,"")</f>
        <v/>
      </c>
      <c r="BU9" s="60">
        <f>IF(AND(G9&lt;&gt;"",N(G9)&lt;=TODAY()),MAX($BU$4:BU8)+1,"")</f>
        <v/>
      </c>
      <c r="BV9" s="60">
        <f>IF(AND(F9&lt;&gt;"",F9&lt;&gt;"Relance en retard"),MAX($BV$4:BV8)+1,"")</f>
        <v/>
      </c>
      <c r="BW9" s="60">
        <f>IF(C9="","",IF(AND(B9&gt;='Tableau de bord'!$R$4,B9&lt;='Tableau de bord'!$S$4,OR('Tableau de bord'!$G$4="Tous",N9='Tableau de bord'!$G$4)),1,0))</f>
        <v/>
      </c>
      <c r="BX9" s="60">
        <f>IF(AND(C9&lt;&gt;"",N(BA9)=7),MAX($BX$4:BX8)+1,"")</f>
        <v/>
      </c>
    </row>
    <row r="10">
      <c r="A10" s="60">
        <f>IF(C10="","","P-"&amp;TEXT(6,"000"))</f>
        <v/>
      </c>
      <c r="B10" s="106">
        <f>IF(C10="","",IFERROR(1/(1/_xlfn.MINIFS('Saisie'!$A$5:$A$2004,'Saisie'!$C$5:$C$2004,C10)),""))</f>
        <v/>
      </c>
      <c r="C10" s="60">
        <f>IFERROR(INDEX('Saisie'!$C$5:$C$2004,MATCH(6,'Saisie'!$AX$5:$AX$2004,0)),"")</f>
        <v/>
      </c>
      <c r="D10" s="60">
        <f>IF(C10="","",IF(AND(BR10&gt;0,BR10&gt;BS10,BA10&lt;7),"Perdu",INDEX('Paramètres'!$F$6:$F$13,BA10)))</f>
        <v/>
      </c>
      <c r="E10" s="61">
        <f>IF(C10="","",MIN(100,(Z10="Oui")*'Paramètres'!$B$38+(AB10="Régulière")*'Paramètres'!$B$39+IF(AND(N(AA10)&gt;0,TODAY()-N(AA10)&lt;=30),'Paramètres'!$B$40,0)+(W10="")*'Paramètres'!$B$41+(AC10="Absente")*'Paramètres'!$B$42+(AC10="Faible")*'Paramètres'!$B$43+IF(AND(N(AD10)&gt;0,N(AD10)&lt;4),'Paramètres'!$B$44,0)+(AF10="Moyenne")*'Paramètres'!$B$45+(AF10="Grande")*'Paramètres'!$B$46+(Y10&lt;&gt;"")*'Paramètres'!$B$47))</f>
        <v/>
      </c>
      <c r="F10" s="60">
        <f>IF(C10="","",IF(D10="Gagné","",IF(D10="Perdu",IF(AND(AX10&lt;&gt;"",AX10&lt;=TODAY()),"À recontacter (perdu)",""),IF(AND(O10&gt;='Paramètres'!$B$21,P10=0),"Stop : "&amp;'Paramètres'!$B$21&amp;" tentatives sans réponse",IF(AND(D10="Proposition",AR10&lt;&gt;"",TODAY()&gt;N(AR10)),"Proposition expirée",IF(AND(D10="Proposition",N(R10)&gt;='Paramètres'!$B$25),"Proposition sans réponse",IF(AND(G10&lt;&gt;"",N(G10)&lt;TODAY()),"Relance en retard",IF(N(R10)&gt;='Paramètres'!$B$24,"Sans action depuis "&amp;R10&amp;" j",""))))))))</f>
        <v/>
      </c>
      <c r="G10" s="106">
        <f>IF(OR(C10="",D10="Gagné",D10="Perdu"),"",IF(AND(BP10&gt;0,BP10=BQ10),INDEX('Saisie'!$J$5:$J$2004,BP10-4),IF(OR(O10=0,AND(O10&gt;='Paramètres'!$B$21,P10=0)),"",Q10+IF(O10&lt;=1,'Paramètres'!$B$18,IF(O10=2,'Paramètres'!$B$19,'Paramètres'!$B$20)))))</f>
        <v/>
      </c>
      <c r="H10" s="107">
        <f>IF(OR(G10="",BP10&lt;&gt;BQ10),"",IF(INDEX('Saisie'!$K$5:$K$2004,BP10-4)="","",INDEX('Saisie'!$K$5:$K$2004,BP10-4)))</f>
        <v/>
      </c>
      <c r="I10" s="60">
        <f>IF(C10="","",IF(OR(D10="Gagné",D10="Perdu"),"",IFERROR(INDEX('Saisie'!$I$5:$I$2004,_xlfn.MAXIFS('Saisie'!$AS$5:$AS$2004,'Saisie'!$C$5:$C$2004,C10,'Saisie'!$I$5:$I$2004,"&lt;&gt;")-4),"")))</f>
        <v/>
      </c>
      <c r="J10" s="60">
        <f>IF(C10="","",IFERROR(INDEX('Saisie'!$U$5:$U$2004,_xlfn.MAXIFS('Saisie'!$AS$5:$AS$2004,'Saisie'!$C$5:$C$2004,C10,'Saisie'!$U$5:$U$2004,"&lt;&gt;")-4),""))</f>
        <v/>
      </c>
      <c r="K10" s="60">
        <f>IF(C10="","",IFERROR(INDEX('Saisie'!$W$5:$W$2004,_xlfn.MAXIFS('Saisie'!$AS$5:$AS$2004,'Saisie'!$C$5:$C$2004,C10,'Saisie'!$W$5:$W$2004,"&lt;&gt;")-4),""))</f>
        <v/>
      </c>
      <c r="L10" s="60">
        <f>IF(IF(BB10&lt;&gt;"",BB10,K10)="","",HYPERLINK("https://wa.me/"&amp;IF(LEFT(SUBSTITUTE(SUBSTITUTE(SUBSTITUTE(IF(BB10&lt;&gt;"",BB10,K10)," ",""),".",""),"+",""),1)="0",'Paramètres'!$B$35&amp;MID(SUBSTITUTE(SUBSTITUTE(SUBSTITUTE(IF(BB10&lt;&gt;"",BB10,K10)," ",""),".",""),"+",""),2,20),SUBSTITUTE(SUBSTITUTE(SUBSTITUTE(IF(BB10&lt;&gt;"",BB10,K10)," ",""),".",""),"+","")),"WhatsApp"))</f>
        <v/>
      </c>
      <c r="M10" s="60">
        <f>IF(BC10="","",HYPERLINK(IF(LEFT(BC10,4)="http",BC10,"https://www.instagram.com/"&amp;SUBSTITUTE(SUBSTITUTE(BC10,"@","")," ","")),BC10))</f>
        <v/>
      </c>
      <c r="N10" s="60">
        <f>IF(C10="","",IFERROR(INDEX('Saisie'!$D$5:$D$2004,_xlfn.MINIFS('Saisie'!$AS$5:$AS$2004,'Saisie'!$C$5:$C$2004,C10,'Saisie'!$AU$5:$AU$2004,1)-4),IFERROR(INDEX('Saisie'!$D$5:$D$2004,_xlfn.MINIFS('Saisie'!$AS$5:$AS$2004,'Saisie'!$C$5:$C$2004,C10,'Saisie'!$D$5:$D$2004,"&lt;&gt;")-4),"")))</f>
        <v/>
      </c>
      <c r="O10" s="60">
        <f>IF(C10="","",COUNTIFS('Saisie'!$C$5:$C$2004,C10,'Saisie'!$AU$5:$AU$2004,1))</f>
        <v/>
      </c>
      <c r="P10" s="60">
        <f>IF(C10="","",COUNTIFS('Saisie'!$C$5:$C$2004,C10,'Saisie'!$AV$5:$AV$2004,1))</f>
        <v/>
      </c>
      <c r="Q10" s="106">
        <f>IF(C10="","",IFERROR(1/(1/_xlfn.MAXIFS('Saisie'!$A$5:$A$2004,'Saisie'!$C$5:$C$2004,C10)),""))</f>
        <v/>
      </c>
      <c r="R10" s="61">
        <f>IF(C10="","",IF(Q10="","",TODAY()-Q10))</f>
        <v/>
      </c>
      <c r="S10" s="60">
        <f>IF(C10="","",IFERROR(INDEX('Saisie'!$R$5:$R$2004,_xlfn.MAXIFS('Saisie'!$AS$5:$AS$2004,'Saisie'!$C$5:$C$2004,C10,'Saisie'!$R$5:$R$2004,"&lt;&gt;")-4),""))</f>
        <v/>
      </c>
      <c r="T10" s="60">
        <f>IF(C10="","",IFERROR(INDEX('Saisie'!$S$5:$S$2004,_xlfn.MAXIFS('Saisie'!$AS$5:$AS$2004,'Saisie'!$C$5:$C$2004,C10,'Saisie'!$S$5:$S$2004,"&lt;&gt;")-4),""))</f>
        <v/>
      </c>
      <c r="U10" s="60">
        <f>IF(C10="","",IFERROR(INDEX('Saisie'!$T$5:$T$2004,_xlfn.MAXIFS('Saisie'!$AS$5:$AS$2004,'Saisie'!$C$5:$C$2004,C10,'Saisie'!$T$5:$T$2004,"&lt;&gt;")-4),""))</f>
        <v/>
      </c>
      <c r="V10" s="60">
        <f>IF(C10="","",IFERROR(INDEX('Saisie'!$V$5:$V$2004,_xlfn.MAXIFS('Saisie'!$AS$5:$AS$2004,'Saisie'!$C$5:$C$2004,C10,'Saisie'!$V$5:$V$2004,"&lt;&gt;")-4),""))</f>
        <v/>
      </c>
      <c r="W10" s="60">
        <f>IF(C10="","",IFERROR(INDEX('Saisie'!$Z$5:$Z$2004,_xlfn.MAXIFS('Saisie'!$AS$5:$AS$2004,'Saisie'!$C$5:$C$2004,C10,'Saisie'!$Z$5:$Z$2004,"&lt;&gt;")-4),""))</f>
        <v/>
      </c>
      <c r="X10" s="60">
        <f>IF(C10="","",IFERROR(INDEX('Saisie'!$AA$5:$AA$2004,_xlfn.MAXIFS('Saisie'!$AS$5:$AS$2004,'Saisie'!$C$5:$C$2004,C10,'Saisie'!$AA$5:$AA$2004,"&lt;&gt;")-4),""))</f>
        <v/>
      </c>
      <c r="Y10" s="60">
        <f>IF(C10="","",IFERROR(INDEX('Saisie'!$AB$5:$AB$2004,_xlfn.MAXIFS('Saisie'!$AS$5:$AS$2004,'Saisie'!$C$5:$C$2004,C10,'Saisie'!$AB$5:$AB$2004,"&lt;&gt;")-4),""))</f>
        <v/>
      </c>
      <c r="Z10" s="60">
        <f>IF(C10="","",IFERROR(INDEX('Saisie'!$AC$5:$AC$2004,_xlfn.MAXIFS('Saisie'!$AS$5:$AS$2004,'Saisie'!$C$5:$C$2004,C10,'Saisie'!$AC$5:$AC$2004,"&lt;&gt;")-4),""))</f>
        <v/>
      </c>
      <c r="AA10" s="106">
        <f>IF(C10="","",IFERROR(INDEX('Saisie'!$AD$5:$AD$2004,_xlfn.MAXIFS('Saisie'!$AS$5:$AS$2004,'Saisie'!$C$5:$C$2004,C10,'Saisie'!$AD$5:$AD$2004,"&lt;&gt;")-4),""))</f>
        <v/>
      </c>
      <c r="AB10" s="60">
        <f>IF(C10="","",IFERROR(INDEX('Saisie'!$AE$5:$AE$2004,_xlfn.MAXIFS('Saisie'!$AS$5:$AS$2004,'Saisie'!$C$5:$C$2004,C10,'Saisie'!$AE$5:$AE$2004,"&lt;&gt;")-4),""))</f>
        <v/>
      </c>
      <c r="AC10" s="60">
        <f>IF(C10="","",IFERROR(INDEX('Saisie'!$AF$5:$AF$2004,_xlfn.MAXIFS('Saisie'!$AS$5:$AS$2004,'Saisie'!$C$5:$C$2004,C10,'Saisie'!$AF$5:$AF$2004,"&lt;&gt;")-4),""))</f>
        <v/>
      </c>
      <c r="AD10" s="108">
        <f>IF(C10="","",IFERROR(INDEX('Saisie'!$AG$5:$AG$2004,_xlfn.MAXIFS('Saisie'!$AS$5:$AS$2004,'Saisie'!$C$5:$C$2004,C10,'Saisie'!$AG$5:$AG$2004,"&lt;&gt;")-4),""))</f>
        <v/>
      </c>
      <c r="AE10" s="60">
        <f>IF(C10="","",IFERROR(INDEX('Saisie'!$AH$5:$AH$2004,_xlfn.MAXIFS('Saisie'!$AS$5:$AS$2004,'Saisie'!$C$5:$C$2004,C10,'Saisie'!$AH$5:$AH$2004,"&lt;&gt;")-4),""))</f>
        <v/>
      </c>
      <c r="AF10" s="60">
        <f>IF(C10="","",IFERROR(INDEX('Saisie'!$AI$5:$AI$2004,_xlfn.MAXIFS('Saisie'!$AS$5:$AS$2004,'Saisie'!$C$5:$C$2004,C10,'Saisie'!$AI$5:$AI$2004,"&lt;&gt;")-4),""))</f>
        <v/>
      </c>
      <c r="AG10" s="60">
        <f>IF(C10="","",IFERROR(INDEX('Saisie'!$AJ$5:$AJ$2004,_xlfn.MAXIFS('Saisie'!$AS$5:$AS$2004,'Saisie'!$C$5:$C$2004,C10,'Saisie'!$AJ$5:$AJ$2004,"&lt;&gt;")-4),""))</f>
        <v/>
      </c>
      <c r="AH10" s="60">
        <f>IF(C10="","",IFERROR(INDEX('Saisie'!$AK$5:$AK$2004,_xlfn.MAXIFS('Saisie'!$AS$5:$AS$2004,'Saisie'!$C$5:$C$2004,C10,'Saisie'!$AK$5:$AK$2004,"&lt;&gt;")-4),""))</f>
        <v/>
      </c>
      <c r="AI10" s="60">
        <f>IF(C10="","",IFERROR(INDEX('Saisie'!$AN$5:$AN$2004,_xlfn.MAXIFS('Saisie'!$AS$5:$AS$2004,'Saisie'!$C$5:$C$2004,C10,'Saisie'!$AN$5:$AN$2004,"&lt;&gt;")-4),""))</f>
        <v/>
      </c>
      <c r="AJ10" s="60">
        <f>IF(C10="","",IFERROR(INDEX('Saisie'!$AO$5:$AO$2004,_xlfn.MAXIFS('Saisie'!$AS$5:$AS$2004,'Saisie'!$C$5:$C$2004,C10,'Saisie'!$AO$5:$AO$2004,"&lt;&gt;")-4),""))</f>
        <v/>
      </c>
      <c r="AK10" s="60">
        <f>IF(C10="","",IFERROR(INDEX('Saisie'!$AP$5:$AP$2004,_xlfn.MAXIFS('Saisie'!$AS$5:$AS$2004,'Saisie'!$C$5:$C$2004,C10,'Saisie'!$AP$5:$AP$2004,"&lt;&gt;")-4),""))</f>
        <v/>
      </c>
      <c r="AL10" s="60">
        <f>IF(C10="","",IFERROR(INDEX('Saisie'!$AQ$5:$AQ$2004,_xlfn.MAXIFS('Saisie'!$AS$5:$AS$2004,'Saisie'!$C$5:$C$2004,C10,'Saisie'!$AQ$5:$AQ$2004,"&lt;&gt;")-4),""))</f>
        <v/>
      </c>
      <c r="AM10" s="60">
        <f>IF(C10="","",((AI10="Oui")+(AJ10="Oui")+(AK10="Oui")+OR(AL10="Immédiat",AL10="&lt; 1 mois"))&amp;"/4")</f>
        <v/>
      </c>
      <c r="AN10" s="60">
        <f>IF(C10="","",IFERROR(INDEX('Saisie'!$AL$5:$AL$2004,_xlfn.MAXIFS('Saisie'!$AS$5:$AS$2004,'Saisie'!$C$5:$C$2004,C10,'Saisie'!$AL$5:$AL$2004,"&lt;&gt;")-4),""))</f>
        <v/>
      </c>
      <c r="AO10" s="62">
        <f>IF(C10="","",IF(IFERROR(INDEX('Saisie'!$AM$5:$AM$2004,_xlfn.MAXIFS('Saisie'!$AS$5:$AS$2004,'Saisie'!$C$5:$C$2004,C10,'Saisie'!$AM$5:$AM$2004,"&lt;&gt;")-4),"")&lt;&gt;"",IFERROR(INDEX('Saisie'!$AM$5:$AM$2004,_xlfn.MAXIFS('Saisie'!$AS$5:$AS$2004,'Saisie'!$C$5:$C$2004,C10,'Saisie'!$AM$5:$AM$2004,"&lt;&gt;")-4),""),IFERROR(INDEX('Paramètres'!$S$6:$S$15,MATCH(AN10,'Paramètres'!$Q$6:$Q$15,0)),"")))</f>
        <v/>
      </c>
      <c r="AP10" s="62">
        <f>IF(C10="","",IFERROR(INDEX('Saisie'!$AW$5:$AW$2004,_xlfn.MAXIFS('Saisie'!$AS$5:$AS$2004,'Saisie'!$C$5:$C$2004,C10,'Saisie'!$E$5:$E$2004,"Proposition envoyée")-4),""))</f>
        <v/>
      </c>
      <c r="AQ10" s="106">
        <f>IF(C10="","",IFERROR(1/(1/_xlfn.MAXIFS('Saisie'!$A$5:$A$2004,'Saisie'!$C$5:$C$2004,C10,'Saisie'!$E$5:$E$2004,"Proposition envoyée")),""))</f>
        <v/>
      </c>
      <c r="AR10" s="106">
        <f>IF(C10="","",IF(AQ10="","",AQ10+'Paramètres'!$B$26))</f>
        <v/>
      </c>
      <c r="AS10" s="62">
        <f>IF(OR(C10="",D10="Gagné",D10="Perdu"),0,N(AP10)*IFERROR(INDEX('Paramètres'!$G$6:$G$13,MATCH(D10,'Paramètres'!$F$6:$F$13,0)),0))</f>
        <v/>
      </c>
      <c r="AT10" s="106">
        <f>IF(C10="","",IFERROR(1/(1/_xlfn.MINIFS('Saisie'!$A$5:$A$2004,'Saisie'!$C$5:$C$2004,C10,'Saisie'!$E$5:$E$2004,"Signature")),""))</f>
        <v/>
      </c>
      <c r="AU10" s="60">
        <f>IF(C10="","",IF(OR(AT10="",B10=""),"",AT10-B10))</f>
        <v/>
      </c>
      <c r="AV10" s="60">
        <f>IF(C10="","",IFERROR(INDEX('Saisie'!$L$5:$L$2004,_xlfn.MAXIFS('Saisie'!$AS$5:$AS$2004,'Saisie'!$C$5:$C$2004,C10,'Saisie'!$L$5:$L$2004,"&lt;&gt;")-4),""))</f>
        <v/>
      </c>
      <c r="AW10" s="106">
        <f>IF(C10="","",IF(D10&lt;&gt;"Perdu","",IFERROR(1/(1/_xlfn.MAXIFS('Saisie'!$A$5:$A$2004,'Saisie'!$C$5:$C$2004,C10,'Saisie'!$E$5:$E$2004,"Perdu")),"")))</f>
        <v/>
      </c>
      <c r="AX10" s="106">
        <f>IF(C10="","",IF(AW10="","",AW10+'Paramètres'!$B$28))</f>
        <v/>
      </c>
      <c r="AY10" s="60">
        <f>IF(C10="","",SUMIFS('Saisie'!$H$5:$H$2004,'Saisie'!$C$5:$C$2004,C10))</f>
        <v/>
      </c>
      <c r="AZ10" s="60">
        <f>IF(C10="","",IFERROR(INDEX('Paramètres'!$W$6:$W$20,MATCH(S10,'Paramètres'!$V$6:$V$20,0))&amp;"",""))</f>
        <v/>
      </c>
      <c r="BA10" s="60">
        <f>IF(C10="","",MAX(1,_xlfn.MAXIFS('Saisie'!$AT$5:$AT$2004,'Saisie'!$C$5:$C$2004,C10)))</f>
        <v/>
      </c>
      <c r="BB10" s="60">
        <f>IF(C10="","",IFERROR(INDEX('Saisie'!$X$5:$X$2004,_xlfn.MAXIFS('Saisie'!$AS$5:$AS$2004,'Saisie'!$C$5:$C$2004,C10,'Saisie'!$X$5:$X$2004,"&lt;&gt;")-4),""))</f>
        <v/>
      </c>
      <c r="BC10" s="60">
        <f>IF(C10="","",IFERROR(INDEX('Saisie'!$Y$5:$Y$2004,_xlfn.MAXIFS('Saisie'!$AS$5:$AS$2004,'Saisie'!$C$5:$C$2004,C10,'Saisie'!$Y$5:$Y$2004,"&lt;&gt;")-4),""))</f>
        <v/>
      </c>
      <c r="BD10" s="106">
        <f>IF(C10="","",IFERROR(1/(1/_xlfn.MINIFS('Saisie'!$A$5:$A$2004,'Saisie'!$C$5:$C$2004,C10,'Saisie'!$AT$5:$AT$2004,"&gt;=2")),""))</f>
        <v/>
      </c>
      <c r="BE10" s="106">
        <f>IF(C10="","",IFERROR(1/(1/_xlfn.MINIFS('Saisie'!$A$5:$A$2004,'Saisie'!$C$5:$C$2004,C10,'Saisie'!$AT$5:$AT$2004,"&gt;=3")),""))</f>
        <v/>
      </c>
      <c r="BF10" s="106">
        <f>IF(C10="","",IFERROR(1/(1/_xlfn.MINIFS('Saisie'!$A$5:$A$2004,'Saisie'!$C$5:$C$2004,C10,'Saisie'!$AT$5:$AT$2004,"&gt;=4")),""))</f>
        <v/>
      </c>
      <c r="BG10" s="106">
        <f>IF(C10="","",IFERROR(1/(1/_xlfn.MINIFS('Saisie'!$A$5:$A$2004,'Saisie'!$C$5:$C$2004,C10,'Saisie'!$AT$5:$AT$2004,"&gt;=5")),""))</f>
        <v/>
      </c>
      <c r="BH10" s="106">
        <f>IF(C10="","",IFERROR(1/(1/_xlfn.MINIFS('Saisie'!$A$5:$A$2004,'Saisie'!$C$5:$C$2004,C10,'Saisie'!$AT$5:$AT$2004,"&gt;=6")),""))</f>
        <v/>
      </c>
      <c r="BI10" s="106">
        <f>IF(C10="","",IFERROR(1/(1/_xlfn.MINIFS('Saisie'!$A$5:$A$2004,'Saisie'!$C$5:$C$2004,C10,'Saisie'!$AT$5:$AT$2004,"&gt;=7")),""))</f>
        <v/>
      </c>
      <c r="BJ10" s="60">
        <f>IF(OR(BD10="",B10=""),"",BD10-B10)</f>
        <v/>
      </c>
      <c r="BK10" s="60">
        <f>IF(OR(BE10="",BD10=""),"",BE10-BD10)</f>
        <v/>
      </c>
      <c r="BL10" s="60">
        <f>IF(OR(BF10="",BE10=""),"",BF10-BE10)</f>
        <v/>
      </c>
      <c r="BM10" s="60">
        <f>IF(OR(BG10="",BF10=""),"",BG10-BF10)</f>
        <v/>
      </c>
      <c r="BN10" s="60">
        <f>IF(OR(BH10="",BG10=""),"",BH10-BG10)</f>
        <v/>
      </c>
      <c r="BO10" s="60">
        <f>IF(OR(BI10="",BH10=""),"",BI10-BH10)</f>
        <v/>
      </c>
      <c r="BP10" s="60">
        <f>IF(C10="","",_xlfn.MAXIFS('Saisie'!$AS$5:$AS$2004,'Saisie'!$C$5:$C$2004,C10,'Saisie'!$J$5:$J$2004,"&lt;&gt;"))</f>
        <v/>
      </c>
      <c r="BQ10" s="60">
        <f>IF(C10="","",_xlfn.MAXIFS('Saisie'!$AS$5:$AS$2004,'Saisie'!$C$5:$C$2004,C10))</f>
        <v/>
      </c>
      <c r="BR10" s="60">
        <f>IF(C10="","",_xlfn.MAXIFS('Saisie'!$AS$5:$AS$2004,'Saisie'!$C$5:$C$2004,C10,'Saisie'!$E$5:$E$2004,"Perdu"))</f>
        <v/>
      </c>
      <c r="BS10" s="60">
        <f>IF(C10="","",_xlfn.MAXIFS('Saisie'!$AS$5:$AS$2004,'Saisie'!$C$5:$C$2004,C10,'Saisie'!$AT$5:$AT$2004,"&gt;0"))</f>
        <v/>
      </c>
      <c r="BT10" s="109">
        <f>IF(AND(C10&lt;&gt;"",OR(D10="Nouveau",D10="Contacté",D10="Qualifié"),OR(G10="",N(G10)&lt;=TODAY()),NOT(AND(O10&gt;='Paramètres'!$B$21,P10=0))),E10+6/10000,"")</f>
        <v/>
      </c>
      <c r="BU10" s="60">
        <f>IF(AND(G10&lt;&gt;"",N(G10)&lt;=TODAY()),MAX($BU$4:BU9)+1,"")</f>
        <v/>
      </c>
      <c r="BV10" s="60">
        <f>IF(AND(F10&lt;&gt;"",F10&lt;&gt;"Relance en retard"),MAX($BV$4:BV9)+1,"")</f>
        <v/>
      </c>
      <c r="BW10" s="60">
        <f>IF(C10="","",IF(AND(B10&gt;='Tableau de bord'!$R$4,B10&lt;='Tableau de bord'!$S$4,OR('Tableau de bord'!$G$4="Tous",N10='Tableau de bord'!$G$4)),1,0))</f>
        <v/>
      </c>
      <c r="BX10" s="60">
        <f>IF(AND(C10&lt;&gt;"",N(BA10)=7),MAX($BX$4:BX9)+1,"")</f>
        <v/>
      </c>
    </row>
    <row r="11">
      <c r="A11" s="60">
        <f>IF(C11="","","P-"&amp;TEXT(7,"000"))</f>
        <v/>
      </c>
      <c r="B11" s="106">
        <f>IF(C11="","",IFERROR(1/(1/_xlfn.MINIFS('Saisie'!$A$5:$A$2004,'Saisie'!$C$5:$C$2004,C11)),""))</f>
        <v/>
      </c>
      <c r="C11" s="60">
        <f>IFERROR(INDEX('Saisie'!$C$5:$C$2004,MATCH(7,'Saisie'!$AX$5:$AX$2004,0)),"")</f>
        <v/>
      </c>
      <c r="D11" s="60">
        <f>IF(C11="","",IF(AND(BR11&gt;0,BR11&gt;BS11,BA11&lt;7),"Perdu",INDEX('Paramètres'!$F$6:$F$13,BA11)))</f>
        <v/>
      </c>
      <c r="E11" s="61">
        <f>IF(C11="","",MIN(100,(Z11="Oui")*'Paramètres'!$B$38+(AB11="Régulière")*'Paramètres'!$B$39+IF(AND(N(AA11)&gt;0,TODAY()-N(AA11)&lt;=30),'Paramètres'!$B$40,0)+(W11="")*'Paramètres'!$B$41+(AC11="Absente")*'Paramètres'!$B$42+(AC11="Faible")*'Paramètres'!$B$43+IF(AND(N(AD11)&gt;0,N(AD11)&lt;4),'Paramètres'!$B$44,0)+(AF11="Moyenne")*'Paramètres'!$B$45+(AF11="Grande")*'Paramètres'!$B$46+(Y11&lt;&gt;"")*'Paramètres'!$B$47))</f>
        <v/>
      </c>
      <c r="F11" s="60">
        <f>IF(C11="","",IF(D11="Gagné","",IF(D11="Perdu",IF(AND(AX11&lt;&gt;"",AX11&lt;=TODAY()),"À recontacter (perdu)",""),IF(AND(O11&gt;='Paramètres'!$B$21,P11=0),"Stop : "&amp;'Paramètres'!$B$21&amp;" tentatives sans réponse",IF(AND(D11="Proposition",AR11&lt;&gt;"",TODAY()&gt;N(AR11)),"Proposition expirée",IF(AND(D11="Proposition",N(R11)&gt;='Paramètres'!$B$25),"Proposition sans réponse",IF(AND(G11&lt;&gt;"",N(G11)&lt;TODAY()),"Relance en retard",IF(N(R11)&gt;='Paramètres'!$B$24,"Sans action depuis "&amp;R11&amp;" j",""))))))))</f>
        <v/>
      </c>
      <c r="G11" s="106">
        <f>IF(OR(C11="",D11="Gagné",D11="Perdu"),"",IF(AND(BP11&gt;0,BP11=BQ11),INDEX('Saisie'!$J$5:$J$2004,BP11-4),IF(OR(O11=0,AND(O11&gt;='Paramètres'!$B$21,P11=0)),"",Q11+IF(O11&lt;=1,'Paramètres'!$B$18,IF(O11=2,'Paramètres'!$B$19,'Paramètres'!$B$20)))))</f>
        <v/>
      </c>
      <c r="H11" s="107">
        <f>IF(OR(G11="",BP11&lt;&gt;BQ11),"",IF(INDEX('Saisie'!$K$5:$K$2004,BP11-4)="","",INDEX('Saisie'!$K$5:$K$2004,BP11-4)))</f>
        <v/>
      </c>
      <c r="I11" s="60">
        <f>IF(C11="","",IF(OR(D11="Gagné",D11="Perdu"),"",IFERROR(INDEX('Saisie'!$I$5:$I$2004,_xlfn.MAXIFS('Saisie'!$AS$5:$AS$2004,'Saisie'!$C$5:$C$2004,C11,'Saisie'!$I$5:$I$2004,"&lt;&gt;")-4),"")))</f>
        <v/>
      </c>
      <c r="J11" s="60">
        <f>IF(C11="","",IFERROR(INDEX('Saisie'!$U$5:$U$2004,_xlfn.MAXIFS('Saisie'!$AS$5:$AS$2004,'Saisie'!$C$5:$C$2004,C11,'Saisie'!$U$5:$U$2004,"&lt;&gt;")-4),""))</f>
        <v/>
      </c>
      <c r="K11" s="60">
        <f>IF(C11="","",IFERROR(INDEX('Saisie'!$W$5:$W$2004,_xlfn.MAXIFS('Saisie'!$AS$5:$AS$2004,'Saisie'!$C$5:$C$2004,C11,'Saisie'!$W$5:$W$2004,"&lt;&gt;")-4),""))</f>
        <v/>
      </c>
      <c r="L11" s="60">
        <f>IF(IF(BB11&lt;&gt;"",BB11,K11)="","",HYPERLINK("https://wa.me/"&amp;IF(LEFT(SUBSTITUTE(SUBSTITUTE(SUBSTITUTE(IF(BB11&lt;&gt;"",BB11,K11)," ",""),".",""),"+",""),1)="0",'Paramètres'!$B$35&amp;MID(SUBSTITUTE(SUBSTITUTE(SUBSTITUTE(IF(BB11&lt;&gt;"",BB11,K11)," ",""),".",""),"+",""),2,20),SUBSTITUTE(SUBSTITUTE(SUBSTITUTE(IF(BB11&lt;&gt;"",BB11,K11)," ",""),".",""),"+","")),"WhatsApp"))</f>
        <v/>
      </c>
      <c r="M11" s="60">
        <f>IF(BC11="","",HYPERLINK(IF(LEFT(BC11,4)="http",BC11,"https://www.instagram.com/"&amp;SUBSTITUTE(SUBSTITUTE(BC11,"@","")," ","")),BC11))</f>
        <v/>
      </c>
      <c r="N11" s="60">
        <f>IF(C11="","",IFERROR(INDEX('Saisie'!$D$5:$D$2004,_xlfn.MINIFS('Saisie'!$AS$5:$AS$2004,'Saisie'!$C$5:$C$2004,C11,'Saisie'!$AU$5:$AU$2004,1)-4),IFERROR(INDEX('Saisie'!$D$5:$D$2004,_xlfn.MINIFS('Saisie'!$AS$5:$AS$2004,'Saisie'!$C$5:$C$2004,C11,'Saisie'!$D$5:$D$2004,"&lt;&gt;")-4),"")))</f>
        <v/>
      </c>
      <c r="O11" s="60">
        <f>IF(C11="","",COUNTIFS('Saisie'!$C$5:$C$2004,C11,'Saisie'!$AU$5:$AU$2004,1))</f>
        <v/>
      </c>
      <c r="P11" s="60">
        <f>IF(C11="","",COUNTIFS('Saisie'!$C$5:$C$2004,C11,'Saisie'!$AV$5:$AV$2004,1))</f>
        <v/>
      </c>
      <c r="Q11" s="106">
        <f>IF(C11="","",IFERROR(1/(1/_xlfn.MAXIFS('Saisie'!$A$5:$A$2004,'Saisie'!$C$5:$C$2004,C11)),""))</f>
        <v/>
      </c>
      <c r="R11" s="61">
        <f>IF(C11="","",IF(Q11="","",TODAY()-Q11))</f>
        <v/>
      </c>
      <c r="S11" s="60">
        <f>IF(C11="","",IFERROR(INDEX('Saisie'!$R$5:$R$2004,_xlfn.MAXIFS('Saisie'!$AS$5:$AS$2004,'Saisie'!$C$5:$C$2004,C11,'Saisie'!$R$5:$R$2004,"&lt;&gt;")-4),""))</f>
        <v/>
      </c>
      <c r="T11" s="60">
        <f>IF(C11="","",IFERROR(INDEX('Saisie'!$S$5:$S$2004,_xlfn.MAXIFS('Saisie'!$AS$5:$AS$2004,'Saisie'!$C$5:$C$2004,C11,'Saisie'!$S$5:$S$2004,"&lt;&gt;")-4),""))</f>
        <v/>
      </c>
      <c r="U11" s="60">
        <f>IF(C11="","",IFERROR(INDEX('Saisie'!$T$5:$T$2004,_xlfn.MAXIFS('Saisie'!$AS$5:$AS$2004,'Saisie'!$C$5:$C$2004,C11,'Saisie'!$T$5:$T$2004,"&lt;&gt;")-4),""))</f>
        <v/>
      </c>
      <c r="V11" s="60">
        <f>IF(C11="","",IFERROR(INDEX('Saisie'!$V$5:$V$2004,_xlfn.MAXIFS('Saisie'!$AS$5:$AS$2004,'Saisie'!$C$5:$C$2004,C11,'Saisie'!$V$5:$V$2004,"&lt;&gt;")-4),""))</f>
        <v/>
      </c>
      <c r="W11" s="60">
        <f>IF(C11="","",IFERROR(INDEX('Saisie'!$Z$5:$Z$2004,_xlfn.MAXIFS('Saisie'!$AS$5:$AS$2004,'Saisie'!$C$5:$C$2004,C11,'Saisie'!$Z$5:$Z$2004,"&lt;&gt;")-4),""))</f>
        <v/>
      </c>
      <c r="X11" s="60">
        <f>IF(C11="","",IFERROR(INDEX('Saisie'!$AA$5:$AA$2004,_xlfn.MAXIFS('Saisie'!$AS$5:$AS$2004,'Saisie'!$C$5:$C$2004,C11,'Saisie'!$AA$5:$AA$2004,"&lt;&gt;")-4),""))</f>
        <v/>
      </c>
      <c r="Y11" s="60">
        <f>IF(C11="","",IFERROR(INDEX('Saisie'!$AB$5:$AB$2004,_xlfn.MAXIFS('Saisie'!$AS$5:$AS$2004,'Saisie'!$C$5:$C$2004,C11,'Saisie'!$AB$5:$AB$2004,"&lt;&gt;")-4),""))</f>
        <v/>
      </c>
      <c r="Z11" s="60">
        <f>IF(C11="","",IFERROR(INDEX('Saisie'!$AC$5:$AC$2004,_xlfn.MAXIFS('Saisie'!$AS$5:$AS$2004,'Saisie'!$C$5:$C$2004,C11,'Saisie'!$AC$5:$AC$2004,"&lt;&gt;")-4),""))</f>
        <v/>
      </c>
      <c r="AA11" s="106">
        <f>IF(C11="","",IFERROR(INDEX('Saisie'!$AD$5:$AD$2004,_xlfn.MAXIFS('Saisie'!$AS$5:$AS$2004,'Saisie'!$C$5:$C$2004,C11,'Saisie'!$AD$5:$AD$2004,"&lt;&gt;")-4),""))</f>
        <v/>
      </c>
      <c r="AB11" s="60">
        <f>IF(C11="","",IFERROR(INDEX('Saisie'!$AE$5:$AE$2004,_xlfn.MAXIFS('Saisie'!$AS$5:$AS$2004,'Saisie'!$C$5:$C$2004,C11,'Saisie'!$AE$5:$AE$2004,"&lt;&gt;")-4),""))</f>
        <v/>
      </c>
      <c r="AC11" s="60">
        <f>IF(C11="","",IFERROR(INDEX('Saisie'!$AF$5:$AF$2004,_xlfn.MAXIFS('Saisie'!$AS$5:$AS$2004,'Saisie'!$C$5:$C$2004,C11,'Saisie'!$AF$5:$AF$2004,"&lt;&gt;")-4),""))</f>
        <v/>
      </c>
      <c r="AD11" s="108">
        <f>IF(C11="","",IFERROR(INDEX('Saisie'!$AG$5:$AG$2004,_xlfn.MAXIFS('Saisie'!$AS$5:$AS$2004,'Saisie'!$C$5:$C$2004,C11,'Saisie'!$AG$5:$AG$2004,"&lt;&gt;")-4),""))</f>
        <v/>
      </c>
      <c r="AE11" s="60">
        <f>IF(C11="","",IFERROR(INDEX('Saisie'!$AH$5:$AH$2004,_xlfn.MAXIFS('Saisie'!$AS$5:$AS$2004,'Saisie'!$C$5:$C$2004,C11,'Saisie'!$AH$5:$AH$2004,"&lt;&gt;")-4),""))</f>
        <v/>
      </c>
      <c r="AF11" s="60">
        <f>IF(C11="","",IFERROR(INDEX('Saisie'!$AI$5:$AI$2004,_xlfn.MAXIFS('Saisie'!$AS$5:$AS$2004,'Saisie'!$C$5:$C$2004,C11,'Saisie'!$AI$5:$AI$2004,"&lt;&gt;")-4),""))</f>
        <v/>
      </c>
      <c r="AG11" s="60">
        <f>IF(C11="","",IFERROR(INDEX('Saisie'!$AJ$5:$AJ$2004,_xlfn.MAXIFS('Saisie'!$AS$5:$AS$2004,'Saisie'!$C$5:$C$2004,C11,'Saisie'!$AJ$5:$AJ$2004,"&lt;&gt;")-4),""))</f>
        <v/>
      </c>
      <c r="AH11" s="60">
        <f>IF(C11="","",IFERROR(INDEX('Saisie'!$AK$5:$AK$2004,_xlfn.MAXIFS('Saisie'!$AS$5:$AS$2004,'Saisie'!$C$5:$C$2004,C11,'Saisie'!$AK$5:$AK$2004,"&lt;&gt;")-4),""))</f>
        <v/>
      </c>
      <c r="AI11" s="60">
        <f>IF(C11="","",IFERROR(INDEX('Saisie'!$AN$5:$AN$2004,_xlfn.MAXIFS('Saisie'!$AS$5:$AS$2004,'Saisie'!$C$5:$C$2004,C11,'Saisie'!$AN$5:$AN$2004,"&lt;&gt;")-4),""))</f>
        <v/>
      </c>
      <c r="AJ11" s="60">
        <f>IF(C11="","",IFERROR(INDEX('Saisie'!$AO$5:$AO$2004,_xlfn.MAXIFS('Saisie'!$AS$5:$AS$2004,'Saisie'!$C$5:$C$2004,C11,'Saisie'!$AO$5:$AO$2004,"&lt;&gt;")-4),""))</f>
        <v/>
      </c>
      <c r="AK11" s="60">
        <f>IF(C11="","",IFERROR(INDEX('Saisie'!$AP$5:$AP$2004,_xlfn.MAXIFS('Saisie'!$AS$5:$AS$2004,'Saisie'!$C$5:$C$2004,C11,'Saisie'!$AP$5:$AP$2004,"&lt;&gt;")-4),""))</f>
        <v/>
      </c>
      <c r="AL11" s="60">
        <f>IF(C11="","",IFERROR(INDEX('Saisie'!$AQ$5:$AQ$2004,_xlfn.MAXIFS('Saisie'!$AS$5:$AS$2004,'Saisie'!$C$5:$C$2004,C11,'Saisie'!$AQ$5:$AQ$2004,"&lt;&gt;")-4),""))</f>
        <v/>
      </c>
      <c r="AM11" s="60">
        <f>IF(C11="","",((AI11="Oui")+(AJ11="Oui")+(AK11="Oui")+OR(AL11="Immédiat",AL11="&lt; 1 mois"))&amp;"/4")</f>
        <v/>
      </c>
      <c r="AN11" s="60">
        <f>IF(C11="","",IFERROR(INDEX('Saisie'!$AL$5:$AL$2004,_xlfn.MAXIFS('Saisie'!$AS$5:$AS$2004,'Saisie'!$C$5:$C$2004,C11,'Saisie'!$AL$5:$AL$2004,"&lt;&gt;")-4),""))</f>
        <v/>
      </c>
      <c r="AO11" s="62">
        <f>IF(C11="","",IF(IFERROR(INDEX('Saisie'!$AM$5:$AM$2004,_xlfn.MAXIFS('Saisie'!$AS$5:$AS$2004,'Saisie'!$C$5:$C$2004,C11,'Saisie'!$AM$5:$AM$2004,"&lt;&gt;")-4),"")&lt;&gt;"",IFERROR(INDEX('Saisie'!$AM$5:$AM$2004,_xlfn.MAXIFS('Saisie'!$AS$5:$AS$2004,'Saisie'!$C$5:$C$2004,C11,'Saisie'!$AM$5:$AM$2004,"&lt;&gt;")-4),""),IFERROR(INDEX('Paramètres'!$S$6:$S$15,MATCH(AN11,'Paramètres'!$Q$6:$Q$15,0)),"")))</f>
        <v/>
      </c>
      <c r="AP11" s="62">
        <f>IF(C11="","",IFERROR(INDEX('Saisie'!$AW$5:$AW$2004,_xlfn.MAXIFS('Saisie'!$AS$5:$AS$2004,'Saisie'!$C$5:$C$2004,C11,'Saisie'!$E$5:$E$2004,"Proposition envoyée")-4),""))</f>
        <v/>
      </c>
      <c r="AQ11" s="106">
        <f>IF(C11="","",IFERROR(1/(1/_xlfn.MAXIFS('Saisie'!$A$5:$A$2004,'Saisie'!$C$5:$C$2004,C11,'Saisie'!$E$5:$E$2004,"Proposition envoyée")),""))</f>
        <v/>
      </c>
      <c r="AR11" s="106">
        <f>IF(C11="","",IF(AQ11="","",AQ11+'Paramètres'!$B$26))</f>
        <v/>
      </c>
      <c r="AS11" s="62">
        <f>IF(OR(C11="",D11="Gagné",D11="Perdu"),0,N(AP11)*IFERROR(INDEX('Paramètres'!$G$6:$G$13,MATCH(D11,'Paramètres'!$F$6:$F$13,0)),0))</f>
        <v/>
      </c>
      <c r="AT11" s="106">
        <f>IF(C11="","",IFERROR(1/(1/_xlfn.MINIFS('Saisie'!$A$5:$A$2004,'Saisie'!$C$5:$C$2004,C11,'Saisie'!$E$5:$E$2004,"Signature")),""))</f>
        <v/>
      </c>
      <c r="AU11" s="60">
        <f>IF(C11="","",IF(OR(AT11="",B11=""),"",AT11-B11))</f>
        <v/>
      </c>
      <c r="AV11" s="60">
        <f>IF(C11="","",IFERROR(INDEX('Saisie'!$L$5:$L$2004,_xlfn.MAXIFS('Saisie'!$AS$5:$AS$2004,'Saisie'!$C$5:$C$2004,C11,'Saisie'!$L$5:$L$2004,"&lt;&gt;")-4),""))</f>
        <v/>
      </c>
      <c r="AW11" s="106">
        <f>IF(C11="","",IF(D11&lt;&gt;"Perdu","",IFERROR(1/(1/_xlfn.MAXIFS('Saisie'!$A$5:$A$2004,'Saisie'!$C$5:$C$2004,C11,'Saisie'!$E$5:$E$2004,"Perdu")),"")))</f>
        <v/>
      </c>
      <c r="AX11" s="106">
        <f>IF(C11="","",IF(AW11="","",AW11+'Paramètres'!$B$28))</f>
        <v/>
      </c>
      <c r="AY11" s="60">
        <f>IF(C11="","",SUMIFS('Saisie'!$H$5:$H$2004,'Saisie'!$C$5:$C$2004,C11))</f>
        <v/>
      </c>
      <c r="AZ11" s="60">
        <f>IF(C11="","",IFERROR(INDEX('Paramètres'!$W$6:$W$20,MATCH(S11,'Paramètres'!$V$6:$V$20,0))&amp;"",""))</f>
        <v/>
      </c>
      <c r="BA11" s="60">
        <f>IF(C11="","",MAX(1,_xlfn.MAXIFS('Saisie'!$AT$5:$AT$2004,'Saisie'!$C$5:$C$2004,C11)))</f>
        <v/>
      </c>
      <c r="BB11" s="60">
        <f>IF(C11="","",IFERROR(INDEX('Saisie'!$X$5:$X$2004,_xlfn.MAXIFS('Saisie'!$AS$5:$AS$2004,'Saisie'!$C$5:$C$2004,C11,'Saisie'!$X$5:$X$2004,"&lt;&gt;")-4),""))</f>
        <v/>
      </c>
      <c r="BC11" s="60">
        <f>IF(C11="","",IFERROR(INDEX('Saisie'!$Y$5:$Y$2004,_xlfn.MAXIFS('Saisie'!$AS$5:$AS$2004,'Saisie'!$C$5:$C$2004,C11,'Saisie'!$Y$5:$Y$2004,"&lt;&gt;")-4),""))</f>
        <v/>
      </c>
      <c r="BD11" s="106">
        <f>IF(C11="","",IFERROR(1/(1/_xlfn.MINIFS('Saisie'!$A$5:$A$2004,'Saisie'!$C$5:$C$2004,C11,'Saisie'!$AT$5:$AT$2004,"&gt;=2")),""))</f>
        <v/>
      </c>
      <c r="BE11" s="106">
        <f>IF(C11="","",IFERROR(1/(1/_xlfn.MINIFS('Saisie'!$A$5:$A$2004,'Saisie'!$C$5:$C$2004,C11,'Saisie'!$AT$5:$AT$2004,"&gt;=3")),""))</f>
        <v/>
      </c>
      <c r="BF11" s="106">
        <f>IF(C11="","",IFERROR(1/(1/_xlfn.MINIFS('Saisie'!$A$5:$A$2004,'Saisie'!$C$5:$C$2004,C11,'Saisie'!$AT$5:$AT$2004,"&gt;=4")),""))</f>
        <v/>
      </c>
      <c r="BG11" s="106">
        <f>IF(C11="","",IFERROR(1/(1/_xlfn.MINIFS('Saisie'!$A$5:$A$2004,'Saisie'!$C$5:$C$2004,C11,'Saisie'!$AT$5:$AT$2004,"&gt;=5")),""))</f>
        <v/>
      </c>
      <c r="BH11" s="106">
        <f>IF(C11="","",IFERROR(1/(1/_xlfn.MINIFS('Saisie'!$A$5:$A$2004,'Saisie'!$C$5:$C$2004,C11,'Saisie'!$AT$5:$AT$2004,"&gt;=6")),""))</f>
        <v/>
      </c>
      <c r="BI11" s="106">
        <f>IF(C11="","",IFERROR(1/(1/_xlfn.MINIFS('Saisie'!$A$5:$A$2004,'Saisie'!$C$5:$C$2004,C11,'Saisie'!$AT$5:$AT$2004,"&gt;=7")),""))</f>
        <v/>
      </c>
      <c r="BJ11" s="60">
        <f>IF(OR(BD11="",B11=""),"",BD11-B11)</f>
        <v/>
      </c>
      <c r="BK11" s="60">
        <f>IF(OR(BE11="",BD11=""),"",BE11-BD11)</f>
        <v/>
      </c>
      <c r="BL11" s="60">
        <f>IF(OR(BF11="",BE11=""),"",BF11-BE11)</f>
        <v/>
      </c>
      <c r="BM11" s="60">
        <f>IF(OR(BG11="",BF11=""),"",BG11-BF11)</f>
        <v/>
      </c>
      <c r="BN11" s="60">
        <f>IF(OR(BH11="",BG11=""),"",BH11-BG11)</f>
        <v/>
      </c>
      <c r="BO11" s="60">
        <f>IF(OR(BI11="",BH11=""),"",BI11-BH11)</f>
        <v/>
      </c>
      <c r="BP11" s="60">
        <f>IF(C11="","",_xlfn.MAXIFS('Saisie'!$AS$5:$AS$2004,'Saisie'!$C$5:$C$2004,C11,'Saisie'!$J$5:$J$2004,"&lt;&gt;"))</f>
        <v/>
      </c>
      <c r="BQ11" s="60">
        <f>IF(C11="","",_xlfn.MAXIFS('Saisie'!$AS$5:$AS$2004,'Saisie'!$C$5:$C$2004,C11))</f>
        <v/>
      </c>
      <c r="BR11" s="60">
        <f>IF(C11="","",_xlfn.MAXIFS('Saisie'!$AS$5:$AS$2004,'Saisie'!$C$5:$C$2004,C11,'Saisie'!$E$5:$E$2004,"Perdu"))</f>
        <v/>
      </c>
      <c r="BS11" s="60">
        <f>IF(C11="","",_xlfn.MAXIFS('Saisie'!$AS$5:$AS$2004,'Saisie'!$C$5:$C$2004,C11,'Saisie'!$AT$5:$AT$2004,"&gt;0"))</f>
        <v/>
      </c>
      <c r="BT11" s="109">
        <f>IF(AND(C11&lt;&gt;"",OR(D11="Nouveau",D11="Contacté",D11="Qualifié"),OR(G11="",N(G11)&lt;=TODAY()),NOT(AND(O11&gt;='Paramètres'!$B$21,P11=0))),E11+7/10000,"")</f>
        <v/>
      </c>
      <c r="BU11" s="60">
        <f>IF(AND(G11&lt;&gt;"",N(G11)&lt;=TODAY()),MAX($BU$4:BU10)+1,"")</f>
        <v/>
      </c>
      <c r="BV11" s="60">
        <f>IF(AND(F11&lt;&gt;"",F11&lt;&gt;"Relance en retard"),MAX($BV$4:BV10)+1,"")</f>
        <v/>
      </c>
      <c r="BW11" s="60">
        <f>IF(C11="","",IF(AND(B11&gt;='Tableau de bord'!$R$4,B11&lt;='Tableau de bord'!$S$4,OR('Tableau de bord'!$G$4="Tous",N11='Tableau de bord'!$G$4)),1,0))</f>
        <v/>
      </c>
      <c r="BX11" s="60">
        <f>IF(AND(C11&lt;&gt;"",N(BA11)=7),MAX($BX$4:BX10)+1,"")</f>
        <v/>
      </c>
    </row>
    <row r="12">
      <c r="A12" s="60">
        <f>IF(C12="","","P-"&amp;TEXT(8,"000"))</f>
        <v/>
      </c>
      <c r="B12" s="106">
        <f>IF(C12="","",IFERROR(1/(1/_xlfn.MINIFS('Saisie'!$A$5:$A$2004,'Saisie'!$C$5:$C$2004,C12)),""))</f>
        <v/>
      </c>
      <c r="C12" s="60">
        <f>IFERROR(INDEX('Saisie'!$C$5:$C$2004,MATCH(8,'Saisie'!$AX$5:$AX$2004,0)),"")</f>
        <v/>
      </c>
      <c r="D12" s="60">
        <f>IF(C12="","",IF(AND(BR12&gt;0,BR12&gt;BS12,BA12&lt;7),"Perdu",INDEX('Paramètres'!$F$6:$F$13,BA12)))</f>
        <v/>
      </c>
      <c r="E12" s="61">
        <f>IF(C12="","",MIN(100,(Z12="Oui")*'Paramètres'!$B$38+(AB12="Régulière")*'Paramètres'!$B$39+IF(AND(N(AA12)&gt;0,TODAY()-N(AA12)&lt;=30),'Paramètres'!$B$40,0)+(W12="")*'Paramètres'!$B$41+(AC12="Absente")*'Paramètres'!$B$42+(AC12="Faible")*'Paramètres'!$B$43+IF(AND(N(AD12)&gt;0,N(AD12)&lt;4),'Paramètres'!$B$44,0)+(AF12="Moyenne")*'Paramètres'!$B$45+(AF12="Grande")*'Paramètres'!$B$46+(Y12&lt;&gt;"")*'Paramètres'!$B$47))</f>
        <v/>
      </c>
      <c r="F12" s="60">
        <f>IF(C12="","",IF(D12="Gagné","",IF(D12="Perdu",IF(AND(AX12&lt;&gt;"",AX12&lt;=TODAY()),"À recontacter (perdu)",""),IF(AND(O12&gt;='Paramètres'!$B$21,P12=0),"Stop : "&amp;'Paramètres'!$B$21&amp;" tentatives sans réponse",IF(AND(D12="Proposition",AR12&lt;&gt;"",TODAY()&gt;N(AR12)),"Proposition expirée",IF(AND(D12="Proposition",N(R12)&gt;='Paramètres'!$B$25),"Proposition sans réponse",IF(AND(G12&lt;&gt;"",N(G12)&lt;TODAY()),"Relance en retard",IF(N(R12)&gt;='Paramètres'!$B$24,"Sans action depuis "&amp;R12&amp;" j",""))))))))</f>
        <v/>
      </c>
      <c r="G12" s="106">
        <f>IF(OR(C12="",D12="Gagné",D12="Perdu"),"",IF(AND(BP12&gt;0,BP12=BQ12),INDEX('Saisie'!$J$5:$J$2004,BP12-4),IF(OR(O12=0,AND(O12&gt;='Paramètres'!$B$21,P12=0)),"",Q12+IF(O12&lt;=1,'Paramètres'!$B$18,IF(O12=2,'Paramètres'!$B$19,'Paramètres'!$B$20)))))</f>
        <v/>
      </c>
      <c r="H12" s="107">
        <f>IF(OR(G12="",BP12&lt;&gt;BQ12),"",IF(INDEX('Saisie'!$K$5:$K$2004,BP12-4)="","",INDEX('Saisie'!$K$5:$K$2004,BP12-4)))</f>
        <v/>
      </c>
      <c r="I12" s="60">
        <f>IF(C12="","",IF(OR(D12="Gagné",D12="Perdu"),"",IFERROR(INDEX('Saisie'!$I$5:$I$2004,_xlfn.MAXIFS('Saisie'!$AS$5:$AS$2004,'Saisie'!$C$5:$C$2004,C12,'Saisie'!$I$5:$I$2004,"&lt;&gt;")-4),"")))</f>
        <v/>
      </c>
      <c r="J12" s="60">
        <f>IF(C12="","",IFERROR(INDEX('Saisie'!$U$5:$U$2004,_xlfn.MAXIFS('Saisie'!$AS$5:$AS$2004,'Saisie'!$C$5:$C$2004,C12,'Saisie'!$U$5:$U$2004,"&lt;&gt;")-4),""))</f>
        <v/>
      </c>
      <c r="K12" s="60">
        <f>IF(C12="","",IFERROR(INDEX('Saisie'!$W$5:$W$2004,_xlfn.MAXIFS('Saisie'!$AS$5:$AS$2004,'Saisie'!$C$5:$C$2004,C12,'Saisie'!$W$5:$W$2004,"&lt;&gt;")-4),""))</f>
        <v/>
      </c>
      <c r="L12" s="60">
        <f>IF(IF(BB12&lt;&gt;"",BB12,K12)="","",HYPERLINK("https://wa.me/"&amp;IF(LEFT(SUBSTITUTE(SUBSTITUTE(SUBSTITUTE(IF(BB12&lt;&gt;"",BB12,K12)," ",""),".",""),"+",""),1)="0",'Paramètres'!$B$35&amp;MID(SUBSTITUTE(SUBSTITUTE(SUBSTITUTE(IF(BB12&lt;&gt;"",BB12,K12)," ",""),".",""),"+",""),2,20),SUBSTITUTE(SUBSTITUTE(SUBSTITUTE(IF(BB12&lt;&gt;"",BB12,K12)," ",""),".",""),"+","")),"WhatsApp"))</f>
        <v/>
      </c>
      <c r="M12" s="60">
        <f>IF(BC12="","",HYPERLINK(IF(LEFT(BC12,4)="http",BC12,"https://www.instagram.com/"&amp;SUBSTITUTE(SUBSTITUTE(BC12,"@","")," ","")),BC12))</f>
        <v/>
      </c>
      <c r="N12" s="60">
        <f>IF(C12="","",IFERROR(INDEX('Saisie'!$D$5:$D$2004,_xlfn.MINIFS('Saisie'!$AS$5:$AS$2004,'Saisie'!$C$5:$C$2004,C12,'Saisie'!$AU$5:$AU$2004,1)-4),IFERROR(INDEX('Saisie'!$D$5:$D$2004,_xlfn.MINIFS('Saisie'!$AS$5:$AS$2004,'Saisie'!$C$5:$C$2004,C12,'Saisie'!$D$5:$D$2004,"&lt;&gt;")-4),"")))</f>
        <v/>
      </c>
      <c r="O12" s="60">
        <f>IF(C12="","",COUNTIFS('Saisie'!$C$5:$C$2004,C12,'Saisie'!$AU$5:$AU$2004,1))</f>
        <v/>
      </c>
      <c r="P12" s="60">
        <f>IF(C12="","",COUNTIFS('Saisie'!$C$5:$C$2004,C12,'Saisie'!$AV$5:$AV$2004,1))</f>
        <v/>
      </c>
      <c r="Q12" s="106">
        <f>IF(C12="","",IFERROR(1/(1/_xlfn.MAXIFS('Saisie'!$A$5:$A$2004,'Saisie'!$C$5:$C$2004,C12)),""))</f>
        <v/>
      </c>
      <c r="R12" s="61">
        <f>IF(C12="","",IF(Q12="","",TODAY()-Q12))</f>
        <v/>
      </c>
      <c r="S12" s="60">
        <f>IF(C12="","",IFERROR(INDEX('Saisie'!$R$5:$R$2004,_xlfn.MAXIFS('Saisie'!$AS$5:$AS$2004,'Saisie'!$C$5:$C$2004,C12,'Saisie'!$R$5:$R$2004,"&lt;&gt;")-4),""))</f>
        <v/>
      </c>
      <c r="T12" s="60">
        <f>IF(C12="","",IFERROR(INDEX('Saisie'!$S$5:$S$2004,_xlfn.MAXIFS('Saisie'!$AS$5:$AS$2004,'Saisie'!$C$5:$C$2004,C12,'Saisie'!$S$5:$S$2004,"&lt;&gt;")-4),""))</f>
        <v/>
      </c>
      <c r="U12" s="60">
        <f>IF(C12="","",IFERROR(INDEX('Saisie'!$T$5:$T$2004,_xlfn.MAXIFS('Saisie'!$AS$5:$AS$2004,'Saisie'!$C$5:$C$2004,C12,'Saisie'!$T$5:$T$2004,"&lt;&gt;")-4),""))</f>
        <v/>
      </c>
      <c r="V12" s="60">
        <f>IF(C12="","",IFERROR(INDEX('Saisie'!$V$5:$V$2004,_xlfn.MAXIFS('Saisie'!$AS$5:$AS$2004,'Saisie'!$C$5:$C$2004,C12,'Saisie'!$V$5:$V$2004,"&lt;&gt;")-4),""))</f>
        <v/>
      </c>
      <c r="W12" s="60">
        <f>IF(C12="","",IFERROR(INDEX('Saisie'!$Z$5:$Z$2004,_xlfn.MAXIFS('Saisie'!$AS$5:$AS$2004,'Saisie'!$C$5:$C$2004,C12,'Saisie'!$Z$5:$Z$2004,"&lt;&gt;")-4),""))</f>
        <v/>
      </c>
      <c r="X12" s="60">
        <f>IF(C12="","",IFERROR(INDEX('Saisie'!$AA$5:$AA$2004,_xlfn.MAXIFS('Saisie'!$AS$5:$AS$2004,'Saisie'!$C$5:$C$2004,C12,'Saisie'!$AA$5:$AA$2004,"&lt;&gt;")-4),""))</f>
        <v/>
      </c>
      <c r="Y12" s="60">
        <f>IF(C12="","",IFERROR(INDEX('Saisie'!$AB$5:$AB$2004,_xlfn.MAXIFS('Saisie'!$AS$5:$AS$2004,'Saisie'!$C$5:$C$2004,C12,'Saisie'!$AB$5:$AB$2004,"&lt;&gt;")-4),""))</f>
        <v/>
      </c>
      <c r="Z12" s="60">
        <f>IF(C12="","",IFERROR(INDEX('Saisie'!$AC$5:$AC$2004,_xlfn.MAXIFS('Saisie'!$AS$5:$AS$2004,'Saisie'!$C$5:$C$2004,C12,'Saisie'!$AC$5:$AC$2004,"&lt;&gt;")-4),""))</f>
        <v/>
      </c>
      <c r="AA12" s="106">
        <f>IF(C12="","",IFERROR(INDEX('Saisie'!$AD$5:$AD$2004,_xlfn.MAXIFS('Saisie'!$AS$5:$AS$2004,'Saisie'!$C$5:$C$2004,C12,'Saisie'!$AD$5:$AD$2004,"&lt;&gt;")-4),""))</f>
        <v/>
      </c>
      <c r="AB12" s="60">
        <f>IF(C12="","",IFERROR(INDEX('Saisie'!$AE$5:$AE$2004,_xlfn.MAXIFS('Saisie'!$AS$5:$AS$2004,'Saisie'!$C$5:$C$2004,C12,'Saisie'!$AE$5:$AE$2004,"&lt;&gt;")-4),""))</f>
        <v/>
      </c>
      <c r="AC12" s="60">
        <f>IF(C12="","",IFERROR(INDEX('Saisie'!$AF$5:$AF$2004,_xlfn.MAXIFS('Saisie'!$AS$5:$AS$2004,'Saisie'!$C$5:$C$2004,C12,'Saisie'!$AF$5:$AF$2004,"&lt;&gt;")-4),""))</f>
        <v/>
      </c>
      <c r="AD12" s="108">
        <f>IF(C12="","",IFERROR(INDEX('Saisie'!$AG$5:$AG$2004,_xlfn.MAXIFS('Saisie'!$AS$5:$AS$2004,'Saisie'!$C$5:$C$2004,C12,'Saisie'!$AG$5:$AG$2004,"&lt;&gt;")-4),""))</f>
        <v/>
      </c>
      <c r="AE12" s="60">
        <f>IF(C12="","",IFERROR(INDEX('Saisie'!$AH$5:$AH$2004,_xlfn.MAXIFS('Saisie'!$AS$5:$AS$2004,'Saisie'!$C$5:$C$2004,C12,'Saisie'!$AH$5:$AH$2004,"&lt;&gt;")-4),""))</f>
        <v/>
      </c>
      <c r="AF12" s="60">
        <f>IF(C12="","",IFERROR(INDEX('Saisie'!$AI$5:$AI$2004,_xlfn.MAXIFS('Saisie'!$AS$5:$AS$2004,'Saisie'!$C$5:$C$2004,C12,'Saisie'!$AI$5:$AI$2004,"&lt;&gt;")-4),""))</f>
        <v/>
      </c>
      <c r="AG12" s="60">
        <f>IF(C12="","",IFERROR(INDEX('Saisie'!$AJ$5:$AJ$2004,_xlfn.MAXIFS('Saisie'!$AS$5:$AS$2004,'Saisie'!$C$5:$C$2004,C12,'Saisie'!$AJ$5:$AJ$2004,"&lt;&gt;")-4),""))</f>
        <v/>
      </c>
      <c r="AH12" s="60">
        <f>IF(C12="","",IFERROR(INDEX('Saisie'!$AK$5:$AK$2004,_xlfn.MAXIFS('Saisie'!$AS$5:$AS$2004,'Saisie'!$C$5:$C$2004,C12,'Saisie'!$AK$5:$AK$2004,"&lt;&gt;")-4),""))</f>
        <v/>
      </c>
      <c r="AI12" s="60">
        <f>IF(C12="","",IFERROR(INDEX('Saisie'!$AN$5:$AN$2004,_xlfn.MAXIFS('Saisie'!$AS$5:$AS$2004,'Saisie'!$C$5:$C$2004,C12,'Saisie'!$AN$5:$AN$2004,"&lt;&gt;")-4),""))</f>
        <v/>
      </c>
      <c r="AJ12" s="60">
        <f>IF(C12="","",IFERROR(INDEX('Saisie'!$AO$5:$AO$2004,_xlfn.MAXIFS('Saisie'!$AS$5:$AS$2004,'Saisie'!$C$5:$C$2004,C12,'Saisie'!$AO$5:$AO$2004,"&lt;&gt;")-4),""))</f>
        <v/>
      </c>
      <c r="AK12" s="60">
        <f>IF(C12="","",IFERROR(INDEX('Saisie'!$AP$5:$AP$2004,_xlfn.MAXIFS('Saisie'!$AS$5:$AS$2004,'Saisie'!$C$5:$C$2004,C12,'Saisie'!$AP$5:$AP$2004,"&lt;&gt;")-4),""))</f>
        <v/>
      </c>
      <c r="AL12" s="60">
        <f>IF(C12="","",IFERROR(INDEX('Saisie'!$AQ$5:$AQ$2004,_xlfn.MAXIFS('Saisie'!$AS$5:$AS$2004,'Saisie'!$C$5:$C$2004,C12,'Saisie'!$AQ$5:$AQ$2004,"&lt;&gt;")-4),""))</f>
        <v/>
      </c>
      <c r="AM12" s="60">
        <f>IF(C12="","",((AI12="Oui")+(AJ12="Oui")+(AK12="Oui")+OR(AL12="Immédiat",AL12="&lt; 1 mois"))&amp;"/4")</f>
        <v/>
      </c>
      <c r="AN12" s="60">
        <f>IF(C12="","",IFERROR(INDEX('Saisie'!$AL$5:$AL$2004,_xlfn.MAXIFS('Saisie'!$AS$5:$AS$2004,'Saisie'!$C$5:$C$2004,C12,'Saisie'!$AL$5:$AL$2004,"&lt;&gt;")-4),""))</f>
        <v/>
      </c>
      <c r="AO12" s="62">
        <f>IF(C12="","",IF(IFERROR(INDEX('Saisie'!$AM$5:$AM$2004,_xlfn.MAXIFS('Saisie'!$AS$5:$AS$2004,'Saisie'!$C$5:$C$2004,C12,'Saisie'!$AM$5:$AM$2004,"&lt;&gt;")-4),"")&lt;&gt;"",IFERROR(INDEX('Saisie'!$AM$5:$AM$2004,_xlfn.MAXIFS('Saisie'!$AS$5:$AS$2004,'Saisie'!$C$5:$C$2004,C12,'Saisie'!$AM$5:$AM$2004,"&lt;&gt;")-4),""),IFERROR(INDEX('Paramètres'!$S$6:$S$15,MATCH(AN12,'Paramètres'!$Q$6:$Q$15,0)),"")))</f>
        <v/>
      </c>
      <c r="AP12" s="62">
        <f>IF(C12="","",IFERROR(INDEX('Saisie'!$AW$5:$AW$2004,_xlfn.MAXIFS('Saisie'!$AS$5:$AS$2004,'Saisie'!$C$5:$C$2004,C12,'Saisie'!$E$5:$E$2004,"Proposition envoyée")-4),""))</f>
        <v/>
      </c>
      <c r="AQ12" s="106">
        <f>IF(C12="","",IFERROR(1/(1/_xlfn.MAXIFS('Saisie'!$A$5:$A$2004,'Saisie'!$C$5:$C$2004,C12,'Saisie'!$E$5:$E$2004,"Proposition envoyée")),""))</f>
        <v/>
      </c>
      <c r="AR12" s="106">
        <f>IF(C12="","",IF(AQ12="","",AQ12+'Paramètres'!$B$26))</f>
        <v/>
      </c>
      <c r="AS12" s="62">
        <f>IF(OR(C12="",D12="Gagné",D12="Perdu"),0,N(AP12)*IFERROR(INDEX('Paramètres'!$G$6:$G$13,MATCH(D12,'Paramètres'!$F$6:$F$13,0)),0))</f>
        <v/>
      </c>
      <c r="AT12" s="106">
        <f>IF(C12="","",IFERROR(1/(1/_xlfn.MINIFS('Saisie'!$A$5:$A$2004,'Saisie'!$C$5:$C$2004,C12,'Saisie'!$E$5:$E$2004,"Signature")),""))</f>
        <v/>
      </c>
      <c r="AU12" s="60">
        <f>IF(C12="","",IF(OR(AT12="",B12=""),"",AT12-B12))</f>
        <v/>
      </c>
      <c r="AV12" s="60">
        <f>IF(C12="","",IFERROR(INDEX('Saisie'!$L$5:$L$2004,_xlfn.MAXIFS('Saisie'!$AS$5:$AS$2004,'Saisie'!$C$5:$C$2004,C12,'Saisie'!$L$5:$L$2004,"&lt;&gt;")-4),""))</f>
        <v/>
      </c>
      <c r="AW12" s="106">
        <f>IF(C12="","",IF(D12&lt;&gt;"Perdu","",IFERROR(1/(1/_xlfn.MAXIFS('Saisie'!$A$5:$A$2004,'Saisie'!$C$5:$C$2004,C12,'Saisie'!$E$5:$E$2004,"Perdu")),"")))</f>
        <v/>
      </c>
      <c r="AX12" s="106">
        <f>IF(C12="","",IF(AW12="","",AW12+'Paramètres'!$B$28))</f>
        <v/>
      </c>
      <c r="AY12" s="60">
        <f>IF(C12="","",SUMIFS('Saisie'!$H$5:$H$2004,'Saisie'!$C$5:$C$2004,C12))</f>
        <v/>
      </c>
      <c r="AZ12" s="60">
        <f>IF(C12="","",IFERROR(INDEX('Paramètres'!$W$6:$W$20,MATCH(S12,'Paramètres'!$V$6:$V$20,0))&amp;"",""))</f>
        <v/>
      </c>
      <c r="BA12" s="60">
        <f>IF(C12="","",MAX(1,_xlfn.MAXIFS('Saisie'!$AT$5:$AT$2004,'Saisie'!$C$5:$C$2004,C12)))</f>
        <v/>
      </c>
      <c r="BB12" s="60">
        <f>IF(C12="","",IFERROR(INDEX('Saisie'!$X$5:$X$2004,_xlfn.MAXIFS('Saisie'!$AS$5:$AS$2004,'Saisie'!$C$5:$C$2004,C12,'Saisie'!$X$5:$X$2004,"&lt;&gt;")-4),""))</f>
        <v/>
      </c>
      <c r="BC12" s="60">
        <f>IF(C12="","",IFERROR(INDEX('Saisie'!$Y$5:$Y$2004,_xlfn.MAXIFS('Saisie'!$AS$5:$AS$2004,'Saisie'!$C$5:$C$2004,C12,'Saisie'!$Y$5:$Y$2004,"&lt;&gt;")-4),""))</f>
        <v/>
      </c>
      <c r="BD12" s="106">
        <f>IF(C12="","",IFERROR(1/(1/_xlfn.MINIFS('Saisie'!$A$5:$A$2004,'Saisie'!$C$5:$C$2004,C12,'Saisie'!$AT$5:$AT$2004,"&gt;=2")),""))</f>
        <v/>
      </c>
      <c r="BE12" s="106">
        <f>IF(C12="","",IFERROR(1/(1/_xlfn.MINIFS('Saisie'!$A$5:$A$2004,'Saisie'!$C$5:$C$2004,C12,'Saisie'!$AT$5:$AT$2004,"&gt;=3")),""))</f>
        <v/>
      </c>
      <c r="BF12" s="106">
        <f>IF(C12="","",IFERROR(1/(1/_xlfn.MINIFS('Saisie'!$A$5:$A$2004,'Saisie'!$C$5:$C$2004,C12,'Saisie'!$AT$5:$AT$2004,"&gt;=4")),""))</f>
        <v/>
      </c>
      <c r="BG12" s="106">
        <f>IF(C12="","",IFERROR(1/(1/_xlfn.MINIFS('Saisie'!$A$5:$A$2004,'Saisie'!$C$5:$C$2004,C12,'Saisie'!$AT$5:$AT$2004,"&gt;=5")),""))</f>
        <v/>
      </c>
      <c r="BH12" s="106">
        <f>IF(C12="","",IFERROR(1/(1/_xlfn.MINIFS('Saisie'!$A$5:$A$2004,'Saisie'!$C$5:$C$2004,C12,'Saisie'!$AT$5:$AT$2004,"&gt;=6")),""))</f>
        <v/>
      </c>
      <c r="BI12" s="106">
        <f>IF(C12="","",IFERROR(1/(1/_xlfn.MINIFS('Saisie'!$A$5:$A$2004,'Saisie'!$C$5:$C$2004,C12,'Saisie'!$AT$5:$AT$2004,"&gt;=7")),""))</f>
        <v/>
      </c>
      <c r="BJ12" s="60">
        <f>IF(OR(BD12="",B12=""),"",BD12-B12)</f>
        <v/>
      </c>
      <c r="BK12" s="60">
        <f>IF(OR(BE12="",BD12=""),"",BE12-BD12)</f>
        <v/>
      </c>
      <c r="BL12" s="60">
        <f>IF(OR(BF12="",BE12=""),"",BF12-BE12)</f>
        <v/>
      </c>
      <c r="BM12" s="60">
        <f>IF(OR(BG12="",BF12=""),"",BG12-BF12)</f>
        <v/>
      </c>
      <c r="BN12" s="60">
        <f>IF(OR(BH12="",BG12=""),"",BH12-BG12)</f>
        <v/>
      </c>
      <c r="BO12" s="60">
        <f>IF(OR(BI12="",BH12=""),"",BI12-BH12)</f>
        <v/>
      </c>
      <c r="BP12" s="60">
        <f>IF(C12="","",_xlfn.MAXIFS('Saisie'!$AS$5:$AS$2004,'Saisie'!$C$5:$C$2004,C12,'Saisie'!$J$5:$J$2004,"&lt;&gt;"))</f>
        <v/>
      </c>
      <c r="BQ12" s="60">
        <f>IF(C12="","",_xlfn.MAXIFS('Saisie'!$AS$5:$AS$2004,'Saisie'!$C$5:$C$2004,C12))</f>
        <v/>
      </c>
      <c r="BR12" s="60">
        <f>IF(C12="","",_xlfn.MAXIFS('Saisie'!$AS$5:$AS$2004,'Saisie'!$C$5:$C$2004,C12,'Saisie'!$E$5:$E$2004,"Perdu"))</f>
        <v/>
      </c>
      <c r="BS12" s="60">
        <f>IF(C12="","",_xlfn.MAXIFS('Saisie'!$AS$5:$AS$2004,'Saisie'!$C$5:$C$2004,C12,'Saisie'!$AT$5:$AT$2004,"&gt;0"))</f>
        <v/>
      </c>
      <c r="BT12" s="109">
        <f>IF(AND(C12&lt;&gt;"",OR(D12="Nouveau",D12="Contacté",D12="Qualifié"),OR(G12="",N(G12)&lt;=TODAY()),NOT(AND(O12&gt;='Paramètres'!$B$21,P12=0))),E12+8/10000,"")</f>
        <v/>
      </c>
      <c r="BU12" s="60">
        <f>IF(AND(G12&lt;&gt;"",N(G12)&lt;=TODAY()),MAX($BU$4:BU11)+1,"")</f>
        <v/>
      </c>
      <c r="BV12" s="60">
        <f>IF(AND(F12&lt;&gt;"",F12&lt;&gt;"Relance en retard"),MAX($BV$4:BV11)+1,"")</f>
        <v/>
      </c>
      <c r="BW12" s="60">
        <f>IF(C12="","",IF(AND(B12&gt;='Tableau de bord'!$R$4,B12&lt;='Tableau de bord'!$S$4,OR('Tableau de bord'!$G$4="Tous",N12='Tableau de bord'!$G$4)),1,0))</f>
        <v/>
      </c>
      <c r="BX12" s="60">
        <f>IF(AND(C12&lt;&gt;"",N(BA12)=7),MAX($BX$4:BX11)+1,"")</f>
        <v/>
      </c>
    </row>
    <row r="13">
      <c r="A13" s="60">
        <f>IF(C13="","","P-"&amp;TEXT(9,"000"))</f>
        <v/>
      </c>
      <c r="B13" s="106">
        <f>IF(C13="","",IFERROR(1/(1/_xlfn.MINIFS('Saisie'!$A$5:$A$2004,'Saisie'!$C$5:$C$2004,C13)),""))</f>
        <v/>
      </c>
      <c r="C13" s="60">
        <f>IFERROR(INDEX('Saisie'!$C$5:$C$2004,MATCH(9,'Saisie'!$AX$5:$AX$2004,0)),"")</f>
        <v/>
      </c>
      <c r="D13" s="60">
        <f>IF(C13="","",IF(AND(BR13&gt;0,BR13&gt;BS13,BA13&lt;7),"Perdu",INDEX('Paramètres'!$F$6:$F$13,BA13)))</f>
        <v/>
      </c>
      <c r="E13" s="61">
        <f>IF(C13="","",MIN(100,(Z13="Oui")*'Paramètres'!$B$38+(AB13="Régulière")*'Paramètres'!$B$39+IF(AND(N(AA13)&gt;0,TODAY()-N(AA13)&lt;=30),'Paramètres'!$B$40,0)+(W13="")*'Paramètres'!$B$41+(AC13="Absente")*'Paramètres'!$B$42+(AC13="Faible")*'Paramètres'!$B$43+IF(AND(N(AD13)&gt;0,N(AD13)&lt;4),'Paramètres'!$B$44,0)+(AF13="Moyenne")*'Paramètres'!$B$45+(AF13="Grande")*'Paramètres'!$B$46+(Y13&lt;&gt;"")*'Paramètres'!$B$47))</f>
        <v/>
      </c>
      <c r="F13" s="60">
        <f>IF(C13="","",IF(D13="Gagné","",IF(D13="Perdu",IF(AND(AX13&lt;&gt;"",AX13&lt;=TODAY()),"À recontacter (perdu)",""),IF(AND(O13&gt;='Paramètres'!$B$21,P13=0),"Stop : "&amp;'Paramètres'!$B$21&amp;" tentatives sans réponse",IF(AND(D13="Proposition",AR13&lt;&gt;"",TODAY()&gt;N(AR13)),"Proposition expirée",IF(AND(D13="Proposition",N(R13)&gt;='Paramètres'!$B$25),"Proposition sans réponse",IF(AND(G13&lt;&gt;"",N(G13)&lt;TODAY()),"Relance en retard",IF(N(R13)&gt;='Paramètres'!$B$24,"Sans action depuis "&amp;R13&amp;" j",""))))))))</f>
        <v/>
      </c>
      <c r="G13" s="106">
        <f>IF(OR(C13="",D13="Gagné",D13="Perdu"),"",IF(AND(BP13&gt;0,BP13=BQ13),INDEX('Saisie'!$J$5:$J$2004,BP13-4),IF(OR(O13=0,AND(O13&gt;='Paramètres'!$B$21,P13=0)),"",Q13+IF(O13&lt;=1,'Paramètres'!$B$18,IF(O13=2,'Paramètres'!$B$19,'Paramètres'!$B$20)))))</f>
        <v/>
      </c>
      <c r="H13" s="107">
        <f>IF(OR(G13="",BP13&lt;&gt;BQ13),"",IF(INDEX('Saisie'!$K$5:$K$2004,BP13-4)="","",INDEX('Saisie'!$K$5:$K$2004,BP13-4)))</f>
        <v/>
      </c>
      <c r="I13" s="60">
        <f>IF(C13="","",IF(OR(D13="Gagné",D13="Perdu"),"",IFERROR(INDEX('Saisie'!$I$5:$I$2004,_xlfn.MAXIFS('Saisie'!$AS$5:$AS$2004,'Saisie'!$C$5:$C$2004,C13,'Saisie'!$I$5:$I$2004,"&lt;&gt;")-4),"")))</f>
        <v/>
      </c>
      <c r="J13" s="60">
        <f>IF(C13="","",IFERROR(INDEX('Saisie'!$U$5:$U$2004,_xlfn.MAXIFS('Saisie'!$AS$5:$AS$2004,'Saisie'!$C$5:$C$2004,C13,'Saisie'!$U$5:$U$2004,"&lt;&gt;")-4),""))</f>
        <v/>
      </c>
      <c r="K13" s="60">
        <f>IF(C13="","",IFERROR(INDEX('Saisie'!$W$5:$W$2004,_xlfn.MAXIFS('Saisie'!$AS$5:$AS$2004,'Saisie'!$C$5:$C$2004,C13,'Saisie'!$W$5:$W$2004,"&lt;&gt;")-4),""))</f>
        <v/>
      </c>
      <c r="L13" s="60">
        <f>IF(IF(BB13&lt;&gt;"",BB13,K13)="","",HYPERLINK("https://wa.me/"&amp;IF(LEFT(SUBSTITUTE(SUBSTITUTE(SUBSTITUTE(IF(BB13&lt;&gt;"",BB13,K13)," ",""),".",""),"+",""),1)="0",'Paramètres'!$B$35&amp;MID(SUBSTITUTE(SUBSTITUTE(SUBSTITUTE(IF(BB13&lt;&gt;"",BB13,K13)," ",""),".",""),"+",""),2,20),SUBSTITUTE(SUBSTITUTE(SUBSTITUTE(IF(BB13&lt;&gt;"",BB13,K13)," ",""),".",""),"+","")),"WhatsApp"))</f>
        <v/>
      </c>
      <c r="M13" s="60">
        <f>IF(BC13="","",HYPERLINK(IF(LEFT(BC13,4)="http",BC13,"https://www.instagram.com/"&amp;SUBSTITUTE(SUBSTITUTE(BC13,"@","")," ","")),BC13))</f>
        <v/>
      </c>
      <c r="N13" s="60">
        <f>IF(C13="","",IFERROR(INDEX('Saisie'!$D$5:$D$2004,_xlfn.MINIFS('Saisie'!$AS$5:$AS$2004,'Saisie'!$C$5:$C$2004,C13,'Saisie'!$AU$5:$AU$2004,1)-4),IFERROR(INDEX('Saisie'!$D$5:$D$2004,_xlfn.MINIFS('Saisie'!$AS$5:$AS$2004,'Saisie'!$C$5:$C$2004,C13,'Saisie'!$D$5:$D$2004,"&lt;&gt;")-4),"")))</f>
        <v/>
      </c>
      <c r="O13" s="60">
        <f>IF(C13="","",COUNTIFS('Saisie'!$C$5:$C$2004,C13,'Saisie'!$AU$5:$AU$2004,1))</f>
        <v/>
      </c>
      <c r="P13" s="60">
        <f>IF(C13="","",COUNTIFS('Saisie'!$C$5:$C$2004,C13,'Saisie'!$AV$5:$AV$2004,1))</f>
        <v/>
      </c>
      <c r="Q13" s="106">
        <f>IF(C13="","",IFERROR(1/(1/_xlfn.MAXIFS('Saisie'!$A$5:$A$2004,'Saisie'!$C$5:$C$2004,C13)),""))</f>
        <v/>
      </c>
      <c r="R13" s="61">
        <f>IF(C13="","",IF(Q13="","",TODAY()-Q13))</f>
        <v/>
      </c>
      <c r="S13" s="60">
        <f>IF(C13="","",IFERROR(INDEX('Saisie'!$R$5:$R$2004,_xlfn.MAXIFS('Saisie'!$AS$5:$AS$2004,'Saisie'!$C$5:$C$2004,C13,'Saisie'!$R$5:$R$2004,"&lt;&gt;")-4),""))</f>
        <v/>
      </c>
      <c r="T13" s="60">
        <f>IF(C13="","",IFERROR(INDEX('Saisie'!$S$5:$S$2004,_xlfn.MAXIFS('Saisie'!$AS$5:$AS$2004,'Saisie'!$C$5:$C$2004,C13,'Saisie'!$S$5:$S$2004,"&lt;&gt;")-4),""))</f>
        <v/>
      </c>
      <c r="U13" s="60">
        <f>IF(C13="","",IFERROR(INDEX('Saisie'!$T$5:$T$2004,_xlfn.MAXIFS('Saisie'!$AS$5:$AS$2004,'Saisie'!$C$5:$C$2004,C13,'Saisie'!$T$5:$T$2004,"&lt;&gt;")-4),""))</f>
        <v/>
      </c>
      <c r="V13" s="60">
        <f>IF(C13="","",IFERROR(INDEX('Saisie'!$V$5:$V$2004,_xlfn.MAXIFS('Saisie'!$AS$5:$AS$2004,'Saisie'!$C$5:$C$2004,C13,'Saisie'!$V$5:$V$2004,"&lt;&gt;")-4),""))</f>
        <v/>
      </c>
      <c r="W13" s="60">
        <f>IF(C13="","",IFERROR(INDEX('Saisie'!$Z$5:$Z$2004,_xlfn.MAXIFS('Saisie'!$AS$5:$AS$2004,'Saisie'!$C$5:$C$2004,C13,'Saisie'!$Z$5:$Z$2004,"&lt;&gt;")-4),""))</f>
        <v/>
      </c>
      <c r="X13" s="60">
        <f>IF(C13="","",IFERROR(INDEX('Saisie'!$AA$5:$AA$2004,_xlfn.MAXIFS('Saisie'!$AS$5:$AS$2004,'Saisie'!$C$5:$C$2004,C13,'Saisie'!$AA$5:$AA$2004,"&lt;&gt;")-4),""))</f>
        <v/>
      </c>
      <c r="Y13" s="60">
        <f>IF(C13="","",IFERROR(INDEX('Saisie'!$AB$5:$AB$2004,_xlfn.MAXIFS('Saisie'!$AS$5:$AS$2004,'Saisie'!$C$5:$C$2004,C13,'Saisie'!$AB$5:$AB$2004,"&lt;&gt;")-4),""))</f>
        <v/>
      </c>
      <c r="Z13" s="60">
        <f>IF(C13="","",IFERROR(INDEX('Saisie'!$AC$5:$AC$2004,_xlfn.MAXIFS('Saisie'!$AS$5:$AS$2004,'Saisie'!$C$5:$C$2004,C13,'Saisie'!$AC$5:$AC$2004,"&lt;&gt;")-4),""))</f>
        <v/>
      </c>
      <c r="AA13" s="106">
        <f>IF(C13="","",IFERROR(INDEX('Saisie'!$AD$5:$AD$2004,_xlfn.MAXIFS('Saisie'!$AS$5:$AS$2004,'Saisie'!$C$5:$C$2004,C13,'Saisie'!$AD$5:$AD$2004,"&lt;&gt;")-4),""))</f>
        <v/>
      </c>
      <c r="AB13" s="60">
        <f>IF(C13="","",IFERROR(INDEX('Saisie'!$AE$5:$AE$2004,_xlfn.MAXIFS('Saisie'!$AS$5:$AS$2004,'Saisie'!$C$5:$C$2004,C13,'Saisie'!$AE$5:$AE$2004,"&lt;&gt;")-4),""))</f>
        <v/>
      </c>
      <c r="AC13" s="60">
        <f>IF(C13="","",IFERROR(INDEX('Saisie'!$AF$5:$AF$2004,_xlfn.MAXIFS('Saisie'!$AS$5:$AS$2004,'Saisie'!$C$5:$C$2004,C13,'Saisie'!$AF$5:$AF$2004,"&lt;&gt;")-4),""))</f>
        <v/>
      </c>
      <c r="AD13" s="108">
        <f>IF(C13="","",IFERROR(INDEX('Saisie'!$AG$5:$AG$2004,_xlfn.MAXIFS('Saisie'!$AS$5:$AS$2004,'Saisie'!$C$5:$C$2004,C13,'Saisie'!$AG$5:$AG$2004,"&lt;&gt;")-4),""))</f>
        <v/>
      </c>
      <c r="AE13" s="60">
        <f>IF(C13="","",IFERROR(INDEX('Saisie'!$AH$5:$AH$2004,_xlfn.MAXIFS('Saisie'!$AS$5:$AS$2004,'Saisie'!$C$5:$C$2004,C13,'Saisie'!$AH$5:$AH$2004,"&lt;&gt;")-4),""))</f>
        <v/>
      </c>
      <c r="AF13" s="60">
        <f>IF(C13="","",IFERROR(INDEX('Saisie'!$AI$5:$AI$2004,_xlfn.MAXIFS('Saisie'!$AS$5:$AS$2004,'Saisie'!$C$5:$C$2004,C13,'Saisie'!$AI$5:$AI$2004,"&lt;&gt;")-4),""))</f>
        <v/>
      </c>
      <c r="AG13" s="60">
        <f>IF(C13="","",IFERROR(INDEX('Saisie'!$AJ$5:$AJ$2004,_xlfn.MAXIFS('Saisie'!$AS$5:$AS$2004,'Saisie'!$C$5:$C$2004,C13,'Saisie'!$AJ$5:$AJ$2004,"&lt;&gt;")-4),""))</f>
        <v/>
      </c>
      <c r="AH13" s="60">
        <f>IF(C13="","",IFERROR(INDEX('Saisie'!$AK$5:$AK$2004,_xlfn.MAXIFS('Saisie'!$AS$5:$AS$2004,'Saisie'!$C$5:$C$2004,C13,'Saisie'!$AK$5:$AK$2004,"&lt;&gt;")-4),""))</f>
        <v/>
      </c>
      <c r="AI13" s="60">
        <f>IF(C13="","",IFERROR(INDEX('Saisie'!$AN$5:$AN$2004,_xlfn.MAXIFS('Saisie'!$AS$5:$AS$2004,'Saisie'!$C$5:$C$2004,C13,'Saisie'!$AN$5:$AN$2004,"&lt;&gt;")-4),""))</f>
        <v/>
      </c>
      <c r="AJ13" s="60">
        <f>IF(C13="","",IFERROR(INDEX('Saisie'!$AO$5:$AO$2004,_xlfn.MAXIFS('Saisie'!$AS$5:$AS$2004,'Saisie'!$C$5:$C$2004,C13,'Saisie'!$AO$5:$AO$2004,"&lt;&gt;")-4),""))</f>
        <v/>
      </c>
      <c r="AK13" s="60">
        <f>IF(C13="","",IFERROR(INDEX('Saisie'!$AP$5:$AP$2004,_xlfn.MAXIFS('Saisie'!$AS$5:$AS$2004,'Saisie'!$C$5:$C$2004,C13,'Saisie'!$AP$5:$AP$2004,"&lt;&gt;")-4),""))</f>
        <v/>
      </c>
      <c r="AL13" s="60">
        <f>IF(C13="","",IFERROR(INDEX('Saisie'!$AQ$5:$AQ$2004,_xlfn.MAXIFS('Saisie'!$AS$5:$AS$2004,'Saisie'!$C$5:$C$2004,C13,'Saisie'!$AQ$5:$AQ$2004,"&lt;&gt;")-4),""))</f>
        <v/>
      </c>
      <c r="AM13" s="60">
        <f>IF(C13="","",((AI13="Oui")+(AJ13="Oui")+(AK13="Oui")+OR(AL13="Immédiat",AL13="&lt; 1 mois"))&amp;"/4")</f>
        <v/>
      </c>
      <c r="AN13" s="60">
        <f>IF(C13="","",IFERROR(INDEX('Saisie'!$AL$5:$AL$2004,_xlfn.MAXIFS('Saisie'!$AS$5:$AS$2004,'Saisie'!$C$5:$C$2004,C13,'Saisie'!$AL$5:$AL$2004,"&lt;&gt;")-4),""))</f>
        <v/>
      </c>
      <c r="AO13" s="62">
        <f>IF(C13="","",IF(IFERROR(INDEX('Saisie'!$AM$5:$AM$2004,_xlfn.MAXIFS('Saisie'!$AS$5:$AS$2004,'Saisie'!$C$5:$C$2004,C13,'Saisie'!$AM$5:$AM$2004,"&lt;&gt;")-4),"")&lt;&gt;"",IFERROR(INDEX('Saisie'!$AM$5:$AM$2004,_xlfn.MAXIFS('Saisie'!$AS$5:$AS$2004,'Saisie'!$C$5:$C$2004,C13,'Saisie'!$AM$5:$AM$2004,"&lt;&gt;")-4),""),IFERROR(INDEX('Paramètres'!$S$6:$S$15,MATCH(AN13,'Paramètres'!$Q$6:$Q$15,0)),"")))</f>
        <v/>
      </c>
      <c r="AP13" s="62">
        <f>IF(C13="","",IFERROR(INDEX('Saisie'!$AW$5:$AW$2004,_xlfn.MAXIFS('Saisie'!$AS$5:$AS$2004,'Saisie'!$C$5:$C$2004,C13,'Saisie'!$E$5:$E$2004,"Proposition envoyée")-4),""))</f>
        <v/>
      </c>
      <c r="AQ13" s="106">
        <f>IF(C13="","",IFERROR(1/(1/_xlfn.MAXIFS('Saisie'!$A$5:$A$2004,'Saisie'!$C$5:$C$2004,C13,'Saisie'!$E$5:$E$2004,"Proposition envoyée")),""))</f>
        <v/>
      </c>
      <c r="AR13" s="106">
        <f>IF(C13="","",IF(AQ13="","",AQ13+'Paramètres'!$B$26))</f>
        <v/>
      </c>
      <c r="AS13" s="62">
        <f>IF(OR(C13="",D13="Gagné",D13="Perdu"),0,N(AP13)*IFERROR(INDEX('Paramètres'!$G$6:$G$13,MATCH(D13,'Paramètres'!$F$6:$F$13,0)),0))</f>
        <v/>
      </c>
      <c r="AT13" s="106">
        <f>IF(C13="","",IFERROR(1/(1/_xlfn.MINIFS('Saisie'!$A$5:$A$2004,'Saisie'!$C$5:$C$2004,C13,'Saisie'!$E$5:$E$2004,"Signature")),""))</f>
        <v/>
      </c>
      <c r="AU13" s="60">
        <f>IF(C13="","",IF(OR(AT13="",B13=""),"",AT13-B13))</f>
        <v/>
      </c>
      <c r="AV13" s="60">
        <f>IF(C13="","",IFERROR(INDEX('Saisie'!$L$5:$L$2004,_xlfn.MAXIFS('Saisie'!$AS$5:$AS$2004,'Saisie'!$C$5:$C$2004,C13,'Saisie'!$L$5:$L$2004,"&lt;&gt;")-4),""))</f>
        <v/>
      </c>
      <c r="AW13" s="106">
        <f>IF(C13="","",IF(D13&lt;&gt;"Perdu","",IFERROR(1/(1/_xlfn.MAXIFS('Saisie'!$A$5:$A$2004,'Saisie'!$C$5:$C$2004,C13,'Saisie'!$E$5:$E$2004,"Perdu")),"")))</f>
        <v/>
      </c>
      <c r="AX13" s="106">
        <f>IF(C13="","",IF(AW13="","",AW13+'Paramètres'!$B$28))</f>
        <v/>
      </c>
      <c r="AY13" s="60">
        <f>IF(C13="","",SUMIFS('Saisie'!$H$5:$H$2004,'Saisie'!$C$5:$C$2004,C13))</f>
        <v/>
      </c>
      <c r="AZ13" s="60">
        <f>IF(C13="","",IFERROR(INDEX('Paramètres'!$W$6:$W$20,MATCH(S13,'Paramètres'!$V$6:$V$20,0))&amp;"",""))</f>
        <v/>
      </c>
      <c r="BA13" s="60">
        <f>IF(C13="","",MAX(1,_xlfn.MAXIFS('Saisie'!$AT$5:$AT$2004,'Saisie'!$C$5:$C$2004,C13)))</f>
        <v/>
      </c>
      <c r="BB13" s="60">
        <f>IF(C13="","",IFERROR(INDEX('Saisie'!$X$5:$X$2004,_xlfn.MAXIFS('Saisie'!$AS$5:$AS$2004,'Saisie'!$C$5:$C$2004,C13,'Saisie'!$X$5:$X$2004,"&lt;&gt;")-4),""))</f>
        <v/>
      </c>
      <c r="BC13" s="60">
        <f>IF(C13="","",IFERROR(INDEX('Saisie'!$Y$5:$Y$2004,_xlfn.MAXIFS('Saisie'!$AS$5:$AS$2004,'Saisie'!$C$5:$C$2004,C13,'Saisie'!$Y$5:$Y$2004,"&lt;&gt;")-4),""))</f>
        <v/>
      </c>
      <c r="BD13" s="106">
        <f>IF(C13="","",IFERROR(1/(1/_xlfn.MINIFS('Saisie'!$A$5:$A$2004,'Saisie'!$C$5:$C$2004,C13,'Saisie'!$AT$5:$AT$2004,"&gt;=2")),""))</f>
        <v/>
      </c>
      <c r="BE13" s="106">
        <f>IF(C13="","",IFERROR(1/(1/_xlfn.MINIFS('Saisie'!$A$5:$A$2004,'Saisie'!$C$5:$C$2004,C13,'Saisie'!$AT$5:$AT$2004,"&gt;=3")),""))</f>
        <v/>
      </c>
      <c r="BF13" s="106">
        <f>IF(C13="","",IFERROR(1/(1/_xlfn.MINIFS('Saisie'!$A$5:$A$2004,'Saisie'!$C$5:$C$2004,C13,'Saisie'!$AT$5:$AT$2004,"&gt;=4")),""))</f>
        <v/>
      </c>
      <c r="BG13" s="106">
        <f>IF(C13="","",IFERROR(1/(1/_xlfn.MINIFS('Saisie'!$A$5:$A$2004,'Saisie'!$C$5:$C$2004,C13,'Saisie'!$AT$5:$AT$2004,"&gt;=5")),""))</f>
        <v/>
      </c>
      <c r="BH13" s="106">
        <f>IF(C13="","",IFERROR(1/(1/_xlfn.MINIFS('Saisie'!$A$5:$A$2004,'Saisie'!$C$5:$C$2004,C13,'Saisie'!$AT$5:$AT$2004,"&gt;=6")),""))</f>
        <v/>
      </c>
      <c r="BI13" s="106">
        <f>IF(C13="","",IFERROR(1/(1/_xlfn.MINIFS('Saisie'!$A$5:$A$2004,'Saisie'!$C$5:$C$2004,C13,'Saisie'!$AT$5:$AT$2004,"&gt;=7")),""))</f>
        <v/>
      </c>
      <c r="BJ13" s="60">
        <f>IF(OR(BD13="",B13=""),"",BD13-B13)</f>
        <v/>
      </c>
      <c r="BK13" s="60">
        <f>IF(OR(BE13="",BD13=""),"",BE13-BD13)</f>
        <v/>
      </c>
      <c r="BL13" s="60">
        <f>IF(OR(BF13="",BE13=""),"",BF13-BE13)</f>
        <v/>
      </c>
      <c r="BM13" s="60">
        <f>IF(OR(BG13="",BF13=""),"",BG13-BF13)</f>
        <v/>
      </c>
      <c r="BN13" s="60">
        <f>IF(OR(BH13="",BG13=""),"",BH13-BG13)</f>
        <v/>
      </c>
      <c r="BO13" s="60">
        <f>IF(OR(BI13="",BH13=""),"",BI13-BH13)</f>
        <v/>
      </c>
      <c r="BP13" s="60">
        <f>IF(C13="","",_xlfn.MAXIFS('Saisie'!$AS$5:$AS$2004,'Saisie'!$C$5:$C$2004,C13,'Saisie'!$J$5:$J$2004,"&lt;&gt;"))</f>
        <v/>
      </c>
      <c r="BQ13" s="60">
        <f>IF(C13="","",_xlfn.MAXIFS('Saisie'!$AS$5:$AS$2004,'Saisie'!$C$5:$C$2004,C13))</f>
        <v/>
      </c>
      <c r="BR13" s="60">
        <f>IF(C13="","",_xlfn.MAXIFS('Saisie'!$AS$5:$AS$2004,'Saisie'!$C$5:$C$2004,C13,'Saisie'!$E$5:$E$2004,"Perdu"))</f>
        <v/>
      </c>
      <c r="BS13" s="60">
        <f>IF(C13="","",_xlfn.MAXIFS('Saisie'!$AS$5:$AS$2004,'Saisie'!$C$5:$C$2004,C13,'Saisie'!$AT$5:$AT$2004,"&gt;0"))</f>
        <v/>
      </c>
      <c r="BT13" s="109">
        <f>IF(AND(C13&lt;&gt;"",OR(D13="Nouveau",D13="Contacté",D13="Qualifié"),OR(G13="",N(G13)&lt;=TODAY()),NOT(AND(O13&gt;='Paramètres'!$B$21,P13=0))),E13+9/10000,"")</f>
        <v/>
      </c>
      <c r="BU13" s="60">
        <f>IF(AND(G13&lt;&gt;"",N(G13)&lt;=TODAY()),MAX($BU$4:BU12)+1,"")</f>
        <v/>
      </c>
      <c r="BV13" s="60">
        <f>IF(AND(F13&lt;&gt;"",F13&lt;&gt;"Relance en retard"),MAX($BV$4:BV12)+1,"")</f>
        <v/>
      </c>
      <c r="BW13" s="60">
        <f>IF(C13="","",IF(AND(B13&gt;='Tableau de bord'!$R$4,B13&lt;='Tableau de bord'!$S$4,OR('Tableau de bord'!$G$4="Tous",N13='Tableau de bord'!$G$4)),1,0))</f>
        <v/>
      </c>
      <c r="BX13" s="60">
        <f>IF(AND(C13&lt;&gt;"",N(BA13)=7),MAX($BX$4:BX12)+1,"")</f>
        <v/>
      </c>
    </row>
    <row r="14">
      <c r="A14" s="60">
        <f>IF(C14="","","P-"&amp;TEXT(10,"000"))</f>
        <v/>
      </c>
      <c r="B14" s="106">
        <f>IF(C14="","",IFERROR(1/(1/_xlfn.MINIFS('Saisie'!$A$5:$A$2004,'Saisie'!$C$5:$C$2004,C14)),""))</f>
        <v/>
      </c>
      <c r="C14" s="60">
        <f>IFERROR(INDEX('Saisie'!$C$5:$C$2004,MATCH(10,'Saisie'!$AX$5:$AX$2004,0)),"")</f>
        <v/>
      </c>
      <c r="D14" s="60">
        <f>IF(C14="","",IF(AND(BR14&gt;0,BR14&gt;BS14,BA14&lt;7),"Perdu",INDEX('Paramètres'!$F$6:$F$13,BA14)))</f>
        <v/>
      </c>
      <c r="E14" s="61">
        <f>IF(C14="","",MIN(100,(Z14="Oui")*'Paramètres'!$B$38+(AB14="Régulière")*'Paramètres'!$B$39+IF(AND(N(AA14)&gt;0,TODAY()-N(AA14)&lt;=30),'Paramètres'!$B$40,0)+(W14="")*'Paramètres'!$B$41+(AC14="Absente")*'Paramètres'!$B$42+(AC14="Faible")*'Paramètres'!$B$43+IF(AND(N(AD14)&gt;0,N(AD14)&lt;4),'Paramètres'!$B$44,0)+(AF14="Moyenne")*'Paramètres'!$B$45+(AF14="Grande")*'Paramètres'!$B$46+(Y14&lt;&gt;"")*'Paramètres'!$B$47))</f>
        <v/>
      </c>
      <c r="F14" s="60">
        <f>IF(C14="","",IF(D14="Gagné","",IF(D14="Perdu",IF(AND(AX14&lt;&gt;"",AX14&lt;=TODAY()),"À recontacter (perdu)",""),IF(AND(O14&gt;='Paramètres'!$B$21,P14=0),"Stop : "&amp;'Paramètres'!$B$21&amp;" tentatives sans réponse",IF(AND(D14="Proposition",AR14&lt;&gt;"",TODAY()&gt;N(AR14)),"Proposition expirée",IF(AND(D14="Proposition",N(R14)&gt;='Paramètres'!$B$25),"Proposition sans réponse",IF(AND(G14&lt;&gt;"",N(G14)&lt;TODAY()),"Relance en retard",IF(N(R14)&gt;='Paramètres'!$B$24,"Sans action depuis "&amp;R14&amp;" j",""))))))))</f>
        <v/>
      </c>
      <c r="G14" s="106">
        <f>IF(OR(C14="",D14="Gagné",D14="Perdu"),"",IF(AND(BP14&gt;0,BP14=BQ14),INDEX('Saisie'!$J$5:$J$2004,BP14-4),IF(OR(O14=0,AND(O14&gt;='Paramètres'!$B$21,P14=0)),"",Q14+IF(O14&lt;=1,'Paramètres'!$B$18,IF(O14=2,'Paramètres'!$B$19,'Paramètres'!$B$20)))))</f>
        <v/>
      </c>
      <c r="H14" s="107">
        <f>IF(OR(G14="",BP14&lt;&gt;BQ14),"",IF(INDEX('Saisie'!$K$5:$K$2004,BP14-4)="","",INDEX('Saisie'!$K$5:$K$2004,BP14-4)))</f>
        <v/>
      </c>
      <c r="I14" s="60">
        <f>IF(C14="","",IF(OR(D14="Gagné",D14="Perdu"),"",IFERROR(INDEX('Saisie'!$I$5:$I$2004,_xlfn.MAXIFS('Saisie'!$AS$5:$AS$2004,'Saisie'!$C$5:$C$2004,C14,'Saisie'!$I$5:$I$2004,"&lt;&gt;")-4),"")))</f>
        <v/>
      </c>
      <c r="J14" s="60">
        <f>IF(C14="","",IFERROR(INDEX('Saisie'!$U$5:$U$2004,_xlfn.MAXIFS('Saisie'!$AS$5:$AS$2004,'Saisie'!$C$5:$C$2004,C14,'Saisie'!$U$5:$U$2004,"&lt;&gt;")-4),""))</f>
        <v/>
      </c>
      <c r="K14" s="60">
        <f>IF(C14="","",IFERROR(INDEX('Saisie'!$W$5:$W$2004,_xlfn.MAXIFS('Saisie'!$AS$5:$AS$2004,'Saisie'!$C$5:$C$2004,C14,'Saisie'!$W$5:$W$2004,"&lt;&gt;")-4),""))</f>
        <v/>
      </c>
      <c r="L14" s="60">
        <f>IF(IF(BB14&lt;&gt;"",BB14,K14)="","",HYPERLINK("https://wa.me/"&amp;IF(LEFT(SUBSTITUTE(SUBSTITUTE(SUBSTITUTE(IF(BB14&lt;&gt;"",BB14,K14)," ",""),".",""),"+",""),1)="0",'Paramètres'!$B$35&amp;MID(SUBSTITUTE(SUBSTITUTE(SUBSTITUTE(IF(BB14&lt;&gt;"",BB14,K14)," ",""),".",""),"+",""),2,20),SUBSTITUTE(SUBSTITUTE(SUBSTITUTE(IF(BB14&lt;&gt;"",BB14,K14)," ",""),".",""),"+","")),"WhatsApp"))</f>
        <v/>
      </c>
      <c r="M14" s="60">
        <f>IF(BC14="","",HYPERLINK(IF(LEFT(BC14,4)="http",BC14,"https://www.instagram.com/"&amp;SUBSTITUTE(SUBSTITUTE(BC14,"@","")," ","")),BC14))</f>
        <v/>
      </c>
      <c r="N14" s="60">
        <f>IF(C14="","",IFERROR(INDEX('Saisie'!$D$5:$D$2004,_xlfn.MINIFS('Saisie'!$AS$5:$AS$2004,'Saisie'!$C$5:$C$2004,C14,'Saisie'!$AU$5:$AU$2004,1)-4),IFERROR(INDEX('Saisie'!$D$5:$D$2004,_xlfn.MINIFS('Saisie'!$AS$5:$AS$2004,'Saisie'!$C$5:$C$2004,C14,'Saisie'!$D$5:$D$2004,"&lt;&gt;")-4),"")))</f>
        <v/>
      </c>
      <c r="O14" s="60">
        <f>IF(C14="","",COUNTIFS('Saisie'!$C$5:$C$2004,C14,'Saisie'!$AU$5:$AU$2004,1))</f>
        <v/>
      </c>
      <c r="P14" s="60">
        <f>IF(C14="","",COUNTIFS('Saisie'!$C$5:$C$2004,C14,'Saisie'!$AV$5:$AV$2004,1))</f>
        <v/>
      </c>
      <c r="Q14" s="106">
        <f>IF(C14="","",IFERROR(1/(1/_xlfn.MAXIFS('Saisie'!$A$5:$A$2004,'Saisie'!$C$5:$C$2004,C14)),""))</f>
        <v/>
      </c>
      <c r="R14" s="61">
        <f>IF(C14="","",IF(Q14="","",TODAY()-Q14))</f>
        <v/>
      </c>
      <c r="S14" s="60">
        <f>IF(C14="","",IFERROR(INDEX('Saisie'!$R$5:$R$2004,_xlfn.MAXIFS('Saisie'!$AS$5:$AS$2004,'Saisie'!$C$5:$C$2004,C14,'Saisie'!$R$5:$R$2004,"&lt;&gt;")-4),""))</f>
        <v/>
      </c>
      <c r="T14" s="60">
        <f>IF(C14="","",IFERROR(INDEX('Saisie'!$S$5:$S$2004,_xlfn.MAXIFS('Saisie'!$AS$5:$AS$2004,'Saisie'!$C$5:$C$2004,C14,'Saisie'!$S$5:$S$2004,"&lt;&gt;")-4),""))</f>
        <v/>
      </c>
      <c r="U14" s="60">
        <f>IF(C14="","",IFERROR(INDEX('Saisie'!$T$5:$T$2004,_xlfn.MAXIFS('Saisie'!$AS$5:$AS$2004,'Saisie'!$C$5:$C$2004,C14,'Saisie'!$T$5:$T$2004,"&lt;&gt;")-4),""))</f>
        <v/>
      </c>
      <c r="V14" s="60">
        <f>IF(C14="","",IFERROR(INDEX('Saisie'!$V$5:$V$2004,_xlfn.MAXIFS('Saisie'!$AS$5:$AS$2004,'Saisie'!$C$5:$C$2004,C14,'Saisie'!$V$5:$V$2004,"&lt;&gt;")-4),""))</f>
        <v/>
      </c>
      <c r="W14" s="60">
        <f>IF(C14="","",IFERROR(INDEX('Saisie'!$Z$5:$Z$2004,_xlfn.MAXIFS('Saisie'!$AS$5:$AS$2004,'Saisie'!$C$5:$C$2004,C14,'Saisie'!$Z$5:$Z$2004,"&lt;&gt;")-4),""))</f>
        <v/>
      </c>
      <c r="X14" s="60">
        <f>IF(C14="","",IFERROR(INDEX('Saisie'!$AA$5:$AA$2004,_xlfn.MAXIFS('Saisie'!$AS$5:$AS$2004,'Saisie'!$C$5:$C$2004,C14,'Saisie'!$AA$5:$AA$2004,"&lt;&gt;")-4),""))</f>
        <v/>
      </c>
      <c r="Y14" s="60">
        <f>IF(C14="","",IFERROR(INDEX('Saisie'!$AB$5:$AB$2004,_xlfn.MAXIFS('Saisie'!$AS$5:$AS$2004,'Saisie'!$C$5:$C$2004,C14,'Saisie'!$AB$5:$AB$2004,"&lt;&gt;")-4),""))</f>
        <v/>
      </c>
      <c r="Z14" s="60">
        <f>IF(C14="","",IFERROR(INDEX('Saisie'!$AC$5:$AC$2004,_xlfn.MAXIFS('Saisie'!$AS$5:$AS$2004,'Saisie'!$C$5:$C$2004,C14,'Saisie'!$AC$5:$AC$2004,"&lt;&gt;")-4),""))</f>
        <v/>
      </c>
      <c r="AA14" s="106">
        <f>IF(C14="","",IFERROR(INDEX('Saisie'!$AD$5:$AD$2004,_xlfn.MAXIFS('Saisie'!$AS$5:$AS$2004,'Saisie'!$C$5:$C$2004,C14,'Saisie'!$AD$5:$AD$2004,"&lt;&gt;")-4),""))</f>
        <v/>
      </c>
      <c r="AB14" s="60">
        <f>IF(C14="","",IFERROR(INDEX('Saisie'!$AE$5:$AE$2004,_xlfn.MAXIFS('Saisie'!$AS$5:$AS$2004,'Saisie'!$C$5:$C$2004,C14,'Saisie'!$AE$5:$AE$2004,"&lt;&gt;")-4),""))</f>
        <v/>
      </c>
      <c r="AC14" s="60">
        <f>IF(C14="","",IFERROR(INDEX('Saisie'!$AF$5:$AF$2004,_xlfn.MAXIFS('Saisie'!$AS$5:$AS$2004,'Saisie'!$C$5:$C$2004,C14,'Saisie'!$AF$5:$AF$2004,"&lt;&gt;")-4),""))</f>
        <v/>
      </c>
      <c r="AD14" s="108">
        <f>IF(C14="","",IFERROR(INDEX('Saisie'!$AG$5:$AG$2004,_xlfn.MAXIFS('Saisie'!$AS$5:$AS$2004,'Saisie'!$C$5:$C$2004,C14,'Saisie'!$AG$5:$AG$2004,"&lt;&gt;")-4),""))</f>
        <v/>
      </c>
      <c r="AE14" s="60">
        <f>IF(C14="","",IFERROR(INDEX('Saisie'!$AH$5:$AH$2004,_xlfn.MAXIFS('Saisie'!$AS$5:$AS$2004,'Saisie'!$C$5:$C$2004,C14,'Saisie'!$AH$5:$AH$2004,"&lt;&gt;")-4),""))</f>
        <v/>
      </c>
      <c r="AF14" s="60">
        <f>IF(C14="","",IFERROR(INDEX('Saisie'!$AI$5:$AI$2004,_xlfn.MAXIFS('Saisie'!$AS$5:$AS$2004,'Saisie'!$C$5:$C$2004,C14,'Saisie'!$AI$5:$AI$2004,"&lt;&gt;")-4),""))</f>
        <v/>
      </c>
      <c r="AG14" s="60">
        <f>IF(C14="","",IFERROR(INDEX('Saisie'!$AJ$5:$AJ$2004,_xlfn.MAXIFS('Saisie'!$AS$5:$AS$2004,'Saisie'!$C$5:$C$2004,C14,'Saisie'!$AJ$5:$AJ$2004,"&lt;&gt;")-4),""))</f>
        <v/>
      </c>
      <c r="AH14" s="60">
        <f>IF(C14="","",IFERROR(INDEX('Saisie'!$AK$5:$AK$2004,_xlfn.MAXIFS('Saisie'!$AS$5:$AS$2004,'Saisie'!$C$5:$C$2004,C14,'Saisie'!$AK$5:$AK$2004,"&lt;&gt;")-4),""))</f>
        <v/>
      </c>
      <c r="AI14" s="60">
        <f>IF(C14="","",IFERROR(INDEX('Saisie'!$AN$5:$AN$2004,_xlfn.MAXIFS('Saisie'!$AS$5:$AS$2004,'Saisie'!$C$5:$C$2004,C14,'Saisie'!$AN$5:$AN$2004,"&lt;&gt;")-4),""))</f>
        <v/>
      </c>
      <c r="AJ14" s="60">
        <f>IF(C14="","",IFERROR(INDEX('Saisie'!$AO$5:$AO$2004,_xlfn.MAXIFS('Saisie'!$AS$5:$AS$2004,'Saisie'!$C$5:$C$2004,C14,'Saisie'!$AO$5:$AO$2004,"&lt;&gt;")-4),""))</f>
        <v/>
      </c>
      <c r="AK14" s="60">
        <f>IF(C14="","",IFERROR(INDEX('Saisie'!$AP$5:$AP$2004,_xlfn.MAXIFS('Saisie'!$AS$5:$AS$2004,'Saisie'!$C$5:$C$2004,C14,'Saisie'!$AP$5:$AP$2004,"&lt;&gt;")-4),""))</f>
        <v/>
      </c>
      <c r="AL14" s="60">
        <f>IF(C14="","",IFERROR(INDEX('Saisie'!$AQ$5:$AQ$2004,_xlfn.MAXIFS('Saisie'!$AS$5:$AS$2004,'Saisie'!$C$5:$C$2004,C14,'Saisie'!$AQ$5:$AQ$2004,"&lt;&gt;")-4),""))</f>
        <v/>
      </c>
      <c r="AM14" s="60">
        <f>IF(C14="","",((AI14="Oui")+(AJ14="Oui")+(AK14="Oui")+OR(AL14="Immédiat",AL14="&lt; 1 mois"))&amp;"/4")</f>
        <v/>
      </c>
      <c r="AN14" s="60">
        <f>IF(C14="","",IFERROR(INDEX('Saisie'!$AL$5:$AL$2004,_xlfn.MAXIFS('Saisie'!$AS$5:$AS$2004,'Saisie'!$C$5:$C$2004,C14,'Saisie'!$AL$5:$AL$2004,"&lt;&gt;")-4),""))</f>
        <v/>
      </c>
      <c r="AO14" s="62">
        <f>IF(C14="","",IF(IFERROR(INDEX('Saisie'!$AM$5:$AM$2004,_xlfn.MAXIFS('Saisie'!$AS$5:$AS$2004,'Saisie'!$C$5:$C$2004,C14,'Saisie'!$AM$5:$AM$2004,"&lt;&gt;")-4),"")&lt;&gt;"",IFERROR(INDEX('Saisie'!$AM$5:$AM$2004,_xlfn.MAXIFS('Saisie'!$AS$5:$AS$2004,'Saisie'!$C$5:$C$2004,C14,'Saisie'!$AM$5:$AM$2004,"&lt;&gt;")-4),""),IFERROR(INDEX('Paramètres'!$S$6:$S$15,MATCH(AN14,'Paramètres'!$Q$6:$Q$15,0)),"")))</f>
        <v/>
      </c>
      <c r="AP14" s="62">
        <f>IF(C14="","",IFERROR(INDEX('Saisie'!$AW$5:$AW$2004,_xlfn.MAXIFS('Saisie'!$AS$5:$AS$2004,'Saisie'!$C$5:$C$2004,C14,'Saisie'!$E$5:$E$2004,"Proposition envoyée")-4),""))</f>
        <v/>
      </c>
      <c r="AQ14" s="106">
        <f>IF(C14="","",IFERROR(1/(1/_xlfn.MAXIFS('Saisie'!$A$5:$A$2004,'Saisie'!$C$5:$C$2004,C14,'Saisie'!$E$5:$E$2004,"Proposition envoyée")),""))</f>
        <v/>
      </c>
      <c r="AR14" s="106">
        <f>IF(C14="","",IF(AQ14="","",AQ14+'Paramètres'!$B$26))</f>
        <v/>
      </c>
      <c r="AS14" s="62">
        <f>IF(OR(C14="",D14="Gagné",D14="Perdu"),0,N(AP14)*IFERROR(INDEX('Paramètres'!$G$6:$G$13,MATCH(D14,'Paramètres'!$F$6:$F$13,0)),0))</f>
        <v/>
      </c>
      <c r="AT14" s="106">
        <f>IF(C14="","",IFERROR(1/(1/_xlfn.MINIFS('Saisie'!$A$5:$A$2004,'Saisie'!$C$5:$C$2004,C14,'Saisie'!$E$5:$E$2004,"Signature")),""))</f>
        <v/>
      </c>
      <c r="AU14" s="60">
        <f>IF(C14="","",IF(OR(AT14="",B14=""),"",AT14-B14))</f>
        <v/>
      </c>
      <c r="AV14" s="60">
        <f>IF(C14="","",IFERROR(INDEX('Saisie'!$L$5:$L$2004,_xlfn.MAXIFS('Saisie'!$AS$5:$AS$2004,'Saisie'!$C$5:$C$2004,C14,'Saisie'!$L$5:$L$2004,"&lt;&gt;")-4),""))</f>
        <v/>
      </c>
      <c r="AW14" s="106">
        <f>IF(C14="","",IF(D14&lt;&gt;"Perdu","",IFERROR(1/(1/_xlfn.MAXIFS('Saisie'!$A$5:$A$2004,'Saisie'!$C$5:$C$2004,C14,'Saisie'!$E$5:$E$2004,"Perdu")),"")))</f>
        <v/>
      </c>
      <c r="AX14" s="106">
        <f>IF(C14="","",IF(AW14="","",AW14+'Paramètres'!$B$28))</f>
        <v/>
      </c>
      <c r="AY14" s="60">
        <f>IF(C14="","",SUMIFS('Saisie'!$H$5:$H$2004,'Saisie'!$C$5:$C$2004,C14))</f>
        <v/>
      </c>
      <c r="AZ14" s="60">
        <f>IF(C14="","",IFERROR(INDEX('Paramètres'!$W$6:$W$20,MATCH(S14,'Paramètres'!$V$6:$V$20,0))&amp;"",""))</f>
        <v/>
      </c>
      <c r="BA14" s="60">
        <f>IF(C14="","",MAX(1,_xlfn.MAXIFS('Saisie'!$AT$5:$AT$2004,'Saisie'!$C$5:$C$2004,C14)))</f>
        <v/>
      </c>
      <c r="BB14" s="60">
        <f>IF(C14="","",IFERROR(INDEX('Saisie'!$X$5:$X$2004,_xlfn.MAXIFS('Saisie'!$AS$5:$AS$2004,'Saisie'!$C$5:$C$2004,C14,'Saisie'!$X$5:$X$2004,"&lt;&gt;")-4),""))</f>
        <v/>
      </c>
      <c r="BC14" s="60">
        <f>IF(C14="","",IFERROR(INDEX('Saisie'!$Y$5:$Y$2004,_xlfn.MAXIFS('Saisie'!$AS$5:$AS$2004,'Saisie'!$C$5:$C$2004,C14,'Saisie'!$Y$5:$Y$2004,"&lt;&gt;")-4),""))</f>
        <v/>
      </c>
      <c r="BD14" s="106">
        <f>IF(C14="","",IFERROR(1/(1/_xlfn.MINIFS('Saisie'!$A$5:$A$2004,'Saisie'!$C$5:$C$2004,C14,'Saisie'!$AT$5:$AT$2004,"&gt;=2")),""))</f>
        <v/>
      </c>
      <c r="BE14" s="106">
        <f>IF(C14="","",IFERROR(1/(1/_xlfn.MINIFS('Saisie'!$A$5:$A$2004,'Saisie'!$C$5:$C$2004,C14,'Saisie'!$AT$5:$AT$2004,"&gt;=3")),""))</f>
        <v/>
      </c>
      <c r="BF14" s="106">
        <f>IF(C14="","",IFERROR(1/(1/_xlfn.MINIFS('Saisie'!$A$5:$A$2004,'Saisie'!$C$5:$C$2004,C14,'Saisie'!$AT$5:$AT$2004,"&gt;=4")),""))</f>
        <v/>
      </c>
      <c r="BG14" s="106">
        <f>IF(C14="","",IFERROR(1/(1/_xlfn.MINIFS('Saisie'!$A$5:$A$2004,'Saisie'!$C$5:$C$2004,C14,'Saisie'!$AT$5:$AT$2004,"&gt;=5")),""))</f>
        <v/>
      </c>
      <c r="BH14" s="106">
        <f>IF(C14="","",IFERROR(1/(1/_xlfn.MINIFS('Saisie'!$A$5:$A$2004,'Saisie'!$C$5:$C$2004,C14,'Saisie'!$AT$5:$AT$2004,"&gt;=6")),""))</f>
        <v/>
      </c>
      <c r="BI14" s="106">
        <f>IF(C14="","",IFERROR(1/(1/_xlfn.MINIFS('Saisie'!$A$5:$A$2004,'Saisie'!$C$5:$C$2004,C14,'Saisie'!$AT$5:$AT$2004,"&gt;=7")),""))</f>
        <v/>
      </c>
      <c r="BJ14" s="60">
        <f>IF(OR(BD14="",B14=""),"",BD14-B14)</f>
        <v/>
      </c>
      <c r="BK14" s="60">
        <f>IF(OR(BE14="",BD14=""),"",BE14-BD14)</f>
        <v/>
      </c>
      <c r="BL14" s="60">
        <f>IF(OR(BF14="",BE14=""),"",BF14-BE14)</f>
        <v/>
      </c>
      <c r="BM14" s="60">
        <f>IF(OR(BG14="",BF14=""),"",BG14-BF14)</f>
        <v/>
      </c>
      <c r="BN14" s="60">
        <f>IF(OR(BH14="",BG14=""),"",BH14-BG14)</f>
        <v/>
      </c>
      <c r="BO14" s="60">
        <f>IF(OR(BI14="",BH14=""),"",BI14-BH14)</f>
        <v/>
      </c>
      <c r="BP14" s="60">
        <f>IF(C14="","",_xlfn.MAXIFS('Saisie'!$AS$5:$AS$2004,'Saisie'!$C$5:$C$2004,C14,'Saisie'!$J$5:$J$2004,"&lt;&gt;"))</f>
        <v/>
      </c>
      <c r="BQ14" s="60">
        <f>IF(C14="","",_xlfn.MAXIFS('Saisie'!$AS$5:$AS$2004,'Saisie'!$C$5:$C$2004,C14))</f>
        <v/>
      </c>
      <c r="BR14" s="60">
        <f>IF(C14="","",_xlfn.MAXIFS('Saisie'!$AS$5:$AS$2004,'Saisie'!$C$5:$C$2004,C14,'Saisie'!$E$5:$E$2004,"Perdu"))</f>
        <v/>
      </c>
      <c r="BS14" s="60">
        <f>IF(C14="","",_xlfn.MAXIFS('Saisie'!$AS$5:$AS$2004,'Saisie'!$C$5:$C$2004,C14,'Saisie'!$AT$5:$AT$2004,"&gt;0"))</f>
        <v/>
      </c>
      <c r="BT14" s="109">
        <f>IF(AND(C14&lt;&gt;"",OR(D14="Nouveau",D14="Contacté",D14="Qualifié"),OR(G14="",N(G14)&lt;=TODAY()),NOT(AND(O14&gt;='Paramètres'!$B$21,P14=0))),E14+10/10000,"")</f>
        <v/>
      </c>
      <c r="BU14" s="60">
        <f>IF(AND(G14&lt;&gt;"",N(G14)&lt;=TODAY()),MAX($BU$4:BU13)+1,"")</f>
        <v/>
      </c>
      <c r="BV14" s="60">
        <f>IF(AND(F14&lt;&gt;"",F14&lt;&gt;"Relance en retard"),MAX($BV$4:BV13)+1,"")</f>
        <v/>
      </c>
      <c r="BW14" s="60">
        <f>IF(C14="","",IF(AND(B14&gt;='Tableau de bord'!$R$4,B14&lt;='Tableau de bord'!$S$4,OR('Tableau de bord'!$G$4="Tous",N14='Tableau de bord'!$G$4)),1,0))</f>
        <v/>
      </c>
      <c r="BX14" s="60">
        <f>IF(AND(C14&lt;&gt;"",N(BA14)=7),MAX($BX$4:BX13)+1,"")</f>
        <v/>
      </c>
    </row>
    <row r="15">
      <c r="A15" s="60">
        <f>IF(C15="","","P-"&amp;TEXT(11,"000"))</f>
        <v/>
      </c>
      <c r="B15" s="106">
        <f>IF(C15="","",IFERROR(1/(1/_xlfn.MINIFS('Saisie'!$A$5:$A$2004,'Saisie'!$C$5:$C$2004,C15)),""))</f>
        <v/>
      </c>
      <c r="C15" s="60">
        <f>IFERROR(INDEX('Saisie'!$C$5:$C$2004,MATCH(11,'Saisie'!$AX$5:$AX$2004,0)),"")</f>
        <v/>
      </c>
      <c r="D15" s="60">
        <f>IF(C15="","",IF(AND(BR15&gt;0,BR15&gt;BS15,BA15&lt;7),"Perdu",INDEX('Paramètres'!$F$6:$F$13,BA15)))</f>
        <v/>
      </c>
      <c r="E15" s="61">
        <f>IF(C15="","",MIN(100,(Z15="Oui")*'Paramètres'!$B$38+(AB15="Régulière")*'Paramètres'!$B$39+IF(AND(N(AA15)&gt;0,TODAY()-N(AA15)&lt;=30),'Paramètres'!$B$40,0)+(W15="")*'Paramètres'!$B$41+(AC15="Absente")*'Paramètres'!$B$42+(AC15="Faible")*'Paramètres'!$B$43+IF(AND(N(AD15)&gt;0,N(AD15)&lt;4),'Paramètres'!$B$44,0)+(AF15="Moyenne")*'Paramètres'!$B$45+(AF15="Grande")*'Paramètres'!$B$46+(Y15&lt;&gt;"")*'Paramètres'!$B$47))</f>
        <v/>
      </c>
      <c r="F15" s="60">
        <f>IF(C15="","",IF(D15="Gagné","",IF(D15="Perdu",IF(AND(AX15&lt;&gt;"",AX15&lt;=TODAY()),"À recontacter (perdu)",""),IF(AND(O15&gt;='Paramètres'!$B$21,P15=0),"Stop : "&amp;'Paramètres'!$B$21&amp;" tentatives sans réponse",IF(AND(D15="Proposition",AR15&lt;&gt;"",TODAY()&gt;N(AR15)),"Proposition expirée",IF(AND(D15="Proposition",N(R15)&gt;='Paramètres'!$B$25),"Proposition sans réponse",IF(AND(G15&lt;&gt;"",N(G15)&lt;TODAY()),"Relance en retard",IF(N(R15)&gt;='Paramètres'!$B$24,"Sans action depuis "&amp;R15&amp;" j",""))))))))</f>
        <v/>
      </c>
      <c r="G15" s="106">
        <f>IF(OR(C15="",D15="Gagné",D15="Perdu"),"",IF(AND(BP15&gt;0,BP15=BQ15),INDEX('Saisie'!$J$5:$J$2004,BP15-4),IF(OR(O15=0,AND(O15&gt;='Paramètres'!$B$21,P15=0)),"",Q15+IF(O15&lt;=1,'Paramètres'!$B$18,IF(O15=2,'Paramètres'!$B$19,'Paramètres'!$B$20)))))</f>
        <v/>
      </c>
      <c r="H15" s="107">
        <f>IF(OR(G15="",BP15&lt;&gt;BQ15),"",IF(INDEX('Saisie'!$K$5:$K$2004,BP15-4)="","",INDEX('Saisie'!$K$5:$K$2004,BP15-4)))</f>
        <v/>
      </c>
      <c r="I15" s="60">
        <f>IF(C15="","",IF(OR(D15="Gagné",D15="Perdu"),"",IFERROR(INDEX('Saisie'!$I$5:$I$2004,_xlfn.MAXIFS('Saisie'!$AS$5:$AS$2004,'Saisie'!$C$5:$C$2004,C15,'Saisie'!$I$5:$I$2004,"&lt;&gt;")-4),"")))</f>
        <v/>
      </c>
      <c r="J15" s="60">
        <f>IF(C15="","",IFERROR(INDEX('Saisie'!$U$5:$U$2004,_xlfn.MAXIFS('Saisie'!$AS$5:$AS$2004,'Saisie'!$C$5:$C$2004,C15,'Saisie'!$U$5:$U$2004,"&lt;&gt;")-4),""))</f>
        <v/>
      </c>
      <c r="K15" s="60">
        <f>IF(C15="","",IFERROR(INDEX('Saisie'!$W$5:$W$2004,_xlfn.MAXIFS('Saisie'!$AS$5:$AS$2004,'Saisie'!$C$5:$C$2004,C15,'Saisie'!$W$5:$W$2004,"&lt;&gt;")-4),""))</f>
        <v/>
      </c>
      <c r="L15" s="60">
        <f>IF(IF(BB15&lt;&gt;"",BB15,K15)="","",HYPERLINK("https://wa.me/"&amp;IF(LEFT(SUBSTITUTE(SUBSTITUTE(SUBSTITUTE(IF(BB15&lt;&gt;"",BB15,K15)," ",""),".",""),"+",""),1)="0",'Paramètres'!$B$35&amp;MID(SUBSTITUTE(SUBSTITUTE(SUBSTITUTE(IF(BB15&lt;&gt;"",BB15,K15)," ",""),".",""),"+",""),2,20),SUBSTITUTE(SUBSTITUTE(SUBSTITUTE(IF(BB15&lt;&gt;"",BB15,K15)," ",""),".",""),"+","")),"WhatsApp"))</f>
        <v/>
      </c>
      <c r="M15" s="60">
        <f>IF(BC15="","",HYPERLINK(IF(LEFT(BC15,4)="http",BC15,"https://www.instagram.com/"&amp;SUBSTITUTE(SUBSTITUTE(BC15,"@","")," ","")),BC15))</f>
        <v/>
      </c>
      <c r="N15" s="60">
        <f>IF(C15="","",IFERROR(INDEX('Saisie'!$D$5:$D$2004,_xlfn.MINIFS('Saisie'!$AS$5:$AS$2004,'Saisie'!$C$5:$C$2004,C15,'Saisie'!$AU$5:$AU$2004,1)-4),IFERROR(INDEX('Saisie'!$D$5:$D$2004,_xlfn.MINIFS('Saisie'!$AS$5:$AS$2004,'Saisie'!$C$5:$C$2004,C15,'Saisie'!$D$5:$D$2004,"&lt;&gt;")-4),"")))</f>
        <v/>
      </c>
      <c r="O15" s="60">
        <f>IF(C15="","",COUNTIFS('Saisie'!$C$5:$C$2004,C15,'Saisie'!$AU$5:$AU$2004,1))</f>
        <v/>
      </c>
      <c r="P15" s="60">
        <f>IF(C15="","",COUNTIFS('Saisie'!$C$5:$C$2004,C15,'Saisie'!$AV$5:$AV$2004,1))</f>
        <v/>
      </c>
      <c r="Q15" s="106">
        <f>IF(C15="","",IFERROR(1/(1/_xlfn.MAXIFS('Saisie'!$A$5:$A$2004,'Saisie'!$C$5:$C$2004,C15)),""))</f>
        <v/>
      </c>
      <c r="R15" s="61">
        <f>IF(C15="","",IF(Q15="","",TODAY()-Q15))</f>
        <v/>
      </c>
      <c r="S15" s="60">
        <f>IF(C15="","",IFERROR(INDEX('Saisie'!$R$5:$R$2004,_xlfn.MAXIFS('Saisie'!$AS$5:$AS$2004,'Saisie'!$C$5:$C$2004,C15,'Saisie'!$R$5:$R$2004,"&lt;&gt;")-4),""))</f>
        <v/>
      </c>
      <c r="T15" s="60">
        <f>IF(C15="","",IFERROR(INDEX('Saisie'!$S$5:$S$2004,_xlfn.MAXIFS('Saisie'!$AS$5:$AS$2004,'Saisie'!$C$5:$C$2004,C15,'Saisie'!$S$5:$S$2004,"&lt;&gt;")-4),""))</f>
        <v/>
      </c>
      <c r="U15" s="60">
        <f>IF(C15="","",IFERROR(INDEX('Saisie'!$T$5:$T$2004,_xlfn.MAXIFS('Saisie'!$AS$5:$AS$2004,'Saisie'!$C$5:$C$2004,C15,'Saisie'!$T$5:$T$2004,"&lt;&gt;")-4),""))</f>
        <v/>
      </c>
      <c r="V15" s="60">
        <f>IF(C15="","",IFERROR(INDEX('Saisie'!$V$5:$V$2004,_xlfn.MAXIFS('Saisie'!$AS$5:$AS$2004,'Saisie'!$C$5:$C$2004,C15,'Saisie'!$V$5:$V$2004,"&lt;&gt;")-4),""))</f>
        <v/>
      </c>
      <c r="W15" s="60">
        <f>IF(C15="","",IFERROR(INDEX('Saisie'!$Z$5:$Z$2004,_xlfn.MAXIFS('Saisie'!$AS$5:$AS$2004,'Saisie'!$C$5:$C$2004,C15,'Saisie'!$Z$5:$Z$2004,"&lt;&gt;")-4),""))</f>
        <v/>
      </c>
      <c r="X15" s="60">
        <f>IF(C15="","",IFERROR(INDEX('Saisie'!$AA$5:$AA$2004,_xlfn.MAXIFS('Saisie'!$AS$5:$AS$2004,'Saisie'!$C$5:$C$2004,C15,'Saisie'!$AA$5:$AA$2004,"&lt;&gt;")-4),""))</f>
        <v/>
      </c>
      <c r="Y15" s="60">
        <f>IF(C15="","",IFERROR(INDEX('Saisie'!$AB$5:$AB$2004,_xlfn.MAXIFS('Saisie'!$AS$5:$AS$2004,'Saisie'!$C$5:$C$2004,C15,'Saisie'!$AB$5:$AB$2004,"&lt;&gt;")-4),""))</f>
        <v/>
      </c>
      <c r="Z15" s="60">
        <f>IF(C15="","",IFERROR(INDEX('Saisie'!$AC$5:$AC$2004,_xlfn.MAXIFS('Saisie'!$AS$5:$AS$2004,'Saisie'!$C$5:$C$2004,C15,'Saisie'!$AC$5:$AC$2004,"&lt;&gt;")-4),""))</f>
        <v/>
      </c>
      <c r="AA15" s="106">
        <f>IF(C15="","",IFERROR(INDEX('Saisie'!$AD$5:$AD$2004,_xlfn.MAXIFS('Saisie'!$AS$5:$AS$2004,'Saisie'!$C$5:$C$2004,C15,'Saisie'!$AD$5:$AD$2004,"&lt;&gt;")-4),""))</f>
        <v/>
      </c>
      <c r="AB15" s="60">
        <f>IF(C15="","",IFERROR(INDEX('Saisie'!$AE$5:$AE$2004,_xlfn.MAXIFS('Saisie'!$AS$5:$AS$2004,'Saisie'!$C$5:$C$2004,C15,'Saisie'!$AE$5:$AE$2004,"&lt;&gt;")-4),""))</f>
        <v/>
      </c>
      <c r="AC15" s="60">
        <f>IF(C15="","",IFERROR(INDEX('Saisie'!$AF$5:$AF$2004,_xlfn.MAXIFS('Saisie'!$AS$5:$AS$2004,'Saisie'!$C$5:$C$2004,C15,'Saisie'!$AF$5:$AF$2004,"&lt;&gt;")-4),""))</f>
        <v/>
      </c>
      <c r="AD15" s="108">
        <f>IF(C15="","",IFERROR(INDEX('Saisie'!$AG$5:$AG$2004,_xlfn.MAXIFS('Saisie'!$AS$5:$AS$2004,'Saisie'!$C$5:$C$2004,C15,'Saisie'!$AG$5:$AG$2004,"&lt;&gt;")-4),""))</f>
        <v/>
      </c>
      <c r="AE15" s="60">
        <f>IF(C15="","",IFERROR(INDEX('Saisie'!$AH$5:$AH$2004,_xlfn.MAXIFS('Saisie'!$AS$5:$AS$2004,'Saisie'!$C$5:$C$2004,C15,'Saisie'!$AH$5:$AH$2004,"&lt;&gt;")-4),""))</f>
        <v/>
      </c>
      <c r="AF15" s="60">
        <f>IF(C15="","",IFERROR(INDEX('Saisie'!$AI$5:$AI$2004,_xlfn.MAXIFS('Saisie'!$AS$5:$AS$2004,'Saisie'!$C$5:$C$2004,C15,'Saisie'!$AI$5:$AI$2004,"&lt;&gt;")-4),""))</f>
        <v/>
      </c>
      <c r="AG15" s="60">
        <f>IF(C15="","",IFERROR(INDEX('Saisie'!$AJ$5:$AJ$2004,_xlfn.MAXIFS('Saisie'!$AS$5:$AS$2004,'Saisie'!$C$5:$C$2004,C15,'Saisie'!$AJ$5:$AJ$2004,"&lt;&gt;")-4),""))</f>
        <v/>
      </c>
      <c r="AH15" s="60">
        <f>IF(C15="","",IFERROR(INDEX('Saisie'!$AK$5:$AK$2004,_xlfn.MAXIFS('Saisie'!$AS$5:$AS$2004,'Saisie'!$C$5:$C$2004,C15,'Saisie'!$AK$5:$AK$2004,"&lt;&gt;")-4),""))</f>
        <v/>
      </c>
      <c r="AI15" s="60">
        <f>IF(C15="","",IFERROR(INDEX('Saisie'!$AN$5:$AN$2004,_xlfn.MAXIFS('Saisie'!$AS$5:$AS$2004,'Saisie'!$C$5:$C$2004,C15,'Saisie'!$AN$5:$AN$2004,"&lt;&gt;")-4),""))</f>
        <v/>
      </c>
      <c r="AJ15" s="60">
        <f>IF(C15="","",IFERROR(INDEX('Saisie'!$AO$5:$AO$2004,_xlfn.MAXIFS('Saisie'!$AS$5:$AS$2004,'Saisie'!$C$5:$C$2004,C15,'Saisie'!$AO$5:$AO$2004,"&lt;&gt;")-4),""))</f>
        <v/>
      </c>
      <c r="AK15" s="60">
        <f>IF(C15="","",IFERROR(INDEX('Saisie'!$AP$5:$AP$2004,_xlfn.MAXIFS('Saisie'!$AS$5:$AS$2004,'Saisie'!$C$5:$C$2004,C15,'Saisie'!$AP$5:$AP$2004,"&lt;&gt;")-4),""))</f>
        <v/>
      </c>
      <c r="AL15" s="60">
        <f>IF(C15="","",IFERROR(INDEX('Saisie'!$AQ$5:$AQ$2004,_xlfn.MAXIFS('Saisie'!$AS$5:$AS$2004,'Saisie'!$C$5:$C$2004,C15,'Saisie'!$AQ$5:$AQ$2004,"&lt;&gt;")-4),""))</f>
        <v/>
      </c>
      <c r="AM15" s="60">
        <f>IF(C15="","",((AI15="Oui")+(AJ15="Oui")+(AK15="Oui")+OR(AL15="Immédiat",AL15="&lt; 1 mois"))&amp;"/4")</f>
        <v/>
      </c>
      <c r="AN15" s="60">
        <f>IF(C15="","",IFERROR(INDEX('Saisie'!$AL$5:$AL$2004,_xlfn.MAXIFS('Saisie'!$AS$5:$AS$2004,'Saisie'!$C$5:$C$2004,C15,'Saisie'!$AL$5:$AL$2004,"&lt;&gt;")-4),""))</f>
        <v/>
      </c>
      <c r="AO15" s="62">
        <f>IF(C15="","",IF(IFERROR(INDEX('Saisie'!$AM$5:$AM$2004,_xlfn.MAXIFS('Saisie'!$AS$5:$AS$2004,'Saisie'!$C$5:$C$2004,C15,'Saisie'!$AM$5:$AM$2004,"&lt;&gt;")-4),"")&lt;&gt;"",IFERROR(INDEX('Saisie'!$AM$5:$AM$2004,_xlfn.MAXIFS('Saisie'!$AS$5:$AS$2004,'Saisie'!$C$5:$C$2004,C15,'Saisie'!$AM$5:$AM$2004,"&lt;&gt;")-4),""),IFERROR(INDEX('Paramètres'!$S$6:$S$15,MATCH(AN15,'Paramètres'!$Q$6:$Q$15,0)),"")))</f>
        <v/>
      </c>
      <c r="AP15" s="62">
        <f>IF(C15="","",IFERROR(INDEX('Saisie'!$AW$5:$AW$2004,_xlfn.MAXIFS('Saisie'!$AS$5:$AS$2004,'Saisie'!$C$5:$C$2004,C15,'Saisie'!$E$5:$E$2004,"Proposition envoyée")-4),""))</f>
        <v/>
      </c>
      <c r="AQ15" s="106">
        <f>IF(C15="","",IFERROR(1/(1/_xlfn.MAXIFS('Saisie'!$A$5:$A$2004,'Saisie'!$C$5:$C$2004,C15,'Saisie'!$E$5:$E$2004,"Proposition envoyée")),""))</f>
        <v/>
      </c>
      <c r="AR15" s="106">
        <f>IF(C15="","",IF(AQ15="","",AQ15+'Paramètres'!$B$26))</f>
        <v/>
      </c>
      <c r="AS15" s="62">
        <f>IF(OR(C15="",D15="Gagné",D15="Perdu"),0,N(AP15)*IFERROR(INDEX('Paramètres'!$G$6:$G$13,MATCH(D15,'Paramètres'!$F$6:$F$13,0)),0))</f>
        <v/>
      </c>
      <c r="AT15" s="106">
        <f>IF(C15="","",IFERROR(1/(1/_xlfn.MINIFS('Saisie'!$A$5:$A$2004,'Saisie'!$C$5:$C$2004,C15,'Saisie'!$E$5:$E$2004,"Signature")),""))</f>
        <v/>
      </c>
      <c r="AU15" s="60">
        <f>IF(C15="","",IF(OR(AT15="",B15=""),"",AT15-B15))</f>
        <v/>
      </c>
      <c r="AV15" s="60">
        <f>IF(C15="","",IFERROR(INDEX('Saisie'!$L$5:$L$2004,_xlfn.MAXIFS('Saisie'!$AS$5:$AS$2004,'Saisie'!$C$5:$C$2004,C15,'Saisie'!$L$5:$L$2004,"&lt;&gt;")-4),""))</f>
        <v/>
      </c>
      <c r="AW15" s="106">
        <f>IF(C15="","",IF(D15&lt;&gt;"Perdu","",IFERROR(1/(1/_xlfn.MAXIFS('Saisie'!$A$5:$A$2004,'Saisie'!$C$5:$C$2004,C15,'Saisie'!$E$5:$E$2004,"Perdu")),"")))</f>
        <v/>
      </c>
      <c r="AX15" s="106">
        <f>IF(C15="","",IF(AW15="","",AW15+'Paramètres'!$B$28))</f>
        <v/>
      </c>
      <c r="AY15" s="60">
        <f>IF(C15="","",SUMIFS('Saisie'!$H$5:$H$2004,'Saisie'!$C$5:$C$2004,C15))</f>
        <v/>
      </c>
      <c r="AZ15" s="60">
        <f>IF(C15="","",IFERROR(INDEX('Paramètres'!$W$6:$W$20,MATCH(S15,'Paramètres'!$V$6:$V$20,0))&amp;"",""))</f>
        <v/>
      </c>
      <c r="BA15" s="60">
        <f>IF(C15="","",MAX(1,_xlfn.MAXIFS('Saisie'!$AT$5:$AT$2004,'Saisie'!$C$5:$C$2004,C15)))</f>
        <v/>
      </c>
      <c r="BB15" s="60">
        <f>IF(C15="","",IFERROR(INDEX('Saisie'!$X$5:$X$2004,_xlfn.MAXIFS('Saisie'!$AS$5:$AS$2004,'Saisie'!$C$5:$C$2004,C15,'Saisie'!$X$5:$X$2004,"&lt;&gt;")-4),""))</f>
        <v/>
      </c>
      <c r="BC15" s="60">
        <f>IF(C15="","",IFERROR(INDEX('Saisie'!$Y$5:$Y$2004,_xlfn.MAXIFS('Saisie'!$AS$5:$AS$2004,'Saisie'!$C$5:$C$2004,C15,'Saisie'!$Y$5:$Y$2004,"&lt;&gt;")-4),""))</f>
        <v/>
      </c>
      <c r="BD15" s="106">
        <f>IF(C15="","",IFERROR(1/(1/_xlfn.MINIFS('Saisie'!$A$5:$A$2004,'Saisie'!$C$5:$C$2004,C15,'Saisie'!$AT$5:$AT$2004,"&gt;=2")),""))</f>
        <v/>
      </c>
      <c r="BE15" s="106">
        <f>IF(C15="","",IFERROR(1/(1/_xlfn.MINIFS('Saisie'!$A$5:$A$2004,'Saisie'!$C$5:$C$2004,C15,'Saisie'!$AT$5:$AT$2004,"&gt;=3")),""))</f>
        <v/>
      </c>
      <c r="BF15" s="106">
        <f>IF(C15="","",IFERROR(1/(1/_xlfn.MINIFS('Saisie'!$A$5:$A$2004,'Saisie'!$C$5:$C$2004,C15,'Saisie'!$AT$5:$AT$2004,"&gt;=4")),""))</f>
        <v/>
      </c>
      <c r="BG15" s="106">
        <f>IF(C15="","",IFERROR(1/(1/_xlfn.MINIFS('Saisie'!$A$5:$A$2004,'Saisie'!$C$5:$C$2004,C15,'Saisie'!$AT$5:$AT$2004,"&gt;=5")),""))</f>
        <v/>
      </c>
      <c r="BH15" s="106">
        <f>IF(C15="","",IFERROR(1/(1/_xlfn.MINIFS('Saisie'!$A$5:$A$2004,'Saisie'!$C$5:$C$2004,C15,'Saisie'!$AT$5:$AT$2004,"&gt;=6")),""))</f>
        <v/>
      </c>
      <c r="BI15" s="106">
        <f>IF(C15="","",IFERROR(1/(1/_xlfn.MINIFS('Saisie'!$A$5:$A$2004,'Saisie'!$C$5:$C$2004,C15,'Saisie'!$AT$5:$AT$2004,"&gt;=7")),""))</f>
        <v/>
      </c>
      <c r="BJ15" s="60">
        <f>IF(OR(BD15="",B15=""),"",BD15-B15)</f>
        <v/>
      </c>
      <c r="BK15" s="60">
        <f>IF(OR(BE15="",BD15=""),"",BE15-BD15)</f>
        <v/>
      </c>
      <c r="BL15" s="60">
        <f>IF(OR(BF15="",BE15=""),"",BF15-BE15)</f>
        <v/>
      </c>
      <c r="BM15" s="60">
        <f>IF(OR(BG15="",BF15=""),"",BG15-BF15)</f>
        <v/>
      </c>
      <c r="BN15" s="60">
        <f>IF(OR(BH15="",BG15=""),"",BH15-BG15)</f>
        <v/>
      </c>
      <c r="BO15" s="60">
        <f>IF(OR(BI15="",BH15=""),"",BI15-BH15)</f>
        <v/>
      </c>
      <c r="BP15" s="60">
        <f>IF(C15="","",_xlfn.MAXIFS('Saisie'!$AS$5:$AS$2004,'Saisie'!$C$5:$C$2004,C15,'Saisie'!$J$5:$J$2004,"&lt;&gt;"))</f>
        <v/>
      </c>
      <c r="BQ15" s="60">
        <f>IF(C15="","",_xlfn.MAXIFS('Saisie'!$AS$5:$AS$2004,'Saisie'!$C$5:$C$2004,C15))</f>
        <v/>
      </c>
      <c r="BR15" s="60">
        <f>IF(C15="","",_xlfn.MAXIFS('Saisie'!$AS$5:$AS$2004,'Saisie'!$C$5:$C$2004,C15,'Saisie'!$E$5:$E$2004,"Perdu"))</f>
        <v/>
      </c>
      <c r="BS15" s="60">
        <f>IF(C15="","",_xlfn.MAXIFS('Saisie'!$AS$5:$AS$2004,'Saisie'!$C$5:$C$2004,C15,'Saisie'!$AT$5:$AT$2004,"&gt;0"))</f>
        <v/>
      </c>
      <c r="BT15" s="109">
        <f>IF(AND(C15&lt;&gt;"",OR(D15="Nouveau",D15="Contacté",D15="Qualifié"),OR(G15="",N(G15)&lt;=TODAY()),NOT(AND(O15&gt;='Paramètres'!$B$21,P15=0))),E15+11/10000,"")</f>
        <v/>
      </c>
      <c r="BU15" s="60">
        <f>IF(AND(G15&lt;&gt;"",N(G15)&lt;=TODAY()),MAX($BU$4:BU14)+1,"")</f>
        <v/>
      </c>
      <c r="BV15" s="60">
        <f>IF(AND(F15&lt;&gt;"",F15&lt;&gt;"Relance en retard"),MAX($BV$4:BV14)+1,"")</f>
        <v/>
      </c>
      <c r="BW15" s="60">
        <f>IF(C15="","",IF(AND(B15&gt;='Tableau de bord'!$R$4,B15&lt;='Tableau de bord'!$S$4,OR('Tableau de bord'!$G$4="Tous",N15='Tableau de bord'!$G$4)),1,0))</f>
        <v/>
      </c>
      <c r="BX15" s="60">
        <f>IF(AND(C15&lt;&gt;"",N(BA15)=7),MAX($BX$4:BX14)+1,"")</f>
        <v/>
      </c>
    </row>
    <row r="16">
      <c r="A16" s="60">
        <f>IF(C16="","","P-"&amp;TEXT(12,"000"))</f>
        <v/>
      </c>
      <c r="B16" s="106">
        <f>IF(C16="","",IFERROR(1/(1/_xlfn.MINIFS('Saisie'!$A$5:$A$2004,'Saisie'!$C$5:$C$2004,C16)),""))</f>
        <v/>
      </c>
      <c r="C16" s="60">
        <f>IFERROR(INDEX('Saisie'!$C$5:$C$2004,MATCH(12,'Saisie'!$AX$5:$AX$2004,0)),"")</f>
        <v/>
      </c>
      <c r="D16" s="60">
        <f>IF(C16="","",IF(AND(BR16&gt;0,BR16&gt;BS16,BA16&lt;7),"Perdu",INDEX('Paramètres'!$F$6:$F$13,BA16)))</f>
        <v/>
      </c>
      <c r="E16" s="61">
        <f>IF(C16="","",MIN(100,(Z16="Oui")*'Paramètres'!$B$38+(AB16="Régulière")*'Paramètres'!$B$39+IF(AND(N(AA16)&gt;0,TODAY()-N(AA16)&lt;=30),'Paramètres'!$B$40,0)+(W16="")*'Paramètres'!$B$41+(AC16="Absente")*'Paramètres'!$B$42+(AC16="Faible")*'Paramètres'!$B$43+IF(AND(N(AD16)&gt;0,N(AD16)&lt;4),'Paramètres'!$B$44,0)+(AF16="Moyenne")*'Paramètres'!$B$45+(AF16="Grande")*'Paramètres'!$B$46+(Y16&lt;&gt;"")*'Paramètres'!$B$47))</f>
        <v/>
      </c>
      <c r="F16" s="60">
        <f>IF(C16="","",IF(D16="Gagné","",IF(D16="Perdu",IF(AND(AX16&lt;&gt;"",AX16&lt;=TODAY()),"À recontacter (perdu)",""),IF(AND(O16&gt;='Paramètres'!$B$21,P16=0),"Stop : "&amp;'Paramètres'!$B$21&amp;" tentatives sans réponse",IF(AND(D16="Proposition",AR16&lt;&gt;"",TODAY()&gt;N(AR16)),"Proposition expirée",IF(AND(D16="Proposition",N(R16)&gt;='Paramètres'!$B$25),"Proposition sans réponse",IF(AND(G16&lt;&gt;"",N(G16)&lt;TODAY()),"Relance en retard",IF(N(R16)&gt;='Paramètres'!$B$24,"Sans action depuis "&amp;R16&amp;" j",""))))))))</f>
        <v/>
      </c>
      <c r="G16" s="106">
        <f>IF(OR(C16="",D16="Gagné",D16="Perdu"),"",IF(AND(BP16&gt;0,BP16=BQ16),INDEX('Saisie'!$J$5:$J$2004,BP16-4),IF(OR(O16=0,AND(O16&gt;='Paramètres'!$B$21,P16=0)),"",Q16+IF(O16&lt;=1,'Paramètres'!$B$18,IF(O16=2,'Paramètres'!$B$19,'Paramètres'!$B$20)))))</f>
        <v/>
      </c>
      <c r="H16" s="107">
        <f>IF(OR(G16="",BP16&lt;&gt;BQ16),"",IF(INDEX('Saisie'!$K$5:$K$2004,BP16-4)="","",INDEX('Saisie'!$K$5:$K$2004,BP16-4)))</f>
        <v/>
      </c>
      <c r="I16" s="60">
        <f>IF(C16="","",IF(OR(D16="Gagné",D16="Perdu"),"",IFERROR(INDEX('Saisie'!$I$5:$I$2004,_xlfn.MAXIFS('Saisie'!$AS$5:$AS$2004,'Saisie'!$C$5:$C$2004,C16,'Saisie'!$I$5:$I$2004,"&lt;&gt;")-4),"")))</f>
        <v/>
      </c>
      <c r="J16" s="60">
        <f>IF(C16="","",IFERROR(INDEX('Saisie'!$U$5:$U$2004,_xlfn.MAXIFS('Saisie'!$AS$5:$AS$2004,'Saisie'!$C$5:$C$2004,C16,'Saisie'!$U$5:$U$2004,"&lt;&gt;")-4),""))</f>
        <v/>
      </c>
      <c r="K16" s="60">
        <f>IF(C16="","",IFERROR(INDEX('Saisie'!$W$5:$W$2004,_xlfn.MAXIFS('Saisie'!$AS$5:$AS$2004,'Saisie'!$C$5:$C$2004,C16,'Saisie'!$W$5:$W$2004,"&lt;&gt;")-4),""))</f>
        <v/>
      </c>
      <c r="L16" s="60">
        <f>IF(IF(BB16&lt;&gt;"",BB16,K16)="","",HYPERLINK("https://wa.me/"&amp;IF(LEFT(SUBSTITUTE(SUBSTITUTE(SUBSTITUTE(IF(BB16&lt;&gt;"",BB16,K16)," ",""),".",""),"+",""),1)="0",'Paramètres'!$B$35&amp;MID(SUBSTITUTE(SUBSTITUTE(SUBSTITUTE(IF(BB16&lt;&gt;"",BB16,K16)," ",""),".",""),"+",""),2,20),SUBSTITUTE(SUBSTITUTE(SUBSTITUTE(IF(BB16&lt;&gt;"",BB16,K16)," ",""),".",""),"+","")),"WhatsApp"))</f>
        <v/>
      </c>
      <c r="M16" s="60">
        <f>IF(BC16="","",HYPERLINK(IF(LEFT(BC16,4)="http",BC16,"https://www.instagram.com/"&amp;SUBSTITUTE(SUBSTITUTE(BC16,"@","")," ","")),BC16))</f>
        <v/>
      </c>
      <c r="N16" s="60">
        <f>IF(C16="","",IFERROR(INDEX('Saisie'!$D$5:$D$2004,_xlfn.MINIFS('Saisie'!$AS$5:$AS$2004,'Saisie'!$C$5:$C$2004,C16,'Saisie'!$AU$5:$AU$2004,1)-4),IFERROR(INDEX('Saisie'!$D$5:$D$2004,_xlfn.MINIFS('Saisie'!$AS$5:$AS$2004,'Saisie'!$C$5:$C$2004,C16,'Saisie'!$D$5:$D$2004,"&lt;&gt;")-4),"")))</f>
        <v/>
      </c>
      <c r="O16" s="60">
        <f>IF(C16="","",COUNTIFS('Saisie'!$C$5:$C$2004,C16,'Saisie'!$AU$5:$AU$2004,1))</f>
        <v/>
      </c>
      <c r="P16" s="60">
        <f>IF(C16="","",COUNTIFS('Saisie'!$C$5:$C$2004,C16,'Saisie'!$AV$5:$AV$2004,1))</f>
        <v/>
      </c>
      <c r="Q16" s="106">
        <f>IF(C16="","",IFERROR(1/(1/_xlfn.MAXIFS('Saisie'!$A$5:$A$2004,'Saisie'!$C$5:$C$2004,C16)),""))</f>
        <v/>
      </c>
      <c r="R16" s="61">
        <f>IF(C16="","",IF(Q16="","",TODAY()-Q16))</f>
        <v/>
      </c>
      <c r="S16" s="60">
        <f>IF(C16="","",IFERROR(INDEX('Saisie'!$R$5:$R$2004,_xlfn.MAXIFS('Saisie'!$AS$5:$AS$2004,'Saisie'!$C$5:$C$2004,C16,'Saisie'!$R$5:$R$2004,"&lt;&gt;")-4),""))</f>
        <v/>
      </c>
      <c r="T16" s="60">
        <f>IF(C16="","",IFERROR(INDEX('Saisie'!$S$5:$S$2004,_xlfn.MAXIFS('Saisie'!$AS$5:$AS$2004,'Saisie'!$C$5:$C$2004,C16,'Saisie'!$S$5:$S$2004,"&lt;&gt;")-4),""))</f>
        <v/>
      </c>
      <c r="U16" s="60">
        <f>IF(C16="","",IFERROR(INDEX('Saisie'!$T$5:$T$2004,_xlfn.MAXIFS('Saisie'!$AS$5:$AS$2004,'Saisie'!$C$5:$C$2004,C16,'Saisie'!$T$5:$T$2004,"&lt;&gt;")-4),""))</f>
        <v/>
      </c>
      <c r="V16" s="60">
        <f>IF(C16="","",IFERROR(INDEX('Saisie'!$V$5:$V$2004,_xlfn.MAXIFS('Saisie'!$AS$5:$AS$2004,'Saisie'!$C$5:$C$2004,C16,'Saisie'!$V$5:$V$2004,"&lt;&gt;")-4),""))</f>
        <v/>
      </c>
      <c r="W16" s="60">
        <f>IF(C16="","",IFERROR(INDEX('Saisie'!$Z$5:$Z$2004,_xlfn.MAXIFS('Saisie'!$AS$5:$AS$2004,'Saisie'!$C$5:$C$2004,C16,'Saisie'!$Z$5:$Z$2004,"&lt;&gt;")-4),""))</f>
        <v/>
      </c>
      <c r="X16" s="60">
        <f>IF(C16="","",IFERROR(INDEX('Saisie'!$AA$5:$AA$2004,_xlfn.MAXIFS('Saisie'!$AS$5:$AS$2004,'Saisie'!$C$5:$C$2004,C16,'Saisie'!$AA$5:$AA$2004,"&lt;&gt;")-4),""))</f>
        <v/>
      </c>
      <c r="Y16" s="60">
        <f>IF(C16="","",IFERROR(INDEX('Saisie'!$AB$5:$AB$2004,_xlfn.MAXIFS('Saisie'!$AS$5:$AS$2004,'Saisie'!$C$5:$C$2004,C16,'Saisie'!$AB$5:$AB$2004,"&lt;&gt;")-4),""))</f>
        <v/>
      </c>
      <c r="Z16" s="60">
        <f>IF(C16="","",IFERROR(INDEX('Saisie'!$AC$5:$AC$2004,_xlfn.MAXIFS('Saisie'!$AS$5:$AS$2004,'Saisie'!$C$5:$C$2004,C16,'Saisie'!$AC$5:$AC$2004,"&lt;&gt;")-4),""))</f>
        <v/>
      </c>
      <c r="AA16" s="106">
        <f>IF(C16="","",IFERROR(INDEX('Saisie'!$AD$5:$AD$2004,_xlfn.MAXIFS('Saisie'!$AS$5:$AS$2004,'Saisie'!$C$5:$C$2004,C16,'Saisie'!$AD$5:$AD$2004,"&lt;&gt;")-4),""))</f>
        <v/>
      </c>
      <c r="AB16" s="60">
        <f>IF(C16="","",IFERROR(INDEX('Saisie'!$AE$5:$AE$2004,_xlfn.MAXIFS('Saisie'!$AS$5:$AS$2004,'Saisie'!$C$5:$C$2004,C16,'Saisie'!$AE$5:$AE$2004,"&lt;&gt;")-4),""))</f>
        <v/>
      </c>
      <c r="AC16" s="60">
        <f>IF(C16="","",IFERROR(INDEX('Saisie'!$AF$5:$AF$2004,_xlfn.MAXIFS('Saisie'!$AS$5:$AS$2004,'Saisie'!$C$5:$C$2004,C16,'Saisie'!$AF$5:$AF$2004,"&lt;&gt;")-4),""))</f>
        <v/>
      </c>
      <c r="AD16" s="108">
        <f>IF(C16="","",IFERROR(INDEX('Saisie'!$AG$5:$AG$2004,_xlfn.MAXIFS('Saisie'!$AS$5:$AS$2004,'Saisie'!$C$5:$C$2004,C16,'Saisie'!$AG$5:$AG$2004,"&lt;&gt;")-4),""))</f>
        <v/>
      </c>
      <c r="AE16" s="60">
        <f>IF(C16="","",IFERROR(INDEX('Saisie'!$AH$5:$AH$2004,_xlfn.MAXIFS('Saisie'!$AS$5:$AS$2004,'Saisie'!$C$5:$C$2004,C16,'Saisie'!$AH$5:$AH$2004,"&lt;&gt;")-4),""))</f>
        <v/>
      </c>
      <c r="AF16" s="60">
        <f>IF(C16="","",IFERROR(INDEX('Saisie'!$AI$5:$AI$2004,_xlfn.MAXIFS('Saisie'!$AS$5:$AS$2004,'Saisie'!$C$5:$C$2004,C16,'Saisie'!$AI$5:$AI$2004,"&lt;&gt;")-4),""))</f>
        <v/>
      </c>
      <c r="AG16" s="60">
        <f>IF(C16="","",IFERROR(INDEX('Saisie'!$AJ$5:$AJ$2004,_xlfn.MAXIFS('Saisie'!$AS$5:$AS$2004,'Saisie'!$C$5:$C$2004,C16,'Saisie'!$AJ$5:$AJ$2004,"&lt;&gt;")-4),""))</f>
        <v/>
      </c>
      <c r="AH16" s="60">
        <f>IF(C16="","",IFERROR(INDEX('Saisie'!$AK$5:$AK$2004,_xlfn.MAXIFS('Saisie'!$AS$5:$AS$2004,'Saisie'!$C$5:$C$2004,C16,'Saisie'!$AK$5:$AK$2004,"&lt;&gt;")-4),""))</f>
        <v/>
      </c>
      <c r="AI16" s="60">
        <f>IF(C16="","",IFERROR(INDEX('Saisie'!$AN$5:$AN$2004,_xlfn.MAXIFS('Saisie'!$AS$5:$AS$2004,'Saisie'!$C$5:$C$2004,C16,'Saisie'!$AN$5:$AN$2004,"&lt;&gt;")-4),""))</f>
        <v/>
      </c>
      <c r="AJ16" s="60">
        <f>IF(C16="","",IFERROR(INDEX('Saisie'!$AO$5:$AO$2004,_xlfn.MAXIFS('Saisie'!$AS$5:$AS$2004,'Saisie'!$C$5:$C$2004,C16,'Saisie'!$AO$5:$AO$2004,"&lt;&gt;")-4),""))</f>
        <v/>
      </c>
      <c r="AK16" s="60">
        <f>IF(C16="","",IFERROR(INDEX('Saisie'!$AP$5:$AP$2004,_xlfn.MAXIFS('Saisie'!$AS$5:$AS$2004,'Saisie'!$C$5:$C$2004,C16,'Saisie'!$AP$5:$AP$2004,"&lt;&gt;")-4),""))</f>
        <v/>
      </c>
      <c r="AL16" s="60">
        <f>IF(C16="","",IFERROR(INDEX('Saisie'!$AQ$5:$AQ$2004,_xlfn.MAXIFS('Saisie'!$AS$5:$AS$2004,'Saisie'!$C$5:$C$2004,C16,'Saisie'!$AQ$5:$AQ$2004,"&lt;&gt;")-4),""))</f>
        <v/>
      </c>
      <c r="AM16" s="60">
        <f>IF(C16="","",((AI16="Oui")+(AJ16="Oui")+(AK16="Oui")+OR(AL16="Immédiat",AL16="&lt; 1 mois"))&amp;"/4")</f>
        <v/>
      </c>
      <c r="AN16" s="60">
        <f>IF(C16="","",IFERROR(INDEX('Saisie'!$AL$5:$AL$2004,_xlfn.MAXIFS('Saisie'!$AS$5:$AS$2004,'Saisie'!$C$5:$C$2004,C16,'Saisie'!$AL$5:$AL$2004,"&lt;&gt;")-4),""))</f>
        <v/>
      </c>
      <c r="AO16" s="62">
        <f>IF(C16="","",IF(IFERROR(INDEX('Saisie'!$AM$5:$AM$2004,_xlfn.MAXIFS('Saisie'!$AS$5:$AS$2004,'Saisie'!$C$5:$C$2004,C16,'Saisie'!$AM$5:$AM$2004,"&lt;&gt;")-4),"")&lt;&gt;"",IFERROR(INDEX('Saisie'!$AM$5:$AM$2004,_xlfn.MAXIFS('Saisie'!$AS$5:$AS$2004,'Saisie'!$C$5:$C$2004,C16,'Saisie'!$AM$5:$AM$2004,"&lt;&gt;")-4),""),IFERROR(INDEX('Paramètres'!$S$6:$S$15,MATCH(AN16,'Paramètres'!$Q$6:$Q$15,0)),"")))</f>
        <v/>
      </c>
      <c r="AP16" s="62">
        <f>IF(C16="","",IFERROR(INDEX('Saisie'!$AW$5:$AW$2004,_xlfn.MAXIFS('Saisie'!$AS$5:$AS$2004,'Saisie'!$C$5:$C$2004,C16,'Saisie'!$E$5:$E$2004,"Proposition envoyée")-4),""))</f>
        <v/>
      </c>
      <c r="AQ16" s="106">
        <f>IF(C16="","",IFERROR(1/(1/_xlfn.MAXIFS('Saisie'!$A$5:$A$2004,'Saisie'!$C$5:$C$2004,C16,'Saisie'!$E$5:$E$2004,"Proposition envoyée")),""))</f>
        <v/>
      </c>
      <c r="AR16" s="106">
        <f>IF(C16="","",IF(AQ16="","",AQ16+'Paramètres'!$B$26))</f>
        <v/>
      </c>
      <c r="AS16" s="62">
        <f>IF(OR(C16="",D16="Gagné",D16="Perdu"),0,N(AP16)*IFERROR(INDEX('Paramètres'!$G$6:$G$13,MATCH(D16,'Paramètres'!$F$6:$F$13,0)),0))</f>
        <v/>
      </c>
      <c r="AT16" s="106">
        <f>IF(C16="","",IFERROR(1/(1/_xlfn.MINIFS('Saisie'!$A$5:$A$2004,'Saisie'!$C$5:$C$2004,C16,'Saisie'!$E$5:$E$2004,"Signature")),""))</f>
        <v/>
      </c>
      <c r="AU16" s="60">
        <f>IF(C16="","",IF(OR(AT16="",B16=""),"",AT16-B16))</f>
        <v/>
      </c>
      <c r="AV16" s="60">
        <f>IF(C16="","",IFERROR(INDEX('Saisie'!$L$5:$L$2004,_xlfn.MAXIFS('Saisie'!$AS$5:$AS$2004,'Saisie'!$C$5:$C$2004,C16,'Saisie'!$L$5:$L$2004,"&lt;&gt;")-4),""))</f>
        <v/>
      </c>
      <c r="AW16" s="106">
        <f>IF(C16="","",IF(D16&lt;&gt;"Perdu","",IFERROR(1/(1/_xlfn.MAXIFS('Saisie'!$A$5:$A$2004,'Saisie'!$C$5:$C$2004,C16,'Saisie'!$E$5:$E$2004,"Perdu")),"")))</f>
        <v/>
      </c>
      <c r="AX16" s="106">
        <f>IF(C16="","",IF(AW16="","",AW16+'Paramètres'!$B$28))</f>
        <v/>
      </c>
      <c r="AY16" s="60">
        <f>IF(C16="","",SUMIFS('Saisie'!$H$5:$H$2004,'Saisie'!$C$5:$C$2004,C16))</f>
        <v/>
      </c>
      <c r="AZ16" s="60">
        <f>IF(C16="","",IFERROR(INDEX('Paramètres'!$W$6:$W$20,MATCH(S16,'Paramètres'!$V$6:$V$20,0))&amp;"",""))</f>
        <v/>
      </c>
      <c r="BA16" s="60">
        <f>IF(C16="","",MAX(1,_xlfn.MAXIFS('Saisie'!$AT$5:$AT$2004,'Saisie'!$C$5:$C$2004,C16)))</f>
        <v/>
      </c>
      <c r="BB16" s="60">
        <f>IF(C16="","",IFERROR(INDEX('Saisie'!$X$5:$X$2004,_xlfn.MAXIFS('Saisie'!$AS$5:$AS$2004,'Saisie'!$C$5:$C$2004,C16,'Saisie'!$X$5:$X$2004,"&lt;&gt;")-4),""))</f>
        <v/>
      </c>
      <c r="BC16" s="60">
        <f>IF(C16="","",IFERROR(INDEX('Saisie'!$Y$5:$Y$2004,_xlfn.MAXIFS('Saisie'!$AS$5:$AS$2004,'Saisie'!$C$5:$C$2004,C16,'Saisie'!$Y$5:$Y$2004,"&lt;&gt;")-4),""))</f>
        <v/>
      </c>
      <c r="BD16" s="106">
        <f>IF(C16="","",IFERROR(1/(1/_xlfn.MINIFS('Saisie'!$A$5:$A$2004,'Saisie'!$C$5:$C$2004,C16,'Saisie'!$AT$5:$AT$2004,"&gt;=2")),""))</f>
        <v/>
      </c>
      <c r="BE16" s="106">
        <f>IF(C16="","",IFERROR(1/(1/_xlfn.MINIFS('Saisie'!$A$5:$A$2004,'Saisie'!$C$5:$C$2004,C16,'Saisie'!$AT$5:$AT$2004,"&gt;=3")),""))</f>
        <v/>
      </c>
      <c r="BF16" s="106">
        <f>IF(C16="","",IFERROR(1/(1/_xlfn.MINIFS('Saisie'!$A$5:$A$2004,'Saisie'!$C$5:$C$2004,C16,'Saisie'!$AT$5:$AT$2004,"&gt;=4")),""))</f>
        <v/>
      </c>
      <c r="BG16" s="106">
        <f>IF(C16="","",IFERROR(1/(1/_xlfn.MINIFS('Saisie'!$A$5:$A$2004,'Saisie'!$C$5:$C$2004,C16,'Saisie'!$AT$5:$AT$2004,"&gt;=5")),""))</f>
        <v/>
      </c>
      <c r="BH16" s="106">
        <f>IF(C16="","",IFERROR(1/(1/_xlfn.MINIFS('Saisie'!$A$5:$A$2004,'Saisie'!$C$5:$C$2004,C16,'Saisie'!$AT$5:$AT$2004,"&gt;=6")),""))</f>
        <v/>
      </c>
      <c r="BI16" s="106">
        <f>IF(C16="","",IFERROR(1/(1/_xlfn.MINIFS('Saisie'!$A$5:$A$2004,'Saisie'!$C$5:$C$2004,C16,'Saisie'!$AT$5:$AT$2004,"&gt;=7")),""))</f>
        <v/>
      </c>
      <c r="BJ16" s="60">
        <f>IF(OR(BD16="",B16=""),"",BD16-B16)</f>
        <v/>
      </c>
      <c r="BK16" s="60">
        <f>IF(OR(BE16="",BD16=""),"",BE16-BD16)</f>
        <v/>
      </c>
      <c r="BL16" s="60">
        <f>IF(OR(BF16="",BE16=""),"",BF16-BE16)</f>
        <v/>
      </c>
      <c r="BM16" s="60">
        <f>IF(OR(BG16="",BF16=""),"",BG16-BF16)</f>
        <v/>
      </c>
      <c r="BN16" s="60">
        <f>IF(OR(BH16="",BG16=""),"",BH16-BG16)</f>
        <v/>
      </c>
      <c r="BO16" s="60">
        <f>IF(OR(BI16="",BH16=""),"",BI16-BH16)</f>
        <v/>
      </c>
      <c r="BP16" s="60">
        <f>IF(C16="","",_xlfn.MAXIFS('Saisie'!$AS$5:$AS$2004,'Saisie'!$C$5:$C$2004,C16,'Saisie'!$J$5:$J$2004,"&lt;&gt;"))</f>
        <v/>
      </c>
      <c r="BQ16" s="60">
        <f>IF(C16="","",_xlfn.MAXIFS('Saisie'!$AS$5:$AS$2004,'Saisie'!$C$5:$C$2004,C16))</f>
        <v/>
      </c>
      <c r="BR16" s="60">
        <f>IF(C16="","",_xlfn.MAXIFS('Saisie'!$AS$5:$AS$2004,'Saisie'!$C$5:$C$2004,C16,'Saisie'!$E$5:$E$2004,"Perdu"))</f>
        <v/>
      </c>
      <c r="BS16" s="60">
        <f>IF(C16="","",_xlfn.MAXIFS('Saisie'!$AS$5:$AS$2004,'Saisie'!$C$5:$C$2004,C16,'Saisie'!$AT$5:$AT$2004,"&gt;0"))</f>
        <v/>
      </c>
      <c r="BT16" s="109">
        <f>IF(AND(C16&lt;&gt;"",OR(D16="Nouveau",D16="Contacté",D16="Qualifié"),OR(G16="",N(G16)&lt;=TODAY()),NOT(AND(O16&gt;='Paramètres'!$B$21,P16=0))),E16+12/10000,"")</f>
        <v/>
      </c>
      <c r="BU16" s="60">
        <f>IF(AND(G16&lt;&gt;"",N(G16)&lt;=TODAY()),MAX($BU$4:BU15)+1,"")</f>
        <v/>
      </c>
      <c r="BV16" s="60">
        <f>IF(AND(F16&lt;&gt;"",F16&lt;&gt;"Relance en retard"),MAX($BV$4:BV15)+1,"")</f>
        <v/>
      </c>
      <c r="BW16" s="60">
        <f>IF(C16="","",IF(AND(B16&gt;='Tableau de bord'!$R$4,B16&lt;='Tableau de bord'!$S$4,OR('Tableau de bord'!$G$4="Tous",N16='Tableau de bord'!$G$4)),1,0))</f>
        <v/>
      </c>
      <c r="BX16" s="60">
        <f>IF(AND(C16&lt;&gt;"",N(BA16)=7),MAX($BX$4:BX15)+1,"")</f>
        <v/>
      </c>
    </row>
    <row r="17">
      <c r="A17" s="60">
        <f>IF(C17="","","P-"&amp;TEXT(13,"000"))</f>
        <v/>
      </c>
      <c r="B17" s="106">
        <f>IF(C17="","",IFERROR(1/(1/_xlfn.MINIFS('Saisie'!$A$5:$A$2004,'Saisie'!$C$5:$C$2004,C17)),""))</f>
        <v/>
      </c>
      <c r="C17" s="60">
        <f>IFERROR(INDEX('Saisie'!$C$5:$C$2004,MATCH(13,'Saisie'!$AX$5:$AX$2004,0)),"")</f>
        <v/>
      </c>
      <c r="D17" s="60">
        <f>IF(C17="","",IF(AND(BR17&gt;0,BR17&gt;BS17,BA17&lt;7),"Perdu",INDEX('Paramètres'!$F$6:$F$13,BA17)))</f>
        <v/>
      </c>
      <c r="E17" s="61">
        <f>IF(C17="","",MIN(100,(Z17="Oui")*'Paramètres'!$B$38+(AB17="Régulière")*'Paramètres'!$B$39+IF(AND(N(AA17)&gt;0,TODAY()-N(AA17)&lt;=30),'Paramètres'!$B$40,0)+(W17="")*'Paramètres'!$B$41+(AC17="Absente")*'Paramètres'!$B$42+(AC17="Faible")*'Paramètres'!$B$43+IF(AND(N(AD17)&gt;0,N(AD17)&lt;4),'Paramètres'!$B$44,0)+(AF17="Moyenne")*'Paramètres'!$B$45+(AF17="Grande")*'Paramètres'!$B$46+(Y17&lt;&gt;"")*'Paramètres'!$B$47))</f>
        <v/>
      </c>
      <c r="F17" s="60">
        <f>IF(C17="","",IF(D17="Gagné","",IF(D17="Perdu",IF(AND(AX17&lt;&gt;"",AX17&lt;=TODAY()),"À recontacter (perdu)",""),IF(AND(O17&gt;='Paramètres'!$B$21,P17=0),"Stop : "&amp;'Paramètres'!$B$21&amp;" tentatives sans réponse",IF(AND(D17="Proposition",AR17&lt;&gt;"",TODAY()&gt;N(AR17)),"Proposition expirée",IF(AND(D17="Proposition",N(R17)&gt;='Paramètres'!$B$25),"Proposition sans réponse",IF(AND(G17&lt;&gt;"",N(G17)&lt;TODAY()),"Relance en retard",IF(N(R17)&gt;='Paramètres'!$B$24,"Sans action depuis "&amp;R17&amp;" j",""))))))))</f>
        <v/>
      </c>
      <c r="G17" s="106">
        <f>IF(OR(C17="",D17="Gagné",D17="Perdu"),"",IF(AND(BP17&gt;0,BP17=BQ17),INDEX('Saisie'!$J$5:$J$2004,BP17-4),IF(OR(O17=0,AND(O17&gt;='Paramètres'!$B$21,P17=0)),"",Q17+IF(O17&lt;=1,'Paramètres'!$B$18,IF(O17=2,'Paramètres'!$B$19,'Paramètres'!$B$20)))))</f>
        <v/>
      </c>
      <c r="H17" s="107">
        <f>IF(OR(G17="",BP17&lt;&gt;BQ17),"",IF(INDEX('Saisie'!$K$5:$K$2004,BP17-4)="","",INDEX('Saisie'!$K$5:$K$2004,BP17-4)))</f>
        <v/>
      </c>
      <c r="I17" s="60">
        <f>IF(C17="","",IF(OR(D17="Gagné",D17="Perdu"),"",IFERROR(INDEX('Saisie'!$I$5:$I$2004,_xlfn.MAXIFS('Saisie'!$AS$5:$AS$2004,'Saisie'!$C$5:$C$2004,C17,'Saisie'!$I$5:$I$2004,"&lt;&gt;")-4),"")))</f>
        <v/>
      </c>
      <c r="J17" s="60">
        <f>IF(C17="","",IFERROR(INDEX('Saisie'!$U$5:$U$2004,_xlfn.MAXIFS('Saisie'!$AS$5:$AS$2004,'Saisie'!$C$5:$C$2004,C17,'Saisie'!$U$5:$U$2004,"&lt;&gt;")-4),""))</f>
        <v/>
      </c>
      <c r="K17" s="60">
        <f>IF(C17="","",IFERROR(INDEX('Saisie'!$W$5:$W$2004,_xlfn.MAXIFS('Saisie'!$AS$5:$AS$2004,'Saisie'!$C$5:$C$2004,C17,'Saisie'!$W$5:$W$2004,"&lt;&gt;")-4),""))</f>
        <v/>
      </c>
      <c r="L17" s="60">
        <f>IF(IF(BB17&lt;&gt;"",BB17,K17)="","",HYPERLINK("https://wa.me/"&amp;IF(LEFT(SUBSTITUTE(SUBSTITUTE(SUBSTITUTE(IF(BB17&lt;&gt;"",BB17,K17)," ",""),".",""),"+",""),1)="0",'Paramètres'!$B$35&amp;MID(SUBSTITUTE(SUBSTITUTE(SUBSTITUTE(IF(BB17&lt;&gt;"",BB17,K17)," ",""),".",""),"+",""),2,20),SUBSTITUTE(SUBSTITUTE(SUBSTITUTE(IF(BB17&lt;&gt;"",BB17,K17)," ",""),".",""),"+","")),"WhatsApp"))</f>
        <v/>
      </c>
      <c r="M17" s="60">
        <f>IF(BC17="","",HYPERLINK(IF(LEFT(BC17,4)="http",BC17,"https://www.instagram.com/"&amp;SUBSTITUTE(SUBSTITUTE(BC17,"@","")," ","")),BC17))</f>
        <v/>
      </c>
      <c r="N17" s="60">
        <f>IF(C17="","",IFERROR(INDEX('Saisie'!$D$5:$D$2004,_xlfn.MINIFS('Saisie'!$AS$5:$AS$2004,'Saisie'!$C$5:$C$2004,C17,'Saisie'!$AU$5:$AU$2004,1)-4),IFERROR(INDEX('Saisie'!$D$5:$D$2004,_xlfn.MINIFS('Saisie'!$AS$5:$AS$2004,'Saisie'!$C$5:$C$2004,C17,'Saisie'!$D$5:$D$2004,"&lt;&gt;")-4),"")))</f>
        <v/>
      </c>
      <c r="O17" s="60">
        <f>IF(C17="","",COUNTIFS('Saisie'!$C$5:$C$2004,C17,'Saisie'!$AU$5:$AU$2004,1))</f>
        <v/>
      </c>
      <c r="P17" s="60">
        <f>IF(C17="","",COUNTIFS('Saisie'!$C$5:$C$2004,C17,'Saisie'!$AV$5:$AV$2004,1))</f>
        <v/>
      </c>
      <c r="Q17" s="106">
        <f>IF(C17="","",IFERROR(1/(1/_xlfn.MAXIFS('Saisie'!$A$5:$A$2004,'Saisie'!$C$5:$C$2004,C17)),""))</f>
        <v/>
      </c>
      <c r="R17" s="61">
        <f>IF(C17="","",IF(Q17="","",TODAY()-Q17))</f>
        <v/>
      </c>
      <c r="S17" s="60">
        <f>IF(C17="","",IFERROR(INDEX('Saisie'!$R$5:$R$2004,_xlfn.MAXIFS('Saisie'!$AS$5:$AS$2004,'Saisie'!$C$5:$C$2004,C17,'Saisie'!$R$5:$R$2004,"&lt;&gt;")-4),""))</f>
        <v/>
      </c>
      <c r="T17" s="60">
        <f>IF(C17="","",IFERROR(INDEX('Saisie'!$S$5:$S$2004,_xlfn.MAXIFS('Saisie'!$AS$5:$AS$2004,'Saisie'!$C$5:$C$2004,C17,'Saisie'!$S$5:$S$2004,"&lt;&gt;")-4),""))</f>
        <v/>
      </c>
      <c r="U17" s="60">
        <f>IF(C17="","",IFERROR(INDEX('Saisie'!$T$5:$T$2004,_xlfn.MAXIFS('Saisie'!$AS$5:$AS$2004,'Saisie'!$C$5:$C$2004,C17,'Saisie'!$T$5:$T$2004,"&lt;&gt;")-4),""))</f>
        <v/>
      </c>
      <c r="V17" s="60">
        <f>IF(C17="","",IFERROR(INDEX('Saisie'!$V$5:$V$2004,_xlfn.MAXIFS('Saisie'!$AS$5:$AS$2004,'Saisie'!$C$5:$C$2004,C17,'Saisie'!$V$5:$V$2004,"&lt;&gt;")-4),""))</f>
        <v/>
      </c>
      <c r="W17" s="60">
        <f>IF(C17="","",IFERROR(INDEX('Saisie'!$Z$5:$Z$2004,_xlfn.MAXIFS('Saisie'!$AS$5:$AS$2004,'Saisie'!$C$5:$C$2004,C17,'Saisie'!$Z$5:$Z$2004,"&lt;&gt;")-4),""))</f>
        <v/>
      </c>
      <c r="X17" s="60">
        <f>IF(C17="","",IFERROR(INDEX('Saisie'!$AA$5:$AA$2004,_xlfn.MAXIFS('Saisie'!$AS$5:$AS$2004,'Saisie'!$C$5:$C$2004,C17,'Saisie'!$AA$5:$AA$2004,"&lt;&gt;")-4),""))</f>
        <v/>
      </c>
      <c r="Y17" s="60">
        <f>IF(C17="","",IFERROR(INDEX('Saisie'!$AB$5:$AB$2004,_xlfn.MAXIFS('Saisie'!$AS$5:$AS$2004,'Saisie'!$C$5:$C$2004,C17,'Saisie'!$AB$5:$AB$2004,"&lt;&gt;")-4),""))</f>
        <v/>
      </c>
      <c r="Z17" s="60">
        <f>IF(C17="","",IFERROR(INDEX('Saisie'!$AC$5:$AC$2004,_xlfn.MAXIFS('Saisie'!$AS$5:$AS$2004,'Saisie'!$C$5:$C$2004,C17,'Saisie'!$AC$5:$AC$2004,"&lt;&gt;")-4),""))</f>
        <v/>
      </c>
      <c r="AA17" s="106">
        <f>IF(C17="","",IFERROR(INDEX('Saisie'!$AD$5:$AD$2004,_xlfn.MAXIFS('Saisie'!$AS$5:$AS$2004,'Saisie'!$C$5:$C$2004,C17,'Saisie'!$AD$5:$AD$2004,"&lt;&gt;")-4),""))</f>
        <v/>
      </c>
      <c r="AB17" s="60">
        <f>IF(C17="","",IFERROR(INDEX('Saisie'!$AE$5:$AE$2004,_xlfn.MAXIFS('Saisie'!$AS$5:$AS$2004,'Saisie'!$C$5:$C$2004,C17,'Saisie'!$AE$5:$AE$2004,"&lt;&gt;")-4),""))</f>
        <v/>
      </c>
      <c r="AC17" s="60">
        <f>IF(C17="","",IFERROR(INDEX('Saisie'!$AF$5:$AF$2004,_xlfn.MAXIFS('Saisie'!$AS$5:$AS$2004,'Saisie'!$C$5:$C$2004,C17,'Saisie'!$AF$5:$AF$2004,"&lt;&gt;")-4),""))</f>
        <v/>
      </c>
      <c r="AD17" s="108">
        <f>IF(C17="","",IFERROR(INDEX('Saisie'!$AG$5:$AG$2004,_xlfn.MAXIFS('Saisie'!$AS$5:$AS$2004,'Saisie'!$C$5:$C$2004,C17,'Saisie'!$AG$5:$AG$2004,"&lt;&gt;")-4),""))</f>
        <v/>
      </c>
      <c r="AE17" s="60">
        <f>IF(C17="","",IFERROR(INDEX('Saisie'!$AH$5:$AH$2004,_xlfn.MAXIFS('Saisie'!$AS$5:$AS$2004,'Saisie'!$C$5:$C$2004,C17,'Saisie'!$AH$5:$AH$2004,"&lt;&gt;")-4),""))</f>
        <v/>
      </c>
      <c r="AF17" s="60">
        <f>IF(C17="","",IFERROR(INDEX('Saisie'!$AI$5:$AI$2004,_xlfn.MAXIFS('Saisie'!$AS$5:$AS$2004,'Saisie'!$C$5:$C$2004,C17,'Saisie'!$AI$5:$AI$2004,"&lt;&gt;")-4),""))</f>
        <v/>
      </c>
      <c r="AG17" s="60">
        <f>IF(C17="","",IFERROR(INDEX('Saisie'!$AJ$5:$AJ$2004,_xlfn.MAXIFS('Saisie'!$AS$5:$AS$2004,'Saisie'!$C$5:$C$2004,C17,'Saisie'!$AJ$5:$AJ$2004,"&lt;&gt;")-4),""))</f>
        <v/>
      </c>
      <c r="AH17" s="60">
        <f>IF(C17="","",IFERROR(INDEX('Saisie'!$AK$5:$AK$2004,_xlfn.MAXIFS('Saisie'!$AS$5:$AS$2004,'Saisie'!$C$5:$C$2004,C17,'Saisie'!$AK$5:$AK$2004,"&lt;&gt;")-4),""))</f>
        <v/>
      </c>
      <c r="AI17" s="60">
        <f>IF(C17="","",IFERROR(INDEX('Saisie'!$AN$5:$AN$2004,_xlfn.MAXIFS('Saisie'!$AS$5:$AS$2004,'Saisie'!$C$5:$C$2004,C17,'Saisie'!$AN$5:$AN$2004,"&lt;&gt;")-4),""))</f>
        <v/>
      </c>
      <c r="AJ17" s="60">
        <f>IF(C17="","",IFERROR(INDEX('Saisie'!$AO$5:$AO$2004,_xlfn.MAXIFS('Saisie'!$AS$5:$AS$2004,'Saisie'!$C$5:$C$2004,C17,'Saisie'!$AO$5:$AO$2004,"&lt;&gt;")-4),""))</f>
        <v/>
      </c>
      <c r="AK17" s="60">
        <f>IF(C17="","",IFERROR(INDEX('Saisie'!$AP$5:$AP$2004,_xlfn.MAXIFS('Saisie'!$AS$5:$AS$2004,'Saisie'!$C$5:$C$2004,C17,'Saisie'!$AP$5:$AP$2004,"&lt;&gt;")-4),""))</f>
        <v/>
      </c>
      <c r="AL17" s="60">
        <f>IF(C17="","",IFERROR(INDEX('Saisie'!$AQ$5:$AQ$2004,_xlfn.MAXIFS('Saisie'!$AS$5:$AS$2004,'Saisie'!$C$5:$C$2004,C17,'Saisie'!$AQ$5:$AQ$2004,"&lt;&gt;")-4),""))</f>
        <v/>
      </c>
      <c r="AM17" s="60">
        <f>IF(C17="","",((AI17="Oui")+(AJ17="Oui")+(AK17="Oui")+OR(AL17="Immédiat",AL17="&lt; 1 mois"))&amp;"/4")</f>
        <v/>
      </c>
      <c r="AN17" s="60">
        <f>IF(C17="","",IFERROR(INDEX('Saisie'!$AL$5:$AL$2004,_xlfn.MAXIFS('Saisie'!$AS$5:$AS$2004,'Saisie'!$C$5:$C$2004,C17,'Saisie'!$AL$5:$AL$2004,"&lt;&gt;")-4),""))</f>
        <v/>
      </c>
      <c r="AO17" s="62">
        <f>IF(C17="","",IF(IFERROR(INDEX('Saisie'!$AM$5:$AM$2004,_xlfn.MAXIFS('Saisie'!$AS$5:$AS$2004,'Saisie'!$C$5:$C$2004,C17,'Saisie'!$AM$5:$AM$2004,"&lt;&gt;")-4),"")&lt;&gt;"",IFERROR(INDEX('Saisie'!$AM$5:$AM$2004,_xlfn.MAXIFS('Saisie'!$AS$5:$AS$2004,'Saisie'!$C$5:$C$2004,C17,'Saisie'!$AM$5:$AM$2004,"&lt;&gt;")-4),""),IFERROR(INDEX('Paramètres'!$S$6:$S$15,MATCH(AN17,'Paramètres'!$Q$6:$Q$15,0)),"")))</f>
        <v/>
      </c>
      <c r="AP17" s="62">
        <f>IF(C17="","",IFERROR(INDEX('Saisie'!$AW$5:$AW$2004,_xlfn.MAXIFS('Saisie'!$AS$5:$AS$2004,'Saisie'!$C$5:$C$2004,C17,'Saisie'!$E$5:$E$2004,"Proposition envoyée")-4),""))</f>
        <v/>
      </c>
      <c r="AQ17" s="106">
        <f>IF(C17="","",IFERROR(1/(1/_xlfn.MAXIFS('Saisie'!$A$5:$A$2004,'Saisie'!$C$5:$C$2004,C17,'Saisie'!$E$5:$E$2004,"Proposition envoyée")),""))</f>
        <v/>
      </c>
      <c r="AR17" s="106">
        <f>IF(C17="","",IF(AQ17="","",AQ17+'Paramètres'!$B$26))</f>
        <v/>
      </c>
      <c r="AS17" s="62">
        <f>IF(OR(C17="",D17="Gagné",D17="Perdu"),0,N(AP17)*IFERROR(INDEX('Paramètres'!$G$6:$G$13,MATCH(D17,'Paramètres'!$F$6:$F$13,0)),0))</f>
        <v/>
      </c>
      <c r="AT17" s="106">
        <f>IF(C17="","",IFERROR(1/(1/_xlfn.MINIFS('Saisie'!$A$5:$A$2004,'Saisie'!$C$5:$C$2004,C17,'Saisie'!$E$5:$E$2004,"Signature")),""))</f>
        <v/>
      </c>
      <c r="AU17" s="60">
        <f>IF(C17="","",IF(OR(AT17="",B17=""),"",AT17-B17))</f>
        <v/>
      </c>
      <c r="AV17" s="60">
        <f>IF(C17="","",IFERROR(INDEX('Saisie'!$L$5:$L$2004,_xlfn.MAXIFS('Saisie'!$AS$5:$AS$2004,'Saisie'!$C$5:$C$2004,C17,'Saisie'!$L$5:$L$2004,"&lt;&gt;")-4),""))</f>
        <v/>
      </c>
      <c r="AW17" s="106">
        <f>IF(C17="","",IF(D17&lt;&gt;"Perdu","",IFERROR(1/(1/_xlfn.MAXIFS('Saisie'!$A$5:$A$2004,'Saisie'!$C$5:$C$2004,C17,'Saisie'!$E$5:$E$2004,"Perdu")),"")))</f>
        <v/>
      </c>
      <c r="AX17" s="106">
        <f>IF(C17="","",IF(AW17="","",AW17+'Paramètres'!$B$28))</f>
        <v/>
      </c>
      <c r="AY17" s="60">
        <f>IF(C17="","",SUMIFS('Saisie'!$H$5:$H$2004,'Saisie'!$C$5:$C$2004,C17))</f>
        <v/>
      </c>
      <c r="AZ17" s="60">
        <f>IF(C17="","",IFERROR(INDEX('Paramètres'!$W$6:$W$20,MATCH(S17,'Paramètres'!$V$6:$V$20,0))&amp;"",""))</f>
        <v/>
      </c>
      <c r="BA17" s="60">
        <f>IF(C17="","",MAX(1,_xlfn.MAXIFS('Saisie'!$AT$5:$AT$2004,'Saisie'!$C$5:$C$2004,C17)))</f>
        <v/>
      </c>
      <c r="BB17" s="60">
        <f>IF(C17="","",IFERROR(INDEX('Saisie'!$X$5:$X$2004,_xlfn.MAXIFS('Saisie'!$AS$5:$AS$2004,'Saisie'!$C$5:$C$2004,C17,'Saisie'!$X$5:$X$2004,"&lt;&gt;")-4),""))</f>
        <v/>
      </c>
      <c r="BC17" s="60">
        <f>IF(C17="","",IFERROR(INDEX('Saisie'!$Y$5:$Y$2004,_xlfn.MAXIFS('Saisie'!$AS$5:$AS$2004,'Saisie'!$C$5:$C$2004,C17,'Saisie'!$Y$5:$Y$2004,"&lt;&gt;")-4),""))</f>
        <v/>
      </c>
      <c r="BD17" s="106">
        <f>IF(C17="","",IFERROR(1/(1/_xlfn.MINIFS('Saisie'!$A$5:$A$2004,'Saisie'!$C$5:$C$2004,C17,'Saisie'!$AT$5:$AT$2004,"&gt;=2")),""))</f>
        <v/>
      </c>
      <c r="BE17" s="106">
        <f>IF(C17="","",IFERROR(1/(1/_xlfn.MINIFS('Saisie'!$A$5:$A$2004,'Saisie'!$C$5:$C$2004,C17,'Saisie'!$AT$5:$AT$2004,"&gt;=3")),""))</f>
        <v/>
      </c>
      <c r="BF17" s="106">
        <f>IF(C17="","",IFERROR(1/(1/_xlfn.MINIFS('Saisie'!$A$5:$A$2004,'Saisie'!$C$5:$C$2004,C17,'Saisie'!$AT$5:$AT$2004,"&gt;=4")),""))</f>
        <v/>
      </c>
      <c r="BG17" s="106">
        <f>IF(C17="","",IFERROR(1/(1/_xlfn.MINIFS('Saisie'!$A$5:$A$2004,'Saisie'!$C$5:$C$2004,C17,'Saisie'!$AT$5:$AT$2004,"&gt;=5")),""))</f>
        <v/>
      </c>
      <c r="BH17" s="106">
        <f>IF(C17="","",IFERROR(1/(1/_xlfn.MINIFS('Saisie'!$A$5:$A$2004,'Saisie'!$C$5:$C$2004,C17,'Saisie'!$AT$5:$AT$2004,"&gt;=6")),""))</f>
        <v/>
      </c>
      <c r="BI17" s="106">
        <f>IF(C17="","",IFERROR(1/(1/_xlfn.MINIFS('Saisie'!$A$5:$A$2004,'Saisie'!$C$5:$C$2004,C17,'Saisie'!$AT$5:$AT$2004,"&gt;=7")),""))</f>
        <v/>
      </c>
      <c r="BJ17" s="60">
        <f>IF(OR(BD17="",B17=""),"",BD17-B17)</f>
        <v/>
      </c>
      <c r="BK17" s="60">
        <f>IF(OR(BE17="",BD17=""),"",BE17-BD17)</f>
        <v/>
      </c>
      <c r="BL17" s="60">
        <f>IF(OR(BF17="",BE17=""),"",BF17-BE17)</f>
        <v/>
      </c>
      <c r="BM17" s="60">
        <f>IF(OR(BG17="",BF17=""),"",BG17-BF17)</f>
        <v/>
      </c>
      <c r="BN17" s="60">
        <f>IF(OR(BH17="",BG17=""),"",BH17-BG17)</f>
        <v/>
      </c>
      <c r="BO17" s="60">
        <f>IF(OR(BI17="",BH17=""),"",BI17-BH17)</f>
        <v/>
      </c>
      <c r="BP17" s="60">
        <f>IF(C17="","",_xlfn.MAXIFS('Saisie'!$AS$5:$AS$2004,'Saisie'!$C$5:$C$2004,C17,'Saisie'!$J$5:$J$2004,"&lt;&gt;"))</f>
        <v/>
      </c>
      <c r="BQ17" s="60">
        <f>IF(C17="","",_xlfn.MAXIFS('Saisie'!$AS$5:$AS$2004,'Saisie'!$C$5:$C$2004,C17))</f>
        <v/>
      </c>
      <c r="BR17" s="60">
        <f>IF(C17="","",_xlfn.MAXIFS('Saisie'!$AS$5:$AS$2004,'Saisie'!$C$5:$C$2004,C17,'Saisie'!$E$5:$E$2004,"Perdu"))</f>
        <v/>
      </c>
      <c r="BS17" s="60">
        <f>IF(C17="","",_xlfn.MAXIFS('Saisie'!$AS$5:$AS$2004,'Saisie'!$C$5:$C$2004,C17,'Saisie'!$AT$5:$AT$2004,"&gt;0"))</f>
        <v/>
      </c>
      <c r="BT17" s="109">
        <f>IF(AND(C17&lt;&gt;"",OR(D17="Nouveau",D17="Contacté",D17="Qualifié"),OR(G17="",N(G17)&lt;=TODAY()),NOT(AND(O17&gt;='Paramètres'!$B$21,P17=0))),E17+13/10000,"")</f>
        <v/>
      </c>
      <c r="BU17" s="60">
        <f>IF(AND(G17&lt;&gt;"",N(G17)&lt;=TODAY()),MAX($BU$4:BU16)+1,"")</f>
        <v/>
      </c>
      <c r="BV17" s="60">
        <f>IF(AND(F17&lt;&gt;"",F17&lt;&gt;"Relance en retard"),MAX($BV$4:BV16)+1,"")</f>
        <v/>
      </c>
      <c r="BW17" s="60">
        <f>IF(C17="","",IF(AND(B17&gt;='Tableau de bord'!$R$4,B17&lt;='Tableau de bord'!$S$4,OR('Tableau de bord'!$G$4="Tous",N17='Tableau de bord'!$G$4)),1,0))</f>
        <v/>
      </c>
      <c r="BX17" s="60">
        <f>IF(AND(C17&lt;&gt;"",N(BA17)=7),MAX($BX$4:BX16)+1,"")</f>
        <v/>
      </c>
    </row>
    <row r="18">
      <c r="A18" s="60">
        <f>IF(C18="","","P-"&amp;TEXT(14,"000"))</f>
        <v/>
      </c>
      <c r="B18" s="106">
        <f>IF(C18="","",IFERROR(1/(1/_xlfn.MINIFS('Saisie'!$A$5:$A$2004,'Saisie'!$C$5:$C$2004,C18)),""))</f>
        <v/>
      </c>
      <c r="C18" s="60">
        <f>IFERROR(INDEX('Saisie'!$C$5:$C$2004,MATCH(14,'Saisie'!$AX$5:$AX$2004,0)),"")</f>
        <v/>
      </c>
      <c r="D18" s="60">
        <f>IF(C18="","",IF(AND(BR18&gt;0,BR18&gt;BS18,BA18&lt;7),"Perdu",INDEX('Paramètres'!$F$6:$F$13,BA18)))</f>
        <v/>
      </c>
      <c r="E18" s="61">
        <f>IF(C18="","",MIN(100,(Z18="Oui")*'Paramètres'!$B$38+(AB18="Régulière")*'Paramètres'!$B$39+IF(AND(N(AA18)&gt;0,TODAY()-N(AA18)&lt;=30),'Paramètres'!$B$40,0)+(W18="")*'Paramètres'!$B$41+(AC18="Absente")*'Paramètres'!$B$42+(AC18="Faible")*'Paramètres'!$B$43+IF(AND(N(AD18)&gt;0,N(AD18)&lt;4),'Paramètres'!$B$44,0)+(AF18="Moyenne")*'Paramètres'!$B$45+(AF18="Grande")*'Paramètres'!$B$46+(Y18&lt;&gt;"")*'Paramètres'!$B$47))</f>
        <v/>
      </c>
      <c r="F18" s="60">
        <f>IF(C18="","",IF(D18="Gagné","",IF(D18="Perdu",IF(AND(AX18&lt;&gt;"",AX18&lt;=TODAY()),"À recontacter (perdu)",""),IF(AND(O18&gt;='Paramètres'!$B$21,P18=0),"Stop : "&amp;'Paramètres'!$B$21&amp;" tentatives sans réponse",IF(AND(D18="Proposition",AR18&lt;&gt;"",TODAY()&gt;N(AR18)),"Proposition expirée",IF(AND(D18="Proposition",N(R18)&gt;='Paramètres'!$B$25),"Proposition sans réponse",IF(AND(G18&lt;&gt;"",N(G18)&lt;TODAY()),"Relance en retard",IF(N(R18)&gt;='Paramètres'!$B$24,"Sans action depuis "&amp;R18&amp;" j",""))))))))</f>
        <v/>
      </c>
      <c r="G18" s="106">
        <f>IF(OR(C18="",D18="Gagné",D18="Perdu"),"",IF(AND(BP18&gt;0,BP18=BQ18),INDEX('Saisie'!$J$5:$J$2004,BP18-4),IF(OR(O18=0,AND(O18&gt;='Paramètres'!$B$21,P18=0)),"",Q18+IF(O18&lt;=1,'Paramètres'!$B$18,IF(O18=2,'Paramètres'!$B$19,'Paramètres'!$B$20)))))</f>
        <v/>
      </c>
      <c r="H18" s="107">
        <f>IF(OR(G18="",BP18&lt;&gt;BQ18),"",IF(INDEX('Saisie'!$K$5:$K$2004,BP18-4)="","",INDEX('Saisie'!$K$5:$K$2004,BP18-4)))</f>
        <v/>
      </c>
      <c r="I18" s="60">
        <f>IF(C18="","",IF(OR(D18="Gagné",D18="Perdu"),"",IFERROR(INDEX('Saisie'!$I$5:$I$2004,_xlfn.MAXIFS('Saisie'!$AS$5:$AS$2004,'Saisie'!$C$5:$C$2004,C18,'Saisie'!$I$5:$I$2004,"&lt;&gt;")-4),"")))</f>
        <v/>
      </c>
      <c r="J18" s="60">
        <f>IF(C18="","",IFERROR(INDEX('Saisie'!$U$5:$U$2004,_xlfn.MAXIFS('Saisie'!$AS$5:$AS$2004,'Saisie'!$C$5:$C$2004,C18,'Saisie'!$U$5:$U$2004,"&lt;&gt;")-4),""))</f>
        <v/>
      </c>
      <c r="K18" s="60">
        <f>IF(C18="","",IFERROR(INDEX('Saisie'!$W$5:$W$2004,_xlfn.MAXIFS('Saisie'!$AS$5:$AS$2004,'Saisie'!$C$5:$C$2004,C18,'Saisie'!$W$5:$W$2004,"&lt;&gt;")-4),""))</f>
        <v/>
      </c>
      <c r="L18" s="60">
        <f>IF(IF(BB18&lt;&gt;"",BB18,K18)="","",HYPERLINK("https://wa.me/"&amp;IF(LEFT(SUBSTITUTE(SUBSTITUTE(SUBSTITUTE(IF(BB18&lt;&gt;"",BB18,K18)," ",""),".",""),"+",""),1)="0",'Paramètres'!$B$35&amp;MID(SUBSTITUTE(SUBSTITUTE(SUBSTITUTE(IF(BB18&lt;&gt;"",BB18,K18)," ",""),".",""),"+",""),2,20),SUBSTITUTE(SUBSTITUTE(SUBSTITUTE(IF(BB18&lt;&gt;"",BB18,K18)," ",""),".",""),"+","")),"WhatsApp"))</f>
        <v/>
      </c>
      <c r="M18" s="60">
        <f>IF(BC18="","",HYPERLINK(IF(LEFT(BC18,4)="http",BC18,"https://www.instagram.com/"&amp;SUBSTITUTE(SUBSTITUTE(BC18,"@","")," ","")),BC18))</f>
        <v/>
      </c>
      <c r="N18" s="60">
        <f>IF(C18="","",IFERROR(INDEX('Saisie'!$D$5:$D$2004,_xlfn.MINIFS('Saisie'!$AS$5:$AS$2004,'Saisie'!$C$5:$C$2004,C18,'Saisie'!$AU$5:$AU$2004,1)-4),IFERROR(INDEX('Saisie'!$D$5:$D$2004,_xlfn.MINIFS('Saisie'!$AS$5:$AS$2004,'Saisie'!$C$5:$C$2004,C18,'Saisie'!$D$5:$D$2004,"&lt;&gt;")-4),"")))</f>
        <v/>
      </c>
      <c r="O18" s="60">
        <f>IF(C18="","",COUNTIFS('Saisie'!$C$5:$C$2004,C18,'Saisie'!$AU$5:$AU$2004,1))</f>
        <v/>
      </c>
      <c r="P18" s="60">
        <f>IF(C18="","",COUNTIFS('Saisie'!$C$5:$C$2004,C18,'Saisie'!$AV$5:$AV$2004,1))</f>
        <v/>
      </c>
      <c r="Q18" s="106">
        <f>IF(C18="","",IFERROR(1/(1/_xlfn.MAXIFS('Saisie'!$A$5:$A$2004,'Saisie'!$C$5:$C$2004,C18)),""))</f>
        <v/>
      </c>
      <c r="R18" s="61">
        <f>IF(C18="","",IF(Q18="","",TODAY()-Q18))</f>
        <v/>
      </c>
      <c r="S18" s="60">
        <f>IF(C18="","",IFERROR(INDEX('Saisie'!$R$5:$R$2004,_xlfn.MAXIFS('Saisie'!$AS$5:$AS$2004,'Saisie'!$C$5:$C$2004,C18,'Saisie'!$R$5:$R$2004,"&lt;&gt;")-4),""))</f>
        <v/>
      </c>
      <c r="T18" s="60">
        <f>IF(C18="","",IFERROR(INDEX('Saisie'!$S$5:$S$2004,_xlfn.MAXIFS('Saisie'!$AS$5:$AS$2004,'Saisie'!$C$5:$C$2004,C18,'Saisie'!$S$5:$S$2004,"&lt;&gt;")-4),""))</f>
        <v/>
      </c>
      <c r="U18" s="60">
        <f>IF(C18="","",IFERROR(INDEX('Saisie'!$T$5:$T$2004,_xlfn.MAXIFS('Saisie'!$AS$5:$AS$2004,'Saisie'!$C$5:$C$2004,C18,'Saisie'!$T$5:$T$2004,"&lt;&gt;")-4),""))</f>
        <v/>
      </c>
      <c r="V18" s="60">
        <f>IF(C18="","",IFERROR(INDEX('Saisie'!$V$5:$V$2004,_xlfn.MAXIFS('Saisie'!$AS$5:$AS$2004,'Saisie'!$C$5:$C$2004,C18,'Saisie'!$V$5:$V$2004,"&lt;&gt;")-4),""))</f>
        <v/>
      </c>
      <c r="W18" s="60">
        <f>IF(C18="","",IFERROR(INDEX('Saisie'!$Z$5:$Z$2004,_xlfn.MAXIFS('Saisie'!$AS$5:$AS$2004,'Saisie'!$C$5:$C$2004,C18,'Saisie'!$Z$5:$Z$2004,"&lt;&gt;")-4),""))</f>
        <v/>
      </c>
      <c r="X18" s="60">
        <f>IF(C18="","",IFERROR(INDEX('Saisie'!$AA$5:$AA$2004,_xlfn.MAXIFS('Saisie'!$AS$5:$AS$2004,'Saisie'!$C$5:$C$2004,C18,'Saisie'!$AA$5:$AA$2004,"&lt;&gt;")-4),""))</f>
        <v/>
      </c>
      <c r="Y18" s="60">
        <f>IF(C18="","",IFERROR(INDEX('Saisie'!$AB$5:$AB$2004,_xlfn.MAXIFS('Saisie'!$AS$5:$AS$2004,'Saisie'!$C$5:$C$2004,C18,'Saisie'!$AB$5:$AB$2004,"&lt;&gt;")-4),""))</f>
        <v/>
      </c>
      <c r="Z18" s="60">
        <f>IF(C18="","",IFERROR(INDEX('Saisie'!$AC$5:$AC$2004,_xlfn.MAXIFS('Saisie'!$AS$5:$AS$2004,'Saisie'!$C$5:$C$2004,C18,'Saisie'!$AC$5:$AC$2004,"&lt;&gt;")-4),""))</f>
        <v/>
      </c>
      <c r="AA18" s="106">
        <f>IF(C18="","",IFERROR(INDEX('Saisie'!$AD$5:$AD$2004,_xlfn.MAXIFS('Saisie'!$AS$5:$AS$2004,'Saisie'!$C$5:$C$2004,C18,'Saisie'!$AD$5:$AD$2004,"&lt;&gt;")-4),""))</f>
        <v/>
      </c>
      <c r="AB18" s="60">
        <f>IF(C18="","",IFERROR(INDEX('Saisie'!$AE$5:$AE$2004,_xlfn.MAXIFS('Saisie'!$AS$5:$AS$2004,'Saisie'!$C$5:$C$2004,C18,'Saisie'!$AE$5:$AE$2004,"&lt;&gt;")-4),""))</f>
        <v/>
      </c>
      <c r="AC18" s="60">
        <f>IF(C18="","",IFERROR(INDEX('Saisie'!$AF$5:$AF$2004,_xlfn.MAXIFS('Saisie'!$AS$5:$AS$2004,'Saisie'!$C$5:$C$2004,C18,'Saisie'!$AF$5:$AF$2004,"&lt;&gt;")-4),""))</f>
        <v/>
      </c>
      <c r="AD18" s="108">
        <f>IF(C18="","",IFERROR(INDEX('Saisie'!$AG$5:$AG$2004,_xlfn.MAXIFS('Saisie'!$AS$5:$AS$2004,'Saisie'!$C$5:$C$2004,C18,'Saisie'!$AG$5:$AG$2004,"&lt;&gt;")-4),""))</f>
        <v/>
      </c>
      <c r="AE18" s="60">
        <f>IF(C18="","",IFERROR(INDEX('Saisie'!$AH$5:$AH$2004,_xlfn.MAXIFS('Saisie'!$AS$5:$AS$2004,'Saisie'!$C$5:$C$2004,C18,'Saisie'!$AH$5:$AH$2004,"&lt;&gt;")-4),""))</f>
        <v/>
      </c>
      <c r="AF18" s="60">
        <f>IF(C18="","",IFERROR(INDEX('Saisie'!$AI$5:$AI$2004,_xlfn.MAXIFS('Saisie'!$AS$5:$AS$2004,'Saisie'!$C$5:$C$2004,C18,'Saisie'!$AI$5:$AI$2004,"&lt;&gt;")-4),""))</f>
        <v/>
      </c>
      <c r="AG18" s="60">
        <f>IF(C18="","",IFERROR(INDEX('Saisie'!$AJ$5:$AJ$2004,_xlfn.MAXIFS('Saisie'!$AS$5:$AS$2004,'Saisie'!$C$5:$C$2004,C18,'Saisie'!$AJ$5:$AJ$2004,"&lt;&gt;")-4),""))</f>
        <v/>
      </c>
      <c r="AH18" s="60">
        <f>IF(C18="","",IFERROR(INDEX('Saisie'!$AK$5:$AK$2004,_xlfn.MAXIFS('Saisie'!$AS$5:$AS$2004,'Saisie'!$C$5:$C$2004,C18,'Saisie'!$AK$5:$AK$2004,"&lt;&gt;")-4),""))</f>
        <v/>
      </c>
      <c r="AI18" s="60">
        <f>IF(C18="","",IFERROR(INDEX('Saisie'!$AN$5:$AN$2004,_xlfn.MAXIFS('Saisie'!$AS$5:$AS$2004,'Saisie'!$C$5:$C$2004,C18,'Saisie'!$AN$5:$AN$2004,"&lt;&gt;")-4),""))</f>
        <v/>
      </c>
      <c r="AJ18" s="60">
        <f>IF(C18="","",IFERROR(INDEX('Saisie'!$AO$5:$AO$2004,_xlfn.MAXIFS('Saisie'!$AS$5:$AS$2004,'Saisie'!$C$5:$C$2004,C18,'Saisie'!$AO$5:$AO$2004,"&lt;&gt;")-4),""))</f>
        <v/>
      </c>
      <c r="AK18" s="60">
        <f>IF(C18="","",IFERROR(INDEX('Saisie'!$AP$5:$AP$2004,_xlfn.MAXIFS('Saisie'!$AS$5:$AS$2004,'Saisie'!$C$5:$C$2004,C18,'Saisie'!$AP$5:$AP$2004,"&lt;&gt;")-4),""))</f>
        <v/>
      </c>
      <c r="AL18" s="60">
        <f>IF(C18="","",IFERROR(INDEX('Saisie'!$AQ$5:$AQ$2004,_xlfn.MAXIFS('Saisie'!$AS$5:$AS$2004,'Saisie'!$C$5:$C$2004,C18,'Saisie'!$AQ$5:$AQ$2004,"&lt;&gt;")-4),""))</f>
        <v/>
      </c>
      <c r="AM18" s="60">
        <f>IF(C18="","",((AI18="Oui")+(AJ18="Oui")+(AK18="Oui")+OR(AL18="Immédiat",AL18="&lt; 1 mois"))&amp;"/4")</f>
        <v/>
      </c>
      <c r="AN18" s="60">
        <f>IF(C18="","",IFERROR(INDEX('Saisie'!$AL$5:$AL$2004,_xlfn.MAXIFS('Saisie'!$AS$5:$AS$2004,'Saisie'!$C$5:$C$2004,C18,'Saisie'!$AL$5:$AL$2004,"&lt;&gt;")-4),""))</f>
        <v/>
      </c>
      <c r="AO18" s="62">
        <f>IF(C18="","",IF(IFERROR(INDEX('Saisie'!$AM$5:$AM$2004,_xlfn.MAXIFS('Saisie'!$AS$5:$AS$2004,'Saisie'!$C$5:$C$2004,C18,'Saisie'!$AM$5:$AM$2004,"&lt;&gt;")-4),"")&lt;&gt;"",IFERROR(INDEX('Saisie'!$AM$5:$AM$2004,_xlfn.MAXIFS('Saisie'!$AS$5:$AS$2004,'Saisie'!$C$5:$C$2004,C18,'Saisie'!$AM$5:$AM$2004,"&lt;&gt;")-4),""),IFERROR(INDEX('Paramètres'!$S$6:$S$15,MATCH(AN18,'Paramètres'!$Q$6:$Q$15,0)),"")))</f>
        <v/>
      </c>
      <c r="AP18" s="62">
        <f>IF(C18="","",IFERROR(INDEX('Saisie'!$AW$5:$AW$2004,_xlfn.MAXIFS('Saisie'!$AS$5:$AS$2004,'Saisie'!$C$5:$C$2004,C18,'Saisie'!$E$5:$E$2004,"Proposition envoyée")-4),""))</f>
        <v/>
      </c>
      <c r="AQ18" s="106">
        <f>IF(C18="","",IFERROR(1/(1/_xlfn.MAXIFS('Saisie'!$A$5:$A$2004,'Saisie'!$C$5:$C$2004,C18,'Saisie'!$E$5:$E$2004,"Proposition envoyée")),""))</f>
        <v/>
      </c>
      <c r="AR18" s="106">
        <f>IF(C18="","",IF(AQ18="","",AQ18+'Paramètres'!$B$26))</f>
        <v/>
      </c>
      <c r="AS18" s="62">
        <f>IF(OR(C18="",D18="Gagné",D18="Perdu"),0,N(AP18)*IFERROR(INDEX('Paramètres'!$G$6:$G$13,MATCH(D18,'Paramètres'!$F$6:$F$13,0)),0))</f>
        <v/>
      </c>
      <c r="AT18" s="106">
        <f>IF(C18="","",IFERROR(1/(1/_xlfn.MINIFS('Saisie'!$A$5:$A$2004,'Saisie'!$C$5:$C$2004,C18,'Saisie'!$E$5:$E$2004,"Signature")),""))</f>
        <v/>
      </c>
      <c r="AU18" s="60">
        <f>IF(C18="","",IF(OR(AT18="",B18=""),"",AT18-B18))</f>
        <v/>
      </c>
      <c r="AV18" s="60">
        <f>IF(C18="","",IFERROR(INDEX('Saisie'!$L$5:$L$2004,_xlfn.MAXIFS('Saisie'!$AS$5:$AS$2004,'Saisie'!$C$5:$C$2004,C18,'Saisie'!$L$5:$L$2004,"&lt;&gt;")-4),""))</f>
        <v/>
      </c>
      <c r="AW18" s="106">
        <f>IF(C18="","",IF(D18&lt;&gt;"Perdu","",IFERROR(1/(1/_xlfn.MAXIFS('Saisie'!$A$5:$A$2004,'Saisie'!$C$5:$C$2004,C18,'Saisie'!$E$5:$E$2004,"Perdu")),"")))</f>
        <v/>
      </c>
      <c r="AX18" s="106">
        <f>IF(C18="","",IF(AW18="","",AW18+'Paramètres'!$B$28))</f>
        <v/>
      </c>
      <c r="AY18" s="60">
        <f>IF(C18="","",SUMIFS('Saisie'!$H$5:$H$2004,'Saisie'!$C$5:$C$2004,C18))</f>
        <v/>
      </c>
      <c r="AZ18" s="60">
        <f>IF(C18="","",IFERROR(INDEX('Paramètres'!$W$6:$W$20,MATCH(S18,'Paramètres'!$V$6:$V$20,0))&amp;"",""))</f>
        <v/>
      </c>
      <c r="BA18" s="60">
        <f>IF(C18="","",MAX(1,_xlfn.MAXIFS('Saisie'!$AT$5:$AT$2004,'Saisie'!$C$5:$C$2004,C18)))</f>
        <v/>
      </c>
      <c r="BB18" s="60">
        <f>IF(C18="","",IFERROR(INDEX('Saisie'!$X$5:$X$2004,_xlfn.MAXIFS('Saisie'!$AS$5:$AS$2004,'Saisie'!$C$5:$C$2004,C18,'Saisie'!$X$5:$X$2004,"&lt;&gt;")-4),""))</f>
        <v/>
      </c>
      <c r="BC18" s="60">
        <f>IF(C18="","",IFERROR(INDEX('Saisie'!$Y$5:$Y$2004,_xlfn.MAXIFS('Saisie'!$AS$5:$AS$2004,'Saisie'!$C$5:$C$2004,C18,'Saisie'!$Y$5:$Y$2004,"&lt;&gt;")-4),""))</f>
        <v/>
      </c>
      <c r="BD18" s="106">
        <f>IF(C18="","",IFERROR(1/(1/_xlfn.MINIFS('Saisie'!$A$5:$A$2004,'Saisie'!$C$5:$C$2004,C18,'Saisie'!$AT$5:$AT$2004,"&gt;=2")),""))</f>
        <v/>
      </c>
      <c r="BE18" s="106">
        <f>IF(C18="","",IFERROR(1/(1/_xlfn.MINIFS('Saisie'!$A$5:$A$2004,'Saisie'!$C$5:$C$2004,C18,'Saisie'!$AT$5:$AT$2004,"&gt;=3")),""))</f>
        <v/>
      </c>
      <c r="BF18" s="106">
        <f>IF(C18="","",IFERROR(1/(1/_xlfn.MINIFS('Saisie'!$A$5:$A$2004,'Saisie'!$C$5:$C$2004,C18,'Saisie'!$AT$5:$AT$2004,"&gt;=4")),""))</f>
        <v/>
      </c>
      <c r="BG18" s="106">
        <f>IF(C18="","",IFERROR(1/(1/_xlfn.MINIFS('Saisie'!$A$5:$A$2004,'Saisie'!$C$5:$C$2004,C18,'Saisie'!$AT$5:$AT$2004,"&gt;=5")),""))</f>
        <v/>
      </c>
      <c r="BH18" s="106">
        <f>IF(C18="","",IFERROR(1/(1/_xlfn.MINIFS('Saisie'!$A$5:$A$2004,'Saisie'!$C$5:$C$2004,C18,'Saisie'!$AT$5:$AT$2004,"&gt;=6")),""))</f>
        <v/>
      </c>
      <c r="BI18" s="106">
        <f>IF(C18="","",IFERROR(1/(1/_xlfn.MINIFS('Saisie'!$A$5:$A$2004,'Saisie'!$C$5:$C$2004,C18,'Saisie'!$AT$5:$AT$2004,"&gt;=7")),""))</f>
        <v/>
      </c>
      <c r="BJ18" s="60">
        <f>IF(OR(BD18="",B18=""),"",BD18-B18)</f>
        <v/>
      </c>
      <c r="BK18" s="60">
        <f>IF(OR(BE18="",BD18=""),"",BE18-BD18)</f>
        <v/>
      </c>
      <c r="BL18" s="60">
        <f>IF(OR(BF18="",BE18=""),"",BF18-BE18)</f>
        <v/>
      </c>
      <c r="BM18" s="60">
        <f>IF(OR(BG18="",BF18=""),"",BG18-BF18)</f>
        <v/>
      </c>
      <c r="BN18" s="60">
        <f>IF(OR(BH18="",BG18=""),"",BH18-BG18)</f>
        <v/>
      </c>
      <c r="BO18" s="60">
        <f>IF(OR(BI18="",BH18=""),"",BI18-BH18)</f>
        <v/>
      </c>
      <c r="BP18" s="60">
        <f>IF(C18="","",_xlfn.MAXIFS('Saisie'!$AS$5:$AS$2004,'Saisie'!$C$5:$C$2004,C18,'Saisie'!$J$5:$J$2004,"&lt;&gt;"))</f>
        <v/>
      </c>
      <c r="BQ18" s="60">
        <f>IF(C18="","",_xlfn.MAXIFS('Saisie'!$AS$5:$AS$2004,'Saisie'!$C$5:$C$2004,C18))</f>
        <v/>
      </c>
      <c r="BR18" s="60">
        <f>IF(C18="","",_xlfn.MAXIFS('Saisie'!$AS$5:$AS$2004,'Saisie'!$C$5:$C$2004,C18,'Saisie'!$E$5:$E$2004,"Perdu"))</f>
        <v/>
      </c>
      <c r="BS18" s="60">
        <f>IF(C18="","",_xlfn.MAXIFS('Saisie'!$AS$5:$AS$2004,'Saisie'!$C$5:$C$2004,C18,'Saisie'!$AT$5:$AT$2004,"&gt;0"))</f>
        <v/>
      </c>
      <c r="BT18" s="109">
        <f>IF(AND(C18&lt;&gt;"",OR(D18="Nouveau",D18="Contacté",D18="Qualifié"),OR(G18="",N(G18)&lt;=TODAY()),NOT(AND(O18&gt;='Paramètres'!$B$21,P18=0))),E18+14/10000,"")</f>
        <v/>
      </c>
      <c r="BU18" s="60">
        <f>IF(AND(G18&lt;&gt;"",N(G18)&lt;=TODAY()),MAX($BU$4:BU17)+1,"")</f>
        <v/>
      </c>
      <c r="BV18" s="60">
        <f>IF(AND(F18&lt;&gt;"",F18&lt;&gt;"Relance en retard"),MAX($BV$4:BV17)+1,"")</f>
        <v/>
      </c>
      <c r="BW18" s="60">
        <f>IF(C18="","",IF(AND(B18&gt;='Tableau de bord'!$R$4,B18&lt;='Tableau de bord'!$S$4,OR('Tableau de bord'!$G$4="Tous",N18='Tableau de bord'!$G$4)),1,0))</f>
        <v/>
      </c>
      <c r="BX18" s="60">
        <f>IF(AND(C18&lt;&gt;"",N(BA18)=7),MAX($BX$4:BX17)+1,"")</f>
        <v/>
      </c>
    </row>
    <row r="19">
      <c r="A19" s="60">
        <f>IF(C19="","","P-"&amp;TEXT(15,"000"))</f>
        <v/>
      </c>
      <c r="B19" s="106">
        <f>IF(C19="","",IFERROR(1/(1/_xlfn.MINIFS('Saisie'!$A$5:$A$2004,'Saisie'!$C$5:$C$2004,C19)),""))</f>
        <v/>
      </c>
      <c r="C19" s="60">
        <f>IFERROR(INDEX('Saisie'!$C$5:$C$2004,MATCH(15,'Saisie'!$AX$5:$AX$2004,0)),"")</f>
        <v/>
      </c>
      <c r="D19" s="60">
        <f>IF(C19="","",IF(AND(BR19&gt;0,BR19&gt;BS19,BA19&lt;7),"Perdu",INDEX('Paramètres'!$F$6:$F$13,BA19)))</f>
        <v/>
      </c>
      <c r="E19" s="61">
        <f>IF(C19="","",MIN(100,(Z19="Oui")*'Paramètres'!$B$38+(AB19="Régulière")*'Paramètres'!$B$39+IF(AND(N(AA19)&gt;0,TODAY()-N(AA19)&lt;=30),'Paramètres'!$B$40,0)+(W19="")*'Paramètres'!$B$41+(AC19="Absente")*'Paramètres'!$B$42+(AC19="Faible")*'Paramètres'!$B$43+IF(AND(N(AD19)&gt;0,N(AD19)&lt;4),'Paramètres'!$B$44,0)+(AF19="Moyenne")*'Paramètres'!$B$45+(AF19="Grande")*'Paramètres'!$B$46+(Y19&lt;&gt;"")*'Paramètres'!$B$47))</f>
        <v/>
      </c>
      <c r="F19" s="60">
        <f>IF(C19="","",IF(D19="Gagné","",IF(D19="Perdu",IF(AND(AX19&lt;&gt;"",AX19&lt;=TODAY()),"À recontacter (perdu)",""),IF(AND(O19&gt;='Paramètres'!$B$21,P19=0),"Stop : "&amp;'Paramètres'!$B$21&amp;" tentatives sans réponse",IF(AND(D19="Proposition",AR19&lt;&gt;"",TODAY()&gt;N(AR19)),"Proposition expirée",IF(AND(D19="Proposition",N(R19)&gt;='Paramètres'!$B$25),"Proposition sans réponse",IF(AND(G19&lt;&gt;"",N(G19)&lt;TODAY()),"Relance en retard",IF(N(R19)&gt;='Paramètres'!$B$24,"Sans action depuis "&amp;R19&amp;" j",""))))))))</f>
        <v/>
      </c>
      <c r="G19" s="106">
        <f>IF(OR(C19="",D19="Gagné",D19="Perdu"),"",IF(AND(BP19&gt;0,BP19=BQ19),INDEX('Saisie'!$J$5:$J$2004,BP19-4),IF(OR(O19=0,AND(O19&gt;='Paramètres'!$B$21,P19=0)),"",Q19+IF(O19&lt;=1,'Paramètres'!$B$18,IF(O19=2,'Paramètres'!$B$19,'Paramètres'!$B$20)))))</f>
        <v/>
      </c>
      <c r="H19" s="107">
        <f>IF(OR(G19="",BP19&lt;&gt;BQ19),"",IF(INDEX('Saisie'!$K$5:$K$2004,BP19-4)="","",INDEX('Saisie'!$K$5:$K$2004,BP19-4)))</f>
        <v/>
      </c>
      <c r="I19" s="60">
        <f>IF(C19="","",IF(OR(D19="Gagné",D19="Perdu"),"",IFERROR(INDEX('Saisie'!$I$5:$I$2004,_xlfn.MAXIFS('Saisie'!$AS$5:$AS$2004,'Saisie'!$C$5:$C$2004,C19,'Saisie'!$I$5:$I$2004,"&lt;&gt;")-4),"")))</f>
        <v/>
      </c>
      <c r="J19" s="60">
        <f>IF(C19="","",IFERROR(INDEX('Saisie'!$U$5:$U$2004,_xlfn.MAXIFS('Saisie'!$AS$5:$AS$2004,'Saisie'!$C$5:$C$2004,C19,'Saisie'!$U$5:$U$2004,"&lt;&gt;")-4),""))</f>
        <v/>
      </c>
      <c r="K19" s="60">
        <f>IF(C19="","",IFERROR(INDEX('Saisie'!$W$5:$W$2004,_xlfn.MAXIFS('Saisie'!$AS$5:$AS$2004,'Saisie'!$C$5:$C$2004,C19,'Saisie'!$W$5:$W$2004,"&lt;&gt;")-4),""))</f>
        <v/>
      </c>
      <c r="L19" s="60">
        <f>IF(IF(BB19&lt;&gt;"",BB19,K19)="","",HYPERLINK("https://wa.me/"&amp;IF(LEFT(SUBSTITUTE(SUBSTITUTE(SUBSTITUTE(IF(BB19&lt;&gt;"",BB19,K19)," ",""),".",""),"+",""),1)="0",'Paramètres'!$B$35&amp;MID(SUBSTITUTE(SUBSTITUTE(SUBSTITUTE(IF(BB19&lt;&gt;"",BB19,K19)," ",""),".",""),"+",""),2,20),SUBSTITUTE(SUBSTITUTE(SUBSTITUTE(IF(BB19&lt;&gt;"",BB19,K19)," ",""),".",""),"+","")),"WhatsApp"))</f>
        <v/>
      </c>
      <c r="M19" s="60">
        <f>IF(BC19="","",HYPERLINK(IF(LEFT(BC19,4)="http",BC19,"https://www.instagram.com/"&amp;SUBSTITUTE(SUBSTITUTE(BC19,"@","")," ","")),BC19))</f>
        <v/>
      </c>
      <c r="N19" s="60">
        <f>IF(C19="","",IFERROR(INDEX('Saisie'!$D$5:$D$2004,_xlfn.MINIFS('Saisie'!$AS$5:$AS$2004,'Saisie'!$C$5:$C$2004,C19,'Saisie'!$AU$5:$AU$2004,1)-4),IFERROR(INDEX('Saisie'!$D$5:$D$2004,_xlfn.MINIFS('Saisie'!$AS$5:$AS$2004,'Saisie'!$C$5:$C$2004,C19,'Saisie'!$D$5:$D$2004,"&lt;&gt;")-4),"")))</f>
        <v/>
      </c>
      <c r="O19" s="60">
        <f>IF(C19="","",COUNTIFS('Saisie'!$C$5:$C$2004,C19,'Saisie'!$AU$5:$AU$2004,1))</f>
        <v/>
      </c>
      <c r="P19" s="60">
        <f>IF(C19="","",COUNTIFS('Saisie'!$C$5:$C$2004,C19,'Saisie'!$AV$5:$AV$2004,1))</f>
        <v/>
      </c>
      <c r="Q19" s="106">
        <f>IF(C19="","",IFERROR(1/(1/_xlfn.MAXIFS('Saisie'!$A$5:$A$2004,'Saisie'!$C$5:$C$2004,C19)),""))</f>
        <v/>
      </c>
      <c r="R19" s="61">
        <f>IF(C19="","",IF(Q19="","",TODAY()-Q19))</f>
        <v/>
      </c>
      <c r="S19" s="60">
        <f>IF(C19="","",IFERROR(INDEX('Saisie'!$R$5:$R$2004,_xlfn.MAXIFS('Saisie'!$AS$5:$AS$2004,'Saisie'!$C$5:$C$2004,C19,'Saisie'!$R$5:$R$2004,"&lt;&gt;")-4),""))</f>
        <v/>
      </c>
      <c r="T19" s="60">
        <f>IF(C19="","",IFERROR(INDEX('Saisie'!$S$5:$S$2004,_xlfn.MAXIFS('Saisie'!$AS$5:$AS$2004,'Saisie'!$C$5:$C$2004,C19,'Saisie'!$S$5:$S$2004,"&lt;&gt;")-4),""))</f>
        <v/>
      </c>
      <c r="U19" s="60">
        <f>IF(C19="","",IFERROR(INDEX('Saisie'!$T$5:$T$2004,_xlfn.MAXIFS('Saisie'!$AS$5:$AS$2004,'Saisie'!$C$5:$C$2004,C19,'Saisie'!$T$5:$T$2004,"&lt;&gt;")-4),""))</f>
        <v/>
      </c>
      <c r="V19" s="60">
        <f>IF(C19="","",IFERROR(INDEX('Saisie'!$V$5:$V$2004,_xlfn.MAXIFS('Saisie'!$AS$5:$AS$2004,'Saisie'!$C$5:$C$2004,C19,'Saisie'!$V$5:$V$2004,"&lt;&gt;")-4),""))</f>
        <v/>
      </c>
      <c r="W19" s="60">
        <f>IF(C19="","",IFERROR(INDEX('Saisie'!$Z$5:$Z$2004,_xlfn.MAXIFS('Saisie'!$AS$5:$AS$2004,'Saisie'!$C$5:$C$2004,C19,'Saisie'!$Z$5:$Z$2004,"&lt;&gt;")-4),""))</f>
        <v/>
      </c>
      <c r="X19" s="60">
        <f>IF(C19="","",IFERROR(INDEX('Saisie'!$AA$5:$AA$2004,_xlfn.MAXIFS('Saisie'!$AS$5:$AS$2004,'Saisie'!$C$5:$C$2004,C19,'Saisie'!$AA$5:$AA$2004,"&lt;&gt;")-4),""))</f>
        <v/>
      </c>
      <c r="Y19" s="60">
        <f>IF(C19="","",IFERROR(INDEX('Saisie'!$AB$5:$AB$2004,_xlfn.MAXIFS('Saisie'!$AS$5:$AS$2004,'Saisie'!$C$5:$C$2004,C19,'Saisie'!$AB$5:$AB$2004,"&lt;&gt;")-4),""))</f>
        <v/>
      </c>
      <c r="Z19" s="60">
        <f>IF(C19="","",IFERROR(INDEX('Saisie'!$AC$5:$AC$2004,_xlfn.MAXIFS('Saisie'!$AS$5:$AS$2004,'Saisie'!$C$5:$C$2004,C19,'Saisie'!$AC$5:$AC$2004,"&lt;&gt;")-4),""))</f>
        <v/>
      </c>
      <c r="AA19" s="106">
        <f>IF(C19="","",IFERROR(INDEX('Saisie'!$AD$5:$AD$2004,_xlfn.MAXIFS('Saisie'!$AS$5:$AS$2004,'Saisie'!$C$5:$C$2004,C19,'Saisie'!$AD$5:$AD$2004,"&lt;&gt;")-4),""))</f>
        <v/>
      </c>
      <c r="AB19" s="60">
        <f>IF(C19="","",IFERROR(INDEX('Saisie'!$AE$5:$AE$2004,_xlfn.MAXIFS('Saisie'!$AS$5:$AS$2004,'Saisie'!$C$5:$C$2004,C19,'Saisie'!$AE$5:$AE$2004,"&lt;&gt;")-4),""))</f>
        <v/>
      </c>
      <c r="AC19" s="60">
        <f>IF(C19="","",IFERROR(INDEX('Saisie'!$AF$5:$AF$2004,_xlfn.MAXIFS('Saisie'!$AS$5:$AS$2004,'Saisie'!$C$5:$C$2004,C19,'Saisie'!$AF$5:$AF$2004,"&lt;&gt;")-4),""))</f>
        <v/>
      </c>
      <c r="AD19" s="108">
        <f>IF(C19="","",IFERROR(INDEX('Saisie'!$AG$5:$AG$2004,_xlfn.MAXIFS('Saisie'!$AS$5:$AS$2004,'Saisie'!$C$5:$C$2004,C19,'Saisie'!$AG$5:$AG$2004,"&lt;&gt;")-4),""))</f>
        <v/>
      </c>
      <c r="AE19" s="60">
        <f>IF(C19="","",IFERROR(INDEX('Saisie'!$AH$5:$AH$2004,_xlfn.MAXIFS('Saisie'!$AS$5:$AS$2004,'Saisie'!$C$5:$C$2004,C19,'Saisie'!$AH$5:$AH$2004,"&lt;&gt;")-4),""))</f>
        <v/>
      </c>
      <c r="AF19" s="60">
        <f>IF(C19="","",IFERROR(INDEX('Saisie'!$AI$5:$AI$2004,_xlfn.MAXIFS('Saisie'!$AS$5:$AS$2004,'Saisie'!$C$5:$C$2004,C19,'Saisie'!$AI$5:$AI$2004,"&lt;&gt;")-4),""))</f>
        <v/>
      </c>
      <c r="AG19" s="60">
        <f>IF(C19="","",IFERROR(INDEX('Saisie'!$AJ$5:$AJ$2004,_xlfn.MAXIFS('Saisie'!$AS$5:$AS$2004,'Saisie'!$C$5:$C$2004,C19,'Saisie'!$AJ$5:$AJ$2004,"&lt;&gt;")-4),""))</f>
        <v/>
      </c>
      <c r="AH19" s="60">
        <f>IF(C19="","",IFERROR(INDEX('Saisie'!$AK$5:$AK$2004,_xlfn.MAXIFS('Saisie'!$AS$5:$AS$2004,'Saisie'!$C$5:$C$2004,C19,'Saisie'!$AK$5:$AK$2004,"&lt;&gt;")-4),""))</f>
        <v/>
      </c>
      <c r="AI19" s="60">
        <f>IF(C19="","",IFERROR(INDEX('Saisie'!$AN$5:$AN$2004,_xlfn.MAXIFS('Saisie'!$AS$5:$AS$2004,'Saisie'!$C$5:$C$2004,C19,'Saisie'!$AN$5:$AN$2004,"&lt;&gt;")-4),""))</f>
        <v/>
      </c>
      <c r="AJ19" s="60">
        <f>IF(C19="","",IFERROR(INDEX('Saisie'!$AO$5:$AO$2004,_xlfn.MAXIFS('Saisie'!$AS$5:$AS$2004,'Saisie'!$C$5:$C$2004,C19,'Saisie'!$AO$5:$AO$2004,"&lt;&gt;")-4),""))</f>
        <v/>
      </c>
      <c r="AK19" s="60">
        <f>IF(C19="","",IFERROR(INDEX('Saisie'!$AP$5:$AP$2004,_xlfn.MAXIFS('Saisie'!$AS$5:$AS$2004,'Saisie'!$C$5:$C$2004,C19,'Saisie'!$AP$5:$AP$2004,"&lt;&gt;")-4),""))</f>
        <v/>
      </c>
      <c r="AL19" s="60">
        <f>IF(C19="","",IFERROR(INDEX('Saisie'!$AQ$5:$AQ$2004,_xlfn.MAXIFS('Saisie'!$AS$5:$AS$2004,'Saisie'!$C$5:$C$2004,C19,'Saisie'!$AQ$5:$AQ$2004,"&lt;&gt;")-4),""))</f>
        <v/>
      </c>
      <c r="AM19" s="60">
        <f>IF(C19="","",((AI19="Oui")+(AJ19="Oui")+(AK19="Oui")+OR(AL19="Immédiat",AL19="&lt; 1 mois"))&amp;"/4")</f>
        <v/>
      </c>
      <c r="AN19" s="60">
        <f>IF(C19="","",IFERROR(INDEX('Saisie'!$AL$5:$AL$2004,_xlfn.MAXIFS('Saisie'!$AS$5:$AS$2004,'Saisie'!$C$5:$C$2004,C19,'Saisie'!$AL$5:$AL$2004,"&lt;&gt;")-4),""))</f>
        <v/>
      </c>
      <c r="AO19" s="62">
        <f>IF(C19="","",IF(IFERROR(INDEX('Saisie'!$AM$5:$AM$2004,_xlfn.MAXIFS('Saisie'!$AS$5:$AS$2004,'Saisie'!$C$5:$C$2004,C19,'Saisie'!$AM$5:$AM$2004,"&lt;&gt;")-4),"")&lt;&gt;"",IFERROR(INDEX('Saisie'!$AM$5:$AM$2004,_xlfn.MAXIFS('Saisie'!$AS$5:$AS$2004,'Saisie'!$C$5:$C$2004,C19,'Saisie'!$AM$5:$AM$2004,"&lt;&gt;")-4),""),IFERROR(INDEX('Paramètres'!$S$6:$S$15,MATCH(AN19,'Paramètres'!$Q$6:$Q$15,0)),"")))</f>
        <v/>
      </c>
      <c r="AP19" s="62">
        <f>IF(C19="","",IFERROR(INDEX('Saisie'!$AW$5:$AW$2004,_xlfn.MAXIFS('Saisie'!$AS$5:$AS$2004,'Saisie'!$C$5:$C$2004,C19,'Saisie'!$E$5:$E$2004,"Proposition envoyée")-4),""))</f>
        <v/>
      </c>
      <c r="AQ19" s="106">
        <f>IF(C19="","",IFERROR(1/(1/_xlfn.MAXIFS('Saisie'!$A$5:$A$2004,'Saisie'!$C$5:$C$2004,C19,'Saisie'!$E$5:$E$2004,"Proposition envoyée")),""))</f>
        <v/>
      </c>
      <c r="AR19" s="106">
        <f>IF(C19="","",IF(AQ19="","",AQ19+'Paramètres'!$B$26))</f>
        <v/>
      </c>
      <c r="AS19" s="62">
        <f>IF(OR(C19="",D19="Gagné",D19="Perdu"),0,N(AP19)*IFERROR(INDEX('Paramètres'!$G$6:$G$13,MATCH(D19,'Paramètres'!$F$6:$F$13,0)),0))</f>
        <v/>
      </c>
      <c r="AT19" s="106">
        <f>IF(C19="","",IFERROR(1/(1/_xlfn.MINIFS('Saisie'!$A$5:$A$2004,'Saisie'!$C$5:$C$2004,C19,'Saisie'!$E$5:$E$2004,"Signature")),""))</f>
        <v/>
      </c>
      <c r="AU19" s="60">
        <f>IF(C19="","",IF(OR(AT19="",B19=""),"",AT19-B19))</f>
        <v/>
      </c>
      <c r="AV19" s="60">
        <f>IF(C19="","",IFERROR(INDEX('Saisie'!$L$5:$L$2004,_xlfn.MAXIFS('Saisie'!$AS$5:$AS$2004,'Saisie'!$C$5:$C$2004,C19,'Saisie'!$L$5:$L$2004,"&lt;&gt;")-4),""))</f>
        <v/>
      </c>
      <c r="AW19" s="106">
        <f>IF(C19="","",IF(D19&lt;&gt;"Perdu","",IFERROR(1/(1/_xlfn.MAXIFS('Saisie'!$A$5:$A$2004,'Saisie'!$C$5:$C$2004,C19,'Saisie'!$E$5:$E$2004,"Perdu")),"")))</f>
        <v/>
      </c>
      <c r="AX19" s="106">
        <f>IF(C19="","",IF(AW19="","",AW19+'Paramètres'!$B$28))</f>
        <v/>
      </c>
      <c r="AY19" s="60">
        <f>IF(C19="","",SUMIFS('Saisie'!$H$5:$H$2004,'Saisie'!$C$5:$C$2004,C19))</f>
        <v/>
      </c>
      <c r="AZ19" s="60">
        <f>IF(C19="","",IFERROR(INDEX('Paramètres'!$W$6:$W$20,MATCH(S19,'Paramètres'!$V$6:$V$20,0))&amp;"",""))</f>
        <v/>
      </c>
      <c r="BA19" s="60">
        <f>IF(C19="","",MAX(1,_xlfn.MAXIFS('Saisie'!$AT$5:$AT$2004,'Saisie'!$C$5:$C$2004,C19)))</f>
        <v/>
      </c>
      <c r="BB19" s="60">
        <f>IF(C19="","",IFERROR(INDEX('Saisie'!$X$5:$X$2004,_xlfn.MAXIFS('Saisie'!$AS$5:$AS$2004,'Saisie'!$C$5:$C$2004,C19,'Saisie'!$X$5:$X$2004,"&lt;&gt;")-4),""))</f>
        <v/>
      </c>
      <c r="BC19" s="60">
        <f>IF(C19="","",IFERROR(INDEX('Saisie'!$Y$5:$Y$2004,_xlfn.MAXIFS('Saisie'!$AS$5:$AS$2004,'Saisie'!$C$5:$C$2004,C19,'Saisie'!$Y$5:$Y$2004,"&lt;&gt;")-4),""))</f>
        <v/>
      </c>
      <c r="BD19" s="106">
        <f>IF(C19="","",IFERROR(1/(1/_xlfn.MINIFS('Saisie'!$A$5:$A$2004,'Saisie'!$C$5:$C$2004,C19,'Saisie'!$AT$5:$AT$2004,"&gt;=2")),""))</f>
        <v/>
      </c>
      <c r="BE19" s="106">
        <f>IF(C19="","",IFERROR(1/(1/_xlfn.MINIFS('Saisie'!$A$5:$A$2004,'Saisie'!$C$5:$C$2004,C19,'Saisie'!$AT$5:$AT$2004,"&gt;=3")),""))</f>
        <v/>
      </c>
      <c r="BF19" s="106">
        <f>IF(C19="","",IFERROR(1/(1/_xlfn.MINIFS('Saisie'!$A$5:$A$2004,'Saisie'!$C$5:$C$2004,C19,'Saisie'!$AT$5:$AT$2004,"&gt;=4")),""))</f>
        <v/>
      </c>
      <c r="BG19" s="106">
        <f>IF(C19="","",IFERROR(1/(1/_xlfn.MINIFS('Saisie'!$A$5:$A$2004,'Saisie'!$C$5:$C$2004,C19,'Saisie'!$AT$5:$AT$2004,"&gt;=5")),""))</f>
        <v/>
      </c>
      <c r="BH19" s="106">
        <f>IF(C19="","",IFERROR(1/(1/_xlfn.MINIFS('Saisie'!$A$5:$A$2004,'Saisie'!$C$5:$C$2004,C19,'Saisie'!$AT$5:$AT$2004,"&gt;=6")),""))</f>
        <v/>
      </c>
      <c r="BI19" s="106">
        <f>IF(C19="","",IFERROR(1/(1/_xlfn.MINIFS('Saisie'!$A$5:$A$2004,'Saisie'!$C$5:$C$2004,C19,'Saisie'!$AT$5:$AT$2004,"&gt;=7")),""))</f>
        <v/>
      </c>
      <c r="BJ19" s="60">
        <f>IF(OR(BD19="",B19=""),"",BD19-B19)</f>
        <v/>
      </c>
      <c r="BK19" s="60">
        <f>IF(OR(BE19="",BD19=""),"",BE19-BD19)</f>
        <v/>
      </c>
      <c r="BL19" s="60">
        <f>IF(OR(BF19="",BE19=""),"",BF19-BE19)</f>
        <v/>
      </c>
      <c r="BM19" s="60">
        <f>IF(OR(BG19="",BF19=""),"",BG19-BF19)</f>
        <v/>
      </c>
      <c r="BN19" s="60">
        <f>IF(OR(BH19="",BG19=""),"",BH19-BG19)</f>
        <v/>
      </c>
      <c r="BO19" s="60">
        <f>IF(OR(BI19="",BH19=""),"",BI19-BH19)</f>
        <v/>
      </c>
      <c r="BP19" s="60">
        <f>IF(C19="","",_xlfn.MAXIFS('Saisie'!$AS$5:$AS$2004,'Saisie'!$C$5:$C$2004,C19,'Saisie'!$J$5:$J$2004,"&lt;&gt;"))</f>
        <v/>
      </c>
      <c r="BQ19" s="60">
        <f>IF(C19="","",_xlfn.MAXIFS('Saisie'!$AS$5:$AS$2004,'Saisie'!$C$5:$C$2004,C19))</f>
        <v/>
      </c>
      <c r="BR19" s="60">
        <f>IF(C19="","",_xlfn.MAXIFS('Saisie'!$AS$5:$AS$2004,'Saisie'!$C$5:$C$2004,C19,'Saisie'!$E$5:$E$2004,"Perdu"))</f>
        <v/>
      </c>
      <c r="BS19" s="60">
        <f>IF(C19="","",_xlfn.MAXIFS('Saisie'!$AS$5:$AS$2004,'Saisie'!$C$5:$C$2004,C19,'Saisie'!$AT$5:$AT$2004,"&gt;0"))</f>
        <v/>
      </c>
      <c r="BT19" s="109">
        <f>IF(AND(C19&lt;&gt;"",OR(D19="Nouveau",D19="Contacté",D19="Qualifié"),OR(G19="",N(G19)&lt;=TODAY()),NOT(AND(O19&gt;='Paramètres'!$B$21,P19=0))),E19+15/10000,"")</f>
        <v/>
      </c>
      <c r="BU19" s="60">
        <f>IF(AND(G19&lt;&gt;"",N(G19)&lt;=TODAY()),MAX($BU$4:BU18)+1,"")</f>
        <v/>
      </c>
      <c r="BV19" s="60">
        <f>IF(AND(F19&lt;&gt;"",F19&lt;&gt;"Relance en retard"),MAX($BV$4:BV18)+1,"")</f>
        <v/>
      </c>
      <c r="BW19" s="60">
        <f>IF(C19="","",IF(AND(B19&gt;='Tableau de bord'!$R$4,B19&lt;='Tableau de bord'!$S$4,OR('Tableau de bord'!$G$4="Tous",N19='Tableau de bord'!$G$4)),1,0))</f>
        <v/>
      </c>
      <c r="BX19" s="60">
        <f>IF(AND(C19&lt;&gt;"",N(BA19)=7),MAX($BX$4:BX18)+1,"")</f>
        <v/>
      </c>
    </row>
    <row r="20">
      <c r="A20" s="60">
        <f>IF(C20="","","P-"&amp;TEXT(16,"000"))</f>
        <v/>
      </c>
      <c r="B20" s="106">
        <f>IF(C20="","",IFERROR(1/(1/_xlfn.MINIFS('Saisie'!$A$5:$A$2004,'Saisie'!$C$5:$C$2004,C20)),""))</f>
        <v/>
      </c>
      <c r="C20" s="60">
        <f>IFERROR(INDEX('Saisie'!$C$5:$C$2004,MATCH(16,'Saisie'!$AX$5:$AX$2004,0)),"")</f>
        <v/>
      </c>
      <c r="D20" s="60">
        <f>IF(C20="","",IF(AND(BR20&gt;0,BR20&gt;BS20,BA20&lt;7),"Perdu",INDEX('Paramètres'!$F$6:$F$13,BA20)))</f>
        <v/>
      </c>
      <c r="E20" s="61">
        <f>IF(C20="","",MIN(100,(Z20="Oui")*'Paramètres'!$B$38+(AB20="Régulière")*'Paramètres'!$B$39+IF(AND(N(AA20)&gt;0,TODAY()-N(AA20)&lt;=30),'Paramètres'!$B$40,0)+(W20="")*'Paramètres'!$B$41+(AC20="Absente")*'Paramètres'!$B$42+(AC20="Faible")*'Paramètres'!$B$43+IF(AND(N(AD20)&gt;0,N(AD20)&lt;4),'Paramètres'!$B$44,0)+(AF20="Moyenne")*'Paramètres'!$B$45+(AF20="Grande")*'Paramètres'!$B$46+(Y20&lt;&gt;"")*'Paramètres'!$B$47))</f>
        <v/>
      </c>
      <c r="F20" s="60">
        <f>IF(C20="","",IF(D20="Gagné","",IF(D20="Perdu",IF(AND(AX20&lt;&gt;"",AX20&lt;=TODAY()),"À recontacter (perdu)",""),IF(AND(O20&gt;='Paramètres'!$B$21,P20=0),"Stop : "&amp;'Paramètres'!$B$21&amp;" tentatives sans réponse",IF(AND(D20="Proposition",AR20&lt;&gt;"",TODAY()&gt;N(AR20)),"Proposition expirée",IF(AND(D20="Proposition",N(R20)&gt;='Paramètres'!$B$25),"Proposition sans réponse",IF(AND(G20&lt;&gt;"",N(G20)&lt;TODAY()),"Relance en retard",IF(N(R20)&gt;='Paramètres'!$B$24,"Sans action depuis "&amp;R20&amp;" j",""))))))))</f>
        <v/>
      </c>
      <c r="G20" s="106">
        <f>IF(OR(C20="",D20="Gagné",D20="Perdu"),"",IF(AND(BP20&gt;0,BP20=BQ20),INDEX('Saisie'!$J$5:$J$2004,BP20-4),IF(OR(O20=0,AND(O20&gt;='Paramètres'!$B$21,P20=0)),"",Q20+IF(O20&lt;=1,'Paramètres'!$B$18,IF(O20=2,'Paramètres'!$B$19,'Paramètres'!$B$20)))))</f>
        <v/>
      </c>
      <c r="H20" s="107">
        <f>IF(OR(G20="",BP20&lt;&gt;BQ20),"",IF(INDEX('Saisie'!$K$5:$K$2004,BP20-4)="","",INDEX('Saisie'!$K$5:$K$2004,BP20-4)))</f>
        <v/>
      </c>
      <c r="I20" s="60">
        <f>IF(C20="","",IF(OR(D20="Gagné",D20="Perdu"),"",IFERROR(INDEX('Saisie'!$I$5:$I$2004,_xlfn.MAXIFS('Saisie'!$AS$5:$AS$2004,'Saisie'!$C$5:$C$2004,C20,'Saisie'!$I$5:$I$2004,"&lt;&gt;")-4),"")))</f>
        <v/>
      </c>
      <c r="J20" s="60">
        <f>IF(C20="","",IFERROR(INDEX('Saisie'!$U$5:$U$2004,_xlfn.MAXIFS('Saisie'!$AS$5:$AS$2004,'Saisie'!$C$5:$C$2004,C20,'Saisie'!$U$5:$U$2004,"&lt;&gt;")-4),""))</f>
        <v/>
      </c>
      <c r="K20" s="60">
        <f>IF(C20="","",IFERROR(INDEX('Saisie'!$W$5:$W$2004,_xlfn.MAXIFS('Saisie'!$AS$5:$AS$2004,'Saisie'!$C$5:$C$2004,C20,'Saisie'!$W$5:$W$2004,"&lt;&gt;")-4),""))</f>
        <v/>
      </c>
      <c r="L20" s="60">
        <f>IF(IF(BB20&lt;&gt;"",BB20,K20)="","",HYPERLINK("https://wa.me/"&amp;IF(LEFT(SUBSTITUTE(SUBSTITUTE(SUBSTITUTE(IF(BB20&lt;&gt;"",BB20,K20)," ",""),".",""),"+",""),1)="0",'Paramètres'!$B$35&amp;MID(SUBSTITUTE(SUBSTITUTE(SUBSTITUTE(IF(BB20&lt;&gt;"",BB20,K20)," ",""),".",""),"+",""),2,20),SUBSTITUTE(SUBSTITUTE(SUBSTITUTE(IF(BB20&lt;&gt;"",BB20,K20)," ",""),".",""),"+","")),"WhatsApp"))</f>
        <v/>
      </c>
      <c r="M20" s="60">
        <f>IF(BC20="","",HYPERLINK(IF(LEFT(BC20,4)="http",BC20,"https://www.instagram.com/"&amp;SUBSTITUTE(SUBSTITUTE(BC20,"@","")," ","")),BC20))</f>
        <v/>
      </c>
      <c r="N20" s="60">
        <f>IF(C20="","",IFERROR(INDEX('Saisie'!$D$5:$D$2004,_xlfn.MINIFS('Saisie'!$AS$5:$AS$2004,'Saisie'!$C$5:$C$2004,C20,'Saisie'!$AU$5:$AU$2004,1)-4),IFERROR(INDEX('Saisie'!$D$5:$D$2004,_xlfn.MINIFS('Saisie'!$AS$5:$AS$2004,'Saisie'!$C$5:$C$2004,C20,'Saisie'!$D$5:$D$2004,"&lt;&gt;")-4),"")))</f>
        <v/>
      </c>
      <c r="O20" s="60">
        <f>IF(C20="","",COUNTIFS('Saisie'!$C$5:$C$2004,C20,'Saisie'!$AU$5:$AU$2004,1))</f>
        <v/>
      </c>
      <c r="P20" s="60">
        <f>IF(C20="","",COUNTIFS('Saisie'!$C$5:$C$2004,C20,'Saisie'!$AV$5:$AV$2004,1))</f>
        <v/>
      </c>
      <c r="Q20" s="106">
        <f>IF(C20="","",IFERROR(1/(1/_xlfn.MAXIFS('Saisie'!$A$5:$A$2004,'Saisie'!$C$5:$C$2004,C20)),""))</f>
        <v/>
      </c>
      <c r="R20" s="61">
        <f>IF(C20="","",IF(Q20="","",TODAY()-Q20))</f>
        <v/>
      </c>
      <c r="S20" s="60">
        <f>IF(C20="","",IFERROR(INDEX('Saisie'!$R$5:$R$2004,_xlfn.MAXIFS('Saisie'!$AS$5:$AS$2004,'Saisie'!$C$5:$C$2004,C20,'Saisie'!$R$5:$R$2004,"&lt;&gt;")-4),""))</f>
        <v/>
      </c>
      <c r="T20" s="60">
        <f>IF(C20="","",IFERROR(INDEX('Saisie'!$S$5:$S$2004,_xlfn.MAXIFS('Saisie'!$AS$5:$AS$2004,'Saisie'!$C$5:$C$2004,C20,'Saisie'!$S$5:$S$2004,"&lt;&gt;")-4),""))</f>
        <v/>
      </c>
      <c r="U20" s="60">
        <f>IF(C20="","",IFERROR(INDEX('Saisie'!$T$5:$T$2004,_xlfn.MAXIFS('Saisie'!$AS$5:$AS$2004,'Saisie'!$C$5:$C$2004,C20,'Saisie'!$T$5:$T$2004,"&lt;&gt;")-4),""))</f>
        <v/>
      </c>
      <c r="V20" s="60">
        <f>IF(C20="","",IFERROR(INDEX('Saisie'!$V$5:$V$2004,_xlfn.MAXIFS('Saisie'!$AS$5:$AS$2004,'Saisie'!$C$5:$C$2004,C20,'Saisie'!$V$5:$V$2004,"&lt;&gt;")-4),""))</f>
        <v/>
      </c>
      <c r="W20" s="60">
        <f>IF(C20="","",IFERROR(INDEX('Saisie'!$Z$5:$Z$2004,_xlfn.MAXIFS('Saisie'!$AS$5:$AS$2004,'Saisie'!$C$5:$C$2004,C20,'Saisie'!$Z$5:$Z$2004,"&lt;&gt;")-4),""))</f>
        <v/>
      </c>
      <c r="X20" s="60">
        <f>IF(C20="","",IFERROR(INDEX('Saisie'!$AA$5:$AA$2004,_xlfn.MAXIFS('Saisie'!$AS$5:$AS$2004,'Saisie'!$C$5:$C$2004,C20,'Saisie'!$AA$5:$AA$2004,"&lt;&gt;")-4),""))</f>
        <v/>
      </c>
      <c r="Y20" s="60">
        <f>IF(C20="","",IFERROR(INDEX('Saisie'!$AB$5:$AB$2004,_xlfn.MAXIFS('Saisie'!$AS$5:$AS$2004,'Saisie'!$C$5:$C$2004,C20,'Saisie'!$AB$5:$AB$2004,"&lt;&gt;")-4),""))</f>
        <v/>
      </c>
      <c r="Z20" s="60">
        <f>IF(C20="","",IFERROR(INDEX('Saisie'!$AC$5:$AC$2004,_xlfn.MAXIFS('Saisie'!$AS$5:$AS$2004,'Saisie'!$C$5:$C$2004,C20,'Saisie'!$AC$5:$AC$2004,"&lt;&gt;")-4),""))</f>
        <v/>
      </c>
      <c r="AA20" s="106">
        <f>IF(C20="","",IFERROR(INDEX('Saisie'!$AD$5:$AD$2004,_xlfn.MAXIFS('Saisie'!$AS$5:$AS$2004,'Saisie'!$C$5:$C$2004,C20,'Saisie'!$AD$5:$AD$2004,"&lt;&gt;")-4),""))</f>
        <v/>
      </c>
      <c r="AB20" s="60">
        <f>IF(C20="","",IFERROR(INDEX('Saisie'!$AE$5:$AE$2004,_xlfn.MAXIFS('Saisie'!$AS$5:$AS$2004,'Saisie'!$C$5:$C$2004,C20,'Saisie'!$AE$5:$AE$2004,"&lt;&gt;")-4),""))</f>
        <v/>
      </c>
      <c r="AC20" s="60">
        <f>IF(C20="","",IFERROR(INDEX('Saisie'!$AF$5:$AF$2004,_xlfn.MAXIFS('Saisie'!$AS$5:$AS$2004,'Saisie'!$C$5:$C$2004,C20,'Saisie'!$AF$5:$AF$2004,"&lt;&gt;")-4),""))</f>
        <v/>
      </c>
      <c r="AD20" s="108">
        <f>IF(C20="","",IFERROR(INDEX('Saisie'!$AG$5:$AG$2004,_xlfn.MAXIFS('Saisie'!$AS$5:$AS$2004,'Saisie'!$C$5:$C$2004,C20,'Saisie'!$AG$5:$AG$2004,"&lt;&gt;")-4),""))</f>
        <v/>
      </c>
      <c r="AE20" s="60">
        <f>IF(C20="","",IFERROR(INDEX('Saisie'!$AH$5:$AH$2004,_xlfn.MAXIFS('Saisie'!$AS$5:$AS$2004,'Saisie'!$C$5:$C$2004,C20,'Saisie'!$AH$5:$AH$2004,"&lt;&gt;")-4),""))</f>
        <v/>
      </c>
      <c r="AF20" s="60">
        <f>IF(C20="","",IFERROR(INDEX('Saisie'!$AI$5:$AI$2004,_xlfn.MAXIFS('Saisie'!$AS$5:$AS$2004,'Saisie'!$C$5:$C$2004,C20,'Saisie'!$AI$5:$AI$2004,"&lt;&gt;")-4),""))</f>
        <v/>
      </c>
      <c r="AG20" s="60">
        <f>IF(C20="","",IFERROR(INDEX('Saisie'!$AJ$5:$AJ$2004,_xlfn.MAXIFS('Saisie'!$AS$5:$AS$2004,'Saisie'!$C$5:$C$2004,C20,'Saisie'!$AJ$5:$AJ$2004,"&lt;&gt;")-4),""))</f>
        <v/>
      </c>
      <c r="AH20" s="60">
        <f>IF(C20="","",IFERROR(INDEX('Saisie'!$AK$5:$AK$2004,_xlfn.MAXIFS('Saisie'!$AS$5:$AS$2004,'Saisie'!$C$5:$C$2004,C20,'Saisie'!$AK$5:$AK$2004,"&lt;&gt;")-4),""))</f>
        <v/>
      </c>
      <c r="AI20" s="60">
        <f>IF(C20="","",IFERROR(INDEX('Saisie'!$AN$5:$AN$2004,_xlfn.MAXIFS('Saisie'!$AS$5:$AS$2004,'Saisie'!$C$5:$C$2004,C20,'Saisie'!$AN$5:$AN$2004,"&lt;&gt;")-4),""))</f>
        <v/>
      </c>
      <c r="AJ20" s="60">
        <f>IF(C20="","",IFERROR(INDEX('Saisie'!$AO$5:$AO$2004,_xlfn.MAXIFS('Saisie'!$AS$5:$AS$2004,'Saisie'!$C$5:$C$2004,C20,'Saisie'!$AO$5:$AO$2004,"&lt;&gt;")-4),""))</f>
        <v/>
      </c>
      <c r="AK20" s="60">
        <f>IF(C20="","",IFERROR(INDEX('Saisie'!$AP$5:$AP$2004,_xlfn.MAXIFS('Saisie'!$AS$5:$AS$2004,'Saisie'!$C$5:$C$2004,C20,'Saisie'!$AP$5:$AP$2004,"&lt;&gt;")-4),""))</f>
        <v/>
      </c>
      <c r="AL20" s="60">
        <f>IF(C20="","",IFERROR(INDEX('Saisie'!$AQ$5:$AQ$2004,_xlfn.MAXIFS('Saisie'!$AS$5:$AS$2004,'Saisie'!$C$5:$C$2004,C20,'Saisie'!$AQ$5:$AQ$2004,"&lt;&gt;")-4),""))</f>
        <v/>
      </c>
      <c r="AM20" s="60">
        <f>IF(C20="","",((AI20="Oui")+(AJ20="Oui")+(AK20="Oui")+OR(AL20="Immédiat",AL20="&lt; 1 mois"))&amp;"/4")</f>
        <v/>
      </c>
      <c r="AN20" s="60">
        <f>IF(C20="","",IFERROR(INDEX('Saisie'!$AL$5:$AL$2004,_xlfn.MAXIFS('Saisie'!$AS$5:$AS$2004,'Saisie'!$C$5:$C$2004,C20,'Saisie'!$AL$5:$AL$2004,"&lt;&gt;")-4),""))</f>
        <v/>
      </c>
      <c r="AO20" s="62">
        <f>IF(C20="","",IF(IFERROR(INDEX('Saisie'!$AM$5:$AM$2004,_xlfn.MAXIFS('Saisie'!$AS$5:$AS$2004,'Saisie'!$C$5:$C$2004,C20,'Saisie'!$AM$5:$AM$2004,"&lt;&gt;")-4),"")&lt;&gt;"",IFERROR(INDEX('Saisie'!$AM$5:$AM$2004,_xlfn.MAXIFS('Saisie'!$AS$5:$AS$2004,'Saisie'!$C$5:$C$2004,C20,'Saisie'!$AM$5:$AM$2004,"&lt;&gt;")-4),""),IFERROR(INDEX('Paramètres'!$S$6:$S$15,MATCH(AN20,'Paramètres'!$Q$6:$Q$15,0)),"")))</f>
        <v/>
      </c>
      <c r="AP20" s="62">
        <f>IF(C20="","",IFERROR(INDEX('Saisie'!$AW$5:$AW$2004,_xlfn.MAXIFS('Saisie'!$AS$5:$AS$2004,'Saisie'!$C$5:$C$2004,C20,'Saisie'!$E$5:$E$2004,"Proposition envoyée")-4),""))</f>
        <v/>
      </c>
      <c r="AQ20" s="106">
        <f>IF(C20="","",IFERROR(1/(1/_xlfn.MAXIFS('Saisie'!$A$5:$A$2004,'Saisie'!$C$5:$C$2004,C20,'Saisie'!$E$5:$E$2004,"Proposition envoyée")),""))</f>
        <v/>
      </c>
      <c r="AR20" s="106">
        <f>IF(C20="","",IF(AQ20="","",AQ20+'Paramètres'!$B$26))</f>
        <v/>
      </c>
      <c r="AS20" s="62">
        <f>IF(OR(C20="",D20="Gagné",D20="Perdu"),0,N(AP20)*IFERROR(INDEX('Paramètres'!$G$6:$G$13,MATCH(D20,'Paramètres'!$F$6:$F$13,0)),0))</f>
        <v/>
      </c>
      <c r="AT20" s="106">
        <f>IF(C20="","",IFERROR(1/(1/_xlfn.MINIFS('Saisie'!$A$5:$A$2004,'Saisie'!$C$5:$C$2004,C20,'Saisie'!$E$5:$E$2004,"Signature")),""))</f>
        <v/>
      </c>
      <c r="AU20" s="60">
        <f>IF(C20="","",IF(OR(AT20="",B20=""),"",AT20-B20))</f>
        <v/>
      </c>
      <c r="AV20" s="60">
        <f>IF(C20="","",IFERROR(INDEX('Saisie'!$L$5:$L$2004,_xlfn.MAXIFS('Saisie'!$AS$5:$AS$2004,'Saisie'!$C$5:$C$2004,C20,'Saisie'!$L$5:$L$2004,"&lt;&gt;")-4),""))</f>
        <v/>
      </c>
      <c r="AW20" s="106">
        <f>IF(C20="","",IF(D20&lt;&gt;"Perdu","",IFERROR(1/(1/_xlfn.MAXIFS('Saisie'!$A$5:$A$2004,'Saisie'!$C$5:$C$2004,C20,'Saisie'!$E$5:$E$2004,"Perdu")),"")))</f>
        <v/>
      </c>
      <c r="AX20" s="106">
        <f>IF(C20="","",IF(AW20="","",AW20+'Paramètres'!$B$28))</f>
        <v/>
      </c>
      <c r="AY20" s="60">
        <f>IF(C20="","",SUMIFS('Saisie'!$H$5:$H$2004,'Saisie'!$C$5:$C$2004,C20))</f>
        <v/>
      </c>
      <c r="AZ20" s="60">
        <f>IF(C20="","",IFERROR(INDEX('Paramètres'!$W$6:$W$20,MATCH(S20,'Paramètres'!$V$6:$V$20,0))&amp;"",""))</f>
        <v/>
      </c>
      <c r="BA20" s="60">
        <f>IF(C20="","",MAX(1,_xlfn.MAXIFS('Saisie'!$AT$5:$AT$2004,'Saisie'!$C$5:$C$2004,C20)))</f>
        <v/>
      </c>
      <c r="BB20" s="60">
        <f>IF(C20="","",IFERROR(INDEX('Saisie'!$X$5:$X$2004,_xlfn.MAXIFS('Saisie'!$AS$5:$AS$2004,'Saisie'!$C$5:$C$2004,C20,'Saisie'!$X$5:$X$2004,"&lt;&gt;")-4),""))</f>
        <v/>
      </c>
      <c r="BC20" s="60">
        <f>IF(C20="","",IFERROR(INDEX('Saisie'!$Y$5:$Y$2004,_xlfn.MAXIFS('Saisie'!$AS$5:$AS$2004,'Saisie'!$C$5:$C$2004,C20,'Saisie'!$Y$5:$Y$2004,"&lt;&gt;")-4),""))</f>
        <v/>
      </c>
      <c r="BD20" s="106">
        <f>IF(C20="","",IFERROR(1/(1/_xlfn.MINIFS('Saisie'!$A$5:$A$2004,'Saisie'!$C$5:$C$2004,C20,'Saisie'!$AT$5:$AT$2004,"&gt;=2")),""))</f>
        <v/>
      </c>
      <c r="BE20" s="106">
        <f>IF(C20="","",IFERROR(1/(1/_xlfn.MINIFS('Saisie'!$A$5:$A$2004,'Saisie'!$C$5:$C$2004,C20,'Saisie'!$AT$5:$AT$2004,"&gt;=3")),""))</f>
        <v/>
      </c>
      <c r="BF20" s="106">
        <f>IF(C20="","",IFERROR(1/(1/_xlfn.MINIFS('Saisie'!$A$5:$A$2004,'Saisie'!$C$5:$C$2004,C20,'Saisie'!$AT$5:$AT$2004,"&gt;=4")),""))</f>
        <v/>
      </c>
      <c r="BG20" s="106">
        <f>IF(C20="","",IFERROR(1/(1/_xlfn.MINIFS('Saisie'!$A$5:$A$2004,'Saisie'!$C$5:$C$2004,C20,'Saisie'!$AT$5:$AT$2004,"&gt;=5")),""))</f>
        <v/>
      </c>
      <c r="BH20" s="106">
        <f>IF(C20="","",IFERROR(1/(1/_xlfn.MINIFS('Saisie'!$A$5:$A$2004,'Saisie'!$C$5:$C$2004,C20,'Saisie'!$AT$5:$AT$2004,"&gt;=6")),""))</f>
        <v/>
      </c>
      <c r="BI20" s="106">
        <f>IF(C20="","",IFERROR(1/(1/_xlfn.MINIFS('Saisie'!$A$5:$A$2004,'Saisie'!$C$5:$C$2004,C20,'Saisie'!$AT$5:$AT$2004,"&gt;=7")),""))</f>
        <v/>
      </c>
      <c r="BJ20" s="60">
        <f>IF(OR(BD20="",B20=""),"",BD20-B20)</f>
        <v/>
      </c>
      <c r="BK20" s="60">
        <f>IF(OR(BE20="",BD20=""),"",BE20-BD20)</f>
        <v/>
      </c>
      <c r="BL20" s="60">
        <f>IF(OR(BF20="",BE20=""),"",BF20-BE20)</f>
        <v/>
      </c>
      <c r="BM20" s="60">
        <f>IF(OR(BG20="",BF20=""),"",BG20-BF20)</f>
        <v/>
      </c>
      <c r="BN20" s="60">
        <f>IF(OR(BH20="",BG20=""),"",BH20-BG20)</f>
        <v/>
      </c>
      <c r="BO20" s="60">
        <f>IF(OR(BI20="",BH20=""),"",BI20-BH20)</f>
        <v/>
      </c>
      <c r="BP20" s="60">
        <f>IF(C20="","",_xlfn.MAXIFS('Saisie'!$AS$5:$AS$2004,'Saisie'!$C$5:$C$2004,C20,'Saisie'!$J$5:$J$2004,"&lt;&gt;"))</f>
        <v/>
      </c>
      <c r="BQ20" s="60">
        <f>IF(C20="","",_xlfn.MAXIFS('Saisie'!$AS$5:$AS$2004,'Saisie'!$C$5:$C$2004,C20))</f>
        <v/>
      </c>
      <c r="BR20" s="60">
        <f>IF(C20="","",_xlfn.MAXIFS('Saisie'!$AS$5:$AS$2004,'Saisie'!$C$5:$C$2004,C20,'Saisie'!$E$5:$E$2004,"Perdu"))</f>
        <v/>
      </c>
      <c r="BS20" s="60">
        <f>IF(C20="","",_xlfn.MAXIFS('Saisie'!$AS$5:$AS$2004,'Saisie'!$C$5:$C$2004,C20,'Saisie'!$AT$5:$AT$2004,"&gt;0"))</f>
        <v/>
      </c>
      <c r="BT20" s="109">
        <f>IF(AND(C20&lt;&gt;"",OR(D20="Nouveau",D20="Contacté",D20="Qualifié"),OR(G20="",N(G20)&lt;=TODAY()),NOT(AND(O20&gt;='Paramètres'!$B$21,P20=0))),E20+16/10000,"")</f>
        <v/>
      </c>
      <c r="BU20" s="60">
        <f>IF(AND(G20&lt;&gt;"",N(G20)&lt;=TODAY()),MAX($BU$4:BU19)+1,"")</f>
        <v/>
      </c>
      <c r="BV20" s="60">
        <f>IF(AND(F20&lt;&gt;"",F20&lt;&gt;"Relance en retard"),MAX($BV$4:BV19)+1,"")</f>
        <v/>
      </c>
      <c r="BW20" s="60">
        <f>IF(C20="","",IF(AND(B20&gt;='Tableau de bord'!$R$4,B20&lt;='Tableau de bord'!$S$4,OR('Tableau de bord'!$G$4="Tous",N20='Tableau de bord'!$G$4)),1,0))</f>
        <v/>
      </c>
      <c r="BX20" s="60">
        <f>IF(AND(C20&lt;&gt;"",N(BA20)=7),MAX($BX$4:BX19)+1,"")</f>
        <v/>
      </c>
    </row>
    <row r="21">
      <c r="A21" s="60">
        <f>IF(C21="","","P-"&amp;TEXT(17,"000"))</f>
        <v/>
      </c>
      <c r="B21" s="106">
        <f>IF(C21="","",IFERROR(1/(1/_xlfn.MINIFS('Saisie'!$A$5:$A$2004,'Saisie'!$C$5:$C$2004,C21)),""))</f>
        <v/>
      </c>
      <c r="C21" s="60">
        <f>IFERROR(INDEX('Saisie'!$C$5:$C$2004,MATCH(17,'Saisie'!$AX$5:$AX$2004,0)),"")</f>
        <v/>
      </c>
      <c r="D21" s="60">
        <f>IF(C21="","",IF(AND(BR21&gt;0,BR21&gt;BS21,BA21&lt;7),"Perdu",INDEX('Paramètres'!$F$6:$F$13,BA21)))</f>
        <v/>
      </c>
      <c r="E21" s="61">
        <f>IF(C21="","",MIN(100,(Z21="Oui")*'Paramètres'!$B$38+(AB21="Régulière")*'Paramètres'!$B$39+IF(AND(N(AA21)&gt;0,TODAY()-N(AA21)&lt;=30),'Paramètres'!$B$40,0)+(W21="")*'Paramètres'!$B$41+(AC21="Absente")*'Paramètres'!$B$42+(AC21="Faible")*'Paramètres'!$B$43+IF(AND(N(AD21)&gt;0,N(AD21)&lt;4),'Paramètres'!$B$44,0)+(AF21="Moyenne")*'Paramètres'!$B$45+(AF21="Grande")*'Paramètres'!$B$46+(Y21&lt;&gt;"")*'Paramètres'!$B$47))</f>
        <v/>
      </c>
      <c r="F21" s="60">
        <f>IF(C21="","",IF(D21="Gagné","",IF(D21="Perdu",IF(AND(AX21&lt;&gt;"",AX21&lt;=TODAY()),"À recontacter (perdu)",""),IF(AND(O21&gt;='Paramètres'!$B$21,P21=0),"Stop : "&amp;'Paramètres'!$B$21&amp;" tentatives sans réponse",IF(AND(D21="Proposition",AR21&lt;&gt;"",TODAY()&gt;N(AR21)),"Proposition expirée",IF(AND(D21="Proposition",N(R21)&gt;='Paramètres'!$B$25),"Proposition sans réponse",IF(AND(G21&lt;&gt;"",N(G21)&lt;TODAY()),"Relance en retard",IF(N(R21)&gt;='Paramètres'!$B$24,"Sans action depuis "&amp;R21&amp;" j",""))))))))</f>
        <v/>
      </c>
      <c r="G21" s="106">
        <f>IF(OR(C21="",D21="Gagné",D21="Perdu"),"",IF(AND(BP21&gt;0,BP21=BQ21),INDEX('Saisie'!$J$5:$J$2004,BP21-4),IF(OR(O21=0,AND(O21&gt;='Paramètres'!$B$21,P21=0)),"",Q21+IF(O21&lt;=1,'Paramètres'!$B$18,IF(O21=2,'Paramètres'!$B$19,'Paramètres'!$B$20)))))</f>
        <v/>
      </c>
      <c r="H21" s="107">
        <f>IF(OR(G21="",BP21&lt;&gt;BQ21),"",IF(INDEX('Saisie'!$K$5:$K$2004,BP21-4)="","",INDEX('Saisie'!$K$5:$K$2004,BP21-4)))</f>
        <v/>
      </c>
      <c r="I21" s="60">
        <f>IF(C21="","",IF(OR(D21="Gagné",D21="Perdu"),"",IFERROR(INDEX('Saisie'!$I$5:$I$2004,_xlfn.MAXIFS('Saisie'!$AS$5:$AS$2004,'Saisie'!$C$5:$C$2004,C21,'Saisie'!$I$5:$I$2004,"&lt;&gt;")-4),"")))</f>
        <v/>
      </c>
      <c r="J21" s="60">
        <f>IF(C21="","",IFERROR(INDEX('Saisie'!$U$5:$U$2004,_xlfn.MAXIFS('Saisie'!$AS$5:$AS$2004,'Saisie'!$C$5:$C$2004,C21,'Saisie'!$U$5:$U$2004,"&lt;&gt;")-4),""))</f>
        <v/>
      </c>
      <c r="K21" s="60">
        <f>IF(C21="","",IFERROR(INDEX('Saisie'!$W$5:$W$2004,_xlfn.MAXIFS('Saisie'!$AS$5:$AS$2004,'Saisie'!$C$5:$C$2004,C21,'Saisie'!$W$5:$W$2004,"&lt;&gt;")-4),""))</f>
        <v/>
      </c>
      <c r="L21" s="60">
        <f>IF(IF(BB21&lt;&gt;"",BB21,K21)="","",HYPERLINK("https://wa.me/"&amp;IF(LEFT(SUBSTITUTE(SUBSTITUTE(SUBSTITUTE(IF(BB21&lt;&gt;"",BB21,K21)," ",""),".",""),"+",""),1)="0",'Paramètres'!$B$35&amp;MID(SUBSTITUTE(SUBSTITUTE(SUBSTITUTE(IF(BB21&lt;&gt;"",BB21,K21)," ",""),".",""),"+",""),2,20),SUBSTITUTE(SUBSTITUTE(SUBSTITUTE(IF(BB21&lt;&gt;"",BB21,K21)," ",""),".",""),"+","")),"WhatsApp"))</f>
        <v/>
      </c>
      <c r="M21" s="60">
        <f>IF(BC21="","",HYPERLINK(IF(LEFT(BC21,4)="http",BC21,"https://www.instagram.com/"&amp;SUBSTITUTE(SUBSTITUTE(BC21,"@","")," ","")),BC21))</f>
        <v/>
      </c>
      <c r="N21" s="60">
        <f>IF(C21="","",IFERROR(INDEX('Saisie'!$D$5:$D$2004,_xlfn.MINIFS('Saisie'!$AS$5:$AS$2004,'Saisie'!$C$5:$C$2004,C21,'Saisie'!$AU$5:$AU$2004,1)-4),IFERROR(INDEX('Saisie'!$D$5:$D$2004,_xlfn.MINIFS('Saisie'!$AS$5:$AS$2004,'Saisie'!$C$5:$C$2004,C21,'Saisie'!$D$5:$D$2004,"&lt;&gt;")-4),"")))</f>
        <v/>
      </c>
      <c r="O21" s="60">
        <f>IF(C21="","",COUNTIFS('Saisie'!$C$5:$C$2004,C21,'Saisie'!$AU$5:$AU$2004,1))</f>
        <v/>
      </c>
      <c r="P21" s="60">
        <f>IF(C21="","",COUNTIFS('Saisie'!$C$5:$C$2004,C21,'Saisie'!$AV$5:$AV$2004,1))</f>
        <v/>
      </c>
      <c r="Q21" s="106">
        <f>IF(C21="","",IFERROR(1/(1/_xlfn.MAXIFS('Saisie'!$A$5:$A$2004,'Saisie'!$C$5:$C$2004,C21)),""))</f>
        <v/>
      </c>
      <c r="R21" s="61">
        <f>IF(C21="","",IF(Q21="","",TODAY()-Q21))</f>
        <v/>
      </c>
      <c r="S21" s="60">
        <f>IF(C21="","",IFERROR(INDEX('Saisie'!$R$5:$R$2004,_xlfn.MAXIFS('Saisie'!$AS$5:$AS$2004,'Saisie'!$C$5:$C$2004,C21,'Saisie'!$R$5:$R$2004,"&lt;&gt;")-4),""))</f>
        <v/>
      </c>
      <c r="T21" s="60">
        <f>IF(C21="","",IFERROR(INDEX('Saisie'!$S$5:$S$2004,_xlfn.MAXIFS('Saisie'!$AS$5:$AS$2004,'Saisie'!$C$5:$C$2004,C21,'Saisie'!$S$5:$S$2004,"&lt;&gt;")-4),""))</f>
        <v/>
      </c>
      <c r="U21" s="60">
        <f>IF(C21="","",IFERROR(INDEX('Saisie'!$T$5:$T$2004,_xlfn.MAXIFS('Saisie'!$AS$5:$AS$2004,'Saisie'!$C$5:$C$2004,C21,'Saisie'!$T$5:$T$2004,"&lt;&gt;")-4),""))</f>
        <v/>
      </c>
      <c r="V21" s="60">
        <f>IF(C21="","",IFERROR(INDEX('Saisie'!$V$5:$V$2004,_xlfn.MAXIFS('Saisie'!$AS$5:$AS$2004,'Saisie'!$C$5:$C$2004,C21,'Saisie'!$V$5:$V$2004,"&lt;&gt;")-4),""))</f>
        <v/>
      </c>
      <c r="W21" s="60">
        <f>IF(C21="","",IFERROR(INDEX('Saisie'!$Z$5:$Z$2004,_xlfn.MAXIFS('Saisie'!$AS$5:$AS$2004,'Saisie'!$C$5:$C$2004,C21,'Saisie'!$Z$5:$Z$2004,"&lt;&gt;")-4),""))</f>
        <v/>
      </c>
      <c r="X21" s="60">
        <f>IF(C21="","",IFERROR(INDEX('Saisie'!$AA$5:$AA$2004,_xlfn.MAXIFS('Saisie'!$AS$5:$AS$2004,'Saisie'!$C$5:$C$2004,C21,'Saisie'!$AA$5:$AA$2004,"&lt;&gt;")-4),""))</f>
        <v/>
      </c>
      <c r="Y21" s="60">
        <f>IF(C21="","",IFERROR(INDEX('Saisie'!$AB$5:$AB$2004,_xlfn.MAXIFS('Saisie'!$AS$5:$AS$2004,'Saisie'!$C$5:$C$2004,C21,'Saisie'!$AB$5:$AB$2004,"&lt;&gt;")-4),""))</f>
        <v/>
      </c>
      <c r="Z21" s="60">
        <f>IF(C21="","",IFERROR(INDEX('Saisie'!$AC$5:$AC$2004,_xlfn.MAXIFS('Saisie'!$AS$5:$AS$2004,'Saisie'!$C$5:$C$2004,C21,'Saisie'!$AC$5:$AC$2004,"&lt;&gt;")-4),""))</f>
        <v/>
      </c>
      <c r="AA21" s="106">
        <f>IF(C21="","",IFERROR(INDEX('Saisie'!$AD$5:$AD$2004,_xlfn.MAXIFS('Saisie'!$AS$5:$AS$2004,'Saisie'!$C$5:$C$2004,C21,'Saisie'!$AD$5:$AD$2004,"&lt;&gt;")-4),""))</f>
        <v/>
      </c>
      <c r="AB21" s="60">
        <f>IF(C21="","",IFERROR(INDEX('Saisie'!$AE$5:$AE$2004,_xlfn.MAXIFS('Saisie'!$AS$5:$AS$2004,'Saisie'!$C$5:$C$2004,C21,'Saisie'!$AE$5:$AE$2004,"&lt;&gt;")-4),""))</f>
        <v/>
      </c>
      <c r="AC21" s="60">
        <f>IF(C21="","",IFERROR(INDEX('Saisie'!$AF$5:$AF$2004,_xlfn.MAXIFS('Saisie'!$AS$5:$AS$2004,'Saisie'!$C$5:$C$2004,C21,'Saisie'!$AF$5:$AF$2004,"&lt;&gt;")-4),""))</f>
        <v/>
      </c>
      <c r="AD21" s="108">
        <f>IF(C21="","",IFERROR(INDEX('Saisie'!$AG$5:$AG$2004,_xlfn.MAXIFS('Saisie'!$AS$5:$AS$2004,'Saisie'!$C$5:$C$2004,C21,'Saisie'!$AG$5:$AG$2004,"&lt;&gt;")-4),""))</f>
        <v/>
      </c>
      <c r="AE21" s="60">
        <f>IF(C21="","",IFERROR(INDEX('Saisie'!$AH$5:$AH$2004,_xlfn.MAXIFS('Saisie'!$AS$5:$AS$2004,'Saisie'!$C$5:$C$2004,C21,'Saisie'!$AH$5:$AH$2004,"&lt;&gt;")-4),""))</f>
        <v/>
      </c>
      <c r="AF21" s="60">
        <f>IF(C21="","",IFERROR(INDEX('Saisie'!$AI$5:$AI$2004,_xlfn.MAXIFS('Saisie'!$AS$5:$AS$2004,'Saisie'!$C$5:$C$2004,C21,'Saisie'!$AI$5:$AI$2004,"&lt;&gt;")-4),""))</f>
        <v/>
      </c>
      <c r="AG21" s="60">
        <f>IF(C21="","",IFERROR(INDEX('Saisie'!$AJ$5:$AJ$2004,_xlfn.MAXIFS('Saisie'!$AS$5:$AS$2004,'Saisie'!$C$5:$C$2004,C21,'Saisie'!$AJ$5:$AJ$2004,"&lt;&gt;")-4),""))</f>
        <v/>
      </c>
      <c r="AH21" s="60">
        <f>IF(C21="","",IFERROR(INDEX('Saisie'!$AK$5:$AK$2004,_xlfn.MAXIFS('Saisie'!$AS$5:$AS$2004,'Saisie'!$C$5:$C$2004,C21,'Saisie'!$AK$5:$AK$2004,"&lt;&gt;")-4),""))</f>
        <v/>
      </c>
      <c r="AI21" s="60">
        <f>IF(C21="","",IFERROR(INDEX('Saisie'!$AN$5:$AN$2004,_xlfn.MAXIFS('Saisie'!$AS$5:$AS$2004,'Saisie'!$C$5:$C$2004,C21,'Saisie'!$AN$5:$AN$2004,"&lt;&gt;")-4),""))</f>
        <v/>
      </c>
      <c r="AJ21" s="60">
        <f>IF(C21="","",IFERROR(INDEX('Saisie'!$AO$5:$AO$2004,_xlfn.MAXIFS('Saisie'!$AS$5:$AS$2004,'Saisie'!$C$5:$C$2004,C21,'Saisie'!$AO$5:$AO$2004,"&lt;&gt;")-4),""))</f>
        <v/>
      </c>
      <c r="AK21" s="60">
        <f>IF(C21="","",IFERROR(INDEX('Saisie'!$AP$5:$AP$2004,_xlfn.MAXIFS('Saisie'!$AS$5:$AS$2004,'Saisie'!$C$5:$C$2004,C21,'Saisie'!$AP$5:$AP$2004,"&lt;&gt;")-4),""))</f>
        <v/>
      </c>
      <c r="AL21" s="60">
        <f>IF(C21="","",IFERROR(INDEX('Saisie'!$AQ$5:$AQ$2004,_xlfn.MAXIFS('Saisie'!$AS$5:$AS$2004,'Saisie'!$C$5:$C$2004,C21,'Saisie'!$AQ$5:$AQ$2004,"&lt;&gt;")-4),""))</f>
        <v/>
      </c>
      <c r="AM21" s="60">
        <f>IF(C21="","",((AI21="Oui")+(AJ21="Oui")+(AK21="Oui")+OR(AL21="Immédiat",AL21="&lt; 1 mois"))&amp;"/4")</f>
        <v/>
      </c>
      <c r="AN21" s="60">
        <f>IF(C21="","",IFERROR(INDEX('Saisie'!$AL$5:$AL$2004,_xlfn.MAXIFS('Saisie'!$AS$5:$AS$2004,'Saisie'!$C$5:$C$2004,C21,'Saisie'!$AL$5:$AL$2004,"&lt;&gt;")-4),""))</f>
        <v/>
      </c>
      <c r="AO21" s="62">
        <f>IF(C21="","",IF(IFERROR(INDEX('Saisie'!$AM$5:$AM$2004,_xlfn.MAXIFS('Saisie'!$AS$5:$AS$2004,'Saisie'!$C$5:$C$2004,C21,'Saisie'!$AM$5:$AM$2004,"&lt;&gt;")-4),"")&lt;&gt;"",IFERROR(INDEX('Saisie'!$AM$5:$AM$2004,_xlfn.MAXIFS('Saisie'!$AS$5:$AS$2004,'Saisie'!$C$5:$C$2004,C21,'Saisie'!$AM$5:$AM$2004,"&lt;&gt;")-4),""),IFERROR(INDEX('Paramètres'!$S$6:$S$15,MATCH(AN21,'Paramètres'!$Q$6:$Q$15,0)),"")))</f>
        <v/>
      </c>
      <c r="AP21" s="62">
        <f>IF(C21="","",IFERROR(INDEX('Saisie'!$AW$5:$AW$2004,_xlfn.MAXIFS('Saisie'!$AS$5:$AS$2004,'Saisie'!$C$5:$C$2004,C21,'Saisie'!$E$5:$E$2004,"Proposition envoyée")-4),""))</f>
        <v/>
      </c>
      <c r="AQ21" s="106">
        <f>IF(C21="","",IFERROR(1/(1/_xlfn.MAXIFS('Saisie'!$A$5:$A$2004,'Saisie'!$C$5:$C$2004,C21,'Saisie'!$E$5:$E$2004,"Proposition envoyée")),""))</f>
        <v/>
      </c>
      <c r="AR21" s="106">
        <f>IF(C21="","",IF(AQ21="","",AQ21+'Paramètres'!$B$26))</f>
        <v/>
      </c>
      <c r="AS21" s="62">
        <f>IF(OR(C21="",D21="Gagné",D21="Perdu"),0,N(AP21)*IFERROR(INDEX('Paramètres'!$G$6:$G$13,MATCH(D21,'Paramètres'!$F$6:$F$13,0)),0))</f>
        <v/>
      </c>
      <c r="AT21" s="106">
        <f>IF(C21="","",IFERROR(1/(1/_xlfn.MINIFS('Saisie'!$A$5:$A$2004,'Saisie'!$C$5:$C$2004,C21,'Saisie'!$E$5:$E$2004,"Signature")),""))</f>
        <v/>
      </c>
      <c r="AU21" s="60">
        <f>IF(C21="","",IF(OR(AT21="",B21=""),"",AT21-B21))</f>
        <v/>
      </c>
      <c r="AV21" s="60">
        <f>IF(C21="","",IFERROR(INDEX('Saisie'!$L$5:$L$2004,_xlfn.MAXIFS('Saisie'!$AS$5:$AS$2004,'Saisie'!$C$5:$C$2004,C21,'Saisie'!$L$5:$L$2004,"&lt;&gt;")-4),""))</f>
        <v/>
      </c>
      <c r="AW21" s="106">
        <f>IF(C21="","",IF(D21&lt;&gt;"Perdu","",IFERROR(1/(1/_xlfn.MAXIFS('Saisie'!$A$5:$A$2004,'Saisie'!$C$5:$C$2004,C21,'Saisie'!$E$5:$E$2004,"Perdu")),"")))</f>
        <v/>
      </c>
      <c r="AX21" s="106">
        <f>IF(C21="","",IF(AW21="","",AW21+'Paramètres'!$B$28))</f>
        <v/>
      </c>
      <c r="AY21" s="60">
        <f>IF(C21="","",SUMIFS('Saisie'!$H$5:$H$2004,'Saisie'!$C$5:$C$2004,C21))</f>
        <v/>
      </c>
      <c r="AZ21" s="60">
        <f>IF(C21="","",IFERROR(INDEX('Paramètres'!$W$6:$W$20,MATCH(S21,'Paramètres'!$V$6:$V$20,0))&amp;"",""))</f>
        <v/>
      </c>
      <c r="BA21" s="60">
        <f>IF(C21="","",MAX(1,_xlfn.MAXIFS('Saisie'!$AT$5:$AT$2004,'Saisie'!$C$5:$C$2004,C21)))</f>
        <v/>
      </c>
      <c r="BB21" s="60">
        <f>IF(C21="","",IFERROR(INDEX('Saisie'!$X$5:$X$2004,_xlfn.MAXIFS('Saisie'!$AS$5:$AS$2004,'Saisie'!$C$5:$C$2004,C21,'Saisie'!$X$5:$X$2004,"&lt;&gt;")-4),""))</f>
        <v/>
      </c>
      <c r="BC21" s="60">
        <f>IF(C21="","",IFERROR(INDEX('Saisie'!$Y$5:$Y$2004,_xlfn.MAXIFS('Saisie'!$AS$5:$AS$2004,'Saisie'!$C$5:$C$2004,C21,'Saisie'!$Y$5:$Y$2004,"&lt;&gt;")-4),""))</f>
        <v/>
      </c>
      <c r="BD21" s="106">
        <f>IF(C21="","",IFERROR(1/(1/_xlfn.MINIFS('Saisie'!$A$5:$A$2004,'Saisie'!$C$5:$C$2004,C21,'Saisie'!$AT$5:$AT$2004,"&gt;=2")),""))</f>
        <v/>
      </c>
      <c r="BE21" s="106">
        <f>IF(C21="","",IFERROR(1/(1/_xlfn.MINIFS('Saisie'!$A$5:$A$2004,'Saisie'!$C$5:$C$2004,C21,'Saisie'!$AT$5:$AT$2004,"&gt;=3")),""))</f>
        <v/>
      </c>
      <c r="BF21" s="106">
        <f>IF(C21="","",IFERROR(1/(1/_xlfn.MINIFS('Saisie'!$A$5:$A$2004,'Saisie'!$C$5:$C$2004,C21,'Saisie'!$AT$5:$AT$2004,"&gt;=4")),""))</f>
        <v/>
      </c>
      <c r="BG21" s="106">
        <f>IF(C21="","",IFERROR(1/(1/_xlfn.MINIFS('Saisie'!$A$5:$A$2004,'Saisie'!$C$5:$C$2004,C21,'Saisie'!$AT$5:$AT$2004,"&gt;=5")),""))</f>
        <v/>
      </c>
      <c r="BH21" s="106">
        <f>IF(C21="","",IFERROR(1/(1/_xlfn.MINIFS('Saisie'!$A$5:$A$2004,'Saisie'!$C$5:$C$2004,C21,'Saisie'!$AT$5:$AT$2004,"&gt;=6")),""))</f>
        <v/>
      </c>
      <c r="BI21" s="106">
        <f>IF(C21="","",IFERROR(1/(1/_xlfn.MINIFS('Saisie'!$A$5:$A$2004,'Saisie'!$C$5:$C$2004,C21,'Saisie'!$AT$5:$AT$2004,"&gt;=7")),""))</f>
        <v/>
      </c>
      <c r="BJ21" s="60">
        <f>IF(OR(BD21="",B21=""),"",BD21-B21)</f>
        <v/>
      </c>
      <c r="BK21" s="60">
        <f>IF(OR(BE21="",BD21=""),"",BE21-BD21)</f>
        <v/>
      </c>
      <c r="BL21" s="60">
        <f>IF(OR(BF21="",BE21=""),"",BF21-BE21)</f>
        <v/>
      </c>
      <c r="BM21" s="60">
        <f>IF(OR(BG21="",BF21=""),"",BG21-BF21)</f>
        <v/>
      </c>
      <c r="BN21" s="60">
        <f>IF(OR(BH21="",BG21=""),"",BH21-BG21)</f>
        <v/>
      </c>
      <c r="BO21" s="60">
        <f>IF(OR(BI21="",BH21=""),"",BI21-BH21)</f>
        <v/>
      </c>
      <c r="BP21" s="60">
        <f>IF(C21="","",_xlfn.MAXIFS('Saisie'!$AS$5:$AS$2004,'Saisie'!$C$5:$C$2004,C21,'Saisie'!$J$5:$J$2004,"&lt;&gt;"))</f>
        <v/>
      </c>
      <c r="BQ21" s="60">
        <f>IF(C21="","",_xlfn.MAXIFS('Saisie'!$AS$5:$AS$2004,'Saisie'!$C$5:$C$2004,C21))</f>
        <v/>
      </c>
      <c r="BR21" s="60">
        <f>IF(C21="","",_xlfn.MAXIFS('Saisie'!$AS$5:$AS$2004,'Saisie'!$C$5:$C$2004,C21,'Saisie'!$E$5:$E$2004,"Perdu"))</f>
        <v/>
      </c>
      <c r="BS21" s="60">
        <f>IF(C21="","",_xlfn.MAXIFS('Saisie'!$AS$5:$AS$2004,'Saisie'!$C$5:$C$2004,C21,'Saisie'!$AT$5:$AT$2004,"&gt;0"))</f>
        <v/>
      </c>
      <c r="BT21" s="109">
        <f>IF(AND(C21&lt;&gt;"",OR(D21="Nouveau",D21="Contacté",D21="Qualifié"),OR(G21="",N(G21)&lt;=TODAY()),NOT(AND(O21&gt;='Paramètres'!$B$21,P21=0))),E21+17/10000,"")</f>
        <v/>
      </c>
      <c r="BU21" s="60">
        <f>IF(AND(G21&lt;&gt;"",N(G21)&lt;=TODAY()),MAX($BU$4:BU20)+1,"")</f>
        <v/>
      </c>
      <c r="BV21" s="60">
        <f>IF(AND(F21&lt;&gt;"",F21&lt;&gt;"Relance en retard"),MAX($BV$4:BV20)+1,"")</f>
        <v/>
      </c>
      <c r="BW21" s="60">
        <f>IF(C21="","",IF(AND(B21&gt;='Tableau de bord'!$R$4,B21&lt;='Tableau de bord'!$S$4,OR('Tableau de bord'!$G$4="Tous",N21='Tableau de bord'!$G$4)),1,0))</f>
        <v/>
      </c>
      <c r="BX21" s="60">
        <f>IF(AND(C21&lt;&gt;"",N(BA21)=7),MAX($BX$4:BX20)+1,"")</f>
        <v/>
      </c>
    </row>
    <row r="22">
      <c r="A22" s="60">
        <f>IF(C22="","","P-"&amp;TEXT(18,"000"))</f>
        <v/>
      </c>
      <c r="B22" s="106">
        <f>IF(C22="","",IFERROR(1/(1/_xlfn.MINIFS('Saisie'!$A$5:$A$2004,'Saisie'!$C$5:$C$2004,C22)),""))</f>
        <v/>
      </c>
      <c r="C22" s="60">
        <f>IFERROR(INDEX('Saisie'!$C$5:$C$2004,MATCH(18,'Saisie'!$AX$5:$AX$2004,0)),"")</f>
        <v/>
      </c>
      <c r="D22" s="60">
        <f>IF(C22="","",IF(AND(BR22&gt;0,BR22&gt;BS22,BA22&lt;7),"Perdu",INDEX('Paramètres'!$F$6:$F$13,BA22)))</f>
        <v/>
      </c>
      <c r="E22" s="61">
        <f>IF(C22="","",MIN(100,(Z22="Oui")*'Paramètres'!$B$38+(AB22="Régulière")*'Paramètres'!$B$39+IF(AND(N(AA22)&gt;0,TODAY()-N(AA22)&lt;=30),'Paramètres'!$B$40,0)+(W22="")*'Paramètres'!$B$41+(AC22="Absente")*'Paramètres'!$B$42+(AC22="Faible")*'Paramètres'!$B$43+IF(AND(N(AD22)&gt;0,N(AD22)&lt;4),'Paramètres'!$B$44,0)+(AF22="Moyenne")*'Paramètres'!$B$45+(AF22="Grande")*'Paramètres'!$B$46+(Y22&lt;&gt;"")*'Paramètres'!$B$47))</f>
        <v/>
      </c>
      <c r="F22" s="60">
        <f>IF(C22="","",IF(D22="Gagné","",IF(D22="Perdu",IF(AND(AX22&lt;&gt;"",AX22&lt;=TODAY()),"À recontacter (perdu)",""),IF(AND(O22&gt;='Paramètres'!$B$21,P22=0),"Stop : "&amp;'Paramètres'!$B$21&amp;" tentatives sans réponse",IF(AND(D22="Proposition",AR22&lt;&gt;"",TODAY()&gt;N(AR22)),"Proposition expirée",IF(AND(D22="Proposition",N(R22)&gt;='Paramètres'!$B$25),"Proposition sans réponse",IF(AND(G22&lt;&gt;"",N(G22)&lt;TODAY()),"Relance en retard",IF(N(R22)&gt;='Paramètres'!$B$24,"Sans action depuis "&amp;R22&amp;" j",""))))))))</f>
        <v/>
      </c>
      <c r="G22" s="106">
        <f>IF(OR(C22="",D22="Gagné",D22="Perdu"),"",IF(AND(BP22&gt;0,BP22=BQ22),INDEX('Saisie'!$J$5:$J$2004,BP22-4),IF(OR(O22=0,AND(O22&gt;='Paramètres'!$B$21,P22=0)),"",Q22+IF(O22&lt;=1,'Paramètres'!$B$18,IF(O22=2,'Paramètres'!$B$19,'Paramètres'!$B$20)))))</f>
        <v/>
      </c>
      <c r="H22" s="107">
        <f>IF(OR(G22="",BP22&lt;&gt;BQ22),"",IF(INDEX('Saisie'!$K$5:$K$2004,BP22-4)="","",INDEX('Saisie'!$K$5:$K$2004,BP22-4)))</f>
        <v/>
      </c>
      <c r="I22" s="60">
        <f>IF(C22="","",IF(OR(D22="Gagné",D22="Perdu"),"",IFERROR(INDEX('Saisie'!$I$5:$I$2004,_xlfn.MAXIFS('Saisie'!$AS$5:$AS$2004,'Saisie'!$C$5:$C$2004,C22,'Saisie'!$I$5:$I$2004,"&lt;&gt;")-4),"")))</f>
        <v/>
      </c>
      <c r="J22" s="60">
        <f>IF(C22="","",IFERROR(INDEX('Saisie'!$U$5:$U$2004,_xlfn.MAXIFS('Saisie'!$AS$5:$AS$2004,'Saisie'!$C$5:$C$2004,C22,'Saisie'!$U$5:$U$2004,"&lt;&gt;")-4),""))</f>
        <v/>
      </c>
      <c r="K22" s="60">
        <f>IF(C22="","",IFERROR(INDEX('Saisie'!$W$5:$W$2004,_xlfn.MAXIFS('Saisie'!$AS$5:$AS$2004,'Saisie'!$C$5:$C$2004,C22,'Saisie'!$W$5:$W$2004,"&lt;&gt;")-4),""))</f>
        <v/>
      </c>
      <c r="L22" s="60">
        <f>IF(IF(BB22&lt;&gt;"",BB22,K22)="","",HYPERLINK("https://wa.me/"&amp;IF(LEFT(SUBSTITUTE(SUBSTITUTE(SUBSTITUTE(IF(BB22&lt;&gt;"",BB22,K22)," ",""),".",""),"+",""),1)="0",'Paramètres'!$B$35&amp;MID(SUBSTITUTE(SUBSTITUTE(SUBSTITUTE(IF(BB22&lt;&gt;"",BB22,K22)," ",""),".",""),"+",""),2,20),SUBSTITUTE(SUBSTITUTE(SUBSTITUTE(IF(BB22&lt;&gt;"",BB22,K22)," ",""),".",""),"+","")),"WhatsApp"))</f>
        <v/>
      </c>
      <c r="M22" s="60">
        <f>IF(BC22="","",HYPERLINK(IF(LEFT(BC22,4)="http",BC22,"https://www.instagram.com/"&amp;SUBSTITUTE(SUBSTITUTE(BC22,"@","")," ","")),BC22))</f>
        <v/>
      </c>
      <c r="N22" s="60">
        <f>IF(C22="","",IFERROR(INDEX('Saisie'!$D$5:$D$2004,_xlfn.MINIFS('Saisie'!$AS$5:$AS$2004,'Saisie'!$C$5:$C$2004,C22,'Saisie'!$AU$5:$AU$2004,1)-4),IFERROR(INDEX('Saisie'!$D$5:$D$2004,_xlfn.MINIFS('Saisie'!$AS$5:$AS$2004,'Saisie'!$C$5:$C$2004,C22,'Saisie'!$D$5:$D$2004,"&lt;&gt;")-4),"")))</f>
        <v/>
      </c>
      <c r="O22" s="60">
        <f>IF(C22="","",COUNTIFS('Saisie'!$C$5:$C$2004,C22,'Saisie'!$AU$5:$AU$2004,1))</f>
        <v/>
      </c>
      <c r="P22" s="60">
        <f>IF(C22="","",COUNTIFS('Saisie'!$C$5:$C$2004,C22,'Saisie'!$AV$5:$AV$2004,1))</f>
        <v/>
      </c>
      <c r="Q22" s="106">
        <f>IF(C22="","",IFERROR(1/(1/_xlfn.MAXIFS('Saisie'!$A$5:$A$2004,'Saisie'!$C$5:$C$2004,C22)),""))</f>
        <v/>
      </c>
      <c r="R22" s="61">
        <f>IF(C22="","",IF(Q22="","",TODAY()-Q22))</f>
        <v/>
      </c>
      <c r="S22" s="60">
        <f>IF(C22="","",IFERROR(INDEX('Saisie'!$R$5:$R$2004,_xlfn.MAXIFS('Saisie'!$AS$5:$AS$2004,'Saisie'!$C$5:$C$2004,C22,'Saisie'!$R$5:$R$2004,"&lt;&gt;")-4),""))</f>
        <v/>
      </c>
      <c r="T22" s="60">
        <f>IF(C22="","",IFERROR(INDEX('Saisie'!$S$5:$S$2004,_xlfn.MAXIFS('Saisie'!$AS$5:$AS$2004,'Saisie'!$C$5:$C$2004,C22,'Saisie'!$S$5:$S$2004,"&lt;&gt;")-4),""))</f>
        <v/>
      </c>
      <c r="U22" s="60">
        <f>IF(C22="","",IFERROR(INDEX('Saisie'!$T$5:$T$2004,_xlfn.MAXIFS('Saisie'!$AS$5:$AS$2004,'Saisie'!$C$5:$C$2004,C22,'Saisie'!$T$5:$T$2004,"&lt;&gt;")-4),""))</f>
        <v/>
      </c>
      <c r="V22" s="60">
        <f>IF(C22="","",IFERROR(INDEX('Saisie'!$V$5:$V$2004,_xlfn.MAXIFS('Saisie'!$AS$5:$AS$2004,'Saisie'!$C$5:$C$2004,C22,'Saisie'!$V$5:$V$2004,"&lt;&gt;")-4),""))</f>
        <v/>
      </c>
      <c r="W22" s="60">
        <f>IF(C22="","",IFERROR(INDEX('Saisie'!$Z$5:$Z$2004,_xlfn.MAXIFS('Saisie'!$AS$5:$AS$2004,'Saisie'!$C$5:$C$2004,C22,'Saisie'!$Z$5:$Z$2004,"&lt;&gt;")-4),""))</f>
        <v/>
      </c>
      <c r="X22" s="60">
        <f>IF(C22="","",IFERROR(INDEX('Saisie'!$AA$5:$AA$2004,_xlfn.MAXIFS('Saisie'!$AS$5:$AS$2004,'Saisie'!$C$5:$C$2004,C22,'Saisie'!$AA$5:$AA$2004,"&lt;&gt;")-4),""))</f>
        <v/>
      </c>
      <c r="Y22" s="60">
        <f>IF(C22="","",IFERROR(INDEX('Saisie'!$AB$5:$AB$2004,_xlfn.MAXIFS('Saisie'!$AS$5:$AS$2004,'Saisie'!$C$5:$C$2004,C22,'Saisie'!$AB$5:$AB$2004,"&lt;&gt;")-4),""))</f>
        <v/>
      </c>
      <c r="Z22" s="60">
        <f>IF(C22="","",IFERROR(INDEX('Saisie'!$AC$5:$AC$2004,_xlfn.MAXIFS('Saisie'!$AS$5:$AS$2004,'Saisie'!$C$5:$C$2004,C22,'Saisie'!$AC$5:$AC$2004,"&lt;&gt;")-4),""))</f>
        <v/>
      </c>
      <c r="AA22" s="106">
        <f>IF(C22="","",IFERROR(INDEX('Saisie'!$AD$5:$AD$2004,_xlfn.MAXIFS('Saisie'!$AS$5:$AS$2004,'Saisie'!$C$5:$C$2004,C22,'Saisie'!$AD$5:$AD$2004,"&lt;&gt;")-4),""))</f>
        <v/>
      </c>
      <c r="AB22" s="60">
        <f>IF(C22="","",IFERROR(INDEX('Saisie'!$AE$5:$AE$2004,_xlfn.MAXIFS('Saisie'!$AS$5:$AS$2004,'Saisie'!$C$5:$C$2004,C22,'Saisie'!$AE$5:$AE$2004,"&lt;&gt;")-4),""))</f>
        <v/>
      </c>
      <c r="AC22" s="60">
        <f>IF(C22="","",IFERROR(INDEX('Saisie'!$AF$5:$AF$2004,_xlfn.MAXIFS('Saisie'!$AS$5:$AS$2004,'Saisie'!$C$5:$C$2004,C22,'Saisie'!$AF$5:$AF$2004,"&lt;&gt;")-4),""))</f>
        <v/>
      </c>
      <c r="AD22" s="108">
        <f>IF(C22="","",IFERROR(INDEX('Saisie'!$AG$5:$AG$2004,_xlfn.MAXIFS('Saisie'!$AS$5:$AS$2004,'Saisie'!$C$5:$C$2004,C22,'Saisie'!$AG$5:$AG$2004,"&lt;&gt;")-4),""))</f>
        <v/>
      </c>
      <c r="AE22" s="60">
        <f>IF(C22="","",IFERROR(INDEX('Saisie'!$AH$5:$AH$2004,_xlfn.MAXIFS('Saisie'!$AS$5:$AS$2004,'Saisie'!$C$5:$C$2004,C22,'Saisie'!$AH$5:$AH$2004,"&lt;&gt;")-4),""))</f>
        <v/>
      </c>
      <c r="AF22" s="60">
        <f>IF(C22="","",IFERROR(INDEX('Saisie'!$AI$5:$AI$2004,_xlfn.MAXIFS('Saisie'!$AS$5:$AS$2004,'Saisie'!$C$5:$C$2004,C22,'Saisie'!$AI$5:$AI$2004,"&lt;&gt;")-4),""))</f>
        <v/>
      </c>
      <c r="AG22" s="60">
        <f>IF(C22="","",IFERROR(INDEX('Saisie'!$AJ$5:$AJ$2004,_xlfn.MAXIFS('Saisie'!$AS$5:$AS$2004,'Saisie'!$C$5:$C$2004,C22,'Saisie'!$AJ$5:$AJ$2004,"&lt;&gt;")-4),""))</f>
        <v/>
      </c>
      <c r="AH22" s="60">
        <f>IF(C22="","",IFERROR(INDEX('Saisie'!$AK$5:$AK$2004,_xlfn.MAXIFS('Saisie'!$AS$5:$AS$2004,'Saisie'!$C$5:$C$2004,C22,'Saisie'!$AK$5:$AK$2004,"&lt;&gt;")-4),""))</f>
        <v/>
      </c>
      <c r="AI22" s="60">
        <f>IF(C22="","",IFERROR(INDEX('Saisie'!$AN$5:$AN$2004,_xlfn.MAXIFS('Saisie'!$AS$5:$AS$2004,'Saisie'!$C$5:$C$2004,C22,'Saisie'!$AN$5:$AN$2004,"&lt;&gt;")-4),""))</f>
        <v/>
      </c>
      <c r="AJ22" s="60">
        <f>IF(C22="","",IFERROR(INDEX('Saisie'!$AO$5:$AO$2004,_xlfn.MAXIFS('Saisie'!$AS$5:$AS$2004,'Saisie'!$C$5:$C$2004,C22,'Saisie'!$AO$5:$AO$2004,"&lt;&gt;")-4),""))</f>
        <v/>
      </c>
      <c r="AK22" s="60">
        <f>IF(C22="","",IFERROR(INDEX('Saisie'!$AP$5:$AP$2004,_xlfn.MAXIFS('Saisie'!$AS$5:$AS$2004,'Saisie'!$C$5:$C$2004,C22,'Saisie'!$AP$5:$AP$2004,"&lt;&gt;")-4),""))</f>
        <v/>
      </c>
      <c r="AL22" s="60">
        <f>IF(C22="","",IFERROR(INDEX('Saisie'!$AQ$5:$AQ$2004,_xlfn.MAXIFS('Saisie'!$AS$5:$AS$2004,'Saisie'!$C$5:$C$2004,C22,'Saisie'!$AQ$5:$AQ$2004,"&lt;&gt;")-4),""))</f>
        <v/>
      </c>
      <c r="AM22" s="60">
        <f>IF(C22="","",((AI22="Oui")+(AJ22="Oui")+(AK22="Oui")+OR(AL22="Immédiat",AL22="&lt; 1 mois"))&amp;"/4")</f>
        <v/>
      </c>
      <c r="AN22" s="60">
        <f>IF(C22="","",IFERROR(INDEX('Saisie'!$AL$5:$AL$2004,_xlfn.MAXIFS('Saisie'!$AS$5:$AS$2004,'Saisie'!$C$5:$C$2004,C22,'Saisie'!$AL$5:$AL$2004,"&lt;&gt;")-4),""))</f>
        <v/>
      </c>
      <c r="AO22" s="62">
        <f>IF(C22="","",IF(IFERROR(INDEX('Saisie'!$AM$5:$AM$2004,_xlfn.MAXIFS('Saisie'!$AS$5:$AS$2004,'Saisie'!$C$5:$C$2004,C22,'Saisie'!$AM$5:$AM$2004,"&lt;&gt;")-4),"")&lt;&gt;"",IFERROR(INDEX('Saisie'!$AM$5:$AM$2004,_xlfn.MAXIFS('Saisie'!$AS$5:$AS$2004,'Saisie'!$C$5:$C$2004,C22,'Saisie'!$AM$5:$AM$2004,"&lt;&gt;")-4),""),IFERROR(INDEX('Paramètres'!$S$6:$S$15,MATCH(AN22,'Paramètres'!$Q$6:$Q$15,0)),"")))</f>
        <v/>
      </c>
      <c r="AP22" s="62">
        <f>IF(C22="","",IFERROR(INDEX('Saisie'!$AW$5:$AW$2004,_xlfn.MAXIFS('Saisie'!$AS$5:$AS$2004,'Saisie'!$C$5:$C$2004,C22,'Saisie'!$E$5:$E$2004,"Proposition envoyée")-4),""))</f>
        <v/>
      </c>
      <c r="AQ22" s="106">
        <f>IF(C22="","",IFERROR(1/(1/_xlfn.MAXIFS('Saisie'!$A$5:$A$2004,'Saisie'!$C$5:$C$2004,C22,'Saisie'!$E$5:$E$2004,"Proposition envoyée")),""))</f>
        <v/>
      </c>
      <c r="AR22" s="106">
        <f>IF(C22="","",IF(AQ22="","",AQ22+'Paramètres'!$B$26))</f>
        <v/>
      </c>
      <c r="AS22" s="62">
        <f>IF(OR(C22="",D22="Gagné",D22="Perdu"),0,N(AP22)*IFERROR(INDEX('Paramètres'!$G$6:$G$13,MATCH(D22,'Paramètres'!$F$6:$F$13,0)),0))</f>
        <v/>
      </c>
      <c r="AT22" s="106">
        <f>IF(C22="","",IFERROR(1/(1/_xlfn.MINIFS('Saisie'!$A$5:$A$2004,'Saisie'!$C$5:$C$2004,C22,'Saisie'!$E$5:$E$2004,"Signature")),""))</f>
        <v/>
      </c>
      <c r="AU22" s="60">
        <f>IF(C22="","",IF(OR(AT22="",B22=""),"",AT22-B22))</f>
        <v/>
      </c>
      <c r="AV22" s="60">
        <f>IF(C22="","",IFERROR(INDEX('Saisie'!$L$5:$L$2004,_xlfn.MAXIFS('Saisie'!$AS$5:$AS$2004,'Saisie'!$C$5:$C$2004,C22,'Saisie'!$L$5:$L$2004,"&lt;&gt;")-4),""))</f>
        <v/>
      </c>
      <c r="AW22" s="106">
        <f>IF(C22="","",IF(D22&lt;&gt;"Perdu","",IFERROR(1/(1/_xlfn.MAXIFS('Saisie'!$A$5:$A$2004,'Saisie'!$C$5:$C$2004,C22,'Saisie'!$E$5:$E$2004,"Perdu")),"")))</f>
        <v/>
      </c>
      <c r="AX22" s="106">
        <f>IF(C22="","",IF(AW22="","",AW22+'Paramètres'!$B$28))</f>
        <v/>
      </c>
      <c r="AY22" s="60">
        <f>IF(C22="","",SUMIFS('Saisie'!$H$5:$H$2004,'Saisie'!$C$5:$C$2004,C22))</f>
        <v/>
      </c>
      <c r="AZ22" s="60">
        <f>IF(C22="","",IFERROR(INDEX('Paramètres'!$W$6:$W$20,MATCH(S22,'Paramètres'!$V$6:$V$20,0))&amp;"",""))</f>
        <v/>
      </c>
      <c r="BA22" s="60">
        <f>IF(C22="","",MAX(1,_xlfn.MAXIFS('Saisie'!$AT$5:$AT$2004,'Saisie'!$C$5:$C$2004,C22)))</f>
        <v/>
      </c>
      <c r="BB22" s="60">
        <f>IF(C22="","",IFERROR(INDEX('Saisie'!$X$5:$X$2004,_xlfn.MAXIFS('Saisie'!$AS$5:$AS$2004,'Saisie'!$C$5:$C$2004,C22,'Saisie'!$X$5:$X$2004,"&lt;&gt;")-4),""))</f>
        <v/>
      </c>
      <c r="BC22" s="60">
        <f>IF(C22="","",IFERROR(INDEX('Saisie'!$Y$5:$Y$2004,_xlfn.MAXIFS('Saisie'!$AS$5:$AS$2004,'Saisie'!$C$5:$C$2004,C22,'Saisie'!$Y$5:$Y$2004,"&lt;&gt;")-4),""))</f>
        <v/>
      </c>
      <c r="BD22" s="106">
        <f>IF(C22="","",IFERROR(1/(1/_xlfn.MINIFS('Saisie'!$A$5:$A$2004,'Saisie'!$C$5:$C$2004,C22,'Saisie'!$AT$5:$AT$2004,"&gt;=2")),""))</f>
        <v/>
      </c>
      <c r="BE22" s="106">
        <f>IF(C22="","",IFERROR(1/(1/_xlfn.MINIFS('Saisie'!$A$5:$A$2004,'Saisie'!$C$5:$C$2004,C22,'Saisie'!$AT$5:$AT$2004,"&gt;=3")),""))</f>
        <v/>
      </c>
      <c r="BF22" s="106">
        <f>IF(C22="","",IFERROR(1/(1/_xlfn.MINIFS('Saisie'!$A$5:$A$2004,'Saisie'!$C$5:$C$2004,C22,'Saisie'!$AT$5:$AT$2004,"&gt;=4")),""))</f>
        <v/>
      </c>
      <c r="BG22" s="106">
        <f>IF(C22="","",IFERROR(1/(1/_xlfn.MINIFS('Saisie'!$A$5:$A$2004,'Saisie'!$C$5:$C$2004,C22,'Saisie'!$AT$5:$AT$2004,"&gt;=5")),""))</f>
        <v/>
      </c>
      <c r="BH22" s="106">
        <f>IF(C22="","",IFERROR(1/(1/_xlfn.MINIFS('Saisie'!$A$5:$A$2004,'Saisie'!$C$5:$C$2004,C22,'Saisie'!$AT$5:$AT$2004,"&gt;=6")),""))</f>
        <v/>
      </c>
      <c r="BI22" s="106">
        <f>IF(C22="","",IFERROR(1/(1/_xlfn.MINIFS('Saisie'!$A$5:$A$2004,'Saisie'!$C$5:$C$2004,C22,'Saisie'!$AT$5:$AT$2004,"&gt;=7")),""))</f>
        <v/>
      </c>
      <c r="BJ22" s="60">
        <f>IF(OR(BD22="",B22=""),"",BD22-B22)</f>
        <v/>
      </c>
      <c r="BK22" s="60">
        <f>IF(OR(BE22="",BD22=""),"",BE22-BD22)</f>
        <v/>
      </c>
      <c r="BL22" s="60">
        <f>IF(OR(BF22="",BE22=""),"",BF22-BE22)</f>
        <v/>
      </c>
      <c r="BM22" s="60">
        <f>IF(OR(BG22="",BF22=""),"",BG22-BF22)</f>
        <v/>
      </c>
      <c r="BN22" s="60">
        <f>IF(OR(BH22="",BG22=""),"",BH22-BG22)</f>
        <v/>
      </c>
      <c r="BO22" s="60">
        <f>IF(OR(BI22="",BH22=""),"",BI22-BH22)</f>
        <v/>
      </c>
      <c r="BP22" s="60">
        <f>IF(C22="","",_xlfn.MAXIFS('Saisie'!$AS$5:$AS$2004,'Saisie'!$C$5:$C$2004,C22,'Saisie'!$J$5:$J$2004,"&lt;&gt;"))</f>
        <v/>
      </c>
      <c r="BQ22" s="60">
        <f>IF(C22="","",_xlfn.MAXIFS('Saisie'!$AS$5:$AS$2004,'Saisie'!$C$5:$C$2004,C22))</f>
        <v/>
      </c>
      <c r="BR22" s="60">
        <f>IF(C22="","",_xlfn.MAXIFS('Saisie'!$AS$5:$AS$2004,'Saisie'!$C$5:$C$2004,C22,'Saisie'!$E$5:$E$2004,"Perdu"))</f>
        <v/>
      </c>
      <c r="BS22" s="60">
        <f>IF(C22="","",_xlfn.MAXIFS('Saisie'!$AS$5:$AS$2004,'Saisie'!$C$5:$C$2004,C22,'Saisie'!$AT$5:$AT$2004,"&gt;0"))</f>
        <v/>
      </c>
      <c r="BT22" s="109">
        <f>IF(AND(C22&lt;&gt;"",OR(D22="Nouveau",D22="Contacté",D22="Qualifié"),OR(G22="",N(G22)&lt;=TODAY()),NOT(AND(O22&gt;='Paramètres'!$B$21,P22=0))),E22+18/10000,"")</f>
        <v/>
      </c>
      <c r="BU22" s="60">
        <f>IF(AND(G22&lt;&gt;"",N(G22)&lt;=TODAY()),MAX($BU$4:BU21)+1,"")</f>
        <v/>
      </c>
      <c r="BV22" s="60">
        <f>IF(AND(F22&lt;&gt;"",F22&lt;&gt;"Relance en retard"),MAX($BV$4:BV21)+1,"")</f>
        <v/>
      </c>
      <c r="BW22" s="60">
        <f>IF(C22="","",IF(AND(B22&gt;='Tableau de bord'!$R$4,B22&lt;='Tableau de bord'!$S$4,OR('Tableau de bord'!$G$4="Tous",N22='Tableau de bord'!$G$4)),1,0))</f>
        <v/>
      </c>
      <c r="BX22" s="60">
        <f>IF(AND(C22&lt;&gt;"",N(BA22)=7),MAX($BX$4:BX21)+1,"")</f>
        <v/>
      </c>
    </row>
    <row r="23">
      <c r="A23" s="60">
        <f>IF(C23="","","P-"&amp;TEXT(19,"000"))</f>
        <v/>
      </c>
      <c r="B23" s="106">
        <f>IF(C23="","",IFERROR(1/(1/_xlfn.MINIFS('Saisie'!$A$5:$A$2004,'Saisie'!$C$5:$C$2004,C23)),""))</f>
        <v/>
      </c>
      <c r="C23" s="60">
        <f>IFERROR(INDEX('Saisie'!$C$5:$C$2004,MATCH(19,'Saisie'!$AX$5:$AX$2004,0)),"")</f>
        <v/>
      </c>
      <c r="D23" s="60">
        <f>IF(C23="","",IF(AND(BR23&gt;0,BR23&gt;BS23,BA23&lt;7),"Perdu",INDEX('Paramètres'!$F$6:$F$13,BA23)))</f>
        <v/>
      </c>
      <c r="E23" s="61">
        <f>IF(C23="","",MIN(100,(Z23="Oui")*'Paramètres'!$B$38+(AB23="Régulière")*'Paramètres'!$B$39+IF(AND(N(AA23)&gt;0,TODAY()-N(AA23)&lt;=30),'Paramètres'!$B$40,0)+(W23="")*'Paramètres'!$B$41+(AC23="Absente")*'Paramètres'!$B$42+(AC23="Faible")*'Paramètres'!$B$43+IF(AND(N(AD23)&gt;0,N(AD23)&lt;4),'Paramètres'!$B$44,0)+(AF23="Moyenne")*'Paramètres'!$B$45+(AF23="Grande")*'Paramètres'!$B$46+(Y23&lt;&gt;"")*'Paramètres'!$B$47))</f>
        <v/>
      </c>
      <c r="F23" s="60">
        <f>IF(C23="","",IF(D23="Gagné","",IF(D23="Perdu",IF(AND(AX23&lt;&gt;"",AX23&lt;=TODAY()),"À recontacter (perdu)",""),IF(AND(O23&gt;='Paramètres'!$B$21,P23=0),"Stop : "&amp;'Paramètres'!$B$21&amp;" tentatives sans réponse",IF(AND(D23="Proposition",AR23&lt;&gt;"",TODAY()&gt;N(AR23)),"Proposition expirée",IF(AND(D23="Proposition",N(R23)&gt;='Paramètres'!$B$25),"Proposition sans réponse",IF(AND(G23&lt;&gt;"",N(G23)&lt;TODAY()),"Relance en retard",IF(N(R23)&gt;='Paramètres'!$B$24,"Sans action depuis "&amp;R23&amp;" j",""))))))))</f>
        <v/>
      </c>
      <c r="G23" s="106">
        <f>IF(OR(C23="",D23="Gagné",D23="Perdu"),"",IF(AND(BP23&gt;0,BP23=BQ23),INDEX('Saisie'!$J$5:$J$2004,BP23-4),IF(OR(O23=0,AND(O23&gt;='Paramètres'!$B$21,P23=0)),"",Q23+IF(O23&lt;=1,'Paramètres'!$B$18,IF(O23=2,'Paramètres'!$B$19,'Paramètres'!$B$20)))))</f>
        <v/>
      </c>
      <c r="H23" s="107">
        <f>IF(OR(G23="",BP23&lt;&gt;BQ23),"",IF(INDEX('Saisie'!$K$5:$K$2004,BP23-4)="","",INDEX('Saisie'!$K$5:$K$2004,BP23-4)))</f>
        <v/>
      </c>
      <c r="I23" s="60">
        <f>IF(C23="","",IF(OR(D23="Gagné",D23="Perdu"),"",IFERROR(INDEX('Saisie'!$I$5:$I$2004,_xlfn.MAXIFS('Saisie'!$AS$5:$AS$2004,'Saisie'!$C$5:$C$2004,C23,'Saisie'!$I$5:$I$2004,"&lt;&gt;")-4),"")))</f>
        <v/>
      </c>
      <c r="J23" s="60">
        <f>IF(C23="","",IFERROR(INDEX('Saisie'!$U$5:$U$2004,_xlfn.MAXIFS('Saisie'!$AS$5:$AS$2004,'Saisie'!$C$5:$C$2004,C23,'Saisie'!$U$5:$U$2004,"&lt;&gt;")-4),""))</f>
        <v/>
      </c>
      <c r="K23" s="60">
        <f>IF(C23="","",IFERROR(INDEX('Saisie'!$W$5:$W$2004,_xlfn.MAXIFS('Saisie'!$AS$5:$AS$2004,'Saisie'!$C$5:$C$2004,C23,'Saisie'!$W$5:$W$2004,"&lt;&gt;")-4),""))</f>
        <v/>
      </c>
      <c r="L23" s="60">
        <f>IF(IF(BB23&lt;&gt;"",BB23,K23)="","",HYPERLINK("https://wa.me/"&amp;IF(LEFT(SUBSTITUTE(SUBSTITUTE(SUBSTITUTE(IF(BB23&lt;&gt;"",BB23,K23)," ",""),".",""),"+",""),1)="0",'Paramètres'!$B$35&amp;MID(SUBSTITUTE(SUBSTITUTE(SUBSTITUTE(IF(BB23&lt;&gt;"",BB23,K23)," ",""),".",""),"+",""),2,20),SUBSTITUTE(SUBSTITUTE(SUBSTITUTE(IF(BB23&lt;&gt;"",BB23,K23)," ",""),".",""),"+","")),"WhatsApp"))</f>
        <v/>
      </c>
      <c r="M23" s="60">
        <f>IF(BC23="","",HYPERLINK(IF(LEFT(BC23,4)="http",BC23,"https://www.instagram.com/"&amp;SUBSTITUTE(SUBSTITUTE(BC23,"@","")," ","")),BC23))</f>
        <v/>
      </c>
      <c r="N23" s="60">
        <f>IF(C23="","",IFERROR(INDEX('Saisie'!$D$5:$D$2004,_xlfn.MINIFS('Saisie'!$AS$5:$AS$2004,'Saisie'!$C$5:$C$2004,C23,'Saisie'!$AU$5:$AU$2004,1)-4),IFERROR(INDEX('Saisie'!$D$5:$D$2004,_xlfn.MINIFS('Saisie'!$AS$5:$AS$2004,'Saisie'!$C$5:$C$2004,C23,'Saisie'!$D$5:$D$2004,"&lt;&gt;")-4),"")))</f>
        <v/>
      </c>
      <c r="O23" s="60">
        <f>IF(C23="","",COUNTIFS('Saisie'!$C$5:$C$2004,C23,'Saisie'!$AU$5:$AU$2004,1))</f>
        <v/>
      </c>
      <c r="P23" s="60">
        <f>IF(C23="","",COUNTIFS('Saisie'!$C$5:$C$2004,C23,'Saisie'!$AV$5:$AV$2004,1))</f>
        <v/>
      </c>
      <c r="Q23" s="106">
        <f>IF(C23="","",IFERROR(1/(1/_xlfn.MAXIFS('Saisie'!$A$5:$A$2004,'Saisie'!$C$5:$C$2004,C23)),""))</f>
        <v/>
      </c>
      <c r="R23" s="61">
        <f>IF(C23="","",IF(Q23="","",TODAY()-Q23))</f>
        <v/>
      </c>
      <c r="S23" s="60">
        <f>IF(C23="","",IFERROR(INDEX('Saisie'!$R$5:$R$2004,_xlfn.MAXIFS('Saisie'!$AS$5:$AS$2004,'Saisie'!$C$5:$C$2004,C23,'Saisie'!$R$5:$R$2004,"&lt;&gt;")-4),""))</f>
        <v/>
      </c>
      <c r="T23" s="60">
        <f>IF(C23="","",IFERROR(INDEX('Saisie'!$S$5:$S$2004,_xlfn.MAXIFS('Saisie'!$AS$5:$AS$2004,'Saisie'!$C$5:$C$2004,C23,'Saisie'!$S$5:$S$2004,"&lt;&gt;")-4),""))</f>
        <v/>
      </c>
      <c r="U23" s="60">
        <f>IF(C23="","",IFERROR(INDEX('Saisie'!$T$5:$T$2004,_xlfn.MAXIFS('Saisie'!$AS$5:$AS$2004,'Saisie'!$C$5:$C$2004,C23,'Saisie'!$T$5:$T$2004,"&lt;&gt;")-4),""))</f>
        <v/>
      </c>
      <c r="V23" s="60">
        <f>IF(C23="","",IFERROR(INDEX('Saisie'!$V$5:$V$2004,_xlfn.MAXIFS('Saisie'!$AS$5:$AS$2004,'Saisie'!$C$5:$C$2004,C23,'Saisie'!$V$5:$V$2004,"&lt;&gt;")-4),""))</f>
        <v/>
      </c>
      <c r="W23" s="60">
        <f>IF(C23="","",IFERROR(INDEX('Saisie'!$Z$5:$Z$2004,_xlfn.MAXIFS('Saisie'!$AS$5:$AS$2004,'Saisie'!$C$5:$C$2004,C23,'Saisie'!$Z$5:$Z$2004,"&lt;&gt;")-4),""))</f>
        <v/>
      </c>
      <c r="X23" s="60">
        <f>IF(C23="","",IFERROR(INDEX('Saisie'!$AA$5:$AA$2004,_xlfn.MAXIFS('Saisie'!$AS$5:$AS$2004,'Saisie'!$C$5:$C$2004,C23,'Saisie'!$AA$5:$AA$2004,"&lt;&gt;")-4),""))</f>
        <v/>
      </c>
      <c r="Y23" s="60">
        <f>IF(C23="","",IFERROR(INDEX('Saisie'!$AB$5:$AB$2004,_xlfn.MAXIFS('Saisie'!$AS$5:$AS$2004,'Saisie'!$C$5:$C$2004,C23,'Saisie'!$AB$5:$AB$2004,"&lt;&gt;")-4),""))</f>
        <v/>
      </c>
      <c r="Z23" s="60">
        <f>IF(C23="","",IFERROR(INDEX('Saisie'!$AC$5:$AC$2004,_xlfn.MAXIFS('Saisie'!$AS$5:$AS$2004,'Saisie'!$C$5:$C$2004,C23,'Saisie'!$AC$5:$AC$2004,"&lt;&gt;")-4),""))</f>
        <v/>
      </c>
      <c r="AA23" s="106">
        <f>IF(C23="","",IFERROR(INDEX('Saisie'!$AD$5:$AD$2004,_xlfn.MAXIFS('Saisie'!$AS$5:$AS$2004,'Saisie'!$C$5:$C$2004,C23,'Saisie'!$AD$5:$AD$2004,"&lt;&gt;")-4),""))</f>
        <v/>
      </c>
      <c r="AB23" s="60">
        <f>IF(C23="","",IFERROR(INDEX('Saisie'!$AE$5:$AE$2004,_xlfn.MAXIFS('Saisie'!$AS$5:$AS$2004,'Saisie'!$C$5:$C$2004,C23,'Saisie'!$AE$5:$AE$2004,"&lt;&gt;")-4),""))</f>
        <v/>
      </c>
      <c r="AC23" s="60">
        <f>IF(C23="","",IFERROR(INDEX('Saisie'!$AF$5:$AF$2004,_xlfn.MAXIFS('Saisie'!$AS$5:$AS$2004,'Saisie'!$C$5:$C$2004,C23,'Saisie'!$AF$5:$AF$2004,"&lt;&gt;")-4),""))</f>
        <v/>
      </c>
      <c r="AD23" s="108">
        <f>IF(C23="","",IFERROR(INDEX('Saisie'!$AG$5:$AG$2004,_xlfn.MAXIFS('Saisie'!$AS$5:$AS$2004,'Saisie'!$C$5:$C$2004,C23,'Saisie'!$AG$5:$AG$2004,"&lt;&gt;")-4),""))</f>
        <v/>
      </c>
      <c r="AE23" s="60">
        <f>IF(C23="","",IFERROR(INDEX('Saisie'!$AH$5:$AH$2004,_xlfn.MAXIFS('Saisie'!$AS$5:$AS$2004,'Saisie'!$C$5:$C$2004,C23,'Saisie'!$AH$5:$AH$2004,"&lt;&gt;")-4),""))</f>
        <v/>
      </c>
      <c r="AF23" s="60">
        <f>IF(C23="","",IFERROR(INDEX('Saisie'!$AI$5:$AI$2004,_xlfn.MAXIFS('Saisie'!$AS$5:$AS$2004,'Saisie'!$C$5:$C$2004,C23,'Saisie'!$AI$5:$AI$2004,"&lt;&gt;")-4),""))</f>
        <v/>
      </c>
      <c r="AG23" s="60">
        <f>IF(C23="","",IFERROR(INDEX('Saisie'!$AJ$5:$AJ$2004,_xlfn.MAXIFS('Saisie'!$AS$5:$AS$2004,'Saisie'!$C$5:$C$2004,C23,'Saisie'!$AJ$5:$AJ$2004,"&lt;&gt;")-4),""))</f>
        <v/>
      </c>
      <c r="AH23" s="60">
        <f>IF(C23="","",IFERROR(INDEX('Saisie'!$AK$5:$AK$2004,_xlfn.MAXIFS('Saisie'!$AS$5:$AS$2004,'Saisie'!$C$5:$C$2004,C23,'Saisie'!$AK$5:$AK$2004,"&lt;&gt;")-4),""))</f>
        <v/>
      </c>
      <c r="AI23" s="60">
        <f>IF(C23="","",IFERROR(INDEX('Saisie'!$AN$5:$AN$2004,_xlfn.MAXIFS('Saisie'!$AS$5:$AS$2004,'Saisie'!$C$5:$C$2004,C23,'Saisie'!$AN$5:$AN$2004,"&lt;&gt;")-4),""))</f>
        <v/>
      </c>
      <c r="AJ23" s="60">
        <f>IF(C23="","",IFERROR(INDEX('Saisie'!$AO$5:$AO$2004,_xlfn.MAXIFS('Saisie'!$AS$5:$AS$2004,'Saisie'!$C$5:$C$2004,C23,'Saisie'!$AO$5:$AO$2004,"&lt;&gt;")-4),""))</f>
        <v/>
      </c>
      <c r="AK23" s="60">
        <f>IF(C23="","",IFERROR(INDEX('Saisie'!$AP$5:$AP$2004,_xlfn.MAXIFS('Saisie'!$AS$5:$AS$2004,'Saisie'!$C$5:$C$2004,C23,'Saisie'!$AP$5:$AP$2004,"&lt;&gt;")-4),""))</f>
        <v/>
      </c>
      <c r="AL23" s="60">
        <f>IF(C23="","",IFERROR(INDEX('Saisie'!$AQ$5:$AQ$2004,_xlfn.MAXIFS('Saisie'!$AS$5:$AS$2004,'Saisie'!$C$5:$C$2004,C23,'Saisie'!$AQ$5:$AQ$2004,"&lt;&gt;")-4),""))</f>
        <v/>
      </c>
      <c r="AM23" s="60">
        <f>IF(C23="","",((AI23="Oui")+(AJ23="Oui")+(AK23="Oui")+OR(AL23="Immédiat",AL23="&lt; 1 mois"))&amp;"/4")</f>
        <v/>
      </c>
      <c r="AN23" s="60">
        <f>IF(C23="","",IFERROR(INDEX('Saisie'!$AL$5:$AL$2004,_xlfn.MAXIFS('Saisie'!$AS$5:$AS$2004,'Saisie'!$C$5:$C$2004,C23,'Saisie'!$AL$5:$AL$2004,"&lt;&gt;")-4),""))</f>
        <v/>
      </c>
      <c r="AO23" s="62">
        <f>IF(C23="","",IF(IFERROR(INDEX('Saisie'!$AM$5:$AM$2004,_xlfn.MAXIFS('Saisie'!$AS$5:$AS$2004,'Saisie'!$C$5:$C$2004,C23,'Saisie'!$AM$5:$AM$2004,"&lt;&gt;")-4),"")&lt;&gt;"",IFERROR(INDEX('Saisie'!$AM$5:$AM$2004,_xlfn.MAXIFS('Saisie'!$AS$5:$AS$2004,'Saisie'!$C$5:$C$2004,C23,'Saisie'!$AM$5:$AM$2004,"&lt;&gt;")-4),""),IFERROR(INDEX('Paramètres'!$S$6:$S$15,MATCH(AN23,'Paramètres'!$Q$6:$Q$15,0)),"")))</f>
        <v/>
      </c>
      <c r="AP23" s="62">
        <f>IF(C23="","",IFERROR(INDEX('Saisie'!$AW$5:$AW$2004,_xlfn.MAXIFS('Saisie'!$AS$5:$AS$2004,'Saisie'!$C$5:$C$2004,C23,'Saisie'!$E$5:$E$2004,"Proposition envoyée")-4),""))</f>
        <v/>
      </c>
      <c r="AQ23" s="106">
        <f>IF(C23="","",IFERROR(1/(1/_xlfn.MAXIFS('Saisie'!$A$5:$A$2004,'Saisie'!$C$5:$C$2004,C23,'Saisie'!$E$5:$E$2004,"Proposition envoyée")),""))</f>
        <v/>
      </c>
      <c r="AR23" s="106">
        <f>IF(C23="","",IF(AQ23="","",AQ23+'Paramètres'!$B$26))</f>
        <v/>
      </c>
      <c r="AS23" s="62">
        <f>IF(OR(C23="",D23="Gagné",D23="Perdu"),0,N(AP23)*IFERROR(INDEX('Paramètres'!$G$6:$G$13,MATCH(D23,'Paramètres'!$F$6:$F$13,0)),0))</f>
        <v/>
      </c>
      <c r="AT23" s="106">
        <f>IF(C23="","",IFERROR(1/(1/_xlfn.MINIFS('Saisie'!$A$5:$A$2004,'Saisie'!$C$5:$C$2004,C23,'Saisie'!$E$5:$E$2004,"Signature")),""))</f>
        <v/>
      </c>
      <c r="AU23" s="60">
        <f>IF(C23="","",IF(OR(AT23="",B23=""),"",AT23-B23))</f>
        <v/>
      </c>
      <c r="AV23" s="60">
        <f>IF(C23="","",IFERROR(INDEX('Saisie'!$L$5:$L$2004,_xlfn.MAXIFS('Saisie'!$AS$5:$AS$2004,'Saisie'!$C$5:$C$2004,C23,'Saisie'!$L$5:$L$2004,"&lt;&gt;")-4),""))</f>
        <v/>
      </c>
      <c r="AW23" s="106">
        <f>IF(C23="","",IF(D23&lt;&gt;"Perdu","",IFERROR(1/(1/_xlfn.MAXIFS('Saisie'!$A$5:$A$2004,'Saisie'!$C$5:$C$2004,C23,'Saisie'!$E$5:$E$2004,"Perdu")),"")))</f>
        <v/>
      </c>
      <c r="AX23" s="106">
        <f>IF(C23="","",IF(AW23="","",AW23+'Paramètres'!$B$28))</f>
        <v/>
      </c>
      <c r="AY23" s="60">
        <f>IF(C23="","",SUMIFS('Saisie'!$H$5:$H$2004,'Saisie'!$C$5:$C$2004,C23))</f>
        <v/>
      </c>
      <c r="AZ23" s="60">
        <f>IF(C23="","",IFERROR(INDEX('Paramètres'!$W$6:$W$20,MATCH(S23,'Paramètres'!$V$6:$V$20,0))&amp;"",""))</f>
        <v/>
      </c>
      <c r="BA23" s="60">
        <f>IF(C23="","",MAX(1,_xlfn.MAXIFS('Saisie'!$AT$5:$AT$2004,'Saisie'!$C$5:$C$2004,C23)))</f>
        <v/>
      </c>
      <c r="BB23" s="60">
        <f>IF(C23="","",IFERROR(INDEX('Saisie'!$X$5:$X$2004,_xlfn.MAXIFS('Saisie'!$AS$5:$AS$2004,'Saisie'!$C$5:$C$2004,C23,'Saisie'!$X$5:$X$2004,"&lt;&gt;")-4),""))</f>
        <v/>
      </c>
      <c r="BC23" s="60">
        <f>IF(C23="","",IFERROR(INDEX('Saisie'!$Y$5:$Y$2004,_xlfn.MAXIFS('Saisie'!$AS$5:$AS$2004,'Saisie'!$C$5:$C$2004,C23,'Saisie'!$Y$5:$Y$2004,"&lt;&gt;")-4),""))</f>
        <v/>
      </c>
      <c r="BD23" s="106">
        <f>IF(C23="","",IFERROR(1/(1/_xlfn.MINIFS('Saisie'!$A$5:$A$2004,'Saisie'!$C$5:$C$2004,C23,'Saisie'!$AT$5:$AT$2004,"&gt;=2")),""))</f>
        <v/>
      </c>
      <c r="BE23" s="106">
        <f>IF(C23="","",IFERROR(1/(1/_xlfn.MINIFS('Saisie'!$A$5:$A$2004,'Saisie'!$C$5:$C$2004,C23,'Saisie'!$AT$5:$AT$2004,"&gt;=3")),""))</f>
        <v/>
      </c>
      <c r="BF23" s="106">
        <f>IF(C23="","",IFERROR(1/(1/_xlfn.MINIFS('Saisie'!$A$5:$A$2004,'Saisie'!$C$5:$C$2004,C23,'Saisie'!$AT$5:$AT$2004,"&gt;=4")),""))</f>
        <v/>
      </c>
      <c r="BG23" s="106">
        <f>IF(C23="","",IFERROR(1/(1/_xlfn.MINIFS('Saisie'!$A$5:$A$2004,'Saisie'!$C$5:$C$2004,C23,'Saisie'!$AT$5:$AT$2004,"&gt;=5")),""))</f>
        <v/>
      </c>
      <c r="BH23" s="106">
        <f>IF(C23="","",IFERROR(1/(1/_xlfn.MINIFS('Saisie'!$A$5:$A$2004,'Saisie'!$C$5:$C$2004,C23,'Saisie'!$AT$5:$AT$2004,"&gt;=6")),""))</f>
        <v/>
      </c>
      <c r="BI23" s="106">
        <f>IF(C23="","",IFERROR(1/(1/_xlfn.MINIFS('Saisie'!$A$5:$A$2004,'Saisie'!$C$5:$C$2004,C23,'Saisie'!$AT$5:$AT$2004,"&gt;=7")),""))</f>
        <v/>
      </c>
      <c r="BJ23" s="60">
        <f>IF(OR(BD23="",B23=""),"",BD23-B23)</f>
        <v/>
      </c>
      <c r="BK23" s="60">
        <f>IF(OR(BE23="",BD23=""),"",BE23-BD23)</f>
        <v/>
      </c>
      <c r="BL23" s="60">
        <f>IF(OR(BF23="",BE23=""),"",BF23-BE23)</f>
        <v/>
      </c>
      <c r="BM23" s="60">
        <f>IF(OR(BG23="",BF23=""),"",BG23-BF23)</f>
        <v/>
      </c>
      <c r="BN23" s="60">
        <f>IF(OR(BH23="",BG23=""),"",BH23-BG23)</f>
        <v/>
      </c>
      <c r="BO23" s="60">
        <f>IF(OR(BI23="",BH23=""),"",BI23-BH23)</f>
        <v/>
      </c>
      <c r="BP23" s="60">
        <f>IF(C23="","",_xlfn.MAXIFS('Saisie'!$AS$5:$AS$2004,'Saisie'!$C$5:$C$2004,C23,'Saisie'!$J$5:$J$2004,"&lt;&gt;"))</f>
        <v/>
      </c>
      <c r="BQ23" s="60">
        <f>IF(C23="","",_xlfn.MAXIFS('Saisie'!$AS$5:$AS$2004,'Saisie'!$C$5:$C$2004,C23))</f>
        <v/>
      </c>
      <c r="BR23" s="60">
        <f>IF(C23="","",_xlfn.MAXIFS('Saisie'!$AS$5:$AS$2004,'Saisie'!$C$5:$C$2004,C23,'Saisie'!$E$5:$E$2004,"Perdu"))</f>
        <v/>
      </c>
      <c r="BS23" s="60">
        <f>IF(C23="","",_xlfn.MAXIFS('Saisie'!$AS$5:$AS$2004,'Saisie'!$C$5:$C$2004,C23,'Saisie'!$AT$5:$AT$2004,"&gt;0"))</f>
        <v/>
      </c>
      <c r="BT23" s="109">
        <f>IF(AND(C23&lt;&gt;"",OR(D23="Nouveau",D23="Contacté",D23="Qualifié"),OR(G23="",N(G23)&lt;=TODAY()),NOT(AND(O23&gt;='Paramètres'!$B$21,P23=0))),E23+19/10000,"")</f>
        <v/>
      </c>
      <c r="BU23" s="60">
        <f>IF(AND(G23&lt;&gt;"",N(G23)&lt;=TODAY()),MAX($BU$4:BU22)+1,"")</f>
        <v/>
      </c>
      <c r="BV23" s="60">
        <f>IF(AND(F23&lt;&gt;"",F23&lt;&gt;"Relance en retard"),MAX($BV$4:BV22)+1,"")</f>
        <v/>
      </c>
      <c r="BW23" s="60">
        <f>IF(C23="","",IF(AND(B23&gt;='Tableau de bord'!$R$4,B23&lt;='Tableau de bord'!$S$4,OR('Tableau de bord'!$G$4="Tous",N23='Tableau de bord'!$G$4)),1,0))</f>
        <v/>
      </c>
      <c r="BX23" s="60">
        <f>IF(AND(C23&lt;&gt;"",N(BA23)=7),MAX($BX$4:BX22)+1,"")</f>
        <v/>
      </c>
    </row>
    <row r="24">
      <c r="A24" s="60">
        <f>IF(C24="","","P-"&amp;TEXT(20,"000"))</f>
        <v/>
      </c>
      <c r="B24" s="106">
        <f>IF(C24="","",IFERROR(1/(1/_xlfn.MINIFS('Saisie'!$A$5:$A$2004,'Saisie'!$C$5:$C$2004,C24)),""))</f>
        <v/>
      </c>
      <c r="C24" s="60">
        <f>IFERROR(INDEX('Saisie'!$C$5:$C$2004,MATCH(20,'Saisie'!$AX$5:$AX$2004,0)),"")</f>
        <v/>
      </c>
      <c r="D24" s="60">
        <f>IF(C24="","",IF(AND(BR24&gt;0,BR24&gt;BS24,BA24&lt;7),"Perdu",INDEX('Paramètres'!$F$6:$F$13,BA24)))</f>
        <v/>
      </c>
      <c r="E24" s="61">
        <f>IF(C24="","",MIN(100,(Z24="Oui")*'Paramètres'!$B$38+(AB24="Régulière")*'Paramètres'!$B$39+IF(AND(N(AA24)&gt;0,TODAY()-N(AA24)&lt;=30),'Paramètres'!$B$40,0)+(W24="")*'Paramètres'!$B$41+(AC24="Absente")*'Paramètres'!$B$42+(AC24="Faible")*'Paramètres'!$B$43+IF(AND(N(AD24)&gt;0,N(AD24)&lt;4),'Paramètres'!$B$44,0)+(AF24="Moyenne")*'Paramètres'!$B$45+(AF24="Grande")*'Paramètres'!$B$46+(Y24&lt;&gt;"")*'Paramètres'!$B$47))</f>
        <v/>
      </c>
      <c r="F24" s="60">
        <f>IF(C24="","",IF(D24="Gagné","",IF(D24="Perdu",IF(AND(AX24&lt;&gt;"",AX24&lt;=TODAY()),"À recontacter (perdu)",""),IF(AND(O24&gt;='Paramètres'!$B$21,P24=0),"Stop : "&amp;'Paramètres'!$B$21&amp;" tentatives sans réponse",IF(AND(D24="Proposition",AR24&lt;&gt;"",TODAY()&gt;N(AR24)),"Proposition expirée",IF(AND(D24="Proposition",N(R24)&gt;='Paramètres'!$B$25),"Proposition sans réponse",IF(AND(G24&lt;&gt;"",N(G24)&lt;TODAY()),"Relance en retard",IF(N(R24)&gt;='Paramètres'!$B$24,"Sans action depuis "&amp;R24&amp;" j",""))))))))</f>
        <v/>
      </c>
      <c r="G24" s="106">
        <f>IF(OR(C24="",D24="Gagné",D24="Perdu"),"",IF(AND(BP24&gt;0,BP24=BQ24),INDEX('Saisie'!$J$5:$J$2004,BP24-4),IF(OR(O24=0,AND(O24&gt;='Paramètres'!$B$21,P24=0)),"",Q24+IF(O24&lt;=1,'Paramètres'!$B$18,IF(O24=2,'Paramètres'!$B$19,'Paramètres'!$B$20)))))</f>
        <v/>
      </c>
      <c r="H24" s="107">
        <f>IF(OR(G24="",BP24&lt;&gt;BQ24),"",IF(INDEX('Saisie'!$K$5:$K$2004,BP24-4)="","",INDEX('Saisie'!$K$5:$K$2004,BP24-4)))</f>
        <v/>
      </c>
      <c r="I24" s="60">
        <f>IF(C24="","",IF(OR(D24="Gagné",D24="Perdu"),"",IFERROR(INDEX('Saisie'!$I$5:$I$2004,_xlfn.MAXIFS('Saisie'!$AS$5:$AS$2004,'Saisie'!$C$5:$C$2004,C24,'Saisie'!$I$5:$I$2004,"&lt;&gt;")-4),"")))</f>
        <v/>
      </c>
      <c r="J24" s="60">
        <f>IF(C24="","",IFERROR(INDEX('Saisie'!$U$5:$U$2004,_xlfn.MAXIFS('Saisie'!$AS$5:$AS$2004,'Saisie'!$C$5:$C$2004,C24,'Saisie'!$U$5:$U$2004,"&lt;&gt;")-4),""))</f>
        <v/>
      </c>
      <c r="K24" s="60">
        <f>IF(C24="","",IFERROR(INDEX('Saisie'!$W$5:$W$2004,_xlfn.MAXIFS('Saisie'!$AS$5:$AS$2004,'Saisie'!$C$5:$C$2004,C24,'Saisie'!$W$5:$W$2004,"&lt;&gt;")-4),""))</f>
        <v/>
      </c>
      <c r="L24" s="60">
        <f>IF(IF(BB24&lt;&gt;"",BB24,K24)="","",HYPERLINK("https://wa.me/"&amp;IF(LEFT(SUBSTITUTE(SUBSTITUTE(SUBSTITUTE(IF(BB24&lt;&gt;"",BB24,K24)," ",""),".",""),"+",""),1)="0",'Paramètres'!$B$35&amp;MID(SUBSTITUTE(SUBSTITUTE(SUBSTITUTE(IF(BB24&lt;&gt;"",BB24,K24)," ",""),".",""),"+",""),2,20),SUBSTITUTE(SUBSTITUTE(SUBSTITUTE(IF(BB24&lt;&gt;"",BB24,K24)," ",""),".",""),"+","")),"WhatsApp"))</f>
        <v/>
      </c>
      <c r="M24" s="60">
        <f>IF(BC24="","",HYPERLINK(IF(LEFT(BC24,4)="http",BC24,"https://www.instagram.com/"&amp;SUBSTITUTE(SUBSTITUTE(BC24,"@","")," ","")),BC24))</f>
        <v/>
      </c>
      <c r="N24" s="60">
        <f>IF(C24="","",IFERROR(INDEX('Saisie'!$D$5:$D$2004,_xlfn.MINIFS('Saisie'!$AS$5:$AS$2004,'Saisie'!$C$5:$C$2004,C24,'Saisie'!$AU$5:$AU$2004,1)-4),IFERROR(INDEX('Saisie'!$D$5:$D$2004,_xlfn.MINIFS('Saisie'!$AS$5:$AS$2004,'Saisie'!$C$5:$C$2004,C24,'Saisie'!$D$5:$D$2004,"&lt;&gt;")-4),"")))</f>
        <v/>
      </c>
      <c r="O24" s="60">
        <f>IF(C24="","",COUNTIFS('Saisie'!$C$5:$C$2004,C24,'Saisie'!$AU$5:$AU$2004,1))</f>
        <v/>
      </c>
      <c r="P24" s="60">
        <f>IF(C24="","",COUNTIFS('Saisie'!$C$5:$C$2004,C24,'Saisie'!$AV$5:$AV$2004,1))</f>
        <v/>
      </c>
      <c r="Q24" s="106">
        <f>IF(C24="","",IFERROR(1/(1/_xlfn.MAXIFS('Saisie'!$A$5:$A$2004,'Saisie'!$C$5:$C$2004,C24)),""))</f>
        <v/>
      </c>
      <c r="R24" s="61">
        <f>IF(C24="","",IF(Q24="","",TODAY()-Q24))</f>
        <v/>
      </c>
      <c r="S24" s="60">
        <f>IF(C24="","",IFERROR(INDEX('Saisie'!$R$5:$R$2004,_xlfn.MAXIFS('Saisie'!$AS$5:$AS$2004,'Saisie'!$C$5:$C$2004,C24,'Saisie'!$R$5:$R$2004,"&lt;&gt;")-4),""))</f>
        <v/>
      </c>
      <c r="T24" s="60">
        <f>IF(C24="","",IFERROR(INDEX('Saisie'!$S$5:$S$2004,_xlfn.MAXIFS('Saisie'!$AS$5:$AS$2004,'Saisie'!$C$5:$C$2004,C24,'Saisie'!$S$5:$S$2004,"&lt;&gt;")-4),""))</f>
        <v/>
      </c>
      <c r="U24" s="60">
        <f>IF(C24="","",IFERROR(INDEX('Saisie'!$T$5:$T$2004,_xlfn.MAXIFS('Saisie'!$AS$5:$AS$2004,'Saisie'!$C$5:$C$2004,C24,'Saisie'!$T$5:$T$2004,"&lt;&gt;")-4),""))</f>
        <v/>
      </c>
      <c r="V24" s="60">
        <f>IF(C24="","",IFERROR(INDEX('Saisie'!$V$5:$V$2004,_xlfn.MAXIFS('Saisie'!$AS$5:$AS$2004,'Saisie'!$C$5:$C$2004,C24,'Saisie'!$V$5:$V$2004,"&lt;&gt;")-4),""))</f>
        <v/>
      </c>
      <c r="W24" s="60">
        <f>IF(C24="","",IFERROR(INDEX('Saisie'!$Z$5:$Z$2004,_xlfn.MAXIFS('Saisie'!$AS$5:$AS$2004,'Saisie'!$C$5:$C$2004,C24,'Saisie'!$Z$5:$Z$2004,"&lt;&gt;")-4),""))</f>
        <v/>
      </c>
      <c r="X24" s="60">
        <f>IF(C24="","",IFERROR(INDEX('Saisie'!$AA$5:$AA$2004,_xlfn.MAXIFS('Saisie'!$AS$5:$AS$2004,'Saisie'!$C$5:$C$2004,C24,'Saisie'!$AA$5:$AA$2004,"&lt;&gt;")-4),""))</f>
        <v/>
      </c>
      <c r="Y24" s="60">
        <f>IF(C24="","",IFERROR(INDEX('Saisie'!$AB$5:$AB$2004,_xlfn.MAXIFS('Saisie'!$AS$5:$AS$2004,'Saisie'!$C$5:$C$2004,C24,'Saisie'!$AB$5:$AB$2004,"&lt;&gt;")-4),""))</f>
        <v/>
      </c>
      <c r="Z24" s="60">
        <f>IF(C24="","",IFERROR(INDEX('Saisie'!$AC$5:$AC$2004,_xlfn.MAXIFS('Saisie'!$AS$5:$AS$2004,'Saisie'!$C$5:$C$2004,C24,'Saisie'!$AC$5:$AC$2004,"&lt;&gt;")-4),""))</f>
        <v/>
      </c>
      <c r="AA24" s="106">
        <f>IF(C24="","",IFERROR(INDEX('Saisie'!$AD$5:$AD$2004,_xlfn.MAXIFS('Saisie'!$AS$5:$AS$2004,'Saisie'!$C$5:$C$2004,C24,'Saisie'!$AD$5:$AD$2004,"&lt;&gt;")-4),""))</f>
        <v/>
      </c>
      <c r="AB24" s="60">
        <f>IF(C24="","",IFERROR(INDEX('Saisie'!$AE$5:$AE$2004,_xlfn.MAXIFS('Saisie'!$AS$5:$AS$2004,'Saisie'!$C$5:$C$2004,C24,'Saisie'!$AE$5:$AE$2004,"&lt;&gt;")-4),""))</f>
        <v/>
      </c>
      <c r="AC24" s="60">
        <f>IF(C24="","",IFERROR(INDEX('Saisie'!$AF$5:$AF$2004,_xlfn.MAXIFS('Saisie'!$AS$5:$AS$2004,'Saisie'!$C$5:$C$2004,C24,'Saisie'!$AF$5:$AF$2004,"&lt;&gt;")-4),""))</f>
        <v/>
      </c>
      <c r="AD24" s="108">
        <f>IF(C24="","",IFERROR(INDEX('Saisie'!$AG$5:$AG$2004,_xlfn.MAXIFS('Saisie'!$AS$5:$AS$2004,'Saisie'!$C$5:$C$2004,C24,'Saisie'!$AG$5:$AG$2004,"&lt;&gt;")-4),""))</f>
        <v/>
      </c>
      <c r="AE24" s="60">
        <f>IF(C24="","",IFERROR(INDEX('Saisie'!$AH$5:$AH$2004,_xlfn.MAXIFS('Saisie'!$AS$5:$AS$2004,'Saisie'!$C$5:$C$2004,C24,'Saisie'!$AH$5:$AH$2004,"&lt;&gt;")-4),""))</f>
        <v/>
      </c>
      <c r="AF24" s="60">
        <f>IF(C24="","",IFERROR(INDEX('Saisie'!$AI$5:$AI$2004,_xlfn.MAXIFS('Saisie'!$AS$5:$AS$2004,'Saisie'!$C$5:$C$2004,C24,'Saisie'!$AI$5:$AI$2004,"&lt;&gt;")-4),""))</f>
        <v/>
      </c>
      <c r="AG24" s="60">
        <f>IF(C24="","",IFERROR(INDEX('Saisie'!$AJ$5:$AJ$2004,_xlfn.MAXIFS('Saisie'!$AS$5:$AS$2004,'Saisie'!$C$5:$C$2004,C24,'Saisie'!$AJ$5:$AJ$2004,"&lt;&gt;")-4),""))</f>
        <v/>
      </c>
      <c r="AH24" s="60">
        <f>IF(C24="","",IFERROR(INDEX('Saisie'!$AK$5:$AK$2004,_xlfn.MAXIFS('Saisie'!$AS$5:$AS$2004,'Saisie'!$C$5:$C$2004,C24,'Saisie'!$AK$5:$AK$2004,"&lt;&gt;")-4),""))</f>
        <v/>
      </c>
      <c r="AI24" s="60">
        <f>IF(C24="","",IFERROR(INDEX('Saisie'!$AN$5:$AN$2004,_xlfn.MAXIFS('Saisie'!$AS$5:$AS$2004,'Saisie'!$C$5:$C$2004,C24,'Saisie'!$AN$5:$AN$2004,"&lt;&gt;")-4),""))</f>
        <v/>
      </c>
      <c r="AJ24" s="60">
        <f>IF(C24="","",IFERROR(INDEX('Saisie'!$AO$5:$AO$2004,_xlfn.MAXIFS('Saisie'!$AS$5:$AS$2004,'Saisie'!$C$5:$C$2004,C24,'Saisie'!$AO$5:$AO$2004,"&lt;&gt;")-4),""))</f>
        <v/>
      </c>
      <c r="AK24" s="60">
        <f>IF(C24="","",IFERROR(INDEX('Saisie'!$AP$5:$AP$2004,_xlfn.MAXIFS('Saisie'!$AS$5:$AS$2004,'Saisie'!$C$5:$C$2004,C24,'Saisie'!$AP$5:$AP$2004,"&lt;&gt;")-4),""))</f>
        <v/>
      </c>
      <c r="AL24" s="60">
        <f>IF(C24="","",IFERROR(INDEX('Saisie'!$AQ$5:$AQ$2004,_xlfn.MAXIFS('Saisie'!$AS$5:$AS$2004,'Saisie'!$C$5:$C$2004,C24,'Saisie'!$AQ$5:$AQ$2004,"&lt;&gt;")-4),""))</f>
        <v/>
      </c>
      <c r="AM24" s="60">
        <f>IF(C24="","",((AI24="Oui")+(AJ24="Oui")+(AK24="Oui")+OR(AL24="Immédiat",AL24="&lt; 1 mois"))&amp;"/4")</f>
        <v/>
      </c>
      <c r="AN24" s="60">
        <f>IF(C24="","",IFERROR(INDEX('Saisie'!$AL$5:$AL$2004,_xlfn.MAXIFS('Saisie'!$AS$5:$AS$2004,'Saisie'!$C$5:$C$2004,C24,'Saisie'!$AL$5:$AL$2004,"&lt;&gt;")-4),""))</f>
        <v/>
      </c>
      <c r="AO24" s="62">
        <f>IF(C24="","",IF(IFERROR(INDEX('Saisie'!$AM$5:$AM$2004,_xlfn.MAXIFS('Saisie'!$AS$5:$AS$2004,'Saisie'!$C$5:$C$2004,C24,'Saisie'!$AM$5:$AM$2004,"&lt;&gt;")-4),"")&lt;&gt;"",IFERROR(INDEX('Saisie'!$AM$5:$AM$2004,_xlfn.MAXIFS('Saisie'!$AS$5:$AS$2004,'Saisie'!$C$5:$C$2004,C24,'Saisie'!$AM$5:$AM$2004,"&lt;&gt;")-4),""),IFERROR(INDEX('Paramètres'!$S$6:$S$15,MATCH(AN24,'Paramètres'!$Q$6:$Q$15,0)),"")))</f>
        <v/>
      </c>
      <c r="AP24" s="62">
        <f>IF(C24="","",IFERROR(INDEX('Saisie'!$AW$5:$AW$2004,_xlfn.MAXIFS('Saisie'!$AS$5:$AS$2004,'Saisie'!$C$5:$C$2004,C24,'Saisie'!$E$5:$E$2004,"Proposition envoyée")-4),""))</f>
        <v/>
      </c>
      <c r="AQ24" s="106">
        <f>IF(C24="","",IFERROR(1/(1/_xlfn.MAXIFS('Saisie'!$A$5:$A$2004,'Saisie'!$C$5:$C$2004,C24,'Saisie'!$E$5:$E$2004,"Proposition envoyée")),""))</f>
        <v/>
      </c>
      <c r="AR24" s="106">
        <f>IF(C24="","",IF(AQ24="","",AQ24+'Paramètres'!$B$26))</f>
        <v/>
      </c>
      <c r="AS24" s="62">
        <f>IF(OR(C24="",D24="Gagné",D24="Perdu"),0,N(AP24)*IFERROR(INDEX('Paramètres'!$G$6:$G$13,MATCH(D24,'Paramètres'!$F$6:$F$13,0)),0))</f>
        <v/>
      </c>
      <c r="AT24" s="106">
        <f>IF(C24="","",IFERROR(1/(1/_xlfn.MINIFS('Saisie'!$A$5:$A$2004,'Saisie'!$C$5:$C$2004,C24,'Saisie'!$E$5:$E$2004,"Signature")),""))</f>
        <v/>
      </c>
      <c r="AU24" s="60">
        <f>IF(C24="","",IF(OR(AT24="",B24=""),"",AT24-B24))</f>
        <v/>
      </c>
      <c r="AV24" s="60">
        <f>IF(C24="","",IFERROR(INDEX('Saisie'!$L$5:$L$2004,_xlfn.MAXIFS('Saisie'!$AS$5:$AS$2004,'Saisie'!$C$5:$C$2004,C24,'Saisie'!$L$5:$L$2004,"&lt;&gt;")-4),""))</f>
        <v/>
      </c>
      <c r="AW24" s="106">
        <f>IF(C24="","",IF(D24&lt;&gt;"Perdu","",IFERROR(1/(1/_xlfn.MAXIFS('Saisie'!$A$5:$A$2004,'Saisie'!$C$5:$C$2004,C24,'Saisie'!$E$5:$E$2004,"Perdu")),"")))</f>
        <v/>
      </c>
      <c r="AX24" s="106">
        <f>IF(C24="","",IF(AW24="","",AW24+'Paramètres'!$B$28))</f>
        <v/>
      </c>
      <c r="AY24" s="60">
        <f>IF(C24="","",SUMIFS('Saisie'!$H$5:$H$2004,'Saisie'!$C$5:$C$2004,C24))</f>
        <v/>
      </c>
      <c r="AZ24" s="60">
        <f>IF(C24="","",IFERROR(INDEX('Paramètres'!$W$6:$W$20,MATCH(S24,'Paramètres'!$V$6:$V$20,0))&amp;"",""))</f>
        <v/>
      </c>
      <c r="BA24" s="60">
        <f>IF(C24="","",MAX(1,_xlfn.MAXIFS('Saisie'!$AT$5:$AT$2004,'Saisie'!$C$5:$C$2004,C24)))</f>
        <v/>
      </c>
      <c r="BB24" s="60">
        <f>IF(C24="","",IFERROR(INDEX('Saisie'!$X$5:$X$2004,_xlfn.MAXIFS('Saisie'!$AS$5:$AS$2004,'Saisie'!$C$5:$C$2004,C24,'Saisie'!$X$5:$X$2004,"&lt;&gt;")-4),""))</f>
        <v/>
      </c>
      <c r="BC24" s="60">
        <f>IF(C24="","",IFERROR(INDEX('Saisie'!$Y$5:$Y$2004,_xlfn.MAXIFS('Saisie'!$AS$5:$AS$2004,'Saisie'!$C$5:$C$2004,C24,'Saisie'!$Y$5:$Y$2004,"&lt;&gt;")-4),""))</f>
        <v/>
      </c>
      <c r="BD24" s="106">
        <f>IF(C24="","",IFERROR(1/(1/_xlfn.MINIFS('Saisie'!$A$5:$A$2004,'Saisie'!$C$5:$C$2004,C24,'Saisie'!$AT$5:$AT$2004,"&gt;=2")),""))</f>
        <v/>
      </c>
      <c r="BE24" s="106">
        <f>IF(C24="","",IFERROR(1/(1/_xlfn.MINIFS('Saisie'!$A$5:$A$2004,'Saisie'!$C$5:$C$2004,C24,'Saisie'!$AT$5:$AT$2004,"&gt;=3")),""))</f>
        <v/>
      </c>
      <c r="BF24" s="106">
        <f>IF(C24="","",IFERROR(1/(1/_xlfn.MINIFS('Saisie'!$A$5:$A$2004,'Saisie'!$C$5:$C$2004,C24,'Saisie'!$AT$5:$AT$2004,"&gt;=4")),""))</f>
        <v/>
      </c>
      <c r="BG24" s="106">
        <f>IF(C24="","",IFERROR(1/(1/_xlfn.MINIFS('Saisie'!$A$5:$A$2004,'Saisie'!$C$5:$C$2004,C24,'Saisie'!$AT$5:$AT$2004,"&gt;=5")),""))</f>
        <v/>
      </c>
      <c r="BH24" s="106">
        <f>IF(C24="","",IFERROR(1/(1/_xlfn.MINIFS('Saisie'!$A$5:$A$2004,'Saisie'!$C$5:$C$2004,C24,'Saisie'!$AT$5:$AT$2004,"&gt;=6")),""))</f>
        <v/>
      </c>
      <c r="BI24" s="106">
        <f>IF(C24="","",IFERROR(1/(1/_xlfn.MINIFS('Saisie'!$A$5:$A$2004,'Saisie'!$C$5:$C$2004,C24,'Saisie'!$AT$5:$AT$2004,"&gt;=7")),""))</f>
        <v/>
      </c>
      <c r="BJ24" s="60">
        <f>IF(OR(BD24="",B24=""),"",BD24-B24)</f>
        <v/>
      </c>
      <c r="BK24" s="60">
        <f>IF(OR(BE24="",BD24=""),"",BE24-BD24)</f>
        <v/>
      </c>
      <c r="BL24" s="60">
        <f>IF(OR(BF24="",BE24=""),"",BF24-BE24)</f>
        <v/>
      </c>
      <c r="BM24" s="60">
        <f>IF(OR(BG24="",BF24=""),"",BG24-BF24)</f>
        <v/>
      </c>
      <c r="BN24" s="60">
        <f>IF(OR(BH24="",BG24=""),"",BH24-BG24)</f>
        <v/>
      </c>
      <c r="BO24" s="60">
        <f>IF(OR(BI24="",BH24=""),"",BI24-BH24)</f>
        <v/>
      </c>
      <c r="BP24" s="60">
        <f>IF(C24="","",_xlfn.MAXIFS('Saisie'!$AS$5:$AS$2004,'Saisie'!$C$5:$C$2004,C24,'Saisie'!$J$5:$J$2004,"&lt;&gt;"))</f>
        <v/>
      </c>
      <c r="BQ24" s="60">
        <f>IF(C24="","",_xlfn.MAXIFS('Saisie'!$AS$5:$AS$2004,'Saisie'!$C$5:$C$2004,C24))</f>
        <v/>
      </c>
      <c r="BR24" s="60">
        <f>IF(C24="","",_xlfn.MAXIFS('Saisie'!$AS$5:$AS$2004,'Saisie'!$C$5:$C$2004,C24,'Saisie'!$E$5:$E$2004,"Perdu"))</f>
        <v/>
      </c>
      <c r="BS24" s="60">
        <f>IF(C24="","",_xlfn.MAXIFS('Saisie'!$AS$5:$AS$2004,'Saisie'!$C$5:$C$2004,C24,'Saisie'!$AT$5:$AT$2004,"&gt;0"))</f>
        <v/>
      </c>
      <c r="BT24" s="109">
        <f>IF(AND(C24&lt;&gt;"",OR(D24="Nouveau",D24="Contacté",D24="Qualifié"),OR(G24="",N(G24)&lt;=TODAY()),NOT(AND(O24&gt;='Paramètres'!$B$21,P24=0))),E24+20/10000,"")</f>
        <v/>
      </c>
      <c r="BU24" s="60">
        <f>IF(AND(G24&lt;&gt;"",N(G24)&lt;=TODAY()),MAX($BU$4:BU23)+1,"")</f>
        <v/>
      </c>
      <c r="BV24" s="60">
        <f>IF(AND(F24&lt;&gt;"",F24&lt;&gt;"Relance en retard"),MAX($BV$4:BV23)+1,"")</f>
        <v/>
      </c>
      <c r="BW24" s="60">
        <f>IF(C24="","",IF(AND(B24&gt;='Tableau de bord'!$R$4,B24&lt;='Tableau de bord'!$S$4,OR('Tableau de bord'!$G$4="Tous",N24='Tableau de bord'!$G$4)),1,0))</f>
        <v/>
      </c>
      <c r="BX24" s="60">
        <f>IF(AND(C24&lt;&gt;"",N(BA24)=7),MAX($BX$4:BX23)+1,"")</f>
        <v/>
      </c>
    </row>
    <row r="25">
      <c r="A25" s="60">
        <f>IF(C25="","","P-"&amp;TEXT(21,"000"))</f>
        <v/>
      </c>
      <c r="B25" s="106">
        <f>IF(C25="","",IFERROR(1/(1/_xlfn.MINIFS('Saisie'!$A$5:$A$2004,'Saisie'!$C$5:$C$2004,C25)),""))</f>
        <v/>
      </c>
      <c r="C25" s="60">
        <f>IFERROR(INDEX('Saisie'!$C$5:$C$2004,MATCH(21,'Saisie'!$AX$5:$AX$2004,0)),"")</f>
        <v/>
      </c>
      <c r="D25" s="60">
        <f>IF(C25="","",IF(AND(BR25&gt;0,BR25&gt;BS25,BA25&lt;7),"Perdu",INDEX('Paramètres'!$F$6:$F$13,BA25)))</f>
        <v/>
      </c>
      <c r="E25" s="61">
        <f>IF(C25="","",MIN(100,(Z25="Oui")*'Paramètres'!$B$38+(AB25="Régulière")*'Paramètres'!$B$39+IF(AND(N(AA25)&gt;0,TODAY()-N(AA25)&lt;=30),'Paramètres'!$B$40,0)+(W25="")*'Paramètres'!$B$41+(AC25="Absente")*'Paramètres'!$B$42+(AC25="Faible")*'Paramètres'!$B$43+IF(AND(N(AD25)&gt;0,N(AD25)&lt;4),'Paramètres'!$B$44,0)+(AF25="Moyenne")*'Paramètres'!$B$45+(AF25="Grande")*'Paramètres'!$B$46+(Y25&lt;&gt;"")*'Paramètres'!$B$47))</f>
        <v/>
      </c>
      <c r="F25" s="60">
        <f>IF(C25="","",IF(D25="Gagné","",IF(D25="Perdu",IF(AND(AX25&lt;&gt;"",AX25&lt;=TODAY()),"À recontacter (perdu)",""),IF(AND(O25&gt;='Paramètres'!$B$21,P25=0),"Stop : "&amp;'Paramètres'!$B$21&amp;" tentatives sans réponse",IF(AND(D25="Proposition",AR25&lt;&gt;"",TODAY()&gt;N(AR25)),"Proposition expirée",IF(AND(D25="Proposition",N(R25)&gt;='Paramètres'!$B$25),"Proposition sans réponse",IF(AND(G25&lt;&gt;"",N(G25)&lt;TODAY()),"Relance en retard",IF(N(R25)&gt;='Paramètres'!$B$24,"Sans action depuis "&amp;R25&amp;" j",""))))))))</f>
        <v/>
      </c>
      <c r="G25" s="106">
        <f>IF(OR(C25="",D25="Gagné",D25="Perdu"),"",IF(AND(BP25&gt;0,BP25=BQ25),INDEX('Saisie'!$J$5:$J$2004,BP25-4),IF(OR(O25=0,AND(O25&gt;='Paramètres'!$B$21,P25=0)),"",Q25+IF(O25&lt;=1,'Paramètres'!$B$18,IF(O25=2,'Paramètres'!$B$19,'Paramètres'!$B$20)))))</f>
        <v/>
      </c>
      <c r="H25" s="107">
        <f>IF(OR(G25="",BP25&lt;&gt;BQ25),"",IF(INDEX('Saisie'!$K$5:$K$2004,BP25-4)="","",INDEX('Saisie'!$K$5:$K$2004,BP25-4)))</f>
        <v/>
      </c>
      <c r="I25" s="60">
        <f>IF(C25="","",IF(OR(D25="Gagné",D25="Perdu"),"",IFERROR(INDEX('Saisie'!$I$5:$I$2004,_xlfn.MAXIFS('Saisie'!$AS$5:$AS$2004,'Saisie'!$C$5:$C$2004,C25,'Saisie'!$I$5:$I$2004,"&lt;&gt;")-4),"")))</f>
        <v/>
      </c>
      <c r="J25" s="60">
        <f>IF(C25="","",IFERROR(INDEX('Saisie'!$U$5:$U$2004,_xlfn.MAXIFS('Saisie'!$AS$5:$AS$2004,'Saisie'!$C$5:$C$2004,C25,'Saisie'!$U$5:$U$2004,"&lt;&gt;")-4),""))</f>
        <v/>
      </c>
      <c r="K25" s="60">
        <f>IF(C25="","",IFERROR(INDEX('Saisie'!$W$5:$W$2004,_xlfn.MAXIFS('Saisie'!$AS$5:$AS$2004,'Saisie'!$C$5:$C$2004,C25,'Saisie'!$W$5:$W$2004,"&lt;&gt;")-4),""))</f>
        <v/>
      </c>
      <c r="L25" s="60">
        <f>IF(IF(BB25&lt;&gt;"",BB25,K25)="","",HYPERLINK("https://wa.me/"&amp;IF(LEFT(SUBSTITUTE(SUBSTITUTE(SUBSTITUTE(IF(BB25&lt;&gt;"",BB25,K25)," ",""),".",""),"+",""),1)="0",'Paramètres'!$B$35&amp;MID(SUBSTITUTE(SUBSTITUTE(SUBSTITUTE(IF(BB25&lt;&gt;"",BB25,K25)," ",""),".",""),"+",""),2,20),SUBSTITUTE(SUBSTITUTE(SUBSTITUTE(IF(BB25&lt;&gt;"",BB25,K25)," ",""),".",""),"+","")),"WhatsApp"))</f>
        <v/>
      </c>
      <c r="M25" s="60">
        <f>IF(BC25="","",HYPERLINK(IF(LEFT(BC25,4)="http",BC25,"https://www.instagram.com/"&amp;SUBSTITUTE(SUBSTITUTE(BC25,"@","")," ","")),BC25))</f>
        <v/>
      </c>
      <c r="N25" s="60">
        <f>IF(C25="","",IFERROR(INDEX('Saisie'!$D$5:$D$2004,_xlfn.MINIFS('Saisie'!$AS$5:$AS$2004,'Saisie'!$C$5:$C$2004,C25,'Saisie'!$AU$5:$AU$2004,1)-4),IFERROR(INDEX('Saisie'!$D$5:$D$2004,_xlfn.MINIFS('Saisie'!$AS$5:$AS$2004,'Saisie'!$C$5:$C$2004,C25,'Saisie'!$D$5:$D$2004,"&lt;&gt;")-4),"")))</f>
        <v/>
      </c>
      <c r="O25" s="60">
        <f>IF(C25="","",COUNTIFS('Saisie'!$C$5:$C$2004,C25,'Saisie'!$AU$5:$AU$2004,1))</f>
        <v/>
      </c>
      <c r="P25" s="60">
        <f>IF(C25="","",COUNTIFS('Saisie'!$C$5:$C$2004,C25,'Saisie'!$AV$5:$AV$2004,1))</f>
        <v/>
      </c>
      <c r="Q25" s="106">
        <f>IF(C25="","",IFERROR(1/(1/_xlfn.MAXIFS('Saisie'!$A$5:$A$2004,'Saisie'!$C$5:$C$2004,C25)),""))</f>
        <v/>
      </c>
      <c r="R25" s="61">
        <f>IF(C25="","",IF(Q25="","",TODAY()-Q25))</f>
        <v/>
      </c>
      <c r="S25" s="60">
        <f>IF(C25="","",IFERROR(INDEX('Saisie'!$R$5:$R$2004,_xlfn.MAXIFS('Saisie'!$AS$5:$AS$2004,'Saisie'!$C$5:$C$2004,C25,'Saisie'!$R$5:$R$2004,"&lt;&gt;")-4),""))</f>
        <v/>
      </c>
      <c r="T25" s="60">
        <f>IF(C25="","",IFERROR(INDEX('Saisie'!$S$5:$S$2004,_xlfn.MAXIFS('Saisie'!$AS$5:$AS$2004,'Saisie'!$C$5:$C$2004,C25,'Saisie'!$S$5:$S$2004,"&lt;&gt;")-4),""))</f>
        <v/>
      </c>
      <c r="U25" s="60">
        <f>IF(C25="","",IFERROR(INDEX('Saisie'!$T$5:$T$2004,_xlfn.MAXIFS('Saisie'!$AS$5:$AS$2004,'Saisie'!$C$5:$C$2004,C25,'Saisie'!$T$5:$T$2004,"&lt;&gt;")-4),""))</f>
        <v/>
      </c>
      <c r="V25" s="60">
        <f>IF(C25="","",IFERROR(INDEX('Saisie'!$V$5:$V$2004,_xlfn.MAXIFS('Saisie'!$AS$5:$AS$2004,'Saisie'!$C$5:$C$2004,C25,'Saisie'!$V$5:$V$2004,"&lt;&gt;")-4),""))</f>
        <v/>
      </c>
      <c r="W25" s="60">
        <f>IF(C25="","",IFERROR(INDEX('Saisie'!$Z$5:$Z$2004,_xlfn.MAXIFS('Saisie'!$AS$5:$AS$2004,'Saisie'!$C$5:$C$2004,C25,'Saisie'!$Z$5:$Z$2004,"&lt;&gt;")-4),""))</f>
        <v/>
      </c>
      <c r="X25" s="60">
        <f>IF(C25="","",IFERROR(INDEX('Saisie'!$AA$5:$AA$2004,_xlfn.MAXIFS('Saisie'!$AS$5:$AS$2004,'Saisie'!$C$5:$C$2004,C25,'Saisie'!$AA$5:$AA$2004,"&lt;&gt;")-4),""))</f>
        <v/>
      </c>
      <c r="Y25" s="60">
        <f>IF(C25="","",IFERROR(INDEX('Saisie'!$AB$5:$AB$2004,_xlfn.MAXIFS('Saisie'!$AS$5:$AS$2004,'Saisie'!$C$5:$C$2004,C25,'Saisie'!$AB$5:$AB$2004,"&lt;&gt;")-4),""))</f>
        <v/>
      </c>
      <c r="Z25" s="60">
        <f>IF(C25="","",IFERROR(INDEX('Saisie'!$AC$5:$AC$2004,_xlfn.MAXIFS('Saisie'!$AS$5:$AS$2004,'Saisie'!$C$5:$C$2004,C25,'Saisie'!$AC$5:$AC$2004,"&lt;&gt;")-4),""))</f>
        <v/>
      </c>
      <c r="AA25" s="106">
        <f>IF(C25="","",IFERROR(INDEX('Saisie'!$AD$5:$AD$2004,_xlfn.MAXIFS('Saisie'!$AS$5:$AS$2004,'Saisie'!$C$5:$C$2004,C25,'Saisie'!$AD$5:$AD$2004,"&lt;&gt;")-4),""))</f>
        <v/>
      </c>
      <c r="AB25" s="60">
        <f>IF(C25="","",IFERROR(INDEX('Saisie'!$AE$5:$AE$2004,_xlfn.MAXIFS('Saisie'!$AS$5:$AS$2004,'Saisie'!$C$5:$C$2004,C25,'Saisie'!$AE$5:$AE$2004,"&lt;&gt;")-4),""))</f>
        <v/>
      </c>
      <c r="AC25" s="60">
        <f>IF(C25="","",IFERROR(INDEX('Saisie'!$AF$5:$AF$2004,_xlfn.MAXIFS('Saisie'!$AS$5:$AS$2004,'Saisie'!$C$5:$C$2004,C25,'Saisie'!$AF$5:$AF$2004,"&lt;&gt;")-4),""))</f>
        <v/>
      </c>
      <c r="AD25" s="108">
        <f>IF(C25="","",IFERROR(INDEX('Saisie'!$AG$5:$AG$2004,_xlfn.MAXIFS('Saisie'!$AS$5:$AS$2004,'Saisie'!$C$5:$C$2004,C25,'Saisie'!$AG$5:$AG$2004,"&lt;&gt;")-4),""))</f>
        <v/>
      </c>
      <c r="AE25" s="60">
        <f>IF(C25="","",IFERROR(INDEX('Saisie'!$AH$5:$AH$2004,_xlfn.MAXIFS('Saisie'!$AS$5:$AS$2004,'Saisie'!$C$5:$C$2004,C25,'Saisie'!$AH$5:$AH$2004,"&lt;&gt;")-4),""))</f>
        <v/>
      </c>
      <c r="AF25" s="60">
        <f>IF(C25="","",IFERROR(INDEX('Saisie'!$AI$5:$AI$2004,_xlfn.MAXIFS('Saisie'!$AS$5:$AS$2004,'Saisie'!$C$5:$C$2004,C25,'Saisie'!$AI$5:$AI$2004,"&lt;&gt;")-4),""))</f>
        <v/>
      </c>
      <c r="AG25" s="60">
        <f>IF(C25="","",IFERROR(INDEX('Saisie'!$AJ$5:$AJ$2004,_xlfn.MAXIFS('Saisie'!$AS$5:$AS$2004,'Saisie'!$C$5:$C$2004,C25,'Saisie'!$AJ$5:$AJ$2004,"&lt;&gt;")-4),""))</f>
        <v/>
      </c>
      <c r="AH25" s="60">
        <f>IF(C25="","",IFERROR(INDEX('Saisie'!$AK$5:$AK$2004,_xlfn.MAXIFS('Saisie'!$AS$5:$AS$2004,'Saisie'!$C$5:$C$2004,C25,'Saisie'!$AK$5:$AK$2004,"&lt;&gt;")-4),""))</f>
        <v/>
      </c>
      <c r="AI25" s="60">
        <f>IF(C25="","",IFERROR(INDEX('Saisie'!$AN$5:$AN$2004,_xlfn.MAXIFS('Saisie'!$AS$5:$AS$2004,'Saisie'!$C$5:$C$2004,C25,'Saisie'!$AN$5:$AN$2004,"&lt;&gt;")-4),""))</f>
        <v/>
      </c>
      <c r="AJ25" s="60">
        <f>IF(C25="","",IFERROR(INDEX('Saisie'!$AO$5:$AO$2004,_xlfn.MAXIFS('Saisie'!$AS$5:$AS$2004,'Saisie'!$C$5:$C$2004,C25,'Saisie'!$AO$5:$AO$2004,"&lt;&gt;")-4),""))</f>
        <v/>
      </c>
      <c r="AK25" s="60">
        <f>IF(C25="","",IFERROR(INDEX('Saisie'!$AP$5:$AP$2004,_xlfn.MAXIFS('Saisie'!$AS$5:$AS$2004,'Saisie'!$C$5:$C$2004,C25,'Saisie'!$AP$5:$AP$2004,"&lt;&gt;")-4),""))</f>
        <v/>
      </c>
      <c r="AL25" s="60">
        <f>IF(C25="","",IFERROR(INDEX('Saisie'!$AQ$5:$AQ$2004,_xlfn.MAXIFS('Saisie'!$AS$5:$AS$2004,'Saisie'!$C$5:$C$2004,C25,'Saisie'!$AQ$5:$AQ$2004,"&lt;&gt;")-4),""))</f>
        <v/>
      </c>
      <c r="AM25" s="60">
        <f>IF(C25="","",((AI25="Oui")+(AJ25="Oui")+(AK25="Oui")+OR(AL25="Immédiat",AL25="&lt; 1 mois"))&amp;"/4")</f>
        <v/>
      </c>
      <c r="AN25" s="60">
        <f>IF(C25="","",IFERROR(INDEX('Saisie'!$AL$5:$AL$2004,_xlfn.MAXIFS('Saisie'!$AS$5:$AS$2004,'Saisie'!$C$5:$C$2004,C25,'Saisie'!$AL$5:$AL$2004,"&lt;&gt;")-4),""))</f>
        <v/>
      </c>
      <c r="AO25" s="62">
        <f>IF(C25="","",IF(IFERROR(INDEX('Saisie'!$AM$5:$AM$2004,_xlfn.MAXIFS('Saisie'!$AS$5:$AS$2004,'Saisie'!$C$5:$C$2004,C25,'Saisie'!$AM$5:$AM$2004,"&lt;&gt;")-4),"")&lt;&gt;"",IFERROR(INDEX('Saisie'!$AM$5:$AM$2004,_xlfn.MAXIFS('Saisie'!$AS$5:$AS$2004,'Saisie'!$C$5:$C$2004,C25,'Saisie'!$AM$5:$AM$2004,"&lt;&gt;")-4),""),IFERROR(INDEX('Paramètres'!$S$6:$S$15,MATCH(AN25,'Paramètres'!$Q$6:$Q$15,0)),"")))</f>
        <v/>
      </c>
      <c r="AP25" s="62">
        <f>IF(C25="","",IFERROR(INDEX('Saisie'!$AW$5:$AW$2004,_xlfn.MAXIFS('Saisie'!$AS$5:$AS$2004,'Saisie'!$C$5:$C$2004,C25,'Saisie'!$E$5:$E$2004,"Proposition envoyée")-4),""))</f>
        <v/>
      </c>
      <c r="AQ25" s="106">
        <f>IF(C25="","",IFERROR(1/(1/_xlfn.MAXIFS('Saisie'!$A$5:$A$2004,'Saisie'!$C$5:$C$2004,C25,'Saisie'!$E$5:$E$2004,"Proposition envoyée")),""))</f>
        <v/>
      </c>
      <c r="AR25" s="106">
        <f>IF(C25="","",IF(AQ25="","",AQ25+'Paramètres'!$B$26))</f>
        <v/>
      </c>
      <c r="AS25" s="62">
        <f>IF(OR(C25="",D25="Gagné",D25="Perdu"),0,N(AP25)*IFERROR(INDEX('Paramètres'!$G$6:$G$13,MATCH(D25,'Paramètres'!$F$6:$F$13,0)),0))</f>
        <v/>
      </c>
      <c r="AT25" s="106">
        <f>IF(C25="","",IFERROR(1/(1/_xlfn.MINIFS('Saisie'!$A$5:$A$2004,'Saisie'!$C$5:$C$2004,C25,'Saisie'!$E$5:$E$2004,"Signature")),""))</f>
        <v/>
      </c>
      <c r="AU25" s="60">
        <f>IF(C25="","",IF(OR(AT25="",B25=""),"",AT25-B25))</f>
        <v/>
      </c>
      <c r="AV25" s="60">
        <f>IF(C25="","",IFERROR(INDEX('Saisie'!$L$5:$L$2004,_xlfn.MAXIFS('Saisie'!$AS$5:$AS$2004,'Saisie'!$C$5:$C$2004,C25,'Saisie'!$L$5:$L$2004,"&lt;&gt;")-4),""))</f>
        <v/>
      </c>
      <c r="AW25" s="106">
        <f>IF(C25="","",IF(D25&lt;&gt;"Perdu","",IFERROR(1/(1/_xlfn.MAXIFS('Saisie'!$A$5:$A$2004,'Saisie'!$C$5:$C$2004,C25,'Saisie'!$E$5:$E$2004,"Perdu")),"")))</f>
        <v/>
      </c>
      <c r="AX25" s="106">
        <f>IF(C25="","",IF(AW25="","",AW25+'Paramètres'!$B$28))</f>
        <v/>
      </c>
      <c r="AY25" s="60">
        <f>IF(C25="","",SUMIFS('Saisie'!$H$5:$H$2004,'Saisie'!$C$5:$C$2004,C25))</f>
        <v/>
      </c>
      <c r="AZ25" s="60">
        <f>IF(C25="","",IFERROR(INDEX('Paramètres'!$W$6:$W$20,MATCH(S25,'Paramètres'!$V$6:$V$20,0))&amp;"",""))</f>
        <v/>
      </c>
      <c r="BA25" s="60">
        <f>IF(C25="","",MAX(1,_xlfn.MAXIFS('Saisie'!$AT$5:$AT$2004,'Saisie'!$C$5:$C$2004,C25)))</f>
        <v/>
      </c>
      <c r="BB25" s="60">
        <f>IF(C25="","",IFERROR(INDEX('Saisie'!$X$5:$X$2004,_xlfn.MAXIFS('Saisie'!$AS$5:$AS$2004,'Saisie'!$C$5:$C$2004,C25,'Saisie'!$X$5:$X$2004,"&lt;&gt;")-4),""))</f>
        <v/>
      </c>
      <c r="BC25" s="60">
        <f>IF(C25="","",IFERROR(INDEX('Saisie'!$Y$5:$Y$2004,_xlfn.MAXIFS('Saisie'!$AS$5:$AS$2004,'Saisie'!$C$5:$C$2004,C25,'Saisie'!$Y$5:$Y$2004,"&lt;&gt;")-4),""))</f>
        <v/>
      </c>
      <c r="BD25" s="106">
        <f>IF(C25="","",IFERROR(1/(1/_xlfn.MINIFS('Saisie'!$A$5:$A$2004,'Saisie'!$C$5:$C$2004,C25,'Saisie'!$AT$5:$AT$2004,"&gt;=2")),""))</f>
        <v/>
      </c>
      <c r="BE25" s="106">
        <f>IF(C25="","",IFERROR(1/(1/_xlfn.MINIFS('Saisie'!$A$5:$A$2004,'Saisie'!$C$5:$C$2004,C25,'Saisie'!$AT$5:$AT$2004,"&gt;=3")),""))</f>
        <v/>
      </c>
      <c r="BF25" s="106">
        <f>IF(C25="","",IFERROR(1/(1/_xlfn.MINIFS('Saisie'!$A$5:$A$2004,'Saisie'!$C$5:$C$2004,C25,'Saisie'!$AT$5:$AT$2004,"&gt;=4")),""))</f>
        <v/>
      </c>
      <c r="BG25" s="106">
        <f>IF(C25="","",IFERROR(1/(1/_xlfn.MINIFS('Saisie'!$A$5:$A$2004,'Saisie'!$C$5:$C$2004,C25,'Saisie'!$AT$5:$AT$2004,"&gt;=5")),""))</f>
        <v/>
      </c>
      <c r="BH25" s="106">
        <f>IF(C25="","",IFERROR(1/(1/_xlfn.MINIFS('Saisie'!$A$5:$A$2004,'Saisie'!$C$5:$C$2004,C25,'Saisie'!$AT$5:$AT$2004,"&gt;=6")),""))</f>
        <v/>
      </c>
      <c r="BI25" s="106">
        <f>IF(C25="","",IFERROR(1/(1/_xlfn.MINIFS('Saisie'!$A$5:$A$2004,'Saisie'!$C$5:$C$2004,C25,'Saisie'!$AT$5:$AT$2004,"&gt;=7")),""))</f>
        <v/>
      </c>
      <c r="BJ25" s="60">
        <f>IF(OR(BD25="",B25=""),"",BD25-B25)</f>
        <v/>
      </c>
      <c r="BK25" s="60">
        <f>IF(OR(BE25="",BD25=""),"",BE25-BD25)</f>
        <v/>
      </c>
      <c r="BL25" s="60">
        <f>IF(OR(BF25="",BE25=""),"",BF25-BE25)</f>
        <v/>
      </c>
      <c r="BM25" s="60">
        <f>IF(OR(BG25="",BF25=""),"",BG25-BF25)</f>
        <v/>
      </c>
      <c r="BN25" s="60">
        <f>IF(OR(BH25="",BG25=""),"",BH25-BG25)</f>
        <v/>
      </c>
      <c r="BO25" s="60">
        <f>IF(OR(BI25="",BH25=""),"",BI25-BH25)</f>
        <v/>
      </c>
      <c r="BP25" s="60">
        <f>IF(C25="","",_xlfn.MAXIFS('Saisie'!$AS$5:$AS$2004,'Saisie'!$C$5:$C$2004,C25,'Saisie'!$J$5:$J$2004,"&lt;&gt;"))</f>
        <v/>
      </c>
      <c r="BQ25" s="60">
        <f>IF(C25="","",_xlfn.MAXIFS('Saisie'!$AS$5:$AS$2004,'Saisie'!$C$5:$C$2004,C25))</f>
        <v/>
      </c>
      <c r="BR25" s="60">
        <f>IF(C25="","",_xlfn.MAXIFS('Saisie'!$AS$5:$AS$2004,'Saisie'!$C$5:$C$2004,C25,'Saisie'!$E$5:$E$2004,"Perdu"))</f>
        <v/>
      </c>
      <c r="BS25" s="60">
        <f>IF(C25="","",_xlfn.MAXIFS('Saisie'!$AS$5:$AS$2004,'Saisie'!$C$5:$C$2004,C25,'Saisie'!$AT$5:$AT$2004,"&gt;0"))</f>
        <v/>
      </c>
      <c r="BT25" s="109">
        <f>IF(AND(C25&lt;&gt;"",OR(D25="Nouveau",D25="Contacté",D25="Qualifié"),OR(G25="",N(G25)&lt;=TODAY()),NOT(AND(O25&gt;='Paramètres'!$B$21,P25=0))),E25+21/10000,"")</f>
        <v/>
      </c>
      <c r="BU25" s="60">
        <f>IF(AND(G25&lt;&gt;"",N(G25)&lt;=TODAY()),MAX($BU$4:BU24)+1,"")</f>
        <v/>
      </c>
      <c r="BV25" s="60">
        <f>IF(AND(F25&lt;&gt;"",F25&lt;&gt;"Relance en retard"),MAX($BV$4:BV24)+1,"")</f>
        <v/>
      </c>
      <c r="BW25" s="60">
        <f>IF(C25="","",IF(AND(B25&gt;='Tableau de bord'!$R$4,B25&lt;='Tableau de bord'!$S$4,OR('Tableau de bord'!$G$4="Tous",N25='Tableau de bord'!$G$4)),1,0))</f>
        <v/>
      </c>
      <c r="BX25" s="60">
        <f>IF(AND(C25&lt;&gt;"",N(BA25)=7),MAX($BX$4:BX24)+1,"")</f>
        <v/>
      </c>
    </row>
    <row r="26">
      <c r="A26" s="60">
        <f>IF(C26="","","P-"&amp;TEXT(22,"000"))</f>
        <v/>
      </c>
      <c r="B26" s="106">
        <f>IF(C26="","",IFERROR(1/(1/_xlfn.MINIFS('Saisie'!$A$5:$A$2004,'Saisie'!$C$5:$C$2004,C26)),""))</f>
        <v/>
      </c>
      <c r="C26" s="60">
        <f>IFERROR(INDEX('Saisie'!$C$5:$C$2004,MATCH(22,'Saisie'!$AX$5:$AX$2004,0)),"")</f>
        <v/>
      </c>
      <c r="D26" s="60">
        <f>IF(C26="","",IF(AND(BR26&gt;0,BR26&gt;BS26,BA26&lt;7),"Perdu",INDEX('Paramètres'!$F$6:$F$13,BA26)))</f>
        <v/>
      </c>
      <c r="E26" s="61">
        <f>IF(C26="","",MIN(100,(Z26="Oui")*'Paramètres'!$B$38+(AB26="Régulière")*'Paramètres'!$B$39+IF(AND(N(AA26)&gt;0,TODAY()-N(AA26)&lt;=30),'Paramètres'!$B$40,0)+(W26="")*'Paramètres'!$B$41+(AC26="Absente")*'Paramètres'!$B$42+(AC26="Faible")*'Paramètres'!$B$43+IF(AND(N(AD26)&gt;0,N(AD26)&lt;4),'Paramètres'!$B$44,0)+(AF26="Moyenne")*'Paramètres'!$B$45+(AF26="Grande")*'Paramètres'!$B$46+(Y26&lt;&gt;"")*'Paramètres'!$B$47))</f>
        <v/>
      </c>
      <c r="F26" s="60">
        <f>IF(C26="","",IF(D26="Gagné","",IF(D26="Perdu",IF(AND(AX26&lt;&gt;"",AX26&lt;=TODAY()),"À recontacter (perdu)",""),IF(AND(O26&gt;='Paramètres'!$B$21,P26=0),"Stop : "&amp;'Paramètres'!$B$21&amp;" tentatives sans réponse",IF(AND(D26="Proposition",AR26&lt;&gt;"",TODAY()&gt;N(AR26)),"Proposition expirée",IF(AND(D26="Proposition",N(R26)&gt;='Paramètres'!$B$25),"Proposition sans réponse",IF(AND(G26&lt;&gt;"",N(G26)&lt;TODAY()),"Relance en retard",IF(N(R26)&gt;='Paramètres'!$B$24,"Sans action depuis "&amp;R26&amp;" j",""))))))))</f>
        <v/>
      </c>
      <c r="G26" s="106">
        <f>IF(OR(C26="",D26="Gagné",D26="Perdu"),"",IF(AND(BP26&gt;0,BP26=BQ26),INDEX('Saisie'!$J$5:$J$2004,BP26-4),IF(OR(O26=0,AND(O26&gt;='Paramètres'!$B$21,P26=0)),"",Q26+IF(O26&lt;=1,'Paramètres'!$B$18,IF(O26=2,'Paramètres'!$B$19,'Paramètres'!$B$20)))))</f>
        <v/>
      </c>
      <c r="H26" s="107">
        <f>IF(OR(G26="",BP26&lt;&gt;BQ26),"",IF(INDEX('Saisie'!$K$5:$K$2004,BP26-4)="","",INDEX('Saisie'!$K$5:$K$2004,BP26-4)))</f>
        <v/>
      </c>
      <c r="I26" s="60">
        <f>IF(C26="","",IF(OR(D26="Gagné",D26="Perdu"),"",IFERROR(INDEX('Saisie'!$I$5:$I$2004,_xlfn.MAXIFS('Saisie'!$AS$5:$AS$2004,'Saisie'!$C$5:$C$2004,C26,'Saisie'!$I$5:$I$2004,"&lt;&gt;")-4),"")))</f>
        <v/>
      </c>
      <c r="J26" s="60">
        <f>IF(C26="","",IFERROR(INDEX('Saisie'!$U$5:$U$2004,_xlfn.MAXIFS('Saisie'!$AS$5:$AS$2004,'Saisie'!$C$5:$C$2004,C26,'Saisie'!$U$5:$U$2004,"&lt;&gt;")-4),""))</f>
        <v/>
      </c>
      <c r="K26" s="60">
        <f>IF(C26="","",IFERROR(INDEX('Saisie'!$W$5:$W$2004,_xlfn.MAXIFS('Saisie'!$AS$5:$AS$2004,'Saisie'!$C$5:$C$2004,C26,'Saisie'!$W$5:$W$2004,"&lt;&gt;")-4),""))</f>
        <v/>
      </c>
      <c r="L26" s="60">
        <f>IF(IF(BB26&lt;&gt;"",BB26,K26)="","",HYPERLINK("https://wa.me/"&amp;IF(LEFT(SUBSTITUTE(SUBSTITUTE(SUBSTITUTE(IF(BB26&lt;&gt;"",BB26,K26)," ",""),".",""),"+",""),1)="0",'Paramètres'!$B$35&amp;MID(SUBSTITUTE(SUBSTITUTE(SUBSTITUTE(IF(BB26&lt;&gt;"",BB26,K26)," ",""),".",""),"+",""),2,20),SUBSTITUTE(SUBSTITUTE(SUBSTITUTE(IF(BB26&lt;&gt;"",BB26,K26)," ",""),".",""),"+","")),"WhatsApp"))</f>
        <v/>
      </c>
      <c r="M26" s="60">
        <f>IF(BC26="","",HYPERLINK(IF(LEFT(BC26,4)="http",BC26,"https://www.instagram.com/"&amp;SUBSTITUTE(SUBSTITUTE(BC26,"@","")," ","")),BC26))</f>
        <v/>
      </c>
      <c r="N26" s="60">
        <f>IF(C26="","",IFERROR(INDEX('Saisie'!$D$5:$D$2004,_xlfn.MINIFS('Saisie'!$AS$5:$AS$2004,'Saisie'!$C$5:$C$2004,C26,'Saisie'!$AU$5:$AU$2004,1)-4),IFERROR(INDEX('Saisie'!$D$5:$D$2004,_xlfn.MINIFS('Saisie'!$AS$5:$AS$2004,'Saisie'!$C$5:$C$2004,C26,'Saisie'!$D$5:$D$2004,"&lt;&gt;")-4),"")))</f>
        <v/>
      </c>
      <c r="O26" s="60">
        <f>IF(C26="","",COUNTIFS('Saisie'!$C$5:$C$2004,C26,'Saisie'!$AU$5:$AU$2004,1))</f>
        <v/>
      </c>
      <c r="P26" s="60">
        <f>IF(C26="","",COUNTIFS('Saisie'!$C$5:$C$2004,C26,'Saisie'!$AV$5:$AV$2004,1))</f>
        <v/>
      </c>
      <c r="Q26" s="106">
        <f>IF(C26="","",IFERROR(1/(1/_xlfn.MAXIFS('Saisie'!$A$5:$A$2004,'Saisie'!$C$5:$C$2004,C26)),""))</f>
        <v/>
      </c>
      <c r="R26" s="61">
        <f>IF(C26="","",IF(Q26="","",TODAY()-Q26))</f>
        <v/>
      </c>
      <c r="S26" s="60">
        <f>IF(C26="","",IFERROR(INDEX('Saisie'!$R$5:$R$2004,_xlfn.MAXIFS('Saisie'!$AS$5:$AS$2004,'Saisie'!$C$5:$C$2004,C26,'Saisie'!$R$5:$R$2004,"&lt;&gt;")-4),""))</f>
        <v/>
      </c>
      <c r="T26" s="60">
        <f>IF(C26="","",IFERROR(INDEX('Saisie'!$S$5:$S$2004,_xlfn.MAXIFS('Saisie'!$AS$5:$AS$2004,'Saisie'!$C$5:$C$2004,C26,'Saisie'!$S$5:$S$2004,"&lt;&gt;")-4),""))</f>
        <v/>
      </c>
      <c r="U26" s="60">
        <f>IF(C26="","",IFERROR(INDEX('Saisie'!$T$5:$T$2004,_xlfn.MAXIFS('Saisie'!$AS$5:$AS$2004,'Saisie'!$C$5:$C$2004,C26,'Saisie'!$T$5:$T$2004,"&lt;&gt;")-4),""))</f>
        <v/>
      </c>
      <c r="V26" s="60">
        <f>IF(C26="","",IFERROR(INDEX('Saisie'!$V$5:$V$2004,_xlfn.MAXIFS('Saisie'!$AS$5:$AS$2004,'Saisie'!$C$5:$C$2004,C26,'Saisie'!$V$5:$V$2004,"&lt;&gt;")-4),""))</f>
        <v/>
      </c>
      <c r="W26" s="60">
        <f>IF(C26="","",IFERROR(INDEX('Saisie'!$Z$5:$Z$2004,_xlfn.MAXIFS('Saisie'!$AS$5:$AS$2004,'Saisie'!$C$5:$C$2004,C26,'Saisie'!$Z$5:$Z$2004,"&lt;&gt;")-4),""))</f>
        <v/>
      </c>
      <c r="X26" s="60">
        <f>IF(C26="","",IFERROR(INDEX('Saisie'!$AA$5:$AA$2004,_xlfn.MAXIFS('Saisie'!$AS$5:$AS$2004,'Saisie'!$C$5:$C$2004,C26,'Saisie'!$AA$5:$AA$2004,"&lt;&gt;")-4),""))</f>
        <v/>
      </c>
      <c r="Y26" s="60">
        <f>IF(C26="","",IFERROR(INDEX('Saisie'!$AB$5:$AB$2004,_xlfn.MAXIFS('Saisie'!$AS$5:$AS$2004,'Saisie'!$C$5:$C$2004,C26,'Saisie'!$AB$5:$AB$2004,"&lt;&gt;")-4),""))</f>
        <v/>
      </c>
      <c r="Z26" s="60">
        <f>IF(C26="","",IFERROR(INDEX('Saisie'!$AC$5:$AC$2004,_xlfn.MAXIFS('Saisie'!$AS$5:$AS$2004,'Saisie'!$C$5:$C$2004,C26,'Saisie'!$AC$5:$AC$2004,"&lt;&gt;")-4),""))</f>
        <v/>
      </c>
      <c r="AA26" s="106">
        <f>IF(C26="","",IFERROR(INDEX('Saisie'!$AD$5:$AD$2004,_xlfn.MAXIFS('Saisie'!$AS$5:$AS$2004,'Saisie'!$C$5:$C$2004,C26,'Saisie'!$AD$5:$AD$2004,"&lt;&gt;")-4),""))</f>
        <v/>
      </c>
      <c r="AB26" s="60">
        <f>IF(C26="","",IFERROR(INDEX('Saisie'!$AE$5:$AE$2004,_xlfn.MAXIFS('Saisie'!$AS$5:$AS$2004,'Saisie'!$C$5:$C$2004,C26,'Saisie'!$AE$5:$AE$2004,"&lt;&gt;")-4),""))</f>
        <v/>
      </c>
      <c r="AC26" s="60">
        <f>IF(C26="","",IFERROR(INDEX('Saisie'!$AF$5:$AF$2004,_xlfn.MAXIFS('Saisie'!$AS$5:$AS$2004,'Saisie'!$C$5:$C$2004,C26,'Saisie'!$AF$5:$AF$2004,"&lt;&gt;")-4),""))</f>
        <v/>
      </c>
      <c r="AD26" s="108">
        <f>IF(C26="","",IFERROR(INDEX('Saisie'!$AG$5:$AG$2004,_xlfn.MAXIFS('Saisie'!$AS$5:$AS$2004,'Saisie'!$C$5:$C$2004,C26,'Saisie'!$AG$5:$AG$2004,"&lt;&gt;")-4),""))</f>
        <v/>
      </c>
      <c r="AE26" s="60">
        <f>IF(C26="","",IFERROR(INDEX('Saisie'!$AH$5:$AH$2004,_xlfn.MAXIFS('Saisie'!$AS$5:$AS$2004,'Saisie'!$C$5:$C$2004,C26,'Saisie'!$AH$5:$AH$2004,"&lt;&gt;")-4),""))</f>
        <v/>
      </c>
      <c r="AF26" s="60">
        <f>IF(C26="","",IFERROR(INDEX('Saisie'!$AI$5:$AI$2004,_xlfn.MAXIFS('Saisie'!$AS$5:$AS$2004,'Saisie'!$C$5:$C$2004,C26,'Saisie'!$AI$5:$AI$2004,"&lt;&gt;")-4),""))</f>
        <v/>
      </c>
      <c r="AG26" s="60">
        <f>IF(C26="","",IFERROR(INDEX('Saisie'!$AJ$5:$AJ$2004,_xlfn.MAXIFS('Saisie'!$AS$5:$AS$2004,'Saisie'!$C$5:$C$2004,C26,'Saisie'!$AJ$5:$AJ$2004,"&lt;&gt;")-4),""))</f>
        <v/>
      </c>
      <c r="AH26" s="60">
        <f>IF(C26="","",IFERROR(INDEX('Saisie'!$AK$5:$AK$2004,_xlfn.MAXIFS('Saisie'!$AS$5:$AS$2004,'Saisie'!$C$5:$C$2004,C26,'Saisie'!$AK$5:$AK$2004,"&lt;&gt;")-4),""))</f>
        <v/>
      </c>
      <c r="AI26" s="60">
        <f>IF(C26="","",IFERROR(INDEX('Saisie'!$AN$5:$AN$2004,_xlfn.MAXIFS('Saisie'!$AS$5:$AS$2004,'Saisie'!$C$5:$C$2004,C26,'Saisie'!$AN$5:$AN$2004,"&lt;&gt;")-4),""))</f>
        <v/>
      </c>
      <c r="AJ26" s="60">
        <f>IF(C26="","",IFERROR(INDEX('Saisie'!$AO$5:$AO$2004,_xlfn.MAXIFS('Saisie'!$AS$5:$AS$2004,'Saisie'!$C$5:$C$2004,C26,'Saisie'!$AO$5:$AO$2004,"&lt;&gt;")-4),""))</f>
        <v/>
      </c>
      <c r="AK26" s="60">
        <f>IF(C26="","",IFERROR(INDEX('Saisie'!$AP$5:$AP$2004,_xlfn.MAXIFS('Saisie'!$AS$5:$AS$2004,'Saisie'!$C$5:$C$2004,C26,'Saisie'!$AP$5:$AP$2004,"&lt;&gt;")-4),""))</f>
        <v/>
      </c>
      <c r="AL26" s="60">
        <f>IF(C26="","",IFERROR(INDEX('Saisie'!$AQ$5:$AQ$2004,_xlfn.MAXIFS('Saisie'!$AS$5:$AS$2004,'Saisie'!$C$5:$C$2004,C26,'Saisie'!$AQ$5:$AQ$2004,"&lt;&gt;")-4),""))</f>
        <v/>
      </c>
      <c r="AM26" s="60">
        <f>IF(C26="","",((AI26="Oui")+(AJ26="Oui")+(AK26="Oui")+OR(AL26="Immédiat",AL26="&lt; 1 mois"))&amp;"/4")</f>
        <v/>
      </c>
      <c r="AN26" s="60">
        <f>IF(C26="","",IFERROR(INDEX('Saisie'!$AL$5:$AL$2004,_xlfn.MAXIFS('Saisie'!$AS$5:$AS$2004,'Saisie'!$C$5:$C$2004,C26,'Saisie'!$AL$5:$AL$2004,"&lt;&gt;")-4),""))</f>
        <v/>
      </c>
      <c r="AO26" s="62">
        <f>IF(C26="","",IF(IFERROR(INDEX('Saisie'!$AM$5:$AM$2004,_xlfn.MAXIFS('Saisie'!$AS$5:$AS$2004,'Saisie'!$C$5:$C$2004,C26,'Saisie'!$AM$5:$AM$2004,"&lt;&gt;")-4),"")&lt;&gt;"",IFERROR(INDEX('Saisie'!$AM$5:$AM$2004,_xlfn.MAXIFS('Saisie'!$AS$5:$AS$2004,'Saisie'!$C$5:$C$2004,C26,'Saisie'!$AM$5:$AM$2004,"&lt;&gt;")-4),""),IFERROR(INDEX('Paramètres'!$S$6:$S$15,MATCH(AN26,'Paramètres'!$Q$6:$Q$15,0)),"")))</f>
        <v/>
      </c>
      <c r="AP26" s="62">
        <f>IF(C26="","",IFERROR(INDEX('Saisie'!$AW$5:$AW$2004,_xlfn.MAXIFS('Saisie'!$AS$5:$AS$2004,'Saisie'!$C$5:$C$2004,C26,'Saisie'!$E$5:$E$2004,"Proposition envoyée")-4),""))</f>
        <v/>
      </c>
      <c r="AQ26" s="106">
        <f>IF(C26="","",IFERROR(1/(1/_xlfn.MAXIFS('Saisie'!$A$5:$A$2004,'Saisie'!$C$5:$C$2004,C26,'Saisie'!$E$5:$E$2004,"Proposition envoyée")),""))</f>
        <v/>
      </c>
      <c r="AR26" s="106">
        <f>IF(C26="","",IF(AQ26="","",AQ26+'Paramètres'!$B$26))</f>
        <v/>
      </c>
      <c r="AS26" s="62">
        <f>IF(OR(C26="",D26="Gagné",D26="Perdu"),0,N(AP26)*IFERROR(INDEX('Paramètres'!$G$6:$G$13,MATCH(D26,'Paramètres'!$F$6:$F$13,0)),0))</f>
        <v/>
      </c>
      <c r="AT26" s="106">
        <f>IF(C26="","",IFERROR(1/(1/_xlfn.MINIFS('Saisie'!$A$5:$A$2004,'Saisie'!$C$5:$C$2004,C26,'Saisie'!$E$5:$E$2004,"Signature")),""))</f>
        <v/>
      </c>
      <c r="AU26" s="60">
        <f>IF(C26="","",IF(OR(AT26="",B26=""),"",AT26-B26))</f>
        <v/>
      </c>
      <c r="AV26" s="60">
        <f>IF(C26="","",IFERROR(INDEX('Saisie'!$L$5:$L$2004,_xlfn.MAXIFS('Saisie'!$AS$5:$AS$2004,'Saisie'!$C$5:$C$2004,C26,'Saisie'!$L$5:$L$2004,"&lt;&gt;")-4),""))</f>
        <v/>
      </c>
      <c r="AW26" s="106">
        <f>IF(C26="","",IF(D26&lt;&gt;"Perdu","",IFERROR(1/(1/_xlfn.MAXIFS('Saisie'!$A$5:$A$2004,'Saisie'!$C$5:$C$2004,C26,'Saisie'!$E$5:$E$2004,"Perdu")),"")))</f>
        <v/>
      </c>
      <c r="AX26" s="106">
        <f>IF(C26="","",IF(AW26="","",AW26+'Paramètres'!$B$28))</f>
        <v/>
      </c>
      <c r="AY26" s="60">
        <f>IF(C26="","",SUMIFS('Saisie'!$H$5:$H$2004,'Saisie'!$C$5:$C$2004,C26))</f>
        <v/>
      </c>
      <c r="AZ26" s="60">
        <f>IF(C26="","",IFERROR(INDEX('Paramètres'!$W$6:$W$20,MATCH(S26,'Paramètres'!$V$6:$V$20,0))&amp;"",""))</f>
        <v/>
      </c>
      <c r="BA26" s="60">
        <f>IF(C26="","",MAX(1,_xlfn.MAXIFS('Saisie'!$AT$5:$AT$2004,'Saisie'!$C$5:$C$2004,C26)))</f>
        <v/>
      </c>
      <c r="BB26" s="60">
        <f>IF(C26="","",IFERROR(INDEX('Saisie'!$X$5:$X$2004,_xlfn.MAXIFS('Saisie'!$AS$5:$AS$2004,'Saisie'!$C$5:$C$2004,C26,'Saisie'!$X$5:$X$2004,"&lt;&gt;")-4),""))</f>
        <v/>
      </c>
      <c r="BC26" s="60">
        <f>IF(C26="","",IFERROR(INDEX('Saisie'!$Y$5:$Y$2004,_xlfn.MAXIFS('Saisie'!$AS$5:$AS$2004,'Saisie'!$C$5:$C$2004,C26,'Saisie'!$Y$5:$Y$2004,"&lt;&gt;")-4),""))</f>
        <v/>
      </c>
      <c r="BD26" s="106">
        <f>IF(C26="","",IFERROR(1/(1/_xlfn.MINIFS('Saisie'!$A$5:$A$2004,'Saisie'!$C$5:$C$2004,C26,'Saisie'!$AT$5:$AT$2004,"&gt;=2")),""))</f>
        <v/>
      </c>
      <c r="BE26" s="106">
        <f>IF(C26="","",IFERROR(1/(1/_xlfn.MINIFS('Saisie'!$A$5:$A$2004,'Saisie'!$C$5:$C$2004,C26,'Saisie'!$AT$5:$AT$2004,"&gt;=3")),""))</f>
        <v/>
      </c>
      <c r="BF26" s="106">
        <f>IF(C26="","",IFERROR(1/(1/_xlfn.MINIFS('Saisie'!$A$5:$A$2004,'Saisie'!$C$5:$C$2004,C26,'Saisie'!$AT$5:$AT$2004,"&gt;=4")),""))</f>
        <v/>
      </c>
      <c r="BG26" s="106">
        <f>IF(C26="","",IFERROR(1/(1/_xlfn.MINIFS('Saisie'!$A$5:$A$2004,'Saisie'!$C$5:$C$2004,C26,'Saisie'!$AT$5:$AT$2004,"&gt;=5")),""))</f>
        <v/>
      </c>
      <c r="BH26" s="106">
        <f>IF(C26="","",IFERROR(1/(1/_xlfn.MINIFS('Saisie'!$A$5:$A$2004,'Saisie'!$C$5:$C$2004,C26,'Saisie'!$AT$5:$AT$2004,"&gt;=6")),""))</f>
        <v/>
      </c>
      <c r="BI26" s="106">
        <f>IF(C26="","",IFERROR(1/(1/_xlfn.MINIFS('Saisie'!$A$5:$A$2004,'Saisie'!$C$5:$C$2004,C26,'Saisie'!$AT$5:$AT$2004,"&gt;=7")),""))</f>
        <v/>
      </c>
      <c r="BJ26" s="60">
        <f>IF(OR(BD26="",B26=""),"",BD26-B26)</f>
        <v/>
      </c>
      <c r="BK26" s="60">
        <f>IF(OR(BE26="",BD26=""),"",BE26-BD26)</f>
        <v/>
      </c>
      <c r="BL26" s="60">
        <f>IF(OR(BF26="",BE26=""),"",BF26-BE26)</f>
        <v/>
      </c>
      <c r="BM26" s="60">
        <f>IF(OR(BG26="",BF26=""),"",BG26-BF26)</f>
        <v/>
      </c>
      <c r="BN26" s="60">
        <f>IF(OR(BH26="",BG26=""),"",BH26-BG26)</f>
        <v/>
      </c>
      <c r="BO26" s="60">
        <f>IF(OR(BI26="",BH26=""),"",BI26-BH26)</f>
        <v/>
      </c>
      <c r="BP26" s="60">
        <f>IF(C26="","",_xlfn.MAXIFS('Saisie'!$AS$5:$AS$2004,'Saisie'!$C$5:$C$2004,C26,'Saisie'!$J$5:$J$2004,"&lt;&gt;"))</f>
        <v/>
      </c>
      <c r="BQ26" s="60">
        <f>IF(C26="","",_xlfn.MAXIFS('Saisie'!$AS$5:$AS$2004,'Saisie'!$C$5:$C$2004,C26))</f>
        <v/>
      </c>
      <c r="BR26" s="60">
        <f>IF(C26="","",_xlfn.MAXIFS('Saisie'!$AS$5:$AS$2004,'Saisie'!$C$5:$C$2004,C26,'Saisie'!$E$5:$E$2004,"Perdu"))</f>
        <v/>
      </c>
      <c r="BS26" s="60">
        <f>IF(C26="","",_xlfn.MAXIFS('Saisie'!$AS$5:$AS$2004,'Saisie'!$C$5:$C$2004,C26,'Saisie'!$AT$5:$AT$2004,"&gt;0"))</f>
        <v/>
      </c>
      <c r="BT26" s="109">
        <f>IF(AND(C26&lt;&gt;"",OR(D26="Nouveau",D26="Contacté",D26="Qualifié"),OR(G26="",N(G26)&lt;=TODAY()),NOT(AND(O26&gt;='Paramètres'!$B$21,P26=0))),E26+22/10000,"")</f>
        <v/>
      </c>
      <c r="BU26" s="60">
        <f>IF(AND(G26&lt;&gt;"",N(G26)&lt;=TODAY()),MAX($BU$4:BU25)+1,"")</f>
        <v/>
      </c>
      <c r="BV26" s="60">
        <f>IF(AND(F26&lt;&gt;"",F26&lt;&gt;"Relance en retard"),MAX($BV$4:BV25)+1,"")</f>
        <v/>
      </c>
      <c r="BW26" s="60">
        <f>IF(C26="","",IF(AND(B26&gt;='Tableau de bord'!$R$4,B26&lt;='Tableau de bord'!$S$4,OR('Tableau de bord'!$G$4="Tous",N26='Tableau de bord'!$G$4)),1,0))</f>
        <v/>
      </c>
      <c r="BX26" s="60">
        <f>IF(AND(C26&lt;&gt;"",N(BA26)=7),MAX($BX$4:BX25)+1,"")</f>
        <v/>
      </c>
    </row>
    <row r="27">
      <c r="A27" s="60">
        <f>IF(C27="","","P-"&amp;TEXT(23,"000"))</f>
        <v/>
      </c>
      <c r="B27" s="106">
        <f>IF(C27="","",IFERROR(1/(1/_xlfn.MINIFS('Saisie'!$A$5:$A$2004,'Saisie'!$C$5:$C$2004,C27)),""))</f>
        <v/>
      </c>
      <c r="C27" s="60">
        <f>IFERROR(INDEX('Saisie'!$C$5:$C$2004,MATCH(23,'Saisie'!$AX$5:$AX$2004,0)),"")</f>
        <v/>
      </c>
      <c r="D27" s="60">
        <f>IF(C27="","",IF(AND(BR27&gt;0,BR27&gt;BS27,BA27&lt;7),"Perdu",INDEX('Paramètres'!$F$6:$F$13,BA27)))</f>
        <v/>
      </c>
      <c r="E27" s="61">
        <f>IF(C27="","",MIN(100,(Z27="Oui")*'Paramètres'!$B$38+(AB27="Régulière")*'Paramètres'!$B$39+IF(AND(N(AA27)&gt;0,TODAY()-N(AA27)&lt;=30),'Paramètres'!$B$40,0)+(W27="")*'Paramètres'!$B$41+(AC27="Absente")*'Paramètres'!$B$42+(AC27="Faible")*'Paramètres'!$B$43+IF(AND(N(AD27)&gt;0,N(AD27)&lt;4),'Paramètres'!$B$44,0)+(AF27="Moyenne")*'Paramètres'!$B$45+(AF27="Grande")*'Paramètres'!$B$46+(Y27&lt;&gt;"")*'Paramètres'!$B$47))</f>
        <v/>
      </c>
      <c r="F27" s="60">
        <f>IF(C27="","",IF(D27="Gagné","",IF(D27="Perdu",IF(AND(AX27&lt;&gt;"",AX27&lt;=TODAY()),"À recontacter (perdu)",""),IF(AND(O27&gt;='Paramètres'!$B$21,P27=0),"Stop : "&amp;'Paramètres'!$B$21&amp;" tentatives sans réponse",IF(AND(D27="Proposition",AR27&lt;&gt;"",TODAY()&gt;N(AR27)),"Proposition expirée",IF(AND(D27="Proposition",N(R27)&gt;='Paramètres'!$B$25),"Proposition sans réponse",IF(AND(G27&lt;&gt;"",N(G27)&lt;TODAY()),"Relance en retard",IF(N(R27)&gt;='Paramètres'!$B$24,"Sans action depuis "&amp;R27&amp;" j",""))))))))</f>
        <v/>
      </c>
      <c r="G27" s="106">
        <f>IF(OR(C27="",D27="Gagné",D27="Perdu"),"",IF(AND(BP27&gt;0,BP27=BQ27),INDEX('Saisie'!$J$5:$J$2004,BP27-4),IF(OR(O27=0,AND(O27&gt;='Paramètres'!$B$21,P27=0)),"",Q27+IF(O27&lt;=1,'Paramètres'!$B$18,IF(O27=2,'Paramètres'!$B$19,'Paramètres'!$B$20)))))</f>
        <v/>
      </c>
      <c r="H27" s="107">
        <f>IF(OR(G27="",BP27&lt;&gt;BQ27),"",IF(INDEX('Saisie'!$K$5:$K$2004,BP27-4)="","",INDEX('Saisie'!$K$5:$K$2004,BP27-4)))</f>
        <v/>
      </c>
      <c r="I27" s="60">
        <f>IF(C27="","",IF(OR(D27="Gagné",D27="Perdu"),"",IFERROR(INDEX('Saisie'!$I$5:$I$2004,_xlfn.MAXIFS('Saisie'!$AS$5:$AS$2004,'Saisie'!$C$5:$C$2004,C27,'Saisie'!$I$5:$I$2004,"&lt;&gt;")-4),"")))</f>
        <v/>
      </c>
      <c r="J27" s="60">
        <f>IF(C27="","",IFERROR(INDEX('Saisie'!$U$5:$U$2004,_xlfn.MAXIFS('Saisie'!$AS$5:$AS$2004,'Saisie'!$C$5:$C$2004,C27,'Saisie'!$U$5:$U$2004,"&lt;&gt;")-4),""))</f>
        <v/>
      </c>
      <c r="K27" s="60">
        <f>IF(C27="","",IFERROR(INDEX('Saisie'!$W$5:$W$2004,_xlfn.MAXIFS('Saisie'!$AS$5:$AS$2004,'Saisie'!$C$5:$C$2004,C27,'Saisie'!$W$5:$W$2004,"&lt;&gt;")-4),""))</f>
        <v/>
      </c>
      <c r="L27" s="60">
        <f>IF(IF(BB27&lt;&gt;"",BB27,K27)="","",HYPERLINK("https://wa.me/"&amp;IF(LEFT(SUBSTITUTE(SUBSTITUTE(SUBSTITUTE(IF(BB27&lt;&gt;"",BB27,K27)," ",""),".",""),"+",""),1)="0",'Paramètres'!$B$35&amp;MID(SUBSTITUTE(SUBSTITUTE(SUBSTITUTE(IF(BB27&lt;&gt;"",BB27,K27)," ",""),".",""),"+",""),2,20),SUBSTITUTE(SUBSTITUTE(SUBSTITUTE(IF(BB27&lt;&gt;"",BB27,K27)," ",""),".",""),"+","")),"WhatsApp"))</f>
        <v/>
      </c>
      <c r="M27" s="60">
        <f>IF(BC27="","",HYPERLINK(IF(LEFT(BC27,4)="http",BC27,"https://www.instagram.com/"&amp;SUBSTITUTE(SUBSTITUTE(BC27,"@","")," ","")),BC27))</f>
        <v/>
      </c>
      <c r="N27" s="60">
        <f>IF(C27="","",IFERROR(INDEX('Saisie'!$D$5:$D$2004,_xlfn.MINIFS('Saisie'!$AS$5:$AS$2004,'Saisie'!$C$5:$C$2004,C27,'Saisie'!$AU$5:$AU$2004,1)-4),IFERROR(INDEX('Saisie'!$D$5:$D$2004,_xlfn.MINIFS('Saisie'!$AS$5:$AS$2004,'Saisie'!$C$5:$C$2004,C27,'Saisie'!$D$5:$D$2004,"&lt;&gt;")-4),"")))</f>
        <v/>
      </c>
      <c r="O27" s="60">
        <f>IF(C27="","",COUNTIFS('Saisie'!$C$5:$C$2004,C27,'Saisie'!$AU$5:$AU$2004,1))</f>
        <v/>
      </c>
      <c r="P27" s="60">
        <f>IF(C27="","",COUNTIFS('Saisie'!$C$5:$C$2004,C27,'Saisie'!$AV$5:$AV$2004,1))</f>
        <v/>
      </c>
      <c r="Q27" s="106">
        <f>IF(C27="","",IFERROR(1/(1/_xlfn.MAXIFS('Saisie'!$A$5:$A$2004,'Saisie'!$C$5:$C$2004,C27)),""))</f>
        <v/>
      </c>
      <c r="R27" s="61">
        <f>IF(C27="","",IF(Q27="","",TODAY()-Q27))</f>
        <v/>
      </c>
      <c r="S27" s="60">
        <f>IF(C27="","",IFERROR(INDEX('Saisie'!$R$5:$R$2004,_xlfn.MAXIFS('Saisie'!$AS$5:$AS$2004,'Saisie'!$C$5:$C$2004,C27,'Saisie'!$R$5:$R$2004,"&lt;&gt;")-4),""))</f>
        <v/>
      </c>
      <c r="T27" s="60">
        <f>IF(C27="","",IFERROR(INDEX('Saisie'!$S$5:$S$2004,_xlfn.MAXIFS('Saisie'!$AS$5:$AS$2004,'Saisie'!$C$5:$C$2004,C27,'Saisie'!$S$5:$S$2004,"&lt;&gt;")-4),""))</f>
        <v/>
      </c>
      <c r="U27" s="60">
        <f>IF(C27="","",IFERROR(INDEX('Saisie'!$T$5:$T$2004,_xlfn.MAXIFS('Saisie'!$AS$5:$AS$2004,'Saisie'!$C$5:$C$2004,C27,'Saisie'!$T$5:$T$2004,"&lt;&gt;")-4),""))</f>
        <v/>
      </c>
      <c r="V27" s="60">
        <f>IF(C27="","",IFERROR(INDEX('Saisie'!$V$5:$V$2004,_xlfn.MAXIFS('Saisie'!$AS$5:$AS$2004,'Saisie'!$C$5:$C$2004,C27,'Saisie'!$V$5:$V$2004,"&lt;&gt;")-4),""))</f>
        <v/>
      </c>
      <c r="W27" s="60">
        <f>IF(C27="","",IFERROR(INDEX('Saisie'!$Z$5:$Z$2004,_xlfn.MAXIFS('Saisie'!$AS$5:$AS$2004,'Saisie'!$C$5:$C$2004,C27,'Saisie'!$Z$5:$Z$2004,"&lt;&gt;")-4),""))</f>
        <v/>
      </c>
      <c r="X27" s="60">
        <f>IF(C27="","",IFERROR(INDEX('Saisie'!$AA$5:$AA$2004,_xlfn.MAXIFS('Saisie'!$AS$5:$AS$2004,'Saisie'!$C$5:$C$2004,C27,'Saisie'!$AA$5:$AA$2004,"&lt;&gt;")-4),""))</f>
        <v/>
      </c>
      <c r="Y27" s="60">
        <f>IF(C27="","",IFERROR(INDEX('Saisie'!$AB$5:$AB$2004,_xlfn.MAXIFS('Saisie'!$AS$5:$AS$2004,'Saisie'!$C$5:$C$2004,C27,'Saisie'!$AB$5:$AB$2004,"&lt;&gt;")-4),""))</f>
        <v/>
      </c>
      <c r="Z27" s="60">
        <f>IF(C27="","",IFERROR(INDEX('Saisie'!$AC$5:$AC$2004,_xlfn.MAXIFS('Saisie'!$AS$5:$AS$2004,'Saisie'!$C$5:$C$2004,C27,'Saisie'!$AC$5:$AC$2004,"&lt;&gt;")-4),""))</f>
        <v/>
      </c>
      <c r="AA27" s="106">
        <f>IF(C27="","",IFERROR(INDEX('Saisie'!$AD$5:$AD$2004,_xlfn.MAXIFS('Saisie'!$AS$5:$AS$2004,'Saisie'!$C$5:$C$2004,C27,'Saisie'!$AD$5:$AD$2004,"&lt;&gt;")-4),""))</f>
        <v/>
      </c>
      <c r="AB27" s="60">
        <f>IF(C27="","",IFERROR(INDEX('Saisie'!$AE$5:$AE$2004,_xlfn.MAXIFS('Saisie'!$AS$5:$AS$2004,'Saisie'!$C$5:$C$2004,C27,'Saisie'!$AE$5:$AE$2004,"&lt;&gt;")-4),""))</f>
        <v/>
      </c>
      <c r="AC27" s="60">
        <f>IF(C27="","",IFERROR(INDEX('Saisie'!$AF$5:$AF$2004,_xlfn.MAXIFS('Saisie'!$AS$5:$AS$2004,'Saisie'!$C$5:$C$2004,C27,'Saisie'!$AF$5:$AF$2004,"&lt;&gt;")-4),""))</f>
        <v/>
      </c>
      <c r="AD27" s="108">
        <f>IF(C27="","",IFERROR(INDEX('Saisie'!$AG$5:$AG$2004,_xlfn.MAXIFS('Saisie'!$AS$5:$AS$2004,'Saisie'!$C$5:$C$2004,C27,'Saisie'!$AG$5:$AG$2004,"&lt;&gt;")-4),""))</f>
        <v/>
      </c>
      <c r="AE27" s="60">
        <f>IF(C27="","",IFERROR(INDEX('Saisie'!$AH$5:$AH$2004,_xlfn.MAXIFS('Saisie'!$AS$5:$AS$2004,'Saisie'!$C$5:$C$2004,C27,'Saisie'!$AH$5:$AH$2004,"&lt;&gt;")-4),""))</f>
        <v/>
      </c>
      <c r="AF27" s="60">
        <f>IF(C27="","",IFERROR(INDEX('Saisie'!$AI$5:$AI$2004,_xlfn.MAXIFS('Saisie'!$AS$5:$AS$2004,'Saisie'!$C$5:$C$2004,C27,'Saisie'!$AI$5:$AI$2004,"&lt;&gt;")-4),""))</f>
        <v/>
      </c>
      <c r="AG27" s="60">
        <f>IF(C27="","",IFERROR(INDEX('Saisie'!$AJ$5:$AJ$2004,_xlfn.MAXIFS('Saisie'!$AS$5:$AS$2004,'Saisie'!$C$5:$C$2004,C27,'Saisie'!$AJ$5:$AJ$2004,"&lt;&gt;")-4),""))</f>
        <v/>
      </c>
      <c r="AH27" s="60">
        <f>IF(C27="","",IFERROR(INDEX('Saisie'!$AK$5:$AK$2004,_xlfn.MAXIFS('Saisie'!$AS$5:$AS$2004,'Saisie'!$C$5:$C$2004,C27,'Saisie'!$AK$5:$AK$2004,"&lt;&gt;")-4),""))</f>
        <v/>
      </c>
      <c r="AI27" s="60">
        <f>IF(C27="","",IFERROR(INDEX('Saisie'!$AN$5:$AN$2004,_xlfn.MAXIFS('Saisie'!$AS$5:$AS$2004,'Saisie'!$C$5:$C$2004,C27,'Saisie'!$AN$5:$AN$2004,"&lt;&gt;")-4),""))</f>
        <v/>
      </c>
      <c r="AJ27" s="60">
        <f>IF(C27="","",IFERROR(INDEX('Saisie'!$AO$5:$AO$2004,_xlfn.MAXIFS('Saisie'!$AS$5:$AS$2004,'Saisie'!$C$5:$C$2004,C27,'Saisie'!$AO$5:$AO$2004,"&lt;&gt;")-4),""))</f>
        <v/>
      </c>
      <c r="AK27" s="60">
        <f>IF(C27="","",IFERROR(INDEX('Saisie'!$AP$5:$AP$2004,_xlfn.MAXIFS('Saisie'!$AS$5:$AS$2004,'Saisie'!$C$5:$C$2004,C27,'Saisie'!$AP$5:$AP$2004,"&lt;&gt;")-4),""))</f>
        <v/>
      </c>
      <c r="AL27" s="60">
        <f>IF(C27="","",IFERROR(INDEX('Saisie'!$AQ$5:$AQ$2004,_xlfn.MAXIFS('Saisie'!$AS$5:$AS$2004,'Saisie'!$C$5:$C$2004,C27,'Saisie'!$AQ$5:$AQ$2004,"&lt;&gt;")-4),""))</f>
        <v/>
      </c>
      <c r="AM27" s="60">
        <f>IF(C27="","",((AI27="Oui")+(AJ27="Oui")+(AK27="Oui")+OR(AL27="Immédiat",AL27="&lt; 1 mois"))&amp;"/4")</f>
        <v/>
      </c>
      <c r="AN27" s="60">
        <f>IF(C27="","",IFERROR(INDEX('Saisie'!$AL$5:$AL$2004,_xlfn.MAXIFS('Saisie'!$AS$5:$AS$2004,'Saisie'!$C$5:$C$2004,C27,'Saisie'!$AL$5:$AL$2004,"&lt;&gt;")-4),""))</f>
        <v/>
      </c>
      <c r="AO27" s="62">
        <f>IF(C27="","",IF(IFERROR(INDEX('Saisie'!$AM$5:$AM$2004,_xlfn.MAXIFS('Saisie'!$AS$5:$AS$2004,'Saisie'!$C$5:$C$2004,C27,'Saisie'!$AM$5:$AM$2004,"&lt;&gt;")-4),"")&lt;&gt;"",IFERROR(INDEX('Saisie'!$AM$5:$AM$2004,_xlfn.MAXIFS('Saisie'!$AS$5:$AS$2004,'Saisie'!$C$5:$C$2004,C27,'Saisie'!$AM$5:$AM$2004,"&lt;&gt;")-4),""),IFERROR(INDEX('Paramètres'!$S$6:$S$15,MATCH(AN27,'Paramètres'!$Q$6:$Q$15,0)),"")))</f>
        <v/>
      </c>
      <c r="AP27" s="62">
        <f>IF(C27="","",IFERROR(INDEX('Saisie'!$AW$5:$AW$2004,_xlfn.MAXIFS('Saisie'!$AS$5:$AS$2004,'Saisie'!$C$5:$C$2004,C27,'Saisie'!$E$5:$E$2004,"Proposition envoyée")-4),""))</f>
        <v/>
      </c>
      <c r="AQ27" s="106">
        <f>IF(C27="","",IFERROR(1/(1/_xlfn.MAXIFS('Saisie'!$A$5:$A$2004,'Saisie'!$C$5:$C$2004,C27,'Saisie'!$E$5:$E$2004,"Proposition envoyée")),""))</f>
        <v/>
      </c>
      <c r="AR27" s="106">
        <f>IF(C27="","",IF(AQ27="","",AQ27+'Paramètres'!$B$26))</f>
        <v/>
      </c>
      <c r="AS27" s="62">
        <f>IF(OR(C27="",D27="Gagné",D27="Perdu"),0,N(AP27)*IFERROR(INDEX('Paramètres'!$G$6:$G$13,MATCH(D27,'Paramètres'!$F$6:$F$13,0)),0))</f>
        <v/>
      </c>
      <c r="AT27" s="106">
        <f>IF(C27="","",IFERROR(1/(1/_xlfn.MINIFS('Saisie'!$A$5:$A$2004,'Saisie'!$C$5:$C$2004,C27,'Saisie'!$E$5:$E$2004,"Signature")),""))</f>
        <v/>
      </c>
      <c r="AU27" s="60">
        <f>IF(C27="","",IF(OR(AT27="",B27=""),"",AT27-B27))</f>
        <v/>
      </c>
      <c r="AV27" s="60">
        <f>IF(C27="","",IFERROR(INDEX('Saisie'!$L$5:$L$2004,_xlfn.MAXIFS('Saisie'!$AS$5:$AS$2004,'Saisie'!$C$5:$C$2004,C27,'Saisie'!$L$5:$L$2004,"&lt;&gt;")-4),""))</f>
        <v/>
      </c>
      <c r="AW27" s="106">
        <f>IF(C27="","",IF(D27&lt;&gt;"Perdu","",IFERROR(1/(1/_xlfn.MAXIFS('Saisie'!$A$5:$A$2004,'Saisie'!$C$5:$C$2004,C27,'Saisie'!$E$5:$E$2004,"Perdu")),"")))</f>
        <v/>
      </c>
      <c r="AX27" s="106">
        <f>IF(C27="","",IF(AW27="","",AW27+'Paramètres'!$B$28))</f>
        <v/>
      </c>
      <c r="AY27" s="60">
        <f>IF(C27="","",SUMIFS('Saisie'!$H$5:$H$2004,'Saisie'!$C$5:$C$2004,C27))</f>
        <v/>
      </c>
      <c r="AZ27" s="60">
        <f>IF(C27="","",IFERROR(INDEX('Paramètres'!$W$6:$W$20,MATCH(S27,'Paramètres'!$V$6:$V$20,0))&amp;"",""))</f>
        <v/>
      </c>
      <c r="BA27" s="60">
        <f>IF(C27="","",MAX(1,_xlfn.MAXIFS('Saisie'!$AT$5:$AT$2004,'Saisie'!$C$5:$C$2004,C27)))</f>
        <v/>
      </c>
      <c r="BB27" s="60">
        <f>IF(C27="","",IFERROR(INDEX('Saisie'!$X$5:$X$2004,_xlfn.MAXIFS('Saisie'!$AS$5:$AS$2004,'Saisie'!$C$5:$C$2004,C27,'Saisie'!$X$5:$X$2004,"&lt;&gt;")-4),""))</f>
        <v/>
      </c>
      <c r="BC27" s="60">
        <f>IF(C27="","",IFERROR(INDEX('Saisie'!$Y$5:$Y$2004,_xlfn.MAXIFS('Saisie'!$AS$5:$AS$2004,'Saisie'!$C$5:$C$2004,C27,'Saisie'!$Y$5:$Y$2004,"&lt;&gt;")-4),""))</f>
        <v/>
      </c>
      <c r="BD27" s="106">
        <f>IF(C27="","",IFERROR(1/(1/_xlfn.MINIFS('Saisie'!$A$5:$A$2004,'Saisie'!$C$5:$C$2004,C27,'Saisie'!$AT$5:$AT$2004,"&gt;=2")),""))</f>
        <v/>
      </c>
      <c r="BE27" s="106">
        <f>IF(C27="","",IFERROR(1/(1/_xlfn.MINIFS('Saisie'!$A$5:$A$2004,'Saisie'!$C$5:$C$2004,C27,'Saisie'!$AT$5:$AT$2004,"&gt;=3")),""))</f>
        <v/>
      </c>
      <c r="BF27" s="106">
        <f>IF(C27="","",IFERROR(1/(1/_xlfn.MINIFS('Saisie'!$A$5:$A$2004,'Saisie'!$C$5:$C$2004,C27,'Saisie'!$AT$5:$AT$2004,"&gt;=4")),""))</f>
        <v/>
      </c>
      <c r="BG27" s="106">
        <f>IF(C27="","",IFERROR(1/(1/_xlfn.MINIFS('Saisie'!$A$5:$A$2004,'Saisie'!$C$5:$C$2004,C27,'Saisie'!$AT$5:$AT$2004,"&gt;=5")),""))</f>
        <v/>
      </c>
      <c r="BH27" s="106">
        <f>IF(C27="","",IFERROR(1/(1/_xlfn.MINIFS('Saisie'!$A$5:$A$2004,'Saisie'!$C$5:$C$2004,C27,'Saisie'!$AT$5:$AT$2004,"&gt;=6")),""))</f>
        <v/>
      </c>
      <c r="BI27" s="106">
        <f>IF(C27="","",IFERROR(1/(1/_xlfn.MINIFS('Saisie'!$A$5:$A$2004,'Saisie'!$C$5:$C$2004,C27,'Saisie'!$AT$5:$AT$2004,"&gt;=7")),""))</f>
        <v/>
      </c>
      <c r="BJ27" s="60">
        <f>IF(OR(BD27="",B27=""),"",BD27-B27)</f>
        <v/>
      </c>
      <c r="BK27" s="60">
        <f>IF(OR(BE27="",BD27=""),"",BE27-BD27)</f>
        <v/>
      </c>
      <c r="BL27" s="60">
        <f>IF(OR(BF27="",BE27=""),"",BF27-BE27)</f>
        <v/>
      </c>
      <c r="BM27" s="60">
        <f>IF(OR(BG27="",BF27=""),"",BG27-BF27)</f>
        <v/>
      </c>
      <c r="BN27" s="60">
        <f>IF(OR(BH27="",BG27=""),"",BH27-BG27)</f>
        <v/>
      </c>
      <c r="BO27" s="60">
        <f>IF(OR(BI27="",BH27=""),"",BI27-BH27)</f>
        <v/>
      </c>
      <c r="BP27" s="60">
        <f>IF(C27="","",_xlfn.MAXIFS('Saisie'!$AS$5:$AS$2004,'Saisie'!$C$5:$C$2004,C27,'Saisie'!$J$5:$J$2004,"&lt;&gt;"))</f>
        <v/>
      </c>
      <c r="BQ27" s="60">
        <f>IF(C27="","",_xlfn.MAXIFS('Saisie'!$AS$5:$AS$2004,'Saisie'!$C$5:$C$2004,C27))</f>
        <v/>
      </c>
      <c r="BR27" s="60">
        <f>IF(C27="","",_xlfn.MAXIFS('Saisie'!$AS$5:$AS$2004,'Saisie'!$C$5:$C$2004,C27,'Saisie'!$E$5:$E$2004,"Perdu"))</f>
        <v/>
      </c>
      <c r="BS27" s="60">
        <f>IF(C27="","",_xlfn.MAXIFS('Saisie'!$AS$5:$AS$2004,'Saisie'!$C$5:$C$2004,C27,'Saisie'!$AT$5:$AT$2004,"&gt;0"))</f>
        <v/>
      </c>
      <c r="BT27" s="109">
        <f>IF(AND(C27&lt;&gt;"",OR(D27="Nouveau",D27="Contacté",D27="Qualifié"),OR(G27="",N(G27)&lt;=TODAY()),NOT(AND(O27&gt;='Paramètres'!$B$21,P27=0))),E27+23/10000,"")</f>
        <v/>
      </c>
      <c r="BU27" s="60">
        <f>IF(AND(G27&lt;&gt;"",N(G27)&lt;=TODAY()),MAX($BU$4:BU26)+1,"")</f>
        <v/>
      </c>
      <c r="BV27" s="60">
        <f>IF(AND(F27&lt;&gt;"",F27&lt;&gt;"Relance en retard"),MAX($BV$4:BV26)+1,"")</f>
        <v/>
      </c>
      <c r="BW27" s="60">
        <f>IF(C27="","",IF(AND(B27&gt;='Tableau de bord'!$R$4,B27&lt;='Tableau de bord'!$S$4,OR('Tableau de bord'!$G$4="Tous",N27='Tableau de bord'!$G$4)),1,0))</f>
        <v/>
      </c>
      <c r="BX27" s="60">
        <f>IF(AND(C27&lt;&gt;"",N(BA27)=7),MAX($BX$4:BX26)+1,"")</f>
        <v/>
      </c>
    </row>
    <row r="28">
      <c r="A28" s="60">
        <f>IF(C28="","","P-"&amp;TEXT(24,"000"))</f>
        <v/>
      </c>
      <c r="B28" s="106">
        <f>IF(C28="","",IFERROR(1/(1/_xlfn.MINIFS('Saisie'!$A$5:$A$2004,'Saisie'!$C$5:$C$2004,C28)),""))</f>
        <v/>
      </c>
      <c r="C28" s="60">
        <f>IFERROR(INDEX('Saisie'!$C$5:$C$2004,MATCH(24,'Saisie'!$AX$5:$AX$2004,0)),"")</f>
        <v/>
      </c>
      <c r="D28" s="60">
        <f>IF(C28="","",IF(AND(BR28&gt;0,BR28&gt;BS28,BA28&lt;7),"Perdu",INDEX('Paramètres'!$F$6:$F$13,BA28)))</f>
        <v/>
      </c>
      <c r="E28" s="61">
        <f>IF(C28="","",MIN(100,(Z28="Oui")*'Paramètres'!$B$38+(AB28="Régulière")*'Paramètres'!$B$39+IF(AND(N(AA28)&gt;0,TODAY()-N(AA28)&lt;=30),'Paramètres'!$B$40,0)+(W28="")*'Paramètres'!$B$41+(AC28="Absente")*'Paramètres'!$B$42+(AC28="Faible")*'Paramètres'!$B$43+IF(AND(N(AD28)&gt;0,N(AD28)&lt;4),'Paramètres'!$B$44,0)+(AF28="Moyenne")*'Paramètres'!$B$45+(AF28="Grande")*'Paramètres'!$B$46+(Y28&lt;&gt;"")*'Paramètres'!$B$47))</f>
        <v/>
      </c>
      <c r="F28" s="60">
        <f>IF(C28="","",IF(D28="Gagné","",IF(D28="Perdu",IF(AND(AX28&lt;&gt;"",AX28&lt;=TODAY()),"À recontacter (perdu)",""),IF(AND(O28&gt;='Paramètres'!$B$21,P28=0),"Stop : "&amp;'Paramètres'!$B$21&amp;" tentatives sans réponse",IF(AND(D28="Proposition",AR28&lt;&gt;"",TODAY()&gt;N(AR28)),"Proposition expirée",IF(AND(D28="Proposition",N(R28)&gt;='Paramètres'!$B$25),"Proposition sans réponse",IF(AND(G28&lt;&gt;"",N(G28)&lt;TODAY()),"Relance en retard",IF(N(R28)&gt;='Paramètres'!$B$24,"Sans action depuis "&amp;R28&amp;" j",""))))))))</f>
        <v/>
      </c>
      <c r="G28" s="106">
        <f>IF(OR(C28="",D28="Gagné",D28="Perdu"),"",IF(AND(BP28&gt;0,BP28=BQ28),INDEX('Saisie'!$J$5:$J$2004,BP28-4),IF(OR(O28=0,AND(O28&gt;='Paramètres'!$B$21,P28=0)),"",Q28+IF(O28&lt;=1,'Paramètres'!$B$18,IF(O28=2,'Paramètres'!$B$19,'Paramètres'!$B$20)))))</f>
        <v/>
      </c>
      <c r="H28" s="107">
        <f>IF(OR(G28="",BP28&lt;&gt;BQ28),"",IF(INDEX('Saisie'!$K$5:$K$2004,BP28-4)="","",INDEX('Saisie'!$K$5:$K$2004,BP28-4)))</f>
        <v/>
      </c>
      <c r="I28" s="60">
        <f>IF(C28="","",IF(OR(D28="Gagné",D28="Perdu"),"",IFERROR(INDEX('Saisie'!$I$5:$I$2004,_xlfn.MAXIFS('Saisie'!$AS$5:$AS$2004,'Saisie'!$C$5:$C$2004,C28,'Saisie'!$I$5:$I$2004,"&lt;&gt;")-4),"")))</f>
        <v/>
      </c>
      <c r="J28" s="60">
        <f>IF(C28="","",IFERROR(INDEX('Saisie'!$U$5:$U$2004,_xlfn.MAXIFS('Saisie'!$AS$5:$AS$2004,'Saisie'!$C$5:$C$2004,C28,'Saisie'!$U$5:$U$2004,"&lt;&gt;")-4),""))</f>
        <v/>
      </c>
      <c r="K28" s="60">
        <f>IF(C28="","",IFERROR(INDEX('Saisie'!$W$5:$W$2004,_xlfn.MAXIFS('Saisie'!$AS$5:$AS$2004,'Saisie'!$C$5:$C$2004,C28,'Saisie'!$W$5:$W$2004,"&lt;&gt;")-4),""))</f>
        <v/>
      </c>
      <c r="L28" s="60">
        <f>IF(IF(BB28&lt;&gt;"",BB28,K28)="","",HYPERLINK("https://wa.me/"&amp;IF(LEFT(SUBSTITUTE(SUBSTITUTE(SUBSTITUTE(IF(BB28&lt;&gt;"",BB28,K28)," ",""),".",""),"+",""),1)="0",'Paramètres'!$B$35&amp;MID(SUBSTITUTE(SUBSTITUTE(SUBSTITUTE(IF(BB28&lt;&gt;"",BB28,K28)," ",""),".",""),"+",""),2,20),SUBSTITUTE(SUBSTITUTE(SUBSTITUTE(IF(BB28&lt;&gt;"",BB28,K28)," ",""),".",""),"+","")),"WhatsApp"))</f>
        <v/>
      </c>
      <c r="M28" s="60">
        <f>IF(BC28="","",HYPERLINK(IF(LEFT(BC28,4)="http",BC28,"https://www.instagram.com/"&amp;SUBSTITUTE(SUBSTITUTE(BC28,"@","")," ","")),BC28))</f>
        <v/>
      </c>
      <c r="N28" s="60">
        <f>IF(C28="","",IFERROR(INDEX('Saisie'!$D$5:$D$2004,_xlfn.MINIFS('Saisie'!$AS$5:$AS$2004,'Saisie'!$C$5:$C$2004,C28,'Saisie'!$AU$5:$AU$2004,1)-4),IFERROR(INDEX('Saisie'!$D$5:$D$2004,_xlfn.MINIFS('Saisie'!$AS$5:$AS$2004,'Saisie'!$C$5:$C$2004,C28,'Saisie'!$D$5:$D$2004,"&lt;&gt;")-4),"")))</f>
        <v/>
      </c>
      <c r="O28" s="60">
        <f>IF(C28="","",COUNTIFS('Saisie'!$C$5:$C$2004,C28,'Saisie'!$AU$5:$AU$2004,1))</f>
        <v/>
      </c>
      <c r="P28" s="60">
        <f>IF(C28="","",COUNTIFS('Saisie'!$C$5:$C$2004,C28,'Saisie'!$AV$5:$AV$2004,1))</f>
        <v/>
      </c>
      <c r="Q28" s="106">
        <f>IF(C28="","",IFERROR(1/(1/_xlfn.MAXIFS('Saisie'!$A$5:$A$2004,'Saisie'!$C$5:$C$2004,C28)),""))</f>
        <v/>
      </c>
      <c r="R28" s="61">
        <f>IF(C28="","",IF(Q28="","",TODAY()-Q28))</f>
        <v/>
      </c>
      <c r="S28" s="60">
        <f>IF(C28="","",IFERROR(INDEX('Saisie'!$R$5:$R$2004,_xlfn.MAXIFS('Saisie'!$AS$5:$AS$2004,'Saisie'!$C$5:$C$2004,C28,'Saisie'!$R$5:$R$2004,"&lt;&gt;")-4),""))</f>
        <v/>
      </c>
      <c r="T28" s="60">
        <f>IF(C28="","",IFERROR(INDEX('Saisie'!$S$5:$S$2004,_xlfn.MAXIFS('Saisie'!$AS$5:$AS$2004,'Saisie'!$C$5:$C$2004,C28,'Saisie'!$S$5:$S$2004,"&lt;&gt;")-4),""))</f>
        <v/>
      </c>
      <c r="U28" s="60">
        <f>IF(C28="","",IFERROR(INDEX('Saisie'!$T$5:$T$2004,_xlfn.MAXIFS('Saisie'!$AS$5:$AS$2004,'Saisie'!$C$5:$C$2004,C28,'Saisie'!$T$5:$T$2004,"&lt;&gt;")-4),""))</f>
        <v/>
      </c>
      <c r="V28" s="60">
        <f>IF(C28="","",IFERROR(INDEX('Saisie'!$V$5:$V$2004,_xlfn.MAXIFS('Saisie'!$AS$5:$AS$2004,'Saisie'!$C$5:$C$2004,C28,'Saisie'!$V$5:$V$2004,"&lt;&gt;")-4),""))</f>
        <v/>
      </c>
      <c r="W28" s="60">
        <f>IF(C28="","",IFERROR(INDEX('Saisie'!$Z$5:$Z$2004,_xlfn.MAXIFS('Saisie'!$AS$5:$AS$2004,'Saisie'!$C$5:$C$2004,C28,'Saisie'!$Z$5:$Z$2004,"&lt;&gt;")-4),""))</f>
        <v/>
      </c>
      <c r="X28" s="60">
        <f>IF(C28="","",IFERROR(INDEX('Saisie'!$AA$5:$AA$2004,_xlfn.MAXIFS('Saisie'!$AS$5:$AS$2004,'Saisie'!$C$5:$C$2004,C28,'Saisie'!$AA$5:$AA$2004,"&lt;&gt;")-4),""))</f>
        <v/>
      </c>
      <c r="Y28" s="60">
        <f>IF(C28="","",IFERROR(INDEX('Saisie'!$AB$5:$AB$2004,_xlfn.MAXIFS('Saisie'!$AS$5:$AS$2004,'Saisie'!$C$5:$C$2004,C28,'Saisie'!$AB$5:$AB$2004,"&lt;&gt;")-4),""))</f>
        <v/>
      </c>
      <c r="Z28" s="60">
        <f>IF(C28="","",IFERROR(INDEX('Saisie'!$AC$5:$AC$2004,_xlfn.MAXIFS('Saisie'!$AS$5:$AS$2004,'Saisie'!$C$5:$C$2004,C28,'Saisie'!$AC$5:$AC$2004,"&lt;&gt;")-4),""))</f>
        <v/>
      </c>
      <c r="AA28" s="106">
        <f>IF(C28="","",IFERROR(INDEX('Saisie'!$AD$5:$AD$2004,_xlfn.MAXIFS('Saisie'!$AS$5:$AS$2004,'Saisie'!$C$5:$C$2004,C28,'Saisie'!$AD$5:$AD$2004,"&lt;&gt;")-4),""))</f>
        <v/>
      </c>
      <c r="AB28" s="60">
        <f>IF(C28="","",IFERROR(INDEX('Saisie'!$AE$5:$AE$2004,_xlfn.MAXIFS('Saisie'!$AS$5:$AS$2004,'Saisie'!$C$5:$C$2004,C28,'Saisie'!$AE$5:$AE$2004,"&lt;&gt;")-4),""))</f>
        <v/>
      </c>
      <c r="AC28" s="60">
        <f>IF(C28="","",IFERROR(INDEX('Saisie'!$AF$5:$AF$2004,_xlfn.MAXIFS('Saisie'!$AS$5:$AS$2004,'Saisie'!$C$5:$C$2004,C28,'Saisie'!$AF$5:$AF$2004,"&lt;&gt;")-4),""))</f>
        <v/>
      </c>
      <c r="AD28" s="108">
        <f>IF(C28="","",IFERROR(INDEX('Saisie'!$AG$5:$AG$2004,_xlfn.MAXIFS('Saisie'!$AS$5:$AS$2004,'Saisie'!$C$5:$C$2004,C28,'Saisie'!$AG$5:$AG$2004,"&lt;&gt;")-4),""))</f>
        <v/>
      </c>
      <c r="AE28" s="60">
        <f>IF(C28="","",IFERROR(INDEX('Saisie'!$AH$5:$AH$2004,_xlfn.MAXIFS('Saisie'!$AS$5:$AS$2004,'Saisie'!$C$5:$C$2004,C28,'Saisie'!$AH$5:$AH$2004,"&lt;&gt;")-4),""))</f>
        <v/>
      </c>
      <c r="AF28" s="60">
        <f>IF(C28="","",IFERROR(INDEX('Saisie'!$AI$5:$AI$2004,_xlfn.MAXIFS('Saisie'!$AS$5:$AS$2004,'Saisie'!$C$5:$C$2004,C28,'Saisie'!$AI$5:$AI$2004,"&lt;&gt;")-4),""))</f>
        <v/>
      </c>
      <c r="AG28" s="60">
        <f>IF(C28="","",IFERROR(INDEX('Saisie'!$AJ$5:$AJ$2004,_xlfn.MAXIFS('Saisie'!$AS$5:$AS$2004,'Saisie'!$C$5:$C$2004,C28,'Saisie'!$AJ$5:$AJ$2004,"&lt;&gt;")-4),""))</f>
        <v/>
      </c>
      <c r="AH28" s="60">
        <f>IF(C28="","",IFERROR(INDEX('Saisie'!$AK$5:$AK$2004,_xlfn.MAXIFS('Saisie'!$AS$5:$AS$2004,'Saisie'!$C$5:$C$2004,C28,'Saisie'!$AK$5:$AK$2004,"&lt;&gt;")-4),""))</f>
        <v/>
      </c>
      <c r="AI28" s="60">
        <f>IF(C28="","",IFERROR(INDEX('Saisie'!$AN$5:$AN$2004,_xlfn.MAXIFS('Saisie'!$AS$5:$AS$2004,'Saisie'!$C$5:$C$2004,C28,'Saisie'!$AN$5:$AN$2004,"&lt;&gt;")-4),""))</f>
        <v/>
      </c>
      <c r="AJ28" s="60">
        <f>IF(C28="","",IFERROR(INDEX('Saisie'!$AO$5:$AO$2004,_xlfn.MAXIFS('Saisie'!$AS$5:$AS$2004,'Saisie'!$C$5:$C$2004,C28,'Saisie'!$AO$5:$AO$2004,"&lt;&gt;")-4),""))</f>
        <v/>
      </c>
      <c r="AK28" s="60">
        <f>IF(C28="","",IFERROR(INDEX('Saisie'!$AP$5:$AP$2004,_xlfn.MAXIFS('Saisie'!$AS$5:$AS$2004,'Saisie'!$C$5:$C$2004,C28,'Saisie'!$AP$5:$AP$2004,"&lt;&gt;")-4),""))</f>
        <v/>
      </c>
      <c r="AL28" s="60">
        <f>IF(C28="","",IFERROR(INDEX('Saisie'!$AQ$5:$AQ$2004,_xlfn.MAXIFS('Saisie'!$AS$5:$AS$2004,'Saisie'!$C$5:$C$2004,C28,'Saisie'!$AQ$5:$AQ$2004,"&lt;&gt;")-4),""))</f>
        <v/>
      </c>
      <c r="AM28" s="60">
        <f>IF(C28="","",((AI28="Oui")+(AJ28="Oui")+(AK28="Oui")+OR(AL28="Immédiat",AL28="&lt; 1 mois"))&amp;"/4")</f>
        <v/>
      </c>
      <c r="AN28" s="60">
        <f>IF(C28="","",IFERROR(INDEX('Saisie'!$AL$5:$AL$2004,_xlfn.MAXIFS('Saisie'!$AS$5:$AS$2004,'Saisie'!$C$5:$C$2004,C28,'Saisie'!$AL$5:$AL$2004,"&lt;&gt;")-4),""))</f>
        <v/>
      </c>
      <c r="AO28" s="62">
        <f>IF(C28="","",IF(IFERROR(INDEX('Saisie'!$AM$5:$AM$2004,_xlfn.MAXIFS('Saisie'!$AS$5:$AS$2004,'Saisie'!$C$5:$C$2004,C28,'Saisie'!$AM$5:$AM$2004,"&lt;&gt;")-4),"")&lt;&gt;"",IFERROR(INDEX('Saisie'!$AM$5:$AM$2004,_xlfn.MAXIFS('Saisie'!$AS$5:$AS$2004,'Saisie'!$C$5:$C$2004,C28,'Saisie'!$AM$5:$AM$2004,"&lt;&gt;")-4),""),IFERROR(INDEX('Paramètres'!$S$6:$S$15,MATCH(AN28,'Paramètres'!$Q$6:$Q$15,0)),"")))</f>
        <v/>
      </c>
      <c r="AP28" s="62">
        <f>IF(C28="","",IFERROR(INDEX('Saisie'!$AW$5:$AW$2004,_xlfn.MAXIFS('Saisie'!$AS$5:$AS$2004,'Saisie'!$C$5:$C$2004,C28,'Saisie'!$E$5:$E$2004,"Proposition envoyée")-4),""))</f>
        <v/>
      </c>
      <c r="AQ28" s="106">
        <f>IF(C28="","",IFERROR(1/(1/_xlfn.MAXIFS('Saisie'!$A$5:$A$2004,'Saisie'!$C$5:$C$2004,C28,'Saisie'!$E$5:$E$2004,"Proposition envoyée")),""))</f>
        <v/>
      </c>
      <c r="AR28" s="106">
        <f>IF(C28="","",IF(AQ28="","",AQ28+'Paramètres'!$B$26))</f>
        <v/>
      </c>
      <c r="AS28" s="62">
        <f>IF(OR(C28="",D28="Gagné",D28="Perdu"),0,N(AP28)*IFERROR(INDEX('Paramètres'!$G$6:$G$13,MATCH(D28,'Paramètres'!$F$6:$F$13,0)),0))</f>
        <v/>
      </c>
      <c r="AT28" s="106">
        <f>IF(C28="","",IFERROR(1/(1/_xlfn.MINIFS('Saisie'!$A$5:$A$2004,'Saisie'!$C$5:$C$2004,C28,'Saisie'!$E$5:$E$2004,"Signature")),""))</f>
        <v/>
      </c>
      <c r="AU28" s="60">
        <f>IF(C28="","",IF(OR(AT28="",B28=""),"",AT28-B28))</f>
        <v/>
      </c>
      <c r="AV28" s="60">
        <f>IF(C28="","",IFERROR(INDEX('Saisie'!$L$5:$L$2004,_xlfn.MAXIFS('Saisie'!$AS$5:$AS$2004,'Saisie'!$C$5:$C$2004,C28,'Saisie'!$L$5:$L$2004,"&lt;&gt;")-4),""))</f>
        <v/>
      </c>
      <c r="AW28" s="106">
        <f>IF(C28="","",IF(D28&lt;&gt;"Perdu","",IFERROR(1/(1/_xlfn.MAXIFS('Saisie'!$A$5:$A$2004,'Saisie'!$C$5:$C$2004,C28,'Saisie'!$E$5:$E$2004,"Perdu")),"")))</f>
        <v/>
      </c>
      <c r="AX28" s="106">
        <f>IF(C28="","",IF(AW28="","",AW28+'Paramètres'!$B$28))</f>
        <v/>
      </c>
      <c r="AY28" s="60">
        <f>IF(C28="","",SUMIFS('Saisie'!$H$5:$H$2004,'Saisie'!$C$5:$C$2004,C28))</f>
        <v/>
      </c>
      <c r="AZ28" s="60">
        <f>IF(C28="","",IFERROR(INDEX('Paramètres'!$W$6:$W$20,MATCH(S28,'Paramètres'!$V$6:$V$20,0))&amp;"",""))</f>
        <v/>
      </c>
      <c r="BA28" s="60">
        <f>IF(C28="","",MAX(1,_xlfn.MAXIFS('Saisie'!$AT$5:$AT$2004,'Saisie'!$C$5:$C$2004,C28)))</f>
        <v/>
      </c>
      <c r="BB28" s="60">
        <f>IF(C28="","",IFERROR(INDEX('Saisie'!$X$5:$X$2004,_xlfn.MAXIFS('Saisie'!$AS$5:$AS$2004,'Saisie'!$C$5:$C$2004,C28,'Saisie'!$X$5:$X$2004,"&lt;&gt;")-4),""))</f>
        <v/>
      </c>
      <c r="BC28" s="60">
        <f>IF(C28="","",IFERROR(INDEX('Saisie'!$Y$5:$Y$2004,_xlfn.MAXIFS('Saisie'!$AS$5:$AS$2004,'Saisie'!$C$5:$C$2004,C28,'Saisie'!$Y$5:$Y$2004,"&lt;&gt;")-4),""))</f>
        <v/>
      </c>
      <c r="BD28" s="106">
        <f>IF(C28="","",IFERROR(1/(1/_xlfn.MINIFS('Saisie'!$A$5:$A$2004,'Saisie'!$C$5:$C$2004,C28,'Saisie'!$AT$5:$AT$2004,"&gt;=2")),""))</f>
        <v/>
      </c>
      <c r="BE28" s="106">
        <f>IF(C28="","",IFERROR(1/(1/_xlfn.MINIFS('Saisie'!$A$5:$A$2004,'Saisie'!$C$5:$C$2004,C28,'Saisie'!$AT$5:$AT$2004,"&gt;=3")),""))</f>
        <v/>
      </c>
      <c r="BF28" s="106">
        <f>IF(C28="","",IFERROR(1/(1/_xlfn.MINIFS('Saisie'!$A$5:$A$2004,'Saisie'!$C$5:$C$2004,C28,'Saisie'!$AT$5:$AT$2004,"&gt;=4")),""))</f>
        <v/>
      </c>
      <c r="BG28" s="106">
        <f>IF(C28="","",IFERROR(1/(1/_xlfn.MINIFS('Saisie'!$A$5:$A$2004,'Saisie'!$C$5:$C$2004,C28,'Saisie'!$AT$5:$AT$2004,"&gt;=5")),""))</f>
        <v/>
      </c>
      <c r="BH28" s="106">
        <f>IF(C28="","",IFERROR(1/(1/_xlfn.MINIFS('Saisie'!$A$5:$A$2004,'Saisie'!$C$5:$C$2004,C28,'Saisie'!$AT$5:$AT$2004,"&gt;=6")),""))</f>
        <v/>
      </c>
      <c r="BI28" s="106">
        <f>IF(C28="","",IFERROR(1/(1/_xlfn.MINIFS('Saisie'!$A$5:$A$2004,'Saisie'!$C$5:$C$2004,C28,'Saisie'!$AT$5:$AT$2004,"&gt;=7")),""))</f>
        <v/>
      </c>
      <c r="BJ28" s="60">
        <f>IF(OR(BD28="",B28=""),"",BD28-B28)</f>
        <v/>
      </c>
      <c r="BK28" s="60">
        <f>IF(OR(BE28="",BD28=""),"",BE28-BD28)</f>
        <v/>
      </c>
      <c r="BL28" s="60">
        <f>IF(OR(BF28="",BE28=""),"",BF28-BE28)</f>
        <v/>
      </c>
      <c r="BM28" s="60">
        <f>IF(OR(BG28="",BF28=""),"",BG28-BF28)</f>
        <v/>
      </c>
      <c r="BN28" s="60">
        <f>IF(OR(BH28="",BG28=""),"",BH28-BG28)</f>
        <v/>
      </c>
      <c r="BO28" s="60">
        <f>IF(OR(BI28="",BH28=""),"",BI28-BH28)</f>
        <v/>
      </c>
      <c r="BP28" s="60">
        <f>IF(C28="","",_xlfn.MAXIFS('Saisie'!$AS$5:$AS$2004,'Saisie'!$C$5:$C$2004,C28,'Saisie'!$J$5:$J$2004,"&lt;&gt;"))</f>
        <v/>
      </c>
      <c r="BQ28" s="60">
        <f>IF(C28="","",_xlfn.MAXIFS('Saisie'!$AS$5:$AS$2004,'Saisie'!$C$5:$C$2004,C28))</f>
        <v/>
      </c>
      <c r="BR28" s="60">
        <f>IF(C28="","",_xlfn.MAXIFS('Saisie'!$AS$5:$AS$2004,'Saisie'!$C$5:$C$2004,C28,'Saisie'!$E$5:$E$2004,"Perdu"))</f>
        <v/>
      </c>
      <c r="BS28" s="60">
        <f>IF(C28="","",_xlfn.MAXIFS('Saisie'!$AS$5:$AS$2004,'Saisie'!$C$5:$C$2004,C28,'Saisie'!$AT$5:$AT$2004,"&gt;0"))</f>
        <v/>
      </c>
      <c r="BT28" s="109">
        <f>IF(AND(C28&lt;&gt;"",OR(D28="Nouveau",D28="Contacté",D28="Qualifié"),OR(G28="",N(G28)&lt;=TODAY()),NOT(AND(O28&gt;='Paramètres'!$B$21,P28=0))),E28+24/10000,"")</f>
        <v/>
      </c>
      <c r="BU28" s="60">
        <f>IF(AND(G28&lt;&gt;"",N(G28)&lt;=TODAY()),MAX($BU$4:BU27)+1,"")</f>
        <v/>
      </c>
      <c r="BV28" s="60">
        <f>IF(AND(F28&lt;&gt;"",F28&lt;&gt;"Relance en retard"),MAX($BV$4:BV27)+1,"")</f>
        <v/>
      </c>
      <c r="BW28" s="60">
        <f>IF(C28="","",IF(AND(B28&gt;='Tableau de bord'!$R$4,B28&lt;='Tableau de bord'!$S$4,OR('Tableau de bord'!$G$4="Tous",N28='Tableau de bord'!$G$4)),1,0))</f>
        <v/>
      </c>
      <c r="BX28" s="60">
        <f>IF(AND(C28&lt;&gt;"",N(BA28)=7),MAX($BX$4:BX27)+1,"")</f>
        <v/>
      </c>
    </row>
    <row r="29">
      <c r="A29" s="60">
        <f>IF(C29="","","P-"&amp;TEXT(25,"000"))</f>
        <v/>
      </c>
      <c r="B29" s="106">
        <f>IF(C29="","",IFERROR(1/(1/_xlfn.MINIFS('Saisie'!$A$5:$A$2004,'Saisie'!$C$5:$C$2004,C29)),""))</f>
        <v/>
      </c>
      <c r="C29" s="60">
        <f>IFERROR(INDEX('Saisie'!$C$5:$C$2004,MATCH(25,'Saisie'!$AX$5:$AX$2004,0)),"")</f>
        <v/>
      </c>
      <c r="D29" s="60">
        <f>IF(C29="","",IF(AND(BR29&gt;0,BR29&gt;BS29,BA29&lt;7),"Perdu",INDEX('Paramètres'!$F$6:$F$13,BA29)))</f>
        <v/>
      </c>
      <c r="E29" s="61">
        <f>IF(C29="","",MIN(100,(Z29="Oui")*'Paramètres'!$B$38+(AB29="Régulière")*'Paramètres'!$B$39+IF(AND(N(AA29)&gt;0,TODAY()-N(AA29)&lt;=30),'Paramètres'!$B$40,0)+(W29="")*'Paramètres'!$B$41+(AC29="Absente")*'Paramètres'!$B$42+(AC29="Faible")*'Paramètres'!$B$43+IF(AND(N(AD29)&gt;0,N(AD29)&lt;4),'Paramètres'!$B$44,0)+(AF29="Moyenne")*'Paramètres'!$B$45+(AF29="Grande")*'Paramètres'!$B$46+(Y29&lt;&gt;"")*'Paramètres'!$B$47))</f>
        <v/>
      </c>
      <c r="F29" s="60">
        <f>IF(C29="","",IF(D29="Gagné","",IF(D29="Perdu",IF(AND(AX29&lt;&gt;"",AX29&lt;=TODAY()),"À recontacter (perdu)",""),IF(AND(O29&gt;='Paramètres'!$B$21,P29=0),"Stop : "&amp;'Paramètres'!$B$21&amp;" tentatives sans réponse",IF(AND(D29="Proposition",AR29&lt;&gt;"",TODAY()&gt;N(AR29)),"Proposition expirée",IF(AND(D29="Proposition",N(R29)&gt;='Paramètres'!$B$25),"Proposition sans réponse",IF(AND(G29&lt;&gt;"",N(G29)&lt;TODAY()),"Relance en retard",IF(N(R29)&gt;='Paramètres'!$B$24,"Sans action depuis "&amp;R29&amp;" j",""))))))))</f>
        <v/>
      </c>
      <c r="G29" s="106">
        <f>IF(OR(C29="",D29="Gagné",D29="Perdu"),"",IF(AND(BP29&gt;0,BP29=BQ29),INDEX('Saisie'!$J$5:$J$2004,BP29-4),IF(OR(O29=0,AND(O29&gt;='Paramètres'!$B$21,P29=0)),"",Q29+IF(O29&lt;=1,'Paramètres'!$B$18,IF(O29=2,'Paramètres'!$B$19,'Paramètres'!$B$20)))))</f>
        <v/>
      </c>
      <c r="H29" s="107">
        <f>IF(OR(G29="",BP29&lt;&gt;BQ29),"",IF(INDEX('Saisie'!$K$5:$K$2004,BP29-4)="","",INDEX('Saisie'!$K$5:$K$2004,BP29-4)))</f>
        <v/>
      </c>
      <c r="I29" s="60">
        <f>IF(C29="","",IF(OR(D29="Gagné",D29="Perdu"),"",IFERROR(INDEX('Saisie'!$I$5:$I$2004,_xlfn.MAXIFS('Saisie'!$AS$5:$AS$2004,'Saisie'!$C$5:$C$2004,C29,'Saisie'!$I$5:$I$2004,"&lt;&gt;")-4),"")))</f>
        <v/>
      </c>
      <c r="J29" s="60">
        <f>IF(C29="","",IFERROR(INDEX('Saisie'!$U$5:$U$2004,_xlfn.MAXIFS('Saisie'!$AS$5:$AS$2004,'Saisie'!$C$5:$C$2004,C29,'Saisie'!$U$5:$U$2004,"&lt;&gt;")-4),""))</f>
        <v/>
      </c>
      <c r="K29" s="60">
        <f>IF(C29="","",IFERROR(INDEX('Saisie'!$W$5:$W$2004,_xlfn.MAXIFS('Saisie'!$AS$5:$AS$2004,'Saisie'!$C$5:$C$2004,C29,'Saisie'!$W$5:$W$2004,"&lt;&gt;")-4),""))</f>
        <v/>
      </c>
      <c r="L29" s="60">
        <f>IF(IF(BB29&lt;&gt;"",BB29,K29)="","",HYPERLINK("https://wa.me/"&amp;IF(LEFT(SUBSTITUTE(SUBSTITUTE(SUBSTITUTE(IF(BB29&lt;&gt;"",BB29,K29)," ",""),".",""),"+",""),1)="0",'Paramètres'!$B$35&amp;MID(SUBSTITUTE(SUBSTITUTE(SUBSTITUTE(IF(BB29&lt;&gt;"",BB29,K29)," ",""),".",""),"+",""),2,20),SUBSTITUTE(SUBSTITUTE(SUBSTITUTE(IF(BB29&lt;&gt;"",BB29,K29)," ",""),".",""),"+","")),"WhatsApp"))</f>
        <v/>
      </c>
      <c r="M29" s="60">
        <f>IF(BC29="","",HYPERLINK(IF(LEFT(BC29,4)="http",BC29,"https://www.instagram.com/"&amp;SUBSTITUTE(SUBSTITUTE(BC29,"@","")," ","")),BC29))</f>
        <v/>
      </c>
      <c r="N29" s="60">
        <f>IF(C29="","",IFERROR(INDEX('Saisie'!$D$5:$D$2004,_xlfn.MINIFS('Saisie'!$AS$5:$AS$2004,'Saisie'!$C$5:$C$2004,C29,'Saisie'!$AU$5:$AU$2004,1)-4),IFERROR(INDEX('Saisie'!$D$5:$D$2004,_xlfn.MINIFS('Saisie'!$AS$5:$AS$2004,'Saisie'!$C$5:$C$2004,C29,'Saisie'!$D$5:$D$2004,"&lt;&gt;")-4),"")))</f>
        <v/>
      </c>
      <c r="O29" s="60">
        <f>IF(C29="","",COUNTIFS('Saisie'!$C$5:$C$2004,C29,'Saisie'!$AU$5:$AU$2004,1))</f>
        <v/>
      </c>
      <c r="P29" s="60">
        <f>IF(C29="","",COUNTIFS('Saisie'!$C$5:$C$2004,C29,'Saisie'!$AV$5:$AV$2004,1))</f>
        <v/>
      </c>
      <c r="Q29" s="106">
        <f>IF(C29="","",IFERROR(1/(1/_xlfn.MAXIFS('Saisie'!$A$5:$A$2004,'Saisie'!$C$5:$C$2004,C29)),""))</f>
        <v/>
      </c>
      <c r="R29" s="61">
        <f>IF(C29="","",IF(Q29="","",TODAY()-Q29))</f>
        <v/>
      </c>
      <c r="S29" s="60">
        <f>IF(C29="","",IFERROR(INDEX('Saisie'!$R$5:$R$2004,_xlfn.MAXIFS('Saisie'!$AS$5:$AS$2004,'Saisie'!$C$5:$C$2004,C29,'Saisie'!$R$5:$R$2004,"&lt;&gt;")-4),""))</f>
        <v/>
      </c>
      <c r="T29" s="60">
        <f>IF(C29="","",IFERROR(INDEX('Saisie'!$S$5:$S$2004,_xlfn.MAXIFS('Saisie'!$AS$5:$AS$2004,'Saisie'!$C$5:$C$2004,C29,'Saisie'!$S$5:$S$2004,"&lt;&gt;")-4),""))</f>
        <v/>
      </c>
      <c r="U29" s="60">
        <f>IF(C29="","",IFERROR(INDEX('Saisie'!$T$5:$T$2004,_xlfn.MAXIFS('Saisie'!$AS$5:$AS$2004,'Saisie'!$C$5:$C$2004,C29,'Saisie'!$T$5:$T$2004,"&lt;&gt;")-4),""))</f>
        <v/>
      </c>
      <c r="V29" s="60">
        <f>IF(C29="","",IFERROR(INDEX('Saisie'!$V$5:$V$2004,_xlfn.MAXIFS('Saisie'!$AS$5:$AS$2004,'Saisie'!$C$5:$C$2004,C29,'Saisie'!$V$5:$V$2004,"&lt;&gt;")-4),""))</f>
        <v/>
      </c>
      <c r="W29" s="60">
        <f>IF(C29="","",IFERROR(INDEX('Saisie'!$Z$5:$Z$2004,_xlfn.MAXIFS('Saisie'!$AS$5:$AS$2004,'Saisie'!$C$5:$C$2004,C29,'Saisie'!$Z$5:$Z$2004,"&lt;&gt;")-4),""))</f>
        <v/>
      </c>
      <c r="X29" s="60">
        <f>IF(C29="","",IFERROR(INDEX('Saisie'!$AA$5:$AA$2004,_xlfn.MAXIFS('Saisie'!$AS$5:$AS$2004,'Saisie'!$C$5:$C$2004,C29,'Saisie'!$AA$5:$AA$2004,"&lt;&gt;")-4),""))</f>
        <v/>
      </c>
      <c r="Y29" s="60">
        <f>IF(C29="","",IFERROR(INDEX('Saisie'!$AB$5:$AB$2004,_xlfn.MAXIFS('Saisie'!$AS$5:$AS$2004,'Saisie'!$C$5:$C$2004,C29,'Saisie'!$AB$5:$AB$2004,"&lt;&gt;")-4),""))</f>
        <v/>
      </c>
      <c r="Z29" s="60">
        <f>IF(C29="","",IFERROR(INDEX('Saisie'!$AC$5:$AC$2004,_xlfn.MAXIFS('Saisie'!$AS$5:$AS$2004,'Saisie'!$C$5:$C$2004,C29,'Saisie'!$AC$5:$AC$2004,"&lt;&gt;")-4),""))</f>
        <v/>
      </c>
      <c r="AA29" s="106">
        <f>IF(C29="","",IFERROR(INDEX('Saisie'!$AD$5:$AD$2004,_xlfn.MAXIFS('Saisie'!$AS$5:$AS$2004,'Saisie'!$C$5:$C$2004,C29,'Saisie'!$AD$5:$AD$2004,"&lt;&gt;")-4),""))</f>
        <v/>
      </c>
      <c r="AB29" s="60">
        <f>IF(C29="","",IFERROR(INDEX('Saisie'!$AE$5:$AE$2004,_xlfn.MAXIFS('Saisie'!$AS$5:$AS$2004,'Saisie'!$C$5:$C$2004,C29,'Saisie'!$AE$5:$AE$2004,"&lt;&gt;")-4),""))</f>
        <v/>
      </c>
      <c r="AC29" s="60">
        <f>IF(C29="","",IFERROR(INDEX('Saisie'!$AF$5:$AF$2004,_xlfn.MAXIFS('Saisie'!$AS$5:$AS$2004,'Saisie'!$C$5:$C$2004,C29,'Saisie'!$AF$5:$AF$2004,"&lt;&gt;")-4),""))</f>
        <v/>
      </c>
      <c r="AD29" s="108">
        <f>IF(C29="","",IFERROR(INDEX('Saisie'!$AG$5:$AG$2004,_xlfn.MAXIFS('Saisie'!$AS$5:$AS$2004,'Saisie'!$C$5:$C$2004,C29,'Saisie'!$AG$5:$AG$2004,"&lt;&gt;")-4),""))</f>
        <v/>
      </c>
      <c r="AE29" s="60">
        <f>IF(C29="","",IFERROR(INDEX('Saisie'!$AH$5:$AH$2004,_xlfn.MAXIFS('Saisie'!$AS$5:$AS$2004,'Saisie'!$C$5:$C$2004,C29,'Saisie'!$AH$5:$AH$2004,"&lt;&gt;")-4),""))</f>
        <v/>
      </c>
      <c r="AF29" s="60">
        <f>IF(C29="","",IFERROR(INDEX('Saisie'!$AI$5:$AI$2004,_xlfn.MAXIFS('Saisie'!$AS$5:$AS$2004,'Saisie'!$C$5:$C$2004,C29,'Saisie'!$AI$5:$AI$2004,"&lt;&gt;")-4),""))</f>
        <v/>
      </c>
      <c r="AG29" s="60">
        <f>IF(C29="","",IFERROR(INDEX('Saisie'!$AJ$5:$AJ$2004,_xlfn.MAXIFS('Saisie'!$AS$5:$AS$2004,'Saisie'!$C$5:$C$2004,C29,'Saisie'!$AJ$5:$AJ$2004,"&lt;&gt;")-4),""))</f>
        <v/>
      </c>
      <c r="AH29" s="60">
        <f>IF(C29="","",IFERROR(INDEX('Saisie'!$AK$5:$AK$2004,_xlfn.MAXIFS('Saisie'!$AS$5:$AS$2004,'Saisie'!$C$5:$C$2004,C29,'Saisie'!$AK$5:$AK$2004,"&lt;&gt;")-4),""))</f>
        <v/>
      </c>
      <c r="AI29" s="60">
        <f>IF(C29="","",IFERROR(INDEX('Saisie'!$AN$5:$AN$2004,_xlfn.MAXIFS('Saisie'!$AS$5:$AS$2004,'Saisie'!$C$5:$C$2004,C29,'Saisie'!$AN$5:$AN$2004,"&lt;&gt;")-4),""))</f>
        <v/>
      </c>
      <c r="AJ29" s="60">
        <f>IF(C29="","",IFERROR(INDEX('Saisie'!$AO$5:$AO$2004,_xlfn.MAXIFS('Saisie'!$AS$5:$AS$2004,'Saisie'!$C$5:$C$2004,C29,'Saisie'!$AO$5:$AO$2004,"&lt;&gt;")-4),""))</f>
        <v/>
      </c>
      <c r="AK29" s="60">
        <f>IF(C29="","",IFERROR(INDEX('Saisie'!$AP$5:$AP$2004,_xlfn.MAXIFS('Saisie'!$AS$5:$AS$2004,'Saisie'!$C$5:$C$2004,C29,'Saisie'!$AP$5:$AP$2004,"&lt;&gt;")-4),""))</f>
        <v/>
      </c>
      <c r="AL29" s="60">
        <f>IF(C29="","",IFERROR(INDEX('Saisie'!$AQ$5:$AQ$2004,_xlfn.MAXIFS('Saisie'!$AS$5:$AS$2004,'Saisie'!$C$5:$C$2004,C29,'Saisie'!$AQ$5:$AQ$2004,"&lt;&gt;")-4),""))</f>
        <v/>
      </c>
      <c r="AM29" s="60">
        <f>IF(C29="","",((AI29="Oui")+(AJ29="Oui")+(AK29="Oui")+OR(AL29="Immédiat",AL29="&lt; 1 mois"))&amp;"/4")</f>
        <v/>
      </c>
      <c r="AN29" s="60">
        <f>IF(C29="","",IFERROR(INDEX('Saisie'!$AL$5:$AL$2004,_xlfn.MAXIFS('Saisie'!$AS$5:$AS$2004,'Saisie'!$C$5:$C$2004,C29,'Saisie'!$AL$5:$AL$2004,"&lt;&gt;")-4),""))</f>
        <v/>
      </c>
      <c r="AO29" s="62">
        <f>IF(C29="","",IF(IFERROR(INDEX('Saisie'!$AM$5:$AM$2004,_xlfn.MAXIFS('Saisie'!$AS$5:$AS$2004,'Saisie'!$C$5:$C$2004,C29,'Saisie'!$AM$5:$AM$2004,"&lt;&gt;")-4),"")&lt;&gt;"",IFERROR(INDEX('Saisie'!$AM$5:$AM$2004,_xlfn.MAXIFS('Saisie'!$AS$5:$AS$2004,'Saisie'!$C$5:$C$2004,C29,'Saisie'!$AM$5:$AM$2004,"&lt;&gt;")-4),""),IFERROR(INDEX('Paramètres'!$S$6:$S$15,MATCH(AN29,'Paramètres'!$Q$6:$Q$15,0)),"")))</f>
        <v/>
      </c>
      <c r="AP29" s="62">
        <f>IF(C29="","",IFERROR(INDEX('Saisie'!$AW$5:$AW$2004,_xlfn.MAXIFS('Saisie'!$AS$5:$AS$2004,'Saisie'!$C$5:$C$2004,C29,'Saisie'!$E$5:$E$2004,"Proposition envoyée")-4),""))</f>
        <v/>
      </c>
      <c r="AQ29" s="106">
        <f>IF(C29="","",IFERROR(1/(1/_xlfn.MAXIFS('Saisie'!$A$5:$A$2004,'Saisie'!$C$5:$C$2004,C29,'Saisie'!$E$5:$E$2004,"Proposition envoyée")),""))</f>
        <v/>
      </c>
      <c r="AR29" s="106">
        <f>IF(C29="","",IF(AQ29="","",AQ29+'Paramètres'!$B$26))</f>
        <v/>
      </c>
      <c r="AS29" s="62">
        <f>IF(OR(C29="",D29="Gagné",D29="Perdu"),0,N(AP29)*IFERROR(INDEX('Paramètres'!$G$6:$G$13,MATCH(D29,'Paramètres'!$F$6:$F$13,0)),0))</f>
        <v/>
      </c>
      <c r="AT29" s="106">
        <f>IF(C29="","",IFERROR(1/(1/_xlfn.MINIFS('Saisie'!$A$5:$A$2004,'Saisie'!$C$5:$C$2004,C29,'Saisie'!$E$5:$E$2004,"Signature")),""))</f>
        <v/>
      </c>
      <c r="AU29" s="60">
        <f>IF(C29="","",IF(OR(AT29="",B29=""),"",AT29-B29))</f>
        <v/>
      </c>
      <c r="AV29" s="60">
        <f>IF(C29="","",IFERROR(INDEX('Saisie'!$L$5:$L$2004,_xlfn.MAXIFS('Saisie'!$AS$5:$AS$2004,'Saisie'!$C$5:$C$2004,C29,'Saisie'!$L$5:$L$2004,"&lt;&gt;")-4),""))</f>
        <v/>
      </c>
      <c r="AW29" s="106">
        <f>IF(C29="","",IF(D29&lt;&gt;"Perdu","",IFERROR(1/(1/_xlfn.MAXIFS('Saisie'!$A$5:$A$2004,'Saisie'!$C$5:$C$2004,C29,'Saisie'!$E$5:$E$2004,"Perdu")),"")))</f>
        <v/>
      </c>
      <c r="AX29" s="106">
        <f>IF(C29="","",IF(AW29="","",AW29+'Paramètres'!$B$28))</f>
        <v/>
      </c>
      <c r="AY29" s="60">
        <f>IF(C29="","",SUMIFS('Saisie'!$H$5:$H$2004,'Saisie'!$C$5:$C$2004,C29))</f>
        <v/>
      </c>
      <c r="AZ29" s="60">
        <f>IF(C29="","",IFERROR(INDEX('Paramètres'!$W$6:$W$20,MATCH(S29,'Paramètres'!$V$6:$V$20,0))&amp;"",""))</f>
        <v/>
      </c>
      <c r="BA29" s="60">
        <f>IF(C29="","",MAX(1,_xlfn.MAXIFS('Saisie'!$AT$5:$AT$2004,'Saisie'!$C$5:$C$2004,C29)))</f>
        <v/>
      </c>
      <c r="BB29" s="60">
        <f>IF(C29="","",IFERROR(INDEX('Saisie'!$X$5:$X$2004,_xlfn.MAXIFS('Saisie'!$AS$5:$AS$2004,'Saisie'!$C$5:$C$2004,C29,'Saisie'!$X$5:$X$2004,"&lt;&gt;")-4),""))</f>
        <v/>
      </c>
      <c r="BC29" s="60">
        <f>IF(C29="","",IFERROR(INDEX('Saisie'!$Y$5:$Y$2004,_xlfn.MAXIFS('Saisie'!$AS$5:$AS$2004,'Saisie'!$C$5:$C$2004,C29,'Saisie'!$Y$5:$Y$2004,"&lt;&gt;")-4),""))</f>
        <v/>
      </c>
      <c r="BD29" s="106">
        <f>IF(C29="","",IFERROR(1/(1/_xlfn.MINIFS('Saisie'!$A$5:$A$2004,'Saisie'!$C$5:$C$2004,C29,'Saisie'!$AT$5:$AT$2004,"&gt;=2")),""))</f>
        <v/>
      </c>
      <c r="BE29" s="106">
        <f>IF(C29="","",IFERROR(1/(1/_xlfn.MINIFS('Saisie'!$A$5:$A$2004,'Saisie'!$C$5:$C$2004,C29,'Saisie'!$AT$5:$AT$2004,"&gt;=3")),""))</f>
        <v/>
      </c>
      <c r="BF29" s="106">
        <f>IF(C29="","",IFERROR(1/(1/_xlfn.MINIFS('Saisie'!$A$5:$A$2004,'Saisie'!$C$5:$C$2004,C29,'Saisie'!$AT$5:$AT$2004,"&gt;=4")),""))</f>
        <v/>
      </c>
      <c r="BG29" s="106">
        <f>IF(C29="","",IFERROR(1/(1/_xlfn.MINIFS('Saisie'!$A$5:$A$2004,'Saisie'!$C$5:$C$2004,C29,'Saisie'!$AT$5:$AT$2004,"&gt;=5")),""))</f>
        <v/>
      </c>
      <c r="BH29" s="106">
        <f>IF(C29="","",IFERROR(1/(1/_xlfn.MINIFS('Saisie'!$A$5:$A$2004,'Saisie'!$C$5:$C$2004,C29,'Saisie'!$AT$5:$AT$2004,"&gt;=6")),""))</f>
        <v/>
      </c>
      <c r="BI29" s="106">
        <f>IF(C29="","",IFERROR(1/(1/_xlfn.MINIFS('Saisie'!$A$5:$A$2004,'Saisie'!$C$5:$C$2004,C29,'Saisie'!$AT$5:$AT$2004,"&gt;=7")),""))</f>
        <v/>
      </c>
      <c r="BJ29" s="60">
        <f>IF(OR(BD29="",B29=""),"",BD29-B29)</f>
        <v/>
      </c>
      <c r="BK29" s="60">
        <f>IF(OR(BE29="",BD29=""),"",BE29-BD29)</f>
        <v/>
      </c>
      <c r="BL29" s="60">
        <f>IF(OR(BF29="",BE29=""),"",BF29-BE29)</f>
        <v/>
      </c>
      <c r="BM29" s="60">
        <f>IF(OR(BG29="",BF29=""),"",BG29-BF29)</f>
        <v/>
      </c>
      <c r="BN29" s="60">
        <f>IF(OR(BH29="",BG29=""),"",BH29-BG29)</f>
        <v/>
      </c>
      <c r="BO29" s="60">
        <f>IF(OR(BI29="",BH29=""),"",BI29-BH29)</f>
        <v/>
      </c>
      <c r="BP29" s="60">
        <f>IF(C29="","",_xlfn.MAXIFS('Saisie'!$AS$5:$AS$2004,'Saisie'!$C$5:$C$2004,C29,'Saisie'!$J$5:$J$2004,"&lt;&gt;"))</f>
        <v/>
      </c>
      <c r="BQ29" s="60">
        <f>IF(C29="","",_xlfn.MAXIFS('Saisie'!$AS$5:$AS$2004,'Saisie'!$C$5:$C$2004,C29))</f>
        <v/>
      </c>
      <c r="BR29" s="60">
        <f>IF(C29="","",_xlfn.MAXIFS('Saisie'!$AS$5:$AS$2004,'Saisie'!$C$5:$C$2004,C29,'Saisie'!$E$5:$E$2004,"Perdu"))</f>
        <v/>
      </c>
      <c r="BS29" s="60">
        <f>IF(C29="","",_xlfn.MAXIFS('Saisie'!$AS$5:$AS$2004,'Saisie'!$C$5:$C$2004,C29,'Saisie'!$AT$5:$AT$2004,"&gt;0"))</f>
        <v/>
      </c>
      <c r="BT29" s="109">
        <f>IF(AND(C29&lt;&gt;"",OR(D29="Nouveau",D29="Contacté",D29="Qualifié"),OR(G29="",N(G29)&lt;=TODAY()),NOT(AND(O29&gt;='Paramètres'!$B$21,P29=0))),E29+25/10000,"")</f>
        <v/>
      </c>
      <c r="BU29" s="60">
        <f>IF(AND(G29&lt;&gt;"",N(G29)&lt;=TODAY()),MAX($BU$4:BU28)+1,"")</f>
        <v/>
      </c>
      <c r="BV29" s="60">
        <f>IF(AND(F29&lt;&gt;"",F29&lt;&gt;"Relance en retard"),MAX($BV$4:BV28)+1,"")</f>
        <v/>
      </c>
      <c r="BW29" s="60">
        <f>IF(C29="","",IF(AND(B29&gt;='Tableau de bord'!$R$4,B29&lt;='Tableau de bord'!$S$4,OR('Tableau de bord'!$G$4="Tous",N29='Tableau de bord'!$G$4)),1,0))</f>
        <v/>
      </c>
      <c r="BX29" s="60">
        <f>IF(AND(C29&lt;&gt;"",N(BA29)=7),MAX($BX$4:BX28)+1,"")</f>
        <v/>
      </c>
    </row>
    <row r="30">
      <c r="A30" s="60">
        <f>IF(C30="","","P-"&amp;TEXT(26,"000"))</f>
        <v/>
      </c>
      <c r="B30" s="106">
        <f>IF(C30="","",IFERROR(1/(1/_xlfn.MINIFS('Saisie'!$A$5:$A$2004,'Saisie'!$C$5:$C$2004,C30)),""))</f>
        <v/>
      </c>
      <c r="C30" s="60">
        <f>IFERROR(INDEX('Saisie'!$C$5:$C$2004,MATCH(26,'Saisie'!$AX$5:$AX$2004,0)),"")</f>
        <v/>
      </c>
      <c r="D30" s="60">
        <f>IF(C30="","",IF(AND(BR30&gt;0,BR30&gt;BS30,BA30&lt;7),"Perdu",INDEX('Paramètres'!$F$6:$F$13,BA30)))</f>
        <v/>
      </c>
      <c r="E30" s="61">
        <f>IF(C30="","",MIN(100,(Z30="Oui")*'Paramètres'!$B$38+(AB30="Régulière")*'Paramètres'!$B$39+IF(AND(N(AA30)&gt;0,TODAY()-N(AA30)&lt;=30),'Paramètres'!$B$40,0)+(W30="")*'Paramètres'!$B$41+(AC30="Absente")*'Paramètres'!$B$42+(AC30="Faible")*'Paramètres'!$B$43+IF(AND(N(AD30)&gt;0,N(AD30)&lt;4),'Paramètres'!$B$44,0)+(AF30="Moyenne")*'Paramètres'!$B$45+(AF30="Grande")*'Paramètres'!$B$46+(Y30&lt;&gt;"")*'Paramètres'!$B$47))</f>
        <v/>
      </c>
      <c r="F30" s="60">
        <f>IF(C30="","",IF(D30="Gagné","",IF(D30="Perdu",IF(AND(AX30&lt;&gt;"",AX30&lt;=TODAY()),"À recontacter (perdu)",""),IF(AND(O30&gt;='Paramètres'!$B$21,P30=0),"Stop : "&amp;'Paramètres'!$B$21&amp;" tentatives sans réponse",IF(AND(D30="Proposition",AR30&lt;&gt;"",TODAY()&gt;N(AR30)),"Proposition expirée",IF(AND(D30="Proposition",N(R30)&gt;='Paramètres'!$B$25),"Proposition sans réponse",IF(AND(G30&lt;&gt;"",N(G30)&lt;TODAY()),"Relance en retard",IF(N(R30)&gt;='Paramètres'!$B$24,"Sans action depuis "&amp;R30&amp;" j",""))))))))</f>
        <v/>
      </c>
      <c r="G30" s="106">
        <f>IF(OR(C30="",D30="Gagné",D30="Perdu"),"",IF(AND(BP30&gt;0,BP30=BQ30),INDEX('Saisie'!$J$5:$J$2004,BP30-4),IF(OR(O30=0,AND(O30&gt;='Paramètres'!$B$21,P30=0)),"",Q30+IF(O30&lt;=1,'Paramètres'!$B$18,IF(O30=2,'Paramètres'!$B$19,'Paramètres'!$B$20)))))</f>
        <v/>
      </c>
      <c r="H30" s="107">
        <f>IF(OR(G30="",BP30&lt;&gt;BQ30),"",IF(INDEX('Saisie'!$K$5:$K$2004,BP30-4)="","",INDEX('Saisie'!$K$5:$K$2004,BP30-4)))</f>
        <v/>
      </c>
      <c r="I30" s="60">
        <f>IF(C30="","",IF(OR(D30="Gagné",D30="Perdu"),"",IFERROR(INDEX('Saisie'!$I$5:$I$2004,_xlfn.MAXIFS('Saisie'!$AS$5:$AS$2004,'Saisie'!$C$5:$C$2004,C30,'Saisie'!$I$5:$I$2004,"&lt;&gt;")-4),"")))</f>
        <v/>
      </c>
      <c r="J30" s="60">
        <f>IF(C30="","",IFERROR(INDEX('Saisie'!$U$5:$U$2004,_xlfn.MAXIFS('Saisie'!$AS$5:$AS$2004,'Saisie'!$C$5:$C$2004,C30,'Saisie'!$U$5:$U$2004,"&lt;&gt;")-4),""))</f>
        <v/>
      </c>
      <c r="K30" s="60">
        <f>IF(C30="","",IFERROR(INDEX('Saisie'!$W$5:$W$2004,_xlfn.MAXIFS('Saisie'!$AS$5:$AS$2004,'Saisie'!$C$5:$C$2004,C30,'Saisie'!$W$5:$W$2004,"&lt;&gt;")-4),""))</f>
        <v/>
      </c>
      <c r="L30" s="60">
        <f>IF(IF(BB30&lt;&gt;"",BB30,K30)="","",HYPERLINK("https://wa.me/"&amp;IF(LEFT(SUBSTITUTE(SUBSTITUTE(SUBSTITUTE(IF(BB30&lt;&gt;"",BB30,K30)," ",""),".",""),"+",""),1)="0",'Paramètres'!$B$35&amp;MID(SUBSTITUTE(SUBSTITUTE(SUBSTITUTE(IF(BB30&lt;&gt;"",BB30,K30)," ",""),".",""),"+",""),2,20),SUBSTITUTE(SUBSTITUTE(SUBSTITUTE(IF(BB30&lt;&gt;"",BB30,K30)," ",""),".",""),"+","")),"WhatsApp"))</f>
        <v/>
      </c>
      <c r="M30" s="60">
        <f>IF(BC30="","",HYPERLINK(IF(LEFT(BC30,4)="http",BC30,"https://www.instagram.com/"&amp;SUBSTITUTE(SUBSTITUTE(BC30,"@","")," ","")),BC30))</f>
        <v/>
      </c>
      <c r="N30" s="60">
        <f>IF(C30="","",IFERROR(INDEX('Saisie'!$D$5:$D$2004,_xlfn.MINIFS('Saisie'!$AS$5:$AS$2004,'Saisie'!$C$5:$C$2004,C30,'Saisie'!$AU$5:$AU$2004,1)-4),IFERROR(INDEX('Saisie'!$D$5:$D$2004,_xlfn.MINIFS('Saisie'!$AS$5:$AS$2004,'Saisie'!$C$5:$C$2004,C30,'Saisie'!$D$5:$D$2004,"&lt;&gt;")-4),"")))</f>
        <v/>
      </c>
      <c r="O30" s="60">
        <f>IF(C30="","",COUNTIFS('Saisie'!$C$5:$C$2004,C30,'Saisie'!$AU$5:$AU$2004,1))</f>
        <v/>
      </c>
      <c r="P30" s="60">
        <f>IF(C30="","",COUNTIFS('Saisie'!$C$5:$C$2004,C30,'Saisie'!$AV$5:$AV$2004,1))</f>
        <v/>
      </c>
      <c r="Q30" s="106">
        <f>IF(C30="","",IFERROR(1/(1/_xlfn.MAXIFS('Saisie'!$A$5:$A$2004,'Saisie'!$C$5:$C$2004,C30)),""))</f>
        <v/>
      </c>
      <c r="R30" s="61">
        <f>IF(C30="","",IF(Q30="","",TODAY()-Q30))</f>
        <v/>
      </c>
      <c r="S30" s="60">
        <f>IF(C30="","",IFERROR(INDEX('Saisie'!$R$5:$R$2004,_xlfn.MAXIFS('Saisie'!$AS$5:$AS$2004,'Saisie'!$C$5:$C$2004,C30,'Saisie'!$R$5:$R$2004,"&lt;&gt;")-4),""))</f>
        <v/>
      </c>
      <c r="T30" s="60">
        <f>IF(C30="","",IFERROR(INDEX('Saisie'!$S$5:$S$2004,_xlfn.MAXIFS('Saisie'!$AS$5:$AS$2004,'Saisie'!$C$5:$C$2004,C30,'Saisie'!$S$5:$S$2004,"&lt;&gt;")-4),""))</f>
        <v/>
      </c>
      <c r="U30" s="60">
        <f>IF(C30="","",IFERROR(INDEX('Saisie'!$T$5:$T$2004,_xlfn.MAXIFS('Saisie'!$AS$5:$AS$2004,'Saisie'!$C$5:$C$2004,C30,'Saisie'!$T$5:$T$2004,"&lt;&gt;")-4),""))</f>
        <v/>
      </c>
      <c r="V30" s="60">
        <f>IF(C30="","",IFERROR(INDEX('Saisie'!$V$5:$V$2004,_xlfn.MAXIFS('Saisie'!$AS$5:$AS$2004,'Saisie'!$C$5:$C$2004,C30,'Saisie'!$V$5:$V$2004,"&lt;&gt;")-4),""))</f>
        <v/>
      </c>
      <c r="W30" s="60">
        <f>IF(C30="","",IFERROR(INDEX('Saisie'!$Z$5:$Z$2004,_xlfn.MAXIFS('Saisie'!$AS$5:$AS$2004,'Saisie'!$C$5:$C$2004,C30,'Saisie'!$Z$5:$Z$2004,"&lt;&gt;")-4),""))</f>
        <v/>
      </c>
      <c r="X30" s="60">
        <f>IF(C30="","",IFERROR(INDEX('Saisie'!$AA$5:$AA$2004,_xlfn.MAXIFS('Saisie'!$AS$5:$AS$2004,'Saisie'!$C$5:$C$2004,C30,'Saisie'!$AA$5:$AA$2004,"&lt;&gt;")-4),""))</f>
        <v/>
      </c>
      <c r="Y30" s="60">
        <f>IF(C30="","",IFERROR(INDEX('Saisie'!$AB$5:$AB$2004,_xlfn.MAXIFS('Saisie'!$AS$5:$AS$2004,'Saisie'!$C$5:$C$2004,C30,'Saisie'!$AB$5:$AB$2004,"&lt;&gt;")-4),""))</f>
        <v/>
      </c>
      <c r="Z30" s="60">
        <f>IF(C30="","",IFERROR(INDEX('Saisie'!$AC$5:$AC$2004,_xlfn.MAXIFS('Saisie'!$AS$5:$AS$2004,'Saisie'!$C$5:$C$2004,C30,'Saisie'!$AC$5:$AC$2004,"&lt;&gt;")-4),""))</f>
        <v/>
      </c>
      <c r="AA30" s="106">
        <f>IF(C30="","",IFERROR(INDEX('Saisie'!$AD$5:$AD$2004,_xlfn.MAXIFS('Saisie'!$AS$5:$AS$2004,'Saisie'!$C$5:$C$2004,C30,'Saisie'!$AD$5:$AD$2004,"&lt;&gt;")-4),""))</f>
        <v/>
      </c>
      <c r="AB30" s="60">
        <f>IF(C30="","",IFERROR(INDEX('Saisie'!$AE$5:$AE$2004,_xlfn.MAXIFS('Saisie'!$AS$5:$AS$2004,'Saisie'!$C$5:$C$2004,C30,'Saisie'!$AE$5:$AE$2004,"&lt;&gt;")-4),""))</f>
        <v/>
      </c>
      <c r="AC30" s="60">
        <f>IF(C30="","",IFERROR(INDEX('Saisie'!$AF$5:$AF$2004,_xlfn.MAXIFS('Saisie'!$AS$5:$AS$2004,'Saisie'!$C$5:$C$2004,C30,'Saisie'!$AF$5:$AF$2004,"&lt;&gt;")-4),""))</f>
        <v/>
      </c>
      <c r="AD30" s="108">
        <f>IF(C30="","",IFERROR(INDEX('Saisie'!$AG$5:$AG$2004,_xlfn.MAXIFS('Saisie'!$AS$5:$AS$2004,'Saisie'!$C$5:$C$2004,C30,'Saisie'!$AG$5:$AG$2004,"&lt;&gt;")-4),""))</f>
        <v/>
      </c>
      <c r="AE30" s="60">
        <f>IF(C30="","",IFERROR(INDEX('Saisie'!$AH$5:$AH$2004,_xlfn.MAXIFS('Saisie'!$AS$5:$AS$2004,'Saisie'!$C$5:$C$2004,C30,'Saisie'!$AH$5:$AH$2004,"&lt;&gt;")-4),""))</f>
        <v/>
      </c>
      <c r="AF30" s="60">
        <f>IF(C30="","",IFERROR(INDEX('Saisie'!$AI$5:$AI$2004,_xlfn.MAXIFS('Saisie'!$AS$5:$AS$2004,'Saisie'!$C$5:$C$2004,C30,'Saisie'!$AI$5:$AI$2004,"&lt;&gt;")-4),""))</f>
        <v/>
      </c>
      <c r="AG30" s="60">
        <f>IF(C30="","",IFERROR(INDEX('Saisie'!$AJ$5:$AJ$2004,_xlfn.MAXIFS('Saisie'!$AS$5:$AS$2004,'Saisie'!$C$5:$C$2004,C30,'Saisie'!$AJ$5:$AJ$2004,"&lt;&gt;")-4),""))</f>
        <v/>
      </c>
      <c r="AH30" s="60">
        <f>IF(C30="","",IFERROR(INDEX('Saisie'!$AK$5:$AK$2004,_xlfn.MAXIFS('Saisie'!$AS$5:$AS$2004,'Saisie'!$C$5:$C$2004,C30,'Saisie'!$AK$5:$AK$2004,"&lt;&gt;")-4),""))</f>
        <v/>
      </c>
      <c r="AI30" s="60">
        <f>IF(C30="","",IFERROR(INDEX('Saisie'!$AN$5:$AN$2004,_xlfn.MAXIFS('Saisie'!$AS$5:$AS$2004,'Saisie'!$C$5:$C$2004,C30,'Saisie'!$AN$5:$AN$2004,"&lt;&gt;")-4),""))</f>
        <v/>
      </c>
      <c r="AJ30" s="60">
        <f>IF(C30="","",IFERROR(INDEX('Saisie'!$AO$5:$AO$2004,_xlfn.MAXIFS('Saisie'!$AS$5:$AS$2004,'Saisie'!$C$5:$C$2004,C30,'Saisie'!$AO$5:$AO$2004,"&lt;&gt;")-4),""))</f>
        <v/>
      </c>
      <c r="AK30" s="60">
        <f>IF(C30="","",IFERROR(INDEX('Saisie'!$AP$5:$AP$2004,_xlfn.MAXIFS('Saisie'!$AS$5:$AS$2004,'Saisie'!$C$5:$C$2004,C30,'Saisie'!$AP$5:$AP$2004,"&lt;&gt;")-4),""))</f>
        <v/>
      </c>
      <c r="AL30" s="60">
        <f>IF(C30="","",IFERROR(INDEX('Saisie'!$AQ$5:$AQ$2004,_xlfn.MAXIFS('Saisie'!$AS$5:$AS$2004,'Saisie'!$C$5:$C$2004,C30,'Saisie'!$AQ$5:$AQ$2004,"&lt;&gt;")-4),""))</f>
        <v/>
      </c>
      <c r="AM30" s="60">
        <f>IF(C30="","",((AI30="Oui")+(AJ30="Oui")+(AK30="Oui")+OR(AL30="Immédiat",AL30="&lt; 1 mois"))&amp;"/4")</f>
        <v/>
      </c>
      <c r="AN30" s="60">
        <f>IF(C30="","",IFERROR(INDEX('Saisie'!$AL$5:$AL$2004,_xlfn.MAXIFS('Saisie'!$AS$5:$AS$2004,'Saisie'!$C$5:$C$2004,C30,'Saisie'!$AL$5:$AL$2004,"&lt;&gt;")-4),""))</f>
        <v/>
      </c>
      <c r="AO30" s="62">
        <f>IF(C30="","",IF(IFERROR(INDEX('Saisie'!$AM$5:$AM$2004,_xlfn.MAXIFS('Saisie'!$AS$5:$AS$2004,'Saisie'!$C$5:$C$2004,C30,'Saisie'!$AM$5:$AM$2004,"&lt;&gt;")-4),"")&lt;&gt;"",IFERROR(INDEX('Saisie'!$AM$5:$AM$2004,_xlfn.MAXIFS('Saisie'!$AS$5:$AS$2004,'Saisie'!$C$5:$C$2004,C30,'Saisie'!$AM$5:$AM$2004,"&lt;&gt;")-4),""),IFERROR(INDEX('Paramètres'!$S$6:$S$15,MATCH(AN30,'Paramètres'!$Q$6:$Q$15,0)),"")))</f>
        <v/>
      </c>
      <c r="AP30" s="62">
        <f>IF(C30="","",IFERROR(INDEX('Saisie'!$AW$5:$AW$2004,_xlfn.MAXIFS('Saisie'!$AS$5:$AS$2004,'Saisie'!$C$5:$C$2004,C30,'Saisie'!$E$5:$E$2004,"Proposition envoyée")-4),""))</f>
        <v/>
      </c>
      <c r="AQ30" s="106">
        <f>IF(C30="","",IFERROR(1/(1/_xlfn.MAXIFS('Saisie'!$A$5:$A$2004,'Saisie'!$C$5:$C$2004,C30,'Saisie'!$E$5:$E$2004,"Proposition envoyée")),""))</f>
        <v/>
      </c>
      <c r="AR30" s="106">
        <f>IF(C30="","",IF(AQ30="","",AQ30+'Paramètres'!$B$26))</f>
        <v/>
      </c>
      <c r="AS30" s="62">
        <f>IF(OR(C30="",D30="Gagné",D30="Perdu"),0,N(AP30)*IFERROR(INDEX('Paramètres'!$G$6:$G$13,MATCH(D30,'Paramètres'!$F$6:$F$13,0)),0))</f>
        <v/>
      </c>
      <c r="AT30" s="106">
        <f>IF(C30="","",IFERROR(1/(1/_xlfn.MINIFS('Saisie'!$A$5:$A$2004,'Saisie'!$C$5:$C$2004,C30,'Saisie'!$E$5:$E$2004,"Signature")),""))</f>
        <v/>
      </c>
      <c r="AU30" s="60">
        <f>IF(C30="","",IF(OR(AT30="",B30=""),"",AT30-B30))</f>
        <v/>
      </c>
      <c r="AV30" s="60">
        <f>IF(C30="","",IFERROR(INDEX('Saisie'!$L$5:$L$2004,_xlfn.MAXIFS('Saisie'!$AS$5:$AS$2004,'Saisie'!$C$5:$C$2004,C30,'Saisie'!$L$5:$L$2004,"&lt;&gt;")-4),""))</f>
        <v/>
      </c>
      <c r="AW30" s="106">
        <f>IF(C30="","",IF(D30&lt;&gt;"Perdu","",IFERROR(1/(1/_xlfn.MAXIFS('Saisie'!$A$5:$A$2004,'Saisie'!$C$5:$C$2004,C30,'Saisie'!$E$5:$E$2004,"Perdu")),"")))</f>
        <v/>
      </c>
      <c r="AX30" s="106">
        <f>IF(C30="","",IF(AW30="","",AW30+'Paramètres'!$B$28))</f>
        <v/>
      </c>
      <c r="AY30" s="60">
        <f>IF(C30="","",SUMIFS('Saisie'!$H$5:$H$2004,'Saisie'!$C$5:$C$2004,C30))</f>
        <v/>
      </c>
      <c r="AZ30" s="60">
        <f>IF(C30="","",IFERROR(INDEX('Paramètres'!$W$6:$W$20,MATCH(S30,'Paramètres'!$V$6:$V$20,0))&amp;"",""))</f>
        <v/>
      </c>
      <c r="BA30" s="60">
        <f>IF(C30="","",MAX(1,_xlfn.MAXIFS('Saisie'!$AT$5:$AT$2004,'Saisie'!$C$5:$C$2004,C30)))</f>
        <v/>
      </c>
      <c r="BB30" s="60">
        <f>IF(C30="","",IFERROR(INDEX('Saisie'!$X$5:$X$2004,_xlfn.MAXIFS('Saisie'!$AS$5:$AS$2004,'Saisie'!$C$5:$C$2004,C30,'Saisie'!$X$5:$X$2004,"&lt;&gt;")-4),""))</f>
        <v/>
      </c>
      <c r="BC30" s="60">
        <f>IF(C30="","",IFERROR(INDEX('Saisie'!$Y$5:$Y$2004,_xlfn.MAXIFS('Saisie'!$AS$5:$AS$2004,'Saisie'!$C$5:$C$2004,C30,'Saisie'!$Y$5:$Y$2004,"&lt;&gt;")-4),""))</f>
        <v/>
      </c>
      <c r="BD30" s="106">
        <f>IF(C30="","",IFERROR(1/(1/_xlfn.MINIFS('Saisie'!$A$5:$A$2004,'Saisie'!$C$5:$C$2004,C30,'Saisie'!$AT$5:$AT$2004,"&gt;=2")),""))</f>
        <v/>
      </c>
      <c r="BE30" s="106">
        <f>IF(C30="","",IFERROR(1/(1/_xlfn.MINIFS('Saisie'!$A$5:$A$2004,'Saisie'!$C$5:$C$2004,C30,'Saisie'!$AT$5:$AT$2004,"&gt;=3")),""))</f>
        <v/>
      </c>
      <c r="BF30" s="106">
        <f>IF(C30="","",IFERROR(1/(1/_xlfn.MINIFS('Saisie'!$A$5:$A$2004,'Saisie'!$C$5:$C$2004,C30,'Saisie'!$AT$5:$AT$2004,"&gt;=4")),""))</f>
        <v/>
      </c>
      <c r="BG30" s="106">
        <f>IF(C30="","",IFERROR(1/(1/_xlfn.MINIFS('Saisie'!$A$5:$A$2004,'Saisie'!$C$5:$C$2004,C30,'Saisie'!$AT$5:$AT$2004,"&gt;=5")),""))</f>
        <v/>
      </c>
      <c r="BH30" s="106">
        <f>IF(C30="","",IFERROR(1/(1/_xlfn.MINIFS('Saisie'!$A$5:$A$2004,'Saisie'!$C$5:$C$2004,C30,'Saisie'!$AT$5:$AT$2004,"&gt;=6")),""))</f>
        <v/>
      </c>
      <c r="BI30" s="106">
        <f>IF(C30="","",IFERROR(1/(1/_xlfn.MINIFS('Saisie'!$A$5:$A$2004,'Saisie'!$C$5:$C$2004,C30,'Saisie'!$AT$5:$AT$2004,"&gt;=7")),""))</f>
        <v/>
      </c>
      <c r="BJ30" s="60">
        <f>IF(OR(BD30="",B30=""),"",BD30-B30)</f>
        <v/>
      </c>
      <c r="BK30" s="60">
        <f>IF(OR(BE30="",BD30=""),"",BE30-BD30)</f>
        <v/>
      </c>
      <c r="BL30" s="60">
        <f>IF(OR(BF30="",BE30=""),"",BF30-BE30)</f>
        <v/>
      </c>
      <c r="BM30" s="60">
        <f>IF(OR(BG30="",BF30=""),"",BG30-BF30)</f>
        <v/>
      </c>
      <c r="BN30" s="60">
        <f>IF(OR(BH30="",BG30=""),"",BH30-BG30)</f>
        <v/>
      </c>
      <c r="BO30" s="60">
        <f>IF(OR(BI30="",BH30=""),"",BI30-BH30)</f>
        <v/>
      </c>
      <c r="BP30" s="60">
        <f>IF(C30="","",_xlfn.MAXIFS('Saisie'!$AS$5:$AS$2004,'Saisie'!$C$5:$C$2004,C30,'Saisie'!$J$5:$J$2004,"&lt;&gt;"))</f>
        <v/>
      </c>
      <c r="BQ30" s="60">
        <f>IF(C30="","",_xlfn.MAXIFS('Saisie'!$AS$5:$AS$2004,'Saisie'!$C$5:$C$2004,C30))</f>
        <v/>
      </c>
      <c r="BR30" s="60">
        <f>IF(C30="","",_xlfn.MAXIFS('Saisie'!$AS$5:$AS$2004,'Saisie'!$C$5:$C$2004,C30,'Saisie'!$E$5:$E$2004,"Perdu"))</f>
        <v/>
      </c>
      <c r="BS30" s="60">
        <f>IF(C30="","",_xlfn.MAXIFS('Saisie'!$AS$5:$AS$2004,'Saisie'!$C$5:$C$2004,C30,'Saisie'!$AT$5:$AT$2004,"&gt;0"))</f>
        <v/>
      </c>
      <c r="BT30" s="109">
        <f>IF(AND(C30&lt;&gt;"",OR(D30="Nouveau",D30="Contacté",D30="Qualifié"),OR(G30="",N(G30)&lt;=TODAY()),NOT(AND(O30&gt;='Paramètres'!$B$21,P30=0))),E30+26/10000,"")</f>
        <v/>
      </c>
      <c r="BU30" s="60">
        <f>IF(AND(G30&lt;&gt;"",N(G30)&lt;=TODAY()),MAX($BU$4:BU29)+1,"")</f>
        <v/>
      </c>
      <c r="BV30" s="60">
        <f>IF(AND(F30&lt;&gt;"",F30&lt;&gt;"Relance en retard"),MAX($BV$4:BV29)+1,"")</f>
        <v/>
      </c>
      <c r="BW30" s="60">
        <f>IF(C30="","",IF(AND(B30&gt;='Tableau de bord'!$R$4,B30&lt;='Tableau de bord'!$S$4,OR('Tableau de bord'!$G$4="Tous",N30='Tableau de bord'!$G$4)),1,0))</f>
        <v/>
      </c>
      <c r="BX30" s="60">
        <f>IF(AND(C30&lt;&gt;"",N(BA30)=7),MAX($BX$4:BX29)+1,"")</f>
        <v/>
      </c>
    </row>
    <row r="31">
      <c r="A31" s="60">
        <f>IF(C31="","","P-"&amp;TEXT(27,"000"))</f>
        <v/>
      </c>
      <c r="B31" s="106">
        <f>IF(C31="","",IFERROR(1/(1/_xlfn.MINIFS('Saisie'!$A$5:$A$2004,'Saisie'!$C$5:$C$2004,C31)),""))</f>
        <v/>
      </c>
      <c r="C31" s="60">
        <f>IFERROR(INDEX('Saisie'!$C$5:$C$2004,MATCH(27,'Saisie'!$AX$5:$AX$2004,0)),"")</f>
        <v/>
      </c>
      <c r="D31" s="60">
        <f>IF(C31="","",IF(AND(BR31&gt;0,BR31&gt;BS31,BA31&lt;7),"Perdu",INDEX('Paramètres'!$F$6:$F$13,BA31)))</f>
        <v/>
      </c>
      <c r="E31" s="61">
        <f>IF(C31="","",MIN(100,(Z31="Oui")*'Paramètres'!$B$38+(AB31="Régulière")*'Paramètres'!$B$39+IF(AND(N(AA31)&gt;0,TODAY()-N(AA31)&lt;=30),'Paramètres'!$B$40,0)+(W31="")*'Paramètres'!$B$41+(AC31="Absente")*'Paramètres'!$B$42+(AC31="Faible")*'Paramètres'!$B$43+IF(AND(N(AD31)&gt;0,N(AD31)&lt;4),'Paramètres'!$B$44,0)+(AF31="Moyenne")*'Paramètres'!$B$45+(AF31="Grande")*'Paramètres'!$B$46+(Y31&lt;&gt;"")*'Paramètres'!$B$47))</f>
        <v/>
      </c>
      <c r="F31" s="60">
        <f>IF(C31="","",IF(D31="Gagné","",IF(D31="Perdu",IF(AND(AX31&lt;&gt;"",AX31&lt;=TODAY()),"À recontacter (perdu)",""),IF(AND(O31&gt;='Paramètres'!$B$21,P31=0),"Stop : "&amp;'Paramètres'!$B$21&amp;" tentatives sans réponse",IF(AND(D31="Proposition",AR31&lt;&gt;"",TODAY()&gt;N(AR31)),"Proposition expirée",IF(AND(D31="Proposition",N(R31)&gt;='Paramètres'!$B$25),"Proposition sans réponse",IF(AND(G31&lt;&gt;"",N(G31)&lt;TODAY()),"Relance en retard",IF(N(R31)&gt;='Paramètres'!$B$24,"Sans action depuis "&amp;R31&amp;" j",""))))))))</f>
        <v/>
      </c>
      <c r="G31" s="106">
        <f>IF(OR(C31="",D31="Gagné",D31="Perdu"),"",IF(AND(BP31&gt;0,BP31=BQ31),INDEX('Saisie'!$J$5:$J$2004,BP31-4),IF(OR(O31=0,AND(O31&gt;='Paramètres'!$B$21,P31=0)),"",Q31+IF(O31&lt;=1,'Paramètres'!$B$18,IF(O31=2,'Paramètres'!$B$19,'Paramètres'!$B$20)))))</f>
        <v/>
      </c>
      <c r="H31" s="107">
        <f>IF(OR(G31="",BP31&lt;&gt;BQ31),"",IF(INDEX('Saisie'!$K$5:$K$2004,BP31-4)="","",INDEX('Saisie'!$K$5:$K$2004,BP31-4)))</f>
        <v/>
      </c>
      <c r="I31" s="60">
        <f>IF(C31="","",IF(OR(D31="Gagné",D31="Perdu"),"",IFERROR(INDEX('Saisie'!$I$5:$I$2004,_xlfn.MAXIFS('Saisie'!$AS$5:$AS$2004,'Saisie'!$C$5:$C$2004,C31,'Saisie'!$I$5:$I$2004,"&lt;&gt;")-4),"")))</f>
        <v/>
      </c>
      <c r="J31" s="60">
        <f>IF(C31="","",IFERROR(INDEX('Saisie'!$U$5:$U$2004,_xlfn.MAXIFS('Saisie'!$AS$5:$AS$2004,'Saisie'!$C$5:$C$2004,C31,'Saisie'!$U$5:$U$2004,"&lt;&gt;")-4),""))</f>
        <v/>
      </c>
      <c r="K31" s="60">
        <f>IF(C31="","",IFERROR(INDEX('Saisie'!$W$5:$W$2004,_xlfn.MAXIFS('Saisie'!$AS$5:$AS$2004,'Saisie'!$C$5:$C$2004,C31,'Saisie'!$W$5:$W$2004,"&lt;&gt;")-4),""))</f>
        <v/>
      </c>
      <c r="L31" s="60">
        <f>IF(IF(BB31&lt;&gt;"",BB31,K31)="","",HYPERLINK("https://wa.me/"&amp;IF(LEFT(SUBSTITUTE(SUBSTITUTE(SUBSTITUTE(IF(BB31&lt;&gt;"",BB31,K31)," ",""),".",""),"+",""),1)="0",'Paramètres'!$B$35&amp;MID(SUBSTITUTE(SUBSTITUTE(SUBSTITUTE(IF(BB31&lt;&gt;"",BB31,K31)," ",""),".",""),"+",""),2,20),SUBSTITUTE(SUBSTITUTE(SUBSTITUTE(IF(BB31&lt;&gt;"",BB31,K31)," ",""),".",""),"+","")),"WhatsApp"))</f>
        <v/>
      </c>
      <c r="M31" s="60">
        <f>IF(BC31="","",HYPERLINK(IF(LEFT(BC31,4)="http",BC31,"https://www.instagram.com/"&amp;SUBSTITUTE(SUBSTITUTE(BC31,"@","")," ","")),BC31))</f>
        <v/>
      </c>
      <c r="N31" s="60">
        <f>IF(C31="","",IFERROR(INDEX('Saisie'!$D$5:$D$2004,_xlfn.MINIFS('Saisie'!$AS$5:$AS$2004,'Saisie'!$C$5:$C$2004,C31,'Saisie'!$AU$5:$AU$2004,1)-4),IFERROR(INDEX('Saisie'!$D$5:$D$2004,_xlfn.MINIFS('Saisie'!$AS$5:$AS$2004,'Saisie'!$C$5:$C$2004,C31,'Saisie'!$D$5:$D$2004,"&lt;&gt;")-4),"")))</f>
        <v/>
      </c>
      <c r="O31" s="60">
        <f>IF(C31="","",COUNTIFS('Saisie'!$C$5:$C$2004,C31,'Saisie'!$AU$5:$AU$2004,1))</f>
        <v/>
      </c>
      <c r="P31" s="60">
        <f>IF(C31="","",COUNTIFS('Saisie'!$C$5:$C$2004,C31,'Saisie'!$AV$5:$AV$2004,1))</f>
        <v/>
      </c>
      <c r="Q31" s="106">
        <f>IF(C31="","",IFERROR(1/(1/_xlfn.MAXIFS('Saisie'!$A$5:$A$2004,'Saisie'!$C$5:$C$2004,C31)),""))</f>
        <v/>
      </c>
      <c r="R31" s="61">
        <f>IF(C31="","",IF(Q31="","",TODAY()-Q31))</f>
        <v/>
      </c>
      <c r="S31" s="60">
        <f>IF(C31="","",IFERROR(INDEX('Saisie'!$R$5:$R$2004,_xlfn.MAXIFS('Saisie'!$AS$5:$AS$2004,'Saisie'!$C$5:$C$2004,C31,'Saisie'!$R$5:$R$2004,"&lt;&gt;")-4),""))</f>
        <v/>
      </c>
      <c r="T31" s="60">
        <f>IF(C31="","",IFERROR(INDEX('Saisie'!$S$5:$S$2004,_xlfn.MAXIFS('Saisie'!$AS$5:$AS$2004,'Saisie'!$C$5:$C$2004,C31,'Saisie'!$S$5:$S$2004,"&lt;&gt;")-4),""))</f>
        <v/>
      </c>
      <c r="U31" s="60">
        <f>IF(C31="","",IFERROR(INDEX('Saisie'!$T$5:$T$2004,_xlfn.MAXIFS('Saisie'!$AS$5:$AS$2004,'Saisie'!$C$5:$C$2004,C31,'Saisie'!$T$5:$T$2004,"&lt;&gt;")-4),""))</f>
        <v/>
      </c>
      <c r="V31" s="60">
        <f>IF(C31="","",IFERROR(INDEX('Saisie'!$V$5:$V$2004,_xlfn.MAXIFS('Saisie'!$AS$5:$AS$2004,'Saisie'!$C$5:$C$2004,C31,'Saisie'!$V$5:$V$2004,"&lt;&gt;")-4),""))</f>
        <v/>
      </c>
      <c r="W31" s="60">
        <f>IF(C31="","",IFERROR(INDEX('Saisie'!$Z$5:$Z$2004,_xlfn.MAXIFS('Saisie'!$AS$5:$AS$2004,'Saisie'!$C$5:$C$2004,C31,'Saisie'!$Z$5:$Z$2004,"&lt;&gt;")-4),""))</f>
        <v/>
      </c>
      <c r="X31" s="60">
        <f>IF(C31="","",IFERROR(INDEX('Saisie'!$AA$5:$AA$2004,_xlfn.MAXIFS('Saisie'!$AS$5:$AS$2004,'Saisie'!$C$5:$C$2004,C31,'Saisie'!$AA$5:$AA$2004,"&lt;&gt;")-4),""))</f>
        <v/>
      </c>
      <c r="Y31" s="60">
        <f>IF(C31="","",IFERROR(INDEX('Saisie'!$AB$5:$AB$2004,_xlfn.MAXIFS('Saisie'!$AS$5:$AS$2004,'Saisie'!$C$5:$C$2004,C31,'Saisie'!$AB$5:$AB$2004,"&lt;&gt;")-4),""))</f>
        <v/>
      </c>
      <c r="Z31" s="60">
        <f>IF(C31="","",IFERROR(INDEX('Saisie'!$AC$5:$AC$2004,_xlfn.MAXIFS('Saisie'!$AS$5:$AS$2004,'Saisie'!$C$5:$C$2004,C31,'Saisie'!$AC$5:$AC$2004,"&lt;&gt;")-4),""))</f>
        <v/>
      </c>
      <c r="AA31" s="106">
        <f>IF(C31="","",IFERROR(INDEX('Saisie'!$AD$5:$AD$2004,_xlfn.MAXIFS('Saisie'!$AS$5:$AS$2004,'Saisie'!$C$5:$C$2004,C31,'Saisie'!$AD$5:$AD$2004,"&lt;&gt;")-4),""))</f>
        <v/>
      </c>
      <c r="AB31" s="60">
        <f>IF(C31="","",IFERROR(INDEX('Saisie'!$AE$5:$AE$2004,_xlfn.MAXIFS('Saisie'!$AS$5:$AS$2004,'Saisie'!$C$5:$C$2004,C31,'Saisie'!$AE$5:$AE$2004,"&lt;&gt;")-4),""))</f>
        <v/>
      </c>
      <c r="AC31" s="60">
        <f>IF(C31="","",IFERROR(INDEX('Saisie'!$AF$5:$AF$2004,_xlfn.MAXIFS('Saisie'!$AS$5:$AS$2004,'Saisie'!$C$5:$C$2004,C31,'Saisie'!$AF$5:$AF$2004,"&lt;&gt;")-4),""))</f>
        <v/>
      </c>
      <c r="AD31" s="108">
        <f>IF(C31="","",IFERROR(INDEX('Saisie'!$AG$5:$AG$2004,_xlfn.MAXIFS('Saisie'!$AS$5:$AS$2004,'Saisie'!$C$5:$C$2004,C31,'Saisie'!$AG$5:$AG$2004,"&lt;&gt;")-4),""))</f>
        <v/>
      </c>
      <c r="AE31" s="60">
        <f>IF(C31="","",IFERROR(INDEX('Saisie'!$AH$5:$AH$2004,_xlfn.MAXIFS('Saisie'!$AS$5:$AS$2004,'Saisie'!$C$5:$C$2004,C31,'Saisie'!$AH$5:$AH$2004,"&lt;&gt;")-4),""))</f>
        <v/>
      </c>
      <c r="AF31" s="60">
        <f>IF(C31="","",IFERROR(INDEX('Saisie'!$AI$5:$AI$2004,_xlfn.MAXIFS('Saisie'!$AS$5:$AS$2004,'Saisie'!$C$5:$C$2004,C31,'Saisie'!$AI$5:$AI$2004,"&lt;&gt;")-4),""))</f>
        <v/>
      </c>
      <c r="AG31" s="60">
        <f>IF(C31="","",IFERROR(INDEX('Saisie'!$AJ$5:$AJ$2004,_xlfn.MAXIFS('Saisie'!$AS$5:$AS$2004,'Saisie'!$C$5:$C$2004,C31,'Saisie'!$AJ$5:$AJ$2004,"&lt;&gt;")-4),""))</f>
        <v/>
      </c>
      <c r="AH31" s="60">
        <f>IF(C31="","",IFERROR(INDEX('Saisie'!$AK$5:$AK$2004,_xlfn.MAXIFS('Saisie'!$AS$5:$AS$2004,'Saisie'!$C$5:$C$2004,C31,'Saisie'!$AK$5:$AK$2004,"&lt;&gt;")-4),""))</f>
        <v/>
      </c>
      <c r="AI31" s="60">
        <f>IF(C31="","",IFERROR(INDEX('Saisie'!$AN$5:$AN$2004,_xlfn.MAXIFS('Saisie'!$AS$5:$AS$2004,'Saisie'!$C$5:$C$2004,C31,'Saisie'!$AN$5:$AN$2004,"&lt;&gt;")-4),""))</f>
        <v/>
      </c>
      <c r="AJ31" s="60">
        <f>IF(C31="","",IFERROR(INDEX('Saisie'!$AO$5:$AO$2004,_xlfn.MAXIFS('Saisie'!$AS$5:$AS$2004,'Saisie'!$C$5:$C$2004,C31,'Saisie'!$AO$5:$AO$2004,"&lt;&gt;")-4),""))</f>
        <v/>
      </c>
      <c r="AK31" s="60">
        <f>IF(C31="","",IFERROR(INDEX('Saisie'!$AP$5:$AP$2004,_xlfn.MAXIFS('Saisie'!$AS$5:$AS$2004,'Saisie'!$C$5:$C$2004,C31,'Saisie'!$AP$5:$AP$2004,"&lt;&gt;")-4),""))</f>
        <v/>
      </c>
      <c r="AL31" s="60">
        <f>IF(C31="","",IFERROR(INDEX('Saisie'!$AQ$5:$AQ$2004,_xlfn.MAXIFS('Saisie'!$AS$5:$AS$2004,'Saisie'!$C$5:$C$2004,C31,'Saisie'!$AQ$5:$AQ$2004,"&lt;&gt;")-4),""))</f>
        <v/>
      </c>
      <c r="AM31" s="60">
        <f>IF(C31="","",((AI31="Oui")+(AJ31="Oui")+(AK31="Oui")+OR(AL31="Immédiat",AL31="&lt; 1 mois"))&amp;"/4")</f>
        <v/>
      </c>
      <c r="AN31" s="60">
        <f>IF(C31="","",IFERROR(INDEX('Saisie'!$AL$5:$AL$2004,_xlfn.MAXIFS('Saisie'!$AS$5:$AS$2004,'Saisie'!$C$5:$C$2004,C31,'Saisie'!$AL$5:$AL$2004,"&lt;&gt;")-4),""))</f>
        <v/>
      </c>
      <c r="AO31" s="62">
        <f>IF(C31="","",IF(IFERROR(INDEX('Saisie'!$AM$5:$AM$2004,_xlfn.MAXIFS('Saisie'!$AS$5:$AS$2004,'Saisie'!$C$5:$C$2004,C31,'Saisie'!$AM$5:$AM$2004,"&lt;&gt;")-4),"")&lt;&gt;"",IFERROR(INDEX('Saisie'!$AM$5:$AM$2004,_xlfn.MAXIFS('Saisie'!$AS$5:$AS$2004,'Saisie'!$C$5:$C$2004,C31,'Saisie'!$AM$5:$AM$2004,"&lt;&gt;")-4),""),IFERROR(INDEX('Paramètres'!$S$6:$S$15,MATCH(AN31,'Paramètres'!$Q$6:$Q$15,0)),"")))</f>
        <v/>
      </c>
      <c r="AP31" s="62">
        <f>IF(C31="","",IFERROR(INDEX('Saisie'!$AW$5:$AW$2004,_xlfn.MAXIFS('Saisie'!$AS$5:$AS$2004,'Saisie'!$C$5:$C$2004,C31,'Saisie'!$E$5:$E$2004,"Proposition envoyée")-4),""))</f>
        <v/>
      </c>
      <c r="AQ31" s="106">
        <f>IF(C31="","",IFERROR(1/(1/_xlfn.MAXIFS('Saisie'!$A$5:$A$2004,'Saisie'!$C$5:$C$2004,C31,'Saisie'!$E$5:$E$2004,"Proposition envoyée")),""))</f>
        <v/>
      </c>
      <c r="AR31" s="106">
        <f>IF(C31="","",IF(AQ31="","",AQ31+'Paramètres'!$B$26))</f>
        <v/>
      </c>
      <c r="AS31" s="62">
        <f>IF(OR(C31="",D31="Gagné",D31="Perdu"),0,N(AP31)*IFERROR(INDEX('Paramètres'!$G$6:$G$13,MATCH(D31,'Paramètres'!$F$6:$F$13,0)),0))</f>
        <v/>
      </c>
      <c r="AT31" s="106">
        <f>IF(C31="","",IFERROR(1/(1/_xlfn.MINIFS('Saisie'!$A$5:$A$2004,'Saisie'!$C$5:$C$2004,C31,'Saisie'!$E$5:$E$2004,"Signature")),""))</f>
        <v/>
      </c>
      <c r="AU31" s="60">
        <f>IF(C31="","",IF(OR(AT31="",B31=""),"",AT31-B31))</f>
        <v/>
      </c>
      <c r="AV31" s="60">
        <f>IF(C31="","",IFERROR(INDEX('Saisie'!$L$5:$L$2004,_xlfn.MAXIFS('Saisie'!$AS$5:$AS$2004,'Saisie'!$C$5:$C$2004,C31,'Saisie'!$L$5:$L$2004,"&lt;&gt;")-4),""))</f>
        <v/>
      </c>
      <c r="AW31" s="106">
        <f>IF(C31="","",IF(D31&lt;&gt;"Perdu","",IFERROR(1/(1/_xlfn.MAXIFS('Saisie'!$A$5:$A$2004,'Saisie'!$C$5:$C$2004,C31,'Saisie'!$E$5:$E$2004,"Perdu")),"")))</f>
        <v/>
      </c>
      <c r="AX31" s="106">
        <f>IF(C31="","",IF(AW31="","",AW31+'Paramètres'!$B$28))</f>
        <v/>
      </c>
      <c r="AY31" s="60">
        <f>IF(C31="","",SUMIFS('Saisie'!$H$5:$H$2004,'Saisie'!$C$5:$C$2004,C31))</f>
        <v/>
      </c>
      <c r="AZ31" s="60">
        <f>IF(C31="","",IFERROR(INDEX('Paramètres'!$W$6:$W$20,MATCH(S31,'Paramètres'!$V$6:$V$20,0))&amp;"",""))</f>
        <v/>
      </c>
      <c r="BA31" s="60">
        <f>IF(C31="","",MAX(1,_xlfn.MAXIFS('Saisie'!$AT$5:$AT$2004,'Saisie'!$C$5:$C$2004,C31)))</f>
        <v/>
      </c>
      <c r="BB31" s="60">
        <f>IF(C31="","",IFERROR(INDEX('Saisie'!$X$5:$X$2004,_xlfn.MAXIFS('Saisie'!$AS$5:$AS$2004,'Saisie'!$C$5:$C$2004,C31,'Saisie'!$X$5:$X$2004,"&lt;&gt;")-4),""))</f>
        <v/>
      </c>
      <c r="BC31" s="60">
        <f>IF(C31="","",IFERROR(INDEX('Saisie'!$Y$5:$Y$2004,_xlfn.MAXIFS('Saisie'!$AS$5:$AS$2004,'Saisie'!$C$5:$C$2004,C31,'Saisie'!$Y$5:$Y$2004,"&lt;&gt;")-4),""))</f>
        <v/>
      </c>
      <c r="BD31" s="106">
        <f>IF(C31="","",IFERROR(1/(1/_xlfn.MINIFS('Saisie'!$A$5:$A$2004,'Saisie'!$C$5:$C$2004,C31,'Saisie'!$AT$5:$AT$2004,"&gt;=2")),""))</f>
        <v/>
      </c>
      <c r="BE31" s="106">
        <f>IF(C31="","",IFERROR(1/(1/_xlfn.MINIFS('Saisie'!$A$5:$A$2004,'Saisie'!$C$5:$C$2004,C31,'Saisie'!$AT$5:$AT$2004,"&gt;=3")),""))</f>
        <v/>
      </c>
      <c r="BF31" s="106">
        <f>IF(C31="","",IFERROR(1/(1/_xlfn.MINIFS('Saisie'!$A$5:$A$2004,'Saisie'!$C$5:$C$2004,C31,'Saisie'!$AT$5:$AT$2004,"&gt;=4")),""))</f>
        <v/>
      </c>
      <c r="BG31" s="106">
        <f>IF(C31="","",IFERROR(1/(1/_xlfn.MINIFS('Saisie'!$A$5:$A$2004,'Saisie'!$C$5:$C$2004,C31,'Saisie'!$AT$5:$AT$2004,"&gt;=5")),""))</f>
        <v/>
      </c>
      <c r="BH31" s="106">
        <f>IF(C31="","",IFERROR(1/(1/_xlfn.MINIFS('Saisie'!$A$5:$A$2004,'Saisie'!$C$5:$C$2004,C31,'Saisie'!$AT$5:$AT$2004,"&gt;=6")),""))</f>
        <v/>
      </c>
      <c r="BI31" s="106">
        <f>IF(C31="","",IFERROR(1/(1/_xlfn.MINIFS('Saisie'!$A$5:$A$2004,'Saisie'!$C$5:$C$2004,C31,'Saisie'!$AT$5:$AT$2004,"&gt;=7")),""))</f>
        <v/>
      </c>
      <c r="BJ31" s="60">
        <f>IF(OR(BD31="",B31=""),"",BD31-B31)</f>
        <v/>
      </c>
      <c r="BK31" s="60">
        <f>IF(OR(BE31="",BD31=""),"",BE31-BD31)</f>
        <v/>
      </c>
      <c r="BL31" s="60">
        <f>IF(OR(BF31="",BE31=""),"",BF31-BE31)</f>
        <v/>
      </c>
      <c r="BM31" s="60">
        <f>IF(OR(BG31="",BF31=""),"",BG31-BF31)</f>
        <v/>
      </c>
      <c r="BN31" s="60">
        <f>IF(OR(BH31="",BG31=""),"",BH31-BG31)</f>
        <v/>
      </c>
      <c r="BO31" s="60">
        <f>IF(OR(BI31="",BH31=""),"",BI31-BH31)</f>
        <v/>
      </c>
      <c r="BP31" s="60">
        <f>IF(C31="","",_xlfn.MAXIFS('Saisie'!$AS$5:$AS$2004,'Saisie'!$C$5:$C$2004,C31,'Saisie'!$J$5:$J$2004,"&lt;&gt;"))</f>
        <v/>
      </c>
      <c r="BQ31" s="60">
        <f>IF(C31="","",_xlfn.MAXIFS('Saisie'!$AS$5:$AS$2004,'Saisie'!$C$5:$C$2004,C31))</f>
        <v/>
      </c>
      <c r="BR31" s="60">
        <f>IF(C31="","",_xlfn.MAXIFS('Saisie'!$AS$5:$AS$2004,'Saisie'!$C$5:$C$2004,C31,'Saisie'!$E$5:$E$2004,"Perdu"))</f>
        <v/>
      </c>
      <c r="BS31" s="60">
        <f>IF(C31="","",_xlfn.MAXIFS('Saisie'!$AS$5:$AS$2004,'Saisie'!$C$5:$C$2004,C31,'Saisie'!$AT$5:$AT$2004,"&gt;0"))</f>
        <v/>
      </c>
      <c r="BT31" s="109">
        <f>IF(AND(C31&lt;&gt;"",OR(D31="Nouveau",D31="Contacté",D31="Qualifié"),OR(G31="",N(G31)&lt;=TODAY()),NOT(AND(O31&gt;='Paramètres'!$B$21,P31=0))),E31+27/10000,"")</f>
        <v/>
      </c>
      <c r="BU31" s="60">
        <f>IF(AND(G31&lt;&gt;"",N(G31)&lt;=TODAY()),MAX($BU$4:BU30)+1,"")</f>
        <v/>
      </c>
      <c r="BV31" s="60">
        <f>IF(AND(F31&lt;&gt;"",F31&lt;&gt;"Relance en retard"),MAX($BV$4:BV30)+1,"")</f>
        <v/>
      </c>
      <c r="BW31" s="60">
        <f>IF(C31="","",IF(AND(B31&gt;='Tableau de bord'!$R$4,B31&lt;='Tableau de bord'!$S$4,OR('Tableau de bord'!$G$4="Tous",N31='Tableau de bord'!$G$4)),1,0))</f>
        <v/>
      </c>
      <c r="BX31" s="60">
        <f>IF(AND(C31&lt;&gt;"",N(BA31)=7),MAX($BX$4:BX30)+1,"")</f>
        <v/>
      </c>
    </row>
    <row r="32">
      <c r="A32" s="60">
        <f>IF(C32="","","P-"&amp;TEXT(28,"000"))</f>
        <v/>
      </c>
      <c r="B32" s="106">
        <f>IF(C32="","",IFERROR(1/(1/_xlfn.MINIFS('Saisie'!$A$5:$A$2004,'Saisie'!$C$5:$C$2004,C32)),""))</f>
        <v/>
      </c>
      <c r="C32" s="60">
        <f>IFERROR(INDEX('Saisie'!$C$5:$C$2004,MATCH(28,'Saisie'!$AX$5:$AX$2004,0)),"")</f>
        <v/>
      </c>
      <c r="D32" s="60">
        <f>IF(C32="","",IF(AND(BR32&gt;0,BR32&gt;BS32,BA32&lt;7),"Perdu",INDEX('Paramètres'!$F$6:$F$13,BA32)))</f>
        <v/>
      </c>
      <c r="E32" s="61">
        <f>IF(C32="","",MIN(100,(Z32="Oui")*'Paramètres'!$B$38+(AB32="Régulière")*'Paramètres'!$B$39+IF(AND(N(AA32)&gt;0,TODAY()-N(AA32)&lt;=30),'Paramètres'!$B$40,0)+(W32="")*'Paramètres'!$B$41+(AC32="Absente")*'Paramètres'!$B$42+(AC32="Faible")*'Paramètres'!$B$43+IF(AND(N(AD32)&gt;0,N(AD32)&lt;4),'Paramètres'!$B$44,0)+(AF32="Moyenne")*'Paramètres'!$B$45+(AF32="Grande")*'Paramètres'!$B$46+(Y32&lt;&gt;"")*'Paramètres'!$B$47))</f>
        <v/>
      </c>
      <c r="F32" s="60">
        <f>IF(C32="","",IF(D32="Gagné","",IF(D32="Perdu",IF(AND(AX32&lt;&gt;"",AX32&lt;=TODAY()),"À recontacter (perdu)",""),IF(AND(O32&gt;='Paramètres'!$B$21,P32=0),"Stop : "&amp;'Paramètres'!$B$21&amp;" tentatives sans réponse",IF(AND(D32="Proposition",AR32&lt;&gt;"",TODAY()&gt;N(AR32)),"Proposition expirée",IF(AND(D32="Proposition",N(R32)&gt;='Paramètres'!$B$25),"Proposition sans réponse",IF(AND(G32&lt;&gt;"",N(G32)&lt;TODAY()),"Relance en retard",IF(N(R32)&gt;='Paramètres'!$B$24,"Sans action depuis "&amp;R32&amp;" j",""))))))))</f>
        <v/>
      </c>
      <c r="G32" s="106">
        <f>IF(OR(C32="",D32="Gagné",D32="Perdu"),"",IF(AND(BP32&gt;0,BP32=BQ32),INDEX('Saisie'!$J$5:$J$2004,BP32-4),IF(OR(O32=0,AND(O32&gt;='Paramètres'!$B$21,P32=0)),"",Q32+IF(O32&lt;=1,'Paramètres'!$B$18,IF(O32=2,'Paramètres'!$B$19,'Paramètres'!$B$20)))))</f>
        <v/>
      </c>
      <c r="H32" s="107">
        <f>IF(OR(G32="",BP32&lt;&gt;BQ32),"",IF(INDEX('Saisie'!$K$5:$K$2004,BP32-4)="","",INDEX('Saisie'!$K$5:$K$2004,BP32-4)))</f>
        <v/>
      </c>
      <c r="I32" s="60">
        <f>IF(C32="","",IF(OR(D32="Gagné",D32="Perdu"),"",IFERROR(INDEX('Saisie'!$I$5:$I$2004,_xlfn.MAXIFS('Saisie'!$AS$5:$AS$2004,'Saisie'!$C$5:$C$2004,C32,'Saisie'!$I$5:$I$2004,"&lt;&gt;")-4),"")))</f>
        <v/>
      </c>
      <c r="J32" s="60">
        <f>IF(C32="","",IFERROR(INDEX('Saisie'!$U$5:$U$2004,_xlfn.MAXIFS('Saisie'!$AS$5:$AS$2004,'Saisie'!$C$5:$C$2004,C32,'Saisie'!$U$5:$U$2004,"&lt;&gt;")-4),""))</f>
        <v/>
      </c>
      <c r="K32" s="60">
        <f>IF(C32="","",IFERROR(INDEX('Saisie'!$W$5:$W$2004,_xlfn.MAXIFS('Saisie'!$AS$5:$AS$2004,'Saisie'!$C$5:$C$2004,C32,'Saisie'!$W$5:$W$2004,"&lt;&gt;")-4),""))</f>
        <v/>
      </c>
      <c r="L32" s="60">
        <f>IF(IF(BB32&lt;&gt;"",BB32,K32)="","",HYPERLINK("https://wa.me/"&amp;IF(LEFT(SUBSTITUTE(SUBSTITUTE(SUBSTITUTE(IF(BB32&lt;&gt;"",BB32,K32)," ",""),".",""),"+",""),1)="0",'Paramètres'!$B$35&amp;MID(SUBSTITUTE(SUBSTITUTE(SUBSTITUTE(IF(BB32&lt;&gt;"",BB32,K32)," ",""),".",""),"+",""),2,20),SUBSTITUTE(SUBSTITUTE(SUBSTITUTE(IF(BB32&lt;&gt;"",BB32,K32)," ",""),".",""),"+","")),"WhatsApp"))</f>
        <v/>
      </c>
      <c r="M32" s="60">
        <f>IF(BC32="","",HYPERLINK(IF(LEFT(BC32,4)="http",BC32,"https://www.instagram.com/"&amp;SUBSTITUTE(SUBSTITUTE(BC32,"@","")," ","")),BC32))</f>
        <v/>
      </c>
      <c r="N32" s="60">
        <f>IF(C32="","",IFERROR(INDEX('Saisie'!$D$5:$D$2004,_xlfn.MINIFS('Saisie'!$AS$5:$AS$2004,'Saisie'!$C$5:$C$2004,C32,'Saisie'!$AU$5:$AU$2004,1)-4),IFERROR(INDEX('Saisie'!$D$5:$D$2004,_xlfn.MINIFS('Saisie'!$AS$5:$AS$2004,'Saisie'!$C$5:$C$2004,C32,'Saisie'!$D$5:$D$2004,"&lt;&gt;")-4),"")))</f>
        <v/>
      </c>
      <c r="O32" s="60">
        <f>IF(C32="","",COUNTIFS('Saisie'!$C$5:$C$2004,C32,'Saisie'!$AU$5:$AU$2004,1))</f>
        <v/>
      </c>
      <c r="P32" s="60">
        <f>IF(C32="","",COUNTIFS('Saisie'!$C$5:$C$2004,C32,'Saisie'!$AV$5:$AV$2004,1))</f>
        <v/>
      </c>
      <c r="Q32" s="106">
        <f>IF(C32="","",IFERROR(1/(1/_xlfn.MAXIFS('Saisie'!$A$5:$A$2004,'Saisie'!$C$5:$C$2004,C32)),""))</f>
        <v/>
      </c>
      <c r="R32" s="61">
        <f>IF(C32="","",IF(Q32="","",TODAY()-Q32))</f>
        <v/>
      </c>
      <c r="S32" s="60">
        <f>IF(C32="","",IFERROR(INDEX('Saisie'!$R$5:$R$2004,_xlfn.MAXIFS('Saisie'!$AS$5:$AS$2004,'Saisie'!$C$5:$C$2004,C32,'Saisie'!$R$5:$R$2004,"&lt;&gt;")-4),""))</f>
        <v/>
      </c>
      <c r="T32" s="60">
        <f>IF(C32="","",IFERROR(INDEX('Saisie'!$S$5:$S$2004,_xlfn.MAXIFS('Saisie'!$AS$5:$AS$2004,'Saisie'!$C$5:$C$2004,C32,'Saisie'!$S$5:$S$2004,"&lt;&gt;")-4),""))</f>
        <v/>
      </c>
      <c r="U32" s="60">
        <f>IF(C32="","",IFERROR(INDEX('Saisie'!$T$5:$T$2004,_xlfn.MAXIFS('Saisie'!$AS$5:$AS$2004,'Saisie'!$C$5:$C$2004,C32,'Saisie'!$T$5:$T$2004,"&lt;&gt;")-4),""))</f>
        <v/>
      </c>
      <c r="V32" s="60">
        <f>IF(C32="","",IFERROR(INDEX('Saisie'!$V$5:$V$2004,_xlfn.MAXIFS('Saisie'!$AS$5:$AS$2004,'Saisie'!$C$5:$C$2004,C32,'Saisie'!$V$5:$V$2004,"&lt;&gt;")-4),""))</f>
        <v/>
      </c>
      <c r="W32" s="60">
        <f>IF(C32="","",IFERROR(INDEX('Saisie'!$Z$5:$Z$2004,_xlfn.MAXIFS('Saisie'!$AS$5:$AS$2004,'Saisie'!$C$5:$C$2004,C32,'Saisie'!$Z$5:$Z$2004,"&lt;&gt;")-4),""))</f>
        <v/>
      </c>
      <c r="X32" s="60">
        <f>IF(C32="","",IFERROR(INDEX('Saisie'!$AA$5:$AA$2004,_xlfn.MAXIFS('Saisie'!$AS$5:$AS$2004,'Saisie'!$C$5:$C$2004,C32,'Saisie'!$AA$5:$AA$2004,"&lt;&gt;")-4),""))</f>
        <v/>
      </c>
      <c r="Y32" s="60">
        <f>IF(C32="","",IFERROR(INDEX('Saisie'!$AB$5:$AB$2004,_xlfn.MAXIFS('Saisie'!$AS$5:$AS$2004,'Saisie'!$C$5:$C$2004,C32,'Saisie'!$AB$5:$AB$2004,"&lt;&gt;")-4),""))</f>
        <v/>
      </c>
      <c r="Z32" s="60">
        <f>IF(C32="","",IFERROR(INDEX('Saisie'!$AC$5:$AC$2004,_xlfn.MAXIFS('Saisie'!$AS$5:$AS$2004,'Saisie'!$C$5:$C$2004,C32,'Saisie'!$AC$5:$AC$2004,"&lt;&gt;")-4),""))</f>
        <v/>
      </c>
      <c r="AA32" s="106">
        <f>IF(C32="","",IFERROR(INDEX('Saisie'!$AD$5:$AD$2004,_xlfn.MAXIFS('Saisie'!$AS$5:$AS$2004,'Saisie'!$C$5:$C$2004,C32,'Saisie'!$AD$5:$AD$2004,"&lt;&gt;")-4),""))</f>
        <v/>
      </c>
      <c r="AB32" s="60">
        <f>IF(C32="","",IFERROR(INDEX('Saisie'!$AE$5:$AE$2004,_xlfn.MAXIFS('Saisie'!$AS$5:$AS$2004,'Saisie'!$C$5:$C$2004,C32,'Saisie'!$AE$5:$AE$2004,"&lt;&gt;")-4),""))</f>
        <v/>
      </c>
      <c r="AC32" s="60">
        <f>IF(C32="","",IFERROR(INDEX('Saisie'!$AF$5:$AF$2004,_xlfn.MAXIFS('Saisie'!$AS$5:$AS$2004,'Saisie'!$C$5:$C$2004,C32,'Saisie'!$AF$5:$AF$2004,"&lt;&gt;")-4),""))</f>
        <v/>
      </c>
      <c r="AD32" s="108">
        <f>IF(C32="","",IFERROR(INDEX('Saisie'!$AG$5:$AG$2004,_xlfn.MAXIFS('Saisie'!$AS$5:$AS$2004,'Saisie'!$C$5:$C$2004,C32,'Saisie'!$AG$5:$AG$2004,"&lt;&gt;")-4),""))</f>
        <v/>
      </c>
      <c r="AE32" s="60">
        <f>IF(C32="","",IFERROR(INDEX('Saisie'!$AH$5:$AH$2004,_xlfn.MAXIFS('Saisie'!$AS$5:$AS$2004,'Saisie'!$C$5:$C$2004,C32,'Saisie'!$AH$5:$AH$2004,"&lt;&gt;")-4),""))</f>
        <v/>
      </c>
      <c r="AF32" s="60">
        <f>IF(C32="","",IFERROR(INDEX('Saisie'!$AI$5:$AI$2004,_xlfn.MAXIFS('Saisie'!$AS$5:$AS$2004,'Saisie'!$C$5:$C$2004,C32,'Saisie'!$AI$5:$AI$2004,"&lt;&gt;")-4),""))</f>
        <v/>
      </c>
      <c r="AG32" s="60">
        <f>IF(C32="","",IFERROR(INDEX('Saisie'!$AJ$5:$AJ$2004,_xlfn.MAXIFS('Saisie'!$AS$5:$AS$2004,'Saisie'!$C$5:$C$2004,C32,'Saisie'!$AJ$5:$AJ$2004,"&lt;&gt;")-4),""))</f>
        <v/>
      </c>
      <c r="AH32" s="60">
        <f>IF(C32="","",IFERROR(INDEX('Saisie'!$AK$5:$AK$2004,_xlfn.MAXIFS('Saisie'!$AS$5:$AS$2004,'Saisie'!$C$5:$C$2004,C32,'Saisie'!$AK$5:$AK$2004,"&lt;&gt;")-4),""))</f>
        <v/>
      </c>
      <c r="AI32" s="60">
        <f>IF(C32="","",IFERROR(INDEX('Saisie'!$AN$5:$AN$2004,_xlfn.MAXIFS('Saisie'!$AS$5:$AS$2004,'Saisie'!$C$5:$C$2004,C32,'Saisie'!$AN$5:$AN$2004,"&lt;&gt;")-4),""))</f>
        <v/>
      </c>
      <c r="AJ32" s="60">
        <f>IF(C32="","",IFERROR(INDEX('Saisie'!$AO$5:$AO$2004,_xlfn.MAXIFS('Saisie'!$AS$5:$AS$2004,'Saisie'!$C$5:$C$2004,C32,'Saisie'!$AO$5:$AO$2004,"&lt;&gt;")-4),""))</f>
        <v/>
      </c>
      <c r="AK32" s="60">
        <f>IF(C32="","",IFERROR(INDEX('Saisie'!$AP$5:$AP$2004,_xlfn.MAXIFS('Saisie'!$AS$5:$AS$2004,'Saisie'!$C$5:$C$2004,C32,'Saisie'!$AP$5:$AP$2004,"&lt;&gt;")-4),""))</f>
        <v/>
      </c>
      <c r="AL32" s="60">
        <f>IF(C32="","",IFERROR(INDEX('Saisie'!$AQ$5:$AQ$2004,_xlfn.MAXIFS('Saisie'!$AS$5:$AS$2004,'Saisie'!$C$5:$C$2004,C32,'Saisie'!$AQ$5:$AQ$2004,"&lt;&gt;")-4),""))</f>
        <v/>
      </c>
      <c r="AM32" s="60">
        <f>IF(C32="","",((AI32="Oui")+(AJ32="Oui")+(AK32="Oui")+OR(AL32="Immédiat",AL32="&lt; 1 mois"))&amp;"/4")</f>
        <v/>
      </c>
      <c r="AN32" s="60">
        <f>IF(C32="","",IFERROR(INDEX('Saisie'!$AL$5:$AL$2004,_xlfn.MAXIFS('Saisie'!$AS$5:$AS$2004,'Saisie'!$C$5:$C$2004,C32,'Saisie'!$AL$5:$AL$2004,"&lt;&gt;")-4),""))</f>
        <v/>
      </c>
      <c r="AO32" s="62">
        <f>IF(C32="","",IF(IFERROR(INDEX('Saisie'!$AM$5:$AM$2004,_xlfn.MAXIFS('Saisie'!$AS$5:$AS$2004,'Saisie'!$C$5:$C$2004,C32,'Saisie'!$AM$5:$AM$2004,"&lt;&gt;")-4),"")&lt;&gt;"",IFERROR(INDEX('Saisie'!$AM$5:$AM$2004,_xlfn.MAXIFS('Saisie'!$AS$5:$AS$2004,'Saisie'!$C$5:$C$2004,C32,'Saisie'!$AM$5:$AM$2004,"&lt;&gt;")-4),""),IFERROR(INDEX('Paramètres'!$S$6:$S$15,MATCH(AN32,'Paramètres'!$Q$6:$Q$15,0)),"")))</f>
        <v/>
      </c>
      <c r="AP32" s="62">
        <f>IF(C32="","",IFERROR(INDEX('Saisie'!$AW$5:$AW$2004,_xlfn.MAXIFS('Saisie'!$AS$5:$AS$2004,'Saisie'!$C$5:$C$2004,C32,'Saisie'!$E$5:$E$2004,"Proposition envoyée")-4),""))</f>
        <v/>
      </c>
      <c r="AQ32" s="106">
        <f>IF(C32="","",IFERROR(1/(1/_xlfn.MAXIFS('Saisie'!$A$5:$A$2004,'Saisie'!$C$5:$C$2004,C32,'Saisie'!$E$5:$E$2004,"Proposition envoyée")),""))</f>
        <v/>
      </c>
      <c r="AR32" s="106">
        <f>IF(C32="","",IF(AQ32="","",AQ32+'Paramètres'!$B$26))</f>
        <v/>
      </c>
      <c r="AS32" s="62">
        <f>IF(OR(C32="",D32="Gagné",D32="Perdu"),0,N(AP32)*IFERROR(INDEX('Paramètres'!$G$6:$G$13,MATCH(D32,'Paramètres'!$F$6:$F$13,0)),0))</f>
        <v/>
      </c>
      <c r="AT32" s="106">
        <f>IF(C32="","",IFERROR(1/(1/_xlfn.MINIFS('Saisie'!$A$5:$A$2004,'Saisie'!$C$5:$C$2004,C32,'Saisie'!$E$5:$E$2004,"Signature")),""))</f>
        <v/>
      </c>
      <c r="AU32" s="60">
        <f>IF(C32="","",IF(OR(AT32="",B32=""),"",AT32-B32))</f>
        <v/>
      </c>
      <c r="AV32" s="60">
        <f>IF(C32="","",IFERROR(INDEX('Saisie'!$L$5:$L$2004,_xlfn.MAXIFS('Saisie'!$AS$5:$AS$2004,'Saisie'!$C$5:$C$2004,C32,'Saisie'!$L$5:$L$2004,"&lt;&gt;")-4),""))</f>
        <v/>
      </c>
      <c r="AW32" s="106">
        <f>IF(C32="","",IF(D32&lt;&gt;"Perdu","",IFERROR(1/(1/_xlfn.MAXIFS('Saisie'!$A$5:$A$2004,'Saisie'!$C$5:$C$2004,C32,'Saisie'!$E$5:$E$2004,"Perdu")),"")))</f>
        <v/>
      </c>
      <c r="AX32" s="106">
        <f>IF(C32="","",IF(AW32="","",AW32+'Paramètres'!$B$28))</f>
        <v/>
      </c>
      <c r="AY32" s="60">
        <f>IF(C32="","",SUMIFS('Saisie'!$H$5:$H$2004,'Saisie'!$C$5:$C$2004,C32))</f>
        <v/>
      </c>
      <c r="AZ32" s="60">
        <f>IF(C32="","",IFERROR(INDEX('Paramètres'!$W$6:$W$20,MATCH(S32,'Paramètres'!$V$6:$V$20,0))&amp;"",""))</f>
        <v/>
      </c>
      <c r="BA32" s="60">
        <f>IF(C32="","",MAX(1,_xlfn.MAXIFS('Saisie'!$AT$5:$AT$2004,'Saisie'!$C$5:$C$2004,C32)))</f>
        <v/>
      </c>
      <c r="BB32" s="60">
        <f>IF(C32="","",IFERROR(INDEX('Saisie'!$X$5:$X$2004,_xlfn.MAXIFS('Saisie'!$AS$5:$AS$2004,'Saisie'!$C$5:$C$2004,C32,'Saisie'!$X$5:$X$2004,"&lt;&gt;")-4),""))</f>
        <v/>
      </c>
      <c r="BC32" s="60">
        <f>IF(C32="","",IFERROR(INDEX('Saisie'!$Y$5:$Y$2004,_xlfn.MAXIFS('Saisie'!$AS$5:$AS$2004,'Saisie'!$C$5:$C$2004,C32,'Saisie'!$Y$5:$Y$2004,"&lt;&gt;")-4),""))</f>
        <v/>
      </c>
      <c r="BD32" s="106">
        <f>IF(C32="","",IFERROR(1/(1/_xlfn.MINIFS('Saisie'!$A$5:$A$2004,'Saisie'!$C$5:$C$2004,C32,'Saisie'!$AT$5:$AT$2004,"&gt;=2")),""))</f>
        <v/>
      </c>
      <c r="BE32" s="106">
        <f>IF(C32="","",IFERROR(1/(1/_xlfn.MINIFS('Saisie'!$A$5:$A$2004,'Saisie'!$C$5:$C$2004,C32,'Saisie'!$AT$5:$AT$2004,"&gt;=3")),""))</f>
        <v/>
      </c>
      <c r="BF32" s="106">
        <f>IF(C32="","",IFERROR(1/(1/_xlfn.MINIFS('Saisie'!$A$5:$A$2004,'Saisie'!$C$5:$C$2004,C32,'Saisie'!$AT$5:$AT$2004,"&gt;=4")),""))</f>
        <v/>
      </c>
      <c r="BG32" s="106">
        <f>IF(C32="","",IFERROR(1/(1/_xlfn.MINIFS('Saisie'!$A$5:$A$2004,'Saisie'!$C$5:$C$2004,C32,'Saisie'!$AT$5:$AT$2004,"&gt;=5")),""))</f>
        <v/>
      </c>
      <c r="BH32" s="106">
        <f>IF(C32="","",IFERROR(1/(1/_xlfn.MINIFS('Saisie'!$A$5:$A$2004,'Saisie'!$C$5:$C$2004,C32,'Saisie'!$AT$5:$AT$2004,"&gt;=6")),""))</f>
        <v/>
      </c>
      <c r="BI32" s="106">
        <f>IF(C32="","",IFERROR(1/(1/_xlfn.MINIFS('Saisie'!$A$5:$A$2004,'Saisie'!$C$5:$C$2004,C32,'Saisie'!$AT$5:$AT$2004,"&gt;=7")),""))</f>
        <v/>
      </c>
      <c r="BJ32" s="60">
        <f>IF(OR(BD32="",B32=""),"",BD32-B32)</f>
        <v/>
      </c>
      <c r="BK32" s="60">
        <f>IF(OR(BE32="",BD32=""),"",BE32-BD32)</f>
        <v/>
      </c>
      <c r="BL32" s="60">
        <f>IF(OR(BF32="",BE32=""),"",BF32-BE32)</f>
        <v/>
      </c>
      <c r="BM32" s="60">
        <f>IF(OR(BG32="",BF32=""),"",BG32-BF32)</f>
        <v/>
      </c>
      <c r="BN32" s="60">
        <f>IF(OR(BH32="",BG32=""),"",BH32-BG32)</f>
        <v/>
      </c>
      <c r="BO32" s="60">
        <f>IF(OR(BI32="",BH32=""),"",BI32-BH32)</f>
        <v/>
      </c>
      <c r="BP32" s="60">
        <f>IF(C32="","",_xlfn.MAXIFS('Saisie'!$AS$5:$AS$2004,'Saisie'!$C$5:$C$2004,C32,'Saisie'!$J$5:$J$2004,"&lt;&gt;"))</f>
        <v/>
      </c>
      <c r="BQ32" s="60">
        <f>IF(C32="","",_xlfn.MAXIFS('Saisie'!$AS$5:$AS$2004,'Saisie'!$C$5:$C$2004,C32))</f>
        <v/>
      </c>
      <c r="BR32" s="60">
        <f>IF(C32="","",_xlfn.MAXIFS('Saisie'!$AS$5:$AS$2004,'Saisie'!$C$5:$C$2004,C32,'Saisie'!$E$5:$E$2004,"Perdu"))</f>
        <v/>
      </c>
      <c r="BS32" s="60">
        <f>IF(C32="","",_xlfn.MAXIFS('Saisie'!$AS$5:$AS$2004,'Saisie'!$C$5:$C$2004,C32,'Saisie'!$AT$5:$AT$2004,"&gt;0"))</f>
        <v/>
      </c>
      <c r="BT32" s="109">
        <f>IF(AND(C32&lt;&gt;"",OR(D32="Nouveau",D32="Contacté",D32="Qualifié"),OR(G32="",N(G32)&lt;=TODAY()),NOT(AND(O32&gt;='Paramètres'!$B$21,P32=0))),E32+28/10000,"")</f>
        <v/>
      </c>
      <c r="BU32" s="60">
        <f>IF(AND(G32&lt;&gt;"",N(G32)&lt;=TODAY()),MAX($BU$4:BU31)+1,"")</f>
        <v/>
      </c>
      <c r="BV32" s="60">
        <f>IF(AND(F32&lt;&gt;"",F32&lt;&gt;"Relance en retard"),MAX($BV$4:BV31)+1,"")</f>
        <v/>
      </c>
      <c r="BW32" s="60">
        <f>IF(C32="","",IF(AND(B32&gt;='Tableau de bord'!$R$4,B32&lt;='Tableau de bord'!$S$4,OR('Tableau de bord'!$G$4="Tous",N32='Tableau de bord'!$G$4)),1,0))</f>
        <v/>
      </c>
      <c r="BX32" s="60">
        <f>IF(AND(C32&lt;&gt;"",N(BA32)=7),MAX($BX$4:BX31)+1,"")</f>
        <v/>
      </c>
    </row>
    <row r="33">
      <c r="A33" s="60">
        <f>IF(C33="","","P-"&amp;TEXT(29,"000"))</f>
        <v/>
      </c>
      <c r="B33" s="106">
        <f>IF(C33="","",IFERROR(1/(1/_xlfn.MINIFS('Saisie'!$A$5:$A$2004,'Saisie'!$C$5:$C$2004,C33)),""))</f>
        <v/>
      </c>
      <c r="C33" s="60">
        <f>IFERROR(INDEX('Saisie'!$C$5:$C$2004,MATCH(29,'Saisie'!$AX$5:$AX$2004,0)),"")</f>
        <v/>
      </c>
      <c r="D33" s="60">
        <f>IF(C33="","",IF(AND(BR33&gt;0,BR33&gt;BS33,BA33&lt;7),"Perdu",INDEX('Paramètres'!$F$6:$F$13,BA33)))</f>
        <v/>
      </c>
      <c r="E33" s="61">
        <f>IF(C33="","",MIN(100,(Z33="Oui")*'Paramètres'!$B$38+(AB33="Régulière")*'Paramètres'!$B$39+IF(AND(N(AA33)&gt;0,TODAY()-N(AA33)&lt;=30),'Paramètres'!$B$40,0)+(W33="")*'Paramètres'!$B$41+(AC33="Absente")*'Paramètres'!$B$42+(AC33="Faible")*'Paramètres'!$B$43+IF(AND(N(AD33)&gt;0,N(AD33)&lt;4),'Paramètres'!$B$44,0)+(AF33="Moyenne")*'Paramètres'!$B$45+(AF33="Grande")*'Paramètres'!$B$46+(Y33&lt;&gt;"")*'Paramètres'!$B$47))</f>
        <v/>
      </c>
      <c r="F33" s="60">
        <f>IF(C33="","",IF(D33="Gagné","",IF(D33="Perdu",IF(AND(AX33&lt;&gt;"",AX33&lt;=TODAY()),"À recontacter (perdu)",""),IF(AND(O33&gt;='Paramètres'!$B$21,P33=0),"Stop : "&amp;'Paramètres'!$B$21&amp;" tentatives sans réponse",IF(AND(D33="Proposition",AR33&lt;&gt;"",TODAY()&gt;N(AR33)),"Proposition expirée",IF(AND(D33="Proposition",N(R33)&gt;='Paramètres'!$B$25),"Proposition sans réponse",IF(AND(G33&lt;&gt;"",N(G33)&lt;TODAY()),"Relance en retard",IF(N(R33)&gt;='Paramètres'!$B$24,"Sans action depuis "&amp;R33&amp;" j",""))))))))</f>
        <v/>
      </c>
      <c r="G33" s="106">
        <f>IF(OR(C33="",D33="Gagné",D33="Perdu"),"",IF(AND(BP33&gt;0,BP33=BQ33),INDEX('Saisie'!$J$5:$J$2004,BP33-4),IF(OR(O33=0,AND(O33&gt;='Paramètres'!$B$21,P33=0)),"",Q33+IF(O33&lt;=1,'Paramètres'!$B$18,IF(O33=2,'Paramètres'!$B$19,'Paramètres'!$B$20)))))</f>
        <v/>
      </c>
      <c r="H33" s="107">
        <f>IF(OR(G33="",BP33&lt;&gt;BQ33),"",IF(INDEX('Saisie'!$K$5:$K$2004,BP33-4)="","",INDEX('Saisie'!$K$5:$K$2004,BP33-4)))</f>
        <v/>
      </c>
      <c r="I33" s="60">
        <f>IF(C33="","",IF(OR(D33="Gagné",D33="Perdu"),"",IFERROR(INDEX('Saisie'!$I$5:$I$2004,_xlfn.MAXIFS('Saisie'!$AS$5:$AS$2004,'Saisie'!$C$5:$C$2004,C33,'Saisie'!$I$5:$I$2004,"&lt;&gt;")-4),"")))</f>
        <v/>
      </c>
      <c r="J33" s="60">
        <f>IF(C33="","",IFERROR(INDEX('Saisie'!$U$5:$U$2004,_xlfn.MAXIFS('Saisie'!$AS$5:$AS$2004,'Saisie'!$C$5:$C$2004,C33,'Saisie'!$U$5:$U$2004,"&lt;&gt;")-4),""))</f>
        <v/>
      </c>
      <c r="K33" s="60">
        <f>IF(C33="","",IFERROR(INDEX('Saisie'!$W$5:$W$2004,_xlfn.MAXIFS('Saisie'!$AS$5:$AS$2004,'Saisie'!$C$5:$C$2004,C33,'Saisie'!$W$5:$W$2004,"&lt;&gt;")-4),""))</f>
        <v/>
      </c>
      <c r="L33" s="60">
        <f>IF(IF(BB33&lt;&gt;"",BB33,K33)="","",HYPERLINK("https://wa.me/"&amp;IF(LEFT(SUBSTITUTE(SUBSTITUTE(SUBSTITUTE(IF(BB33&lt;&gt;"",BB33,K33)," ",""),".",""),"+",""),1)="0",'Paramètres'!$B$35&amp;MID(SUBSTITUTE(SUBSTITUTE(SUBSTITUTE(IF(BB33&lt;&gt;"",BB33,K33)," ",""),".",""),"+",""),2,20),SUBSTITUTE(SUBSTITUTE(SUBSTITUTE(IF(BB33&lt;&gt;"",BB33,K33)," ",""),".",""),"+","")),"WhatsApp"))</f>
        <v/>
      </c>
      <c r="M33" s="60">
        <f>IF(BC33="","",HYPERLINK(IF(LEFT(BC33,4)="http",BC33,"https://www.instagram.com/"&amp;SUBSTITUTE(SUBSTITUTE(BC33,"@","")," ","")),BC33))</f>
        <v/>
      </c>
      <c r="N33" s="60">
        <f>IF(C33="","",IFERROR(INDEX('Saisie'!$D$5:$D$2004,_xlfn.MINIFS('Saisie'!$AS$5:$AS$2004,'Saisie'!$C$5:$C$2004,C33,'Saisie'!$AU$5:$AU$2004,1)-4),IFERROR(INDEX('Saisie'!$D$5:$D$2004,_xlfn.MINIFS('Saisie'!$AS$5:$AS$2004,'Saisie'!$C$5:$C$2004,C33,'Saisie'!$D$5:$D$2004,"&lt;&gt;")-4),"")))</f>
        <v/>
      </c>
      <c r="O33" s="60">
        <f>IF(C33="","",COUNTIFS('Saisie'!$C$5:$C$2004,C33,'Saisie'!$AU$5:$AU$2004,1))</f>
        <v/>
      </c>
      <c r="P33" s="60">
        <f>IF(C33="","",COUNTIFS('Saisie'!$C$5:$C$2004,C33,'Saisie'!$AV$5:$AV$2004,1))</f>
        <v/>
      </c>
      <c r="Q33" s="106">
        <f>IF(C33="","",IFERROR(1/(1/_xlfn.MAXIFS('Saisie'!$A$5:$A$2004,'Saisie'!$C$5:$C$2004,C33)),""))</f>
        <v/>
      </c>
      <c r="R33" s="61">
        <f>IF(C33="","",IF(Q33="","",TODAY()-Q33))</f>
        <v/>
      </c>
      <c r="S33" s="60">
        <f>IF(C33="","",IFERROR(INDEX('Saisie'!$R$5:$R$2004,_xlfn.MAXIFS('Saisie'!$AS$5:$AS$2004,'Saisie'!$C$5:$C$2004,C33,'Saisie'!$R$5:$R$2004,"&lt;&gt;")-4),""))</f>
        <v/>
      </c>
      <c r="T33" s="60">
        <f>IF(C33="","",IFERROR(INDEX('Saisie'!$S$5:$S$2004,_xlfn.MAXIFS('Saisie'!$AS$5:$AS$2004,'Saisie'!$C$5:$C$2004,C33,'Saisie'!$S$5:$S$2004,"&lt;&gt;")-4),""))</f>
        <v/>
      </c>
      <c r="U33" s="60">
        <f>IF(C33="","",IFERROR(INDEX('Saisie'!$T$5:$T$2004,_xlfn.MAXIFS('Saisie'!$AS$5:$AS$2004,'Saisie'!$C$5:$C$2004,C33,'Saisie'!$T$5:$T$2004,"&lt;&gt;")-4),""))</f>
        <v/>
      </c>
      <c r="V33" s="60">
        <f>IF(C33="","",IFERROR(INDEX('Saisie'!$V$5:$V$2004,_xlfn.MAXIFS('Saisie'!$AS$5:$AS$2004,'Saisie'!$C$5:$C$2004,C33,'Saisie'!$V$5:$V$2004,"&lt;&gt;")-4),""))</f>
        <v/>
      </c>
      <c r="W33" s="60">
        <f>IF(C33="","",IFERROR(INDEX('Saisie'!$Z$5:$Z$2004,_xlfn.MAXIFS('Saisie'!$AS$5:$AS$2004,'Saisie'!$C$5:$C$2004,C33,'Saisie'!$Z$5:$Z$2004,"&lt;&gt;")-4),""))</f>
        <v/>
      </c>
      <c r="X33" s="60">
        <f>IF(C33="","",IFERROR(INDEX('Saisie'!$AA$5:$AA$2004,_xlfn.MAXIFS('Saisie'!$AS$5:$AS$2004,'Saisie'!$C$5:$C$2004,C33,'Saisie'!$AA$5:$AA$2004,"&lt;&gt;")-4),""))</f>
        <v/>
      </c>
      <c r="Y33" s="60">
        <f>IF(C33="","",IFERROR(INDEX('Saisie'!$AB$5:$AB$2004,_xlfn.MAXIFS('Saisie'!$AS$5:$AS$2004,'Saisie'!$C$5:$C$2004,C33,'Saisie'!$AB$5:$AB$2004,"&lt;&gt;")-4),""))</f>
        <v/>
      </c>
      <c r="Z33" s="60">
        <f>IF(C33="","",IFERROR(INDEX('Saisie'!$AC$5:$AC$2004,_xlfn.MAXIFS('Saisie'!$AS$5:$AS$2004,'Saisie'!$C$5:$C$2004,C33,'Saisie'!$AC$5:$AC$2004,"&lt;&gt;")-4),""))</f>
        <v/>
      </c>
      <c r="AA33" s="106">
        <f>IF(C33="","",IFERROR(INDEX('Saisie'!$AD$5:$AD$2004,_xlfn.MAXIFS('Saisie'!$AS$5:$AS$2004,'Saisie'!$C$5:$C$2004,C33,'Saisie'!$AD$5:$AD$2004,"&lt;&gt;")-4),""))</f>
        <v/>
      </c>
      <c r="AB33" s="60">
        <f>IF(C33="","",IFERROR(INDEX('Saisie'!$AE$5:$AE$2004,_xlfn.MAXIFS('Saisie'!$AS$5:$AS$2004,'Saisie'!$C$5:$C$2004,C33,'Saisie'!$AE$5:$AE$2004,"&lt;&gt;")-4),""))</f>
        <v/>
      </c>
      <c r="AC33" s="60">
        <f>IF(C33="","",IFERROR(INDEX('Saisie'!$AF$5:$AF$2004,_xlfn.MAXIFS('Saisie'!$AS$5:$AS$2004,'Saisie'!$C$5:$C$2004,C33,'Saisie'!$AF$5:$AF$2004,"&lt;&gt;")-4),""))</f>
        <v/>
      </c>
      <c r="AD33" s="108">
        <f>IF(C33="","",IFERROR(INDEX('Saisie'!$AG$5:$AG$2004,_xlfn.MAXIFS('Saisie'!$AS$5:$AS$2004,'Saisie'!$C$5:$C$2004,C33,'Saisie'!$AG$5:$AG$2004,"&lt;&gt;")-4),""))</f>
        <v/>
      </c>
      <c r="AE33" s="60">
        <f>IF(C33="","",IFERROR(INDEX('Saisie'!$AH$5:$AH$2004,_xlfn.MAXIFS('Saisie'!$AS$5:$AS$2004,'Saisie'!$C$5:$C$2004,C33,'Saisie'!$AH$5:$AH$2004,"&lt;&gt;")-4),""))</f>
        <v/>
      </c>
      <c r="AF33" s="60">
        <f>IF(C33="","",IFERROR(INDEX('Saisie'!$AI$5:$AI$2004,_xlfn.MAXIFS('Saisie'!$AS$5:$AS$2004,'Saisie'!$C$5:$C$2004,C33,'Saisie'!$AI$5:$AI$2004,"&lt;&gt;")-4),""))</f>
        <v/>
      </c>
      <c r="AG33" s="60">
        <f>IF(C33="","",IFERROR(INDEX('Saisie'!$AJ$5:$AJ$2004,_xlfn.MAXIFS('Saisie'!$AS$5:$AS$2004,'Saisie'!$C$5:$C$2004,C33,'Saisie'!$AJ$5:$AJ$2004,"&lt;&gt;")-4),""))</f>
        <v/>
      </c>
      <c r="AH33" s="60">
        <f>IF(C33="","",IFERROR(INDEX('Saisie'!$AK$5:$AK$2004,_xlfn.MAXIFS('Saisie'!$AS$5:$AS$2004,'Saisie'!$C$5:$C$2004,C33,'Saisie'!$AK$5:$AK$2004,"&lt;&gt;")-4),""))</f>
        <v/>
      </c>
      <c r="AI33" s="60">
        <f>IF(C33="","",IFERROR(INDEX('Saisie'!$AN$5:$AN$2004,_xlfn.MAXIFS('Saisie'!$AS$5:$AS$2004,'Saisie'!$C$5:$C$2004,C33,'Saisie'!$AN$5:$AN$2004,"&lt;&gt;")-4),""))</f>
        <v/>
      </c>
      <c r="AJ33" s="60">
        <f>IF(C33="","",IFERROR(INDEX('Saisie'!$AO$5:$AO$2004,_xlfn.MAXIFS('Saisie'!$AS$5:$AS$2004,'Saisie'!$C$5:$C$2004,C33,'Saisie'!$AO$5:$AO$2004,"&lt;&gt;")-4),""))</f>
        <v/>
      </c>
      <c r="AK33" s="60">
        <f>IF(C33="","",IFERROR(INDEX('Saisie'!$AP$5:$AP$2004,_xlfn.MAXIFS('Saisie'!$AS$5:$AS$2004,'Saisie'!$C$5:$C$2004,C33,'Saisie'!$AP$5:$AP$2004,"&lt;&gt;")-4),""))</f>
        <v/>
      </c>
      <c r="AL33" s="60">
        <f>IF(C33="","",IFERROR(INDEX('Saisie'!$AQ$5:$AQ$2004,_xlfn.MAXIFS('Saisie'!$AS$5:$AS$2004,'Saisie'!$C$5:$C$2004,C33,'Saisie'!$AQ$5:$AQ$2004,"&lt;&gt;")-4),""))</f>
        <v/>
      </c>
      <c r="AM33" s="60">
        <f>IF(C33="","",((AI33="Oui")+(AJ33="Oui")+(AK33="Oui")+OR(AL33="Immédiat",AL33="&lt; 1 mois"))&amp;"/4")</f>
        <v/>
      </c>
      <c r="AN33" s="60">
        <f>IF(C33="","",IFERROR(INDEX('Saisie'!$AL$5:$AL$2004,_xlfn.MAXIFS('Saisie'!$AS$5:$AS$2004,'Saisie'!$C$5:$C$2004,C33,'Saisie'!$AL$5:$AL$2004,"&lt;&gt;")-4),""))</f>
        <v/>
      </c>
      <c r="AO33" s="62">
        <f>IF(C33="","",IF(IFERROR(INDEX('Saisie'!$AM$5:$AM$2004,_xlfn.MAXIFS('Saisie'!$AS$5:$AS$2004,'Saisie'!$C$5:$C$2004,C33,'Saisie'!$AM$5:$AM$2004,"&lt;&gt;")-4),"")&lt;&gt;"",IFERROR(INDEX('Saisie'!$AM$5:$AM$2004,_xlfn.MAXIFS('Saisie'!$AS$5:$AS$2004,'Saisie'!$C$5:$C$2004,C33,'Saisie'!$AM$5:$AM$2004,"&lt;&gt;")-4),""),IFERROR(INDEX('Paramètres'!$S$6:$S$15,MATCH(AN33,'Paramètres'!$Q$6:$Q$15,0)),"")))</f>
        <v/>
      </c>
      <c r="AP33" s="62">
        <f>IF(C33="","",IFERROR(INDEX('Saisie'!$AW$5:$AW$2004,_xlfn.MAXIFS('Saisie'!$AS$5:$AS$2004,'Saisie'!$C$5:$C$2004,C33,'Saisie'!$E$5:$E$2004,"Proposition envoyée")-4),""))</f>
        <v/>
      </c>
      <c r="AQ33" s="106">
        <f>IF(C33="","",IFERROR(1/(1/_xlfn.MAXIFS('Saisie'!$A$5:$A$2004,'Saisie'!$C$5:$C$2004,C33,'Saisie'!$E$5:$E$2004,"Proposition envoyée")),""))</f>
        <v/>
      </c>
      <c r="AR33" s="106">
        <f>IF(C33="","",IF(AQ33="","",AQ33+'Paramètres'!$B$26))</f>
        <v/>
      </c>
      <c r="AS33" s="62">
        <f>IF(OR(C33="",D33="Gagné",D33="Perdu"),0,N(AP33)*IFERROR(INDEX('Paramètres'!$G$6:$G$13,MATCH(D33,'Paramètres'!$F$6:$F$13,0)),0))</f>
        <v/>
      </c>
      <c r="AT33" s="106">
        <f>IF(C33="","",IFERROR(1/(1/_xlfn.MINIFS('Saisie'!$A$5:$A$2004,'Saisie'!$C$5:$C$2004,C33,'Saisie'!$E$5:$E$2004,"Signature")),""))</f>
        <v/>
      </c>
      <c r="AU33" s="60">
        <f>IF(C33="","",IF(OR(AT33="",B33=""),"",AT33-B33))</f>
        <v/>
      </c>
      <c r="AV33" s="60">
        <f>IF(C33="","",IFERROR(INDEX('Saisie'!$L$5:$L$2004,_xlfn.MAXIFS('Saisie'!$AS$5:$AS$2004,'Saisie'!$C$5:$C$2004,C33,'Saisie'!$L$5:$L$2004,"&lt;&gt;")-4),""))</f>
        <v/>
      </c>
      <c r="AW33" s="106">
        <f>IF(C33="","",IF(D33&lt;&gt;"Perdu","",IFERROR(1/(1/_xlfn.MAXIFS('Saisie'!$A$5:$A$2004,'Saisie'!$C$5:$C$2004,C33,'Saisie'!$E$5:$E$2004,"Perdu")),"")))</f>
        <v/>
      </c>
      <c r="AX33" s="106">
        <f>IF(C33="","",IF(AW33="","",AW33+'Paramètres'!$B$28))</f>
        <v/>
      </c>
      <c r="AY33" s="60">
        <f>IF(C33="","",SUMIFS('Saisie'!$H$5:$H$2004,'Saisie'!$C$5:$C$2004,C33))</f>
        <v/>
      </c>
      <c r="AZ33" s="60">
        <f>IF(C33="","",IFERROR(INDEX('Paramètres'!$W$6:$W$20,MATCH(S33,'Paramètres'!$V$6:$V$20,0))&amp;"",""))</f>
        <v/>
      </c>
      <c r="BA33" s="60">
        <f>IF(C33="","",MAX(1,_xlfn.MAXIFS('Saisie'!$AT$5:$AT$2004,'Saisie'!$C$5:$C$2004,C33)))</f>
        <v/>
      </c>
      <c r="BB33" s="60">
        <f>IF(C33="","",IFERROR(INDEX('Saisie'!$X$5:$X$2004,_xlfn.MAXIFS('Saisie'!$AS$5:$AS$2004,'Saisie'!$C$5:$C$2004,C33,'Saisie'!$X$5:$X$2004,"&lt;&gt;")-4),""))</f>
        <v/>
      </c>
      <c r="BC33" s="60">
        <f>IF(C33="","",IFERROR(INDEX('Saisie'!$Y$5:$Y$2004,_xlfn.MAXIFS('Saisie'!$AS$5:$AS$2004,'Saisie'!$C$5:$C$2004,C33,'Saisie'!$Y$5:$Y$2004,"&lt;&gt;")-4),""))</f>
        <v/>
      </c>
      <c r="BD33" s="106">
        <f>IF(C33="","",IFERROR(1/(1/_xlfn.MINIFS('Saisie'!$A$5:$A$2004,'Saisie'!$C$5:$C$2004,C33,'Saisie'!$AT$5:$AT$2004,"&gt;=2")),""))</f>
        <v/>
      </c>
      <c r="BE33" s="106">
        <f>IF(C33="","",IFERROR(1/(1/_xlfn.MINIFS('Saisie'!$A$5:$A$2004,'Saisie'!$C$5:$C$2004,C33,'Saisie'!$AT$5:$AT$2004,"&gt;=3")),""))</f>
        <v/>
      </c>
      <c r="BF33" s="106">
        <f>IF(C33="","",IFERROR(1/(1/_xlfn.MINIFS('Saisie'!$A$5:$A$2004,'Saisie'!$C$5:$C$2004,C33,'Saisie'!$AT$5:$AT$2004,"&gt;=4")),""))</f>
        <v/>
      </c>
      <c r="BG33" s="106">
        <f>IF(C33="","",IFERROR(1/(1/_xlfn.MINIFS('Saisie'!$A$5:$A$2004,'Saisie'!$C$5:$C$2004,C33,'Saisie'!$AT$5:$AT$2004,"&gt;=5")),""))</f>
        <v/>
      </c>
      <c r="BH33" s="106">
        <f>IF(C33="","",IFERROR(1/(1/_xlfn.MINIFS('Saisie'!$A$5:$A$2004,'Saisie'!$C$5:$C$2004,C33,'Saisie'!$AT$5:$AT$2004,"&gt;=6")),""))</f>
        <v/>
      </c>
      <c r="BI33" s="106">
        <f>IF(C33="","",IFERROR(1/(1/_xlfn.MINIFS('Saisie'!$A$5:$A$2004,'Saisie'!$C$5:$C$2004,C33,'Saisie'!$AT$5:$AT$2004,"&gt;=7")),""))</f>
        <v/>
      </c>
      <c r="BJ33" s="60">
        <f>IF(OR(BD33="",B33=""),"",BD33-B33)</f>
        <v/>
      </c>
      <c r="BK33" s="60">
        <f>IF(OR(BE33="",BD33=""),"",BE33-BD33)</f>
        <v/>
      </c>
      <c r="BL33" s="60">
        <f>IF(OR(BF33="",BE33=""),"",BF33-BE33)</f>
        <v/>
      </c>
      <c r="BM33" s="60">
        <f>IF(OR(BG33="",BF33=""),"",BG33-BF33)</f>
        <v/>
      </c>
      <c r="BN33" s="60">
        <f>IF(OR(BH33="",BG33=""),"",BH33-BG33)</f>
        <v/>
      </c>
      <c r="BO33" s="60">
        <f>IF(OR(BI33="",BH33=""),"",BI33-BH33)</f>
        <v/>
      </c>
      <c r="BP33" s="60">
        <f>IF(C33="","",_xlfn.MAXIFS('Saisie'!$AS$5:$AS$2004,'Saisie'!$C$5:$C$2004,C33,'Saisie'!$J$5:$J$2004,"&lt;&gt;"))</f>
        <v/>
      </c>
      <c r="BQ33" s="60">
        <f>IF(C33="","",_xlfn.MAXIFS('Saisie'!$AS$5:$AS$2004,'Saisie'!$C$5:$C$2004,C33))</f>
        <v/>
      </c>
      <c r="BR33" s="60">
        <f>IF(C33="","",_xlfn.MAXIFS('Saisie'!$AS$5:$AS$2004,'Saisie'!$C$5:$C$2004,C33,'Saisie'!$E$5:$E$2004,"Perdu"))</f>
        <v/>
      </c>
      <c r="BS33" s="60">
        <f>IF(C33="","",_xlfn.MAXIFS('Saisie'!$AS$5:$AS$2004,'Saisie'!$C$5:$C$2004,C33,'Saisie'!$AT$5:$AT$2004,"&gt;0"))</f>
        <v/>
      </c>
      <c r="BT33" s="109">
        <f>IF(AND(C33&lt;&gt;"",OR(D33="Nouveau",D33="Contacté",D33="Qualifié"),OR(G33="",N(G33)&lt;=TODAY()),NOT(AND(O33&gt;='Paramètres'!$B$21,P33=0))),E33+29/10000,"")</f>
        <v/>
      </c>
      <c r="BU33" s="60">
        <f>IF(AND(G33&lt;&gt;"",N(G33)&lt;=TODAY()),MAX($BU$4:BU32)+1,"")</f>
        <v/>
      </c>
      <c r="BV33" s="60">
        <f>IF(AND(F33&lt;&gt;"",F33&lt;&gt;"Relance en retard"),MAX($BV$4:BV32)+1,"")</f>
        <v/>
      </c>
      <c r="BW33" s="60">
        <f>IF(C33="","",IF(AND(B33&gt;='Tableau de bord'!$R$4,B33&lt;='Tableau de bord'!$S$4,OR('Tableau de bord'!$G$4="Tous",N33='Tableau de bord'!$G$4)),1,0))</f>
        <v/>
      </c>
      <c r="BX33" s="60">
        <f>IF(AND(C33&lt;&gt;"",N(BA33)=7),MAX($BX$4:BX32)+1,"")</f>
        <v/>
      </c>
    </row>
    <row r="34">
      <c r="A34" s="60">
        <f>IF(C34="","","P-"&amp;TEXT(30,"000"))</f>
        <v/>
      </c>
      <c r="B34" s="106">
        <f>IF(C34="","",IFERROR(1/(1/_xlfn.MINIFS('Saisie'!$A$5:$A$2004,'Saisie'!$C$5:$C$2004,C34)),""))</f>
        <v/>
      </c>
      <c r="C34" s="60">
        <f>IFERROR(INDEX('Saisie'!$C$5:$C$2004,MATCH(30,'Saisie'!$AX$5:$AX$2004,0)),"")</f>
        <v/>
      </c>
      <c r="D34" s="60">
        <f>IF(C34="","",IF(AND(BR34&gt;0,BR34&gt;BS34,BA34&lt;7),"Perdu",INDEX('Paramètres'!$F$6:$F$13,BA34)))</f>
        <v/>
      </c>
      <c r="E34" s="61">
        <f>IF(C34="","",MIN(100,(Z34="Oui")*'Paramètres'!$B$38+(AB34="Régulière")*'Paramètres'!$B$39+IF(AND(N(AA34)&gt;0,TODAY()-N(AA34)&lt;=30),'Paramètres'!$B$40,0)+(W34="")*'Paramètres'!$B$41+(AC34="Absente")*'Paramètres'!$B$42+(AC34="Faible")*'Paramètres'!$B$43+IF(AND(N(AD34)&gt;0,N(AD34)&lt;4),'Paramètres'!$B$44,0)+(AF34="Moyenne")*'Paramètres'!$B$45+(AF34="Grande")*'Paramètres'!$B$46+(Y34&lt;&gt;"")*'Paramètres'!$B$47))</f>
        <v/>
      </c>
      <c r="F34" s="60">
        <f>IF(C34="","",IF(D34="Gagné","",IF(D34="Perdu",IF(AND(AX34&lt;&gt;"",AX34&lt;=TODAY()),"À recontacter (perdu)",""),IF(AND(O34&gt;='Paramètres'!$B$21,P34=0),"Stop : "&amp;'Paramètres'!$B$21&amp;" tentatives sans réponse",IF(AND(D34="Proposition",AR34&lt;&gt;"",TODAY()&gt;N(AR34)),"Proposition expirée",IF(AND(D34="Proposition",N(R34)&gt;='Paramètres'!$B$25),"Proposition sans réponse",IF(AND(G34&lt;&gt;"",N(G34)&lt;TODAY()),"Relance en retard",IF(N(R34)&gt;='Paramètres'!$B$24,"Sans action depuis "&amp;R34&amp;" j",""))))))))</f>
        <v/>
      </c>
      <c r="G34" s="106">
        <f>IF(OR(C34="",D34="Gagné",D34="Perdu"),"",IF(AND(BP34&gt;0,BP34=BQ34),INDEX('Saisie'!$J$5:$J$2004,BP34-4),IF(OR(O34=0,AND(O34&gt;='Paramètres'!$B$21,P34=0)),"",Q34+IF(O34&lt;=1,'Paramètres'!$B$18,IF(O34=2,'Paramètres'!$B$19,'Paramètres'!$B$20)))))</f>
        <v/>
      </c>
      <c r="H34" s="107">
        <f>IF(OR(G34="",BP34&lt;&gt;BQ34),"",IF(INDEX('Saisie'!$K$5:$K$2004,BP34-4)="","",INDEX('Saisie'!$K$5:$K$2004,BP34-4)))</f>
        <v/>
      </c>
      <c r="I34" s="60">
        <f>IF(C34="","",IF(OR(D34="Gagné",D34="Perdu"),"",IFERROR(INDEX('Saisie'!$I$5:$I$2004,_xlfn.MAXIFS('Saisie'!$AS$5:$AS$2004,'Saisie'!$C$5:$C$2004,C34,'Saisie'!$I$5:$I$2004,"&lt;&gt;")-4),"")))</f>
        <v/>
      </c>
      <c r="J34" s="60">
        <f>IF(C34="","",IFERROR(INDEX('Saisie'!$U$5:$U$2004,_xlfn.MAXIFS('Saisie'!$AS$5:$AS$2004,'Saisie'!$C$5:$C$2004,C34,'Saisie'!$U$5:$U$2004,"&lt;&gt;")-4),""))</f>
        <v/>
      </c>
      <c r="K34" s="60">
        <f>IF(C34="","",IFERROR(INDEX('Saisie'!$W$5:$W$2004,_xlfn.MAXIFS('Saisie'!$AS$5:$AS$2004,'Saisie'!$C$5:$C$2004,C34,'Saisie'!$W$5:$W$2004,"&lt;&gt;")-4),""))</f>
        <v/>
      </c>
      <c r="L34" s="60">
        <f>IF(IF(BB34&lt;&gt;"",BB34,K34)="","",HYPERLINK("https://wa.me/"&amp;IF(LEFT(SUBSTITUTE(SUBSTITUTE(SUBSTITUTE(IF(BB34&lt;&gt;"",BB34,K34)," ",""),".",""),"+",""),1)="0",'Paramètres'!$B$35&amp;MID(SUBSTITUTE(SUBSTITUTE(SUBSTITUTE(IF(BB34&lt;&gt;"",BB34,K34)," ",""),".",""),"+",""),2,20),SUBSTITUTE(SUBSTITUTE(SUBSTITUTE(IF(BB34&lt;&gt;"",BB34,K34)," ",""),".",""),"+","")),"WhatsApp"))</f>
        <v/>
      </c>
      <c r="M34" s="60">
        <f>IF(BC34="","",HYPERLINK(IF(LEFT(BC34,4)="http",BC34,"https://www.instagram.com/"&amp;SUBSTITUTE(SUBSTITUTE(BC34,"@","")," ","")),BC34))</f>
        <v/>
      </c>
      <c r="N34" s="60">
        <f>IF(C34="","",IFERROR(INDEX('Saisie'!$D$5:$D$2004,_xlfn.MINIFS('Saisie'!$AS$5:$AS$2004,'Saisie'!$C$5:$C$2004,C34,'Saisie'!$AU$5:$AU$2004,1)-4),IFERROR(INDEX('Saisie'!$D$5:$D$2004,_xlfn.MINIFS('Saisie'!$AS$5:$AS$2004,'Saisie'!$C$5:$C$2004,C34,'Saisie'!$D$5:$D$2004,"&lt;&gt;")-4),"")))</f>
        <v/>
      </c>
      <c r="O34" s="60">
        <f>IF(C34="","",COUNTIFS('Saisie'!$C$5:$C$2004,C34,'Saisie'!$AU$5:$AU$2004,1))</f>
        <v/>
      </c>
      <c r="P34" s="60">
        <f>IF(C34="","",COUNTIFS('Saisie'!$C$5:$C$2004,C34,'Saisie'!$AV$5:$AV$2004,1))</f>
        <v/>
      </c>
      <c r="Q34" s="106">
        <f>IF(C34="","",IFERROR(1/(1/_xlfn.MAXIFS('Saisie'!$A$5:$A$2004,'Saisie'!$C$5:$C$2004,C34)),""))</f>
        <v/>
      </c>
      <c r="R34" s="61">
        <f>IF(C34="","",IF(Q34="","",TODAY()-Q34))</f>
        <v/>
      </c>
      <c r="S34" s="60">
        <f>IF(C34="","",IFERROR(INDEX('Saisie'!$R$5:$R$2004,_xlfn.MAXIFS('Saisie'!$AS$5:$AS$2004,'Saisie'!$C$5:$C$2004,C34,'Saisie'!$R$5:$R$2004,"&lt;&gt;")-4),""))</f>
        <v/>
      </c>
      <c r="T34" s="60">
        <f>IF(C34="","",IFERROR(INDEX('Saisie'!$S$5:$S$2004,_xlfn.MAXIFS('Saisie'!$AS$5:$AS$2004,'Saisie'!$C$5:$C$2004,C34,'Saisie'!$S$5:$S$2004,"&lt;&gt;")-4),""))</f>
        <v/>
      </c>
      <c r="U34" s="60">
        <f>IF(C34="","",IFERROR(INDEX('Saisie'!$T$5:$T$2004,_xlfn.MAXIFS('Saisie'!$AS$5:$AS$2004,'Saisie'!$C$5:$C$2004,C34,'Saisie'!$T$5:$T$2004,"&lt;&gt;")-4),""))</f>
        <v/>
      </c>
      <c r="V34" s="60">
        <f>IF(C34="","",IFERROR(INDEX('Saisie'!$V$5:$V$2004,_xlfn.MAXIFS('Saisie'!$AS$5:$AS$2004,'Saisie'!$C$5:$C$2004,C34,'Saisie'!$V$5:$V$2004,"&lt;&gt;")-4),""))</f>
        <v/>
      </c>
      <c r="W34" s="60">
        <f>IF(C34="","",IFERROR(INDEX('Saisie'!$Z$5:$Z$2004,_xlfn.MAXIFS('Saisie'!$AS$5:$AS$2004,'Saisie'!$C$5:$C$2004,C34,'Saisie'!$Z$5:$Z$2004,"&lt;&gt;")-4),""))</f>
        <v/>
      </c>
      <c r="X34" s="60">
        <f>IF(C34="","",IFERROR(INDEX('Saisie'!$AA$5:$AA$2004,_xlfn.MAXIFS('Saisie'!$AS$5:$AS$2004,'Saisie'!$C$5:$C$2004,C34,'Saisie'!$AA$5:$AA$2004,"&lt;&gt;")-4),""))</f>
        <v/>
      </c>
      <c r="Y34" s="60">
        <f>IF(C34="","",IFERROR(INDEX('Saisie'!$AB$5:$AB$2004,_xlfn.MAXIFS('Saisie'!$AS$5:$AS$2004,'Saisie'!$C$5:$C$2004,C34,'Saisie'!$AB$5:$AB$2004,"&lt;&gt;")-4),""))</f>
        <v/>
      </c>
      <c r="Z34" s="60">
        <f>IF(C34="","",IFERROR(INDEX('Saisie'!$AC$5:$AC$2004,_xlfn.MAXIFS('Saisie'!$AS$5:$AS$2004,'Saisie'!$C$5:$C$2004,C34,'Saisie'!$AC$5:$AC$2004,"&lt;&gt;")-4),""))</f>
        <v/>
      </c>
      <c r="AA34" s="106">
        <f>IF(C34="","",IFERROR(INDEX('Saisie'!$AD$5:$AD$2004,_xlfn.MAXIFS('Saisie'!$AS$5:$AS$2004,'Saisie'!$C$5:$C$2004,C34,'Saisie'!$AD$5:$AD$2004,"&lt;&gt;")-4),""))</f>
        <v/>
      </c>
      <c r="AB34" s="60">
        <f>IF(C34="","",IFERROR(INDEX('Saisie'!$AE$5:$AE$2004,_xlfn.MAXIFS('Saisie'!$AS$5:$AS$2004,'Saisie'!$C$5:$C$2004,C34,'Saisie'!$AE$5:$AE$2004,"&lt;&gt;")-4),""))</f>
        <v/>
      </c>
      <c r="AC34" s="60">
        <f>IF(C34="","",IFERROR(INDEX('Saisie'!$AF$5:$AF$2004,_xlfn.MAXIFS('Saisie'!$AS$5:$AS$2004,'Saisie'!$C$5:$C$2004,C34,'Saisie'!$AF$5:$AF$2004,"&lt;&gt;")-4),""))</f>
        <v/>
      </c>
      <c r="AD34" s="108">
        <f>IF(C34="","",IFERROR(INDEX('Saisie'!$AG$5:$AG$2004,_xlfn.MAXIFS('Saisie'!$AS$5:$AS$2004,'Saisie'!$C$5:$C$2004,C34,'Saisie'!$AG$5:$AG$2004,"&lt;&gt;")-4),""))</f>
        <v/>
      </c>
      <c r="AE34" s="60">
        <f>IF(C34="","",IFERROR(INDEX('Saisie'!$AH$5:$AH$2004,_xlfn.MAXIFS('Saisie'!$AS$5:$AS$2004,'Saisie'!$C$5:$C$2004,C34,'Saisie'!$AH$5:$AH$2004,"&lt;&gt;")-4),""))</f>
        <v/>
      </c>
      <c r="AF34" s="60">
        <f>IF(C34="","",IFERROR(INDEX('Saisie'!$AI$5:$AI$2004,_xlfn.MAXIFS('Saisie'!$AS$5:$AS$2004,'Saisie'!$C$5:$C$2004,C34,'Saisie'!$AI$5:$AI$2004,"&lt;&gt;")-4),""))</f>
        <v/>
      </c>
      <c r="AG34" s="60">
        <f>IF(C34="","",IFERROR(INDEX('Saisie'!$AJ$5:$AJ$2004,_xlfn.MAXIFS('Saisie'!$AS$5:$AS$2004,'Saisie'!$C$5:$C$2004,C34,'Saisie'!$AJ$5:$AJ$2004,"&lt;&gt;")-4),""))</f>
        <v/>
      </c>
      <c r="AH34" s="60">
        <f>IF(C34="","",IFERROR(INDEX('Saisie'!$AK$5:$AK$2004,_xlfn.MAXIFS('Saisie'!$AS$5:$AS$2004,'Saisie'!$C$5:$C$2004,C34,'Saisie'!$AK$5:$AK$2004,"&lt;&gt;")-4),""))</f>
        <v/>
      </c>
      <c r="AI34" s="60">
        <f>IF(C34="","",IFERROR(INDEX('Saisie'!$AN$5:$AN$2004,_xlfn.MAXIFS('Saisie'!$AS$5:$AS$2004,'Saisie'!$C$5:$C$2004,C34,'Saisie'!$AN$5:$AN$2004,"&lt;&gt;")-4),""))</f>
        <v/>
      </c>
      <c r="AJ34" s="60">
        <f>IF(C34="","",IFERROR(INDEX('Saisie'!$AO$5:$AO$2004,_xlfn.MAXIFS('Saisie'!$AS$5:$AS$2004,'Saisie'!$C$5:$C$2004,C34,'Saisie'!$AO$5:$AO$2004,"&lt;&gt;")-4),""))</f>
        <v/>
      </c>
      <c r="AK34" s="60">
        <f>IF(C34="","",IFERROR(INDEX('Saisie'!$AP$5:$AP$2004,_xlfn.MAXIFS('Saisie'!$AS$5:$AS$2004,'Saisie'!$C$5:$C$2004,C34,'Saisie'!$AP$5:$AP$2004,"&lt;&gt;")-4),""))</f>
        <v/>
      </c>
      <c r="AL34" s="60">
        <f>IF(C34="","",IFERROR(INDEX('Saisie'!$AQ$5:$AQ$2004,_xlfn.MAXIFS('Saisie'!$AS$5:$AS$2004,'Saisie'!$C$5:$C$2004,C34,'Saisie'!$AQ$5:$AQ$2004,"&lt;&gt;")-4),""))</f>
        <v/>
      </c>
      <c r="AM34" s="60">
        <f>IF(C34="","",((AI34="Oui")+(AJ34="Oui")+(AK34="Oui")+OR(AL34="Immédiat",AL34="&lt; 1 mois"))&amp;"/4")</f>
        <v/>
      </c>
      <c r="AN34" s="60">
        <f>IF(C34="","",IFERROR(INDEX('Saisie'!$AL$5:$AL$2004,_xlfn.MAXIFS('Saisie'!$AS$5:$AS$2004,'Saisie'!$C$5:$C$2004,C34,'Saisie'!$AL$5:$AL$2004,"&lt;&gt;")-4),""))</f>
        <v/>
      </c>
      <c r="AO34" s="62">
        <f>IF(C34="","",IF(IFERROR(INDEX('Saisie'!$AM$5:$AM$2004,_xlfn.MAXIFS('Saisie'!$AS$5:$AS$2004,'Saisie'!$C$5:$C$2004,C34,'Saisie'!$AM$5:$AM$2004,"&lt;&gt;")-4),"")&lt;&gt;"",IFERROR(INDEX('Saisie'!$AM$5:$AM$2004,_xlfn.MAXIFS('Saisie'!$AS$5:$AS$2004,'Saisie'!$C$5:$C$2004,C34,'Saisie'!$AM$5:$AM$2004,"&lt;&gt;")-4),""),IFERROR(INDEX('Paramètres'!$S$6:$S$15,MATCH(AN34,'Paramètres'!$Q$6:$Q$15,0)),"")))</f>
        <v/>
      </c>
      <c r="AP34" s="62">
        <f>IF(C34="","",IFERROR(INDEX('Saisie'!$AW$5:$AW$2004,_xlfn.MAXIFS('Saisie'!$AS$5:$AS$2004,'Saisie'!$C$5:$C$2004,C34,'Saisie'!$E$5:$E$2004,"Proposition envoyée")-4),""))</f>
        <v/>
      </c>
      <c r="AQ34" s="106">
        <f>IF(C34="","",IFERROR(1/(1/_xlfn.MAXIFS('Saisie'!$A$5:$A$2004,'Saisie'!$C$5:$C$2004,C34,'Saisie'!$E$5:$E$2004,"Proposition envoyée")),""))</f>
        <v/>
      </c>
      <c r="AR34" s="106">
        <f>IF(C34="","",IF(AQ34="","",AQ34+'Paramètres'!$B$26))</f>
        <v/>
      </c>
      <c r="AS34" s="62">
        <f>IF(OR(C34="",D34="Gagné",D34="Perdu"),0,N(AP34)*IFERROR(INDEX('Paramètres'!$G$6:$G$13,MATCH(D34,'Paramètres'!$F$6:$F$13,0)),0))</f>
        <v/>
      </c>
      <c r="AT34" s="106">
        <f>IF(C34="","",IFERROR(1/(1/_xlfn.MINIFS('Saisie'!$A$5:$A$2004,'Saisie'!$C$5:$C$2004,C34,'Saisie'!$E$5:$E$2004,"Signature")),""))</f>
        <v/>
      </c>
      <c r="AU34" s="60">
        <f>IF(C34="","",IF(OR(AT34="",B34=""),"",AT34-B34))</f>
        <v/>
      </c>
      <c r="AV34" s="60">
        <f>IF(C34="","",IFERROR(INDEX('Saisie'!$L$5:$L$2004,_xlfn.MAXIFS('Saisie'!$AS$5:$AS$2004,'Saisie'!$C$5:$C$2004,C34,'Saisie'!$L$5:$L$2004,"&lt;&gt;")-4),""))</f>
        <v/>
      </c>
      <c r="AW34" s="106">
        <f>IF(C34="","",IF(D34&lt;&gt;"Perdu","",IFERROR(1/(1/_xlfn.MAXIFS('Saisie'!$A$5:$A$2004,'Saisie'!$C$5:$C$2004,C34,'Saisie'!$E$5:$E$2004,"Perdu")),"")))</f>
        <v/>
      </c>
      <c r="AX34" s="106">
        <f>IF(C34="","",IF(AW34="","",AW34+'Paramètres'!$B$28))</f>
        <v/>
      </c>
      <c r="AY34" s="60">
        <f>IF(C34="","",SUMIFS('Saisie'!$H$5:$H$2004,'Saisie'!$C$5:$C$2004,C34))</f>
        <v/>
      </c>
      <c r="AZ34" s="60">
        <f>IF(C34="","",IFERROR(INDEX('Paramètres'!$W$6:$W$20,MATCH(S34,'Paramètres'!$V$6:$V$20,0))&amp;"",""))</f>
        <v/>
      </c>
      <c r="BA34" s="60">
        <f>IF(C34="","",MAX(1,_xlfn.MAXIFS('Saisie'!$AT$5:$AT$2004,'Saisie'!$C$5:$C$2004,C34)))</f>
        <v/>
      </c>
      <c r="BB34" s="60">
        <f>IF(C34="","",IFERROR(INDEX('Saisie'!$X$5:$X$2004,_xlfn.MAXIFS('Saisie'!$AS$5:$AS$2004,'Saisie'!$C$5:$C$2004,C34,'Saisie'!$X$5:$X$2004,"&lt;&gt;")-4),""))</f>
        <v/>
      </c>
      <c r="BC34" s="60">
        <f>IF(C34="","",IFERROR(INDEX('Saisie'!$Y$5:$Y$2004,_xlfn.MAXIFS('Saisie'!$AS$5:$AS$2004,'Saisie'!$C$5:$C$2004,C34,'Saisie'!$Y$5:$Y$2004,"&lt;&gt;")-4),""))</f>
        <v/>
      </c>
      <c r="BD34" s="106">
        <f>IF(C34="","",IFERROR(1/(1/_xlfn.MINIFS('Saisie'!$A$5:$A$2004,'Saisie'!$C$5:$C$2004,C34,'Saisie'!$AT$5:$AT$2004,"&gt;=2")),""))</f>
        <v/>
      </c>
      <c r="BE34" s="106">
        <f>IF(C34="","",IFERROR(1/(1/_xlfn.MINIFS('Saisie'!$A$5:$A$2004,'Saisie'!$C$5:$C$2004,C34,'Saisie'!$AT$5:$AT$2004,"&gt;=3")),""))</f>
        <v/>
      </c>
      <c r="BF34" s="106">
        <f>IF(C34="","",IFERROR(1/(1/_xlfn.MINIFS('Saisie'!$A$5:$A$2004,'Saisie'!$C$5:$C$2004,C34,'Saisie'!$AT$5:$AT$2004,"&gt;=4")),""))</f>
        <v/>
      </c>
      <c r="BG34" s="106">
        <f>IF(C34="","",IFERROR(1/(1/_xlfn.MINIFS('Saisie'!$A$5:$A$2004,'Saisie'!$C$5:$C$2004,C34,'Saisie'!$AT$5:$AT$2004,"&gt;=5")),""))</f>
        <v/>
      </c>
      <c r="BH34" s="106">
        <f>IF(C34="","",IFERROR(1/(1/_xlfn.MINIFS('Saisie'!$A$5:$A$2004,'Saisie'!$C$5:$C$2004,C34,'Saisie'!$AT$5:$AT$2004,"&gt;=6")),""))</f>
        <v/>
      </c>
      <c r="BI34" s="106">
        <f>IF(C34="","",IFERROR(1/(1/_xlfn.MINIFS('Saisie'!$A$5:$A$2004,'Saisie'!$C$5:$C$2004,C34,'Saisie'!$AT$5:$AT$2004,"&gt;=7")),""))</f>
        <v/>
      </c>
      <c r="BJ34" s="60">
        <f>IF(OR(BD34="",B34=""),"",BD34-B34)</f>
        <v/>
      </c>
      <c r="BK34" s="60">
        <f>IF(OR(BE34="",BD34=""),"",BE34-BD34)</f>
        <v/>
      </c>
      <c r="BL34" s="60">
        <f>IF(OR(BF34="",BE34=""),"",BF34-BE34)</f>
        <v/>
      </c>
      <c r="BM34" s="60">
        <f>IF(OR(BG34="",BF34=""),"",BG34-BF34)</f>
        <v/>
      </c>
      <c r="BN34" s="60">
        <f>IF(OR(BH34="",BG34=""),"",BH34-BG34)</f>
        <v/>
      </c>
      <c r="BO34" s="60">
        <f>IF(OR(BI34="",BH34=""),"",BI34-BH34)</f>
        <v/>
      </c>
      <c r="BP34" s="60">
        <f>IF(C34="","",_xlfn.MAXIFS('Saisie'!$AS$5:$AS$2004,'Saisie'!$C$5:$C$2004,C34,'Saisie'!$J$5:$J$2004,"&lt;&gt;"))</f>
        <v/>
      </c>
      <c r="BQ34" s="60">
        <f>IF(C34="","",_xlfn.MAXIFS('Saisie'!$AS$5:$AS$2004,'Saisie'!$C$5:$C$2004,C34))</f>
        <v/>
      </c>
      <c r="BR34" s="60">
        <f>IF(C34="","",_xlfn.MAXIFS('Saisie'!$AS$5:$AS$2004,'Saisie'!$C$5:$C$2004,C34,'Saisie'!$E$5:$E$2004,"Perdu"))</f>
        <v/>
      </c>
      <c r="BS34" s="60">
        <f>IF(C34="","",_xlfn.MAXIFS('Saisie'!$AS$5:$AS$2004,'Saisie'!$C$5:$C$2004,C34,'Saisie'!$AT$5:$AT$2004,"&gt;0"))</f>
        <v/>
      </c>
      <c r="BT34" s="109">
        <f>IF(AND(C34&lt;&gt;"",OR(D34="Nouveau",D34="Contacté",D34="Qualifié"),OR(G34="",N(G34)&lt;=TODAY()),NOT(AND(O34&gt;='Paramètres'!$B$21,P34=0))),E34+30/10000,"")</f>
        <v/>
      </c>
      <c r="BU34" s="60">
        <f>IF(AND(G34&lt;&gt;"",N(G34)&lt;=TODAY()),MAX($BU$4:BU33)+1,"")</f>
        <v/>
      </c>
      <c r="BV34" s="60">
        <f>IF(AND(F34&lt;&gt;"",F34&lt;&gt;"Relance en retard"),MAX($BV$4:BV33)+1,"")</f>
        <v/>
      </c>
      <c r="BW34" s="60">
        <f>IF(C34="","",IF(AND(B34&gt;='Tableau de bord'!$R$4,B34&lt;='Tableau de bord'!$S$4,OR('Tableau de bord'!$G$4="Tous",N34='Tableau de bord'!$G$4)),1,0))</f>
        <v/>
      </c>
      <c r="BX34" s="60">
        <f>IF(AND(C34&lt;&gt;"",N(BA34)=7),MAX($BX$4:BX33)+1,"")</f>
        <v/>
      </c>
    </row>
    <row r="35">
      <c r="A35" s="60">
        <f>IF(C35="","","P-"&amp;TEXT(31,"000"))</f>
        <v/>
      </c>
      <c r="B35" s="106">
        <f>IF(C35="","",IFERROR(1/(1/_xlfn.MINIFS('Saisie'!$A$5:$A$2004,'Saisie'!$C$5:$C$2004,C35)),""))</f>
        <v/>
      </c>
      <c r="C35" s="60">
        <f>IFERROR(INDEX('Saisie'!$C$5:$C$2004,MATCH(31,'Saisie'!$AX$5:$AX$2004,0)),"")</f>
        <v/>
      </c>
      <c r="D35" s="60">
        <f>IF(C35="","",IF(AND(BR35&gt;0,BR35&gt;BS35,BA35&lt;7),"Perdu",INDEX('Paramètres'!$F$6:$F$13,BA35)))</f>
        <v/>
      </c>
      <c r="E35" s="61">
        <f>IF(C35="","",MIN(100,(Z35="Oui")*'Paramètres'!$B$38+(AB35="Régulière")*'Paramètres'!$B$39+IF(AND(N(AA35)&gt;0,TODAY()-N(AA35)&lt;=30),'Paramètres'!$B$40,0)+(W35="")*'Paramètres'!$B$41+(AC35="Absente")*'Paramètres'!$B$42+(AC35="Faible")*'Paramètres'!$B$43+IF(AND(N(AD35)&gt;0,N(AD35)&lt;4),'Paramètres'!$B$44,0)+(AF35="Moyenne")*'Paramètres'!$B$45+(AF35="Grande")*'Paramètres'!$B$46+(Y35&lt;&gt;"")*'Paramètres'!$B$47))</f>
        <v/>
      </c>
      <c r="F35" s="60">
        <f>IF(C35="","",IF(D35="Gagné","",IF(D35="Perdu",IF(AND(AX35&lt;&gt;"",AX35&lt;=TODAY()),"À recontacter (perdu)",""),IF(AND(O35&gt;='Paramètres'!$B$21,P35=0),"Stop : "&amp;'Paramètres'!$B$21&amp;" tentatives sans réponse",IF(AND(D35="Proposition",AR35&lt;&gt;"",TODAY()&gt;N(AR35)),"Proposition expirée",IF(AND(D35="Proposition",N(R35)&gt;='Paramètres'!$B$25),"Proposition sans réponse",IF(AND(G35&lt;&gt;"",N(G35)&lt;TODAY()),"Relance en retard",IF(N(R35)&gt;='Paramètres'!$B$24,"Sans action depuis "&amp;R35&amp;" j",""))))))))</f>
        <v/>
      </c>
      <c r="G35" s="106">
        <f>IF(OR(C35="",D35="Gagné",D35="Perdu"),"",IF(AND(BP35&gt;0,BP35=BQ35),INDEX('Saisie'!$J$5:$J$2004,BP35-4),IF(OR(O35=0,AND(O35&gt;='Paramètres'!$B$21,P35=0)),"",Q35+IF(O35&lt;=1,'Paramètres'!$B$18,IF(O35=2,'Paramètres'!$B$19,'Paramètres'!$B$20)))))</f>
        <v/>
      </c>
      <c r="H35" s="107">
        <f>IF(OR(G35="",BP35&lt;&gt;BQ35),"",IF(INDEX('Saisie'!$K$5:$K$2004,BP35-4)="","",INDEX('Saisie'!$K$5:$K$2004,BP35-4)))</f>
        <v/>
      </c>
      <c r="I35" s="60">
        <f>IF(C35="","",IF(OR(D35="Gagné",D35="Perdu"),"",IFERROR(INDEX('Saisie'!$I$5:$I$2004,_xlfn.MAXIFS('Saisie'!$AS$5:$AS$2004,'Saisie'!$C$5:$C$2004,C35,'Saisie'!$I$5:$I$2004,"&lt;&gt;")-4),"")))</f>
        <v/>
      </c>
      <c r="J35" s="60">
        <f>IF(C35="","",IFERROR(INDEX('Saisie'!$U$5:$U$2004,_xlfn.MAXIFS('Saisie'!$AS$5:$AS$2004,'Saisie'!$C$5:$C$2004,C35,'Saisie'!$U$5:$U$2004,"&lt;&gt;")-4),""))</f>
        <v/>
      </c>
      <c r="K35" s="60">
        <f>IF(C35="","",IFERROR(INDEX('Saisie'!$W$5:$W$2004,_xlfn.MAXIFS('Saisie'!$AS$5:$AS$2004,'Saisie'!$C$5:$C$2004,C35,'Saisie'!$W$5:$W$2004,"&lt;&gt;")-4),""))</f>
        <v/>
      </c>
      <c r="L35" s="60">
        <f>IF(IF(BB35&lt;&gt;"",BB35,K35)="","",HYPERLINK("https://wa.me/"&amp;IF(LEFT(SUBSTITUTE(SUBSTITUTE(SUBSTITUTE(IF(BB35&lt;&gt;"",BB35,K35)," ",""),".",""),"+",""),1)="0",'Paramètres'!$B$35&amp;MID(SUBSTITUTE(SUBSTITUTE(SUBSTITUTE(IF(BB35&lt;&gt;"",BB35,K35)," ",""),".",""),"+",""),2,20),SUBSTITUTE(SUBSTITUTE(SUBSTITUTE(IF(BB35&lt;&gt;"",BB35,K35)," ",""),".",""),"+","")),"WhatsApp"))</f>
        <v/>
      </c>
      <c r="M35" s="60">
        <f>IF(BC35="","",HYPERLINK(IF(LEFT(BC35,4)="http",BC35,"https://www.instagram.com/"&amp;SUBSTITUTE(SUBSTITUTE(BC35,"@","")," ","")),BC35))</f>
        <v/>
      </c>
      <c r="N35" s="60">
        <f>IF(C35="","",IFERROR(INDEX('Saisie'!$D$5:$D$2004,_xlfn.MINIFS('Saisie'!$AS$5:$AS$2004,'Saisie'!$C$5:$C$2004,C35,'Saisie'!$AU$5:$AU$2004,1)-4),IFERROR(INDEX('Saisie'!$D$5:$D$2004,_xlfn.MINIFS('Saisie'!$AS$5:$AS$2004,'Saisie'!$C$5:$C$2004,C35,'Saisie'!$D$5:$D$2004,"&lt;&gt;")-4),"")))</f>
        <v/>
      </c>
      <c r="O35" s="60">
        <f>IF(C35="","",COUNTIFS('Saisie'!$C$5:$C$2004,C35,'Saisie'!$AU$5:$AU$2004,1))</f>
        <v/>
      </c>
      <c r="P35" s="60">
        <f>IF(C35="","",COUNTIFS('Saisie'!$C$5:$C$2004,C35,'Saisie'!$AV$5:$AV$2004,1))</f>
        <v/>
      </c>
      <c r="Q35" s="106">
        <f>IF(C35="","",IFERROR(1/(1/_xlfn.MAXIFS('Saisie'!$A$5:$A$2004,'Saisie'!$C$5:$C$2004,C35)),""))</f>
        <v/>
      </c>
      <c r="R35" s="61">
        <f>IF(C35="","",IF(Q35="","",TODAY()-Q35))</f>
        <v/>
      </c>
      <c r="S35" s="60">
        <f>IF(C35="","",IFERROR(INDEX('Saisie'!$R$5:$R$2004,_xlfn.MAXIFS('Saisie'!$AS$5:$AS$2004,'Saisie'!$C$5:$C$2004,C35,'Saisie'!$R$5:$R$2004,"&lt;&gt;")-4),""))</f>
        <v/>
      </c>
      <c r="T35" s="60">
        <f>IF(C35="","",IFERROR(INDEX('Saisie'!$S$5:$S$2004,_xlfn.MAXIFS('Saisie'!$AS$5:$AS$2004,'Saisie'!$C$5:$C$2004,C35,'Saisie'!$S$5:$S$2004,"&lt;&gt;")-4),""))</f>
        <v/>
      </c>
      <c r="U35" s="60">
        <f>IF(C35="","",IFERROR(INDEX('Saisie'!$T$5:$T$2004,_xlfn.MAXIFS('Saisie'!$AS$5:$AS$2004,'Saisie'!$C$5:$C$2004,C35,'Saisie'!$T$5:$T$2004,"&lt;&gt;")-4),""))</f>
        <v/>
      </c>
      <c r="V35" s="60">
        <f>IF(C35="","",IFERROR(INDEX('Saisie'!$V$5:$V$2004,_xlfn.MAXIFS('Saisie'!$AS$5:$AS$2004,'Saisie'!$C$5:$C$2004,C35,'Saisie'!$V$5:$V$2004,"&lt;&gt;")-4),""))</f>
        <v/>
      </c>
      <c r="W35" s="60">
        <f>IF(C35="","",IFERROR(INDEX('Saisie'!$Z$5:$Z$2004,_xlfn.MAXIFS('Saisie'!$AS$5:$AS$2004,'Saisie'!$C$5:$C$2004,C35,'Saisie'!$Z$5:$Z$2004,"&lt;&gt;")-4),""))</f>
        <v/>
      </c>
      <c r="X35" s="60">
        <f>IF(C35="","",IFERROR(INDEX('Saisie'!$AA$5:$AA$2004,_xlfn.MAXIFS('Saisie'!$AS$5:$AS$2004,'Saisie'!$C$5:$C$2004,C35,'Saisie'!$AA$5:$AA$2004,"&lt;&gt;")-4),""))</f>
        <v/>
      </c>
      <c r="Y35" s="60">
        <f>IF(C35="","",IFERROR(INDEX('Saisie'!$AB$5:$AB$2004,_xlfn.MAXIFS('Saisie'!$AS$5:$AS$2004,'Saisie'!$C$5:$C$2004,C35,'Saisie'!$AB$5:$AB$2004,"&lt;&gt;")-4),""))</f>
        <v/>
      </c>
      <c r="Z35" s="60">
        <f>IF(C35="","",IFERROR(INDEX('Saisie'!$AC$5:$AC$2004,_xlfn.MAXIFS('Saisie'!$AS$5:$AS$2004,'Saisie'!$C$5:$C$2004,C35,'Saisie'!$AC$5:$AC$2004,"&lt;&gt;")-4),""))</f>
        <v/>
      </c>
      <c r="AA35" s="106">
        <f>IF(C35="","",IFERROR(INDEX('Saisie'!$AD$5:$AD$2004,_xlfn.MAXIFS('Saisie'!$AS$5:$AS$2004,'Saisie'!$C$5:$C$2004,C35,'Saisie'!$AD$5:$AD$2004,"&lt;&gt;")-4),""))</f>
        <v/>
      </c>
      <c r="AB35" s="60">
        <f>IF(C35="","",IFERROR(INDEX('Saisie'!$AE$5:$AE$2004,_xlfn.MAXIFS('Saisie'!$AS$5:$AS$2004,'Saisie'!$C$5:$C$2004,C35,'Saisie'!$AE$5:$AE$2004,"&lt;&gt;")-4),""))</f>
        <v/>
      </c>
      <c r="AC35" s="60">
        <f>IF(C35="","",IFERROR(INDEX('Saisie'!$AF$5:$AF$2004,_xlfn.MAXIFS('Saisie'!$AS$5:$AS$2004,'Saisie'!$C$5:$C$2004,C35,'Saisie'!$AF$5:$AF$2004,"&lt;&gt;")-4),""))</f>
        <v/>
      </c>
      <c r="AD35" s="108">
        <f>IF(C35="","",IFERROR(INDEX('Saisie'!$AG$5:$AG$2004,_xlfn.MAXIFS('Saisie'!$AS$5:$AS$2004,'Saisie'!$C$5:$C$2004,C35,'Saisie'!$AG$5:$AG$2004,"&lt;&gt;")-4),""))</f>
        <v/>
      </c>
      <c r="AE35" s="60">
        <f>IF(C35="","",IFERROR(INDEX('Saisie'!$AH$5:$AH$2004,_xlfn.MAXIFS('Saisie'!$AS$5:$AS$2004,'Saisie'!$C$5:$C$2004,C35,'Saisie'!$AH$5:$AH$2004,"&lt;&gt;")-4),""))</f>
        <v/>
      </c>
      <c r="AF35" s="60">
        <f>IF(C35="","",IFERROR(INDEX('Saisie'!$AI$5:$AI$2004,_xlfn.MAXIFS('Saisie'!$AS$5:$AS$2004,'Saisie'!$C$5:$C$2004,C35,'Saisie'!$AI$5:$AI$2004,"&lt;&gt;")-4),""))</f>
        <v/>
      </c>
      <c r="AG35" s="60">
        <f>IF(C35="","",IFERROR(INDEX('Saisie'!$AJ$5:$AJ$2004,_xlfn.MAXIFS('Saisie'!$AS$5:$AS$2004,'Saisie'!$C$5:$C$2004,C35,'Saisie'!$AJ$5:$AJ$2004,"&lt;&gt;")-4),""))</f>
        <v/>
      </c>
      <c r="AH35" s="60">
        <f>IF(C35="","",IFERROR(INDEX('Saisie'!$AK$5:$AK$2004,_xlfn.MAXIFS('Saisie'!$AS$5:$AS$2004,'Saisie'!$C$5:$C$2004,C35,'Saisie'!$AK$5:$AK$2004,"&lt;&gt;")-4),""))</f>
        <v/>
      </c>
      <c r="AI35" s="60">
        <f>IF(C35="","",IFERROR(INDEX('Saisie'!$AN$5:$AN$2004,_xlfn.MAXIFS('Saisie'!$AS$5:$AS$2004,'Saisie'!$C$5:$C$2004,C35,'Saisie'!$AN$5:$AN$2004,"&lt;&gt;")-4),""))</f>
        <v/>
      </c>
      <c r="AJ35" s="60">
        <f>IF(C35="","",IFERROR(INDEX('Saisie'!$AO$5:$AO$2004,_xlfn.MAXIFS('Saisie'!$AS$5:$AS$2004,'Saisie'!$C$5:$C$2004,C35,'Saisie'!$AO$5:$AO$2004,"&lt;&gt;")-4),""))</f>
        <v/>
      </c>
      <c r="AK35" s="60">
        <f>IF(C35="","",IFERROR(INDEX('Saisie'!$AP$5:$AP$2004,_xlfn.MAXIFS('Saisie'!$AS$5:$AS$2004,'Saisie'!$C$5:$C$2004,C35,'Saisie'!$AP$5:$AP$2004,"&lt;&gt;")-4),""))</f>
        <v/>
      </c>
      <c r="AL35" s="60">
        <f>IF(C35="","",IFERROR(INDEX('Saisie'!$AQ$5:$AQ$2004,_xlfn.MAXIFS('Saisie'!$AS$5:$AS$2004,'Saisie'!$C$5:$C$2004,C35,'Saisie'!$AQ$5:$AQ$2004,"&lt;&gt;")-4),""))</f>
        <v/>
      </c>
      <c r="AM35" s="60">
        <f>IF(C35="","",((AI35="Oui")+(AJ35="Oui")+(AK35="Oui")+OR(AL35="Immédiat",AL35="&lt; 1 mois"))&amp;"/4")</f>
        <v/>
      </c>
      <c r="AN35" s="60">
        <f>IF(C35="","",IFERROR(INDEX('Saisie'!$AL$5:$AL$2004,_xlfn.MAXIFS('Saisie'!$AS$5:$AS$2004,'Saisie'!$C$5:$C$2004,C35,'Saisie'!$AL$5:$AL$2004,"&lt;&gt;")-4),""))</f>
        <v/>
      </c>
      <c r="AO35" s="62">
        <f>IF(C35="","",IF(IFERROR(INDEX('Saisie'!$AM$5:$AM$2004,_xlfn.MAXIFS('Saisie'!$AS$5:$AS$2004,'Saisie'!$C$5:$C$2004,C35,'Saisie'!$AM$5:$AM$2004,"&lt;&gt;")-4),"")&lt;&gt;"",IFERROR(INDEX('Saisie'!$AM$5:$AM$2004,_xlfn.MAXIFS('Saisie'!$AS$5:$AS$2004,'Saisie'!$C$5:$C$2004,C35,'Saisie'!$AM$5:$AM$2004,"&lt;&gt;")-4),""),IFERROR(INDEX('Paramètres'!$S$6:$S$15,MATCH(AN35,'Paramètres'!$Q$6:$Q$15,0)),"")))</f>
        <v/>
      </c>
      <c r="AP35" s="62">
        <f>IF(C35="","",IFERROR(INDEX('Saisie'!$AW$5:$AW$2004,_xlfn.MAXIFS('Saisie'!$AS$5:$AS$2004,'Saisie'!$C$5:$C$2004,C35,'Saisie'!$E$5:$E$2004,"Proposition envoyée")-4),""))</f>
        <v/>
      </c>
      <c r="AQ35" s="106">
        <f>IF(C35="","",IFERROR(1/(1/_xlfn.MAXIFS('Saisie'!$A$5:$A$2004,'Saisie'!$C$5:$C$2004,C35,'Saisie'!$E$5:$E$2004,"Proposition envoyée")),""))</f>
        <v/>
      </c>
      <c r="AR35" s="106">
        <f>IF(C35="","",IF(AQ35="","",AQ35+'Paramètres'!$B$26))</f>
        <v/>
      </c>
      <c r="AS35" s="62">
        <f>IF(OR(C35="",D35="Gagné",D35="Perdu"),0,N(AP35)*IFERROR(INDEX('Paramètres'!$G$6:$G$13,MATCH(D35,'Paramètres'!$F$6:$F$13,0)),0))</f>
        <v/>
      </c>
      <c r="AT35" s="106">
        <f>IF(C35="","",IFERROR(1/(1/_xlfn.MINIFS('Saisie'!$A$5:$A$2004,'Saisie'!$C$5:$C$2004,C35,'Saisie'!$E$5:$E$2004,"Signature")),""))</f>
        <v/>
      </c>
      <c r="AU35" s="60">
        <f>IF(C35="","",IF(OR(AT35="",B35=""),"",AT35-B35))</f>
        <v/>
      </c>
      <c r="AV35" s="60">
        <f>IF(C35="","",IFERROR(INDEX('Saisie'!$L$5:$L$2004,_xlfn.MAXIFS('Saisie'!$AS$5:$AS$2004,'Saisie'!$C$5:$C$2004,C35,'Saisie'!$L$5:$L$2004,"&lt;&gt;")-4),""))</f>
        <v/>
      </c>
      <c r="AW35" s="106">
        <f>IF(C35="","",IF(D35&lt;&gt;"Perdu","",IFERROR(1/(1/_xlfn.MAXIFS('Saisie'!$A$5:$A$2004,'Saisie'!$C$5:$C$2004,C35,'Saisie'!$E$5:$E$2004,"Perdu")),"")))</f>
        <v/>
      </c>
      <c r="AX35" s="106">
        <f>IF(C35="","",IF(AW35="","",AW35+'Paramètres'!$B$28))</f>
        <v/>
      </c>
      <c r="AY35" s="60">
        <f>IF(C35="","",SUMIFS('Saisie'!$H$5:$H$2004,'Saisie'!$C$5:$C$2004,C35))</f>
        <v/>
      </c>
      <c r="AZ35" s="60">
        <f>IF(C35="","",IFERROR(INDEX('Paramètres'!$W$6:$W$20,MATCH(S35,'Paramètres'!$V$6:$V$20,0))&amp;"",""))</f>
        <v/>
      </c>
      <c r="BA35" s="60">
        <f>IF(C35="","",MAX(1,_xlfn.MAXIFS('Saisie'!$AT$5:$AT$2004,'Saisie'!$C$5:$C$2004,C35)))</f>
        <v/>
      </c>
      <c r="BB35" s="60">
        <f>IF(C35="","",IFERROR(INDEX('Saisie'!$X$5:$X$2004,_xlfn.MAXIFS('Saisie'!$AS$5:$AS$2004,'Saisie'!$C$5:$C$2004,C35,'Saisie'!$X$5:$X$2004,"&lt;&gt;")-4),""))</f>
        <v/>
      </c>
      <c r="BC35" s="60">
        <f>IF(C35="","",IFERROR(INDEX('Saisie'!$Y$5:$Y$2004,_xlfn.MAXIFS('Saisie'!$AS$5:$AS$2004,'Saisie'!$C$5:$C$2004,C35,'Saisie'!$Y$5:$Y$2004,"&lt;&gt;")-4),""))</f>
        <v/>
      </c>
      <c r="BD35" s="106">
        <f>IF(C35="","",IFERROR(1/(1/_xlfn.MINIFS('Saisie'!$A$5:$A$2004,'Saisie'!$C$5:$C$2004,C35,'Saisie'!$AT$5:$AT$2004,"&gt;=2")),""))</f>
        <v/>
      </c>
      <c r="BE35" s="106">
        <f>IF(C35="","",IFERROR(1/(1/_xlfn.MINIFS('Saisie'!$A$5:$A$2004,'Saisie'!$C$5:$C$2004,C35,'Saisie'!$AT$5:$AT$2004,"&gt;=3")),""))</f>
        <v/>
      </c>
      <c r="BF35" s="106">
        <f>IF(C35="","",IFERROR(1/(1/_xlfn.MINIFS('Saisie'!$A$5:$A$2004,'Saisie'!$C$5:$C$2004,C35,'Saisie'!$AT$5:$AT$2004,"&gt;=4")),""))</f>
        <v/>
      </c>
      <c r="BG35" s="106">
        <f>IF(C35="","",IFERROR(1/(1/_xlfn.MINIFS('Saisie'!$A$5:$A$2004,'Saisie'!$C$5:$C$2004,C35,'Saisie'!$AT$5:$AT$2004,"&gt;=5")),""))</f>
        <v/>
      </c>
      <c r="BH35" s="106">
        <f>IF(C35="","",IFERROR(1/(1/_xlfn.MINIFS('Saisie'!$A$5:$A$2004,'Saisie'!$C$5:$C$2004,C35,'Saisie'!$AT$5:$AT$2004,"&gt;=6")),""))</f>
        <v/>
      </c>
      <c r="BI35" s="106">
        <f>IF(C35="","",IFERROR(1/(1/_xlfn.MINIFS('Saisie'!$A$5:$A$2004,'Saisie'!$C$5:$C$2004,C35,'Saisie'!$AT$5:$AT$2004,"&gt;=7")),""))</f>
        <v/>
      </c>
      <c r="BJ35" s="60">
        <f>IF(OR(BD35="",B35=""),"",BD35-B35)</f>
        <v/>
      </c>
      <c r="BK35" s="60">
        <f>IF(OR(BE35="",BD35=""),"",BE35-BD35)</f>
        <v/>
      </c>
      <c r="BL35" s="60">
        <f>IF(OR(BF35="",BE35=""),"",BF35-BE35)</f>
        <v/>
      </c>
      <c r="BM35" s="60">
        <f>IF(OR(BG35="",BF35=""),"",BG35-BF35)</f>
        <v/>
      </c>
      <c r="BN35" s="60">
        <f>IF(OR(BH35="",BG35=""),"",BH35-BG35)</f>
        <v/>
      </c>
      <c r="BO35" s="60">
        <f>IF(OR(BI35="",BH35=""),"",BI35-BH35)</f>
        <v/>
      </c>
      <c r="BP35" s="60">
        <f>IF(C35="","",_xlfn.MAXIFS('Saisie'!$AS$5:$AS$2004,'Saisie'!$C$5:$C$2004,C35,'Saisie'!$J$5:$J$2004,"&lt;&gt;"))</f>
        <v/>
      </c>
      <c r="BQ35" s="60">
        <f>IF(C35="","",_xlfn.MAXIFS('Saisie'!$AS$5:$AS$2004,'Saisie'!$C$5:$C$2004,C35))</f>
        <v/>
      </c>
      <c r="BR35" s="60">
        <f>IF(C35="","",_xlfn.MAXIFS('Saisie'!$AS$5:$AS$2004,'Saisie'!$C$5:$C$2004,C35,'Saisie'!$E$5:$E$2004,"Perdu"))</f>
        <v/>
      </c>
      <c r="BS35" s="60">
        <f>IF(C35="","",_xlfn.MAXIFS('Saisie'!$AS$5:$AS$2004,'Saisie'!$C$5:$C$2004,C35,'Saisie'!$AT$5:$AT$2004,"&gt;0"))</f>
        <v/>
      </c>
      <c r="BT35" s="109">
        <f>IF(AND(C35&lt;&gt;"",OR(D35="Nouveau",D35="Contacté",D35="Qualifié"),OR(G35="",N(G35)&lt;=TODAY()),NOT(AND(O35&gt;='Paramètres'!$B$21,P35=0))),E35+31/10000,"")</f>
        <v/>
      </c>
      <c r="BU35" s="60">
        <f>IF(AND(G35&lt;&gt;"",N(G35)&lt;=TODAY()),MAX($BU$4:BU34)+1,"")</f>
        <v/>
      </c>
      <c r="BV35" s="60">
        <f>IF(AND(F35&lt;&gt;"",F35&lt;&gt;"Relance en retard"),MAX($BV$4:BV34)+1,"")</f>
        <v/>
      </c>
      <c r="BW35" s="60">
        <f>IF(C35="","",IF(AND(B35&gt;='Tableau de bord'!$R$4,B35&lt;='Tableau de bord'!$S$4,OR('Tableau de bord'!$G$4="Tous",N35='Tableau de bord'!$G$4)),1,0))</f>
        <v/>
      </c>
      <c r="BX35" s="60">
        <f>IF(AND(C35&lt;&gt;"",N(BA35)=7),MAX($BX$4:BX34)+1,"")</f>
        <v/>
      </c>
    </row>
    <row r="36">
      <c r="A36" s="60">
        <f>IF(C36="","","P-"&amp;TEXT(32,"000"))</f>
        <v/>
      </c>
      <c r="B36" s="106">
        <f>IF(C36="","",IFERROR(1/(1/_xlfn.MINIFS('Saisie'!$A$5:$A$2004,'Saisie'!$C$5:$C$2004,C36)),""))</f>
        <v/>
      </c>
      <c r="C36" s="60">
        <f>IFERROR(INDEX('Saisie'!$C$5:$C$2004,MATCH(32,'Saisie'!$AX$5:$AX$2004,0)),"")</f>
        <v/>
      </c>
      <c r="D36" s="60">
        <f>IF(C36="","",IF(AND(BR36&gt;0,BR36&gt;BS36,BA36&lt;7),"Perdu",INDEX('Paramètres'!$F$6:$F$13,BA36)))</f>
        <v/>
      </c>
      <c r="E36" s="61">
        <f>IF(C36="","",MIN(100,(Z36="Oui")*'Paramètres'!$B$38+(AB36="Régulière")*'Paramètres'!$B$39+IF(AND(N(AA36)&gt;0,TODAY()-N(AA36)&lt;=30),'Paramètres'!$B$40,0)+(W36="")*'Paramètres'!$B$41+(AC36="Absente")*'Paramètres'!$B$42+(AC36="Faible")*'Paramètres'!$B$43+IF(AND(N(AD36)&gt;0,N(AD36)&lt;4),'Paramètres'!$B$44,0)+(AF36="Moyenne")*'Paramètres'!$B$45+(AF36="Grande")*'Paramètres'!$B$46+(Y36&lt;&gt;"")*'Paramètres'!$B$47))</f>
        <v/>
      </c>
      <c r="F36" s="60">
        <f>IF(C36="","",IF(D36="Gagné","",IF(D36="Perdu",IF(AND(AX36&lt;&gt;"",AX36&lt;=TODAY()),"À recontacter (perdu)",""),IF(AND(O36&gt;='Paramètres'!$B$21,P36=0),"Stop : "&amp;'Paramètres'!$B$21&amp;" tentatives sans réponse",IF(AND(D36="Proposition",AR36&lt;&gt;"",TODAY()&gt;N(AR36)),"Proposition expirée",IF(AND(D36="Proposition",N(R36)&gt;='Paramètres'!$B$25),"Proposition sans réponse",IF(AND(G36&lt;&gt;"",N(G36)&lt;TODAY()),"Relance en retard",IF(N(R36)&gt;='Paramètres'!$B$24,"Sans action depuis "&amp;R36&amp;" j",""))))))))</f>
        <v/>
      </c>
      <c r="G36" s="106">
        <f>IF(OR(C36="",D36="Gagné",D36="Perdu"),"",IF(AND(BP36&gt;0,BP36=BQ36),INDEX('Saisie'!$J$5:$J$2004,BP36-4),IF(OR(O36=0,AND(O36&gt;='Paramètres'!$B$21,P36=0)),"",Q36+IF(O36&lt;=1,'Paramètres'!$B$18,IF(O36=2,'Paramètres'!$B$19,'Paramètres'!$B$20)))))</f>
        <v/>
      </c>
      <c r="H36" s="107">
        <f>IF(OR(G36="",BP36&lt;&gt;BQ36),"",IF(INDEX('Saisie'!$K$5:$K$2004,BP36-4)="","",INDEX('Saisie'!$K$5:$K$2004,BP36-4)))</f>
        <v/>
      </c>
      <c r="I36" s="60">
        <f>IF(C36="","",IF(OR(D36="Gagné",D36="Perdu"),"",IFERROR(INDEX('Saisie'!$I$5:$I$2004,_xlfn.MAXIFS('Saisie'!$AS$5:$AS$2004,'Saisie'!$C$5:$C$2004,C36,'Saisie'!$I$5:$I$2004,"&lt;&gt;")-4),"")))</f>
        <v/>
      </c>
      <c r="J36" s="60">
        <f>IF(C36="","",IFERROR(INDEX('Saisie'!$U$5:$U$2004,_xlfn.MAXIFS('Saisie'!$AS$5:$AS$2004,'Saisie'!$C$5:$C$2004,C36,'Saisie'!$U$5:$U$2004,"&lt;&gt;")-4),""))</f>
        <v/>
      </c>
      <c r="K36" s="60">
        <f>IF(C36="","",IFERROR(INDEX('Saisie'!$W$5:$W$2004,_xlfn.MAXIFS('Saisie'!$AS$5:$AS$2004,'Saisie'!$C$5:$C$2004,C36,'Saisie'!$W$5:$W$2004,"&lt;&gt;")-4),""))</f>
        <v/>
      </c>
      <c r="L36" s="60">
        <f>IF(IF(BB36&lt;&gt;"",BB36,K36)="","",HYPERLINK("https://wa.me/"&amp;IF(LEFT(SUBSTITUTE(SUBSTITUTE(SUBSTITUTE(IF(BB36&lt;&gt;"",BB36,K36)," ",""),".",""),"+",""),1)="0",'Paramètres'!$B$35&amp;MID(SUBSTITUTE(SUBSTITUTE(SUBSTITUTE(IF(BB36&lt;&gt;"",BB36,K36)," ",""),".",""),"+",""),2,20),SUBSTITUTE(SUBSTITUTE(SUBSTITUTE(IF(BB36&lt;&gt;"",BB36,K36)," ",""),".",""),"+","")),"WhatsApp"))</f>
        <v/>
      </c>
      <c r="M36" s="60">
        <f>IF(BC36="","",HYPERLINK(IF(LEFT(BC36,4)="http",BC36,"https://www.instagram.com/"&amp;SUBSTITUTE(SUBSTITUTE(BC36,"@","")," ","")),BC36))</f>
        <v/>
      </c>
      <c r="N36" s="60">
        <f>IF(C36="","",IFERROR(INDEX('Saisie'!$D$5:$D$2004,_xlfn.MINIFS('Saisie'!$AS$5:$AS$2004,'Saisie'!$C$5:$C$2004,C36,'Saisie'!$AU$5:$AU$2004,1)-4),IFERROR(INDEX('Saisie'!$D$5:$D$2004,_xlfn.MINIFS('Saisie'!$AS$5:$AS$2004,'Saisie'!$C$5:$C$2004,C36,'Saisie'!$D$5:$D$2004,"&lt;&gt;")-4),"")))</f>
        <v/>
      </c>
      <c r="O36" s="60">
        <f>IF(C36="","",COUNTIFS('Saisie'!$C$5:$C$2004,C36,'Saisie'!$AU$5:$AU$2004,1))</f>
        <v/>
      </c>
      <c r="P36" s="60">
        <f>IF(C36="","",COUNTIFS('Saisie'!$C$5:$C$2004,C36,'Saisie'!$AV$5:$AV$2004,1))</f>
        <v/>
      </c>
      <c r="Q36" s="106">
        <f>IF(C36="","",IFERROR(1/(1/_xlfn.MAXIFS('Saisie'!$A$5:$A$2004,'Saisie'!$C$5:$C$2004,C36)),""))</f>
        <v/>
      </c>
      <c r="R36" s="61">
        <f>IF(C36="","",IF(Q36="","",TODAY()-Q36))</f>
        <v/>
      </c>
      <c r="S36" s="60">
        <f>IF(C36="","",IFERROR(INDEX('Saisie'!$R$5:$R$2004,_xlfn.MAXIFS('Saisie'!$AS$5:$AS$2004,'Saisie'!$C$5:$C$2004,C36,'Saisie'!$R$5:$R$2004,"&lt;&gt;")-4),""))</f>
        <v/>
      </c>
      <c r="T36" s="60">
        <f>IF(C36="","",IFERROR(INDEX('Saisie'!$S$5:$S$2004,_xlfn.MAXIFS('Saisie'!$AS$5:$AS$2004,'Saisie'!$C$5:$C$2004,C36,'Saisie'!$S$5:$S$2004,"&lt;&gt;")-4),""))</f>
        <v/>
      </c>
      <c r="U36" s="60">
        <f>IF(C36="","",IFERROR(INDEX('Saisie'!$T$5:$T$2004,_xlfn.MAXIFS('Saisie'!$AS$5:$AS$2004,'Saisie'!$C$5:$C$2004,C36,'Saisie'!$T$5:$T$2004,"&lt;&gt;")-4),""))</f>
        <v/>
      </c>
      <c r="V36" s="60">
        <f>IF(C36="","",IFERROR(INDEX('Saisie'!$V$5:$V$2004,_xlfn.MAXIFS('Saisie'!$AS$5:$AS$2004,'Saisie'!$C$5:$C$2004,C36,'Saisie'!$V$5:$V$2004,"&lt;&gt;")-4),""))</f>
        <v/>
      </c>
      <c r="W36" s="60">
        <f>IF(C36="","",IFERROR(INDEX('Saisie'!$Z$5:$Z$2004,_xlfn.MAXIFS('Saisie'!$AS$5:$AS$2004,'Saisie'!$C$5:$C$2004,C36,'Saisie'!$Z$5:$Z$2004,"&lt;&gt;")-4),""))</f>
        <v/>
      </c>
      <c r="X36" s="60">
        <f>IF(C36="","",IFERROR(INDEX('Saisie'!$AA$5:$AA$2004,_xlfn.MAXIFS('Saisie'!$AS$5:$AS$2004,'Saisie'!$C$5:$C$2004,C36,'Saisie'!$AA$5:$AA$2004,"&lt;&gt;")-4),""))</f>
        <v/>
      </c>
      <c r="Y36" s="60">
        <f>IF(C36="","",IFERROR(INDEX('Saisie'!$AB$5:$AB$2004,_xlfn.MAXIFS('Saisie'!$AS$5:$AS$2004,'Saisie'!$C$5:$C$2004,C36,'Saisie'!$AB$5:$AB$2004,"&lt;&gt;")-4),""))</f>
        <v/>
      </c>
      <c r="Z36" s="60">
        <f>IF(C36="","",IFERROR(INDEX('Saisie'!$AC$5:$AC$2004,_xlfn.MAXIFS('Saisie'!$AS$5:$AS$2004,'Saisie'!$C$5:$C$2004,C36,'Saisie'!$AC$5:$AC$2004,"&lt;&gt;")-4),""))</f>
        <v/>
      </c>
      <c r="AA36" s="106">
        <f>IF(C36="","",IFERROR(INDEX('Saisie'!$AD$5:$AD$2004,_xlfn.MAXIFS('Saisie'!$AS$5:$AS$2004,'Saisie'!$C$5:$C$2004,C36,'Saisie'!$AD$5:$AD$2004,"&lt;&gt;")-4),""))</f>
        <v/>
      </c>
      <c r="AB36" s="60">
        <f>IF(C36="","",IFERROR(INDEX('Saisie'!$AE$5:$AE$2004,_xlfn.MAXIFS('Saisie'!$AS$5:$AS$2004,'Saisie'!$C$5:$C$2004,C36,'Saisie'!$AE$5:$AE$2004,"&lt;&gt;")-4),""))</f>
        <v/>
      </c>
      <c r="AC36" s="60">
        <f>IF(C36="","",IFERROR(INDEX('Saisie'!$AF$5:$AF$2004,_xlfn.MAXIFS('Saisie'!$AS$5:$AS$2004,'Saisie'!$C$5:$C$2004,C36,'Saisie'!$AF$5:$AF$2004,"&lt;&gt;")-4),""))</f>
        <v/>
      </c>
      <c r="AD36" s="108">
        <f>IF(C36="","",IFERROR(INDEX('Saisie'!$AG$5:$AG$2004,_xlfn.MAXIFS('Saisie'!$AS$5:$AS$2004,'Saisie'!$C$5:$C$2004,C36,'Saisie'!$AG$5:$AG$2004,"&lt;&gt;")-4),""))</f>
        <v/>
      </c>
      <c r="AE36" s="60">
        <f>IF(C36="","",IFERROR(INDEX('Saisie'!$AH$5:$AH$2004,_xlfn.MAXIFS('Saisie'!$AS$5:$AS$2004,'Saisie'!$C$5:$C$2004,C36,'Saisie'!$AH$5:$AH$2004,"&lt;&gt;")-4),""))</f>
        <v/>
      </c>
      <c r="AF36" s="60">
        <f>IF(C36="","",IFERROR(INDEX('Saisie'!$AI$5:$AI$2004,_xlfn.MAXIFS('Saisie'!$AS$5:$AS$2004,'Saisie'!$C$5:$C$2004,C36,'Saisie'!$AI$5:$AI$2004,"&lt;&gt;")-4),""))</f>
        <v/>
      </c>
      <c r="AG36" s="60">
        <f>IF(C36="","",IFERROR(INDEX('Saisie'!$AJ$5:$AJ$2004,_xlfn.MAXIFS('Saisie'!$AS$5:$AS$2004,'Saisie'!$C$5:$C$2004,C36,'Saisie'!$AJ$5:$AJ$2004,"&lt;&gt;")-4),""))</f>
        <v/>
      </c>
      <c r="AH36" s="60">
        <f>IF(C36="","",IFERROR(INDEX('Saisie'!$AK$5:$AK$2004,_xlfn.MAXIFS('Saisie'!$AS$5:$AS$2004,'Saisie'!$C$5:$C$2004,C36,'Saisie'!$AK$5:$AK$2004,"&lt;&gt;")-4),""))</f>
        <v/>
      </c>
      <c r="AI36" s="60">
        <f>IF(C36="","",IFERROR(INDEX('Saisie'!$AN$5:$AN$2004,_xlfn.MAXIFS('Saisie'!$AS$5:$AS$2004,'Saisie'!$C$5:$C$2004,C36,'Saisie'!$AN$5:$AN$2004,"&lt;&gt;")-4),""))</f>
        <v/>
      </c>
      <c r="AJ36" s="60">
        <f>IF(C36="","",IFERROR(INDEX('Saisie'!$AO$5:$AO$2004,_xlfn.MAXIFS('Saisie'!$AS$5:$AS$2004,'Saisie'!$C$5:$C$2004,C36,'Saisie'!$AO$5:$AO$2004,"&lt;&gt;")-4),""))</f>
        <v/>
      </c>
      <c r="AK36" s="60">
        <f>IF(C36="","",IFERROR(INDEX('Saisie'!$AP$5:$AP$2004,_xlfn.MAXIFS('Saisie'!$AS$5:$AS$2004,'Saisie'!$C$5:$C$2004,C36,'Saisie'!$AP$5:$AP$2004,"&lt;&gt;")-4),""))</f>
        <v/>
      </c>
      <c r="AL36" s="60">
        <f>IF(C36="","",IFERROR(INDEX('Saisie'!$AQ$5:$AQ$2004,_xlfn.MAXIFS('Saisie'!$AS$5:$AS$2004,'Saisie'!$C$5:$C$2004,C36,'Saisie'!$AQ$5:$AQ$2004,"&lt;&gt;")-4),""))</f>
        <v/>
      </c>
      <c r="AM36" s="60">
        <f>IF(C36="","",((AI36="Oui")+(AJ36="Oui")+(AK36="Oui")+OR(AL36="Immédiat",AL36="&lt; 1 mois"))&amp;"/4")</f>
        <v/>
      </c>
      <c r="AN36" s="60">
        <f>IF(C36="","",IFERROR(INDEX('Saisie'!$AL$5:$AL$2004,_xlfn.MAXIFS('Saisie'!$AS$5:$AS$2004,'Saisie'!$C$5:$C$2004,C36,'Saisie'!$AL$5:$AL$2004,"&lt;&gt;")-4),""))</f>
        <v/>
      </c>
      <c r="AO36" s="62">
        <f>IF(C36="","",IF(IFERROR(INDEX('Saisie'!$AM$5:$AM$2004,_xlfn.MAXIFS('Saisie'!$AS$5:$AS$2004,'Saisie'!$C$5:$C$2004,C36,'Saisie'!$AM$5:$AM$2004,"&lt;&gt;")-4),"")&lt;&gt;"",IFERROR(INDEX('Saisie'!$AM$5:$AM$2004,_xlfn.MAXIFS('Saisie'!$AS$5:$AS$2004,'Saisie'!$C$5:$C$2004,C36,'Saisie'!$AM$5:$AM$2004,"&lt;&gt;")-4),""),IFERROR(INDEX('Paramètres'!$S$6:$S$15,MATCH(AN36,'Paramètres'!$Q$6:$Q$15,0)),"")))</f>
        <v/>
      </c>
      <c r="AP36" s="62">
        <f>IF(C36="","",IFERROR(INDEX('Saisie'!$AW$5:$AW$2004,_xlfn.MAXIFS('Saisie'!$AS$5:$AS$2004,'Saisie'!$C$5:$C$2004,C36,'Saisie'!$E$5:$E$2004,"Proposition envoyée")-4),""))</f>
        <v/>
      </c>
      <c r="AQ36" s="106">
        <f>IF(C36="","",IFERROR(1/(1/_xlfn.MAXIFS('Saisie'!$A$5:$A$2004,'Saisie'!$C$5:$C$2004,C36,'Saisie'!$E$5:$E$2004,"Proposition envoyée")),""))</f>
        <v/>
      </c>
      <c r="AR36" s="106">
        <f>IF(C36="","",IF(AQ36="","",AQ36+'Paramètres'!$B$26))</f>
        <v/>
      </c>
      <c r="AS36" s="62">
        <f>IF(OR(C36="",D36="Gagné",D36="Perdu"),0,N(AP36)*IFERROR(INDEX('Paramètres'!$G$6:$G$13,MATCH(D36,'Paramètres'!$F$6:$F$13,0)),0))</f>
        <v/>
      </c>
      <c r="AT36" s="106">
        <f>IF(C36="","",IFERROR(1/(1/_xlfn.MINIFS('Saisie'!$A$5:$A$2004,'Saisie'!$C$5:$C$2004,C36,'Saisie'!$E$5:$E$2004,"Signature")),""))</f>
        <v/>
      </c>
      <c r="AU36" s="60">
        <f>IF(C36="","",IF(OR(AT36="",B36=""),"",AT36-B36))</f>
        <v/>
      </c>
      <c r="AV36" s="60">
        <f>IF(C36="","",IFERROR(INDEX('Saisie'!$L$5:$L$2004,_xlfn.MAXIFS('Saisie'!$AS$5:$AS$2004,'Saisie'!$C$5:$C$2004,C36,'Saisie'!$L$5:$L$2004,"&lt;&gt;")-4),""))</f>
        <v/>
      </c>
      <c r="AW36" s="106">
        <f>IF(C36="","",IF(D36&lt;&gt;"Perdu","",IFERROR(1/(1/_xlfn.MAXIFS('Saisie'!$A$5:$A$2004,'Saisie'!$C$5:$C$2004,C36,'Saisie'!$E$5:$E$2004,"Perdu")),"")))</f>
        <v/>
      </c>
      <c r="AX36" s="106">
        <f>IF(C36="","",IF(AW36="","",AW36+'Paramètres'!$B$28))</f>
        <v/>
      </c>
      <c r="AY36" s="60">
        <f>IF(C36="","",SUMIFS('Saisie'!$H$5:$H$2004,'Saisie'!$C$5:$C$2004,C36))</f>
        <v/>
      </c>
      <c r="AZ36" s="60">
        <f>IF(C36="","",IFERROR(INDEX('Paramètres'!$W$6:$W$20,MATCH(S36,'Paramètres'!$V$6:$V$20,0))&amp;"",""))</f>
        <v/>
      </c>
      <c r="BA36" s="60">
        <f>IF(C36="","",MAX(1,_xlfn.MAXIFS('Saisie'!$AT$5:$AT$2004,'Saisie'!$C$5:$C$2004,C36)))</f>
        <v/>
      </c>
      <c r="BB36" s="60">
        <f>IF(C36="","",IFERROR(INDEX('Saisie'!$X$5:$X$2004,_xlfn.MAXIFS('Saisie'!$AS$5:$AS$2004,'Saisie'!$C$5:$C$2004,C36,'Saisie'!$X$5:$X$2004,"&lt;&gt;")-4),""))</f>
        <v/>
      </c>
      <c r="BC36" s="60">
        <f>IF(C36="","",IFERROR(INDEX('Saisie'!$Y$5:$Y$2004,_xlfn.MAXIFS('Saisie'!$AS$5:$AS$2004,'Saisie'!$C$5:$C$2004,C36,'Saisie'!$Y$5:$Y$2004,"&lt;&gt;")-4),""))</f>
        <v/>
      </c>
      <c r="BD36" s="106">
        <f>IF(C36="","",IFERROR(1/(1/_xlfn.MINIFS('Saisie'!$A$5:$A$2004,'Saisie'!$C$5:$C$2004,C36,'Saisie'!$AT$5:$AT$2004,"&gt;=2")),""))</f>
        <v/>
      </c>
      <c r="BE36" s="106">
        <f>IF(C36="","",IFERROR(1/(1/_xlfn.MINIFS('Saisie'!$A$5:$A$2004,'Saisie'!$C$5:$C$2004,C36,'Saisie'!$AT$5:$AT$2004,"&gt;=3")),""))</f>
        <v/>
      </c>
      <c r="BF36" s="106">
        <f>IF(C36="","",IFERROR(1/(1/_xlfn.MINIFS('Saisie'!$A$5:$A$2004,'Saisie'!$C$5:$C$2004,C36,'Saisie'!$AT$5:$AT$2004,"&gt;=4")),""))</f>
        <v/>
      </c>
      <c r="BG36" s="106">
        <f>IF(C36="","",IFERROR(1/(1/_xlfn.MINIFS('Saisie'!$A$5:$A$2004,'Saisie'!$C$5:$C$2004,C36,'Saisie'!$AT$5:$AT$2004,"&gt;=5")),""))</f>
        <v/>
      </c>
      <c r="BH36" s="106">
        <f>IF(C36="","",IFERROR(1/(1/_xlfn.MINIFS('Saisie'!$A$5:$A$2004,'Saisie'!$C$5:$C$2004,C36,'Saisie'!$AT$5:$AT$2004,"&gt;=6")),""))</f>
        <v/>
      </c>
      <c r="BI36" s="106">
        <f>IF(C36="","",IFERROR(1/(1/_xlfn.MINIFS('Saisie'!$A$5:$A$2004,'Saisie'!$C$5:$C$2004,C36,'Saisie'!$AT$5:$AT$2004,"&gt;=7")),""))</f>
        <v/>
      </c>
      <c r="BJ36" s="60">
        <f>IF(OR(BD36="",B36=""),"",BD36-B36)</f>
        <v/>
      </c>
      <c r="BK36" s="60">
        <f>IF(OR(BE36="",BD36=""),"",BE36-BD36)</f>
        <v/>
      </c>
      <c r="BL36" s="60">
        <f>IF(OR(BF36="",BE36=""),"",BF36-BE36)</f>
        <v/>
      </c>
      <c r="BM36" s="60">
        <f>IF(OR(BG36="",BF36=""),"",BG36-BF36)</f>
        <v/>
      </c>
      <c r="BN36" s="60">
        <f>IF(OR(BH36="",BG36=""),"",BH36-BG36)</f>
        <v/>
      </c>
      <c r="BO36" s="60">
        <f>IF(OR(BI36="",BH36=""),"",BI36-BH36)</f>
        <v/>
      </c>
      <c r="BP36" s="60">
        <f>IF(C36="","",_xlfn.MAXIFS('Saisie'!$AS$5:$AS$2004,'Saisie'!$C$5:$C$2004,C36,'Saisie'!$J$5:$J$2004,"&lt;&gt;"))</f>
        <v/>
      </c>
      <c r="BQ36" s="60">
        <f>IF(C36="","",_xlfn.MAXIFS('Saisie'!$AS$5:$AS$2004,'Saisie'!$C$5:$C$2004,C36))</f>
        <v/>
      </c>
      <c r="BR36" s="60">
        <f>IF(C36="","",_xlfn.MAXIFS('Saisie'!$AS$5:$AS$2004,'Saisie'!$C$5:$C$2004,C36,'Saisie'!$E$5:$E$2004,"Perdu"))</f>
        <v/>
      </c>
      <c r="BS36" s="60">
        <f>IF(C36="","",_xlfn.MAXIFS('Saisie'!$AS$5:$AS$2004,'Saisie'!$C$5:$C$2004,C36,'Saisie'!$AT$5:$AT$2004,"&gt;0"))</f>
        <v/>
      </c>
      <c r="BT36" s="109">
        <f>IF(AND(C36&lt;&gt;"",OR(D36="Nouveau",D36="Contacté",D36="Qualifié"),OR(G36="",N(G36)&lt;=TODAY()),NOT(AND(O36&gt;='Paramètres'!$B$21,P36=0))),E36+32/10000,"")</f>
        <v/>
      </c>
      <c r="BU36" s="60">
        <f>IF(AND(G36&lt;&gt;"",N(G36)&lt;=TODAY()),MAX($BU$4:BU35)+1,"")</f>
        <v/>
      </c>
      <c r="BV36" s="60">
        <f>IF(AND(F36&lt;&gt;"",F36&lt;&gt;"Relance en retard"),MAX($BV$4:BV35)+1,"")</f>
        <v/>
      </c>
      <c r="BW36" s="60">
        <f>IF(C36="","",IF(AND(B36&gt;='Tableau de bord'!$R$4,B36&lt;='Tableau de bord'!$S$4,OR('Tableau de bord'!$G$4="Tous",N36='Tableau de bord'!$G$4)),1,0))</f>
        <v/>
      </c>
      <c r="BX36" s="60">
        <f>IF(AND(C36&lt;&gt;"",N(BA36)=7),MAX($BX$4:BX35)+1,"")</f>
        <v/>
      </c>
    </row>
    <row r="37">
      <c r="A37" s="60">
        <f>IF(C37="","","P-"&amp;TEXT(33,"000"))</f>
        <v/>
      </c>
      <c r="B37" s="106">
        <f>IF(C37="","",IFERROR(1/(1/_xlfn.MINIFS('Saisie'!$A$5:$A$2004,'Saisie'!$C$5:$C$2004,C37)),""))</f>
        <v/>
      </c>
      <c r="C37" s="60">
        <f>IFERROR(INDEX('Saisie'!$C$5:$C$2004,MATCH(33,'Saisie'!$AX$5:$AX$2004,0)),"")</f>
        <v/>
      </c>
      <c r="D37" s="60">
        <f>IF(C37="","",IF(AND(BR37&gt;0,BR37&gt;BS37,BA37&lt;7),"Perdu",INDEX('Paramètres'!$F$6:$F$13,BA37)))</f>
        <v/>
      </c>
      <c r="E37" s="61">
        <f>IF(C37="","",MIN(100,(Z37="Oui")*'Paramètres'!$B$38+(AB37="Régulière")*'Paramètres'!$B$39+IF(AND(N(AA37)&gt;0,TODAY()-N(AA37)&lt;=30),'Paramètres'!$B$40,0)+(W37="")*'Paramètres'!$B$41+(AC37="Absente")*'Paramètres'!$B$42+(AC37="Faible")*'Paramètres'!$B$43+IF(AND(N(AD37)&gt;0,N(AD37)&lt;4),'Paramètres'!$B$44,0)+(AF37="Moyenne")*'Paramètres'!$B$45+(AF37="Grande")*'Paramètres'!$B$46+(Y37&lt;&gt;"")*'Paramètres'!$B$47))</f>
        <v/>
      </c>
      <c r="F37" s="60">
        <f>IF(C37="","",IF(D37="Gagné","",IF(D37="Perdu",IF(AND(AX37&lt;&gt;"",AX37&lt;=TODAY()),"À recontacter (perdu)",""),IF(AND(O37&gt;='Paramètres'!$B$21,P37=0),"Stop : "&amp;'Paramètres'!$B$21&amp;" tentatives sans réponse",IF(AND(D37="Proposition",AR37&lt;&gt;"",TODAY()&gt;N(AR37)),"Proposition expirée",IF(AND(D37="Proposition",N(R37)&gt;='Paramètres'!$B$25),"Proposition sans réponse",IF(AND(G37&lt;&gt;"",N(G37)&lt;TODAY()),"Relance en retard",IF(N(R37)&gt;='Paramètres'!$B$24,"Sans action depuis "&amp;R37&amp;" j",""))))))))</f>
        <v/>
      </c>
      <c r="G37" s="106">
        <f>IF(OR(C37="",D37="Gagné",D37="Perdu"),"",IF(AND(BP37&gt;0,BP37=BQ37),INDEX('Saisie'!$J$5:$J$2004,BP37-4),IF(OR(O37=0,AND(O37&gt;='Paramètres'!$B$21,P37=0)),"",Q37+IF(O37&lt;=1,'Paramètres'!$B$18,IF(O37=2,'Paramètres'!$B$19,'Paramètres'!$B$20)))))</f>
        <v/>
      </c>
      <c r="H37" s="107">
        <f>IF(OR(G37="",BP37&lt;&gt;BQ37),"",IF(INDEX('Saisie'!$K$5:$K$2004,BP37-4)="","",INDEX('Saisie'!$K$5:$K$2004,BP37-4)))</f>
        <v/>
      </c>
      <c r="I37" s="60">
        <f>IF(C37="","",IF(OR(D37="Gagné",D37="Perdu"),"",IFERROR(INDEX('Saisie'!$I$5:$I$2004,_xlfn.MAXIFS('Saisie'!$AS$5:$AS$2004,'Saisie'!$C$5:$C$2004,C37,'Saisie'!$I$5:$I$2004,"&lt;&gt;")-4),"")))</f>
        <v/>
      </c>
      <c r="J37" s="60">
        <f>IF(C37="","",IFERROR(INDEX('Saisie'!$U$5:$U$2004,_xlfn.MAXIFS('Saisie'!$AS$5:$AS$2004,'Saisie'!$C$5:$C$2004,C37,'Saisie'!$U$5:$U$2004,"&lt;&gt;")-4),""))</f>
        <v/>
      </c>
      <c r="K37" s="60">
        <f>IF(C37="","",IFERROR(INDEX('Saisie'!$W$5:$W$2004,_xlfn.MAXIFS('Saisie'!$AS$5:$AS$2004,'Saisie'!$C$5:$C$2004,C37,'Saisie'!$W$5:$W$2004,"&lt;&gt;")-4),""))</f>
        <v/>
      </c>
      <c r="L37" s="60">
        <f>IF(IF(BB37&lt;&gt;"",BB37,K37)="","",HYPERLINK("https://wa.me/"&amp;IF(LEFT(SUBSTITUTE(SUBSTITUTE(SUBSTITUTE(IF(BB37&lt;&gt;"",BB37,K37)," ",""),".",""),"+",""),1)="0",'Paramètres'!$B$35&amp;MID(SUBSTITUTE(SUBSTITUTE(SUBSTITUTE(IF(BB37&lt;&gt;"",BB37,K37)," ",""),".",""),"+",""),2,20),SUBSTITUTE(SUBSTITUTE(SUBSTITUTE(IF(BB37&lt;&gt;"",BB37,K37)," ",""),".",""),"+","")),"WhatsApp"))</f>
        <v/>
      </c>
      <c r="M37" s="60">
        <f>IF(BC37="","",HYPERLINK(IF(LEFT(BC37,4)="http",BC37,"https://www.instagram.com/"&amp;SUBSTITUTE(SUBSTITUTE(BC37,"@","")," ","")),BC37))</f>
        <v/>
      </c>
      <c r="N37" s="60">
        <f>IF(C37="","",IFERROR(INDEX('Saisie'!$D$5:$D$2004,_xlfn.MINIFS('Saisie'!$AS$5:$AS$2004,'Saisie'!$C$5:$C$2004,C37,'Saisie'!$AU$5:$AU$2004,1)-4),IFERROR(INDEX('Saisie'!$D$5:$D$2004,_xlfn.MINIFS('Saisie'!$AS$5:$AS$2004,'Saisie'!$C$5:$C$2004,C37,'Saisie'!$D$5:$D$2004,"&lt;&gt;")-4),"")))</f>
        <v/>
      </c>
      <c r="O37" s="60">
        <f>IF(C37="","",COUNTIFS('Saisie'!$C$5:$C$2004,C37,'Saisie'!$AU$5:$AU$2004,1))</f>
        <v/>
      </c>
      <c r="P37" s="60">
        <f>IF(C37="","",COUNTIFS('Saisie'!$C$5:$C$2004,C37,'Saisie'!$AV$5:$AV$2004,1))</f>
        <v/>
      </c>
      <c r="Q37" s="106">
        <f>IF(C37="","",IFERROR(1/(1/_xlfn.MAXIFS('Saisie'!$A$5:$A$2004,'Saisie'!$C$5:$C$2004,C37)),""))</f>
        <v/>
      </c>
      <c r="R37" s="61">
        <f>IF(C37="","",IF(Q37="","",TODAY()-Q37))</f>
        <v/>
      </c>
      <c r="S37" s="60">
        <f>IF(C37="","",IFERROR(INDEX('Saisie'!$R$5:$R$2004,_xlfn.MAXIFS('Saisie'!$AS$5:$AS$2004,'Saisie'!$C$5:$C$2004,C37,'Saisie'!$R$5:$R$2004,"&lt;&gt;")-4),""))</f>
        <v/>
      </c>
      <c r="T37" s="60">
        <f>IF(C37="","",IFERROR(INDEX('Saisie'!$S$5:$S$2004,_xlfn.MAXIFS('Saisie'!$AS$5:$AS$2004,'Saisie'!$C$5:$C$2004,C37,'Saisie'!$S$5:$S$2004,"&lt;&gt;")-4),""))</f>
        <v/>
      </c>
      <c r="U37" s="60">
        <f>IF(C37="","",IFERROR(INDEX('Saisie'!$T$5:$T$2004,_xlfn.MAXIFS('Saisie'!$AS$5:$AS$2004,'Saisie'!$C$5:$C$2004,C37,'Saisie'!$T$5:$T$2004,"&lt;&gt;")-4),""))</f>
        <v/>
      </c>
      <c r="V37" s="60">
        <f>IF(C37="","",IFERROR(INDEX('Saisie'!$V$5:$V$2004,_xlfn.MAXIFS('Saisie'!$AS$5:$AS$2004,'Saisie'!$C$5:$C$2004,C37,'Saisie'!$V$5:$V$2004,"&lt;&gt;")-4),""))</f>
        <v/>
      </c>
      <c r="W37" s="60">
        <f>IF(C37="","",IFERROR(INDEX('Saisie'!$Z$5:$Z$2004,_xlfn.MAXIFS('Saisie'!$AS$5:$AS$2004,'Saisie'!$C$5:$C$2004,C37,'Saisie'!$Z$5:$Z$2004,"&lt;&gt;")-4),""))</f>
        <v/>
      </c>
      <c r="X37" s="60">
        <f>IF(C37="","",IFERROR(INDEX('Saisie'!$AA$5:$AA$2004,_xlfn.MAXIFS('Saisie'!$AS$5:$AS$2004,'Saisie'!$C$5:$C$2004,C37,'Saisie'!$AA$5:$AA$2004,"&lt;&gt;")-4),""))</f>
        <v/>
      </c>
      <c r="Y37" s="60">
        <f>IF(C37="","",IFERROR(INDEX('Saisie'!$AB$5:$AB$2004,_xlfn.MAXIFS('Saisie'!$AS$5:$AS$2004,'Saisie'!$C$5:$C$2004,C37,'Saisie'!$AB$5:$AB$2004,"&lt;&gt;")-4),""))</f>
        <v/>
      </c>
      <c r="Z37" s="60">
        <f>IF(C37="","",IFERROR(INDEX('Saisie'!$AC$5:$AC$2004,_xlfn.MAXIFS('Saisie'!$AS$5:$AS$2004,'Saisie'!$C$5:$C$2004,C37,'Saisie'!$AC$5:$AC$2004,"&lt;&gt;")-4),""))</f>
        <v/>
      </c>
      <c r="AA37" s="106">
        <f>IF(C37="","",IFERROR(INDEX('Saisie'!$AD$5:$AD$2004,_xlfn.MAXIFS('Saisie'!$AS$5:$AS$2004,'Saisie'!$C$5:$C$2004,C37,'Saisie'!$AD$5:$AD$2004,"&lt;&gt;")-4),""))</f>
        <v/>
      </c>
      <c r="AB37" s="60">
        <f>IF(C37="","",IFERROR(INDEX('Saisie'!$AE$5:$AE$2004,_xlfn.MAXIFS('Saisie'!$AS$5:$AS$2004,'Saisie'!$C$5:$C$2004,C37,'Saisie'!$AE$5:$AE$2004,"&lt;&gt;")-4),""))</f>
        <v/>
      </c>
      <c r="AC37" s="60">
        <f>IF(C37="","",IFERROR(INDEX('Saisie'!$AF$5:$AF$2004,_xlfn.MAXIFS('Saisie'!$AS$5:$AS$2004,'Saisie'!$C$5:$C$2004,C37,'Saisie'!$AF$5:$AF$2004,"&lt;&gt;")-4),""))</f>
        <v/>
      </c>
      <c r="AD37" s="108">
        <f>IF(C37="","",IFERROR(INDEX('Saisie'!$AG$5:$AG$2004,_xlfn.MAXIFS('Saisie'!$AS$5:$AS$2004,'Saisie'!$C$5:$C$2004,C37,'Saisie'!$AG$5:$AG$2004,"&lt;&gt;")-4),""))</f>
        <v/>
      </c>
      <c r="AE37" s="60">
        <f>IF(C37="","",IFERROR(INDEX('Saisie'!$AH$5:$AH$2004,_xlfn.MAXIFS('Saisie'!$AS$5:$AS$2004,'Saisie'!$C$5:$C$2004,C37,'Saisie'!$AH$5:$AH$2004,"&lt;&gt;")-4),""))</f>
        <v/>
      </c>
      <c r="AF37" s="60">
        <f>IF(C37="","",IFERROR(INDEX('Saisie'!$AI$5:$AI$2004,_xlfn.MAXIFS('Saisie'!$AS$5:$AS$2004,'Saisie'!$C$5:$C$2004,C37,'Saisie'!$AI$5:$AI$2004,"&lt;&gt;")-4),""))</f>
        <v/>
      </c>
      <c r="AG37" s="60">
        <f>IF(C37="","",IFERROR(INDEX('Saisie'!$AJ$5:$AJ$2004,_xlfn.MAXIFS('Saisie'!$AS$5:$AS$2004,'Saisie'!$C$5:$C$2004,C37,'Saisie'!$AJ$5:$AJ$2004,"&lt;&gt;")-4),""))</f>
        <v/>
      </c>
      <c r="AH37" s="60">
        <f>IF(C37="","",IFERROR(INDEX('Saisie'!$AK$5:$AK$2004,_xlfn.MAXIFS('Saisie'!$AS$5:$AS$2004,'Saisie'!$C$5:$C$2004,C37,'Saisie'!$AK$5:$AK$2004,"&lt;&gt;")-4),""))</f>
        <v/>
      </c>
      <c r="AI37" s="60">
        <f>IF(C37="","",IFERROR(INDEX('Saisie'!$AN$5:$AN$2004,_xlfn.MAXIFS('Saisie'!$AS$5:$AS$2004,'Saisie'!$C$5:$C$2004,C37,'Saisie'!$AN$5:$AN$2004,"&lt;&gt;")-4),""))</f>
        <v/>
      </c>
      <c r="AJ37" s="60">
        <f>IF(C37="","",IFERROR(INDEX('Saisie'!$AO$5:$AO$2004,_xlfn.MAXIFS('Saisie'!$AS$5:$AS$2004,'Saisie'!$C$5:$C$2004,C37,'Saisie'!$AO$5:$AO$2004,"&lt;&gt;")-4),""))</f>
        <v/>
      </c>
      <c r="AK37" s="60">
        <f>IF(C37="","",IFERROR(INDEX('Saisie'!$AP$5:$AP$2004,_xlfn.MAXIFS('Saisie'!$AS$5:$AS$2004,'Saisie'!$C$5:$C$2004,C37,'Saisie'!$AP$5:$AP$2004,"&lt;&gt;")-4),""))</f>
        <v/>
      </c>
      <c r="AL37" s="60">
        <f>IF(C37="","",IFERROR(INDEX('Saisie'!$AQ$5:$AQ$2004,_xlfn.MAXIFS('Saisie'!$AS$5:$AS$2004,'Saisie'!$C$5:$C$2004,C37,'Saisie'!$AQ$5:$AQ$2004,"&lt;&gt;")-4),""))</f>
        <v/>
      </c>
      <c r="AM37" s="60">
        <f>IF(C37="","",((AI37="Oui")+(AJ37="Oui")+(AK37="Oui")+OR(AL37="Immédiat",AL37="&lt; 1 mois"))&amp;"/4")</f>
        <v/>
      </c>
      <c r="AN37" s="60">
        <f>IF(C37="","",IFERROR(INDEX('Saisie'!$AL$5:$AL$2004,_xlfn.MAXIFS('Saisie'!$AS$5:$AS$2004,'Saisie'!$C$5:$C$2004,C37,'Saisie'!$AL$5:$AL$2004,"&lt;&gt;")-4),""))</f>
        <v/>
      </c>
      <c r="AO37" s="62">
        <f>IF(C37="","",IF(IFERROR(INDEX('Saisie'!$AM$5:$AM$2004,_xlfn.MAXIFS('Saisie'!$AS$5:$AS$2004,'Saisie'!$C$5:$C$2004,C37,'Saisie'!$AM$5:$AM$2004,"&lt;&gt;")-4),"")&lt;&gt;"",IFERROR(INDEX('Saisie'!$AM$5:$AM$2004,_xlfn.MAXIFS('Saisie'!$AS$5:$AS$2004,'Saisie'!$C$5:$C$2004,C37,'Saisie'!$AM$5:$AM$2004,"&lt;&gt;")-4),""),IFERROR(INDEX('Paramètres'!$S$6:$S$15,MATCH(AN37,'Paramètres'!$Q$6:$Q$15,0)),"")))</f>
        <v/>
      </c>
      <c r="AP37" s="62">
        <f>IF(C37="","",IFERROR(INDEX('Saisie'!$AW$5:$AW$2004,_xlfn.MAXIFS('Saisie'!$AS$5:$AS$2004,'Saisie'!$C$5:$C$2004,C37,'Saisie'!$E$5:$E$2004,"Proposition envoyée")-4),""))</f>
        <v/>
      </c>
      <c r="AQ37" s="106">
        <f>IF(C37="","",IFERROR(1/(1/_xlfn.MAXIFS('Saisie'!$A$5:$A$2004,'Saisie'!$C$5:$C$2004,C37,'Saisie'!$E$5:$E$2004,"Proposition envoyée")),""))</f>
        <v/>
      </c>
      <c r="AR37" s="106">
        <f>IF(C37="","",IF(AQ37="","",AQ37+'Paramètres'!$B$26))</f>
        <v/>
      </c>
      <c r="AS37" s="62">
        <f>IF(OR(C37="",D37="Gagné",D37="Perdu"),0,N(AP37)*IFERROR(INDEX('Paramètres'!$G$6:$G$13,MATCH(D37,'Paramètres'!$F$6:$F$13,0)),0))</f>
        <v/>
      </c>
      <c r="AT37" s="106">
        <f>IF(C37="","",IFERROR(1/(1/_xlfn.MINIFS('Saisie'!$A$5:$A$2004,'Saisie'!$C$5:$C$2004,C37,'Saisie'!$E$5:$E$2004,"Signature")),""))</f>
        <v/>
      </c>
      <c r="AU37" s="60">
        <f>IF(C37="","",IF(OR(AT37="",B37=""),"",AT37-B37))</f>
        <v/>
      </c>
      <c r="AV37" s="60">
        <f>IF(C37="","",IFERROR(INDEX('Saisie'!$L$5:$L$2004,_xlfn.MAXIFS('Saisie'!$AS$5:$AS$2004,'Saisie'!$C$5:$C$2004,C37,'Saisie'!$L$5:$L$2004,"&lt;&gt;")-4),""))</f>
        <v/>
      </c>
      <c r="AW37" s="106">
        <f>IF(C37="","",IF(D37&lt;&gt;"Perdu","",IFERROR(1/(1/_xlfn.MAXIFS('Saisie'!$A$5:$A$2004,'Saisie'!$C$5:$C$2004,C37,'Saisie'!$E$5:$E$2004,"Perdu")),"")))</f>
        <v/>
      </c>
      <c r="AX37" s="106">
        <f>IF(C37="","",IF(AW37="","",AW37+'Paramètres'!$B$28))</f>
        <v/>
      </c>
      <c r="AY37" s="60">
        <f>IF(C37="","",SUMIFS('Saisie'!$H$5:$H$2004,'Saisie'!$C$5:$C$2004,C37))</f>
        <v/>
      </c>
      <c r="AZ37" s="60">
        <f>IF(C37="","",IFERROR(INDEX('Paramètres'!$W$6:$W$20,MATCH(S37,'Paramètres'!$V$6:$V$20,0))&amp;"",""))</f>
        <v/>
      </c>
      <c r="BA37" s="60">
        <f>IF(C37="","",MAX(1,_xlfn.MAXIFS('Saisie'!$AT$5:$AT$2004,'Saisie'!$C$5:$C$2004,C37)))</f>
        <v/>
      </c>
      <c r="BB37" s="60">
        <f>IF(C37="","",IFERROR(INDEX('Saisie'!$X$5:$X$2004,_xlfn.MAXIFS('Saisie'!$AS$5:$AS$2004,'Saisie'!$C$5:$C$2004,C37,'Saisie'!$X$5:$X$2004,"&lt;&gt;")-4),""))</f>
        <v/>
      </c>
      <c r="BC37" s="60">
        <f>IF(C37="","",IFERROR(INDEX('Saisie'!$Y$5:$Y$2004,_xlfn.MAXIFS('Saisie'!$AS$5:$AS$2004,'Saisie'!$C$5:$C$2004,C37,'Saisie'!$Y$5:$Y$2004,"&lt;&gt;")-4),""))</f>
        <v/>
      </c>
      <c r="BD37" s="106">
        <f>IF(C37="","",IFERROR(1/(1/_xlfn.MINIFS('Saisie'!$A$5:$A$2004,'Saisie'!$C$5:$C$2004,C37,'Saisie'!$AT$5:$AT$2004,"&gt;=2")),""))</f>
        <v/>
      </c>
      <c r="BE37" s="106">
        <f>IF(C37="","",IFERROR(1/(1/_xlfn.MINIFS('Saisie'!$A$5:$A$2004,'Saisie'!$C$5:$C$2004,C37,'Saisie'!$AT$5:$AT$2004,"&gt;=3")),""))</f>
        <v/>
      </c>
      <c r="BF37" s="106">
        <f>IF(C37="","",IFERROR(1/(1/_xlfn.MINIFS('Saisie'!$A$5:$A$2004,'Saisie'!$C$5:$C$2004,C37,'Saisie'!$AT$5:$AT$2004,"&gt;=4")),""))</f>
        <v/>
      </c>
      <c r="BG37" s="106">
        <f>IF(C37="","",IFERROR(1/(1/_xlfn.MINIFS('Saisie'!$A$5:$A$2004,'Saisie'!$C$5:$C$2004,C37,'Saisie'!$AT$5:$AT$2004,"&gt;=5")),""))</f>
        <v/>
      </c>
      <c r="BH37" s="106">
        <f>IF(C37="","",IFERROR(1/(1/_xlfn.MINIFS('Saisie'!$A$5:$A$2004,'Saisie'!$C$5:$C$2004,C37,'Saisie'!$AT$5:$AT$2004,"&gt;=6")),""))</f>
        <v/>
      </c>
      <c r="BI37" s="106">
        <f>IF(C37="","",IFERROR(1/(1/_xlfn.MINIFS('Saisie'!$A$5:$A$2004,'Saisie'!$C$5:$C$2004,C37,'Saisie'!$AT$5:$AT$2004,"&gt;=7")),""))</f>
        <v/>
      </c>
      <c r="BJ37" s="60">
        <f>IF(OR(BD37="",B37=""),"",BD37-B37)</f>
        <v/>
      </c>
      <c r="BK37" s="60">
        <f>IF(OR(BE37="",BD37=""),"",BE37-BD37)</f>
        <v/>
      </c>
      <c r="BL37" s="60">
        <f>IF(OR(BF37="",BE37=""),"",BF37-BE37)</f>
        <v/>
      </c>
      <c r="BM37" s="60">
        <f>IF(OR(BG37="",BF37=""),"",BG37-BF37)</f>
        <v/>
      </c>
      <c r="BN37" s="60">
        <f>IF(OR(BH37="",BG37=""),"",BH37-BG37)</f>
        <v/>
      </c>
      <c r="BO37" s="60">
        <f>IF(OR(BI37="",BH37=""),"",BI37-BH37)</f>
        <v/>
      </c>
      <c r="BP37" s="60">
        <f>IF(C37="","",_xlfn.MAXIFS('Saisie'!$AS$5:$AS$2004,'Saisie'!$C$5:$C$2004,C37,'Saisie'!$J$5:$J$2004,"&lt;&gt;"))</f>
        <v/>
      </c>
      <c r="BQ37" s="60">
        <f>IF(C37="","",_xlfn.MAXIFS('Saisie'!$AS$5:$AS$2004,'Saisie'!$C$5:$C$2004,C37))</f>
        <v/>
      </c>
      <c r="BR37" s="60">
        <f>IF(C37="","",_xlfn.MAXIFS('Saisie'!$AS$5:$AS$2004,'Saisie'!$C$5:$C$2004,C37,'Saisie'!$E$5:$E$2004,"Perdu"))</f>
        <v/>
      </c>
      <c r="BS37" s="60">
        <f>IF(C37="","",_xlfn.MAXIFS('Saisie'!$AS$5:$AS$2004,'Saisie'!$C$5:$C$2004,C37,'Saisie'!$AT$5:$AT$2004,"&gt;0"))</f>
        <v/>
      </c>
      <c r="BT37" s="109">
        <f>IF(AND(C37&lt;&gt;"",OR(D37="Nouveau",D37="Contacté",D37="Qualifié"),OR(G37="",N(G37)&lt;=TODAY()),NOT(AND(O37&gt;='Paramètres'!$B$21,P37=0))),E37+33/10000,"")</f>
        <v/>
      </c>
      <c r="BU37" s="60">
        <f>IF(AND(G37&lt;&gt;"",N(G37)&lt;=TODAY()),MAX($BU$4:BU36)+1,"")</f>
        <v/>
      </c>
      <c r="BV37" s="60">
        <f>IF(AND(F37&lt;&gt;"",F37&lt;&gt;"Relance en retard"),MAX($BV$4:BV36)+1,"")</f>
        <v/>
      </c>
      <c r="BW37" s="60">
        <f>IF(C37="","",IF(AND(B37&gt;='Tableau de bord'!$R$4,B37&lt;='Tableau de bord'!$S$4,OR('Tableau de bord'!$G$4="Tous",N37='Tableau de bord'!$G$4)),1,0))</f>
        <v/>
      </c>
      <c r="BX37" s="60">
        <f>IF(AND(C37&lt;&gt;"",N(BA37)=7),MAX($BX$4:BX36)+1,"")</f>
        <v/>
      </c>
    </row>
    <row r="38">
      <c r="A38" s="60">
        <f>IF(C38="","","P-"&amp;TEXT(34,"000"))</f>
        <v/>
      </c>
      <c r="B38" s="106">
        <f>IF(C38="","",IFERROR(1/(1/_xlfn.MINIFS('Saisie'!$A$5:$A$2004,'Saisie'!$C$5:$C$2004,C38)),""))</f>
        <v/>
      </c>
      <c r="C38" s="60">
        <f>IFERROR(INDEX('Saisie'!$C$5:$C$2004,MATCH(34,'Saisie'!$AX$5:$AX$2004,0)),"")</f>
        <v/>
      </c>
      <c r="D38" s="60">
        <f>IF(C38="","",IF(AND(BR38&gt;0,BR38&gt;BS38,BA38&lt;7),"Perdu",INDEX('Paramètres'!$F$6:$F$13,BA38)))</f>
        <v/>
      </c>
      <c r="E38" s="61">
        <f>IF(C38="","",MIN(100,(Z38="Oui")*'Paramètres'!$B$38+(AB38="Régulière")*'Paramètres'!$B$39+IF(AND(N(AA38)&gt;0,TODAY()-N(AA38)&lt;=30),'Paramètres'!$B$40,0)+(W38="")*'Paramètres'!$B$41+(AC38="Absente")*'Paramètres'!$B$42+(AC38="Faible")*'Paramètres'!$B$43+IF(AND(N(AD38)&gt;0,N(AD38)&lt;4),'Paramètres'!$B$44,0)+(AF38="Moyenne")*'Paramètres'!$B$45+(AF38="Grande")*'Paramètres'!$B$46+(Y38&lt;&gt;"")*'Paramètres'!$B$47))</f>
        <v/>
      </c>
      <c r="F38" s="60">
        <f>IF(C38="","",IF(D38="Gagné","",IF(D38="Perdu",IF(AND(AX38&lt;&gt;"",AX38&lt;=TODAY()),"À recontacter (perdu)",""),IF(AND(O38&gt;='Paramètres'!$B$21,P38=0),"Stop : "&amp;'Paramètres'!$B$21&amp;" tentatives sans réponse",IF(AND(D38="Proposition",AR38&lt;&gt;"",TODAY()&gt;N(AR38)),"Proposition expirée",IF(AND(D38="Proposition",N(R38)&gt;='Paramètres'!$B$25),"Proposition sans réponse",IF(AND(G38&lt;&gt;"",N(G38)&lt;TODAY()),"Relance en retard",IF(N(R38)&gt;='Paramètres'!$B$24,"Sans action depuis "&amp;R38&amp;" j",""))))))))</f>
        <v/>
      </c>
      <c r="G38" s="106">
        <f>IF(OR(C38="",D38="Gagné",D38="Perdu"),"",IF(AND(BP38&gt;0,BP38=BQ38),INDEX('Saisie'!$J$5:$J$2004,BP38-4),IF(OR(O38=0,AND(O38&gt;='Paramètres'!$B$21,P38=0)),"",Q38+IF(O38&lt;=1,'Paramètres'!$B$18,IF(O38=2,'Paramètres'!$B$19,'Paramètres'!$B$20)))))</f>
        <v/>
      </c>
      <c r="H38" s="107">
        <f>IF(OR(G38="",BP38&lt;&gt;BQ38),"",IF(INDEX('Saisie'!$K$5:$K$2004,BP38-4)="","",INDEX('Saisie'!$K$5:$K$2004,BP38-4)))</f>
        <v/>
      </c>
      <c r="I38" s="60">
        <f>IF(C38="","",IF(OR(D38="Gagné",D38="Perdu"),"",IFERROR(INDEX('Saisie'!$I$5:$I$2004,_xlfn.MAXIFS('Saisie'!$AS$5:$AS$2004,'Saisie'!$C$5:$C$2004,C38,'Saisie'!$I$5:$I$2004,"&lt;&gt;")-4),"")))</f>
        <v/>
      </c>
      <c r="J38" s="60">
        <f>IF(C38="","",IFERROR(INDEX('Saisie'!$U$5:$U$2004,_xlfn.MAXIFS('Saisie'!$AS$5:$AS$2004,'Saisie'!$C$5:$C$2004,C38,'Saisie'!$U$5:$U$2004,"&lt;&gt;")-4),""))</f>
        <v/>
      </c>
      <c r="K38" s="60">
        <f>IF(C38="","",IFERROR(INDEX('Saisie'!$W$5:$W$2004,_xlfn.MAXIFS('Saisie'!$AS$5:$AS$2004,'Saisie'!$C$5:$C$2004,C38,'Saisie'!$W$5:$W$2004,"&lt;&gt;")-4),""))</f>
        <v/>
      </c>
      <c r="L38" s="60">
        <f>IF(IF(BB38&lt;&gt;"",BB38,K38)="","",HYPERLINK("https://wa.me/"&amp;IF(LEFT(SUBSTITUTE(SUBSTITUTE(SUBSTITUTE(IF(BB38&lt;&gt;"",BB38,K38)," ",""),".",""),"+",""),1)="0",'Paramètres'!$B$35&amp;MID(SUBSTITUTE(SUBSTITUTE(SUBSTITUTE(IF(BB38&lt;&gt;"",BB38,K38)," ",""),".",""),"+",""),2,20),SUBSTITUTE(SUBSTITUTE(SUBSTITUTE(IF(BB38&lt;&gt;"",BB38,K38)," ",""),".",""),"+","")),"WhatsApp"))</f>
        <v/>
      </c>
      <c r="M38" s="60">
        <f>IF(BC38="","",HYPERLINK(IF(LEFT(BC38,4)="http",BC38,"https://www.instagram.com/"&amp;SUBSTITUTE(SUBSTITUTE(BC38,"@","")," ","")),BC38))</f>
        <v/>
      </c>
      <c r="N38" s="60">
        <f>IF(C38="","",IFERROR(INDEX('Saisie'!$D$5:$D$2004,_xlfn.MINIFS('Saisie'!$AS$5:$AS$2004,'Saisie'!$C$5:$C$2004,C38,'Saisie'!$AU$5:$AU$2004,1)-4),IFERROR(INDEX('Saisie'!$D$5:$D$2004,_xlfn.MINIFS('Saisie'!$AS$5:$AS$2004,'Saisie'!$C$5:$C$2004,C38,'Saisie'!$D$5:$D$2004,"&lt;&gt;")-4),"")))</f>
        <v/>
      </c>
      <c r="O38" s="60">
        <f>IF(C38="","",COUNTIFS('Saisie'!$C$5:$C$2004,C38,'Saisie'!$AU$5:$AU$2004,1))</f>
        <v/>
      </c>
      <c r="P38" s="60">
        <f>IF(C38="","",COUNTIFS('Saisie'!$C$5:$C$2004,C38,'Saisie'!$AV$5:$AV$2004,1))</f>
        <v/>
      </c>
      <c r="Q38" s="106">
        <f>IF(C38="","",IFERROR(1/(1/_xlfn.MAXIFS('Saisie'!$A$5:$A$2004,'Saisie'!$C$5:$C$2004,C38)),""))</f>
        <v/>
      </c>
      <c r="R38" s="61">
        <f>IF(C38="","",IF(Q38="","",TODAY()-Q38))</f>
        <v/>
      </c>
      <c r="S38" s="60">
        <f>IF(C38="","",IFERROR(INDEX('Saisie'!$R$5:$R$2004,_xlfn.MAXIFS('Saisie'!$AS$5:$AS$2004,'Saisie'!$C$5:$C$2004,C38,'Saisie'!$R$5:$R$2004,"&lt;&gt;")-4),""))</f>
        <v/>
      </c>
      <c r="T38" s="60">
        <f>IF(C38="","",IFERROR(INDEX('Saisie'!$S$5:$S$2004,_xlfn.MAXIFS('Saisie'!$AS$5:$AS$2004,'Saisie'!$C$5:$C$2004,C38,'Saisie'!$S$5:$S$2004,"&lt;&gt;")-4),""))</f>
        <v/>
      </c>
      <c r="U38" s="60">
        <f>IF(C38="","",IFERROR(INDEX('Saisie'!$T$5:$T$2004,_xlfn.MAXIFS('Saisie'!$AS$5:$AS$2004,'Saisie'!$C$5:$C$2004,C38,'Saisie'!$T$5:$T$2004,"&lt;&gt;")-4),""))</f>
        <v/>
      </c>
      <c r="V38" s="60">
        <f>IF(C38="","",IFERROR(INDEX('Saisie'!$V$5:$V$2004,_xlfn.MAXIFS('Saisie'!$AS$5:$AS$2004,'Saisie'!$C$5:$C$2004,C38,'Saisie'!$V$5:$V$2004,"&lt;&gt;")-4),""))</f>
        <v/>
      </c>
      <c r="W38" s="60">
        <f>IF(C38="","",IFERROR(INDEX('Saisie'!$Z$5:$Z$2004,_xlfn.MAXIFS('Saisie'!$AS$5:$AS$2004,'Saisie'!$C$5:$C$2004,C38,'Saisie'!$Z$5:$Z$2004,"&lt;&gt;")-4),""))</f>
        <v/>
      </c>
      <c r="X38" s="60">
        <f>IF(C38="","",IFERROR(INDEX('Saisie'!$AA$5:$AA$2004,_xlfn.MAXIFS('Saisie'!$AS$5:$AS$2004,'Saisie'!$C$5:$C$2004,C38,'Saisie'!$AA$5:$AA$2004,"&lt;&gt;")-4),""))</f>
        <v/>
      </c>
      <c r="Y38" s="60">
        <f>IF(C38="","",IFERROR(INDEX('Saisie'!$AB$5:$AB$2004,_xlfn.MAXIFS('Saisie'!$AS$5:$AS$2004,'Saisie'!$C$5:$C$2004,C38,'Saisie'!$AB$5:$AB$2004,"&lt;&gt;")-4),""))</f>
        <v/>
      </c>
      <c r="Z38" s="60">
        <f>IF(C38="","",IFERROR(INDEX('Saisie'!$AC$5:$AC$2004,_xlfn.MAXIFS('Saisie'!$AS$5:$AS$2004,'Saisie'!$C$5:$C$2004,C38,'Saisie'!$AC$5:$AC$2004,"&lt;&gt;")-4),""))</f>
        <v/>
      </c>
      <c r="AA38" s="106">
        <f>IF(C38="","",IFERROR(INDEX('Saisie'!$AD$5:$AD$2004,_xlfn.MAXIFS('Saisie'!$AS$5:$AS$2004,'Saisie'!$C$5:$C$2004,C38,'Saisie'!$AD$5:$AD$2004,"&lt;&gt;")-4),""))</f>
        <v/>
      </c>
      <c r="AB38" s="60">
        <f>IF(C38="","",IFERROR(INDEX('Saisie'!$AE$5:$AE$2004,_xlfn.MAXIFS('Saisie'!$AS$5:$AS$2004,'Saisie'!$C$5:$C$2004,C38,'Saisie'!$AE$5:$AE$2004,"&lt;&gt;")-4),""))</f>
        <v/>
      </c>
      <c r="AC38" s="60">
        <f>IF(C38="","",IFERROR(INDEX('Saisie'!$AF$5:$AF$2004,_xlfn.MAXIFS('Saisie'!$AS$5:$AS$2004,'Saisie'!$C$5:$C$2004,C38,'Saisie'!$AF$5:$AF$2004,"&lt;&gt;")-4),""))</f>
        <v/>
      </c>
      <c r="AD38" s="108">
        <f>IF(C38="","",IFERROR(INDEX('Saisie'!$AG$5:$AG$2004,_xlfn.MAXIFS('Saisie'!$AS$5:$AS$2004,'Saisie'!$C$5:$C$2004,C38,'Saisie'!$AG$5:$AG$2004,"&lt;&gt;")-4),""))</f>
        <v/>
      </c>
      <c r="AE38" s="60">
        <f>IF(C38="","",IFERROR(INDEX('Saisie'!$AH$5:$AH$2004,_xlfn.MAXIFS('Saisie'!$AS$5:$AS$2004,'Saisie'!$C$5:$C$2004,C38,'Saisie'!$AH$5:$AH$2004,"&lt;&gt;")-4),""))</f>
        <v/>
      </c>
      <c r="AF38" s="60">
        <f>IF(C38="","",IFERROR(INDEX('Saisie'!$AI$5:$AI$2004,_xlfn.MAXIFS('Saisie'!$AS$5:$AS$2004,'Saisie'!$C$5:$C$2004,C38,'Saisie'!$AI$5:$AI$2004,"&lt;&gt;")-4),""))</f>
        <v/>
      </c>
      <c r="AG38" s="60">
        <f>IF(C38="","",IFERROR(INDEX('Saisie'!$AJ$5:$AJ$2004,_xlfn.MAXIFS('Saisie'!$AS$5:$AS$2004,'Saisie'!$C$5:$C$2004,C38,'Saisie'!$AJ$5:$AJ$2004,"&lt;&gt;")-4),""))</f>
        <v/>
      </c>
      <c r="AH38" s="60">
        <f>IF(C38="","",IFERROR(INDEX('Saisie'!$AK$5:$AK$2004,_xlfn.MAXIFS('Saisie'!$AS$5:$AS$2004,'Saisie'!$C$5:$C$2004,C38,'Saisie'!$AK$5:$AK$2004,"&lt;&gt;")-4),""))</f>
        <v/>
      </c>
      <c r="AI38" s="60">
        <f>IF(C38="","",IFERROR(INDEX('Saisie'!$AN$5:$AN$2004,_xlfn.MAXIFS('Saisie'!$AS$5:$AS$2004,'Saisie'!$C$5:$C$2004,C38,'Saisie'!$AN$5:$AN$2004,"&lt;&gt;")-4),""))</f>
        <v/>
      </c>
      <c r="AJ38" s="60">
        <f>IF(C38="","",IFERROR(INDEX('Saisie'!$AO$5:$AO$2004,_xlfn.MAXIFS('Saisie'!$AS$5:$AS$2004,'Saisie'!$C$5:$C$2004,C38,'Saisie'!$AO$5:$AO$2004,"&lt;&gt;")-4),""))</f>
        <v/>
      </c>
      <c r="AK38" s="60">
        <f>IF(C38="","",IFERROR(INDEX('Saisie'!$AP$5:$AP$2004,_xlfn.MAXIFS('Saisie'!$AS$5:$AS$2004,'Saisie'!$C$5:$C$2004,C38,'Saisie'!$AP$5:$AP$2004,"&lt;&gt;")-4),""))</f>
        <v/>
      </c>
      <c r="AL38" s="60">
        <f>IF(C38="","",IFERROR(INDEX('Saisie'!$AQ$5:$AQ$2004,_xlfn.MAXIFS('Saisie'!$AS$5:$AS$2004,'Saisie'!$C$5:$C$2004,C38,'Saisie'!$AQ$5:$AQ$2004,"&lt;&gt;")-4),""))</f>
        <v/>
      </c>
      <c r="AM38" s="60">
        <f>IF(C38="","",((AI38="Oui")+(AJ38="Oui")+(AK38="Oui")+OR(AL38="Immédiat",AL38="&lt; 1 mois"))&amp;"/4")</f>
        <v/>
      </c>
      <c r="AN38" s="60">
        <f>IF(C38="","",IFERROR(INDEX('Saisie'!$AL$5:$AL$2004,_xlfn.MAXIFS('Saisie'!$AS$5:$AS$2004,'Saisie'!$C$5:$C$2004,C38,'Saisie'!$AL$5:$AL$2004,"&lt;&gt;")-4),""))</f>
        <v/>
      </c>
      <c r="AO38" s="62">
        <f>IF(C38="","",IF(IFERROR(INDEX('Saisie'!$AM$5:$AM$2004,_xlfn.MAXIFS('Saisie'!$AS$5:$AS$2004,'Saisie'!$C$5:$C$2004,C38,'Saisie'!$AM$5:$AM$2004,"&lt;&gt;")-4),"")&lt;&gt;"",IFERROR(INDEX('Saisie'!$AM$5:$AM$2004,_xlfn.MAXIFS('Saisie'!$AS$5:$AS$2004,'Saisie'!$C$5:$C$2004,C38,'Saisie'!$AM$5:$AM$2004,"&lt;&gt;")-4),""),IFERROR(INDEX('Paramètres'!$S$6:$S$15,MATCH(AN38,'Paramètres'!$Q$6:$Q$15,0)),"")))</f>
        <v/>
      </c>
      <c r="AP38" s="62">
        <f>IF(C38="","",IFERROR(INDEX('Saisie'!$AW$5:$AW$2004,_xlfn.MAXIFS('Saisie'!$AS$5:$AS$2004,'Saisie'!$C$5:$C$2004,C38,'Saisie'!$E$5:$E$2004,"Proposition envoyée")-4),""))</f>
        <v/>
      </c>
      <c r="AQ38" s="106">
        <f>IF(C38="","",IFERROR(1/(1/_xlfn.MAXIFS('Saisie'!$A$5:$A$2004,'Saisie'!$C$5:$C$2004,C38,'Saisie'!$E$5:$E$2004,"Proposition envoyée")),""))</f>
        <v/>
      </c>
      <c r="AR38" s="106">
        <f>IF(C38="","",IF(AQ38="","",AQ38+'Paramètres'!$B$26))</f>
        <v/>
      </c>
      <c r="AS38" s="62">
        <f>IF(OR(C38="",D38="Gagné",D38="Perdu"),0,N(AP38)*IFERROR(INDEX('Paramètres'!$G$6:$G$13,MATCH(D38,'Paramètres'!$F$6:$F$13,0)),0))</f>
        <v/>
      </c>
      <c r="AT38" s="106">
        <f>IF(C38="","",IFERROR(1/(1/_xlfn.MINIFS('Saisie'!$A$5:$A$2004,'Saisie'!$C$5:$C$2004,C38,'Saisie'!$E$5:$E$2004,"Signature")),""))</f>
        <v/>
      </c>
      <c r="AU38" s="60">
        <f>IF(C38="","",IF(OR(AT38="",B38=""),"",AT38-B38))</f>
        <v/>
      </c>
      <c r="AV38" s="60">
        <f>IF(C38="","",IFERROR(INDEX('Saisie'!$L$5:$L$2004,_xlfn.MAXIFS('Saisie'!$AS$5:$AS$2004,'Saisie'!$C$5:$C$2004,C38,'Saisie'!$L$5:$L$2004,"&lt;&gt;")-4),""))</f>
        <v/>
      </c>
      <c r="AW38" s="106">
        <f>IF(C38="","",IF(D38&lt;&gt;"Perdu","",IFERROR(1/(1/_xlfn.MAXIFS('Saisie'!$A$5:$A$2004,'Saisie'!$C$5:$C$2004,C38,'Saisie'!$E$5:$E$2004,"Perdu")),"")))</f>
        <v/>
      </c>
      <c r="AX38" s="106">
        <f>IF(C38="","",IF(AW38="","",AW38+'Paramètres'!$B$28))</f>
        <v/>
      </c>
      <c r="AY38" s="60">
        <f>IF(C38="","",SUMIFS('Saisie'!$H$5:$H$2004,'Saisie'!$C$5:$C$2004,C38))</f>
        <v/>
      </c>
      <c r="AZ38" s="60">
        <f>IF(C38="","",IFERROR(INDEX('Paramètres'!$W$6:$W$20,MATCH(S38,'Paramètres'!$V$6:$V$20,0))&amp;"",""))</f>
        <v/>
      </c>
      <c r="BA38" s="60">
        <f>IF(C38="","",MAX(1,_xlfn.MAXIFS('Saisie'!$AT$5:$AT$2004,'Saisie'!$C$5:$C$2004,C38)))</f>
        <v/>
      </c>
      <c r="BB38" s="60">
        <f>IF(C38="","",IFERROR(INDEX('Saisie'!$X$5:$X$2004,_xlfn.MAXIFS('Saisie'!$AS$5:$AS$2004,'Saisie'!$C$5:$C$2004,C38,'Saisie'!$X$5:$X$2004,"&lt;&gt;")-4),""))</f>
        <v/>
      </c>
      <c r="BC38" s="60">
        <f>IF(C38="","",IFERROR(INDEX('Saisie'!$Y$5:$Y$2004,_xlfn.MAXIFS('Saisie'!$AS$5:$AS$2004,'Saisie'!$C$5:$C$2004,C38,'Saisie'!$Y$5:$Y$2004,"&lt;&gt;")-4),""))</f>
        <v/>
      </c>
      <c r="BD38" s="106">
        <f>IF(C38="","",IFERROR(1/(1/_xlfn.MINIFS('Saisie'!$A$5:$A$2004,'Saisie'!$C$5:$C$2004,C38,'Saisie'!$AT$5:$AT$2004,"&gt;=2")),""))</f>
        <v/>
      </c>
      <c r="BE38" s="106">
        <f>IF(C38="","",IFERROR(1/(1/_xlfn.MINIFS('Saisie'!$A$5:$A$2004,'Saisie'!$C$5:$C$2004,C38,'Saisie'!$AT$5:$AT$2004,"&gt;=3")),""))</f>
        <v/>
      </c>
      <c r="BF38" s="106">
        <f>IF(C38="","",IFERROR(1/(1/_xlfn.MINIFS('Saisie'!$A$5:$A$2004,'Saisie'!$C$5:$C$2004,C38,'Saisie'!$AT$5:$AT$2004,"&gt;=4")),""))</f>
        <v/>
      </c>
      <c r="BG38" s="106">
        <f>IF(C38="","",IFERROR(1/(1/_xlfn.MINIFS('Saisie'!$A$5:$A$2004,'Saisie'!$C$5:$C$2004,C38,'Saisie'!$AT$5:$AT$2004,"&gt;=5")),""))</f>
        <v/>
      </c>
      <c r="BH38" s="106">
        <f>IF(C38="","",IFERROR(1/(1/_xlfn.MINIFS('Saisie'!$A$5:$A$2004,'Saisie'!$C$5:$C$2004,C38,'Saisie'!$AT$5:$AT$2004,"&gt;=6")),""))</f>
        <v/>
      </c>
      <c r="BI38" s="106">
        <f>IF(C38="","",IFERROR(1/(1/_xlfn.MINIFS('Saisie'!$A$5:$A$2004,'Saisie'!$C$5:$C$2004,C38,'Saisie'!$AT$5:$AT$2004,"&gt;=7")),""))</f>
        <v/>
      </c>
      <c r="BJ38" s="60">
        <f>IF(OR(BD38="",B38=""),"",BD38-B38)</f>
        <v/>
      </c>
      <c r="BK38" s="60">
        <f>IF(OR(BE38="",BD38=""),"",BE38-BD38)</f>
        <v/>
      </c>
      <c r="BL38" s="60">
        <f>IF(OR(BF38="",BE38=""),"",BF38-BE38)</f>
        <v/>
      </c>
      <c r="BM38" s="60">
        <f>IF(OR(BG38="",BF38=""),"",BG38-BF38)</f>
        <v/>
      </c>
      <c r="BN38" s="60">
        <f>IF(OR(BH38="",BG38=""),"",BH38-BG38)</f>
        <v/>
      </c>
      <c r="BO38" s="60">
        <f>IF(OR(BI38="",BH38=""),"",BI38-BH38)</f>
        <v/>
      </c>
      <c r="BP38" s="60">
        <f>IF(C38="","",_xlfn.MAXIFS('Saisie'!$AS$5:$AS$2004,'Saisie'!$C$5:$C$2004,C38,'Saisie'!$J$5:$J$2004,"&lt;&gt;"))</f>
        <v/>
      </c>
      <c r="BQ38" s="60">
        <f>IF(C38="","",_xlfn.MAXIFS('Saisie'!$AS$5:$AS$2004,'Saisie'!$C$5:$C$2004,C38))</f>
        <v/>
      </c>
      <c r="BR38" s="60">
        <f>IF(C38="","",_xlfn.MAXIFS('Saisie'!$AS$5:$AS$2004,'Saisie'!$C$5:$C$2004,C38,'Saisie'!$E$5:$E$2004,"Perdu"))</f>
        <v/>
      </c>
      <c r="BS38" s="60">
        <f>IF(C38="","",_xlfn.MAXIFS('Saisie'!$AS$5:$AS$2004,'Saisie'!$C$5:$C$2004,C38,'Saisie'!$AT$5:$AT$2004,"&gt;0"))</f>
        <v/>
      </c>
      <c r="BT38" s="109">
        <f>IF(AND(C38&lt;&gt;"",OR(D38="Nouveau",D38="Contacté",D38="Qualifié"),OR(G38="",N(G38)&lt;=TODAY()),NOT(AND(O38&gt;='Paramètres'!$B$21,P38=0))),E38+34/10000,"")</f>
        <v/>
      </c>
      <c r="BU38" s="60">
        <f>IF(AND(G38&lt;&gt;"",N(G38)&lt;=TODAY()),MAX($BU$4:BU37)+1,"")</f>
        <v/>
      </c>
      <c r="BV38" s="60">
        <f>IF(AND(F38&lt;&gt;"",F38&lt;&gt;"Relance en retard"),MAX($BV$4:BV37)+1,"")</f>
        <v/>
      </c>
      <c r="BW38" s="60">
        <f>IF(C38="","",IF(AND(B38&gt;='Tableau de bord'!$R$4,B38&lt;='Tableau de bord'!$S$4,OR('Tableau de bord'!$G$4="Tous",N38='Tableau de bord'!$G$4)),1,0))</f>
        <v/>
      </c>
      <c r="BX38" s="60">
        <f>IF(AND(C38&lt;&gt;"",N(BA38)=7),MAX($BX$4:BX37)+1,"")</f>
        <v/>
      </c>
    </row>
    <row r="39">
      <c r="A39" s="60">
        <f>IF(C39="","","P-"&amp;TEXT(35,"000"))</f>
        <v/>
      </c>
      <c r="B39" s="106">
        <f>IF(C39="","",IFERROR(1/(1/_xlfn.MINIFS('Saisie'!$A$5:$A$2004,'Saisie'!$C$5:$C$2004,C39)),""))</f>
        <v/>
      </c>
      <c r="C39" s="60">
        <f>IFERROR(INDEX('Saisie'!$C$5:$C$2004,MATCH(35,'Saisie'!$AX$5:$AX$2004,0)),"")</f>
        <v/>
      </c>
      <c r="D39" s="60">
        <f>IF(C39="","",IF(AND(BR39&gt;0,BR39&gt;BS39,BA39&lt;7),"Perdu",INDEX('Paramètres'!$F$6:$F$13,BA39)))</f>
        <v/>
      </c>
      <c r="E39" s="61">
        <f>IF(C39="","",MIN(100,(Z39="Oui")*'Paramètres'!$B$38+(AB39="Régulière")*'Paramètres'!$B$39+IF(AND(N(AA39)&gt;0,TODAY()-N(AA39)&lt;=30),'Paramètres'!$B$40,0)+(W39="")*'Paramètres'!$B$41+(AC39="Absente")*'Paramètres'!$B$42+(AC39="Faible")*'Paramètres'!$B$43+IF(AND(N(AD39)&gt;0,N(AD39)&lt;4),'Paramètres'!$B$44,0)+(AF39="Moyenne")*'Paramètres'!$B$45+(AF39="Grande")*'Paramètres'!$B$46+(Y39&lt;&gt;"")*'Paramètres'!$B$47))</f>
        <v/>
      </c>
      <c r="F39" s="60">
        <f>IF(C39="","",IF(D39="Gagné","",IF(D39="Perdu",IF(AND(AX39&lt;&gt;"",AX39&lt;=TODAY()),"À recontacter (perdu)",""),IF(AND(O39&gt;='Paramètres'!$B$21,P39=0),"Stop : "&amp;'Paramètres'!$B$21&amp;" tentatives sans réponse",IF(AND(D39="Proposition",AR39&lt;&gt;"",TODAY()&gt;N(AR39)),"Proposition expirée",IF(AND(D39="Proposition",N(R39)&gt;='Paramètres'!$B$25),"Proposition sans réponse",IF(AND(G39&lt;&gt;"",N(G39)&lt;TODAY()),"Relance en retard",IF(N(R39)&gt;='Paramètres'!$B$24,"Sans action depuis "&amp;R39&amp;" j",""))))))))</f>
        <v/>
      </c>
      <c r="G39" s="106">
        <f>IF(OR(C39="",D39="Gagné",D39="Perdu"),"",IF(AND(BP39&gt;0,BP39=BQ39),INDEX('Saisie'!$J$5:$J$2004,BP39-4),IF(OR(O39=0,AND(O39&gt;='Paramètres'!$B$21,P39=0)),"",Q39+IF(O39&lt;=1,'Paramètres'!$B$18,IF(O39=2,'Paramètres'!$B$19,'Paramètres'!$B$20)))))</f>
        <v/>
      </c>
      <c r="H39" s="107">
        <f>IF(OR(G39="",BP39&lt;&gt;BQ39),"",IF(INDEX('Saisie'!$K$5:$K$2004,BP39-4)="","",INDEX('Saisie'!$K$5:$K$2004,BP39-4)))</f>
        <v/>
      </c>
      <c r="I39" s="60">
        <f>IF(C39="","",IF(OR(D39="Gagné",D39="Perdu"),"",IFERROR(INDEX('Saisie'!$I$5:$I$2004,_xlfn.MAXIFS('Saisie'!$AS$5:$AS$2004,'Saisie'!$C$5:$C$2004,C39,'Saisie'!$I$5:$I$2004,"&lt;&gt;")-4),"")))</f>
        <v/>
      </c>
      <c r="J39" s="60">
        <f>IF(C39="","",IFERROR(INDEX('Saisie'!$U$5:$U$2004,_xlfn.MAXIFS('Saisie'!$AS$5:$AS$2004,'Saisie'!$C$5:$C$2004,C39,'Saisie'!$U$5:$U$2004,"&lt;&gt;")-4),""))</f>
        <v/>
      </c>
      <c r="K39" s="60">
        <f>IF(C39="","",IFERROR(INDEX('Saisie'!$W$5:$W$2004,_xlfn.MAXIFS('Saisie'!$AS$5:$AS$2004,'Saisie'!$C$5:$C$2004,C39,'Saisie'!$W$5:$W$2004,"&lt;&gt;")-4),""))</f>
        <v/>
      </c>
      <c r="L39" s="60">
        <f>IF(IF(BB39&lt;&gt;"",BB39,K39)="","",HYPERLINK("https://wa.me/"&amp;IF(LEFT(SUBSTITUTE(SUBSTITUTE(SUBSTITUTE(IF(BB39&lt;&gt;"",BB39,K39)," ",""),".",""),"+",""),1)="0",'Paramètres'!$B$35&amp;MID(SUBSTITUTE(SUBSTITUTE(SUBSTITUTE(IF(BB39&lt;&gt;"",BB39,K39)," ",""),".",""),"+",""),2,20),SUBSTITUTE(SUBSTITUTE(SUBSTITUTE(IF(BB39&lt;&gt;"",BB39,K39)," ",""),".",""),"+","")),"WhatsApp"))</f>
        <v/>
      </c>
      <c r="M39" s="60">
        <f>IF(BC39="","",HYPERLINK(IF(LEFT(BC39,4)="http",BC39,"https://www.instagram.com/"&amp;SUBSTITUTE(SUBSTITUTE(BC39,"@","")," ","")),BC39))</f>
        <v/>
      </c>
      <c r="N39" s="60">
        <f>IF(C39="","",IFERROR(INDEX('Saisie'!$D$5:$D$2004,_xlfn.MINIFS('Saisie'!$AS$5:$AS$2004,'Saisie'!$C$5:$C$2004,C39,'Saisie'!$AU$5:$AU$2004,1)-4),IFERROR(INDEX('Saisie'!$D$5:$D$2004,_xlfn.MINIFS('Saisie'!$AS$5:$AS$2004,'Saisie'!$C$5:$C$2004,C39,'Saisie'!$D$5:$D$2004,"&lt;&gt;")-4),"")))</f>
        <v/>
      </c>
      <c r="O39" s="60">
        <f>IF(C39="","",COUNTIFS('Saisie'!$C$5:$C$2004,C39,'Saisie'!$AU$5:$AU$2004,1))</f>
        <v/>
      </c>
      <c r="P39" s="60">
        <f>IF(C39="","",COUNTIFS('Saisie'!$C$5:$C$2004,C39,'Saisie'!$AV$5:$AV$2004,1))</f>
        <v/>
      </c>
      <c r="Q39" s="106">
        <f>IF(C39="","",IFERROR(1/(1/_xlfn.MAXIFS('Saisie'!$A$5:$A$2004,'Saisie'!$C$5:$C$2004,C39)),""))</f>
        <v/>
      </c>
      <c r="R39" s="61">
        <f>IF(C39="","",IF(Q39="","",TODAY()-Q39))</f>
        <v/>
      </c>
      <c r="S39" s="60">
        <f>IF(C39="","",IFERROR(INDEX('Saisie'!$R$5:$R$2004,_xlfn.MAXIFS('Saisie'!$AS$5:$AS$2004,'Saisie'!$C$5:$C$2004,C39,'Saisie'!$R$5:$R$2004,"&lt;&gt;")-4),""))</f>
        <v/>
      </c>
      <c r="T39" s="60">
        <f>IF(C39="","",IFERROR(INDEX('Saisie'!$S$5:$S$2004,_xlfn.MAXIFS('Saisie'!$AS$5:$AS$2004,'Saisie'!$C$5:$C$2004,C39,'Saisie'!$S$5:$S$2004,"&lt;&gt;")-4),""))</f>
        <v/>
      </c>
      <c r="U39" s="60">
        <f>IF(C39="","",IFERROR(INDEX('Saisie'!$T$5:$T$2004,_xlfn.MAXIFS('Saisie'!$AS$5:$AS$2004,'Saisie'!$C$5:$C$2004,C39,'Saisie'!$T$5:$T$2004,"&lt;&gt;")-4),""))</f>
        <v/>
      </c>
      <c r="V39" s="60">
        <f>IF(C39="","",IFERROR(INDEX('Saisie'!$V$5:$V$2004,_xlfn.MAXIFS('Saisie'!$AS$5:$AS$2004,'Saisie'!$C$5:$C$2004,C39,'Saisie'!$V$5:$V$2004,"&lt;&gt;")-4),""))</f>
        <v/>
      </c>
      <c r="W39" s="60">
        <f>IF(C39="","",IFERROR(INDEX('Saisie'!$Z$5:$Z$2004,_xlfn.MAXIFS('Saisie'!$AS$5:$AS$2004,'Saisie'!$C$5:$C$2004,C39,'Saisie'!$Z$5:$Z$2004,"&lt;&gt;")-4),""))</f>
        <v/>
      </c>
      <c r="X39" s="60">
        <f>IF(C39="","",IFERROR(INDEX('Saisie'!$AA$5:$AA$2004,_xlfn.MAXIFS('Saisie'!$AS$5:$AS$2004,'Saisie'!$C$5:$C$2004,C39,'Saisie'!$AA$5:$AA$2004,"&lt;&gt;")-4),""))</f>
        <v/>
      </c>
      <c r="Y39" s="60">
        <f>IF(C39="","",IFERROR(INDEX('Saisie'!$AB$5:$AB$2004,_xlfn.MAXIFS('Saisie'!$AS$5:$AS$2004,'Saisie'!$C$5:$C$2004,C39,'Saisie'!$AB$5:$AB$2004,"&lt;&gt;")-4),""))</f>
        <v/>
      </c>
      <c r="Z39" s="60">
        <f>IF(C39="","",IFERROR(INDEX('Saisie'!$AC$5:$AC$2004,_xlfn.MAXIFS('Saisie'!$AS$5:$AS$2004,'Saisie'!$C$5:$C$2004,C39,'Saisie'!$AC$5:$AC$2004,"&lt;&gt;")-4),""))</f>
        <v/>
      </c>
      <c r="AA39" s="106">
        <f>IF(C39="","",IFERROR(INDEX('Saisie'!$AD$5:$AD$2004,_xlfn.MAXIFS('Saisie'!$AS$5:$AS$2004,'Saisie'!$C$5:$C$2004,C39,'Saisie'!$AD$5:$AD$2004,"&lt;&gt;")-4),""))</f>
        <v/>
      </c>
      <c r="AB39" s="60">
        <f>IF(C39="","",IFERROR(INDEX('Saisie'!$AE$5:$AE$2004,_xlfn.MAXIFS('Saisie'!$AS$5:$AS$2004,'Saisie'!$C$5:$C$2004,C39,'Saisie'!$AE$5:$AE$2004,"&lt;&gt;")-4),""))</f>
        <v/>
      </c>
      <c r="AC39" s="60">
        <f>IF(C39="","",IFERROR(INDEX('Saisie'!$AF$5:$AF$2004,_xlfn.MAXIFS('Saisie'!$AS$5:$AS$2004,'Saisie'!$C$5:$C$2004,C39,'Saisie'!$AF$5:$AF$2004,"&lt;&gt;")-4),""))</f>
        <v/>
      </c>
      <c r="AD39" s="108">
        <f>IF(C39="","",IFERROR(INDEX('Saisie'!$AG$5:$AG$2004,_xlfn.MAXIFS('Saisie'!$AS$5:$AS$2004,'Saisie'!$C$5:$C$2004,C39,'Saisie'!$AG$5:$AG$2004,"&lt;&gt;")-4),""))</f>
        <v/>
      </c>
      <c r="AE39" s="60">
        <f>IF(C39="","",IFERROR(INDEX('Saisie'!$AH$5:$AH$2004,_xlfn.MAXIFS('Saisie'!$AS$5:$AS$2004,'Saisie'!$C$5:$C$2004,C39,'Saisie'!$AH$5:$AH$2004,"&lt;&gt;")-4),""))</f>
        <v/>
      </c>
      <c r="AF39" s="60">
        <f>IF(C39="","",IFERROR(INDEX('Saisie'!$AI$5:$AI$2004,_xlfn.MAXIFS('Saisie'!$AS$5:$AS$2004,'Saisie'!$C$5:$C$2004,C39,'Saisie'!$AI$5:$AI$2004,"&lt;&gt;")-4),""))</f>
        <v/>
      </c>
      <c r="AG39" s="60">
        <f>IF(C39="","",IFERROR(INDEX('Saisie'!$AJ$5:$AJ$2004,_xlfn.MAXIFS('Saisie'!$AS$5:$AS$2004,'Saisie'!$C$5:$C$2004,C39,'Saisie'!$AJ$5:$AJ$2004,"&lt;&gt;")-4),""))</f>
        <v/>
      </c>
      <c r="AH39" s="60">
        <f>IF(C39="","",IFERROR(INDEX('Saisie'!$AK$5:$AK$2004,_xlfn.MAXIFS('Saisie'!$AS$5:$AS$2004,'Saisie'!$C$5:$C$2004,C39,'Saisie'!$AK$5:$AK$2004,"&lt;&gt;")-4),""))</f>
        <v/>
      </c>
      <c r="AI39" s="60">
        <f>IF(C39="","",IFERROR(INDEX('Saisie'!$AN$5:$AN$2004,_xlfn.MAXIFS('Saisie'!$AS$5:$AS$2004,'Saisie'!$C$5:$C$2004,C39,'Saisie'!$AN$5:$AN$2004,"&lt;&gt;")-4),""))</f>
        <v/>
      </c>
      <c r="AJ39" s="60">
        <f>IF(C39="","",IFERROR(INDEX('Saisie'!$AO$5:$AO$2004,_xlfn.MAXIFS('Saisie'!$AS$5:$AS$2004,'Saisie'!$C$5:$C$2004,C39,'Saisie'!$AO$5:$AO$2004,"&lt;&gt;")-4),""))</f>
        <v/>
      </c>
      <c r="AK39" s="60">
        <f>IF(C39="","",IFERROR(INDEX('Saisie'!$AP$5:$AP$2004,_xlfn.MAXIFS('Saisie'!$AS$5:$AS$2004,'Saisie'!$C$5:$C$2004,C39,'Saisie'!$AP$5:$AP$2004,"&lt;&gt;")-4),""))</f>
        <v/>
      </c>
      <c r="AL39" s="60">
        <f>IF(C39="","",IFERROR(INDEX('Saisie'!$AQ$5:$AQ$2004,_xlfn.MAXIFS('Saisie'!$AS$5:$AS$2004,'Saisie'!$C$5:$C$2004,C39,'Saisie'!$AQ$5:$AQ$2004,"&lt;&gt;")-4),""))</f>
        <v/>
      </c>
      <c r="AM39" s="60">
        <f>IF(C39="","",((AI39="Oui")+(AJ39="Oui")+(AK39="Oui")+OR(AL39="Immédiat",AL39="&lt; 1 mois"))&amp;"/4")</f>
        <v/>
      </c>
      <c r="AN39" s="60">
        <f>IF(C39="","",IFERROR(INDEX('Saisie'!$AL$5:$AL$2004,_xlfn.MAXIFS('Saisie'!$AS$5:$AS$2004,'Saisie'!$C$5:$C$2004,C39,'Saisie'!$AL$5:$AL$2004,"&lt;&gt;")-4),""))</f>
        <v/>
      </c>
      <c r="AO39" s="62">
        <f>IF(C39="","",IF(IFERROR(INDEX('Saisie'!$AM$5:$AM$2004,_xlfn.MAXIFS('Saisie'!$AS$5:$AS$2004,'Saisie'!$C$5:$C$2004,C39,'Saisie'!$AM$5:$AM$2004,"&lt;&gt;")-4),"")&lt;&gt;"",IFERROR(INDEX('Saisie'!$AM$5:$AM$2004,_xlfn.MAXIFS('Saisie'!$AS$5:$AS$2004,'Saisie'!$C$5:$C$2004,C39,'Saisie'!$AM$5:$AM$2004,"&lt;&gt;")-4),""),IFERROR(INDEX('Paramètres'!$S$6:$S$15,MATCH(AN39,'Paramètres'!$Q$6:$Q$15,0)),"")))</f>
        <v/>
      </c>
      <c r="AP39" s="62">
        <f>IF(C39="","",IFERROR(INDEX('Saisie'!$AW$5:$AW$2004,_xlfn.MAXIFS('Saisie'!$AS$5:$AS$2004,'Saisie'!$C$5:$C$2004,C39,'Saisie'!$E$5:$E$2004,"Proposition envoyée")-4),""))</f>
        <v/>
      </c>
      <c r="AQ39" s="106">
        <f>IF(C39="","",IFERROR(1/(1/_xlfn.MAXIFS('Saisie'!$A$5:$A$2004,'Saisie'!$C$5:$C$2004,C39,'Saisie'!$E$5:$E$2004,"Proposition envoyée")),""))</f>
        <v/>
      </c>
      <c r="AR39" s="106">
        <f>IF(C39="","",IF(AQ39="","",AQ39+'Paramètres'!$B$26))</f>
        <v/>
      </c>
      <c r="AS39" s="62">
        <f>IF(OR(C39="",D39="Gagné",D39="Perdu"),0,N(AP39)*IFERROR(INDEX('Paramètres'!$G$6:$G$13,MATCH(D39,'Paramètres'!$F$6:$F$13,0)),0))</f>
        <v/>
      </c>
      <c r="AT39" s="106">
        <f>IF(C39="","",IFERROR(1/(1/_xlfn.MINIFS('Saisie'!$A$5:$A$2004,'Saisie'!$C$5:$C$2004,C39,'Saisie'!$E$5:$E$2004,"Signature")),""))</f>
        <v/>
      </c>
      <c r="AU39" s="60">
        <f>IF(C39="","",IF(OR(AT39="",B39=""),"",AT39-B39))</f>
        <v/>
      </c>
      <c r="AV39" s="60">
        <f>IF(C39="","",IFERROR(INDEX('Saisie'!$L$5:$L$2004,_xlfn.MAXIFS('Saisie'!$AS$5:$AS$2004,'Saisie'!$C$5:$C$2004,C39,'Saisie'!$L$5:$L$2004,"&lt;&gt;")-4),""))</f>
        <v/>
      </c>
      <c r="AW39" s="106">
        <f>IF(C39="","",IF(D39&lt;&gt;"Perdu","",IFERROR(1/(1/_xlfn.MAXIFS('Saisie'!$A$5:$A$2004,'Saisie'!$C$5:$C$2004,C39,'Saisie'!$E$5:$E$2004,"Perdu")),"")))</f>
        <v/>
      </c>
      <c r="AX39" s="106">
        <f>IF(C39="","",IF(AW39="","",AW39+'Paramètres'!$B$28))</f>
        <v/>
      </c>
      <c r="AY39" s="60">
        <f>IF(C39="","",SUMIFS('Saisie'!$H$5:$H$2004,'Saisie'!$C$5:$C$2004,C39))</f>
        <v/>
      </c>
      <c r="AZ39" s="60">
        <f>IF(C39="","",IFERROR(INDEX('Paramètres'!$W$6:$W$20,MATCH(S39,'Paramètres'!$V$6:$V$20,0))&amp;"",""))</f>
        <v/>
      </c>
      <c r="BA39" s="60">
        <f>IF(C39="","",MAX(1,_xlfn.MAXIFS('Saisie'!$AT$5:$AT$2004,'Saisie'!$C$5:$C$2004,C39)))</f>
        <v/>
      </c>
      <c r="BB39" s="60">
        <f>IF(C39="","",IFERROR(INDEX('Saisie'!$X$5:$X$2004,_xlfn.MAXIFS('Saisie'!$AS$5:$AS$2004,'Saisie'!$C$5:$C$2004,C39,'Saisie'!$X$5:$X$2004,"&lt;&gt;")-4),""))</f>
        <v/>
      </c>
      <c r="BC39" s="60">
        <f>IF(C39="","",IFERROR(INDEX('Saisie'!$Y$5:$Y$2004,_xlfn.MAXIFS('Saisie'!$AS$5:$AS$2004,'Saisie'!$C$5:$C$2004,C39,'Saisie'!$Y$5:$Y$2004,"&lt;&gt;")-4),""))</f>
        <v/>
      </c>
      <c r="BD39" s="106">
        <f>IF(C39="","",IFERROR(1/(1/_xlfn.MINIFS('Saisie'!$A$5:$A$2004,'Saisie'!$C$5:$C$2004,C39,'Saisie'!$AT$5:$AT$2004,"&gt;=2")),""))</f>
        <v/>
      </c>
      <c r="BE39" s="106">
        <f>IF(C39="","",IFERROR(1/(1/_xlfn.MINIFS('Saisie'!$A$5:$A$2004,'Saisie'!$C$5:$C$2004,C39,'Saisie'!$AT$5:$AT$2004,"&gt;=3")),""))</f>
        <v/>
      </c>
      <c r="BF39" s="106">
        <f>IF(C39="","",IFERROR(1/(1/_xlfn.MINIFS('Saisie'!$A$5:$A$2004,'Saisie'!$C$5:$C$2004,C39,'Saisie'!$AT$5:$AT$2004,"&gt;=4")),""))</f>
        <v/>
      </c>
      <c r="BG39" s="106">
        <f>IF(C39="","",IFERROR(1/(1/_xlfn.MINIFS('Saisie'!$A$5:$A$2004,'Saisie'!$C$5:$C$2004,C39,'Saisie'!$AT$5:$AT$2004,"&gt;=5")),""))</f>
        <v/>
      </c>
      <c r="BH39" s="106">
        <f>IF(C39="","",IFERROR(1/(1/_xlfn.MINIFS('Saisie'!$A$5:$A$2004,'Saisie'!$C$5:$C$2004,C39,'Saisie'!$AT$5:$AT$2004,"&gt;=6")),""))</f>
        <v/>
      </c>
      <c r="BI39" s="106">
        <f>IF(C39="","",IFERROR(1/(1/_xlfn.MINIFS('Saisie'!$A$5:$A$2004,'Saisie'!$C$5:$C$2004,C39,'Saisie'!$AT$5:$AT$2004,"&gt;=7")),""))</f>
        <v/>
      </c>
      <c r="BJ39" s="60">
        <f>IF(OR(BD39="",B39=""),"",BD39-B39)</f>
        <v/>
      </c>
      <c r="BK39" s="60">
        <f>IF(OR(BE39="",BD39=""),"",BE39-BD39)</f>
        <v/>
      </c>
      <c r="BL39" s="60">
        <f>IF(OR(BF39="",BE39=""),"",BF39-BE39)</f>
        <v/>
      </c>
      <c r="BM39" s="60">
        <f>IF(OR(BG39="",BF39=""),"",BG39-BF39)</f>
        <v/>
      </c>
      <c r="BN39" s="60">
        <f>IF(OR(BH39="",BG39=""),"",BH39-BG39)</f>
        <v/>
      </c>
      <c r="BO39" s="60">
        <f>IF(OR(BI39="",BH39=""),"",BI39-BH39)</f>
        <v/>
      </c>
      <c r="BP39" s="60">
        <f>IF(C39="","",_xlfn.MAXIFS('Saisie'!$AS$5:$AS$2004,'Saisie'!$C$5:$C$2004,C39,'Saisie'!$J$5:$J$2004,"&lt;&gt;"))</f>
        <v/>
      </c>
      <c r="BQ39" s="60">
        <f>IF(C39="","",_xlfn.MAXIFS('Saisie'!$AS$5:$AS$2004,'Saisie'!$C$5:$C$2004,C39))</f>
        <v/>
      </c>
      <c r="BR39" s="60">
        <f>IF(C39="","",_xlfn.MAXIFS('Saisie'!$AS$5:$AS$2004,'Saisie'!$C$5:$C$2004,C39,'Saisie'!$E$5:$E$2004,"Perdu"))</f>
        <v/>
      </c>
      <c r="BS39" s="60">
        <f>IF(C39="","",_xlfn.MAXIFS('Saisie'!$AS$5:$AS$2004,'Saisie'!$C$5:$C$2004,C39,'Saisie'!$AT$5:$AT$2004,"&gt;0"))</f>
        <v/>
      </c>
      <c r="BT39" s="109">
        <f>IF(AND(C39&lt;&gt;"",OR(D39="Nouveau",D39="Contacté",D39="Qualifié"),OR(G39="",N(G39)&lt;=TODAY()),NOT(AND(O39&gt;='Paramètres'!$B$21,P39=0))),E39+35/10000,"")</f>
        <v/>
      </c>
      <c r="BU39" s="60">
        <f>IF(AND(G39&lt;&gt;"",N(G39)&lt;=TODAY()),MAX($BU$4:BU38)+1,"")</f>
        <v/>
      </c>
      <c r="BV39" s="60">
        <f>IF(AND(F39&lt;&gt;"",F39&lt;&gt;"Relance en retard"),MAX($BV$4:BV38)+1,"")</f>
        <v/>
      </c>
      <c r="BW39" s="60">
        <f>IF(C39="","",IF(AND(B39&gt;='Tableau de bord'!$R$4,B39&lt;='Tableau de bord'!$S$4,OR('Tableau de bord'!$G$4="Tous",N39='Tableau de bord'!$G$4)),1,0))</f>
        <v/>
      </c>
      <c r="BX39" s="60">
        <f>IF(AND(C39&lt;&gt;"",N(BA39)=7),MAX($BX$4:BX38)+1,"")</f>
        <v/>
      </c>
    </row>
    <row r="40">
      <c r="A40" s="60">
        <f>IF(C40="","","P-"&amp;TEXT(36,"000"))</f>
        <v/>
      </c>
      <c r="B40" s="106">
        <f>IF(C40="","",IFERROR(1/(1/_xlfn.MINIFS('Saisie'!$A$5:$A$2004,'Saisie'!$C$5:$C$2004,C40)),""))</f>
        <v/>
      </c>
      <c r="C40" s="60">
        <f>IFERROR(INDEX('Saisie'!$C$5:$C$2004,MATCH(36,'Saisie'!$AX$5:$AX$2004,0)),"")</f>
        <v/>
      </c>
      <c r="D40" s="60">
        <f>IF(C40="","",IF(AND(BR40&gt;0,BR40&gt;BS40,BA40&lt;7),"Perdu",INDEX('Paramètres'!$F$6:$F$13,BA40)))</f>
        <v/>
      </c>
      <c r="E40" s="61">
        <f>IF(C40="","",MIN(100,(Z40="Oui")*'Paramètres'!$B$38+(AB40="Régulière")*'Paramètres'!$B$39+IF(AND(N(AA40)&gt;0,TODAY()-N(AA40)&lt;=30),'Paramètres'!$B$40,0)+(W40="")*'Paramètres'!$B$41+(AC40="Absente")*'Paramètres'!$B$42+(AC40="Faible")*'Paramètres'!$B$43+IF(AND(N(AD40)&gt;0,N(AD40)&lt;4),'Paramètres'!$B$44,0)+(AF40="Moyenne")*'Paramètres'!$B$45+(AF40="Grande")*'Paramètres'!$B$46+(Y40&lt;&gt;"")*'Paramètres'!$B$47))</f>
        <v/>
      </c>
      <c r="F40" s="60">
        <f>IF(C40="","",IF(D40="Gagné","",IF(D40="Perdu",IF(AND(AX40&lt;&gt;"",AX40&lt;=TODAY()),"À recontacter (perdu)",""),IF(AND(O40&gt;='Paramètres'!$B$21,P40=0),"Stop : "&amp;'Paramètres'!$B$21&amp;" tentatives sans réponse",IF(AND(D40="Proposition",AR40&lt;&gt;"",TODAY()&gt;N(AR40)),"Proposition expirée",IF(AND(D40="Proposition",N(R40)&gt;='Paramètres'!$B$25),"Proposition sans réponse",IF(AND(G40&lt;&gt;"",N(G40)&lt;TODAY()),"Relance en retard",IF(N(R40)&gt;='Paramètres'!$B$24,"Sans action depuis "&amp;R40&amp;" j",""))))))))</f>
        <v/>
      </c>
      <c r="G40" s="106">
        <f>IF(OR(C40="",D40="Gagné",D40="Perdu"),"",IF(AND(BP40&gt;0,BP40=BQ40),INDEX('Saisie'!$J$5:$J$2004,BP40-4),IF(OR(O40=0,AND(O40&gt;='Paramètres'!$B$21,P40=0)),"",Q40+IF(O40&lt;=1,'Paramètres'!$B$18,IF(O40=2,'Paramètres'!$B$19,'Paramètres'!$B$20)))))</f>
        <v/>
      </c>
      <c r="H40" s="107">
        <f>IF(OR(G40="",BP40&lt;&gt;BQ40),"",IF(INDEX('Saisie'!$K$5:$K$2004,BP40-4)="","",INDEX('Saisie'!$K$5:$K$2004,BP40-4)))</f>
        <v/>
      </c>
      <c r="I40" s="60">
        <f>IF(C40="","",IF(OR(D40="Gagné",D40="Perdu"),"",IFERROR(INDEX('Saisie'!$I$5:$I$2004,_xlfn.MAXIFS('Saisie'!$AS$5:$AS$2004,'Saisie'!$C$5:$C$2004,C40,'Saisie'!$I$5:$I$2004,"&lt;&gt;")-4),"")))</f>
        <v/>
      </c>
      <c r="J40" s="60">
        <f>IF(C40="","",IFERROR(INDEX('Saisie'!$U$5:$U$2004,_xlfn.MAXIFS('Saisie'!$AS$5:$AS$2004,'Saisie'!$C$5:$C$2004,C40,'Saisie'!$U$5:$U$2004,"&lt;&gt;")-4),""))</f>
        <v/>
      </c>
      <c r="K40" s="60">
        <f>IF(C40="","",IFERROR(INDEX('Saisie'!$W$5:$W$2004,_xlfn.MAXIFS('Saisie'!$AS$5:$AS$2004,'Saisie'!$C$5:$C$2004,C40,'Saisie'!$W$5:$W$2004,"&lt;&gt;")-4),""))</f>
        <v/>
      </c>
      <c r="L40" s="60">
        <f>IF(IF(BB40&lt;&gt;"",BB40,K40)="","",HYPERLINK("https://wa.me/"&amp;IF(LEFT(SUBSTITUTE(SUBSTITUTE(SUBSTITUTE(IF(BB40&lt;&gt;"",BB40,K40)," ",""),".",""),"+",""),1)="0",'Paramètres'!$B$35&amp;MID(SUBSTITUTE(SUBSTITUTE(SUBSTITUTE(IF(BB40&lt;&gt;"",BB40,K40)," ",""),".",""),"+",""),2,20),SUBSTITUTE(SUBSTITUTE(SUBSTITUTE(IF(BB40&lt;&gt;"",BB40,K40)," ",""),".",""),"+","")),"WhatsApp"))</f>
        <v/>
      </c>
      <c r="M40" s="60">
        <f>IF(BC40="","",HYPERLINK(IF(LEFT(BC40,4)="http",BC40,"https://www.instagram.com/"&amp;SUBSTITUTE(SUBSTITUTE(BC40,"@","")," ","")),BC40))</f>
        <v/>
      </c>
      <c r="N40" s="60">
        <f>IF(C40="","",IFERROR(INDEX('Saisie'!$D$5:$D$2004,_xlfn.MINIFS('Saisie'!$AS$5:$AS$2004,'Saisie'!$C$5:$C$2004,C40,'Saisie'!$AU$5:$AU$2004,1)-4),IFERROR(INDEX('Saisie'!$D$5:$D$2004,_xlfn.MINIFS('Saisie'!$AS$5:$AS$2004,'Saisie'!$C$5:$C$2004,C40,'Saisie'!$D$5:$D$2004,"&lt;&gt;")-4),"")))</f>
        <v/>
      </c>
      <c r="O40" s="60">
        <f>IF(C40="","",COUNTIFS('Saisie'!$C$5:$C$2004,C40,'Saisie'!$AU$5:$AU$2004,1))</f>
        <v/>
      </c>
      <c r="P40" s="60">
        <f>IF(C40="","",COUNTIFS('Saisie'!$C$5:$C$2004,C40,'Saisie'!$AV$5:$AV$2004,1))</f>
        <v/>
      </c>
      <c r="Q40" s="106">
        <f>IF(C40="","",IFERROR(1/(1/_xlfn.MAXIFS('Saisie'!$A$5:$A$2004,'Saisie'!$C$5:$C$2004,C40)),""))</f>
        <v/>
      </c>
      <c r="R40" s="61">
        <f>IF(C40="","",IF(Q40="","",TODAY()-Q40))</f>
        <v/>
      </c>
      <c r="S40" s="60">
        <f>IF(C40="","",IFERROR(INDEX('Saisie'!$R$5:$R$2004,_xlfn.MAXIFS('Saisie'!$AS$5:$AS$2004,'Saisie'!$C$5:$C$2004,C40,'Saisie'!$R$5:$R$2004,"&lt;&gt;")-4),""))</f>
        <v/>
      </c>
      <c r="T40" s="60">
        <f>IF(C40="","",IFERROR(INDEX('Saisie'!$S$5:$S$2004,_xlfn.MAXIFS('Saisie'!$AS$5:$AS$2004,'Saisie'!$C$5:$C$2004,C40,'Saisie'!$S$5:$S$2004,"&lt;&gt;")-4),""))</f>
        <v/>
      </c>
      <c r="U40" s="60">
        <f>IF(C40="","",IFERROR(INDEX('Saisie'!$T$5:$T$2004,_xlfn.MAXIFS('Saisie'!$AS$5:$AS$2004,'Saisie'!$C$5:$C$2004,C40,'Saisie'!$T$5:$T$2004,"&lt;&gt;")-4),""))</f>
        <v/>
      </c>
      <c r="V40" s="60">
        <f>IF(C40="","",IFERROR(INDEX('Saisie'!$V$5:$V$2004,_xlfn.MAXIFS('Saisie'!$AS$5:$AS$2004,'Saisie'!$C$5:$C$2004,C40,'Saisie'!$V$5:$V$2004,"&lt;&gt;")-4),""))</f>
        <v/>
      </c>
      <c r="W40" s="60">
        <f>IF(C40="","",IFERROR(INDEX('Saisie'!$Z$5:$Z$2004,_xlfn.MAXIFS('Saisie'!$AS$5:$AS$2004,'Saisie'!$C$5:$C$2004,C40,'Saisie'!$Z$5:$Z$2004,"&lt;&gt;")-4),""))</f>
        <v/>
      </c>
      <c r="X40" s="60">
        <f>IF(C40="","",IFERROR(INDEX('Saisie'!$AA$5:$AA$2004,_xlfn.MAXIFS('Saisie'!$AS$5:$AS$2004,'Saisie'!$C$5:$C$2004,C40,'Saisie'!$AA$5:$AA$2004,"&lt;&gt;")-4),""))</f>
        <v/>
      </c>
      <c r="Y40" s="60">
        <f>IF(C40="","",IFERROR(INDEX('Saisie'!$AB$5:$AB$2004,_xlfn.MAXIFS('Saisie'!$AS$5:$AS$2004,'Saisie'!$C$5:$C$2004,C40,'Saisie'!$AB$5:$AB$2004,"&lt;&gt;")-4),""))</f>
        <v/>
      </c>
      <c r="Z40" s="60">
        <f>IF(C40="","",IFERROR(INDEX('Saisie'!$AC$5:$AC$2004,_xlfn.MAXIFS('Saisie'!$AS$5:$AS$2004,'Saisie'!$C$5:$C$2004,C40,'Saisie'!$AC$5:$AC$2004,"&lt;&gt;")-4),""))</f>
        <v/>
      </c>
      <c r="AA40" s="106">
        <f>IF(C40="","",IFERROR(INDEX('Saisie'!$AD$5:$AD$2004,_xlfn.MAXIFS('Saisie'!$AS$5:$AS$2004,'Saisie'!$C$5:$C$2004,C40,'Saisie'!$AD$5:$AD$2004,"&lt;&gt;")-4),""))</f>
        <v/>
      </c>
      <c r="AB40" s="60">
        <f>IF(C40="","",IFERROR(INDEX('Saisie'!$AE$5:$AE$2004,_xlfn.MAXIFS('Saisie'!$AS$5:$AS$2004,'Saisie'!$C$5:$C$2004,C40,'Saisie'!$AE$5:$AE$2004,"&lt;&gt;")-4),""))</f>
        <v/>
      </c>
      <c r="AC40" s="60">
        <f>IF(C40="","",IFERROR(INDEX('Saisie'!$AF$5:$AF$2004,_xlfn.MAXIFS('Saisie'!$AS$5:$AS$2004,'Saisie'!$C$5:$C$2004,C40,'Saisie'!$AF$5:$AF$2004,"&lt;&gt;")-4),""))</f>
        <v/>
      </c>
      <c r="AD40" s="108">
        <f>IF(C40="","",IFERROR(INDEX('Saisie'!$AG$5:$AG$2004,_xlfn.MAXIFS('Saisie'!$AS$5:$AS$2004,'Saisie'!$C$5:$C$2004,C40,'Saisie'!$AG$5:$AG$2004,"&lt;&gt;")-4),""))</f>
        <v/>
      </c>
      <c r="AE40" s="60">
        <f>IF(C40="","",IFERROR(INDEX('Saisie'!$AH$5:$AH$2004,_xlfn.MAXIFS('Saisie'!$AS$5:$AS$2004,'Saisie'!$C$5:$C$2004,C40,'Saisie'!$AH$5:$AH$2004,"&lt;&gt;")-4),""))</f>
        <v/>
      </c>
      <c r="AF40" s="60">
        <f>IF(C40="","",IFERROR(INDEX('Saisie'!$AI$5:$AI$2004,_xlfn.MAXIFS('Saisie'!$AS$5:$AS$2004,'Saisie'!$C$5:$C$2004,C40,'Saisie'!$AI$5:$AI$2004,"&lt;&gt;")-4),""))</f>
        <v/>
      </c>
      <c r="AG40" s="60">
        <f>IF(C40="","",IFERROR(INDEX('Saisie'!$AJ$5:$AJ$2004,_xlfn.MAXIFS('Saisie'!$AS$5:$AS$2004,'Saisie'!$C$5:$C$2004,C40,'Saisie'!$AJ$5:$AJ$2004,"&lt;&gt;")-4),""))</f>
        <v/>
      </c>
      <c r="AH40" s="60">
        <f>IF(C40="","",IFERROR(INDEX('Saisie'!$AK$5:$AK$2004,_xlfn.MAXIFS('Saisie'!$AS$5:$AS$2004,'Saisie'!$C$5:$C$2004,C40,'Saisie'!$AK$5:$AK$2004,"&lt;&gt;")-4),""))</f>
        <v/>
      </c>
      <c r="AI40" s="60">
        <f>IF(C40="","",IFERROR(INDEX('Saisie'!$AN$5:$AN$2004,_xlfn.MAXIFS('Saisie'!$AS$5:$AS$2004,'Saisie'!$C$5:$C$2004,C40,'Saisie'!$AN$5:$AN$2004,"&lt;&gt;")-4),""))</f>
        <v/>
      </c>
      <c r="AJ40" s="60">
        <f>IF(C40="","",IFERROR(INDEX('Saisie'!$AO$5:$AO$2004,_xlfn.MAXIFS('Saisie'!$AS$5:$AS$2004,'Saisie'!$C$5:$C$2004,C40,'Saisie'!$AO$5:$AO$2004,"&lt;&gt;")-4),""))</f>
        <v/>
      </c>
      <c r="AK40" s="60">
        <f>IF(C40="","",IFERROR(INDEX('Saisie'!$AP$5:$AP$2004,_xlfn.MAXIFS('Saisie'!$AS$5:$AS$2004,'Saisie'!$C$5:$C$2004,C40,'Saisie'!$AP$5:$AP$2004,"&lt;&gt;")-4),""))</f>
        <v/>
      </c>
      <c r="AL40" s="60">
        <f>IF(C40="","",IFERROR(INDEX('Saisie'!$AQ$5:$AQ$2004,_xlfn.MAXIFS('Saisie'!$AS$5:$AS$2004,'Saisie'!$C$5:$C$2004,C40,'Saisie'!$AQ$5:$AQ$2004,"&lt;&gt;")-4),""))</f>
        <v/>
      </c>
      <c r="AM40" s="60">
        <f>IF(C40="","",((AI40="Oui")+(AJ40="Oui")+(AK40="Oui")+OR(AL40="Immédiat",AL40="&lt; 1 mois"))&amp;"/4")</f>
        <v/>
      </c>
      <c r="AN40" s="60">
        <f>IF(C40="","",IFERROR(INDEX('Saisie'!$AL$5:$AL$2004,_xlfn.MAXIFS('Saisie'!$AS$5:$AS$2004,'Saisie'!$C$5:$C$2004,C40,'Saisie'!$AL$5:$AL$2004,"&lt;&gt;")-4),""))</f>
        <v/>
      </c>
      <c r="AO40" s="62">
        <f>IF(C40="","",IF(IFERROR(INDEX('Saisie'!$AM$5:$AM$2004,_xlfn.MAXIFS('Saisie'!$AS$5:$AS$2004,'Saisie'!$C$5:$C$2004,C40,'Saisie'!$AM$5:$AM$2004,"&lt;&gt;")-4),"")&lt;&gt;"",IFERROR(INDEX('Saisie'!$AM$5:$AM$2004,_xlfn.MAXIFS('Saisie'!$AS$5:$AS$2004,'Saisie'!$C$5:$C$2004,C40,'Saisie'!$AM$5:$AM$2004,"&lt;&gt;")-4),""),IFERROR(INDEX('Paramètres'!$S$6:$S$15,MATCH(AN40,'Paramètres'!$Q$6:$Q$15,0)),"")))</f>
        <v/>
      </c>
      <c r="AP40" s="62">
        <f>IF(C40="","",IFERROR(INDEX('Saisie'!$AW$5:$AW$2004,_xlfn.MAXIFS('Saisie'!$AS$5:$AS$2004,'Saisie'!$C$5:$C$2004,C40,'Saisie'!$E$5:$E$2004,"Proposition envoyée")-4),""))</f>
        <v/>
      </c>
      <c r="AQ40" s="106">
        <f>IF(C40="","",IFERROR(1/(1/_xlfn.MAXIFS('Saisie'!$A$5:$A$2004,'Saisie'!$C$5:$C$2004,C40,'Saisie'!$E$5:$E$2004,"Proposition envoyée")),""))</f>
        <v/>
      </c>
      <c r="AR40" s="106">
        <f>IF(C40="","",IF(AQ40="","",AQ40+'Paramètres'!$B$26))</f>
        <v/>
      </c>
      <c r="AS40" s="62">
        <f>IF(OR(C40="",D40="Gagné",D40="Perdu"),0,N(AP40)*IFERROR(INDEX('Paramètres'!$G$6:$G$13,MATCH(D40,'Paramètres'!$F$6:$F$13,0)),0))</f>
        <v/>
      </c>
      <c r="AT40" s="106">
        <f>IF(C40="","",IFERROR(1/(1/_xlfn.MINIFS('Saisie'!$A$5:$A$2004,'Saisie'!$C$5:$C$2004,C40,'Saisie'!$E$5:$E$2004,"Signature")),""))</f>
        <v/>
      </c>
      <c r="AU40" s="60">
        <f>IF(C40="","",IF(OR(AT40="",B40=""),"",AT40-B40))</f>
        <v/>
      </c>
      <c r="AV40" s="60">
        <f>IF(C40="","",IFERROR(INDEX('Saisie'!$L$5:$L$2004,_xlfn.MAXIFS('Saisie'!$AS$5:$AS$2004,'Saisie'!$C$5:$C$2004,C40,'Saisie'!$L$5:$L$2004,"&lt;&gt;")-4),""))</f>
        <v/>
      </c>
      <c r="AW40" s="106">
        <f>IF(C40="","",IF(D40&lt;&gt;"Perdu","",IFERROR(1/(1/_xlfn.MAXIFS('Saisie'!$A$5:$A$2004,'Saisie'!$C$5:$C$2004,C40,'Saisie'!$E$5:$E$2004,"Perdu")),"")))</f>
        <v/>
      </c>
      <c r="AX40" s="106">
        <f>IF(C40="","",IF(AW40="","",AW40+'Paramètres'!$B$28))</f>
        <v/>
      </c>
      <c r="AY40" s="60">
        <f>IF(C40="","",SUMIFS('Saisie'!$H$5:$H$2004,'Saisie'!$C$5:$C$2004,C40))</f>
        <v/>
      </c>
      <c r="AZ40" s="60">
        <f>IF(C40="","",IFERROR(INDEX('Paramètres'!$W$6:$W$20,MATCH(S40,'Paramètres'!$V$6:$V$20,0))&amp;"",""))</f>
        <v/>
      </c>
      <c r="BA40" s="60">
        <f>IF(C40="","",MAX(1,_xlfn.MAXIFS('Saisie'!$AT$5:$AT$2004,'Saisie'!$C$5:$C$2004,C40)))</f>
        <v/>
      </c>
      <c r="BB40" s="60">
        <f>IF(C40="","",IFERROR(INDEX('Saisie'!$X$5:$X$2004,_xlfn.MAXIFS('Saisie'!$AS$5:$AS$2004,'Saisie'!$C$5:$C$2004,C40,'Saisie'!$X$5:$X$2004,"&lt;&gt;")-4),""))</f>
        <v/>
      </c>
      <c r="BC40" s="60">
        <f>IF(C40="","",IFERROR(INDEX('Saisie'!$Y$5:$Y$2004,_xlfn.MAXIFS('Saisie'!$AS$5:$AS$2004,'Saisie'!$C$5:$C$2004,C40,'Saisie'!$Y$5:$Y$2004,"&lt;&gt;")-4),""))</f>
        <v/>
      </c>
      <c r="BD40" s="106">
        <f>IF(C40="","",IFERROR(1/(1/_xlfn.MINIFS('Saisie'!$A$5:$A$2004,'Saisie'!$C$5:$C$2004,C40,'Saisie'!$AT$5:$AT$2004,"&gt;=2")),""))</f>
        <v/>
      </c>
      <c r="BE40" s="106">
        <f>IF(C40="","",IFERROR(1/(1/_xlfn.MINIFS('Saisie'!$A$5:$A$2004,'Saisie'!$C$5:$C$2004,C40,'Saisie'!$AT$5:$AT$2004,"&gt;=3")),""))</f>
        <v/>
      </c>
      <c r="BF40" s="106">
        <f>IF(C40="","",IFERROR(1/(1/_xlfn.MINIFS('Saisie'!$A$5:$A$2004,'Saisie'!$C$5:$C$2004,C40,'Saisie'!$AT$5:$AT$2004,"&gt;=4")),""))</f>
        <v/>
      </c>
      <c r="BG40" s="106">
        <f>IF(C40="","",IFERROR(1/(1/_xlfn.MINIFS('Saisie'!$A$5:$A$2004,'Saisie'!$C$5:$C$2004,C40,'Saisie'!$AT$5:$AT$2004,"&gt;=5")),""))</f>
        <v/>
      </c>
      <c r="BH40" s="106">
        <f>IF(C40="","",IFERROR(1/(1/_xlfn.MINIFS('Saisie'!$A$5:$A$2004,'Saisie'!$C$5:$C$2004,C40,'Saisie'!$AT$5:$AT$2004,"&gt;=6")),""))</f>
        <v/>
      </c>
      <c r="BI40" s="106">
        <f>IF(C40="","",IFERROR(1/(1/_xlfn.MINIFS('Saisie'!$A$5:$A$2004,'Saisie'!$C$5:$C$2004,C40,'Saisie'!$AT$5:$AT$2004,"&gt;=7")),""))</f>
        <v/>
      </c>
      <c r="BJ40" s="60">
        <f>IF(OR(BD40="",B40=""),"",BD40-B40)</f>
        <v/>
      </c>
      <c r="BK40" s="60">
        <f>IF(OR(BE40="",BD40=""),"",BE40-BD40)</f>
        <v/>
      </c>
      <c r="BL40" s="60">
        <f>IF(OR(BF40="",BE40=""),"",BF40-BE40)</f>
        <v/>
      </c>
      <c r="BM40" s="60">
        <f>IF(OR(BG40="",BF40=""),"",BG40-BF40)</f>
        <v/>
      </c>
      <c r="BN40" s="60">
        <f>IF(OR(BH40="",BG40=""),"",BH40-BG40)</f>
        <v/>
      </c>
      <c r="BO40" s="60">
        <f>IF(OR(BI40="",BH40=""),"",BI40-BH40)</f>
        <v/>
      </c>
      <c r="BP40" s="60">
        <f>IF(C40="","",_xlfn.MAXIFS('Saisie'!$AS$5:$AS$2004,'Saisie'!$C$5:$C$2004,C40,'Saisie'!$J$5:$J$2004,"&lt;&gt;"))</f>
        <v/>
      </c>
      <c r="BQ40" s="60">
        <f>IF(C40="","",_xlfn.MAXIFS('Saisie'!$AS$5:$AS$2004,'Saisie'!$C$5:$C$2004,C40))</f>
        <v/>
      </c>
      <c r="BR40" s="60">
        <f>IF(C40="","",_xlfn.MAXIFS('Saisie'!$AS$5:$AS$2004,'Saisie'!$C$5:$C$2004,C40,'Saisie'!$E$5:$E$2004,"Perdu"))</f>
        <v/>
      </c>
      <c r="BS40" s="60">
        <f>IF(C40="","",_xlfn.MAXIFS('Saisie'!$AS$5:$AS$2004,'Saisie'!$C$5:$C$2004,C40,'Saisie'!$AT$5:$AT$2004,"&gt;0"))</f>
        <v/>
      </c>
      <c r="BT40" s="109">
        <f>IF(AND(C40&lt;&gt;"",OR(D40="Nouveau",D40="Contacté",D40="Qualifié"),OR(G40="",N(G40)&lt;=TODAY()),NOT(AND(O40&gt;='Paramètres'!$B$21,P40=0))),E40+36/10000,"")</f>
        <v/>
      </c>
      <c r="BU40" s="60">
        <f>IF(AND(G40&lt;&gt;"",N(G40)&lt;=TODAY()),MAX($BU$4:BU39)+1,"")</f>
        <v/>
      </c>
      <c r="BV40" s="60">
        <f>IF(AND(F40&lt;&gt;"",F40&lt;&gt;"Relance en retard"),MAX($BV$4:BV39)+1,"")</f>
        <v/>
      </c>
      <c r="BW40" s="60">
        <f>IF(C40="","",IF(AND(B40&gt;='Tableau de bord'!$R$4,B40&lt;='Tableau de bord'!$S$4,OR('Tableau de bord'!$G$4="Tous",N40='Tableau de bord'!$G$4)),1,0))</f>
        <v/>
      </c>
      <c r="BX40" s="60">
        <f>IF(AND(C40&lt;&gt;"",N(BA40)=7),MAX($BX$4:BX39)+1,"")</f>
        <v/>
      </c>
    </row>
    <row r="41">
      <c r="A41" s="60">
        <f>IF(C41="","","P-"&amp;TEXT(37,"000"))</f>
        <v/>
      </c>
      <c r="B41" s="106">
        <f>IF(C41="","",IFERROR(1/(1/_xlfn.MINIFS('Saisie'!$A$5:$A$2004,'Saisie'!$C$5:$C$2004,C41)),""))</f>
        <v/>
      </c>
      <c r="C41" s="60">
        <f>IFERROR(INDEX('Saisie'!$C$5:$C$2004,MATCH(37,'Saisie'!$AX$5:$AX$2004,0)),"")</f>
        <v/>
      </c>
      <c r="D41" s="60">
        <f>IF(C41="","",IF(AND(BR41&gt;0,BR41&gt;BS41,BA41&lt;7),"Perdu",INDEX('Paramètres'!$F$6:$F$13,BA41)))</f>
        <v/>
      </c>
      <c r="E41" s="61">
        <f>IF(C41="","",MIN(100,(Z41="Oui")*'Paramètres'!$B$38+(AB41="Régulière")*'Paramètres'!$B$39+IF(AND(N(AA41)&gt;0,TODAY()-N(AA41)&lt;=30),'Paramètres'!$B$40,0)+(W41="")*'Paramètres'!$B$41+(AC41="Absente")*'Paramètres'!$B$42+(AC41="Faible")*'Paramètres'!$B$43+IF(AND(N(AD41)&gt;0,N(AD41)&lt;4),'Paramètres'!$B$44,0)+(AF41="Moyenne")*'Paramètres'!$B$45+(AF41="Grande")*'Paramètres'!$B$46+(Y41&lt;&gt;"")*'Paramètres'!$B$47))</f>
        <v/>
      </c>
      <c r="F41" s="60">
        <f>IF(C41="","",IF(D41="Gagné","",IF(D41="Perdu",IF(AND(AX41&lt;&gt;"",AX41&lt;=TODAY()),"À recontacter (perdu)",""),IF(AND(O41&gt;='Paramètres'!$B$21,P41=0),"Stop : "&amp;'Paramètres'!$B$21&amp;" tentatives sans réponse",IF(AND(D41="Proposition",AR41&lt;&gt;"",TODAY()&gt;N(AR41)),"Proposition expirée",IF(AND(D41="Proposition",N(R41)&gt;='Paramètres'!$B$25),"Proposition sans réponse",IF(AND(G41&lt;&gt;"",N(G41)&lt;TODAY()),"Relance en retard",IF(N(R41)&gt;='Paramètres'!$B$24,"Sans action depuis "&amp;R41&amp;" j",""))))))))</f>
        <v/>
      </c>
      <c r="G41" s="106">
        <f>IF(OR(C41="",D41="Gagné",D41="Perdu"),"",IF(AND(BP41&gt;0,BP41=BQ41),INDEX('Saisie'!$J$5:$J$2004,BP41-4),IF(OR(O41=0,AND(O41&gt;='Paramètres'!$B$21,P41=0)),"",Q41+IF(O41&lt;=1,'Paramètres'!$B$18,IF(O41=2,'Paramètres'!$B$19,'Paramètres'!$B$20)))))</f>
        <v/>
      </c>
      <c r="H41" s="107">
        <f>IF(OR(G41="",BP41&lt;&gt;BQ41),"",IF(INDEX('Saisie'!$K$5:$K$2004,BP41-4)="","",INDEX('Saisie'!$K$5:$K$2004,BP41-4)))</f>
        <v/>
      </c>
      <c r="I41" s="60">
        <f>IF(C41="","",IF(OR(D41="Gagné",D41="Perdu"),"",IFERROR(INDEX('Saisie'!$I$5:$I$2004,_xlfn.MAXIFS('Saisie'!$AS$5:$AS$2004,'Saisie'!$C$5:$C$2004,C41,'Saisie'!$I$5:$I$2004,"&lt;&gt;")-4),"")))</f>
        <v/>
      </c>
      <c r="J41" s="60">
        <f>IF(C41="","",IFERROR(INDEX('Saisie'!$U$5:$U$2004,_xlfn.MAXIFS('Saisie'!$AS$5:$AS$2004,'Saisie'!$C$5:$C$2004,C41,'Saisie'!$U$5:$U$2004,"&lt;&gt;")-4),""))</f>
        <v/>
      </c>
      <c r="K41" s="60">
        <f>IF(C41="","",IFERROR(INDEX('Saisie'!$W$5:$W$2004,_xlfn.MAXIFS('Saisie'!$AS$5:$AS$2004,'Saisie'!$C$5:$C$2004,C41,'Saisie'!$W$5:$W$2004,"&lt;&gt;")-4),""))</f>
        <v/>
      </c>
      <c r="L41" s="60">
        <f>IF(IF(BB41&lt;&gt;"",BB41,K41)="","",HYPERLINK("https://wa.me/"&amp;IF(LEFT(SUBSTITUTE(SUBSTITUTE(SUBSTITUTE(IF(BB41&lt;&gt;"",BB41,K41)," ",""),".",""),"+",""),1)="0",'Paramètres'!$B$35&amp;MID(SUBSTITUTE(SUBSTITUTE(SUBSTITUTE(IF(BB41&lt;&gt;"",BB41,K41)," ",""),".",""),"+",""),2,20),SUBSTITUTE(SUBSTITUTE(SUBSTITUTE(IF(BB41&lt;&gt;"",BB41,K41)," ",""),".",""),"+","")),"WhatsApp"))</f>
        <v/>
      </c>
      <c r="M41" s="60">
        <f>IF(BC41="","",HYPERLINK(IF(LEFT(BC41,4)="http",BC41,"https://www.instagram.com/"&amp;SUBSTITUTE(SUBSTITUTE(BC41,"@","")," ","")),BC41))</f>
        <v/>
      </c>
      <c r="N41" s="60">
        <f>IF(C41="","",IFERROR(INDEX('Saisie'!$D$5:$D$2004,_xlfn.MINIFS('Saisie'!$AS$5:$AS$2004,'Saisie'!$C$5:$C$2004,C41,'Saisie'!$AU$5:$AU$2004,1)-4),IFERROR(INDEX('Saisie'!$D$5:$D$2004,_xlfn.MINIFS('Saisie'!$AS$5:$AS$2004,'Saisie'!$C$5:$C$2004,C41,'Saisie'!$D$5:$D$2004,"&lt;&gt;")-4),"")))</f>
        <v/>
      </c>
      <c r="O41" s="60">
        <f>IF(C41="","",COUNTIFS('Saisie'!$C$5:$C$2004,C41,'Saisie'!$AU$5:$AU$2004,1))</f>
        <v/>
      </c>
      <c r="P41" s="60">
        <f>IF(C41="","",COUNTIFS('Saisie'!$C$5:$C$2004,C41,'Saisie'!$AV$5:$AV$2004,1))</f>
        <v/>
      </c>
      <c r="Q41" s="106">
        <f>IF(C41="","",IFERROR(1/(1/_xlfn.MAXIFS('Saisie'!$A$5:$A$2004,'Saisie'!$C$5:$C$2004,C41)),""))</f>
        <v/>
      </c>
      <c r="R41" s="61">
        <f>IF(C41="","",IF(Q41="","",TODAY()-Q41))</f>
        <v/>
      </c>
      <c r="S41" s="60">
        <f>IF(C41="","",IFERROR(INDEX('Saisie'!$R$5:$R$2004,_xlfn.MAXIFS('Saisie'!$AS$5:$AS$2004,'Saisie'!$C$5:$C$2004,C41,'Saisie'!$R$5:$R$2004,"&lt;&gt;")-4),""))</f>
        <v/>
      </c>
      <c r="T41" s="60">
        <f>IF(C41="","",IFERROR(INDEX('Saisie'!$S$5:$S$2004,_xlfn.MAXIFS('Saisie'!$AS$5:$AS$2004,'Saisie'!$C$5:$C$2004,C41,'Saisie'!$S$5:$S$2004,"&lt;&gt;")-4),""))</f>
        <v/>
      </c>
      <c r="U41" s="60">
        <f>IF(C41="","",IFERROR(INDEX('Saisie'!$T$5:$T$2004,_xlfn.MAXIFS('Saisie'!$AS$5:$AS$2004,'Saisie'!$C$5:$C$2004,C41,'Saisie'!$T$5:$T$2004,"&lt;&gt;")-4),""))</f>
        <v/>
      </c>
      <c r="V41" s="60">
        <f>IF(C41="","",IFERROR(INDEX('Saisie'!$V$5:$V$2004,_xlfn.MAXIFS('Saisie'!$AS$5:$AS$2004,'Saisie'!$C$5:$C$2004,C41,'Saisie'!$V$5:$V$2004,"&lt;&gt;")-4),""))</f>
        <v/>
      </c>
      <c r="W41" s="60">
        <f>IF(C41="","",IFERROR(INDEX('Saisie'!$Z$5:$Z$2004,_xlfn.MAXIFS('Saisie'!$AS$5:$AS$2004,'Saisie'!$C$5:$C$2004,C41,'Saisie'!$Z$5:$Z$2004,"&lt;&gt;")-4),""))</f>
        <v/>
      </c>
      <c r="X41" s="60">
        <f>IF(C41="","",IFERROR(INDEX('Saisie'!$AA$5:$AA$2004,_xlfn.MAXIFS('Saisie'!$AS$5:$AS$2004,'Saisie'!$C$5:$C$2004,C41,'Saisie'!$AA$5:$AA$2004,"&lt;&gt;")-4),""))</f>
        <v/>
      </c>
      <c r="Y41" s="60">
        <f>IF(C41="","",IFERROR(INDEX('Saisie'!$AB$5:$AB$2004,_xlfn.MAXIFS('Saisie'!$AS$5:$AS$2004,'Saisie'!$C$5:$C$2004,C41,'Saisie'!$AB$5:$AB$2004,"&lt;&gt;")-4),""))</f>
        <v/>
      </c>
      <c r="Z41" s="60">
        <f>IF(C41="","",IFERROR(INDEX('Saisie'!$AC$5:$AC$2004,_xlfn.MAXIFS('Saisie'!$AS$5:$AS$2004,'Saisie'!$C$5:$C$2004,C41,'Saisie'!$AC$5:$AC$2004,"&lt;&gt;")-4),""))</f>
        <v/>
      </c>
      <c r="AA41" s="106">
        <f>IF(C41="","",IFERROR(INDEX('Saisie'!$AD$5:$AD$2004,_xlfn.MAXIFS('Saisie'!$AS$5:$AS$2004,'Saisie'!$C$5:$C$2004,C41,'Saisie'!$AD$5:$AD$2004,"&lt;&gt;")-4),""))</f>
        <v/>
      </c>
      <c r="AB41" s="60">
        <f>IF(C41="","",IFERROR(INDEX('Saisie'!$AE$5:$AE$2004,_xlfn.MAXIFS('Saisie'!$AS$5:$AS$2004,'Saisie'!$C$5:$C$2004,C41,'Saisie'!$AE$5:$AE$2004,"&lt;&gt;")-4),""))</f>
        <v/>
      </c>
      <c r="AC41" s="60">
        <f>IF(C41="","",IFERROR(INDEX('Saisie'!$AF$5:$AF$2004,_xlfn.MAXIFS('Saisie'!$AS$5:$AS$2004,'Saisie'!$C$5:$C$2004,C41,'Saisie'!$AF$5:$AF$2004,"&lt;&gt;")-4),""))</f>
        <v/>
      </c>
      <c r="AD41" s="108">
        <f>IF(C41="","",IFERROR(INDEX('Saisie'!$AG$5:$AG$2004,_xlfn.MAXIFS('Saisie'!$AS$5:$AS$2004,'Saisie'!$C$5:$C$2004,C41,'Saisie'!$AG$5:$AG$2004,"&lt;&gt;")-4),""))</f>
        <v/>
      </c>
      <c r="AE41" s="60">
        <f>IF(C41="","",IFERROR(INDEX('Saisie'!$AH$5:$AH$2004,_xlfn.MAXIFS('Saisie'!$AS$5:$AS$2004,'Saisie'!$C$5:$C$2004,C41,'Saisie'!$AH$5:$AH$2004,"&lt;&gt;")-4),""))</f>
        <v/>
      </c>
      <c r="AF41" s="60">
        <f>IF(C41="","",IFERROR(INDEX('Saisie'!$AI$5:$AI$2004,_xlfn.MAXIFS('Saisie'!$AS$5:$AS$2004,'Saisie'!$C$5:$C$2004,C41,'Saisie'!$AI$5:$AI$2004,"&lt;&gt;")-4),""))</f>
        <v/>
      </c>
      <c r="AG41" s="60">
        <f>IF(C41="","",IFERROR(INDEX('Saisie'!$AJ$5:$AJ$2004,_xlfn.MAXIFS('Saisie'!$AS$5:$AS$2004,'Saisie'!$C$5:$C$2004,C41,'Saisie'!$AJ$5:$AJ$2004,"&lt;&gt;")-4),""))</f>
        <v/>
      </c>
      <c r="AH41" s="60">
        <f>IF(C41="","",IFERROR(INDEX('Saisie'!$AK$5:$AK$2004,_xlfn.MAXIFS('Saisie'!$AS$5:$AS$2004,'Saisie'!$C$5:$C$2004,C41,'Saisie'!$AK$5:$AK$2004,"&lt;&gt;")-4),""))</f>
        <v/>
      </c>
      <c r="AI41" s="60">
        <f>IF(C41="","",IFERROR(INDEX('Saisie'!$AN$5:$AN$2004,_xlfn.MAXIFS('Saisie'!$AS$5:$AS$2004,'Saisie'!$C$5:$C$2004,C41,'Saisie'!$AN$5:$AN$2004,"&lt;&gt;")-4),""))</f>
        <v/>
      </c>
      <c r="AJ41" s="60">
        <f>IF(C41="","",IFERROR(INDEX('Saisie'!$AO$5:$AO$2004,_xlfn.MAXIFS('Saisie'!$AS$5:$AS$2004,'Saisie'!$C$5:$C$2004,C41,'Saisie'!$AO$5:$AO$2004,"&lt;&gt;")-4),""))</f>
        <v/>
      </c>
      <c r="AK41" s="60">
        <f>IF(C41="","",IFERROR(INDEX('Saisie'!$AP$5:$AP$2004,_xlfn.MAXIFS('Saisie'!$AS$5:$AS$2004,'Saisie'!$C$5:$C$2004,C41,'Saisie'!$AP$5:$AP$2004,"&lt;&gt;")-4),""))</f>
        <v/>
      </c>
      <c r="AL41" s="60">
        <f>IF(C41="","",IFERROR(INDEX('Saisie'!$AQ$5:$AQ$2004,_xlfn.MAXIFS('Saisie'!$AS$5:$AS$2004,'Saisie'!$C$5:$C$2004,C41,'Saisie'!$AQ$5:$AQ$2004,"&lt;&gt;")-4),""))</f>
        <v/>
      </c>
      <c r="AM41" s="60">
        <f>IF(C41="","",((AI41="Oui")+(AJ41="Oui")+(AK41="Oui")+OR(AL41="Immédiat",AL41="&lt; 1 mois"))&amp;"/4")</f>
        <v/>
      </c>
      <c r="AN41" s="60">
        <f>IF(C41="","",IFERROR(INDEX('Saisie'!$AL$5:$AL$2004,_xlfn.MAXIFS('Saisie'!$AS$5:$AS$2004,'Saisie'!$C$5:$C$2004,C41,'Saisie'!$AL$5:$AL$2004,"&lt;&gt;")-4),""))</f>
        <v/>
      </c>
      <c r="AO41" s="62">
        <f>IF(C41="","",IF(IFERROR(INDEX('Saisie'!$AM$5:$AM$2004,_xlfn.MAXIFS('Saisie'!$AS$5:$AS$2004,'Saisie'!$C$5:$C$2004,C41,'Saisie'!$AM$5:$AM$2004,"&lt;&gt;")-4),"")&lt;&gt;"",IFERROR(INDEX('Saisie'!$AM$5:$AM$2004,_xlfn.MAXIFS('Saisie'!$AS$5:$AS$2004,'Saisie'!$C$5:$C$2004,C41,'Saisie'!$AM$5:$AM$2004,"&lt;&gt;")-4),""),IFERROR(INDEX('Paramètres'!$S$6:$S$15,MATCH(AN41,'Paramètres'!$Q$6:$Q$15,0)),"")))</f>
        <v/>
      </c>
      <c r="AP41" s="62">
        <f>IF(C41="","",IFERROR(INDEX('Saisie'!$AW$5:$AW$2004,_xlfn.MAXIFS('Saisie'!$AS$5:$AS$2004,'Saisie'!$C$5:$C$2004,C41,'Saisie'!$E$5:$E$2004,"Proposition envoyée")-4),""))</f>
        <v/>
      </c>
      <c r="AQ41" s="106">
        <f>IF(C41="","",IFERROR(1/(1/_xlfn.MAXIFS('Saisie'!$A$5:$A$2004,'Saisie'!$C$5:$C$2004,C41,'Saisie'!$E$5:$E$2004,"Proposition envoyée")),""))</f>
        <v/>
      </c>
      <c r="AR41" s="106">
        <f>IF(C41="","",IF(AQ41="","",AQ41+'Paramètres'!$B$26))</f>
        <v/>
      </c>
      <c r="AS41" s="62">
        <f>IF(OR(C41="",D41="Gagné",D41="Perdu"),0,N(AP41)*IFERROR(INDEX('Paramètres'!$G$6:$G$13,MATCH(D41,'Paramètres'!$F$6:$F$13,0)),0))</f>
        <v/>
      </c>
      <c r="AT41" s="106">
        <f>IF(C41="","",IFERROR(1/(1/_xlfn.MINIFS('Saisie'!$A$5:$A$2004,'Saisie'!$C$5:$C$2004,C41,'Saisie'!$E$5:$E$2004,"Signature")),""))</f>
        <v/>
      </c>
      <c r="AU41" s="60">
        <f>IF(C41="","",IF(OR(AT41="",B41=""),"",AT41-B41))</f>
        <v/>
      </c>
      <c r="AV41" s="60">
        <f>IF(C41="","",IFERROR(INDEX('Saisie'!$L$5:$L$2004,_xlfn.MAXIFS('Saisie'!$AS$5:$AS$2004,'Saisie'!$C$5:$C$2004,C41,'Saisie'!$L$5:$L$2004,"&lt;&gt;")-4),""))</f>
        <v/>
      </c>
      <c r="AW41" s="106">
        <f>IF(C41="","",IF(D41&lt;&gt;"Perdu","",IFERROR(1/(1/_xlfn.MAXIFS('Saisie'!$A$5:$A$2004,'Saisie'!$C$5:$C$2004,C41,'Saisie'!$E$5:$E$2004,"Perdu")),"")))</f>
        <v/>
      </c>
      <c r="AX41" s="106">
        <f>IF(C41="","",IF(AW41="","",AW41+'Paramètres'!$B$28))</f>
        <v/>
      </c>
      <c r="AY41" s="60">
        <f>IF(C41="","",SUMIFS('Saisie'!$H$5:$H$2004,'Saisie'!$C$5:$C$2004,C41))</f>
        <v/>
      </c>
      <c r="AZ41" s="60">
        <f>IF(C41="","",IFERROR(INDEX('Paramètres'!$W$6:$W$20,MATCH(S41,'Paramètres'!$V$6:$V$20,0))&amp;"",""))</f>
        <v/>
      </c>
      <c r="BA41" s="60">
        <f>IF(C41="","",MAX(1,_xlfn.MAXIFS('Saisie'!$AT$5:$AT$2004,'Saisie'!$C$5:$C$2004,C41)))</f>
        <v/>
      </c>
      <c r="BB41" s="60">
        <f>IF(C41="","",IFERROR(INDEX('Saisie'!$X$5:$X$2004,_xlfn.MAXIFS('Saisie'!$AS$5:$AS$2004,'Saisie'!$C$5:$C$2004,C41,'Saisie'!$X$5:$X$2004,"&lt;&gt;")-4),""))</f>
        <v/>
      </c>
      <c r="BC41" s="60">
        <f>IF(C41="","",IFERROR(INDEX('Saisie'!$Y$5:$Y$2004,_xlfn.MAXIFS('Saisie'!$AS$5:$AS$2004,'Saisie'!$C$5:$C$2004,C41,'Saisie'!$Y$5:$Y$2004,"&lt;&gt;")-4),""))</f>
        <v/>
      </c>
      <c r="BD41" s="106">
        <f>IF(C41="","",IFERROR(1/(1/_xlfn.MINIFS('Saisie'!$A$5:$A$2004,'Saisie'!$C$5:$C$2004,C41,'Saisie'!$AT$5:$AT$2004,"&gt;=2")),""))</f>
        <v/>
      </c>
      <c r="BE41" s="106">
        <f>IF(C41="","",IFERROR(1/(1/_xlfn.MINIFS('Saisie'!$A$5:$A$2004,'Saisie'!$C$5:$C$2004,C41,'Saisie'!$AT$5:$AT$2004,"&gt;=3")),""))</f>
        <v/>
      </c>
      <c r="BF41" s="106">
        <f>IF(C41="","",IFERROR(1/(1/_xlfn.MINIFS('Saisie'!$A$5:$A$2004,'Saisie'!$C$5:$C$2004,C41,'Saisie'!$AT$5:$AT$2004,"&gt;=4")),""))</f>
        <v/>
      </c>
      <c r="BG41" s="106">
        <f>IF(C41="","",IFERROR(1/(1/_xlfn.MINIFS('Saisie'!$A$5:$A$2004,'Saisie'!$C$5:$C$2004,C41,'Saisie'!$AT$5:$AT$2004,"&gt;=5")),""))</f>
        <v/>
      </c>
      <c r="BH41" s="106">
        <f>IF(C41="","",IFERROR(1/(1/_xlfn.MINIFS('Saisie'!$A$5:$A$2004,'Saisie'!$C$5:$C$2004,C41,'Saisie'!$AT$5:$AT$2004,"&gt;=6")),""))</f>
        <v/>
      </c>
      <c r="BI41" s="106">
        <f>IF(C41="","",IFERROR(1/(1/_xlfn.MINIFS('Saisie'!$A$5:$A$2004,'Saisie'!$C$5:$C$2004,C41,'Saisie'!$AT$5:$AT$2004,"&gt;=7")),""))</f>
        <v/>
      </c>
      <c r="BJ41" s="60">
        <f>IF(OR(BD41="",B41=""),"",BD41-B41)</f>
        <v/>
      </c>
      <c r="BK41" s="60">
        <f>IF(OR(BE41="",BD41=""),"",BE41-BD41)</f>
        <v/>
      </c>
      <c r="BL41" s="60">
        <f>IF(OR(BF41="",BE41=""),"",BF41-BE41)</f>
        <v/>
      </c>
      <c r="BM41" s="60">
        <f>IF(OR(BG41="",BF41=""),"",BG41-BF41)</f>
        <v/>
      </c>
      <c r="BN41" s="60">
        <f>IF(OR(BH41="",BG41=""),"",BH41-BG41)</f>
        <v/>
      </c>
      <c r="BO41" s="60">
        <f>IF(OR(BI41="",BH41=""),"",BI41-BH41)</f>
        <v/>
      </c>
      <c r="BP41" s="60">
        <f>IF(C41="","",_xlfn.MAXIFS('Saisie'!$AS$5:$AS$2004,'Saisie'!$C$5:$C$2004,C41,'Saisie'!$J$5:$J$2004,"&lt;&gt;"))</f>
        <v/>
      </c>
      <c r="BQ41" s="60">
        <f>IF(C41="","",_xlfn.MAXIFS('Saisie'!$AS$5:$AS$2004,'Saisie'!$C$5:$C$2004,C41))</f>
        <v/>
      </c>
      <c r="BR41" s="60">
        <f>IF(C41="","",_xlfn.MAXIFS('Saisie'!$AS$5:$AS$2004,'Saisie'!$C$5:$C$2004,C41,'Saisie'!$E$5:$E$2004,"Perdu"))</f>
        <v/>
      </c>
      <c r="BS41" s="60">
        <f>IF(C41="","",_xlfn.MAXIFS('Saisie'!$AS$5:$AS$2004,'Saisie'!$C$5:$C$2004,C41,'Saisie'!$AT$5:$AT$2004,"&gt;0"))</f>
        <v/>
      </c>
      <c r="BT41" s="109">
        <f>IF(AND(C41&lt;&gt;"",OR(D41="Nouveau",D41="Contacté",D41="Qualifié"),OR(G41="",N(G41)&lt;=TODAY()),NOT(AND(O41&gt;='Paramètres'!$B$21,P41=0))),E41+37/10000,"")</f>
        <v/>
      </c>
      <c r="BU41" s="60">
        <f>IF(AND(G41&lt;&gt;"",N(G41)&lt;=TODAY()),MAX($BU$4:BU40)+1,"")</f>
        <v/>
      </c>
      <c r="BV41" s="60">
        <f>IF(AND(F41&lt;&gt;"",F41&lt;&gt;"Relance en retard"),MAX($BV$4:BV40)+1,"")</f>
        <v/>
      </c>
      <c r="BW41" s="60">
        <f>IF(C41="","",IF(AND(B41&gt;='Tableau de bord'!$R$4,B41&lt;='Tableau de bord'!$S$4,OR('Tableau de bord'!$G$4="Tous",N41='Tableau de bord'!$G$4)),1,0))</f>
        <v/>
      </c>
      <c r="BX41" s="60">
        <f>IF(AND(C41&lt;&gt;"",N(BA41)=7),MAX($BX$4:BX40)+1,"")</f>
        <v/>
      </c>
    </row>
    <row r="42">
      <c r="A42" s="60">
        <f>IF(C42="","","P-"&amp;TEXT(38,"000"))</f>
        <v/>
      </c>
      <c r="B42" s="106">
        <f>IF(C42="","",IFERROR(1/(1/_xlfn.MINIFS('Saisie'!$A$5:$A$2004,'Saisie'!$C$5:$C$2004,C42)),""))</f>
        <v/>
      </c>
      <c r="C42" s="60">
        <f>IFERROR(INDEX('Saisie'!$C$5:$C$2004,MATCH(38,'Saisie'!$AX$5:$AX$2004,0)),"")</f>
        <v/>
      </c>
      <c r="D42" s="60">
        <f>IF(C42="","",IF(AND(BR42&gt;0,BR42&gt;BS42,BA42&lt;7),"Perdu",INDEX('Paramètres'!$F$6:$F$13,BA42)))</f>
        <v/>
      </c>
      <c r="E42" s="61">
        <f>IF(C42="","",MIN(100,(Z42="Oui")*'Paramètres'!$B$38+(AB42="Régulière")*'Paramètres'!$B$39+IF(AND(N(AA42)&gt;0,TODAY()-N(AA42)&lt;=30),'Paramètres'!$B$40,0)+(W42="")*'Paramètres'!$B$41+(AC42="Absente")*'Paramètres'!$B$42+(AC42="Faible")*'Paramètres'!$B$43+IF(AND(N(AD42)&gt;0,N(AD42)&lt;4),'Paramètres'!$B$44,0)+(AF42="Moyenne")*'Paramètres'!$B$45+(AF42="Grande")*'Paramètres'!$B$46+(Y42&lt;&gt;"")*'Paramètres'!$B$47))</f>
        <v/>
      </c>
      <c r="F42" s="60">
        <f>IF(C42="","",IF(D42="Gagné","",IF(D42="Perdu",IF(AND(AX42&lt;&gt;"",AX42&lt;=TODAY()),"À recontacter (perdu)",""),IF(AND(O42&gt;='Paramètres'!$B$21,P42=0),"Stop : "&amp;'Paramètres'!$B$21&amp;" tentatives sans réponse",IF(AND(D42="Proposition",AR42&lt;&gt;"",TODAY()&gt;N(AR42)),"Proposition expirée",IF(AND(D42="Proposition",N(R42)&gt;='Paramètres'!$B$25),"Proposition sans réponse",IF(AND(G42&lt;&gt;"",N(G42)&lt;TODAY()),"Relance en retard",IF(N(R42)&gt;='Paramètres'!$B$24,"Sans action depuis "&amp;R42&amp;" j",""))))))))</f>
        <v/>
      </c>
      <c r="G42" s="106">
        <f>IF(OR(C42="",D42="Gagné",D42="Perdu"),"",IF(AND(BP42&gt;0,BP42=BQ42),INDEX('Saisie'!$J$5:$J$2004,BP42-4),IF(OR(O42=0,AND(O42&gt;='Paramètres'!$B$21,P42=0)),"",Q42+IF(O42&lt;=1,'Paramètres'!$B$18,IF(O42=2,'Paramètres'!$B$19,'Paramètres'!$B$20)))))</f>
        <v/>
      </c>
      <c r="H42" s="107">
        <f>IF(OR(G42="",BP42&lt;&gt;BQ42),"",IF(INDEX('Saisie'!$K$5:$K$2004,BP42-4)="","",INDEX('Saisie'!$K$5:$K$2004,BP42-4)))</f>
        <v/>
      </c>
      <c r="I42" s="60">
        <f>IF(C42="","",IF(OR(D42="Gagné",D42="Perdu"),"",IFERROR(INDEX('Saisie'!$I$5:$I$2004,_xlfn.MAXIFS('Saisie'!$AS$5:$AS$2004,'Saisie'!$C$5:$C$2004,C42,'Saisie'!$I$5:$I$2004,"&lt;&gt;")-4),"")))</f>
        <v/>
      </c>
      <c r="J42" s="60">
        <f>IF(C42="","",IFERROR(INDEX('Saisie'!$U$5:$U$2004,_xlfn.MAXIFS('Saisie'!$AS$5:$AS$2004,'Saisie'!$C$5:$C$2004,C42,'Saisie'!$U$5:$U$2004,"&lt;&gt;")-4),""))</f>
        <v/>
      </c>
      <c r="K42" s="60">
        <f>IF(C42="","",IFERROR(INDEX('Saisie'!$W$5:$W$2004,_xlfn.MAXIFS('Saisie'!$AS$5:$AS$2004,'Saisie'!$C$5:$C$2004,C42,'Saisie'!$W$5:$W$2004,"&lt;&gt;")-4),""))</f>
        <v/>
      </c>
      <c r="L42" s="60">
        <f>IF(IF(BB42&lt;&gt;"",BB42,K42)="","",HYPERLINK("https://wa.me/"&amp;IF(LEFT(SUBSTITUTE(SUBSTITUTE(SUBSTITUTE(IF(BB42&lt;&gt;"",BB42,K42)," ",""),".",""),"+",""),1)="0",'Paramètres'!$B$35&amp;MID(SUBSTITUTE(SUBSTITUTE(SUBSTITUTE(IF(BB42&lt;&gt;"",BB42,K42)," ",""),".",""),"+",""),2,20),SUBSTITUTE(SUBSTITUTE(SUBSTITUTE(IF(BB42&lt;&gt;"",BB42,K42)," ",""),".",""),"+","")),"WhatsApp"))</f>
        <v/>
      </c>
      <c r="M42" s="60">
        <f>IF(BC42="","",HYPERLINK(IF(LEFT(BC42,4)="http",BC42,"https://www.instagram.com/"&amp;SUBSTITUTE(SUBSTITUTE(BC42,"@","")," ","")),BC42))</f>
        <v/>
      </c>
      <c r="N42" s="60">
        <f>IF(C42="","",IFERROR(INDEX('Saisie'!$D$5:$D$2004,_xlfn.MINIFS('Saisie'!$AS$5:$AS$2004,'Saisie'!$C$5:$C$2004,C42,'Saisie'!$AU$5:$AU$2004,1)-4),IFERROR(INDEX('Saisie'!$D$5:$D$2004,_xlfn.MINIFS('Saisie'!$AS$5:$AS$2004,'Saisie'!$C$5:$C$2004,C42,'Saisie'!$D$5:$D$2004,"&lt;&gt;")-4),"")))</f>
        <v/>
      </c>
      <c r="O42" s="60">
        <f>IF(C42="","",COUNTIFS('Saisie'!$C$5:$C$2004,C42,'Saisie'!$AU$5:$AU$2004,1))</f>
        <v/>
      </c>
      <c r="P42" s="60">
        <f>IF(C42="","",COUNTIFS('Saisie'!$C$5:$C$2004,C42,'Saisie'!$AV$5:$AV$2004,1))</f>
        <v/>
      </c>
      <c r="Q42" s="106">
        <f>IF(C42="","",IFERROR(1/(1/_xlfn.MAXIFS('Saisie'!$A$5:$A$2004,'Saisie'!$C$5:$C$2004,C42)),""))</f>
        <v/>
      </c>
      <c r="R42" s="61">
        <f>IF(C42="","",IF(Q42="","",TODAY()-Q42))</f>
        <v/>
      </c>
      <c r="S42" s="60">
        <f>IF(C42="","",IFERROR(INDEX('Saisie'!$R$5:$R$2004,_xlfn.MAXIFS('Saisie'!$AS$5:$AS$2004,'Saisie'!$C$5:$C$2004,C42,'Saisie'!$R$5:$R$2004,"&lt;&gt;")-4),""))</f>
        <v/>
      </c>
      <c r="T42" s="60">
        <f>IF(C42="","",IFERROR(INDEX('Saisie'!$S$5:$S$2004,_xlfn.MAXIFS('Saisie'!$AS$5:$AS$2004,'Saisie'!$C$5:$C$2004,C42,'Saisie'!$S$5:$S$2004,"&lt;&gt;")-4),""))</f>
        <v/>
      </c>
      <c r="U42" s="60">
        <f>IF(C42="","",IFERROR(INDEX('Saisie'!$T$5:$T$2004,_xlfn.MAXIFS('Saisie'!$AS$5:$AS$2004,'Saisie'!$C$5:$C$2004,C42,'Saisie'!$T$5:$T$2004,"&lt;&gt;")-4),""))</f>
        <v/>
      </c>
      <c r="V42" s="60">
        <f>IF(C42="","",IFERROR(INDEX('Saisie'!$V$5:$V$2004,_xlfn.MAXIFS('Saisie'!$AS$5:$AS$2004,'Saisie'!$C$5:$C$2004,C42,'Saisie'!$V$5:$V$2004,"&lt;&gt;")-4),""))</f>
        <v/>
      </c>
      <c r="W42" s="60">
        <f>IF(C42="","",IFERROR(INDEX('Saisie'!$Z$5:$Z$2004,_xlfn.MAXIFS('Saisie'!$AS$5:$AS$2004,'Saisie'!$C$5:$C$2004,C42,'Saisie'!$Z$5:$Z$2004,"&lt;&gt;")-4),""))</f>
        <v/>
      </c>
      <c r="X42" s="60">
        <f>IF(C42="","",IFERROR(INDEX('Saisie'!$AA$5:$AA$2004,_xlfn.MAXIFS('Saisie'!$AS$5:$AS$2004,'Saisie'!$C$5:$C$2004,C42,'Saisie'!$AA$5:$AA$2004,"&lt;&gt;")-4),""))</f>
        <v/>
      </c>
      <c r="Y42" s="60">
        <f>IF(C42="","",IFERROR(INDEX('Saisie'!$AB$5:$AB$2004,_xlfn.MAXIFS('Saisie'!$AS$5:$AS$2004,'Saisie'!$C$5:$C$2004,C42,'Saisie'!$AB$5:$AB$2004,"&lt;&gt;")-4),""))</f>
        <v/>
      </c>
      <c r="Z42" s="60">
        <f>IF(C42="","",IFERROR(INDEX('Saisie'!$AC$5:$AC$2004,_xlfn.MAXIFS('Saisie'!$AS$5:$AS$2004,'Saisie'!$C$5:$C$2004,C42,'Saisie'!$AC$5:$AC$2004,"&lt;&gt;")-4),""))</f>
        <v/>
      </c>
      <c r="AA42" s="106">
        <f>IF(C42="","",IFERROR(INDEX('Saisie'!$AD$5:$AD$2004,_xlfn.MAXIFS('Saisie'!$AS$5:$AS$2004,'Saisie'!$C$5:$C$2004,C42,'Saisie'!$AD$5:$AD$2004,"&lt;&gt;")-4),""))</f>
        <v/>
      </c>
      <c r="AB42" s="60">
        <f>IF(C42="","",IFERROR(INDEX('Saisie'!$AE$5:$AE$2004,_xlfn.MAXIFS('Saisie'!$AS$5:$AS$2004,'Saisie'!$C$5:$C$2004,C42,'Saisie'!$AE$5:$AE$2004,"&lt;&gt;")-4),""))</f>
        <v/>
      </c>
      <c r="AC42" s="60">
        <f>IF(C42="","",IFERROR(INDEX('Saisie'!$AF$5:$AF$2004,_xlfn.MAXIFS('Saisie'!$AS$5:$AS$2004,'Saisie'!$C$5:$C$2004,C42,'Saisie'!$AF$5:$AF$2004,"&lt;&gt;")-4),""))</f>
        <v/>
      </c>
      <c r="AD42" s="108">
        <f>IF(C42="","",IFERROR(INDEX('Saisie'!$AG$5:$AG$2004,_xlfn.MAXIFS('Saisie'!$AS$5:$AS$2004,'Saisie'!$C$5:$C$2004,C42,'Saisie'!$AG$5:$AG$2004,"&lt;&gt;")-4),""))</f>
        <v/>
      </c>
      <c r="AE42" s="60">
        <f>IF(C42="","",IFERROR(INDEX('Saisie'!$AH$5:$AH$2004,_xlfn.MAXIFS('Saisie'!$AS$5:$AS$2004,'Saisie'!$C$5:$C$2004,C42,'Saisie'!$AH$5:$AH$2004,"&lt;&gt;")-4),""))</f>
        <v/>
      </c>
      <c r="AF42" s="60">
        <f>IF(C42="","",IFERROR(INDEX('Saisie'!$AI$5:$AI$2004,_xlfn.MAXIFS('Saisie'!$AS$5:$AS$2004,'Saisie'!$C$5:$C$2004,C42,'Saisie'!$AI$5:$AI$2004,"&lt;&gt;")-4),""))</f>
        <v/>
      </c>
      <c r="AG42" s="60">
        <f>IF(C42="","",IFERROR(INDEX('Saisie'!$AJ$5:$AJ$2004,_xlfn.MAXIFS('Saisie'!$AS$5:$AS$2004,'Saisie'!$C$5:$C$2004,C42,'Saisie'!$AJ$5:$AJ$2004,"&lt;&gt;")-4),""))</f>
        <v/>
      </c>
      <c r="AH42" s="60">
        <f>IF(C42="","",IFERROR(INDEX('Saisie'!$AK$5:$AK$2004,_xlfn.MAXIFS('Saisie'!$AS$5:$AS$2004,'Saisie'!$C$5:$C$2004,C42,'Saisie'!$AK$5:$AK$2004,"&lt;&gt;")-4),""))</f>
        <v/>
      </c>
      <c r="AI42" s="60">
        <f>IF(C42="","",IFERROR(INDEX('Saisie'!$AN$5:$AN$2004,_xlfn.MAXIFS('Saisie'!$AS$5:$AS$2004,'Saisie'!$C$5:$C$2004,C42,'Saisie'!$AN$5:$AN$2004,"&lt;&gt;")-4),""))</f>
        <v/>
      </c>
      <c r="AJ42" s="60">
        <f>IF(C42="","",IFERROR(INDEX('Saisie'!$AO$5:$AO$2004,_xlfn.MAXIFS('Saisie'!$AS$5:$AS$2004,'Saisie'!$C$5:$C$2004,C42,'Saisie'!$AO$5:$AO$2004,"&lt;&gt;")-4),""))</f>
        <v/>
      </c>
      <c r="AK42" s="60">
        <f>IF(C42="","",IFERROR(INDEX('Saisie'!$AP$5:$AP$2004,_xlfn.MAXIFS('Saisie'!$AS$5:$AS$2004,'Saisie'!$C$5:$C$2004,C42,'Saisie'!$AP$5:$AP$2004,"&lt;&gt;")-4),""))</f>
        <v/>
      </c>
      <c r="AL42" s="60">
        <f>IF(C42="","",IFERROR(INDEX('Saisie'!$AQ$5:$AQ$2004,_xlfn.MAXIFS('Saisie'!$AS$5:$AS$2004,'Saisie'!$C$5:$C$2004,C42,'Saisie'!$AQ$5:$AQ$2004,"&lt;&gt;")-4),""))</f>
        <v/>
      </c>
      <c r="AM42" s="60">
        <f>IF(C42="","",((AI42="Oui")+(AJ42="Oui")+(AK42="Oui")+OR(AL42="Immédiat",AL42="&lt; 1 mois"))&amp;"/4")</f>
        <v/>
      </c>
      <c r="AN42" s="60">
        <f>IF(C42="","",IFERROR(INDEX('Saisie'!$AL$5:$AL$2004,_xlfn.MAXIFS('Saisie'!$AS$5:$AS$2004,'Saisie'!$C$5:$C$2004,C42,'Saisie'!$AL$5:$AL$2004,"&lt;&gt;")-4),""))</f>
        <v/>
      </c>
      <c r="AO42" s="62">
        <f>IF(C42="","",IF(IFERROR(INDEX('Saisie'!$AM$5:$AM$2004,_xlfn.MAXIFS('Saisie'!$AS$5:$AS$2004,'Saisie'!$C$5:$C$2004,C42,'Saisie'!$AM$5:$AM$2004,"&lt;&gt;")-4),"")&lt;&gt;"",IFERROR(INDEX('Saisie'!$AM$5:$AM$2004,_xlfn.MAXIFS('Saisie'!$AS$5:$AS$2004,'Saisie'!$C$5:$C$2004,C42,'Saisie'!$AM$5:$AM$2004,"&lt;&gt;")-4),""),IFERROR(INDEX('Paramètres'!$S$6:$S$15,MATCH(AN42,'Paramètres'!$Q$6:$Q$15,0)),"")))</f>
        <v/>
      </c>
      <c r="AP42" s="62">
        <f>IF(C42="","",IFERROR(INDEX('Saisie'!$AW$5:$AW$2004,_xlfn.MAXIFS('Saisie'!$AS$5:$AS$2004,'Saisie'!$C$5:$C$2004,C42,'Saisie'!$E$5:$E$2004,"Proposition envoyée")-4),""))</f>
        <v/>
      </c>
      <c r="AQ42" s="106">
        <f>IF(C42="","",IFERROR(1/(1/_xlfn.MAXIFS('Saisie'!$A$5:$A$2004,'Saisie'!$C$5:$C$2004,C42,'Saisie'!$E$5:$E$2004,"Proposition envoyée")),""))</f>
        <v/>
      </c>
      <c r="AR42" s="106">
        <f>IF(C42="","",IF(AQ42="","",AQ42+'Paramètres'!$B$26))</f>
        <v/>
      </c>
      <c r="AS42" s="62">
        <f>IF(OR(C42="",D42="Gagné",D42="Perdu"),0,N(AP42)*IFERROR(INDEX('Paramètres'!$G$6:$G$13,MATCH(D42,'Paramètres'!$F$6:$F$13,0)),0))</f>
        <v/>
      </c>
      <c r="AT42" s="106">
        <f>IF(C42="","",IFERROR(1/(1/_xlfn.MINIFS('Saisie'!$A$5:$A$2004,'Saisie'!$C$5:$C$2004,C42,'Saisie'!$E$5:$E$2004,"Signature")),""))</f>
        <v/>
      </c>
      <c r="AU42" s="60">
        <f>IF(C42="","",IF(OR(AT42="",B42=""),"",AT42-B42))</f>
        <v/>
      </c>
      <c r="AV42" s="60">
        <f>IF(C42="","",IFERROR(INDEX('Saisie'!$L$5:$L$2004,_xlfn.MAXIFS('Saisie'!$AS$5:$AS$2004,'Saisie'!$C$5:$C$2004,C42,'Saisie'!$L$5:$L$2004,"&lt;&gt;")-4),""))</f>
        <v/>
      </c>
      <c r="AW42" s="106">
        <f>IF(C42="","",IF(D42&lt;&gt;"Perdu","",IFERROR(1/(1/_xlfn.MAXIFS('Saisie'!$A$5:$A$2004,'Saisie'!$C$5:$C$2004,C42,'Saisie'!$E$5:$E$2004,"Perdu")),"")))</f>
        <v/>
      </c>
      <c r="AX42" s="106">
        <f>IF(C42="","",IF(AW42="","",AW42+'Paramètres'!$B$28))</f>
        <v/>
      </c>
      <c r="AY42" s="60">
        <f>IF(C42="","",SUMIFS('Saisie'!$H$5:$H$2004,'Saisie'!$C$5:$C$2004,C42))</f>
        <v/>
      </c>
      <c r="AZ42" s="60">
        <f>IF(C42="","",IFERROR(INDEX('Paramètres'!$W$6:$W$20,MATCH(S42,'Paramètres'!$V$6:$V$20,0))&amp;"",""))</f>
        <v/>
      </c>
      <c r="BA42" s="60">
        <f>IF(C42="","",MAX(1,_xlfn.MAXIFS('Saisie'!$AT$5:$AT$2004,'Saisie'!$C$5:$C$2004,C42)))</f>
        <v/>
      </c>
      <c r="BB42" s="60">
        <f>IF(C42="","",IFERROR(INDEX('Saisie'!$X$5:$X$2004,_xlfn.MAXIFS('Saisie'!$AS$5:$AS$2004,'Saisie'!$C$5:$C$2004,C42,'Saisie'!$X$5:$X$2004,"&lt;&gt;")-4),""))</f>
        <v/>
      </c>
      <c r="BC42" s="60">
        <f>IF(C42="","",IFERROR(INDEX('Saisie'!$Y$5:$Y$2004,_xlfn.MAXIFS('Saisie'!$AS$5:$AS$2004,'Saisie'!$C$5:$C$2004,C42,'Saisie'!$Y$5:$Y$2004,"&lt;&gt;")-4),""))</f>
        <v/>
      </c>
      <c r="BD42" s="106">
        <f>IF(C42="","",IFERROR(1/(1/_xlfn.MINIFS('Saisie'!$A$5:$A$2004,'Saisie'!$C$5:$C$2004,C42,'Saisie'!$AT$5:$AT$2004,"&gt;=2")),""))</f>
        <v/>
      </c>
      <c r="BE42" s="106">
        <f>IF(C42="","",IFERROR(1/(1/_xlfn.MINIFS('Saisie'!$A$5:$A$2004,'Saisie'!$C$5:$C$2004,C42,'Saisie'!$AT$5:$AT$2004,"&gt;=3")),""))</f>
        <v/>
      </c>
      <c r="BF42" s="106">
        <f>IF(C42="","",IFERROR(1/(1/_xlfn.MINIFS('Saisie'!$A$5:$A$2004,'Saisie'!$C$5:$C$2004,C42,'Saisie'!$AT$5:$AT$2004,"&gt;=4")),""))</f>
        <v/>
      </c>
      <c r="BG42" s="106">
        <f>IF(C42="","",IFERROR(1/(1/_xlfn.MINIFS('Saisie'!$A$5:$A$2004,'Saisie'!$C$5:$C$2004,C42,'Saisie'!$AT$5:$AT$2004,"&gt;=5")),""))</f>
        <v/>
      </c>
      <c r="BH42" s="106">
        <f>IF(C42="","",IFERROR(1/(1/_xlfn.MINIFS('Saisie'!$A$5:$A$2004,'Saisie'!$C$5:$C$2004,C42,'Saisie'!$AT$5:$AT$2004,"&gt;=6")),""))</f>
        <v/>
      </c>
      <c r="BI42" s="106">
        <f>IF(C42="","",IFERROR(1/(1/_xlfn.MINIFS('Saisie'!$A$5:$A$2004,'Saisie'!$C$5:$C$2004,C42,'Saisie'!$AT$5:$AT$2004,"&gt;=7")),""))</f>
        <v/>
      </c>
      <c r="BJ42" s="60">
        <f>IF(OR(BD42="",B42=""),"",BD42-B42)</f>
        <v/>
      </c>
      <c r="BK42" s="60">
        <f>IF(OR(BE42="",BD42=""),"",BE42-BD42)</f>
        <v/>
      </c>
      <c r="BL42" s="60">
        <f>IF(OR(BF42="",BE42=""),"",BF42-BE42)</f>
        <v/>
      </c>
      <c r="BM42" s="60">
        <f>IF(OR(BG42="",BF42=""),"",BG42-BF42)</f>
        <v/>
      </c>
      <c r="BN42" s="60">
        <f>IF(OR(BH42="",BG42=""),"",BH42-BG42)</f>
        <v/>
      </c>
      <c r="BO42" s="60">
        <f>IF(OR(BI42="",BH42=""),"",BI42-BH42)</f>
        <v/>
      </c>
      <c r="BP42" s="60">
        <f>IF(C42="","",_xlfn.MAXIFS('Saisie'!$AS$5:$AS$2004,'Saisie'!$C$5:$C$2004,C42,'Saisie'!$J$5:$J$2004,"&lt;&gt;"))</f>
        <v/>
      </c>
      <c r="BQ42" s="60">
        <f>IF(C42="","",_xlfn.MAXIFS('Saisie'!$AS$5:$AS$2004,'Saisie'!$C$5:$C$2004,C42))</f>
        <v/>
      </c>
      <c r="BR42" s="60">
        <f>IF(C42="","",_xlfn.MAXIFS('Saisie'!$AS$5:$AS$2004,'Saisie'!$C$5:$C$2004,C42,'Saisie'!$E$5:$E$2004,"Perdu"))</f>
        <v/>
      </c>
      <c r="BS42" s="60">
        <f>IF(C42="","",_xlfn.MAXIFS('Saisie'!$AS$5:$AS$2004,'Saisie'!$C$5:$C$2004,C42,'Saisie'!$AT$5:$AT$2004,"&gt;0"))</f>
        <v/>
      </c>
      <c r="BT42" s="109">
        <f>IF(AND(C42&lt;&gt;"",OR(D42="Nouveau",D42="Contacté",D42="Qualifié"),OR(G42="",N(G42)&lt;=TODAY()),NOT(AND(O42&gt;='Paramètres'!$B$21,P42=0))),E42+38/10000,"")</f>
        <v/>
      </c>
      <c r="BU42" s="60">
        <f>IF(AND(G42&lt;&gt;"",N(G42)&lt;=TODAY()),MAX($BU$4:BU41)+1,"")</f>
        <v/>
      </c>
      <c r="BV42" s="60">
        <f>IF(AND(F42&lt;&gt;"",F42&lt;&gt;"Relance en retard"),MAX($BV$4:BV41)+1,"")</f>
        <v/>
      </c>
      <c r="BW42" s="60">
        <f>IF(C42="","",IF(AND(B42&gt;='Tableau de bord'!$R$4,B42&lt;='Tableau de bord'!$S$4,OR('Tableau de bord'!$G$4="Tous",N42='Tableau de bord'!$G$4)),1,0))</f>
        <v/>
      </c>
      <c r="BX42" s="60">
        <f>IF(AND(C42&lt;&gt;"",N(BA42)=7),MAX($BX$4:BX41)+1,"")</f>
        <v/>
      </c>
    </row>
    <row r="43">
      <c r="A43" s="60">
        <f>IF(C43="","","P-"&amp;TEXT(39,"000"))</f>
        <v/>
      </c>
      <c r="B43" s="106">
        <f>IF(C43="","",IFERROR(1/(1/_xlfn.MINIFS('Saisie'!$A$5:$A$2004,'Saisie'!$C$5:$C$2004,C43)),""))</f>
        <v/>
      </c>
      <c r="C43" s="60">
        <f>IFERROR(INDEX('Saisie'!$C$5:$C$2004,MATCH(39,'Saisie'!$AX$5:$AX$2004,0)),"")</f>
        <v/>
      </c>
      <c r="D43" s="60">
        <f>IF(C43="","",IF(AND(BR43&gt;0,BR43&gt;BS43,BA43&lt;7),"Perdu",INDEX('Paramètres'!$F$6:$F$13,BA43)))</f>
        <v/>
      </c>
      <c r="E43" s="61">
        <f>IF(C43="","",MIN(100,(Z43="Oui")*'Paramètres'!$B$38+(AB43="Régulière")*'Paramètres'!$B$39+IF(AND(N(AA43)&gt;0,TODAY()-N(AA43)&lt;=30),'Paramètres'!$B$40,0)+(W43="")*'Paramètres'!$B$41+(AC43="Absente")*'Paramètres'!$B$42+(AC43="Faible")*'Paramètres'!$B$43+IF(AND(N(AD43)&gt;0,N(AD43)&lt;4),'Paramètres'!$B$44,0)+(AF43="Moyenne")*'Paramètres'!$B$45+(AF43="Grande")*'Paramètres'!$B$46+(Y43&lt;&gt;"")*'Paramètres'!$B$47))</f>
        <v/>
      </c>
      <c r="F43" s="60">
        <f>IF(C43="","",IF(D43="Gagné","",IF(D43="Perdu",IF(AND(AX43&lt;&gt;"",AX43&lt;=TODAY()),"À recontacter (perdu)",""),IF(AND(O43&gt;='Paramètres'!$B$21,P43=0),"Stop : "&amp;'Paramètres'!$B$21&amp;" tentatives sans réponse",IF(AND(D43="Proposition",AR43&lt;&gt;"",TODAY()&gt;N(AR43)),"Proposition expirée",IF(AND(D43="Proposition",N(R43)&gt;='Paramètres'!$B$25),"Proposition sans réponse",IF(AND(G43&lt;&gt;"",N(G43)&lt;TODAY()),"Relance en retard",IF(N(R43)&gt;='Paramètres'!$B$24,"Sans action depuis "&amp;R43&amp;" j",""))))))))</f>
        <v/>
      </c>
      <c r="G43" s="106">
        <f>IF(OR(C43="",D43="Gagné",D43="Perdu"),"",IF(AND(BP43&gt;0,BP43=BQ43),INDEX('Saisie'!$J$5:$J$2004,BP43-4),IF(OR(O43=0,AND(O43&gt;='Paramètres'!$B$21,P43=0)),"",Q43+IF(O43&lt;=1,'Paramètres'!$B$18,IF(O43=2,'Paramètres'!$B$19,'Paramètres'!$B$20)))))</f>
        <v/>
      </c>
      <c r="H43" s="107">
        <f>IF(OR(G43="",BP43&lt;&gt;BQ43),"",IF(INDEX('Saisie'!$K$5:$K$2004,BP43-4)="","",INDEX('Saisie'!$K$5:$K$2004,BP43-4)))</f>
        <v/>
      </c>
      <c r="I43" s="60">
        <f>IF(C43="","",IF(OR(D43="Gagné",D43="Perdu"),"",IFERROR(INDEX('Saisie'!$I$5:$I$2004,_xlfn.MAXIFS('Saisie'!$AS$5:$AS$2004,'Saisie'!$C$5:$C$2004,C43,'Saisie'!$I$5:$I$2004,"&lt;&gt;")-4),"")))</f>
        <v/>
      </c>
      <c r="J43" s="60">
        <f>IF(C43="","",IFERROR(INDEX('Saisie'!$U$5:$U$2004,_xlfn.MAXIFS('Saisie'!$AS$5:$AS$2004,'Saisie'!$C$5:$C$2004,C43,'Saisie'!$U$5:$U$2004,"&lt;&gt;")-4),""))</f>
        <v/>
      </c>
      <c r="K43" s="60">
        <f>IF(C43="","",IFERROR(INDEX('Saisie'!$W$5:$W$2004,_xlfn.MAXIFS('Saisie'!$AS$5:$AS$2004,'Saisie'!$C$5:$C$2004,C43,'Saisie'!$W$5:$W$2004,"&lt;&gt;")-4),""))</f>
        <v/>
      </c>
      <c r="L43" s="60">
        <f>IF(IF(BB43&lt;&gt;"",BB43,K43)="","",HYPERLINK("https://wa.me/"&amp;IF(LEFT(SUBSTITUTE(SUBSTITUTE(SUBSTITUTE(IF(BB43&lt;&gt;"",BB43,K43)," ",""),".",""),"+",""),1)="0",'Paramètres'!$B$35&amp;MID(SUBSTITUTE(SUBSTITUTE(SUBSTITUTE(IF(BB43&lt;&gt;"",BB43,K43)," ",""),".",""),"+",""),2,20),SUBSTITUTE(SUBSTITUTE(SUBSTITUTE(IF(BB43&lt;&gt;"",BB43,K43)," ",""),".",""),"+","")),"WhatsApp"))</f>
        <v/>
      </c>
      <c r="M43" s="60">
        <f>IF(BC43="","",HYPERLINK(IF(LEFT(BC43,4)="http",BC43,"https://www.instagram.com/"&amp;SUBSTITUTE(SUBSTITUTE(BC43,"@","")," ","")),BC43))</f>
        <v/>
      </c>
      <c r="N43" s="60">
        <f>IF(C43="","",IFERROR(INDEX('Saisie'!$D$5:$D$2004,_xlfn.MINIFS('Saisie'!$AS$5:$AS$2004,'Saisie'!$C$5:$C$2004,C43,'Saisie'!$AU$5:$AU$2004,1)-4),IFERROR(INDEX('Saisie'!$D$5:$D$2004,_xlfn.MINIFS('Saisie'!$AS$5:$AS$2004,'Saisie'!$C$5:$C$2004,C43,'Saisie'!$D$5:$D$2004,"&lt;&gt;")-4),"")))</f>
        <v/>
      </c>
      <c r="O43" s="60">
        <f>IF(C43="","",COUNTIFS('Saisie'!$C$5:$C$2004,C43,'Saisie'!$AU$5:$AU$2004,1))</f>
        <v/>
      </c>
      <c r="P43" s="60">
        <f>IF(C43="","",COUNTIFS('Saisie'!$C$5:$C$2004,C43,'Saisie'!$AV$5:$AV$2004,1))</f>
        <v/>
      </c>
      <c r="Q43" s="106">
        <f>IF(C43="","",IFERROR(1/(1/_xlfn.MAXIFS('Saisie'!$A$5:$A$2004,'Saisie'!$C$5:$C$2004,C43)),""))</f>
        <v/>
      </c>
      <c r="R43" s="61">
        <f>IF(C43="","",IF(Q43="","",TODAY()-Q43))</f>
        <v/>
      </c>
      <c r="S43" s="60">
        <f>IF(C43="","",IFERROR(INDEX('Saisie'!$R$5:$R$2004,_xlfn.MAXIFS('Saisie'!$AS$5:$AS$2004,'Saisie'!$C$5:$C$2004,C43,'Saisie'!$R$5:$R$2004,"&lt;&gt;")-4),""))</f>
        <v/>
      </c>
      <c r="T43" s="60">
        <f>IF(C43="","",IFERROR(INDEX('Saisie'!$S$5:$S$2004,_xlfn.MAXIFS('Saisie'!$AS$5:$AS$2004,'Saisie'!$C$5:$C$2004,C43,'Saisie'!$S$5:$S$2004,"&lt;&gt;")-4),""))</f>
        <v/>
      </c>
      <c r="U43" s="60">
        <f>IF(C43="","",IFERROR(INDEX('Saisie'!$T$5:$T$2004,_xlfn.MAXIFS('Saisie'!$AS$5:$AS$2004,'Saisie'!$C$5:$C$2004,C43,'Saisie'!$T$5:$T$2004,"&lt;&gt;")-4),""))</f>
        <v/>
      </c>
      <c r="V43" s="60">
        <f>IF(C43="","",IFERROR(INDEX('Saisie'!$V$5:$V$2004,_xlfn.MAXIFS('Saisie'!$AS$5:$AS$2004,'Saisie'!$C$5:$C$2004,C43,'Saisie'!$V$5:$V$2004,"&lt;&gt;")-4),""))</f>
        <v/>
      </c>
      <c r="W43" s="60">
        <f>IF(C43="","",IFERROR(INDEX('Saisie'!$Z$5:$Z$2004,_xlfn.MAXIFS('Saisie'!$AS$5:$AS$2004,'Saisie'!$C$5:$C$2004,C43,'Saisie'!$Z$5:$Z$2004,"&lt;&gt;")-4),""))</f>
        <v/>
      </c>
      <c r="X43" s="60">
        <f>IF(C43="","",IFERROR(INDEX('Saisie'!$AA$5:$AA$2004,_xlfn.MAXIFS('Saisie'!$AS$5:$AS$2004,'Saisie'!$C$5:$C$2004,C43,'Saisie'!$AA$5:$AA$2004,"&lt;&gt;")-4),""))</f>
        <v/>
      </c>
      <c r="Y43" s="60">
        <f>IF(C43="","",IFERROR(INDEX('Saisie'!$AB$5:$AB$2004,_xlfn.MAXIFS('Saisie'!$AS$5:$AS$2004,'Saisie'!$C$5:$C$2004,C43,'Saisie'!$AB$5:$AB$2004,"&lt;&gt;")-4),""))</f>
        <v/>
      </c>
      <c r="Z43" s="60">
        <f>IF(C43="","",IFERROR(INDEX('Saisie'!$AC$5:$AC$2004,_xlfn.MAXIFS('Saisie'!$AS$5:$AS$2004,'Saisie'!$C$5:$C$2004,C43,'Saisie'!$AC$5:$AC$2004,"&lt;&gt;")-4),""))</f>
        <v/>
      </c>
      <c r="AA43" s="106">
        <f>IF(C43="","",IFERROR(INDEX('Saisie'!$AD$5:$AD$2004,_xlfn.MAXIFS('Saisie'!$AS$5:$AS$2004,'Saisie'!$C$5:$C$2004,C43,'Saisie'!$AD$5:$AD$2004,"&lt;&gt;")-4),""))</f>
        <v/>
      </c>
      <c r="AB43" s="60">
        <f>IF(C43="","",IFERROR(INDEX('Saisie'!$AE$5:$AE$2004,_xlfn.MAXIFS('Saisie'!$AS$5:$AS$2004,'Saisie'!$C$5:$C$2004,C43,'Saisie'!$AE$5:$AE$2004,"&lt;&gt;")-4),""))</f>
        <v/>
      </c>
      <c r="AC43" s="60">
        <f>IF(C43="","",IFERROR(INDEX('Saisie'!$AF$5:$AF$2004,_xlfn.MAXIFS('Saisie'!$AS$5:$AS$2004,'Saisie'!$C$5:$C$2004,C43,'Saisie'!$AF$5:$AF$2004,"&lt;&gt;")-4),""))</f>
        <v/>
      </c>
      <c r="AD43" s="108">
        <f>IF(C43="","",IFERROR(INDEX('Saisie'!$AG$5:$AG$2004,_xlfn.MAXIFS('Saisie'!$AS$5:$AS$2004,'Saisie'!$C$5:$C$2004,C43,'Saisie'!$AG$5:$AG$2004,"&lt;&gt;")-4),""))</f>
        <v/>
      </c>
      <c r="AE43" s="60">
        <f>IF(C43="","",IFERROR(INDEX('Saisie'!$AH$5:$AH$2004,_xlfn.MAXIFS('Saisie'!$AS$5:$AS$2004,'Saisie'!$C$5:$C$2004,C43,'Saisie'!$AH$5:$AH$2004,"&lt;&gt;")-4),""))</f>
        <v/>
      </c>
      <c r="AF43" s="60">
        <f>IF(C43="","",IFERROR(INDEX('Saisie'!$AI$5:$AI$2004,_xlfn.MAXIFS('Saisie'!$AS$5:$AS$2004,'Saisie'!$C$5:$C$2004,C43,'Saisie'!$AI$5:$AI$2004,"&lt;&gt;")-4),""))</f>
        <v/>
      </c>
      <c r="AG43" s="60">
        <f>IF(C43="","",IFERROR(INDEX('Saisie'!$AJ$5:$AJ$2004,_xlfn.MAXIFS('Saisie'!$AS$5:$AS$2004,'Saisie'!$C$5:$C$2004,C43,'Saisie'!$AJ$5:$AJ$2004,"&lt;&gt;")-4),""))</f>
        <v/>
      </c>
      <c r="AH43" s="60">
        <f>IF(C43="","",IFERROR(INDEX('Saisie'!$AK$5:$AK$2004,_xlfn.MAXIFS('Saisie'!$AS$5:$AS$2004,'Saisie'!$C$5:$C$2004,C43,'Saisie'!$AK$5:$AK$2004,"&lt;&gt;")-4),""))</f>
        <v/>
      </c>
      <c r="AI43" s="60">
        <f>IF(C43="","",IFERROR(INDEX('Saisie'!$AN$5:$AN$2004,_xlfn.MAXIFS('Saisie'!$AS$5:$AS$2004,'Saisie'!$C$5:$C$2004,C43,'Saisie'!$AN$5:$AN$2004,"&lt;&gt;")-4),""))</f>
        <v/>
      </c>
      <c r="AJ43" s="60">
        <f>IF(C43="","",IFERROR(INDEX('Saisie'!$AO$5:$AO$2004,_xlfn.MAXIFS('Saisie'!$AS$5:$AS$2004,'Saisie'!$C$5:$C$2004,C43,'Saisie'!$AO$5:$AO$2004,"&lt;&gt;")-4),""))</f>
        <v/>
      </c>
      <c r="AK43" s="60">
        <f>IF(C43="","",IFERROR(INDEX('Saisie'!$AP$5:$AP$2004,_xlfn.MAXIFS('Saisie'!$AS$5:$AS$2004,'Saisie'!$C$5:$C$2004,C43,'Saisie'!$AP$5:$AP$2004,"&lt;&gt;")-4),""))</f>
        <v/>
      </c>
      <c r="AL43" s="60">
        <f>IF(C43="","",IFERROR(INDEX('Saisie'!$AQ$5:$AQ$2004,_xlfn.MAXIFS('Saisie'!$AS$5:$AS$2004,'Saisie'!$C$5:$C$2004,C43,'Saisie'!$AQ$5:$AQ$2004,"&lt;&gt;")-4),""))</f>
        <v/>
      </c>
      <c r="AM43" s="60">
        <f>IF(C43="","",((AI43="Oui")+(AJ43="Oui")+(AK43="Oui")+OR(AL43="Immédiat",AL43="&lt; 1 mois"))&amp;"/4")</f>
        <v/>
      </c>
      <c r="AN43" s="60">
        <f>IF(C43="","",IFERROR(INDEX('Saisie'!$AL$5:$AL$2004,_xlfn.MAXIFS('Saisie'!$AS$5:$AS$2004,'Saisie'!$C$5:$C$2004,C43,'Saisie'!$AL$5:$AL$2004,"&lt;&gt;")-4),""))</f>
        <v/>
      </c>
      <c r="AO43" s="62">
        <f>IF(C43="","",IF(IFERROR(INDEX('Saisie'!$AM$5:$AM$2004,_xlfn.MAXIFS('Saisie'!$AS$5:$AS$2004,'Saisie'!$C$5:$C$2004,C43,'Saisie'!$AM$5:$AM$2004,"&lt;&gt;")-4),"")&lt;&gt;"",IFERROR(INDEX('Saisie'!$AM$5:$AM$2004,_xlfn.MAXIFS('Saisie'!$AS$5:$AS$2004,'Saisie'!$C$5:$C$2004,C43,'Saisie'!$AM$5:$AM$2004,"&lt;&gt;")-4),""),IFERROR(INDEX('Paramètres'!$S$6:$S$15,MATCH(AN43,'Paramètres'!$Q$6:$Q$15,0)),"")))</f>
        <v/>
      </c>
      <c r="AP43" s="62">
        <f>IF(C43="","",IFERROR(INDEX('Saisie'!$AW$5:$AW$2004,_xlfn.MAXIFS('Saisie'!$AS$5:$AS$2004,'Saisie'!$C$5:$C$2004,C43,'Saisie'!$E$5:$E$2004,"Proposition envoyée")-4),""))</f>
        <v/>
      </c>
      <c r="AQ43" s="106">
        <f>IF(C43="","",IFERROR(1/(1/_xlfn.MAXIFS('Saisie'!$A$5:$A$2004,'Saisie'!$C$5:$C$2004,C43,'Saisie'!$E$5:$E$2004,"Proposition envoyée")),""))</f>
        <v/>
      </c>
      <c r="AR43" s="106">
        <f>IF(C43="","",IF(AQ43="","",AQ43+'Paramètres'!$B$26))</f>
        <v/>
      </c>
      <c r="AS43" s="62">
        <f>IF(OR(C43="",D43="Gagné",D43="Perdu"),0,N(AP43)*IFERROR(INDEX('Paramètres'!$G$6:$G$13,MATCH(D43,'Paramètres'!$F$6:$F$13,0)),0))</f>
        <v/>
      </c>
      <c r="AT43" s="106">
        <f>IF(C43="","",IFERROR(1/(1/_xlfn.MINIFS('Saisie'!$A$5:$A$2004,'Saisie'!$C$5:$C$2004,C43,'Saisie'!$E$5:$E$2004,"Signature")),""))</f>
        <v/>
      </c>
      <c r="AU43" s="60">
        <f>IF(C43="","",IF(OR(AT43="",B43=""),"",AT43-B43))</f>
        <v/>
      </c>
      <c r="AV43" s="60">
        <f>IF(C43="","",IFERROR(INDEX('Saisie'!$L$5:$L$2004,_xlfn.MAXIFS('Saisie'!$AS$5:$AS$2004,'Saisie'!$C$5:$C$2004,C43,'Saisie'!$L$5:$L$2004,"&lt;&gt;")-4),""))</f>
        <v/>
      </c>
      <c r="AW43" s="106">
        <f>IF(C43="","",IF(D43&lt;&gt;"Perdu","",IFERROR(1/(1/_xlfn.MAXIFS('Saisie'!$A$5:$A$2004,'Saisie'!$C$5:$C$2004,C43,'Saisie'!$E$5:$E$2004,"Perdu")),"")))</f>
        <v/>
      </c>
      <c r="AX43" s="106">
        <f>IF(C43="","",IF(AW43="","",AW43+'Paramètres'!$B$28))</f>
        <v/>
      </c>
      <c r="AY43" s="60">
        <f>IF(C43="","",SUMIFS('Saisie'!$H$5:$H$2004,'Saisie'!$C$5:$C$2004,C43))</f>
        <v/>
      </c>
      <c r="AZ43" s="60">
        <f>IF(C43="","",IFERROR(INDEX('Paramètres'!$W$6:$W$20,MATCH(S43,'Paramètres'!$V$6:$V$20,0))&amp;"",""))</f>
        <v/>
      </c>
      <c r="BA43" s="60">
        <f>IF(C43="","",MAX(1,_xlfn.MAXIFS('Saisie'!$AT$5:$AT$2004,'Saisie'!$C$5:$C$2004,C43)))</f>
        <v/>
      </c>
      <c r="BB43" s="60">
        <f>IF(C43="","",IFERROR(INDEX('Saisie'!$X$5:$X$2004,_xlfn.MAXIFS('Saisie'!$AS$5:$AS$2004,'Saisie'!$C$5:$C$2004,C43,'Saisie'!$X$5:$X$2004,"&lt;&gt;")-4),""))</f>
        <v/>
      </c>
      <c r="BC43" s="60">
        <f>IF(C43="","",IFERROR(INDEX('Saisie'!$Y$5:$Y$2004,_xlfn.MAXIFS('Saisie'!$AS$5:$AS$2004,'Saisie'!$C$5:$C$2004,C43,'Saisie'!$Y$5:$Y$2004,"&lt;&gt;")-4),""))</f>
        <v/>
      </c>
      <c r="BD43" s="106">
        <f>IF(C43="","",IFERROR(1/(1/_xlfn.MINIFS('Saisie'!$A$5:$A$2004,'Saisie'!$C$5:$C$2004,C43,'Saisie'!$AT$5:$AT$2004,"&gt;=2")),""))</f>
        <v/>
      </c>
      <c r="BE43" s="106">
        <f>IF(C43="","",IFERROR(1/(1/_xlfn.MINIFS('Saisie'!$A$5:$A$2004,'Saisie'!$C$5:$C$2004,C43,'Saisie'!$AT$5:$AT$2004,"&gt;=3")),""))</f>
        <v/>
      </c>
      <c r="BF43" s="106">
        <f>IF(C43="","",IFERROR(1/(1/_xlfn.MINIFS('Saisie'!$A$5:$A$2004,'Saisie'!$C$5:$C$2004,C43,'Saisie'!$AT$5:$AT$2004,"&gt;=4")),""))</f>
        <v/>
      </c>
      <c r="BG43" s="106">
        <f>IF(C43="","",IFERROR(1/(1/_xlfn.MINIFS('Saisie'!$A$5:$A$2004,'Saisie'!$C$5:$C$2004,C43,'Saisie'!$AT$5:$AT$2004,"&gt;=5")),""))</f>
        <v/>
      </c>
      <c r="BH43" s="106">
        <f>IF(C43="","",IFERROR(1/(1/_xlfn.MINIFS('Saisie'!$A$5:$A$2004,'Saisie'!$C$5:$C$2004,C43,'Saisie'!$AT$5:$AT$2004,"&gt;=6")),""))</f>
        <v/>
      </c>
      <c r="BI43" s="106">
        <f>IF(C43="","",IFERROR(1/(1/_xlfn.MINIFS('Saisie'!$A$5:$A$2004,'Saisie'!$C$5:$C$2004,C43,'Saisie'!$AT$5:$AT$2004,"&gt;=7")),""))</f>
        <v/>
      </c>
      <c r="BJ43" s="60">
        <f>IF(OR(BD43="",B43=""),"",BD43-B43)</f>
        <v/>
      </c>
      <c r="BK43" s="60">
        <f>IF(OR(BE43="",BD43=""),"",BE43-BD43)</f>
        <v/>
      </c>
      <c r="BL43" s="60">
        <f>IF(OR(BF43="",BE43=""),"",BF43-BE43)</f>
        <v/>
      </c>
      <c r="BM43" s="60">
        <f>IF(OR(BG43="",BF43=""),"",BG43-BF43)</f>
        <v/>
      </c>
      <c r="BN43" s="60">
        <f>IF(OR(BH43="",BG43=""),"",BH43-BG43)</f>
        <v/>
      </c>
      <c r="BO43" s="60">
        <f>IF(OR(BI43="",BH43=""),"",BI43-BH43)</f>
        <v/>
      </c>
      <c r="BP43" s="60">
        <f>IF(C43="","",_xlfn.MAXIFS('Saisie'!$AS$5:$AS$2004,'Saisie'!$C$5:$C$2004,C43,'Saisie'!$J$5:$J$2004,"&lt;&gt;"))</f>
        <v/>
      </c>
      <c r="BQ43" s="60">
        <f>IF(C43="","",_xlfn.MAXIFS('Saisie'!$AS$5:$AS$2004,'Saisie'!$C$5:$C$2004,C43))</f>
        <v/>
      </c>
      <c r="BR43" s="60">
        <f>IF(C43="","",_xlfn.MAXIFS('Saisie'!$AS$5:$AS$2004,'Saisie'!$C$5:$C$2004,C43,'Saisie'!$E$5:$E$2004,"Perdu"))</f>
        <v/>
      </c>
      <c r="BS43" s="60">
        <f>IF(C43="","",_xlfn.MAXIFS('Saisie'!$AS$5:$AS$2004,'Saisie'!$C$5:$C$2004,C43,'Saisie'!$AT$5:$AT$2004,"&gt;0"))</f>
        <v/>
      </c>
      <c r="BT43" s="109">
        <f>IF(AND(C43&lt;&gt;"",OR(D43="Nouveau",D43="Contacté",D43="Qualifié"),OR(G43="",N(G43)&lt;=TODAY()),NOT(AND(O43&gt;='Paramètres'!$B$21,P43=0))),E43+39/10000,"")</f>
        <v/>
      </c>
      <c r="BU43" s="60">
        <f>IF(AND(G43&lt;&gt;"",N(G43)&lt;=TODAY()),MAX($BU$4:BU42)+1,"")</f>
        <v/>
      </c>
      <c r="BV43" s="60">
        <f>IF(AND(F43&lt;&gt;"",F43&lt;&gt;"Relance en retard"),MAX($BV$4:BV42)+1,"")</f>
        <v/>
      </c>
      <c r="BW43" s="60">
        <f>IF(C43="","",IF(AND(B43&gt;='Tableau de bord'!$R$4,B43&lt;='Tableau de bord'!$S$4,OR('Tableau de bord'!$G$4="Tous",N43='Tableau de bord'!$G$4)),1,0))</f>
        <v/>
      </c>
      <c r="BX43" s="60">
        <f>IF(AND(C43&lt;&gt;"",N(BA43)=7),MAX($BX$4:BX42)+1,"")</f>
        <v/>
      </c>
    </row>
    <row r="44">
      <c r="A44" s="60">
        <f>IF(C44="","","P-"&amp;TEXT(40,"000"))</f>
        <v/>
      </c>
      <c r="B44" s="106">
        <f>IF(C44="","",IFERROR(1/(1/_xlfn.MINIFS('Saisie'!$A$5:$A$2004,'Saisie'!$C$5:$C$2004,C44)),""))</f>
        <v/>
      </c>
      <c r="C44" s="60">
        <f>IFERROR(INDEX('Saisie'!$C$5:$C$2004,MATCH(40,'Saisie'!$AX$5:$AX$2004,0)),"")</f>
        <v/>
      </c>
      <c r="D44" s="60">
        <f>IF(C44="","",IF(AND(BR44&gt;0,BR44&gt;BS44,BA44&lt;7),"Perdu",INDEX('Paramètres'!$F$6:$F$13,BA44)))</f>
        <v/>
      </c>
      <c r="E44" s="61">
        <f>IF(C44="","",MIN(100,(Z44="Oui")*'Paramètres'!$B$38+(AB44="Régulière")*'Paramètres'!$B$39+IF(AND(N(AA44)&gt;0,TODAY()-N(AA44)&lt;=30),'Paramètres'!$B$40,0)+(W44="")*'Paramètres'!$B$41+(AC44="Absente")*'Paramètres'!$B$42+(AC44="Faible")*'Paramètres'!$B$43+IF(AND(N(AD44)&gt;0,N(AD44)&lt;4),'Paramètres'!$B$44,0)+(AF44="Moyenne")*'Paramètres'!$B$45+(AF44="Grande")*'Paramètres'!$B$46+(Y44&lt;&gt;"")*'Paramètres'!$B$47))</f>
        <v/>
      </c>
      <c r="F44" s="60">
        <f>IF(C44="","",IF(D44="Gagné","",IF(D44="Perdu",IF(AND(AX44&lt;&gt;"",AX44&lt;=TODAY()),"À recontacter (perdu)",""),IF(AND(O44&gt;='Paramètres'!$B$21,P44=0),"Stop : "&amp;'Paramètres'!$B$21&amp;" tentatives sans réponse",IF(AND(D44="Proposition",AR44&lt;&gt;"",TODAY()&gt;N(AR44)),"Proposition expirée",IF(AND(D44="Proposition",N(R44)&gt;='Paramètres'!$B$25),"Proposition sans réponse",IF(AND(G44&lt;&gt;"",N(G44)&lt;TODAY()),"Relance en retard",IF(N(R44)&gt;='Paramètres'!$B$24,"Sans action depuis "&amp;R44&amp;" j",""))))))))</f>
        <v/>
      </c>
      <c r="G44" s="106">
        <f>IF(OR(C44="",D44="Gagné",D44="Perdu"),"",IF(AND(BP44&gt;0,BP44=BQ44),INDEX('Saisie'!$J$5:$J$2004,BP44-4),IF(OR(O44=0,AND(O44&gt;='Paramètres'!$B$21,P44=0)),"",Q44+IF(O44&lt;=1,'Paramètres'!$B$18,IF(O44=2,'Paramètres'!$B$19,'Paramètres'!$B$20)))))</f>
        <v/>
      </c>
      <c r="H44" s="107">
        <f>IF(OR(G44="",BP44&lt;&gt;BQ44),"",IF(INDEX('Saisie'!$K$5:$K$2004,BP44-4)="","",INDEX('Saisie'!$K$5:$K$2004,BP44-4)))</f>
        <v/>
      </c>
      <c r="I44" s="60">
        <f>IF(C44="","",IF(OR(D44="Gagné",D44="Perdu"),"",IFERROR(INDEX('Saisie'!$I$5:$I$2004,_xlfn.MAXIFS('Saisie'!$AS$5:$AS$2004,'Saisie'!$C$5:$C$2004,C44,'Saisie'!$I$5:$I$2004,"&lt;&gt;")-4),"")))</f>
        <v/>
      </c>
      <c r="J44" s="60">
        <f>IF(C44="","",IFERROR(INDEX('Saisie'!$U$5:$U$2004,_xlfn.MAXIFS('Saisie'!$AS$5:$AS$2004,'Saisie'!$C$5:$C$2004,C44,'Saisie'!$U$5:$U$2004,"&lt;&gt;")-4),""))</f>
        <v/>
      </c>
      <c r="K44" s="60">
        <f>IF(C44="","",IFERROR(INDEX('Saisie'!$W$5:$W$2004,_xlfn.MAXIFS('Saisie'!$AS$5:$AS$2004,'Saisie'!$C$5:$C$2004,C44,'Saisie'!$W$5:$W$2004,"&lt;&gt;")-4),""))</f>
        <v/>
      </c>
      <c r="L44" s="60">
        <f>IF(IF(BB44&lt;&gt;"",BB44,K44)="","",HYPERLINK("https://wa.me/"&amp;IF(LEFT(SUBSTITUTE(SUBSTITUTE(SUBSTITUTE(IF(BB44&lt;&gt;"",BB44,K44)," ",""),".",""),"+",""),1)="0",'Paramètres'!$B$35&amp;MID(SUBSTITUTE(SUBSTITUTE(SUBSTITUTE(IF(BB44&lt;&gt;"",BB44,K44)," ",""),".",""),"+",""),2,20),SUBSTITUTE(SUBSTITUTE(SUBSTITUTE(IF(BB44&lt;&gt;"",BB44,K44)," ",""),".",""),"+","")),"WhatsApp"))</f>
        <v/>
      </c>
      <c r="M44" s="60">
        <f>IF(BC44="","",HYPERLINK(IF(LEFT(BC44,4)="http",BC44,"https://www.instagram.com/"&amp;SUBSTITUTE(SUBSTITUTE(BC44,"@","")," ","")),BC44))</f>
        <v/>
      </c>
      <c r="N44" s="60">
        <f>IF(C44="","",IFERROR(INDEX('Saisie'!$D$5:$D$2004,_xlfn.MINIFS('Saisie'!$AS$5:$AS$2004,'Saisie'!$C$5:$C$2004,C44,'Saisie'!$AU$5:$AU$2004,1)-4),IFERROR(INDEX('Saisie'!$D$5:$D$2004,_xlfn.MINIFS('Saisie'!$AS$5:$AS$2004,'Saisie'!$C$5:$C$2004,C44,'Saisie'!$D$5:$D$2004,"&lt;&gt;")-4),"")))</f>
        <v/>
      </c>
      <c r="O44" s="60">
        <f>IF(C44="","",COUNTIFS('Saisie'!$C$5:$C$2004,C44,'Saisie'!$AU$5:$AU$2004,1))</f>
        <v/>
      </c>
      <c r="P44" s="60">
        <f>IF(C44="","",COUNTIFS('Saisie'!$C$5:$C$2004,C44,'Saisie'!$AV$5:$AV$2004,1))</f>
        <v/>
      </c>
      <c r="Q44" s="106">
        <f>IF(C44="","",IFERROR(1/(1/_xlfn.MAXIFS('Saisie'!$A$5:$A$2004,'Saisie'!$C$5:$C$2004,C44)),""))</f>
        <v/>
      </c>
      <c r="R44" s="61">
        <f>IF(C44="","",IF(Q44="","",TODAY()-Q44))</f>
        <v/>
      </c>
      <c r="S44" s="60">
        <f>IF(C44="","",IFERROR(INDEX('Saisie'!$R$5:$R$2004,_xlfn.MAXIFS('Saisie'!$AS$5:$AS$2004,'Saisie'!$C$5:$C$2004,C44,'Saisie'!$R$5:$R$2004,"&lt;&gt;")-4),""))</f>
        <v/>
      </c>
      <c r="T44" s="60">
        <f>IF(C44="","",IFERROR(INDEX('Saisie'!$S$5:$S$2004,_xlfn.MAXIFS('Saisie'!$AS$5:$AS$2004,'Saisie'!$C$5:$C$2004,C44,'Saisie'!$S$5:$S$2004,"&lt;&gt;")-4),""))</f>
        <v/>
      </c>
      <c r="U44" s="60">
        <f>IF(C44="","",IFERROR(INDEX('Saisie'!$T$5:$T$2004,_xlfn.MAXIFS('Saisie'!$AS$5:$AS$2004,'Saisie'!$C$5:$C$2004,C44,'Saisie'!$T$5:$T$2004,"&lt;&gt;")-4),""))</f>
        <v/>
      </c>
      <c r="V44" s="60">
        <f>IF(C44="","",IFERROR(INDEX('Saisie'!$V$5:$V$2004,_xlfn.MAXIFS('Saisie'!$AS$5:$AS$2004,'Saisie'!$C$5:$C$2004,C44,'Saisie'!$V$5:$V$2004,"&lt;&gt;")-4),""))</f>
        <v/>
      </c>
      <c r="W44" s="60">
        <f>IF(C44="","",IFERROR(INDEX('Saisie'!$Z$5:$Z$2004,_xlfn.MAXIFS('Saisie'!$AS$5:$AS$2004,'Saisie'!$C$5:$C$2004,C44,'Saisie'!$Z$5:$Z$2004,"&lt;&gt;")-4),""))</f>
        <v/>
      </c>
      <c r="X44" s="60">
        <f>IF(C44="","",IFERROR(INDEX('Saisie'!$AA$5:$AA$2004,_xlfn.MAXIFS('Saisie'!$AS$5:$AS$2004,'Saisie'!$C$5:$C$2004,C44,'Saisie'!$AA$5:$AA$2004,"&lt;&gt;")-4),""))</f>
        <v/>
      </c>
      <c r="Y44" s="60">
        <f>IF(C44="","",IFERROR(INDEX('Saisie'!$AB$5:$AB$2004,_xlfn.MAXIFS('Saisie'!$AS$5:$AS$2004,'Saisie'!$C$5:$C$2004,C44,'Saisie'!$AB$5:$AB$2004,"&lt;&gt;")-4),""))</f>
        <v/>
      </c>
      <c r="Z44" s="60">
        <f>IF(C44="","",IFERROR(INDEX('Saisie'!$AC$5:$AC$2004,_xlfn.MAXIFS('Saisie'!$AS$5:$AS$2004,'Saisie'!$C$5:$C$2004,C44,'Saisie'!$AC$5:$AC$2004,"&lt;&gt;")-4),""))</f>
        <v/>
      </c>
      <c r="AA44" s="106">
        <f>IF(C44="","",IFERROR(INDEX('Saisie'!$AD$5:$AD$2004,_xlfn.MAXIFS('Saisie'!$AS$5:$AS$2004,'Saisie'!$C$5:$C$2004,C44,'Saisie'!$AD$5:$AD$2004,"&lt;&gt;")-4),""))</f>
        <v/>
      </c>
      <c r="AB44" s="60">
        <f>IF(C44="","",IFERROR(INDEX('Saisie'!$AE$5:$AE$2004,_xlfn.MAXIFS('Saisie'!$AS$5:$AS$2004,'Saisie'!$C$5:$C$2004,C44,'Saisie'!$AE$5:$AE$2004,"&lt;&gt;")-4),""))</f>
        <v/>
      </c>
      <c r="AC44" s="60">
        <f>IF(C44="","",IFERROR(INDEX('Saisie'!$AF$5:$AF$2004,_xlfn.MAXIFS('Saisie'!$AS$5:$AS$2004,'Saisie'!$C$5:$C$2004,C44,'Saisie'!$AF$5:$AF$2004,"&lt;&gt;")-4),""))</f>
        <v/>
      </c>
      <c r="AD44" s="108">
        <f>IF(C44="","",IFERROR(INDEX('Saisie'!$AG$5:$AG$2004,_xlfn.MAXIFS('Saisie'!$AS$5:$AS$2004,'Saisie'!$C$5:$C$2004,C44,'Saisie'!$AG$5:$AG$2004,"&lt;&gt;")-4),""))</f>
        <v/>
      </c>
      <c r="AE44" s="60">
        <f>IF(C44="","",IFERROR(INDEX('Saisie'!$AH$5:$AH$2004,_xlfn.MAXIFS('Saisie'!$AS$5:$AS$2004,'Saisie'!$C$5:$C$2004,C44,'Saisie'!$AH$5:$AH$2004,"&lt;&gt;")-4),""))</f>
        <v/>
      </c>
      <c r="AF44" s="60">
        <f>IF(C44="","",IFERROR(INDEX('Saisie'!$AI$5:$AI$2004,_xlfn.MAXIFS('Saisie'!$AS$5:$AS$2004,'Saisie'!$C$5:$C$2004,C44,'Saisie'!$AI$5:$AI$2004,"&lt;&gt;")-4),""))</f>
        <v/>
      </c>
      <c r="AG44" s="60">
        <f>IF(C44="","",IFERROR(INDEX('Saisie'!$AJ$5:$AJ$2004,_xlfn.MAXIFS('Saisie'!$AS$5:$AS$2004,'Saisie'!$C$5:$C$2004,C44,'Saisie'!$AJ$5:$AJ$2004,"&lt;&gt;")-4),""))</f>
        <v/>
      </c>
      <c r="AH44" s="60">
        <f>IF(C44="","",IFERROR(INDEX('Saisie'!$AK$5:$AK$2004,_xlfn.MAXIFS('Saisie'!$AS$5:$AS$2004,'Saisie'!$C$5:$C$2004,C44,'Saisie'!$AK$5:$AK$2004,"&lt;&gt;")-4),""))</f>
        <v/>
      </c>
      <c r="AI44" s="60">
        <f>IF(C44="","",IFERROR(INDEX('Saisie'!$AN$5:$AN$2004,_xlfn.MAXIFS('Saisie'!$AS$5:$AS$2004,'Saisie'!$C$5:$C$2004,C44,'Saisie'!$AN$5:$AN$2004,"&lt;&gt;")-4),""))</f>
        <v/>
      </c>
      <c r="AJ44" s="60">
        <f>IF(C44="","",IFERROR(INDEX('Saisie'!$AO$5:$AO$2004,_xlfn.MAXIFS('Saisie'!$AS$5:$AS$2004,'Saisie'!$C$5:$C$2004,C44,'Saisie'!$AO$5:$AO$2004,"&lt;&gt;")-4),""))</f>
        <v/>
      </c>
      <c r="AK44" s="60">
        <f>IF(C44="","",IFERROR(INDEX('Saisie'!$AP$5:$AP$2004,_xlfn.MAXIFS('Saisie'!$AS$5:$AS$2004,'Saisie'!$C$5:$C$2004,C44,'Saisie'!$AP$5:$AP$2004,"&lt;&gt;")-4),""))</f>
        <v/>
      </c>
      <c r="AL44" s="60">
        <f>IF(C44="","",IFERROR(INDEX('Saisie'!$AQ$5:$AQ$2004,_xlfn.MAXIFS('Saisie'!$AS$5:$AS$2004,'Saisie'!$C$5:$C$2004,C44,'Saisie'!$AQ$5:$AQ$2004,"&lt;&gt;")-4),""))</f>
        <v/>
      </c>
      <c r="AM44" s="60">
        <f>IF(C44="","",((AI44="Oui")+(AJ44="Oui")+(AK44="Oui")+OR(AL44="Immédiat",AL44="&lt; 1 mois"))&amp;"/4")</f>
        <v/>
      </c>
      <c r="AN44" s="60">
        <f>IF(C44="","",IFERROR(INDEX('Saisie'!$AL$5:$AL$2004,_xlfn.MAXIFS('Saisie'!$AS$5:$AS$2004,'Saisie'!$C$5:$C$2004,C44,'Saisie'!$AL$5:$AL$2004,"&lt;&gt;")-4),""))</f>
        <v/>
      </c>
      <c r="AO44" s="62">
        <f>IF(C44="","",IF(IFERROR(INDEX('Saisie'!$AM$5:$AM$2004,_xlfn.MAXIFS('Saisie'!$AS$5:$AS$2004,'Saisie'!$C$5:$C$2004,C44,'Saisie'!$AM$5:$AM$2004,"&lt;&gt;")-4),"")&lt;&gt;"",IFERROR(INDEX('Saisie'!$AM$5:$AM$2004,_xlfn.MAXIFS('Saisie'!$AS$5:$AS$2004,'Saisie'!$C$5:$C$2004,C44,'Saisie'!$AM$5:$AM$2004,"&lt;&gt;")-4),""),IFERROR(INDEX('Paramètres'!$S$6:$S$15,MATCH(AN44,'Paramètres'!$Q$6:$Q$15,0)),"")))</f>
        <v/>
      </c>
      <c r="AP44" s="62">
        <f>IF(C44="","",IFERROR(INDEX('Saisie'!$AW$5:$AW$2004,_xlfn.MAXIFS('Saisie'!$AS$5:$AS$2004,'Saisie'!$C$5:$C$2004,C44,'Saisie'!$E$5:$E$2004,"Proposition envoyée")-4),""))</f>
        <v/>
      </c>
      <c r="AQ44" s="106">
        <f>IF(C44="","",IFERROR(1/(1/_xlfn.MAXIFS('Saisie'!$A$5:$A$2004,'Saisie'!$C$5:$C$2004,C44,'Saisie'!$E$5:$E$2004,"Proposition envoyée")),""))</f>
        <v/>
      </c>
      <c r="AR44" s="106">
        <f>IF(C44="","",IF(AQ44="","",AQ44+'Paramètres'!$B$26))</f>
        <v/>
      </c>
      <c r="AS44" s="62">
        <f>IF(OR(C44="",D44="Gagné",D44="Perdu"),0,N(AP44)*IFERROR(INDEX('Paramètres'!$G$6:$G$13,MATCH(D44,'Paramètres'!$F$6:$F$13,0)),0))</f>
        <v/>
      </c>
      <c r="AT44" s="106">
        <f>IF(C44="","",IFERROR(1/(1/_xlfn.MINIFS('Saisie'!$A$5:$A$2004,'Saisie'!$C$5:$C$2004,C44,'Saisie'!$E$5:$E$2004,"Signature")),""))</f>
        <v/>
      </c>
      <c r="AU44" s="60">
        <f>IF(C44="","",IF(OR(AT44="",B44=""),"",AT44-B44))</f>
        <v/>
      </c>
      <c r="AV44" s="60">
        <f>IF(C44="","",IFERROR(INDEX('Saisie'!$L$5:$L$2004,_xlfn.MAXIFS('Saisie'!$AS$5:$AS$2004,'Saisie'!$C$5:$C$2004,C44,'Saisie'!$L$5:$L$2004,"&lt;&gt;")-4),""))</f>
        <v/>
      </c>
      <c r="AW44" s="106">
        <f>IF(C44="","",IF(D44&lt;&gt;"Perdu","",IFERROR(1/(1/_xlfn.MAXIFS('Saisie'!$A$5:$A$2004,'Saisie'!$C$5:$C$2004,C44,'Saisie'!$E$5:$E$2004,"Perdu")),"")))</f>
        <v/>
      </c>
      <c r="AX44" s="106">
        <f>IF(C44="","",IF(AW44="","",AW44+'Paramètres'!$B$28))</f>
        <v/>
      </c>
      <c r="AY44" s="60">
        <f>IF(C44="","",SUMIFS('Saisie'!$H$5:$H$2004,'Saisie'!$C$5:$C$2004,C44))</f>
        <v/>
      </c>
      <c r="AZ44" s="60">
        <f>IF(C44="","",IFERROR(INDEX('Paramètres'!$W$6:$W$20,MATCH(S44,'Paramètres'!$V$6:$V$20,0))&amp;"",""))</f>
        <v/>
      </c>
      <c r="BA44" s="60">
        <f>IF(C44="","",MAX(1,_xlfn.MAXIFS('Saisie'!$AT$5:$AT$2004,'Saisie'!$C$5:$C$2004,C44)))</f>
        <v/>
      </c>
      <c r="BB44" s="60">
        <f>IF(C44="","",IFERROR(INDEX('Saisie'!$X$5:$X$2004,_xlfn.MAXIFS('Saisie'!$AS$5:$AS$2004,'Saisie'!$C$5:$C$2004,C44,'Saisie'!$X$5:$X$2004,"&lt;&gt;")-4),""))</f>
        <v/>
      </c>
      <c r="BC44" s="60">
        <f>IF(C44="","",IFERROR(INDEX('Saisie'!$Y$5:$Y$2004,_xlfn.MAXIFS('Saisie'!$AS$5:$AS$2004,'Saisie'!$C$5:$C$2004,C44,'Saisie'!$Y$5:$Y$2004,"&lt;&gt;")-4),""))</f>
        <v/>
      </c>
      <c r="BD44" s="106">
        <f>IF(C44="","",IFERROR(1/(1/_xlfn.MINIFS('Saisie'!$A$5:$A$2004,'Saisie'!$C$5:$C$2004,C44,'Saisie'!$AT$5:$AT$2004,"&gt;=2")),""))</f>
        <v/>
      </c>
      <c r="BE44" s="106">
        <f>IF(C44="","",IFERROR(1/(1/_xlfn.MINIFS('Saisie'!$A$5:$A$2004,'Saisie'!$C$5:$C$2004,C44,'Saisie'!$AT$5:$AT$2004,"&gt;=3")),""))</f>
        <v/>
      </c>
      <c r="BF44" s="106">
        <f>IF(C44="","",IFERROR(1/(1/_xlfn.MINIFS('Saisie'!$A$5:$A$2004,'Saisie'!$C$5:$C$2004,C44,'Saisie'!$AT$5:$AT$2004,"&gt;=4")),""))</f>
        <v/>
      </c>
      <c r="BG44" s="106">
        <f>IF(C44="","",IFERROR(1/(1/_xlfn.MINIFS('Saisie'!$A$5:$A$2004,'Saisie'!$C$5:$C$2004,C44,'Saisie'!$AT$5:$AT$2004,"&gt;=5")),""))</f>
        <v/>
      </c>
      <c r="BH44" s="106">
        <f>IF(C44="","",IFERROR(1/(1/_xlfn.MINIFS('Saisie'!$A$5:$A$2004,'Saisie'!$C$5:$C$2004,C44,'Saisie'!$AT$5:$AT$2004,"&gt;=6")),""))</f>
        <v/>
      </c>
      <c r="BI44" s="106">
        <f>IF(C44="","",IFERROR(1/(1/_xlfn.MINIFS('Saisie'!$A$5:$A$2004,'Saisie'!$C$5:$C$2004,C44,'Saisie'!$AT$5:$AT$2004,"&gt;=7")),""))</f>
        <v/>
      </c>
      <c r="BJ44" s="60">
        <f>IF(OR(BD44="",B44=""),"",BD44-B44)</f>
        <v/>
      </c>
      <c r="BK44" s="60">
        <f>IF(OR(BE44="",BD44=""),"",BE44-BD44)</f>
        <v/>
      </c>
      <c r="BL44" s="60">
        <f>IF(OR(BF44="",BE44=""),"",BF44-BE44)</f>
        <v/>
      </c>
      <c r="BM44" s="60">
        <f>IF(OR(BG44="",BF44=""),"",BG44-BF44)</f>
        <v/>
      </c>
      <c r="BN44" s="60">
        <f>IF(OR(BH44="",BG44=""),"",BH44-BG44)</f>
        <v/>
      </c>
      <c r="BO44" s="60">
        <f>IF(OR(BI44="",BH44=""),"",BI44-BH44)</f>
        <v/>
      </c>
      <c r="BP44" s="60">
        <f>IF(C44="","",_xlfn.MAXIFS('Saisie'!$AS$5:$AS$2004,'Saisie'!$C$5:$C$2004,C44,'Saisie'!$J$5:$J$2004,"&lt;&gt;"))</f>
        <v/>
      </c>
      <c r="BQ44" s="60">
        <f>IF(C44="","",_xlfn.MAXIFS('Saisie'!$AS$5:$AS$2004,'Saisie'!$C$5:$C$2004,C44))</f>
        <v/>
      </c>
      <c r="BR44" s="60">
        <f>IF(C44="","",_xlfn.MAXIFS('Saisie'!$AS$5:$AS$2004,'Saisie'!$C$5:$C$2004,C44,'Saisie'!$E$5:$E$2004,"Perdu"))</f>
        <v/>
      </c>
      <c r="BS44" s="60">
        <f>IF(C44="","",_xlfn.MAXIFS('Saisie'!$AS$5:$AS$2004,'Saisie'!$C$5:$C$2004,C44,'Saisie'!$AT$5:$AT$2004,"&gt;0"))</f>
        <v/>
      </c>
      <c r="BT44" s="109">
        <f>IF(AND(C44&lt;&gt;"",OR(D44="Nouveau",D44="Contacté",D44="Qualifié"),OR(G44="",N(G44)&lt;=TODAY()),NOT(AND(O44&gt;='Paramètres'!$B$21,P44=0))),E44+40/10000,"")</f>
        <v/>
      </c>
      <c r="BU44" s="60">
        <f>IF(AND(G44&lt;&gt;"",N(G44)&lt;=TODAY()),MAX($BU$4:BU43)+1,"")</f>
        <v/>
      </c>
      <c r="BV44" s="60">
        <f>IF(AND(F44&lt;&gt;"",F44&lt;&gt;"Relance en retard"),MAX($BV$4:BV43)+1,"")</f>
        <v/>
      </c>
      <c r="BW44" s="60">
        <f>IF(C44="","",IF(AND(B44&gt;='Tableau de bord'!$R$4,B44&lt;='Tableau de bord'!$S$4,OR('Tableau de bord'!$G$4="Tous",N44='Tableau de bord'!$G$4)),1,0))</f>
        <v/>
      </c>
      <c r="BX44" s="60">
        <f>IF(AND(C44&lt;&gt;"",N(BA44)=7),MAX($BX$4:BX43)+1,"")</f>
        <v/>
      </c>
    </row>
    <row r="45">
      <c r="A45" s="60">
        <f>IF(C45="","","P-"&amp;TEXT(41,"000"))</f>
        <v/>
      </c>
      <c r="B45" s="106">
        <f>IF(C45="","",IFERROR(1/(1/_xlfn.MINIFS('Saisie'!$A$5:$A$2004,'Saisie'!$C$5:$C$2004,C45)),""))</f>
        <v/>
      </c>
      <c r="C45" s="60">
        <f>IFERROR(INDEX('Saisie'!$C$5:$C$2004,MATCH(41,'Saisie'!$AX$5:$AX$2004,0)),"")</f>
        <v/>
      </c>
      <c r="D45" s="60">
        <f>IF(C45="","",IF(AND(BR45&gt;0,BR45&gt;BS45,BA45&lt;7),"Perdu",INDEX('Paramètres'!$F$6:$F$13,BA45)))</f>
        <v/>
      </c>
      <c r="E45" s="61">
        <f>IF(C45="","",MIN(100,(Z45="Oui")*'Paramètres'!$B$38+(AB45="Régulière")*'Paramètres'!$B$39+IF(AND(N(AA45)&gt;0,TODAY()-N(AA45)&lt;=30),'Paramètres'!$B$40,0)+(W45="")*'Paramètres'!$B$41+(AC45="Absente")*'Paramètres'!$B$42+(AC45="Faible")*'Paramètres'!$B$43+IF(AND(N(AD45)&gt;0,N(AD45)&lt;4),'Paramètres'!$B$44,0)+(AF45="Moyenne")*'Paramètres'!$B$45+(AF45="Grande")*'Paramètres'!$B$46+(Y45&lt;&gt;"")*'Paramètres'!$B$47))</f>
        <v/>
      </c>
      <c r="F45" s="60">
        <f>IF(C45="","",IF(D45="Gagné","",IF(D45="Perdu",IF(AND(AX45&lt;&gt;"",AX45&lt;=TODAY()),"À recontacter (perdu)",""),IF(AND(O45&gt;='Paramètres'!$B$21,P45=0),"Stop : "&amp;'Paramètres'!$B$21&amp;" tentatives sans réponse",IF(AND(D45="Proposition",AR45&lt;&gt;"",TODAY()&gt;N(AR45)),"Proposition expirée",IF(AND(D45="Proposition",N(R45)&gt;='Paramètres'!$B$25),"Proposition sans réponse",IF(AND(G45&lt;&gt;"",N(G45)&lt;TODAY()),"Relance en retard",IF(N(R45)&gt;='Paramètres'!$B$24,"Sans action depuis "&amp;R45&amp;" j",""))))))))</f>
        <v/>
      </c>
      <c r="G45" s="106">
        <f>IF(OR(C45="",D45="Gagné",D45="Perdu"),"",IF(AND(BP45&gt;0,BP45=BQ45),INDEX('Saisie'!$J$5:$J$2004,BP45-4),IF(OR(O45=0,AND(O45&gt;='Paramètres'!$B$21,P45=0)),"",Q45+IF(O45&lt;=1,'Paramètres'!$B$18,IF(O45=2,'Paramètres'!$B$19,'Paramètres'!$B$20)))))</f>
        <v/>
      </c>
      <c r="H45" s="107">
        <f>IF(OR(G45="",BP45&lt;&gt;BQ45),"",IF(INDEX('Saisie'!$K$5:$K$2004,BP45-4)="","",INDEX('Saisie'!$K$5:$K$2004,BP45-4)))</f>
        <v/>
      </c>
      <c r="I45" s="60">
        <f>IF(C45="","",IF(OR(D45="Gagné",D45="Perdu"),"",IFERROR(INDEX('Saisie'!$I$5:$I$2004,_xlfn.MAXIFS('Saisie'!$AS$5:$AS$2004,'Saisie'!$C$5:$C$2004,C45,'Saisie'!$I$5:$I$2004,"&lt;&gt;")-4),"")))</f>
        <v/>
      </c>
      <c r="J45" s="60">
        <f>IF(C45="","",IFERROR(INDEX('Saisie'!$U$5:$U$2004,_xlfn.MAXIFS('Saisie'!$AS$5:$AS$2004,'Saisie'!$C$5:$C$2004,C45,'Saisie'!$U$5:$U$2004,"&lt;&gt;")-4),""))</f>
        <v/>
      </c>
      <c r="K45" s="60">
        <f>IF(C45="","",IFERROR(INDEX('Saisie'!$W$5:$W$2004,_xlfn.MAXIFS('Saisie'!$AS$5:$AS$2004,'Saisie'!$C$5:$C$2004,C45,'Saisie'!$W$5:$W$2004,"&lt;&gt;")-4),""))</f>
        <v/>
      </c>
      <c r="L45" s="60">
        <f>IF(IF(BB45&lt;&gt;"",BB45,K45)="","",HYPERLINK("https://wa.me/"&amp;IF(LEFT(SUBSTITUTE(SUBSTITUTE(SUBSTITUTE(IF(BB45&lt;&gt;"",BB45,K45)," ",""),".",""),"+",""),1)="0",'Paramètres'!$B$35&amp;MID(SUBSTITUTE(SUBSTITUTE(SUBSTITUTE(IF(BB45&lt;&gt;"",BB45,K45)," ",""),".",""),"+",""),2,20),SUBSTITUTE(SUBSTITUTE(SUBSTITUTE(IF(BB45&lt;&gt;"",BB45,K45)," ",""),".",""),"+","")),"WhatsApp"))</f>
        <v/>
      </c>
      <c r="M45" s="60">
        <f>IF(BC45="","",HYPERLINK(IF(LEFT(BC45,4)="http",BC45,"https://www.instagram.com/"&amp;SUBSTITUTE(SUBSTITUTE(BC45,"@","")," ","")),BC45))</f>
        <v/>
      </c>
      <c r="N45" s="60">
        <f>IF(C45="","",IFERROR(INDEX('Saisie'!$D$5:$D$2004,_xlfn.MINIFS('Saisie'!$AS$5:$AS$2004,'Saisie'!$C$5:$C$2004,C45,'Saisie'!$AU$5:$AU$2004,1)-4),IFERROR(INDEX('Saisie'!$D$5:$D$2004,_xlfn.MINIFS('Saisie'!$AS$5:$AS$2004,'Saisie'!$C$5:$C$2004,C45,'Saisie'!$D$5:$D$2004,"&lt;&gt;")-4),"")))</f>
        <v/>
      </c>
      <c r="O45" s="60">
        <f>IF(C45="","",COUNTIFS('Saisie'!$C$5:$C$2004,C45,'Saisie'!$AU$5:$AU$2004,1))</f>
        <v/>
      </c>
      <c r="P45" s="60">
        <f>IF(C45="","",COUNTIFS('Saisie'!$C$5:$C$2004,C45,'Saisie'!$AV$5:$AV$2004,1))</f>
        <v/>
      </c>
      <c r="Q45" s="106">
        <f>IF(C45="","",IFERROR(1/(1/_xlfn.MAXIFS('Saisie'!$A$5:$A$2004,'Saisie'!$C$5:$C$2004,C45)),""))</f>
        <v/>
      </c>
      <c r="R45" s="61">
        <f>IF(C45="","",IF(Q45="","",TODAY()-Q45))</f>
        <v/>
      </c>
      <c r="S45" s="60">
        <f>IF(C45="","",IFERROR(INDEX('Saisie'!$R$5:$R$2004,_xlfn.MAXIFS('Saisie'!$AS$5:$AS$2004,'Saisie'!$C$5:$C$2004,C45,'Saisie'!$R$5:$R$2004,"&lt;&gt;")-4),""))</f>
        <v/>
      </c>
      <c r="T45" s="60">
        <f>IF(C45="","",IFERROR(INDEX('Saisie'!$S$5:$S$2004,_xlfn.MAXIFS('Saisie'!$AS$5:$AS$2004,'Saisie'!$C$5:$C$2004,C45,'Saisie'!$S$5:$S$2004,"&lt;&gt;")-4),""))</f>
        <v/>
      </c>
      <c r="U45" s="60">
        <f>IF(C45="","",IFERROR(INDEX('Saisie'!$T$5:$T$2004,_xlfn.MAXIFS('Saisie'!$AS$5:$AS$2004,'Saisie'!$C$5:$C$2004,C45,'Saisie'!$T$5:$T$2004,"&lt;&gt;")-4),""))</f>
        <v/>
      </c>
      <c r="V45" s="60">
        <f>IF(C45="","",IFERROR(INDEX('Saisie'!$V$5:$V$2004,_xlfn.MAXIFS('Saisie'!$AS$5:$AS$2004,'Saisie'!$C$5:$C$2004,C45,'Saisie'!$V$5:$V$2004,"&lt;&gt;")-4),""))</f>
        <v/>
      </c>
      <c r="W45" s="60">
        <f>IF(C45="","",IFERROR(INDEX('Saisie'!$Z$5:$Z$2004,_xlfn.MAXIFS('Saisie'!$AS$5:$AS$2004,'Saisie'!$C$5:$C$2004,C45,'Saisie'!$Z$5:$Z$2004,"&lt;&gt;")-4),""))</f>
        <v/>
      </c>
      <c r="X45" s="60">
        <f>IF(C45="","",IFERROR(INDEX('Saisie'!$AA$5:$AA$2004,_xlfn.MAXIFS('Saisie'!$AS$5:$AS$2004,'Saisie'!$C$5:$C$2004,C45,'Saisie'!$AA$5:$AA$2004,"&lt;&gt;")-4),""))</f>
        <v/>
      </c>
      <c r="Y45" s="60">
        <f>IF(C45="","",IFERROR(INDEX('Saisie'!$AB$5:$AB$2004,_xlfn.MAXIFS('Saisie'!$AS$5:$AS$2004,'Saisie'!$C$5:$C$2004,C45,'Saisie'!$AB$5:$AB$2004,"&lt;&gt;")-4),""))</f>
        <v/>
      </c>
      <c r="Z45" s="60">
        <f>IF(C45="","",IFERROR(INDEX('Saisie'!$AC$5:$AC$2004,_xlfn.MAXIFS('Saisie'!$AS$5:$AS$2004,'Saisie'!$C$5:$C$2004,C45,'Saisie'!$AC$5:$AC$2004,"&lt;&gt;")-4),""))</f>
        <v/>
      </c>
      <c r="AA45" s="106">
        <f>IF(C45="","",IFERROR(INDEX('Saisie'!$AD$5:$AD$2004,_xlfn.MAXIFS('Saisie'!$AS$5:$AS$2004,'Saisie'!$C$5:$C$2004,C45,'Saisie'!$AD$5:$AD$2004,"&lt;&gt;")-4),""))</f>
        <v/>
      </c>
      <c r="AB45" s="60">
        <f>IF(C45="","",IFERROR(INDEX('Saisie'!$AE$5:$AE$2004,_xlfn.MAXIFS('Saisie'!$AS$5:$AS$2004,'Saisie'!$C$5:$C$2004,C45,'Saisie'!$AE$5:$AE$2004,"&lt;&gt;")-4),""))</f>
        <v/>
      </c>
      <c r="AC45" s="60">
        <f>IF(C45="","",IFERROR(INDEX('Saisie'!$AF$5:$AF$2004,_xlfn.MAXIFS('Saisie'!$AS$5:$AS$2004,'Saisie'!$C$5:$C$2004,C45,'Saisie'!$AF$5:$AF$2004,"&lt;&gt;")-4),""))</f>
        <v/>
      </c>
      <c r="AD45" s="108">
        <f>IF(C45="","",IFERROR(INDEX('Saisie'!$AG$5:$AG$2004,_xlfn.MAXIFS('Saisie'!$AS$5:$AS$2004,'Saisie'!$C$5:$C$2004,C45,'Saisie'!$AG$5:$AG$2004,"&lt;&gt;")-4),""))</f>
        <v/>
      </c>
      <c r="AE45" s="60">
        <f>IF(C45="","",IFERROR(INDEX('Saisie'!$AH$5:$AH$2004,_xlfn.MAXIFS('Saisie'!$AS$5:$AS$2004,'Saisie'!$C$5:$C$2004,C45,'Saisie'!$AH$5:$AH$2004,"&lt;&gt;")-4),""))</f>
        <v/>
      </c>
      <c r="AF45" s="60">
        <f>IF(C45="","",IFERROR(INDEX('Saisie'!$AI$5:$AI$2004,_xlfn.MAXIFS('Saisie'!$AS$5:$AS$2004,'Saisie'!$C$5:$C$2004,C45,'Saisie'!$AI$5:$AI$2004,"&lt;&gt;")-4),""))</f>
        <v/>
      </c>
      <c r="AG45" s="60">
        <f>IF(C45="","",IFERROR(INDEX('Saisie'!$AJ$5:$AJ$2004,_xlfn.MAXIFS('Saisie'!$AS$5:$AS$2004,'Saisie'!$C$5:$C$2004,C45,'Saisie'!$AJ$5:$AJ$2004,"&lt;&gt;")-4),""))</f>
        <v/>
      </c>
      <c r="AH45" s="60">
        <f>IF(C45="","",IFERROR(INDEX('Saisie'!$AK$5:$AK$2004,_xlfn.MAXIFS('Saisie'!$AS$5:$AS$2004,'Saisie'!$C$5:$C$2004,C45,'Saisie'!$AK$5:$AK$2004,"&lt;&gt;")-4),""))</f>
        <v/>
      </c>
      <c r="AI45" s="60">
        <f>IF(C45="","",IFERROR(INDEX('Saisie'!$AN$5:$AN$2004,_xlfn.MAXIFS('Saisie'!$AS$5:$AS$2004,'Saisie'!$C$5:$C$2004,C45,'Saisie'!$AN$5:$AN$2004,"&lt;&gt;")-4),""))</f>
        <v/>
      </c>
      <c r="AJ45" s="60">
        <f>IF(C45="","",IFERROR(INDEX('Saisie'!$AO$5:$AO$2004,_xlfn.MAXIFS('Saisie'!$AS$5:$AS$2004,'Saisie'!$C$5:$C$2004,C45,'Saisie'!$AO$5:$AO$2004,"&lt;&gt;")-4),""))</f>
        <v/>
      </c>
      <c r="AK45" s="60">
        <f>IF(C45="","",IFERROR(INDEX('Saisie'!$AP$5:$AP$2004,_xlfn.MAXIFS('Saisie'!$AS$5:$AS$2004,'Saisie'!$C$5:$C$2004,C45,'Saisie'!$AP$5:$AP$2004,"&lt;&gt;")-4),""))</f>
        <v/>
      </c>
      <c r="AL45" s="60">
        <f>IF(C45="","",IFERROR(INDEX('Saisie'!$AQ$5:$AQ$2004,_xlfn.MAXIFS('Saisie'!$AS$5:$AS$2004,'Saisie'!$C$5:$C$2004,C45,'Saisie'!$AQ$5:$AQ$2004,"&lt;&gt;")-4),""))</f>
        <v/>
      </c>
      <c r="AM45" s="60">
        <f>IF(C45="","",((AI45="Oui")+(AJ45="Oui")+(AK45="Oui")+OR(AL45="Immédiat",AL45="&lt; 1 mois"))&amp;"/4")</f>
        <v/>
      </c>
      <c r="AN45" s="60">
        <f>IF(C45="","",IFERROR(INDEX('Saisie'!$AL$5:$AL$2004,_xlfn.MAXIFS('Saisie'!$AS$5:$AS$2004,'Saisie'!$C$5:$C$2004,C45,'Saisie'!$AL$5:$AL$2004,"&lt;&gt;")-4),""))</f>
        <v/>
      </c>
      <c r="AO45" s="62">
        <f>IF(C45="","",IF(IFERROR(INDEX('Saisie'!$AM$5:$AM$2004,_xlfn.MAXIFS('Saisie'!$AS$5:$AS$2004,'Saisie'!$C$5:$C$2004,C45,'Saisie'!$AM$5:$AM$2004,"&lt;&gt;")-4),"")&lt;&gt;"",IFERROR(INDEX('Saisie'!$AM$5:$AM$2004,_xlfn.MAXIFS('Saisie'!$AS$5:$AS$2004,'Saisie'!$C$5:$C$2004,C45,'Saisie'!$AM$5:$AM$2004,"&lt;&gt;")-4),""),IFERROR(INDEX('Paramètres'!$S$6:$S$15,MATCH(AN45,'Paramètres'!$Q$6:$Q$15,0)),"")))</f>
        <v/>
      </c>
      <c r="AP45" s="62">
        <f>IF(C45="","",IFERROR(INDEX('Saisie'!$AW$5:$AW$2004,_xlfn.MAXIFS('Saisie'!$AS$5:$AS$2004,'Saisie'!$C$5:$C$2004,C45,'Saisie'!$E$5:$E$2004,"Proposition envoyée")-4),""))</f>
        <v/>
      </c>
      <c r="AQ45" s="106">
        <f>IF(C45="","",IFERROR(1/(1/_xlfn.MAXIFS('Saisie'!$A$5:$A$2004,'Saisie'!$C$5:$C$2004,C45,'Saisie'!$E$5:$E$2004,"Proposition envoyée")),""))</f>
        <v/>
      </c>
      <c r="AR45" s="106">
        <f>IF(C45="","",IF(AQ45="","",AQ45+'Paramètres'!$B$26))</f>
        <v/>
      </c>
      <c r="AS45" s="62">
        <f>IF(OR(C45="",D45="Gagné",D45="Perdu"),0,N(AP45)*IFERROR(INDEX('Paramètres'!$G$6:$G$13,MATCH(D45,'Paramètres'!$F$6:$F$13,0)),0))</f>
        <v/>
      </c>
      <c r="AT45" s="106">
        <f>IF(C45="","",IFERROR(1/(1/_xlfn.MINIFS('Saisie'!$A$5:$A$2004,'Saisie'!$C$5:$C$2004,C45,'Saisie'!$E$5:$E$2004,"Signature")),""))</f>
        <v/>
      </c>
      <c r="AU45" s="60">
        <f>IF(C45="","",IF(OR(AT45="",B45=""),"",AT45-B45))</f>
        <v/>
      </c>
      <c r="AV45" s="60">
        <f>IF(C45="","",IFERROR(INDEX('Saisie'!$L$5:$L$2004,_xlfn.MAXIFS('Saisie'!$AS$5:$AS$2004,'Saisie'!$C$5:$C$2004,C45,'Saisie'!$L$5:$L$2004,"&lt;&gt;")-4),""))</f>
        <v/>
      </c>
      <c r="AW45" s="106">
        <f>IF(C45="","",IF(D45&lt;&gt;"Perdu","",IFERROR(1/(1/_xlfn.MAXIFS('Saisie'!$A$5:$A$2004,'Saisie'!$C$5:$C$2004,C45,'Saisie'!$E$5:$E$2004,"Perdu")),"")))</f>
        <v/>
      </c>
      <c r="AX45" s="106">
        <f>IF(C45="","",IF(AW45="","",AW45+'Paramètres'!$B$28))</f>
        <v/>
      </c>
      <c r="AY45" s="60">
        <f>IF(C45="","",SUMIFS('Saisie'!$H$5:$H$2004,'Saisie'!$C$5:$C$2004,C45))</f>
        <v/>
      </c>
      <c r="AZ45" s="60">
        <f>IF(C45="","",IFERROR(INDEX('Paramètres'!$W$6:$W$20,MATCH(S45,'Paramètres'!$V$6:$V$20,0))&amp;"",""))</f>
        <v/>
      </c>
      <c r="BA45" s="60">
        <f>IF(C45="","",MAX(1,_xlfn.MAXIFS('Saisie'!$AT$5:$AT$2004,'Saisie'!$C$5:$C$2004,C45)))</f>
        <v/>
      </c>
      <c r="BB45" s="60">
        <f>IF(C45="","",IFERROR(INDEX('Saisie'!$X$5:$X$2004,_xlfn.MAXIFS('Saisie'!$AS$5:$AS$2004,'Saisie'!$C$5:$C$2004,C45,'Saisie'!$X$5:$X$2004,"&lt;&gt;")-4),""))</f>
        <v/>
      </c>
      <c r="BC45" s="60">
        <f>IF(C45="","",IFERROR(INDEX('Saisie'!$Y$5:$Y$2004,_xlfn.MAXIFS('Saisie'!$AS$5:$AS$2004,'Saisie'!$C$5:$C$2004,C45,'Saisie'!$Y$5:$Y$2004,"&lt;&gt;")-4),""))</f>
        <v/>
      </c>
      <c r="BD45" s="106">
        <f>IF(C45="","",IFERROR(1/(1/_xlfn.MINIFS('Saisie'!$A$5:$A$2004,'Saisie'!$C$5:$C$2004,C45,'Saisie'!$AT$5:$AT$2004,"&gt;=2")),""))</f>
        <v/>
      </c>
      <c r="BE45" s="106">
        <f>IF(C45="","",IFERROR(1/(1/_xlfn.MINIFS('Saisie'!$A$5:$A$2004,'Saisie'!$C$5:$C$2004,C45,'Saisie'!$AT$5:$AT$2004,"&gt;=3")),""))</f>
        <v/>
      </c>
      <c r="BF45" s="106">
        <f>IF(C45="","",IFERROR(1/(1/_xlfn.MINIFS('Saisie'!$A$5:$A$2004,'Saisie'!$C$5:$C$2004,C45,'Saisie'!$AT$5:$AT$2004,"&gt;=4")),""))</f>
        <v/>
      </c>
      <c r="BG45" s="106">
        <f>IF(C45="","",IFERROR(1/(1/_xlfn.MINIFS('Saisie'!$A$5:$A$2004,'Saisie'!$C$5:$C$2004,C45,'Saisie'!$AT$5:$AT$2004,"&gt;=5")),""))</f>
        <v/>
      </c>
      <c r="BH45" s="106">
        <f>IF(C45="","",IFERROR(1/(1/_xlfn.MINIFS('Saisie'!$A$5:$A$2004,'Saisie'!$C$5:$C$2004,C45,'Saisie'!$AT$5:$AT$2004,"&gt;=6")),""))</f>
        <v/>
      </c>
      <c r="BI45" s="106">
        <f>IF(C45="","",IFERROR(1/(1/_xlfn.MINIFS('Saisie'!$A$5:$A$2004,'Saisie'!$C$5:$C$2004,C45,'Saisie'!$AT$5:$AT$2004,"&gt;=7")),""))</f>
        <v/>
      </c>
      <c r="BJ45" s="60">
        <f>IF(OR(BD45="",B45=""),"",BD45-B45)</f>
        <v/>
      </c>
      <c r="BK45" s="60">
        <f>IF(OR(BE45="",BD45=""),"",BE45-BD45)</f>
        <v/>
      </c>
      <c r="BL45" s="60">
        <f>IF(OR(BF45="",BE45=""),"",BF45-BE45)</f>
        <v/>
      </c>
      <c r="BM45" s="60">
        <f>IF(OR(BG45="",BF45=""),"",BG45-BF45)</f>
        <v/>
      </c>
      <c r="BN45" s="60">
        <f>IF(OR(BH45="",BG45=""),"",BH45-BG45)</f>
        <v/>
      </c>
      <c r="BO45" s="60">
        <f>IF(OR(BI45="",BH45=""),"",BI45-BH45)</f>
        <v/>
      </c>
      <c r="BP45" s="60">
        <f>IF(C45="","",_xlfn.MAXIFS('Saisie'!$AS$5:$AS$2004,'Saisie'!$C$5:$C$2004,C45,'Saisie'!$J$5:$J$2004,"&lt;&gt;"))</f>
        <v/>
      </c>
      <c r="BQ45" s="60">
        <f>IF(C45="","",_xlfn.MAXIFS('Saisie'!$AS$5:$AS$2004,'Saisie'!$C$5:$C$2004,C45))</f>
        <v/>
      </c>
      <c r="BR45" s="60">
        <f>IF(C45="","",_xlfn.MAXIFS('Saisie'!$AS$5:$AS$2004,'Saisie'!$C$5:$C$2004,C45,'Saisie'!$E$5:$E$2004,"Perdu"))</f>
        <v/>
      </c>
      <c r="BS45" s="60">
        <f>IF(C45="","",_xlfn.MAXIFS('Saisie'!$AS$5:$AS$2004,'Saisie'!$C$5:$C$2004,C45,'Saisie'!$AT$5:$AT$2004,"&gt;0"))</f>
        <v/>
      </c>
      <c r="BT45" s="109">
        <f>IF(AND(C45&lt;&gt;"",OR(D45="Nouveau",D45="Contacté",D45="Qualifié"),OR(G45="",N(G45)&lt;=TODAY()),NOT(AND(O45&gt;='Paramètres'!$B$21,P45=0))),E45+41/10000,"")</f>
        <v/>
      </c>
      <c r="BU45" s="60">
        <f>IF(AND(G45&lt;&gt;"",N(G45)&lt;=TODAY()),MAX($BU$4:BU44)+1,"")</f>
        <v/>
      </c>
      <c r="BV45" s="60">
        <f>IF(AND(F45&lt;&gt;"",F45&lt;&gt;"Relance en retard"),MAX($BV$4:BV44)+1,"")</f>
        <v/>
      </c>
      <c r="BW45" s="60">
        <f>IF(C45="","",IF(AND(B45&gt;='Tableau de bord'!$R$4,B45&lt;='Tableau de bord'!$S$4,OR('Tableau de bord'!$G$4="Tous",N45='Tableau de bord'!$G$4)),1,0))</f>
        <v/>
      </c>
      <c r="BX45" s="60">
        <f>IF(AND(C45&lt;&gt;"",N(BA45)=7),MAX($BX$4:BX44)+1,"")</f>
        <v/>
      </c>
    </row>
    <row r="46">
      <c r="A46" s="60">
        <f>IF(C46="","","P-"&amp;TEXT(42,"000"))</f>
        <v/>
      </c>
      <c r="B46" s="106">
        <f>IF(C46="","",IFERROR(1/(1/_xlfn.MINIFS('Saisie'!$A$5:$A$2004,'Saisie'!$C$5:$C$2004,C46)),""))</f>
        <v/>
      </c>
      <c r="C46" s="60">
        <f>IFERROR(INDEX('Saisie'!$C$5:$C$2004,MATCH(42,'Saisie'!$AX$5:$AX$2004,0)),"")</f>
        <v/>
      </c>
      <c r="D46" s="60">
        <f>IF(C46="","",IF(AND(BR46&gt;0,BR46&gt;BS46,BA46&lt;7),"Perdu",INDEX('Paramètres'!$F$6:$F$13,BA46)))</f>
        <v/>
      </c>
      <c r="E46" s="61">
        <f>IF(C46="","",MIN(100,(Z46="Oui")*'Paramètres'!$B$38+(AB46="Régulière")*'Paramètres'!$B$39+IF(AND(N(AA46)&gt;0,TODAY()-N(AA46)&lt;=30),'Paramètres'!$B$40,0)+(W46="")*'Paramètres'!$B$41+(AC46="Absente")*'Paramètres'!$B$42+(AC46="Faible")*'Paramètres'!$B$43+IF(AND(N(AD46)&gt;0,N(AD46)&lt;4),'Paramètres'!$B$44,0)+(AF46="Moyenne")*'Paramètres'!$B$45+(AF46="Grande")*'Paramètres'!$B$46+(Y46&lt;&gt;"")*'Paramètres'!$B$47))</f>
        <v/>
      </c>
      <c r="F46" s="60">
        <f>IF(C46="","",IF(D46="Gagné","",IF(D46="Perdu",IF(AND(AX46&lt;&gt;"",AX46&lt;=TODAY()),"À recontacter (perdu)",""),IF(AND(O46&gt;='Paramètres'!$B$21,P46=0),"Stop : "&amp;'Paramètres'!$B$21&amp;" tentatives sans réponse",IF(AND(D46="Proposition",AR46&lt;&gt;"",TODAY()&gt;N(AR46)),"Proposition expirée",IF(AND(D46="Proposition",N(R46)&gt;='Paramètres'!$B$25),"Proposition sans réponse",IF(AND(G46&lt;&gt;"",N(G46)&lt;TODAY()),"Relance en retard",IF(N(R46)&gt;='Paramètres'!$B$24,"Sans action depuis "&amp;R46&amp;" j",""))))))))</f>
        <v/>
      </c>
      <c r="G46" s="106">
        <f>IF(OR(C46="",D46="Gagné",D46="Perdu"),"",IF(AND(BP46&gt;0,BP46=BQ46),INDEX('Saisie'!$J$5:$J$2004,BP46-4),IF(OR(O46=0,AND(O46&gt;='Paramètres'!$B$21,P46=0)),"",Q46+IF(O46&lt;=1,'Paramètres'!$B$18,IF(O46=2,'Paramètres'!$B$19,'Paramètres'!$B$20)))))</f>
        <v/>
      </c>
      <c r="H46" s="107">
        <f>IF(OR(G46="",BP46&lt;&gt;BQ46),"",IF(INDEX('Saisie'!$K$5:$K$2004,BP46-4)="","",INDEX('Saisie'!$K$5:$K$2004,BP46-4)))</f>
        <v/>
      </c>
      <c r="I46" s="60">
        <f>IF(C46="","",IF(OR(D46="Gagné",D46="Perdu"),"",IFERROR(INDEX('Saisie'!$I$5:$I$2004,_xlfn.MAXIFS('Saisie'!$AS$5:$AS$2004,'Saisie'!$C$5:$C$2004,C46,'Saisie'!$I$5:$I$2004,"&lt;&gt;")-4),"")))</f>
        <v/>
      </c>
      <c r="J46" s="60">
        <f>IF(C46="","",IFERROR(INDEX('Saisie'!$U$5:$U$2004,_xlfn.MAXIFS('Saisie'!$AS$5:$AS$2004,'Saisie'!$C$5:$C$2004,C46,'Saisie'!$U$5:$U$2004,"&lt;&gt;")-4),""))</f>
        <v/>
      </c>
      <c r="K46" s="60">
        <f>IF(C46="","",IFERROR(INDEX('Saisie'!$W$5:$W$2004,_xlfn.MAXIFS('Saisie'!$AS$5:$AS$2004,'Saisie'!$C$5:$C$2004,C46,'Saisie'!$W$5:$W$2004,"&lt;&gt;")-4),""))</f>
        <v/>
      </c>
      <c r="L46" s="60">
        <f>IF(IF(BB46&lt;&gt;"",BB46,K46)="","",HYPERLINK("https://wa.me/"&amp;IF(LEFT(SUBSTITUTE(SUBSTITUTE(SUBSTITUTE(IF(BB46&lt;&gt;"",BB46,K46)," ",""),".",""),"+",""),1)="0",'Paramètres'!$B$35&amp;MID(SUBSTITUTE(SUBSTITUTE(SUBSTITUTE(IF(BB46&lt;&gt;"",BB46,K46)," ",""),".",""),"+",""),2,20),SUBSTITUTE(SUBSTITUTE(SUBSTITUTE(IF(BB46&lt;&gt;"",BB46,K46)," ",""),".",""),"+","")),"WhatsApp"))</f>
        <v/>
      </c>
      <c r="M46" s="60">
        <f>IF(BC46="","",HYPERLINK(IF(LEFT(BC46,4)="http",BC46,"https://www.instagram.com/"&amp;SUBSTITUTE(SUBSTITUTE(BC46,"@","")," ","")),BC46))</f>
        <v/>
      </c>
      <c r="N46" s="60">
        <f>IF(C46="","",IFERROR(INDEX('Saisie'!$D$5:$D$2004,_xlfn.MINIFS('Saisie'!$AS$5:$AS$2004,'Saisie'!$C$5:$C$2004,C46,'Saisie'!$AU$5:$AU$2004,1)-4),IFERROR(INDEX('Saisie'!$D$5:$D$2004,_xlfn.MINIFS('Saisie'!$AS$5:$AS$2004,'Saisie'!$C$5:$C$2004,C46,'Saisie'!$D$5:$D$2004,"&lt;&gt;")-4),"")))</f>
        <v/>
      </c>
      <c r="O46" s="60">
        <f>IF(C46="","",COUNTIFS('Saisie'!$C$5:$C$2004,C46,'Saisie'!$AU$5:$AU$2004,1))</f>
        <v/>
      </c>
      <c r="P46" s="60">
        <f>IF(C46="","",COUNTIFS('Saisie'!$C$5:$C$2004,C46,'Saisie'!$AV$5:$AV$2004,1))</f>
        <v/>
      </c>
      <c r="Q46" s="106">
        <f>IF(C46="","",IFERROR(1/(1/_xlfn.MAXIFS('Saisie'!$A$5:$A$2004,'Saisie'!$C$5:$C$2004,C46)),""))</f>
        <v/>
      </c>
      <c r="R46" s="61">
        <f>IF(C46="","",IF(Q46="","",TODAY()-Q46))</f>
        <v/>
      </c>
      <c r="S46" s="60">
        <f>IF(C46="","",IFERROR(INDEX('Saisie'!$R$5:$R$2004,_xlfn.MAXIFS('Saisie'!$AS$5:$AS$2004,'Saisie'!$C$5:$C$2004,C46,'Saisie'!$R$5:$R$2004,"&lt;&gt;")-4),""))</f>
        <v/>
      </c>
      <c r="T46" s="60">
        <f>IF(C46="","",IFERROR(INDEX('Saisie'!$S$5:$S$2004,_xlfn.MAXIFS('Saisie'!$AS$5:$AS$2004,'Saisie'!$C$5:$C$2004,C46,'Saisie'!$S$5:$S$2004,"&lt;&gt;")-4),""))</f>
        <v/>
      </c>
      <c r="U46" s="60">
        <f>IF(C46="","",IFERROR(INDEX('Saisie'!$T$5:$T$2004,_xlfn.MAXIFS('Saisie'!$AS$5:$AS$2004,'Saisie'!$C$5:$C$2004,C46,'Saisie'!$T$5:$T$2004,"&lt;&gt;")-4),""))</f>
        <v/>
      </c>
      <c r="V46" s="60">
        <f>IF(C46="","",IFERROR(INDEX('Saisie'!$V$5:$V$2004,_xlfn.MAXIFS('Saisie'!$AS$5:$AS$2004,'Saisie'!$C$5:$C$2004,C46,'Saisie'!$V$5:$V$2004,"&lt;&gt;")-4),""))</f>
        <v/>
      </c>
      <c r="W46" s="60">
        <f>IF(C46="","",IFERROR(INDEX('Saisie'!$Z$5:$Z$2004,_xlfn.MAXIFS('Saisie'!$AS$5:$AS$2004,'Saisie'!$C$5:$C$2004,C46,'Saisie'!$Z$5:$Z$2004,"&lt;&gt;")-4),""))</f>
        <v/>
      </c>
      <c r="X46" s="60">
        <f>IF(C46="","",IFERROR(INDEX('Saisie'!$AA$5:$AA$2004,_xlfn.MAXIFS('Saisie'!$AS$5:$AS$2004,'Saisie'!$C$5:$C$2004,C46,'Saisie'!$AA$5:$AA$2004,"&lt;&gt;")-4),""))</f>
        <v/>
      </c>
      <c r="Y46" s="60">
        <f>IF(C46="","",IFERROR(INDEX('Saisie'!$AB$5:$AB$2004,_xlfn.MAXIFS('Saisie'!$AS$5:$AS$2004,'Saisie'!$C$5:$C$2004,C46,'Saisie'!$AB$5:$AB$2004,"&lt;&gt;")-4),""))</f>
        <v/>
      </c>
      <c r="Z46" s="60">
        <f>IF(C46="","",IFERROR(INDEX('Saisie'!$AC$5:$AC$2004,_xlfn.MAXIFS('Saisie'!$AS$5:$AS$2004,'Saisie'!$C$5:$C$2004,C46,'Saisie'!$AC$5:$AC$2004,"&lt;&gt;")-4),""))</f>
        <v/>
      </c>
      <c r="AA46" s="106">
        <f>IF(C46="","",IFERROR(INDEX('Saisie'!$AD$5:$AD$2004,_xlfn.MAXIFS('Saisie'!$AS$5:$AS$2004,'Saisie'!$C$5:$C$2004,C46,'Saisie'!$AD$5:$AD$2004,"&lt;&gt;")-4),""))</f>
        <v/>
      </c>
      <c r="AB46" s="60">
        <f>IF(C46="","",IFERROR(INDEX('Saisie'!$AE$5:$AE$2004,_xlfn.MAXIFS('Saisie'!$AS$5:$AS$2004,'Saisie'!$C$5:$C$2004,C46,'Saisie'!$AE$5:$AE$2004,"&lt;&gt;")-4),""))</f>
        <v/>
      </c>
      <c r="AC46" s="60">
        <f>IF(C46="","",IFERROR(INDEX('Saisie'!$AF$5:$AF$2004,_xlfn.MAXIFS('Saisie'!$AS$5:$AS$2004,'Saisie'!$C$5:$C$2004,C46,'Saisie'!$AF$5:$AF$2004,"&lt;&gt;")-4),""))</f>
        <v/>
      </c>
      <c r="AD46" s="108">
        <f>IF(C46="","",IFERROR(INDEX('Saisie'!$AG$5:$AG$2004,_xlfn.MAXIFS('Saisie'!$AS$5:$AS$2004,'Saisie'!$C$5:$C$2004,C46,'Saisie'!$AG$5:$AG$2004,"&lt;&gt;")-4),""))</f>
        <v/>
      </c>
      <c r="AE46" s="60">
        <f>IF(C46="","",IFERROR(INDEX('Saisie'!$AH$5:$AH$2004,_xlfn.MAXIFS('Saisie'!$AS$5:$AS$2004,'Saisie'!$C$5:$C$2004,C46,'Saisie'!$AH$5:$AH$2004,"&lt;&gt;")-4),""))</f>
        <v/>
      </c>
      <c r="AF46" s="60">
        <f>IF(C46="","",IFERROR(INDEX('Saisie'!$AI$5:$AI$2004,_xlfn.MAXIFS('Saisie'!$AS$5:$AS$2004,'Saisie'!$C$5:$C$2004,C46,'Saisie'!$AI$5:$AI$2004,"&lt;&gt;")-4),""))</f>
        <v/>
      </c>
      <c r="AG46" s="60">
        <f>IF(C46="","",IFERROR(INDEX('Saisie'!$AJ$5:$AJ$2004,_xlfn.MAXIFS('Saisie'!$AS$5:$AS$2004,'Saisie'!$C$5:$C$2004,C46,'Saisie'!$AJ$5:$AJ$2004,"&lt;&gt;")-4),""))</f>
        <v/>
      </c>
      <c r="AH46" s="60">
        <f>IF(C46="","",IFERROR(INDEX('Saisie'!$AK$5:$AK$2004,_xlfn.MAXIFS('Saisie'!$AS$5:$AS$2004,'Saisie'!$C$5:$C$2004,C46,'Saisie'!$AK$5:$AK$2004,"&lt;&gt;")-4),""))</f>
        <v/>
      </c>
      <c r="AI46" s="60">
        <f>IF(C46="","",IFERROR(INDEX('Saisie'!$AN$5:$AN$2004,_xlfn.MAXIFS('Saisie'!$AS$5:$AS$2004,'Saisie'!$C$5:$C$2004,C46,'Saisie'!$AN$5:$AN$2004,"&lt;&gt;")-4),""))</f>
        <v/>
      </c>
      <c r="AJ46" s="60">
        <f>IF(C46="","",IFERROR(INDEX('Saisie'!$AO$5:$AO$2004,_xlfn.MAXIFS('Saisie'!$AS$5:$AS$2004,'Saisie'!$C$5:$C$2004,C46,'Saisie'!$AO$5:$AO$2004,"&lt;&gt;")-4),""))</f>
        <v/>
      </c>
      <c r="AK46" s="60">
        <f>IF(C46="","",IFERROR(INDEX('Saisie'!$AP$5:$AP$2004,_xlfn.MAXIFS('Saisie'!$AS$5:$AS$2004,'Saisie'!$C$5:$C$2004,C46,'Saisie'!$AP$5:$AP$2004,"&lt;&gt;")-4),""))</f>
        <v/>
      </c>
      <c r="AL46" s="60">
        <f>IF(C46="","",IFERROR(INDEX('Saisie'!$AQ$5:$AQ$2004,_xlfn.MAXIFS('Saisie'!$AS$5:$AS$2004,'Saisie'!$C$5:$C$2004,C46,'Saisie'!$AQ$5:$AQ$2004,"&lt;&gt;")-4),""))</f>
        <v/>
      </c>
      <c r="AM46" s="60">
        <f>IF(C46="","",((AI46="Oui")+(AJ46="Oui")+(AK46="Oui")+OR(AL46="Immédiat",AL46="&lt; 1 mois"))&amp;"/4")</f>
        <v/>
      </c>
      <c r="AN46" s="60">
        <f>IF(C46="","",IFERROR(INDEX('Saisie'!$AL$5:$AL$2004,_xlfn.MAXIFS('Saisie'!$AS$5:$AS$2004,'Saisie'!$C$5:$C$2004,C46,'Saisie'!$AL$5:$AL$2004,"&lt;&gt;")-4),""))</f>
        <v/>
      </c>
      <c r="AO46" s="62">
        <f>IF(C46="","",IF(IFERROR(INDEX('Saisie'!$AM$5:$AM$2004,_xlfn.MAXIFS('Saisie'!$AS$5:$AS$2004,'Saisie'!$C$5:$C$2004,C46,'Saisie'!$AM$5:$AM$2004,"&lt;&gt;")-4),"")&lt;&gt;"",IFERROR(INDEX('Saisie'!$AM$5:$AM$2004,_xlfn.MAXIFS('Saisie'!$AS$5:$AS$2004,'Saisie'!$C$5:$C$2004,C46,'Saisie'!$AM$5:$AM$2004,"&lt;&gt;")-4),""),IFERROR(INDEX('Paramètres'!$S$6:$S$15,MATCH(AN46,'Paramètres'!$Q$6:$Q$15,0)),"")))</f>
        <v/>
      </c>
      <c r="AP46" s="62">
        <f>IF(C46="","",IFERROR(INDEX('Saisie'!$AW$5:$AW$2004,_xlfn.MAXIFS('Saisie'!$AS$5:$AS$2004,'Saisie'!$C$5:$C$2004,C46,'Saisie'!$E$5:$E$2004,"Proposition envoyée")-4),""))</f>
        <v/>
      </c>
      <c r="AQ46" s="106">
        <f>IF(C46="","",IFERROR(1/(1/_xlfn.MAXIFS('Saisie'!$A$5:$A$2004,'Saisie'!$C$5:$C$2004,C46,'Saisie'!$E$5:$E$2004,"Proposition envoyée")),""))</f>
        <v/>
      </c>
      <c r="AR46" s="106">
        <f>IF(C46="","",IF(AQ46="","",AQ46+'Paramètres'!$B$26))</f>
        <v/>
      </c>
      <c r="AS46" s="62">
        <f>IF(OR(C46="",D46="Gagné",D46="Perdu"),0,N(AP46)*IFERROR(INDEX('Paramètres'!$G$6:$G$13,MATCH(D46,'Paramètres'!$F$6:$F$13,0)),0))</f>
        <v/>
      </c>
      <c r="AT46" s="106">
        <f>IF(C46="","",IFERROR(1/(1/_xlfn.MINIFS('Saisie'!$A$5:$A$2004,'Saisie'!$C$5:$C$2004,C46,'Saisie'!$E$5:$E$2004,"Signature")),""))</f>
        <v/>
      </c>
      <c r="AU46" s="60">
        <f>IF(C46="","",IF(OR(AT46="",B46=""),"",AT46-B46))</f>
        <v/>
      </c>
      <c r="AV46" s="60">
        <f>IF(C46="","",IFERROR(INDEX('Saisie'!$L$5:$L$2004,_xlfn.MAXIFS('Saisie'!$AS$5:$AS$2004,'Saisie'!$C$5:$C$2004,C46,'Saisie'!$L$5:$L$2004,"&lt;&gt;")-4),""))</f>
        <v/>
      </c>
      <c r="AW46" s="106">
        <f>IF(C46="","",IF(D46&lt;&gt;"Perdu","",IFERROR(1/(1/_xlfn.MAXIFS('Saisie'!$A$5:$A$2004,'Saisie'!$C$5:$C$2004,C46,'Saisie'!$E$5:$E$2004,"Perdu")),"")))</f>
        <v/>
      </c>
      <c r="AX46" s="106">
        <f>IF(C46="","",IF(AW46="","",AW46+'Paramètres'!$B$28))</f>
        <v/>
      </c>
      <c r="AY46" s="60">
        <f>IF(C46="","",SUMIFS('Saisie'!$H$5:$H$2004,'Saisie'!$C$5:$C$2004,C46))</f>
        <v/>
      </c>
      <c r="AZ46" s="60">
        <f>IF(C46="","",IFERROR(INDEX('Paramètres'!$W$6:$W$20,MATCH(S46,'Paramètres'!$V$6:$V$20,0))&amp;"",""))</f>
        <v/>
      </c>
      <c r="BA46" s="60">
        <f>IF(C46="","",MAX(1,_xlfn.MAXIFS('Saisie'!$AT$5:$AT$2004,'Saisie'!$C$5:$C$2004,C46)))</f>
        <v/>
      </c>
      <c r="BB46" s="60">
        <f>IF(C46="","",IFERROR(INDEX('Saisie'!$X$5:$X$2004,_xlfn.MAXIFS('Saisie'!$AS$5:$AS$2004,'Saisie'!$C$5:$C$2004,C46,'Saisie'!$X$5:$X$2004,"&lt;&gt;")-4),""))</f>
        <v/>
      </c>
      <c r="BC46" s="60">
        <f>IF(C46="","",IFERROR(INDEX('Saisie'!$Y$5:$Y$2004,_xlfn.MAXIFS('Saisie'!$AS$5:$AS$2004,'Saisie'!$C$5:$C$2004,C46,'Saisie'!$Y$5:$Y$2004,"&lt;&gt;")-4),""))</f>
        <v/>
      </c>
      <c r="BD46" s="106">
        <f>IF(C46="","",IFERROR(1/(1/_xlfn.MINIFS('Saisie'!$A$5:$A$2004,'Saisie'!$C$5:$C$2004,C46,'Saisie'!$AT$5:$AT$2004,"&gt;=2")),""))</f>
        <v/>
      </c>
      <c r="BE46" s="106">
        <f>IF(C46="","",IFERROR(1/(1/_xlfn.MINIFS('Saisie'!$A$5:$A$2004,'Saisie'!$C$5:$C$2004,C46,'Saisie'!$AT$5:$AT$2004,"&gt;=3")),""))</f>
        <v/>
      </c>
      <c r="BF46" s="106">
        <f>IF(C46="","",IFERROR(1/(1/_xlfn.MINIFS('Saisie'!$A$5:$A$2004,'Saisie'!$C$5:$C$2004,C46,'Saisie'!$AT$5:$AT$2004,"&gt;=4")),""))</f>
        <v/>
      </c>
      <c r="BG46" s="106">
        <f>IF(C46="","",IFERROR(1/(1/_xlfn.MINIFS('Saisie'!$A$5:$A$2004,'Saisie'!$C$5:$C$2004,C46,'Saisie'!$AT$5:$AT$2004,"&gt;=5")),""))</f>
        <v/>
      </c>
      <c r="BH46" s="106">
        <f>IF(C46="","",IFERROR(1/(1/_xlfn.MINIFS('Saisie'!$A$5:$A$2004,'Saisie'!$C$5:$C$2004,C46,'Saisie'!$AT$5:$AT$2004,"&gt;=6")),""))</f>
        <v/>
      </c>
      <c r="BI46" s="106">
        <f>IF(C46="","",IFERROR(1/(1/_xlfn.MINIFS('Saisie'!$A$5:$A$2004,'Saisie'!$C$5:$C$2004,C46,'Saisie'!$AT$5:$AT$2004,"&gt;=7")),""))</f>
        <v/>
      </c>
      <c r="BJ46" s="60">
        <f>IF(OR(BD46="",B46=""),"",BD46-B46)</f>
        <v/>
      </c>
      <c r="BK46" s="60">
        <f>IF(OR(BE46="",BD46=""),"",BE46-BD46)</f>
        <v/>
      </c>
      <c r="BL46" s="60">
        <f>IF(OR(BF46="",BE46=""),"",BF46-BE46)</f>
        <v/>
      </c>
      <c r="BM46" s="60">
        <f>IF(OR(BG46="",BF46=""),"",BG46-BF46)</f>
        <v/>
      </c>
      <c r="BN46" s="60">
        <f>IF(OR(BH46="",BG46=""),"",BH46-BG46)</f>
        <v/>
      </c>
      <c r="BO46" s="60">
        <f>IF(OR(BI46="",BH46=""),"",BI46-BH46)</f>
        <v/>
      </c>
      <c r="BP46" s="60">
        <f>IF(C46="","",_xlfn.MAXIFS('Saisie'!$AS$5:$AS$2004,'Saisie'!$C$5:$C$2004,C46,'Saisie'!$J$5:$J$2004,"&lt;&gt;"))</f>
        <v/>
      </c>
      <c r="BQ46" s="60">
        <f>IF(C46="","",_xlfn.MAXIFS('Saisie'!$AS$5:$AS$2004,'Saisie'!$C$5:$C$2004,C46))</f>
        <v/>
      </c>
      <c r="BR46" s="60">
        <f>IF(C46="","",_xlfn.MAXIFS('Saisie'!$AS$5:$AS$2004,'Saisie'!$C$5:$C$2004,C46,'Saisie'!$E$5:$E$2004,"Perdu"))</f>
        <v/>
      </c>
      <c r="BS46" s="60">
        <f>IF(C46="","",_xlfn.MAXIFS('Saisie'!$AS$5:$AS$2004,'Saisie'!$C$5:$C$2004,C46,'Saisie'!$AT$5:$AT$2004,"&gt;0"))</f>
        <v/>
      </c>
      <c r="BT46" s="109">
        <f>IF(AND(C46&lt;&gt;"",OR(D46="Nouveau",D46="Contacté",D46="Qualifié"),OR(G46="",N(G46)&lt;=TODAY()),NOT(AND(O46&gt;='Paramètres'!$B$21,P46=0))),E46+42/10000,"")</f>
        <v/>
      </c>
      <c r="BU46" s="60">
        <f>IF(AND(G46&lt;&gt;"",N(G46)&lt;=TODAY()),MAX($BU$4:BU45)+1,"")</f>
        <v/>
      </c>
      <c r="BV46" s="60">
        <f>IF(AND(F46&lt;&gt;"",F46&lt;&gt;"Relance en retard"),MAX($BV$4:BV45)+1,"")</f>
        <v/>
      </c>
      <c r="BW46" s="60">
        <f>IF(C46="","",IF(AND(B46&gt;='Tableau de bord'!$R$4,B46&lt;='Tableau de bord'!$S$4,OR('Tableau de bord'!$G$4="Tous",N46='Tableau de bord'!$G$4)),1,0))</f>
        <v/>
      </c>
      <c r="BX46" s="60">
        <f>IF(AND(C46&lt;&gt;"",N(BA46)=7),MAX($BX$4:BX45)+1,"")</f>
        <v/>
      </c>
    </row>
    <row r="47">
      <c r="A47" s="60">
        <f>IF(C47="","","P-"&amp;TEXT(43,"000"))</f>
        <v/>
      </c>
      <c r="B47" s="106">
        <f>IF(C47="","",IFERROR(1/(1/_xlfn.MINIFS('Saisie'!$A$5:$A$2004,'Saisie'!$C$5:$C$2004,C47)),""))</f>
        <v/>
      </c>
      <c r="C47" s="60">
        <f>IFERROR(INDEX('Saisie'!$C$5:$C$2004,MATCH(43,'Saisie'!$AX$5:$AX$2004,0)),"")</f>
        <v/>
      </c>
      <c r="D47" s="60">
        <f>IF(C47="","",IF(AND(BR47&gt;0,BR47&gt;BS47,BA47&lt;7),"Perdu",INDEX('Paramètres'!$F$6:$F$13,BA47)))</f>
        <v/>
      </c>
      <c r="E47" s="61">
        <f>IF(C47="","",MIN(100,(Z47="Oui")*'Paramètres'!$B$38+(AB47="Régulière")*'Paramètres'!$B$39+IF(AND(N(AA47)&gt;0,TODAY()-N(AA47)&lt;=30),'Paramètres'!$B$40,0)+(W47="")*'Paramètres'!$B$41+(AC47="Absente")*'Paramètres'!$B$42+(AC47="Faible")*'Paramètres'!$B$43+IF(AND(N(AD47)&gt;0,N(AD47)&lt;4),'Paramètres'!$B$44,0)+(AF47="Moyenne")*'Paramètres'!$B$45+(AF47="Grande")*'Paramètres'!$B$46+(Y47&lt;&gt;"")*'Paramètres'!$B$47))</f>
        <v/>
      </c>
      <c r="F47" s="60">
        <f>IF(C47="","",IF(D47="Gagné","",IF(D47="Perdu",IF(AND(AX47&lt;&gt;"",AX47&lt;=TODAY()),"À recontacter (perdu)",""),IF(AND(O47&gt;='Paramètres'!$B$21,P47=0),"Stop : "&amp;'Paramètres'!$B$21&amp;" tentatives sans réponse",IF(AND(D47="Proposition",AR47&lt;&gt;"",TODAY()&gt;N(AR47)),"Proposition expirée",IF(AND(D47="Proposition",N(R47)&gt;='Paramètres'!$B$25),"Proposition sans réponse",IF(AND(G47&lt;&gt;"",N(G47)&lt;TODAY()),"Relance en retard",IF(N(R47)&gt;='Paramètres'!$B$24,"Sans action depuis "&amp;R47&amp;" j",""))))))))</f>
        <v/>
      </c>
      <c r="G47" s="106">
        <f>IF(OR(C47="",D47="Gagné",D47="Perdu"),"",IF(AND(BP47&gt;0,BP47=BQ47),INDEX('Saisie'!$J$5:$J$2004,BP47-4),IF(OR(O47=0,AND(O47&gt;='Paramètres'!$B$21,P47=0)),"",Q47+IF(O47&lt;=1,'Paramètres'!$B$18,IF(O47=2,'Paramètres'!$B$19,'Paramètres'!$B$20)))))</f>
        <v/>
      </c>
      <c r="H47" s="107">
        <f>IF(OR(G47="",BP47&lt;&gt;BQ47),"",IF(INDEX('Saisie'!$K$5:$K$2004,BP47-4)="","",INDEX('Saisie'!$K$5:$K$2004,BP47-4)))</f>
        <v/>
      </c>
      <c r="I47" s="60">
        <f>IF(C47="","",IF(OR(D47="Gagné",D47="Perdu"),"",IFERROR(INDEX('Saisie'!$I$5:$I$2004,_xlfn.MAXIFS('Saisie'!$AS$5:$AS$2004,'Saisie'!$C$5:$C$2004,C47,'Saisie'!$I$5:$I$2004,"&lt;&gt;")-4),"")))</f>
        <v/>
      </c>
      <c r="J47" s="60">
        <f>IF(C47="","",IFERROR(INDEX('Saisie'!$U$5:$U$2004,_xlfn.MAXIFS('Saisie'!$AS$5:$AS$2004,'Saisie'!$C$5:$C$2004,C47,'Saisie'!$U$5:$U$2004,"&lt;&gt;")-4),""))</f>
        <v/>
      </c>
      <c r="K47" s="60">
        <f>IF(C47="","",IFERROR(INDEX('Saisie'!$W$5:$W$2004,_xlfn.MAXIFS('Saisie'!$AS$5:$AS$2004,'Saisie'!$C$5:$C$2004,C47,'Saisie'!$W$5:$W$2004,"&lt;&gt;")-4),""))</f>
        <v/>
      </c>
      <c r="L47" s="60">
        <f>IF(IF(BB47&lt;&gt;"",BB47,K47)="","",HYPERLINK("https://wa.me/"&amp;IF(LEFT(SUBSTITUTE(SUBSTITUTE(SUBSTITUTE(IF(BB47&lt;&gt;"",BB47,K47)," ",""),".",""),"+",""),1)="0",'Paramètres'!$B$35&amp;MID(SUBSTITUTE(SUBSTITUTE(SUBSTITUTE(IF(BB47&lt;&gt;"",BB47,K47)," ",""),".",""),"+",""),2,20),SUBSTITUTE(SUBSTITUTE(SUBSTITUTE(IF(BB47&lt;&gt;"",BB47,K47)," ",""),".",""),"+","")),"WhatsApp"))</f>
        <v/>
      </c>
      <c r="M47" s="60">
        <f>IF(BC47="","",HYPERLINK(IF(LEFT(BC47,4)="http",BC47,"https://www.instagram.com/"&amp;SUBSTITUTE(SUBSTITUTE(BC47,"@","")," ","")),BC47))</f>
        <v/>
      </c>
      <c r="N47" s="60">
        <f>IF(C47="","",IFERROR(INDEX('Saisie'!$D$5:$D$2004,_xlfn.MINIFS('Saisie'!$AS$5:$AS$2004,'Saisie'!$C$5:$C$2004,C47,'Saisie'!$AU$5:$AU$2004,1)-4),IFERROR(INDEX('Saisie'!$D$5:$D$2004,_xlfn.MINIFS('Saisie'!$AS$5:$AS$2004,'Saisie'!$C$5:$C$2004,C47,'Saisie'!$D$5:$D$2004,"&lt;&gt;")-4),"")))</f>
        <v/>
      </c>
      <c r="O47" s="60">
        <f>IF(C47="","",COUNTIFS('Saisie'!$C$5:$C$2004,C47,'Saisie'!$AU$5:$AU$2004,1))</f>
        <v/>
      </c>
      <c r="P47" s="60">
        <f>IF(C47="","",COUNTIFS('Saisie'!$C$5:$C$2004,C47,'Saisie'!$AV$5:$AV$2004,1))</f>
        <v/>
      </c>
      <c r="Q47" s="106">
        <f>IF(C47="","",IFERROR(1/(1/_xlfn.MAXIFS('Saisie'!$A$5:$A$2004,'Saisie'!$C$5:$C$2004,C47)),""))</f>
        <v/>
      </c>
      <c r="R47" s="61">
        <f>IF(C47="","",IF(Q47="","",TODAY()-Q47))</f>
        <v/>
      </c>
      <c r="S47" s="60">
        <f>IF(C47="","",IFERROR(INDEX('Saisie'!$R$5:$R$2004,_xlfn.MAXIFS('Saisie'!$AS$5:$AS$2004,'Saisie'!$C$5:$C$2004,C47,'Saisie'!$R$5:$R$2004,"&lt;&gt;")-4),""))</f>
        <v/>
      </c>
      <c r="T47" s="60">
        <f>IF(C47="","",IFERROR(INDEX('Saisie'!$S$5:$S$2004,_xlfn.MAXIFS('Saisie'!$AS$5:$AS$2004,'Saisie'!$C$5:$C$2004,C47,'Saisie'!$S$5:$S$2004,"&lt;&gt;")-4),""))</f>
        <v/>
      </c>
      <c r="U47" s="60">
        <f>IF(C47="","",IFERROR(INDEX('Saisie'!$T$5:$T$2004,_xlfn.MAXIFS('Saisie'!$AS$5:$AS$2004,'Saisie'!$C$5:$C$2004,C47,'Saisie'!$T$5:$T$2004,"&lt;&gt;")-4),""))</f>
        <v/>
      </c>
      <c r="V47" s="60">
        <f>IF(C47="","",IFERROR(INDEX('Saisie'!$V$5:$V$2004,_xlfn.MAXIFS('Saisie'!$AS$5:$AS$2004,'Saisie'!$C$5:$C$2004,C47,'Saisie'!$V$5:$V$2004,"&lt;&gt;")-4),""))</f>
        <v/>
      </c>
      <c r="W47" s="60">
        <f>IF(C47="","",IFERROR(INDEX('Saisie'!$Z$5:$Z$2004,_xlfn.MAXIFS('Saisie'!$AS$5:$AS$2004,'Saisie'!$C$5:$C$2004,C47,'Saisie'!$Z$5:$Z$2004,"&lt;&gt;")-4),""))</f>
        <v/>
      </c>
      <c r="X47" s="60">
        <f>IF(C47="","",IFERROR(INDEX('Saisie'!$AA$5:$AA$2004,_xlfn.MAXIFS('Saisie'!$AS$5:$AS$2004,'Saisie'!$C$5:$C$2004,C47,'Saisie'!$AA$5:$AA$2004,"&lt;&gt;")-4),""))</f>
        <v/>
      </c>
      <c r="Y47" s="60">
        <f>IF(C47="","",IFERROR(INDEX('Saisie'!$AB$5:$AB$2004,_xlfn.MAXIFS('Saisie'!$AS$5:$AS$2004,'Saisie'!$C$5:$C$2004,C47,'Saisie'!$AB$5:$AB$2004,"&lt;&gt;")-4),""))</f>
        <v/>
      </c>
      <c r="Z47" s="60">
        <f>IF(C47="","",IFERROR(INDEX('Saisie'!$AC$5:$AC$2004,_xlfn.MAXIFS('Saisie'!$AS$5:$AS$2004,'Saisie'!$C$5:$C$2004,C47,'Saisie'!$AC$5:$AC$2004,"&lt;&gt;")-4),""))</f>
        <v/>
      </c>
      <c r="AA47" s="106">
        <f>IF(C47="","",IFERROR(INDEX('Saisie'!$AD$5:$AD$2004,_xlfn.MAXIFS('Saisie'!$AS$5:$AS$2004,'Saisie'!$C$5:$C$2004,C47,'Saisie'!$AD$5:$AD$2004,"&lt;&gt;")-4),""))</f>
        <v/>
      </c>
      <c r="AB47" s="60">
        <f>IF(C47="","",IFERROR(INDEX('Saisie'!$AE$5:$AE$2004,_xlfn.MAXIFS('Saisie'!$AS$5:$AS$2004,'Saisie'!$C$5:$C$2004,C47,'Saisie'!$AE$5:$AE$2004,"&lt;&gt;")-4),""))</f>
        <v/>
      </c>
      <c r="AC47" s="60">
        <f>IF(C47="","",IFERROR(INDEX('Saisie'!$AF$5:$AF$2004,_xlfn.MAXIFS('Saisie'!$AS$5:$AS$2004,'Saisie'!$C$5:$C$2004,C47,'Saisie'!$AF$5:$AF$2004,"&lt;&gt;")-4),""))</f>
        <v/>
      </c>
      <c r="AD47" s="108">
        <f>IF(C47="","",IFERROR(INDEX('Saisie'!$AG$5:$AG$2004,_xlfn.MAXIFS('Saisie'!$AS$5:$AS$2004,'Saisie'!$C$5:$C$2004,C47,'Saisie'!$AG$5:$AG$2004,"&lt;&gt;")-4),""))</f>
        <v/>
      </c>
      <c r="AE47" s="60">
        <f>IF(C47="","",IFERROR(INDEX('Saisie'!$AH$5:$AH$2004,_xlfn.MAXIFS('Saisie'!$AS$5:$AS$2004,'Saisie'!$C$5:$C$2004,C47,'Saisie'!$AH$5:$AH$2004,"&lt;&gt;")-4),""))</f>
        <v/>
      </c>
      <c r="AF47" s="60">
        <f>IF(C47="","",IFERROR(INDEX('Saisie'!$AI$5:$AI$2004,_xlfn.MAXIFS('Saisie'!$AS$5:$AS$2004,'Saisie'!$C$5:$C$2004,C47,'Saisie'!$AI$5:$AI$2004,"&lt;&gt;")-4),""))</f>
        <v/>
      </c>
      <c r="AG47" s="60">
        <f>IF(C47="","",IFERROR(INDEX('Saisie'!$AJ$5:$AJ$2004,_xlfn.MAXIFS('Saisie'!$AS$5:$AS$2004,'Saisie'!$C$5:$C$2004,C47,'Saisie'!$AJ$5:$AJ$2004,"&lt;&gt;")-4),""))</f>
        <v/>
      </c>
      <c r="AH47" s="60">
        <f>IF(C47="","",IFERROR(INDEX('Saisie'!$AK$5:$AK$2004,_xlfn.MAXIFS('Saisie'!$AS$5:$AS$2004,'Saisie'!$C$5:$C$2004,C47,'Saisie'!$AK$5:$AK$2004,"&lt;&gt;")-4),""))</f>
        <v/>
      </c>
      <c r="AI47" s="60">
        <f>IF(C47="","",IFERROR(INDEX('Saisie'!$AN$5:$AN$2004,_xlfn.MAXIFS('Saisie'!$AS$5:$AS$2004,'Saisie'!$C$5:$C$2004,C47,'Saisie'!$AN$5:$AN$2004,"&lt;&gt;")-4),""))</f>
        <v/>
      </c>
      <c r="AJ47" s="60">
        <f>IF(C47="","",IFERROR(INDEX('Saisie'!$AO$5:$AO$2004,_xlfn.MAXIFS('Saisie'!$AS$5:$AS$2004,'Saisie'!$C$5:$C$2004,C47,'Saisie'!$AO$5:$AO$2004,"&lt;&gt;")-4),""))</f>
        <v/>
      </c>
      <c r="AK47" s="60">
        <f>IF(C47="","",IFERROR(INDEX('Saisie'!$AP$5:$AP$2004,_xlfn.MAXIFS('Saisie'!$AS$5:$AS$2004,'Saisie'!$C$5:$C$2004,C47,'Saisie'!$AP$5:$AP$2004,"&lt;&gt;")-4),""))</f>
        <v/>
      </c>
      <c r="AL47" s="60">
        <f>IF(C47="","",IFERROR(INDEX('Saisie'!$AQ$5:$AQ$2004,_xlfn.MAXIFS('Saisie'!$AS$5:$AS$2004,'Saisie'!$C$5:$C$2004,C47,'Saisie'!$AQ$5:$AQ$2004,"&lt;&gt;")-4),""))</f>
        <v/>
      </c>
      <c r="AM47" s="60">
        <f>IF(C47="","",((AI47="Oui")+(AJ47="Oui")+(AK47="Oui")+OR(AL47="Immédiat",AL47="&lt; 1 mois"))&amp;"/4")</f>
        <v/>
      </c>
      <c r="AN47" s="60">
        <f>IF(C47="","",IFERROR(INDEX('Saisie'!$AL$5:$AL$2004,_xlfn.MAXIFS('Saisie'!$AS$5:$AS$2004,'Saisie'!$C$5:$C$2004,C47,'Saisie'!$AL$5:$AL$2004,"&lt;&gt;")-4),""))</f>
        <v/>
      </c>
      <c r="AO47" s="62">
        <f>IF(C47="","",IF(IFERROR(INDEX('Saisie'!$AM$5:$AM$2004,_xlfn.MAXIFS('Saisie'!$AS$5:$AS$2004,'Saisie'!$C$5:$C$2004,C47,'Saisie'!$AM$5:$AM$2004,"&lt;&gt;")-4),"")&lt;&gt;"",IFERROR(INDEX('Saisie'!$AM$5:$AM$2004,_xlfn.MAXIFS('Saisie'!$AS$5:$AS$2004,'Saisie'!$C$5:$C$2004,C47,'Saisie'!$AM$5:$AM$2004,"&lt;&gt;")-4),""),IFERROR(INDEX('Paramètres'!$S$6:$S$15,MATCH(AN47,'Paramètres'!$Q$6:$Q$15,0)),"")))</f>
        <v/>
      </c>
      <c r="AP47" s="62">
        <f>IF(C47="","",IFERROR(INDEX('Saisie'!$AW$5:$AW$2004,_xlfn.MAXIFS('Saisie'!$AS$5:$AS$2004,'Saisie'!$C$5:$C$2004,C47,'Saisie'!$E$5:$E$2004,"Proposition envoyée")-4),""))</f>
        <v/>
      </c>
      <c r="AQ47" s="106">
        <f>IF(C47="","",IFERROR(1/(1/_xlfn.MAXIFS('Saisie'!$A$5:$A$2004,'Saisie'!$C$5:$C$2004,C47,'Saisie'!$E$5:$E$2004,"Proposition envoyée")),""))</f>
        <v/>
      </c>
      <c r="AR47" s="106">
        <f>IF(C47="","",IF(AQ47="","",AQ47+'Paramètres'!$B$26))</f>
        <v/>
      </c>
      <c r="AS47" s="62">
        <f>IF(OR(C47="",D47="Gagné",D47="Perdu"),0,N(AP47)*IFERROR(INDEX('Paramètres'!$G$6:$G$13,MATCH(D47,'Paramètres'!$F$6:$F$13,0)),0))</f>
        <v/>
      </c>
      <c r="AT47" s="106">
        <f>IF(C47="","",IFERROR(1/(1/_xlfn.MINIFS('Saisie'!$A$5:$A$2004,'Saisie'!$C$5:$C$2004,C47,'Saisie'!$E$5:$E$2004,"Signature")),""))</f>
        <v/>
      </c>
      <c r="AU47" s="60">
        <f>IF(C47="","",IF(OR(AT47="",B47=""),"",AT47-B47))</f>
        <v/>
      </c>
      <c r="AV47" s="60">
        <f>IF(C47="","",IFERROR(INDEX('Saisie'!$L$5:$L$2004,_xlfn.MAXIFS('Saisie'!$AS$5:$AS$2004,'Saisie'!$C$5:$C$2004,C47,'Saisie'!$L$5:$L$2004,"&lt;&gt;")-4),""))</f>
        <v/>
      </c>
      <c r="AW47" s="106">
        <f>IF(C47="","",IF(D47&lt;&gt;"Perdu","",IFERROR(1/(1/_xlfn.MAXIFS('Saisie'!$A$5:$A$2004,'Saisie'!$C$5:$C$2004,C47,'Saisie'!$E$5:$E$2004,"Perdu")),"")))</f>
        <v/>
      </c>
      <c r="AX47" s="106">
        <f>IF(C47="","",IF(AW47="","",AW47+'Paramètres'!$B$28))</f>
        <v/>
      </c>
      <c r="AY47" s="60">
        <f>IF(C47="","",SUMIFS('Saisie'!$H$5:$H$2004,'Saisie'!$C$5:$C$2004,C47))</f>
        <v/>
      </c>
      <c r="AZ47" s="60">
        <f>IF(C47="","",IFERROR(INDEX('Paramètres'!$W$6:$W$20,MATCH(S47,'Paramètres'!$V$6:$V$20,0))&amp;"",""))</f>
        <v/>
      </c>
      <c r="BA47" s="60">
        <f>IF(C47="","",MAX(1,_xlfn.MAXIFS('Saisie'!$AT$5:$AT$2004,'Saisie'!$C$5:$C$2004,C47)))</f>
        <v/>
      </c>
      <c r="BB47" s="60">
        <f>IF(C47="","",IFERROR(INDEX('Saisie'!$X$5:$X$2004,_xlfn.MAXIFS('Saisie'!$AS$5:$AS$2004,'Saisie'!$C$5:$C$2004,C47,'Saisie'!$X$5:$X$2004,"&lt;&gt;")-4),""))</f>
        <v/>
      </c>
      <c r="BC47" s="60">
        <f>IF(C47="","",IFERROR(INDEX('Saisie'!$Y$5:$Y$2004,_xlfn.MAXIFS('Saisie'!$AS$5:$AS$2004,'Saisie'!$C$5:$C$2004,C47,'Saisie'!$Y$5:$Y$2004,"&lt;&gt;")-4),""))</f>
        <v/>
      </c>
      <c r="BD47" s="106">
        <f>IF(C47="","",IFERROR(1/(1/_xlfn.MINIFS('Saisie'!$A$5:$A$2004,'Saisie'!$C$5:$C$2004,C47,'Saisie'!$AT$5:$AT$2004,"&gt;=2")),""))</f>
        <v/>
      </c>
      <c r="BE47" s="106">
        <f>IF(C47="","",IFERROR(1/(1/_xlfn.MINIFS('Saisie'!$A$5:$A$2004,'Saisie'!$C$5:$C$2004,C47,'Saisie'!$AT$5:$AT$2004,"&gt;=3")),""))</f>
        <v/>
      </c>
      <c r="BF47" s="106">
        <f>IF(C47="","",IFERROR(1/(1/_xlfn.MINIFS('Saisie'!$A$5:$A$2004,'Saisie'!$C$5:$C$2004,C47,'Saisie'!$AT$5:$AT$2004,"&gt;=4")),""))</f>
        <v/>
      </c>
      <c r="BG47" s="106">
        <f>IF(C47="","",IFERROR(1/(1/_xlfn.MINIFS('Saisie'!$A$5:$A$2004,'Saisie'!$C$5:$C$2004,C47,'Saisie'!$AT$5:$AT$2004,"&gt;=5")),""))</f>
        <v/>
      </c>
      <c r="BH47" s="106">
        <f>IF(C47="","",IFERROR(1/(1/_xlfn.MINIFS('Saisie'!$A$5:$A$2004,'Saisie'!$C$5:$C$2004,C47,'Saisie'!$AT$5:$AT$2004,"&gt;=6")),""))</f>
        <v/>
      </c>
      <c r="BI47" s="106">
        <f>IF(C47="","",IFERROR(1/(1/_xlfn.MINIFS('Saisie'!$A$5:$A$2004,'Saisie'!$C$5:$C$2004,C47,'Saisie'!$AT$5:$AT$2004,"&gt;=7")),""))</f>
        <v/>
      </c>
      <c r="BJ47" s="60">
        <f>IF(OR(BD47="",B47=""),"",BD47-B47)</f>
        <v/>
      </c>
      <c r="BK47" s="60">
        <f>IF(OR(BE47="",BD47=""),"",BE47-BD47)</f>
        <v/>
      </c>
      <c r="BL47" s="60">
        <f>IF(OR(BF47="",BE47=""),"",BF47-BE47)</f>
        <v/>
      </c>
      <c r="BM47" s="60">
        <f>IF(OR(BG47="",BF47=""),"",BG47-BF47)</f>
        <v/>
      </c>
      <c r="BN47" s="60">
        <f>IF(OR(BH47="",BG47=""),"",BH47-BG47)</f>
        <v/>
      </c>
      <c r="BO47" s="60">
        <f>IF(OR(BI47="",BH47=""),"",BI47-BH47)</f>
        <v/>
      </c>
      <c r="BP47" s="60">
        <f>IF(C47="","",_xlfn.MAXIFS('Saisie'!$AS$5:$AS$2004,'Saisie'!$C$5:$C$2004,C47,'Saisie'!$J$5:$J$2004,"&lt;&gt;"))</f>
        <v/>
      </c>
      <c r="BQ47" s="60">
        <f>IF(C47="","",_xlfn.MAXIFS('Saisie'!$AS$5:$AS$2004,'Saisie'!$C$5:$C$2004,C47))</f>
        <v/>
      </c>
      <c r="BR47" s="60">
        <f>IF(C47="","",_xlfn.MAXIFS('Saisie'!$AS$5:$AS$2004,'Saisie'!$C$5:$C$2004,C47,'Saisie'!$E$5:$E$2004,"Perdu"))</f>
        <v/>
      </c>
      <c r="BS47" s="60">
        <f>IF(C47="","",_xlfn.MAXIFS('Saisie'!$AS$5:$AS$2004,'Saisie'!$C$5:$C$2004,C47,'Saisie'!$AT$5:$AT$2004,"&gt;0"))</f>
        <v/>
      </c>
      <c r="BT47" s="109">
        <f>IF(AND(C47&lt;&gt;"",OR(D47="Nouveau",D47="Contacté",D47="Qualifié"),OR(G47="",N(G47)&lt;=TODAY()),NOT(AND(O47&gt;='Paramètres'!$B$21,P47=0))),E47+43/10000,"")</f>
        <v/>
      </c>
      <c r="BU47" s="60">
        <f>IF(AND(G47&lt;&gt;"",N(G47)&lt;=TODAY()),MAX($BU$4:BU46)+1,"")</f>
        <v/>
      </c>
      <c r="BV47" s="60">
        <f>IF(AND(F47&lt;&gt;"",F47&lt;&gt;"Relance en retard"),MAX($BV$4:BV46)+1,"")</f>
        <v/>
      </c>
      <c r="BW47" s="60">
        <f>IF(C47="","",IF(AND(B47&gt;='Tableau de bord'!$R$4,B47&lt;='Tableau de bord'!$S$4,OR('Tableau de bord'!$G$4="Tous",N47='Tableau de bord'!$G$4)),1,0))</f>
        <v/>
      </c>
      <c r="BX47" s="60">
        <f>IF(AND(C47&lt;&gt;"",N(BA47)=7),MAX($BX$4:BX46)+1,"")</f>
        <v/>
      </c>
    </row>
    <row r="48">
      <c r="A48" s="60">
        <f>IF(C48="","","P-"&amp;TEXT(44,"000"))</f>
        <v/>
      </c>
      <c r="B48" s="106">
        <f>IF(C48="","",IFERROR(1/(1/_xlfn.MINIFS('Saisie'!$A$5:$A$2004,'Saisie'!$C$5:$C$2004,C48)),""))</f>
        <v/>
      </c>
      <c r="C48" s="60">
        <f>IFERROR(INDEX('Saisie'!$C$5:$C$2004,MATCH(44,'Saisie'!$AX$5:$AX$2004,0)),"")</f>
        <v/>
      </c>
      <c r="D48" s="60">
        <f>IF(C48="","",IF(AND(BR48&gt;0,BR48&gt;BS48,BA48&lt;7),"Perdu",INDEX('Paramètres'!$F$6:$F$13,BA48)))</f>
        <v/>
      </c>
      <c r="E48" s="61">
        <f>IF(C48="","",MIN(100,(Z48="Oui")*'Paramètres'!$B$38+(AB48="Régulière")*'Paramètres'!$B$39+IF(AND(N(AA48)&gt;0,TODAY()-N(AA48)&lt;=30),'Paramètres'!$B$40,0)+(W48="")*'Paramètres'!$B$41+(AC48="Absente")*'Paramètres'!$B$42+(AC48="Faible")*'Paramètres'!$B$43+IF(AND(N(AD48)&gt;0,N(AD48)&lt;4),'Paramètres'!$B$44,0)+(AF48="Moyenne")*'Paramètres'!$B$45+(AF48="Grande")*'Paramètres'!$B$46+(Y48&lt;&gt;"")*'Paramètres'!$B$47))</f>
        <v/>
      </c>
      <c r="F48" s="60">
        <f>IF(C48="","",IF(D48="Gagné","",IF(D48="Perdu",IF(AND(AX48&lt;&gt;"",AX48&lt;=TODAY()),"À recontacter (perdu)",""),IF(AND(O48&gt;='Paramètres'!$B$21,P48=0),"Stop : "&amp;'Paramètres'!$B$21&amp;" tentatives sans réponse",IF(AND(D48="Proposition",AR48&lt;&gt;"",TODAY()&gt;N(AR48)),"Proposition expirée",IF(AND(D48="Proposition",N(R48)&gt;='Paramètres'!$B$25),"Proposition sans réponse",IF(AND(G48&lt;&gt;"",N(G48)&lt;TODAY()),"Relance en retard",IF(N(R48)&gt;='Paramètres'!$B$24,"Sans action depuis "&amp;R48&amp;" j",""))))))))</f>
        <v/>
      </c>
      <c r="G48" s="106">
        <f>IF(OR(C48="",D48="Gagné",D48="Perdu"),"",IF(AND(BP48&gt;0,BP48=BQ48),INDEX('Saisie'!$J$5:$J$2004,BP48-4),IF(OR(O48=0,AND(O48&gt;='Paramètres'!$B$21,P48=0)),"",Q48+IF(O48&lt;=1,'Paramètres'!$B$18,IF(O48=2,'Paramètres'!$B$19,'Paramètres'!$B$20)))))</f>
        <v/>
      </c>
      <c r="H48" s="107">
        <f>IF(OR(G48="",BP48&lt;&gt;BQ48),"",IF(INDEX('Saisie'!$K$5:$K$2004,BP48-4)="","",INDEX('Saisie'!$K$5:$K$2004,BP48-4)))</f>
        <v/>
      </c>
      <c r="I48" s="60">
        <f>IF(C48="","",IF(OR(D48="Gagné",D48="Perdu"),"",IFERROR(INDEX('Saisie'!$I$5:$I$2004,_xlfn.MAXIFS('Saisie'!$AS$5:$AS$2004,'Saisie'!$C$5:$C$2004,C48,'Saisie'!$I$5:$I$2004,"&lt;&gt;")-4),"")))</f>
        <v/>
      </c>
      <c r="J48" s="60">
        <f>IF(C48="","",IFERROR(INDEX('Saisie'!$U$5:$U$2004,_xlfn.MAXIFS('Saisie'!$AS$5:$AS$2004,'Saisie'!$C$5:$C$2004,C48,'Saisie'!$U$5:$U$2004,"&lt;&gt;")-4),""))</f>
        <v/>
      </c>
      <c r="K48" s="60">
        <f>IF(C48="","",IFERROR(INDEX('Saisie'!$W$5:$W$2004,_xlfn.MAXIFS('Saisie'!$AS$5:$AS$2004,'Saisie'!$C$5:$C$2004,C48,'Saisie'!$W$5:$W$2004,"&lt;&gt;")-4),""))</f>
        <v/>
      </c>
      <c r="L48" s="60">
        <f>IF(IF(BB48&lt;&gt;"",BB48,K48)="","",HYPERLINK("https://wa.me/"&amp;IF(LEFT(SUBSTITUTE(SUBSTITUTE(SUBSTITUTE(IF(BB48&lt;&gt;"",BB48,K48)," ",""),".",""),"+",""),1)="0",'Paramètres'!$B$35&amp;MID(SUBSTITUTE(SUBSTITUTE(SUBSTITUTE(IF(BB48&lt;&gt;"",BB48,K48)," ",""),".",""),"+",""),2,20),SUBSTITUTE(SUBSTITUTE(SUBSTITUTE(IF(BB48&lt;&gt;"",BB48,K48)," ",""),".",""),"+","")),"WhatsApp"))</f>
        <v/>
      </c>
      <c r="M48" s="60">
        <f>IF(BC48="","",HYPERLINK(IF(LEFT(BC48,4)="http",BC48,"https://www.instagram.com/"&amp;SUBSTITUTE(SUBSTITUTE(BC48,"@","")," ","")),BC48))</f>
        <v/>
      </c>
      <c r="N48" s="60">
        <f>IF(C48="","",IFERROR(INDEX('Saisie'!$D$5:$D$2004,_xlfn.MINIFS('Saisie'!$AS$5:$AS$2004,'Saisie'!$C$5:$C$2004,C48,'Saisie'!$AU$5:$AU$2004,1)-4),IFERROR(INDEX('Saisie'!$D$5:$D$2004,_xlfn.MINIFS('Saisie'!$AS$5:$AS$2004,'Saisie'!$C$5:$C$2004,C48,'Saisie'!$D$5:$D$2004,"&lt;&gt;")-4),"")))</f>
        <v/>
      </c>
      <c r="O48" s="60">
        <f>IF(C48="","",COUNTIFS('Saisie'!$C$5:$C$2004,C48,'Saisie'!$AU$5:$AU$2004,1))</f>
        <v/>
      </c>
      <c r="P48" s="60">
        <f>IF(C48="","",COUNTIFS('Saisie'!$C$5:$C$2004,C48,'Saisie'!$AV$5:$AV$2004,1))</f>
        <v/>
      </c>
      <c r="Q48" s="106">
        <f>IF(C48="","",IFERROR(1/(1/_xlfn.MAXIFS('Saisie'!$A$5:$A$2004,'Saisie'!$C$5:$C$2004,C48)),""))</f>
        <v/>
      </c>
      <c r="R48" s="61">
        <f>IF(C48="","",IF(Q48="","",TODAY()-Q48))</f>
        <v/>
      </c>
      <c r="S48" s="60">
        <f>IF(C48="","",IFERROR(INDEX('Saisie'!$R$5:$R$2004,_xlfn.MAXIFS('Saisie'!$AS$5:$AS$2004,'Saisie'!$C$5:$C$2004,C48,'Saisie'!$R$5:$R$2004,"&lt;&gt;")-4),""))</f>
        <v/>
      </c>
      <c r="T48" s="60">
        <f>IF(C48="","",IFERROR(INDEX('Saisie'!$S$5:$S$2004,_xlfn.MAXIFS('Saisie'!$AS$5:$AS$2004,'Saisie'!$C$5:$C$2004,C48,'Saisie'!$S$5:$S$2004,"&lt;&gt;")-4),""))</f>
        <v/>
      </c>
      <c r="U48" s="60">
        <f>IF(C48="","",IFERROR(INDEX('Saisie'!$T$5:$T$2004,_xlfn.MAXIFS('Saisie'!$AS$5:$AS$2004,'Saisie'!$C$5:$C$2004,C48,'Saisie'!$T$5:$T$2004,"&lt;&gt;")-4),""))</f>
        <v/>
      </c>
      <c r="V48" s="60">
        <f>IF(C48="","",IFERROR(INDEX('Saisie'!$V$5:$V$2004,_xlfn.MAXIFS('Saisie'!$AS$5:$AS$2004,'Saisie'!$C$5:$C$2004,C48,'Saisie'!$V$5:$V$2004,"&lt;&gt;")-4),""))</f>
        <v/>
      </c>
      <c r="W48" s="60">
        <f>IF(C48="","",IFERROR(INDEX('Saisie'!$Z$5:$Z$2004,_xlfn.MAXIFS('Saisie'!$AS$5:$AS$2004,'Saisie'!$C$5:$C$2004,C48,'Saisie'!$Z$5:$Z$2004,"&lt;&gt;")-4),""))</f>
        <v/>
      </c>
      <c r="X48" s="60">
        <f>IF(C48="","",IFERROR(INDEX('Saisie'!$AA$5:$AA$2004,_xlfn.MAXIFS('Saisie'!$AS$5:$AS$2004,'Saisie'!$C$5:$C$2004,C48,'Saisie'!$AA$5:$AA$2004,"&lt;&gt;")-4),""))</f>
        <v/>
      </c>
      <c r="Y48" s="60">
        <f>IF(C48="","",IFERROR(INDEX('Saisie'!$AB$5:$AB$2004,_xlfn.MAXIFS('Saisie'!$AS$5:$AS$2004,'Saisie'!$C$5:$C$2004,C48,'Saisie'!$AB$5:$AB$2004,"&lt;&gt;")-4),""))</f>
        <v/>
      </c>
      <c r="Z48" s="60">
        <f>IF(C48="","",IFERROR(INDEX('Saisie'!$AC$5:$AC$2004,_xlfn.MAXIFS('Saisie'!$AS$5:$AS$2004,'Saisie'!$C$5:$C$2004,C48,'Saisie'!$AC$5:$AC$2004,"&lt;&gt;")-4),""))</f>
        <v/>
      </c>
      <c r="AA48" s="106">
        <f>IF(C48="","",IFERROR(INDEX('Saisie'!$AD$5:$AD$2004,_xlfn.MAXIFS('Saisie'!$AS$5:$AS$2004,'Saisie'!$C$5:$C$2004,C48,'Saisie'!$AD$5:$AD$2004,"&lt;&gt;")-4),""))</f>
        <v/>
      </c>
      <c r="AB48" s="60">
        <f>IF(C48="","",IFERROR(INDEX('Saisie'!$AE$5:$AE$2004,_xlfn.MAXIFS('Saisie'!$AS$5:$AS$2004,'Saisie'!$C$5:$C$2004,C48,'Saisie'!$AE$5:$AE$2004,"&lt;&gt;")-4),""))</f>
        <v/>
      </c>
      <c r="AC48" s="60">
        <f>IF(C48="","",IFERROR(INDEX('Saisie'!$AF$5:$AF$2004,_xlfn.MAXIFS('Saisie'!$AS$5:$AS$2004,'Saisie'!$C$5:$C$2004,C48,'Saisie'!$AF$5:$AF$2004,"&lt;&gt;")-4),""))</f>
        <v/>
      </c>
      <c r="AD48" s="108">
        <f>IF(C48="","",IFERROR(INDEX('Saisie'!$AG$5:$AG$2004,_xlfn.MAXIFS('Saisie'!$AS$5:$AS$2004,'Saisie'!$C$5:$C$2004,C48,'Saisie'!$AG$5:$AG$2004,"&lt;&gt;")-4),""))</f>
        <v/>
      </c>
      <c r="AE48" s="60">
        <f>IF(C48="","",IFERROR(INDEX('Saisie'!$AH$5:$AH$2004,_xlfn.MAXIFS('Saisie'!$AS$5:$AS$2004,'Saisie'!$C$5:$C$2004,C48,'Saisie'!$AH$5:$AH$2004,"&lt;&gt;")-4),""))</f>
        <v/>
      </c>
      <c r="AF48" s="60">
        <f>IF(C48="","",IFERROR(INDEX('Saisie'!$AI$5:$AI$2004,_xlfn.MAXIFS('Saisie'!$AS$5:$AS$2004,'Saisie'!$C$5:$C$2004,C48,'Saisie'!$AI$5:$AI$2004,"&lt;&gt;")-4),""))</f>
        <v/>
      </c>
      <c r="AG48" s="60">
        <f>IF(C48="","",IFERROR(INDEX('Saisie'!$AJ$5:$AJ$2004,_xlfn.MAXIFS('Saisie'!$AS$5:$AS$2004,'Saisie'!$C$5:$C$2004,C48,'Saisie'!$AJ$5:$AJ$2004,"&lt;&gt;")-4),""))</f>
        <v/>
      </c>
      <c r="AH48" s="60">
        <f>IF(C48="","",IFERROR(INDEX('Saisie'!$AK$5:$AK$2004,_xlfn.MAXIFS('Saisie'!$AS$5:$AS$2004,'Saisie'!$C$5:$C$2004,C48,'Saisie'!$AK$5:$AK$2004,"&lt;&gt;")-4),""))</f>
        <v/>
      </c>
      <c r="AI48" s="60">
        <f>IF(C48="","",IFERROR(INDEX('Saisie'!$AN$5:$AN$2004,_xlfn.MAXIFS('Saisie'!$AS$5:$AS$2004,'Saisie'!$C$5:$C$2004,C48,'Saisie'!$AN$5:$AN$2004,"&lt;&gt;")-4),""))</f>
        <v/>
      </c>
      <c r="AJ48" s="60">
        <f>IF(C48="","",IFERROR(INDEX('Saisie'!$AO$5:$AO$2004,_xlfn.MAXIFS('Saisie'!$AS$5:$AS$2004,'Saisie'!$C$5:$C$2004,C48,'Saisie'!$AO$5:$AO$2004,"&lt;&gt;")-4),""))</f>
        <v/>
      </c>
      <c r="AK48" s="60">
        <f>IF(C48="","",IFERROR(INDEX('Saisie'!$AP$5:$AP$2004,_xlfn.MAXIFS('Saisie'!$AS$5:$AS$2004,'Saisie'!$C$5:$C$2004,C48,'Saisie'!$AP$5:$AP$2004,"&lt;&gt;")-4),""))</f>
        <v/>
      </c>
      <c r="AL48" s="60">
        <f>IF(C48="","",IFERROR(INDEX('Saisie'!$AQ$5:$AQ$2004,_xlfn.MAXIFS('Saisie'!$AS$5:$AS$2004,'Saisie'!$C$5:$C$2004,C48,'Saisie'!$AQ$5:$AQ$2004,"&lt;&gt;")-4),""))</f>
        <v/>
      </c>
      <c r="AM48" s="60">
        <f>IF(C48="","",((AI48="Oui")+(AJ48="Oui")+(AK48="Oui")+OR(AL48="Immédiat",AL48="&lt; 1 mois"))&amp;"/4")</f>
        <v/>
      </c>
      <c r="AN48" s="60">
        <f>IF(C48="","",IFERROR(INDEX('Saisie'!$AL$5:$AL$2004,_xlfn.MAXIFS('Saisie'!$AS$5:$AS$2004,'Saisie'!$C$5:$C$2004,C48,'Saisie'!$AL$5:$AL$2004,"&lt;&gt;")-4),""))</f>
        <v/>
      </c>
      <c r="AO48" s="62">
        <f>IF(C48="","",IF(IFERROR(INDEX('Saisie'!$AM$5:$AM$2004,_xlfn.MAXIFS('Saisie'!$AS$5:$AS$2004,'Saisie'!$C$5:$C$2004,C48,'Saisie'!$AM$5:$AM$2004,"&lt;&gt;")-4),"")&lt;&gt;"",IFERROR(INDEX('Saisie'!$AM$5:$AM$2004,_xlfn.MAXIFS('Saisie'!$AS$5:$AS$2004,'Saisie'!$C$5:$C$2004,C48,'Saisie'!$AM$5:$AM$2004,"&lt;&gt;")-4),""),IFERROR(INDEX('Paramètres'!$S$6:$S$15,MATCH(AN48,'Paramètres'!$Q$6:$Q$15,0)),"")))</f>
        <v/>
      </c>
      <c r="AP48" s="62">
        <f>IF(C48="","",IFERROR(INDEX('Saisie'!$AW$5:$AW$2004,_xlfn.MAXIFS('Saisie'!$AS$5:$AS$2004,'Saisie'!$C$5:$C$2004,C48,'Saisie'!$E$5:$E$2004,"Proposition envoyée")-4),""))</f>
        <v/>
      </c>
      <c r="AQ48" s="106">
        <f>IF(C48="","",IFERROR(1/(1/_xlfn.MAXIFS('Saisie'!$A$5:$A$2004,'Saisie'!$C$5:$C$2004,C48,'Saisie'!$E$5:$E$2004,"Proposition envoyée")),""))</f>
        <v/>
      </c>
      <c r="AR48" s="106">
        <f>IF(C48="","",IF(AQ48="","",AQ48+'Paramètres'!$B$26))</f>
        <v/>
      </c>
      <c r="AS48" s="62">
        <f>IF(OR(C48="",D48="Gagné",D48="Perdu"),0,N(AP48)*IFERROR(INDEX('Paramètres'!$G$6:$G$13,MATCH(D48,'Paramètres'!$F$6:$F$13,0)),0))</f>
        <v/>
      </c>
      <c r="AT48" s="106">
        <f>IF(C48="","",IFERROR(1/(1/_xlfn.MINIFS('Saisie'!$A$5:$A$2004,'Saisie'!$C$5:$C$2004,C48,'Saisie'!$E$5:$E$2004,"Signature")),""))</f>
        <v/>
      </c>
      <c r="AU48" s="60">
        <f>IF(C48="","",IF(OR(AT48="",B48=""),"",AT48-B48))</f>
        <v/>
      </c>
      <c r="AV48" s="60">
        <f>IF(C48="","",IFERROR(INDEX('Saisie'!$L$5:$L$2004,_xlfn.MAXIFS('Saisie'!$AS$5:$AS$2004,'Saisie'!$C$5:$C$2004,C48,'Saisie'!$L$5:$L$2004,"&lt;&gt;")-4),""))</f>
        <v/>
      </c>
      <c r="AW48" s="106">
        <f>IF(C48="","",IF(D48&lt;&gt;"Perdu","",IFERROR(1/(1/_xlfn.MAXIFS('Saisie'!$A$5:$A$2004,'Saisie'!$C$5:$C$2004,C48,'Saisie'!$E$5:$E$2004,"Perdu")),"")))</f>
        <v/>
      </c>
      <c r="AX48" s="106">
        <f>IF(C48="","",IF(AW48="","",AW48+'Paramètres'!$B$28))</f>
        <v/>
      </c>
      <c r="AY48" s="60">
        <f>IF(C48="","",SUMIFS('Saisie'!$H$5:$H$2004,'Saisie'!$C$5:$C$2004,C48))</f>
        <v/>
      </c>
      <c r="AZ48" s="60">
        <f>IF(C48="","",IFERROR(INDEX('Paramètres'!$W$6:$W$20,MATCH(S48,'Paramètres'!$V$6:$V$20,0))&amp;"",""))</f>
        <v/>
      </c>
      <c r="BA48" s="60">
        <f>IF(C48="","",MAX(1,_xlfn.MAXIFS('Saisie'!$AT$5:$AT$2004,'Saisie'!$C$5:$C$2004,C48)))</f>
        <v/>
      </c>
      <c r="BB48" s="60">
        <f>IF(C48="","",IFERROR(INDEX('Saisie'!$X$5:$X$2004,_xlfn.MAXIFS('Saisie'!$AS$5:$AS$2004,'Saisie'!$C$5:$C$2004,C48,'Saisie'!$X$5:$X$2004,"&lt;&gt;")-4),""))</f>
        <v/>
      </c>
      <c r="BC48" s="60">
        <f>IF(C48="","",IFERROR(INDEX('Saisie'!$Y$5:$Y$2004,_xlfn.MAXIFS('Saisie'!$AS$5:$AS$2004,'Saisie'!$C$5:$C$2004,C48,'Saisie'!$Y$5:$Y$2004,"&lt;&gt;")-4),""))</f>
        <v/>
      </c>
      <c r="BD48" s="106">
        <f>IF(C48="","",IFERROR(1/(1/_xlfn.MINIFS('Saisie'!$A$5:$A$2004,'Saisie'!$C$5:$C$2004,C48,'Saisie'!$AT$5:$AT$2004,"&gt;=2")),""))</f>
        <v/>
      </c>
      <c r="BE48" s="106">
        <f>IF(C48="","",IFERROR(1/(1/_xlfn.MINIFS('Saisie'!$A$5:$A$2004,'Saisie'!$C$5:$C$2004,C48,'Saisie'!$AT$5:$AT$2004,"&gt;=3")),""))</f>
        <v/>
      </c>
      <c r="BF48" s="106">
        <f>IF(C48="","",IFERROR(1/(1/_xlfn.MINIFS('Saisie'!$A$5:$A$2004,'Saisie'!$C$5:$C$2004,C48,'Saisie'!$AT$5:$AT$2004,"&gt;=4")),""))</f>
        <v/>
      </c>
      <c r="BG48" s="106">
        <f>IF(C48="","",IFERROR(1/(1/_xlfn.MINIFS('Saisie'!$A$5:$A$2004,'Saisie'!$C$5:$C$2004,C48,'Saisie'!$AT$5:$AT$2004,"&gt;=5")),""))</f>
        <v/>
      </c>
      <c r="BH48" s="106">
        <f>IF(C48="","",IFERROR(1/(1/_xlfn.MINIFS('Saisie'!$A$5:$A$2004,'Saisie'!$C$5:$C$2004,C48,'Saisie'!$AT$5:$AT$2004,"&gt;=6")),""))</f>
        <v/>
      </c>
      <c r="BI48" s="106">
        <f>IF(C48="","",IFERROR(1/(1/_xlfn.MINIFS('Saisie'!$A$5:$A$2004,'Saisie'!$C$5:$C$2004,C48,'Saisie'!$AT$5:$AT$2004,"&gt;=7")),""))</f>
        <v/>
      </c>
      <c r="BJ48" s="60">
        <f>IF(OR(BD48="",B48=""),"",BD48-B48)</f>
        <v/>
      </c>
      <c r="BK48" s="60">
        <f>IF(OR(BE48="",BD48=""),"",BE48-BD48)</f>
        <v/>
      </c>
      <c r="BL48" s="60">
        <f>IF(OR(BF48="",BE48=""),"",BF48-BE48)</f>
        <v/>
      </c>
      <c r="BM48" s="60">
        <f>IF(OR(BG48="",BF48=""),"",BG48-BF48)</f>
        <v/>
      </c>
      <c r="BN48" s="60">
        <f>IF(OR(BH48="",BG48=""),"",BH48-BG48)</f>
        <v/>
      </c>
      <c r="BO48" s="60">
        <f>IF(OR(BI48="",BH48=""),"",BI48-BH48)</f>
        <v/>
      </c>
      <c r="BP48" s="60">
        <f>IF(C48="","",_xlfn.MAXIFS('Saisie'!$AS$5:$AS$2004,'Saisie'!$C$5:$C$2004,C48,'Saisie'!$J$5:$J$2004,"&lt;&gt;"))</f>
        <v/>
      </c>
      <c r="BQ48" s="60">
        <f>IF(C48="","",_xlfn.MAXIFS('Saisie'!$AS$5:$AS$2004,'Saisie'!$C$5:$C$2004,C48))</f>
        <v/>
      </c>
      <c r="BR48" s="60">
        <f>IF(C48="","",_xlfn.MAXIFS('Saisie'!$AS$5:$AS$2004,'Saisie'!$C$5:$C$2004,C48,'Saisie'!$E$5:$E$2004,"Perdu"))</f>
        <v/>
      </c>
      <c r="BS48" s="60">
        <f>IF(C48="","",_xlfn.MAXIFS('Saisie'!$AS$5:$AS$2004,'Saisie'!$C$5:$C$2004,C48,'Saisie'!$AT$5:$AT$2004,"&gt;0"))</f>
        <v/>
      </c>
      <c r="BT48" s="109">
        <f>IF(AND(C48&lt;&gt;"",OR(D48="Nouveau",D48="Contacté",D48="Qualifié"),OR(G48="",N(G48)&lt;=TODAY()),NOT(AND(O48&gt;='Paramètres'!$B$21,P48=0))),E48+44/10000,"")</f>
        <v/>
      </c>
      <c r="BU48" s="60">
        <f>IF(AND(G48&lt;&gt;"",N(G48)&lt;=TODAY()),MAX($BU$4:BU47)+1,"")</f>
        <v/>
      </c>
      <c r="BV48" s="60">
        <f>IF(AND(F48&lt;&gt;"",F48&lt;&gt;"Relance en retard"),MAX($BV$4:BV47)+1,"")</f>
        <v/>
      </c>
      <c r="BW48" s="60">
        <f>IF(C48="","",IF(AND(B48&gt;='Tableau de bord'!$R$4,B48&lt;='Tableau de bord'!$S$4,OR('Tableau de bord'!$G$4="Tous",N48='Tableau de bord'!$G$4)),1,0))</f>
        <v/>
      </c>
      <c r="BX48" s="60">
        <f>IF(AND(C48&lt;&gt;"",N(BA48)=7),MAX($BX$4:BX47)+1,"")</f>
        <v/>
      </c>
    </row>
    <row r="49">
      <c r="A49" s="60">
        <f>IF(C49="","","P-"&amp;TEXT(45,"000"))</f>
        <v/>
      </c>
      <c r="B49" s="106">
        <f>IF(C49="","",IFERROR(1/(1/_xlfn.MINIFS('Saisie'!$A$5:$A$2004,'Saisie'!$C$5:$C$2004,C49)),""))</f>
        <v/>
      </c>
      <c r="C49" s="60">
        <f>IFERROR(INDEX('Saisie'!$C$5:$C$2004,MATCH(45,'Saisie'!$AX$5:$AX$2004,0)),"")</f>
        <v/>
      </c>
      <c r="D49" s="60">
        <f>IF(C49="","",IF(AND(BR49&gt;0,BR49&gt;BS49,BA49&lt;7),"Perdu",INDEX('Paramètres'!$F$6:$F$13,BA49)))</f>
        <v/>
      </c>
      <c r="E49" s="61">
        <f>IF(C49="","",MIN(100,(Z49="Oui")*'Paramètres'!$B$38+(AB49="Régulière")*'Paramètres'!$B$39+IF(AND(N(AA49)&gt;0,TODAY()-N(AA49)&lt;=30),'Paramètres'!$B$40,0)+(W49="")*'Paramètres'!$B$41+(AC49="Absente")*'Paramètres'!$B$42+(AC49="Faible")*'Paramètres'!$B$43+IF(AND(N(AD49)&gt;0,N(AD49)&lt;4),'Paramètres'!$B$44,0)+(AF49="Moyenne")*'Paramètres'!$B$45+(AF49="Grande")*'Paramètres'!$B$46+(Y49&lt;&gt;"")*'Paramètres'!$B$47))</f>
        <v/>
      </c>
      <c r="F49" s="60">
        <f>IF(C49="","",IF(D49="Gagné","",IF(D49="Perdu",IF(AND(AX49&lt;&gt;"",AX49&lt;=TODAY()),"À recontacter (perdu)",""),IF(AND(O49&gt;='Paramètres'!$B$21,P49=0),"Stop : "&amp;'Paramètres'!$B$21&amp;" tentatives sans réponse",IF(AND(D49="Proposition",AR49&lt;&gt;"",TODAY()&gt;N(AR49)),"Proposition expirée",IF(AND(D49="Proposition",N(R49)&gt;='Paramètres'!$B$25),"Proposition sans réponse",IF(AND(G49&lt;&gt;"",N(G49)&lt;TODAY()),"Relance en retard",IF(N(R49)&gt;='Paramètres'!$B$24,"Sans action depuis "&amp;R49&amp;" j",""))))))))</f>
        <v/>
      </c>
      <c r="G49" s="106">
        <f>IF(OR(C49="",D49="Gagné",D49="Perdu"),"",IF(AND(BP49&gt;0,BP49=BQ49),INDEX('Saisie'!$J$5:$J$2004,BP49-4),IF(OR(O49=0,AND(O49&gt;='Paramètres'!$B$21,P49=0)),"",Q49+IF(O49&lt;=1,'Paramètres'!$B$18,IF(O49=2,'Paramètres'!$B$19,'Paramètres'!$B$20)))))</f>
        <v/>
      </c>
      <c r="H49" s="107">
        <f>IF(OR(G49="",BP49&lt;&gt;BQ49),"",IF(INDEX('Saisie'!$K$5:$K$2004,BP49-4)="","",INDEX('Saisie'!$K$5:$K$2004,BP49-4)))</f>
        <v/>
      </c>
      <c r="I49" s="60">
        <f>IF(C49="","",IF(OR(D49="Gagné",D49="Perdu"),"",IFERROR(INDEX('Saisie'!$I$5:$I$2004,_xlfn.MAXIFS('Saisie'!$AS$5:$AS$2004,'Saisie'!$C$5:$C$2004,C49,'Saisie'!$I$5:$I$2004,"&lt;&gt;")-4),"")))</f>
        <v/>
      </c>
      <c r="J49" s="60">
        <f>IF(C49="","",IFERROR(INDEX('Saisie'!$U$5:$U$2004,_xlfn.MAXIFS('Saisie'!$AS$5:$AS$2004,'Saisie'!$C$5:$C$2004,C49,'Saisie'!$U$5:$U$2004,"&lt;&gt;")-4),""))</f>
        <v/>
      </c>
      <c r="K49" s="60">
        <f>IF(C49="","",IFERROR(INDEX('Saisie'!$W$5:$W$2004,_xlfn.MAXIFS('Saisie'!$AS$5:$AS$2004,'Saisie'!$C$5:$C$2004,C49,'Saisie'!$W$5:$W$2004,"&lt;&gt;")-4),""))</f>
        <v/>
      </c>
      <c r="L49" s="60">
        <f>IF(IF(BB49&lt;&gt;"",BB49,K49)="","",HYPERLINK("https://wa.me/"&amp;IF(LEFT(SUBSTITUTE(SUBSTITUTE(SUBSTITUTE(IF(BB49&lt;&gt;"",BB49,K49)," ",""),".",""),"+",""),1)="0",'Paramètres'!$B$35&amp;MID(SUBSTITUTE(SUBSTITUTE(SUBSTITUTE(IF(BB49&lt;&gt;"",BB49,K49)," ",""),".",""),"+",""),2,20),SUBSTITUTE(SUBSTITUTE(SUBSTITUTE(IF(BB49&lt;&gt;"",BB49,K49)," ",""),".",""),"+","")),"WhatsApp"))</f>
        <v/>
      </c>
      <c r="M49" s="60">
        <f>IF(BC49="","",HYPERLINK(IF(LEFT(BC49,4)="http",BC49,"https://www.instagram.com/"&amp;SUBSTITUTE(SUBSTITUTE(BC49,"@","")," ","")),BC49))</f>
        <v/>
      </c>
      <c r="N49" s="60">
        <f>IF(C49="","",IFERROR(INDEX('Saisie'!$D$5:$D$2004,_xlfn.MINIFS('Saisie'!$AS$5:$AS$2004,'Saisie'!$C$5:$C$2004,C49,'Saisie'!$AU$5:$AU$2004,1)-4),IFERROR(INDEX('Saisie'!$D$5:$D$2004,_xlfn.MINIFS('Saisie'!$AS$5:$AS$2004,'Saisie'!$C$5:$C$2004,C49,'Saisie'!$D$5:$D$2004,"&lt;&gt;")-4),"")))</f>
        <v/>
      </c>
      <c r="O49" s="60">
        <f>IF(C49="","",COUNTIFS('Saisie'!$C$5:$C$2004,C49,'Saisie'!$AU$5:$AU$2004,1))</f>
        <v/>
      </c>
      <c r="P49" s="60">
        <f>IF(C49="","",COUNTIFS('Saisie'!$C$5:$C$2004,C49,'Saisie'!$AV$5:$AV$2004,1))</f>
        <v/>
      </c>
      <c r="Q49" s="106">
        <f>IF(C49="","",IFERROR(1/(1/_xlfn.MAXIFS('Saisie'!$A$5:$A$2004,'Saisie'!$C$5:$C$2004,C49)),""))</f>
        <v/>
      </c>
      <c r="R49" s="61">
        <f>IF(C49="","",IF(Q49="","",TODAY()-Q49))</f>
        <v/>
      </c>
      <c r="S49" s="60">
        <f>IF(C49="","",IFERROR(INDEX('Saisie'!$R$5:$R$2004,_xlfn.MAXIFS('Saisie'!$AS$5:$AS$2004,'Saisie'!$C$5:$C$2004,C49,'Saisie'!$R$5:$R$2004,"&lt;&gt;")-4),""))</f>
        <v/>
      </c>
      <c r="T49" s="60">
        <f>IF(C49="","",IFERROR(INDEX('Saisie'!$S$5:$S$2004,_xlfn.MAXIFS('Saisie'!$AS$5:$AS$2004,'Saisie'!$C$5:$C$2004,C49,'Saisie'!$S$5:$S$2004,"&lt;&gt;")-4),""))</f>
        <v/>
      </c>
      <c r="U49" s="60">
        <f>IF(C49="","",IFERROR(INDEX('Saisie'!$T$5:$T$2004,_xlfn.MAXIFS('Saisie'!$AS$5:$AS$2004,'Saisie'!$C$5:$C$2004,C49,'Saisie'!$T$5:$T$2004,"&lt;&gt;")-4),""))</f>
        <v/>
      </c>
      <c r="V49" s="60">
        <f>IF(C49="","",IFERROR(INDEX('Saisie'!$V$5:$V$2004,_xlfn.MAXIFS('Saisie'!$AS$5:$AS$2004,'Saisie'!$C$5:$C$2004,C49,'Saisie'!$V$5:$V$2004,"&lt;&gt;")-4),""))</f>
        <v/>
      </c>
      <c r="W49" s="60">
        <f>IF(C49="","",IFERROR(INDEX('Saisie'!$Z$5:$Z$2004,_xlfn.MAXIFS('Saisie'!$AS$5:$AS$2004,'Saisie'!$C$5:$C$2004,C49,'Saisie'!$Z$5:$Z$2004,"&lt;&gt;")-4),""))</f>
        <v/>
      </c>
      <c r="X49" s="60">
        <f>IF(C49="","",IFERROR(INDEX('Saisie'!$AA$5:$AA$2004,_xlfn.MAXIFS('Saisie'!$AS$5:$AS$2004,'Saisie'!$C$5:$C$2004,C49,'Saisie'!$AA$5:$AA$2004,"&lt;&gt;")-4),""))</f>
        <v/>
      </c>
      <c r="Y49" s="60">
        <f>IF(C49="","",IFERROR(INDEX('Saisie'!$AB$5:$AB$2004,_xlfn.MAXIFS('Saisie'!$AS$5:$AS$2004,'Saisie'!$C$5:$C$2004,C49,'Saisie'!$AB$5:$AB$2004,"&lt;&gt;")-4),""))</f>
        <v/>
      </c>
      <c r="Z49" s="60">
        <f>IF(C49="","",IFERROR(INDEX('Saisie'!$AC$5:$AC$2004,_xlfn.MAXIFS('Saisie'!$AS$5:$AS$2004,'Saisie'!$C$5:$C$2004,C49,'Saisie'!$AC$5:$AC$2004,"&lt;&gt;")-4),""))</f>
        <v/>
      </c>
      <c r="AA49" s="106">
        <f>IF(C49="","",IFERROR(INDEX('Saisie'!$AD$5:$AD$2004,_xlfn.MAXIFS('Saisie'!$AS$5:$AS$2004,'Saisie'!$C$5:$C$2004,C49,'Saisie'!$AD$5:$AD$2004,"&lt;&gt;")-4),""))</f>
        <v/>
      </c>
      <c r="AB49" s="60">
        <f>IF(C49="","",IFERROR(INDEX('Saisie'!$AE$5:$AE$2004,_xlfn.MAXIFS('Saisie'!$AS$5:$AS$2004,'Saisie'!$C$5:$C$2004,C49,'Saisie'!$AE$5:$AE$2004,"&lt;&gt;")-4),""))</f>
        <v/>
      </c>
      <c r="AC49" s="60">
        <f>IF(C49="","",IFERROR(INDEX('Saisie'!$AF$5:$AF$2004,_xlfn.MAXIFS('Saisie'!$AS$5:$AS$2004,'Saisie'!$C$5:$C$2004,C49,'Saisie'!$AF$5:$AF$2004,"&lt;&gt;")-4),""))</f>
        <v/>
      </c>
      <c r="AD49" s="108">
        <f>IF(C49="","",IFERROR(INDEX('Saisie'!$AG$5:$AG$2004,_xlfn.MAXIFS('Saisie'!$AS$5:$AS$2004,'Saisie'!$C$5:$C$2004,C49,'Saisie'!$AG$5:$AG$2004,"&lt;&gt;")-4),""))</f>
        <v/>
      </c>
      <c r="AE49" s="60">
        <f>IF(C49="","",IFERROR(INDEX('Saisie'!$AH$5:$AH$2004,_xlfn.MAXIFS('Saisie'!$AS$5:$AS$2004,'Saisie'!$C$5:$C$2004,C49,'Saisie'!$AH$5:$AH$2004,"&lt;&gt;")-4),""))</f>
        <v/>
      </c>
      <c r="AF49" s="60">
        <f>IF(C49="","",IFERROR(INDEX('Saisie'!$AI$5:$AI$2004,_xlfn.MAXIFS('Saisie'!$AS$5:$AS$2004,'Saisie'!$C$5:$C$2004,C49,'Saisie'!$AI$5:$AI$2004,"&lt;&gt;")-4),""))</f>
        <v/>
      </c>
      <c r="AG49" s="60">
        <f>IF(C49="","",IFERROR(INDEX('Saisie'!$AJ$5:$AJ$2004,_xlfn.MAXIFS('Saisie'!$AS$5:$AS$2004,'Saisie'!$C$5:$C$2004,C49,'Saisie'!$AJ$5:$AJ$2004,"&lt;&gt;")-4),""))</f>
        <v/>
      </c>
      <c r="AH49" s="60">
        <f>IF(C49="","",IFERROR(INDEX('Saisie'!$AK$5:$AK$2004,_xlfn.MAXIFS('Saisie'!$AS$5:$AS$2004,'Saisie'!$C$5:$C$2004,C49,'Saisie'!$AK$5:$AK$2004,"&lt;&gt;")-4),""))</f>
        <v/>
      </c>
      <c r="AI49" s="60">
        <f>IF(C49="","",IFERROR(INDEX('Saisie'!$AN$5:$AN$2004,_xlfn.MAXIFS('Saisie'!$AS$5:$AS$2004,'Saisie'!$C$5:$C$2004,C49,'Saisie'!$AN$5:$AN$2004,"&lt;&gt;")-4),""))</f>
        <v/>
      </c>
      <c r="AJ49" s="60">
        <f>IF(C49="","",IFERROR(INDEX('Saisie'!$AO$5:$AO$2004,_xlfn.MAXIFS('Saisie'!$AS$5:$AS$2004,'Saisie'!$C$5:$C$2004,C49,'Saisie'!$AO$5:$AO$2004,"&lt;&gt;")-4),""))</f>
        <v/>
      </c>
      <c r="AK49" s="60">
        <f>IF(C49="","",IFERROR(INDEX('Saisie'!$AP$5:$AP$2004,_xlfn.MAXIFS('Saisie'!$AS$5:$AS$2004,'Saisie'!$C$5:$C$2004,C49,'Saisie'!$AP$5:$AP$2004,"&lt;&gt;")-4),""))</f>
        <v/>
      </c>
      <c r="AL49" s="60">
        <f>IF(C49="","",IFERROR(INDEX('Saisie'!$AQ$5:$AQ$2004,_xlfn.MAXIFS('Saisie'!$AS$5:$AS$2004,'Saisie'!$C$5:$C$2004,C49,'Saisie'!$AQ$5:$AQ$2004,"&lt;&gt;")-4),""))</f>
        <v/>
      </c>
      <c r="AM49" s="60">
        <f>IF(C49="","",((AI49="Oui")+(AJ49="Oui")+(AK49="Oui")+OR(AL49="Immédiat",AL49="&lt; 1 mois"))&amp;"/4")</f>
        <v/>
      </c>
      <c r="AN49" s="60">
        <f>IF(C49="","",IFERROR(INDEX('Saisie'!$AL$5:$AL$2004,_xlfn.MAXIFS('Saisie'!$AS$5:$AS$2004,'Saisie'!$C$5:$C$2004,C49,'Saisie'!$AL$5:$AL$2004,"&lt;&gt;")-4),""))</f>
        <v/>
      </c>
      <c r="AO49" s="62">
        <f>IF(C49="","",IF(IFERROR(INDEX('Saisie'!$AM$5:$AM$2004,_xlfn.MAXIFS('Saisie'!$AS$5:$AS$2004,'Saisie'!$C$5:$C$2004,C49,'Saisie'!$AM$5:$AM$2004,"&lt;&gt;")-4),"")&lt;&gt;"",IFERROR(INDEX('Saisie'!$AM$5:$AM$2004,_xlfn.MAXIFS('Saisie'!$AS$5:$AS$2004,'Saisie'!$C$5:$C$2004,C49,'Saisie'!$AM$5:$AM$2004,"&lt;&gt;")-4),""),IFERROR(INDEX('Paramètres'!$S$6:$S$15,MATCH(AN49,'Paramètres'!$Q$6:$Q$15,0)),"")))</f>
        <v/>
      </c>
      <c r="AP49" s="62">
        <f>IF(C49="","",IFERROR(INDEX('Saisie'!$AW$5:$AW$2004,_xlfn.MAXIFS('Saisie'!$AS$5:$AS$2004,'Saisie'!$C$5:$C$2004,C49,'Saisie'!$E$5:$E$2004,"Proposition envoyée")-4),""))</f>
        <v/>
      </c>
      <c r="AQ49" s="106">
        <f>IF(C49="","",IFERROR(1/(1/_xlfn.MAXIFS('Saisie'!$A$5:$A$2004,'Saisie'!$C$5:$C$2004,C49,'Saisie'!$E$5:$E$2004,"Proposition envoyée")),""))</f>
        <v/>
      </c>
      <c r="AR49" s="106">
        <f>IF(C49="","",IF(AQ49="","",AQ49+'Paramètres'!$B$26))</f>
        <v/>
      </c>
      <c r="AS49" s="62">
        <f>IF(OR(C49="",D49="Gagné",D49="Perdu"),0,N(AP49)*IFERROR(INDEX('Paramètres'!$G$6:$G$13,MATCH(D49,'Paramètres'!$F$6:$F$13,0)),0))</f>
        <v/>
      </c>
      <c r="AT49" s="106">
        <f>IF(C49="","",IFERROR(1/(1/_xlfn.MINIFS('Saisie'!$A$5:$A$2004,'Saisie'!$C$5:$C$2004,C49,'Saisie'!$E$5:$E$2004,"Signature")),""))</f>
        <v/>
      </c>
      <c r="AU49" s="60">
        <f>IF(C49="","",IF(OR(AT49="",B49=""),"",AT49-B49))</f>
        <v/>
      </c>
      <c r="AV49" s="60">
        <f>IF(C49="","",IFERROR(INDEX('Saisie'!$L$5:$L$2004,_xlfn.MAXIFS('Saisie'!$AS$5:$AS$2004,'Saisie'!$C$5:$C$2004,C49,'Saisie'!$L$5:$L$2004,"&lt;&gt;")-4),""))</f>
        <v/>
      </c>
      <c r="AW49" s="106">
        <f>IF(C49="","",IF(D49&lt;&gt;"Perdu","",IFERROR(1/(1/_xlfn.MAXIFS('Saisie'!$A$5:$A$2004,'Saisie'!$C$5:$C$2004,C49,'Saisie'!$E$5:$E$2004,"Perdu")),"")))</f>
        <v/>
      </c>
      <c r="AX49" s="106">
        <f>IF(C49="","",IF(AW49="","",AW49+'Paramètres'!$B$28))</f>
        <v/>
      </c>
      <c r="AY49" s="60">
        <f>IF(C49="","",SUMIFS('Saisie'!$H$5:$H$2004,'Saisie'!$C$5:$C$2004,C49))</f>
        <v/>
      </c>
      <c r="AZ49" s="60">
        <f>IF(C49="","",IFERROR(INDEX('Paramètres'!$W$6:$W$20,MATCH(S49,'Paramètres'!$V$6:$V$20,0))&amp;"",""))</f>
        <v/>
      </c>
      <c r="BA49" s="60">
        <f>IF(C49="","",MAX(1,_xlfn.MAXIFS('Saisie'!$AT$5:$AT$2004,'Saisie'!$C$5:$C$2004,C49)))</f>
        <v/>
      </c>
      <c r="BB49" s="60">
        <f>IF(C49="","",IFERROR(INDEX('Saisie'!$X$5:$X$2004,_xlfn.MAXIFS('Saisie'!$AS$5:$AS$2004,'Saisie'!$C$5:$C$2004,C49,'Saisie'!$X$5:$X$2004,"&lt;&gt;")-4),""))</f>
        <v/>
      </c>
      <c r="BC49" s="60">
        <f>IF(C49="","",IFERROR(INDEX('Saisie'!$Y$5:$Y$2004,_xlfn.MAXIFS('Saisie'!$AS$5:$AS$2004,'Saisie'!$C$5:$C$2004,C49,'Saisie'!$Y$5:$Y$2004,"&lt;&gt;")-4),""))</f>
        <v/>
      </c>
      <c r="BD49" s="106">
        <f>IF(C49="","",IFERROR(1/(1/_xlfn.MINIFS('Saisie'!$A$5:$A$2004,'Saisie'!$C$5:$C$2004,C49,'Saisie'!$AT$5:$AT$2004,"&gt;=2")),""))</f>
        <v/>
      </c>
      <c r="BE49" s="106">
        <f>IF(C49="","",IFERROR(1/(1/_xlfn.MINIFS('Saisie'!$A$5:$A$2004,'Saisie'!$C$5:$C$2004,C49,'Saisie'!$AT$5:$AT$2004,"&gt;=3")),""))</f>
        <v/>
      </c>
      <c r="BF49" s="106">
        <f>IF(C49="","",IFERROR(1/(1/_xlfn.MINIFS('Saisie'!$A$5:$A$2004,'Saisie'!$C$5:$C$2004,C49,'Saisie'!$AT$5:$AT$2004,"&gt;=4")),""))</f>
        <v/>
      </c>
      <c r="BG49" s="106">
        <f>IF(C49="","",IFERROR(1/(1/_xlfn.MINIFS('Saisie'!$A$5:$A$2004,'Saisie'!$C$5:$C$2004,C49,'Saisie'!$AT$5:$AT$2004,"&gt;=5")),""))</f>
        <v/>
      </c>
      <c r="BH49" s="106">
        <f>IF(C49="","",IFERROR(1/(1/_xlfn.MINIFS('Saisie'!$A$5:$A$2004,'Saisie'!$C$5:$C$2004,C49,'Saisie'!$AT$5:$AT$2004,"&gt;=6")),""))</f>
        <v/>
      </c>
      <c r="BI49" s="106">
        <f>IF(C49="","",IFERROR(1/(1/_xlfn.MINIFS('Saisie'!$A$5:$A$2004,'Saisie'!$C$5:$C$2004,C49,'Saisie'!$AT$5:$AT$2004,"&gt;=7")),""))</f>
        <v/>
      </c>
      <c r="BJ49" s="60">
        <f>IF(OR(BD49="",B49=""),"",BD49-B49)</f>
        <v/>
      </c>
      <c r="BK49" s="60">
        <f>IF(OR(BE49="",BD49=""),"",BE49-BD49)</f>
        <v/>
      </c>
      <c r="BL49" s="60">
        <f>IF(OR(BF49="",BE49=""),"",BF49-BE49)</f>
        <v/>
      </c>
      <c r="BM49" s="60">
        <f>IF(OR(BG49="",BF49=""),"",BG49-BF49)</f>
        <v/>
      </c>
      <c r="BN49" s="60">
        <f>IF(OR(BH49="",BG49=""),"",BH49-BG49)</f>
        <v/>
      </c>
      <c r="BO49" s="60">
        <f>IF(OR(BI49="",BH49=""),"",BI49-BH49)</f>
        <v/>
      </c>
      <c r="BP49" s="60">
        <f>IF(C49="","",_xlfn.MAXIFS('Saisie'!$AS$5:$AS$2004,'Saisie'!$C$5:$C$2004,C49,'Saisie'!$J$5:$J$2004,"&lt;&gt;"))</f>
        <v/>
      </c>
      <c r="BQ49" s="60">
        <f>IF(C49="","",_xlfn.MAXIFS('Saisie'!$AS$5:$AS$2004,'Saisie'!$C$5:$C$2004,C49))</f>
        <v/>
      </c>
      <c r="BR49" s="60">
        <f>IF(C49="","",_xlfn.MAXIFS('Saisie'!$AS$5:$AS$2004,'Saisie'!$C$5:$C$2004,C49,'Saisie'!$E$5:$E$2004,"Perdu"))</f>
        <v/>
      </c>
      <c r="BS49" s="60">
        <f>IF(C49="","",_xlfn.MAXIFS('Saisie'!$AS$5:$AS$2004,'Saisie'!$C$5:$C$2004,C49,'Saisie'!$AT$5:$AT$2004,"&gt;0"))</f>
        <v/>
      </c>
      <c r="BT49" s="109">
        <f>IF(AND(C49&lt;&gt;"",OR(D49="Nouveau",D49="Contacté",D49="Qualifié"),OR(G49="",N(G49)&lt;=TODAY()),NOT(AND(O49&gt;='Paramètres'!$B$21,P49=0))),E49+45/10000,"")</f>
        <v/>
      </c>
      <c r="BU49" s="60">
        <f>IF(AND(G49&lt;&gt;"",N(G49)&lt;=TODAY()),MAX($BU$4:BU48)+1,"")</f>
        <v/>
      </c>
      <c r="BV49" s="60">
        <f>IF(AND(F49&lt;&gt;"",F49&lt;&gt;"Relance en retard"),MAX($BV$4:BV48)+1,"")</f>
        <v/>
      </c>
      <c r="BW49" s="60">
        <f>IF(C49="","",IF(AND(B49&gt;='Tableau de bord'!$R$4,B49&lt;='Tableau de bord'!$S$4,OR('Tableau de bord'!$G$4="Tous",N49='Tableau de bord'!$G$4)),1,0))</f>
        <v/>
      </c>
      <c r="BX49" s="60">
        <f>IF(AND(C49&lt;&gt;"",N(BA49)=7),MAX($BX$4:BX48)+1,"")</f>
        <v/>
      </c>
    </row>
    <row r="50">
      <c r="A50" s="60">
        <f>IF(C50="","","P-"&amp;TEXT(46,"000"))</f>
        <v/>
      </c>
      <c r="B50" s="106">
        <f>IF(C50="","",IFERROR(1/(1/_xlfn.MINIFS('Saisie'!$A$5:$A$2004,'Saisie'!$C$5:$C$2004,C50)),""))</f>
        <v/>
      </c>
      <c r="C50" s="60">
        <f>IFERROR(INDEX('Saisie'!$C$5:$C$2004,MATCH(46,'Saisie'!$AX$5:$AX$2004,0)),"")</f>
        <v/>
      </c>
      <c r="D50" s="60">
        <f>IF(C50="","",IF(AND(BR50&gt;0,BR50&gt;BS50,BA50&lt;7),"Perdu",INDEX('Paramètres'!$F$6:$F$13,BA50)))</f>
        <v/>
      </c>
      <c r="E50" s="61">
        <f>IF(C50="","",MIN(100,(Z50="Oui")*'Paramètres'!$B$38+(AB50="Régulière")*'Paramètres'!$B$39+IF(AND(N(AA50)&gt;0,TODAY()-N(AA50)&lt;=30),'Paramètres'!$B$40,0)+(W50="")*'Paramètres'!$B$41+(AC50="Absente")*'Paramètres'!$B$42+(AC50="Faible")*'Paramètres'!$B$43+IF(AND(N(AD50)&gt;0,N(AD50)&lt;4),'Paramètres'!$B$44,0)+(AF50="Moyenne")*'Paramètres'!$B$45+(AF50="Grande")*'Paramètres'!$B$46+(Y50&lt;&gt;"")*'Paramètres'!$B$47))</f>
        <v/>
      </c>
      <c r="F50" s="60">
        <f>IF(C50="","",IF(D50="Gagné","",IF(D50="Perdu",IF(AND(AX50&lt;&gt;"",AX50&lt;=TODAY()),"À recontacter (perdu)",""),IF(AND(O50&gt;='Paramètres'!$B$21,P50=0),"Stop : "&amp;'Paramètres'!$B$21&amp;" tentatives sans réponse",IF(AND(D50="Proposition",AR50&lt;&gt;"",TODAY()&gt;N(AR50)),"Proposition expirée",IF(AND(D50="Proposition",N(R50)&gt;='Paramètres'!$B$25),"Proposition sans réponse",IF(AND(G50&lt;&gt;"",N(G50)&lt;TODAY()),"Relance en retard",IF(N(R50)&gt;='Paramètres'!$B$24,"Sans action depuis "&amp;R50&amp;" j",""))))))))</f>
        <v/>
      </c>
      <c r="G50" s="106">
        <f>IF(OR(C50="",D50="Gagné",D50="Perdu"),"",IF(AND(BP50&gt;0,BP50=BQ50),INDEX('Saisie'!$J$5:$J$2004,BP50-4),IF(OR(O50=0,AND(O50&gt;='Paramètres'!$B$21,P50=0)),"",Q50+IF(O50&lt;=1,'Paramètres'!$B$18,IF(O50=2,'Paramètres'!$B$19,'Paramètres'!$B$20)))))</f>
        <v/>
      </c>
      <c r="H50" s="107">
        <f>IF(OR(G50="",BP50&lt;&gt;BQ50),"",IF(INDEX('Saisie'!$K$5:$K$2004,BP50-4)="","",INDEX('Saisie'!$K$5:$K$2004,BP50-4)))</f>
        <v/>
      </c>
      <c r="I50" s="60">
        <f>IF(C50="","",IF(OR(D50="Gagné",D50="Perdu"),"",IFERROR(INDEX('Saisie'!$I$5:$I$2004,_xlfn.MAXIFS('Saisie'!$AS$5:$AS$2004,'Saisie'!$C$5:$C$2004,C50,'Saisie'!$I$5:$I$2004,"&lt;&gt;")-4),"")))</f>
        <v/>
      </c>
      <c r="J50" s="60">
        <f>IF(C50="","",IFERROR(INDEX('Saisie'!$U$5:$U$2004,_xlfn.MAXIFS('Saisie'!$AS$5:$AS$2004,'Saisie'!$C$5:$C$2004,C50,'Saisie'!$U$5:$U$2004,"&lt;&gt;")-4),""))</f>
        <v/>
      </c>
      <c r="K50" s="60">
        <f>IF(C50="","",IFERROR(INDEX('Saisie'!$W$5:$W$2004,_xlfn.MAXIFS('Saisie'!$AS$5:$AS$2004,'Saisie'!$C$5:$C$2004,C50,'Saisie'!$W$5:$W$2004,"&lt;&gt;")-4),""))</f>
        <v/>
      </c>
      <c r="L50" s="60">
        <f>IF(IF(BB50&lt;&gt;"",BB50,K50)="","",HYPERLINK("https://wa.me/"&amp;IF(LEFT(SUBSTITUTE(SUBSTITUTE(SUBSTITUTE(IF(BB50&lt;&gt;"",BB50,K50)," ",""),".",""),"+",""),1)="0",'Paramètres'!$B$35&amp;MID(SUBSTITUTE(SUBSTITUTE(SUBSTITUTE(IF(BB50&lt;&gt;"",BB50,K50)," ",""),".",""),"+",""),2,20),SUBSTITUTE(SUBSTITUTE(SUBSTITUTE(IF(BB50&lt;&gt;"",BB50,K50)," ",""),".",""),"+","")),"WhatsApp"))</f>
        <v/>
      </c>
      <c r="M50" s="60">
        <f>IF(BC50="","",HYPERLINK(IF(LEFT(BC50,4)="http",BC50,"https://www.instagram.com/"&amp;SUBSTITUTE(SUBSTITUTE(BC50,"@","")," ","")),BC50))</f>
        <v/>
      </c>
      <c r="N50" s="60">
        <f>IF(C50="","",IFERROR(INDEX('Saisie'!$D$5:$D$2004,_xlfn.MINIFS('Saisie'!$AS$5:$AS$2004,'Saisie'!$C$5:$C$2004,C50,'Saisie'!$AU$5:$AU$2004,1)-4),IFERROR(INDEX('Saisie'!$D$5:$D$2004,_xlfn.MINIFS('Saisie'!$AS$5:$AS$2004,'Saisie'!$C$5:$C$2004,C50,'Saisie'!$D$5:$D$2004,"&lt;&gt;")-4),"")))</f>
        <v/>
      </c>
      <c r="O50" s="60">
        <f>IF(C50="","",COUNTIFS('Saisie'!$C$5:$C$2004,C50,'Saisie'!$AU$5:$AU$2004,1))</f>
        <v/>
      </c>
      <c r="P50" s="60">
        <f>IF(C50="","",COUNTIFS('Saisie'!$C$5:$C$2004,C50,'Saisie'!$AV$5:$AV$2004,1))</f>
        <v/>
      </c>
      <c r="Q50" s="106">
        <f>IF(C50="","",IFERROR(1/(1/_xlfn.MAXIFS('Saisie'!$A$5:$A$2004,'Saisie'!$C$5:$C$2004,C50)),""))</f>
        <v/>
      </c>
      <c r="R50" s="61">
        <f>IF(C50="","",IF(Q50="","",TODAY()-Q50))</f>
        <v/>
      </c>
      <c r="S50" s="60">
        <f>IF(C50="","",IFERROR(INDEX('Saisie'!$R$5:$R$2004,_xlfn.MAXIFS('Saisie'!$AS$5:$AS$2004,'Saisie'!$C$5:$C$2004,C50,'Saisie'!$R$5:$R$2004,"&lt;&gt;")-4),""))</f>
        <v/>
      </c>
      <c r="T50" s="60">
        <f>IF(C50="","",IFERROR(INDEX('Saisie'!$S$5:$S$2004,_xlfn.MAXIFS('Saisie'!$AS$5:$AS$2004,'Saisie'!$C$5:$C$2004,C50,'Saisie'!$S$5:$S$2004,"&lt;&gt;")-4),""))</f>
        <v/>
      </c>
      <c r="U50" s="60">
        <f>IF(C50="","",IFERROR(INDEX('Saisie'!$T$5:$T$2004,_xlfn.MAXIFS('Saisie'!$AS$5:$AS$2004,'Saisie'!$C$5:$C$2004,C50,'Saisie'!$T$5:$T$2004,"&lt;&gt;")-4),""))</f>
        <v/>
      </c>
      <c r="V50" s="60">
        <f>IF(C50="","",IFERROR(INDEX('Saisie'!$V$5:$V$2004,_xlfn.MAXIFS('Saisie'!$AS$5:$AS$2004,'Saisie'!$C$5:$C$2004,C50,'Saisie'!$V$5:$V$2004,"&lt;&gt;")-4),""))</f>
        <v/>
      </c>
      <c r="W50" s="60">
        <f>IF(C50="","",IFERROR(INDEX('Saisie'!$Z$5:$Z$2004,_xlfn.MAXIFS('Saisie'!$AS$5:$AS$2004,'Saisie'!$C$5:$C$2004,C50,'Saisie'!$Z$5:$Z$2004,"&lt;&gt;")-4),""))</f>
        <v/>
      </c>
      <c r="X50" s="60">
        <f>IF(C50="","",IFERROR(INDEX('Saisie'!$AA$5:$AA$2004,_xlfn.MAXIFS('Saisie'!$AS$5:$AS$2004,'Saisie'!$C$5:$C$2004,C50,'Saisie'!$AA$5:$AA$2004,"&lt;&gt;")-4),""))</f>
        <v/>
      </c>
      <c r="Y50" s="60">
        <f>IF(C50="","",IFERROR(INDEX('Saisie'!$AB$5:$AB$2004,_xlfn.MAXIFS('Saisie'!$AS$5:$AS$2004,'Saisie'!$C$5:$C$2004,C50,'Saisie'!$AB$5:$AB$2004,"&lt;&gt;")-4),""))</f>
        <v/>
      </c>
      <c r="Z50" s="60">
        <f>IF(C50="","",IFERROR(INDEX('Saisie'!$AC$5:$AC$2004,_xlfn.MAXIFS('Saisie'!$AS$5:$AS$2004,'Saisie'!$C$5:$C$2004,C50,'Saisie'!$AC$5:$AC$2004,"&lt;&gt;")-4),""))</f>
        <v/>
      </c>
      <c r="AA50" s="106">
        <f>IF(C50="","",IFERROR(INDEX('Saisie'!$AD$5:$AD$2004,_xlfn.MAXIFS('Saisie'!$AS$5:$AS$2004,'Saisie'!$C$5:$C$2004,C50,'Saisie'!$AD$5:$AD$2004,"&lt;&gt;")-4),""))</f>
        <v/>
      </c>
      <c r="AB50" s="60">
        <f>IF(C50="","",IFERROR(INDEX('Saisie'!$AE$5:$AE$2004,_xlfn.MAXIFS('Saisie'!$AS$5:$AS$2004,'Saisie'!$C$5:$C$2004,C50,'Saisie'!$AE$5:$AE$2004,"&lt;&gt;")-4),""))</f>
        <v/>
      </c>
      <c r="AC50" s="60">
        <f>IF(C50="","",IFERROR(INDEX('Saisie'!$AF$5:$AF$2004,_xlfn.MAXIFS('Saisie'!$AS$5:$AS$2004,'Saisie'!$C$5:$C$2004,C50,'Saisie'!$AF$5:$AF$2004,"&lt;&gt;")-4),""))</f>
        <v/>
      </c>
      <c r="AD50" s="108">
        <f>IF(C50="","",IFERROR(INDEX('Saisie'!$AG$5:$AG$2004,_xlfn.MAXIFS('Saisie'!$AS$5:$AS$2004,'Saisie'!$C$5:$C$2004,C50,'Saisie'!$AG$5:$AG$2004,"&lt;&gt;")-4),""))</f>
        <v/>
      </c>
      <c r="AE50" s="60">
        <f>IF(C50="","",IFERROR(INDEX('Saisie'!$AH$5:$AH$2004,_xlfn.MAXIFS('Saisie'!$AS$5:$AS$2004,'Saisie'!$C$5:$C$2004,C50,'Saisie'!$AH$5:$AH$2004,"&lt;&gt;")-4),""))</f>
        <v/>
      </c>
      <c r="AF50" s="60">
        <f>IF(C50="","",IFERROR(INDEX('Saisie'!$AI$5:$AI$2004,_xlfn.MAXIFS('Saisie'!$AS$5:$AS$2004,'Saisie'!$C$5:$C$2004,C50,'Saisie'!$AI$5:$AI$2004,"&lt;&gt;")-4),""))</f>
        <v/>
      </c>
      <c r="AG50" s="60">
        <f>IF(C50="","",IFERROR(INDEX('Saisie'!$AJ$5:$AJ$2004,_xlfn.MAXIFS('Saisie'!$AS$5:$AS$2004,'Saisie'!$C$5:$C$2004,C50,'Saisie'!$AJ$5:$AJ$2004,"&lt;&gt;")-4),""))</f>
        <v/>
      </c>
      <c r="AH50" s="60">
        <f>IF(C50="","",IFERROR(INDEX('Saisie'!$AK$5:$AK$2004,_xlfn.MAXIFS('Saisie'!$AS$5:$AS$2004,'Saisie'!$C$5:$C$2004,C50,'Saisie'!$AK$5:$AK$2004,"&lt;&gt;")-4),""))</f>
        <v/>
      </c>
      <c r="AI50" s="60">
        <f>IF(C50="","",IFERROR(INDEX('Saisie'!$AN$5:$AN$2004,_xlfn.MAXIFS('Saisie'!$AS$5:$AS$2004,'Saisie'!$C$5:$C$2004,C50,'Saisie'!$AN$5:$AN$2004,"&lt;&gt;")-4),""))</f>
        <v/>
      </c>
      <c r="AJ50" s="60">
        <f>IF(C50="","",IFERROR(INDEX('Saisie'!$AO$5:$AO$2004,_xlfn.MAXIFS('Saisie'!$AS$5:$AS$2004,'Saisie'!$C$5:$C$2004,C50,'Saisie'!$AO$5:$AO$2004,"&lt;&gt;")-4),""))</f>
        <v/>
      </c>
      <c r="AK50" s="60">
        <f>IF(C50="","",IFERROR(INDEX('Saisie'!$AP$5:$AP$2004,_xlfn.MAXIFS('Saisie'!$AS$5:$AS$2004,'Saisie'!$C$5:$C$2004,C50,'Saisie'!$AP$5:$AP$2004,"&lt;&gt;")-4),""))</f>
        <v/>
      </c>
      <c r="AL50" s="60">
        <f>IF(C50="","",IFERROR(INDEX('Saisie'!$AQ$5:$AQ$2004,_xlfn.MAXIFS('Saisie'!$AS$5:$AS$2004,'Saisie'!$C$5:$C$2004,C50,'Saisie'!$AQ$5:$AQ$2004,"&lt;&gt;")-4),""))</f>
        <v/>
      </c>
      <c r="AM50" s="60">
        <f>IF(C50="","",((AI50="Oui")+(AJ50="Oui")+(AK50="Oui")+OR(AL50="Immédiat",AL50="&lt; 1 mois"))&amp;"/4")</f>
        <v/>
      </c>
      <c r="AN50" s="60">
        <f>IF(C50="","",IFERROR(INDEX('Saisie'!$AL$5:$AL$2004,_xlfn.MAXIFS('Saisie'!$AS$5:$AS$2004,'Saisie'!$C$5:$C$2004,C50,'Saisie'!$AL$5:$AL$2004,"&lt;&gt;")-4),""))</f>
        <v/>
      </c>
      <c r="AO50" s="62">
        <f>IF(C50="","",IF(IFERROR(INDEX('Saisie'!$AM$5:$AM$2004,_xlfn.MAXIFS('Saisie'!$AS$5:$AS$2004,'Saisie'!$C$5:$C$2004,C50,'Saisie'!$AM$5:$AM$2004,"&lt;&gt;")-4),"")&lt;&gt;"",IFERROR(INDEX('Saisie'!$AM$5:$AM$2004,_xlfn.MAXIFS('Saisie'!$AS$5:$AS$2004,'Saisie'!$C$5:$C$2004,C50,'Saisie'!$AM$5:$AM$2004,"&lt;&gt;")-4),""),IFERROR(INDEX('Paramètres'!$S$6:$S$15,MATCH(AN50,'Paramètres'!$Q$6:$Q$15,0)),"")))</f>
        <v/>
      </c>
      <c r="AP50" s="62">
        <f>IF(C50="","",IFERROR(INDEX('Saisie'!$AW$5:$AW$2004,_xlfn.MAXIFS('Saisie'!$AS$5:$AS$2004,'Saisie'!$C$5:$C$2004,C50,'Saisie'!$E$5:$E$2004,"Proposition envoyée")-4),""))</f>
        <v/>
      </c>
      <c r="AQ50" s="106">
        <f>IF(C50="","",IFERROR(1/(1/_xlfn.MAXIFS('Saisie'!$A$5:$A$2004,'Saisie'!$C$5:$C$2004,C50,'Saisie'!$E$5:$E$2004,"Proposition envoyée")),""))</f>
        <v/>
      </c>
      <c r="AR50" s="106">
        <f>IF(C50="","",IF(AQ50="","",AQ50+'Paramètres'!$B$26))</f>
        <v/>
      </c>
      <c r="AS50" s="62">
        <f>IF(OR(C50="",D50="Gagné",D50="Perdu"),0,N(AP50)*IFERROR(INDEX('Paramètres'!$G$6:$G$13,MATCH(D50,'Paramètres'!$F$6:$F$13,0)),0))</f>
        <v/>
      </c>
      <c r="AT50" s="106">
        <f>IF(C50="","",IFERROR(1/(1/_xlfn.MINIFS('Saisie'!$A$5:$A$2004,'Saisie'!$C$5:$C$2004,C50,'Saisie'!$E$5:$E$2004,"Signature")),""))</f>
        <v/>
      </c>
      <c r="AU50" s="60">
        <f>IF(C50="","",IF(OR(AT50="",B50=""),"",AT50-B50))</f>
        <v/>
      </c>
      <c r="AV50" s="60">
        <f>IF(C50="","",IFERROR(INDEX('Saisie'!$L$5:$L$2004,_xlfn.MAXIFS('Saisie'!$AS$5:$AS$2004,'Saisie'!$C$5:$C$2004,C50,'Saisie'!$L$5:$L$2004,"&lt;&gt;")-4),""))</f>
        <v/>
      </c>
      <c r="AW50" s="106">
        <f>IF(C50="","",IF(D50&lt;&gt;"Perdu","",IFERROR(1/(1/_xlfn.MAXIFS('Saisie'!$A$5:$A$2004,'Saisie'!$C$5:$C$2004,C50,'Saisie'!$E$5:$E$2004,"Perdu")),"")))</f>
        <v/>
      </c>
      <c r="AX50" s="106">
        <f>IF(C50="","",IF(AW50="","",AW50+'Paramètres'!$B$28))</f>
        <v/>
      </c>
      <c r="AY50" s="60">
        <f>IF(C50="","",SUMIFS('Saisie'!$H$5:$H$2004,'Saisie'!$C$5:$C$2004,C50))</f>
        <v/>
      </c>
      <c r="AZ50" s="60">
        <f>IF(C50="","",IFERROR(INDEX('Paramètres'!$W$6:$W$20,MATCH(S50,'Paramètres'!$V$6:$V$20,0))&amp;"",""))</f>
        <v/>
      </c>
      <c r="BA50" s="60">
        <f>IF(C50="","",MAX(1,_xlfn.MAXIFS('Saisie'!$AT$5:$AT$2004,'Saisie'!$C$5:$C$2004,C50)))</f>
        <v/>
      </c>
      <c r="BB50" s="60">
        <f>IF(C50="","",IFERROR(INDEX('Saisie'!$X$5:$X$2004,_xlfn.MAXIFS('Saisie'!$AS$5:$AS$2004,'Saisie'!$C$5:$C$2004,C50,'Saisie'!$X$5:$X$2004,"&lt;&gt;")-4),""))</f>
        <v/>
      </c>
      <c r="BC50" s="60">
        <f>IF(C50="","",IFERROR(INDEX('Saisie'!$Y$5:$Y$2004,_xlfn.MAXIFS('Saisie'!$AS$5:$AS$2004,'Saisie'!$C$5:$C$2004,C50,'Saisie'!$Y$5:$Y$2004,"&lt;&gt;")-4),""))</f>
        <v/>
      </c>
      <c r="BD50" s="106">
        <f>IF(C50="","",IFERROR(1/(1/_xlfn.MINIFS('Saisie'!$A$5:$A$2004,'Saisie'!$C$5:$C$2004,C50,'Saisie'!$AT$5:$AT$2004,"&gt;=2")),""))</f>
        <v/>
      </c>
      <c r="BE50" s="106">
        <f>IF(C50="","",IFERROR(1/(1/_xlfn.MINIFS('Saisie'!$A$5:$A$2004,'Saisie'!$C$5:$C$2004,C50,'Saisie'!$AT$5:$AT$2004,"&gt;=3")),""))</f>
        <v/>
      </c>
      <c r="BF50" s="106">
        <f>IF(C50="","",IFERROR(1/(1/_xlfn.MINIFS('Saisie'!$A$5:$A$2004,'Saisie'!$C$5:$C$2004,C50,'Saisie'!$AT$5:$AT$2004,"&gt;=4")),""))</f>
        <v/>
      </c>
      <c r="BG50" s="106">
        <f>IF(C50="","",IFERROR(1/(1/_xlfn.MINIFS('Saisie'!$A$5:$A$2004,'Saisie'!$C$5:$C$2004,C50,'Saisie'!$AT$5:$AT$2004,"&gt;=5")),""))</f>
        <v/>
      </c>
      <c r="BH50" s="106">
        <f>IF(C50="","",IFERROR(1/(1/_xlfn.MINIFS('Saisie'!$A$5:$A$2004,'Saisie'!$C$5:$C$2004,C50,'Saisie'!$AT$5:$AT$2004,"&gt;=6")),""))</f>
        <v/>
      </c>
      <c r="BI50" s="106">
        <f>IF(C50="","",IFERROR(1/(1/_xlfn.MINIFS('Saisie'!$A$5:$A$2004,'Saisie'!$C$5:$C$2004,C50,'Saisie'!$AT$5:$AT$2004,"&gt;=7")),""))</f>
        <v/>
      </c>
      <c r="BJ50" s="60">
        <f>IF(OR(BD50="",B50=""),"",BD50-B50)</f>
        <v/>
      </c>
      <c r="BK50" s="60">
        <f>IF(OR(BE50="",BD50=""),"",BE50-BD50)</f>
        <v/>
      </c>
      <c r="BL50" s="60">
        <f>IF(OR(BF50="",BE50=""),"",BF50-BE50)</f>
        <v/>
      </c>
      <c r="BM50" s="60">
        <f>IF(OR(BG50="",BF50=""),"",BG50-BF50)</f>
        <v/>
      </c>
      <c r="BN50" s="60">
        <f>IF(OR(BH50="",BG50=""),"",BH50-BG50)</f>
        <v/>
      </c>
      <c r="BO50" s="60">
        <f>IF(OR(BI50="",BH50=""),"",BI50-BH50)</f>
        <v/>
      </c>
      <c r="BP50" s="60">
        <f>IF(C50="","",_xlfn.MAXIFS('Saisie'!$AS$5:$AS$2004,'Saisie'!$C$5:$C$2004,C50,'Saisie'!$J$5:$J$2004,"&lt;&gt;"))</f>
        <v/>
      </c>
      <c r="BQ50" s="60">
        <f>IF(C50="","",_xlfn.MAXIFS('Saisie'!$AS$5:$AS$2004,'Saisie'!$C$5:$C$2004,C50))</f>
        <v/>
      </c>
      <c r="BR50" s="60">
        <f>IF(C50="","",_xlfn.MAXIFS('Saisie'!$AS$5:$AS$2004,'Saisie'!$C$5:$C$2004,C50,'Saisie'!$E$5:$E$2004,"Perdu"))</f>
        <v/>
      </c>
      <c r="BS50" s="60">
        <f>IF(C50="","",_xlfn.MAXIFS('Saisie'!$AS$5:$AS$2004,'Saisie'!$C$5:$C$2004,C50,'Saisie'!$AT$5:$AT$2004,"&gt;0"))</f>
        <v/>
      </c>
      <c r="BT50" s="109">
        <f>IF(AND(C50&lt;&gt;"",OR(D50="Nouveau",D50="Contacté",D50="Qualifié"),OR(G50="",N(G50)&lt;=TODAY()),NOT(AND(O50&gt;='Paramètres'!$B$21,P50=0))),E50+46/10000,"")</f>
        <v/>
      </c>
      <c r="BU50" s="60">
        <f>IF(AND(G50&lt;&gt;"",N(G50)&lt;=TODAY()),MAX($BU$4:BU49)+1,"")</f>
        <v/>
      </c>
      <c r="BV50" s="60">
        <f>IF(AND(F50&lt;&gt;"",F50&lt;&gt;"Relance en retard"),MAX($BV$4:BV49)+1,"")</f>
        <v/>
      </c>
      <c r="BW50" s="60">
        <f>IF(C50="","",IF(AND(B50&gt;='Tableau de bord'!$R$4,B50&lt;='Tableau de bord'!$S$4,OR('Tableau de bord'!$G$4="Tous",N50='Tableau de bord'!$G$4)),1,0))</f>
        <v/>
      </c>
      <c r="BX50" s="60">
        <f>IF(AND(C50&lt;&gt;"",N(BA50)=7),MAX($BX$4:BX49)+1,"")</f>
        <v/>
      </c>
    </row>
    <row r="51">
      <c r="A51" s="60">
        <f>IF(C51="","","P-"&amp;TEXT(47,"000"))</f>
        <v/>
      </c>
      <c r="B51" s="106">
        <f>IF(C51="","",IFERROR(1/(1/_xlfn.MINIFS('Saisie'!$A$5:$A$2004,'Saisie'!$C$5:$C$2004,C51)),""))</f>
        <v/>
      </c>
      <c r="C51" s="60">
        <f>IFERROR(INDEX('Saisie'!$C$5:$C$2004,MATCH(47,'Saisie'!$AX$5:$AX$2004,0)),"")</f>
        <v/>
      </c>
      <c r="D51" s="60">
        <f>IF(C51="","",IF(AND(BR51&gt;0,BR51&gt;BS51,BA51&lt;7),"Perdu",INDEX('Paramètres'!$F$6:$F$13,BA51)))</f>
        <v/>
      </c>
      <c r="E51" s="61">
        <f>IF(C51="","",MIN(100,(Z51="Oui")*'Paramètres'!$B$38+(AB51="Régulière")*'Paramètres'!$B$39+IF(AND(N(AA51)&gt;0,TODAY()-N(AA51)&lt;=30),'Paramètres'!$B$40,0)+(W51="")*'Paramètres'!$B$41+(AC51="Absente")*'Paramètres'!$B$42+(AC51="Faible")*'Paramètres'!$B$43+IF(AND(N(AD51)&gt;0,N(AD51)&lt;4),'Paramètres'!$B$44,0)+(AF51="Moyenne")*'Paramètres'!$B$45+(AF51="Grande")*'Paramètres'!$B$46+(Y51&lt;&gt;"")*'Paramètres'!$B$47))</f>
        <v/>
      </c>
      <c r="F51" s="60">
        <f>IF(C51="","",IF(D51="Gagné","",IF(D51="Perdu",IF(AND(AX51&lt;&gt;"",AX51&lt;=TODAY()),"À recontacter (perdu)",""),IF(AND(O51&gt;='Paramètres'!$B$21,P51=0),"Stop : "&amp;'Paramètres'!$B$21&amp;" tentatives sans réponse",IF(AND(D51="Proposition",AR51&lt;&gt;"",TODAY()&gt;N(AR51)),"Proposition expirée",IF(AND(D51="Proposition",N(R51)&gt;='Paramètres'!$B$25),"Proposition sans réponse",IF(AND(G51&lt;&gt;"",N(G51)&lt;TODAY()),"Relance en retard",IF(N(R51)&gt;='Paramètres'!$B$24,"Sans action depuis "&amp;R51&amp;" j",""))))))))</f>
        <v/>
      </c>
      <c r="G51" s="106">
        <f>IF(OR(C51="",D51="Gagné",D51="Perdu"),"",IF(AND(BP51&gt;0,BP51=BQ51),INDEX('Saisie'!$J$5:$J$2004,BP51-4),IF(OR(O51=0,AND(O51&gt;='Paramètres'!$B$21,P51=0)),"",Q51+IF(O51&lt;=1,'Paramètres'!$B$18,IF(O51=2,'Paramètres'!$B$19,'Paramètres'!$B$20)))))</f>
        <v/>
      </c>
      <c r="H51" s="107">
        <f>IF(OR(G51="",BP51&lt;&gt;BQ51),"",IF(INDEX('Saisie'!$K$5:$K$2004,BP51-4)="","",INDEX('Saisie'!$K$5:$K$2004,BP51-4)))</f>
        <v/>
      </c>
      <c r="I51" s="60">
        <f>IF(C51="","",IF(OR(D51="Gagné",D51="Perdu"),"",IFERROR(INDEX('Saisie'!$I$5:$I$2004,_xlfn.MAXIFS('Saisie'!$AS$5:$AS$2004,'Saisie'!$C$5:$C$2004,C51,'Saisie'!$I$5:$I$2004,"&lt;&gt;")-4),"")))</f>
        <v/>
      </c>
      <c r="J51" s="60">
        <f>IF(C51="","",IFERROR(INDEX('Saisie'!$U$5:$U$2004,_xlfn.MAXIFS('Saisie'!$AS$5:$AS$2004,'Saisie'!$C$5:$C$2004,C51,'Saisie'!$U$5:$U$2004,"&lt;&gt;")-4),""))</f>
        <v/>
      </c>
      <c r="K51" s="60">
        <f>IF(C51="","",IFERROR(INDEX('Saisie'!$W$5:$W$2004,_xlfn.MAXIFS('Saisie'!$AS$5:$AS$2004,'Saisie'!$C$5:$C$2004,C51,'Saisie'!$W$5:$W$2004,"&lt;&gt;")-4),""))</f>
        <v/>
      </c>
      <c r="L51" s="60">
        <f>IF(IF(BB51&lt;&gt;"",BB51,K51)="","",HYPERLINK("https://wa.me/"&amp;IF(LEFT(SUBSTITUTE(SUBSTITUTE(SUBSTITUTE(IF(BB51&lt;&gt;"",BB51,K51)," ",""),".",""),"+",""),1)="0",'Paramètres'!$B$35&amp;MID(SUBSTITUTE(SUBSTITUTE(SUBSTITUTE(IF(BB51&lt;&gt;"",BB51,K51)," ",""),".",""),"+",""),2,20),SUBSTITUTE(SUBSTITUTE(SUBSTITUTE(IF(BB51&lt;&gt;"",BB51,K51)," ",""),".",""),"+","")),"WhatsApp"))</f>
        <v/>
      </c>
      <c r="M51" s="60">
        <f>IF(BC51="","",HYPERLINK(IF(LEFT(BC51,4)="http",BC51,"https://www.instagram.com/"&amp;SUBSTITUTE(SUBSTITUTE(BC51,"@","")," ","")),BC51))</f>
        <v/>
      </c>
      <c r="N51" s="60">
        <f>IF(C51="","",IFERROR(INDEX('Saisie'!$D$5:$D$2004,_xlfn.MINIFS('Saisie'!$AS$5:$AS$2004,'Saisie'!$C$5:$C$2004,C51,'Saisie'!$AU$5:$AU$2004,1)-4),IFERROR(INDEX('Saisie'!$D$5:$D$2004,_xlfn.MINIFS('Saisie'!$AS$5:$AS$2004,'Saisie'!$C$5:$C$2004,C51,'Saisie'!$D$5:$D$2004,"&lt;&gt;")-4),"")))</f>
        <v/>
      </c>
      <c r="O51" s="60">
        <f>IF(C51="","",COUNTIFS('Saisie'!$C$5:$C$2004,C51,'Saisie'!$AU$5:$AU$2004,1))</f>
        <v/>
      </c>
      <c r="P51" s="60">
        <f>IF(C51="","",COUNTIFS('Saisie'!$C$5:$C$2004,C51,'Saisie'!$AV$5:$AV$2004,1))</f>
        <v/>
      </c>
      <c r="Q51" s="106">
        <f>IF(C51="","",IFERROR(1/(1/_xlfn.MAXIFS('Saisie'!$A$5:$A$2004,'Saisie'!$C$5:$C$2004,C51)),""))</f>
        <v/>
      </c>
      <c r="R51" s="61">
        <f>IF(C51="","",IF(Q51="","",TODAY()-Q51))</f>
        <v/>
      </c>
      <c r="S51" s="60">
        <f>IF(C51="","",IFERROR(INDEX('Saisie'!$R$5:$R$2004,_xlfn.MAXIFS('Saisie'!$AS$5:$AS$2004,'Saisie'!$C$5:$C$2004,C51,'Saisie'!$R$5:$R$2004,"&lt;&gt;")-4),""))</f>
        <v/>
      </c>
      <c r="T51" s="60">
        <f>IF(C51="","",IFERROR(INDEX('Saisie'!$S$5:$S$2004,_xlfn.MAXIFS('Saisie'!$AS$5:$AS$2004,'Saisie'!$C$5:$C$2004,C51,'Saisie'!$S$5:$S$2004,"&lt;&gt;")-4),""))</f>
        <v/>
      </c>
      <c r="U51" s="60">
        <f>IF(C51="","",IFERROR(INDEX('Saisie'!$T$5:$T$2004,_xlfn.MAXIFS('Saisie'!$AS$5:$AS$2004,'Saisie'!$C$5:$C$2004,C51,'Saisie'!$T$5:$T$2004,"&lt;&gt;")-4),""))</f>
        <v/>
      </c>
      <c r="V51" s="60">
        <f>IF(C51="","",IFERROR(INDEX('Saisie'!$V$5:$V$2004,_xlfn.MAXIFS('Saisie'!$AS$5:$AS$2004,'Saisie'!$C$5:$C$2004,C51,'Saisie'!$V$5:$V$2004,"&lt;&gt;")-4),""))</f>
        <v/>
      </c>
      <c r="W51" s="60">
        <f>IF(C51="","",IFERROR(INDEX('Saisie'!$Z$5:$Z$2004,_xlfn.MAXIFS('Saisie'!$AS$5:$AS$2004,'Saisie'!$C$5:$C$2004,C51,'Saisie'!$Z$5:$Z$2004,"&lt;&gt;")-4),""))</f>
        <v/>
      </c>
      <c r="X51" s="60">
        <f>IF(C51="","",IFERROR(INDEX('Saisie'!$AA$5:$AA$2004,_xlfn.MAXIFS('Saisie'!$AS$5:$AS$2004,'Saisie'!$C$5:$C$2004,C51,'Saisie'!$AA$5:$AA$2004,"&lt;&gt;")-4),""))</f>
        <v/>
      </c>
      <c r="Y51" s="60">
        <f>IF(C51="","",IFERROR(INDEX('Saisie'!$AB$5:$AB$2004,_xlfn.MAXIFS('Saisie'!$AS$5:$AS$2004,'Saisie'!$C$5:$C$2004,C51,'Saisie'!$AB$5:$AB$2004,"&lt;&gt;")-4),""))</f>
        <v/>
      </c>
      <c r="Z51" s="60">
        <f>IF(C51="","",IFERROR(INDEX('Saisie'!$AC$5:$AC$2004,_xlfn.MAXIFS('Saisie'!$AS$5:$AS$2004,'Saisie'!$C$5:$C$2004,C51,'Saisie'!$AC$5:$AC$2004,"&lt;&gt;")-4),""))</f>
        <v/>
      </c>
      <c r="AA51" s="106">
        <f>IF(C51="","",IFERROR(INDEX('Saisie'!$AD$5:$AD$2004,_xlfn.MAXIFS('Saisie'!$AS$5:$AS$2004,'Saisie'!$C$5:$C$2004,C51,'Saisie'!$AD$5:$AD$2004,"&lt;&gt;")-4),""))</f>
        <v/>
      </c>
      <c r="AB51" s="60">
        <f>IF(C51="","",IFERROR(INDEX('Saisie'!$AE$5:$AE$2004,_xlfn.MAXIFS('Saisie'!$AS$5:$AS$2004,'Saisie'!$C$5:$C$2004,C51,'Saisie'!$AE$5:$AE$2004,"&lt;&gt;")-4),""))</f>
        <v/>
      </c>
      <c r="AC51" s="60">
        <f>IF(C51="","",IFERROR(INDEX('Saisie'!$AF$5:$AF$2004,_xlfn.MAXIFS('Saisie'!$AS$5:$AS$2004,'Saisie'!$C$5:$C$2004,C51,'Saisie'!$AF$5:$AF$2004,"&lt;&gt;")-4),""))</f>
        <v/>
      </c>
      <c r="AD51" s="108">
        <f>IF(C51="","",IFERROR(INDEX('Saisie'!$AG$5:$AG$2004,_xlfn.MAXIFS('Saisie'!$AS$5:$AS$2004,'Saisie'!$C$5:$C$2004,C51,'Saisie'!$AG$5:$AG$2004,"&lt;&gt;")-4),""))</f>
        <v/>
      </c>
      <c r="AE51" s="60">
        <f>IF(C51="","",IFERROR(INDEX('Saisie'!$AH$5:$AH$2004,_xlfn.MAXIFS('Saisie'!$AS$5:$AS$2004,'Saisie'!$C$5:$C$2004,C51,'Saisie'!$AH$5:$AH$2004,"&lt;&gt;")-4),""))</f>
        <v/>
      </c>
      <c r="AF51" s="60">
        <f>IF(C51="","",IFERROR(INDEX('Saisie'!$AI$5:$AI$2004,_xlfn.MAXIFS('Saisie'!$AS$5:$AS$2004,'Saisie'!$C$5:$C$2004,C51,'Saisie'!$AI$5:$AI$2004,"&lt;&gt;")-4),""))</f>
        <v/>
      </c>
      <c r="AG51" s="60">
        <f>IF(C51="","",IFERROR(INDEX('Saisie'!$AJ$5:$AJ$2004,_xlfn.MAXIFS('Saisie'!$AS$5:$AS$2004,'Saisie'!$C$5:$C$2004,C51,'Saisie'!$AJ$5:$AJ$2004,"&lt;&gt;")-4),""))</f>
        <v/>
      </c>
      <c r="AH51" s="60">
        <f>IF(C51="","",IFERROR(INDEX('Saisie'!$AK$5:$AK$2004,_xlfn.MAXIFS('Saisie'!$AS$5:$AS$2004,'Saisie'!$C$5:$C$2004,C51,'Saisie'!$AK$5:$AK$2004,"&lt;&gt;")-4),""))</f>
        <v/>
      </c>
      <c r="AI51" s="60">
        <f>IF(C51="","",IFERROR(INDEX('Saisie'!$AN$5:$AN$2004,_xlfn.MAXIFS('Saisie'!$AS$5:$AS$2004,'Saisie'!$C$5:$C$2004,C51,'Saisie'!$AN$5:$AN$2004,"&lt;&gt;")-4),""))</f>
        <v/>
      </c>
      <c r="AJ51" s="60">
        <f>IF(C51="","",IFERROR(INDEX('Saisie'!$AO$5:$AO$2004,_xlfn.MAXIFS('Saisie'!$AS$5:$AS$2004,'Saisie'!$C$5:$C$2004,C51,'Saisie'!$AO$5:$AO$2004,"&lt;&gt;")-4),""))</f>
        <v/>
      </c>
      <c r="AK51" s="60">
        <f>IF(C51="","",IFERROR(INDEX('Saisie'!$AP$5:$AP$2004,_xlfn.MAXIFS('Saisie'!$AS$5:$AS$2004,'Saisie'!$C$5:$C$2004,C51,'Saisie'!$AP$5:$AP$2004,"&lt;&gt;")-4),""))</f>
        <v/>
      </c>
      <c r="AL51" s="60">
        <f>IF(C51="","",IFERROR(INDEX('Saisie'!$AQ$5:$AQ$2004,_xlfn.MAXIFS('Saisie'!$AS$5:$AS$2004,'Saisie'!$C$5:$C$2004,C51,'Saisie'!$AQ$5:$AQ$2004,"&lt;&gt;")-4),""))</f>
        <v/>
      </c>
      <c r="AM51" s="60">
        <f>IF(C51="","",((AI51="Oui")+(AJ51="Oui")+(AK51="Oui")+OR(AL51="Immédiat",AL51="&lt; 1 mois"))&amp;"/4")</f>
        <v/>
      </c>
      <c r="AN51" s="60">
        <f>IF(C51="","",IFERROR(INDEX('Saisie'!$AL$5:$AL$2004,_xlfn.MAXIFS('Saisie'!$AS$5:$AS$2004,'Saisie'!$C$5:$C$2004,C51,'Saisie'!$AL$5:$AL$2004,"&lt;&gt;")-4),""))</f>
        <v/>
      </c>
      <c r="AO51" s="62">
        <f>IF(C51="","",IF(IFERROR(INDEX('Saisie'!$AM$5:$AM$2004,_xlfn.MAXIFS('Saisie'!$AS$5:$AS$2004,'Saisie'!$C$5:$C$2004,C51,'Saisie'!$AM$5:$AM$2004,"&lt;&gt;")-4),"")&lt;&gt;"",IFERROR(INDEX('Saisie'!$AM$5:$AM$2004,_xlfn.MAXIFS('Saisie'!$AS$5:$AS$2004,'Saisie'!$C$5:$C$2004,C51,'Saisie'!$AM$5:$AM$2004,"&lt;&gt;")-4),""),IFERROR(INDEX('Paramètres'!$S$6:$S$15,MATCH(AN51,'Paramètres'!$Q$6:$Q$15,0)),"")))</f>
        <v/>
      </c>
      <c r="AP51" s="62">
        <f>IF(C51="","",IFERROR(INDEX('Saisie'!$AW$5:$AW$2004,_xlfn.MAXIFS('Saisie'!$AS$5:$AS$2004,'Saisie'!$C$5:$C$2004,C51,'Saisie'!$E$5:$E$2004,"Proposition envoyée")-4),""))</f>
        <v/>
      </c>
      <c r="AQ51" s="106">
        <f>IF(C51="","",IFERROR(1/(1/_xlfn.MAXIFS('Saisie'!$A$5:$A$2004,'Saisie'!$C$5:$C$2004,C51,'Saisie'!$E$5:$E$2004,"Proposition envoyée")),""))</f>
        <v/>
      </c>
      <c r="AR51" s="106">
        <f>IF(C51="","",IF(AQ51="","",AQ51+'Paramètres'!$B$26))</f>
        <v/>
      </c>
      <c r="AS51" s="62">
        <f>IF(OR(C51="",D51="Gagné",D51="Perdu"),0,N(AP51)*IFERROR(INDEX('Paramètres'!$G$6:$G$13,MATCH(D51,'Paramètres'!$F$6:$F$13,0)),0))</f>
        <v/>
      </c>
      <c r="AT51" s="106">
        <f>IF(C51="","",IFERROR(1/(1/_xlfn.MINIFS('Saisie'!$A$5:$A$2004,'Saisie'!$C$5:$C$2004,C51,'Saisie'!$E$5:$E$2004,"Signature")),""))</f>
        <v/>
      </c>
      <c r="AU51" s="60">
        <f>IF(C51="","",IF(OR(AT51="",B51=""),"",AT51-B51))</f>
        <v/>
      </c>
      <c r="AV51" s="60">
        <f>IF(C51="","",IFERROR(INDEX('Saisie'!$L$5:$L$2004,_xlfn.MAXIFS('Saisie'!$AS$5:$AS$2004,'Saisie'!$C$5:$C$2004,C51,'Saisie'!$L$5:$L$2004,"&lt;&gt;")-4),""))</f>
        <v/>
      </c>
      <c r="AW51" s="106">
        <f>IF(C51="","",IF(D51&lt;&gt;"Perdu","",IFERROR(1/(1/_xlfn.MAXIFS('Saisie'!$A$5:$A$2004,'Saisie'!$C$5:$C$2004,C51,'Saisie'!$E$5:$E$2004,"Perdu")),"")))</f>
        <v/>
      </c>
      <c r="AX51" s="106">
        <f>IF(C51="","",IF(AW51="","",AW51+'Paramètres'!$B$28))</f>
        <v/>
      </c>
      <c r="AY51" s="60">
        <f>IF(C51="","",SUMIFS('Saisie'!$H$5:$H$2004,'Saisie'!$C$5:$C$2004,C51))</f>
        <v/>
      </c>
      <c r="AZ51" s="60">
        <f>IF(C51="","",IFERROR(INDEX('Paramètres'!$W$6:$W$20,MATCH(S51,'Paramètres'!$V$6:$V$20,0))&amp;"",""))</f>
        <v/>
      </c>
      <c r="BA51" s="60">
        <f>IF(C51="","",MAX(1,_xlfn.MAXIFS('Saisie'!$AT$5:$AT$2004,'Saisie'!$C$5:$C$2004,C51)))</f>
        <v/>
      </c>
      <c r="BB51" s="60">
        <f>IF(C51="","",IFERROR(INDEX('Saisie'!$X$5:$X$2004,_xlfn.MAXIFS('Saisie'!$AS$5:$AS$2004,'Saisie'!$C$5:$C$2004,C51,'Saisie'!$X$5:$X$2004,"&lt;&gt;")-4),""))</f>
        <v/>
      </c>
      <c r="BC51" s="60">
        <f>IF(C51="","",IFERROR(INDEX('Saisie'!$Y$5:$Y$2004,_xlfn.MAXIFS('Saisie'!$AS$5:$AS$2004,'Saisie'!$C$5:$C$2004,C51,'Saisie'!$Y$5:$Y$2004,"&lt;&gt;")-4),""))</f>
        <v/>
      </c>
      <c r="BD51" s="106">
        <f>IF(C51="","",IFERROR(1/(1/_xlfn.MINIFS('Saisie'!$A$5:$A$2004,'Saisie'!$C$5:$C$2004,C51,'Saisie'!$AT$5:$AT$2004,"&gt;=2")),""))</f>
        <v/>
      </c>
      <c r="BE51" s="106">
        <f>IF(C51="","",IFERROR(1/(1/_xlfn.MINIFS('Saisie'!$A$5:$A$2004,'Saisie'!$C$5:$C$2004,C51,'Saisie'!$AT$5:$AT$2004,"&gt;=3")),""))</f>
        <v/>
      </c>
      <c r="BF51" s="106">
        <f>IF(C51="","",IFERROR(1/(1/_xlfn.MINIFS('Saisie'!$A$5:$A$2004,'Saisie'!$C$5:$C$2004,C51,'Saisie'!$AT$5:$AT$2004,"&gt;=4")),""))</f>
        <v/>
      </c>
      <c r="BG51" s="106">
        <f>IF(C51="","",IFERROR(1/(1/_xlfn.MINIFS('Saisie'!$A$5:$A$2004,'Saisie'!$C$5:$C$2004,C51,'Saisie'!$AT$5:$AT$2004,"&gt;=5")),""))</f>
        <v/>
      </c>
      <c r="BH51" s="106">
        <f>IF(C51="","",IFERROR(1/(1/_xlfn.MINIFS('Saisie'!$A$5:$A$2004,'Saisie'!$C$5:$C$2004,C51,'Saisie'!$AT$5:$AT$2004,"&gt;=6")),""))</f>
        <v/>
      </c>
      <c r="BI51" s="106">
        <f>IF(C51="","",IFERROR(1/(1/_xlfn.MINIFS('Saisie'!$A$5:$A$2004,'Saisie'!$C$5:$C$2004,C51,'Saisie'!$AT$5:$AT$2004,"&gt;=7")),""))</f>
        <v/>
      </c>
      <c r="BJ51" s="60">
        <f>IF(OR(BD51="",B51=""),"",BD51-B51)</f>
        <v/>
      </c>
      <c r="BK51" s="60">
        <f>IF(OR(BE51="",BD51=""),"",BE51-BD51)</f>
        <v/>
      </c>
      <c r="BL51" s="60">
        <f>IF(OR(BF51="",BE51=""),"",BF51-BE51)</f>
        <v/>
      </c>
      <c r="BM51" s="60">
        <f>IF(OR(BG51="",BF51=""),"",BG51-BF51)</f>
        <v/>
      </c>
      <c r="BN51" s="60">
        <f>IF(OR(BH51="",BG51=""),"",BH51-BG51)</f>
        <v/>
      </c>
      <c r="BO51" s="60">
        <f>IF(OR(BI51="",BH51=""),"",BI51-BH51)</f>
        <v/>
      </c>
      <c r="BP51" s="60">
        <f>IF(C51="","",_xlfn.MAXIFS('Saisie'!$AS$5:$AS$2004,'Saisie'!$C$5:$C$2004,C51,'Saisie'!$J$5:$J$2004,"&lt;&gt;"))</f>
        <v/>
      </c>
      <c r="BQ51" s="60">
        <f>IF(C51="","",_xlfn.MAXIFS('Saisie'!$AS$5:$AS$2004,'Saisie'!$C$5:$C$2004,C51))</f>
        <v/>
      </c>
      <c r="BR51" s="60">
        <f>IF(C51="","",_xlfn.MAXIFS('Saisie'!$AS$5:$AS$2004,'Saisie'!$C$5:$C$2004,C51,'Saisie'!$E$5:$E$2004,"Perdu"))</f>
        <v/>
      </c>
      <c r="BS51" s="60">
        <f>IF(C51="","",_xlfn.MAXIFS('Saisie'!$AS$5:$AS$2004,'Saisie'!$C$5:$C$2004,C51,'Saisie'!$AT$5:$AT$2004,"&gt;0"))</f>
        <v/>
      </c>
      <c r="BT51" s="109">
        <f>IF(AND(C51&lt;&gt;"",OR(D51="Nouveau",D51="Contacté",D51="Qualifié"),OR(G51="",N(G51)&lt;=TODAY()),NOT(AND(O51&gt;='Paramètres'!$B$21,P51=0))),E51+47/10000,"")</f>
        <v/>
      </c>
      <c r="BU51" s="60">
        <f>IF(AND(G51&lt;&gt;"",N(G51)&lt;=TODAY()),MAX($BU$4:BU50)+1,"")</f>
        <v/>
      </c>
      <c r="BV51" s="60">
        <f>IF(AND(F51&lt;&gt;"",F51&lt;&gt;"Relance en retard"),MAX($BV$4:BV50)+1,"")</f>
        <v/>
      </c>
      <c r="BW51" s="60">
        <f>IF(C51="","",IF(AND(B51&gt;='Tableau de bord'!$R$4,B51&lt;='Tableau de bord'!$S$4,OR('Tableau de bord'!$G$4="Tous",N51='Tableau de bord'!$G$4)),1,0))</f>
        <v/>
      </c>
      <c r="BX51" s="60">
        <f>IF(AND(C51&lt;&gt;"",N(BA51)=7),MAX($BX$4:BX50)+1,"")</f>
        <v/>
      </c>
    </row>
    <row r="52">
      <c r="A52" s="60">
        <f>IF(C52="","","P-"&amp;TEXT(48,"000"))</f>
        <v/>
      </c>
      <c r="B52" s="106">
        <f>IF(C52="","",IFERROR(1/(1/_xlfn.MINIFS('Saisie'!$A$5:$A$2004,'Saisie'!$C$5:$C$2004,C52)),""))</f>
        <v/>
      </c>
      <c r="C52" s="60">
        <f>IFERROR(INDEX('Saisie'!$C$5:$C$2004,MATCH(48,'Saisie'!$AX$5:$AX$2004,0)),"")</f>
        <v/>
      </c>
      <c r="D52" s="60">
        <f>IF(C52="","",IF(AND(BR52&gt;0,BR52&gt;BS52,BA52&lt;7),"Perdu",INDEX('Paramètres'!$F$6:$F$13,BA52)))</f>
        <v/>
      </c>
      <c r="E52" s="61">
        <f>IF(C52="","",MIN(100,(Z52="Oui")*'Paramètres'!$B$38+(AB52="Régulière")*'Paramètres'!$B$39+IF(AND(N(AA52)&gt;0,TODAY()-N(AA52)&lt;=30),'Paramètres'!$B$40,0)+(W52="")*'Paramètres'!$B$41+(AC52="Absente")*'Paramètres'!$B$42+(AC52="Faible")*'Paramètres'!$B$43+IF(AND(N(AD52)&gt;0,N(AD52)&lt;4),'Paramètres'!$B$44,0)+(AF52="Moyenne")*'Paramètres'!$B$45+(AF52="Grande")*'Paramètres'!$B$46+(Y52&lt;&gt;"")*'Paramètres'!$B$47))</f>
        <v/>
      </c>
      <c r="F52" s="60">
        <f>IF(C52="","",IF(D52="Gagné","",IF(D52="Perdu",IF(AND(AX52&lt;&gt;"",AX52&lt;=TODAY()),"À recontacter (perdu)",""),IF(AND(O52&gt;='Paramètres'!$B$21,P52=0),"Stop : "&amp;'Paramètres'!$B$21&amp;" tentatives sans réponse",IF(AND(D52="Proposition",AR52&lt;&gt;"",TODAY()&gt;N(AR52)),"Proposition expirée",IF(AND(D52="Proposition",N(R52)&gt;='Paramètres'!$B$25),"Proposition sans réponse",IF(AND(G52&lt;&gt;"",N(G52)&lt;TODAY()),"Relance en retard",IF(N(R52)&gt;='Paramètres'!$B$24,"Sans action depuis "&amp;R52&amp;" j",""))))))))</f>
        <v/>
      </c>
      <c r="G52" s="106">
        <f>IF(OR(C52="",D52="Gagné",D52="Perdu"),"",IF(AND(BP52&gt;0,BP52=BQ52),INDEX('Saisie'!$J$5:$J$2004,BP52-4),IF(OR(O52=0,AND(O52&gt;='Paramètres'!$B$21,P52=0)),"",Q52+IF(O52&lt;=1,'Paramètres'!$B$18,IF(O52=2,'Paramètres'!$B$19,'Paramètres'!$B$20)))))</f>
        <v/>
      </c>
      <c r="H52" s="107">
        <f>IF(OR(G52="",BP52&lt;&gt;BQ52),"",IF(INDEX('Saisie'!$K$5:$K$2004,BP52-4)="","",INDEX('Saisie'!$K$5:$K$2004,BP52-4)))</f>
        <v/>
      </c>
      <c r="I52" s="60">
        <f>IF(C52="","",IF(OR(D52="Gagné",D52="Perdu"),"",IFERROR(INDEX('Saisie'!$I$5:$I$2004,_xlfn.MAXIFS('Saisie'!$AS$5:$AS$2004,'Saisie'!$C$5:$C$2004,C52,'Saisie'!$I$5:$I$2004,"&lt;&gt;")-4),"")))</f>
        <v/>
      </c>
      <c r="J52" s="60">
        <f>IF(C52="","",IFERROR(INDEX('Saisie'!$U$5:$U$2004,_xlfn.MAXIFS('Saisie'!$AS$5:$AS$2004,'Saisie'!$C$5:$C$2004,C52,'Saisie'!$U$5:$U$2004,"&lt;&gt;")-4),""))</f>
        <v/>
      </c>
      <c r="K52" s="60">
        <f>IF(C52="","",IFERROR(INDEX('Saisie'!$W$5:$W$2004,_xlfn.MAXIFS('Saisie'!$AS$5:$AS$2004,'Saisie'!$C$5:$C$2004,C52,'Saisie'!$W$5:$W$2004,"&lt;&gt;")-4),""))</f>
        <v/>
      </c>
      <c r="L52" s="60">
        <f>IF(IF(BB52&lt;&gt;"",BB52,K52)="","",HYPERLINK("https://wa.me/"&amp;IF(LEFT(SUBSTITUTE(SUBSTITUTE(SUBSTITUTE(IF(BB52&lt;&gt;"",BB52,K52)," ",""),".",""),"+",""),1)="0",'Paramètres'!$B$35&amp;MID(SUBSTITUTE(SUBSTITUTE(SUBSTITUTE(IF(BB52&lt;&gt;"",BB52,K52)," ",""),".",""),"+",""),2,20),SUBSTITUTE(SUBSTITUTE(SUBSTITUTE(IF(BB52&lt;&gt;"",BB52,K52)," ",""),".",""),"+","")),"WhatsApp"))</f>
        <v/>
      </c>
      <c r="M52" s="60">
        <f>IF(BC52="","",HYPERLINK(IF(LEFT(BC52,4)="http",BC52,"https://www.instagram.com/"&amp;SUBSTITUTE(SUBSTITUTE(BC52,"@","")," ","")),BC52))</f>
        <v/>
      </c>
      <c r="N52" s="60">
        <f>IF(C52="","",IFERROR(INDEX('Saisie'!$D$5:$D$2004,_xlfn.MINIFS('Saisie'!$AS$5:$AS$2004,'Saisie'!$C$5:$C$2004,C52,'Saisie'!$AU$5:$AU$2004,1)-4),IFERROR(INDEX('Saisie'!$D$5:$D$2004,_xlfn.MINIFS('Saisie'!$AS$5:$AS$2004,'Saisie'!$C$5:$C$2004,C52,'Saisie'!$D$5:$D$2004,"&lt;&gt;")-4),"")))</f>
        <v/>
      </c>
      <c r="O52" s="60">
        <f>IF(C52="","",COUNTIFS('Saisie'!$C$5:$C$2004,C52,'Saisie'!$AU$5:$AU$2004,1))</f>
        <v/>
      </c>
      <c r="P52" s="60">
        <f>IF(C52="","",COUNTIFS('Saisie'!$C$5:$C$2004,C52,'Saisie'!$AV$5:$AV$2004,1))</f>
        <v/>
      </c>
      <c r="Q52" s="106">
        <f>IF(C52="","",IFERROR(1/(1/_xlfn.MAXIFS('Saisie'!$A$5:$A$2004,'Saisie'!$C$5:$C$2004,C52)),""))</f>
        <v/>
      </c>
      <c r="R52" s="61">
        <f>IF(C52="","",IF(Q52="","",TODAY()-Q52))</f>
        <v/>
      </c>
      <c r="S52" s="60">
        <f>IF(C52="","",IFERROR(INDEX('Saisie'!$R$5:$R$2004,_xlfn.MAXIFS('Saisie'!$AS$5:$AS$2004,'Saisie'!$C$5:$C$2004,C52,'Saisie'!$R$5:$R$2004,"&lt;&gt;")-4),""))</f>
        <v/>
      </c>
      <c r="T52" s="60">
        <f>IF(C52="","",IFERROR(INDEX('Saisie'!$S$5:$S$2004,_xlfn.MAXIFS('Saisie'!$AS$5:$AS$2004,'Saisie'!$C$5:$C$2004,C52,'Saisie'!$S$5:$S$2004,"&lt;&gt;")-4),""))</f>
        <v/>
      </c>
      <c r="U52" s="60">
        <f>IF(C52="","",IFERROR(INDEX('Saisie'!$T$5:$T$2004,_xlfn.MAXIFS('Saisie'!$AS$5:$AS$2004,'Saisie'!$C$5:$C$2004,C52,'Saisie'!$T$5:$T$2004,"&lt;&gt;")-4),""))</f>
        <v/>
      </c>
      <c r="V52" s="60">
        <f>IF(C52="","",IFERROR(INDEX('Saisie'!$V$5:$V$2004,_xlfn.MAXIFS('Saisie'!$AS$5:$AS$2004,'Saisie'!$C$5:$C$2004,C52,'Saisie'!$V$5:$V$2004,"&lt;&gt;")-4),""))</f>
        <v/>
      </c>
      <c r="W52" s="60">
        <f>IF(C52="","",IFERROR(INDEX('Saisie'!$Z$5:$Z$2004,_xlfn.MAXIFS('Saisie'!$AS$5:$AS$2004,'Saisie'!$C$5:$C$2004,C52,'Saisie'!$Z$5:$Z$2004,"&lt;&gt;")-4),""))</f>
        <v/>
      </c>
      <c r="X52" s="60">
        <f>IF(C52="","",IFERROR(INDEX('Saisie'!$AA$5:$AA$2004,_xlfn.MAXIFS('Saisie'!$AS$5:$AS$2004,'Saisie'!$C$5:$C$2004,C52,'Saisie'!$AA$5:$AA$2004,"&lt;&gt;")-4),""))</f>
        <v/>
      </c>
      <c r="Y52" s="60">
        <f>IF(C52="","",IFERROR(INDEX('Saisie'!$AB$5:$AB$2004,_xlfn.MAXIFS('Saisie'!$AS$5:$AS$2004,'Saisie'!$C$5:$C$2004,C52,'Saisie'!$AB$5:$AB$2004,"&lt;&gt;")-4),""))</f>
        <v/>
      </c>
      <c r="Z52" s="60">
        <f>IF(C52="","",IFERROR(INDEX('Saisie'!$AC$5:$AC$2004,_xlfn.MAXIFS('Saisie'!$AS$5:$AS$2004,'Saisie'!$C$5:$C$2004,C52,'Saisie'!$AC$5:$AC$2004,"&lt;&gt;")-4),""))</f>
        <v/>
      </c>
      <c r="AA52" s="106">
        <f>IF(C52="","",IFERROR(INDEX('Saisie'!$AD$5:$AD$2004,_xlfn.MAXIFS('Saisie'!$AS$5:$AS$2004,'Saisie'!$C$5:$C$2004,C52,'Saisie'!$AD$5:$AD$2004,"&lt;&gt;")-4),""))</f>
        <v/>
      </c>
      <c r="AB52" s="60">
        <f>IF(C52="","",IFERROR(INDEX('Saisie'!$AE$5:$AE$2004,_xlfn.MAXIFS('Saisie'!$AS$5:$AS$2004,'Saisie'!$C$5:$C$2004,C52,'Saisie'!$AE$5:$AE$2004,"&lt;&gt;")-4),""))</f>
        <v/>
      </c>
      <c r="AC52" s="60">
        <f>IF(C52="","",IFERROR(INDEX('Saisie'!$AF$5:$AF$2004,_xlfn.MAXIFS('Saisie'!$AS$5:$AS$2004,'Saisie'!$C$5:$C$2004,C52,'Saisie'!$AF$5:$AF$2004,"&lt;&gt;")-4),""))</f>
        <v/>
      </c>
      <c r="AD52" s="108">
        <f>IF(C52="","",IFERROR(INDEX('Saisie'!$AG$5:$AG$2004,_xlfn.MAXIFS('Saisie'!$AS$5:$AS$2004,'Saisie'!$C$5:$C$2004,C52,'Saisie'!$AG$5:$AG$2004,"&lt;&gt;")-4),""))</f>
        <v/>
      </c>
      <c r="AE52" s="60">
        <f>IF(C52="","",IFERROR(INDEX('Saisie'!$AH$5:$AH$2004,_xlfn.MAXIFS('Saisie'!$AS$5:$AS$2004,'Saisie'!$C$5:$C$2004,C52,'Saisie'!$AH$5:$AH$2004,"&lt;&gt;")-4),""))</f>
        <v/>
      </c>
      <c r="AF52" s="60">
        <f>IF(C52="","",IFERROR(INDEX('Saisie'!$AI$5:$AI$2004,_xlfn.MAXIFS('Saisie'!$AS$5:$AS$2004,'Saisie'!$C$5:$C$2004,C52,'Saisie'!$AI$5:$AI$2004,"&lt;&gt;")-4),""))</f>
        <v/>
      </c>
      <c r="AG52" s="60">
        <f>IF(C52="","",IFERROR(INDEX('Saisie'!$AJ$5:$AJ$2004,_xlfn.MAXIFS('Saisie'!$AS$5:$AS$2004,'Saisie'!$C$5:$C$2004,C52,'Saisie'!$AJ$5:$AJ$2004,"&lt;&gt;")-4),""))</f>
        <v/>
      </c>
      <c r="AH52" s="60">
        <f>IF(C52="","",IFERROR(INDEX('Saisie'!$AK$5:$AK$2004,_xlfn.MAXIFS('Saisie'!$AS$5:$AS$2004,'Saisie'!$C$5:$C$2004,C52,'Saisie'!$AK$5:$AK$2004,"&lt;&gt;")-4),""))</f>
        <v/>
      </c>
      <c r="AI52" s="60">
        <f>IF(C52="","",IFERROR(INDEX('Saisie'!$AN$5:$AN$2004,_xlfn.MAXIFS('Saisie'!$AS$5:$AS$2004,'Saisie'!$C$5:$C$2004,C52,'Saisie'!$AN$5:$AN$2004,"&lt;&gt;")-4),""))</f>
        <v/>
      </c>
      <c r="AJ52" s="60">
        <f>IF(C52="","",IFERROR(INDEX('Saisie'!$AO$5:$AO$2004,_xlfn.MAXIFS('Saisie'!$AS$5:$AS$2004,'Saisie'!$C$5:$C$2004,C52,'Saisie'!$AO$5:$AO$2004,"&lt;&gt;")-4),""))</f>
        <v/>
      </c>
      <c r="AK52" s="60">
        <f>IF(C52="","",IFERROR(INDEX('Saisie'!$AP$5:$AP$2004,_xlfn.MAXIFS('Saisie'!$AS$5:$AS$2004,'Saisie'!$C$5:$C$2004,C52,'Saisie'!$AP$5:$AP$2004,"&lt;&gt;")-4),""))</f>
        <v/>
      </c>
      <c r="AL52" s="60">
        <f>IF(C52="","",IFERROR(INDEX('Saisie'!$AQ$5:$AQ$2004,_xlfn.MAXIFS('Saisie'!$AS$5:$AS$2004,'Saisie'!$C$5:$C$2004,C52,'Saisie'!$AQ$5:$AQ$2004,"&lt;&gt;")-4),""))</f>
        <v/>
      </c>
      <c r="AM52" s="60">
        <f>IF(C52="","",((AI52="Oui")+(AJ52="Oui")+(AK52="Oui")+OR(AL52="Immédiat",AL52="&lt; 1 mois"))&amp;"/4")</f>
        <v/>
      </c>
      <c r="AN52" s="60">
        <f>IF(C52="","",IFERROR(INDEX('Saisie'!$AL$5:$AL$2004,_xlfn.MAXIFS('Saisie'!$AS$5:$AS$2004,'Saisie'!$C$5:$C$2004,C52,'Saisie'!$AL$5:$AL$2004,"&lt;&gt;")-4),""))</f>
        <v/>
      </c>
      <c r="AO52" s="62">
        <f>IF(C52="","",IF(IFERROR(INDEX('Saisie'!$AM$5:$AM$2004,_xlfn.MAXIFS('Saisie'!$AS$5:$AS$2004,'Saisie'!$C$5:$C$2004,C52,'Saisie'!$AM$5:$AM$2004,"&lt;&gt;")-4),"")&lt;&gt;"",IFERROR(INDEX('Saisie'!$AM$5:$AM$2004,_xlfn.MAXIFS('Saisie'!$AS$5:$AS$2004,'Saisie'!$C$5:$C$2004,C52,'Saisie'!$AM$5:$AM$2004,"&lt;&gt;")-4),""),IFERROR(INDEX('Paramètres'!$S$6:$S$15,MATCH(AN52,'Paramètres'!$Q$6:$Q$15,0)),"")))</f>
        <v/>
      </c>
      <c r="AP52" s="62">
        <f>IF(C52="","",IFERROR(INDEX('Saisie'!$AW$5:$AW$2004,_xlfn.MAXIFS('Saisie'!$AS$5:$AS$2004,'Saisie'!$C$5:$C$2004,C52,'Saisie'!$E$5:$E$2004,"Proposition envoyée")-4),""))</f>
        <v/>
      </c>
      <c r="AQ52" s="106">
        <f>IF(C52="","",IFERROR(1/(1/_xlfn.MAXIFS('Saisie'!$A$5:$A$2004,'Saisie'!$C$5:$C$2004,C52,'Saisie'!$E$5:$E$2004,"Proposition envoyée")),""))</f>
        <v/>
      </c>
      <c r="AR52" s="106">
        <f>IF(C52="","",IF(AQ52="","",AQ52+'Paramètres'!$B$26))</f>
        <v/>
      </c>
      <c r="AS52" s="62">
        <f>IF(OR(C52="",D52="Gagné",D52="Perdu"),0,N(AP52)*IFERROR(INDEX('Paramètres'!$G$6:$G$13,MATCH(D52,'Paramètres'!$F$6:$F$13,0)),0))</f>
        <v/>
      </c>
      <c r="AT52" s="106">
        <f>IF(C52="","",IFERROR(1/(1/_xlfn.MINIFS('Saisie'!$A$5:$A$2004,'Saisie'!$C$5:$C$2004,C52,'Saisie'!$E$5:$E$2004,"Signature")),""))</f>
        <v/>
      </c>
      <c r="AU52" s="60">
        <f>IF(C52="","",IF(OR(AT52="",B52=""),"",AT52-B52))</f>
        <v/>
      </c>
      <c r="AV52" s="60">
        <f>IF(C52="","",IFERROR(INDEX('Saisie'!$L$5:$L$2004,_xlfn.MAXIFS('Saisie'!$AS$5:$AS$2004,'Saisie'!$C$5:$C$2004,C52,'Saisie'!$L$5:$L$2004,"&lt;&gt;")-4),""))</f>
        <v/>
      </c>
      <c r="AW52" s="106">
        <f>IF(C52="","",IF(D52&lt;&gt;"Perdu","",IFERROR(1/(1/_xlfn.MAXIFS('Saisie'!$A$5:$A$2004,'Saisie'!$C$5:$C$2004,C52,'Saisie'!$E$5:$E$2004,"Perdu")),"")))</f>
        <v/>
      </c>
      <c r="AX52" s="106">
        <f>IF(C52="","",IF(AW52="","",AW52+'Paramètres'!$B$28))</f>
        <v/>
      </c>
      <c r="AY52" s="60">
        <f>IF(C52="","",SUMIFS('Saisie'!$H$5:$H$2004,'Saisie'!$C$5:$C$2004,C52))</f>
        <v/>
      </c>
      <c r="AZ52" s="60">
        <f>IF(C52="","",IFERROR(INDEX('Paramètres'!$W$6:$W$20,MATCH(S52,'Paramètres'!$V$6:$V$20,0))&amp;"",""))</f>
        <v/>
      </c>
      <c r="BA52" s="60">
        <f>IF(C52="","",MAX(1,_xlfn.MAXIFS('Saisie'!$AT$5:$AT$2004,'Saisie'!$C$5:$C$2004,C52)))</f>
        <v/>
      </c>
      <c r="BB52" s="60">
        <f>IF(C52="","",IFERROR(INDEX('Saisie'!$X$5:$X$2004,_xlfn.MAXIFS('Saisie'!$AS$5:$AS$2004,'Saisie'!$C$5:$C$2004,C52,'Saisie'!$X$5:$X$2004,"&lt;&gt;")-4),""))</f>
        <v/>
      </c>
      <c r="BC52" s="60">
        <f>IF(C52="","",IFERROR(INDEX('Saisie'!$Y$5:$Y$2004,_xlfn.MAXIFS('Saisie'!$AS$5:$AS$2004,'Saisie'!$C$5:$C$2004,C52,'Saisie'!$Y$5:$Y$2004,"&lt;&gt;")-4),""))</f>
        <v/>
      </c>
      <c r="BD52" s="106">
        <f>IF(C52="","",IFERROR(1/(1/_xlfn.MINIFS('Saisie'!$A$5:$A$2004,'Saisie'!$C$5:$C$2004,C52,'Saisie'!$AT$5:$AT$2004,"&gt;=2")),""))</f>
        <v/>
      </c>
      <c r="BE52" s="106">
        <f>IF(C52="","",IFERROR(1/(1/_xlfn.MINIFS('Saisie'!$A$5:$A$2004,'Saisie'!$C$5:$C$2004,C52,'Saisie'!$AT$5:$AT$2004,"&gt;=3")),""))</f>
        <v/>
      </c>
      <c r="BF52" s="106">
        <f>IF(C52="","",IFERROR(1/(1/_xlfn.MINIFS('Saisie'!$A$5:$A$2004,'Saisie'!$C$5:$C$2004,C52,'Saisie'!$AT$5:$AT$2004,"&gt;=4")),""))</f>
        <v/>
      </c>
      <c r="BG52" s="106">
        <f>IF(C52="","",IFERROR(1/(1/_xlfn.MINIFS('Saisie'!$A$5:$A$2004,'Saisie'!$C$5:$C$2004,C52,'Saisie'!$AT$5:$AT$2004,"&gt;=5")),""))</f>
        <v/>
      </c>
      <c r="BH52" s="106">
        <f>IF(C52="","",IFERROR(1/(1/_xlfn.MINIFS('Saisie'!$A$5:$A$2004,'Saisie'!$C$5:$C$2004,C52,'Saisie'!$AT$5:$AT$2004,"&gt;=6")),""))</f>
        <v/>
      </c>
      <c r="BI52" s="106">
        <f>IF(C52="","",IFERROR(1/(1/_xlfn.MINIFS('Saisie'!$A$5:$A$2004,'Saisie'!$C$5:$C$2004,C52,'Saisie'!$AT$5:$AT$2004,"&gt;=7")),""))</f>
        <v/>
      </c>
      <c r="BJ52" s="60">
        <f>IF(OR(BD52="",B52=""),"",BD52-B52)</f>
        <v/>
      </c>
      <c r="BK52" s="60">
        <f>IF(OR(BE52="",BD52=""),"",BE52-BD52)</f>
        <v/>
      </c>
      <c r="BL52" s="60">
        <f>IF(OR(BF52="",BE52=""),"",BF52-BE52)</f>
        <v/>
      </c>
      <c r="BM52" s="60">
        <f>IF(OR(BG52="",BF52=""),"",BG52-BF52)</f>
        <v/>
      </c>
      <c r="BN52" s="60">
        <f>IF(OR(BH52="",BG52=""),"",BH52-BG52)</f>
        <v/>
      </c>
      <c r="BO52" s="60">
        <f>IF(OR(BI52="",BH52=""),"",BI52-BH52)</f>
        <v/>
      </c>
      <c r="BP52" s="60">
        <f>IF(C52="","",_xlfn.MAXIFS('Saisie'!$AS$5:$AS$2004,'Saisie'!$C$5:$C$2004,C52,'Saisie'!$J$5:$J$2004,"&lt;&gt;"))</f>
        <v/>
      </c>
      <c r="BQ52" s="60">
        <f>IF(C52="","",_xlfn.MAXIFS('Saisie'!$AS$5:$AS$2004,'Saisie'!$C$5:$C$2004,C52))</f>
        <v/>
      </c>
      <c r="BR52" s="60">
        <f>IF(C52="","",_xlfn.MAXIFS('Saisie'!$AS$5:$AS$2004,'Saisie'!$C$5:$C$2004,C52,'Saisie'!$E$5:$E$2004,"Perdu"))</f>
        <v/>
      </c>
      <c r="BS52" s="60">
        <f>IF(C52="","",_xlfn.MAXIFS('Saisie'!$AS$5:$AS$2004,'Saisie'!$C$5:$C$2004,C52,'Saisie'!$AT$5:$AT$2004,"&gt;0"))</f>
        <v/>
      </c>
      <c r="BT52" s="109">
        <f>IF(AND(C52&lt;&gt;"",OR(D52="Nouveau",D52="Contacté",D52="Qualifié"),OR(G52="",N(G52)&lt;=TODAY()),NOT(AND(O52&gt;='Paramètres'!$B$21,P52=0))),E52+48/10000,"")</f>
        <v/>
      </c>
      <c r="BU52" s="60">
        <f>IF(AND(G52&lt;&gt;"",N(G52)&lt;=TODAY()),MAX($BU$4:BU51)+1,"")</f>
        <v/>
      </c>
      <c r="BV52" s="60">
        <f>IF(AND(F52&lt;&gt;"",F52&lt;&gt;"Relance en retard"),MAX($BV$4:BV51)+1,"")</f>
        <v/>
      </c>
      <c r="BW52" s="60">
        <f>IF(C52="","",IF(AND(B52&gt;='Tableau de bord'!$R$4,B52&lt;='Tableau de bord'!$S$4,OR('Tableau de bord'!$G$4="Tous",N52='Tableau de bord'!$G$4)),1,0))</f>
        <v/>
      </c>
      <c r="BX52" s="60">
        <f>IF(AND(C52&lt;&gt;"",N(BA52)=7),MAX($BX$4:BX51)+1,"")</f>
        <v/>
      </c>
    </row>
    <row r="53">
      <c r="A53" s="60">
        <f>IF(C53="","","P-"&amp;TEXT(49,"000"))</f>
        <v/>
      </c>
      <c r="B53" s="106">
        <f>IF(C53="","",IFERROR(1/(1/_xlfn.MINIFS('Saisie'!$A$5:$A$2004,'Saisie'!$C$5:$C$2004,C53)),""))</f>
        <v/>
      </c>
      <c r="C53" s="60">
        <f>IFERROR(INDEX('Saisie'!$C$5:$C$2004,MATCH(49,'Saisie'!$AX$5:$AX$2004,0)),"")</f>
        <v/>
      </c>
      <c r="D53" s="60">
        <f>IF(C53="","",IF(AND(BR53&gt;0,BR53&gt;BS53,BA53&lt;7),"Perdu",INDEX('Paramètres'!$F$6:$F$13,BA53)))</f>
        <v/>
      </c>
      <c r="E53" s="61">
        <f>IF(C53="","",MIN(100,(Z53="Oui")*'Paramètres'!$B$38+(AB53="Régulière")*'Paramètres'!$B$39+IF(AND(N(AA53)&gt;0,TODAY()-N(AA53)&lt;=30),'Paramètres'!$B$40,0)+(W53="")*'Paramètres'!$B$41+(AC53="Absente")*'Paramètres'!$B$42+(AC53="Faible")*'Paramètres'!$B$43+IF(AND(N(AD53)&gt;0,N(AD53)&lt;4),'Paramètres'!$B$44,0)+(AF53="Moyenne")*'Paramètres'!$B$45+(AF53="Grande")*'Paramètres'!$B$46+(Y53&lt;&gt;"")*'Paramètres'!$B$47))</f>
        <v/>
      </c>
      <c r="F53" s="60">
        <f>IF(C53="","",IF(D53="Gagné","",IF(D53="Perdu",IF(AND(AX53&lt;&gt;"",AX53&lt;=TODAY()),"À recontacter (perdu)",""),IF(AND(O53&gt;='Paramètres'!$B$21,P53=0),"Stop : "&amp;'Paramètres'!$B$21&amp;" tentatives sans réponse",IF(AND(D53="Proposition",AR53&lt;&gt;"",TODAY()&gt;N(AR53)),"Proposition expirée",IF(AND(D53="Proposition",N(R53)&gt;='Paramètres'!$B$25),"Proposition sans réponse",IF(AND(G53&lt;&gt;"",N(G53)&lt;TODAY()),"Relance en retard",IF(N(R53)&gt;='Paramètres'!$B$24,"Sans action depuis "&amp;R53&amp;" j",""))))))))</f>
        <v/>
      </c>
      <c r="G53" s="106">
        <f>IF(OR(C53="",D53="Gagné",D53="Perdu"),"",IF(AND(BP53&gt;0,BP53=BQ53),INDEX('Saisie'!$J$5:$J$2004,BP53-4),IF(OR(O53=0,AND(O53&gt;='Paramètres'!$B$21,P53=0)),"",Q53+IF(O53&lt;=1,'Paramètres'!$B$18,IF(O53=2,'Paramètres'!$B$19,'Paramètres'!$B$20)))))</f>
        <v/>
      </c>
      <c r="H53" s="107">
        <f>IF(OR(G53="",BP53&lt;&gt;BQ53),"",IF(INDEX('Saisie'!$K$5:$K$2004,BP53-4)="","",INDEX('Saisie'!$K$5:$K$2004,BP53-4)))</f>
        <v/>
      </c>
      <c r="I53" s="60">
        <f>IF(C53="","",IF(OR(D53="Gagné",D53="Perdu"),"",IFERROR(INDEX('Saisie'!$I$5:$I$2004,_xlfn.MAXIFS('Saisie'!$AS$5:$AS$2004,'Saisie'!$C$5:$C$2004,C53,'Saisie'!$I$5:$I$2004,"&lt;&gt;")-4),"")))</f>
        <v/>
      </c>
      <c r="J53" s="60">
        <f>IF(C53="","",IFERROR(INDEX('Saisie'!$U$5:$U$2004,_xlfn.MAXIFS('Saisie'!$AS$5:$AS$2004,'Saisie'!$C$5:$C$2004,C53,'Saisie'!$U$5:$U$2004,"&lt;&gt;")-4),""))</f>
        <v/>
      </c>
      <c r="K53" s="60">
        <f>IF(C53="","",IFERROR(INDEX('Saisie'!$W$5:$W$2004,_xlfn.MAXIFS('Saisie'!$AS$5:$AS$2004,'Saisie'!$C$5:$C$2004,C53,'Saisie'!$W$5:$W$2004,"&lt;&gt;")-4),""))</f>
        <v/>
      </c>
      <c r="L53" s="60">
        <f>IF(IF(BB53&lt;&gt;"",BB53,K53)="","",HYPERLINK("https://wa.me/"&amp;IF(LEFT(SUBSTITUTE(SUBSTITUTE(SUBSTITUTE(IF(BB53&lt;&gt;"",BB53,K53)," ",""),".",""),"+",""),1)="0",'Paramètres'!$B$35&amp;MID(SUBSTITUTE(SUBSTITUTE(SUBSTITUTE(IF(BB53&lt;&gt;"",BB53,K53)," ",""),".",""),"+",""),2,20),SUBSTITUTE(SUBSTITUTE(SUBSTITUTE(IF(BB53&lt;&gt;"",BB53,K53)," ",""),".",""),"+","")),"WhatsApp"))</f>
        <v/>
      </c>
      <c r="M53" s="60">
        <f>IF(BC53="","",HYPERLINK(IF(LEFT(BC53,4)="http",BC53,"https://www.instagram.com/"&amp;SUBSTITUTE(SUBSTITUTE(BC53,"@","")," ","")),BC53))</f>
        <v/>
      </c>
      <c r="N53" s="60">
        <f>IF(C53="","",IFERROR(INDEX('Saisie'!$D$5:$D$2004,_xlfn.MINIFS('Saisie'!$AS$5:$AS$2004,'Saisie'!$C$5:$C$2004,C53,'Saisie'!$AU$5:$AU$2004,1)-4),IFERROR(INDEX('Saisie'!$D$5:$D$2004,_xlfn.MINIFS('Saisie'!$AS$5:$AS$2004,'Saisie'!$C$5:$C$2004,C53,'Saisie'!$D$5:$D$2004,"&lt;&gt;")-4),"")))</f>
        <v/>
      </c>
      <c r="O53" s="60">
        <f>IF(C53="","",COUNTIFS('Saisie'!$C$5:$C$2004,C53,'Saisie'!$AU$5:$AU$2004,1))</f>
        <v/>
      </c>
      <c r="P53" s="60">
        <f>IF(C53="","",COUNTIFS('Saisie'!$C$5:$C$2004,C53,'Saisie'!$AV$5:$AV$2004,1))</f>
        <v/>
      </c>
      <c r="Q53" s="106">
        <f>IF(C53="","",IFERROR(1/(1/_xlfn.MAXIFS('Saisie'!$A$5:$A$2004,'Saisie'!$C$5:$C$2004,C53)),""))</f>
        <v/>
      </c>
      <c r="R53" s="61">
        <f>IF(C53="","",IF(Q53="","",TODAY()-Q53))</f>
        <v/>
      </c>
      <c r="S53" s="60">
        <f>IF(C53="","",IFERROR(INDEX('Saisie'!$R$5:$R$2004,_xlfn.MAXIFS('Saisie'!$AS$5:$AS$2004,'Saisie'!$C$5:$C$2004,C53,'Saisie'!$R$5:$R$2004,"&lt;&gt;")-4),""))</f>
        <v/>
      </c>
      <c r="T53" s="60">
        <f>IF(C53="","",IFERROR(INDEX('Saisie'!$S$5:$S$2004,_xlfn.MAXIFS('Saisie'!$AS$5:$AS$2004,'Saisie'!$C$5:$C$2004,C53,'Saisie'!$S$5:$S$2004,"&lt;&gt;")-4),""))</f>
        <v/>
      </c>
      <c r="U53" s="60">
        <f>IF(C53="","",IFERROR(INDEX('Saisie'!$T$5:$T$2004,_xlfn.MAXIFS('Saisie'!$AS$5:$AS$2004,'Saisie'!$C$5:$C$2004,C53,'Saisie'!$T$5:$T$2004,"&lt;&gt;")-4),""))</f>
        <v/>
      </c>
      <c r="V53" s="60">
        <f>IF(C53="","",IFERROR(INDEX('Saisie'!$V$5:$V$2004,_xlfn.MAXIFS('Saisie'!$AS$5:$AS$2004,'Saisie'!$C$5:$C$2004,C53,'Saisie'!$V$5:$V$2004,"&lt;&gt;")-4),""))</f>
        <v/>
      </c>
      <c r="W53" s="60">
        <f>IF(C53="","",IFERROR(INDEX('Saisie'!$Z$5:$Z$2004,_xlfn.MAXIFS('Saisie'!$AS$5:$AS$2004,'Saisie'!$C$5:$C$2004,C53,'Saisie'!$Z$5:$Z$2004,"&lt;&gt;")-4),""))</f>
        <v/>
      </c>
      <c r="X53" s="60">
        <f>IF(C53="","",IFERROR(INDEX('Saisie'!$AA$5:$AA$2004,_xlfn.MAXIFS('Saisie'!$AS$5:$AS$2004,'Saisie'!$C$5:$C$2004,C53,'Saisie'!$AA$5:$AA$2004,"&lt;&gt;")-4),""))</f>
        <v/>
      </c>
      <c r="Y53" s="60">
        <f>IF(C53="","",IFERROR(INDEX('Saisie'!$AB$5:$AB$2004,_xlfn.MAXIFS('Saisie'!$AS$5:$AS$2004,'Saisie'!$C$5:$C$2004,C53,'Saisie'!$AB$5:$AB$2004,"&lt;&gt;")-4),""))</f>
        <v/>
      </c>
      <c r="Z53" s="60">
        <f>IF(C53="","",IFERROR(INDEX('Saisie'!$AC$5:$AC$2004,_xlfn.MAXIFS('Saisie'!$AS$5:$AS$2004,'Saisie'!$C$5:$C$2004,C53,'Saisie'!$AC$5:$AC$2004,"&lt;&gt;")-4),""))</f>
        <v/>
      </c>
      <c r="AA53" s="106">
        <f>IF(C53="","",IFERROR(INDEX('Saisie'!$AD$5:$AD$2004,_xlfn.MAXIFS('Saisie'!$AS$5:$AS$2004,'Saisie'!$C$5:$C$2004,C53,'Saisie'!$AD$5:$AD$2004,"&lt;&gt;")-4),""))</f>
        <v/>
      </c>
      <c r="AB53" s="60">
        <f>IF(C53="","",IFERROR(INDEX('Saisie'!$AE$5:$AE$2004,_xlfn.MAXIFS('Saisie'!$AS$5:$AS$2004,'Saisie'!$C$5:$C$2004,C53,'Saisie'!$AE$5:$AE$2004,"&lt;&gt;")-4),""))</f>
        <v/>
      </c>
      <c r="AC53" s="60">
        <f>IF(C53="","",IFERROR(INDEX('Saisie'!$AF$5:$AF$2004,_xlfn.MAXIFS('Saisie'!$AS$5:$AS$2004,'Saisie'!$C$5:$C$2004,C53,'Saisie'!$AF$5:$AF$2004,"&lt;&gt;")-4),""))</f>
        <v/>
      </c>
      <c r="AD53" s="108">
        <f>IF(C53="","",IFERROR(INDEX('Saisie'!$AG$5:$AG$2004,_xlfn.MAXIFS('Saisie'!$AS$5:$AS$2004,'Saisie'!$C$5:$C$2004,C53,'Saisie'!$AG$5:$AG$2004,"&lt;&gt;")-4),""))</f>
        <v/>
      </c>
      <c r="AE53" s="60">
        <f>IF(C53="","",IFERROR(INDEX('Saisie'!$AH$5:$AH$2004,_xlfn.MAXIFS('Saisie'!$AS$5:$AS$2004,'Saisie'!$C$5:$C$2004,C53,'Saisie'!$AH$5:$AH$2004,"&lt;&gt;")-4),""))</f>
        <v/>
      </c>
      <c r="AF53" s="60">
        <f>IF(C53="","",IFERROR(INDEX('Saisie'!$AI$5:$AI$2004,_xlfn.MAXIFS('Saisie'!$AS$5:$AS$2004,'Saisie'!$C$5:$C$2004,C53,'Saisie'!$AI$5:$AI$2004,"&lt;&gt;")-4),""))</f>
        <v/>
      </c>
      <c r="AG53" s="60">
        <f>IF(C53="","",IFERROR(INDEX('Saisie'!$AJ$5:$AJ$2004,_xlfn.MAXIFS('Saisie'!$AS$5:$AS$2004,'Saisie'!$C$5:$C$2004,C53,'Saisie'!$AJ$5:$AJ$2004,"&lt;&gt;")-4),""))</f>
        <v/>
      </c>
      <c r="AH53" s="60">
        <f>IF(C53="","",IFERROR(INDEX('Saisie'!$AK$5:$AK$2004,_xlfn.MAXIFS('Saisie'!$AS$5:$AS$2004,'Saisie'!$C$5:$C$2004,C53,'Saisie'!$AK$5:$AK$2004,"&lt;&gt;")-4),""))</f>
        <v/>
      </c>
      <c r="AI53" s="60">
        <f>IF(C53="","",IFERROR(INDEX('Saisie'!$AN$5:$AN$2004,_xlfn.MAXIFS('Saisie'!$AS$5:$AS$2004,'Saisie'!$C$5:$C$2004,C53,'Saisie'!$AN$5:$AN$2004,"&lt;&gt;")-4),""))</f>
        <v/>
      </c>
      <c r="AJ53" s="60">
        <f>IF(C53="","",IFERROR(INDEX('Saisie'!$AO$5:$AO$2004,_xlfn.MAXIFS('Saisie'!$AS$5:$AS$2004,'Saisie'!$C$5:$C$2004,C53,'Saisie'!$AO$5:$AO$2004,"&lt;&gt;")-4),""))</f>
        <v/>
      </c>
      <c r="AK53" s="60">
        <f>IF(C53="","",IFERROR(INDEX('Saisie'!$AP$5:$AP$2004,_xlfn.MAXIFS('Saisie'!$AS$5:$AS$2004,'Saisie'!$C$5:$C$2004,C53,'Saisie'!$AP$5:$AP$2004,"&lt;&gt;")-4),""))</f>
        <v/>
      </c>
      <c r="AL53" s="60">
        <f>IF(C53="","",IFERROR(INDEX('Saisie'!$AQ$5:$AQ$2004,_xlfn.MAXIFS('Saisie'!$AS$5:$AS$2004,'Saisie'!$C$5:$C$2004,C53,'Saisie'!$AQ$5:$AQ$2004,"&lt;&gt;")-4),""))</f>
        <v/>
      </c>
      <c r="AM53" s="60">
        <f>IF(C53="","",((AI53="Oui")+(AJ53="Oui")+(AK53="Oui")+OR(AL53="Immédiat",AL53="&lt; 1 mois"))&amp;"/4")</f>
        <v/>
      </c>
      <c r="AN53" s="60">
        <f>IF(C53="","",IFERROR(INDEX('Saisie'!$AL$5:$AL$2004,_xlfn.MAXIFS('Saisie'!$AS$5:$AS$2004,'Saisie'!$C$5:$C$2004,C53,'Saisie'!$AL$5:$AL$2004,"&lt;&gt;")-4),""))</f>
        <v/>
      </c>
      <c r="AO53" s="62">
        <f>IF(C53="","",IF(IFERROR(INDEX('Saisie'!$AM$5:$AM$2004,_xlfn.MAXIFS('Saisie'!$AS$5:$AS$2004,'Saisie'!$C$5:$C$2004,C53,'Saisie'!$AM$5:$AM$2004,"&lt;&gt;")-4),"")&lt;&gt;"",IFERROR(INDEX('Saisie'!$AM$5:$AM$2004,_xlfn.MAXIFS('Saisie'!$AS$5:$AS$2004,'Saisie'!$C$5:$C$2004,C53,'Saisie'!$AM$5:$AM$2004,"&lt;&gt;")-4),""),IFERROR(INDEX('Paramètres'!$S$6:$S$15,MATCH(AN53,'Paramètres'!$Q$6:$Q$15,0)),"")))</f>
        <v/>
      </c>
      <c r="AP53" s="62">
        <f>IF(C53="","",IFERROR(INDEX('Saisie'!$AW$5:$AW$2004,_xlfn.MAXIFS('Saisie'!$AS$5:$AS$2004,'Saisie'!$C$5:$C$2004,C53,'Saisie'!$E$5:$E$2004,"Proposition envoyée")-4),""))</f>
        <v/>
      </c>
      <c r="AQ53" s="106">
        <f>IF(C53="","",IFERROR(1/(1/_xlfn.MAXIFS('Saisie'!$A$5:$A$2004,'Saisie'!$C$5:$C$2004,C53,'Saisie'!$E$5:$E$2004,"Proposition envoyée")),""))</f>
        <v/>
      </c>
      <c r="AR53" s="106">
        <f>IF(C53="","",IF(AQ53="","",AQ53+'Paramètres'!$B$26))</f>
        <v/>
      </c>
      <c r="AS53" s="62">
        <f>IF(OR(C53="",D53="Gagné",D53="Perdu"),0,N(AP53)*IFERROR(INDEX('Paramètres'!$G$6:$G$13,MATCH(D53,'Paramètres'!$F$6:$F$13,0)),0))</f>
        <v/>
      </c>
      <c r="AT53" s="106">
        <f>IF(C53="","",IFERROR(1/(1/_xlfn.MINIFS('Saisie'!$A$5:$A$2004,'Saisie'!$C$5:$C$2004,C53,'Saisie'!$E$5:$E$2004,"Signature")),""))</f>
        <v/>
      </c>
      <c r="AU53" s="60">
        <f>IF(C53="","",IF(OR(AT53="",B53=""),"",AT53-B53))</f>
        <v/>
      </c>
      <c r="AV53" s="60">
        <f>IF(C53="","",IFERROR(INDEX('Saisie'!$L$5:$L$2004,_xlfn.MAXIFS('Saisie'!$AS$5:$AS$2004,'Saisie'!$C$5:$C$2004,C53,'Saisie'!$L$5:$L$2004,"&lt;&gt;")-4),""))</f>
        <v/>
      </c>
      <c r="AW53" s="106">
        <f>IF(C53="","",IF(D53&lt;&gt;"Perdu","",IFERROR(1/(1/_xlfn.MAXIFS('Saisie'!$A$5:$A$2004,'Saisie'!$C$5:$C$2004,C53,'Saisie'!$E$5:$E$2004,"Perdu")),"")))</f>
        <v/>
      </c>
      <c r="AX53" s="106">
        <f>IF(C53="","",IF(AW53="","",AW53+'Paramètres'!$B$28))</f>
        <v/>
      </c>
      <c r="AY53" s="60">
        <f>IF(C53="","",SUMIFS('Saisie'!$H$5:$H$2004,'Saisie'!$C$5:$C$2004,C53))</f>
        <v/>
      </c>
      <c r="AZ53" s="60">
        <f>IF(C53="","",IFERROR(INDEX('Paramètres'!$W$6:$W$20,MATCH(S53,'Paramètres'!$V$6:$V$20,0))&amp;"",""))</f>
        <v/>
      </c>
      <c r="BA53" s="60">
        <f>IF(C53="","",MAX(1,_xlfn.MAXIFS('Saisie'!$AT$5:$AT$2004,'Saisie'!$C$5:$C$2004,C53)))</f>
        <v/>
      </c>
      <c r="BB53" s="60">
        <f>IF(C53="","",IFERROR(INDEX('Saisie'!$X$5:$X$2004,_xlfn.MAXIFS('Saisie'!$AS$5:$AS$2004,'Saisie'!$C$5:$C$2004,C53,'Saisie'!$X$5:$X$2004,"&lt;&gt;")-4),""))</f>
        <v/>
      </c>
      <c r="BC53" s="60">
        <f>IF(C53="","",IFERROR(INDEX('Saisie'!$Y$5:$Y$2004,_xlfn.MAXIFS('Saisie'!$AS$5:$AS$2004,'Saisie'!$C$5:$C$2004,C53,'Saisie'!$Y$5:$Y$2004,"&lt;&gt;")-4),""))</f>
        <v/>
      </c>
      <c r="BD53" s="106">
        <f>IF(C53="","",IFERROR(1/(1/_xlfn.MINIFS('Saisie'!$A$5:$A$2004,'Saisie'!$C$5:$C$2004,C53,'Saisie'!$AT$5:$AT$2004,"&gt;=2")),""))</f>
        <v/>
      </c>
      <c r="BE53" s="106">
        <f>IF(C53="","",IFERROR(1/(1/_xlfn.MINIFS('Saisie'!$A$5:$A$2004,'Saisie'!$C$5:$C$2004,C53,'Saisie'!$AT$5:$AT$2004,"&gt;=3")),""))</f>
        <v/>
      </c>
      <c r="BF53" s="106">
        <f>IF(C53="","",IFERROR(1/(1/_xlfn.MINIFS('Saisie'!$A$5:$A$2004,'Saisie'!$C$5:$C$2004,C53,'Saisie'!$AT$5:$AT$2004,"&gt;=4")),""))</f>
        <v/>
      </c>
      <c r="BG53" s="106">
        <f>IF(C53="","",IFERROR(1/(1/_xlfn.MINIFS('Saisie'!$A$5:$A$2004,'Saisie'!$C$5:$C$2004,C53,'Saisie'!$AT$5:$AT$2004,"&gt;=5")),""))</f>
        <v/>
      </c>
      <c r="BH53" s="106">
        <f>IF(C53="","",IFERROR(1/(1/_xlfn.MINIFS('Saisie'!$A$5:$A$2004,'Saisie'!$C$5:$C$2004,C53,'Saisie'!$AT$5:$AT$2004,"&gt;=6")),""))</f>
        <v/>
      </c>
      <c r="BI53" s="106">
        <f>IF(C53="","",IFERROR(1/(1/_xlfn.MINIFS('Saisie'!$A$5:$A$2004,'Saisie'!$C$5:$C$2004,C53,'Saisie'!$AT$5:$AT$2004,"&gt;=7")),""))</f>
        <v/>
      </c>
      <c r="BJ53" s="60">
        <f>IF(OR(BD53="",B53=""),"",BD53-B53)</f>
        <v/>
      </c>
      <c r="BK53" s="60">
        <f>IF(OR(BE53="",BD53=""),"",BE53-BD53)</f>
        <v/>
      </c>
      <c r="BL53" s="60">
        <f>IF(OR(BF53="",BE53=""),"",BF53-BE53)</f>
        <v/>
      </c>
      <c r="BM53" s="60">
        <f>IF(OR(BG53="",BF53=""),"",BG53-BF53)</f>
        <v/>
      </c>
      <c r="BN53" s="60">
        <f>IF(OR(BH53="",BG53=""),"",BH53-BG53)</f>
        <v/>
      </c>
      <c r="BO53" s="60">
        <f>IF(OR(BI53="",BH53=""),"",BI53-BH53)</f>
        <v/>
      </c>
      <c r="BP53" s="60">
        <f>IF(C53="","",_xlfn.MAXIFS('Saisie'!$AS$5:$AS$2004,'Saisie'!$C$5:$C$2004,C53,'Saisie'!$J$5:$J$2004,"&lt;&gt;"))</f>
        <v/>
      </c>
      <c r="BQ53" s="60">
        <f>IF(C53="","",_xlfn.MAXIFS('Saisie'!$AS$5:$AS$2004,'Saisie'!$C$5:$C$2004,C53))</f>
        <v/>
      </c>
      <c r="BR53" s="60">
        <f>IF(C53="","",_xlfn.MAXIFS('Saisie'!$AS$5:$AS$2004,'Saisie'!$C$5:$C$2004,C53,'Saisie'!$E$5:$E$2004,"Perdu"))</f>
        <v/>
      </c>
      <c r="BS53" s="60">
        <f>IF(C53="","",_xlfn.MAXIFS('Saisie'!$AS$5:$AS$2004,'Saisie'!$C$5:$C$2004,C53,'Saisie'!$AT$5:$AT$2004,"&gt;0"))</f>
        <v/>
      </c>
      <c r="BT53" s="109">
        <f>IF(AND(C53&lt;&gt;"",OR(D53="Nouveau",D53="Contacté",D53="Qualifié"),OR(G53="",N(G53)&lt;=TODAY()),NOT(AND(O53&gt;='Paramètres'!$B$21,P53=0))),E53+49/10000,"")</f>
        <v/>
      </c>
      <c r="BU53" s="60">
        <f>IF(AND(G53&lt;&gt;"",N(G53)&lt;=TODAY()),MAX($BU$4:BU52)+1,"")</f>
        <v/>
      </c>
      <c r="BV53" s="60">
        <f>IF(AND(F53&lt;&gt;"",F53&lt;&gt;"Relance en retard"),MAX($BV$4:BV52)+1,"")</f>
        <v/>
      </c>
      <c r="BW53" s="60">
        <f>IF(C53="","",IF(AND(B53&gt;='Tableau de bord'!$R$4,B53&lt;='Tableau de bord'!$S$4,OR('Tableau de bord'!$G$4="Tous",N53='Tableau de bord'!$G$4)),1,0))</f>
        <v/>
      </c>
      <c r="BX53" s="60">
        <f>IF(AND(C53&lt;&gt;"",N(BA53)=7),MAX($BX$4:BX52)+1,"")</f>
        <v/>
      </c>
    </row>
    <row r="54">
      <c r="A54" s="60">
        <f>IF(C54="","","P-"&amp;TEXT(50,"000"))</f>
        <v/>
      </c>
      <c r="B54" s="106">
        <f>IF(C54="","",IFERROR(1/(1/_xlfn.MINIFS('Saisie'!$A$5:$A$2004,'Saisie'!$C$5:$C$2004,C54)),""))</f>
        <v/>
      </c>
      <c r="C54" s="60">
        <f>IFERROR(INDEX('Saisie'!$C$5:$C$2004,MATCH(50,'Saisie'!$AX$5:$AX$2004,0)),"")</f>
        <v/>
      </c>
      <c r="D54" s="60">
        <f>IF(C54="","",IF(AND(BR54&gt;0,BR54&gt;BS54,BA54&lt;7),"Perdu",INDEX('Paramètres'!$F$6:$F$13,BA54)))</f>
        <v/>
      </c>
      <c r="E54" s="61">
        <f>IF(C54="","",MIN(100,(Z54="Oui")*'Paramètres'!$B$38+(AB54="Régulière")*'Paramètres'!$B$39+IF(AND(N(AA54)&gt;0,TODAY()-N(AA54)&lt;=30),'Paramètres'!$B$40,0)+(W54="")*'Paramètres'!$B$41+(AC54="Absente")*'Paramètres'!$B$42+(AC54="Faible")*'Paramètres'!$B$43+IF(AND(N(AD54)&gt;0,N(AD54)&lt;4),'Paramètres'!$B$44,0)+(AF54="Moyenne")*'Paramètres'!$B$45+(AF54="Grande")*'Paramètres'!$B$46+(Y54&lt;&gt;"")*'Paramètres'!$B$47))</f>
        <v/>
      </c>
      <c r="F54" s="60">
        <f>IF(C54="","",IF(D54="Gagné","",IF(D54="Perdu",IF(AND(AX54&lt;&gt;"",AX54&lt;=TODAY()),"À recontacter (perdu)",""),IF(AND(O54&gt;='Paramètres'!$B$21,P54=0),"Stop : "&amp;'Paramètres'!$B$21&amp;" tentatives sans réponse",IF(AND(D54="Proposition",AR54&lt;&gt;"",TODAY()&gt;N(AR54)),"Proposition expirée",IF(AND(D54="Proposition",N(R54)&gt;='Paramètres'!$B$25),"Proposition sans réponse",IF(AND(G54&lt;&gt;"",N(G54)&lt;TODAY()),"Relance en retard",IF(N(R54)&gt;='Paramètres'!$B$24,"Sans action depuis "&amp;R54&amp;" j",""))))))))</f>
        <v/>
      </c>
      <c r="G54" s="106">
        <f>IF(OR(C54="",D54="Gagné",D54="Perdu"),"",IF(AND(BP54&gt;0,BP54=BQ54),INDEX('Saisie'!$J$5:$J$2004,BP54-4),IF(OR(O54=0,AND(O54&gt;='Paramètres'!$B$21,P54=0)),"",Q54+IF(O54&lt;=1,'Paramètres'!$B$18,IF(O54=2,'Paramètres'!$B$19,'Paramètres'!$B$20)))))</f>
        <v/>
      </c>
      <c r="H54" s="107">
        <f>IF(OR(G54="",BP54&lt;&gt;BQ54),"",IF(INDEX('Saisie'!$K$5:$K$2004,BP54-4)="","",INDEX('Saisie'!$K$5:$K$2004,BP54-4)))</f>
        <v/>
      </c>
      <c r="I54" s="60">
        <f>IF(C54="","",IF(OR(D54="Gagné",D54="Perdu"),"",IFERROR(INDEX('Saisie'!$I$5:$I$2004,_xlfn.MAXIFS('Saisie'!$AS$5:$AS$2004,'Saisie'!$C$5:$C$2004,C54,'Saisie'!$I$5:$I$2004,"&lt;&gt;")-4),"")))</f>
        <v/>
      </c>
      <c r="J54" s="60">
        <f>IF(C54="","",IFERROR(INDEX('Saisie'!$U$5:$U$2004,_xlfn.MAXIFS('Saisie'!$AS$5:$AS$2004,'Saisie'!$C$5:$C$2004,C54,'Saisie'!$U$5:$U$2004,"&lt;&gt;")-4),""))</f>
        <v/>
      </c>
      <c r="K54" s="60">
        <f>IF(C54="","",IFERROR(INDEX('Saisie'!$W$5:$W$2004,_xlfn.MAXIFS('Saisie'!$AS$5:$AS$2004,'Saisie'!$C$5:$C$2004,C54,'Saisie'!$W$5:$W$2004,"&lt;&gt;")-4),""))</f>
        <v/>
      </c>
      <c r="L54" s="60">
        <f>IF(IF(BB54&lt;&gt;"",BB54,K54)="","",HYPERLINK("https://wa.me/"&amp;IF(LEFT(SUBSTITUTE(SUBSTITUTE(SUBSTITUTE(IF(BB54&lt;&gt;"",BB54,K54)," ",""),".",""),"+",""),1)="0",'Paramètres'!$B$35&amp;MID(SUBSTITUTE(SUBSTITUTE(SUBSTITUTE(IF(BB54&lt;&gt;"",BB54,K54)," ",""),".",""),"+",""),2,20),SUBSTITUTE(SUBSTITUTE(SUBSTITUTE(IF(BB54&lt;&gt;"",BB54,K54)," ",""),".",""),"+","")),"WhatsApp"))</f>
        <v/>
      </c>
      <c r="M54" s="60">
        <f>IF(BC54="","",HYPERLINK(IF(LEFT(BC54,4)="http",BC54,"https://www.instagram.com/"&amp;SUBSTITUTE(SUBSTITUTE(BC54,"@","")," ","")),BC54))</f>
        <v/>
      </c>
      <c r="N54" s="60">
        <f>IF(C54="","",IFERROR(INDEX('Saisie'!$D$5:$D$2004,_xlfn.MINIFS('Saisie'!$AS$5:$AS$2004,'Saisie'!$C$5:$C$2004,C54,'Saisie'!$AU$5:$AU$2004,1)-4),IFERROR(INDEX('Saisie'!$D$5:$D$2004,_xlfn.MINIFS('Saisie'!$AS$5:$AS$2004,'Saisie'!$C$5:$C$2004,C54,'Saisie'!$D$5:$D$2004,"&lt;&gt;")-4),"")))</f>
        <v/>
      </c>
      <c r="O54" s="60">
        <f>IF(C54="","",COUNTIFS('Saisie'!$C$5:$C$2004,C54,'Saisie'!$AU$5:$AU$2004,1))</f>
        <v/>
      </c>
      <c r="P54" s="60">
        <f>IF(C54="","",COUNTIFS('Saisie'!$C$5:$C$2004,C54,'Saisie'!$AV$5:$AV$2004,1))</f>
        <v/>
      </c>
      <c r="Q54" s="106">
        <f>IF(C54="","",IFERROR(1/(1/_xlfn.MAXIFS('Saisie'!$A$5:$A$2004,'Saisie'!$C$5:$C$2004,C54)),""))</f>
        <v/>
      </c>
      <c r="R54" s="61">
        <f>IF(C54="","",IF(Q54="","",TODAY()-Q54))</f>
        <v/>
      </c>
      <c r="S54" s="60">
        <f>IF(C54="","",IFERROR(INDEX('Saisie'!$R$5:$R$2004,_xlfn.MAXIFS('Saisie'!$AS$5:$AS$2004,'Saisie'!$C$5:$C$2004,C54,'Saisie'!$R$5:$R$2004,"&lt;&gt;")-4),""))</f>
        <v/>
      </c>
      <c r="T54" s="60">
        <f>IF(C54="","",IFERROR(INDEX('Saisie'!$S$5:$S$2004,_xlfn.MAXIFS('Saisie'!$AS$5:$AS$2004,'Saisie'!$C$5:$C$2004,C54,'Saisie'!$S$5:$S$2004,"&lt;&gt;")-4),""))</f>
        <v/>
      </c>
      <c r="U54" s="60">
        <f>IF(C54="","",IFERROR(INDEX('Saisie'!$T$5:$T$2004,_xlfn.MAXIFS('Saisie'!$AS$5:$AS$2004,'Saisie'!$C$5:$C$2004,C54,'Saisie'!$T$5:$T$2004,"&lt;&gt;")-4),""))</f>
        <v/>
      </c>
      <c r="V54" s="60">
        <f>IF(C54="","",IFERROR(INDEX('Saisie'!$V$5:$V$2004,_xlfn.MAXIFS('Saisie'!$AS$5:$AS$2004,'Saisie'!$C$5:$C$2004,C54,'Saisie'!$V$5:$V$2004,"&lt;&gt;")-4),""))</f>
        <v/>
      </c>
      <c r="W54" s="60">
        <f>IF(C54="","",IFERROR(INDEX('Saisie'!$Z$5:$Z$2004,_xlfn.MAXIFS('Saisie'!$AS$5:$AS$2004,'Saisie'!$C$5:$C$2004,C54,'Saisie'!$Z$5:$Z$2004,"&lt;&gt;")-4),""))</f>
        <v/>
      </c>
      <c r="X54" s="60">
        <f>IF(C54="","",IFERROR(INDEX('Saisie'!$AA$5:$AA$2004,_xlfn.MAXIFS('Saisie'!$AS$5:$AS$2004,'Saisie'!$C$5:$C$2004,C54,'Saisie'!$AA$5:$AA$2004,"&lt;&gt;")-4),""))</f>
        <v/>
      </c>
      <c r="Y54" s="60">
        <f>IF(C54="","",IFERROR(INDEX('Saisie'!$AB$5:$AB$2004,_xlfn.MAXIFS('Saisie'!$AS$5:$AS$2004,'Saisie'!$C$5:$C$2004,C54,'Saisie'!$AB$5:$AB$2004,"&lt;&gt;")-4),""))</f>
        <v/>
      </c>
      <c r="Z54" s="60">
        <f>IF(C54="","",IFERROR(INDEX('Saisie'!$AC$5:$AC$2004,_xlfn.MAXIFS('Saisie'!$AS$5:$AS$2004,'Saisie'!$C$5:$C$2004,C54,'Saisie'!$AC$5:$AC$2004,"&lt;&gt;")-4),""))</f>
        <v/>
      </c>
      <c r="AA54" s="106">
        <f>IF(C54="","",IFERROR(INDEX('Saisie'!$AD$5:$AD$2004,_xlfn.MAXIFS('Saisie'!$AS$5:$AS$2004,'Saisie'!$C$5:$C$2004,C54,'Saisie'!$AD$5:$AD$2004,"&lt;&gt;")-4),""))</f>
        <v/>
      </c>
      <c r="AB54" s="60">
        <f>IF(C54="","",IFERROR(INDEX('Saisie'!$AE$5:$AE$2004,_xlfn.MAXIFS('Saisie'!$AS$5:$AS$2004,'Saisie'!$C$5:$C$2004,C54,'Saisie'!$AE$5:$AE$2004,"&lt;&gt;")-4),""))</f>
        <v/>
      </c>
      <c r="AC54" s="60">
        <f>IF(C54="","",IFERROR(INDEX('Saisie'!$AF$5:$AF$2004,_xlfn.MAXIFS('Saisie'!$AS$5:$AS$2004,'Saisie'!$C$5:$C$2004,C54,'Saisie'!$AF$5:$AF$2004,"&lt;&gt;")-4),""))</f>
        <v/>
      </c>
      <c r="AD54" s="108">
        <f>IF(C54="","",IFERROR(INDEX('Saisie'!$AG$5:$AG$2004,_xlfn.MAXIFS('Saisie'!$AS$5:$AS$2004,'Saisie'!$C$5:$C$2004,C54,'Saisie'!$AG$5:$AG$2004,"&lt;&gt;")-4),""))</f>
        <v/>
      </c>
      <c r="AE54" s="60">
        <f>IF(C54="","",IFERROR(INDEX('Saisie'!$AH$5:$AH$2004,_xlfn.MAXIFS('Saisie'!$AS$5:$AS$2004,'Saisie'!$C$5:$C$2004,C54,'Saisie'!$AH$5:$AH$2004,"&lt;&gt;")-4),""))</f>
        <v/>
      </c>
      <c r="AF54" s="60">
        <f>IF(C54="","",IFERROR(INDEX('Saisie'!$AI$5:$AI$2004,_xlfn.MAXIFS('Saisie'!$AS$5:$AS$2004,'Saisie'!$C$5:$C$2004,C54,'Saisie'!$AI$5:$AI$2004,"&lt;&gt;")-4),""))</f>
        <v/>
      </c>
      <c r="AG54" s="60">
        <f>IF(C54="","",IFERROR(INDEX('Saisie'!$AJ$5:$AJ$2004,_xlfn.MAXIFS('Saisie'!$AS$5:$AS$2004,'Saisie'!$C$5:$C$2004,C54,'Saisie'!$AJ$5:$AJ$2004,"&lt;&gt;")-4),""))</f>
        <v/>
      </c>
      <c r="AH54" s="60">
        <f>IF(C54="","",IFERROR(INDEX('Saisie'!$AK$5:$AK$2004,_xlfn.MAXIFS('Saisie'!$AS$5:$AS$2004,'Saisie'!$C$5:$C$2004,C54,'Saisie'!$AK$5:$AK$2004,"&lt;&gt;")-4),""))</f>
        <v/>
      </c>
      <c r="AI54" s="60">
        <f>IF(C54="","",IFERROR(INDEX('Saisie'!$AN$5:$AN$2004,_xlfn.MAXIFS('Saisie'!$AS$5:$AS$2004,'Saisie'!$C$5:$C$2004,C54,'Saisie'!$AN$5:$AN$2004,"&lt;&gt;")-4),""))</f>
        <v/>
      </c>
      <c r="AJ54" s="60">
        <f>IF(C54="","",IFERROR(INDEX('Saisie'!$AO$5:$AO$2004,_xlfn.MAXIFS('Saisie'!$AS$5:$AS$2004,'Saisie'!$C$5:$C$2004,C54,'Saisie'!$AO$5:$AO$2004,"&lt;&gt;")-4),""))</f>
        <v/>
      </c>
      <c r="AK54" s="60">
        <f>IF(C54="","",IFERROR(INDEX('Saisie'!$AP$5:$AP$2004,_xlfn.MAXIFS('Saisie'!$AS$5:$AS$2004,'Saisie'!$C$5:$C$2004,C54,'Saisie'!$AP$5:$AP$2004,"&lt;&gt;")-4),""))</f>
        <v/>
      </c>
      <c r="AL54" s="60">
        <f>IF(C54="","",IFERROR(INDEX('Saisie'!$AQ$5:$AQ$2004,_xlfn.MAXIFS('Saisie'!$AS$5:$AS$2004,'Saisie'!$C$5:$C$2004,C54,'Saisie'!$AQ$5:$AQ$2004,"&lt;&gt;")-4),""))</f>
        <v/>
      </c>
      <c r="AM54" s="60">
        <f>IF(C54="","",((AI54="Oui")+(AJ54="Oui")+(AK54="Oui")+OR(AL54="Immédiat",AL54="&lt; 1 mois"))&amp;"/4")</f>
        <v/>
      </c>
      <c r="AN54" s="60">
        <f>IF(C54="","",IFERROR(INDEX('Saisie'!$AL$5:$AL$2004,_xlfn.MAXIFS('Saisie'!$AS$5:$AS$2004,'Saisie'!$C$5:$C$2004,C54,'Saisie'!$AL$5:$AL$2004,"&lt;&gt;")-4),""))</f>
        <v/>
      </c>
      <c r="AO54" s="62">
        <f>IF(C54="","",IF(IFERROR(INDEX('Saisie'!$AM$5:$AM$2004,_xlfn.MAXIFS('Saisie'!$AS$5:$AS$2004,'Saisie'!$C$5:$C$2004,C54,'Saisie'!$AM$5:$AM$2004,"&lt;&gt;")-4),"")&lt;&gt;"",IFERROR(INDEX('Saisie'!$AM$5:$AM$2004,_xlfn.MAXIFS('Saisie'!$AS$5:$AS$2004,'Saisie'!$C$5:$C$2004,C54,'Saisie'!$AM$5:$AM$2004,"&lt;&gt;")-4),""),IFERROR(INDEX('Paramètres'!$S$6:$S$15,MATCH(AN54,'Paramètres'!$Q$6:$Q$15,0)),"")))</f>
        <v/>
      </c>
      <c r="AP54" s="62">
        <f>IF(C54="","",IFERROR(INDEX('Saisie'!$AW$5:$AW$2004,_xlfn.MAXIFS('Saisie'!$AS$5:$AS$2004,'Saisie'!$C$5:$C$2004,C54,'Saisie'!$E$5:$E$2004,"Proposition envoyée")-4),""))</f>
        <v/>
      </c>
      <c r="AQ54" s="106">
        <f>IF(C54="","",IFERROR(1/(1/_xlfn.MAXIFS('Saisie'!$A$5:$A$2004,'Saisie'!$C$5:$C$2004,C54,'Saisie'!$E$5:$E$2004,"Proposition envoyée")),""))</f>
        <v/>
      </c>
      <c r="AR54" s="106">
        <f>IF(C54="","",IF(AQ54="","",AQ54+'Paramètres'!$B$26))</f>
        <v/>
      </c>
      <c r="AS54" s="62">
        <f>IF(OR(C54="",D54="Gagné",D54="Perdu"),0,N(AP54)*IFERROR(INDEX('Paramètres'!$G$6:$G$13,MATCH(D54,'Paramètres'!$F$6:$F$13,0)),0))</f>
        <v/>
      </c>
      <c r="AT54" s="106">
        <f>IF(C54="","",IFERROR(1/(1/_xlfn.MINIFS('Saisie'!$A$5:$A$2004,'Saisie'!$C$5:$C$2004,C54,'Saisie'!$E$5:$E$2004,"Signature")),""))</f>
        <v/>
      </c>
      <c r="AU54" s="60">
        <f>IF(C54="","",IF(OR(AT54="",B54=""),"",AT54-B54))</f>
        <v/>
      </c>
      <c r="AV54" s="60">
        <f>IF(C54="","",IFERROR(INDEX('Saisie'!$L$5:$L$2004,_xlfn.MAXIFS('Saisie'!$AS$5:$AS$2004,'Saisie'!$C$5:$C$2004,C54,'Saisie'!$L$5:$L$2004,"&lt;&gt;")-4),""))</f>
        <v/>
      </c>
      <c r="AW54" s="106">
        <f>IF(C54="","",IF(D54&lt;&gt;"Perdu","",IFERROR(1/(1/_xlfn.MAXIFS('Saisie'!$A$5:$A$2004,'Saisie'!$C$5:$C$2004,C54,'Saisie'!$E$5:$E$2004,"Perdu")),"")))</f>
        <v/>
      </c>
      <c r="AX54" s="106">
        <f>IF(C54="","",IF(AW54="","",AW54+'Paramètres'!$B$28))</f>
        <v/>
      </c>
      <c r="AY54" s="60">
        <f>IF(C54="","",SUMIFS('Saisie'!$H$5:$H$2004,'Saisie'!$C$5:$C$2004,C54))</f>
        <v/>
      </c>
      <c r="AZ54" s="60">
        <f>IF(C54="","",IFERROR(INDEX('Paramètres'!$W$6:$W$20,MATCH(S54,'Paramètres'!$V$6:$V$20,0))&amp;"",""))</f>
        <v/>
      </c>
      <c r="BA54" s="60">
        <f>IF(C54="","",MAX(1,_xlfn.MAXIFS('Saisie'!$AT$5:$AT$2004,'Saisie'!$C$5:$C$2004,C54)))</f>
        <v/>
      </c>
      <c r="BB54" s="60">
        <f>IF(C54="","",IFERROR(INDEX('Saisie'!$X$5:$X$2004,_xlfn.MAXIFS('Saisie'!$AS$5:$AS$2004,'Saisie'!$C$5:$C$2004,C54,'Saisie'!$X$5:$X$2004,"&lt;&gt;")-4),""))</f>
        <v/>
      </c>
      <c r="BC54" s="60">
        <f>IF(C54="","",IFERROR(INDEX('Saisie'!$Y$5:$Y$2004,_xlfn.MAXIFS('Saisie'!$AS$5:$AS$2004,'Saisie'!$C$5:$C$2004,C54,'Saisie'!$Y$5:$Y$2004,"&lt;&gt;")-4),""))</f>
        <v/>
      </c>
      <c r="BD54" s="106">
        <f>IF(C54="","",IFERROR(1/(1/_xlfn.MINIFS('Saisie'!$A$5:$A$2004,'Saisie'!$C$5:$C$2004,C54,'Saisie'!$AT$5:$AT$2004,"&gt;=2")),""))</f>
        <v/>
      </c>
      <c r="BE54" s="106">
        <f>IF(C54="","",IFERROR(1/(1/_xlfn.MINIFS('Saisie'!$A$5:$A$2004,'Saisie'!$C$5:$C$2004,C54,'Saisie'!$AT$5:$AT$2004,"&gt;=3")),""))</f>
        <v/>
      </c>
      <c r="BF54" s="106">
        <f>IF(C54="","",IFERROR(1/(1/_xlfn.MINIFS('Saisie'!$A$5:$A$2004,'Saisie'!$C$5:$C$2004,C54,'Saisie'!$AT$5:$AT$2004,"&gt;=4")),""))</f>
        <v/>
      </c>
      <c r="BG54" s="106">
        <f>IF(C54="","",IFERROR(1/(1/_xlfn.MINIFS('Saisie'!$A$5:$A$2004,'Saisie'!$C$5:$C$2004,C54,'Saisie'!$AT$5:$AT$2004,"&gt;=5")),""))</f>
        <v/>
      </c>
      <c r="BH54" s="106">
        <f>IF(C54="","",IFERROR(1/(1/_xlfn.MINIFS('Saisie'!$A$5:$A$2004,'Saisie'!$C$5:$C$2004,C54,'Saisie'!$AT$5:$AT$2004,"&gt;=6")),""))</f>
        <v/>
      </c>
      <c r="BI54" s="106">
        <f>IF(C54="","",IFERROR(1/(1/_xlfn.MINIFS('Saisie'!$A$5:$A$2004,'Saisie'!$C$5:$C$2004,C54,'Saisie'!$AT$5:$AT$2004,"&gt;=7")),""))</f>
        <v/>
      </c>
      <c r="BJ54" s="60">
        <f>IF(OR(BD54="",B54=""),"",BD54-B54)</f>
        <v/>
      </c>
      <c r="BK54" s="60">
        <f>IF(OR(BE54="",BD54=""),"",BE54-BD54)</f>
        <v/>
      </c>
      <c r="BL54" s="60">
        <f>IF(OR(BF54="",BE54=""),"",BF54-BE54)</f>
        <v/>
      </c>
      <c r="BM54" s="60">
        <f>IF(OR(BG54="",BF54=""),"",BG54-BF54)</f>
        <v/>
      </c>
      <c r="BN54" s="60">
        <f>IF(OR(BH54="",BG54=""),"",BH54-BG54)</f>
        <v/>
      </c>
      <c r="BO54" s="60">
        <f>IF(OR(BI54="",BH54=""),"",BI54-BH54)</f>
        <v/>
      </c>
      <c r="BP54" s="60">
        <f>IF(C54="","",_xlfn.MAXIFS('Saisie'!$AS$5:$AS$2004,'Saisie'!$C$5:$C$2004,C54,'Saisie'!$J$5:$J$2004,"&lt;&gt;"))</f>
        <v/>
      </c>
      <c r="BQ54" s="60">
        <f>IF(C54="","",_xlfn.MAXIFS('Saisie'!$AS$5:$AS$2004,'Saisie'!$C$5:$C$2004,C54))</f>
        <v/>
      </c>
      <c r="BR54" s="60">
        <f>IF(C54="","",_xlfn.MAXIFS('Saisie'!$AS$5:$AS$2004,'Saisie'!$C$5:$C$2004,C54,'Saisie'!$E$5:$E$2004,"Perdu"))</f>
        <v/>
      </c>
      <c r="BS54" s="60">
        <f>IF(C54="","",_xlfn.MAXIFS('Saisie'!$AS$5:$AS$2004,'Saisie'!$C$5:$C$2004,C54,'Saisie'!$AT$5:$AT$2004,"&gt;0"))</f>
        <v/>
      </c>
      <c r="BT54" s="109">
        <f>IF(AND(C54&lt;&gt;"",OR(D54="Nouveau",D54="Contacté",D54="Qualifié"),OR(G54="",N(G54)&lt;=TODAY()),NOT(AND(O54&gt;='Paramètres'!$B$21,P54=0))),E54+50/10000,"")</f>
        <v/>
      </c>
      <c r="BU54" s="60">
        <f>IF(AND(G54&lt;&gt;"",N(G54)&lt;=TODAY()),MAX($BU$4:BU53)+1,"")</f>
        <v/>
      </c>
      <c r="BV54" s="60">
        <f>IF(AND(F54&lt;&gt;"",F54&lt;&gt;"Relance en retard"),MAX($BV$4:BV53)+1,"")</f>
        <v/>
      </c>
      <c r="BW54" s="60">
        <f>IF(C54="","",IF(AND(B54&gt;='Tableau de bord'!$R$4,B54&lt;='Tableau de bord'!$S$4,OR('Tableau de bord'!$G$4="Tous",N54='Tableau de bord'!$G$4)),1,0))</f>
        <v/>
      </c>
      <c r="BX54" s="60">
        <f>IF(AND(C54&lt;&gt;"",N(BA54)=7),MAX($BX$4:BX53)+1,"")</f>
        <v/>
      </c>
    </row>
    <row r="55">
      <c r="A55" s="60">
        <f>IF(C55="","","P-"&amp;TEXT(51,"000"))</f>
        <v/>
      </c>
      <c r="B55" s="106">
        <f>IF(C55="","",IFERROR(1/(1/_xlfn.MINIFS('Saisie'!$A$5:$A$2004,'Saisie'!$C$5:$C$2004,C55)),""))</f>
        <v/>
      </c>
      <c r="C55" s="60">
        <f>IFERROR(INDEX('Saisie'!$C$5:$C$2004,MATCH(51,'Saisie'!$AX$5:$AX$2004,0)),"")</f>
        <v/>
      </c>
      <c r="D55" s="60">
        <f>IF(C55="","",IF(AND(BR55&gt;0,BR55&gt;BS55,BA55&lt;7),"Perdu",INDEX('Paramètres'!$F$6:$F$13,BA55)))</f>
        <v/>
      </c>
      <c r="E55" s="61">
        <f>IF(C55="","",MIN(100,(Z55="Oui")*'Paramètres'!$B$38+(AB55="Régulière")*'Paramètres'!$B$39+IF(AND(N(AA55)&gt;0,TODAY()-N(AA55)&lt;=30),'Paramètres'!$B$40,0)+(W55="")*'Paramètres'!$B$41+(AC55="Absente")*'Paramètres'!$B$42+(AC55="Faible")*'Paramètres'!$B$43+IF(AND(N(AD55)&gt;0,N(AD55)&lt;4),'Paramètres'!$B$44,0)+(AF55="Moyenne")*'Paramètres'!$B$45+(AF55="Grande")*'Paramètres'!$B$46+(Y55&lt;&gt;"")*'Paramètres'!$B$47))</f>
        <v/>
      </c>
      <c r="F55" s="60">
        <f>IF(C55="","",IF(D55="Gagné","",IF(D55="Perdu",IF(AND(AX55&lt;&gt;"",AX55&lt;=TODAY()),"À recontacter (perdu)",""),IF(AND(O55&gt;='Paramètres'!$B$21,P55=0),"Stop : "&amp;'Paramètres'!$B$21&amp;" tentatives sans réponse",IF(AND(D55="Proposition",AR55&lt;&gt;"",TODAY()&gt;N(AR55)),"Proposition expirée",IF(AND(D55="Proposition",N(R55)&gt;='Paramètres'!$B$25),"Proposition sans réponse",IF(AND(G55&lt;&gt;"",N(G55)&lt;TODAY()),"Relance en retard",IF(N(R55)&gt;='Paramètres'!$B$24,"Sans action depuis "&amp;R55&amp;" j",""))))))))</f>
        <v/>
      </c>
      <c r="G55" s="106">
        <f>IF(OR(C55="",D55="Gagné",D55="Perdu"),"",IF(AND(BP55&gt;0,BP55=BQ55),INDEX('Saisie'!$J$5:$J$2004,BP55-4),IF(OR(O55=0,AND(O55&gt;='Paramètres'!$B$21,P55=0)),"",Q55+IF(O55&lt;=1,'Paramètres'!$B$18,IF(O55=2,'Paramètres'!$B$19,'Paramètres'!$B$20)))))</f>
        <v/>
      </c>
      <c r="H55" s="107">
        <f>IF(OR(G55="",BP55&lt;&gt;BQ55),"",IF(INDEX('Saisie'!$K$5:$K$2004,BP55-4)="","",INDEX('Saisie'!$K$5:$K$2004,BP55-4)))</f>
        <v/>
      </c>
      <c r="I55" s="60">
        <f>IF(C55="","",IF(OR(D55="Gagné",D55="Perdu"),"",IFERROR(INDEX('Saisie'!$I$5:$I$2004,_xlfn.MAXIFS('Saisie'!$AS$5:$AS$2004,'Saisie'!$C$5:$C$2004,C55,'Saisie'!$I$5:$I$2004,"&lt;&gt;")-4),"")))</f>
        <v/>
      </c>
      <c r="J55" s="60">
        <f>IF(C55="","",IFERROR(INDEX('Saisie'!$U$5:$U$2004,_xlfn.MAXIFS('Saisie'!$AS$5:$AS$2004,'Saisie'!$C$5:$C$2004,C55,'Saisie'!$U$5:$U$2004,"&lt;&gt;")-4),""))</f>
        <v/>
      </c>
      <c r="K55" s="60">
        <f>IF(C55="","",IFERROR(INDEX('Saisie'!$W$5:$W$2004,_xlfn.MAXIFS('Saisie'!$AS$5:$AS$2004,'Saisie'!$C$5:$C$2004,C55,'Saisie'!$W$5:$W$2004,"&lt;&gt;")-4),""))</f>
        <v/>
      </c>
      <c r="L55" s="60">
        <f>IF(IF(BB55&lt;&gt;"",BB55,K55)="","",HYPERLINK("https://wa.me/"&amp;IF(LEFT(SUBSTITUTE(SUBSTITUTE(SUBSTITUTE(IF(BB55&lt;&gt;"",BB55,K55)," ",""),".",""),"+",""),1)="0",'Paramètres'!$B$35&amp;MID(SUBSTITUTE(SUBSTITUTE(SUBSTITUTE(IF(BB55&lt;&gt;"",BB55,K55)," ",""),".",""),"+",""),2,20),SUBSTITUTE(SUBSTITUTE(SUBSTITUTE(IF(BB55&lt;&gt;"",BB55,K55)," ",""),".",""),"+","")),"WhatsApp"))</f>
        <v/>
      </c>
      <c r="M55" s="60">
        <f>IF(BC55="","",HYPERLINK(IF(LEFT(BC55,4)="http",BC55,"https://www.instagram.com/"&amp;SUBSTITUTE(SUBSTITUTE(BC55,"@","")," ","")),BC55))</f>
        <v/>
      </c>
      <c r="N55" s="60">
        <f>IF(C55="","",IFERROR(INDEX('Saisie'!$D$5:$D$2004,_xlfn.MINIFS('Saisie'!$AS$5:$AS$2004,'Saisie'!$C$5:$C$2004,C55,'Saisie'!$AU$5:$AU$2004,1)-4),IFERROR(INDEX('Saisie'!$D$5:$D$2004,_xlfn.MINIFS('Saisie'!$AS$5:$AS$2004,'Saisie'!$C$5:$C$2004,C55,'Saisie'!$D$5:$D$2004,"&lt;&gt;")-4),"")))</f>
        <v/>
      </c>
      <c r="O55" s="60">
        <f>IF(C55="","",COUNTIFS('Saisie'!$C$5:$C$2004,C55,'Saisie'!$AU$5:$AU$2004,1))</f>
        <v/>
      </c>
      <c r="P55" s="60">
        <f>IF(C55="","",COUNTIFS('Saisie'!$C$5:$C$2004,C55,'Saisie'!$AV$5:$AV$2004,1))</f>
        <v/>
      </c>
      <c r="Q55" s="106">
        <f>IF(C55="","",IFERROR(1/(1/_xlfn.MAXIFS('Saisie'!$A$5:$A$2004,'Saisie'!$C$5:$C$2004,C55)),""))</f>
        <v/>
      </c>
      <c r="R55" s="61">
        <f>IF(C55="","",IF(Q55="","",TODAY()-Q55))</f>
        <v/>
      </c>
      <c r="S55" s="60">
        <f>IF(C55="","",IFERROR(INDEX('Saisie'!$R$5:$R$2004,_xlfn.MAXIFS('Saisie'!$AS$5:$AS$2004,'Saisie'!$C$5:$C$2004,C55,'Saisie'!$R$5:$R$2004,"&lt;&gt;")-4),""))</f>
        <v/>
      </c>
      <c r="T55" s="60">
        <f>IF(C55="","",IFERROR(INDEX('Saisie'!$S$5:$S$2004,_xlfn.MAXIFS('Saisie'!$AS$5:$AS$2004,'Saisie'!$C$5:$C$2004,C55,'Saisie'!$S$5:$S$2004,"&lt;&gt;")-4),""))</f>
        <v/>
      </c>
      <c r="U55" s="60">
        <f>IF(C55="","",IFERROR(INDEX('Saisie'!$T$5:$T$2004,_xlfn.MAXIFS('Saisie'!$AS$5:$AS$2004,'Saisie'!$C$5:$C$2004,C55,'Saisie'!$T$5:$T$2004,"&lt;&gt;")-4),""))</f>
        <v/>
      </c>
      <c r="V55" s="60">
        <f>IF(C55="","",IFERROR(INDEX('Saisie'!$V$5:$V$2004,_xlfn.MAXIFS('Saisie'!$AS$5:$AS$2004,'Saisie'!$C$5:$C$2004,C55,'Saisie'!$V$5:$V$2004,"&lt;&gt;")-4),""))</f>
        <v/>
      </c>
      <c r="W55" s="60">
        <f>IF(C55="","",IFERROR(INDEX('Saisie'!$Z$5:$Z$2004,_xlfn.MAXIFS('Saisie'!$AS$5:$AS$2004,'Saisie'!$C$5:$C$2004,C55,'Saisie'!$Z$5:$Z$2004,"&lt;&gt;")-4),""))</f>
        <v/>
      </c>
      <c r="X55" s="60">
        <f>IF(C55="","",IFERROR(INDEX('Saisie'!$AA$5:$AA$2004,_xlfn.MAXIFS('Saisie'!$AS$5:$AS$2004,'Saisie'!$C$5:$C$2004,C55,'Saisie'!$AA$5:$AA$2004,"&lt;&gt;")-4),""))</f>
        <v/>
      </c>
      <c r="Y55" s="60">
        <f>IF(C55="","",IFERROR(INDEX('Saisie'!$AB$5:$AB$2004,_xlfn.MAXIFS('Saisie'!$AS$5:$AS$2004,'Saisie'!$C$5:$C$2004,C55,'Saisie'!$AB$5:$AB$2004,"&lt;&gt;")-4),""))</f>
        <v/>
      </c>
      <c r="Z55" s="60">
        <f>IF(C55="","",IFERROR(INDEX('Saisie'!$AC$5:$AC$2004,_xlfn.MAXIFS('Saisie'!$AS$5:$AS$2004,'Saisie'!$C$5:$C$2004,C55,'Saisie'!$AC$5:$AC$2004,"&lt;&gt;")-4),""))</f>
        <v/>
      </c>
      <c r="AA55" s="106">
        <f>IF(C55="","",IFERROR(INDEX('Saisie'!$AD$5:$AD$2004,_xlfn.MAXIFS('Saisie'!$AS$5:$AS$2004,'Saisie'!$C$5:$C$2004,C55,'Saisie'!$AD$5:$AD$2004,"&lt;&gt;")-4),""))</f>
        <v/>
      </c>
      <c r="AB55" s="60">
        <f>IF(C55="","",IFERROR(INDEX('Saisie'!$AE$5:$AE$2004,_xlfn.MAXIFS('Saisie'!$AS$5:$AS$2004,'Saisie'!$C$5:$C$2004,C55,'Saisie'!$AE$5:$AE$2004,"&lt;&gt;")-4),""))</f>
        <v/>
      </c>
      <c r="AC55" s="60">
        <f>IF(C55="","",IFERROR(INDEX('Saisie'!$AF$5:$AF$2004,_xlfn.MAXIFS('Saisie'!$AS$5:$AS$2004,'Saisie'!$C$5:$C$2004,C55,'Saisie'!$AF$5:$AF$2004,"&lt;&gt;")-4),""))</f>
        <v/>
      </c>
      <c r="AD55" s="108">
        <f>IF(C55="","",IFERROR(INDEX('Saisie'!$AG$5:$AG$2004,_xlfn.MAXIFS('Saisie'!$AS$5:$AS$2004,'Saisie'!$C$5:$C$2004,C55,'Saisie'!$AG$5:$AG$2004,"&lt;&gt;")-4),""))</f>
        <v/>
      </c>
      <c r="AE55" s="60">
        <f>IF(C55="","",IFERROR(INDEX('Saisie'!$AH$5:$AH$2004,_xlfn.MAXIFS('Saisie'!$AS$5:$AS$2004,'Saisie'!$C$5:$C$2004,C55,'Saisie'!$AH$5:$AH$2004,"&lt;&gt;")-4),""))</f>
        <v/>
      </c>
      <c r="AF55" s="60">
        <f>IF(C55="","",IFERROR(INDEX('Saisie'!$AI$5:$AI$2004,_xlfn.MAXIFS('Saisie'!$AS$5:$AS$2004,'Saisie'!$C$5:$C$2004,C55,'Saisie'!$AI$5:$AI$2004,"&lt;&gt;")-4),""))</f>
        <v/>
      </c>
      <c r="AG55" s="60">
        <f>IF(C55="","",IFERROR(INDEX('Saisie'!$AJ$5:$AJ$2004,_xlfn.MAXIFS('Saisie'!$AS$5:$AS$2004,'Saisie'!$C$5:$C$2004,C55,'Saisie'!$AJ$5:$AJ$2004,"&lt;&gt;")-4),""))</f>
        <v/>
      </c>
      <c r="AH55" s="60">
        <f>IF(C55="","",IFERROR(INDEX('Saisie'!$AK$5:$AK$2004,_xlfn.MAXIFS('Saisie'!$AS$5:$AS$2004,'Saisie'!$C$5:$C$2004,C55,'Saisie'!$AK$5:$AK$2004,"&lt;&gt;")-4),""))</f>
        <v/>
      </c>
      <c r="AI55" s="60">
        <f>IF(C55="","",IFERROR(INDEX('Saisie'!$AN$5:$AN$2004,_xlfn.MAXIFS('Saisie'!$AS$5:$AS$2004,'Saisie'!$C$5:$C$2004,C55,'Saisie'!$AN$5:$AN$2004,"&lt;&gt;")-4),""))</f>
        <v/>
      </c>
      <c r="AJ55" s="60">
        <f>IF(C55="","",IFERROR(INDEX('Saisie'!$AO$5:$AO$2004,_xlfn.MAXIFS('Saisie'!$AS$5:$AS$2004,'Saisie'!$C$5:$C$2004,C55,'Saisie'!$AO$5:$AO$2004,"&lt;&gt;")-4),""))</f>
        <v/>
      </c>
      <c r="AK55" s="60">
        <f>IF(C55="","",IFERROR(INDEX('Saisie'!$AP$5:$AP$2004,_xlfn.MAXIFS('Saisie'!$AS$5:$AS$2004,'Saisie'!$C$5:$C$2004,C55,'Saisie'!$AP$5:$AP$2004,"&lt;&gt;")-4),""))</f>
        <v/>
      </c>
      <c r="AL55" s="60">
        <f>IF(C55="","",IFERROR(INDEX('Saisie'!$AQ$5:$AQ$2004,_xlfn.MAXIFS('Saisie'!$AS$5:$AS$2004,'Saisie'!$C$5:$C$2004,C55,'Saisie'!$AQ$5:$AQ$2004,"&lt;&gt;")-4),""))</f>
        <v/>
      </c>
      <c r="AM55" s="60">
        <f>IF(C55="","",((AI55="Oui")+(AJ55="Oui")+(AK55="Oui")+OR(AL55="Immédiat",AL55="&lt; 1 mois"))&amp;"/4")</f>
        <v/>
      </c>
      <c r="AN55" s="60">
        <f>IF(C55="","",IFERROR(INDEX('Saisie'!$AL$5:$AL$2004,_xlfn.MAXIFS('Saisie'!$AS$5:$AS$2004,'Saisie'!$C$5:$C$2004,C55,'Saisie'!$AL$5:$AL$2004,"&lt;&gt;")-4),""))</f>
        <v/>
      </c>
      <c r="AO55" s="62">
        <f>IF(C55="","",IF(IFERROR(INDEX('Saisie'!$AM$5:$AM$2004,_xlfn.MAXIFS('Saisie'!$AS$5:$AS$2004,'Saisie'!$C$5:$C$2004,C55,'Saisie'!$AM$5:$AM$2004,"&lt;&gt;")-4),"")&lt;&gt;"",IFERROR(INDEX('Saisie'!$AM$5:$AM$2004,_xlfn.MAXIFS('Saisie'!$AS$5:$AS$2004,'Saisie'!$C$5:$C$2004,C55,'Saisie'!$AM$5:$AM$2004,"&lt;&gt;")-4),""),IFERROR(INDEX('Paramètres'!$S$6:$S$15,MATCH(AN55,'Paramètres'!$Q$6:$Q$15,0)),"")))</f>
        <v/>
      </c>
      <c r="AP55" s="62">
        <f>IF(C55="","",IFERROR(INDEX('Saisie'!$AW$5:$AW$2004,_xlfn.MAXIFS('Saisie'!$AS$5:$AS$2004,'Saisie'!$C$5:$C$2004,C55,'Saisie'!$E$5:$E$2004,"Proposition envoyée")-4),""))</f>
        <v/>
      </c>
      <c r="AQ55" s="106">
        <f>IF(C55="","",IFERROR(1/(1/_xlfn.MAXIFS('Saisie'!$A$5:$A$2004,'Saisie'!$C$5:$C$2004,C55,'Saisie'!$E$5:$E$2004,"Proposition envoyée")),""))</f>
        <v/>
      </c>
      <c r="AR55" s="106">
        <f>IF(C55="","",IF(AQ55="","",AQ55+'Paramètres'!$B$26))</f>
        <v/>
      </c>
      <c r="AS55" s="62">
        <f>IF(OR(C55="",D55="Gagné",D55="Perdu"),0,N(AP55)*IFERROR(INDEX('Paramètres'!$G$6:$G$13,MATCH(D55,'Paramètres'!$F$6:$F$13,0)),0))</f>
        <v/>
      </c>
      <c r="AT55" s="106">
        <f>IF(C55="","",IFERROR(1/(1/_xlfn.MINIFS('Saisie'!$A$5:$A$2004,'Saisie'!$C$5:$C$2004,C55,'Saisie'!$E$5:$E$2004,"Signature")),""))</f>
        <v/>
      </c>
      <c r="AU55" s="60">
        <f>IF(C55="","",IF(OR(AT55="",B55=""),"",AT55-B55))</f>
        <v/>
      </c>
      <c r="AV55" s="60">
        <f>IF(C55="","",IFERROR(INDEX('Saisie'!$L$5:$L$2004,_xlfn.MAXIFS('Saisie'!$AS$5:$AS$2004,'Saisie'!$C$5:$C$2004,C55,'Saisie'!$L$5:$L$2004,"&lt;&gt;")-4),""))</f>
        <v/>
      </c>
      <c r="AW55" s="106">
        <f>IF(C55="","",IF(D55&lt;&gt;"Perdu","",IFERROR(1/(1/_xlfn.MAXIFS('Saisie'!$A$5:$A$2004,'Saisie'!$C$5:$C$2004,C55,'Saisie'!$E$5:$E$2004,"Perdu")),"")))</f>
        <v/>
      </c>
      <c r="AX55" s="106">
        <f>IF(C55="","",IF(AW55="","",AW55+'Paramètres'!$B$28))</f>
        <v/>
      </c>
      <c r="AY55" s="60">
        <f>IF(C55="","",SUMIFS('Saisie'!$H$5:$H$2004,'Saisie'!$C$5:$C$2004,C55))</f>
        <v/>
      </c>
      <c r="AZ55" s="60">
        <f>IF(C55="","",IFERROR(INDEX('Paramètres'!$W$6:$W$20,MATCH(S55,'Paramètres'!$V$6:$V$20,0))&amp;"",""))</f>
        <v/>
      </c>
      <c r="BA55" s="60">
        <f>IF(C55="","",MAX(1,_xlfn.MAXIFS('Saisie'!$AT$5:$AT$2004,'Saisie'!$C$5:$C$2004,C55)))</f>
        <v/>
      </c>
      <c r="BB55" s="60">
        <f>IF(C55="","",IFERROR(INDEX('Saisie'!$X$5:$X$2004,_xlfn.MAXIFS('Saisie'!$AS$5:$AS$2004,'Saisie'!$C$5:$C$2004,C55,'Saisie'!$X$5:$X$2004,"&lt;&gt;")-4),""))</f>
        <v/>
      </c>
      <c r="BC55" s="60">
        <f>IF(C55="","",IFERROR(INDEX('Saisie'!$Y$5:$Y$2004,_xlfn.MAXIFS('Saisie'!$AS$5:$AS$2004,'Saisie'!$C$5:$C$2004,C55,'Saisie'!$Y$5:$Y$2004,"&lt;&gt;")-4),""))</f>
        <v/>
      </c>
      <c r="BD55" s="106">
        <f>IF(C55="","",IFERROR(1/(1/_xlfn.MINIFS('Saisie'!$A$5:$A$2004,'Saisie'!$C$5:$C$2004,C55,'Saisie'!$AT$5:$AT$2004,"&gt;=2")),""))</f>
        <v/>
      </c>
      <c r="BE55" s="106">
        <f>IF(C55="","",IFERROR(1/(1/_xlfn.MINIFS('Saisie'!$A$5:$A$2004,'Saisie'!$C$5:$C$2004,C55,'Saisie'!$AT$5:$AT$2004,"&gt;=3")),""))</f>
        <v/>
      </c>
      <c r="BF55" s="106">
        <f>IF(C55="","",IFERROR(1/(1/_xlfn.MINIFS('Saisie'!$A$5:$A$2004,'Saisie'!$C$5:$C$2004,C55,'Saisie'!$AT$5:$AT$2004,"&gt;=4")),""))</f>
        <v/>
      </c>
      <c r="BG55" s="106">
        <f>IF(C55="","",IFERROR(1/(1/_xlfn.MINIFS('Saisie'!$A$5:$A$2004,'Saisie'!$C$5:$C$2004,C55,'Saisie'!$AT$5:$AT$2004,"&gt;=5")),""))</f>
        <v/>
      </c>
      <c r="BH55" s="106">
        <f>IF(C55="","",IFERROR(1/(1/_xlfn.MINIFS('Saisie'!$A$5:$A$2004,'Saisie'!$C$5:$C$2004,C55,'Saisie'!$AT$5:$AT$2004,"&gt;=6")),""))</f>
        <v/>
      </c>
      <c r="BI55" s="106">
        <f>IF(C55="","",IFERROR(1/(1/_xlfn.MINIFS('Saisie'!$A$5:$A$2004,'Saisie'!$C$5:$C$2004,C55,'Saisie'!$AT$5:$AT$2004,"&gt;=7")),""))</f>
        <v/>
      </c>
      <c r="BJ55" s="60">
        <f>IF(OR(BD55="",B55=""),"",BD55-B55)</f>
        <v/>
      </c>
      <c r="BK55" s="60">
        <f>IF(OR(BE55="",BD55=""),"",BE55-BD55)</f>
        <v/>
      </c>
      <c r="BL55" s="60">
        <f>IF(OR(BF55="",BE55=""),"",BF55-BE55)</f>
        <v/>
      </c>
      <c r="BM55" s="60">
        <f>IF(OR(BG55="",BF55=""),"",BG55-BF55)</f>
        <v/>
      </c>
      <c r="BN55" s="60">
        <f>IF(OR(BH55="",BG55=""),"",BH55-BG55)</f>
        <v/>
      </c>
      <c r="BO55" s="60">
        <f>IF(OR(BI55="",BH55=""),"",BI55-BH55)</f>
        <v/>
      </c>
      <c r="BP55" s="60">
        <f>IF(C55="","",_xlfn.MAXIFS('Saisie'!$AS$5:$AS$2004,'Saisie'!$C$5:$C$2004,C55,'Saisie'!$J$5:$J$2004,"&lt;&gt;"))</f>
        <v/>
      </c>
      <c r="BQ55" s="60">
        <f>IF(C55="","",_xlfn.MAXIFS('Saisie'!$AS$5:$AS$2004,'Saisie'!$C$5:$C$2004,C55))</f>
        <v/>
      </c>
      <c r="BR55" s="60">
        <f>IF(C55="","",_xlfn.MAXIFS('Saisie'!$AS$5:$AS$2004,'Saisie'!$C$5:$C$2004,C55,'Saisie'!$E$5:$E$2004,"Perdu"))</f>
        <v/>
      </c>
      <c r="BS55" s="60">
        <f>IF(C55="","",_xlfn.MAXIFS('Saisie'!$AS$5:$AS$2004,'Saisie'!$C$5:$C$2004,C55,'Saisie'!$AT$5:$AT$2004,"&gt;0"))</f>
        <v/>
      </c>
      <c r="BT55" s="109">
        <f>IF(AND(C55&lt;&gt;"",OR(D55="Nouveau",D55="Contacté",D55="Qualifié"),OR(G55="",N(G55)&lt;=TODAY()),NOT(AND(O55&gt;='Paramètres'!$B$21,P55=0))),E55+51/10000,"")</f>
        <v/>
      </c>
      <c r="BU55" s="60">
        <f>IF(AND(G55&lt;&gt;"",N(G55)&lt;=TODAY()),MAX($BU$4:BU54)+1,"")</f>
        <v/>
      </c>
      <c r="BV55" s="60">
        <f>IF(AND(F55&lt;&gt;"",F55&lt;&gt;"Relance en retard"),MAX($BV$4:BV54)+1,"")</f>
        <v/>
      </c>
      <c r="BW55" s="60">
        <f>IF(C55="","",IF(AND(B55&gt;='Tableau de bord'!$R$4,B55&lt;='Tableau de bord'!$S$4,OR('Tableau de bord'!$G$4="Tous",N55='Tableau de bord'!$G$4)),1,0))</f>
        <v/>
      </c>
      <c r="BX55" s="60">
        <f>IF(AND(C55&lt;&gt;"",N(BA55)=7),MAX($BX$4:BX54)+1,"")</f>
        <v/>
      </c>
    </row>
    <row r="56">
      <c r="A56" s="60">
        <f>IF(C56="","","P-"&amp;TEXT(52,"000"))</f>
        <v/>
      </c>
      <c r="B56" s="106">
        <f>IF(C56="","",IFERROR(1/(1/_xlfn.MINIFS('Saisie'!$A$5:$A$2004,'Saisie'!$C$5:$C$2004,C56)),""))</f>
        <v/>
      </c>
      <c r="C56" s="60">
        <f>IFERROR(INDEX('Saisie'!$C$5:$C$2004,MATCH(52,'Saisie'!$AX$5:$AX$2004,0)),"")</f>
        <v/>
      </c>
      <c r="D56" s="60">
        <f>IF(C56="","",IF(AND(BR56&gt;0,BR56&gt;BS56,BA56&lt;7),"Perdu",INDEX('Paramètres'!$F$6:$F$13,BA56)))</f>
        <v/>
      </c>
      <c r="E56" s="61">
        <f>IF(C56="","",MIN(100,(Z56="Oui")*'Paramètres'!$B$38+(AB56="Régulière")*'Paramètres'!$B$39+IF(AND(N(AA56)&gt;0,TODAY()-N(AA56)&lt;=30),'Paramètres'!$B$40,0)+(W56="")*'Paramètres'!$B$41+(AC56="Absente")*'Paramètres'!$B$42+(AC56="Faible")*'Paramètres'!$B$43+IF(AND(N(AD56)&gt;0,N(AD56)&lt;4),'Paramètres'!$B$44,0)+(AF56="Moyenne")*'Paramètres'!$B$45+(AF56="Grande")*'Paramètres'!$B$46+(Y56&lt;&gt;"")*'Paramètres'!$B$47))</f>
        <v/>
      </c>
      <c r="F56" s="60">
        <f>IF(C56="","",IF(D56="Gagné","",IF(D56="Perdu",IF(AND(AX56&lt;&gt;"",AX56&lt;=TODAY()),"À recontacter (perdu)",""),IF(AND(O56&gt;='Paramètres'!$B$21,P56=0),"Stop : "&amp;'Paramètres'!$B$21&amp;" tentatives sans réponse",IF(AND(D56="Proposition",AR56&lt;&gt;"",TODAY()&gt;N(AR56)),"Proposition expirée",IF(AND(D56="Proposition",N(R56)&gt;='Paramètres'!$B$25),"Proposition sans réponse",IF(AND(G56&lt;&gt;"",N(G56)&lt;TODAY()),"Relance en retard",IF(N(R56)&gt;='Paramètres'!$B$24,"Sans action depuis "&amp;R56&amp;" j",""))))))))</f>
        <v/>
      </c>
      <c r="G56" s="106">
        <f>IF(OR(C56="",D56="Gagné",D56="Perdu"),"",IF(AND(BP56&gt;0,BP56=BQ56),INDEX('Saisie'!$J$5:$J$2004,BP56-4),IF(OR(O56=0,AND(O56&gt;='Paramètres'!$B$21,P56=0)),"",Q56+IF(O56&lt;=1,'Paramètres'!$B$18,IF(O56=2,'Paramètres'!$B$19,'Paramètres'!$B$20)))))</f>
        <v/>
      </c>
      <c r="H56" s="107">
        <f>IF(OR(G56="",BP56&lt;&gt;BQ56),"",IF(INDEX('Saisie'!$K$5:$K$2004,BP56-4)="","",INDEX('Saisie'!$K$5:$K$2004,BP56-4)))</f>
        <v/>
      </c>
      <c r="I56" s="60">
        <f>IF(C56="","",IF(OR(D56="Gagné",D56="Perdu"),"",IFERROR(INDEX('Saisie'!$I$5:$I$2004,_xlfn.MAXIFS('Saisie'!$AS$5:$AS$2004,'Saisie'!$C$5:$C$2004,C56,'Saisie'!$I$5:$I$2004,"&lt;&gt;")-4),"")))</f>
        <v/>
      </c>
      <c r="J56" s="60">
        <f>IF(C56="","",IFERROR(INDEX('Saisie'!$U$5:$U$2004,_xlfn.MAXIFS('Saisie'!$AS$5:$AS$2004,'Saisie'!$C$5:$C$2004,C56,'Saisie'!$U$5:$U$2004,"&lt;&gt;")-4),""))</f>
        <v/>
      </c>
      <c r="K56" s="60">
        <f>IF(C56="","",IFERROR(INDEX('Saisie'!$W$5:$W$2004,_xlfn.MAXIFS('Saisie'!$AS$5:$AS$2004,'Saisie'!$C$5:$C$2004,C56,'Saisie'!$W$5:$W$2004,"&lt;&gt;")-4),""))</f>
        <v/>
      </c>
      <c r="L56" s="60">
        <f>IF(IF(BB56&lt;&gt;"",BB56,K56)="","",HYPERLINK("https://wa.me/"&amp;IF(LEFT(SUBSTITUTE(SUBSTITUTE(SUBSTITUTE(IF(BB56&lt;&gt;"",BB56,K56)," ",""),".",""),"+",""),1)="0",'Paramètres'!$B$35&amp;MID(SUBSTITUTE(SUBSTITUTE(SUBSTITUTE(IF(BB56&lt;&gt;"",BB56,K56)," ",""),".",""),"+",""),2,20),SUBSTITUTE(SUBSTITUTE(SUBSTITUTE(IF(BB56&lt;&gt;"",BB56,K56)," ",""),".",""),"+","")),"WhatsApp"))</f>
        <v/>
      </c>
      <c r="M56" s="60">
        <f>IF(BC56="","",HYPERLINK(IF(LEFT(BC56,4)="http",BC56,"https://www.instagram.com/"&amp;SUBSTITUTE(SUBSTITUTE(BC56,"@","")," ","")),BC56))</f>
        <v/>
      </c>
      <c r="N56" s="60">
        <f>IF(C56="","",IFERROR(INDEX('Saisie'!$D$5:$D$2004,_xlfn.MINIFS('Saisie'!$AS$5:$AS$2004,'Saisie'!$C$5:$C$2004,C56,'Saisie'!$AU$5:$AU$2004,1)-4),IFERROR(INDEX('Saisie'!$D$5:$D$2004,_xlfn.MINIFS('Saisie'!$AS$5:$AS$2004,'Saisie'!$C$5:$C$2004,C56,'Saisie'!$D$5:$D$2004,"&lt;&gt;")-4),"")))</f>
        <v/>
      </c>
      <c r="O56" s="60">
        <f>IF(C56="","",COUNTIFS('Saisie'!$C$5:$C$2004,C56,'Saisie'!$AU$5:$AU$2004,1))</f>
        <v/>
      </c>
      <c r="P56" s="60">
        <f>IF(C56="","",COUNTIFS('Saisie'!$C$5:$C$2004,C56,'Saisie'!$AV$5:$AV$2004,1))</f>
        <v/>
      </c>
      <c r="Q56" s="106">
        <f>IF(C56="","",IFERROR(1/(1/_xlfn.MAXIFS('Saisie'!$A$5:$A$2004,'Saisie'!$C$5:$C$2004,C56)),""))</f>
        <v/>
      </c>
      <c r="R56" s="61">
        <f>IF(C56="","",IF(Q56="","",TODAY()-Q56))</f>
        <v/>
      </c>
      <c r="S56" s="60">
        <f>IF(C56="","",IFERROR(INDEX('Saisie'!$R$5:$R$2004,_xlfn.MAXIFS('Saisie'!$AS$5:$AS$2004,'Saisie'!$C$5:$C$2004,C56,'Saisie'!$R$5:$R$2004,"&lt;&gt;")-4),""))</f>
        <v/>
      </c>
      <c r="T56" s="60">
        <f>IF(C56="","",IFERROR(INDEX('Saisie'!$S$5:$S$2004,_xlfn.MAXIFS('Saisie'!$AS$5:$AS$2004,'Saisie'!$C$5:$C$2004,C56,'Saisie'!$S$5:$S$2004,"&lt;&gt;")-4),""))</f>
        <v/>
      </c>
      <c r="U56" s="60">
        <f>IF(C56="","",IFERROR(INDEX('Saisie'!$T$5:$T$2004,_xlfn.MAXIFS('Saisie'!$AS$5:$AS$2004,'Saisie'!$C$5:$C$2004,C56,'Saisie'!$T$5:$T$2004,"&lt;&gt;")-4),""))</f>
        <v/>
      </c>
      <c r="V56" s="60">
        <f>IF(C56="","",IFERROR(INDEX('Saisie'!$V$5:$V$2004,_xlfn.MAXIFS('Saisie'!$AS$5:$AS$2004,'Saisie'!$C$5:$C$2004,C56,'Saisie'!$V$5:$V$2004,"&lt;&gt;")-4),""))</f>
        <v/>
      </c>
      <c r="W56" s="60">
        <f>IF(C56="","",IFERROR(INDEX('Saisie'!$Z$5:$Z$2004,_xlfn.MAXIFS('Saisie'!$AS$5:$AS$2004,'Saisie'!$C$5:$C$2004,C56,'Saisie'!$Z$5:$Z$2004,"&lt;&gt;")-4),""))</f>
        <v/>
      </c>
      <c r="X56" s="60">
        <f>IF(C56="","",IFERROR(INDEX('Saisie'!$AA$5:$AA$2004,_xlfn.MAXIFS('Saisie'!$AS$5:$AS$2004,'Saisie'!$C$5:$C$2004,C56,'Saisie'!$AA$5:$AA$2004,"&lt;&gt;")-4),""))</f>
        <v/>
      </c>
      <c r="Y56" s="60">
        <f>IF(C56="","",IFERROR(INDEX('Saisie'!$AB$5:$AB$2004,_xlfn.MAXIFS('Saisie'!$AS$5:$AS$2004,'Saisie'!$C$5:$C$2004,C56,'Saisie'!$AB$5:$AB$2004,"&lt;&gt;")-4),""))</f>
        <v/>
      </c>
      <c r="Z56" s="60">
        <f>IF(C56="","",IFERROR(INDEX('Saisie'!$AC$5:$AC$2004,_xlfn.MAXIFS('Saisie'!$AS$5:$AS$2004,'Saisie'!$C$5:$C$2004,C56,'Saisie'!$AC$5:$AC$2004,"&lt;&gt;")-4),""))</f>
        <v/>
      </c>
      <c r="AA56" s="106">
        <f>IF(C56="","",IFERROR(INDEX('Saisie'!$AD$5:$AD$2004,_xlfn.MAXIFS('Saisie'!$AS$5:$AS$2004,'Saisie'!$C$5:$C$2004,C56,'Saisie'!$AD$5:$AD$2004,"&lt;&gt;")-4),""))</f>
        <v/>
      </c>
      <c r="AB56" s="60">
        <f>IF(C56="","",IFERROR(INDEX('Saisie'!$AE$5:$AE$2004,_xlfn.MAXIFS('Saisie'!$AS$5:$AS$2004,'Saisie'!$C$5:$C$2004,C56,'Saisie'!$AE$5:$AE$2004,"&lt;&gt;")-4),""))</f>
        <v/>
      </c>
      <c r="AC56" s="60">
        <f>IF(C56="","",IFERROR(INDEX('Saisie'!$AF$5:$AF$2004,_xlfn.MAXIFS('Saisie'!$AS$5:$AS$2004,'Saisie'!$C$5:$C$2004,C56,'Saisie'!$AF$5:$AF$2004,"&lt;&gt;")-4),""))</f>
        <v/>
      </c>
      <c r="AD56" s="108">
        <f>IF(C56="","",IFERROR(INDEX('Saisie'!$AG$5:$AG$2004,_xlfn.MAXIFS('Saisie'!$AS$5:$AS$2004,'Saisie'!$C$5:$C$2004,C56,'Saisie'!$AG$5:$AG$2004,"&lt;&gt;")-4),""))</f>
        <v/>
      </c>
      <c r="AE56" s="60">
        <f>IF(C56="","",IFERROR(INDEX('Saisie'!$AH$5:$AH$2004,_xlfn.MAXIFS('Saisie'!$AS$5:$AS$2004,'Saisie'!$C$5:$C$2004,C56,'Saisie'!$AH$5:$AH$2004,"&lt;&gt;")-4),""))</f>
        <v/>
      </c>
      <c r="AF56" s="60">
        <f>IF(C56="","",IFERROR(INDEX('Saisie'!$AI$5:$AI$2004,_xlfn.MAXIFS('Saisie'!$AS$5:$AS$2004,'Saisie'!$C$5:$C$2004,C56,'Saisie'!$AI$5:$AI$2004,"&lt;&gt;")-4),""))</f>
        <v/>
      </c>
      <c r="AG56" s="60">
        <f>IF(C56="","",IFERROR(INDEX('Saisie'!$AJ$5:$AJ$2004,_xlfn.MAXIFS('Saisie'!$AS$5:$AS$2004,'Saisie'!$C$5:$C$2004,C56,'Saisie'!$AJ$5:$AJ$2004,"&lt;&gt;")-4),""))</f>
        <v/>
      </c>
      <c r="AH56" s="60">
        <f>IF(C56="","",IFERROR(INDEX('Saisie'!$AK$5:$AK$2004,_xlfn.MAXIFS('Saisie'!$AS$5:$AS$2004,'Saisie'!$C$5:$C$2004,C56,'Saisie'!$AK$5:$AK$2004,"&lt;&gt;")-4),""))</f>
        <v/>
      </c>
      <c r="AI56" s="60">
        <f>IF(C56="","",IFERROR(INDEX('Saisie'!$AN$5:$AN$2004,_xlfn.MAXIFS('Saisie'!$AS$5:$AS$2004,'Saisie'!$C$5:$C$2004,C56,'Saisie'!$AN$5:$AN$2004,"&lt;&gt;")-4),""))</f>
        <v/>
      </c>
      <c r="AJ56" s="60">
        <f>IF(C56="","",IFERROR(INDEX('Saisie'!$AO$5:$AO$2004,_xlfn.MAXIFS('Saisie'!$AS$5:$AS$2004,'Saisie'!$C$5:$C$2004,C56,'Saisie'!$AO$5:$AO$2004,"&lt;&gt;")-4),""))</f>
        <v/>
      </c>
      <c r="AK56" s="60">
        <f>IF(C56="","",IFERROR(INDEX('Saisie'!$AP$5:$AP$2004,_xlfn.MAXIFS('Saisie'!$AS$5:$AS$2004,'Saisie'!$C$5:$C$2004,C56,'Saisie'!$AP$5:$AP$2004,"&lt;&gt;")-4),""))</f>
        <v/>
      </c>
      <c r="AL56" s="60">
        <f>IF(C56="","",IFERROR(INDEX('Saisie'!$AQ$5:$AQ$2004,_xlfn.MAXIFS('Saisie'!$AS$5:$AS$2004,'Saisie'!$C$5:$C$2004,C56,'Saisie'!$AQ$5:$AQ$2004,"&lt;&gt;")-4),""))</f>
        <v/>
      </c>
      <c r="AM56" s="60">
        <f>IF(C56="","",((AI56="Oui")+(AJ56="Oui")+(AK56="Oui")+OR(AL56="Immédiat",AL56="&lt; 1 mois"))&amp;"/4")</f>
        <v/>
      </c>
      <c r="AN56" s="60">
        <f>IF(C56="","",IFERROR(INDEX('Saisie'!$AL$5:$AL$2004,_xlfn.MAXIFS('Saisie'!$AS$5:$AS$2004,'Saisie'!$C$5:$C$2004,C56,'Saisie'!$AL$5:$AL$2004,"&lt;&gt;")-4),""))</f>
        <v/>
      </c>
      <c r="AO56" s="62">
        <f>IF(C56="","",IF(IFERROR(INDEX('Saisie'!$AM$5:$AM$2004,_xlfn.MAXIFS('Saisie'!$AS$5:$AS$2004,'Saisie'!$C$5:$C$2004,C56,'Saisie'!$AM$5:$AM$2004,"&lt;&gt;")-4),"")&lt;&gt;"",IFERROR(INDEX('Saisie'!$AM$5:$AM$2004,_xlfn.MAXIFS('Saisie'!$AS$5:$AS$2004,'Saisie'!$C$5:$C$2004,C56,'Saisie'!$AM$5:$AM$2004,"&lt;&gt;")-4),""),IFERROR(INDEX('Paramètres'!$S$6:$S$15,MATCH(AN56,'Paramètres'!$Q$6:$Q$15,0)),"")))</f>
        <v/>
      </c>
      <c r="AP56" s="62">
        <f>IF(C56="","",IFERROR(INDEX('Saisie'!$AW$5:$AW$2004,_xlfn.MAXIFS('Saisie'!$AS$5:$AS$2004,'Saisie'!$C$5:$C$2004,C56,'Saisie'!$E$5:$E$2004,"Proposition envoyée")-4),""))</f>
        <v/>
      </c>
      <c r="AQ56" s="106">
        <f>IF(C56="","",IFERROR(1/(1/_xlfn.MAXIFS('Saisie'!$A$5:$A$2004,'Saisie'!$C$5:$C$2004,C56,'Saisie'!$E$5:$E$2004,"Proposition envoyée")),""))</f>
        <v/>
      </c>
      <c r="AR56" s="106">
        <f>IF(C56="","",IF(AQ56="","",AQ56+'Paramètres'!$B$26))</f>
        <v/>
      </c>
      <c r="AS56" s="62">
        <f>IF(OR(C56="",D56="Gagné",D56="Perdu"),0,N(AP56)*IFERROR(INDEX('Paramètres'!$G$6:$G$13,MATCH(D56,'Paramètres'!$F$6:$F$13,0)),0))</f>
        <v/>
      </c>
      <c r="AT56" s="106">
        <f>IF(C56="","",IFERROR(1/(1/_xlfn.MINIFS('Saisie'!$A$5:$A$2004,'Saisie'!$C$5:$C$2004,C56,'Saisie'!$E$5:$E$2004,"Signature")),""))</f>
        <v/>
      </c>
      <c r="AU56" s="60">
        <f>IF(C56="","",IF(OR(AT56="",B56=""),"",AT56-B56))</f>
        <v/>
      </c>
      <c r="AV56" s="60">
        <f>IF(C56="","",IFERROR(INDEX('Saisie'!$L$5:$L$2004,_xlfn.MAXIFS('Saisie'!$AS$5:$AS$2004,'Saisie'!$C$5:$C$2004,C56,'Saisie'!$L$5:$L$2004,"&lt;&gt;")-4),""))</f>
        <v/>
      </c>
      <c r="AW56" s="106">
        <f>IF(C56="","",IF(D56&lt;&gt;"Perdu","",IFERROR(1/(1/_xlfn.MAXIFS('Saisie'!$A$5:$A$2004,'Saisie'!$C$5:$C$2004,C56,'Saisie'!$E$5:$E$2004,"Perdu")),"")))</f>
        <v/>
      </c>
      <c r="AX56" s="106">
        <f>IF(C56="","",IF(AW56="","",AW56+'Paramètres'!$B$28))</f>
        <v/>
      </c>
      <c r="AY56" s="60">
        <f>IF(C56="","",SUMIFS('Saisie'!$H$5:$H$2004,'Saisie'!$C$5:$C$2004,C56))</f>
        <v/>
      </c>
      <c r="AZ56" s="60">
        <f>IF(C56="","",IFERROR(INDEX('Paramètres'!$W$6:$W$20,MATCH(S56,'Paramètres'!$V$6:$V$20,0))&amp;"",""))</f>
        <v/>
      </c>
      <c r="BA56" s="60">
        <f>IF(C56="","",MAX(1,_xlfn.MAXIFS('Saisie'!$AT$5:$AT$2004,'Saisie'!$C$5:$C$2004,C56)))</f>
        <v/>
      </c>
      <c r="BB56" s="60">
        <f>IF(C56="","",IFERROR(INDEX('Saisie'!$X$5:$X$2004,_xlfn.MAXIFS('Saisie'!$AS$5:$AS$2004,'Saisie'!$C$5:$C$2004,C56,'Saisie'!$X$5:$X$2004,"&lt;&gt;")-4),""))</f>
        <v/>
      </c>
      <c r="BC56" s="60">
        <f>IF(C56="","",IFERROR(INDEX('Saisie'!$Y$5:$Y$2004,_xlfn.MAXIFS('Saisie'!$AS$5:$AS$2004,'Saisie'!$C$5:$C$2004,C56,'Saisie'!$Y$5:$Y$2004,"&lt;&gt;")-4),""))</f>
        <v/>
      </c>
      <c r="BD56" s="106">
        <f>IF(C56="","",IFERROR(1/(1/_xlfn.MINIFS('Saisie'!$A$5:$A$2004,'Saisie'!$C$5:$C$2004,C56,'Saisie'!$AT$5:$AT$2004,"&gt;=2")),""))</f>
        <v/>
      </c>
      <c r="BE56" s="106">
        <f>IF(C56="","",IFERROR(1/(1/_xlfn.MINIFS('Saisie'!$A$5:$A$2004,'Saisie'!$C$5:$C$2004,C56,'Saisie'!$AT$5:$AT$2004,"&gt;=3")),""))</f>
        <v/>
      </c>
      <c r="BF56" s="106">
        <f>IF(C56="","",IFERROR(1/(1/_xlfn.MINIFS('Saisie'!$A$5:$A$2004,'Saisie'!$C$5:$C$2004,C56,'Saisie'!$AT$5:$AT$2004,"&gt;=4")),""))</f>
        <v/>
      </c>
      <c r="BG56" s="106">
        <f>IF(C56="","",IFERROR(1/(1/_xlfn.MINIFS('Saisie'!$A$5:$A$2004,'Saisie'!$C$5:$C$2004,C56,'Saisie'!$AT$5:$AT$2004,"&gt;=5")),""))</f>
        <v/>
      </c>
      <c r="BH56" s="106">
        <f>IF(C56="","",IFERROR(1/(1/_xlfn.MINIFS('Saisie'!$A$5:$A$2004,'Saisie'!$C$5:$C$2004,C56,'Saisie'!$AT$5:$AT$2004,"&gt;=6")),""))</f>
        <v/>
      </c>
      <c r="BI56" s="106">
        <f>IF(C56="","",IFERROR(1/(1/_xlfn.MINIFS('Saisie'!$A$5:$A$2004,'Saisie'!$C$5:$C$2004,C56,'Saisie'!$AT$5:$AT$2004,"&gt;=7")),""))</f>
        <v/>
      </c>
      <c r="BJ56" s="60">
        <f>IF(OR(BD56="",B56=""),"",BD56-B56)</f>
        <v/>
      </c>
      <c r="BK56" s="60">
        <f>IF(OR(BE56="",BD56=""),"",BE56-BD56)</f>
        <v/>
      </c>
      <c r="BL56" s="60">
        <f>IF(OR(BF56="",BE56=""),"",BF56-BE56)</f>
        <v/>
      </c>
      <c r="BM56" s="60">
        <f>IF(OR(BG56="",BF56=""),"",BG56-BF56)</f>
        <v/>
      </c>
      <c r="BN56" s="60">
        <f>IF(OR(BH56="",BG56=""),"",BH56-BG56)</f>
        <v/>
      </c>
      <c r="BO56" s="60">
        <f>IF(OR(BI56="",BH56=""),"",BI56-BH56)</f>
        <v/>
      </c>
      <c r="BP56" s="60">
        <f>IF(C56="","",_xlfn.MAXIFS('Saisie'!$AS$5:$AS$2004,'Saisie'!$C$5:$C$2004,C56,'Saisie'!$J$5:$J$2004,"&lt;&gt;"))</f>
        <v/>
      </c>
      <c r="BQ56" s="60">
        <f>IF(C56="","",_xlfn.MAXIFS('Saisie'!$AS$5:$AS$2004,'Saisie'!$C$5:$C$2004,C56))</f>
        <v/>
      </c>
      <c r="BR56" s="60">
        <f>IF(C56="","",_xlfn.MAXIFS('Saisie'!$AS$5:$AS$2004,'Saisie'!$C$5:$C$2004,C56,'Saisie'!$E$5:$E$2004,"Perdu"))</f>
        <v/>
      </c>
      <c r="BS56" s="60">
        <f>IF(C56="","",_xlfn.MAXIFS('Saisie'!$AS$5:$AS$2004,'Saisie'!$C$5:$C$2004,C56,'Saisie'!$AT$5:$AT$2004,"&gt;0"))</f>
        <v/>
      </c>
      <c r="BT56" s="109">
        <f>IF(AND(C56&lt;&gt;"",OR(D56="Nouveau",D56="Contacté",D56="Qualifié"),OR(G56="",N(G56)&lt;=TODAY()),NOT(AND(O56&gt;='Paramètres'!$B$21,P56=0))),E56+52/10000,"")</f>
        <v/>
      </c>
      <c r="BU56" s="60">
        <f>IF(AND(G56&lt;&gt;"",N(G56)&lt;=TODAY()),MAX($BU$4:BU55)+1,"")</f>
        <v/>
      </c>
      <c r="BV56" s="60">
        <f>IF(AND(F56&lt;&gt;"",F56&lt;&gt;"Relance en retard"),MAX($BV$4:BV55)+1,"")</f>
        <v/>
      </c>
      <c r="BW56" s="60">
        <f>IF(C56="","",IF(AND(B56&gt;='Tableau de bord'!$R$4,B56&lt;='Tableau de bord'!$S$4,OR('Tableau de bord'!$G$4="Tous",N56='Tableau de bord'!$G$4)),1,0))</f>
        <v/>
      </c>
      <c r="BX56" s="60">
        <f>IF(AND(C56&lt;&gt;"",N(BA56)=7),MAX($BX$4:BX55)+1,"")</f>
        <v/>
      </c>
    </row>
    <row r="57">
      <c r="A57" s="60">
        <f>IF(C57="","","P-"&amp;TEXT(53,"000"))</f>
        <v/>
      </c>
      <c r="B57" s="106">
        <f>IF(C57="","",IFERROR(1/(1/_xlfn.MINIFS('Saisie'!$A$5:$A$2004,'Saisie'!$C$5:$C$2004,C57)),""))</f>
        <v/>
      </c>
      <c r="C57" s="60">
        <f>IFERROR(INDEX('Saisie'!$C$5:$C$2004,MATCH(53,'Saisie'!$AX$5:$AX$2004,0)),"")</f>
        <v/>
      </c>
      <c r="D57" s="60">
        <f>IF(C57="","",IF(AND(BR57&gt;0,BR57&gt;BS57,BA57&lt;7),"Perdu",INDEX('Paramètres'!$F$6:$F$13,BA57)))</f>
        <v/>
      </c>
      <c r="E57" s="61">
        <f>IF(C57="","",MIN(100,(Z57="Oui")*'Paramètres'!$B$38+(AB57="Régulière")*'Paramètres'!$B$39+IF(AND(N(AA57)&gt;0,TODAY()-N(AA57)&lt;=30),'Paramètres'!$B$40,0)+(W57="")*'Paramètres'!$B$41+(AC57="Absente")*'Paramètres'!$B$42+(AC57="Faible")*'Paramètres'!$B$43+IF(AND(N(AD57)&gt;0,N(AD57)&lt;4),'Paramètres'!$B$44,0)+(AF57="Moyenne")*'Paramètres'!$B$45+(AF57="Grande")*'Paramètres'!$B$46+(Y57&lt;&gt;"")*'Paramètres'!$B$47))</f>
        <v/>
      </c>
      <c r="F57" s="60">
        <f>IF(C57="","",IF(D57="Gagné","",IF(D57="Perdu",IF(AND(AX57&lt;&gt;"",AX57&lt;=TODAY()),"À recontacter (perdu)",""),IF(AND(O57&gt;='Paramètres'!$B$21,P57=0),"Stop : "&amp;'Paramètres'!$B$21&amp;" tentatives sans réponse",IF(AND(D57="Proposition",AR57&lt;&gt;"",TODAY()&gt;N(AR57)),"Proposition expirée",IF(AND(D57="Proposition",N(R57)&gt;='Paramètres'!$B$25),"Proposition sans réponse",IF(AND(G57&lt;&gt;"",N(G57)&lt;TODAY()),"Relance en retard",IF(N(R57)&gt;='Paramètres'!$B$24,"Sans action depuis "&amp;R57&amp;" j",""))))))))</f>
        <v/>
      </c>
      <c r="G57" s="106">
        <f>IF(OR(C57="",D57="Gagné",D57="Perdu"),"",IF(AND(BP57&gt;0,BP57=BQ57),INDEX('Saisie'!$J$5:$J$2004,BP57-4),IF(OR(O57=0,AND(O57&gt;='Paramètres'!$B$21,P57=0)),"",Q57+IF(O57&lt;=1,'Paramètres'!$B$18,IF(O57=2,'Paramètres'!$B$19,'Paramètres'!$B$20)))))</f>
        <v/>
      </c>
      <c r="H57" s="107">
        <f>IF(OR(G57="",BP57&lt;&gt;BQ57),"",IF(INDEX('Saisie'!$K$5:$K$2004,BP57-4)="","",INDEX('Saisie'!$K$5:$K$2004,BP57-4)))</f>
        <v/>
      </c>
      <c r="I57" s="60">
        <f>IF(C57="","",IF(OR(D57="Gagné",D57="Perdu"),"",IFERROR(INDEX('Saisie'!$I$5:$I$2004,_xlfn.MAXIFS('Saisie'!$AS$5:$AS$2004,'Saisie'!$C$5:$C$2004,C57,'Saisie'!$I$5:$I$2004,"&lt;&gt;")-4),"")))</f>
        <v/>
      </c>
      <c r="J57" s="60">
        <f>IF(C57="","",IFERROR(INDEX('Saisie'!$U$5:$U$2004,_xlfn.MAXIFS('Saisie'!$AS$5:$AS$2004,'Saisie'!$C$5:$C$2004,C57,'Saisie'!$U$5:$U$2004,"&lt;&gt;")-4),""))</f>
        <v/>
      </c>
      <c r="K57" s="60">
        <f>IF(C57="","",IFERROR(INDEX('Saisie'!$W$5:$W$2004,_xlfn.MAXIFS('Saisie'!$AS$5:$AS$2004,'Saisie'!$C$5:$C$2004,C57,'Saisie'!$W$5:$W$2004,"&lt;&gt;")-4),""))</f>
        <v/>
      </c>
      <c r="L57" s="60">
        <f>IF(IF(BB57&lt;&gt;"",BB57,K57)="","",HYPERLINK("https://wa.me/"&amp;IF(LEFT(SUBSTITUTE(SUBSTITUTE(SUBSTITUTE(IF(BB57&lt;&gt;"",BB57,K57)," ",""),".",""),"+",""),1)="0",'Paramètres'!$B$35&amp;MID(SUBSTITUTE(SUBSTITUTE(SUBSTITUTE(IF(BB57&lt;&gt;"",BB57,K57)," ",""),".",""),"+",""),2,20),SUBSTITUTE(SUBSTITUTE(SUBSTITUTE(IF(BB57&lt;&gt;"",BB57,K57)," ",""),".",""),"+","")),"WhatsApp"))</f>
        <v/>
      </c>
      <c r="M57" s="60">
        <f>IF(BC57="","",HYPERLINK(IF(LEFT(BC57,4)="http",BC57,"https://www.instagram.com/"&amp;SUBSTITUTE(SUBSTITUTE(BC57,"@","")," ","")),BC57))</f>
        <v/>
      </c>
      <c r="N57" s="60">
        <f>IF(C57="","",IFERROR(INDEX('Saisie'!$D$5:$D$2004,_xlfn.MINIFS('Saisie'!$AS$5:$AS$2004,'Saisie'!$C$5:$C$2004,C57,'Saisie'!$AU$5:$AU$2004,1)-4),IFERROR(INDEX('Saisie'!$D$5:$D$2004,_xlfn.MINIFS('Saisie'!$AS$5:$AS$2004,'Saisie'!$C$5:$C$2004,C57,'Saisie'!$D$5:$D$2004,"&lt;&gt;")-4),"")))</f>
        <v/>
      </c>
      <c r="O57" s="60">
        <f>IF(C57="","",COUNTIFS('Saisie'!$C$5:$C$2004,C57,'Saisie'!$AU$5:$AU$2004,1))</f>
        <v/>
      </c>
      <c r="P57" s="60">
        <f>IF(C57="","",COUNTIFS('Saisie'!$C$5:$C$2004,C57,'Saisie'!$AV$5:$AV$2004,1))</f>
        <v/>
      </c>
      <c r="Q57" s="106">
        <f>IF(C57="","",IFERROR(1/(1/_xlfn.MAXIFS('Saisie'!$A$5:$A$2004,'Saisie'!$C$5:$C$2004,C57)),""))</f>
        <v/>
      </c>
      <c r="R57" s="61">
        <f>IF(C57="","",IF(Q57="","",TODAY()-Q57))</f>
        <v/>
      </c>
      <c r="S57" s="60">
        <f>IF(C57="","",IFERROR(INDEX('Saisie'!$R$5:$R$2004,_xlfn.MAXIFS('Saisie'!$AS$5:$AS$2004,'Saisie'!$C$5:$C$2004,C57,'Saisie'!$R$5:$R$2004,"&lt;&gt;")-4),""))</f>
        <v/>
      </c>
      <c r="T57" s="60">
        <f>IF(C57="","",IFERROR(INDEX('Saisie'!$S$5:$S$2004,_xlfn.MAXIFS('Saisie'!$AS$5:$AS$2004,'Saisie'!$C$5:$C$2004,C57,'Saisie'!$S$5:$S$2004,"&lt;&gt;")-4),""))</f>
        <v/>
      </c>
      <c r="U57" s="60">
        <f>IF(C57="","",IFERROR(INDEX('Saisie'!$T$5:$T$2004,_xlfn.MAXIFS('Saisie'!$AS$5:$AS$2004,'Saisie'!$C$5:$C$2004,C57,'Saisie'!$T$5:$T$2004,"&lt;&gt;")-4),""))</f>
        <v/>
      </c>
      <c r="V57" s="60">
        <f>IF(C57="","",IFERROR(INDEX('Saisie'!$V$5:$V$2004,_xlfn.MAXIFS('Saisie'!$AS$5:$AS$2004,'Saisie'!$C$5:$C$2004,C57,'Saisie'!$V$5:$V$2004,"&lt;&gt;")-4),""))</f>
        <v/>
      </c>
      <c r="W57" s="60">
        <f>IF(C57="","",IFERROR(INDEX('Saisie'!$Z$5:$Z$2004,_xlfn.MAXIFS('Saisie'!$AS$5:$AS$2004,'Saisie'!$C$5:$C$2004,C57,'Saisie'!$Z$5:$Z$2004,"&lt;&gt;")-4),""))</f>
        <v/>
      </c>
      <c r="X57" s="60">
        <f>IF(C57="","",IFERROR(INDEX('Saisie'!$AA$5:$AA$2004,_xlfn.MAXIFS('Saisie'!$AS$5:$AS$2004,'Saisie'!$C$5:$C$2004,C57,'Saisie'!$AA$5:$AA$2004,"&lt;&gt;")-4),""))</f>
        <v/>
      </c>
      <c r="Y57" s="60">
        <f>IF(C57="","",IFERROR(INDEX('Saisie'!$AB$5:$AB$2004,_xlfn.MAXIFS('Saisie'!$AS$5:$AS$2004,'Saisie'!$C$5:$C$2004,C57,'Saisie'!$AB$5:$AB$2004,"&lt;&gt;")-4),""))</f>
        <v/>
      </c>
      <c r="Z57" s="60">
        <f>IF(C57="","",IFERROR(INDEX('Saisie'!$AC$5:$AC$2004,_xlfn.MAXIFS('Saisie'!$AS$5:$AS$2004,'Saisie'!$C$5:$C$2004,C57,'Saisie'!$AC$5:$AC$2004,"&lt;&gt;")-4),""))</f>
        <v/>
      </c>
      <c r="AA57" s="106">
        <f>IF(C57="","",IFERROR(INDEX('Saisie'!$AD$5:$AD$2004,_xlfn.MAXIFS('Saisie'!$AS$5:$AS$2004,'Saisie'!$C$5:$C$2004,C57,'Saisie'!$AD$5:$AD$2004,"&lt;&gt;")-4),""))</f>
        <v/>
      </c>
      <c r="AB57" s="60">
        <f>IF(C57="","",IFERROR(INDEX('Saisie'!$AE$5:$AE$2004,_xlfn.MAXIFS('Saisie'!$AS$5:$AS$2004,'Saisie'!$C$5:$C$2004,C57,'Saisie'!$AE$5:$AE$2004,"&lt;&gt;")-4),""))</f>
        <v/>
      </c>
      <c r="AC57" s="60">
        <f>IF(C57="","",IFERROR(INDEX('Saisie'!$AF$5:$AF$2004,_xlfn.MAXIFS('Saisie'!$AS$5:$AS$2004,'Saisie'!$C$5:$C$2004,C57,'Saisie'!$AF$5:$AF$2004,"&lt;&gt;")-4),""))</f>
        <v/>
      </c>
      <c r="AD57" s="108">
        <f>IF(C57="","",IFERROR(INDEX('Saisie'!$AG$5:$AG$2004,_xlfn.MAXIFS('Saisie'!$AS$5:$AS$2004,'Saisie'!$C$5:$C$2004,C57,'Saisie'!$AG$5:$AG$2004,"&lt;&gt;")-4),""))</f>
        <v/>
      </c>
      <c r="AE57" s="60">
        <f>IF(C57="","",IFERROR(INDEX('Saisie'!$AH$5:$AH$2004,_xlfn.MAXIFS('Saisie'!$AS$5:$AS$2004,'Saisie'!$C$5:$C$2004,C57,'Saisie'!$AH$5:$AH$2004,"&lt;&gt;")-4),""))</f>
        <v/>
      </c>
      <c r="AF57" s="60">
        <f>IF(C57="","",IFERROR(INDEX('Saisie'!$AI$5:$AI$2004,_xlfn.MAXIFS('Saisie'!$AS$5:$AS$2004,'Saisie'!$C$5:$C$2004,C57,'Saisie'!$AI$5:$AI$2004,"&lt;&gt;")-4),""))</f>
        <v/>
      </c>
      <c r="AG57" s="60">
        <f>IF(C57="","",IFERROR(INDEX('Saisie'!$AJ$5:$AJ$2004,_xlfn.MAXIFS('Saisie'!$AS$5:$AS$2004,'Saisie'!$C$5:$C$2004,C57,'Saisie'!$AJ$5:$AJ$2004,"&lt;&gt;")-4),""))</f>
        <v/>
      </c>
      <c r="AH57" s="60">
        <f>IF(C57="","",IFERROR(INDEX('Saisie'!$AK$5:$AK$2004,_xlfn.MAXIFS('Saisie'!$AS$5:$AS$2004,'Saisie'!$C$5:$C$2004,C57,'Saisie'!$AK$5:$AK$2004,"&lt;&gt;")-4),""))</f>
        <v/>
      </c>
      <c r="AI57" s="60">
        <f>IF(C57="","",IFERROR(INDEX('Saisie'!$AN$5:$AN$2004,_xlfn.MAXIFS('Saisie'!$AS$5:$AS$2004,'Saisie'!$C$5:$C$2004,C57,'Saisie'!$AN$5:$AN$2004,"&lt;&gt;")-4),""))</f>
        <v/>
      </c>
      <c r="AJ57" s="60">
        <f>IF(C57="","",IFERROR(INDEX('Saisie'!$AO$5:$AO$2004,_xlfn.MAXIFS('Saisie'!$AS$5:$AS$2004,'Saisie'!$C$5:$C$2004,C57,'Saisie'!$AO$5:$AO$2004,"&lt;&gt;")-4),""))</f>
        <v/>
      </c>
      <c r="AK57" s="60">
        <f>IF(C57="","",IFERROR(INDEX('Saisie'!$AP$5:$AP$2004,_xlfn.MAXIFS('Saisie'!$AS$5:$AS$2004,'Saisie'!$C$5:$C$2004,C57,'Saisie'!$AP$5:$AP$2004,"&lt;&gt;")-4),""))</f>
        <v/>
      </c>
      <c r="AL57" s="60">
        <f>IF(C57="","",IFERROR(INDEX('Saisie'!$AQ$5:$AQ$2004,_xlfn.MAXIFS('Saisie'!$AS$5:$AS$2004,'Saisie'!$C$5:$C$2004,C57,'Saisie'!$AQ$5:$AQ$2004,"&lt;&gt;")-4),""))</f>
        <v/>
      </c>
      <c r="AM57" s="60">
        <f>IF(C57="","",((AI57="Oui")+(AJ57="Oui")+(AK57="Oui")+OR(AL57="Immédiat",AL57="&lt; 1 mois"))&amp;"/4")</f>
        <v/>
      </c>
      <c r="AN57" s="60">
        <f>IF(C57="","",IFERROR(INDEX('Saisie'!$AL$5:$AL$2004,_xlfn.MAXIFS('Saisie'!$AS$5:$AS$2004,'Saisie'!$C$5:$C$2004,C57,'Saisie'!$AL$5:$AL$2004,"&lt;&gt;")-4),""))</f>
        <v/>
      </c>
      <c r="AO57" s="62">
        <f>IF(C57="","",IF(IFERROR(INDEX('Saisie'!$AM$5:$AM$2004,_xlfn.MAXIFS('Saisie'!$AS$5:$AS$2004,'Saisie'!$C$5:$C$2004,C57,'Saisie'!$AM$5:$AM$2004,"&lt;&gt;")-4),"")&lt;&gt;"",IFERROR(INDEX('Saisie'!$AM$5:$AM$2004,_xlfn.MAXIFS('Saisie'!$AS$5:$AS$2004,'Saisie'!$C$5:$C$2004,C57,'Saisie'!$AM$5:$AM$2004,"&lt;&gt;")-4),""),IFERROR(INDEX('Paramètres'!$S$6:$S$15,MATCH(AN57,'Paramètres'!$Q$6:$Q$15,0)),"")))</f>
        <v/>
      </c>
      <c r="AP57" s="62">
        <f>IF(C57="","",IFERROR(INDEX('Saisie'!$AW$5:$AW$2004,_xlfn.MAXIFS('Saisie'!$AS$5:$AS$2004,'Saisie'!$C$5:$C$2004,C57,'Saisie'!$E$5:$E$2004,"Proposition envoyée")-4),""))</f>
        <v/>
      </c>
      <c r="AQ57" s="106">
        <f>IF(C57="","",IFERROR(1/(1/_xlfn.MAXIFS('Saisie'!$A$5:$A$2004,'Saisie'!$C$5:$C$2004,C57,'Saisie'!$E$5:$E$2004,"Proposition envoyée")),""))</f>
        <v/>
      </c>
      <c r="AR57" s="106">
        <f>IF(C57="","",IF(AQ57="","",AQ57+'Paramètres'!$B$26))</f>
        <v/>
      </c>
      <c r="AS57" s="62">
        <f>IF(OR(C57="",D57="Gagné",D57="Perdu"),0,N(AP57)*IFERROR(INDEX('Paramètres'!$G$6:$G$13,MATCH(D57,'Paramètres'!$F$6:$F$13,0)),0))</f>
        <v/>
      </c>
      <c r="AT57" s="106">
        <f>IF(C57="","",IFERROR(1/(1/_xlfn.MINIFS('Saisie'!$A$5:$A$2004,'Saisie'!$C$5:$C$2004,C57,'Saisie'!$E$5:$E$2004,"Signature")),""))</f>
        <v/>
      </c>
      <c r="AU57" s="60">
        <f>IF(C57="","",IF(OR(AT57="",B57=""),"",AT57-B57))</f>
        <v/>
      </c>
      <c r="AV57" s="60">
        <f>IF(C57="","",IFERROR(INDEX('Saisie'!$L$5:$L$2004,_xlfn.MAXIFS('Saisie'!$AS$5:$AS$2004,'Saisie'!$C$5:$C$2004,C57,'Saisie'!$L$5:$L$2004,"&lt;&gt;")-4),""))</f>
        <v/>
      </c>
      <c r="AW57" s="106">
        <f>IF(C57="","",IF(D57&lt;&gt;"Perdu","",IFERROR(1/(1/_xlfn.MAXIFS('Saisie'!$A$5:$A$2004,'Saisie'!$C$5:$C$2004,C57,'Saisie'!$E$5:$E$2004,"Perdu")),"")))</f>
        <v/>
      </c>
      <c r="AX57" s="106">
        <f>IF(C57="","",IF(AW57="","",AW57+'Paramètres'!$B$28))</f>
        <v/>
      </c>
      <c r="AY57" s="60">
        <f>IF(C57="","",SUMIFS('Saisie'!$H$5:$H$2004,'Saisie'!$C$5:$C$2004,C57))</f>
        <v/>
      </c>
      <c r="AZ57" s="60">
        <f>IF(C57="","",IFERROR(INDEX('Paramètres'!$W$6:$W$20,MATCH(S57,'Paramètres'!$V$6:$V$20,0))&amp;"",""))</f>
        <v/>
      </c>
      <c r="BA57" s="60">
        <f>IF(C57="","",MAX(1,_xlfn.MAXIFS('Saisie'!$AT$5:$AT$2004,'Saisie'!$C$5:$C$2004,C57)))</f>
        <v/>
      </c>
      <c r="BB57" s="60">
        <f>IF(C57="","",IFERROR(INDEX('Saisie'!$X$5:$X$2004,_xlfn.MAXIFS('Saisie'!$AS$5:$AS$2004,'Saisie'!$C$5:$C$2004,C57,'Saisie'!$X$5:$X$2004,"&lt;&gt;")-4),""))</f>
        <v/>
      </c>
      <c r="BC57" s="60">
        <f>IF(C57="","",IFERROR(INDEX('Saisie'!$Y$5:$Y$2004,_xlfn.MAXIFS('Saisie'!$AS$5:$AS$2004,'Saisie'!$C$5:$C$2004,C57,'Saisie'!$Y$5:$Y$2004,"&lt;&gt;")-4),""))</f>
        <v/>
      </c>
      <c r="BD57" s="106">
        <f>IF(C57="","",IFERROR(1/(1/_xlfn.MINIFS('Saisie'!$A$5:$A$2004,'Saisie'!$C$5:$C$2004,C57,'Saisie'!$AT$5:$AT$2004,"&gt;=2")),""))</f>
        <v/>
      </c>
      <c r="BE57" s="106">
        <f>IF(C57="","",IFERROR(1/(1/_xlfn.MINIFS('Saisie'!$A$5:$A$2004,'Saisie'!$C$5:$C$2004,C57,'Saisie'!$AT$5:$AT$2004,"&gt;=3")),""))</f>
        <v/>
      </c>
      <c r="BF57" s="106">
        <f>IF(C57="","",IFERROR(1/(1/_xlfn.MINIFS('Saisie'!$A$5:$A$2004,'Saisie'!$C$5:$C$2004,C57,'Saisie'!$AT$5:$AT$2004,"&gt;=4")),""))</f>
        <v/>
      </c>
      <c r="BG57" s="106">
        <f>IF(C57="","",IFERROR(1/(1/_xlfn.MINIFS('Saisie'!$A$5:$A$2004,'Saisie'!$C$5:$C$2004,C57,'Saisie'!$AT$5:$AT$2004,"&gt;=5")),""))</f>
        <v/>
      </c>
      <c r="BH57" s="106">
        <f>IF(C57="","",IFERROR(1/(1/_xlfn.MINIFS('Saisie'!$A$5:$A$2004,'Saisie'!$C$5:$C$2004,C57,'Saisie'!$AT$5:$AT$2004,"&gt;=6")),""))</f>
        <v/>
      </c>
      <c r="BI57" s="106">
        <f>IF(C57="","",IFERROR(1/(1/_xlfn.MINIFS('Saisie'!$A$5:$A$2004,'Saisie'!$C$5:$C$2004,C57,'Saisie'!$AT$5:$AT$2004,"&gt;=7")),""))</f>
        <v/>
      </c>
      <c r="BJ57" s="60">
        <f>IF(OR(BD57="",B57=""),"",BD57-B57)</f>
        <v/>
      </c>
      <c r="BK57" s="60">
        <f>IF(OR(BE57="",BD57=""),"",BE57-BD57)</f>
        <v/>
      </c>
      <c r="BL57" s="60">
        <f>IF(OR(BF57="",BE57=""),"",BF57-BE57)</f>
        <v/>
      </c>
      <c r="BM57" s="60">
        <f>IF(OR(BG57="",BF57=""),"",BG57-BF57)</f>
        <v/>
      </c>
      <c r="BN57" s="60">
        <f>IF(OR(BH57="",BG57=""),"",BH57-BG57)</f>
        <v/>
      </c>
      <c r="BO57" s="60">
        <f>IF(OR(BI57="",BH57=""),"",BI57-BH57)</f>
        <v/>
      </c>
      <c r="BP57" s="60">
        <f>IF(C57="","",_xlfn.MAXIFS('Saisie'!$AS$5:$AS$2004,'Saisie'!$C$5:$C$2004,C57,'Saisie'!$J$5:$J$2004,"&lt;&gt;"))</f>
        <v/>
      </c>
      <c r="BQ57" s="60">
        <f>IF(C57="","",_xlfn.MAXIFS('Saisie'!$AS$5:$AS$2004,'Saisie'!$C$5:$C$2004,C57))</f>
        <v/>
      </c>
      <c r="BR57" s="60">
        <f>IF(C57="","",_xlfn.MAXIFS('Saisie'!$AS$5:$AS$2004,'Saisie'!$C$5:$C$2004,C57,'Saisie'!$E$5:$E$2004,"Perdu"))</f>
        <v/>
      </c>
      <c r="BS57" s="60">
        <f>IF(C57="","",_xlfn.MAXIFS('Saisie'!$AS$5:$AS$2004,'Saisie'!$C$5:$C$2004,C57,'Saisie'!$AT$5:$AT$2004,"&gt;0"))</f>
        <v/>
      </c>
      <c r="BT57" s="109">
        <f>IF(AND(C57&lt;&gt;"",OR(D57="Nouveau",D57="Contacté",D57="Qualifié"),OR(G57="",N(G57)&lt;=TODAY()),NOT(AND(O57&gt;='Paramètres'!$B$21,P57=0))),E57+53/10000,"")</f>
        <v/>
      </c>
      <c r="BU57" s="60">
        <f>IF(AND(G57&lt;&gt;"",N(G57)&lt;=TODAY()),MAX($BU$4:BU56)+1,"")</f>
        <v/>
      </c>
      <c r="BV57" s="60">
        <f>IF(AND(F57&lt;&gt;"",F57&lt;&gt;"Relance en retard"),MAX($BV$4:BV56)+1,"")</f>
        <v/>
      </c>
      <c r="BW57" s="60">
        <f>IF(C57="","",IF(AND(B57&gt;='Tableau de bord'!$R$4,B57&lt;='Tableau de bord'!$S$4,OR('Tableau de bord'!$G$4="Tous",N57='Tableau de bord'!$G$4)),1,0))</f>
        <v/>
      </c>
      <c r="BX57" s="60">
        <f>IF(AND(C57&lt;&gt;"",N(BA57)=7),MAX($BX$4:BX56)+1,"")</f>
        <v/>
      </c>
    </row>
    <row r="58">
      <c r="A58" s="60">
        <f>IF(C58="","","P-"&amp;TEXT(54,"000"))</f>
        <v/>
      </c>
      <c r="B58" s="106">
        <f>IF(C58="","",IFERROR(1/(1/_xlfn.MINIFS('Saisie'!$A$5:$A$2004,'Saisie'!$C$5:$C$2004,C58)),""))</f>
        <v/>
      </c>
      <c r="C58" s="60">
        <f>IFERROR(INDEX('Saisie'!$C$5:$C$2004,MATCH(54,'Saisie'!$AX$5:$AX$2004,0)),"")</f>
        <v/>
      </c>
      <c r="D58" s="60">
        <f>IF(C58="","",IF(AND(BR58&gt;0,BR58&gt;BS58,BA58&lt;7),"Perdu",INDEX('Paramètres'!$F$6:$F$13,BA58)))</f>
        <v/>
      </c>
      <c r="E58" s="61">
        <f>IF(C58="","",MIN(100,(Z58="Oui")*'Paramètres'!$B$38+(AB58="Régulière")*'Paramètres'!$B$39+IF(AND(N(AA58)&gt;0,TODAY()-N(AA58)&lt;=30),'Paramètres'!$B$40,0)+(W58="")*'Paramètres'!$B$41+(AC58="Absente")*'Paramètres'!$B$42+(AC58="Faible")*'Paramètres'!$B$43+IF(AND(N(AD58)&gt;0,N(AD58)&lt;4),'Paramètres'!$B$44,0)+(AF58="Moyenne")*'Paramètres'!$B$45+(AF58="Grande")*'Paramètres'!$B$46+(Y58&lt;&gt;"")*'Paramètres'!$B$47))</f>
        <v/>
      </c>
      <c r="F58" s="60">
        <f>IF(C58="","",IF(D58="Gagné","",IF(D58="Perdu",IF(AND(AX58&lt;&gt;"",AX58&lt;=TODAY()),"À recontacter (perdu)",""),IF(AND(O58&gt;='Paramètres'!$B$21,P58=0),"Stop : "&amp;'Paramètres'!$B$21&amp;" tentatives sans réponse",IF(AND(D58="Proposition",AR58&lt;&gt;"",TODAY()&gt;N(AR58)),"Proposition expirée",IF(AND(D58="Proposition",N(R58)&gt;='Paramètres'!$B$25),"Proposition sans réponse",IF(AND(G58&lt;&gt;"",N(G58)&lt;TODAY()),"Relance en retard",IF(N(R58)&gt;='Paramètres'!$B$24,"Sans action depuis "&amp;R58&amp;" j",""))))))))</f>
        <v/>
      </c>
      <c r="G58" s="106">
        <f>IF(OR(C58="",D58="Gagné",D58="Perdu"),"",IF(AND(BP58&gt;0,BP58=BQ58),INDEX('Saisie'!$J$5:$J$2004,BP58-4),IF(OR(O58=0,AND(O58&gt;='Paramètres'!$B$21,P58=0)),"",Q58+IF(O58&lt;=1,'Paramètres'!$B$18,IF(O58=2,'Paramètres'!$B$19,'Paramètres'!$B$20)))))</f>
        <v/>
      </c>
      <c r="H58" s="107">
        <f>IF(OR(G58="",BP58&lt;&gt;BQ58),"",IF(INDEX('Saisie'!$K$5:$K$2004,BP58-4)="","",INDEX('Saisie'!$K$5:$K$2004,BP58-4)))</f>
        <v/>
      </c>
      <c r="I58" s="60">
        <f>IF(C58="","",IF(OR(D58="Gagné",D58="Perdu"),"",IFERROR(INDEX('Saisie'!$I$5:$I$2004,_xlfn.MAXIFS('Saisie'!$AS$5:$AS$2004,'Saisie'!$C$5:$C$2004,C58,'Saisie'!$I$5:$I$2004,"&lt;&gt;")-4),"")))</f>
        <v/>
      </c>
      <c r="J58" s="60">
        <f>IF(C58="","",IFERROR(INDEX('Saisie'!$U$5:$U$2004,_xlfn.MAXIFS('Saisie'!$AS$5:$AS$2004,'Saisie'!$C$5:$C$2004,C58,'Saisie'!$U$5:$U$2004,"&lt;&gt;")-4),""))</f>
        <v/>
      </c>
      <c r="K58" s="60">
        <f>IF(C58="","",IFERROR(INDEX('Saisie'!$W$5:$W$2004,_xlfn.MAXIFS('Saisie'!$AS$5:$AS$2004,'Saisie'!$C$5:$C$2004,C58,'Saisie'!$W$5:$W$2004,"&lt;&gt;")-4),""))</f>
        <v/>
      </c>
      <c r="L58" s="60">
        <f>IF(IF(BB58&lt;&gt;"",BB58,K58)="","",HYPERLINK("https://wa.me/"&amp;IF(LEFT(SUBSTITUTE(SUBSTITUTE(SUBSTITUTE(IF(BB58&lt;&gt;"",BB58,K58)," ",""),".",""),"+",""),1)="0",'Paramètres'!$B$35&amp;MID(SUBSTITUTE(SUBSTITUTE(SUBSTITUTE(IF(BB58&lt;&gt;"",BB58,K58)," ",""),".",""),"+",""),2,20),SUBSTITUTE(SUBSTITUTE(SUBSTITUTE(IF(BB58&lt;&gt;"",BB58,K58)," ",""),".",""),"+","")),"WhatsApp"))</f>
        <v/>
      </c>
      <c r="M58" s="60">
        <f>IF(BC58="","",HYPERLINK(IF(LEFT(BC58,4)="http",BC58,"https://www.instagram.com/"&amp;SUBSTITUTE(SUBSTITUTE(BC58,"@","")," ","")),BC58))</f>
        <v/>
      </c>
      <c r="N58" s="60">
        <f>IF(C58="","",IFERROR(INDEX('Saisie'!$D$5:$D$2004,_xlfn.MINIFS('Saisie'!$AS$5:$AS$2004,'Saisie'!$C$5:$C$2004,C58,'Saisie'!$AU$5:$AU$2004,1)-4),IFERROR(INDEX('Saisie'!$D$5:$D$2004,_xlfn.MINIFS('Saisie'!$AS$5:$AS$2004,'Saisie'!$C$5:$C$2004,C58,'Saisie'!$D$5:$D$2004,"&lt;&gt;")-4),"")))</f>
        <v/>
      </c>
      <c r="O58" s="60">
        <f>IF(C58="","",COUNTIFS('Saisie'!$C$5:$C$2004,C58,'Saisie'!$AU$5:$AU$2004,1))</f>
        <v/>
      </c>
      <c r="P58" s="60">
        <f>IF(C58="","",COUNTIFS('Saisie'!$C$5:$C$2004,C58,'Saisie'!$AV$5:$AV$2004,1))</f>
        <v/>
      </c>
      <c r="Q58" s="106">
        <f>IF(C58="","",IFERROR(1/(1/_xlfn.MAXIFS('Saisie'!$A$5:$A$2004,'Saisie'!$C$5:$C$2004,C58)),""))</f>
        <v/>
      </c>
      <c r="R58" s="61">
        <f>IF(C58="","",IF(Q58="","",TODAY()-Q58))</f>
        <v/>
      </c>
      <c r="S58" s="60">
        <f>IF(C58="","",IFERROR(INDEX('Saisie'!$R$5:$R$2004,_xlfn.MAXIFS('Saisie'!$AS$5:$AS$2004,'Saisie'!$C$5:$C$2004,C58,'Saisie'!$R$5:$R$2004,"&lt;&gt;")-4),""))</f>
        <v/>
      </c>
      <c r="T58" s="60">
        <f>IF(C58="","",IFERROR(INDEX('Saisie'!$S$5:$S$2004,_xlfn.MAXIFS('Saisie'!$AS$5:$AS$2004,'Saisie'!$C$5:$C$2004,C58,'Saisie'!$S$5:$S$2004,"&lt;&gt;")-4),""))</f>
        <v/>
      </c>
      <c r="U58" s="60">
        <f>IF(C58="","",IFERROR(INDEX('Saisie'!$T$5:$T$2004,_xlfn.MAXIFS('Saisie'!$AS$5:$AS$2004,'Saisie'!$C$5:$C$2004,C58,'Saisie'!$T$5:$T$2004,"&lt;&gt;")-4),""))</f>
        <v/>
      </c>
      <c r="V58" s="60">
        <f>IF(C58="","",IFERROR(INDEX('Saisie'!$V$5:$V$2004,_xlfn.MAXIFS('Saisie'!$AS$5:$AS$2004,'Saisie'!$C$5:$C$2004,C58,'Saisie'!$V$5:$V$2004,"&lt;&gt;")-4),""))</f>
        <v/>
      </c>
      <c r="W58" s="60">
        <f>IF(C58="","",IFERROR(INDEX('Saisie'!$Z$5:$Z$2004,_xlfn.MAXIFS('Saisie'!$AS$5:$AS$2004,'Saisie'!$C$5:$C$2004,C58,'Saisie'!$Z$5:$Z$2004,"&lt;&gt;")-4),""))</f>
        <v/>
      </c>
      <c r="X58" s="60">
        <f>IF(C58="","",IFERROR(INDEX('Saisie'!$AA$5:$AA$2004,_xlfn.MAXIFS('Saisie'!$AS$5:$AS$2004,'Saisie'!$C$5:$C$2004,C58,'Saisie'!$AA$5:$AA$2004,"&lt;&gt;")-4),""))</f>
        <v/>
      </c>
      <c r="Y58" s="60">
        <f>IF(C58="","",IFERROR(INDEX('Saisie'!$AB$5:$AB$2004,_xlfn.MAXIFS('Saisie'!$AS$5:$AS$2004,'Saisie'!$C$5:$C$2004,C58,'Saisie'!$AB$5:$AB$2004,"&lt;&gt;")-4),""))</f>
        <v/>
      </c>
      <c r="Z58" s="60">
        <f>IF(C58="","",IFERROR(INDEX('Saisie'!$AC$5:$AC$2004,_xlfn.MAXIFS('Saisie'!$AS$5:$AS$2004,'Saisie'!$C$5:$C$2004,C58,'Saisie'!$AC$5:$AC$2004,"&lt;&gt;")-4),""))</f>
        <v/>
      </c>
      <c r="AA58" s="106">
        <f>IF(C58="","",IFERROR(INDEX('Saisie'!$AD$5:$AD$2004,_xlfn.MAXIFS('Saisie'!$AS$5:$AS$2004,'Saisie'!$C$5:$C$2004,C58,'Saisie'!$AD$5:$AD$2004,"&lt;&gt;")-4),""))</f>
        <v/>
      </c>
      <c r="AB58" s="60">
        <f>IF(C58="","",IFERROR(INDEX('Saisie'!$AE$5:$AE$2004,_xlfn.MAXIFS('Saisie'!$AS$5:$AS$2004,'Saisie'!$C$5:$C$2004,C58,'Saisie'!$AE$5:$AE$2004,"&lt;&gt;")-4),""))</f>
        <v/>
      </c>
      <c r="AC58" s="60">
        <f>IF(C58="","",IFERROR(INDEX('Saisie'!$AF$5:$AF$2004,_xlfn.MAXIFS('Saisie'!$AS$5:$AS$2004,'Saisie'!$C$5:$C$2004,C58,'Saisie'!$AF$5:$AF$2004,"&lt;&gt;")-4),""))</f>
        <v/>
      </c>
      <c r="AD58" s="108">
        <f>IF(C58="","",IFERROR(INDEX('Saisie'!$AG$5:$AG$2004,_xlfn.MAXIFS('Saisie'!$AS$5:$AS$2004,'Saisie'!$C$5:$C$2004,C58,'Saisie'!$AG$5:$AG$2004,"&lt;&gt;")-4),""))</f>
        <v/>
      </c>
      <c r="AE58" s="60">
        <f>IF(C58="","",IFERROR(INDEX('Saisie'!$AH$5:$AH$2004,_xlfn.MAXIFS('Saisie'!$AS$5:$AS$2004,'Saisie'!$C$5:$C$2004,C58,'Saisie'!$AH$5:$AH$2004,"&lt;&gt;")-4),""))</f>
        <v/>
      </c>
      <c r="AF58" s="60">
        <f>IF(C58="","",IFERROR(INDEX('Saisie'!$AI$5:$AI$2004,_xlfn.MAXIFS('Saisie'!$AS$5:$AS$2004,'Saisie'!$C$5:$C$2004,C58,'Saisie'!$AI$5:$AI$2004,"&lt;&gt;")-4),""))</f>
        <v/>
      </c>
      <c r="AG58" s="60">
        <f>IF(C58="","",IFERROR(INDEX('Saisie'!$AJ$5:$AJ$2004,_xlfn.MAXIFS('Saisie'!$AS$5:$AS$2004,'Saisie'!$C$5:$C$2004,C58,'Saisie'!$AJ$5:$AJ$2004,"&lt;&gt;")-4),""))</f>
        <v/>
      </c>
      <c r="AH58" s="60">
        <f>IF(C58="","",IFERROR(INDEX('Saisie'!$AK$5:$AK$2004,_xlfn.MAXIFS('Saisie'!$AS$5:$AS$2004,'Saisie'!$C$5:$C$2004,C58,'Saisie'!$AK$5:$AK$2004,"&lt;&gt;")-4),""))</f>
        <v/>
      </c>
      <c r="AI58" s="60">
        <f>IF(C58="","",IFERROR(INDEX('Saisie'!$AN$5:$AN$2004,_xlfn.MAXIFS('Saisie'!$AS$5:$AS$2004,'Saisie'!$C$5:$C$2004,C58,'Saisie'!$AN$5:$AN$2004,"&lt;&gt;")-4),""))</f>
        <v/>
      </c>
      <c r="AJ58" s="60">
        <f>IF(C58="","",IFERROR(INDEX('Saisie'!$AO$5:$AO$2004,_xlfn.MAXIFS('Saisie'!$AS$5:$AS$2004,'Saisie'!$C$5:$C$2004,C58,'Saisie'!$AO$5:$AO$2004,"&lt;&gt;")-4),""))</f>
        <v/>
      </c>
      <c r="AK58" s="60">
        <f>IF(C58="","",IFERROR(INDEX('Saisie'!$AP$5:$AP$2004,_xlfn.MAXIFS('Saisie'!$AS$5:$AS$2004,'Saisie'!$C$5:$C$2004,C58,'Saisie'!$AP$5:$AP$2004,"&lt;&gt;")-4),""))</f>
        <v/>
      </c>
      <c r="AL58" s="60">
        <f>IF(C58="","",IFERROR(INDEX('Saisie'!$AQ$5:$AQ$2004,_xlfn.MAXIFS('Saisie'!$AS$5:$AS$2004,'Saisie'!$C$5:$C$2004,C58,'Saisie'!$AQ$5:$AQ$2004,"&lt;&gt;")-4),""))</f>
        <v/>
      </c>
      <c r="AM58" s="60">
        <f>IF(C58="","",((AI58="Oui")+(AJ58="Oui")+(AK58="Oui")+OR(AL58="Immédiat",AL58="&lt; 1 mois"))&amp;"/4")</f>
        <v/>
      </c>
      <c r="AN58" s="60">
        <f>IF(C58="","",IFERROR(INDEX('Saisie'!$AL$5:$AL$2004,_xlfn.MAXIFS('Saisie'!$AS$5:$AS$2004,'Saisie'!$C$5:$C$2004,C58,'Saisie'!$AL$5:$AL$2004,"&lt;&gt;")-4),""))</f>
        <v/>
      </c>
      <c r="AO58" s="62">
        <f>IF(C58="","",IF(IFERROR(INDEX('Saisie'!$AM$5:$AM$2004,_xlfn.MAXIFS('Saisie'!$AS$5:$AS$2004,'Saisie'!$C$5:$C$2004,C58,'Saisie'!$AM$5:$AM$2004,"&lt;&gt;")-4),"")&lt;&gt;"",IFERROR(INDEX('Saisie'!$AM$5:$AM$2004,_xlfn.MAXIFS('Saisie'!$AS$5:$AS$2004,'Saisie'!$C$5:$C$2004,C58,'Saisie'!$AM$5:$AM$2004,"&lt;&gt;")-4),""),IFERROR(INDEX('Paramètres'!$S$6:$S$15,MATCH(AN58,'Paramètres'!$Q$6:$Q$15,0)),"")))</f>
        <v/>
      </c>
      <c r="AP58" s="62">
        <f>IF(C58="","",IFERROR(INDEX('Saisie'!$AW$5:$AW$2004,_xlfn.MAXIFS('Saisie'!$AS$5:$AS$2004,'Saisie'!$C$5:$C$2004,C58,'Saisie'!$E$5:$E$2004,"Proposition envoyée")-4),""))</f>
        <v/>
      </c>
      <c r="AQ58" s="106">
        <f>IF(C58="","",IFERROR(1/(1/_xlfn.MAXIFS('Saisie'!$A$5:$A$2004,'Saisie'!$C$5:$C$2004,C58,'Saisie'!$E$5:$E$2004,"Proposition envoyée")),""))</f>
        <v/>
      </c>
      <c r="AR58" s="106">
        <f>IF(C58="","",IF(AQ58="","",AQ58+'Paramètres'!$B$26))</f>
        <v/>
      </c>
      <c r="AS58" s="62">
        <f>IF(OR(C58="",D58="Gagné",D58="Perdu"),0,N(AP58)*IFERROR(INDEX('Paramètres'!$G$6:$G$13,MATCH(D58,'Paramètres'!$F$6:$F$13,0)),0))</f>
        <v/>
      </c>
      <c r="AT58" s="106">
        <f>IF(C58="","",IFERROR(1/(1/_xlfn.MINIFS('Saisie'!$A$5:$A$2004,'Saisie'!$C$5:$C$2004,C58,'Saisie'!$E$5:$E$2004,"Signature")),""))</f>
        <v/>
      </c>
      <c r="AU58" s="60">
        <f>IF(C58="","",IF(OR(AT58="",B58=""),"",AT58-B58))</f>
        <v/>
      </c>
      <c r="AV58" s="60">
        <f>IF(C58="","",IFERROR(INDEX('Saisie'!$L$5:$L$2004,_xlfn.MAXIFS('Saisie'!$AS$5:$AS$2004,'Saisie'!$C$5:$C$2004,C58,'Saisie'!$L$5:$L$2004,"&lt;&gt;")-4),""))</f>
        <v/>
      </c>
      <c r="AW58" s="106">
        <f>IF(C58="","",IF(D58&lt;&gt;"Perdu","",IFERROR(1/(1/_xlfn.MAXIFS('Saisie'!$A$5:$A$2004,'Saisie'!$C$5:$C$2004,C58,'Saisie'!$E$5:$E$2004,"Perdu")),"")))</f>
        <v/>
      </c>
      <c r="AX58" s="106">
        <f>IF(C58="","",IF(AW58="","",AW58+'Paramètres'!$B$28))</f>
        <v/>
      </c>
      <c r="AY58" s="60">
        <f>IF(C58="","",SUMIFS('Saisie'!$H$5:$H$2004,'Saisie'!$C$5:$C$2004,C58))</f>
        <v/>
      </c>
      <c r="AZ58" s="60">
        <f>IF(C58="","",IFERROR(INDEX('Paramètres'!$W$6:$W$20,MATCH(S58,'Paramètres'!$V$6:$V$20,0))&amp;"",""))</f>
        <v/>
      </c>
      <c r="BA58" s="60">
        <f>IF(C58="","",MAX(1,_xlfn.MAXIFS('Saisie'!$AT$5:$AT$2004,'Saisie'!$C$5:$C$2004,C58)))</f>
        <v/>
      </c>
      <c r="BB58" s="60">
        <f>IF(C58="","",IFERROR(INDEX('Saisie'!$X$5:$X$2004,_xlfn.MAXIFS('Saisie'!$AS$5:$AS$2004,'Saisie'!$C$5:$C$2004,C58,'Saisie'!$X$5:$X$2004,"&lt;&gt;")-4),""))</f>
        <v/>
      </c>
      <c r="BC58" s="60">
        <f>IF(C58="","",IFERROR(INDEX('Saisie'!$Y$5:$Y$2004,_xlfn.MAXIFS('Saisie'!$AS$5:$AS$2004,'Saisie'!$C$5:$C$2004,C58,'Saisie'!$Y$5:$Y$2004,"&lt;&gt;")-4),""))</f>
        <v/>
      </c>
      <c r="BD58" s="106">
        <f>IF(C58="","",IFERROR(1/(1/_xlfn.MINIFS('Saisie'!$A$5:$A$2004,'Saisie'!$C$5:$C$2004,C58,'Saisie'!$AT$5:$AT$2004,"&gt;=2")),""))</f>
        <v/>
      </c>
      <c r="BE58" s="106">
        <f>IF(C58="","",IFERROR(1/(1/_xlfn.MINIFS('Saisie'!$A$5:$A$2004,'Saisie'!$C$5:$C$2004,C58,'Saisie'!$AT$5:$AT$2004,"&gt;=3")),""))</f>
        <v/>
      </c>
      <c r="BF58" s="106">
        <f>IF(C58="","",IFERROR(1/(1/_xlfn.MINIFS('Saisie'!$A$5:$A$2004,'Saisie'!$C$5:$C$2004,C58,'Saisie'!$AT$5:$AT$2004,"&gt;=4")),""))</f>
        <v/>
      </c>
      <c r="BG58" s="106">
        <f>IF(C58="","",IFERROR(1/(1/_xlfn.MINIFS('Saisie'!$A$5:$A$2004,'Saisie'!$C$5:$C$2004,C58,'Saisie'!$AT$5:$AT$2004,"&gt;=5")),""))</f>
        <v/>
      </c>
      <c r="BH58" s="106">
        <f>IF(C58="","",IFERROR(1/(1/_xlfn.MINIFS('Saisie'!$A$5:$A$2004,'Saisie'!$C$5:$C$2004,C58,'Saisie'!$AT$5:$AT$2004,"&gt;=6")),""))</f>
        <v/>
      </c>
      <c r="BI58" s="106">
        <f>IF(C58="","",IFERROR(1/(1/_xlfn.MINIFS('Saisie'!$A$5:$A$2004,'Saisie'!$C$5:$C$2004,C58,'Saisie'!$AT$5:$AT$2004,"&gt;=7")),""))</f>
        <v/>
      </c>
      <c r="BJ58" s="60">
        <f>IF(OR(BD58="",B58=""),"",BD58-B58)</f>
        <v/>
      </c>
      <c r="BK58" s="60">
        <f>IF(OR(BE58="",BD58=""),"",BE58-BD58)</f>
        <v/>
      </c>
      <c r="BL58" s="60">
        <f>IF(OR(BF58="",BE58=""),"",BF58-BE58)</f>
        <v/>
      </c>
      <c r="BM58" s="60">
        <f>IF(OR(BG58="",BF58=""),"",BG58-BF58)</f>
        <v/>
      </c>
      <c r="BN58" s="60">
        <f>IF(OR(BH58="",BG58=""),"",BH58-BG58)</f>
        <v/>
      </c>
      <c r="BO58" s="60">
        <f>IF(OR(BI58="",BH58=""),"",BI58-BH58)</f>
        <v/>
      </c>
      <c r="BP58" s="60">
        <f>IF(C58="","",_xlfn.MAXIFS('Saisie'!$AS$5:$AS$2004,'Saisie'!$C$5:$C$2004,C58,'Saisie'!$J$5:$J$2004,"&lt;&gt;"))</f>
        <v/>
      </c>
      <c r="BQ58" s="60">
        <f>IF(C58="","",_xlfn.MAXIFS('Saisie'!$AS$5:$AS$2004,'Saisie'!$C$5:$C$2004,C58))</f>
        <v/>
      </c>
      <c r="BR58" s="60">
        <f>IF(C58="","",_xlfn.MAXIFS('Saisie'!$AS$5:$AS$2004,'Saisie'!$C$5:$C$2004,C58,'Saisie'!$E$5:$E$2004,"Perdu"))</f>
        <v/>
      </c>
      <c r="BS58" s="60">
        <f>IF(C58="","",_xlfn.MAXIFS('Saisie'!$AS$5:$AS$2004,'Saisie'!$C$5:$C$2004,C58,'Saisie'!$AT$5:$AT$2004,"&gt;0"))</f>
        <v/>
      </c>
      <c r="BT58" s="109">
        <f>IF(AND(C58&lt;&gt;"",OR(D58="Nouveau",D58="Contacté",D58="Qualifié"),OR(G58="",N(G58)&lt;=TODAY()),NOT(AND(O58&gt;='Paramètres'!$B$21,P58=0))),E58+54/10000,"")</f>
        <v/>
      </c>
      <c r="BU58" s="60">
        <f>IF(AND(G58&lt;&gt;"",N(G58)&lt;=TODAY()),MAX($BU$4:BU57)+1,"")</f>
        <v/>
      </c>
      <c r="BV58" s="60">
        <f>IF(AND(F58&lt;&gt;"",F58&lt;&gt;"Relance en retard"),MAX($BV$4:BV57)+1,"")</f>
        <v/>
      </c>
      <c r="BW58" s="60">
        <f>IF(C58="","",IF(AND(B58&gt;='Tableau de bord'!$R$4,B58&lt;='Tableau de bord'!$S$4,OR('Tableau de bord'!$G$4="Tous",N58='Tableau de bord'!$G$4)),1,0))</f>
        <v/>
      </c>
      <c r="BX58" s="60">
        <f>IF(AND(C58&lt;&gt;"",N(BA58)=7),MAX($BX$4:BX57)+1,"")</f>
        <v/>
      </c>
    </row>
    <row r="59">
      <c r="A59" s="60">
        <f>IF(C59="","","P-"&amp;TEXT(55,"000"))</f>
        <v/>
      </c>
      <c r="B59" s="106">
        <f>IF(C59="","",IFERROR(1/(1/_xlfn.MINIFS('Saisie'!$A$5:$A$2004,'Saisie'!$C$5:$C$2004,C59)),""))</f>
        <v/>
      </c>
      <c r="C59" s="60">
        <f>IFERROR(INDEX('Saisie'!$C$5:$C$2004,MATCH(55,'Saisie'!$AX$5:$AX$2004,0)),"")</f>
        <v/>
      </c>
      <c r="D59" s="60">
        <f>IF(C59="","",IF(AND(BR59&gt;0,BR59&gt;BS59,BA59&lt;7),"Perdu",INDEX('Paramètres'!$F$6:$F$13,BA59)))</f>
        <v/>
      </c>
      <c r="E59" s="61">
        <f>IF(C59="","",MIN(100,(Z59="Oui")*'Paramètres'!$B$38+(AB59="Régulière")*'Paramètres'!$B$39+IF(AND(N(AA59)&gt;0,TODAY()-N(AA59)&lt;=30),'Paramètres'!$B$40,0)+(W59="")*'Paramètres'!$B$41+(AC59="Absente")*'Paramètres'!$B$42+(AC59="Faible")*'Paramètres'!$B$43+IF(AND(N(AD59)&gt;0,N(AD59)&lt;4),'Paramètres'!$B$44,0)+(AF59="Moyenne")*'Paramètres'!$B$45+(AF59="Grande")*'Paramètres'!$B$46+(Y59&lt;&gt;"")*'Paramètres'!$B$47))</f>
        <v/>
      </c>
      <c r="F59" s="60">
        <f>IF(C59="","",IF(D59="Gagné","",IF(D59="Perdu",IF(AND(AX59&lt;&gt;"",AX59&lt;=TODAY()),"À recontacter (perdu)",""),IF(AND(O59&gt;='Paramètres'!$B$21,P59=0),"Stop : "&amp;'Paramètres'!$B$21&amp;" tentatives sans réponse",IF(AND(D59="Proposition",AR59&lt;&gt;"",TODAY()&gt;N(AR59)),"Proposition expirée",IF(AND(D59="Proposition",N(R59)&gt;='Paramètres'!$B$25),"Proposition sans réponse",IF(AND(G59&lt;&gt;"",N(G59)&lt;TODAY()),"Relance en retard",IF(N(R59)&gt;='Paramètres'!$B$24,"Sans action depuis "&amp;R59&amp;" j",""))))))))</f>
        <v/>
      </c>
      <c r="G59" s="106">
        <f>IF(OR(C59="",D59="Gagné",D59="Perdu"),"",IF(AND(BP59&gt;0,BP59=BQ59),INDEX('Saisie'!$J$5:$J$2004,BP59-4),IF(OR(O59=0,AND(O59&gt;='Paramètres'!$B$21,P59=0)),"",Q59+IF(O59&lt;=1,'Paramètres'!$B$18,IF(O59=2,'Paramètres'!$B$19,'Paramètres'!$B$20)))))</f>
        <v/>
      </c>
      <c r="H59" s="107">
        <f>IF(OR(G59="",BP59&lt;&gt;BQ59),"",IF(INDEX('Saisie'!$K$5:$K$2004,BP59-4)="","",INDEX('Saisie'!$K$5:$K$2004,BP59-4)))</f>
        <v/>
      </c>
      <c r="I59" s="60">
        <f>IF(C59="","",IF(OR(D59="Gagné",D59="Perdu"),"",IFERROR(INDEX('Saisie'!$I$5:$I$2004,_xlfn.MAXIFS('Saisie'!$AS$5:$AS$2004,'Saisie'!$C$5:$C$2004,C59,'Saisie'!$I$5:$I$2004,"&lt;&gt;")-4),"")))</f>
        <v/>
      </c>
      <c r="J59" s="60">
        <f>IF(C59="","",IFERROR(INDEX('Saisie'!$U$5:$U$2004,_xlfn.MAXIFS('Saisie'!$AS$5:$AS$2004,'Saisie'!$C$5:$C$2004,C59,'Saisie'!$U$5:$U$2004,"&lt;&gt;")-4),""))</f>
        <v/>
      </c>
      <c r="K59" s="60">
        <f>IF(C59="","",IFERROR(INDEX('Saisie'!$W$5:$W$2004,_xlfn.MAXIFS('Saisie'!$AS$5:$AS$2004,'Saisie'!$C$5:$C$2004,C59,'Saisie'!$W$5:$W$2004,"&lt;&gt;")-4),""))</f>
        <v/>
      </c>
      <c r="L59" s="60">
        <f>IF(IF(BB59&lt;&gt;"",BB59,K59)="","",HYPERLINK("https://wa.me/"&amp;IF(LEFT(SUBSTITUTE(SUBSTITUTE(SUBSTITUTE(IF(BB59&lt;&gt;"",BB59,K59)," ",""),".",""),"+",""),1)="0",'Paramètres'!$B$35&amp;MID(SUBSTITUTE(SUBSTITUTE(SUBSTITUTE(IF(BB59&lt;&gt;"",BB59,K59)," ",""),".",""),"+",""),2,20),SUBSTITUTE(SUBSTITUTE(SUBSTITUTE(IF(BB59&lt;&gt;"",BB59,K59)," ",""),".",""),"+","")),"WhatsApp"))</f>
        <v/>
      </c>
      <c r="M59" s="60">
        <f>IF(BC59="","",HYPERLINK(IF(LEFT(BC59,4)="http",BC59,"https://www.instagram.com/"&amp;SUBSTITUTE(SUBSTITUTE(BC59,"@","")," ","")),BC59))</f>
        <v/>
      </c>
      <c r="N59" s="60">
        <f>IF(C59="","",IFERROR(INDEX('Saisie'!$D$5:$D$2004,_xlfn.MINIFS('Saisie'!$AS$5:$AS$2004,'Saisie'!$C$5:$C$2004,C59,'Saisie'!$AU$5:$AU$2004,1)-4),IFERROR(INDEX('Saisie'!$D$5:$D$2004,_xlfn.MINIFS('Saisie'!$AS$5:$AS$2004,'Saisie'!$C$5:$C$2004,C59,'Saisie'!$D$5:$D$2004,"&lt;&gt;")-4),"")))</f>
        <v/>
      </c>
      <c r="O59" s="60">
        <f>IF(C59="","",COUNTIFS('Saisie'!$C$5:$C$2004,C59,'Saisie'!$AU$5:$AU$2004,1))</f>
        <v/>
      </c>
      <c r="P59" s="60">
        <f>IF(C59="","",COUNTIFS('Saisie'!$C$5:$C$2004,C59,'Saisie'!$AV$5:$AV$2004,1))</f>
        <v/>
      </c>
      <c r="Q59" s="106">
        <f>IF(C59="","",IFERROR(1/(1/_xlfn.MAXIFS('Saisie'!$A$5:$A$2004,'Saisie'!$C$5:$C$2004,C59)),""))</f>
        <v/>
      </c>
      <c r="R59" s="61">
        <f>IF(C59="","",IF(Q59="","",TODAY()-Q59))</f>
        <v/>
      </c>
      <c r="S59" s="60">
        <f>IF(C59="","",IFERROR(INDEX('Saisie'!$R$5:$R$2004,_xlfn.MAXIFS('Saisie'!$AS$5:$AS$2004,'Saisie'!$C$5:$C$2004,C59,'Saisie'!$R$5:$R$2004,"&lt;&gt;")-4),""))</f>
        <v/>
      </c>
      <c r="T59" s="60">
        <f>IF(C59="","",IFERROR(INDEX('Saisie'!$S$5:$S$2004,_xlfn.MAXIFS('Saisie'!$AS$5:$AS$2004,'Saisie'!$C$5:$C$2004,C59,'Saisie'!$S$5:$S$2004,"&lt;&gt;")-4),""))</f>
        <v/>
      </c>
      <c r="U59" s="60">
        <f>IF(C59="","",IFERROR(INDEX('Saisie'!$T$5:$T$2004,_xlfn.MAXIFS('Saisie'!$AS$5:$AS$2004,'Saisie'!$C$5:$C$2004,C59,'Saisie'!$T$5:$T$2004,"&lt;&gt;")-4),""))</f>
        <v/>
      </c>
      <c r="V59" s="60">
        <f>IF(C59="","",IFERROR(INDEX('Saisie'!$V$5:$V$2004,_xlfn.MAXIFS('Saisie'!$AS$5:$AS$2004,'Saisie'!$C$5:$C$2004,C59,'Saisie'!$V$5:$V$2004,"&lt;&gt;")-4),""))</f>
        <v/>
      </c>
      <c r="W59" s="60">
        <f>IF(C59="","",IFERROR(INDEX('Saisie'!$Z$5:$Z$2004,_xlfn.MAXIFS('Saisie'!$AS$5:$AS$2004,'Saisie'!$C$5:$C$2004,C59,'Saisie'!$Z$5:$Z$2004,"&lt;&gt;")-4),""))</f>
        <v/>
      </c>
      <c r="X59" s="60">
        <f>IF(C59="","",IFERROR(INDEX('Saisie'!$AA$5:$AA$2004,_xlfn.MAXIFS('Saisie'!$AS$5:$AS$2004,'Saisie'!$C$5:$C$2004,C59,'Saisie'!$AA$5:$AA$2004,"&lt;&gt;")-4),""))</f>
        <v/>
      </c>
      <c r="Y59" s="60">
        <f>IF(C59="","",IFERROR(INDEX('Saisie'!$AB$5:$AB$2004,_xlfn.MAXIFS('Saisie'!$AS$5:$AS$2004,'Saisie'!$C$5:$C$2004,C59,'Saisie'!$AB$5:$AB$2004,"&lt;&gt;")-4),""))</f>
        <v/>
      </c>
      <c r="Z59" s="60">
        <f>IF(C59="","",IFERROR(INDEX('Saisie'!$AC$5:$AC$2004,_xlfn.MAXIFS('Saisie'!$AS$5:$AS$2004,'Saisie'!$C$5:$C$2004,C59,'Saisie'!$AC$5:$AC$2004,"&lt;&gt;")-4),""))</f>
        <v/>
      </c>
      <c r="AA59" s="106">
        <f>IF(C59="","",IFERROR(INDEX('Saisie'!$AD$5:$AD$2004,_xlfn.MAXIFS('Saisie'!$AS$5:$AS$2004,'Saisie'!$C$5:$C$2004,C59,'Saisie'!$AD$5:$AD$2004,"&lt;&gt;")-4),""))</f>
        <v/>
      </c>
      <c r="AB59" s="60">
        <f>IF(C59="","",IFERROR(INDEX('Saisie'!$AE$5:$AE$2004,_xlfn.MAXIFS('Saisie'!$AS$5:$AS$2004,'Saisie'!$C$5:$C$2004,C59,'Saisie'!$AE$5:$AE$2004,"&lt;&gt;")-4),""))</f>
        <v/>
      </c>
      <c r="AC59" s="60">
        <f>IF(C59="","",IFERROR(INDEX('Saisie'!$AF$5:$AF$2004,_xlfn.MAXIFS('Saisie'!$AS$5:$AS$2004,'Saisie'!$C$5:$C$2004,C59,'Saisie'!$AF$5:$AF$2004,"&lt;&gt;")-4),""))</f>
        <v/>
      </c>
      <c r="AD59" s="108">
        <f>IF(C59="","",IFERROR(INDEX('Saisie'!$AG$5:$AG$2004,_xlfn.MAXIFS('Saisie'!$AS$5:$AS$2004,'Saisie'!$C$5:$C$2004,C59,'Saisie'!$AG$5:$AG$2004,"&lt;&gt;")-4),""))</f>
        <v/>
      </c>
      <c r="AE59" s="60">
        <f>IF(C59="","",IFERROR(INDEX('Saisie'!$AH$5:$AH$2004,_xlfn.MAXIFS('Saisie'!$AS$5:$AS$2004,'Saisie'!$C$5:$C$2004,C59,'Saisie'!$AH$5:$AH$2004,"&lt;&gt;")-4),""))</f>
        <v/>
      </c>
      <c r="AF59" s="60">
        <f>IF(C59="","",IFERROR(INDEX('Saisie'!$AI$5:$AI$2004,_xlfn.MAXIFS('Saisie'!$AS$5:$AS$2004,'Saisie'!$C$5:$C$2004,C59,'Saisie'!$AI$5:$AI$2004,"&lt;&gt;")-4),""))</f>
        <v/>
      </c>
      <c r="AG59" s="60">
        <f>IF(C59="","",IFERROR(INDEX('Saisie'!$AJ$5:$AJ$2004,_xlfn.MAXIFS('Saisie'!$AS$5:$AS$2004,'Saisie'!$C$5:$C$2004,C59,'Saisie'!$AJ$5:$AJ$2004,"&lt;&gt;")-4),""))</f>
        <v/>
      </c>
      <c r="AH59" s="60">
        <f>IF(C59="","",IFERROR(INDEX('Saisie'!$AK$5:$AK$2004,_xlfn.MAXIFS('Saisie'!$AS$5:$AS$2004,'Saisie'!$C$5:$C$2004,C59,'Saisie'!$AK$5:$AK$2004,"&lt;&gt;")-4),""))</f>
        <v/>
      </c>
      <c r="AI59" s="60">
        <f>IF(C59="","",IFERROR(INDEX('Saisie'!$AN$5:$AN$2004,_xlfn.MAXIFS('Saisie'!$AS$5:$AS$2004,'Saisie'!$C$5:$C$2004,C59,'Saisie'!$AN$5:$AN$2004,"&lt;&gt;")-4),""))</f>
        <v/>
      </c>
      <c r="AJ59" s="60">
        <f>IF(C59="","",IFERROR(INDEX('Saisie'!$AO$5:$AO$2004,_xlfn.MAXIFS('Saisie'!$AS$5:$AS$2004,'Saisie'!$C$5:$C$2004,C59,'Saisie'!$AO$5:$AO$2004,"&lt;&gt;")-4),""))</f>
        <v/>
      </c>
      <c r="AK59" s="60">
        <f>IF(C59="","",IFERROR(INDEX('Saisie'!$AP$5:$AP$2004,_xlfn.MAXIFS('Saisie'!$AS$5:$AS$2004,'Saisie'!$C$5:$C$2004,C59,'Saisie'!$AP$5:$AP$2004,"&lt;&gt;")-4),""))</f>
        <v/>
      </c>
      <c r="AL59" s="60">
        <f>IF(C59="","",IFERROR(INDEX('Saisie'!$AQ$5:$AQ$2004,_xlfn.MAXIFS('Saisie'!$AS$5:$AS$2004,'Saisie'!$C$5:$C$2004,C59,'Saisie'!$AQ$5:$AQ$2004,"&lt;&gt;")-4),""))</f>
        <v/>
      </c>
      <c r="AM59" s="60">
        <f>IF(C59="","",((AI59="Oui")+(AJ59="Oui")+(AK59="Oui")+OR(AL59="Immédiat",AL59="&lt; 1 mois"))&amp;"/4")</f>
        <v/>
      </c>
      <c r="AN59" s="60">
        <f>IF(C59="","",IFERROR(INDEX('Saisie'!$AL$5:$AL$2004,_xlfn.MAXIFS('Saisie'!$AS$5:$AS$2004,'Saisie'!$C$5:$C$2004,C59,'Saisie'!$AL$5:$AL$2004,"&lt;&gt;")-4),""))</f>
        <v/>
      </c>
      <c r="AO59" s="62">
        <f>IF(C59="","",IF(IFERROR(INDEX('Saisie'!$AM$5:$AM$2004,_xlfn.MAXIFS('Saisie'!$AS$5:$AS$2004,'Saisie'!$C$5:$C$2004,C59,'Saisie'!$AM$5:$AM$2004,"&lt;&gt;")-4),"")&lt;&gt;"",IFERROR(INDEX('Saisie'!$AM$5:$AM$2004,_xlfn.MAXIFS('Saisie'!$AS$5:$AS$2004,'Saisie'!$C$5:$C$2004,C59,'Saisie'!$AM$5:$AM$2004,"&lt;&gt;")-4),""),IFERROR(INDEX('Paramètres'!$S$6:$S$15,MATCH(AN59,'Paramètres'!$Q$6:$Q$15,0)),"")))</f>
        <v/>
      </c>
      <c r="AP59" s="62">
        <f>IF(C59="","",IFERROR(INDEX('Saisie'!$AW$5:$AW$2004,_xlfn.MAXIFS('Saisie'!$AS$5:$AS$2004,'Saisie'!$C$5:$C$2004,C59,'Saisie'!$E$5:$E$2004,"Proposition envoyée")-4),""))</f>
        <v/>
      </c>
      <c r="AQ59" s="106">
        <f>IF(C59="","",IFERROR(1/(1/_xlfn.MAXIFS('Saisie'!$A$5:$A$2004,'Saisie'!$C$5:$C$2004,C59,'Saisie'!$E$5:$E$2004,"Proposition envoyée")),""))</f>
        <v/>
      </c>
      <c r="AR59" s="106">
        <f>IF(C59="","",IF(AQ59="","",AQ59+'Paramètres'!$B$26))</f>
        <v/>
      </c>
      <c r="AS59" s="62">
        <f>IF(OR(C59="",D59="Gagné",D59="Perdu"),0,N(AP59)*IFERROR(INDEX('Paramètres'!$G$6:$G$13,MATCH(D59,'Paramètres'!$F$6:$F$13,0)),0))</f>
        <v/>
      </c>
      <c r="AT59" s="106">
        <f>IF(C59="","",IFERROR(1/(1/_xlfn.MINIFS('Saisie'!$A$5:$A$2004,'Saisie'!$C$5:$C$2004,C59,'Saisie'!$E$5:$E$2004,"Signature")),""))</f>
        <v/>
      </c>
      <c r="AU59" s="60">
        <f>IF(C59="","",IF(OR(AT59="",B59=""),"",AT59-B59))</f>
        <v/>
      </c>
      <c r="AV59" s="60">
        <f>IF(C59="","",IFERROR(INDEX('Saisie'!$L$5:$L$2004,_xlfn.MAXIFS('Saisie'!$AS$5:$AS$2004,'Saisie'!$C$5:$C$2004,C59,'Saisie'!$L$5:$L$2004,"&lt;&gt;")-4),""))</f>
        <v/>
      </c>
      <c r="AW59" s="106">
        <f>IF(C59="","",IF(D59&lt;&gt;"Perdu","",IFERROR(1/(1/_xlfn.MAXIFS('Saisie'!$A$5:$A$2004,'Saisie'!$C$5:$C$2004,C59,'Saisie'!$E$5:$E$2004,"Perdu")),"")))</f>
        <v/>
      </c>
      <c r="AX59" s="106">
        <f>IF(C59="","",IF(AW59="","",AW59+'Paramètres'!$B$28))</f>
        <v/>
      </c>
      <c r="AY59" s="60">
        <f>IF(C59="","",SUMIFS('Saisie'!$H$5:$H$2004,'Saisie'!$C$5:$C$2004,C59))</f>
        <v/>
      </c>
      <c r="AZ59" s="60">
        <f>IF(C59="","",IFERROR(INDEX('Paramètres'!$W$6:$W$20,MATCH(S59,'Paramètres'!$V$6:$V$20,0))&amp;"",""))</f>
        <v/>
      </c>
      <c r="BA59" s="60">
        <f>IF(C59="","",MAX(1,_xlfn.MAXIFS('Saisie'!$AT$5:$AT$2004,'Saisie'!$C$5:$C$2004,C59)))</f>
        <v/>
      </c>
      <c r="BB59" s="60">
        <f>IF(C59="","",IFERROR(INDEX('Saisie'!$X$5:$X$2004,_xlfn.MAXIFS('Saisie'!$AS$5:$AS$2004,'Saisie'!$C$5:$C$2004,C59,'Saisie'!$X$5:$X$2004,"&lt;&gt;")-4),""))</f>
        <v/>
      </c>
      <c r="BC59" s="60">
        <f>IF(C59="","",IFERROR(INDEX('Saisie'!$Y$5:$Y$2004,_xlfn.MAXIFS('Saisie'!$AS$5:$AS$2004,'Saisie'!$C$5:$C$2004,C59,'Saisie'!$Y$5:$Y$2004,"&lt;&gt;")-4),""))</f>
        <v/>
      </c>
      <c r="BD59" s="106">
        <f>IF(C59="","",IFERROR(1/(1/_xlfn.MINIFS('Saisie'!$A$5:$A$2004,'Saisie'!$C$5:$C$2004,C59,'Saisie'!$AT$5:$AT$2004,"&gt;=2")),""))</f>
        <v/>
      </c>
      <c r="BE59" s="106">
        <f>IF(C59="","",IFERROR(1/(1/_xlfn.MINIFS('Saisie'!$A$5:$A$2004,'Saisie'!$C$5:$C$2004,C59,'Saisie'!$AT$5:$AT$2004,"&gt;=3")),""))</f>
        <v/>
      </c>
      <c r="BF59" s="106">
        <f>IF(C59="","",IFERROR(1/(1/_xlfn.MINIFS('Saisie'!$A$5:$A$2004,'Saisie'!$C$5:$C$2004,C59,'Saisie'!$AT$5:$AT$2004,"&gt;=4")),""))</f>
        <v/>
      </c>
      <c r="BG59" s="106">
        <f>IF(C59="","",IFERROR(1/(1/_xlfn.MINIFS('Saisie'!$A$5:$A$2004,'Saisie'!$C$5:$C$2004,C59,'Saisie'!$AT$5:$AT$2004,"&gt;=5")),""))</f>
        <v/>
      </c>
      <c r="BH59" s="106">
        <f>IF(C59="","",IFERROR(1/(1/_xlfn.MINIFS('Saisie'!$A$5:$A$2004,'Saisie'!$C$5:$C$2004,C59,'Saisie'!$AT$5:$AT$2004,"&gt;=6")),""))</f>
        <v/>
      </c>
      <c r="BI59" s="106">
        <f>IF(C59="","",IFERROR(1/(1/_xlfn.MINIFS('Saisie'!$A$5:$A$2004,'Saisie'!$C$5:$C$2004,C59,'Saisie'!$AT$5:$AT$2004,"&gt;=7")),""))</f>
        <v/>
      </c>
      <c r="BJ59" s="60">
        <f>IF(OR(BD59="",B59=""),"",BD59-B59)</f>
        <v/>
      </c>
      <c r="BK59" s="60">
        <f>IF(OR(BE59="",BD59=""),"",BE59-BD59)</f>
        <v/>
      </c>
      <c r="BL59" s="60">
        <f>IF(OR(BF59="",BE59=""),"",BF59-BE59)</f>
        <v/>
      </c>
      <c r="BM59" s="60">
        <f>IF(OR(BG59="",BF59=""),"",BG59-BF59)</f>
        <v/>
      </c>
      <c r="BN59" s="60">
        <f>IF(OR(BH59="",BG59=""),"",BH59-BG59)</f>
        <v/>
      </c>
      <c r="BO59" s="60">
        <f>IF(OR(BI59="",BH59=""),"",BI59-BH59)</f>
        <v/>
      </c>
      <c r="BP59" s="60">
        <f>IF(C59="","",_xlfn.MAXIFS('Saisie'!$AS$5:$AS$2004,'Saisie'!$C$5:$C$2004,C59,'Saisie'!$J$5:$J$2004,"&lt;&gt;"))</f>
        <v/>
      </c>
      <c r="BQ59" s="60">
        <f>IF(C59="","",_xlfn.MAXIFS('Saisie'!$AS$5:$AS$2004,'Saisie'!$C$5:$C$2004,C59))</f>
        <v/>
      </c>
      <c r="BR59" s="60">
        <f>IF(C59="","",_xlfn.MAXIFS('Saisie'!$AS$5:$AS$2004,'Saisie'!$C$5:$C$2004,C59,'Saisie'!$E$5:$E$2004,"Perdu"))</f>
        <v/>
      </c>
      <c r="BS59" s="60">
        <f>IF(C59="","",_xlfn.MAXIFS('Saisie'!$AS$5:$AS$2004,'Saisie'!$C$5:$C$2004,C59,'Saisie'!$AT$5:$AT$2004,"&gt;0"))</f>
        <v/>
      </c>
      <c r="BT59" s="109">
        <f>IF(AND(C59&lt;&gt;"",OR(D59="Nouveau",D59="Contacté",D59="Qualifié"),OR(G59="",N(G59)&lt;=TODAY()),NOT(AND(O59&gt;='Paramètres'!$B$21,P59=0))),E59+55/10000,"")</f>
        <v/>
      </c>
      <c r="BU59" s="60">
        <f>IF(AND(G59&lt;&gt;"",N(G59)&lt;=TODAY()),MAX($BU$4:BU58)+1,"")</f>
        <v/>
      </c>
      <c r="BV59" s="60">
        <f>IF(AND(F59&lt;&gt;"",F59&lt;&gt;"Relance en retard"),MAX($BV$4:BV58)+1,"")</f>
        <v/>
      </c>
      <c r="BW59" s="60">
        <f>IF(C59="","",IF(AND(B59&gt;='Tableau de bord'!$R$4,B59&lt;='Tableau de bord'!$S$4,OR('Tableau de bord'!$G$4="Tous",N59='Tableau de bord'!$G$4)),1,0))</f>
        <v/>
      </c>
      <c r="BX59" s="60">
        <f>IF(AND(C59&lt;&gt;"",N(BA59)=7),MAX($BX$4:BX58)+1,"")</f>
        <v/>
      </c>
    </row>
    <row r="60">
      <c r="A60" s="60">
        <f>IF(C60="","","P-"&amp;TEXT(56,"000"))</f>
        <v/>
      </c>
      <c r="B60" s="106">
        <f>IF(C60="","",IFERROR(1/(1/_xlfn.MINIFS('Saisie'!$A$5:$A$2004,'Saisie'!$C$5:$C$2004,C60)),""))</f>
        <v/>
      </c>
      <c r="C60" s="60">
        <f>IFERROR(INDEX('Saisie'!$C$5:$C$2004,MATCH(56,'Saisie'!$AX$5:$AX$2004,0)),"")</f>
        <v/>
      </c>
      <c r="D60" s="60">
        <f>IF(C60="","",IF(AND(BR60&gt;0,BR60&gt;BS60,BA60&lt;7),"Perdu",INDEX('Paramètres'!$F$6:$F$13,BA60)))</f>
        <v/>
      </c>
      <c r="E60" s="61">
        <f>IF(C60="","",MIN(100,(Z60="Oui")*'Paramètres'!$B$38+(AB60="Régulière")*'Paramètres'!$B$39+IF(AND(N(AA60)&gt;0,TODAY()-N(AA60)&lt;=30),'Paramètres'!$B$40,0)+(W60="")*'Paramètres'!$B$41+(AC60="Absente")*'Paramètres'!$B$42+(AC60="Faible")*'Paramètres'!$B$43+IF(AND(N(AD60)&gt;0,N(AD60)&lt;4),'Paramètres'!$B$44,0)+(AF60="Moyenne")*'Paramètres'!$B$45+(AF60="Grande")*'Paramètres'!$B$46+(Y60&lt;&gt;"")*'Paramètres'!$B$47))</f>
        <v/>
      </c>
      <c r="F60" s="60">
        <f>IF(C60="","",IF(D60="Gagné","",IF(D60="Perdu",IF(AND(AX60&lt;&gt;"",AX60&lt;=TODAY()),"À recontacter (perdu)",""),IF(AND(O60&gt;='Paramètres'!$B$21,P60=0),"Stop : "&amp;'Paramètres'!$B$21&amp;" tentatives sans réponse",IF(AND(D60="Proposition",AR60&lt;&gt;"",TODAY()&gt;N(AR60)),"Proposition expirée",IF(AND(D60="Proposition",N(R60)&gt;='Paramètres'!$B$25),"Proposition sans réponse",IF(AND(G60&lt;&gt;"",N(G60)&lt;TODAY()),"Relance en retard",IF(N(R60)&gt;='Paramètres'!$B$24,"Sans action depuis "&amp;R60&amp;" j",""))))))))</f>
        <v/>
      </c>
      <c r="G60" s="106">
        <f>IF(OR(C60="",D60="Gagné",D60="Perdu"),"",IF(AND(BP60&gt;0,BP60=BQ60),INDEX('Saisie'!$J$5:$J$2004,BP60-4),IF(OR(O60=0,AND(O60&gt;='Paramètres'!$B$21,P60=0)),"",Q60+IF(O60&lt;=1,'Paramètres'!$B$18,IF(O60=2,'Paramètres'!$B$19,'Paramètres'!$B$20)))))</f>
        <v/>
      </c>
      <c r="H60" s="107">
        <f>IF(OR(G60="",BP60&lt;&gt;BQ60),"",IF(INDEX('Saisie'!$K$5:$K$2004,BP60-4)="","",INDEX('Saisie'!$K$5:$K$2004,BP60-4)))</f>
        <v/>
      </c>
      <c r="I60" s="60">
        <f>IF(C60="","",IF(OR(D60="Gagné",D60="Perdu"),"",IFERROR(INDEX('Saisie'!$I$5:$I$2004,_xlfn.MAXIFS('Saisie'!$AS$5:$AS$2004,'Saisie'!$C$5:$C$2004,C60,'Saisie'!$I$5:$I$2004,"&lt;&gt;")-4),"")))</f>
        <v/>
      </c>
      <c r="J60" s="60">
        <f>IF(C60="","",IFERROR(INDEX('Saisie'!$U$5:$U$2004,_xlfn.MAXIFS('Saisie'!$AS$5:$AS$2004,'Saisie'!$C$5:$C$2004,C60,'Saisie'!$U$5:$U$2004,"&lt;&gt;")-4),""))</f>
        <v/>
      </c>
      <c r="K60" s="60">
        <f>IF(C60="","",IFERROR(INDEX('Saisie'!$W$5:$W$2004,_xlfn.MAXIFS('Saisie'!$AS$5:$AS$2004,'Saisie'!$C$5:$C$2004,C60,'Saisie'!$W$5:$W$2004,"&lt;&gt;")-4),""))</f>
        <v/>
      </c>
      <c r="L60" s="60">
        <f>IF(IF(BB60&lt;&gt;"",BB60,K60)="","",HYPERLINK("https://wa.me/"&amp;IF(LEFT(SUBSTITUTE(SUBSTITUTE(SUBSTITUTE(IF(BB60&lt;&gt;"",BB60,K60)," ",""),".",""),"+",""),1)="0",'Paramètres'!$B$35&amp;MID(SUBSTITUTE(SUBSTITUTE(SUBSTITUTE(IF(BB60&lt;&gt;"",BB60,K60)," ",""),".",""),"+",""),2,20),SUBSTITUTE(SUBSTITUTE(SUBSTITUTE(IF(BB60&lt;&gt;"",BB60,K60)," ",""),".",""),"+","")),"WhatsApp"))</f>
        <v/>
      </c>
      <c r="M60" s="60">
        <f>IF(BC60="","",HYPERLINK(IF(LEFT(BC60,4)="http",BC60,"https://www.instagram.com/"&amp;SUBSTITUTE(SUBSTITUTE(BC60,"@","")," ","")),BC60))</f>
        <v/>
      </c>
      <c r="N60" s="60">
        <f>IF(C60="","",IFERROR(INDEX('Saisie'!$D$5:$D$2004,_xlfn.MINIFS('Saisie'!$AS$5:$AS$2004,'Saisie'!$C$5:$C$2004,C60,'Saisie'!$AU$5:$AU$2004,1)-4),IFERROR(INDEX('Saisie'!$D$5:$D$2004,_xlfn.MINIFS('Saisie'!$AS$5:$AS$2004,'Saisie'!$C$5:$C$2004,C60,'Saisie'!$D$5:$D$2004,"&lt;&gt;")-4),"")))</f>
        <v/>
      </c>
      <c r="O60" s="60">
        <f>IF(C60="","",COUNTIFS('Saisie'!$C$5:$C$2004,C60,'Saisie'!$AU$5:$AU$2004,1))</f>
        <v/>
      </c>
      <c r="P60" s="60">
        <f>IF(C60="","",COUNTIFS('Saisie'!$C$5:$C$2004,C60,'Saisie'!$AV$5:$AV$2004,1))</f>
        <v/>
      </c>
      <c r="Q60" s="106">
        <f>IF(C60="","",IFERROR(1/(1/_xlfn.MAXIFS('Saisie'!$A$5:$A$2004,'Saisie'!$C$5:$C$2004,C60)),""))</f>
        <v/>
      </c>
      <c r="R60" s="61">
        <f>IF(C60="","",IF(Q60="","",TODAY()-Q60))</f>
        <v/>
      </c>
      <c r="S60" s="60">
        <f>IF(C60="","",IFERROR(INDEX('Saisie'!$R$5:$R$2004,_xlfn.MAXIFS('Saisie'!$AS$5:$AS$2004,'Saisie'!$C$5:$C$2004,C60,'Saisie'!$R$5:$R$2004,"&lt;&gt;")-4),""))</f>
        <v/>
      </c>
      <c r="T60" s="60">
        <f>IF(C60="","",IFERROR(INDEX('Saisie'!$S$5:$S$2004,_xlfn.MAXIFS('Saisie'!$AS$5:$AS$2004,'Saisie'!$C$5:$C$2004,C60,'Saisie'!$S$5:$S$2004,"&lt;&gt;")-4),""))</f>
        <v/>
      </c>
      <c r="U60" s="60">
        <f>IF(C60="","",IFERROR(INDEX('Saisie'!$T$5:$T$2004,_xlfn.MAXIFS('Saisie'!$AS$5:$AS$2004,'Saisie'!$C$5:$C$2004,C60,'Saisie'!$T$5:$T$2004,"&lt;&gt;")-4),""))</f>
        <v/>
      </c>
      <c r="V60" s="60">
        <f>IF(C60="","",IFERROR(INDEX('Saisie'!$V$5:$V$2004,_xlfn.MAXIFS('Saisie'!$AS$5:$AS$2004,'Saisie'!$C$5:$C$2004,C60,'Saisie'!$V$5:$V$2004,"&lt;&gt;")-4),""))</f>
        <v/>
      </c>
      <c r="W60" s="60">
        <f>IF(C60="","",IFERROR(INDEX('Saisie'!$Z$5:$Z$2004,_xlfn.MAXIFS('Saisie'!$AS$5:$AS$2004,'Saisie'!$C$5:$C$2004,C60,'Saisie'!$Z$5:$Z$2004,"&lt;&gt;")-4),""))</f>
        <v/>
      </c>
      <c r="X60" s="60">
        <f>IF(C60="","",IFERROR(INDEX('Saisie'!$AA$5:$AA$2004,_xlfn.MAXIFS('Saisie'!$AS$5:$AS$2004,'Saisie'!$C$5:$C$2004,C60,'Saisie'!$AA$5:$AA$2004,"&lt;&gt;")-4),""))</f>
        <v/>
      </c>
      <c r="Y60" s="60">
        <f>IF(C60="","",IFERROR(INDEX('Saisie'!$AB$5:$AB$2004,_xlfn.MAXIFS('Saisie'!$AS$5:$AS$2004,'Saisie'!$C$5:$C$2004,C60,'Saisie'!$AB$5:$AB$2004,"&lt;&gt;")-4),""))</f>
        <v/>
      </c>
      <c r="Z60" s="60">
        <f>IF(C60="","",IFERROR(INDEX('Saisie'!$AC$5:$AC$2004,_xlfn.MAXIFS('Saisie'!$AS$5:$AS$2004,'Saisie'!$C$5:$C$2004,C60,'Saisie'!$AC$5:$AC$2004,"&lt;&gt;")-4),""))</f>
        <v/>
      </c>
      <c r="AA60" s="106">
        <f>IF(C60="","",IFERROR(INDEX('Saisie'!$AD$5:$AD$2004,_xlfn.MAXIFS('Saisie'!$AS$5:$AS$2004,'Saisie'!$C$5:$C$2004,C60,'Saisie'!$AD$5:$AD$2004,"&lt;&gt;")-4),""))</f>
        <v/>
      </c>
      <c r="AB60" s="60">
        <f>IF(C60="","",IFERROR(INDEX('Saisie'!$AE$5:$AE$2004,_xlfn.MAXIFS('Saisie'!$AS$5:$AS$2004,'Saisie'!$C$5:$C$2004,C60,'Saisie'!$AE$5:$AE$2004,"&lt;&gt;")-4),""))</f>
        <v/>
      </c>
      <c r="AC60" s="60">
        <f>IF(C60="","",IFERROR(INDEX('Saisie'!$AF$5:$AF$2004,_xlfn.MAXIFS('Saisie'!$AS$5:$AS$2004,'Saisie'!$C$5:$C$2004,C60,'Saisie'!$AF$5:$AF$2004,"&lt;&gt;")-4),""))</f>
        <v/>
      </c>
      <c r="AD60" s="108">
        <f>IF(C60="","",IFERROR(INDEX('Saisie'!$AG$5:$AG$2004,_xlfn.MAXIFS('Saisie'!$AS$5:$AS$2004,'Saisie'!$C$5:$C$2004,C60,'Saisie'!$AG$5:$AG$2004,"&lt;&gt;")-4),""))</f>
        <v/>
      </c>
      <c r="AE60" s="60">
        <f>IF(C60="","",IFERROR(INDEX('Saisie'!$AH$5:$AH$2004,_xlfn.MAXIFS('Saisie'!$AS$5:$AS$2004,'Saisie'!$C$5:$C$2004,C60,'Saisie'!$AH$5:$AH$2004,"&lt;&gt;")-4),""))</f>
        <v/>
      </c>
      <c r="AF60" s="60">
        <f>IF(C60="","",IFERROR(INDEX('Saisie'!$AI$5:$AI$2004,_xlfn.MAXIFS('Saisie'!$AS$5:$AS$2004,'Saisie'!$C$5:$C$2004,C60,'Saisie'!$AI$5:$AI$2004,"&lt;&gt;")-4),""))</f>
        <v/>
      </c>
      <c r="AG60" s="60">
        <f>IF(C60="","",IFERROR(INDEX('Saisie'!$AJ$5:$AJ$2004,_xlfn.MAXIFS('Saisie'!$AS$5:$AS$2004,'Saisie'!$C$5:$C$2004,C60,'Saisie'!$AJ$5:$AJ$2004,"&lt;&gt;")-4),""))</f>
        <v/>
      </c>
      <c r="AH60" s="60">
        <f>IF(C60="","",IFERROR(INDEX('Saisie'!$AK$5:$AK$2004,_xlfn.MAXIFS('Saisie'!$AS$5:$AS$2004,'Saisie'!$C$5:$C$2004,C60,'Saisie'!$AK$5:$AK$2004,"&lt;&gt;")-4),""))</f>
        <v/>
      </c>
      <c r="AI60" s="60">
        <f>IF(C60="","",IFERROR(INDEX('Saisie'!$AN$5:$AN$2004,_xlfn.MAXIFS('Saisie'!$AS$5:$AS$2004,'Saisie'!$C$5:$C$2004,C60,'Saisie'!$AN$5:$AN$2004,"&lt;&gt;")-4),""))</f>
        <v/>
      </c>
      <c r="AJ60" s="60">
        <f>IF(C60="","",IFERROR(INDEX('Saisie'!$AO$5:$AO$2004,_xlfn.MAXIFS('Saisie'!$AS$5:$AS$2004,'Saisie'!$C$5:$C$2004,C60,'Saisie'!$AO$5:$AO$2004,"&lt;&gt;")-4),""))</f>
        <v/>
      </c>
      <c r="AK60" s="60">
        <f>IF(C60="","",IFERROR(INDEX('Saisie'!$AP$5:$AP$2004,_xlfn.MAXIFS('Saisie'!$AS$5:$AS$2004,'Saisie'!$C$5:$C$2004,C60,'Saisie'!$AP$5:$AP$2004,"&lt;&gt;")-4),""))</f>
        <v/>
      </c>
      <c r="AL60" s="60">
        <f>IF(C60="","",IFERROR(INDEX('Saisie'!$AQ$5:$AQ$2004,_xlfn.MAXIFS('Saisie'!$AS$5:$AS$2004,'Saisie'!$C$5:$C$2004,C60,'Saisie'!$AQ$5:$AQ$2004,"&lt;&gt;")-4),""))</f>
        <v/>
      </c>
      <c r="AM60" s="60">
        <f>IF(C60="","",((AI60="Oui")+(AJ60="Oui")+(AK60="Oui")+OR(AL60="Immédiat",AL60="&lt; 1 mois"))&amp;"/4")</f>
        <v/>
      </c>
      <c r="AN60" s="60">
        <f>IF(C60="","",IFERROR(INDEX('Saisie'!$AL$5:$AL$2004,_xlfn.MAXIFS('Saisie'!$AS$5:$AS$2004,'Saisie'!$C$5:$C$2004,C60,'Saisie'!$AL$5:$AL$2004,"&lt;&gt;")-4),""))</f>
        <v/>
      </c>
      <c r="AO60" s="62">
        <f>IF(C60="","",IF(IFERROR(INDEX('Saisie'!$AM$5:$AM$2004,_xlfn.MAXIFS('Saisie'!$AS$5:$AS$2004,'Saisie'!$C$5:$C$2004,C60,'Saisie'!$AM$5:$AM$2004,"&lt;&gt;")-4),"")&lt;&gt;"",IFERROR(INDEX('Saisie'!$AM$5:$AM$2004,_xlfn.MAXIFS('Saisie'!$AS$5:$AS$2004,'Saisie'!$C$5:$C$2004,C60,'Saisie'!$AM$5:$AM$2004,"&lt;&gt;")-4),""),IFERROR(INDEX('Paramètres'!$S$6:$S$15,MATCH(AN60,'Paramètres'!$Q$6:$Q$15,0)),"")))</f>
        <v/>
      </c>
      <c r="AP60" s="62">
        <f>IF(C60="","",IFERROR(INDEX('Saisie'!$AW$5:$AW$2004,_xlfn.MAXIFS('Saisie'!$AS$5:$AS$2004,'Saisie'!$C$5:$C$2004,C60,'Saisie'!$E$5:$E$2004,"Proposition envoyée")-4),""))</f>
        <v/>
      </c>
      <c r="AQ60" s="106">
        <f>IF(C60="","",IFERROR(1/(1/_xlfn.MAXIFS('Saisie'!$A$5:$A$2004,'Saisie'!$C$5:$C$2004,C60,'Saisie'!$E$5:$E$2004,"Proposition envoyée")),""))</f>
        <v/>
      </c>
      <c r="AR60" s="106">
        <f>IF(C60="","",IF(AQ60="","",AQ60+'Paramètres'!$B$26))</f>
        <v/>
      </c>
      <c r="AS60" s="62">
        <f>IF(OR(C60="",D60="Gagné",D60="Perdu"),0,N(AP60)*IFERROR(INDEX('Paramètres'!$G$6:$G$13,MATCH(D60,'Paramètres'!$F$6:$F$13,0)),0))</f>
        <v/>
      </c>
      <c r="AT60" s="106">
        <f>IF(C60="","",IFERROR(1/(1/_xlfn.MINIFS('Saisie'!$A$5:$A$2004,'Saisie'!$C$5:$C$2004,C60,'Saisie'!$E$5:$E$2004,"Signature")),""))</f>
        <v/>
      </c>
      <c r="AU60" s="60">
        <f>IF(C60="","",IF(OR(AT60="",B60=""),"",AT60-B60))</f>
        <v/>
      </c>
      <c r="AV60" s="60">
        <f>IF(C60="","",IFERROR(INDEX('Saisie'!$L$5:$L$2004,_xlfn.MAXIFS('Saisie'!$AS$5:$AS$2004,'Saisie'!$C$5:$C$2004,C60,'Saisie'!$L$5:$L$2004,"&lt;&gt;")-4),""))</f>
        <v/>
      </c>
      <c r="AW60" s="106">
        <f>IF(C60="","",IF(D60&lt;&gt;"Perdu","",IFERROR(1/(1/_xlfn.MAXIFS('Saisie'!$A$5:$A$2004,'Saisie'!$C$5:$C$2004,C60,'Saisie'!$E$5:$E$2004,"Perdu")),"")))</f>
        <v/>
      </c>
      <c r="AX60" s="106">
        <f>IF(C60="","",IF(AW60="","",AW60+'Paramètres'!$B$28))</f>
        <v/>
      </c>
      <c r="AY60" s="60">
        <f>IF(C60="","",SUMIFS('Saisie'!$H$5:$H$2004,'Saisie'!$C$5:$C$2004,C60))</f>
        <v/>
      </c>
      <c r="AZ60" s="60">
        <f>IF(C60="","",IFERROR(INDEX('Paramètres'!$W$6:$W$20,MATCH(S60,'Paramètres'!$V$6:$V$20,0))&amp;"",""))</f>
        <v/>
      </c>
      <c r="BA60" s="60">
        <f>IF(C60="","",MAX(1,_xlfn.MAXIFS('Saisie'!$AT$5:$AT$2004,'Saisie'!$C$5:$C$2004,C60)))</f>
        <v/>
      </c>
      <c r="BB60" s="60">
        <f>IF(C60="","",IFERROR(INDEX('Saisie'!$X$5:$X$2004,_xlfn.MAXIFS('Saisie'!$AS$5:$AS$2004,'Saisie'!$C$5:$C$2004,C60,'Saisie'!$X$5:$X$2004,"&lt;&gt;")-4),""))</f>
        <v/>
      </c>
      <c r="BC60" s="60">
        <f>IF(C60="","",IFERROR(INDEX('Saisie'!$Y$5:$Y$2004,_xlfn.MAXIFS('Saisie'!$AS$5:$AS$2004,'Saisie'!$C$5:$C$2004,C60,'Saisie'!$Y$5:$Y$2004,"&lt;&gt;")-4),""))</f>
        <v/>
      </c>
      <c r="BD60" s="106">
        <f>IF(C60="","",IFERROR(1/(1/_xlfn.MINIFS('Saisie'!$A$5:$A$2004,'Saisie'!$C$5:$C$2004,C60,'Saisie'!$AT$5:$AT$2004,"&gt;=2")),""))</f>
        <v/>
      </c>
      <c r="BE60" s="106">
        <f>IF(C60="","",IFERROR(1/(1/_xlfn.MINIFS('Saisie'!$A$5:$A$2004,'Saisie'!$C$5:$C$2004,C60,'Saisie'!$AT$5:$AT$2004,"&gt;=3")),""))</f>
        <v/>
      </c>
      <c r="BF60" s="106">
        <f>IF(C60="","",IFERROR(1/(1/_xlfn.MINIFS('Saisie'!$A$5:$A$2004,'Saisie'!$C$5:$C$2004,C60,'Saisie'!$AT$5:$AT$2004,"&gt;=4")),""))</f>
        <v/>
      </c>
      <c r="BG60" s="106">
        <f>IF(C60="","",IFERROR(1/(1/_xlfn.MINIFS('Saisie'!$A$5:$A$2004,'Saisie'!$C$5:$C$2004,C60,'Saisie'!$AT$5:$AT$2004,"&gt;=5")),""))</f>
        <v/>
      </c>
      <c r="BH60" s="106">
        <f>IF(C60="","",IFERROR(1/(1/_xlfn.MINIFS('Saisie'!$A$5:$A$2004,'Saisie'!$C$5:$C$2004,C60,'Saisie'!$AT$5:$AT$2004,"&gt;=6")),""))</f>
        <v/>
      </c>
      <c r="BI60" s="106">
        <f>IF(C60="","",IFERROR(1/(1/_xlfn.MINIFS('Saisie'!$A$5:$A$2004,'Saisie'!$C$5:$C$2004,C60,'Saisie'!$AT$5:$AT$2004,"&gt;=7")),""))</f>
        <v/>
      </c>
      <c r="BJ60" s="60">
        <f>IF(OR(BD60="",B60=""),"",BD60-B60)</f>
        <v/>
      </c>
      <c r="BK60" s="60">
        <f>IF(OR(BE60="",BD60=""),"",BE60-BD60)</f>
        <v/>
      </c>
      <c r="BL60" s="60">
        <f>IF(OR(BF60="",BE60=""),"",BF60-BE60)</f>
        <v/>
      </c>
      <c r="BM60" s="60">
        <f>IF(OR(BG60="",BF60=""),"",BG60-BF60)</f>
        <v/>
      </c>
      <c r="BN60" s="60">
        <f>IF(OR(BH60="",BG60=""),"",BH60-BG60)</f>
        <v/>
      </c>
      <c r="BO60" s="60">
        <f>IF(OR(BI60="",BH60=""),"",BI60-BH60)</f>
        <v/>
      </c>
      <c r="BP60" s="60">
        <f>IF(C60="","",_xlfn.MAXIFS('Saisie'!$AS$5:$AS$2004,'Saisie'!$C$5:$C$2004,C60,'Saisie'!$J$5:$J$2004,"&lt;&gt;"))</f>
        <v/>
      </c>
      <c r="BQ60" s="60">
        <f>IF(C60="","",_xlfn.MAXIFS('Saisie'!$AS$5:$AS$2004,'Saisie'!$C$5:$C$2004,C60))</f>
        <v/>
      </c>
      <c r="BR60" s="60">
        <f>IF(C60="","",_xlfn.MAXIFS('Saisie'!$AS$5:$AS$2004,'Saisie'!$C$5:$C$2004,C60,'Saisie'!$E$5:$E$2004,"Perdu"))</f>
        <v/>
      </c>
      <c r="BS60" s="60">
        <f>IF(C60="","",_xlfn.MAXIFS('Saisie'!$AS$5:$AS$2004,'Saisie'!$C$5:$C$2004,C60,'Saisie'!$AT$5:$AT$2004,"&gt;0"))</f>
        <v/>
      </c>
      <c r="BT60" s="109">
        <f>IF(AND(C60&lt;&gt;"",OR(D60="Nouveau",D60="Contacté",D60="Qualifié"),OR(G60="",N(G60)&lt;=TODAY()),NOT(AND(O60&gt;='Paramètres'!$B$21,P60=0))),E60+56/10000,"")</f>
        <v/>
      </c>
      <c r="BU60" s="60">
        <f>IF(AND(G60&lt;&gt;"",N(G60)&lt;=TODAY()),MAX($BU$4:BU59)+1,"")</f>
        <v/>
      </c>
      <c r="BV60" s="60">
        <f>IF(AND(F60&lt;&gt;"",F60&lt;&gt;"Relance en retard"),MAX($BV$4:BV59)+1,"")</f>
        <v/>
      </c>
      <c r="BW60" s="60">
        <f>IF(C60="","",IF(AND(B60&gt;='Tableau de bord'!$R$4,B60&lt;='Tableau de bord'!$S$4,OR('Tableau de bord'!$G$4="Tous",N60='Tableau de bord'!$G$4)),1,0))</f>
        <v/>
      </c>
      <c r="BX60" s="60">
        <f>IF(AND(C60&lt;&gt;"",N(BA60)=7),MAX($BX$4:BX59)+1,"")</f>
        <v/>
      </c>
    </row>
    <row r="61">
      <c r="A61" s="60">
        <f>IF(C61="","","P-"&amp;TEXT(57,"000"))</f>
        <v/>
      </c>
      <c r="B61" s="106">
        <f>IF(C61="","",IFERROR(1/(1/_xlfn.MINIFS('Saisie'!$A$5:$A$2004,'Saisie'!$C$5:$C$2004,C61)),""))</f>
        <v/>
      </c>
      <c r="C61" s="60">
        <f>IFERROR(INDEX('Saisie'!$C$5:$C$2004,MATCH(57,'Saisie'!$AX$5:$AX$2004,0)),"")</f>
        <v/>
      </c>
      <c r="D61" s="60">
        <f>IF(C61="","",IF(AND(BR61&gt;0,BR61&gt;BS61,BA61&lt;7),"Perdu",INDEX('Paramètres'!$F$6:$F$13,BA61)))</f>
        <v/>
      </c>
      <c r="E61" s="61">
        <f>IF(C61="","",MIN(100,(Z61="Oui")*'Paramètres'!$B$38+(AB61="Régulière")*'Paramètres'!$B$39+IF(AND(N(AA61)&gt;0,TODAY()-N(AA61)&lt;=30),'Paramètres'!$B$40,0)+(W61="")*'Paramètres'!$B$41+(AC61="Absente")*'Paramètres'!$B$42+(AC61="Faible")*'Paramètres'!$B$43+IF(AND(N(AD61)&gt;0,N(AD61)&lt;4),'Paramètres'!$B$44,0)+(AF61="Moyenne")*'Paramètres'!$B$45+(AF61="Grande")*'Paramètres'!$B$46+(Y61&lt;&gt;"")*'Paramètres'!$B$47))</f>
        <v/>
      </c>
      <c r="F61" s="60">
        <f>IF(C61="","",IF(D61="Gagné","",IF(D61="Perdu",IF(AND(AX61&lt;&gt;"",AX61&lt;=TODAY()),"À recontacter (perdu)",""),IF(AND(O61&gt;='Paramètres'!$B$21,P61=0),"Stop : "&amp;'Paramètres'!$B$21&amp;" tentatives sans réponse",IF(AND(D61="Proposition",AR61&lt;&gt;"",TODAY()&gt;N(AR61)),"Proposition expirée",IF(AND(D61="Proposition",N(R61)&gt;='Paramètres'!$B$25),"Proposition sans réponse",IF(AND(G61&lt;&gt;"",N(G61)&lt;TODAY()),"Relance en retard",IF(N(R61)&gt;='Paramètres'!$B$24,"Sans action depuis "&amp;R61&amp;" j",""))))))))</f>
        <v/>
      </c>
      <c r="G61" s="106">
        <f>IF(OR(C61="",D61="Gagné",D61="Perdu"),"",IF(AND(BP61&gt;0,BP61=BQ61),INDEX('Saisie'!$J$5:$J$2004,BP61-4),IF(OR(O61=0,AND(O61&gt;='Paramètres'!$B$21,P61=0)),"",Q61+IF(O61&lt;=1,'Paramètres'!$B$18,IF(O61=2,'Paramètres'!$B$19,'Paramètres'!$B$20)))))</f>
        <v/>
      </c>
      <c r="H61" s="107">
        <f>IF(OR(G61="",BP61&lt;&gt;BQ61),"",IF(INDEX('Saisie'!$K$5:$K$2004,BP61-4)="","",INDEX('Saisie'!$K$5:$K$2004,BP61-4)))</f>
        <v/>
      </c>
      <c r="I61" s="60">
        <f>IF(C61="","",IF(OR(D61="Gagné",D61="Perdu"),"",IFERROR(INDEX('Saisie'!$I$5:$I$2004,_xlfn.MAXIFS('Saisie'!$AS$5:$AS$2004,'Saisie'!$C$5:$C$2004,C61,'Saisie'!$I$5:$I$2004,"&lt;&gt;")-4),"")))</f>
        <v/>
      </c>
      <c r="J61" s="60">
        <f>IF(C61="","",IFERROR(INDEX('Saisie'!$U$5:$U$2004,_xlfn.MAXIFS('Saisie'!$AS$5:$AS$2004,'Saisie'!$C$5:$C$2004,C61,'Saisie'!$U$5:$U$2004,"&lt;&gt;")-4),""))</f>
        <v/>
      </c>
      <c r="K61" s="60">
        <f>IF(C61="","",IFERROR(INDEX('Saisie'!$W$5:$W$2004,_xlfn.MAXIFS('Saisie'!$AS$5:$AS$2004,'Saisie'!$C$5:$C$2004,C61,'Saisie'!$W$5:$W$2004,"&lt;&gt;")-4),""))</f>
        <v/>
      </c>
      <c r="L61" s="60">
        <f>IF(IF(BB61&lt;&gt;"",BB61,K61)="","",HYPERLINK("https://wa.me/"&amp;IF(LEFT(SUBSTITUTE(SUBSTITUTE(SUBSTITUTE(IF(BB61&lt;&gt;"",BB61,K61)," ",""),".",""),"+",""),1)="0",'Paramètres'!$B$35&amp;MID(SUBSTITUTE(SUBSTITUTE(SUBSTITUTE(IF(BB61&lt;&gt;"",BB61,K61)," ",""),".",""),"+",""),2,20),SUBSTITUTE(SUBSTITUTE(SUBSTITUTE(IF(BB61&lt;&gt;"",BB61,K61)," ",""),".",""),"+","")),"WhatsApp"))</f>
        <v/>
      </c>
      <c r="M61" s="60">
        <f>IF(BC61="","",HYPERLINK(IF(LEFT(BC61,4)="http",BC61,"https://www.instagram.com/"&amp;SUBSTITUTE(SUBSTITUTE(BC61,"@","")," ","")),BC61))</f>
        <v/>
      </c>
      <c r="N61" s="60">
        <f>IF(C61="","",IFERROR(INDEX('Saisie'!$D$5:$D$2004,_xlfn.MINIFS('Saisie'!$AS$5:$AS$2004,'Saisie'!$C$5:$C$2004,C61,'Saisie'!$AU$5:$AU$2004,1)-4),IFERROR(INDEX('Saisie'!$D$5:$D$2004,_xlfn.MINIFS('Saisie'!$AS$5:$AS$2004,'Saisie'!$C$5:$C$2004,C61,'Saisie'!$D$5:$D$2004,"&lt;&gt;")-4),"")))</f>
        <v/>
      </c>
      <c r="O61" s="60">
        <f>IF(C61="","",COUNTIFS('Saisie'!$C$5:$C$2004,C61,'Saisie'!$AU$5:$AU$2004,1))</f>
        <v/>
      </c>
      <c r="P61" s="60">
        <f>IF(C61="","",COUNTIFS('Saisie'!$C$5:$C$2004,C61,'Saisie'!$AV$5:$AV$2004,1))</f>
        <v/>
      </c>
      <c r="Q61" s="106">
        <f>IF(C61="","",IFERROR(1/(1/_xlfn.MAXIFS('Saisie'!$A$5:$A$2004,'Saisie'!$C$5:$C$2004,C61)),""))</f>
        <v/>
      </c>
      <c r="R61" s="61">
        <f>IF(C61="","",IF(Q61="","",TODAY()-Q61))</f>
        <v/>
      </c>
      <c r="S61" s="60">
        <f>IF(C61="","",IFERROR(INDEX('Saisie'!$R$5:$R$2004,_xlfn.MAXIFS('Saisie'!$AS$5:$AS$2004,'Saisie'!$C$5:$C$2004,C61,'Saisie'!$R$5:$R$2004,"&lt;&gt;")-4),""))</f>
        <v/>
      </c>
      <c r="T61" s="60">
        <f>IF(C61="","",IFERROR(INDEX('Saisie'!$S$5:$S$2004,_xlfn.MAXIFS('Saisie'!$AS$5:$AS$2004,'Saisie'!$C$5:$C$2004,C61,'Saisie'!$S$5:$S$2004,"&lt;&gt;")-4),""))</f>
        <v/>
      </c>
      <c r="U61" s="60">
        <f>IF(C61="","",IFERROR(INDEX('Saisie'!$T$5:$T$2004,_xlfn.MAXIFS('Saisie'!$AS$5:$AS$2004,'Saisie'!$C$5:$C$2004,C61,'Saisie'!$T$5:$T$2004,"&lt;&gt;")-4),""))</f>
        <v/>
      </c>
      <c r="V61" s="60">
        <f>IF(C61="","",IFERROR(INDEX('Saisie'!$V$5:$V$2004,_xlfn.MAXIFS('Saisie'!$AS$5:$AS$2004,'Saisie'!$C$5:$C$2004,C61,'Saisie'!$V$5:$V$2004,"&lt;&gt;")-4),""))</f>
        <v/>
      </c>
      <c r="W61" s="60">
        <f>IF(C61="","",IFERROR(INDEX('Saisie'!$Z$5:$Z$2004,_xlfn.MAXIFS('Saisie'!$AS$5:$AS$2004,'Saisie'!$C$5:$C$2004,C61,'Saisie'!$Z$5:$Z$2004,"&lt;&gt;")-4),""))</f>
        <v/>
      </c>
      <c r="X61" s="60">
        <f>IF(C61="","",IFERROR(INDEX('Saisie'!$AA$5:$AA$2004,_xlfn.MAXIFS('Saisie'!$AS$5:$AS$2004,'Saisie'!$C$5:$C$2004,C61,'Saisie'!$AA$5:$AA$2004,"&lt;&gt;")-4),""))</f>
        <v/>
      </c>
      <c r="Y61" s="60">
        <f>IF(C61="","",IFERROR(INDEX('Saisie'!$AB$5:$AB$2004,_xlfn.MAXIFS('Saisie'!$AS$5:$AS$2004,'Saisie'!$C$5:$C$2004,C61,'Saisie'!$AB$5:$AB$2004,"&lt;&gt;")-4),""))</f>
        <v/>
      </c>
      <c r="Z61" s="60">
        <f>IF(C61="","",IFERROR(INDEX('Saisie'!$AC$5:$AC$2004,_xlfn.MAXIFS('Saisie'!$AS$5:$AS$2004,'Saisie'!$C$5:$C$2004,C61,'Saisie'!$AC$5:$AC$2004,"&lt;&gt;")-4),""))</f>
        <v/>
      </c>
      <c r="AA61" s="106">
        <f>IF(C61="","",IFERROR(INDEX('Saisie'!$AD$5:$AD$2004,_xlfn.MAXIFS('Saisie'!$AS$5:$AS$2004,'Saisie'!$C$5:$C$2004,C61,'Saisie'!$AD$5:$AD$2004,"&lt;&gt;")-4),""))</f>
        <v/>
      </c>
      <c r="AB61" s="60">
        <f>IF(C61="","",IFERROR(INDEX('Saisie'!$AE$5:$AE$2004,_xlfn.MAXIFS('Saisie'!$AS$5:$AS$2004,'Saisie'!$C$5:$C$2004,C61,'Saisie'!$AE$5:$AE$2004,"&lt;&gt;")-4),""))</f>
        <v/>
      </c>
      <c r="AC61" s="60">
        <f>IF(C61="","",IFERROR(INDEX('Saisie'!$AF$5:$AF$2004,_xlfn.MAXIFS('Saisie'!$AS$5:$AS$2004,'Saisie'!$C$5:$C$2004,C61,'Saisie'!$AF$5:$AF$2004,"&lt;&gt;")-4),""))</f>
        <v/>
      </c>
      <c r="AD61" s="108">
        <f>IF(C61="","",IFERROR(INDEX('Saisie'!$AG$5:$AG$2004,_xlfn.MAXIFS('Saisie'!$AS$5:$AS$2004,'Saisie'!$C$5:$C$2004,C61,'Saisie'!$AG$5:$AG$2004,"&lt;&gt;")-4),""))</f>
        <v/>
      </c>
      <c r="AE61" s="60">
        <f>IF(C61="","",IFERROR(INDEX('Saisie'!$AH$5:$AH$2004,_xlfn.MAXIFS('Saisie'!$AS$5:$AS$2004,'Saisie'!$C$5:$C$2004,C61,'Saisie'!$AH$5:$AH$2004,"&lt;&gt;")-4),""))</f>
        <v/>
      </c>
      <c r="AF61" s="60">
        <f>IF(C61="","",IFERROR(INDEX('Saisie'!$AI$5:$AI$2004,_xlfn.MAXIFS('Saisie'!$AS$5:$AS$2004,'Saisie'!$C$5:$C$2004,C61,'Saisie'!$AI$5:$AI$2004,"&lt;&gt;")-4),""))</f>
        <v/>
      </c>
      <c r="AG61" s="60">
        <f>IF(C61="","",IFERROR(INDEX('Saisie'!$AJ$5:$AJ$2004,_xlfn.MAXIFS('Saisie'!$AS$5:$AS$2004,'Saisie'!$C$5:$C$2004,C61,'Saisie'!$AJ$5:$AJ$2004,"&lt;&gt;")-4),""))</f>
        <v/>
      </c>
      <c r="AH61" s="60">
        <f>IF(C61="","",IFERROR(INDEX('Saisie'!$AK$5:$AK$2004,_xlfn.MAXIFS('Saisie'!$AS$5:$AS$2004,'Saisie'!$C$5:$C$2004,C61,'Saisie'!$AK$5:$AK$2004,"&lt;&gt;")-4),""))</f>
        <v/>
      </c>
      <c r="AI61" s="60">
        <f>IF(C61="","",IFERROR(INDEX('Saisie'!$AN$5:$AN$2004,_xlfn.MAXIFS('Saisie'!$AS$5:$AS$2004,'Saisie'!$C$5:$C$2004,C61,'Saisie'!$AN$5:$AN$2004,"&lt;&gt;")-4),""))</f>
        <v/>
      </c>
      <c r="AJ61" s="60">
        <f>IF(C61="","",IFERROR(INDEX('Saisie'!$AO$5:$AO$2004,_xlfn.MAXIFS('Saisie'!$AS$5:$AS$2004,'Saisie'!$C$5:$C$2004,C61,'Saisie'!$AO$5:$AO$2004,"&lt;&gt;")-4),""))</f>
        <v/>
      </c>
      <c r="AK61" s="60">
        <f>IF(C61="","",IFERROR(INDEX('Saisie'!$AP$5:$AP$2004,_xlfn.MAXIFS('Saisie'!$AS$5:$AS$2004,'Saisie'!$C$5:$C$2004,C61,'Saisie'!$AP$5:$AP$2004,"&lt;&gt;")-4),""))</f>
        <v/>
      </c>
      <c r="AL61" s="60">
        <f>IF(C61="","",IFERROR(INDEX('Saisie'!$AQ$5:$AQ$2004,_xlfn.MAXIFS('Saisie'!$AS$5:$AS$2004,'Saisie'!$C$5:$C$2004,C61,'Saisie'!$AQ$5:$AQ$2004,"&lt;&gt;")-4),""))</f>
        <v/>
      </c>
      <c r="AM61" s="60">
        <f>IF(C61="","",((AI61="Oui")+(AJ61="Oui")+(AK61="Oui")+OR(AL61="Immédiat",AL61="&lt; 1 mois"))&amp;"/4")</f>
        <v/>
      </c>
      <c r="AN61" s="60">
        <f>IF(C61="","",IFERROR(INDEX('Saisie'!$AL$5:$AL$2004,_xlfn.MAXIFS('Saisie'!$AS$5:$AS$2004,'Saisie'!$C$5:$C$2004,C61,'Saisie'!$AL$5:$AL$2004,"&lt;&gt;")-4),""))</f>
        <v/>
      </c>
      <c r="AO61" s="62">
        <f>IF(C61="","",IF(IFERROR(INDEX('Saisie'!$AM$5:$AM$2004,_xlfn.MAXIFS('Saisie'!$AS$5:$AS$2004,'Saisie'!$C$5:$C$2004,C61,'Saisie'!$AM$5:$AM$2004,"&lt;&gt;")-4),"")&lt;&gt;"",IFERROR(INDEX('Saisie'!$AM$5:$AM$2004,_xlfn.MAXIFS('Saisie'!$AS$5:$AS$2004,'Saisie'!$C$5:$C$2004,C61,'Saisie'!$AM$5:$AM$2004,"&lt;&gt;")-4),""),IFERROR(INDEX('Paramètres'!$S$6:$S$15,MATCH(AN61,'Paramètres'!$Q$6:$Q$15,0)),"")))</f>
        <v/>
      </c>
      <c r="AP61" s="62">
        <f>IF(C61="","",IFERROR(INDEX('Saisie'!$AW$5:$AW$2004,_xlfn.MAXIFS('Saisie'!$AS$5:$AS$2004,'Saisie'!$C$5:$C$2004,C61,'Saisie'!$E$5:$E$2004,"Proposition envoyée")-4),""))</f>
        <v/>
      </c>
      <c r="AQ61" s="106">
        <f>IF(C61="","",IFERROR(1/(1/_xlfn.MAXIFS('Saisie'!$A$5:$A$2004,'Saisie'!$C$5:$C$2004,C61,'Saisie'!$E$5:$E$2004,"Proposition envoyée")),""))</f>
        <v/>
      </c>
      <c r="AR61" s="106">
        <f>IF(C61="","",IF(AQ61="","",AQ61+'Paramètres'!$B$26))</f>
        <v/>
      </c>
      <c r="AS61" s="62">
        <f>IF(OR(C61="",D61="Gagné",D61="Perdu"),0,N(AP61)*IFERROR(INDEX('Paramètres'!$G$6:$G$13,MATCH(D61,'Paramètres'!$F$6:$F$13,0)),0))</f>
        <v/>
      </c>
      <c r="AT61" s="106">
        <f>IF(C61="","",IFERROR(1/(1/_xlfn.MINIFS('Saisie'!$A$5:$A$2004,'Saisie'!$C$5:$C$2004,C61,'Saisie'!$E$5:$E$2004,"Signature")),""))</f>
        <v/>
      </c>
      <c r="AU61" s="60">
        <f>IF(C61="","",IF(OR(AT61="",B61=""),"",AT61-B61))</f>
        <v/>
      </c>
      <c r="AV61" s="60">
        <f>IF(C61="","",IFERROR(INDEX('Saisie'!$L$5:$L$2004,_xlfn.MAXIFS('Saisie'!$AS$5:$AS$2004,'Saisie'!$C$5:$C$2004,C61,'Saisie'!$L$5:$L$2004,"&lt;&gt;")-4),""))</f>
        <v/>
      </c>
      <c r="AW61" s="106">
        <f>IF(C61="","",IF(D61&lt;&gt;"Perdu","",IFERROR(1/(1/_xlfn.MAXIFS('Saisie'!$A$5:$A$2004,'Saisie'!$C$5:$C$2004,C61,'Saisie'!$E$5:$E$2004,"Perdu")),"")))</f>
        <v/>
      </c>
      <c r="AX61" s="106">
        <f>IF(C61="","",IF(AW61="","",AW61+'Paramètres'!$B$28))</f>
        <v/>
      </c>
      <c r="AY61" s="60">
        <f>IF(C61="","",SUMIFS('Saisie'!$H$5:$H$2004,'Saisie'!$C$5:$C$2004,C61))</f>
        <v/>
      </c>
      <c r="AZ61" s="60">
        <f>IF(C61="","",IFERROR(INDEX('Paramètres'!$W$6:$W$20,MATCH(S61,'Paramètres'!$V$6:$V$20,0))&amp;"",""))</f>
        <v/>
      </c>
      <c r="BA61" s="60">
        <f>IF(C61="","",MAX(1,_xlfn.MAXIFS('Saisie'!$AT$5:$AT$2004,'Saisie'!$C$5:$C$2004,C61)))</f>
        <v/>
      </c>
      <c r="BB61" s="60">
        <f>IF(C61="","",IFERROR(INDEX('Saisie'!$X$5:$X$2004,_xlfn.MAXIFS('Saisie'!$AS$5:$AS$2004,'Saisie'!$C$5:$C$2004,C61,'Saisie'!$X$5:$X$2004,"&lt;&gt;")-4),""))</f>
        <v/>
      </c>
      <c r="BC61" s="60">
        <f>IF(C61="","",IFERROR(INDEX('Saisie'!$Y$5:$Y$2004,_xlfn.MAXIFS('Saisie'!$AS$5:$AS$2004,'Saisie'!$C$5:$C$2004,C61,'Saisie'!$Y$5:$Y$2004,"&lt;&gt;")-4),""))</f>
        <v/>
      </c>
      <c r="BD61" s="106">
        <f>IF(C61="","",IFERROR(1/(1/_xlfn.MINIFS('Saisie'!$A$5:$A$2004,'Saisie'!$C$5:$C$2004,C61,'Saisie'!$AT$5:$AT$2004,"&gt;=2")),""))</f>
        <v/>
      </c>
      <c r="BE61" s="106">
        <f>IF(C61="","",IFERROR(1/(1/_xlfn.MINIFS('Saisie'!$A$5:$A$2004,'Saisie'!$C$5:$C$2004,C61,'Saisie'!$AT$5:$AT$2004,"&gt;=3")),""))</f>
        <v/>
      </c>
      <c r="BF61" s="106">
        <f>IF(C61="","",IFERROR(1/(1/_xlfn.MINIFS('Saisie'!$A$5:$A$2004,'Saisie'!$C$5:$C$2004,C61,'Saisie'!$AT$5:$AT$2004,"&gt;=4")),""))</f>
        <v/>
      </c>
      <c r="BG61" s="106">
        <f>IF(C61="","",IFERROR(1/(1/_xlfn.MINIFS('Saisie'!$A$5:$A$2004,'Saisie'!$C$5:$C$2004,C61,'Saisie'!$AT$5:$AT$2004,"&gt;=5")),""))</f>
        <v/>
      </c>
      <c r="BH61" s="106">
        <f>IF(C61="","",IFERROR(1/(1/_xlfn.MINIFS('Saisie'!$A$5:$A$2004,'Saisie'!$C$5:$C$2004,C61,'Saisie'!$AT$5:$AT$2004,"&gt;=6")),""))</f>
        <v/>
      </c>
      <c r="BI61" s="106">
        <f>IF(C61="","",IFERROR(1/(1/_xlfn.MINIFS('Saisie'!$A$5:$A$2004,'Saisie'!$C$5:$C$2004,C61,'Saisie'!$AT$5:$AT$2004,"&gt;=7")),""))</f>
        <v/>
      </c>
      <c r="BJ61" s="60">
        <f>IF(OR(BD61="",B61=""),"",BD61-B61)</f>
        <v/>
      </c>
      <c r="BK61" s="60">
        <f>IF(OR(BE61="",BD61=""),"",BE61-BD61)</f>
        <v/>
      </c>
      <c r="BL61" s="60">
        <f>IF(OR(BF61="",BE61=""),"",BF61-BE61)</f>
        <v/>
      </c>
      <c r="BM61" s="60">
        <f>IF(OR(BG61="",BF61=""),"",BG61-BF61)</f>
        <v/>
      </c>
      <c r="BN61" s="60">
        <f>IF(OR(BH61="",BG61=""),"",BH61-BG61)</f>
        <v/>
      </c>
      <c r="BO61" s="60">
        <f>IF(OR(BI61="",BH61=""),"",BI61-BH61)</f>
        <v/>
      </c>
      <c r="BP61" s="60">
        <f>IF(C61="","",_xlfn.MAXIFS('Saisie'!$AS$5:$AS$2004,'Saisie'!$C$5:$C$2004,C61,'Saisie'!$J$5:$J$2004,"&lt;&gt;"))</f>
        <v/>
      </c>
      <c r="BQ61" s="60">
        <f>IF(C61="","",_xlfn.MAXIFS('Saisie'!$AS$5:$AS$2004,'Saisie'!$C$5:$C$2004,C61))</f>
        <v/>
      </c>
      <c r="BR61" s="60">
        <f>IF(C61="","",_xlfn.MAXIFS('Saisie'!$AS$5:$AS$2004,'Saisie'!$C$5:$C$2004,C61,'Saisie'!$E$5:$E$2004,"Perdu"))</f>
        <v/>
      </c>
      <c r="BS61" s="60">
        <f>IF(C61="","",_xlfn.MAXIFS('Saisie'!$AS$5:$AS$2004,'Saisie'!$C$5:$C$2004,C61,'Saisie'!$AT$5:$AT$2004,"&gt;0"))</f>
        <v/>
      </c>
      <c r="BT61" s="109">
        <f>IF(AND(C61&lt;&gt;"",OR(D61="Nouveau",D61="Contacté",D61="Qualifié"),OR(G61="",N(G61)&lt;=TODAY()),NOT(AND(O61&gt;='Paramètres'!$B$21,P61=0))),E61+57/10000,"")</f>
        <v/>
      </c>
      <c r="BU61" s="60">
        <f>IF(AND(G61&lt;&gt;"",N(G61)&lt;=TODAY()),MAX($BU$4:BU60)+1,"")</f>
        <v/>
      </c>
      <c r="BV61" s="60">
        <f>IF(AND(F61&lt;&gt;"",F61&lt;&gt;"Relance en retard"),MAX($BV$4:BV60)+1,"")</f>
        <v/>
      </c>
      <c r="BW61" s="60">
        <f>IF(C61="","",IF(AND(B61&gt;='Tableau de bord'!$R$4,B61&lt;='Tableau de bord'!$S$4,OR('Tableau de bord'!$G$4="Tous",N61='Tableau de bord'!$G$4)),1,0))</f>
        <v/>
      </c>
      <c r="BX61" s="60">
        <f>IF(AND(C61&lt;&gt;"",N(BA61)=7),MAX($BX$4:BX60)+1,"")</f>
        <v/>
      </c>
    </row>
    <row r="62">
      <c r="A62" s="60">
        <f>IF(C62="","","P-"&amp;TEXT(58,"000"))</f>
        <v/>
      </c>
      <c r="B62" s="106">
        <f>IF(C62="","",IFERROR(1/(1/_xlfn.MINIFS('Saisie'!$A$5:$A$2004,'Saisie'!$C$5:$C$2004,C62)),""))</f>
        <v/>
      </c>
      <c r="C62" s="60">
        <f>IFERROR(INDEX('Saisie'!$C$5:$C$2004,MATCH(58,'Saisie'!$AX$5:$AX$2004,0)),"")</f>
        <v/>
      </c>
      <c r="D62" s="60">
        <f>IF(C62="","",IF(AND(BR62&gt;0,BR62&gt;BS62,BA62&lt;7),"Perdu",INDEX('Paramètres'!$F$6:$F$13,BA62)))</f>
        <v/>
      </c>
      <c r="E62" s="61">
        <f>IF(C62="","",MIN(100,(Z62="Oui")*'Paramètres'!$B$38+(AB62="Régulière")*'Paramètres'!$B$39+IF(AND(N(AA62)&gt;0,TODAY()-N(AA62)&lt;=30),'Paramètres'!$B$40,0)+(W62="")*'Paramètres'!$B$41+(AC62="Absente")*'Paramètres'!$B$42+(AC62="Faible")*'Paramètres'!$B$43+IF(AND(N(AD62)&gt;0,N(AD62)&lt;4),'Paramètres'!$B$44,0)+(AF62="Moyenne")*'Paramètres'!$B$45+(AF62="Grande")*'Paramètres'!$B$46+(Y62&lt;&gt;"")*'Paramètres'!$B$47))</f>
        <v/>
      </c>
      <c r="F62" s="60">
        <f>IF(C62="","",IF(D62="Gagné","",IF(D62="Perdu",IF(AND(AX62&lt;&gt;"",AX62&lt;=TODAY()),"À recontacter (perdu)",""),IF(AND(O62&gt;='Paramètres'!$B$21,P62=0),"Stop : "&amp;'Paramètres'!$B$21&amp;" tentatives sans réponse",IF(AND(D62="Proposition",AR62&lt;&gt;"",TODAY()&gt;N(AR62)),"Proposition expirée",IF(AND(D62="Proposition",N(R62)&gt;='Paramètres'!$B$25),"Proposition sans réponse",IF(AND(G62&lt;&gt;"",N(G62)&lt;TODAY()),"Relance en retard",IF(N(R62)&gt;='Paramètres'!$B$24,"Sans action depuis "&amp;R62&amp;" j",""))))))))</f>
        <v/>
      </c>
      <c r="G62" s="106">
        <f>IF(OR(C62="",D62="Gagné",D62="Perdu"),"",IF(AND(BP62&gt;0,BP62=BQ62),INDEX('Saisie'!$J$5:$J$2004,BP62-4),IF(OR(O62=0,AND(O62&gt;='Paramètres'!$B$21,P62=0)),"",Q62+IF(O62&lt;=1,'Paramètres'!$B$18,IF(O62=2,'Paramètres'!$B$19,'Paramètres'!$B$20)))))</f>
        <v/>
      </c>
      <c r="H62" s="107">
        <f>IF(OR(G62="",BP62&lt;&gt;BQ62),"",IF(INDEX('Saisie'!$K$5:$K$2004,BP62-4)="","",INDEX('Saisie'!$K$5:$K$2004,BP62-4)))</f>
        <v/>
      </c>
      <c r="I62" s="60">
        <f>IF(C62="","",IF(OR(D62="Gagné",D62="Perdu"),"",IFERROR(INDEX('Saisie'!$I$5:$I$2004,_xlfn.MAXIFS('Saisie'!$AS$5:$AS$2004,'Saisie'!$C$5:$C$2004,C62,'Saisie'!$I$5:$I$2004,"&lt;&gt;")-4),"")))</f>
        <v/>
      </c>
      <c r="J62" s="60">
        <f>IF(C62="","",IFERROR(INDEX('Saisie'!$U$5:$U$2004,_xlfn.MAXIFS('Saisie'!$AS$5:$AS$2004,'Saisie'!$C$5:$C$2004,C62,'Saisie'!$U$5:$U$2004,"&lt;&gt;")-4),""))</f>
        <v/>
      </c>
      <c r="K62" s="60">
        <f>IF(C62="","",IFERROR(INDEX('Saisie'!$W$5:$W$2004,_xlfn.MAXIFS('Saisie'!$AS$5:$AS$2004,'Saisie'!$C$5:$C$2004,C62,'Saisie'!$W$5:$W$2004,"&lt;&gt;")-4),""))</f>
        <v/>
      </c>
      <c r="L62" s="60">
        <f>IF(IF(BB62&lt;&gt;"",BB62,K62)="","",HYPERLINK("https://wa.me/"&amp;IF(LEFT(SUBSTITUTE(SUBSTITUTE(SUBSTITUTE(IF(BB62&lt;&gt;"",BB62,K62)," ",""),".",""),"+",""),1)="0",'Paramètres'!$B$35&amp;MID(SUBSTITUTE(SUBSTITUTE(SUBSTITUTE(IF(BB62&lt;&gt;"",BB62,K62)," ",""),".",""),"+",""),2,20),SUBSTITUTE(SUBSTITUTE(SUBSTITUTE(IF(BB62&lt;&gt;"",BB62,K62)," ",""),".",""),"+","")),"WhatsApp"))</f>
        <v/>
      </c>
      <c r="M62" s="60">
        <f>IF(BC62="","",HYPERLINK(IF(LEFT(BC62,4)="http",BC62,"https://www.instagram.com/"&amp;SUBSTITUTE(SUBSTITUTE(BC62,"@","")," ","")),BC62))</f>
        <v/>
      </c>
      <c r="N62" s="60">
        <f>IF(C62="","",IFERROR(INDEX('Saisie'!$D$5:$D$2004,_xlfn.MINIFS('Saisie'!$AS$5:$AS$2004,'Saisie'!$C$5:$C$2004,C62,'Saisie'!$AU$5:$AU$2004,1)-4),IFERROR(INDEX('Saisie'!$D$5:$D$2004,_xlfn.MINIFS('Saisie'!$AS$5:$AS$2004,'Saisie'!$C$5:$C$2004,C62,'Saisie'!$D$5:$D$2004,"&lt;&gt;")-4),"")))</f>
        <v/>
      </c>
      <c r="O62" s="60">
        <f>IF(C62="","",COUNTIFS('Saisie'!$C$5:$C$2004,C62,'Saisie'!$AU$5:$AU$2004,1))</f>
        <v/>
      </c>
      <c r="P62" s="60">
        <f>IF(C62="","",COUNTIFS('Saisie'!$C$5:$C$2004,C62,'Saisie'!$AV$5:$AV$2004,1))</f>
        <v/>
      </c>
      <c r="Q62" s="106">
        <f>IF(C62="","",IFERROR(1/(1/_xlfn.MAXIFS('Saisie'!$A$5:$A$2004,'Saisie'!$C$5:$C$2004,C62)),""))</f>
        <v/>
      </c>
      <c r="R62" s="61">
        <f>IF(C62="","",IF(Q62="","",TODAY()-Q62))</f>
        <v/>
      </c>
      <c r="S62" s="60">
        <f>IF(C62="","",IFERROR(INDEX('Saisie'!$R$5:$R$2004,_xlfn.MAXIFS('Saisie'!$AS$5:$AS$2004,'Saisie'!$C$5:$C$2004,C62,'Saisie'!$R$5:$R$2004,"&lt;&gt;")-4),""))</f>
        <v/>
      </c>
      <c r="T62" s="60">
        <f>IF(C62="","",IFERROR(INDEX('Saisie'!$S$5:$S$2004,_xlfn.MAXIFS('Saisie'!$AS$5:$AS$2004,'Saisie'!$C$5:$C$2004,C62,'Saisie'!$S$5:$S$2004,"&lt;&gt;")-4),""))</f>
        <v/>
      </c>
      <c r="U62" s="60">
        <f>IF(C62="","",IFERROR(INDEX('Saisie'!$T$5:$T$2004,_xlfn.MAXIFS('Saisie'!$AS$5:$AS$2004,'Saisie'!$C$5:$C$2004,C62,'Saisie'!$T$5:$T$2004,"&lt;&gt;")-4),""))</f>
        <v/>
      </c>
      <c r="V62" s="60">
        <f>IF(C62="","",IFERROR(INDEX('Saisie'!$V$5:$V$2004,_xlfn.MAXIFS('Saisie'!$AS$5:$AS$2004,'Saisie'!$C$5:$C$2004,C62,'Saisie'!$V$5:$V$2004,"&lt;&gt;")-4),""))</f>
        <v/>
      </c>
      <c r="W62" s="60">
        <f>IF(C62="","",IFERROR(INDEX('Saisie'!$Z$5:$Z$2004,_xlfn.MAXIFS('Saisie'!$AS$5:$AS$2004,'Saisie'!$C$5:$C$2004,C62,'Saisie'!$Z$5:$Z$2004,"&lt;&gt;")-4),""))</f>
        <v/>
      </c>
      <c r="X62" s="60">
        <f>IF(C62="","",IFERROR(INDEX('Saisie'!$AA$5:$AA$2004,_xlfn.MAXIFS('Saisie'!$AS$5:$AS$2004,'Saisie'!$C$5:$C$2004,C62,'Saisie'!$AA$5:$AA$2004,"&lt;&gt;")-4),""))</f>
        <v/>
      </c>
      <c r="Y62" s="60">
        <f>IF(C62="","",IFERROR(INDEX('Saisie'!$AB$5:$AB$2004,_xlfn.MAXIFS('Saisie'!$AS$5:$AS$2004,'Saisie'!$C$5:$C$2004,C62,'Saisie'!$AB$5:$AB$2004,"&lt;&gt;")-4),""))</f>
        <v/>
      </c>
      <c r="Z62" s="60">
        <f>IF(C62="","",IFERROR(INDEX('Saisie'!$AC$5:$AC$2004,_xlfn.MAXIFS('Saisie'!$AS$5:$AS$2004,'Saisie'!$C$5:$C$2004,C62,'Saisie'!$AC$5:$AC$2004,"&lt;&gt;")-4),""))</f>
        <v/>
      </c>
      <c r="AA62" s="106">
        <f>IF(C62="","",IFERROR(INDEX('Saisie'!$AD$5:$AD$2004,_xlfn.MAXIFS('Saisie'!$AS$5:$AS$2004,'Saisie'!$C$5:$C$2004,C62,'Saisie'!$AD$5:$AD$2004,"&lt;&gt;")-4),""))</f>
        <v/>
      </c>
      <c r="AB62" s="60">
        <f>IF(C62="","",IFERROR(INDEX('Saisie'!$AE$5:$AE$2004,_xlfn.MAXIFS('Saisie'!$AS$5:$AS$2004,'Saisie'!$C$5:$C$2004,C62,'Saisie'!$AE$5:$AE$2004,"&lt;&gt;")-4),""))</f>
        <v/>
      </c>
      <c r="AC62" s="60">
        <f>IF(C62="","",IFERROR(INDEX('Saisie'!$AF$5:$AF$2004,_xlfn.MAXIFS('Saisie'!$AS$5:$AS$2004,'Saisie'!$C$5:$C$2004,C62,'Saisie'!$AF$5:$AF$2004,"&lt;&gt;")-4),""))</f>
        <v/>
      </c>
      <c r="AD62" s="108">
        <f>IF(C62="","",IFERROR(INDEX('Saisie'!$AG$5:$AG$2004,_xlfn.MAXIFS('Saisie'!$AS$5:$AS$2004,'Saisie'!$C$5:$C$2004,C62,'Saisie'!$AG$5:$AG$2004,"&lt;&gt;")-4),""))</f>
        <v/>
      </c>
      <c r="AE62" s="60">
        <f>IF(C62="","",IFERROR(INDEX('Saisie'!$AH$5:$AH$2004,_xlfn.MAXIFS('Saisie'!$AS$5:$AS$2004,'Saisie'!$C$5:$C$2004,C62,'Saisie'!$AH$5:$AH$2004,"&lt;&gt;")-4),""))</f>
        <v/>
      </c>
      <c r="AF62" s="60">
        <f>IF(C62="","",IFERROR(INDEX('Saisie'!$AI$5:$AI$2004,_xlfn.MAXIFS('Saisie'!$AS$5:$AS$2004,'Saisie'!$C$5:$C$2004,C62,'Saisie'!$AI$5:$AI$2004,"&lt;&gt;")-4),""))</f>
        <v/>
      </c>
      <c r="AG62" s="60">
        <f>IF(C62="","",IFERROR(INDEX('Saisie'!$AJ$5:$AJ$2004,_xlfn.MAXIFS('Saisie'!$AS$5:$AS$2004,'Saisie'!$C$5:$C$2004,C62,'Saisie'!$AJ$5:$AJ$2004,"&lt;&gt;")-4),""))</f>
        <v/>
      </c>
      <c r="AH62" s="60">
        <f>IF(C62="","",IFERROR(INDEX('Saisie'!$AK$5:$AK$2004,_xlfn.MAXIFS('Saisie'!$AS$5:$AS$2004,'Saisie'!$C$5:$C$2004,C62,'Saisie'!$AK$5:$AK$2004,"&lt;&gt;")-4),""))</f>
        <v/>
      </c>
      <c r="AI62" s="60">
        <f>IF(C62="","",IFERROR(INDEX('Saisie'!$AN$5:$AN$2004,_xlfn.MAXIFS('Saisie'!$AS$5:$AS$2004,'Saisie'!$C$5:$C$2004,C62,'Saisie'!$AN$5:$AN$2004,"&lt;&gt;")-4),""))</f>
        <v/>
      </c>
      <c r="AJ62" s="60">
        <f>IF(C62="","",IFERROR(INDEX('Saisie'!$AO$5:$AO$2004,_xlfn.MAXIFS('Saisie'!$AS$5:$AS$2004,'Saisie'!$C$5:$C$2004,C62,'Saisie'!$AO$5:$AO$2004,"&lt;&gt;")-4),""))</f>
        <v/>
      </c>
      <c r="AK62" s="60">
        <f>IF(C62="","",IFERROR(INDEX('Saisie'!$AP$5:$AP$2004,_xlfn.MAXIFS('Saisie'!$AS$5:$AS$2004,'Saisie'!$C$5:$C$2004,C62,'Saisie'!$AP$5:$AP$2004,"&lt;&gt;")-4),""))</f>
        <v/>
      </c>
      <c r="AL62" s="60">
        <f>IF(C62="","",IFERROR(INDEX('Saisie'!$AQ$5:$AQ$2004,_xlfn.MAXIFS('Saisie'!$AS$5:$AS$2004,'Saisie'!$C$5:$C$2004,C62,'Saisie'!$AQ$5:$AQ$2004,"&lt;&gt;")-4),""))</f>
        <v/>
      </c>
      <c r="AM62" s="60">
        <f>IF(C62="","",((AI62="Oui")+(AJ62="Oui")+(AK62="Oui")+OR(AL62="Immédiat",AL62="&lt; 1 mois"))&amp;"/4")</f>
        <v/>
      </c>
      <c r="AN62" s="60">
        <f>IF(C62="","",IFERROR(INDEX('Saisie'!$AL$5:$AL$2004,_xlfn.MAXIFS('Saisie'!$AS$5:$AS$2004,'Saisie'!$C$5:$C$2004,C62,'Saisie'!$AL$5:$AL$2004,"&lt;&gt;")-4),""))</f>
        <v/>
      </c>
      <c r="AO62" s="62">
        <f>IF(C62="","",IF(IFERROR(INDEX('Saisie'!$AM$5:$AM$2004,_xlfn.MAXIFS('Saisie'!$AS$5:$AS$2004,'Saisie'!$C$5:$C$2004,C62,'Saisie'!$AM$5:$AM$2004,"&lt;&gt;")-4),"")&lt;&gt;"",IFERROR(INDEX('Saisie'!$AM$5:$AM$2004,_xlfn.MAXIFS('Saisie'!$AS$5:$AS$2004,'Saisie'!$C$5:$C$2004,C62,'Saisie'!$AM$5:$AM$2004,"&lt;&gt;")-4),""),IFERROR(INDEX('Paramètres'!$S$6:$S$15,MATCH(AN62,'Paramètres'!$Q$6:$Q$15,0)),"")))</f>
        <v/>
      </c>
      <c r="AP62" s="62">
        <f>IF(C62="","",IFERROR(INDEX('Saisie'!$AW$5:$AW$2004,_xlfn.MAXIFS('Saisie'!$AS$5:$AS$2004,'Saisie'!$C$5:$C$2004,C62,'Saisie'!$E$5:$E$2004,"Proposition envoyée")-4),""))</f>
        <v/>
      </c>
      <c r="AQ62" s="106">
        <f>IF(C62="","",IFERROR(1/(1/_xlfn.MAXIFS('Saisie'!$A$5:$A$2004,'Saisie'!$C$5:$C$2004,C62,'Saisie'!$E$5:$E$2004,"Proposition envoyée")),""))</f>
        <v/>
      </c>
      <c r="AR62" s="106">
        <f>IF(C62="","",IF(AQ62="","",AQ62+'Paramètres'!$B$26))</f>
        <v/>
      </c>
      <c r="AS62" s="62">
        <f>IF(OR(C62="",D62="Gagné",D62="Perdu"),0,N(AP62)*IFERROR(INDEX('Paramètres'!$G$6:$G$13,MATCH(D62,'Paramètres'!$F$6:$F$13,0)),0))</f>
        <v/>
      </c>
      <c r="AT62" s="106">
        <f>IF(C62="","",IFERROR(1/(1/_xlfn.MINIFS('Saisie'!$A$5:$A$2004,'Saisie'!$C$5:$C$2004,C62,'Saisie'!$E$5:$E$2004,"Signature")),""))</f>
        <v/>
      </c>
      <c r="AU62" s="60">
        <f>IF(C62="","",IF(OR(AT62="",B62=""),"",AT62-B62))</f>
        <v/>
      </c>
      <c r="AV62" s="60">
        <f>IF(C62="","",IFERROR(INDEX('Saisie'!$L$5:$L$2004,_xlfn.MAXIFS('Saisie'!$AS$5:$AS$2004,'Saisie'!$C$5:$C$2004,C62,'Saisie'!$L$5:$L$2004,"&lt;&gt;")-4),""))</f>
        <v/>
      </c>
      <c r="AW62" s="106">
        <f>IF(C62="","",IF(D62&lt;&gt;"Perdu","",IFERROR(1/(1/_xlfn.MAXIFS('Saisie'!$A$5:$A$2004,'Saisie'!$C$5:$C$2004,C62,'Saisie'!$E$5:$E$2004,"Perdu")),"")))</f>
        <v/>
      </c>
      <c r="AX62" s="106">
        <f>IF(C62="","",IF(AW62="","",AW62+'Paramètres'!$B$28))</f>
        <v/>
      </c>
      <c r="AY62" s="60">
        <f>IF(C62="","",SUMIFS('Saisie'!$H$5:$H$2004,'Saisie'!$C$5:$C$2004,C62))</f>
        <v/>
      </c>
      <c r="AZ62" s="60">
        <f>IF(C62="","",IFERROR(INDEX('Paramètres'!$W$6:$W$20,MATCH(S62,'Paramètres'!$V$6:$V$20,0))&amp;"",""))</f>
        <v/>
      </c>
      <c r="BA62" s="60">
        <f>IF(C62="","",MAX(1,_xlfn.MAXIFS('Saisie'!$AT$5:$AT$2004,'Saisie'!$C$5:$C$2004,C62)))</f>
        <v/>
      </c>
      <c r="BB62" s="60">
        <f>IF(C62="","",IFERROR(INDEX('Saisie'!$X$5:$X$2004,_xlfn.MAXIFS('Saisie'!$AS$5:$AS$2004,'Saisie'!$C$5:$C$2004,C62,'Saisie'!$X$5:$X$2004,"&lt;&gt;")-4),""))</f>
        <v/>
      </c>
      <c r="BC62" s="60">
        <f>IF(C62="","",IFERROR(INDEX('Saisie'!$Y$5:$Y$2004,_xlfn.MAXIFS('Saisie'!$AS$5:$AS$2004,'Saisie'!$C$5:$C$2004,C62,'Saisie'!$Y$5:$Y$2004,"&lt;&gt;")-4),""))</f>
        <v/>
      </c>
      <c r="BD62" s="106">
        <f>IF(C62="","",IFERROR(1/(1/_xlfn.MINIFS('Saisie'!$A$5:$A$2004,'Saisie'!$C$5:$C$2004,C62,'Saisie'!$AT$5:$AT$2004,"&gt;=2")),""))</f>
        <v/>
      </c>
      <c r="BE62" s="106">
        <f>IF(C62="","",IFERROR(1/(1/_xlfn.MINIFS('Saisie'!$A$5:$A$2004,'Saisie'!$C$5:$C$2004,C62,'Saisie'!$AT$5:$AT$2004,"&gt;=3")),""))</f>
        <v/>
      </c>
      <c r="BF62" s="106">
        <f>IF(C62="","",IFERROR(1/(1/_xlfn.MINIFS('Saisie'!$A$5:$A$2004,'Saisie'!$C$5:$C$2004,C62,'Saisie'!$AT$5:$AT$2004,"&gt;=4")),""))</f>
        <v/>
      </c>
      <c r="BG62" s="106">
        <f>IF(C62="","",IFERROR(1/(1/_xlfn.MINIFS('Saisie'!$A$5:$A$2004,'Saisie'!$C$5:$C$2004,C62,'Saisie'!$AT$5:$AT$2004,"&gt;=5")),""))</f>
        <v/>
      </c>
      <c r="BH62" s="106">
        <f>IF(C62="","",IFERROR(1/(1/_xlfn.MINIFS('Saisie'!$A$5:$A$2004,'Saisie'!$C$5:$C$2004,C62,'Saisie'!$AT$5:$AT$2004,"&gt;=6")),""))</f>
        <v/>
      </c>
      <c r="BI62" s="106">
        <f>IF(C62="","",IFERROR(1/(1/_xlfn.MINIFS('Saisie'!$A$5:$A$2004,'Saisie'!$C$5:$C$2004,C62,'Saisie'!$AT$5:$AT$2004,"&gt;=7")),""))</f>
        <v/>
      </c>
      <c r="BJ62" s="60">
        <f>IF(OR(BD62="",B62=""),"",BD62-B62)</f>
        <v/>
      </c>
      <c r="BK62" s="60">
        <f>IF(OR(BE62="",BD62=""),"",BE62-BD62)</f>
        <v/>
      </c>
      <c r="BL62" s="60">
        <f>IF(OR(BF62="",BE62=""),"",BF62-BE62)</f>
        <v/>
      </c>
      <c r="BM62" s="60">
        <f>IF(OR(BG62="",BF62=""),"",BG62-BF62)</f>
        <v/>
      </c>
      <c r="BN62" s="60">
        <f>IF(OR(BH62="",BG62=""),"",BH62-BG62)</f>
        <v/>
      </c>
      <c r="BO62" s="60">
        <f>IF(OR(BI62="",BH62=""),"",BI62-BH62)</f>
        <v/>
      </c>
      <c r="BP62" s="60">
        <f>IF(C62="","",_xlfn.MAXIFS('Saisie'!$AS$5:$AS$2004,'Saisie'!$C$5:$C$2004,C62,'Saisie'!$J$5:$J$2004,"&lt;&gt;"))</f>
        <v/>
      </c>
      <c r="BQ62" s="60">
        <f>IF(C62="","",_xlfn.MAXIFS('Saisie'!$AS$5:$AS$2004,'Saisie'!$C$5:$C$2004,C62))</f>
        <v/>
      </c>
      <c r="BR62" s="60">
        <f>IF(C62="","",_xlfn.MAXIFS('Saisie'!$AS$5:$AS$2004,'Saisie'!$C$5:$C$2004,C62,'Saisie'!$E$5:$E$2004,"Perdu"))</f>
        <v/>
      </c>
      <c r="BS62" s="60">
        <f>IF(C62="","",_xlfn.MAXIFS('Saisie'!$AS$5:$AS$2004,'Saisie'!$C$5:$C$2004,C62,'Saisie'!$AT$5:$AT$2004,"&gt;0"))</f>
        <v/>
      </c>
      <c r="BT62" s="109">
        <f>IF(AND(C62&lt;&gt;"",OR(D62="Nouveau",D62="Contacté",D62="Qualifié"),OR(G62="",N(G62)&lt;=TODAY()),NOT(AND(O62&gt;='Paramètres'!$B$21,P62=0))),E62+58/10000,"")</f>
        <v/>
      </c>
      <c r="BU62" s="60">
        <f>IF(AND(G62&lt;&gt;"",N(G62)&lt;=TODAY()),MAX($BU$4:BU61)+1,"")</f>
        <v/>
      </c>
      <c r="BV62" s="60">
        <f>IF(AND(F62&lt;&gt;"",F62&lt;&gt;"Relance en retard"),MAX($BV$4:BV61)+1,"")</f>
        <v/>
      </c>
      <c r="BW62" s="60">
        <f>IF(C62="","",IF(AND(B62&gt;='Tableau de bord'!$R$4,B62&lt;='Tableau de bord'!$S$4,OR('Tableau de bord'!$G$4="Tous",N62='Tableau de bord'!$G$4)),1,0))</f>
        <v/>
      </c>
      <c r="BX62" s="60">
        <f>IF(AND(C62&lt;&gt;"",N(BA62)=7),MAX($BX$4:BX61)+1,"")</f>
        <v/>
      </c>
    </row>
    <row r="63">
      <c r="A63" s="60">
        <f>IF(C63="","","P-"&amp;TEXT(59,"000"))</f>
        <v/>
      </c>
      <c r="B63" s="106">
        <f>IF(C63="","",IFERROR(1/(1/_xlfn.MINIFS('Saisie'!$A$5:$A$2004,'Saisie'!$C$5:$C$2004,C63)),""))</f>
        <v/>
      </c>
      <c r="C63" s="60">
        <f>IFERROR(INDEX('Saisie'!$C$5:$C$2004,MATCH(59,'Saisie'!$AX$5:$AX$2004,0)),"")</f>
        <v/>
      </c>
      <c r="D63" s="60">
        <f>IF(C63="","",IF(AND(BR63&gt;0,BR63&gt;BS63,BA63&lt;7),"Perdu",INDEX('Paramètres'!$F$6:$F$13,BA63)))</f>
        <v/>
      </c>
      <c r="E63" s="61">
        <f>IF(C63="","",MIN(100,(Z63="Oui")*'Paramètres'!$B$38+(AB63="Régulière")*'Paramètres'!$B$39+IF(AND(N(AA63)&gt;0,TODAY()-N(AA63)&lt;=30),'Paramètres'!$B$40,0)+(W63="")*'Paramètres'!$B$41+(AC63="Absente")*'Paramètres'!$B$42+(AC63="Faible")*'Paramètres'!$B$43+IF(AND(N(AD63)&gt;0,N(AD63)&lt;4),'Paramètres'!$B$44,0)+(AF63="Moyenne")*'Paramètres'!$B$45+(AF63="Grande")*'Paramètres'!$B$46+(Y63&lt;&gt;"")*'Paramètres'!$B$47))</f>
        <v/>
      </c>
      <c r="F63" s="60">
        <f>IF(C63="","",IF(D63="Gagné","",IF(D63="Perdu",IF(AND(AX63&lt;&gt;"",AX63&lt;=TODAY()),"À recontacter (perdu)",""),IF(AND(O63&gt;='Paramètres'!$B$21,P63=0),"Stop : "&amp;'Paramètres'!$B$21&amp;" tentatives sans réponse",IF(AND(D63="Proposition",AR63&lt;&gt;"",TODAY()&gt;N(AR63)),"Proposition expirée",IF(AND(D63="Proposition",N(R63)&gt;='Paramètres'!$B$25),"Proposition sans réponse",IF(AND(G63&lt;&gt;"",N(G63)&lt;TODAY()),"Relance en retard",IF(N(R63)&gt;='Paramètres'!$B$24,"Sans action depuis "&amp;R63&amp;" j",""))))))))</f>
        <v/>
      </c>
      <c r="G63" s="106">
        <f>IF(OR(C63="",D63="Gagné",D63="Perdu"),"",IF(AND(BP63&gt;0,BP63=BQ63),INDEX('Saisie'!$J$5:$J$2004,BP63-4),IF(OR(O63=0,AND(O63&gt;='Paramètres'!$B$21,P63=0)),"",Q63+IF(O63&lt;=1,'Paramètres'!$B$18,IF(O63=2,'Paramètres'!$B$19,'Paramètres'!$B$20)))))</f>
        <v/>
      </c>
      <c r="H63" s="107">
        <f>IF(OR(G63="",BP63&lt;&gt;BQ63),"",IF(INDEX('Saisie'!$K$5:$K$2004,BP63-4)="","",INDEX('Saisie'!$K$5:$K$2004,BP63-4)))</f>
        <v/>
      </c>
      <c r="I63" s="60">
        <f>IF(C63="","",IF(OR(D63="Gagné",D63="Perdu"),"",IFERROR(INDEX('Saisie'!$I$5:$I$2004,_xlfn.MAXIFS('Saisie'!$AS$5:$AS$2004,'Saisie'!$C$5:$C$2004,C63,'Saisie'!$I$5:$I$2004,"&lt;&gt;")-4),"")))</f>
        <v/>
      </c>
      <c r="J63" s="60">
        <f>IF(C63="","",IFERROR(INDEX('Saisie'!$U$5:$U$2004,_xlfn.MAXIFS('Saisie'!$AS$5:$AS$2004,'Saisie'!$C$5:$C$2004,C63,'Saisie'!$U$5:$U$2004,"&lt;&gt;")-4),""))</f>
        <v/>
      </c>
      <c r="K63" s="60">
        <f>IF(C63="","",IFERROR(INDEX('Saisie'!$W$5:$W$2004,_xlfn.MAXIFS('Saisie'!$AS$5:$AS$2004,'Saisie'!$C$5:$C$2004,C63,'Saisie'!$W$5:$W$2004,"&lt;&gt;")-4),""))</f>
        <v/>
      </c>
      <c r="L63" s="60">
        <f>IF(IF(BB63&lt;&gt;"",BB63,K63)="","",HYPERLINK("https://wa.me/"&amp;IF(LEFT(SUBSTITUTE(SUBSTITUTE(SUBSTITUTE(IF(BB63&lt;&gt;"",BB63,K63)," ",""),".",""),"+",""),1)="0",'Paramètres'!$B$35&amp;MID(SUBSTITUTE(SUBSTITUTE(SUBSTITUTE(IF(BB63&lt;&gt;"",BB63,K63)," ",""),".",""),"+",""),2,20),SUBSTITUTE(SUBSTITUTE(SUBSTITUTE(IF(BB63&lt;&gt;"",BB63,K63)," ",""),".",""),"+","")),"WhatsApp"))</f>
        <v/>
      </c>
      <c r="M63" s="60">
        <f>IF(BC63="","",HYPERLINK(IF(LEFT(BC63,4)="http",BC63,"https://www.instagram.com/"&amp;SUBSTITUTE(SUBSTITUTE(BC63,"@","")," ","")),BC63))</f>
        <v/>
      </c>
      <c r="N63" s="60">
        <f>IF(C63="","",IFERROR(INDEX('Saisie'!$D$5:$D$2004,_xlfn.MINIFS('Saisie'!$AS$5:$AS$2004,'Saisie'!$C$5:$C$2004,C63,'Saisie'!$AU$5:$AU$2004,1)-4),IFERROR(INDEX('Saisie'!$D$5:$D$2004,_xlfn.MINIFS('Saisie'!$AS$5:$AS$2004,'Saisie'!$C$5:$C$2004,C63,'Saisie'!$D$5:$D$2004,"&lt;&gt;")-4),"")))</f>
        <v/>
      </c>
      <c r="O63" s="60">
        <f>IF(C63="","",COUNTIFS('Saisie'!$C$5:$C$2004,C63,'Saisie'!$AU$5:$AU$2004,1))</f>
        <v/>
      </c>
      <c r="P63" s="60">
        <f>IF(C63="","",COUNTIFS('Saisie'!$C$5:$C$2004,C63,'Saisie'!$AV$5:$AV$2004,1))</f>
        <v/>
      </c>
      <c r="Q63" s="106">
        <f>IF(C63="","",IFERROR(1/(1/_xlfn.MAXIFS('Saisie'!$A$5:$A$2004,'Saisie'!$C$5:$C$2004,C63)),""))</f>
        <v/>
      </c>
      <c r="R63" s="61">
        <f>IF(C63="","",IF(Q63="","",TODAY()-Q63))</f>
        <v/>
      </c>
      <c r="S63" s="60">
        <f>IF(C63="","",IFERROR(INDEX('Saisie'!$R$5:$R$2004,_xlfn.MAXIFS('Saisie'!$AS$5:$AS$2004,'Saisie'!$C$5:$C$2004,C63,'Saisie'!$R$5:$R$2004,"&lt;&gt;")-4),""))</f>
        <v/>
      </c>
      <c r="T63" s="60">
        <f>IF(C63="","",IFERROR(INDEX('Saisie'!$S$5:$S$2004,_xlfn.MAXIFS('Saisie'!$AS$5:$AS$2004,'Saisie'!$C$5:$C$2004,C63,'Saisie'!$S$5:$S$2004,"&lt;&gt;")-4),""))</f>
        <v/>
      </c>
      <c r="U63" s="60">
        <f>IF(C63="","",IFERROR(INDEX('Saisie'!$T$5:$T$2004,_xlfn.MAXIFS('Saisie'!$AS$5:$AS$2004,'Saisie'!$C$5:$C$2004,C63,'Saisie'!$T$5:$T$2004,"&lt;&gt;")-4),""))</f>
        <v/>
      </c>
      <c r="V63" s="60">
        <f>IF(C63="","",IFERROR(INDEX('Saisie'!$V$5:$V$2004,_xlfn.MAXIFS('Saisie'!$AS$5:$AS$2004,'Saisie'!$C$5:$C$2004,C63,'Saisie'!$V$5:$V$2004,"&lt;&gt;")-4),""))</f>
        <v/>
      </c>
      <c r="W63" s="60">
        <f>IF(C63="","",IFERROR(INDEX('Saisie'!$Z$5:$Z$2004,_xlfn.MAXIFS('Saisie'!$AS$5:$AS$2004,'Saisie'!$C$5:$C$2004,C63,'Saisie'!$Z$5:$Z$2004,"&lt;&gt;")-4),""))</f>
        <v/>
      </c>
      <c r="X63" s="60">
        <f>IF(C63="","",IFERROR(INDEX('Saisie'!$AA$5:$AA$2004,_xlfn.MAXIFS('Saisie'!$AS$5:$AS$2004,'Saisie'!$C$5:$C$2004,C63,'Saisie'!$AA$5:$AA$2004,"&lt;&gt;")-4),""))</f>
        <v/>
      </c>
      <c r="Y63" s="60">
        <f>IF(C63="","",IFERROR(INDEX('Saisie'!$AB$5:$AB$2004,_xlfn.MAXIFS('Saisie'!$AS$5:$AS$2004,'Saisie'!$C$5:$C$2004,C63,'Saisie'!$AB$5:$AB$2004,"&lt;&gt;")-4),""))</f>
        <v/>
      </c>
      <c r="Z63" s="60">
        <f>IF(C63="","",IFERROR(INDEX('Saisie'!$AC$5:$AC$2004,_xlfn.MAXIFS('Saisie'!$AS$5:$AS$2004,'Saisie'!$C$5:$C$2004,C63,'Saisie'!$AC$5:$AC$2004,"&lt;&gt;")-4),""))</f>
        <v/>
      </c>
      <c r="AA63" s="106">
        <f>IF(C63="","",IFERROR(INDEX('Saisie'!$AD$5:$AD$2004,_xlfn.MAXIFS('Saisie'!$AS$5:$AS$2004,'Saisie'!$C$5:$C$2004,C63,'Saisie'!$AD$5:$AD$2004,"&lt;&gt;")-4),""))</f>
        <v/>
      </c>
      <c r="AB63" s="60">
        <f>IF(C63="","",IFERROR(INDEX('Saisie'!$AE$5:$AE$2004,_xlfn.MAXIFS('Saisie'!$AS$5:$AS$2004,'Saisie'!$C$5:$C$2004,C63,'Saisie'!$AE$5:$AE$2004,"&lt;&gt;")-4),""))</f>
        <v/>
      </c>
      <c r="AC63" s="60">
        <f>IF(C63="","",IFERROR(INDEX('Saisie'!$AF$5:$AF$2004,_xlfn.MAXIFS('Saisie'!$AS$5:$AS$2004,'Saisie'!$C$5:$C$2004,C63,'Saisie'!$AF$5:$AF$2004,"&lt;&gt;")-4),""))</f>
        <v/>
      </c>
      <c r="AD63" s="108">
        <f>IF(C63="","",IFERROR(INDEX('Saisie'!$AG$5:$AG$2004,_xlfn.MAXIFS('Saisie'!$AS$5:$AS$2004,'Saisie'!$C$5:$C$2004,C63,'Saisie'!$AG$5:$AG$2004,"&lt;&gt;")-4),""))</f>
        <v/>
      </c>
      <c r="AE63" s="60">
        <f>IF(C63="","",IFERROR(INDEX('Saisie'!$AH$5:$AH$2004,_xlfn.MAXIFS('Saisie'!$AS$5:$AS$2004,'Saisie'!$C$5:$C$2004,C63,'Saisie'!$AH$5:$AH$2004,"&lt;&gt;")-4),""))</f>
        <v/>
      </c>
      <c r="AF63" s="60">
        <f>IF(C63="","",IFERROR(INDEX('Saisie'!$AI$5:$AI$2004,_xlfn.MAXIFS('Saisie'!$AS$5:$AS$2004,'Saisie'!$C$5:$C$2004,C63,'Saisie'!$AI$5:$AI$2004,"&lt;&gt;")-4),""))</f>
        <v/>
      </c>
      <c r="AG63" s="60">
        <f>IF(C63="","",IFERROR(INDEX('Saisie'!$AJ$5:$AJ$2004,_xlfn.MAXIFS('Saisie'!$AS$5:$AS$2004,'Saisie'!$C$5:$C$2004,C63,'Saisie'!$AJ$5:$AJ$2004,"&lt;&gt;")-4),""))</f>
        <v/>
      </c>
      <c r="AH63" s="60">
        <f>IF(C63="","",IFERROR(INDEX('Saisie'!$AK$5:$AK$2004,_xlfn.MAXIFS('Saisie'!$AS$5:$AS$2004,'Saisie'!$C$5:$C$2004,C63,'Saisie'!$AK$5:$AK$2004,"&lt;&gt;")-4),""))</f>
        <v/>
      </c>
      <c r="AI63" s="60">
        <f>IF(C63="","",IFERROR(INDEX('Saisie'!$AN$5:$AN$2004,_xlfn.MAXIFS('Saisie'!$AS$5:$AS$2004,'Saisie'!$C$5:$C$2004,C63,'Saisie'!$AN$5:$AN$2004,"&lt;&gt;")-4),""))</f>
        <v/>
      </c>
      <c r="AJ63" s="60">
        <f>IF(C63="","",IFERROR(INDEX('Saisie'!$AO$5:$AO$2004,_xlfn.MAXIFS('Saisie'!$AS$5:$AS$2004,'Saisie'!$C$5:$C$2004,C63,'Saisie'!$AO$5:$AO$2004,"&lt;&gt;")-4),""))</f>
        <v/>
      </c>
      <c r="AK63" s="60">
        <f>IF(C63="","",IFERROR(INDEX('Saisie'!$AP$5:$AP$2004,_xlfn.MAXIFS('Saisie'!$AS$5:$AS$2004,'Saisie'!$C$5:$C$2004,C63,'Saisie'!$AP$5:$AP$2004,"&lt;&gt;")-4),""))</f>
        <v/>
      </c>
      <c r="AL63" s="60">
        <f>IF(C63="","",IFERROR(INDEX('Saisie'!$AQ$5:$AQ$2004,_xlfn.MAXIFS('Saisie'!$AS$5:$AS$2004,'Saisie'!$C$5:$C$2004,C63,'Saisie'!$AQ$5:$AQ$2004,"&lt;&gt;")-4),""))</f>
        <v/>
      </c>
      <c r="AM63" s="60">
        <f>IF(C63="","",((AI63="Oui")+(AJ63="Oui")+(AK63="Oui")+OR(AL63="Immédiat",AL63="&lt; 1 mois"))&amp;"/4")</f>
        <v/>
      </c>
      <c r="AN63" s="60">
        <f>IF(C63="","",IFERROR(INDEX('Saisie'!$AL$5:$AL$2004,_xlfn.MAXIFS('Saisie'!$AS$5:$AS$2004,'Saisie'!$C$5:$C$2004,C63,'Saisie'!$AL$5:$AL$2004,"&lt;&gt;")-4),""))</f>
        <v/>
      </c>
      <c r="AO63" s="62">
        <f>IF(C63="","",IF(IFERROR(INDEX('Saisie'!$AM$5:$AM$2004,_xlfn.MAXIFS('Saisie'!$AS$5:$AS$2004,'Saisie'!$C$5:$C$2004,C63,'Saisie'!$AM$5:$AM$2004,"&lt;&gt;")-4),"")&lt;&gt;"",IFERROR(INDEX('Saisie'!$AM$5:$AM$2004,_xlfn.MAXIFS('Saisie'!$AS$5:$AS$2004,'Saisie'!$C$5:$C$2004,C63,'Saisie'!$AM$5:$AM$2004,"&lt;&gt;")-4),""),IFERROR(INDEX('Paramètres'!$S$6:$S$15,MATCH(AN63,'Paramètres'!$Q$6:$Q$15,0)),"")))</f>
        <v/>
      </c>
      <c r="AP63" s="62">
        <f>IF(C63="","",IFERROR(INDEX('Saisie'!$AW$5:$AW$2004,_xlfn.MAXIFS('Saisie'!$AS$5:$AS$2004,'Saisie'!$C$5:$C$2004,C63,'Saisie'!$E$5:$E$2004,"Proposition envoyée")-4),""))</f>
        <v/>
      </c>
      <c r="AQ63" s="106">
        <f>IF(C63="","",IFERROR(1/(1/_xlfn.MAXIFS('Saisie'!$A$5:$A$2004,'Saisie'!$C$5:$C$2004,C63,'Saisie'!$E$5:$E$2004,"Proposition envoyée")),""))</f>
        <v/>
      </c>
      <c r="AR63" s="106">
        <f>IF(C63="","",IF(AQ63="","",AQ63+'Paramètres'!$B$26))</f>
        <v/>
      </c>
      <c r="AS63" s="62">
        <f>IF(OR(C63="",D63="Gagné",D63="Perdu"),0,N(AP63)*IFERROR(INDEX('Paramètres'!$G$6:$G$13,MATCH(D63,'Paramètres'!$F$6:$F$13,0)),0))</f>
        <v/>
      </c>
      <c r="AT63" s="106">
        <f>IF(C63="","",IFERROR(1/(1/_xlfn.MINIFS('Saisie'!$A$5:$A$2004,'Saisie'!$C$5:$C$2004,C63,'Saisie'!$E$5:$E$2004,"Signature")),""))</f>
        <v/>
      </c>
      <c r="AU63" s="60">
        <f>IF(C63="","",IF(OR(AT63="",B63=""),"",AT63-B63))</f>
        <v/>
      </c>
      <c r="AV63" s="60">
        <f>IF(C63="","",IFERROR(INDEX('Saisie'!$L$5:$L$2004,_xlfn.MAXIFS('Saisie'!$AS$5:$AS$2004,'Saisie'!$C$5:$C$2004,C63,'Saisie'!$L$5:$L$2004,"&lt;&gt;")-4),""))</f>
        <v/>
      </c>
      <c r="AW63" s="106">
        <f>IF(C63="","",IF(D63&lt;&gt;"Perdu","",IFERROR(1/(1/_xlfn.MAXIFS('Saisie'!$A$5:$A$2004,'Saisie'!$C$5:$C$2004,C63,'Saisie'!$E$5:$E$2004,"Perdu")),"")))</f>
        <v/>
      </c>
      <c r="AX63" s="106">
        <f>IF(C63="","",IF(AW63="","",AW63+'Paramètres'!$B$28))</f>
        <v/>
      </c>
      <c r="AY63" s="60">
        <f>IF(C63="","",SUMIFS('Saisie'!$H$5:$H$2004,'Saisie'!$C$5:$C$2004,C63))</f>
        <v/>
      </c>
      <c r="AZ63" s="60">
        <f>IF(C63="","",IFERROR(INDEX('Paramètres'!$W$6:$W$20,MATCH(S63,'Paramètres'!$V$6:$V$20,0))&amp;"",""))</f>
        <v/>
      </c>
      <c r="BA63" s="60">
        <f>IF(C63="","",MAX(1,_xlfn.MAXIFS('Saisie'!$AT$5:$AT$2004,'Saisie'!$C$5:$C$2004,C63)))</f>
        <v/>
      </c>
      <c r="BB63" s="60">
        <f>IF(C63="","",IFERROR(INDEX('Saisie'!$X$5:$X$2004,_xlfn.MAXIFS('Saisie'!$AS$5:$AS$2004,'Saisie'!$C$5:$C$2004,C63,'Saisie'!$X$5:$X$2004,"&lt;&gt;")-4),""))</f>
        <v/>
      </c>
      <c r="BC63" s="60">
        <f>IF(C63="","",IFERROR(INDEX('Saisie'!$Y$5:$Y$2004,_xlfn.MAXIFS('Saisie'!$AS$5:$AS$2004,'Saisie'!$C$5:$C$2004,C63,'Saisie'!$Y$5:$Y$2004,"&lt;&gt;")-4),""))</f>
        <v/>
      </c>
      <c r="BD63" s="106">
        <f>IF(C63="","",IFERROR(1/(1/_xlfn.MINIFS('Saisie'!$A$5:$A$2004,'Saisie'!$C$5:$C$2004,C63,'Saisie'!$AT$5:$AT$2004,"&gt;=2")),""))</f>
        <v/>
      </c>
      <c r="BE63" s="106">
        <f>IF(C63="","",IFERROR(1/(1/_xlfn.MINIFS('Saisie'!$A$5:$A$2004,'Saisie'!$C$5:$C$2004,C63,'Saisie'!$AT$5:$AT$2004,"&gt;=3")),""))</f>
        <v/>
      </c>
      <c r="BF63" s="106">
        <f>IF(C63="","",IFERROR(1/(1/_xlfn.MINIFS('Saisie'!$A$5:$A$2004,'Saisie'!$C$5:$C$2004,C63,'Saisie'!$AT$5:$AT$2004,"&gt;=4")),""))</f>
        <v/>
      </c>
      <c r="BG63" s="106">
        <f>IF(C63="","",IFERROR(1/(1/_xlfn.MINIFS('Saisie'!$A$5:$A$2004,'Saisie'!$C$5:$C$2004,C63,'Saisie'!$AT$5:$AT$2004,"&gt;=5")),""))</f>
        <v/>
      </c>
      <c r="BH63" s="106">
        <f>IF(C63="","",IFERROR(1/(1/_xlfn.MINIFS('Saisie'!$A$5:$A$2004,'Saisie'!$C$5:$C$2004,C63,'Saisie'!$AT$5:$AT$2004,"&gt;=6")),""))</f>
        <v/>
      </c>
      <c r="BI63" s="106">
        <f>IF(C63="","",IFERROR(1/(1/_xlfn.MINIFS('Saisie'!$A$5:$A$2004,'Saisie'!$C$5:$C$2004,C63,'Saisie'!$AT$5:$AT$2004,"&gt;=7")),""))</f>
        <v/>
      </c>
      <c r="BJ63" s="60">
        <f>IF(OR(BD63="",B63=""),"",BD63-B63)</f>
        <v/>
      </c>
      <c r="BK63" s="60">
        <f>IF(OR(BE63="",BD63=""),"",BE63-BD63)</f>
        <v/>
      </c>
      <c r="BL63" s="60">
        <f>IF(OR(BF63="",BE63=""),"",BF63-BE63)</f>
        <v/>
      </c>
      <c r="BM63" s="60">
        <f>IF(OR(BG63="",BF63=""),"",BG63-BF63)</f>
        <v/>
      </c>
      <c r="BN63" s="60">
        <f>IF(OR(BH63="",BG63=""),"",BH63-BG63)</f>
        <v/>
      </c>
      <c r="BO63" s="60">
        <f>IF(OR(BI63="",BH63=""),"",BI63-BH63)</f>
        <v/>
      </c>
      <c r="BP63" s="60">
        <f>IF(C63="","",_xlfn.MAXIFS('Saisie'!$AS$5:$AS$2004,'Saisie'!$C$5:$C$2004,C63,'Saisie'!$J$5:$J$2004,"&lt;&gt;"))</f>
        <v/>
      </c>
      <c r="BQ63" s="60">
        <f>IF(C63="","",_xlfn.MAXIFS('Saisie'!$AS$5:$AS$2004,'Saisie'!$C$5:$C$2004,C63))</f>
        <v/>
      </c>
      <c r="BR63" s="60">
        <f>IF(C63="","",_xlfn.MAXIFS('Saisie'!$AS$5:$AS$2004,'Saisie'!$C$5:$C$2004,C63,'Saisie'!$E$5:$E$2004,"Perdu"))</f>
        <v/>
      </c>
      <c r="BS63" s="60">
        <f>IF(C63="","",_xlfn.MAXIFS('Saisie'!$AS$5:$AS$2004,'Saisie'!$C$5:$C$2004,C63,'Saisie'!$AT$5:$AT$2004,"&gt;0"))</f>
        <v/>
      </c>
      <c r="BT63" s="109">
        <f>IF(AND(C63&lt;&gt;"",OR(D63="Nouveau",D63="Contacté",D63="Qualifié"),OR(G63="",N(G63)&lt;=TODAY()),NOT(AND(O63&gt;='Paramètres'!$B$21,P63=0))),E63+59/10000,"")</f>
        <v/>
      </c>
      <c r="BU63" s="60">
        <f>IF(AND(G63&lt;&gt;"",N(G63)&lt;=TODAY()),MAX($BU$4:BU62)+1,"")</f>
        <v/>
      </c>
      <c r="BV63" s="60">
        <f>IF(AND(F63&lt;&gt;"",F63&lt;&gt;"Relance en retard"),MAX($BV$4:BV62)+1,"")</f>
        <v/>
      </c>
      <c r="BW63" s="60">
        <f>IF(C63="","",IF(AND(B63&gt;='Tableau de bord'!$R$4,B63&lt;='Tableau de bord'!$S$4,OR('Tableau de bord'!$G$4="Tous",N63='Tableau de bord'!$G$4)),1,0))</f>
        <v/>
      </c>
      <c r="BX63" s="60">
        <f>IF(AND(C63&lt;&gt;"",N(BA63)=7),MAX($BX$4:BX62)+1,"")</f>
        <v/>
      </c>
    </row>
    <row r="64">
      <c r="A64" s="60">
        <f>IF(C64="","","P-"&amp;TEXT(60,"000"))</f>
        <v/>
      </c>
      <c r="B64" s="106">
        <f>IF(C64="","",IFERROR(1/(1/_xlfn.MINIFS('Saisie'!$A$5:$A$2004,'Saisie'!$C$5:$C$2004,C64)),""))</f>
        <v/>
      </c>
      <c r="C64" s="60">
        <f>IFERROR(INDEX('Saisie'!$C$5:$C$2004,MATCH(60,'Saisie'!$AX$5:$AX$2004,0)),"")</f>
        <v/>
      </c>
      <c r="D64" s="60">
        <f>IF(C64="","",IF(AND(BR64&gt;0,BR64&gt;BS64,BA64&lt;7),"Perdu",INDEX('Paramètres'!$F$6:$F$13,BA64)))</f>
        <v/>
      </c>
      <c r="E64" s="61">
        <f>IF(C64="","",MIN(100,(Z64="Oui")*'Paramètres'!$B$38+(AB64="Régulière")*'Paramètres'!$B$39+IF(AND(N(AA64)&gt;0,TODAY()-N(AA64)&lt;=30),'Paramètres'!$B$40,0)+(W64="")*'Paramètres'!$B$41+(AC64="Absente")*'Paramètres'!$B$42+(AC64="Faible")*'Paramètres'!$B$43+IF(AND(N(AD64)&gt;0,N(AD64)&lt;4),'Paramètres'!$B$44,0)+(AF64="Moyenne")*'Paramètres'!$B$45+(AF64="Grande")*'Paramètres'!$B$46+(Y64&lt;&gt;"")*'Paramètres'!$B$47))</f>
        <v/>
      </c>
      <c r="F64" s="60">
        <f>IF(C64="","",IF(D64="Gagné","",IF(D64="Perdu",IF(AND(AX64&lt;&gt;"",AX64&lt;=TODAY()),"À recontacter (perdu)",""),IF(AND(O64&gt;='Paramètres'!$B$21,P64=0),"Stop : "&amp;'Paramètres'!$B$21&amp;" tentatives sans réponse",IF(AND(D64="Proposition",AR64&lt;&gt;"",TODAY()&gt;N(AR64)),"Proposition expirée",IF(AND(D64="Proposition",N(R64)&gt;='Paramètres'!$B$25),"Proposition sans réponse",IF(AND(G64&lt;&gt;"",N(G64)&lt;TODAY()),"Relance en retard",IF(N(R64)&gt;='Paramètres'!$B$24,"Sans action depuis "&amp;R64&amp;" j",""))))))))</f>
        <v/>
      </c>
      <c r="G64" s="106">
        <f>IF(OR(C64="",D64="Gagné",D64="Perdu"),"",IF(AND(BP64&gt;0,BP64=BQ64),INDEX('Saisie'!$J$5:$J$2004,BP64-4),IF(OR(O64=0,AND(O64&gt;='Paramètres'!$B$21,P64=0)),"",Q64+IF(O64&lt;=1,'Paramètres'!$B$18,IF(O64=2,'Paramètres'!$B$19,'Paramètres'!$B$20)))))</f>
        <v/>
      </c>
      <c r="H64" s="107">
        <f>IF(OR(G64="",BP64&lt;&gt;BQ64),"",IF(INDEX('Saisie'!$K$5:$K$2004,BP64-4)="","",INDEX('Saisie'!$K$5:$K$2004,BP64-4)))</f>
        <v/>
      </c>
      <c r="I64" s="60">
        <f>IF(C64="","",IF(OR(D64="Gagné",D64="Perdu"),"",IFERROR(INDEX('Saisie'!$I$5:$I$2004,_xlfn.MAXIFS('Saisie'!$AS$5:$AS$2004,'Saisie'!$C$5:$C$2004,C64,'Saisie'!$I$5:$I$2004,"&lt;&gt;")-4),"")))</f>
        <v/>
      </c>
      <c r="J64" s="60">
        <f>IF(C64="","",IFERROR(INDEX('Saisie'!$U$5:$U$2004,_xlfn.MAXIFS('Saisie'!$AS$5:$AS$2004,'Saisie'!$C$5:$C$2004,C64,'Saisie'!$U$5:$U$2004,"&lt;&gt;")-4),""))</f>
        <v/>
      </c>
      <c r="K64" s="60">
        <f>IF(C64="","",IFERROR(INDEX('Saisie'!$W$5:$W$2004,_xlfn.MAXIFS('Saisie'!$AS$5:$AS$2004,'Saisie'!$C$5:$C$2004,C64,'Saisie'!$W$5:$W$2004,"&lt;&gt;")-4),""))</f>
        <v/>
      </c>
      <c r="L64" s="60">
        <f>IF(IF(BB64&lt;&gt;"",BB64,K64)="","",HYPERLINK("https://wa.me/"&amp;IF(LEFT(SUBSTITUTE(SUBSTITUTE(SUBSTITUTE(IF(BB64&lt;&gt;"",BB64,K64)," ",""),".",""),"+",""),1)="0",'Paramètres'!$B$35&amp;MID(SUBSTITUTE(SUBSTITUTE(SUBSTITUTE(IF(BB64&lt;&gt;"",BB64,K64)," ",""),".",""),"+",""),2,20),SUBSTITUTE(SUBSTITUTE(SUBSTITUTE(IF(BB64&lt;&gt;"",BB64,K64)," ",""),".",""),"+","")),"WhatsApp"))</f>
        <v/>
      </c>
      <c r="M64" s="60">
        <f>IF(BC64="","",HYPERLINK(IF(LEFT(BC64,4)="http",BC64,"https://www.instagram.com/"&amp;SUBSTITUTE(SUBSTITUTE(BC64,"@","")," ","")),BC64))</f>
        <v/>
      </c>
      <c r="N64" s="60">
        <f>IF(C64="","",IFERROR(INDEX('Saisie'!$D$5:$D$2004,_xlfn.MINIFS('Saisie'!$AS$5:$AS$2004,'Saisie'!$C$5:$C$2004,C64,'Saisie'!$AU$5:$AU$2004,1)-4),IFERROR(INDEX('Saisie'!$D$5:$D$2004,_xlfn.MINIFS('Saisie'!$AS$5:$AS$2004,'Saisie'!$C$5:$C$2004,C64,'Saisie'!$D$5:$D$2004,"&lt;&gt;")-4),"")))</f>
        <v/>
      </c>
      <c r="O64" s="60">
        <f>IF(C64="","",COUNTIFS('Saisie'!$C$5:$C$2004,C64,'Saisie'!$AU$5:$AU$2004,1))</f>
        <v/>
      </c>
      <c r="P64" s="60">
        <f>IF(C64="","",COUNTIFS('Saisie'!$C$5:$C$2004,C64,'Saisie'!$AV$5:$AV$2004,1))</f>
        <v/>
      </c>
      <c r="Q64" s="106">
        <f>IF(C64="","",IFERROR(1/(1/_xlfn.MAXIFS('Saisie'!$A$5:$A$2004,'Saisie'!$C$5:$C$2004,C64)),""))</f>
        <v/>
      </c>
      <c r="R64" s="61">
        <f>IF(C64="","",IF(Q64="","",TODAY()-Q64))</f>
        <v/>
      </c>
      <c r="S64" s="60">
        <f>IF(C64="","",IFERROR(INDEX('Saisie'!$R$5:$R$2004,_xlfn.MAXIFS('Saisie'!$AS$5:$AS$2004,'Saisie'!$C$5:$C$2004,C64,'Saisie'!$R$5:$R$2004,"&lt;&gt;")-4),""))</f>
        <v/>
      </c>
      <c r="T64" s="60">
        <f>IF(C64="","",IFERROR(INDEX('Saisie'!$S$5:$S$2004,_xlfn.MAXIFS('Saisie'!$AS$5:$AS$2004,'Saisie'!$C$5:$C$2004,C64,'Saisie'!$S$5:$S$2004,"&lt;&gt;")-4),""))</f>
        <v/>
      </c>
      <c r="U64" s="60">
        <f>IF(C64="","",IFERROR(INDEX('Saisie'!$T$5:$T$2004,_xlfn.MAXIFS('Saisie'!$AS$5:$AS$2004,'Saisie'!$C$5:$C$2004,C64,'Saisie'!$T$5:$T$2004,"&lt;&gt;")-4),""))</f>
        <v/>
      </c>
      <c r="V64" s="60">
        <f>IF(C64="","",IFERROR(INDEX('Saisie'!$V$5:$V$2004,_xlfn.MAXIFS('Saisie'!$AS$5:$AS$2004,'Saisie'!$C$5:$C$2004,C64,'Saisie'!$V$5:$V$2004,"&lt;&gt;")-4),""))</f>
        <v/>
      </c>
      <c r="W64" s="60">
        <f>IF(C64="","",IFERROR(INDEX('Saisie'!$Z$5:$Z$2004,_xlfn.MAXIFS('Saisie'!$AS$5:$AS$2004,'Saisie'!$C$5:$C$2004,C64,'Saisie'!$Z$5:$Z$2004,"&lt;&gt;")-4),""))</f>
        <v/>
      </c>
      <c r="X64" s="60">
        <f>IF(C64="","",IFERROR(INDEX('Saisie'!$AA$5:$AA$2004,_xlfn.MAXIFS('Saisie'!$AS$5:$AS$2004,'Saisie'!$C$5:$C$2004,C64,'Saisie'!$AA$5:$AA$2004,"&lt;&gt;")-4),""))</f>
        <v/>
      </c>
      <c r="Y64" s="60">
        <f>IF(C64="","",IFERROR(INDEX('Saisie'!$AB$5:$AB$2004,_xlfn.MAXIFS('Saisie'!$AS$5:$AS$2004,'Saisie'!$C$5:$C$2004,C64,'Saisie'!$AB$5:$AB$2004,"&lt;&gt;")-4),""))</f>
        <v/>
      </c>
      <c r="Z64" s="60">
        <f>IF(C64="","",IFERROR(INDEX('Saisie'!$AC$5:$AC$2004,_xlfn.MAXIFS('Saisie'!$AS$5:$AS$2004,'Saisie'!$C$5:$C$2004,C64,'Saisie'!$AC$5:$AC$2004,"&lt;&gt;")-4),""))</f>
        <v/>
      </c>
      <c r="AA64" s="106">
        <f>IF(C64="","",IFERROR(INDEX('Saisie'!$AD$5:$AD$2004,_xlfn.MAXIFS('Saisie'!$AS$5:$AS$2004,'Saisie'!$C$5:$C$2004,C64,'Saisie'!$AD$5:$AD$2004,"&lt;&gt;")-4),""))</f>
        <v/>
      </c>
      <c r="AB64" s="60">
        <f>IF(C64="","",IFERROR(INDEX('Saisie'!$AE$5:$AE$2004,_xlfn.MAXIFS('Saisie'!$AS$5:$AS$2004,'Saisie'!$C$5:$C$2004,C64,'Saisie'!$AE$5:$AE$2004,"&lt;&gt;")-4),""))</f>
        <v/>
      </c>
      <c r="AC64" s="60">
        <f>IF(C64="","",IFERROR(INDEX('Saisie'!$AF$5:$AF$2004,_xlfn.MAXIFS('Saisie'!$AS$5:$AS$2004,'Saisie'!$C$5:$C$2004,C64,'Saisie'!$AF$5:$AF$2004,"&lt;&gt;")-4),""))</f>
        <v/>
      </c>
      <c r="AD64" s="108">
        <f>IF(C64="","",IFERROR(INDEX('Saisie'!$AG$5:$AG$2004,_xlfn.MAXIFS('Saisie'!$AS$5:$AS$2004,'Saisie'!$C$5:$C$2004,C64,'Saisie'!$AG$5:$AG$2004,"&lt;&gt;")-4),""))</f>
        <v/>
      </c>
      <c r="AE64" s="60">
        <f>IF(C64="","",IFERROR(INDEX('Saisie'!$AH$5:$AH$2004,_xlfn.MAXIFS('Saisie'!$AS$5:$AS$2004,'Saisie'!$C$5:$C$2004,C64,'Saisie'!$AH$5:$AH$2004,"&lt;&gt;")-4),""))</f>
        <v/>
      </c>
      <c r="AF64" s="60">
        <f>IF(C64="","",IFERROR(INDEX('Saisie'!$AI$5:$AI$2004,_xlfn.MAXIFS('Saisie'!$AS$5:$AS$2004,'Saisie'!$C$5:$C$2004,C64,'Saisie'!$AI$5:$AI$2004,"&lt;&gt;")-4),""))</f>
        <v/>
      </c>
      <c r="AG64" s="60">
        <f>IF(C64="","",IFERROR(INDEX('Saisie'!$AJ$5:$AJ$2004,_xlfn.MAXIFS('Saisie'!$AS$5:$AS$2004,'Saisie'!$C$5:$C$2004,C64,'Saisie'!$AJ$5:$AJ$2004,"&lt;&gt;")-4),""))</f>
        <v/>
      </c>
      <c r="AH64" s="60">
        <f>IF(C64="","",IFERROR(INDEX('Saisie'!$AK$5:$AK$2004,_xlfn.MAXIFS('Saisie'!$AS$5:$AS$2004,'Saisie'!$C$5:$C$2004,C64,'Saisie'!$AK$5:$AK$2004,"&lt;&gt;")-4),""))</f>
        <v/>
      </c>
      <c r="AI64" s="60">
        <f>IF(C64="","",IFERROR(INDEX('Saisie'!$AN$5:$AN$2004,_xlfn.MAXIFS('Saisie'!$AS$5:$AS$2004,'Saisie'!$C$5:$C$2004,C64,'Saisie'!$AN$5:$AN$2004,"&lt;&gt;")-4),""))</f>
        <v/>
      </c>
      <c r="AJ64" s="60">
        <f>IF(C64="","",IFERROR(INDEX('Saisie'!$AO$5:$AO$2004,_xlfn.MAXIFS('Saisie'!$AS$5:$AS$2004,'Saisie'!$C$5:$C$2004,C64,'Saisie'!$AO$5:$AO$2004,"&lt;&gt;")-4),""))</f>
        <v/>
      </c>
      <c r="AK64" s="60">
        <f>IF(C64="","",IFERROR(INDEX('Saisie'!$AP$5:$AP$2004,_xlfn.MAXIFS('Saisie'!$AS$5:$AS$2004,'Saisie'!$C$5:$C$2004,C64,'Saisie'!$AP$5:$AP$2004,"&lt;&gt;")-4),""))</f>
        <v/>
      </c>
      <c r="AL64" s="60">
        <f>IF(C64="","",IFERROR(INDEX('Saisie'!$AQ$5:$AQ$2004,_xlfn.MAXIFS('Saisie'!$AS$5:$AS$2004,'Saisie'!$C$5:$C$2004,C64,'Saisie'!$AQ$5:$AQ$2004,"&lt;&gt;")-4),""))</f>
        <v/>
      </c>
      <c r="AM64" s="60">
        <f>IF(C64="","",((AI64="Oui")+(AJ64="Oui")+(AK64="Oui")+OR(AL64="Immédiat",AL64="&lt; 1 mois"))&amp;"/4")</f>
        <v/>
      </c>
      <c r="AN64" s="60">
        <f>IF(C64="","",IFERROR(INDEX('Saisie'!$AL$5:$AL$2004,_xlfn.MAXIFS('Saisie'!$AS$5:$AS$2004,'Saisie'!$C$5:$C$2004,C64,'Saisie'!$AL$5:$AL$2004,"&lt;&gt;")-4),""))</f>
        <v/>
      </c>
      <c r="AO64" s="62">
        <f>IF(C64="","",IF(IFERROR(INDEX('Saisie'!$AM$5:$AM$2004,_xlfn.MAXIFS('Saisie'!$AS$5:$AS$2004,'Saisie'!$C$5:$C$2004,C64,'Saisie'!$AM$5:$AM$2004,"&lt;&gt;")-4),"")&lt;&gt;"",IFERROR(INDEX('Saisie'!$AM$5:$AM$2004,_xlfn.MAXIFS('Saisie'!$AS$5:$AS$2004,'Saisie'!$C$5:$C$2004,C64,'Saisie'!$AM$5:$AM$2004,"&lt;&gt;")-4),""),IFERROR(INDEX('Paramètres'!$S$6:$S$15,MATCH(AN64,'Paramètres'!$Q$6:$Q$15,0)),"")))</f>
        <v/>
      </c>
      <c r="AP64" s="62">
        <f>IF(C64="","",IFERROR(INDEX('Saisie'!$AW$5:$AW$2004,_xlfn.MAXIFS('Saisie'!$AS$5:$AS$2004,'Saisie'!$C$5:$C$2004,C64,'Saisie'!$E$5:$E$2004,"Proposition envoyée")-4),""))</f>
        <v/>
      </c>
      <c r="AQ64" s="106">
        <f>IF(C64="","",IFERROR(1/(1/_xlfn.MAXIFS('Saisie'!$A$5:$A$2004,'Saisie'!$C$5:$C$2004,C64,'Saisie'!$E$5:$E$2004,"Proposition envoyée")),""))</f>
        <v/>
      </c>
      <c r="AR64" s="106">
        <f>IF(C64="","",IF(AQ64="","",AQ64+'Paramètres'!$B$26))</f>
        <v/>
      </c>
      <c r="AS64" s="62">
        <f>IF(OR(C64="",D64="Gagné",D64="Perdu"),0,N(AP64)*IFERROR(INDEX('Paramètres'!$G$6:$G$13,MATCH(D64,'Paramètres'!$F$6:$F$13,0)),0))</f>
        <v/>
      </c>
      <c r="AT64" s="106">
        <f>IF(C64="","",IFERROR(1/(1/_xlfn.MINIFS('Saisie'!$A$5:$A$2004,'Saisie'!$C$5:$C$2004,C64,'Saisie'!$E$5:$E$2004,"Signature")),""))</f>
        <v/>
      </c>
      <c r="AU64" s="60">
        <f>IF(C64="","",IF(OR(AT64="",B64=""),"",AT64-B64))</f>
        <v/>
      </c>
      <c r="AV64" s="60">
        <f>IF(C64="","",IFERROR(INDEX('Saisie'!$L$5:$L$2004,_xlfn.MAXIFS('Saisie'!$AS$5:$AS$2004,'Saisie'!$C$5:$C$2004,C64,'Saisie'!$L$5:$L$2004,"&lt;&gt;")-4),""))</f>
        <v/>
      </c>
      <c r="AW64" s="106">
        <f>IF(C64="","",IF(D64&lt;&gt;"Perdu","",IFERROR(1/(1/_xlfn.MAXIFS('Saisie'!$A$5:$A$2004,'Saisie'!$C$5:$C$2004,C64,'Saisie'!$E$5:$E$2004,"Perdu")),"")))</f>
        <v/>
      </c>
      <c r="AX64" s="106">
        <f>IF(C64="","",IF(AW64="","",AW64+'Paramètres'!$B$28))</f>
        <v/>
      </c>
      <c r="AY64" s="60">
        <f>IF(C64="","",SUMIFS('Saisie'!$H$5:$H$2004,'Saisie'!$C$5:$C$2004,C64))</f>
        <v/>
      </c>
      <c r="AZ64" s="60">
        <f>IF(C64="","",IFERROR(INDEX('Paramètres'!$W$6:$W$20,MATCH(S64,'Paramètres'!$V$6:$V$20,0))&amp;"",""))</f>
        <v/>
      </c>
      <c r="BA64" s="60">
        <f>IF(C64="","",MAX(1,_xlfn.MAXIFS('Saisie'!$AT$5:$AT$2004,'Saisie'!$C$5:$C$2004,C64)))</f>
        <v/>
      </c>
      <c r="BB64" s="60">
        <f>IF(C64="","",IFERROR(INDEX('Saisie'!$X$5:$X$2004,_xlfn.MAXIFS('Saisie'!$AS$5:$AS$2004,'Saisie'!$C$5:$C$2004,C64,'Saisie'!$X$5:$X$2004,"&lt;&gt;")-4),""))</f>
        <v/>
      </c>
      <c r="BC64" s="60">
        <f>IF(C64="","",IFERROR(INDEX('Saisie'!$Y$5:$Y$2004,_xlfn.MAXIFS('Saisie'!$AS$5:$AS$2004,'Saisie'!$C$5:$C$2004,C64,'Saisie'!$Y$5:$Y$2004,"&lt;&gt;")-4),""))</f>
        <v/>
      </c>
      <c r="BD64" s="106">
        <f>IF(C64="","",IFERROR(1/(1/_xlfn.MINIFS('Saisie'!$A$5:$A$2004,'Saisie'!$C$5:$C$2004,C64,'Saisie'!$AT$5:$AT$2004,"&gt;=2")),""))</f>
        <v/>
      </c>
      <c r="BE64" s="106">
        <f>IF(C64="","",IFERROR(1/(1/_xlfn.MINIFS('Saisie'!$A$5:$A$2004,'Saisie'!$C$5:$C$2004,C64,'Saisie'!$AT$5:$AT$2004,"&gt;=3")),""))</f>
        <v/>
      </c>
      <c r="BF64" s="106">
        <f>IF(C64="","",IFERROR(1/(1/_xlfn.MINIFS('Saisie'!$A$5:$A$2004,'Saisie'!$C$5:$C$2004,C64,'Saisie'!$AT$5:$AT$2004,"&gt;=4")),""))</f>
        <v/>
      </c>
      <c r="BG64" s="106">
        <f>IF(C64="","",IFERROR(1/(1/_xlfn.MINIFS('Saisie'!$A$5:$A$2004,'Saisie'!$C$5:$C$2004,C64,'Saisie'!$AT$5:$AT$2004,"&gt;=5")),""))</f>
        <v/>
      </c>
      <c r="BH64" s="106">
        <f>IF(C64="","",IFERROR(1/(1/_xlfn.MINIFS('Saisie'!$A$5:$A$2004,'Saisie'!$C$5:$C$2004,C64,'Saisie'!$AT$5:$AT$2004,"&gt;=6")),""))</f>
        <v/>
      </c>
      <c r="BI64" s="106">
        <f>IF(C64="","",IFERROR(1/(1/_xlfn.MINIFS('Saisie'!$A$5:$A$2004,'Saisie'!$C$5:$C$2004,C64,'Saisie'!$AT$5:$AT$2004,"&gt;=7")),""))</f>
        <v/>
      </c>
      <c r="BJ64" s="60">
        <f>IF(OR(BD64="",B64=""),"",BD64-B64)</f>
        <v/>
      </c>
      <c r="BK64" s="60">
        <f>IF(OR(BE64="",BD64=""),"",BE64-BD64)</f>
        <v/>
      </c>
      <c r="BL64" s="60">
        <f>IF(OR(BF64="",BE64=""),"",BF64-BE64)</f>
        <v/>
      </c>
      <c r="BM64" s="60">
        <f>IF(OR(BG64="",BF64=""),"",BG64-BF64)</f>
        <v/>
      </c>
      <c r="BN64" s="60">
        <f>IF(OR(BH64="",BG64=""),"",BH64-BG64)</f>
        <v/>
      </c>
      <c r="BO64" s="60">
        <f>IF(OR(BI64="",BH64=""),"",BI64-BH64)</f>
        <v/>
      </c>
      <c r="BP64" s="60">
        <f>IF(C64="","",_xlfn.MAXIFS('Saisie'!$AS$5:$AS$2004,'Saisie'!$C$5:$C$2004,C64,'Saisie'!$J$5:$J$2004,"&lt;&gt;"))</f>
        <v/>
      </c>
      <c r="BQ64" s="60">
        <f>IF(C64="","",_xlfn.MAXIFS('Saisie'!$AS$5:$AS$2004,'Saisie'!$C$5:$C$2004,C64))</f>
        <v/>
      </c>
      <c r="BR64" s="60">
        <f>IF(C64="","",_xlfn.MAXIFS('Saisie'!$AS$5:$AS$2004,'Saisie'!$C$5:$C$2004,C64,'Saisie'!$E$5:$E$2004,"Perdu"))</f>
        <v/>
      </c>
      <c r="BS64" s="60">
        <f>IF(C64="","",_xlfn.MAXIFS('Saisie'!$AS$5:$AS$2004,'Saisie'!$C$5:$C$2004,C64,'Saisie'!$AT$5:$AT$2004,"&gt;0"))</f>
        <v/>
      </c>
      <c r="BT64" s="109">
        <f>IF(AND(C64&lt;&gt;"",OR(D64="Nouveau",D64="Contacté",D64="Qualifié"),OR(G64="",N(G64)&lt;=TODAY()),NOT(AND(O64&gt;='Paramètres'!$B$21,P64=0))),E64+60/10000,"")</f>
        <v/>
      </c>
      <c r="BU64" s="60">
        <f>IF(AND(G64&lt;&gt;"",N(G64)&lt;=TODAY()),MAX($BU$4:BU63)+1,"")</f>
        <v/>
      </c>
      <c r="BV64" s="60">
        <f>IF(AND(F64&lt;&gt;"",F64&lt;&gt;"Relance en retard"),MAX($BV$4:BV63)+1,"")</f>
        <v/>
      </c>
      <c r="BW64" s="60">
        <f>IF(C64="","",IF(AND(B64&gt;='Tableau de bord'!$R$4,B64&lt;='Tableau de bord'!$S$4,OR('Tableau de bord'!$G$4="Tous",N64='Tableau de bord'!$G$4)),1,0))</f>
        <v/>
      </c>
      <c r="BX64" s="60">
        <f>IF(AND(C64&lt;&gt;"",N(BA64)=7),MAX($BX$4:BX63)+1,"")</f>
        <v/>
      </c>
    </row>
    <row r="65">
      <c r="A65" s="60">
        <f>IF(C65="","","P-"&amp;TEXT(61,"000"))</f>
        <v/>
      </c>
      <c r="B65" s="106">
        <f>IF(C65="","",IFERROR(1/(1/_xlfn.MINIFS('Saisie'!$A$5:$A$2004,'Saisie'!$C$5:$C$2004,C65)),""))</f>
        <v/>
      </c>
      <c r="C65" s="60">
        <f>IFERROR(INDEX('Saisie'!$C$5:$C$2004,MATCH(61,'Saisie'!$AX$5:$AX$2004,0)),"")</f>
        <v/>
      </c>
      <c r="D65" s="60">
        <f>IF(C65="","",IF(AND(BR65&gt;0,BR65&gt;BS65,BA65&lt;7),"Perdu",INDEX('Paramètres'!$F$6:$F$13,BA65)))</f>
        <v/>
      </c>
      <c r="E65" s="61">
        <f>IF(C65="","",MIN(100,(Z65="Oui")*'Paramètres'!$B$38+(AB65="Régulière")*'Paramètres'!$B$39+IF(AND(N(AA65)&gt;0,TODAY()-N(AA65)&lt;=30),'Paramètres'!$B$40,0)+(W65="")*'Paramètres'!$B$41+(AC65="Absente")*'Paramètres'!$B$42+(AC65="Faible")*'Paramètres'!$B$43+IF(AND(N(AD65)&gt;0,N(AD65)&lt;4),'Paramètres'!$B$44,0)+(AF65="Moyenne")*'Paramètres'!$B$45+(AF65="Grande")*'Paramètres'!$B$46+(Y65&lt;&gt;"")*'Paramètres'!$B$47))</f>
        <v/>
      </c>
      <c r="F65" s="60">
        <f>IF(C65="","",IF(D65="Gagné","",IF(D65="Perdu",IF(AND(AX65&lt;&gt;"",AX65&lt;=TODAY()),"À recontacter (perdu)",""),IF(AND(O65&gt;='Paramètres'!$B$21,P65=0),"Stop : "&amp;'Paramètres'!$B$21&amp;" tentatives sans réponse",IF(AND(D65="Proposition",AR65&lt;&gt;"",TODAY()&gt;N(AR65)),"Proposition expirée",IF(AND(D65="Proposition",N(R65)&gt;='Paramètres'!$B$25),"Proposition sans réponse",IF(AND(G65&lt;&gt;"",N(G65)&lt;TODAY()),"Relance en retard",IF(N(R65)&gt;='Paramètres'!$B$24,"Sans action depuis "&amp;R65&amp;" j",""))))))))</f>
        <v/>
      </c>
      <c r="G65" s="106">
        <f>IF(OR(C65="",D65="Gagné",D65="Perdu"),"",IF(AND(BP65&gt;0,BP65=BQ65),INDEX('Saisie'!$J$5:$J$2004,BP65-4),IF(OR(O65=0,AND(O65&gt;='Paramètres'!$B$21,P65=0)),"",Q65+IF(O65&lt;=1,'Paramètres'!$B$18,IF(O65=2,'Paramètres'!$B$19,'Paramètres'!$B$20)))))</f>
        <v/>
      </c>
      <c r="H65" s="107">
        <f>IF(OR(G65="",BP65&lt;&gt;BQ65),"",IF(INDEX('Saisie'!$K$5:$K$2004,BP65-4)="","",INDEX('Saisie'!$K$5:$K$2004,BP65-4)))</f>
        <v/>
      </c>
      <c r="I65" s="60">
        <f>IF(C65="","",IF(OR(D65="Gagné",D65="Perdu"),"",IFERROR(INDEX('Saisie'!$I$5:$I$2004,_xlfn.MAXIFS('Saisie'!$AS$5:$AS$2004,'Saisie'!$C$5:$C$2004,C65,'Saisie'!$I$5:$I$2004,"&lt;&gt;")-4),"")))</f>
        <v/>
      </c>
      <c r="J65" s="60">
        <f>IF(C65="","",IFERROR(INDEX('Saisie'!$U$5:$U$2004,_xlfn.MAXIFS('Saisie'!$AS$5:$AS$2004,'Saisie'!$C$5:$C$2004,C65,'Saisie'!$U$5:$U$2004,"&lt;&gt;")-4),""))</f>
        <v/>
      </c>
      <c r="K65" s="60">
        <f>IF(C65="","",IFERROR(INDEX('Saisie'!$W$5:$W$2004,_xlfn.MAXIFS('Saisie'!$AS$5:$AS$2004,'Saisie'!$C$5:$C$2004,C65,'Saisie'!$W$5:$W$2004,"&lt;&gt;")-4),""))</f>
        <v/>
      </c>
      <c r="L65" s="60">
        <f>IF(IF(BB65&lt;&gt;"",BB65,K65)="","",HYPERLINK("https://wa.me/"&amp;IF(LEFT(SUBSTITUTE(SUBSTITUTE(SUBSTITUTE(IF(BB65&lt;&gt;"",BB65,K65)," ",""),".",""),"+",""),1)="0",'Paramètres'!$B$35&amp;MID(SUBSTITUTE(SUBSTITUTE(SUBSTITUTE(IF(BB65&lt;&gt;"",BB65,K65)," ",""),".",""),"+",""),2,20),SUBSTITUTE(SUBSTITUTE(SUBSTITUTE(IF(BB65&lt;&gt;"",BB65,K65)," ",""),".",""),"+","")),"WhatsApp"))</f>
        <v/>
      </c>
      <c r="M65" s="60">
        <f>IF(BC65="","",HYPERLINK(IF(LEFT(BC65,4)="http",BC65,"https://www.instagram.com/"&amp;SUBSTITUTE(SUBSTITUTE(BC65,"@","")," ","")),BC65))</f>
        <v/>
      </c>
      <c r="N65" s="60">
        <f>IF(C65="","",IFERROR(INDEX('Saisie'!$D$5:$D$2004,_xlfn.MINIFS('Saisie'!$AS$5:$AS$2004,'Saisie'!$C$5:$C$2004,C65,'Saisie'!$AU$5:$AU$2004,1)-4),IFERROR(INDEX('Saisie'!$D$5:$D$2004,_xlfn.MINIFS('Saisie'!$AS$5:$AS$2004,'Saisie'!$C$5:$C$2004,C65,'Saisie'!$D$5:$D$2004,"&lt;&gt;")-4),"")))</f>
        <v/>
      </c>
      <c r="O65" s="60">
        <f>IF(C65="","",COUNTIFS('Saisie'!$C$5:$C$2004,C65,'Saisie'!$AU$5:$AU$2004,1))</f>
        <v/>
      </c>
      <c r="P65" s="60">
        <f>IF(C65="","",COUNTIFS('Saisie'!$C$5:$C$2004,C65,'Saisie'!$AV$5:$AV$2004,1))</f>
        <v/>
      </c>
      <c r="Q65" s="106">
        <f>IF(C65="","",IFERROR(1/(1/_xlfn.MAXIFS('Saisie'!$A$5:$A$2004,'Saisie'!$C$5:$C$2004,C65)),""))</f>
        <v/>
      </c>
      <c r="R65" s="61">
        <f>IF(C65="","",IF(Q65="","",TODAY()-Q65))</f>
        <v/>
      </c>
      <c r="S65" s="60">
        <f>IF(C65="","",IFERROR(INDEX('Saisie'!$R$5:$R$2004,_xlfn.MAXIFS('Saisie'!$AS$5:$AS$2004,'Saisie'!$C$5:$C$2004,C65,'Saisie'!$R$5:$R$2004,"&lt;&gt;")-4),""))</f>
        <v/>
      </c>
      <c r="T65" s="60">
        <f>IF(C65="","",IFERROR(INDEX('Saisie'!$S$5:$S$2004,_xlfn.MAXIFS('Saisie'!$AS$5:$AS$2004,'Saisie'!$C$5:$C$2004,C65,'Saisie'!$S$5:$S$2004,"&lt;&gt;")-4),""))</f>
        <v/>
      </c>
      <c r="U65" s="60">
        <f>IF(C65="","",IFERROR(INDEX('Saisie'!$T$5:$T$2004,_xlfn.MAXIFS('Saisie'!$AS$5:$AS$2004,'Saisie'!$C$5:$C$2004,C65,'Saisie'!$T$5:$T$2004,"&lt;&gt;")-4),""))</f>
        <v/>
      </c>
      <c r="V65" s="60">
        <f>IF(C65="","",IFERROR(INDEX('Saisie'!$V$5:$V$2004,_xlfn.MAXIFS('Saisie'!$AS$5:$AS$2004,'Saisie'!$C$5:$C$2004,C65,'Saisie'!$V$5:$V$2004,"&lt;&gt;")-4),""))</f>
        <v/>
      </c>
      <c r="W65" s="60">
        <f>IF(C65="","",IFERROR(INDEX('Saisie'!$Z$5:$Z$2004,_xlfn.MAXIFS('Saisie'!$AS$5:$AS$2004,'Saisie'!$C$5:$C$2004,C65,'Saisie'!$Z$5:$Z$2004,"&lt;&gt;")-4),""))</f>
        <v/>
      </c>
      <c r="X65" s="60">
        <f>IF(C65="","",IFERROR(INDEX('Saisie'!$AA$5:$AA$2004,_xlfn.MAXIFS('Saisie'!$AS$5:$AS$2004,'Saisie'!$C$5:$C$2004,C65,'Saisie'!$AA$5:$AA$2004,"&lt;&gt;")-4),""))</f>
        <v/>
      </c>
      <c r="Y65" s="60">
        <f>IF(C65="","",IFERROR(INDEX('Saisie'!$AB$5:$AB$2004,_xlfn.MAXIFS('Saisie'!$AS$5:$AS$2004,'Saisie'!$C$5:$C$2004,C65,'Saisie'!$AB$5:$AB$2004,"&lt;&gt;")-4),""))</f>
        <v/>
      </c>
      <c r="Z65" s="60">
        <f>IF(C65="","",IFERROR(INDEX('Saisie'!$AC$5:$AC$2004,_xlfn.MAXIFS('Saisie'!$AS$5:$AS$2004,'Saisie'!$C$5:$C$2004,C65,'Saisie'!$AC$5:$AC$2004,"&lt;&gt;")-4),""))</f>
        <v/>
      </c>
      <c r="AA65" s="106">
        <f>IF(C65="","",IFERROR(INDEX('Saisie'!$AD$5:$AD$2004,_xlfn.MAXIFS('Saisie'!$AS$5:$AS$2004,'Saisie'!$C$5:$C$2004,C65,'Saisie'!$AD$5:$AD$2004,"&lt;&gt;")-4),""))</f>
        <v/>
      </c>
      <c r="AB65" s="60">
        <f>IF(C65="","",IFERROR(INDEX('Saisie'!$AE$5:$AE$2004,_xlfn.MAXIFS('Saisie'!$AS$5:$AS$2004,'Saisie'!$C$5:$C$2004,C65,'Saisie'!$AE$5:$AE$2004,"&lt;&gt;")-4),""))</f>
        <v/>
      </c>
      <c r="AC65" s="60">
        <f>IF(C65="","",IFERROR(INDEX('Saisie'!$AF$5:$AF$2004,_xlfn.MAXIFS('Saisie'!$AS$5:$AS$2004,'Saisie'!$C$5:$C$2004,C65,'Saisie'!$AF$5:$AF$2004,"&lt;&gt;")-4),""))</f>
        <v/>
      </c>
      <c r="AD65" s="108">
        <f>IF(C65="","",IFERROR(INDEX('Saisie'!$AG$5:$AG$2004,_xlfn.MAXIFS('Saisie'!$AS$5:$AS$2004,'Saisie'!$C$5:$C$2004,C65,'Saisie'!$AG$5:$AG$2004,"&lt;&gt;")-4),""))</f>
        <v/>
      </c>
      <c r="AE65" s="60">
        <f>IF(C65="","",IFERROR(INDEX('Saisie'!$AH$5:$AH$2004,_xlfn.MAXIFS('Saisie'!$AS$5:$AS$2004,'Saisie'!$C$5:$C$2004,C65,'Saisie'!$AH$5:$AH$2004,"&lt;&gt;")-4),""))</f>
        <v/>
      </c>
      <c r="AF65" s="60">
        <f>IF(C65="","",IFERROR(INDEX('Saisie'!$AI$5:$AI$2004,_xlfn.MAXIFS('Saisie'!$AS$5:$AS$2004,'Saisie'!$C$5:$C$2004,C65,'Saisie'!$AI$5:$AI$2004,"&lt;&gt;")-4),""))</f>
        <v/>
      </c>
      <c r="AG65" s="60">
        <f>IF(C65="","",IFERROR(INDEX('Saisie'!$AJ$5:$AJ$2004,_xlfn.MAXIFS('Saisie'!$AS$5:$AS$2004,'Saisie'!$C$5:$C$2004,C65,'Saisie'!$AJ$5:$AJ$2004,"&lt;&gt;")-4),""))</f>
        <v/>
      </c>
      <c r="AH65" s="60">
        <f>IF(C65="","",IFERROR(INDEX('Saisie'!$AK$5:$AK$2004,_xlfn.MAXIFS('Saisie'!$AS$5:$AS$2004,'Saisie'!$C$5:$C$2004,C65,'Saisie'!$AK$5:$AK$2004,"&lt;&gt;")-4),""))</f>
        <v/>
      </c>
      <c r="AI65" s="60">
        <f>IF(C65="","",IFERROR(INDEX('Saisie'!$AN$5:$AN$2004,_xlfn.MAXIFS('Saisie'!$AS$5:$AS$2004,'Saisie'!$C$5:$C$2004,C65,'Saisie'!$AN$5:$AN$2004,"&lt;&gt;")-4),""))</f>
        <v/>
      </c>
      <c r="AJ65" s="60">
        <f>IF(C65="","",IFERROR(INDEX('Saisie'!$AO$5:$AO$2004,_xlfn.MAXIFS('Saisie'!$AS$5:$AS$2004,'Saisie'!$C$5:$C$2004,C65,'Saisie'!$AO$5:$AO$2004,"&lt;&gt;")-4),""))</f>
        <v/>
      </c>
      <c r="AK65" s="60">
        <f>IF(C65="","",IFERROR(INDEX('Saisie'!$AP$5:$AP$2004,_xlfn.MAXIFS('Saisie'!$AS$5:$AS$2004,'Saisie'!$C$5:$C$2004,C65,'Saisie'!$AP$5:$AP$2004,"&lt;&gt;")-4),""))</f>
        <v/>
      </c>
      <c r="AL65" s="60">
        <f>IF(C65="","",IFERROR(INDEX('Saisie'!$AQ$5:$AQ$2004,_xlfn.MAXIFS('Saisie'!$AS$5:$AS$2004,'Saisie'!$C$5:$C$2004,C65,'Saisie'!$AQ$5:$AQ$2004,"&lt;&gt;")-4),""))</f>
        <v/>
      </c>
      <c r="AM65" s="60">
        <f>IF(C65="","",((AI65="Oui")+(AJ65="Oui")+(AK65="Oui")+OR(AL65="Immédiat",AL65="&lt; 1 mois"))&amp;"/4")</f>
        <v/>
      </c>
      <c r="AN65" s="60">
        <f>IF(C65="","",IFERROR(INDEX('Saisie'!$AL$5:$AL$2004,_xlfn.MAXIFS('Saisie'!$AS$5:$AS$2004,'Saisie'!$C$5:$C$2004,C65,'Saisie'!$AL$5:$AL$2004,"&lt;&gt;")-4),""))</f>
        <v/>
      </c>
      <c r="AO65" s="62">
        <f>IF(C65="","",IF(IFERROR(INDEX('Saisie'!$AM$5:$AM$2004,_xlfn.MAXIFS('Saisie'!$AS$5:$AS$2004,'Saisie'!$C$5:$C$2004,C65,'Saisie'!$AM$5:$AM$2004,"&lt;&gt;")-4),"")&lt;&gt;"",IFERROR(INDEX('Saisie'!$AM$5:$AM$2004,_xlfn.MAXIFS('Saisie'!$AS$5:$AS$2004,'Saisie'!$C$5:$C$2004,C65,'Saisie'!$AM$5:$AM$2004,"&lt;&gt;")-4),""),IFERROR(INDEX('Paramètres'!$S$6:$S$15,MATCH(AN65,'Paramètres'!$Q$6:$Q$15,0)),"")))</f>
        <v/>
      </c>
      <c r="AP65" s="62">
        <f>IF(C65="","",IFERROR(INDEX('Saisie'!$AW$5:$AW$2004,_xlfn.MAXIFS('Saisie'!$AS$5:$AS$2004,'Saisie'!$C$5:$C$2004,C65,'Saisie'!$E$5:$E$2004,"Proposition envoyée")-4),""))</f>
        <v/>
      </c>
      <c r="AQ65" s="106">
        <f>IF(C65="","",IFERROR(1/(1/_xlfn.MAXIFS('Saisie'!$A$5:$A$2004,'Saisie'!$C$5:$C$2004,C65,'Saisie'!$E$5:$E$2004,"Proposition envoyée")),""))</f>
        <v/>
      </c>
      <c r="AR65" s="106">
        <f>IF(C65="","",IF(AQ65="","",AQ65+'Paramètres'!$B$26))</f>
        <v/>
      </c>
      <c r="AS65" s="62">
        <f>IF(OR(C65="",D65="Gagné",D65="Perdu"),0,N(AP65)*IFERROR(INDEX('Paramètres'!$G$6:$G$13,MATCH(D65,'Paramètres'!$F$6:$F$13,0)),0))</f>
        <v/>
      </c>
      <c r="AT65" s="106">
        <f>IF(C65="","",IFERROR(1/(1/_xlfn.MINIFS('Saisie'!$A$5:$A$2004,'Saisie'!$C$5:$C$2004,C65,'Saisie'!$E$5:$E$2004,"Signature")),""))</f>
        <v/>
      </c>
      <c r="AU65" s="60">
        <f>IF(C65="","",IF(OR(AT65="",B65=""),"",AT65-B65))</f>
        <v/>
      </c>
      <c r="AV65" s="60">
        <f>IF(C65="","",IFERROR(INDEX('Saisie'!$L$5:$L$2004,_xlfn.MAXIFS('Saisie'!$AS$5:$AS$2004,'Saisie'!$C$5:$C$2004,C65,'Saisie'!$L$5:$L$2004,"&lt;&gt;")-4),""))</f>
        <v/>
      </c>
      <c r="AW65" s="106">
        <f>IF(C65="","",IF(D65&lt;&gt;"Perdu","",IFERROR(1/(1/_xlfn.MAXIFS('Saisie'!$A$5:$A$2004,'Saisie'!$C$5:$C$2004,C65,'Saisie'!$E$5:$E$2004,"Perdu")),"")))</f>
        <v/>
      </c>
      <c r="AX65" s="106">
        <f>IF(C65="","",IF(AW65="","",AW65+'Paramètres'!$B$28))</f>
        <v/>
      </c>
      <c r="AY65" s="60">
        <f>IF(C65="","",SUMIFS('Saisie'!$H$5:$H$2004,'Saisie'!$C$5:$C$2004,C65))</f>
        <v/>
      </c>
      <c r="AZ65" s="60">
        <f>IF(C65="","",IFERROR(INDEX('Paramètres'!$W$6:$W$20,MATCH(S65,'Paramètres'!$V$6:$V$20,0))&amp;"",""))</f>
        <v/>
      </c>
      <c r="BA65" s="60">
        <f>IF(C65="","",MAX(1,_xlfn.MAXIFS('Saisie'!$AT$5:$AT$2004,'Saisie'!$C$5:$C$2004,C65)))</f>
        <v/>
      </c>
      <c r="BB65" s="60">
        <f>IF(C65="","",IFERROR(INDEX('Saisie'!$X$5:$X$2004,_xlfn.MAXIFS('Saisie'!$AS$5:$AS$2004,'Saisie'!$C$5:$C$2004,C65,'Saisie'!$X$5:$X$2004,"&lt;&gt;")-4),""))</f>
        <v/>
      </c>
      <c r="BC65" s="60">
        <f>IF(C65="","",IFERROR(INDEX('Saisie'!$Y$5:$Y$2004,_xlfn.MAXIFS('Saisie'!$AS$5:$AS$2004,'Saisie'!$C$5:$C$2004,C65,'Saisie'!$Y$5:$Y$2004,"&lt;&gt;")-4),""))</f>
        <v/>
      </c>
      <c r="BD65" s="106">
        <f>IF(C65="","",IFERROR(1/(1/_xlfn.MINIFS('Saisie'!$A$5:$A$2004,'Saisie'!$C$5:$C$2004,C65,'Saisie'!$AT$5:$AT$2004,"&gt;=2")),""))</f>
        <v/>
      </c>
      <c r="BE65" s="106">
        <f>IF(C65="","",IFERROR(1/(1/_xlfn.MINIFS('Saisie'!$A$5:$A$2004,'Saisie'!$C$5:$C$2004,C65,'Saisie'!$AT$5:$AT$2004,"&gt;=3")),""))</f>
        <v/>
      </c>
      <c r="BF65" s="106">
        <f>IF(C65="","",IFERROR(1/(1/_xlfn.MINIFS('Saisie'!$A$5:$A$2004,'Saisie'!$C$5:$C$2004,C65,'Saisie'!$AT$5:$AT$2004,"&gt;=4")),""))</f>
        <v/>
      </c>
      <c r="BG65" s="106">
        <f>IF(C65="","",IFERROR(1/(1/_xlfn.MINIFS('Saisie'!$A$5:$A$2004,'Saisie'!$C$5:$C$2004,C65,'Saisie'!$AT$5:$AT$2004,"&gt;=5")),""))</f>
        <v/>
      </c>
      <c r="BH65" s="106">
        <f>IF(C65="","",IFERROR(1/(1/_xlfn.MINIFS('Saisie'!$A$5:$A$2004,'Saisie'!$C$5:$C$2004,C65,'Saisie'!$AT$5:$AT$2004,"&gt;=6")),""))</f>
        <v/>
      </c>
      <c r="BI65" s="106">
        <f>IF(C65="","",IFERROR(1/(1/_xlfn.MINIFS('Saisie'!$A$5:$A$2004,'Saisie'!$C$5:$C$2004,C65,'Saisie'!$AT$5:$AT$2004,"&gt;=7")),""))</f>
        <v/>
      </c>
      <c r="BJ65" s="60">
        <f>IF(OR(BD65="",B65=""),"",BD65-B65)</f>
        <v/>
      </c>
      <c r="BK65" s="60">
        <f>IF(OR(BE65="",BD65=""),"",BE65-BD65)</f>
        <v/>
      </c>
      <c r="BL65" s="60">
        <f>IF(OR(BF65="",BE65=""),"",BF65-BE65)</f>
        <v/>
      </c>
      <c r="BM65" s="60">
        <f>IF(OR(BG65="",BF65=""),"",BG65-BF65)</f>
        <v/>
      </c>
      <c r="BN65" s="60">
        <f>IF(OR(BH65="",BG65=""),"",BH65-BG65)</f>
        <v/>
      </c>
      <c r="BO65" s="60">
        <f>IF(OR(BI65="",BH65=""),"",BI65-BH65)</f>
        <v/>
      </c>
      <c r="BP65" s="60">
        <f>IF(C65="","",_xlfn.MAXIFS('Saisie'!$AS$5:$AS$2004,'Saisie'!$C$5:$C$2004,C65,'Saisie'!$J$5:$J$2004,"&lt;&gt;"))</f>
        <v/>
      </c>
      <c r="BQ65" s="60">
        <f>IF(C65="","",_xlfn.MAXIFS('Saisie'!$AS$5:$AS$2004,'Saisie'!$C$5:$C$2004,C65))</f>
        <v/>
      </c>
      <c r="BR65" s="60">
        <f>IF(C65="","",_xlfn.MAXIFS('Saisie'!$AS$5:$AS$2004,'Saisie'!$C$5:$C$2004,C65,'Saisie'!$E$5:$E$2004,"Perdu"))</f>
        <v/>
      </c>
      <c r="BS65" s="60">
        <f>IF(C65="","",_xlfn.MAXIFS('Saisie'!$AS$5:$AS$2004,'Saisie'!$C$5:$C$2004,C65,'Saisie'!$AT$5:$AT$2004,"&gt;0"))</f>
        <v/>
      </c>
      <c r="BT65" s="109">
        <f>IF(AND(C65&lt;&gt;"",OR(D65="Nouveau",D65="Contacté",D65="Qualifié"),OR(G65="",N(G65)&lt;=TODAY()),NOT(AND(O65&gt;='Paramètres'!$B$21,P65=0))),E65+61/10000,"")</f>
        <v/>
      </c>
      <c r="BU65" s="60">
        <f>IF(AND(G65&lt;&gt;"",N(G65)&lt;=TODAY()),MAX($BU$4:BU64)+1,"")</f>
        <v/>
      </c>
      <c r="BV65" s="60">
        <f>IF(AND(F65&lt;&gt;"",F65&lt;&gt;"Relance en retard"),MAX($BV$4:BV64)+1,"")</f>
        <v/>
      </c>
      <c r="BW65" s="60">
        <f>IF(C65="","",IF(AND(B65&gt;='Tableau de bord'!$R$4,B65&lt;='Tableau de bord'!$S$4,OR('Tableau de bord'!$G$4="Tous",N65='Tableau de bord'!$G$4)),1,0))</f>
        <v/>
      </c>
      <c r="BX65" s="60">
        <f>IF(AND(C65&lt;&gt;"",N(BA65)=7),MAX($BX$4:BX64)+1,"")</f>
        <v/>
      </c>
    </row>
    <row r="66">
      <c r="A66" s="60">
        <f>IF(C66="","","P-"&amp;TEXT(62,"000"))</f>
        <v/>
      </c>
      <c r="B66" s="106">
        <f>IF(C66="","",IFERROR(1/(1/_xlfn.MINIFS('Saisie'!$A$5:$A$2004,'Saisie'!$C$5:$C$2004,C66)),""))</f>
        <v/>
      </c>
      <c r="C66" s="60">
        <f>IFERROR(INDEX('Saisie'!$C$5:$C$2004,MATCH(62,'Saisie'!$AX$5:$AX$2004,0)),"")</f>
        <v/>
      </c>
      <c r="D66" s="60">
        <f>IF(C66="","",IF(AND(BR66&gt;0,BR66&gt;BS66,BA66&lt;7),"Perdu",INDEX('Paramètres'!$F$6:$F$13,BA66)))</f>
        <v/>
      </c>
      <c r="E66" s="61">
        <f>IF(C66="","",MIN(100,(Z66="Oui")*'Paramètres'!$B$38+(AB66="Régulière")*'Paramètres'!$B$39+IF(AND(N(AA66)&gt;0,TODAY()-N(AA66)&lt;=30),'Paramètres'!$B$40,0)+(W66="")*'Paramètres'!$B$41+(AC66="Absente")*'Paramètres'!$B$42+(AC66="Faible")*'Paramètres'!$B$43+IF(AND(N(AD66)&gt;0,N(AD66)&lt;4),'Paramètres'!$B$44,0)+(AF66="Moyenne")*'Paramètres'!$B$45+(AF66="Grande")*'Paramètres'!$B$46+(Y66&lt;&gt;"")*'Paramètres'!$B$47))</f>
        <v/>
      </c>
      <c r="F66" s="60">
        <f>IF(C66="","",IF(D66="Gagné","",IF(D66="Perdu",IF(AND(AX66&lt;&gt;"",AX66&lt;=TODAY()),"À recontacter (perdu)",""),IF(AND(O66&gt;='Paramètres'!$B$21,P66=0),"Stop : "&amp;'Paramètres'!$B$21&amp;" tentatives sans réponse",IF(AND(D66="Proposition",AR66&lt;&gt;"",TODAY()&gt;N(AR66)),"Proposition expirée",IF(AND(D66="Proposition",N(R66)&gt;='Paramètres'!$B$25),"Proposition sans réponse",IF(AND(G66&lt;&gt;"",N(G66)&lt;TODAY()),"Relance en retard",IF(N(R66)&gt;='Paramètres'!$B$24,"Sans action depuis "&amp;R66&amp;" j",""))))))))</f>
        <v/>
      </c>
      <c r="G66" s="106">
        <f>IF(OR(C66="",D66="Gagné",D66="Perdu"),"",IF(AND(BP66&gt;0,BP66=BQ66),INDEX('Saisie'!$J$5:$J$2004,BP66-4),IF(OR(O66=0,AND(O66&gt;='Paramètres'!$B$21,P66=0)),"",Q66+IF(O66&lt;=1,'Paramètres'!$B$18,IF(O66=2,'Paramètres'!$B$19,'Paramètres'!$B$20)))))</f>
        <v/>
      </c>
      <c r="H66" s="107">
        <f>IF(OR(G66="",BP66&lt;&gt;BQ66),"",IF(INDEX('Saisie'!$K$5:$K$2004,BP66-4)="","",INDEX('Saisie'!$K$5:$K$2004,BP66-4)))</f>
        <v/>
      </c>
      <c r="I66" s="60">
        <f>IF(C66="","",IF(OR(D66="Gagné",D66="Perdu"),"",IFERROR(INDEX('Saisie'!$I$5:$I$2004,_xlfn.MAXIFS('Saisie'!$AS$5:$AS$2004,'Saisie'!$C$5:$C$2004,C66,'Saisie'!$I$5:$I$2004,"&lt;&gt;")-4),"")))</f>
        <v/>
      </c>
      <c r="J66" s="60">
        <f>IF(C66="","",IFERROR(INDEX('Saisie'!$U$5:$U$2004,_xlfn.MAXIFS('Saisie'!$AS$5:$AS$2004,'Saisie'!$C$5:$C$2004,C66,'Saisie'!$U$5:$U$2004,"&lt;&gt;")-4),""))</f>
        <v/>
      </c>
      <c r="K66" s="60">
        <f>IF(C66="","",IFERROR(INDEX('Saisie'!$W$5:$W$2004,_xlfn.MAXIFS('Saisie'!$AS$5:$AS$2004,'Saisie'!$C$5:$C$2004,C66,'Saisie'!$W$5:$W$2004,"&lt;&gt;")-4),""))</f>
        <v/>
      </c>
      <c r="L66" s="60">
        <f>IF(IF(BB66&lt;&gt;"",BB66,K66)="","",HYPERLINK("https://wa.me/"&amp;IF(LEFT(SUBSTITUTE(SUBSTITUTE(SUBSTITUTE(IF(BB66&lt;&gt;"",BB66,K66)," ",""),".",""),"+",""),1)="0",'Paramètres'!$B$35&amp;MID(SUBSTITUTE(SUBSTITUTE(SUBSTITUTE(IF(BB66&lt;&gt;"",BB66,K66)," ",""),".",""),"+",""),2,20),SUBSTITUTE(SUBSTITUTE(SUBSTITUTE(IF(BB66&lt;&gt;"",BB66,K66)," ",""),".",""),"+","")),"WhatsApp"))</f>
        <v/>
      </c>
      <c r="M66" s="60">
        <f>IF(BC66="","",HYPERLINK(IF(LEFT(BC66,4)="http",BC66,"https://www.instagram.com/"&amp;SUBSTITUTE(SUBSTITUTE(BC66,"@","")," ","")),BC66))</f>
        <v/>
      </c>
      <c r="N66" s="60">
        <f>IF(C66="","",IFERROR(INDEX('Saisie'!$D$5:$D$2004,_xlfn.MINIFS('Saisie'!$AS$5:$AS$2004,'Saisie'!$C$5:$C$2004,C66,'Saisie'!$AU$5:$AU$2004,1)-4),IFERROR(INDEX('Saisie'!$D$5:$D$2004,_xlfn.MINIFS('Saisie'!$AS$5:$AS$2004,'Saisie'!$C$5:$C$2004,C66,'Saisie'!$D$5:$D$2004,"&lt;&gt;")-4),"")))</f>
        <v/>
      </c>
      <c r="O66" s="60">
        <f>IF(C66="","",COUNTIFS('Saisie'!$C$5:$C$2004,C66,'Saisie'!$AU$5:$AU$2004,1))</f>
        <v/>
      </c>
      <c r="P66" s="60">
        <f>IF(C66="","",COUNTIFS('Saisie'!$C$5:$C$2004,C66,'Saisie'!$AV$5:$AV$2004,1))</f>
        <v/>
      </c>
      <c r="Q66" s="106">
        <f>IF(C66="","",IFERROR(1/(1/_xlfn.MAXIFS('Saisie'!$A$5:$A$2004,'Saisie'!$C$5:$C$2004,C66)),""))</f>
        <v/>
      </c>
      <c r="R66" s="61">
        <f>IF(C66="","",IF(Q66="","",TODAY()-Q66))</f>
        <v/>
      </c>
      <c r="S66" s="60">
        <f>IF(C66="","",IFERROR(INDEX('Saisie'!$R$5:$R$2004,_xlfn.MAXIFS('Saisie'!$AS$5:$AS$2004,'Saisie'!$C$5:$C$2004,C66,'Saisie'!$R$5:$R$2004,"&lt;&gt;")-4),""))</f>
        <v/>
      </c>
      <c r="T66" s="60">
        <f>IF(C66="","",IFERROR(INDEX('Saisie'!$S$5:$S$2004,_xlfn.MAXIFS('Saisie'!$AS$5:$AS$2004,'Saisie'!$C$5:$C$2004,C66,'Saisie'!$S$5:$S$2004,"&lt;&gt;")-4),""))</f>
        <v/>
      </c>
      <c r="U66" s="60">
        <f>IF(C66="","",IFERROR(INDEX('Saisie'!$T$5:$T$2004,_xlfn.MAXIFS('Saisie'!$AS$5:$AS$2004,'Saisie'!$C$5:$C$2004,C66,'Saisie'!$T$5:$T$2004,"&lt;&gt;")-4),""))</f>
        <v/>
      </c>
      <c r="V66" s="60">
        <f>IF(C66="","",IFERROR(INDEX('Saisie'!$V$5:$V$2004,_xlfn.MAXIFS('Saisie'!$AS$5:$AS$2004,'Saisie'!$C$5:$C$2004,C66,'Saisie'!$V$5:$V$2004,"&lt;&gt;")-4),""))</f>
        <v/>
      </c>
      <c r="W66" s="60">
        <f>IF(C66="","",IFERROR(INDEX('Saisie'!$Z$5:$Z$2004,_xlfn.MAXIFS('Saisie'!$AS$5:$AS$2004,'Saisie'!$C$5:$C$2004,C66,'Saisie'!$Z$5:$Z$2004,"&lt;&gt;")-4),""))</f>
        <v/>
      </c>
      <c r="X66" s="60">
        <f>IF(C66="","",IFERROR(INDEX('Saisie'!$AA$5:$AA$2004,_xlfn.MAXIFS('Saisie'!$AS$5:$AS$2004,'Saisie'!$C$5:$C$2004,C66,'Saisie'!$AA$5:$AA$2004,"&lt;&gt;")-4),""))</f>
        <v/>
      </c>
      <c r="Y66" s="60">
        <f>IF(C66="","",IFERROR(INDEX('Saisie'!$AB$5:$AB$2004,_xlfn.MAXIFS('Saisie'!$AS$5:$AS$2004,'Saisie'!$C$5:$C$2004,C66,'Saisie'!$AB$5:$AB$2004,"&lt;&gt;")-4),""))</f>
        <v/>
      </c>
      <c r="Z66" s="60">
        <f>IF(C66="","",IFERROR(INDEX('Saisie'!$AC$5:$AC$2004,_xlfn.MAXIFS('Saisie'!$AS$5:$AS$2004,'Saisie'!$C$5:$C$2004,C66,'Saisie'!$AC$5:$AC$2004,"&lt;&gt;")-4),""))</f>
        <v/>
      </c>
      <c r="AA66" s="106">
        <f>IF(C66="","",IFERROR(INDEX('Saisie'!$AD$5:$AD$2004,_xlfn.MAXIFS('Saisie'!$AS$5:$AS$2004,'Saisie'!$C$5:$C$2004,C66,'Saisie'!$AD$5:$AD$2004,"&lt;&gt;")-4),""))</f>
        <v/>
      </c>
      <c r="AB66" s="60">
        <f>IF(C66="","",IFERROR(INDEX('Saisie'!$AE$5:$AE$2004,_xlfn.MAXIFS('Saisie'!$AS$5:$AS$2004,'Saisie'!$C$5:$C$2004,C66,'Saisie'!$AE$5:$AE$2004,"&lt;&gt;")-4),""))</f>
        <v/>
      </c>
      <c r="AC66" s="60">
        <f>IF(C66="","",IFERROR(INDEX('Saisie'!$AF$5:$AF$2004,_xlfn.MAXIFS('Saisie'!$AS$5:$AS$2004,'Saisie'!$C$5:$C$2004,C66,'Saisie'!$AF$5:$AF$2004,"&lt;&gt;")-4),""))</f>
        <v/>
      </c>
      <c r="AD66" s="108">
        <f>IF(C66="","",IFERROR(INDEX('Saisie'!$AG$5:$AG$2004,_xlfn.MAXIFS('Saisie'!$AS$5:$AS$2004,'Saisie'!$C$5:$C$2004,C66,'Saisie'!$AG$5:$AG$2004,"&lt;&gt;")-4),""))</f>
        <v/>
      </c>
      <c r="AE66" s="60">
        <f>IF(C66="","",IFERROR(INDEX('Saisie'!$AH$5:$AH$2004,_xlfn.MAXIFS('Saisie'!$AS$5:$AS$2004,'Saisie'!$C$5:$C$2004,C66,'Saisie'!$AH$5:$AH$2004,"&lt;&gt;")-4),""))</f>
        <v/>
      </c>
      <c r="AF66" s="60">
        <f>IF(C66="","",IFERROR(INDEX('Saisie'!$AI$5:$AI$2004,_xlfn.MAXIFS('Saisie'!$AS$5:$AS$2004,'Saisie'!$C$5:$C$2004,C66,'Saisie'!$AI$5:$AI$2004,"&lt;&gt;")-4),""))</f>
        <v/>
      </c>
      <c r="AG66" s="60">
        <f>IF(C66="","",IFERROR(INDEX('Saisie'!$AJ$5:$AJ$2004,_xlfn.MAXIFS('Saisie'!$AS$5:$AS$2004,'Saisie'!$C$5:$C$2004,C66,'Saisie'!$AJ$5:$AJ$2004,"&lt;&gt;")-4),""))</f>
        <v/>
      </c>
      <c r="AH66" s="60">
        <f>IF(C66="","",IFERROR(INDEX('Saisie'!$AK$5:$AK$2004,_xlfn.MAXIFS('Saisie'!$AS$5:$AS$2004,'Saisie'!$C$5:$C$2004,C66,'Saisie'!$AK$5:$AK$2004,"&lt;&gt;")-4),""))</f>
        <v/>
      </c>
      <c r="AI66" s="60">
        <f>IF(C66="","",IFERROR(INDEX('Saisie'!$AN$5:$AN$2004,_xlfn.MAXIFS('Saisie'!$AS$5:$AS$2004,'Saisie'!$C$5:$C$2004,C66,'Saisie'!$AN$5:$AN$2004,"&lt;&gt;")-4),""))</f>
        <v/>
      </c>
      <c r="AJ66" s="60">
        <f>IF(C66="","",IFERROR(INDEX('Saisie'!$AO$5:$AO$2004,_xlfn.MAXIFS('Saisie'!$AS$5:$AS$2004,'Saisie'!$C$5:$C$2004,C66,'Saisie'!$AO$5:$AO$2004,"&lt;&gt;")-4),""))</f>
        <v/>
      </c>
      <c r="AK66" s="60">
        <f>IF(C66="","",IFERROR(INDEX('Saisie'!$AP$5:$AP$2004,_xlfn.MAXIFS('Saisie'!$AS$5:$AS$2004,'Saisie'!$C$5:$C$2004,C66,'Saisie'!$AP$5:$AP$2004,"&lt;&gt;")-4),""))</f>
        <v/>
      </c>
      <c r="AL66" s="60">
        <f>IF(C66="","",IFERROR(INDEX('Saisie'!$AQ$5:$AQ$2004,_xlfn.MAXIFS('Saisie'!$AS$5:$AS$2004,'Saisie'!$C$5:$C$2004,C66,'Saisie'!$AQ$5:$AQ$2004,"&lt;&gt;")-4),""))</f>
        <v/>
      </c>
      <c r="AM66" s="60">
        <f>IF(C66="","",((AI66="Oui")+(AJ66="Oui")+(AK66="Oui")+OR(AL66="Immédiat",AL66="&lt; 1 mois"))&amp;"/4")</f>
        <v/>
      </c>
      <c r="AN66" s="60">
        <f>IF(C66="","",IFERROR(INDEX('Saisie'!$AL$5:$AL$2004,_xlfn.MAXIFS('Saisie'!$AS$5:$AS$2004,'Saisie'!$C$5:$C$2004,C66,'Saisie'!$AL$5:$AL$2004,"&lt;&gt;")-4),""))</f>
        <v/>
      </c>
      <c r="AO66" s="62">
        <f>IF(C66="","",IF(IFERROR(INDEX('Saisie'!$AM$5:$AM$2004,_xlfn.MAXIFS('Saisie'!$AS$5:$AS$2004,'Saisie'!$C$5:$C$2004,C66,'Saisie'!$AM$5:$AM$2004,"&lt;&gt;")-4),"")&lt;&gt;"",IFERROR(INDEX('Saisie'!$AM$5:$AM$2004,_xlfn.MAXIFS('Saisie'!$AS$5:$AS$2004,'Saisie'!$C$5:$C$2004,C66,'Saisie'!$AM$5:$AM$2004,"&lt;&gt;")-4),""),IFERROR(INDEX('Paramètres'!$S$6:$S$15,MATCH(AN66,'Paramètres'!$Q$6:$Q$15,0)),"")))</f>
        <v/>
      </c>
      <c r="AP66" s="62">
        <f>IF(C66="","",IFERROR(INDEX('Saisie'!$AW$5:$AW$2004,_xlfn.MAXIFS('Saisie'!$AS$5:$AS$2004,'Saisie'!$C$5:$C$2004,C66,'Saisie'!$E$5:$E$2004,"Proposition envoyée")-4),""))</f>
        <v/>
      </c>
      <c r="AQ66" s="106">
        <f>IF(C66="","",IFERROR(1/(1/_xlfn.MAXIFS('Saisie'!$A$5:$A$2004,'Saisie'!$C$5:$C$2004,C66,'Saisie'!$E$5:$E$2004,"Proposition envoyée")),""))</f>
        <v/>
      </c>
      <c r="AR66" s="106">
        <f>IF(C66="","",IF(AQ66="","",AQ66+'Paramètres'!$B$26))</f>
        <v/>
      </c>
      <c r="AS66" s="62">
        <f>IF(OR(C66="",D66="Gagné",D66="Perdu"),0,N(AP66)*IFERROR(INDEX('Paramètres'!$G$6:$G$13,MATCH(D66,'Paramètres'!$F$6:$F$13,0)),0))</f>
        <v/>
      </c>
      <c r="AT66" s="106">
        <f>IF(C66="","",IFERROR(1/(1/_xlfn.MINIFS('Saisie'!$A$5:$A$2004,'Saisie'!$C$5:$C$2004,C66,'Saisie'!$E$5:$E$2004,"Signature")),""))</f>
        <v/>
      </c>
      <c r="AU66" s="60">
        <f>IF(C66="","",IF(OR(AT66="",B66=""),"",AT66-B66))</f>
        <v/>
      </c>
      <c r="AV66" s="60">
        <f>IF(C66="","",IFERROR(INDEX('Saisie'!$L$5:$L$2004,_xlfn.MAXIFS('Saisie'!$AS$5:$AS$2004,'Saisie'!$C$5:$C$2004,C66,'Saisie'!$L$5:$L$2004,"&lt;&gt;")-4),""))</f>
        <v/>
      </c>
      <c r="AW66" s="106">
        <f>IF(C66="","",IF(D66&lt;&gt;"Perdu","",IFERROR(1/(1/_xlfn.MAXIFS('Saisie'!$A$5:$A$2004,'Saisie'!$C$5:$C$2004,C66,'Saisie'!$E$5:$E$2004,"Perdu")),"")))</f>
        <v/>
      </c>
      <c r="AX66" s="106">
        <f>IF(C66="","",IF(AW66="","",AW66+'Paramètres'!$B$28))</f>
        <v/>
      </c>
      <c r="AY66" s="60">
        <f>IF(C66="","",SUMIFS('Saisie'!$H$5:$H$2004,'Saisie'!$C$5:$C$2004,C66))</f>
        <v/>
      </c>
      <c r="AZ66" s="60">
        <f>IF(C66="","",IFERROR(INDEX('Paramètres'!$W$6:$W$20,MATCH(S66,'Paramètres'!$V$6:$V$20,0))&amp;"",""))</f>
        <v/>
      </c>
      <c r="BA66" s="60">
        <f>IF(C66="","",MAX(1,_xlfn.MAXIFS('Saisie'!$AT$5:$AT$2004,'Saisie'!$C$5:$C$2004,C66)))</f>
        <v/>
      </c>
      <c r="BB66" s="60">
        <f>IF(C66="","",IFERROR(INDEX('Saisie'!$X$5:$X$2004,_xlfn.MAXIFS('Saisie'!$AS$5:$AS$2004,'Saisie'!$C$5:$C$2004,C66,'Saisie'!$X$5:$X$2004,"&lt;&gt;")-4),""))</f>
        <v/>
      </c>
      <c r="BC66" s="60">
        <f>IF(C66="","",IFERROR(INDEX('Saisie'!$Y$5:$Y$2004,_xlfn.MAXIFS('Saisie'!$AS$5:$AS$2004,'Saisie'!$C$5:$C$2004,C66,'Saisie'!$Y$5:$Y$2004,"&lt;&gt;")-4),""))</f>
        <v/>
      </c>
      <c r="BD66" s="106">
        <f>IF(C66="","",IFERROR(1/(1/_xlfn.MINIFS('Saisie'!$A$5:$A$2004,'Saisie'!$C$5:$C$2004,C66,'Saisie'!$AT$5:$AT$2004,"&gt;=2")),""))</f>
        <v/>
      </c>
      <c r="BE66" s="106">
        <f>IF(C66="","",IFERROR(1/(1/_xlfn.MINIFS('Saisie'!$A$5:$A$2004,'Saisie'!$C$5:$C$2004,C66,'Saisie'!$AT$5:$AT$2004,"&gt;=3")),""))</f>
        <v/>
      </c>
      <c r="BF66" s="106">
        <f>IF(C66="","",IFERROR(1/(1/_xlfn.MINIFS('Saisie'!$A$5:$A$2004,'Saisie'!$C$5:$C$2004,C66,'Saisie'!$AT$5:$AT$2004,"&gt;=4")),""))</f>
        <v/>
      </c>
      <c r="BG66" s="106">
        <f>IF(C66="","",IFERROR(1/(1/_xlfn.MINIFS('Saisie'!$A$5:$A$2004,'Saisie'!$C$5:$C$2004,C66,'Saisie'!$AT$5:$AT$2004,"&gt;=5")),""))</f>
        <v/>
      </c>
      <c r="BH66" s="106">
        <f>IF(C66="","",IFERROR(1/(1/_xlfn.MINIFS('Saisie'!$A$5:$A$2004,'Saisie'!$C$5:$C$2004,C66,'Saisie'!$AT$5:$AT$2004,"&gt;=6")),""))</f>
        <v/>
      </c>
      <c r="BI66" s="106">
        <f>IF(C66="","",IFERROR(1/(1/_xlfn.MINIFS('Saisie'!$A$5:$A$2004,'Saisie'!$C$5:$C$2004,C66,'Saisie'!$AT$5:$AT$2004,"&gt;=7")),""))</f>
        <v/>
      </c>
      <c r="BJ66" s="60">
        <f>IF(OR(BD66="",B66=""),"",BD66-B66)</f>
        <v/>
      </c>
      <c r="BK66" s="60">
        <f>IF(OR(BE66="",BD66=""),"",BE66-BD66)</f>
        <v/>
      </c>
      <c r="BL66" s="60">
        <f>IF(OR(BF66="",BE66=""),"",BF66-BE66)</f>
        <v/>
      </c>
      <c r="BM66" s="60">
        <f>IF(OR(BG66="",BF66=""),"",BG66-BF66)</f>
        <v/>
      </c>
      <c r="BN66" s="60">
        <f>IF(OR(BH66="",BG66=""),"",BH66-BG66)</f>
        <v/>
      </c>
      <c r="BO66" s="60">
        <f>IF(OR(BI66="",BH66=""),"",BI66-BH66)</f>
        <v/>
      </c>
      <c r="BP66" s="60">
        <f>IF(C66="","",_xlfn.MAXIFS('Saisie'!$AS$5:$AS$2004,'Saisie'!$C$5:$C$2004,C66,'Saisie'!$J$5:$J$2004,"&lt;&gt;"))</f>
        <v/>
      </c>
      <c r="BQ66" s="60">
        <f>IF(C66="","",_xlfn.MAXIFS('Saisie'!$AS$5:$AS$2004,'Saisie'!$C$5:$C$2004,C66))</f>
        <v/>
      </c>
      <c r="BR66" s="60">
        <f>IF(C66="","",_xlfn.MAXIFS('Saisie'!$AS$5:$AS$2004,'Saisie'!$C$5:$C$2004,C66,'Saisie'!$E$5:$E$2004,"Perdu"))</f>
        <v/>
      </c>
      <c r="BS66" s="60">
        <f>IF(C66="","",_xlfn.MAXIFS('Saisie'!$AS$5:$AS$2004,'Saisie'!$C$5:$C$2004,C66,'Saisie'!$AT$5:$AT$2004,"&gt;0"))</f>
        <v/>
      </c>
      <c r="BT66" s="109">
        <f>IF(AND(C66&lt;&gt;"",OR(D66="Nouveau",D66="Contacté",D66="Qualifié"),OR(G66="",N(G66)&lt;=TODAY()),NOT(AND(O66&gt;='Paramètres'!$B$21,P66=0))),E66+62/10000,"")</f>
        <v/>
      </c>
      <c r="BU66" s="60">
        <f>IF(AND(G66&lt;&gt;"",N(G66)&lt;=TODAY()),MAX($BU$4:BU65)+1,"")</f>
        <v/>
      </c>
      <c r="BV66" s="60">
        <f>IF(AND(F66&lt;&gt;"",F66&lt;&gt;"Relance en retard"),MAX($BV$4:BV65)+1,"")</f>
        <v/>
      </c>
      <c r="BW66" s="60">
        <f>IF(C66="","",IF(AND(B66&gt;='Tableau de bord'!$R$4,B66&lt;='Tableau de bord'!$S$4,OR('Tableau de bord'!$G$4="Tous",N66='Tableau de bord'!$G$4)),1,0))</f>
        <v/>
      </c>
      <c r="BX66" s="60">
        <f>IF(AND(C66&lt;&gt;"",N(BA66)=7),MAX($BX$4:BX65)+1,"")</f>
        <v/>
      </c>
    </row>
    <row r="67">
      <c r="A67" s="60">
        <f>IF(C67="","","P-"&amp;TEXT(63,"000"))</f>
        <v/>
      </c>
      <c r="B67" s="106">
        <f>IF(C67="","",IFERROR(1/(1/_xlfn.MINIFS('Saisie'!$A$5:$A$2004,'Saisie'!$C$5:$C$2004,C67)),""))</f>
        <v/>
      </c>
      <c r="C67" s="60">
        <f>IFERROR(INDEX('Saisie'!$C$5:$C$2004,MATCH(63,'Saisie'!$AX$5:$AX$2004,0)),"")</f>
        <v/>
      </c>
      <c r="D67" s="60">
        <f>IF(C67="","",IF(AND(BR67&gt;0,BR67&gt;BS67,BA67&lt;7),"Perdu",INDEX('Paramètres'!$F$6:$F$13,BA67)))</f>
        <v/>
      </c>
      <c r="E67" s="61">
        <f>IF(C67="","",MIN(100,(Z67="Oui")*'Paramètres'!$B$38+(AB67="Régulière")*'Paramètres'!$B$39+IF(AND(N(AA67)&gt;0,TODAY()-N(AA67)&lt;=30),'Paramètres'!$B$40,0)+(W67="")*'Paramètres'!$B$41+(AC67="Absente")*'Paramètres'!$B$42+(AC67="Faible")*'Paramètres'!$B$43+IF(AND(N(AD67)&gt;0,N(AD67)&lt;4),'Paramètres'!$B$44,0)+(AF67="Moyenne")*'Paramètres'!$B$45+(AF67="Grande")*'Paramètres'!$B$46+(Y67&lt;&gt;"")*'Paramètres'!$B$47))</f>
        <v/>
      </c>
      <c r="F67" s="60">
        <f>IF(C67="","",IF(D67="Gagné","",IF(D67="Perdu",IF(AND(AX67&lt;&gt;"",AX67&lt;=TODAY()),"À recontacter (perdu)",""),IF(AND(O67&gt;='Paramètres'!$B$21,P67=0),"Stop : "&amp;'Paramètres'!$B$21&amp;" tentatives sans réponse",IF(AND(D67="Proposition",AR67&lt;&gt;"",TODAY()&gt;N(AR67)),"Proposition expirée",IF(AND(D67="Proposition",N(R67)&gt;='Paramètres'!$B$25),"Proposition sans réponse",IF(AND(G67&lt;&gt;"",N(G67)&lt;TODAY()),"Relance en retard",IF(N(R67)&gt;='Paramètres'!$B$24,"Sans action depuis "&amp;R67&amp;" j",""))))))))</f>
        <v/>
      </c>
      <c r="G67" s="106">
        <f>IF(OR(C67="",D67="Gagné",D67="Perdu"),"",IF(AND(BP67&gt;0,BP67=BQ67),INDEX('Saisie'!$J$5:$J$2004,BP67-4),IF(OR(O67=0,AND(O67&gt;='Paramètres'!$B$21,P67=0)),"",Q67+IF(O67&lt;=1,'Paramètres'!$B$18,IF(O67=2,'Paramètres'!$B$19,'Paramètres'!$B$20)))))</f>
        <v/>
      </c>
      <c r="H67" s="107">
        <f>IF(OR(G67="",BP67&lt;&gt;BQ67),"",IF(INDEX('Saisie'!$K$5:$K$2004,BP67-4)="","",INDEX('Saisie'!$K$5:$K$2004,BP67-4)))</f>
        <v/>
      </c>
      <c r="I67" s="60">
        <f>IF(C67="","",IF(OR(D67="Gagné",D67="Perdu"),"",IFERROR(INDEX('Saisie'!$I$5:$I$2004,_xlfn.MAXIFS('Saisie'!$AS$5:$AS$2004,'Saisie'!$C$5:$C$2004,C67,'Saisie'!$I$5:$I$2004,"&lt;&gt;")-4),"")))</f>
        <v/>
      </c>
      <c r="J67" s="60">
        <f>IF(C67="","",IFERROR(INDEX('Saisie'!$U$5:$U$2004,_xlfn.MAXIFS('Saisie'!$AS$5:$AS$2004,'Saisie'!$C$5:$C$2004,C67,'Saisie'!$U$5:$U$2004,"&lt;&gt;")-4),""))</f>
        <v/>
      </c>
      <c r="K67" s="60">
        <f>IF(C67="","",IFERROR(INDEX('Saisie'!$W$5:$W$2004,_xlfn.MAXIFS('Saisie'!$AS$5:$AS$2004,'Saisie'!$C$5:$C$2004,C67,'Saisie'!$W$5:$W$2004,"&lt;&gt;")-4),""))</f>
        <v/>
      </c>
      <c r="L67" s="60">
        <f>IF(IF(BB67&lt;&gt;"",BB67,K67)="","",HYPERLINK("https://wa.me/"&amp;IF(LEFT(SUBSTITUTE(SUBSTITUTE(SUBSTITUTE(IF(BB67&lt;&gt;"",BB67,K67)," ",""),".",""),"+",""),1)="0",'Paramètres'!$B$35&amp;MID(SUBSTITUTE(SUBSTITUTE(SUBSTITUTE(IF(BB67&lt;&gt;"",BB67,K67)," ",""),".",""),"+",""),2,20),SUBSTITUTE(SUBSTITUTE(SUBSTITUTE(IF(BB67&lt;&gt;"",BB67,K67)," ",""),".",""),"+","")),"WhatsApp"))</f>
        <v/>
      </c>
      <c r="M67" s="60">
        <f>IF(BC67="","",HYPERLINK(IF(LEFT(BC67,4)="http",BC67,"https://www.instagram.com/"&amp;SUBSTITUTE(SUBSTITUTE(BC67,"@","")," ","")),BC67))</f>
        <v/>
      </c>
      <c r="N67" s="60">
        <f>IF(C67="","",IFERROR(INDEX('Saisie'!$D$5:$D$2004,_xlfn.MINIFS('Saisie'!$AS$5:$AS$2004,'Saisie'!$C$5:$C$2004,C67,'Saisie'!$AU$5:$AU$2004,1)-4),IFERROR(INDEX('Saisie'!$D$5:$D$2004,_xlfn.MINIFS('Saisie'!$AS$5:$AS$2004,'Saisie'!$C$5:$C$2004,C67,'Saisie'!$D$5:$D$2004,"&lt;&gt;")-4),"")))</f>
        <v/>
      </c>
      <c r="O67" s="60">
        <f>IF(C67="","",COUNTIFS('Saisie'!$C$5:$C$2004,C67,'Saisie'!$AU$5:$AU$2004,1))</f>
        <v/>
      </c>
      <c r="P67" s="60">
        <f>IF(C67="","",COUNTIFS('Saisie'!$C$5:$C$2004,C67,'Saisie'!$AV$5:$AV$2004,1))</f>
        <v/>
      </c>
      <c r="Q67" s="106">
        <f>IF(C67="","",IFERROR(1/(1/_xlfn.MAXIFS('Saisie'!$A$5:$A$2004,'Saisie'!$C$5:$C$2004,C67)),""))</f>
        <v/>
      </c>
      <c r="R67" s="61">
        <f>IF(C67="","",IF(Q67="","",TODAY()-Q67))</f>
        <v/>
      </c>
      <c r="S67" s="60">
        <f>IF(C67="","",IFERROR(INDEX('Saisie'!$R$5:$R$2004,_xlfn.MAXIFS('Saisie'!$AS$5:$AS$2004,'Saisie'!$C$5:$C$2004,C67,'Saisie'!$R$5:$R$2004,"&lt;&gt;")-4),""))</f>
        <v/>
      </c>
      <c r="T67" s="60">
        <f>IF(C67="","",IFERROR(INDEX('Saisie'!$S$5:$S$2004,_xlfn.MAXIFS('Saisie'!$AS$5:$AS$2004,'Saisie'!$C$5:$C$2004,C67,'Saisie'!$S$5:$S$2004,"&lt;&gt;")-4),""))</f>
        <v/>
      </c>
      <c r="U67" s="60">
        <f>IF(C67="","",IFERROR(INDEX('Saisie'!$T$5:$T$2004,_xlfn.MAXIFS('Saisie'!$AS$5:$AS$2004,'Saisie'!$C$5:$C$2004,C67,'Saisie'!$T$5:$T$2004,"&lt;&gt;")-4),""))</f>
        <v/>
      </c>
      <c r="V67" s="60">
        <f>IF(C67="","",IFERROR(INDEX('Saisie'!$V$5:$V$2004,_xlfn.MAXIFS('Saisie'!$AS$5:$AS$2004,'Saisie'!$C$5:$C$2004,C67,'Saisie'!$V$5:$V$2004,"&lt;&gt;")-4),""))</f>
        <v/>
      </c>
      <c r="W67" s="60">
        <f>IF(C67="","",IFERROR(INDEX('Saisie'!$Z$5:$Z$2004,_xlfn.MAXIFS('Saisie'!$AS$5:$AS$2004,'Saisie'!$C$5:$C$2004,C67,'Saisie'!$Z$5:$Z$2004,"&lt;&gt;")-4),""))</f>
        <v/>
      </c>
      <c r="X67" s="60">
        <f>IF(C67="","",IFERROR(INDEX('Saisie'!$AA$5:$AA$2004,_xlfn.MAXIFS('Saisie'!$AS$5:$AS$2004,'Saisie'!$C$5:$C$2004,C67,'Saisie'!$AA$5:$AA$2004,"&lt;&gt;")-4),""))</f>
        <v/>
      </c>
      <c r="Y67" s="60">
        <f>IF(C67="","",IFERROR(INDEX('Saisie'!$AB$5:$AB$2004,_xlfn.MAXIFS('Saisie'!$AS$5:$AS$2004,'Saisie'!$C$5:$C$2004,C67,'Saisie'!$AB$5:$AB$2004,"&lt;&gt;")-4),""))</f>
        <v/>
      </c>
      <c r="Z67" s="60">
        <f>IF(C67="","",IFERROR(INDEX('Saisie'!$AC$5:$AC$2004,_xlfn.MAXIFS('Saisie'!$AS$5:$AS$2004,'Saisie'!$C$5:$C$2004,C67,'Saisie'!$AC$5:$AC$2004,"&lt;&gt;")-4),""))</f>
        <v/>
      </c>
      <c r="AA67" s="106">
        <f>IF(C67="","",IFERROR(INDEX('Saisie'!$AD$5:$AD$2004,_xlfn.MAXIFS('Saisie'!$AS$5:$AS$2004,'Saisie'!$C$5:$C$2004,C67,'Saisie'!$AD$5:$AD$2004,"&lt;&gt;")-4),""))</f>
        <v/>
      </c>
      <c r="AB67" s="60">
        <f>IF(C67="","",IFERROR(INDEX('Saisie'!$AE$5:$AE$2004,_xlfn.MAXIFS('Saisie'!$AS$5:$AS$2004,'Saisie'!$C$5:$C$2004,C67,'Saisie'!$AE$5:$AE$2004,"&lt;&gt;")-4),""))</f>
        <v/>
      </c>
      <c r="AC67" s="60">
        <f>IF(C67="","",IFERROR(INDEX('Saisie'!$AF$5:$AF$2004,_xlfn.MAXIFS('Saisie'!$AS$5:$AS$2004,'Saisie'!$C$5:$C$2004,C67,'Saisie'!$AF$5:$AF$2004,"&lt;&gt;")-4),""))</f>
        <v/>
      </c>
      <c r="AD67" s="108">
        <f>IF(C67="","",IFERROR(INDEX('Saisie'!$AG$5:$AG$2004,_xlfn.MAXIFS('Saisie'!$AS$5:$AS$2004,'Saisie'!$C$5:$C$2004,C67,'Saisie'!$AG$5:$AG$2004,"&lt;&gt;")-4),""))</f>
        <v/>
      </c>
      <c r="AE67" s="60">
        <f>IF(C67="","",IFERROR(INDEX('Saisie'!$AH$5:$AH$2004,_xlfn.MAXIFS('Saisie'!$AS$5:$AS$2004,'Saisie'!$C$5:$C$2004,C67,'Saisie'!$AH$5:$AH$2004,"&lt;&gt;")-4),""))</f>
        <v/>
      </c>
      <c r="AF67" s="60">
        <f>IF(C67="","",IFERROR(INDEX('Saisie'!$AI$5:$AI$2004,_xlfn.MAXIFS('Saisie'!$AS$5:$AS$2004,'Saisie'!$C$5:$C$2004,C67,'Saisie'!$AI$5:$AI$2004,"&lt;&gt;")-4),""))</f>
        <v/>
      </c>
      <c r="AG67" s="60">
        <f>IF(C67="","",IFERROR(INDEX('Saisie'!$AJ$5:$AJ$2004,_xlfn.MAXIFS('Saisie'!$AS$5:$AS$2004,'Saisie'!$C$5:$C$2004,C67,'Saisie'!$AJ$5:$AJ$2004,"&lt;&gt;")-4),""))</f>
        <v/>
      </c>
      <c r="AH67" s="60">
        <f>IF(C67="","",IFERROR(INDEX('Saisie'!$AK$5:$AK$2004,_xlfn.MAXIFS('Saisie'!$AS$5:$AS$2004,'Saisie'!$C$5:$C$2004,C67,'Saisie'!$AK$5:$AK$2004,"&lt;&gt;")-4),""))</f>
        <v/>
      </c>
      <c r="AI67" s="60">
        <f>IF(C67="","",IFERROR(INDEX('Saisie'!$AN$5:$AN$2004,_xlfn.MAXIFS('Saisie'!$AS$5:$AS$2004,'Saisie'!$C$5:$C$2004,C67,'Saisie'!$AN$5:$AN$2004,"&lt;&gt;")-4),""))</f>
        <v/>
      </c>
      <c r="AJ67" s="60">
        <f>IF(C67="","",IFERROR(INDEX('Saisie'!$AO$5:$AO$2004,_xlfn.MAXIFS('Saisie'!$AS$5:$AS$2004,'Saisie'!$C$5:$C$2004,C67,'Saisie'!$AO$5:$AO$2004,"&lt;&gt;")-4),""))</f>
        <v/>
      </c>
      <c r="AK67" s="60">
        <f>IF(C67="","",IFERROR(INDEX('Saisie'!$AP$5:$AP$2004,_xlfn.MAXIFS('Saisie'!$AS$5:$AS$2004,'Saisie'!$C$5:$C$2004,C67,'Saisie'!$AP$5:$AP$2004,"&lt;&gt;")-4),""))</f>
        <v/>
      </c>
      <c r="AL67" s="60">
        <f>IF(C67="","",IFERROR(INDEX('Saisie'!$AQ$5:$AQ$2004,_xlfn.MAXIFS('Saisie'!$AS$5:$AS$2004,'Saisie'!$C$5:$C$2004,C67,'Saisie'!$AQ$5:$AQ$2004,"&lt;&gt;")-4),""))</f>
        <v/>
      </c>
      <c r="AM67" s="60">
        <f>IF(C67="","",((AI67="Oui")+(AJ67="Oui")+(AK67="Oui")+OR(AL67="Immédiat",AL67="&lt; 1 mois"))&amp;"/4")</f>
        <v/>
      </c>
      <c r="AN67" s="60">
        <f>IF(C67="","",IFERROR(INDEX('Saisie'!$AL$5:$AL$2004,_xlfn.MAXIFS('Saisie'!$AS$5:$AS$2004,'Saisie'!$C$5:$C$2004,C67,'Saisie'!$AL$5:$AL$2004,"&lt;&gt;")-4),""))</f>
        <v/>
      </c>
      <c r="AO67" s="62">
        <f>IF(C67="","",IF(IFERROR(INDEX('Saisie'!$AM$5:$AM$2004,_xlfn.MAXIFS('Saisie'!$AS$5:$AS$2004,'Saisie'!$C$5:$C$2004,C67,'Saisie'!$AM$5:$AM$2004,"&lt;&gt;")-4),"")&lt;&gt;"",IFERROR(INDEX('Saisie'!$AM$5:$AM$2004,_xlfn.MAXIFS('Saisie'!$AS$5:$AS$2004,'Saisie'!$C$5:$C$2004,C67,'Saisie'!$AM$5:$AM$2004,"&lt;&gt;")-4),""),IFERROR(INDEX('Paramètres'!$S$6:$S$15,MATCH(AN67,'Paramètres'!$Q$6:$Q$15,0)),"")))</f>
        <v/>
      </c>
      <c r="AP67" s="62">
        <f>IF(C67="","",IFERROR(INDEX('Saisie'!$AW$5:$AW$2004,_xlfn.MAXIFS('Saisie'!$AS$5:$AS$2004,'Saisie'!$C$5:$C$2004,C67,'Saisie'!$E$5:$E$2004,"Proposition envoyée")-4),""))</f>
        <v/>
      </c>
      <c r="AQ67" s="106">
        <f>IF(C67="","",IFERROR(1/(1/_xlfn.MAXIFS('Saisie'!$A$5:$A$2004,'Saisie'!$C$5:$C$2004,C67,'Saisie'!$E$5:$E$2004,"Proposition envoyée")),""))</f>
        <v/>
      </c>
      <c r="AR67" s="106">
        <f>IF(C67="","",IF(AQ67="","",AQ67+'Paramètres'!$B$26))</f>
        <v/>
      </c>
      <c r="AS67" s="62">
        <f>IF(OR(C67="",D67="Gagné",D67="Perdu"),0,N(AP67)*IFERROR(INDEX('Paramètres'!$G$6:$G$13,MATCH(D67,'Paramètres'!$F$6:$F$13,0)),0))</f>
        <v/>
      </c>
      <c r="AT67" s="106">
        <f>IF(C67="","",IFERROR(1/(1/_xlfn.MINIFS('Saisie'!$A$5:$A$2004,'Saisie'!$C$5:$C$2004,C67,'Saisie'!$E$5:$E$2004,"Signature")),""))</f>
        <v/>
      </c>
      <c r="AU67" s="60">
        <f>IF(C67="","",IF(OR(AT67="",B67=""),"",AT67-B67))</f>
        <v/>
      </c>
      <c r="AV67" s="60">
        <f>IF(C67="","",IFERROR(INDEX('Saisie'!$L$5:$L$2004,_xlfn.MAXIFS('Saisie'!$AS$5:$AS$2004,'Saisie'!$C$5:$C$2004,C67,'Saisie'!$L$5:$L$2004,"&lt;&gt;")-4),""))</f>
        <v/>
      </c>
      <c r="AW67" s="106">
        <f>IF(C67="","",IF(D67&lt;&gt;"Perdu","",IFERROR(1/(1/_xlfn.MAXIFS('Saisie'!$A$5:$A$2004,'Saisie'!$C$5:$C$2004,C67,'Saisie'!$E$5:$E$2004,"Perdu")),"")))</f>
        <v/>
      </c>
      <c r="AX67" s="106">
        <f>IF(C67="","",IF(AW67="","",AW67+'Paramètres'!$B$28))</f>
        <v/>
      </c>
      <c r="AY67" s="60">
        <f>IF(C67="","",SUMIFS('Saisie'!$H$5:$H$2004,'Saisie'!$C$5:$C$2004,C67))</f>
        <v/>
      </c>
      <c r="AZ67" s="60">
        <f>IF(C67="","",IFERROR(INDEX('Paramètres'!$W$6:$W$20,MATCH(S67,'Paramètres'!$V$6:$V$20,0))&amp;"",""))</f>
        <v/>
      </c>
      <c r="BA67" s="60">
        <f>IF(C67="","",MAX(1,_xlfn.MAXIFS('Saisie'!$AT$5:$AT$2004,'Saisie'!$C$5:$C$2004,C67)))</f>
        <v/>
      </c>
      <c r="BB67" s="60">
        <f>IF(C67="","",IFERROR(INDEX('Saisie'!$X$5:$X$2004,_xlfn.MAXIFS('Saisie'!$AS$5:$AS$2004,'Saisie'!$C$5:$C$2004,C67,'Saisie'!$X$5:$X$2004,"&lt;&gt;")-4),""))</f>
        <v/>
      </c>
      <c r="BC67" s="60">
        <f>IF(C67="","",IFERROR(INDEX('Saisie'!$Y$5:$Y$2004,_xlfn.MAXIFS('Saisie'!$AS$5:$AS$2004,'Saisie'!$C$5:$C$2004,C67,'Saisie'!$Y$5:$Y$2004,"&lt;&gt;")-4),""))</f>
        <v/>
      </c>
      <c r="BD67" s="106">
        <f>IF(C67="","",IFERROR(1/(1/_xlfn.MINIFS('Saisie'!$A$5:$A$2004,'Saisie'!$C$5:$C$2004,C67,'Saisie'!$AT$5:$AT$2004,"&gt;=2")),""))</f>
        <v/>
      </c>
      <c r="BE67" s="106">
        <f>IF(C67="","",IFERROR(1/(1/_xlfn.MINIFS('Saisie'!$A$5:$A$2004,'Saisie'!$C$5:$C$2004,C67,'Saisie'!$AT$5:$AT$2004,"&gt;=3")),""))</f>
        <v/>
      </c>
      <c r="BF67" s="106">
        <f>IF(C67="","",IFERROR(1/(1/_xlfn.MINIFS('Saisie'!$A$5:$A$2004,'Saisie'!$C$5:$C$2004,C67,'Saisie'!$AT$5:$AT$2004,"&gt;=4")),""))</f>
        <v/>
      </c>
      <c r="BG67" s="106">
        <f>IF(C67="","",IFERROR(1/(1/_xlfn.MINIFS('Saisie'!$A$5:$A$2004,'Saisie'!$C$5:$C$2004,C67,'Saisie'!$AT$5:$AT$2004,"&gt;=5")),""))</f>
        <v/>
      </c>
      <c r="BH67" s="106">
        <f>IF(C67="","",IFERROR(1/(1/_xlfn.MINIFS('Saisie'!$A$5:$A$2004,'Saisie'!$C$5:$C$2004,C67,'Saisie'!$AT$5:$AT$2004,"&gt;=6")),""))</f>
        <v/>
      </c>
      <c r="BI67" s="106">
        <f>IF(C67="","",IFERROR(1/(1/_xlfn.MINIFS('Saisie'!$A$5:$A$2004,'Saisie'!$C$5:$C$2004,C67,'Saisie'!$AT$5:$AT$2004,"&gt;=7")),""))</f>
        <v/>
      </c>
      <c r="BJ67" s="60">
        <f>IF(OR(BD67="",B67=""),"",BD67-B67)</f>
        <v/>
      </c>
      <c r="BK67" s="60">
        <f>IF(OR(BE67="",BD67=""),"",BE67-BD67)</f>
        <v/>
      </c>
      <c r="BL67" s="60">
        <f>IF(OR(BF67="",BE67=""),"",BF67-BE67)</f>
        <v/>
      </c>
      <c r="BM67" s="60">
        <f>IF(OR(BG67="",BF67=""),"",BG67-BF67)</f>
        <v/>
      </c>
      <c r="BN67" s="60">
        <f>IF(OR(BH67="",BG67=""),"",BH67-BG67)</f>
        <v/>
      </c>
      <c r="BO67" s="60">
        <f>IF(OR(BI67="",BH67=""),"",BI67-BH67)</f>
        <v/>
      </c>
      <c r="BP67" s="60">
        <f>IF(C67="","",_xlfn.MAXIFS('Saisie'!$AS$5:$AS$2004,'Saisie'!$C$5:$C$2004,C67,'Saisie'!$J$5:$J$2004,"&lt;&gt;"))</f>
        <v/>
      </c>
      <c r="BQ67" s="60">
        <f>IF(C67="","",_xlfn.MAXIFS('Saisie'!$AS$5:$AS$2004,'Saisie'!$C$5:$C$2004,C67))</f>
        <v/>
      </c>
      <c r="BR67" s="60">
        <f>IF(C67="","",_xlfn.MAXIFS('Saisie'!$AS$5:$AS$2004,'Saisie'!$C$5:$C$2004,C67,'Saisie'!$E$5:$E$2004,"Perdu"))</f>
        <v/>
      </c>
      <c r="BS67" s="60">
        <f>IF(C67="","",_xlfn.MAXIFS('Saisie'!$AS$5:$AS$2004,'Saisie'!$C$5:$C$2004,C67,'Saisie'!$AT$5:$AT$2004,"&gt;0"))</f>
        <v/>
      </c>
      <c r="BT67" s="109">
        <f>IF(AND(C67&lt;&gt;"",OR(D67="Nouveau",D67="Contacté",D67="Qualifié"),OR(G67="",N(G67)&lt;=TODAY()),NOT(AND(O67&gt;='Paramètres'!$B$21,P67=0))),E67+63/10000,"")</f>
        <v/>
      </c>
      <c r="BU67" s="60">
        <f>IF(AND(G67&lt;&gt;"",N(G67)&lt;=TODAY()),MAX($BU$4:BU66)+1,"")</f>
        <v/>
      </c>
      <c r="BV67" s="60">
        <f>IF(AND(F67&lt;&gt;"",F67&lt;&gt;"Relance en retard"),MAX($BV$4:BV66)+1,"")</f>
        <v/>
      </c>
      <c r="BW67" s="60">
        <f>IF(C67="","",IF(AND(B67&gt;='Tableau de bord'!$R$4,B67&lt;='Tableau de bord'!$S$4,OR('Tableau de bord'!$G$4="Tous",N67='Tableau de bord'!$G$4)),1,0))</f>
        <v/>
      </c>
      <c r="BX67" s="60">
        <f>IF(AND(C67&lt;&gt;"",N(BA67)=7),MAX($BX$4:BX66)+1,"")</f>
        <v/>
      </c>
    </row>
    <row r="68">
      <c r="A68" s="60">
        <f>IF(C68="","","P-"&amp;TEXT(64,"000"))</f>
        <v/>
      </c>
      <c r="B68" s="106">
        <f>IF(C68="","",IFERROR(1/(1/_xlfn.MINIFS('Saisie'!$A$5:$A$2004,'Saisie'!$C$5:$C$2004,C68)),""))</f>
        <v/>
      </c>
      <c r="C68" s="60">
        <f>IFERROR(INDEX('Saisie'!$C$5:$C$2004,MATCH(64,'Saisie'!$AX$5:$AX$2004,0)),"")</f>
        <v/>
      </c>
      <c r="D68" s="60">
        <f>IF(C68="","",IF(AND(BR68&gt;0,BR68&gt;BS68,BA68&lt;7),"Perdu",INDEX('Paramètres'!$F$6:$F$13,BA68)))</f>
        <v/>
      </c>
      <c r="E68" s="61">
        <f>IF(C68="","",MIN(100,(Z68="Oui")*'Paramètres'!$B$38+(AB68="Régulière")*'Paramètres'!$B$39+IF(AND(N(AA68)&gt;0,TODAY()-N(AA68)&lt;=30),'Paramètres'!$B$40,0)+(W68="")*'Paramètres'!$B$41+(AC68="Absente")*'Paramètres'!$B$42+(AC68="Faible")*'Paramètres'!$B$43+IF(AND(N(AD68)&gt;0,N(AD68)&lt;4),'Paramètres'!$B$44,0)+(AF68="Moyenne")*'Paramètres'!$B$45+(AF68="Grande")*'Paramètres'!$B$46+(Y68&lt;&gt;"")*'Paramètres'!$B$47))</f>
        <v/>
      </c>
      <c r="F68" s="60">
        <f>IF(C68="","",IF(D68="Gagné","",IF(D68="Perdu",IF(AND(AX68&lt;&gt;"",AX68&lt;=TODAY()),"À recontacter (perdu)",""),IF(AND(O68&gt;='Paramètres'!$B$21,P68=0),"Stop : "&amp;'Paramètres'!$B$21&amp;" tentatives sans réponse",IF(AND(D68="Proposition",AR68&lt;&gt;"",TODAY()&gt;N(AR68)),"Proposition expirée",IF(AND(D68="Proposition",N(R68)&gt;='Paramètres'!$B$25),"Proposition sans réponse",IF(AND(G68&lt;&gt;"",N(G68)&lt;TODAY()),"Relance en retard",IF(N(R68)&gt;='Paramètres'!$B$24,"Sans action depuis "&amp;R68&amp;" j",""))))))))</f>
        <v/>
      </c>
      <c r="G68" s="106">
        <f>IF(OR(C68="",D68="Gagné",D68="Perdu"),"",IF(AND(BP68&gt;0,BP68=BQ68),INDEX('Saisie'!$J$5:$J$2004,BP68-4),IF(OR(O68=0,AND(O68&gt;='Paramètres'!$B$21,P68=0)),"",Q68+IF(O68&lt;=1,'Paramètres'!$B$18,IF(O68=2,'Paramètres'!$B$19,'Paramètres'!$B$20)))))</f>
        <v/>
      </c>
      <c r="H68" s="107">
        <f>IF(OR(G68="",BP68&lt;&gt;BQ68),"",IF(INDEX('Saisie'!$K$5:$K$2004,BP68-4)="","",INDEX('Saisie'!$K$5:$K$2004,BP68-4)))</f>
        <v/>
      </c>
      <c r="I68" s="60">
        <f>IF(C68="","",IF(OR(D68="Gagné",D68="Perdu"),"",IFERROR(INDEX('Saisie'!$I$5:$I$2004,_xlfn.MAXIFS('Saisie'!$AS$5:$AS$2004,'Saisie'!$C$5:$C$2004,C68,'Saisie'!$I$5:$I$2004,"&lt;&gt;")-4),"")))</f>
        <v/>
      </c>
      <c r="J68" s="60">
        <f>IF(C68="","",IFERROR(INDEX('Saisie'!$U$5:$U$2004,_xlfn.MAXIFS('Saisie'!$AS$5:$AS$2004,'Saisie'!$C$5:$C$2004,C68,'Saisie'!$U$5:$U$2004,"&lt;&gt;")-4),""))</f>
        <v/>
      </c>
      <c r="K68" s="60">
        <f>IF(C68="","",IFERROR(INDEX('Saisie'!$W$5:$W$2004,_xlfn.MAXIFS('Saisie'!$AS$5:$AS$2004,'Saisie'!$C$5:$C$2004,C68,'Saisie'!$W$5:$W$2004,"&lt;&gt;")-4),""))</f>
        <v/>
      </c>
      <c r="L68" s="60">
        <f>IF(IF(BB68&lt;&gt;"",BB68,K68)="","",HYPERLINK("https://wa.me/"&amp;IF(LEFT(SUBSTITUTE(SUBSTITUTE(SUBSTITUTE(IF(BB68&lt;&gt;"",BB68,K68)," ",""),".",""),"+",""),1)="0",'Paramètres'!$B$35&amp;MID(SUBSTITUTE(SUBSTITUTE(SUBSTITUTE(IF(BB68&lt;&gt;"",BB68,K68)," ",""),".",""),"+",""),2,20),SUBSTITUTE(SUBSTITUTE(SUBSTITUTE(IF(BB68&lt;&gt;"",BB68,K68)," ",""),".",""),"+","")),"WhatsApp"))</f>
        <v/>
      </c>
      <c r="M68" s="60">
        <f>IF(BC68="","",HYPERLINK(IF(LEFT(BC68,4)="http",BC68,"https://www.instagram.com/"&amp;SUBSTITUTE(SUBSTITUTE(BC68,"@","")," ","")),BC68))</f>
        <v/>
      </c>
      <c r="N68" s="60">
        <f>IF(C68="","",IFERROR(INDEX('Saisie'!$D$5:$D$2004,_xlfn.MINIFS('Saisie'!$AS$5:$AS$2004,'Saisie'!$C$5:$C$2004,C68,'Saisie'!$AU$5:$AU$2004,1)-4),IFERROR(INDEX('Saisie'!$D$5:$D$2004,_xlfn.MINIFS('Saisie'!$AS$5:$AS$2004,'Saisie'!$C$5:$C$2004,C68,'Saisie'!$D$5:$D$2004,"&lt;&gt;")-4),"")))</f>
        <v/>
      </c>
      <c r="O68" s="60">
        <f>IF(C68="","",COUNTIFS('Saisie'!$C$5:$C$2004,C68,'Saisie'!$AU$5:$AU$2004,1))</f>
        <v/>
      </c>
      <c r="P68" s="60">
        <f>IF(C68="","",COUNTIFS('Saisie'!$C$5:$C$2004,C68,'Saisie'!$AV$5:$AV$2004,1))</f>
        <v/>
      </c>
      <c r="Q68" s="106">
        <f>IF(C68="","",IFERROR(1/(1/_xlfn.MAXIFS('Saisie'!$A$5:$A$2004,'Saisie'!$C$5:$C$2004,C68)),""))</f>
        <v/>
      </c>
      <c r="R68" s="61">
        <f>IF(C68="","",IF(Q68="","",TODAY()-Q68))</f>
        <v/>
      </c>
      <c r="S68" s="60">
        <f>IF(C68="","",IFERROR(INDEX('Saisie'!$R$5:$R$2004,_xlfn.MAXIFS('Saisie'!$AS$5:$AS$2004,'Saisie'!$C$5:$C$2004,C68,'Saisie'!$R$5:$R$2004,"&lt;&gt;")-4),""))</f>
        <v/>
      </c>
      <c r="T68" s="60">
        <f>IF(C68="","",IFERROR(INDEX('Saisie'!$S$5:$S$2004,_xlfn.MAXIFS('Saisie'!$AS$5:$AS$2004,'Saisie'!$C$5:$C$2004,C68,'Saisie'!$S$5:$S$2004,"&lt;&gt;")-4),""))</f>
        <v/>
      </c>
      <c r="U68" s="60">
        <f>IF(C68="","",IFERROR(INDEX('Saisie'!$T$5:$T$2004,_xlfn.MAXIFS('Saisie'!$AS$5:$AS$2004,'Saisie'!$C$5:$C$2004,C68,'Saisie'!$T$5:$T$2004,"&lt;&gt;")-4),""))</f>
        <v/>
      </c>
      <c r="V68" s="60">
        <f>IF(C68="","",IFERROR(INDEX('Saisie'!$V$5:$V$2004,_xlfn.MAXIFS('Saisie'!$AS$5:$AS$2004,'Saisie'!$C$5:$C$2004,C68,'Saisie'!$V$5:$V$2004,"&lt;&gt;")-4),""))</f>
        <v/>
      </c>
      <c r="W68" s="60">
        <f>IF(C68="","",IFERROR(INDEX('Saisie'!$Z$5:$Z$2004,_xlfn.MAXIFS('Saisie'!$AS$5:$AS$2004,'Saisie'!$C$5:$C$2004,C68,'Saisie'!$Z$5:$Z$2004,"&lt;&gt;")-4),""))</f>
        <v/>
      </c>
      <c r="X68" s="60">
        <f>IF(C68="","",IFERROR(INDEX('Saisie'!$AA$5:$AA$2004,_xlfn.MAXIFS('Saisie'!$AS$5:$AS$2004,'Saisie'!$C$5:$C$2004,C68,'Saisie'!$AA$5:$AA$2004,"&lt;&gt;")-4),""))</f>
        <v/>
      </c>
      <c r="Y68" s="60">
        <f>IF(C68="","",IFERROR(INDEX('Saisie'!$AB$5:$AB$2004,_xlfn.MAXIFS('Saisie'!$AS$5:$AS$2004,'Saisie'!$C$5:$C$2004,C68,'Saisie'!$AB$5:$AB$2004,"&lt;&gt;")-4),""))</f>
        <v/>
      </c>
      <c r="Z68" s="60">
        <f>IF(C68="","",IFERROR(INDEX('Saisie'!$AC$5:$AC$2004,_xlfn.MAXIFS('Saisie'!$AS$5:$AS$2004,'Saisie'!$C$5:$C$2004,C68,'Saisie'!$AC$5:$AC$2004,"&lt;&gt;")-4),""))</f>
        <v/>
      </c>
      <c r="AA68" s="106">
        <f>IF(C68="","",IFERROR(INDEX('Saisie'!$AD$5:$AD$2004,_xlfn.MAXIFS('Saisie'!$AS$5:$AS$2004,'Saisie'!$C$5:$C$2004,C68,'Saisie'!$AD$5:$AD$2004,"&lt;&gt;")-4),""))</f>
        <v/>
      </c>
      <c r="AB68" s="60">
        <f>IF(C68="","",IFERROR(INDEX('Saisie'!$AE$5:$AE$2004,_xlfn.MAXIFS('Saisie'!$AS$5:$AS$2004,'Saisie'!$C$5:$C$2004,C68,'Saisie'!$AE$5:$AE$2004,"&lt;&gt;")-4),""))</f>
        <v/>
      </c>
      <c r="AC68" s="60">
        <f>IF(C68="","",IFERROR(INDEX('Saisie'!$AF$5:$AF$2004,_xlfn.MAXIFS('Saisie'!$AS$5:$AS$2004,'Saisie'!$C$5:$C$2004,C68,'Saisie'!$AF$5:$AF$2004,"&lt;&gt;")-4),""))</f>
        <v/>
      </c>
      <c r="AD68" s="108">
        <f>IF(C68="","",IFERROR(INDEX('Saisie'!$AG$5:$AG$2004,_xlfn.MAXIFS('Saisie'!$AS$5:$AS$2004,'Saisie'!$C$5:$C$2004,C68,'Saisie'!$AG$5:$AG$2004,"&lt;&gt;")-4),""))</f>
        <v/>
      </c>
      <c r="AE68" s="60">
        <f>IF(C68="","",IFERROR(INDEX('Saisie'!$AH$5:$AH$2004,_xlfn.MAXIFS('Saisie'!$AS$5:$AS$2004,'Saisie'!$C$5:$C$2004,C68,'Saisie'!$AH$5:$AH$2004,"&lt;&gt;")-4),""))</f>
        <v/>
      </c>
      <c r="AF68" s="60">
        <f>IF(C68="","",IFERROR(INDEX('Saisie'!$AI$5:$AI$2004,_xlfn.MAXIFS('Saisie'!$AS$5:$AS$2004,'Saisie'!$C$5:$C$2004,C68,'Saisie'!$AI$5:$AI$2004,"&lt;&gt;")-4),""))</f>
        <v/>
      </c>
      <c r="AG68" s="60">
        <f>IF(C68="","",IFERROR(INDEX('Saisie'!$AJ$5:$AJ$2004,_xlfn.MAXIFS('Saisie'!$AS$5:$AS$2004,'Saisie'!$C$5:$C$2004,C68,'Saisie'!$AJ$5:$AJ$2004,"&lt;&gt;")-4),""))</f>
        <v/>
      </c>
      <c r="AH68" s="60">
        <f>IF(C68="","",IFERROR(INDEX('Saisie'!$AK$5:$AK$2004,_xlfn.MAXIFS('Saisie'!$AS$5:$AS$2004,'Saisie'!$C$5:$C$2004,C68,'Saisie'!$AK$5:$AK$2004,"&lt;&gt;")-4),""))</f>
        <v/>
      </c>
      <c r="AI68" s="60">
        <f>IF(C68="","",IFERROR(INDEX('Saisie'!$AN$5:$AN$2004,_xlfn.MAXIFS('Saisie'!$AS$5:$AS$2004,'Saisie'!$C$5:$C$2004,C68,'Saisie'!$AN$5:$AN$2004,"&lt;&gt;")-4),""))</f>
        <v/>
      </c>
      <c r="AJ68" s="60">
        <f>IF(C68="","",IFERROR(INDEX('Saisie'!$AO$5:$AO$2004,_xlfn.MAXIFS('Saisie'!$AS$5:$AS$2004,'Saisie'!$C$5:$C$2004,C68,'Saisie'!$AO$5:$AO$2004,"&lt;&gt;")-4),""))</f>
        <v/>
      </c>
      <c r="AK68" s="60">
        <f>IF(C68="","",IFERROR(INDEX('Saisie'!$AP$5:$AP$2004,_xlfn.MAXIFS('Saisie'!$AS$5:$AS$2004,'Saisie'!$C$5:$C$2004,C68,'Saisie'!$AP$5:$AP$2004,"&lt;&gt;")-4),""))</f>
        <v/>
      </c>
      <c r="AL68" s="60">
        <f>IF(C68="","",IFERROR(INDEX('Saisie'!$AQ$5:$AQ$2004,_xlfn.MAXIFS('Saisie'!$AS$5:$AS$2004,'Saisie'!$C$5:$C$2004,C68,'Saisie'!$AQ$5:$AQ$2004,"&lt;&gt;")-4),""))</f>
        <v/>
      </c>
      <c r="AM68" s="60">
        <f>IF(C68="","",((AI68="Oui")+(AJ68="Oui")+(AK68="Oui")+OR(AL68="Immédiat",AL68="&lt; 1 mois"))&amp;"/4")</f>
        <v/>
      </c>
      <c r="AN68" s="60">
        <f>IF(C68="","",IFERROR(INDEX('Saisie'!$AL$5:$AL$2004,_xlfn.MAXIFS('Saisie'!$AS$5:$AS$2004,'Saisie'!$C$5:$C$2004,C68,'Saisie'!$AL$5:$AL$2004,"&lt;&gt;")-4),""))</f>
        <v/>
      </c>
      <c r="AO68" s="62">
        <f>IF(C68="","",IF(IFERROR(INDEX('Saisie'!$AM$5:$AM$2004,_xlfn.MAXIFS('Saisie'!$AS$5:$AS$2004,'Saisie'!$C$5:$C$2004,C68,'Saisie'!$AM$5:$AM$2004,"&lt;&gt;")-4),"")&lt;&gt;"",IFERROR(INDEX('Saisie'!$AM$5:$AM$2004,_xlfn.MAXIFS('Saisie'!$AS$5:$AS$2004,'Saisie'!$C$5:$C$2004,C68,'Saisie'!$AM$5:$AM$2004,"&lt;&gt;")-4),""),IFERROR(INDEX('Paramètres'!$S$6:$S$15,MATCH(AN68,'Paramètres'!$Q$6:$Q$15,0)),"")))</f>
        <v/>
      </c>
      <c r="AP68" s="62">
        <f>IF(C68="","",IFERROR(INDEX('Saisie'!$AW$5:$AW$2004,_xlfn.MAXIFS('Saisie'!$AS$5:$AS$2004,'Saisie'!$C$5:$C$2004,C68,'Saisie'!$E$5:$E$2004,"Proposition envoyée")-4),""))</f>
        <v/>
      </c>
      <c r="AQ68" s="106">
        <f>IF(C68="","",IFERROR(1/(1/_xlfn.MAXIFS('Saisie'!$A$5:$A$2004,'Saisie'!$C$5:$C$2004,C68,'Saisie'!$E$5:$E$2004,"Proposition envoyée")),""))</f>
        <v/>
      </c>
      <c r="AR68" s="106">
        <f>IF(C68="","",IF(AQ68="","",AQ68+'Paramètres'!$B$26))</f>
        <v/>
      </c>
      <c r="AS68" s="62">
        <f>IF(OR(C68="",D68="Gagné",D68="Perdu"),0,N(AP68)*IFERROR(INDEX('Paramètres'!$G$6:$G$13,MATCH(D68,'Paramètres'!$F$6:$F$13,0)),0))</f>
        <v/>
      </c>
      <c r="AT68" s="106">
        <f>IF(C68="","",IFERROR(1/(1/_xlfn.MINIFS('Saisie'!$A$5:$A$2004,'Saisie'!$C$5:$C$2004,C68,'Saisie'!$E$5:$E$2004,"Signature")),""))</f>
        <v/>
      </c>
      <c r="AU68" s="60">
        <f>IF(C68="","",IF(OR(AT68="",B68=""),"",AT68-B68))</f>
        <v/>
      </c>
      <c r="AV68" s="60">
        <f>IF(C68="","",IFERROR(INDEX('Saisie'!$L$5:$L$2004,_xlfn.MAXIFS('Saisie'!$AS$5:$AS$2004,'Saisie'!$C$5:$C$2004,C68,'Saisie'!$L$5:$L$2004,"&lt;&gt;")-4),""))</f>
        <v/>
      </c>
      <c r="AW68" s="106">
        <f>IF(C68="","",IF(D68&lt;&gt;"Perdu","",IFERROR(1/(1/_xlfn.MAXIFS('Saisie'!$A$5:$A$2004,'Saisie'!$C$5:$C$2004,C68,'Saisie'!$E$5:$E$2004,"Perdu")),"")))</f>
        <v/>
      </c>
      <c r="AX68" s="106">
        <f>IF(C68="","",IF(AW68="","",AW68+'Paramètres'!$B$28))</f>
        <v/>
      </c>
      <c r="AY68" s="60">
        <f>IF(C68="","",SUMIFS('Saisie'!$H$5:$H$2004,'Saisie'!$C$5:$C$2004,C68))</f>
        <v/>
      </c>
      <c r="AZ68" s="60">
        <f>IF(C68="","",IFERROR(INDEX('Paramètres'!$W$6:$W$20,MATCH(S68,'Paramètres'!$V$6:$V$20,0))&amp;"",""))</f>
        <v/>
      </c>
      <c r="BA68" s="60">
        <f>IF(C68="","",MAX(1,_xlfn.MAXIFS('Saisie'!$AT$5:$AT$2004,'Saisie'!$C$5:$C$2004,C68)))</f>
        <v/>
      </c>
      <c r="BB68" s="60">
        <f>IF(C68="","",IFERROR(INDEX('Saisie'!$X$5:$X$2004,_xlfn.MAXIFS('Saisie'!$AS$5:$AS$2004,'Saisie'!$C$5:$C$2004,C68,'Saisie'!$X$5:$X$2004,"&lt;&gt;")-4),""))</f>
        <v/>
      </c>
      <c r="BC68" s="60">
        <f>IF(C68="","",IFERROR(INDEX('Saisie'!$Y$5:$Y$2004,_xlfn.MAXIFS('Saisie'!$AS$5:$AS$2004,'Saisie'!$C$5:$C$2004,C68,'Saisie'!$Y$5:$Y$2004,"&lt;&gt;")-4),""))</f>
        <v/>
      </c>
      <c r="BD68" s="106">
        <f>IF(C68="","",IFERROR(1/(1/_xlfn.MINIFS('Saisie'!$A$5:$A$2004,'Saisie'!$C$5:$C$2004,C68,'Saisie'!$AT$5:$AT$2004,"&gt;=2")),""))</f>
        <v/>
      </c>
      <c r="BE68" s="106">
        <f>IF(C68="","",IFERROR(1/(1/_xlfn.MINIFS('Saisie'!$A$5:$A$2004,'Saisie'!$C$5:$C$2004,C68,'Saisie'!$AT$5:$AT$2004,"&gt;=3")),""))</f>
        <v/>
      </c>
      <c r="BF68" s="106">
        <f>IF(C68="","",IFERROR(1/(1/_xlfn.MINIFS('Saisie'!$A$5:$A$2004,'Saisie'!$C$5:$C$2004,C68,'Saisie'!$AT$5:$AT$2004,"&gt;=4")),""))</f>
        <v/>
      </c>
      <c r="BG68" s="106">
        <f>IF(C68="","",IFERROR(1/(1/_xlfn.MINIFS('Saisie'!$A$5:$A$2004,'Saisie'!$C$5:$C$2004,C68,'Saisie'!$AT$5:$AT$2004,"&gt;=5")),""))</f>
        <v/>
      </c>
      <c r="BH68" s="106">
        <f>IF(C68="","",IFERROR(1/(1/_xlfn.MINIFS('Saisie'!$A$5:$A$2004,'Saisie'!$C$5:$C$2004,C68,'Saisie'!$AT$5:$AT$2004,"&gt;=6")),""))</f>
        <v/>
      </c>
      <c r="BI68" s="106">
        <f>IF(C68="","",IFERROR(1/(1/_xlfn.MINIFS('Saisie'!$A$5:$A$2004,'Saisie'!$C$5:$C$2004,C68,'Saisie'!$AT$5:$AT$2004,"&gt;=7")),""))</f>
        <v/>
      </c>
      <c r="BJ68" s="60">
        <f>IF(OR(BD68="",B68=""),"",BD68-B68)</f>
        <v/>
      </c>
      <c r="BK68" s="60">
        <f>IF(OR(BE68="",BD68=""),"",BE68-BD68)</f>
        <v/>
      </c>
      <c r="BL68" s="60">
        <f>IF(OR(BF68="",BE68=""),"",BF68-BE68)</f>
        <v/>
      </c>
      <c r="BM68" s="60">
        <f>IF(OR(BG68="",BF68=""),"",BG68-BF68)</f>
        <v/>
      </c>
      <c r="BN68" s="60">
        <f>IF(OR(BH68="",BG68=""),"",BH68-BG68)</f>
        <v/>
      </c>
      <c r="BO68" s="60">
        <f>IF(OR(BI68="",BH68=""),"",BI68-BH68)</f>
        <v/>
      </c>
      <c r="BP68" s="60">
        <f>IF(C68="","",_xlfn.MAXIFS('Saisie'!$AS$5:$AS$2004,'Saisie'!$C$5:$C$2004,C68,'Saisie'!$J$5:$J$2004,"&lt;&gt;"))</f>
        <v/>
      </c>
      <c r="BQ68" s="60">
        <f>IF(C68="","",_xlfn.MAXIFS('Saisie'!$AS$5:$AS$2004,'Saisie'!$C$5:$C$2004,C68))</f>
        <v/>
      </c>
      <c r="BR68" s="60">
        <f>IF(C68="","",_xlfn.MAXIFS('Saisie'!$AS$5:$AS$2004,'Saisie'!$C$5:$C$2004,C68,'Saisie'!$E$5:$E$2004,"Perdu"))</f>
        <v/>
      </c>
      <c r="BS68" s="60">
        <f>IF(C68="","",_xlfn.MAXIFS('Saisie'!$AS$5:$AS$2004,'Saisie'!$C$5:$C$2004,C68,'Saisie'!$AT$5:$AT$2004,"&gt;0"))</f>
        <v/>
      </c>
      <c r="BT68" s="109">
        <f>IF(AND(C68&lt;&gt;"",OR(D68="Nouveau",D68="Contacté",D68="Qualifié"),OR(G68="",N(G68)&lt;=TODAY()),NOT(AND(O68&gt;='Paramètres'!$B$21,P68=0))),E68+64/10000,"")</f>
        <v/>
      </c>
      <c r="BU68" s="60">
        <f>IF(AND(G68&lt;&gt;"",N(G68)&lt;=TODAY()),MAX($BU$4:BU67)+1,"")</f>
        <v/>
      </c>
      <c r="BV68" s="60">
        <f>IF(AND(F68&lt;&gt;"",F68&lt;&gt;"Relance en retard"),MAX($BV$4:BV67)+1,"")</f>
        <v/>
      </c>
      <c r="BW68" s="60">
        <f>IF(C68="","",IF(AND(B68&gt;='Tableau de bord'!$R$4,B68&lt;='Tableau de bord'!$S$4,OR('Tableau de bord'!$G$4="Tous",N68='Tableau de bord'!$G$4)),1,0))</f>
        <v/>
      </c>
      <c r="BX68" s="60">
        <f>IF(AND(C68&lt;&gt;"",N(BA68)=7),MAX($BX$4:BX67)+1,"")</f>
        <v/>
      </c>
    </row>
    <row r="69">
      <c r="A69" s="60">
        <f>IF(C69="","","P-"&amp;TEXT(65,"000"))</f>
        <v/>
      </c>
      <c r="B69" s="106">
        <f>IF(C69="","",IFERROR(1/(1/_xlfn.MINIFS('Saisie'!$A$5:$A$2004,'Saisie'!$C$5:$C$2004,C69)),""))</f>
        <v/>
      </c>
      <c r="C69" s="60">
        <f>IFERROR(INDEX('Saisie'!$C$5:$C$2004,MATCH(65,'Saisie'!$AX$5:$AX$2004,0)),"")</f>
        <v/>
      </c>
      <c r="D69" s="60">
        <f>IF(C69="","",IF(AND(BR69&gt;0,BR69&gt;BS69,BA69&lt;7),"Perdu",INDEX('Paramètres'!$F$6:$F$13,BA69)))</f>
        <v/>
      </c>
      <c r="E69" s="61">
        <f>IF(C69="","",MIN(100,(Z69="Oui")*'Paramètres'!$B$38+(AB69="Régulière")*'Paramètres'!$B$39+IF(AND(N(AA69)&gt;0,TODAY()-N(AA69)&lt;=30),'Paramètres'!$B$40,0)+(W69="")*'Paramètres'!$B$41+(AC69="Absente")*'Paramètres'!$B$42+(AC69="Faible")*'Paramètres'!$B$43+IF(AND(N(AD69)&gt;0,N(AD69)&lt;4),'Paramètres'!$B$44,0)+(AF69="Moyenne")*'Paramètres'!$B$45+(AF69="Grande")*'Paramètres'!$B$46+(Y69&lt;&gt;"")*'Paramètres'!$B$47))</f>
        <v/>
      </c>
      <c r="F69" s="60">
        <f>IF(C69="","",IF(D69="Gagné","",IF(D69="Perdu",IF(AND(AX69&lt;&gt;"",AX69&lt;=TODAY()),"À recontacter (perdu)",""),IF(AND(O69&gt;='Paramètres'!$B$21,P69=0),"Stop : "&amp;'Paramètres'!$B$21&amp;" tentatives sans réponse",IF(AND(D69="Proposition",AR69&lt;&gt;"",TODAY()&gt;N(AR69)),"Proposition expirée",IF(AND(D69="Proposition",N(R69)&gt;='Paramètres'!$B$25),"Proposition sans réponse",IF(AND(G69&lt;&gt;"",N(G69)&lt;TODAY()),"Relance en retard",IF(N(R69)&gt;='Paramètres'!$B$24,"Sans action depuis "&amp;R69&amp;" j",""))))))))</f>
        <v/>
      </c>
      <c r="G69" s="106">
        <f>IF(OR(C69="",D69="Gagné",D69="Perdu"),"",IF(AND(BP69&gt;0,BP69=BQ69),INDEX('Saisie'!$J$5:$J$2004,BP69-4),IF(OR(O69=0,AND(O69&gt;='Paramètres'!$B$21,P69=0)),"",Q69+IF(O69&lt;=1,'Paramètres'!$B$18,IF(O69=2,'Paramètres'!$B$19,'Paramètres'!$B$20)))))</f>
        <v/>
      </c>
      <c r="H69" s="107">
        <f>IF(OR(G69="",BP69&lt;&gt;BQ69),"",IF(INDEX('Saisie'!$K$5:$K$2004,BP69-4)="","",INDEX('Saisie'!$K$5:$K$2004,BP69-4)))</f>
        <v/>
      </c>
      <c r="I69" s="60">
        <f>IF(C69="","",IF(OR(D69="Gagné",D69="Perdu"),"",IFERROR(INDEX('Saisie'!$I$5:$I$2004,_xlfn.MAXIFS('Saisie'!$AS$5:$AS$2004,'Saisie'!$C$5:$C$2004,C69,'Saisie'!$I$5:$I$2004,"&lt;&gt;")-4),"")))</f>
        <v/>
      </c>
      <c r="J69" s="60">
        <f>IF(C69="","",IFERROR(INDEX('Saisie'!$U$5:$U$2004,_xlfn.MAXIFS('Saisie'!$AS$5:$AS$2004,'Saisie'!$C$5:$C$2004,C69,'Saisie'!$U$5:$U$2004,"&lt;&gt;")-4),""))</f>
        <v/>
      </c>
      <c r="K69" s="60">
        <f>IF(C69="","",IFERROR(INDEX('Saisie'!$W$5:$W$2004,_xlfn.MAXIFS('Saisie'!$AS$5:$AS$2004,'Saisie'!$C$5:$C$2004,C69,'Saisie'!$W$5:$W$2004,"&lt;&gt;")-4),""))</f>
        <v/>
      </c>
      <c r="L69" s="60">
        <f>IF(IF(BB69&lt;&gt;"",BB69,K69)="","",HYPERLINK("https://wa.me/"&amp;IF(LEFT(SUBSTITUTE(SUBSTITUTE(SUBSTITUTE(IF(BB69&lt;&gt;"",BB69,K69)," ",""),".",""),"+",""),1)="0",'Paramètres'!$B$35&amp;MID(SUBSTITUTE(SUBSTITUTE(SUBSTITUTE(IF(BB69&lt;&gt;"",BB69,K69)," ",""),".",""),"+",""),2,20),SUBSTITUTE(SUBSTITUTE(SUBSTITUTE(IF(BB69&lt;&gt;"",BB69,K69)," ",""),".",""),"+","")),"WhatsApp"))</f>
        <v/>
      </c>
      <c r="M69" s="60">
        <f>IF(BC69="","",HYPERLINK(IF(LEFT(BC69,4)="http",BC69,"https://www.instagram.com/"&amp;SUBSTITUTE(SUBSTITUTE(BC69,"@","")," ","")),BC69))</f>
        <v/>
      </c>
      <c r="N69" s="60">
        <f>IF(C69="","",IFERROR(INDEX('Saisie'!$D$5:$D$2004,_xlfn.MINIFS('Saisie'!$AS$5:$AS$2004,'Saisie'!$C$5:$C$2004,C69,'Saisie'!$AU$5:$AU$2004,1)-4),IFERROR(INDEX('Saisie'!$D$5:$D$2004,_xlfn.MINIFS('Saisie'!$AS$5:$AS$2004,'Saisie'!$C$5:$C$2004,C69,'Saisie'!$D$5:$D$2004,"&lt;&gt;")-4),"")))</f>
        <v/>
      </c>
      <c r="O69" s="60">
        <f>IF(C69="","",COUNTIFS('Saisie'!$C$5:$C$2004,C69,'Saisie'!$AU$5:$AU$2004,1))</f>
        <v/>
      </c>
      <c r="P69" s="60">
        <f>IF(C69="","",COUNTIFS('Saisie'!$C$5:$C$2004,C69,'Saisie'!$AV$5:$AV$2004,1))</f>
        <v/>
      </c>
      <c r="Q69" s="106">
        <f>IF(C69="","",IFERROR(1/(1/_xlfn.MAXIFS('Saisie'!$A$5:$A$2004,'Saisie'!$C$5:$C$2004,C69)),""))</f>
        <v/>
      </c>
      <c r="R69" s="61">
        <f>IF(C69="","",IF(Q69="","",TODAY()-Q69))</f>
        <v/>
      </c>
      <c r="S69" s="60">
        <f>IF(C69="","",IFERROR(INDEX('Saisie'!$R$5:$R$2004,_xlfn.MAXIFS('Saisie'!$AS$5:$AS$2004,'Saisie'!$C$5:$C$2004,C69,'Saisie'!$R$5:$R$2004,"&lt;&gt;")-4),""))</f>
        <v/>
      </c>
      <c r="T69" s="60">
        <f>IF(C69="","",IFERROR(INDEX('Saisie'!$S$5:$S$2004,_xlfn.MAXIFS('Saisie'!$AS$5:$AS$2004,'Saisie'!$C$5:$C$2004,C69,'Saisie'!$S$5:$S$2004,"&lt;&gt;")-4),""))</f>
        <v/>
      </c>
      <c r="U69" s="60">
        <f>IF(C69="","",IFERROR(INDEX('Saisie'!$T$5:$T$2004,_xlfn.MAXIFS('Saisie'!$AS$5:$AS$2004,'Saisie'!$C$5:$C$2004,C69,'Saisie'!$T$5:$T$2004,"&lt;&gt;")-4),""))</f>
        <v/>
      </c>
      <c r="V69" s="60">
        <f>IF(C69="","",IFERROR(INDEX('Saisie'!$V$5:$V$2004,_xlfn.MAXIFS('Saisie'!$AS$5:$AS$2004,'Saisie'!$C$5:$C$2004,C69,'Saisie'!$V$5:$V$2004,"&lt;&gt;")-4),""))</f>
        <v/>
      </c>
      <c r="W69" s="60">
        <f>IF(C69="","",IFERROR(INDEX('Saisie'!$Z$5:$Z$2004,_xlfn.MAXIFS('Saisie'!$AS$5:$AS$2004,'Saisie'!$C$5:$C$2004,C69,'Saisie'!$Z$5:$Z$2004,"&lt;&gt;")-4),""))</f>
        <v/>
      </c>
      <c r="X69" s="60">
        <f>IF(C69="","",IFERROR(INDEX('Saisie'!$AA$5:$AA$2004,_xlfn.MAXIFS('Saisie'!$AS$5:$AS$2004,'Saisie'!$C$5:$C$2004,C69,'Saisie'!$AA$5:$AA$2004,"&lt;&gt;")-4),""))</f>
        <v/>
      </c>
      <c r="Y69" s="60">
        <f>IF(C69="","",IFERROR(INDEX('Saisie'!$AB$5:$AB$2004,_xlfn.MAXIFS('Saisie'!$AS$5:$AS$2004,'Saisie'!$C$5:$C$2004,C69,'Saisie'!$AB$5:$AB$2004,"&lt;&gt;")-4),""))</f>
        <v/>
      </c>
      <c r="Z69" s="60">
        <f>IF(C69="","",IFERROR(INDEX('Saisie'!$AC$5:$AC$2004,_xlfn.MAXIFS('Saisie'!$AS$5:$AS$2004,'Saisie'!$C$5:$C$2004,C69,'Saisie'!$AC$5:$AC$2004,"&lt;&gt;")-4),""))</f>
        <v/>
      </c>
      <c r="AA69" s="106">
        <f>IF(C69="","",IFERROR(INDEX('Saisie'!$AD$5:$AD$2004,_xlfn.MAXIFS('Saisie'!$AS$5:$AS$2004,'Saisie'!$C$5:$C$2004,C69,'Saisie'!$AD$5:$AD$2004,"&lt;&gt;")-4),""))</f>
        <v/>
      </c>
      <c r="AB69" s="60">
        <f>IF(C69="","",IFERROR(INDEX('Saisie'!$AE$5:$AE$2004,_xlfn.MAXIFS('Saisie'!$AS$5:$AS$2004,'Saisie'!$C$5:$C$2004,C69,'Saisie'!$AE$5:$AE$2004,"&lt;&gt;")-4),""))</f>
        <v/>
      </c>
      <c r="AC69" s="60">
        <f>IF(C69="","",IFERROR(INDEX('Saisie'!$AF$5:$AF$2004,_xlfn.MAXIFS('Saisie'!$AS$5:$AS$2004,'Saisie'!$C$5:$C$2004,C69,'Saisie'!$AF$5:$AF$2004,"&lt;&gt;")-4),""))</f>
        <v/>
      </c>
      <c r="AD69" s="108">
        <f>IF(C69="","",IFERROR(INDEX('Saisie'!$AG$5:$AG$2004,_xlfn.MAXIFS('Saisie'!$AS$5:$AS$2004,'Saisie'!$C$5:$C$2004,C69,'Saisie'!$AG$5:$AG$2004,"&lt;&gt;")-4),""))</f>
        <v/>
      </c>
      <c r="AE69" s="60">
        <f>IF(C69="","",IFERROR(INDEX('Saisie'!$AH$5:$AH$2004,_xlfn.MAXIFS('Saisie'!$AS$5:$AS$2004,'Saisie'!$C$5:$C$2004,C69,'Saisie'!$AH$5:$AH$2004,"&lt;&gt;")-4),""))</f>
        <v/>
      </c>
      <c r="AF69" s="60">
        <f>IF(C69="","",IFERROR(INDEX('Saisie'!$AI$5:$AI$2004,_xlfn.MAXIFS('Saisie'!$AS$5:$AS$2004,'Saisie'!$C$5:$C$2004,C69,'Saisie'!$AI$5:$AI$2004,"&lt;&gt;")-4),""))</f>
        <v/>
      </c>
      <c r="AG69" s="60">
        <f>IF(C69="","",IFERROR(INDEX('Saisie'!$AJ$5:$AJ$2004,_xlfn.MAXIFS('Saisie'!$AS$5:$AS$2004,'Saisie'!$C$5:$C$2004,C69,'Saisie'!$AJ$5:$AJ$2004,"&lt;&gt;")-4),""))</f>
        <v/>
      </c>
      <c r="AH69" s="60">
        <f>IF(C69="","",IFERROR(INDEX('Saisie'!$AK$5:$AK$2004,_xlfn.MAXIFS('Saisie'!$AS$5:$AS$2004,'Saisie'!$C$5:$C$2004,C69,'Saisie'!$AK$5:$AK$2004,"&lt;&gt;")-4),""))</f>
        <v/>
      </c>
      <c r="AI69" s="60">
        <f>IF(C69="","",IFERROR(INDEX('Saisie'!$AN$5:$AN$2004,_xlfn.MAXIFS('Saisie'!$AS$5:$AS$2004,'Saisie'!$C$5:$C$2004,C69,'Saisie'!$AN$5:$AN$2004,"&lt;&gt;")-4),""))</f>
        <v/>
      </c>
      <c r="AJ69" s="60">
        <f>IF(C69="","",IFERROR(INDEX('Saisie'!$AO$5:$AO$2004,_xlfn.MAXIFS('Saisie'!$AS$5:$AS$2004,'Saisie'!$C$5:$C$2004,C69,'Saisie'!$AO$5:$AO$2004,"&lt;&gt;")-4),""))</f>
        <v/>
      </c>
      <c r="AK69" s="60">
        <f>IF(C69="","",IFERROR(INDEX('Saisie'!$AP$5:$AP$2004,_xlfn.MAXIFS('Saisie'!$AS$5:$AS$2004,'Saisie'!$C$5:$C$2004,C69,'Saisie'!$AP$5:$AP$2004,"&lt;&gt;")-4),""))</f>
        <v/>
      </c>
      <c r="AL69" s="60">
        <f>IF(C69="","",IFERROR(INDEX('Saisie'!$AQ$5:$AQ$2004,_xlfn.MAXIFS('Saisie'!$AS$5:$AS$2004,'Saisie'!$C$5:$C$2004,C69,'Saisie'!$AQ$5:$AQ$2004,"&lt;&gt;")-4),""))</f>
        <v/>
      </c>
      <c r="AM69" s="60">
        <f>IF(C69="","",((AI69="Oui")+(AJ69="Oui")+(AK69="Oui")+OR(AL69="Immédiat",AL69="&lt; 1 mois"))&amp;"/4")</f>
        <v/>
      </c>
      <c r="AN69" s="60">
        <f>IF(C69="","",IFERROR(INDEX('Saisie'!$AL$5:$AL$2004,_xlfn.MAXIFS('Saisie'!$AS$5:$AS$2004,'Saisie'!$C$5:$C$2004,C69,'Saisie'!$AL$5:$AL$2004,"&lt;&gt;")-4),""))</f>
        <v/>
      </c>
      <c r="AO69" s="62">
        <f>IF(C69="","",IF(IFERROR(INDEX('Saisie'!$AM$5:$AM$2004,_xlfn.MAXIFS('Saisie'!$AS$5:$AS$2004,'Saisie'!$C$5:$C$2004,C69,'Saisie'!$AM$5:$AM$2004,"&lt;&gt;")-4),"")&lt;&gt;"",IFERROR(INDEX('Saisie'!$AM$5:$AM$2004,_xlfn.MAXIFS('Saisie'!$AS$5:$AS$2004,'Saisie'!$C$5:$C$2004,C69,'Saisie'!$AM$5:$AM$2004,"&lt;&gt;")-4),""),IFERROR(INDEX('Paramètres'!$S$6:$S$15,MATCH(AN69,'Paramètres'!$Q$6:$Q$15,0)),"")))</f>
        <v/>
      </c>
      <c r="AP69" s="62">
        <f>IF(C69="","",IFERROR(INDEX('Saisie'!$AW$5:$AW$2004,_xlfn.MAXIFS('Saisie'!$AS$5:$AS$2004,'Saisie'!$C$5:$C$2004,C69,'Saisie'!$E$5:$E$2004,"Proposition envoyée")-4),""))</f>
        <v/>
      </c>
      <c r="AQ69" s="106">
        <f>IF(C69="","",IFERROR(1/(1/_xlfn.MAXIFS('Saisie'!$A$5:$A$2004,'Saisie'!$C$5:$C$2004,C69,'Saisie'!$E$5:$E$2004,"Proposition envoyée")),""))</f>
        <v/>
      </c>
      <c r="AR69" s="106">
        <f>IF(C69="","",IF(AQ69="","",AQ69+'Paramètres'!$B$26))</f>
        <v/>
      </c>
      <c r="AS69" s="62">
        <f>IF(OR(C69="",D69="Gagné",D69="Perdu"),0,N(AP69)*IFERROR(INDEX('Paramètres'!$G$6:$G$13,MATCH(D69,'Paramètres'!$F$6:$F$13,0)),0))</f>
        <v/>
      </c>
      <c r="AT69" s="106">
        <f>IF(C69="","",IFERROR(1/(1/_xlfn.MINIFS('Saisie'!$A$5:$A$2004,'Saisie'!$C$5:$C$2004,C69,'Saisie'!$E$5:$E$2004,"Signature")),""))</f>
        <v/>
      </c>
      <c r="AU69" s="60">
        <f>IF(C69="","",IF(OR(AT69="",B69=""),"",AT69-B69))</f>
        <v/>
      </c>
      <c r="AV69" s="60">
        <f>IF(C69="","",IFERROR(INDEX('Saisie'!$L$5:$L$2004,_xlfn.MAXIFS('Saisie'!$AS$5:$AS$2004,'Saisie'!$C$5:$C$2004,C69,'Saisie'!$L$5:$L$2004,"&lt;&gt;")-4),""))</f>
        <v/>
      </c>
      <c r="AW69" s="106">
        <f>IF(C69="","",IF(D69&lt;&gt;"Perdu","",IFERROR(1/(1/_xlfn.MAXIFS('Saisie'!$A$5:$A$2004,'Saisie'!$C$5:$C$2004,C69,'Saisie'!$E$5:$E$2004,"Perdu")),"")))</f>
        <v/>
      </c>
      <c r="AX69" s="106">
        <f>IF(C69="","",IF(AW69="","",AW69+'Paramètres'!$B$28))</f>
        <v/>
      </c>
      <c r="AY69" s="60">
        <f>IF(C69="","",SUMIFS('Saisie'!$H$5:$H$2004,'Saisie'!$C$5:$C$2004,C69))</f>
        <v/>
      </c>
      <c r="AZ69" s="60">
        <f>IF(C69="","",IFERROR(INDEX('Paramètres'!$W$6:$W$20,MATCH(S69,'Paramètres'!$V$6:$V$20,0))&amp;"",""))</f>
        <v/>
      </c>
      <c r="BA69" s="60">
        <f>IF(C69="","",MAX(1,_xlfn.MAXIFS('Saisie'!$AT$5:$AT$2004,'Saisie'!$C$5:$C$2004,C69)))</f>
        <v/>
      </c>
      <c r="BB69" s="60">
        <f>IF(C69="","",IFERROR(INDEX('Saisie'!$X$5:$X$2004,_xlfn.MAXIFS('Saisie'!$AS$5:$AS$2004,'Saisie'!$C$5:$C$2004,C69,'Saisie'!$X$5:$X$2004,"&lt;&gt;")-4),""))</f>
        <v/>
      </c>
      <c r="BC69" s="60">
        <f>IF(C69="","",IFERROR(INDEX('Saisie'!$Y$5:$Y$2004,_xlfn.MAXIFS('Saisie'!$AS$5:$AS$2004,'Saisie'!$C$5:$C$2004,C69,'Saisie'!$Y$5:$Y$2004,"&lt;&gt;")-4),""))</f>
        <v/>
      </c>
      <c r="BD69" s="106">
        <f>IF(C69="","",IFERROR(1/(1/_xlfn.MINIFS('Saisie'!$A$5:$A$2004,'Saisie'!$C$5:$C$2004,C69,'Saisie'!$AT$5:$AT$2004,"&gt;=2")),""))</f>
        <v/>
      </c>
      <c r="BE69" s="106">
        <f>IF(C69="","",IFERROR(1/(1/_xlfn.MINIFS('Saisie'!$A$5:$A$2004,'Saisie'!$C$5:$C$2004,C69,'Saisie'!$AT$5:$AT$2004,"&gt;=3")),""))</f>
        <v/>
      </c>
      <c r="BF69" s="106">
        <f>IF(C69="","",IFERROR(1/(1/_xlfn.MINIFS('Saisie'!$A$5:$A$2004,'Saisie'!$C$5:$C$2004,C69,'Saisie'!$AT$5:$AT$2004,"&gt;=4")),""))</f>
        <v/>
      </c>
      <c r="BG69" s="106">
        <f>IF(C69="","",IFERROR(1/(1/_xlfn.MINIFS('Saisie'!$A$5:$A$2004,'Saisie'!$C$5:$C$2004,C69,'Saisie'!$AT$5:$AT$2004,"&gt;=5")),""))</f>
        <v/>
      </c>
      <c r="BH69" s="106">
        <f>IF(C69="","",IFERROR(1/(1/_xlfn.MINIFS('Saisie'!$A$5:$A$2004,'Saisie'!$C$5:$C$2004,C69,'Saisie'!$AT$5:$AT$2004,"&gt;=6")),""))</f>
        <v/>
      </c>
      <c r="BI69" s="106">
        <f>IF(C69="","",IFERROR(1/(1/_xlfn.MINIFS('Saisie'!$A$5:$A$2004,'Saisie'!$C$5:$C$2004,C69,'Saisie'!$AT$5:$AT$2004,"&gt;=7")),""))</f>
        <v/>
      </c>
      <c r="BJ69" s="60">
        <f>IF(OR(BD69="",B69=""),"",BD69-B69)</f>
        <v/>
      </c>
      <c r="BK69" s="60">
        <f>IF(OR(BE69="",BD69=""),"",BE69-BD69)</f>
        <v/>
      </c>
      <c r="BL69" s="60">
        <f>IF(OR(BF69="",BE69=""),"",BF69-BE69)</f>
        <v/>
      </c>
      <c r="BM69" s="60">
        <f>IF(OR(BG69="",BF69=""),"",BG69-BF69)</f>
        <v/>
      </c>
      <c r="BN69" s="60">
        <f>IF(OR(BH69="",BG69=""),"",BH69-BG69)</f>
        <v/>
      </c>
      <c r="BO69" s="60">
        <f>IF(OR(BI69="",BH69=""),"",BI69-BH69)</f>
        <v/>
      </c>
      <c r="BP69" s="60">
        <f>IF(C69="","",_xlfn.MAXIFS('Saisie'!$AS$5:$AS$2004,'Saisie'!$C$5:$C$2004,C69,'Saisie'!$J$5:$J$2004,"&lt;&gt;"))</f>
        <v/>
      </c>
      <c r="BQ69" s="60">
        <f>IF(C69="","",_xlfn.MAXIFS('Saisie'!$AS$5:$AS$2004,'Saisie'!$C$5:$C$2004,C69))</f>
        <v/>
      </c>
      <c r="BR69" s="60">
        <f>IF(C69="","",_xlfn.MAXIFS('Saisie'!$AS$5:$AS$2004,'Saisie'!$C$5:$C$2004,C69,'Saisie'!$E$5:$E$2004,"Perdu"))</f>
        <v/>
      </c>
      <c r="BS69" s="60">
        <f>IF(C69="","",_xlfn.MAXIFS('Saisie'!$AS$5:$AS$2004,'Saisie'!$C$5:$C$2004,C69,'Saisie'!$AT$5:$AT$2004,"&gt;0"))</f>
        <v/>
      </c>
      <c r="BT69" s="109">
        <f>IF(AND(C69&lt;&gt;"",OR(D69="Nouveau",D69="Contacté",D69="Qualifié"),OR(G69="",N(G69)&lt;=TODAY()),NOT(AND(O69&gt;='Paramètres'!$B$21,P69=0))),E69+65/10000,"")</f>
        <v/>
      </c>
      <c r="BU69" s="60">
        <f>IF(AND(G69&lt;&gt;"",N(G69)&lt;=TODAY()),MAX($BU$4:BU68)+1,"")</f>
        <v/>
      </c>
      <c r="BV69" s="60">
        <f>IF(AND(F69&lt;&gt;"",F69&lt;&gt;"Relance en retard"),MAX($BV$4:BV68)+1,"")</f>
        <v/>
      </c>
      <c r="BW69" s="60">
        <f>IF(C69="","",IF(AND(B69&gt;='Tableau de bord'!$R$4,B69&lt;='Tableau de bord'!$S$4,OR('Tableau de bord'!$G$4="Tous",N69='Tableau de bord'!$G$4)),1,0))</f>
        <v/>
      </c>
      <c r="BX69" s="60">
        <f>IF(AND(C69&lt;&gt;"",N(BA69)=7),MAX($BX$4:BX68)+1,"")</f>
        <v/>
      </c>
    </row>
    <row r="70">
      <c r="A70" s="60">
        <f>IF(C70="","","P-"&amp;TEXT(66,"000"))</f>
        <v/>
      </c>
      <c r="B70" s="106">
        <f>IF(C70="","",IFERROR(1/(1/_xlfn.MINIFS('Saisie'!$A$5:$A$2004,'Saisie'!$C$5:$C$2004,C70)),""))</f>
        <v/>
      </c>
      <c r="C70" s="60">
        <f>IFERROR(INDEX('Saisie'!$C$5:$C$2004,MATCH(66,'Saisie'!$AX$5:$AX$2004,0)),"")</f>
        <v/>
      </c>
      <c r="D70" s="60">
        <f>IF(C70="","",IF(AND(BR70&gt;0,BR70&gt;BS70,BA70&lt;7),"Perdu",INDEX('Paramètres'!$F$6:$F$13,BA70)))</f>
        <v/>
      </c>
      <c r="E70" s="61">
        <f>IF(C70="","",MIN(100,(Z70="Oui")*'Paramètres'!$B$38+(AB70="Régulière")*'Paramètres'!$B$39+IF(AND(N(AA70)&gt;0,TODAY()-N(AA70)&lt;=30),'Paramètres'!$B$40,0)+(W70="")*'Paramètres'!$B$41+(AC70="Absente")*'Paramètres'!$B$42+(AC70="Faible")*'Paramètres'!$B$43+IF(AND(N(AD70)&gt;0,N(AD70)&lt;4),'Paramètres'!$B$44,0)+(AF70="Moyenne")*'Paramètres'!$B$45+(AF70="Grande")*'Paramètres'!$B$46+(Y70&lt;&gt;"")*'Paramètres'!$B$47))</f>
        <v/>
      </c>
      <c r="F70" s="60">
        <f>IF(C70="","",IF(D70="Gagné","",IF(D70="Perdu",IF(AND(AX70&lt;&gt;"",AX70&lt;=TODAY()),"À recontacter (perdu)",""),IF(AND(O70&gt;='Paramètres'!$B$21,P70=0),"Stop : "&amp;'Paramètres'!$B$21&amp;" tentatives sans réponse",IF(AND(D70="Proposition",AR70&lt;&gt;"",TODAY()&gt;N(AR70)),"Proposition expirée",IF(AND(D70="Proposition",N(R70)&gt;='Paramètres'!$B$25),"Proposition sans réponse",IF(AND(G70&lt;&gt;"",N(G70)&lt;TODAY()),"Relance en retard",IF(N(R70)&gt;='Paramètres'!$B$24,"Sans action depuis "&amp;R70&amp;" j",""))))))))</f>
        <v/>
      </c>
      <c r="G70" s="106">
        <f>IF(OR(C70="",D70="Gagné",D70="Perdu"),"",IF(AND(BP70&gt;0,BP70=BQ70),INDEX('Saisie'!$J$5:$J$2004,BP70-4),IF(OR(O70=0,AND(O70&gt;='Paramètres'!$B$21,P70=0)),"",Q70+IF(O70&lt;=1,'Paramètres'!$B$18,IF(O70=2,'Paramètres'!$B$19,'Paramètres'!$B$20)))))</f>
        <v/>
      </c>
      <c r="H70" s="107">
        <f>IF(OR(G70="",BP70&lt;&gt;BQ70),"",IF(INDEX('Saisie'!$K$5:$K$2004,BP70-4)="","",INDEX('Saisie'!$K$5:$K$2004,BP70-4)))</f>
        <v/>
      </c>
      <c r="I70" s="60">
        <f>IF(C70="","",IF(OR(D70="Gagné",D70="Perdu"),"",IFERROR(INDEX('Saisie'!$I$5:$I$2004,_xlfn.MAXIFS('Saisie'!$AS$5:$AS$2004,'Saisie'!$C$5:$C$2004,C70,'Saisie'!$I$5:$I$2004,"&lt;&gt;")-4),"")))</f>
        <v/>
      </c>
      <c r="J70" s="60">
        <f>IF(C70="","",IFERROR(INDEX('Saisie'!$U$5:$U$2004,_xlfn.MAXIFS('Saisie'!$AS$5:$AS$2004,'Saisie'!$C$5:$C$2004,C70,'Saisie'!$U$5:$U$2004,"&lt;&gt;")-4),""))</f>
        <v/>
      </c>
      <c r="K70" s="60">
        <f>IF(C70="","",IFERROR(INDEX('Saisie'!$W$5:$W$2004,_xlfn.MAXIFS('Saisie'!$AS$5:$AS$2004,'Saisie'!$C$5:$C$2004,C70,'Saisie'!$W$5:$W$2004,"&lt;&gt;")-4),""))</f>
        <v/>
      </c>
      <c r="L70" s="60">
        <f>IF(IF(BB70&lt;&gt;"",BB70,K70)="","",HYPERLINK("https://wa.me/"&amp;IF(LEFT(SUBSTITUTE(SUBSTITUTE(SUBSTITUTE(IF(BB70&lt;&gt;"",BB70,K70)," ",""),".",""),"+",""),1)="0",'Paramètres'!$B$35&amp;MID(SUBSTITUTE(SUBSTITUTE(SUBSTITUTE(IF(BB70&lt;&gt;"",BB70,K70)," ",""),".",""),"+",""),2,20),SUBSTITUTE(SUBSTITUTE(SUBSTITUTE(IF(BB70&lt;&gt;"",BB70,K70)," ",""),".",""),"+","")),"WhatsApp"))</f>
        <v/>
      </c>
      <c r="M70" s="60">
        <f>IF(BC70="","",HYPERLINK(IF(LEFT(BC70,4)="http",BC70,"https://www.instagram.com/"&amp;SUBSTITUTE(SUBSTITUTE(BC70,"@","")," ","")),BC70))</f>
        <v/>
      </c>
      <c r="N70" s="60">
        <f>IF(C70="","",IFERROR(INDEX('Saisie'!$D$5:$D$2004,_xlfn.MINIFS('Saisie'!$AS$5:$AS$2004,'Saisie'!$C$5:$C$2004,C70,'Saisie'!$AU$5:$AU$2004,1)-4),IFERROR(INDEX('Saisie'!$D$5:$D$2004,_xlfn.MINIFS('Saisie'!$AS$5:$AS$2004,'Saisie'!$C$5:$C$2004,C70,'Saisie'!$D$5:$D$2004,"&lt;&gt;")-4),"")))</f>
        <v/>
      </c>
      <c r="O70" s="60">
        <f>IF(C70="","",COUNTIFS('Saisie'!$C$5:$C$2004,C70,'Saisie'!$AU$5:$AU$2004,1))</f>
        <v/>
      </c>
      <c r="P70" s="60">
        <f>IF(C70="","",COUNTIFS('Saisie'!$C$5:$C$2004,C70,'Saisie'!$AV$5:$AV$2004,1))</f>
        <v/>
      </c>
      <c r="Q70" s="106">
        <f>IF(C70="","",IFERROR(1/(1/_xlfn.MAXIFS('Saisie'!$A$5:$A$2004,'Saisie'!$C$5:$C$2004,C70)),""))</f>
        <v/>
      </c>
      <c r="R70" s="61">
        <f>IF(C70="","",IF(Q70="","",TODAY()-Q70))</f>
        <v/>
      </c>
      <c r="S70" s="60">
        <f>IF(C70="","",IFERROR(INDEX('Saisie'!$R$5:$R$2004,_xlfn.MAXIFS('Saisie'!$AS$5:$AS$2004,'Saisie'!$C$5:$C$2004,C70,'Saisie'!$R$5:$R$2004,"&lt;&gt;")-4),""))</f>
        <v/>
      </c>
      <c r="T70" s="60">
        <f>IF(C70="","",IFERROR(INDEX('Saisie'!$S$5:$S$2004,_xlfn.MAXIFS('Saisie'!$AS$5:$AS$2004,'Saisie'!$C$5:$C$2004,C70,'Saisie'!$S$5:$S$2004,"&lt;&gt;")-4),""))</f>
        <v/>
      </c>
      <c r="U70" s="60">
        <f>IF(C70="","",IFERROR(INDEX('Saisie'!$T$5:$T$2004,_xlfn.MAXIFS('Saisie'!$AS$5:$AS$2004,'Saisie'!$C$5:$C$2004,C70,'Saisie'!$T$5:$T$2004,"&lt;&gt;")-4),""))</f>
        <v/>
      </c>
      <c r="V70" s="60">
        <f>IF(C70="","",IFERROR(INDEX('Saisie'!$V$5:$V$2004,_xlfn.MAXIFS('Saisie'!$AS$5:$AS$2004,'Saisie'!$C$5:$C$2004,C70,'Saisie'!$V$5:$V$2004,"&lt;&gt;")-4),""))</f>
        <v/>
      </c>
      <c r="W70" s="60">
        <f>IF(C70="","",IFERROR(INDEX('Saisie'!$Z$5:$Z$2004,_xlfn.MAXIFS('Saisie'!$AS$5:$AS$2004,'Saisie'!$C$5:$C$2004,C70,'Saisie'!$Z$5:$Z$2004,"&lt;&gt;")-4),""))</f>
        <v/>
      </c>
      <c r="X70" s="60">
        <f>IF(C70="","",IFERROR(INDEX('Saisie'!$AA$5:$AA$2004,_xlfn.MAXIFS('Saisie'!$AS$5:$AS$2004,'Saisie'!$C$5:$C$2004,C70,'Saisie'!$AA$5:$AA$2004,"&lt;&gt;")-4),""))</f>
        <v/>
      </c>
      <c r="Y70" s="60">
        <f>IF(C70="","",IFERROR(INDEX('Saisie'!$AB$5:$AB$2004,_xlfn.MAXIFS('Saisie'!$AS$5:$AS$2004,'Saisie'!$C$5:$C$2004,C70,'Saisie'!$AB$5:$AB$2004,"&lt;&gt;")-4),""))</f>
        <v/>
      </c>
      <c r="Z70" s="60">
        <f>IF(C70="","",IFERROR(INDEX('Saisie'!$AC$5:$AC$2004,_xlfn.MAXIFS('Saisie'!$AS$5:$AS$2004,'Saisie'!$C$5:$C$2004,C70,'Saisie'!$AC$5:$AC$2004,"&lt;&gt;")-4),""))</f>
        <v/>
      </c>
      <c r="AA70" s="106">
        <f>IF(C70="","",IFERROR(INDEX('Saisie'!$AD$5:$AD$2004,_xlfn.MAXIFS('Saisie'!$AS$5:$AS$2004,'Saisie'!$C$5:$C$2004,C70,'Saisie'!$AD$5:$AD$2004,"&lt;&gt;")-4),""))</f>
        <v/>
      </c>
      <c r="AB70" s="60">
        <f>IF(C70="","",IFERROR(INDEX('Saisie'!$AE$5:$AE$2004,_xlfn.MAXIFS('Saisie'!$AS$5:$AS$2004,'Saisie'!$C$5:$C$2004,C70,'Saisie'!$AE$5:$AE$2004,"&lt;&gt;")-4),""))</f>
        <v/>
      </c>
      <c r="AC70" s="60">
        <f>IF(C70="","",IFERROR(INDEX('Saisie'!$AF$5:$AF$2004,_xlfn.MAXIFS('Saisie'!$AS$5:$AS$2004,'Saisie'!$C$5:$C$2004,C70,'Saisie'!$AF$5:$AF$2004,"&lt;&gt;")-4),""))</f>
        <v/>
      </c>
      <c r="AD70" s="108">
        <f>IF(C70="","",IFERROR(INDEX('Saisie'!$AG$5:$AG$2004,_xlfn.MAXIFS('Saisie'!$AS$5:$AS$2004,'Saisie'!$C$5:$C$2004,C70,'Saisie'!$AG$5:$AG$2004,"&lt;&gt;")-4),""))</f>
        <v/>
      </c>
      <c r="AE70" s="60">
        <f>IF(C70="","",IFERROR(INDEX('Saisie'!$AH$5:$AH$2004,_xlfn.MAXIFS('Saisie'!$AS$5:$AS$2004,'Saisie'!$C$5:$C$2004,C70,'Saisie'!$AH$5:$AH$2004,"&lt;&gt;")-4),""))</f>
        <v/>
      </c>
      <c r="AF70" s="60">
        <f>IF(C70="","",IFERROR(INDEX('Saisie'!$AI$5:$AI$2004,_xlfn.MAXIFS('Saisie'!$AS$5:$AS$2004,'Saisie'!$C$5:$C$2004,C70,'Saisie'!$AI$5:$AI$2004,"&lt;&gt;")-4),""))</f>
        <v/>
      </c>
      <c r="AG70" s="60">
        <f>IF(C70="","",IFERROR(INDEX('Saisie'!$AJ$5:$AJ$2004,_xlfn.MAXIFS('Saisie'!$AS$5:$AS$2004,'Saisie'!$C$5:$C$2004,C70,'Saisie'!$AJ$5:$AJ$2004,"&lt;&gt;")-4),""))</f>
        <v/>
      </c>
      <c r="AH70" s="60">
        <f>IF(C70="","",IFERROR(INDEX('Saisie'!$AK$5:$AK$2004,_xlfn.MAXIFS('Saisie'!$AS$5:$AS$2004,'Saisie'!$C$5:$C$2004,C70,'Saisie'!$AK$5:$AK$2004,"&lt;&gt;")-4),""))</f>
        <v/>
      </c>
      <c r="AI70" s="60">
        <f>IF(C70="","",IFERROR(INDEX('Saisie'!$AN$5:$AN$2004,_xlfn.MAXIFS('Saisie'!$AS$5:$AS$2004,'Saisie'!$C$5:$C$2004,C70,'Saisie'!$AN$5:$AN$2004,"&lt;&gt;")-4),""))</f>
        <v/>
      </c>
      <c r="AJ70" s="60">
        <f>IF(C70="","",IFERROR(INDEX('Saisie'!$AO$5:$AO$2004,_xlfn.MAXIFS('Saisie'!$AS$5:$AS$2004,'Saisie'!$C$5:$C$2004,C70,'Saisie'!$AO$5:$AO$2004,"&lt;&gt;")-4),""))</f>
        <v/>
      </c>
      <c r="AK70" s="60">
        <f>IF(C70="","",IFERROR(INDEX('Saisie'!$AP$5:$AP$2004,_xlfn.MAXIFS('Saisie'!$AS$5:$AS$2004,'Saisie'!$C$5:$C$2004,C70,'Saisie'!$AP$5:$AP$2004,"&lt;&gt;")-4),""))</f>
        <v/>
      </c>
      <c r="AL70" s="60">
        <f>IF(C70="","",IFERROR(INDEX('Saisie'!$AQ$5:$AQ$2004,_xlfn.MAXIFS('Saisie'!$AS$5:$AS$2004,'Saisie'!$C$5:$C$2004,C70,'Saisie'!$AQ$5:$AQ$2004,"&lt;&gt;")-4),""))</f>
        <v/>
      </c>
      <c r="AM70" s="60">
        <f>IF(C70="","",((AI70="Oui")+(AJ70="Oui")+(AK70="Oui")+OR(AL70="Immédiat",AL70="&lt; 1 mois"))&amp;"/4")</f>
        <v/>
      </c>
      <c r="AN70" s="60">
        <f>IF(C70="","",IFERROR(INDEX('Saisie'!$AL$5:$AL$2004,_xlfn.MAXIFS('Saisie'!$AS$5:$AS$2004,'Saisie'!$C$5:$C$2004,C70,'Saisie'!$AL$5:$AL$2004,"&lt;&gt;")-4),""))</f>
        <v/>
      </c>
      <c r="AO70" s="62">
        <f>IF(C70="","",IF(IFERROR(INDEX('Saisie'!$AM$5:$AM$2004,_xlfn.MAXIFS('Saisie'!$AS$5:$AS$2004,'Saisie'!$C$5:$C$2004,C70,'Saisie'!$AM$5:$AM$2004,"&lt;&gt;")-4),"")&lt;&gt;"",IFERROR(INDEX('Saisie'!$AM$5:$AM$2004,_xlfn.MAXIFS('Saisie'!$AS$5:$AS$2004,'Saisie'!$C$5:$C$2004,C70,'Saisie'!$AM$5:$AM$2004,"&lt;&gt;")-4),""),IFERROR(INDEX('Paramètres'!$S$6:$S$15,MATCH(AN70,'Paramètres'!$Q$6:$Q$15,0)),"")))</f>
        <v/>
      </c>
      <c r="AP70" s="62">
        <f>IF(C70="","",IFERROR(INDEX('Saisie'!$AW$5:$AW$2004,_xlfn.MAXIFS('Saisie'!$AS$5:$AS$2004,'Saisie'!$C$5:$C$2004,C70,'Saisie'!$E$5:$E$2004,"Proposition envoyée")-4),""))</f>
        <v/>
      </c>
      <c r="AQ70" s="106">
        <f>IF(C70="","",IFERROR(1/(1/_xlfn.MAXIFS('Saisie'!$A$5:$A$2004,'Saisie'!$C$5:$C$2004,C70,'Saisie'!$E$5:$E$2004,"Proposition envoyée")),""))</f>
        <v/>
      </c>
      <c r="AR70" s="106">
        <f>IF(C70="","",IF(AQ70="","",AQ70+'Paramètres'!$B$26))</f>
        <v/>
      </c>
      <c r="AS70" s="62">
        <f>IF(OR(C70="",D70="Gagné",D70="Perdu"),0,N(AP70)*IFERROR(INDEX('Paramètres'!$G$6:$G$13,MATCH(D70,'Paramètres'!$F$6:$F$13,0)),0))</f>
        <v/>
      </c>
      <c r="AT70" s="106">
        <f>IF(C70="","",IFERROR(1/(1/_xlfn.MINIFS('Saisie'!$A$5:$A$2004,'Saisie'!$C$5:$C$2004,C70,'Saisie'!$E$5:$E$2004,"Signature")),""))</f>
        <v/>
      </c>
      <c r="AU70" s="60">
        <f>IF(C70="","",IF(OR(AT70="",B70=""),"",AT70-B70))</f>
        <v/>
      </c>
      <c r="AV70" s="60">
        <f>IF(C70="","",IFERROR(INDEX('Saisie'!$L$5:$L$2004,_xlfn.MAXIFS('Saisie'!$AS$5:$AS$2004,'Saisie'!$C$5:$C$2004,C70,'Saisie'!$L$5:$L$2004,"&lt;&gt;")-4),""))</f>
        <v/>
      </c>
      <c r="AW70" s="106">
        <f>IF(C70="","",IF(D70&lt;&gt;"Perdu","",IFERROR(1/(1/_xlfn.MAXIFS('Saisie'!$A$5:$A$2004,'Saisie'!$C$5:$C$2004,C70,'Saisie'!$E$5:$E$2004,"Perdu")),"")))</f>
        <v/>
      </c>
      <c r="AX70" s="106">
        <f>IF(C70="","",IF(AW70="","",AW70+'Paramètres'!$B$28))</f>
        <v/>
      </c>
      <c r="AY70" s="60">
        <f>IF(C70="","",SUMIFS('Saisie'!$H$5:$H$2004,'Saisie'!$C$5:$C$2004,C70))</f>
        <v/>
      </c>
      <c r="AZ70" s="60">
        <f>IF(C70="","",IFERROR(INDEX('Paramètres'!$W$6:$W$20,MATCH(S70,'Paramètres'!$V$6:$V$20,0))&amp;"",""))</f>
        <v/>
      </c>
      <c r="BA70" s="60">
        <f>IF(C70="","",MAX(1,_xlfn.MAXIFS('Saisie'!$AT$5:$AT$2004,'Saisie'!$C$5:$C$2004,C70)))</f>
        <v/>
      </c>
      <c r="BB70" s="60">
        <f>IF(C70="","",IFERROR(INDEX('Saisie'!$X$5:$X$2004,_xlfn.MAXIFS('Saisie'!$AS$5:$AS$2004,'Saisie'!$C$5:$C$2004,C70,'Saisie'!$X$5:$X$2004,"&lt;&gt;")-4),""))</f>
        <v/>
      </c>
      <c r="BC70" s="60">
        <f>IF(C70="","",IFERROR(INDEX('Saisie'!$Y$5:$Y$2004,_xlfn.MAXIFS('Saisie'!$AS$5:$AS$2004,'Saisie'!$C$5:$C$2004,C70,'Saisie'!$Y$5:$Y$2004,"&lt;&gt;")-4),""))</f>
        <v/>
      </c>
      <c r="BD70" s="106">
        <f>IF(C70="","",IFERROR(1/(1/_xlfn.MINIFS('Saisie'!$A$5:$A$2004,'Saisie'!$C$5:$C$2004,C70,'Saisie'!$AT$5:$AT$2004,"&gt;=2")),""))</f>
        <v/>
      </c>
      <c r="BE70" s="106">
        <f>IF(C70="","",IFERROR(1/(1/_xlfn.MINIFS('Saisie'!$A$5:$A$2004,'Saisie'!$C$5:$C$2004,C70,'Saisie'!$AT$5:$AT$2004,"&gt;=3")),""))</f>
        <v/>
      </c>
      <c r="BF70" s="106">
        <f>IF(C70="","",IFERROR(1/(1/_xlfn.MINIFS('Saisie'!$A$5:$A$2004,'Saisie'!$C$5:$C$2004,C70,'Saisie'!$AT$5:$AT$2004,"&gt;=4")),""))</f>
        <v/>
      </c>
      <c r="BG70" s="106">
        <f>IF(C70="","",IFERROR(1/(1/_xlfn.MINIFS('Saisie'!$A$5:$A$2004,'Saisie'!$C$5:$C$2004,C70,'Saisie'!$AT$5:$AT$2004,"&gt;=5")),""))</f>
        <v/>
      </c>
      <c r="BH70" s="106">
        <f>IF(C70="","",IFERROR(1/(1/_xlfn.MINIFS('Saisie'!$A$5:$A$2004,'Saisie'!$C$5:$C$2004,C70,'Saisie'!$AT$5:$AT$2004,"&gt;=6")),""))</f>
        <v/>
      </c>
      <c r="BI70" s="106">
        <f>IF(C70="","",IFERROR(1/(1/_xlfn.MINIFS('Saisie'!$A$5:$A$2004,'Saisie'!$C$5:$C$2004,C70,'Saisie'!$AT$5:$AT$2004,"&gt;=7")),""))</f>
        <v/>
      </c>
      <c r="BJ70" s="60">
        <f>IF(OR(BD70="",B70=""),"",BD70-B70)</f>
        <v/>
      </c>
      <c r="BK70" s="60">
        <f>IF(OR(BE70="",BD70=""),"",BE70-BD70)</f>
        <v/>
      </c>
      <c r="BL70" s="60">
        <f>IF(OR(BF70="",BE70=""),"",BF70-BE70)</f>
        <v/>
      </c>
      <c r="BM70" s="60">
        <f>IF(OR(BG70="",BF70=""),"",BG70-BF70)</f>
        <v/>
      </c>
      <c r="BN70" s="60">
        <f>IF(OR(BH70="",BG70=""),"",BH70-BG70)</f>
        <v/>
      </c>
      <c r="BO70" s="60">
        <f>IF(OR(BI70="",BH70=""),"",BI70-BH70)</f>
        <v/>
      </c>
      <c r="BP70" s="60">
        <f>IF(C70="","",_xlfn.MAXIFS('Saisie'!$AS$5:$AS$2004,'Saisie'!$C$5:$C$2004,C70,'Saisie'!$J$5:$J$2004,"&lt;&gt;"))</f>
        <v/>
      </c>
      <c r="BQ70" s="60">
        <f>IF(C70="","",_xlfn.MAXIFS('Saisie'!$AS$5:$AS$2004,'Saisie'!$C$5:$C$2004,C70))</f>
        <v/>
      </c>
      <c r="BR70" s="60">
        <f>IF(C70="","",_xlfn.MAXIFS('Saisie'!$AS$5:$AS$2004,'Saisie'!$C$5:$C$2004,C70,'Saisie'!$E$5:$E$2004,"Perdu"))</f>
        <v/>
      </c>
      <c r="BS70" s="60">
        <f>IF(C70="","",_xlfn.MAXIFS('Saisie'!$AS$5:$AS$2004,'Saisie'!$C$5:$C$2004,C70,'Saisie'!$AT$5:$AT$2004,"&gt;0"))</f>
        <v/>
      </c>
      <c r="BT70" s="109">
        <f>IF(AND(C70&lt;&gt;"",OR(D70="Nouveau",D70="Contacté",D70="Qualifié"),OR(G70="",N(G70)&lt;=TODAY()),NOT(AND(O70&gt;='Paramètres'!$B$21,P70=0))),E70+66/10000,"")</f>
        <v/>
      </c>
      <c r="BU70" s="60">
        <f>IF(AND(G70&lt;&gt;"",N(G70)&lt;=TODAY()),MAX($BU$4:BU69)+1,"")</f>
        <v/>
      </c>
      <c r="BV70" s="60">
        <f>IF(AND(F70&lt;&gt;"",F70&lt;&gt;"Relance en retard"),MAX($BV$4:BV69)+1,"")</f>
        <v/>
      </c>
      <c r="BW70" s="60">
        <f>IF(C70="","",IF(AND(B70&gt;='Tableau de bord'!$R$4,B70&lt;='Tableau de bord'!$S$4,OR('Tableau de bord'!$G$4="Tous",N70='Tableau de bord'!$G$4)),1,0))</f>
        <v/>
      </c>
      <c r="BX70" s="60">
        <f>IF(AND(C70&lt;&gt;"",N(BA70)=7),MAX($BX$4:BX69)+1,"")</f>
        <v/>
      </c>
    </row>
    <row r="71">
      <c r="A71" s="60">
        <f>IF(C71="","","P-"&amp;TEXT(67,"000"))</f>
        <v/>
      </c>
      <c r="B71" s="106">
        <f>IF(C71="","",IFERROR(1/(1/_xlfn.MINIFS('Saisie'!$A$5:$A$2004,'Saisie'!$C$5:$C$2004,C71)),""))</f>
        <v/>
      </c>
      <c r="C71" s="60">
        <f>IFERROR(INDEX('Saisie'!$C$5:$C$2004,MATCH(67,'Saisie'!$AX$5:$AX$2004,0)),"")</f>
        <v/>
      </c>
      <c r="D71" s="60">
        <f>IF(C71="","",IF(AND(BR71&gt;0,BR71&gt;BS71,BA71&lt;7),"Perdu",INDEX('Paramètres'!$F$6:$F$13,BA71)))</f>
        <v/>
      </c>
      <c r="E71" s="61">
        <f>IF(C71="","",MIN(100,(Z71="Oui")*'Paramètres'!$B$38+(AB71="Régulière")*'Paramètres'!$B$39+IF(AND(N(AA71)&gt;0,TODAY()-N(AA71)&lt;=30),'Paramètres'!$B$40,0)+(W71="")*'Paramètres'!$B$41+(AC71="Absente")*'Paramètres'!$B$42+(AC71="Faible")*'Paramètres'!$B$43+IF(AND(N(AD71)&gt;0,N(AD71)&lt;4),'Paramètres'!$B$44,0)+(AF71="Moyenne")*'Paramètres'!$B$45+(AF71="Grande")*'Paramètres'!$B$46+(Y71&lt;&gt;"")*'Paramètres'!$B$47))</f>
        <v/>
      </c>
      <c r="F71" s="60">
        <f>IF(C71="","",IF(D71="Gagné","",IF(D71="Perdu",IF(AND(AX71&lt;&gt;"",AX71&lt;=TODAY()),"À recontacter (perdu)",""),IF(AND(O71&gt;='Paramètres'!$B$21,P71=0),"Stop : "&amp;'Paramètres'!$B$21&amp;" tentatives sans réponse",IF(AND(D71="Proposition",AR71&lt;&gt;"",TODAY()&gt;N(AR71)),"Proposition expirée",IF(AND(D71="Proposition",N(R71)&gt;='Paramètres'!$B$25),"Proposition sans réponse",IF(AND(G71&lt;&gt;"",N(G71)&lt;TODAY()),"Relance en retard",IF(N(R71)&gt;='Paramètres'!$B$24,"Sans action depuis "&amp;R71&amp;" j",""))))))))</f>
        <v/>
      </c>
      <c r="G71" s="106">
        <f>IF(OR(C71="",D71="Gagné",D71="Perdu"),"",IF(AND(BP71&gt;0,BP71=BQ71),INDEX('Saisie'!$J$5:$J$2004,BP71-4),IF(OR(O71=0,AND(O71&gt;='Paramètres'!$B$21,P71=0)),"",Q71+IF(O71&lt;=1,'Paramètres'!$B$18,IF(O71=2,'Paramètres'!$B$19,'Paramètres'!$B$20)))))</f>
        <v/>
      </c>
      <c r="H71" s="107">
        <f>IF(OR(G71="",BP71&lt;&gt;BQ71),"",IF(INDEX('Saisie'!$K$5:$K$2004,BP71-4)="","",INDEX('Saisie'!$K$5:$K$2004,BP71-4)))</f>
        <v/>
      </c>
      <c r="I71" s="60">
        <f>IF(C71="","",IF(OR(D71="Gagné",D71="Perdu"),"",IFERROR(INDEX('Saisie'!$I$5:$I$2004,_xlfn.MAXIFS('Saisie'!$AS$5:$AS$2004,'Saisie'!$C$5:$C$2004,C71,'Saisie'!$I$5:$I$2004,"&lt;&gt;")-4),"")))</f>
        <v/>
      </c>
      <c r="J71" s="60">
        <f>IF(C71="","",IFERROR(INDEX('Saisie'!$U$5:$U$2004,_xlfn.MAXIFS('Saisie'!$AS$5:$AS$2004,'Saisie'!$C$5:$C$2004,C71,'Saisie'!$U$5:$U$2004,"&lt;&gt;")-4),""))</f>
        <v/>
      </c>
      <c r="K71" s="60">
        <f>IF(C71="","",IFERROR(INDEX('Saisie'!$W$5:$W$2004,_xlfn.MAXIFS('Saisie'!$AS$5:$AS$2004,'Saisie'!$C$5:$C$2004,C71,'Saisie'!$W$5:$W$2004,"&lt;&gt;")-4),""))</f>
        <v/>
      </c>
      <c r="L71" s="60">
        <f>IF(IF(BB71&lt;&gt;"",BB71,K71)="","",HYPERLINK("https://wa.me/"&amp;IF(LEFT(SUBSTITUTE(SUBSTITUTE(SUBSTITUTE(IF(BB71&lt;&gt;"",BB71,K71)," ",""),".",""),"+",""),1)="0",'Paramètres'!$B$35&amp;MID(SUBSTITUTE(SUBSTITUTE(SUBSTITUTE(IF(BB71&lt;&gt;"",BB71,K71)," ",""),".",""),"+",""),2,20),SUBSTITUTE(SUBSTITUTE(SUBSTITUTE(IF(BB71&lt;&gt;"",BB71,K71)," ",""),".",""),"+","")),"WhatsApp"))</f>
        <v/>
      </c>
      <c r="M71" s="60">
        <f>IF(BC71="","",HYPERLINK(IF(LEFT(BC71,4)="http",BC71,"https://www.instagram.com/"&amp;SUBSTITUTE(SUBSTITUTE(BC71,"@","")," ","")),BC71))</f>
        <v/>
      </c>
      <c r="N71" s="60">
        <f>IF(C71="","",IFERROR(INDEX('Saisie'!$D$5:$D$2004,_xlfn.MINIFS('Saisie'!$AS$5:$AS$2004,'Saisie'!$C$5:$C$2004,C71,'Saisie'!$AU$5:$AU$2004,1)-4),IFERROR(INDEX('Saisie'!$D$5:$D$2004,_xlfn.MINIFS('Saisie'!$AS$5:$AS$2004,'Saisie'!$C$5:$C$2004,C71,'Saisie'!$D$5:$D$2004,"&lt;&gt;")-4),"")))</f>
        <v/>
      </c>
      <c r="O71" s="60">
        <f>IF(C71="","",COUNTIFS('Saisie'!$C$5:$C$2004,C71,'Saisie'!$AU$5:$AU$2004,1))</f>
        <v/>
      </c>
      <c r="P71" s="60">
        <f>IF(C71="","",COUNTIFS('Saisie'!$C$5:$C$2004,C71,'Saisie'!$AV$5:$AV$2004,1))</f>
        <v/>
      </c>
      <c r="Q71" s="106">
        <f>IF(C71="","",IFERROR(1/(1/_xlfn.MAXIFS('Saisie'!$A$5:$A$2004,'Saisie'!$C$5:$C$2004,C71)),""))</f>
        <v/>
      </c>
      <c r="R71" s="61">
        <f>IF(C71="","",IF(Q71="","",TODAY()-Q71))</f>
        <v/>
      </c>
      <c r="S71" s="60">
        <f>IF(C71="","",IFERROR(INDEX('Saisie'!$R$5:$R$2004,_xlfn.MAXIFS('Saisie'!$AS$5:$AS$2004,'Saisie'!$C$5:$C$2004,C71,'Saisie'!$R$5:$R$2004,"&lt;&gt;")-4),""))</f>
        <v/>
      </c>
      <c r="T71" s="60">
        <f>IF(C71="","",IFERROR(INDEX('Saisie'!$S$5:$S$2004,_xlfn.MAXIFS('Saisie'!$AS$5:$AS$2004,'Saisie'!$C$5:$C$2004,C71,'Saisie'!$S$5:$S$2004,"&lt;&gt;")-4),""))</f>
        <v/>
      </c>
      <c r="U71" s="60">
        <f>IF(C71="","",IFERROR(INDEX('Saisie'!$T$5:$T$2004,_xlfn.MAXIFS('Saisie'!$AS$5:$AS$2004,'Saisie'!$C$5:$C$2004,C71,'Saisie'!$T$5:$T$2004,"&lt;&gt;")-4),""))</f>
        <v/>
      </c>
      <c r="V71" s="60">
        <f>IF(C71="","",IFERROR(INDEX('Saisie'!$V$5:$V$2004,_xlfn.MAXIFS('Saisie'!$AS$5:$AS$2004,'Saisie'!$C$5:$C$2004,C71,'Saisie'!$V$5:$V$2004,"&lt;&gt;")-4),""))</f>
        <v/>
      </c>
      <c r="W71" s="60">
        <f>IF(C71="","",IFERROR(INDEX('Saisie'!$Z$5:$Z$2004,_xlfn.MAXIFS('Saisie'!$AS$5:$AS$2004,'Saisie'!$C$5:$C$2004,C71,'Saisie'!$Z$5:$Z$2004,"&lt;&gt;")-4),""))</f>
        <v/>
      </c>
      <c r="X71" s="60">
        <f>IF(C71="","",IFERROR(INDEX('Saisie'!$AA$5:$AA$2004,_xlfn.MAXIFS('Saisie'!$AS$5:$AS$2004,'Saisie'!$C$5:$C$2004,C71,'Saisie'!$AA$5:$AA$2004,"&lt;&gt;")-4),""))</f>
        <v/>
      </c>
      <c r="Y71" s="60">
        <f>IF(C71="","",IFERROR(INDEX('Saisie'!$AB$5:$AB$2004,_xlfn.MAXIFS('Saisie'!$AS$5:$AS$2004,'Saisie'!$C$5:$C$2004,C71,'Saisie'!$AB$5:$AB$2004,"&lt;&gt;")-4),""))</f>
        <v/>
      </c>
      <c r="Z71" s="60">
        <f>IF(C71="","",IFERROR(INDEX('Saisie'!$AC$5:$AC$2004,_xlfn.MAXIFS('Saisie'!$AS$5:$AS$2004,'Saisie'!$C$5:$C$2004,C71,'Saisie'!$AC$5:$AC$2004,"&lt;&gt;")-4),""))</f>
        <v/>
      </c>
      <c r="AA71" s="106">
        <f>IF(C71="","",IFERROR(INDEX('Saisie'!$AD$5:$AD$2004,_xlfn.MAXIFS('Saisie'!$AS$5:$AS$2004,'Saisie'!$C$5:$C$2004,C71,'Saisie'!$AD$5:$AD$2004,"&lt;&gt;")-4),""))</f>
        <v/>
      </c>
      <c r="AB71" s="60">
        <f>IF(C71="","",IFERROR(INDEX('Saisie'!$AE$5:$AE$2004,_xlfn.MAXIFS('Saisie'!$AS$5:$AS$2004,'Saisie'!$C$5:$C$2004,C71,'Saisie'!$AE$5:$AE$2004,"&lt;&gt;")-4),""))</f>
        <v/>
      </c>
      <c r="AC71" s="60">
        <f>IF(C71="","",IFERROR(INDEX('Saisie'!$AF$5:$AF$2004,_xlfn.MAXIFS('Saisie'!$AS$5:$AS$2004,'Saisie'!$C$5:$C$2004,C71,'Saisie'!$AF$5:$AF$2004,"&lt;&gt;")-4),""))</f>
        <v/>
      </c>
      <c r="AD71" s="108">
        <f>IF(C71="","",IFERROR(INDEX('Saisie'!$AG$5:$AG$2004,_xlfn.MAXIFS('Saisie'!$AS$5:$AS$2004,'Saisie'!$C$5:$C$2004,C71,'Saisie'!$AG$5:$AG$2004,"&lt;&gt;")-4),""))</f>
        <v/>
      </c>
      <c r="AE71" s="60">
        <f>IF(C71="","",IFERROR(INDEX('Saisie'!$AH$5:$AH$2004,_xlfn.MAXIFS('Saisie'!$AS$5:$AS$2004,'Saisie'!$C$5:$C$2004,C71,'Saisie'!$AH$5:$AH$2004,"&lt;&gt;")-4),""))</f>
        <v/>
      </c>
      <c r="AF71" s="60">
        <f>IF(C71="","",IFERROR(INDEX('Saisie'!$AI$5:$AI$2004,_xlfn.MAXIFS('Saisie'!$AS$5:$AS$2004,'Saisie'!$C$5:$C$2004,C71,'Saisie'!$AI$5:$AI$2004,"&lt;&gt;")-4),""))</f>
        <v/>
      </c>
      <c r="AG71" s="60">
        <f>IF(C71="","",IFERROR(INDEX('Saisie'!$AJ$5:$AJ$2004,_xlfn.MAXIFS('Saisie'!$AS$5:$AS$2004,'Saisie'!$C$5:$C$2004,C71,'Saisie'!$AJ$5:$AJ$2004,"&lt;&gt;")-4),""))</f>
        <v/>
      </c>
      <c r="AH71" s="60">
        <f>IF(C71="","",IFERROR(INDEX('Saisie'!$AK$5:$AK$2004,_xlfn.MAXIFS('Saisie'!$AS$5:$AS$2004,'Saisie'!$C$5:$C$2004,C71,'Saisie'!$AK$5:$AK$2004,"&lt;&gt;")-4),""))</f>
        <v/>
      </c>
      <c r="AI71" s="60">
        <f>IF(C71="","",IFERROR(INDEX('Saisie'!$AN$5:$AN$2004,_xlfn.MAXIFS('Saisie'!$AS$5:$AS$2004,'Saisie'!$C$5:$C$2004,C71,'Saisie'!$AN$5:$AN$2004,"&lt;&gt;")-4),""))</f>
        <v/>
      </c>
      <c r="AJ71" s="60">
        <f>IF(C71="","",IFERROR(INDEX('Saisie'!$AO$5:$AO$2004,_xlfn.MAXIFS('Saisie'!$AS$5:$AS$2004,'Saisie'!$C$5:$C$2004,C71,'Saisie'!$AO$5:$AO$2004,"&lt;&gt;")-4),""))</f>
        <v/>
      </c>
      <c r="AK71" s="60">
        <f>IF(C71="","",IFERROR(INDEX('Saisie'!$AP$5:$AP$2004,_xlfn.MAXIFS('Saisie'!$AS$5:$AS$2004,'Saisie'!$C$5:$C$2004,C71,'Saisie'!$AP$5:$AP$2004,"&lt;&gt;")-4),""))</f>
        <v/>
      </c>
      <c r="AL71" s="60">
        <f>IF(C71="","",IFERROR(INDEX('Saisie'!$AQ$5:$AQ$2004,_xlfn.MAXIFS('Saisie'!$AS$5:$AS$2004,'Saisie'!$C$5:$C$2004,C71,'Saisie'!$AQ$5:$AQ$2004,"&lt;&gt;")-4),""))</f>
        <v/>
      </c>
      <c r="AM71" s="60">
        <f>IF(C71="","",((AI71="Oui")+(AJ71="Oui")+(AK71="Oui")+OR(AL71="Immédiat",AL71="&lt; 1 mois"))&amp;"/4")</f>
        <v/>
      </c>
      <c r="AN71" s="60">
        <f>IF(C71="","",IFERROR(INDEX('Saisie'!$AL$5:$AL$2004,_xlfn.MAXIFS('Saisie'!$AS$5:$AS$2004,'Saisie'!$C$5:$C$2004,C71,'Saisie'!$AL$5:$AL$2004,"&lt;&gt;")-4),""))</f>
        <v/>
      </c>
      <c r="AO71" s="62">
        <f>IF(C71="","",IF(IFERROR(INDEX('Saisie'!$AM$5:$AM$2004,_xlfn.MAXIFS('Saisie'!$AS$5:$AS$2004,'Saisie'!$C$5:$C$2004,C71,'Saisie'!$AM$5:$AM$2004,"&lt;&gt;")-4),"")&lt;&gt;"",IFERROR(INDEX('Saisie'!$AM$5:$AM$2004,_xlfn.MAXIFS('Saisie'!$AS$5:$AS$2004,'Saisie'!$C$5:$C$2004,C71,'Saisie'!$AM$5:$AM$2004,"&lt;&gt;")-4),""),IFERROR(INDEX('Paramètres'!$S$6:$S$15,MATCH(AN71,'Paramètres'!$Q$6:$Q$15,0)),"")))</f>
        <v/>
      </c>
      <c r="AP71" s="62">
        <f>IF(C71="","",IFERROR(INDEX('Saisie'!$AW$5:$AW$2004,_xlfn.MAXIFS('Saisie'!$AS$5:$AS$2004,'Saisie'!$C$5:$C$2004,C71,'Saisie'!$E$5:$E$2004,"Proposition envoyée")-4),""))</f>
        <v/>
      </c>
      <c r="AQ71" s="106">
        <f>IF(C71="","",IFERROR(1/(1/_xlfn.MAXIFS('Saisie'!$A$5:$A$2004,'Saisie'!$C$5:$C$2004,C71,'Saisie'!$E$5:$E$2004,"Proposition envoyée")),""))</f>
        <v/>
      </c>
      <c r="AR71" s="106">
        <f>IF(C71="","",IF(AQ71="","",AQ71+'Paramètres'!$B$26))</f>
        <v/>
      </c>
      <c r="AS71" s="62">
        <f>IF(OR(C71="",D71="Gagné",D71="Perdu"),0,N(AP71)*IFERROR(INDEX('Paramètres'!$G$6:$G$13,MATCH(D71,'Paramètres'!$F$6:$F$13,0)),0))</f>
        <v/>
      </c>
      <c r="AT71" s="106">
        <f>IF(C71="","",IFERROR(1/(1/_xlfn.MINIFS('Saisie'!$A$5:$A$2004,'Saisie'!$C$5:$C$2004,C71,'Saisie'!$E$5:$E$2004,"Signature")),""))</f>
        <v/>
      </c>
      <c r="AU71" s="60">
        <f>IF(C71="","",IF(OR(AT71="",B71=""),"",AT71-B71))</f>
        <v/>
      </c>
      <c r="AV71" s="60">
        <f>IF(C71="","",IFERROR(INDEX('Saisie'!$L$5:$L$2004,_xlfn.MAXIFS('Saisie'!$AS$5:$AS$2004,'Saisie'!$C$5:$C$2004,C71,'Saisie'!$L$5:$L$2004,"&lt;&gt;")-4),""))</f>
        <v/>
      </c>
      <c r="AW71" s="106">
        <f>IF(C71="","",IF(D71&lt;&gt;"Perdu","",IFERROR(1/(1/_xlfn.MAXIFS('Saisie'!$A$5:$A$2004,'Saisie'!$C$5:$C$2004,C71,'Saisie'!$E$5:$E$2004,"Perdu")),"")))</f>
        <v/>
      </c>
      <c r="AX71" s="106">
        <f>IF(C71="","",IF(AW71="","",AW71+'Paramètres'!$B$28))</f>
        <v/>
      </c>
      <c r="AY71" s="60">
        <f>IF(C71="","",SUMIFS('Saisie'!$H$5:$H$2004,'Saisie'!$C$5:$C$2004,C71))</f>
        <v/>
      </c>
      <c r="AZ71" s="60">
        <f>IF(C71="","",IFERROR(INDEX('Paramètres'!$W$6:$W$20,MATCH(S71,'Paramètres'!$V$6:$V$20,0))&amp;"",""))</f>
        <v/>
      </c>
      <c r="BA71" s="60">
        <f>IF(C71="","",MAX(1,_xlfn.MAXIFS('Saisie'!$AT$5:$AT$2004,'Saisie'!$C$5:$C$2004,C71)))</f>
        <v/>
      </c>
      <c r="BB71" s="60">
        <f>IF(C71="","",IFERROR(INDEX('Saisie'!$X$5:$X$2004,_xlfn.MAXIFS('Saisie'!$AS$5:$AS$2004,'Saisie'!$C$5:$C$2004,C71,'Saisie'!$X$5:$X$2004,"&lt;&gt;")-4),""))</f>
        <v/>
      </c>
      <c r="BC71" s="60">
        <f>IF(C71="","",IFERROR(INDEX('Saisie'!$Y$5:$Y$2004,_xlfn.MAXIFS('Saisie'!$AS$5:$AS$2004,'Saisie'!$C$5:$C$2004,C71,'Saisie'!$Y$5:$Y$2004,"&lt;&gt;")-4),""))</f>
        <v/>
      </c>
      <c r="BD71" s="106">
        <f>IF(C71="","",IFERROR(1/(1/_xlfn.MINIFS('Saisie'!$A$5:$A$2004,'Saisie'!$C$5:$C$2004,C71,'Saisie'!$AT$5:$AT$2004,"&gt;=2")),""))</f>
        <v/>
      </c>
      <c r="BE71" s="106">
        <f>IF(C71="","",IFERROR(1/(1/_xlfn.MINIFS('Saisie'!$A$5:$A$2004,'Saisie'!$C$5:$C$2004,C71,'Saisie'!$AT$5:$AT$2004,"&gt;=3")),""))</f>
        <v/>
      </c>
      <c r="BF71" s="106">
        <f>IF(C71="","",IFERROR(1/(1/_xlfn.MINIFS('Saisie'!$A$5:$A$2004,'Saisie'!$C$5:$C$2004,C71,'Saisie'!$AT$5:$AT$2004,"&gt;=4")),""))</f>
        <v/>
      </c>
      <c r="BG71" s="106">
        <f>IF(C71="","",IFERROR(1/(1/_xlfn.MINIFS('Saisie'!$A$5:$A$2004,'Saisie'!$C$5:$C$2004,C71,'Saisie'!$AT$5:$AT$2004,"&gt;=5")),""))</f>
        <v/>
      </c>
      <c r="BH71" s="106">
        <f>IF(C71="","",IFERROR(1/(1/_xlfn.MINIFS('Saisie'!$A$5:$A$2004,'Saisie'!$C$5:$C$2004,C71,'Saisie'!$AT$5:$AT$2004,"&gt;=6")),""))</f>
        <v/>
      </c>
      <c r="BI71" s="106">
        <f>IF(C71="","",IFERROR(1/(1/_xlfn.MINIFS('Saisie'!$A$5:$A$2004,'Saisie'!$C$5:$C$2004,C71,'Saisie'!$AT$5:$AT$2004,"&gt;=7")),""))</f>
        <v/>
      </c>
      <c r="BJ71" s="60">
        <f>IF(OR(BD71="",B71=""),"",BD71-B71)</f>
        <v/>
      </c>
      <c r="BK71" s="60">
        <f>IF(OR(BE71="",BD71=""),"",BE71-BD71)</f>
        <v/>
      </c>
      <c r="BL71" s="60">
        <f>IF(OR(BF71="",BE71=""),"",BF71-BE71)</f>
        <v/>
      </c>
      <c r="BM71" s="60">
        <f>IF(OR(BG71="",BF71=""),"",BG71-BF71)</f>
        <v/>
      </c>
      <c r="BN71" s="60">
        <f>IF(OR(BH71="",BG71=""),"",BH71-BG71)</f>
        <v/>
      </c>
      <c r="BO71" s="60">
        <f>IF(OR(BI71="",BH71=""),"",BI71-BH71)</f>
        <v/>
      </c>
      <c r="BP71" s="60">
        <f>IF(C71="","",_xlfn.MAXIFS('Saisie'!$AS$5:$AS$2004,'Saisie'!$C$5:$C$2004,C71,'Saisie'!$J$5:$J$2004,"&lt;&gt;"))</f>
        <v/>
      </c>
      <c r="BQ71" s="60">
        <f>IF(C71="","",_xlfn.MAXIFS('Saisie'!$AS$5:$AS$2004,'Saisie'!$C$5:$C$2004,C71))</f>
        <v/>
      </c>
      <c r="BR71" s="60">
        <f>IF(C71="","",_xlfn.MAXIFS('Saisie'!$AS$5:$AS$2004,'Saisie'!$C$5:$C$2004,C71,'Saisie'!$E$5:$E$2004,"Perdu"))</f>
        <v/>
      </c>
      <c r="BS71" s="60">
        <f>IF(C71="","",_xlfn.MAXIFS('Saisie'!$AS$5:$AS$2004,'Saisie'!$C$5:$C$2004,C71,'Saisie'!$AT$5:$AT$2004,"&gt;0"))</f>
        <v/>
      </c>
      <c r="BT71" s="109">
        <f>IF(AND(C71&lt;&gt;"",OR(D71="Nouveau",D71="Contacté",D71="Qualifié"),OR(G71="",N(G71)&lt;=TODAY()),NOT(AND(O71&gt;='Paramètres'!$B$21,P71=0))),E71+67/10000,"")</f>
        <v/>
      </c>
      <c r="BU71" s="60">
        <f>IF(AND(G71&lt;&gt;"",N(G71)&lt;=TODAY()),MAX($BU$4:BU70)+1,"")</f>
        <v/>
      </c>
      <c r="BV71" s="60">
        <f>IF(AND(F71&lt;&gt;"",F71&lt;&gt;"Relance en retard"),MAX($BV$4:BV70)+1,"")</f>
        <v/>
      </c>
      <c r="BW71" s="60">
        <f>IF(C71="","",IF(AND(B71&gt;='Tableau de bord'!$R$4,B71&lt;='Tableau de bord'!$S$4,OR('Tableau de bord'!$G$4="Tous",N71='Tableau de bord'!$G$4)),1,0))</f>
        <v/>
      </c>
      <c r="BX71" s="60">
        <f>IF(AND(C71&lt;&gt;"",N(BA71)=7),MAX($BX$4:BX70)+1,"")</f>
        <v/>
      </c>
    </row>
    <row r="72">
      <c r="A72" s="60">
        <f>IF(C72="","","P-"&amp;TEXT(68,"000"))</f>
        <v/>
      </c>
      <c r="B72" s="106">
        <f>IF(C72="","",IFERROR(1/(1/_xlfn.MINIFS('Saisie'!$A$5:$A$2004,'Saisie'!$C$5:$C$2004,C72)),""))</f>
        <v/>
      </c>
      <c r="C72" s="60">
        <f>IFERROR(INDEX('Saisie'!$C$5:$C$2004,MATCH(68,'Saisie'!$AX$5:$AX$2004,0)),"")</f>
        <v/>
      </c>
      <c r="D72" s="60">
        <f>IF(C72="","",IF(AND(BR72&gt;0,BR72&gt;BS72,BA72&lt;7),"Perdu",INDEX('Paramètres'!$F$6:$F$13,BA72)))</f>
        <v/>
      </c>
      <c r="E72" s="61">
        <f>IF(C72="","",MIN(100,(Z72="Oui")*'Paramètres'!$B$38+(AB72="Régulière")*'Paramètres'!$B$39+IF(AND(N(AA72)&gt;0,TODAY()-N(AA72)&lt;=30),'Paramètres'!$B$40,0)+(W72="")*'Paramètres'!$B$41+(AC72="Absente")*'Paramètres'!$B$42+(AC72="Faible")*'Paramètres'!$B$43+IF(AND(N(AD72)&gt;0,N(AD72)&lt;4),'Paramètres'!$B$44,0)+(AF72="Moyenne")*'Paramètres'!$B$45+(AF72="Grande")*'Paramètres'!$B$46+(Y72&lt;&gt;"")*'Paramètres'!$B$47))</f>
        <v/>
      </c>
      <c r="F72" s="60">
        <f>IF(C72="","",IF(D72="Gagné","",IF(D72="Perdu",IF(AND(AX72&lt;&gt;"",AX72&lt;=TODAY()),"À recontacter (perdu)",""),IF(AND(O72&gt;='Paramètres'!$B$21,P72=0),"Stop : "&amp;'Paramètres'!$B$21&amp;" tentatives sans réponse",IF(AND(D72="Proposition",AR72&lt;&gt;"",TODAY()&gt;N(AR72)),"Proposition expirée",IF(AND(D72="Proposition",N(R72)&gt;='Paramètres'!$B$25),"Proposition sans réponse",IF(AND(G72&lt;&gt;"",N(G72)&lt;TODAY()),"Relance en retard",IF(N(R72)&gt;='Paramètres'!$B$24,"Sans action depuis "&amp;R72&amp;" j",""))))))))</f>
        <v/>
      </c>
      <c r="G72" s="106">
        <f>IF(OR(C72="",D72="Gagné",D72="Perdu"),"",IF(AND(BP72&gt;0,BP72=BQ72),INDEX('Saisie'!$J$5:$J$2004,BP72-4),IF(OR(O72=0,AND(O72&gt;='Paramètres'!$B$21,P72=0)),"",Q72+IF(O72&lt;=1,'Paramètres'!$B$18,IF(O72=2,'Paramètres'!$B$19,'Paramètres'!$B$20)))))</f>
        <v/>
      </c>
      <c r="H72" s="107">
        <f>IF(OR(G72="",BP72&lt;&gt;BQ72),"",IF(INDEX('Saisie'!$K$5:$K$2004,BP72-4)="","",INDEX('Saisie'!$K$5:$K$2004,BP72-4)))</f>
        <v/>
      </c>
      <c r="I72" s="60">
        <f>IF(C72="","",IF(OR(D72="Gagné",D72="Perdu"),"",IFERROR(INDEX('Saisie'!$I$5:$I$2004,_xlfn.MAXIFS('Saisie'!$AS$5:$AS$2004,'Saisie'!$C$5:$C$2004,C72,'Saisie'!$I$5:$I$2004,"&lt;&gt;")-4),"")))</f>
        <v/>
      </c>
      <c r="J72" s="60">
        <f>IF(C72="","",IFERROR(INDEX('Saisie'!$U$5:$U$2004,_xlfn.MAXIFS('Saisie'!$AS$5:$AS$2004,'Saisie'!$C$5:$C$2004,C72,'Saisie'!$U$5:$U$2004,"&lt;&gt;")-4),""))</f>
        <v/>
      </c>
      <c r="K72" s="60">
        <f>IF(C72="","",IFERROR(INDEX('Saisie'!$W$5:$W$2004,_xlfn.MAXIFS('Saisie'!$AS$5:$AS$2004,'Saisie'!$C$5:$C$2004,C72,'Saisie'!$W$5:$W$2004,"&lt;&gt;")-4),""))</f>
        <v/>
      </c>
      <c r="L72" s="60">
        <f>IF(IF(BB72&lt;&gt;"",BB72,K72)="","",HYPERLINK("https://wa.me/"&amp;IF(LEFT(SUBSTITUTE(SUBSTITUTE(SUBSTITUTE(IF(BB72&lt;&gt;"",BB72,K72)," ",""),".",""),"+",""),1)="0",'Paramètres'!$B$35&amp;MID(SUBSTITUTE(SUBSTITUTE(SUBSTITUTE(IF(BB72&lt;&gt;"",BB72,K72)," ",""),".",""),"+",""),2,20),SUBSTITUTE(SUBSTITUTE(SUBSTITUTE(IF(BB72&lt;&gt;"",BB72,K72)," ",""),".",""),"+","")),"WhatsApp"))</f>
        <v/>
      </c>
      <c r="M72" s="60">
        <f>IF(BC72="","",HYPERLINK(IF(LEFT(BC72,4)="http",BC72,"https://www.instagram.com/"&amp;SUBSTITUTE(SUBSTITUTE(BC72,"@","")," ","")),BC72))</f>
        <v/>
      </c>
      <c r="N72" s="60">
        <f>IF(C72="","",IFERROR(INDEX('Saisie'!$D$5:$D$2004,_xlfn.MINIFS('Saisie'!$AS$5:$AS$2004,'Saisie'!$C$5:$C$2004,C72,'Saisie'!$AU$5:$AU$2004,1)-4),IFERROR(INDEX('Saisie'!$D$5:$D$2004,_xlfn.MINIFS('Saisie'!$AS$5:$AS$2004,'Saisie'!$C$5:$C$2004,C72,'Saisie'!$D$5:$D$2004,"&lt;&gt;")-4),"")))</f>
        <v/>
      </c>
      <c r="O72" s="60">
        <f>IF(C72="","",COUNTIFS('Saisie'!$C$5:$C$2004,C72,'Saisie'!$AU$5:$AU$2004,1))</f>
        <v/>
      </c>
      <c r="P72" s="60">
        <f>IF(C72="","",COUNTIFS('Saisie'!$C$5:$C$2004,C72,'Saisie'!$AV$5:$AV$2004,1))</f>
        <v/>
      </c>
      <c r="Q72" s="106">
        <f>IF(C72="","",IFERROR(1/(1/_xlfn.MAXIFS('Saisie'!$A$5:$A$2004,'Saisie'!$C$5:$C$2004,C72)),""))</f>
        <v/>
      </c>
      <c r="R72" s="61">
        <f>IF(C72="","",IF(Q72="","",TODAY()-Q72))</f>
        <v/>
      </c>
      <c r="S72" s="60">
        <f>IF(C72="","",IFERROR(INDEX('Saisie'!$R$5:$R$2004,_xlfn.MAXIFS('Saisie'!$AS$5:$AS$2004,'Saisie'!$C$5:$C$2004,C72,'Saisie'!$R$5:$R$2004,"&lt;&gt;")-4),""))</f>
        <v/>
      </c>
      <c r="T72" s="60">
        <f>IF(C72="","",IFERROR(INDEX('Saisie'!$S$5:$S$2004,_xlfn.MAXIFS('Saisie'!$AS$5:$AS$2004,'Saisie'!$C$5:$C$2004,C72,'Saisie'!$S$5:$S$2004,"&lt;&gt;")-4),""))</f>
        <v/>
      </c>
      <c r="U72" s="60">
        <f>IF(C72="","",IFERROR(INDEX('Saisie'!$T$5:$T$2004,_xlfn.MAXIFS('Saisie'!$AS$5:$AS$2004,'Saisie'!$C$5:$C$2004,C72,'Saisie'!$T$5:$T$2004,"&lt;&gt;")-4),""))</f>
        <v/>
      </c>
      <c r="V72" s="60">
        <f>IF(C72="","",IFERROR(INDEX('Saisie'!$V$5:$V$2004,_xlfn.MAXIFS('Saisie'!$AS$5:$AS$2004,'Saisie'!$C$5:$C$2004,C72,'Saisie'!$V$5:$V$2004,"&lt;&gt;")-4),""))</f>
        <v/>
      </c>
      <c r="W72" s="60">
        <f>IF(C72="","",IFERROR(INDEX('Saisie'!$Z$5:$Z$2004,_xlfn.MAXIFS('Saisie'!$AS$5:$AS$2004,'Saisie'!$C$5:$C$2004,C72,'Saisie'!$Z$5:$Z$2004,"&lt;&gt;")-4),""))</f>
        <v/>
      </c>
      <c r="X72" s="60">
        <f>IF(C72="","",IFERROR(INDEX('Saisie'!$AA$5:$AA$2004,_xlfn.MAXIFS('Saisie'!$AS$5:$AS$2004,'Saisie'!$C$5:$C$2004,C72,'Saisie'!$AA$5:$AA$2004,"&lt;&gt;")-4),""))</f>
        <v/>
      </c>
      <c r="Y72" s="60">
        <f>IF(C72="","",IFERROR(INDEX('Saisie'!$AB$5:$AB$2004,_xlfn.MAXIFS('Saisie'!$AS$5:$AS$2004,'Saisie'!$C$5:$C$2004,C72,'Saisie'!$AB$5:$AB$2004,"&lt;&gt;")-4),""))</f>
        <v/>
      </c>
      <c r="Z72" s="60">
        <f>IF(C72="","",IFERROR(INDEX('Saisie'!$AC$5:$AC$2004,_xlfn.MAXIFS('Saisie'!$AS$5:$AS$2004,'Saisie'!$C$5:$C$2004,C72,'Saisie'!$AC$5:$AC$2004,"&lt;&gt;")-4),""))</f>
        <v/>
      </c>
      <c r="AA72" s="106">
        <f>IF(C72="","",IFERROR(INDEX('Saisie'!$AD$5:$AD$2004,_xlfn.MAXIFS('Saisie'!$AS$5:$AS$2004,'Saisie'!$C$5:$C$2004,C72,'Saisie'!$AD$5:$AD$2004,"&lt;&gt;")-4),""))</f>
        <v/>
      </c>
      <c r="AB72" s="60">
        <f>IF(C72="","",IFERROR(INDEX('Saisie'!$AE$5:$AE$2004,_xlfn.MAXIFS('Saisie'!$AS$5:$AS$2004,'Saisie'!$C$5:$C$2004,C72,'Saisie'!$AE$5:$AE$2004,"&lt;&gt;")-4),""))</f>
        <v/>
      </c>
      <c r="AC72" s="60">
        <f>IF(C72="","",IFERROR(INDEX('Saisie'!$AF$5:$AF$2004,_xlfn.MAXIFS('Saisie'!$AS$5:$AS$2004,'Saisie'!$C$5:$C$2004,C72,'Saisie'!$AF$5:$AF$2004,"&lt;&gt;")-4),""))</f>
        <v/>
      </c>
      <c r="AD72" s="108">
        <f>IF(C72="","",IFERROR(INDEX('Saisie'!$AG$5:$AG$2004,_xlfn.MAXIFS('Saisie'!$AS$5:$AS$2004,'Saisie'!$C$5:$C$2004,C72,'Saisie'!$AG$5:$AG$2004,"&lt;&gt;")-4),""))</f>
        <v/>
      </c>
      <c r="AE72" s="60">
        <f>IF(C72="","",IFERROR(INDEX('Saisie'!$AH$5:$AH$2004,_xlfn.MAXIFS('Saisie'!$AS$5:$AS$2004,'Saisie'!$C$5:$C$2004,C72,'Saisie'!$AH$5:$AH$2004,"&lt;&gt;")-4),""))</f>
        <v/>
      </c>
      <c r="AF72" s="60">
        <f>IF(C72="","",IFERROR(INDEX('Saisie'!$AI$5:$AI$2004,_xlfn.MAXIFS('Saisie'!$AS$5:$AS$2004,'Saisie'!$C$5:$C$2004,C72,'Saisie'!$AI$5:$AI$2004,"&lt;&gt;")-4),""))</f>
        <v/>
      </c>
      <c r="AG72" s="60">
        <f>IF(C72="","",IFERROR(INDEX('Saisie'!$AJ$5:$AJ$2004,_xlfn.MAXIFS('Saisie'!$AS$5:$AS$2004,'Saisie'!$C$5:$C$2004,C72,'Saisie'!$AJ$5:$AJ$2004,"&lt;&gt;")-4),""))</f>
        <v/>
      </c>
      <c r="AH72" s="60">
        <f>IF(C72="","",IFERROR(INDEX('Saisie'!$AK$5:$AK$2004,_xlfn.MAXIFS('Saisie'!$AS$5:$AS$2004,'Saisie'!$C$5:$C$2004,C72,'Saisie'!$AK$5:$AK$2004,"&lt;&gt;")-4),""))</f>
        <v/>
      </c>
      <c r="AI72" s="60">
        <f>IF(C72="","",IFERROR(INDEX('Saisie'!$AN$5:$AN$2004,_xlfn.MAXIFS('Saisie'!$AS$5:$AS$2004,'Saisie'!$C$5:$C$2004,C72,'Saisie'!$AN$5:$AN$2004,"&lt;&gt;")-4),""))</f>
        <v/>
      </c>
      <c r="AJ72" s="60">
        <f>IF(C72="","",IFERROR(INDEX('Saisie'!$AO$5:$AO$2004,_xlfn.MAXIFS('Saisie'!$AS$5:$AS$2004,'Saisie'!$C$5:$C$2004,C72,'Saisie'!$AO$5:$AO$2004,"&lt;&gt;")-4),""))</f>
        <v/>
      </c>
      <c r="AK72" s="60">
        <f>IF(C72="","",IFERROR(INDEX('Saisie'!$AP$5:$AP$2004,_xlfn.MAXIFS('Saisie'!$AS$5:$AS$2004,'Saisie'!$C$5:$C$2004,C72,'Saisie'!$AP$5:$AP$2004,"&lt;&gt;")-4),""))</f>
        <v/>
      </c>
      <c r="AL72" s="60">
        <f>IF(C72="","",IFERROR(INDEX('Saisie'!$AQ$5:$AQ$2004,_xlfn.MAXIFS('Saisie'!$AS$5:$AS$2004,'Saisie'!$C$5:$C$2004,C72,'Saisie'!$AQ$5:$AQ$2004,"&lt;&gt;")-4),""))</f>
        <v/>
      </c>
      <c r="AM72" s="60">
        <f>IF(C72="","",((AI72="Oui")+(AJ72="Oui")+(AK72="Oui")+OR(AL72="Immédiat",AL72="&lt; 1 mois"))&amp;"/4")</f>
        <v/>
      </c>
      <c r="AN72" s="60">
        <f>IF(C72="","",IFERROR(INDEX('Saisie'!$AL$5:$AL$2004,_xlfn.MAXIFS('Saisie'!$AS$5:$AS$2004,'Saisie'!$C$5:$C$2004,C72,'Saisie'!$AL$5:$AL$2004,"&lt;&gt;")-4),""))</f>
        <v/>
      </c>
      <c r="AO72" s="62">
        <f>IF(C72="","",IF(IFERROR(INDEX('Saisie'!$AM$5:$AM$2004,_xlfn.MAXIFS('Saisie'!$AS$5:$AS$2004,'Saisie'!$C$5:$C$2004,C72,'Saisie'!$AM$5:$AM$2004,"&lt;&gt;")-4),"")&lt;&gt;"",IFERROR(INDEX('Saisie'!$AM$5:$AM$2004,_xlfn.MAXIFS('Saisie'!$AS$5:$AS$2004,'Saisie'!$C$5:$C$2004,C72,'Saisie'!$AM$5:$AM$2004,"&lt;&gt;")-4),""),IFERROR(INDEX('Paramètres'!$S$6:$S$15,MATCH(AN72,'Paramètres'!$Q$6:$Q$15,0)),"")))</f>
        <v/>
      </c>
      <c r="AP72" s="62">
        <f>IF(C72="","",IFERROR(INDEX('Saisie'!$AW$5:$AW$2004,_xlfn.MAXIFS('Saisie'!$AS$5:$AS$2004,'Saisie'!$C$5:$C$2004,C72,'Saisie'!$E$5:$E$2004,"Proposition envoyée")-4),""))</f>
        <v/>
      </c>
      <c r="AQ72" s="106">
        <f>IF(C72="","",IFERROR(1/(1/_xlfn.MAXIFS('Saisie'!$A$5:$A$2004,'Saisie'!$C$5:$C$2004,C72,'Saisie'!$E$5:$E$2004,"Proposition envoyée")),""))</f>
        <v/>
      </c>
      <c r="AR72" s="106">
        <f>IF(C72="","",IF(AQ72="","",AQ72+'Paramètres'!$B$26))</f>
        <v/>
      </c>
      <c r="AS72" s="62">
        <f>IF(OR(C72="",D72="Gagné",D72="Perdu"),0,N(AP72)*IFERROR(INDEX('Paramètres'!$G$6:$G$13,MATCH(D72,'Paramètres'!$F$6:$F$13,0)),0))</f>
        <v/>
      </c>
      <c r="AT72" s="106">
        <f>IF(C72="","",IFERROR(1/(1/_xlfn.MINIFS('Saisie'!$A$5:$A$2004,'Saisie'!$C$5:$C$2004,C72,'Saisie'!$E$5:$E$2004,"Signature")),""))</f>
        <v/>
      </c>
      <c r="AU72" s="60">
        <f>IF(C72="","",IF(OR(AT72="",B72=""),"",AT72-B72))</f>
        <v/>
      </c>
      <c r="AV72" s="60">
        <f>IF(C72="","",IFERROR(INDEX('Saisie'!$L$5:$L$2004,_xlfn.MAXIFS('Saisie'!$AS$5:$AS$2004,'Saisie'!$C$5:$C$2004,C72,'Saisie'!$L$5:$L$2004,"&lt;&gt;")-4),""))</f>
        <v/>
      </c>
      <c r="AW72" s="106">
        <f>IF(C72="","",IF(D72&lt;&gt;"Perdu","",IFERROR(1/(1/_xlfn.MAXIFS('Saisie'!$A$5:$A$2004,'Saisie'!$C$5:$C$2004,C72,'Saisie'!$E$5:$E$2004,"Perdu")),"")))</f>
        <v/>
      </c>
      <c r="AX72" s="106">
        <f>IF(C72="","",IF(AW72="","",AW72+'Paramètres'!$B$28))</f>
        <v/>
      </c>
      <c r="AY72" s="60">
        <f>IF(C72="","",SUMIFS('Saisie'!$H$5:$H$2004,'Saisie'!$C$5:$C$2004,C72))</f>
        <v/>
      </c>
      <c r="AZ72" s="60">
        <f>IF(C72="","",IFERROR(INDEX('Paramètres'!$W$6:$W$20,MATCH(S72,'Paramètres'!$V$6:$V$20,0))&amp;"",""))</f>
        <v/>
      </c>
      <c r="BA72" s="60">
        <f>IF(C72="","",MAX(1,_xlfn.MAXIFS('Saisie'!$AT$5:$AT$2004,'Saisie'!$C$5:$C$2004,C72)))</f>
        <v/>
      </c>
      <c r="BB72" s="60">
        <f>IF(C72="","",IFERROR(INDEX('Saisie'!$X$5:$X$2004,_xlfn.MAXIFS('Saisie'!$AS$5:$AS$2004,'Saisie'!$C$5:$C$2004,C72,'Saisie'!$X$5:$X$2004,"&lt;&gt;")-4),""))</f>
        <v/>
      </c>
      <c r="BC72" s="60">
        <f>IF(C72="","",IFERROR(INDEX('Saisie'!$Y$5:$Y$2004,_xlfn.MAXIFS('Saisie'!$AS$5:$AS$2004,'Saisie'!$C$5:$C$2004,C72,'Saisie'!$Y$5:$Y$2004,"&lt;&gt;")-4),""))</f>
        <v/>
      </c>
      <c r="BD72" s="106">
        <f>IF(C72="","",IFERROR(1/(1/_xlfn.MINIFS('Saisie'!$A$5:$A$2004,'Saisie'!$C$5:$C$2004,C72,'Saisie'!$AT$5:$AT$2004,"&gt;=2")),""))</f>
        <v/>
      </c>
      <c r="BE72" s="106">
        <f>IF(C72="","",IFERROR(1/(1/_xlfn.MINIFS('Saisie'!$A$5:$A$2004,'Saisie'!$C$5:$C$2004,C72,'Saisie'!$AT$5:$AT$2004,"&gt;=3")),""))</f>
        <v/>
      </c>
      <c r="BF72" s="106">
        <f>IF(C72="","",IFERROR(1/(1/_xlfn.MINIFS('Saisie'!$A$5:$A$2004,'Saisie'!$C$5:$C$2004,C72,'Saisie'!$AT$5:$AT$2004,"&gt;=4")),""))</f>
        <v/>
      </c>
      <c r="BG72" s="106">
        <f>IF(C72="","",IFERROR(1/(1/_xlfn.MINIFS('Saisie'!$A$5:$A$2004,'Saisie'!$C$5:$C$2004,C72,'Saisie'!$AT$5:$AT$2004,"&gt;=5")),""))</f>
        <v/>
      </c>
      <c r="BH72" s="106">
        <f>IF(C72="","",IFERROR(1/(1/_xlfn.MINIFS('Saisie'!$A$5:$A$2004,'Saisie'!$C$5:$C$2004,C72,'Saisie'!$AT$5:$AT$2004,"&gt;=6")),""))</f>
        <v/>
      </c>
      <c r="BI72" s="106">
        <f>IF(C72="","",IFERROR(1/(1/_xlfn.MINIFS('Saisie'!$A$5:$A$2004,'Saisie'!$C$5:$C$2004,C72,'Saisie'!$AT$5:$AT$2004,"&gt;=7")),""))</f>
        <v/>
      </c>
      <c r="BJ72" s="60">
        <f>IF(OR(BD72="",B72=""),"",BD72-B72)</f>
        <v/>
      </c>
      <c r="BK72" s="60">
        <f>IF(OR(BE72="",BD72=""),"",BE72-BD72)</f>
        <v/>
      </c>
      <c r="BL72" s="60">
        <f>IF(OR(BF72="",BE72=""),"",BF72-BE72)</f>
        <v/>
      </c>
      <c r="BM72" s="60">
        <f>IF(OR(BG72="",BF72=""),"",BG72-BF72)</f>
        <v/>
      </c>
      <c r="BN72" s="60">
        <f>IF(OR(BH72="",BG72=""),"",BH72-BG72)</f>
        <v/>
      </c>
      <c r="BO72" s="60">
        <f>IF(OR(BI72="",BH72=""),"",BI72-BH72)</f>
        <v/>
      </c>
      <c r="BP72" s="60">
        <f>IF(C72="","",_xlfn.MAXIFS('Saisie'!$AS$5:$AS$2004,'Saisie'!$C$5:$C$2004,C72,'Saisie'!$J$5:$J$2004,"&lt;&gt;"))</f>
        <v/>
      </c>
      <c r="BQ72" s="60">
        <f>IF(C72="","",_xlfn.MAXIFS('Saisie'!$AS$5:$AS$2004,'Saisie'!$C$5:$C$2004,C72))</f>
        <v/>
      </c>
      <c r="BR72" s="60">
        <f>IF(C72="","",_xlfn.MAXIFS('Saisie'!$AS$5:$AS$2004,'Saisie'!$C$5:$C$2004,C72,'Saisie'!$E$5:$E$2004,"Perdu"))</f>
        <v/>
      </c>
      <c r="BS72" s="60">
        <f>IF(C72="","",_xlfn.MAXIFS('Saisie'!$AS$5:$AS$2004,'Saisie'!$C$5:$C$2004,C72,'Saisie'!$AT$5:$AT$2004,"&gt;0"))</f>
        <v/>
      </c>
      <c r="BT72" s="109">
        <f>IF(AND(C72&lt;&gt;"",OR(D72="Nouveau",D72="Contacté",D72="Qualifié"),OR(G72="",N(G72)&lt;=TODAY()),NOT(AND(O72&gt;='Paramètres'!$B$21,P72=0))),E72+68/10000,"")</f>
        <v/>
      </c>
      <c r="BU72" s="60">
        <f>IF(AND(G72&lt;&gt;"",N(G72)&lt;=TODAY()),MAX($BU$4:BU71)+1,"")</f>
        <v/>
      </c>
      <c r="BV72" s="60">
        <f>IF(AND(F72&lt;&gt;"",F72&lt;&gt;"Relance en retard"),MAX($BV$4:BV71)+1,"")</f>
        <v/>
      </c>
      <c r="BW72" s="60">
        <f>IF(C72="","",IF(AND(B72&gt;='Tableau de bord'!$R$4,B72&lt;='Tableau de bord'!$S$4,OR('Tableau de bord'!$G$4="Tous",N72='Tableau de bord'!$G$4)),1,0))</f>
        <v/>
      </c>
      <c r="BX72" s="60">
        <f>IF(AND(C72&lt;&gt;"",N(BA72)=7),MAX($BX$4:BX71)+1,"")</f>
        <v/>
      </c>
    </row>
    <row r="73">
      <c r="A73" s="60">
        <f>IF(C73="","","P-"&amp;TEXT(69,"000"))</f>
        <v/>
      </c>
      <c r="B73" s="106">
        <f>IF(C73="","",IFERROR(1/(1/_xlfn.MINIFS('Saisie'!$A$5:$A$2004,'Saisie'!$C$5:$C$2004,C73)),""))</f>
        <v/>
      </c>
      <c r="C73" s="60">
        <f>IFERROR(INDEX('Saisie'!$C$5:$C$2004,MATCH(69,'Saisie'!$AX$5:$AX$2004,0)),"")</f>
        <v/>
      </c>
      <c r="D73" s="60">
        <f>IF(C73="","",IF(AND(BR73&gt;0,BR73&gt;BS73,BA73&lt;7),"Perdu",INDEX('Paramètres'!$F$6:$F$13,BA73)))</f>
        <v/>
      </c>
      <c r="E73" s="61">
        <f>IF(C73="","",MIN(100,(Z73="Oui")*'Paramètres'!$B$38+(AB73="Régulière")*'Paramètres'!$B$39+IF(AND(N(AA73)&gt;0,TODAY()-N(AA73)&lt;=30),'Paramètres'!$B$40,0)+(W73="")*'Paramètres'!$B$41+(AC73="Absente")*'Paramètres'!$B$42+(AC73="Faible")*'Paramètres'!$B$43+IF(AND(N(AD73)&gt;0,N(AD73)&lt;4),'Paramètres'!$B$44,0)+(AF73="Moyenne")*'Paramètres'!$B$45+(AF73="Grande")*'Paramètres'!$B$46+(Y73&lt;&gt;"")*'Paramètres'!$B$47))</f>
        <v/>
      </c>
      <c r="F73" s="60">
        <f>IF(C73="","",IF(D73="Gagné","",IF(D73="Perdu",IF(AND(AX73&lt;&gt;"",AX73&lt;=TODAY()),"À recontacter (perdu)",""),IF(AND(O73&gt;='Paramètres'!$B$21,P73=0),"Stop : "&amp;'Paramètres'!$B$21&amp;" tentatives sans réponse",IF(AND(D73="Proposition",AR73&lt;&gt;"",TODAY()&gt;N(AR73)),"Proposition expirée",IF(AND(D73="Proposition",N(R73)&gt;='Paramètres'!$B$25),"Proposition sans réponse",IF(AND(G73&lt;&gt;"",N(G73)&lt;TODAY()),"Relance en retard",IF(N(R73)&gt;='Paramètres'!$B$24,"Sans action depuis "&amp;R73&amp;" j",""))))))))</f>
        <v/>
      </c>
      <c r="G73" s="106">
        <f>IF(OR(C73="",D73="Gagné",D73="Perdu"),"",IF(AND(BP73&gt;0,BP73=BQ73),INDEX('Saisie'!$J$5:$J$2004,BP73-4),IF(OR(O73=0,AND(O73&gt;='Paramètres'!$B$21,P73=0)),"",Q73+IF(O73&lt;=1,'Paramètres'!$B$18,IF(O73=2,'Paramètres'!$B$19,'Paramètres'!$B$20)))))</f>
        <v/>
      </c>
      <c r="H73" s="107">
        <f>IF(OR(G73="",BP73&lt;&gt;BQ73),"",IF(INDEX('Saisie'!$K$5:$K$2004,BP73-4)="","",INDEX('Saisie'!$K$5:$K$2004,BP73-4)))</f>
        <v/>
      </c>
      <c r="I73" s="60">
        <f>IF(C73="","",IF(OR(D73="Gagné",D73="Perdu"),"",IFERROR(INDEX('Saisie'!$I$5:$I$2004,_xlfn.MAXIFS('Saisie'!$AS$5:$AS$2004,'Saisie'!$C$5:$C$2004,C73,'Saisie'!$I$5:$I$2004,"&lt;&gt;")-4),"")))</f>
        <v/>
      </c>
      <c r="J73" s="60">
        <f>IF(C73="","",IFERROR(INDEX('Saisie'!$U$5:$U$2004,_xlfn.MAXIFS('Saisie'!$AS$5:$AS$2004,'Saisie'!$C$5:$C$2004,C73,'Saisie'!$U$5:$U$2004,"&lt;&gt;")-4),""))</f>
        <v/>
      </c>
      <c r="K73" s="60">
        <f>IF(C73="","",IFERROR(INDEX('Saisie'!$W$5:$W$2004,_xlfn.MAXIFS('Saisie'!$AS$5:$AS$2004,'Saisie'!$C$5:$C$2004,C73,'Saisie'!$W$5:$W$2004,"&lt;&gt;")-4),""))</f>
        <v/>
      </c>
      <c r="L73" s="60">
        <f>IF(IF(BB73&lt;&gt;"",BB73,K73)="","",HYPERLINK("https://wa.me/"&amp;IF(LEFT(SUBSTITUTE(SUBSTITUTE(SUBSTITUTE(IF(BB73&lt;&gt;"",BB73,K73)," ",""),".",""),"+",""),1)="0",'Paramètres'!$B$35&amp;MID(SUBSTITUTE(SUBSTITUTE(SUBSTITUTE(IF(BB73&lt;&gt;"",BB73,K73)," ",""),".",""),"+",""),2,20),SUBSTITUTE(SUBSTITUTE(SUBSTITUTE(IF(BB73&lt;&gt;"",BB73,K73)," ",""),".",""),"+","")),"WhatsApp"))</f>
        <v/>
      </c>
      <c r="M73" s="60">
        <f>IF(BC73="","",HYPERLINK(IF(LEFT(BC73,4)="http",BC73,"https://www.instagram.com/"&amp;SUBSTITUTE(SUBSTITUTE(BC73,"@","")," ","")),BC73))</f>
        <v/>
      </c>
      <c r="N73" s="60">
        <f>IF(C73="","",IFERROR(INDEX('Saisie'!$D$5:$D$2004,_xlfn.MINIFS('Saisie'!$AS$5:$AS$2004,'Saisie'!$C$5:$C$2004,C73,'Saisie'!$AU$5:$AU$2004,1)-4),IFERROR(INDEX('Saisie'!$D$5:$D$2004,_xlfn.MINIFS('Saisie'!$AS$5:$AS$2004,'Saisie'!$C$5:$C$2004,C73,'Saisie'!$D$5:$D$2004,"&lt;&gt;")-4),"")))</f>
        <v/>
      </c>
      <c r="O73" s="60">
        <f>IF(C73="","",COUNTIFS('Saisie'!$C$5:$C$2004,C73,'Saisie'!$AU$5:$AU$2004,1))</f>
        <v/>
      </c>
      <c r="P73" s="60">
        <f>IF(C73="","",COUNTIFS('Saisie'!$C$5:$C$2004,C73,'Saisie'!$AV$5:$AV$2004,1))</f>
        <v/>
      </c>
      <c r="Q73" s="106">
        <f>IF(C73="","",IFERROR(1/(1/_xlfn.MAXIFS('Saisie'!$A$5:$A$2004,'Saisie'!$C$5:$C$2004,C73)),""))</f>
        <v/>
      </c>
      <c r="R73" s="61">
        <f>IF(C73="","",IF(Q73="","",TODAY()-Q73))</f>
        <v/>
      </c>
      <c r="S73" s="60">
        <f>IF(C73="","",IFERROR(INDEX('Saisie'!$R$5:$R$2004,_xlfn.MAXIFS('Saisie'!$AS$5:$AS$2004,'Saisie'!$C$5:$C$2004,C73,'Saisie'!$R$5:$R$2004,"&lt;&gt;")-4),""))</f>
        <v/>
      </c>
      <c r="T73" s="60">
        <f>IF(C73="","",IFERROR(INDEX('Saisie'!$S$5:$S$2004,_xlfn.MAXIFS('Saisie'!$AS$5:$AS$2004,'Saisie'!$C$5:$C$2004,C73,'Saisie'!$S$5:$S$2004,"&lt;&gt;")-4),""))</f>
        <v/>
      </c>
      <c r="U73" s="60">
        <f>IF(C73="","",IFERROR(INDEX('Saisie'!$T$5:$T$2004,_xlfn.MAXIFS('Saisie'!$AS$5:$AS$2004,'Saisie'!$C$5:$C$2004,C73,'Saisie'!$T$5:$T$2004,"&lt;&gt;")-4),""))</f>
        <v/>
      </c>
      <c r="V73" s="60">
        <f>IF(C73="","",IFERROR(INDEX('Saisie'!$V$5:$V$2004,_xlfn.MAXIFS('Saisie'!$AS$5:$AS$2004,'Saisie'!$C$5:$C$2004,C73,'Saisie'!$V$5:$V$2004,"&lt;&gt;")-4),""))</f>
        <v/>
      </c>
      <c r="W73" s="60">
        <f>IF(C73="","",IFERROR(INDEX('Saisie'!$Z$5:$Z$2004,_xlfn.MAXIFS('Saisie'!$AS$5:$AS$2004,'Saisie'!$C$5:$C$2004,C73,'Saisie'!$Z$5:$Z$2004,"&lt;&gt;")-4),""))</f>
        <v/>
      </c>
      <c r="X73" s="60">
        <f>IF(C73="","",IFERROR(INDEX('Saisie'!$AA$5:$AA$2004,_xlfn.MAXIFS('Saisie'!$AS$5:$AS$2004,'Saisie'!$C$5:$C$2004,C73,'Saisie'!$AA$5:$AA$2004,"&lt;&gt;")-4),""))</f>
        <v/>
      </c>
      <c r="Y73" s="60">
        <f>IF(C73="","",IFERROR(INDEX('Saisie'!$AB$5:$AB$2004,_xlfn.MAXIFS('Saisie'!$AS$5:$AS$2004,'Saisie'!$C$5:$C$2004,C73,'Saisie'!$AB$5:$AB$2004,"&lt;&gt;")-4),""))</f>
        <v/>
      </c>
      <c r="Z73" s="60">
        <f>IF(C73="","",IFERROR(INDEX('Saisie'!$AC$5:$AC$2004,_xlfn.MAXIFS('Saisie'!$AS$5:$AS$2004,'Saisie'!$C$5:$C$2004,C73,'Saisie'!$AC$5:$AC$2004,"&lt;&gt;")-4),""))</f>
        <v/>
      </c>
      <c r="AA73" s="106">
        <f>IF(C73="","",IFERROR(INDEX('Saisie'!$AD$5:$AD$2004,_xlfn.MAXIFS('Saisie'!$AS$5:$AS$2004,'Saisie'!$C$5:$C$2004,C73,'Saisie'!$AD$5:$AD$2004,"&lt;&gt;")-4),""))</f>
        <v/>
      </c>
      <c r="AB73" s="60">
        <f>IF(C73="","",IFERROR(INDEX('Saisie'!$AE$5:$AE$2004,_xlfn.MAXIFS('Saisie'!$AS$5:$AS$2004,'Saisie'!$C$5:$C$2004,C73,'Saisie'!$AE$5:$AE$2004,"&lt;&gt;")-4),""))</f>
        <v/>
      </c>
      <c r="AC73" s="60">
        <f>IF(C73="","",IFERROR(INDEX('Saisie'!$AF$5:$AF$2004,_xlfn.MAXIFS('Saisie'!$AS$5:$AS$2004,'Saisie'!$C$5:$C$2004,C73,'Saisie'!$AF$5:$AF$2004,"&lt;&gt;")-4),""))</f>
        <v/>
      </c>
      <c r="AD73" s="108">
        <f>IF(C73="","",IFERROR(INDEX('Saisie'!$AG$5:$AG$2004,_xlfn.MAXIFS('Saisie'!$AS$5:$AS$2004,'Saisie'!$C$5:$C$2004,C73,'Saisie'!$AG$5:$AG$2004,"&lt;&gt;")-4),""))</f>
        <v/>
      </c>
      <c r="AE73" s="60">
        <f>IF(C73="","",IFERROR(INDEX('Saisie'!$AH$5:$AH$2004,_xlfn.MAXIFS('Saisie'!$AS$5:$AS$2004,'Saisie'!$C$5:$C$2004,C73,'Saisie'!$AH$5:$AH$2004,"&lt;&gt;")-4),""))</f>
        <v/>
      </c>
      <c r="AF73" s="60">
        <f>IF(C73="","",IFERROR(INDEX('Saisie'!$AI$5:$AI$2004,_xlfn.MAXIFS('Saisie'!$AS$5:$AS$2004,'Saisie'!$C$5:$C$2004,C73,'Saisie'!$AI$5:$AI$2004,"&lt;&gt;")-4),""))</f>
        <v/>
      </c>
      <c r="AG73" s="60">
        <f>IF(C73="","",IFERROR(INDEX('Saisie'!$AJ$5:$AJ$2004,_xlfn.MAXIFS('Saisie'!$AS$5:$AS$2004,'Saisie'!$C$5:$C$2004,C73,'Saisie'!$AJ$5:$AJ$2004,"&lt;&gt;")-4),""))</f>
        <v/>
      </c>
      <c r="AH73" s="60">
        <f>IF(C73="","",IFERROR(INDEX('Saisie'!$AK$5:$AK$2004,_xlfn.MAXIFS('Saisie'!$AS$5:$AS$2004,'Saisie'!$C$5:$C$2004,C73,'Saisie'!$AK$5:$AK$2004,"&lt;&gt;")-4),""))</f>
        <v/>
      </c>
      <c r="AI73" s="60">
        <f>IF(C73="","",IFERROR(INDEX('Saisie'!$AN$5:$AN$2004,_xlfn.MAXIFS('Saisie'!$AS$5:$AS$2004,'Saisie'!$C$5:$C$2004,C73,'Saisie'!$AN$5:$AN$2004,"&lt;&gt;")-4),""))</f>
        <v/>
      </c>
      <c r="AJ73" s="60">
        <f>IF(C73="","",IFERROR(INDEX('Saisie'!$AO$5:$AO$2004,_xlfn.MAXIFS('Saisie'!$AS$5:$AS$2004,'Saisie'!$C$5:$C$2004,C73,'Saisie'!$AO$5:$AO$2004,"&lt;&gt;")-4),""))</f>
        <v/>
      </c>
      <c r="AK73" s="60">
        <f>IF(C73="","",IFERROR(INDEX('Saisie'!$AP$5:$AP$2004,_xlfn.MAXIFS('Saisie'!$AS$5:$AS$2004,'Saisie'!$C$5:$C$2004,C73,'Saisie'!$AP$5:$AP$2004,"&lt;&gt;")-4),""))</f>
        <v/>
      </c>
      <c r="AL73" s="60">
        <f>IF(C73="","",IFERROR(INDEX('Saisie'!$AQ$5:$AQ$2004,_xlfn.MAXIFS('Saisie'!$AS$5:$AS$2004,'Saisie'!$C$5:$C$2004,C73,'Saisie'!$AQ$5:$AQ$2004,"&lt;&gt;")-4),""))</f>
        <v/>
      </c>
      <c r="AM73" s="60">
        <f>IF(C73="","",((AI73="Oui")+(AJ73="Oui")+(AK73="Oui")+OR(AL73="Immédiat",AL73="&lt; 1 mois"))&amp;"/4")</f>
        <v/>
      </c>
      <c r="AN73" s="60">
        <f>IF(C73="","",IFERROR(INDEX('Saisie'!$AL$5:$AL$2004,_xlfn.MAXIFS('Saisie'!$AS$5:$AS$2004,'Saisie'!$C$5:$C$2004,C73,'Saisie'!$AL$5:$AL$2004,"&lt;&gt;")-4),""))</f>
        <v/>
      </c>
      <c r="AO73" s="62">
        <f>IF(C73="","",IF(IFERROR(INDEX('Saisie'!$AM$5:$AM$2004,_xlfn.MAXIFS('Saisie'!$AS$5:$AS$2004,'Saisie'!$C$5:$C$2004,C73,'Saisie'!$AM$5:$AM$2004,"&lt;&gt;")-4),"")&lt;&gt;"",IFERROR(INDEX('Saisie'!$AM$5:$AM$2004,_xlfn.MAXIFS('Saisie'!$AS$5:$AS$2004,'Saisie'!$C$5:$C$2004,C73,'Saisie'!$AM$5:$AM$2004,"&lt;&gt;")-4),""),IFERROR(INDEX('Paramètres'!$S$6:$S$15,MATCH(AN73,'Paramètres'!$Q$6:$Q$15,0)),"")))</f>
        <v/>
      </c>
      <c r="AP73" s="62">
        <f>IF(C73="","",IFERROR(INDEX('Saisie'!$AW$5:$AW$2004,_xlfn.MAXIFS('Saisie'!$AS$5:$AS$2004,'Saisie'!$C$5:$C$2004,C73,'Saisie'!$E$5:$E$2004,"Proposition envoyée")-4),""))</f>
        <v/>
      </c>
      <c r="AQ73" s="106">
        <f>IF(C73="","",IFERROR(1/(1/_xlfn.MAXIFS('Saisie'!$A$5:$A$2004,'Saisie'!$C$5:$C$2004,C73,'Saisie'!$E$5:$E$2004,"Proposition envoyée")),""))</f>
        <v/>
      </c>
      <c r="AR73" s="106">
        <f>IF(C73="","",IF(AQ73="","",AQ73+'Paramètres'!$B$26))</f>
        <v/>
      </c>
      <c r="AS73" s="62">
        <f>IF(OR(C73="",D73="Gagné",D73="Perdu"),0,N(AP73)*IFERROR(INDEX('Paramètres'!$G$6:$G$13,MATCH(D73,'Paramètres'!$F$6:$F$13,0)),0))</f>
        <v/>
      </c>
      <c r="AT73" s="106">
        <f>IF(C73="","",IFERROR(1/(1/_xlfn.MINIFS('Saisie'!$A$5:$A$2004,'Saisie'!$C$5:$C$2004,C73,'Saisie'!$E$5:$E$2004,"Signature")),""))</f>
        <v/>
      </c>
      <c r="AU73" s="60">
        <f>IF(C73="","",IF(OR(AT73="",B73=""),"",AT73-B73))</f>
        <v/>
      </c>
      <c r="AV73" s="60">
        <f>IF(C73="","",IFERROR(INDEX('Saisie'!$L$5:$L$2004,_xlfn.MAXIFS('Saisie'!$AS$5:$AS$2004,'Saisie'!$C$5:$C$2004,C73,'Saisie'!$L$5:$L$2004,"&lt;&gt;")-4),""))</f>
        <v/>
      </c>
      <c r="AW73" s="106">
        <f>IF(C73="","",IF(D73&lt;&gt;"Perdu","",IFERROR(1/(1/_xlfn.MAXIFS('Saisie'!$A$5:$A$2004,'Saisie'!$C$5:$C$2004,C73,'Saisie'!$E$5:$E$2004,"Perdu")),"")))</f>
        <v/>
      </c>
      <c r="AX73" s="106">
        <f>IF(C73="","",IF(AW73="","",AW73+'Paramètres'!$B$28))</f>
        <v/>
      </c>
      <c r="AY73" s="60">
        <f>IF(C73="","",SUMIFS('Saisie'!$H$5:$H$2004,'Saisie'!$C$5:$C$2004,C73))</f>
        <v/>
      </c>
      <c r="AZ73" s="60">
        <f>IF(C73="","",IFERROR(INDEX('Paramètres'!$W$6:$W$20,MATCH(S73,'Paramètres'!$V$6:$V$20,0))&amp;"",""))</f>
        <v/>
      </c>
      <c r="BA73" s="60">
        <f>IF(C73="","",MAX(1,_xlfn.MAXIFS('Saisie'!$AT$5:$AT$2004,'Saisie'!$C$5:$C$2004,C73)))</f>
        <v/>
      </c>
      <c r="BB73" s="60">
        <f>IF(C73="","",IFERROR(INDEX('Saisie'!$X$5:$X$2004,_xlfn.MAXIFS('Saisie'!$AS$5:$AS$2004,'Saisie'!$C$5:$C$2004,C73,'Saisie'!$X$5:$X$2004,"&lt;&gt;")-4),""))</f>
        <v/>
      </c>
      <c r="BC73" s="60">
        <f>IF(C73="","",IFERROR(INDEX('Saisie'!$Y$5:$Y$2004,_xlfn.MAXIFS('Saisie'!$AS$5:$AS$2004,'Saisie'!$C$5:$C$2004,C73,'Saisie'!$Y$5:$Y$2004,"&lt;&gt;")-4),""))</f>
        <v/>
      </c>
      <c r="BD73" s="106">
        <f>IF(C73="","",IFERROR(1/(1/_xlfn.MINIFS('Saisie'!$A$5:$A$2004,'Saisie'!$C$5:$C$2004,C73,'Saisie'!$AT$5:$AT$2004,"&gt;=2")),""))</f>
        <v/>
      </c>
      <c r="BE73" s="106">
        <f>IF(C73="","",IFERROR(1/(1/_xlfn.MINIFS('Saisie'!$A$5:$A$2004,'Saisie'!$C$5:$C$2004,C73,'Saisie'!$AT$5:$AT$2004,"&gt;=3")),""))</f>
        <v/>
      </c>
      <c r="BF73" s="106">
        <f>IF(C73="","",IFERROR(1/(1/_xlfn.MINIFS('Saisie'!$A$5:$A$2004,'Saisie'!$C$5:$C$2004,C73,'Saisie'!$AT$5:$AT$2004,"&gt;=4")),""))</f>
        <v/>
      </c>
      <c r="BG73" s="106">
        <f>IF(C73="","",IFERROR(1/(1/_xlfn.MINIFS('Saisie'!$A$5:$A$2004,'Saisie'!$C$5:$C$2004,C73,'Saisie'!$AT$5:$AT$2004,"&gt;=5")),""))</f>
        <v/>
      </c>
      <c r="BH73" s="106">
        <f>IF(C73="","",IFERROR(1/(1/_xlfn.MINIFS('Saisie'!$A$5:$A$2004,'Saisie'!$C$5:$C$2004,C73,'Saisie'!$AT$5:$AT$2004,"&gt;=6")),""))</f>
        <v/>
      </c>
      <c r="BI73" s="106">
        <f>IF(C73="","",IFERROR(1/(1/_xlfn.MINIFS('Saisie'!$A$5:$A$2004,'Saisie'!$C$5:$C$2004,C73,'Saisie'!$AT$5:$AT$2004,"&gt;=7")),""))</f>
        <v/>
      </c>
      <c r="BJ73" s="60">
        <f>IF(OR(BD73="",B73=""),"",BD73-B73)</f>
        <v/>
      </c>
      <c r="BK73" s="60">
        <f>IF(OR(BE73="",BD73=""),"",BE73-BD73)</f>
        <v/>
      </c>
      <c r="BL73" s="60">
        <f>IF(OR(BF73="",BE73=""),"",BF73-BE73)</f>
        <v/>
      </c>
      <c r="BM73" s="60">
        <f>IF(OR(BG73="",BF73=""),"",BG73-BF73)</f>
        <v/>
      </c>
      <c r="BN73" s="60">
        <f>IF(OR(BH73="",BG73=""),"",BH73-BG73)</f>
        <v/>
      </c>
      <c r="BO73" s="60">
        <f>IF(OR(BI73="",BH73=""),"",BI73-BH73)</f>
        <v/>
      </c>
      <c r="BP73" s="60">
        <f>IF(C73="","",_xlfn.MAXIFS('Saisie'!$AS$5:$AS$2004,'Saisie'!$C$5:$C$2004,C73,'Saisie'!$J$5:$J$2004,"&lt;&gt;"))</f>
        <v/>
      </c>
      <c r="BQ73" s="60">
        <f>IF(C73="","",_xlfn.MAXIFS('Saisie'!$AS$5:$AS$2004,'Saisie'!$C$5:$C$2004,C73))</f>
        <v/>
      </c>
      <c r="BR73" s="60">
        <f>IF(C73="","",_xlfn.MAXIFS('Saisie'!$AS$5:$AS$2004,'Saisie'!$C$5:$C$2004,C73,'Saisie'!$E$5:$E$2004,"Perdu"))</f>
        <v/>
      </c>
      <c r="BS73" s="60">
        <f>IF(C73="","",_xlfn.MAXIFS('Saisie'!$AS$5:$AS$2004,'Saisie'!$C$5:$C$2004,C73,'Saisie'!$AT$5:$AT$2004,"&gt;0"))</f>
        <v/>
      </c>
      <c r="BT73" s="109">
        <f>IF(AND(C73&lt;&gt;"",OR(D73="Nouveau",D73="Contacté",D73="Qualifié"),OR(G73="",N(G73)&lt;=TODAY()),NOT(AND(O73&gt;='Paramètres'!$B$21,P73=0))),E73+69/10000,"")</f>
        <v/>
      </c>
      <c r="BU73" s="60">
        <f>IF(AND(G73&lt;&gt;"",N(G73)&lt;=TODAY()),MAX($BU$4:BU72)+1,"")</f>
        <v/>
      </c>
      <c r="BV73" s="60">
        <f>IF(AND(F73&lt;&gt;"",F73&lt;&gt;"Relance en retard"),MAX($BV$4:BV72)+1,"")</f>
        <v/>
      </c>
      <c r="BW73" s="60">
        <f>IF(C73="","",IF(AND(B73&gt;='Tableau de bord'!$R$4,B73&lt;='Tableau de bord'!$S$4,OR('Tableau de bord'!$G$4="Tous",N73='Tableau de bord'!$G$4)),1,0))</f>
        <v/>
      </c>
      <c r="BX73" s="60">
        <f>IF(AND(C73&lt;&gt;"",N(BA73)=7),MAX($BX$4:BX72)+1,"")</f>
        <v/>
      </c>
    </row>
    <row r="74">
      <c r="A74" s="60">
        <f>IF(C74="","","P-"&amp;TEXT(70,"000"))</f>
        <v/>
      </c>
      <c r="B74" s="106">
        <f>IF(C74="","",IFERROR(1/(1/_xlfn.MINIFS('Saisie'!$A$5:$A$2004,'Saisie'!$C$5:$C$2004,C74)),""))</f>
        <v/>
      </c>
      <c r="C74" s="60">
        <f>IFERROR(INDEX('Saisie'!$C$5:$C$2004,MATCH(70,'Saisie'!$AX$5:$AX$2004,0)),"")</f>
        <v/>
      </c>
      <c r="D74" s="60">
        <f>IF(C74="","",IF(AND(BR74&gt;0,BR74&gt;BS74,BA74&lt;7),"Perdu",INDEX('Paramètres'!$F$6:$F$13,BA74)))</f>
        <v/>
      </c>
      <c r="E74" s="61">
        <f>IF(C74="","",MIN(100,(Z74="Oui")*'Paramètres'!$B$38+(AB74="Régulière")*'Paramètres'!$B$39+IF(AND(N(AA74)&gt;0,TODAY()-N(AA74)&lt;=30),'Paramètres'!$B$40,0)+(W74="")*'Paramètres'!$B$41+(AC74="Absente")*'Paramètres'!$B$42+(AC74="Faible")*'Paramètres'!$B$43+IF(AND(N(AD74)&gt;0,N(AD74)&lt;4),'Paramètres'!$B$44,0)+(AF74="Moyenne")*'Paramètres'!$B$45+(AF74="Grande")*'Paramètres'!$B$46+(Y74&lt;&gt;"")*'Paramètres'!$B$47))</f>
        <v/>
      </c>
      <c r="F74" s="60">
        <f>IF(C74="","",IF(D74="Gagné","",IF(D74="Perdu",IF(AND(AX74&lt;&gt;"",AX74&lt;=TODAY()),"À recontacter (perdu)",""),IF(AND(O74&gt;='Paramètres'!$B$21,P74=0),"Stop : "&amp;'Paramètres'!$B$21&amp;" tentatives sans réponse",IF(AND(D74="Proposition",AR74&lt;&gt;"",TODAY()&gt;N(AR74)),"Proposition expirée",IF(AND(D74="Proposition",N(R74)&gt;='Paramètres'!$B$25),"Proposition sans réponse",IF(AND(G74&lt;&gt;"",N(G74)&lt;TODAY()),"Relance en retard",IF(N(R74)&gt;='Paramètres'!$B$24,"Sans action depuis "&amp;R74&amp;" j",""))))))))</f>
        <v/>
      </c>
      <c r="G74" s="106">
        <f>IF(OR(C74="",D74="Gagné",D74="Perdu"),"",IF(AND(BP74&gt;0,BP74=BQ74),INDEX('Saisie'!$J$5:$J$2004,BP74-4),IF(OR(O74=0,AND(O74&gt;='Paramètres'!$B$21,P74=0)),"",Q74+IF(O74&lt;=1,'Paramètres'!$B$18,IF(O74=2,'Paramètres'!$B$19,'Paramètres'!$B$20)))))</f>
        <v/>
      </c>
      <c r="H74" s="107">
        <f>IF(OR(G74="",BP74&lt;&gt;BQ74),"",IF(INDEX('Saisie'!$K$5:$K$2004,BP74-4)="","",INDEX('Saisie'!$K$5:$K$2004,BP74-4)))</f>
        <v/>
      </c>
      <c r="I74" s="60">
        <f>IF(C74="","",IF(OR(D74="Gagné",D74="Perdu"),"",IFERROR(INDEX('Saisie'!$I$5:$I$2004,_xlfn.MAXIFS('Saisie'!$AS$5:$AS$2004,'Saisie'!$C$5:$C$2004,C74,'Saisie'!$I$5:$I$2004,"&lt;&gt;")-4),"")))</f>
        <v/>
      </c>
      <c r="J74" s="60">
        <f>IF(C74="","",IFERROR(INDEX('Saisie'!$U$5:$U$2004,_xlfn.MAXIFS('Saisie'!$AS$5:$AS$2004,'Saisie'!$C$5:$C$2004,C74,'Saisie'!$U$5:$U$2004,"&lt;&gt;")-4),""))</f>
        <v/>
      </c>
      <c r="K74" s="60">
        <f>IF(C74="","",IFERROR(INDEX('Saisie'!$W$5:$W$2004,_xlfn.MAXIFS('Saisie'!$AS$5:$AS$2004,'Saisie'!$C$5:$C$2004,C74,'Saisie'!$W$5:$W$2004,"&lt;&gt;")-4),""))</f>
        <v/>
      </c>
      <c r="L74" s="60">
        <f>IF(IF(BB74&lt;&gt;"",BB74,K74)="","",HYPERLINK("https://wa.me/"&amp;IF(LEFT(SUBSTITUTE(SUBSTITUTE(SUBSTITUTE(IF(BB74&lt;&gt;"",BB74,K74)," ",""),".",""),"+",""),1)="0",'Paramètres'!$B$35&amp;MID(SUBSTITUTE(SUBSTITUTE(SUBSTITUTE(IF(BB74&lt;&gt;"",BB74,K74)," ",""),".",""),"+",""),2,20),SUBSTITUTE(SUBSTITUTE(SUBSTITUTE(IF(BB74&lt;&gt;"",BB74,K74)," ",""),".",""),"+","")),"WhatsApp"))</f>
        <v/>
      </c>
      <c r="M74" s="60">
        <f>IF(BC74="","",HYPERLINK(IF(LEFT(BC74,4)="http",BC74,"https://www.instagram.com/"&amp;SUBSTITUTE(SUBSTITUTE(BC74,"@","")," ","")),BC74))</f>
        <v/>
      </c>
      <c r="N74" s="60">
        <f>IF(C74="","",IFERROR(INDEX('Saisie'!$D$5:$D$2004,_xlfn.MINIFS('Saisie'!$AS$5:$AS$2004,'Saisie'!$C$5:$C$2004,C74,'Saisie'!$AU$5:$AU$2004,1)-4),IFERROR(INDEX('Saisie'!$D$5:$D$2004,_xlfn.MINIFS('Saisie'!$AS$5:$AS$2004,'Saisie'!$C$5:$C$2004,C74,'Saisie'!$D$5:$D$2004,"&lt;&gt;")-4),"")))</f>
        <v/>
      </c>
      <c r="O74" s="60">
        <f>IF(C74="","",COUNTIFS('Saisie'!$C$5:$C$2004,C74,'Saisie'!$AU$5:$AU$2004,1))</f>
        <v/>
      </c>
      <c r="P74" s="60">
        <f>IF(C74="","",COUNTIFS('Saisie'!$C$5:$C$2004,C74,'Saisie'!$AV$5:$AV$2004,1))</f>
        <v/>
      </c>
      <c r="Q74" s="106">
        <f>IF(C74="","",IFERROR(1/(1/_xlfn.MAXIFS('Saisie'!$A$5:$A$2004,'Saisie'!$C$5:$C$2004,C74)),""))</f>
        <v/>
      </c>
      <c r="R74" s="61">
        <f>IF(C74="","",IF(Q74="","",TODAY()-Q74))</f>
        <v/>
      </c>
      <c r="S74" s="60">
        <f>IF(C74="","",IFERROR(INDEX('Saisie'!$R$5:$R$2004,_xlfn.MAXIFS('Saisie'!$AS$5:$AS$2004,'Saisie'!$C$5:$C$2004,C74,'Saisie'!$R$5:$R$2004,"&lt;&gt;")-4),""))</f>
        <v/>
      </c>
      <c r="T74" s="60">
        <f>IF(C74="","",IFERROR(INDEX('Saisie'!$S$5:$S$2004,_xlfn.MAXIFS('Saisie'!$AS$5:$AS$2004,'Saisie'!$C$5:$C$2004,C74,'Saisie'!$S$5:$S$2004,"&lt;&gt;")-4),""))</f>
        <v/>
      </c>
      <c r="U74" s="60">
        <f>IF(C74="","",IFERROR(INDEX('Saisie'!$T$5:$T$2004,_xlfn.MAXIFS('Saisie'!$AS$5:$AS$2004,'Saisie'!$C$5:$C$2004,C74,'Saisie'!$T$5:$T$2004,"&lt;&gt;")-4),""))</f>
        <v/>
      </c>
      <c r="V74" s="60">
        <f>IF(C74="","",IFERROR(INDEX('Saisie'!$V$5:$V$2004,_xlfn.MAXIFS('Saisie'!$AS$5:$AS$2004,'Saisie'!$C$5:$C$2004,C74,'Saisie'!$V$5:$V$2004,"&lt;&gt;")-4),""))</f>
        <v/>
      </c>
      <c r="W74" s="60">
        <f>IF(C74="","",IFERROR(INDEX('Saisie'!$Z$5:$Z$2004,_xlfn.MAXIFS('Saisie'!$AS$5:$AS$2004,'Saisie'!$C$5:$C$2004,C74,'Saisie'!$Z$5:$Z$2004,"&lt;&gt;")-4),""))</f>
        <v/>
      </c>
      <c r="X74" s="60">
        <f>IF(C74="","",IFERROR(INDEX('Saisie'!$AA$5:$AA$2004,_xlfn.MAXIFS('Saisie'!$AS$5:$AS$2004,'Saisie'!$C$5:$C$2004,C74,'Saisie'!$AA$5:$AA$2004,"&lt;&gt;")-4),""))</f>
        <v/>
      </c>
      <c r="Y74" s="60">
        <f>IF(C74="","",IFERROR(INDEX('Saisie'!$AB$5:$AB$2004,_xlfn.MAXIFS('Saisie'!$AS$5:$AS$2004,'Saisie'!$C$5:$C$2004,C74,'Saisie'!$AB$5:$AB$2004,"&lt;&gt;")-4),""))</f>
        <v/>
      </c>
      <c r="Z74" s="60">
        <f>IF(C74="","",IFERROR(INDEX('Saisie'!$AC$5:$AC$2004,_xlfn.MAXIFS('Saisie'!$AS$5:$AS$2004,'Saisie'!$C$5:$C$2004,C74,'Saisie'!$AC$5:$AC$2004,"&lt;&gt;")-4),""))</f>
        <v/>
      </c>
      <c r="AA74" s="106">
        <f>IF(C74="","",IFERROR(INDEX('Saisie'!$AD$5:$AD$2004,_xlfn.MAXIFS('Saisie'!$AS$5:$AS$2004,'Saisie'!$C$5:$C$2004,C74,'Saisie'!$AD$5:$AD$2004,"&lt;&gt;")-4),""))</f>
        <v/>
      </c>
      <c r="AB74" s="60">
        <f>IF(C74="","",IFERROR(INDEX('Saisie'!$AE$5:$AE$2004,_xlfn.MAXIFS('Saisie'!$AS$5:$AS$2004,'Saisie'!$C$5:$C$2004,C74,'Saisie'!$AE$5:$AE$2004,"&lt;&gt;")-4),""))</f>
        <v/>
      </c>
      <c r="AC74" s="60">
        <f>IF(C74="","",IFERROR(INDEX('Saisie'!$AF$5:$AF$2004,_xlfn.MAXIFS('Saisie'!$AS$5:$AS$2004,'Saisie'!$C$5:$C$2004,C74,'Saisie'!$AF$5:$AF$2004,"&lt;&gt;")-4),""))</f>
        <v/>
      </c>
      <c r="AD74" s="108">
        <f>IF(C74="","",IFERROR(INDEX('Saisie'!$AG$5:$AG$2004,_xlfn.MAXIFS('Saisie'!$AS$5:$AS$2004,'Saisie'!$C$5:$C$2004,C74,'Saisie'!$AG$5:$AG$2004,"&lt;&gt;")-4),""))</f>
        <v/>
      </c>
      <c r="AE74" s="60">
        <f>IF(C74="","",IFERROR(INDEX('Saisie'!$AH$5:$AH$2004,_xlfn.MAXIFS('Saisie'!$AS$5:$AS$2004,'Saisie'!$C$5:$C$2004,C74,'Saisie'!$AH$5:$AH$2004,"&lt;&gt;")-4),""))</f>
        <v/>
      </c>
      <c r="AF74" s="60">
        <f>IF(C74="","",IFERROR(INDEX('Saisie'!$AI$5:$AI$2004,_xlfn.MAXIFS('Saisie'!$AS$5:$AS$2004,'Saisie'!$C$5:$C$2004,C74,'Saisie'!$AI$5:$AI$2004,"&lt;&gt;")-4),""))</f>
        <v/>
      </c>
      <c r="AG74" s="60">
        <f>IF(C74="","",IFERROR(INDEX('Saisie'!$AJ$5:$AJ$2004,_xlfn.MAXIFS('Saisie'!$AS$5:$AS$2004,'Saisie'!$C$5:$C$2004,C74,'Saisie'!$AJ$5:$AJ$2004,"&lt;&gt;")-4),""))</f>
        <v/>
      </c>
      <c r="AH74" s="60">
        <f>IF(C74="","",IFERROR(INDEX('Saisie'!$AK$5:$AK$2004,_xlfn.MAXIFS('Saisie'!$AS$5:$AS$2004,'Saisie'!$C$5:$C$2004,C74,'Saisie'!$AK$5:$AK$2004,"&lt;&gt;")-4),""))</f>
        <v/>
      </c>
      <c r="AI74" s="60">
        <f>IF(C74="","",IFERROR(INDEX('Saisie'!$AN$5:$AN$2004,_xlfn.MAXIFS('Saisie'!$AS$5:$AS$2004,'Saisie'!$C$5:$C$2004,C74,'Saisie'!$AN$5:$AN$2004,"&lt;&gt;")-4),""))</f>
        <v/>
      </c>
      <c r="AJ74" s="60">
        <f>IF(C74="","",IFERROR(INDEX('Saisie'!$AO$5:$AO$2004,_xlfn.MAXIFS('Saisie'!$AS$5:$AS$2004,'Saisie'!$C$5:$C$2004,C74,'Saisie'!$AO$5:$AO$2004,"&lt;&gt;")-4),""))</f>
        <v/>
      </c>
      <c r="AK74" s="60">
        <f>IF(C74="","",IFERROR(INDEX('Saisie'!$AP$5:$AP$2004,_xlfn.MAXIFS('Saisie'!$AS$5:$AS$2004,'Saisie'!$C$5:$C$2004,C74,'Saisie'!$AP$5:$AP$2004,"&lt;&gt;")-4),""))</f>
        <v/>
      </c>
      <c r="AL74" s="60">
        <f>IF(C74="","",IFERROR(INDEX('Saisie'!$AQ$5:$AQ$2004,_xlfn.MAXIFS('Saisie'!$AS$5:$AS$2004,'Saisie'!$C$5:$C$2004,C74,'Saisie'!$AQ$5:$AQ$2004,"&lt;&gt;")-4),""))</f>
        <v/>
      </c>
      <c r="AM74" s="60">
        <f>IF(C74="","",((AI74="Oui")+(AJ74="Oui")+(AK74="Oui")+OR(AL74="Immédiat",AL74="&lt; 1 mois"))&amp;"/4")</f>
        <v/>
      </c>
      <c r="AN74" s="60">
        <f>IF(C74="","",IFERROR(INDEX('Saisie'!$AL$5:$AL$2004,_xlfn.MAXIFS('Saisie'!$AS$5:$AS$2004,'Saisie'!$C$5:$C$2004,C74,'Saisie'!$AL$5:$AL$2004,"&lt;&gt;")-4),""))</f>
        <v/>
      </c>
      <c r="AO74" s="62">
        <f>IF(C74="","",IF(IFERROR(INDEX('Saisie'!$AM$5:$AM$2004,_xlfn.MAXIFS('Saisie'!$AS$5:$AS$2004,'Saisie'!$C$5:$C$2004,C74,'Saisie'!$AM$5:$AM$2004,"&lt;&gt;")-4),"")&lt;&gt;"",IFERROR(INDEX('Saisie'!$AM$5:$AM$2004,_xlfn.MAXIFS('Saisie'!$AS$5:$AS$2004,'Saisie'!$C$5:$C$2004,C74,'Saisie'!$AM$5:$AM$2004,"&lt;&gt;")-4),""),IFERROR(INDEX('Paramètres'!$S$6:$S$15,MATCH(AN74,'Paramètres'!$Q$6:$Q$15,0)),"")))</f>
        <v/>
      </c>
      <c r="AP74" s="62">
        <f>IF(C74="","",IFERROR(INDEX('Saisie'!$AW$5:$AW$2004,_xlfn.MAXIFS('Saisie'!$AS$5:$AS$2004,'Saisie'!$C$5:$C$2004,C74,'Saisie'!$E$5:$E$2004,"Proposition envoyée")-4),""))</f>
        <v/>
      </c>
      <c r="AQ74" s="106">
        <f>IF(C74="","",IFERROR(1/(1/_xlfn.MAXIFS('Saisie'!$A$5:$A$2004,'Saisie'!$C$5:$C$2004,C74,'Saisie'!$E$5:$E$2004,"Proposition envoyée")),""))</f>
        <v/>
      </c>
      <c r="AR74" s="106">
        <f>IF(C74="","",IF(AQ74="","",AQ74+'Paramètres'!$B$26))</f>
        <v/>
      </c>
      <c r="AS74" s="62">
        <f>IF(OR(C74="",D74="Gagné",D74="Perdu"),0,N(AP74)*IFERROR(INDEX('Paramètres'!$G$6:$G$13,MATCH(D74,'Paramètres'!$F$6:$F$13,0)),0))</f>
        <v/>
      </c>
      <c r="AT74" s="106">
        <f>IF(C74="","",IFERROR(1/(1/_xlfn.MINIFS('Saisie'!$A$5:$A$2004,'Saisie'!$C$5:$C$2004,C74,'Saisie'!$E$5:$E$2004,"Signature")),""))</f>
        <v/>
      </c>
      <c r="AU74" s="60">
        <f>IF(C74="","",IF(OR(AT74="",B74=""),"",AT74-B74))</f>
        <v/>
      </c>
      <c r="AV74" s="60">
        <f>IF(C74="","",IFERROR(INDEX('Saisie'!$L$5:$L$2004,_xlfn.MAXIFS('Saisie'!$AS$5:$AS$2004,'Saisie'!$C$5:$C$2004,C74,'Saisie'!$L$5:$L$2004,"&lt;&gt;")-4),""))</f>
        <v/>
      </c>
      <c r="AW74" s="106">
        <f>IF(C74="","",IF(D74&lt;&gt;"Perdu","",IFERROR(1/(1/_xlfn.MAXIFS('Saisie'!$A$5:$A$2004,'Saisie'!$C$5:$C$2004,C74,'Saisie'!$E$5:$E$2004,"Perdu")),"")))</f>
        <v/>
      </c>
      <c r="AX74" s="106">
        <f>IF(C74="","",IF(AW74="","",AW74+'Paramètres'!$B$28))</f>
        <v/>
      </c>
      <c r="AY74" s="60">
        <f>IF(C74="","",SUMIFS('Saisie'!$H$5:$H$2004,'Saisie'!$C$5:$C$2004,C74))</f>
        <v/>
      </c>
      <c r="AZ74" s="60">
        <f>IF(C74="","",IFERROR(INDEX('Paramètres'!$W$6:$W$20,MATCH(S74,'Paramètres'!$V$6:$V$20,0))&amp;"",""))</f>
        <v/>
      </c>
      <c r="BA74" s="60">
        <f>IF(C74="","",MAX(1,_xlfn.MAXIFS('Saisie'!$AT$5:$AT$2004,'Saisie'!$C$5:$C$2004,C74)))</f>
        <v/>
      </c>
      <c r="BB74" s="60">
        <f>IF(C74="","",IFERROR(INDEX('Saisie'!$X$5:$X$2004,_xlfn.MAXIFS('Saisie'!$AS$5:$AS$2004,'Saisie'!$C$5:$C$2004,C74,'Saisie'!$X$5:$X$2004,"&lt;&gt;")-4),""))</f>
        <v/>
      </c>
      <c r="BC74" s="60">
        <f>IF(C74="","",IFERROR(INDEX('Saisie'!$Y$5:$Y$2004,_xlfn.MAXIFS('Saisie'!$AS$5:$AS$2004,'Saisie'!$C$5:$C$2004,C74,'Saisie'!$Y$5:$Y$2004,"&lt;&gt;")-4),""))</f>
        <v/>
      </c>
      <c r="BD74" s="106">
        <f>IF(C74="","",IFERROR(1/(1/_xlfn.MINIFS('Saisie'!$A$5:$A$2004,'Saisie'!$C$5:$C$2004,C74,'Saisie'!$AT$5:$AT$2004,"&gt;=2")),""))</f>
        <v/>
      </c>
      <c r="BE74" s="106">
        <f>IF(C74="","",IFERROR(1/(1/_xlfn.MINIFS('Saisie'!$A$5:$A$2004,'Saisie'!$C$5:$C$2004,C74,'Saisie'!$AT$5:$AT$2004,"&gt;=3")),""))</f>
        <v/>
      </c>
      <c r="BF74" s="106">
        <f>IF(C74="","",IFERROR(1/(1/_xlfn.MINIFS('Saisie'!$A$5:$A$2004,'Saisie'!$C$5:$C$2004,C74,'Saisie'!$AT$5:$AT$2004,"&gt;=4")),""))</f>
        <v/>
      </c>
      <c r="BG74" s="106">
        <f>IF(C74="","",IFERROR(1/(1/_xlfn.MINIFS('Saisie'!$A$5:$A$2004,'Saisie'!$C$5:$C$2004,C74,'Saisie'!$AT$5:$AT$2004,"&gt;=5")),""))</f>
        <v/>
      </c>
      <c r="BH74" s="106">
        <f>IF(C74="","",IFERROR(1/(1/_xlfn.MINIFS('Saisie'!$A$5:$A$2004,'Saisie'!$C$5:$C$2004,C74,'Saisie'!$AT$5:$AT$2004,"&gt;=6")),""))</f>
        <v/>
      </c>
      <c r="BI74" s="106">
        <f>IF(C74="","",IFERROR(1/(1/_xlfn.MINIFS('Saisie'!$A$5:$A$2004,'Saisie'!$C$5:$C$2004,C74,'Saisie'!$AT$5:$AT$2004,"&gt;=7")),""))</f>
        <v/>
      </c>
      <c r="BJ74" s="60">
        <f>IF(OR(BD74="",B74=""),"",BD74-B74)</f>
        <v/>
      </c>
      <c r="BK74" s="60">
        <f>IF(OR(BE74="",BD74=""),"",BE74-BD74)</f>
        <v/>
      </c>
      <c r="BL74" s="60">
        <f>IF(OR(BF74="",BE74=""),"",BF74-BE74)</f>
        <v/>
      </c>
      <c r="BM74" s="60">
        <f>IF(OR(BG74="",BF74=""),"",BG74-BF74)</f>
        <v/>
      </c>
      <c r="BN74" s="60">
        <f>IF(OR(BH74="",BG74=""),"",BH74-BG74)</f>
        <v/>
      </c>
      <c r="BO74" s="60">
        <f>IF(OR(BI74="",BH74=""),"",BI74-BH74)</f>
        <v/>
      </c>
      <c r="BP74" s="60">
        <f>IF(C74="","",_xlfn.MAXIFS('Saisie'!$AS$5:$AS$2004,'Saisie'!$C$5:$C$2004,C74,'Saisie'!$J$5:$J$2004,"&lt;&gt;"))</f>
        <v/>
      </c>
      <c r="BQ74" s="60">
        <f>IF(C74="","",_xlfn.MAXIFS('Saisie'!$AS$5:$AS$2004,'Saisie'!$C$5:$C$2004,C74))</f>
        <v/>
      </c>
      <c r="BR74" s="60">
        <f>IF(C74="","",_xlfn.MAXIFS('Saisie'!$AS$5:$AS$2004,'Saisie'!$C$5:$C$2004,C74,'Saisie'!$E$5:$E$2004,"Perdu"))</f>
        <v/>
      </c>
      <c r="BS74" s="60">
        <f>IF(C74="","",_xlfn.MAXIFS('Saisie'!$AS$5:$AS$2004,'Saisie'!$C$5:$C$2004,C74,'Saisie'!$AT$5:$AT$2004,"&gt;0"))</f>
        <v/>
      </c>
      <c r="BT74" s="109">
        <f>IF(AND(C74&lt;&gt;"",OR(D74="Nouveau",D74="Contacté",D74="Qualifié"),OR(G74="",N(G74)&lt;=TODAY()),NOT(AND(O74&gt;='Paramètres'!$B$21,P74=0))),E74+70/10000,"")</f>
        <v/>
      </c>
      <c r="BU74" s="60">
        <f>IF(AND(G74&lt;&gt;"",N(G74)&lt;=TODAY()),MAX($BU$4:BU73)+1,"")</f>
        <v/>
      </c>
      <c r="BV74" s="60">
        <f>IF(AND(F74&lt;&gt;"",F74&lt;&gt;"Relance en retard"),MAX($BV$4:BV73)+1,"")</f>
        <v/>
      </c>
      <c r="BW74" s="60">
        <f>IF(C74="","",IF(AND(B74&gt;='Tableau de bord'!$R$4,B74&lt;='Tableau de bord'!$S$4,OR('Tableau de bord'!$G$4="Tous",N74='Tableau de bord'!$G$4)),1,0))</f>
        <v/>
      </c>
      <c r="BX74" s="60">
        <f>IF(AND(C74&lt;&gt;"",N(BA74)=7),MAX($BX$4:BX73)+1,"")</f>
        <v/>
      </c>
    </row>
    <row r="75">
      <c r="A75" s="60">
        <f>IF(C75="","","P-"&amp;TEXT(71,"000"))</f>
        <v/>
      </c>
      <c r="B75" s="106">
        <f>IF(C75="","",IFERROR(1/(1/_xlfn.MINIFS('Saisie'!$A$5:$A$2004,'Saisie'!$C$5:$C$2004,C75)),""))</f>
        <v/>
      </c>
      <c r="C75" s="60">
        <f>IFERROR(INDEX('Saisie'!$C$5:$C$2004,MATCH(71,'Saisie'!$AX$5:$AX$2004,0)),"")</f>
        <v/>
      </c>
      <c r="D75" s="60">
        <f>IF(C75="","",IF(AND(BR75&gt;0,BR75&gt;BS75,BA75&lt;7),"Perdu",INDEX('Paramètres'!$F$6:$F$13,BA75)))</f>
        <v/>
      </c>
      <c r="E75" s="61">
        <f>IF(C75="","",MIN(100,(Z75="Oui")*'Paramètres'!$B$38+(AB75="Régulière")*'Paramètres'!$B$39+IF(AND(N(AA75)&gt;0,TODAY()-N(AA75)&lt;=30),'Paramètres'!$B$40,0)+(W75="")*'Paramètres'!$B$41+(AC75="Absente")*'Paramètres'!$B$42+(AC75="Faible")*'Paramètres'!$B$43+IF(AND(N(AD75)&gt;0,N(AD75)&lt;4),'Paramètres'!$B$44,0)+(AF75="Moyenne")*'Paramètres'!$B$45+(AF75="Grande")*'Paramètres'!$B$46+(Y75&lt;&gt;"")*'Paramètres'!$B$47))</f>
        <v/>
      </c>
      <c r="F75" s="60">
        <f>IF(C75="","",IF(D75="Gagné","",IF(D75="Perdu",IF(AND(AX75&lt;&gt;"",AX75&lt;=TODAY()),"À recontacter (perdu)",""),IF(AND(O75&gt;='Paramètres'!$B$21,P75=0),"Stop : "&amp;'Paramètres'!$B$21&amp;" tentatives sans réponse",IF(AND(D75="Proposition",AR75&lt;&gt;"",TODAY()&gt;N(AR75)),"Proposition expirée",IF(AND(D75="Proposition",N(R75)&gt;='Paramètres'!$B$25),"Proposition sans réponse",IF(AND(G75&lt;&gt;"",N(G75)&lt;TODAY()),"Relance en retard",IF(N(R75)&gt;='Paramètres'!$B$24,"Sans action depuis "&amp;R75&amp;" j",""))))))))</f>
        <v/>
      </c>
      <c r="G75" s="106">
        <f>IF(OR(C75="",D75="Gagné",D75="Perdu"),"",IF(AND(BP75&gt;0,BP75=BQ75),INDEX('Saisie'!$J$5:$J$2004,BP75-4),IF(OR(O75=0,AND(O75&gt;='Paramètres'!$B$21,P75=0)),"",Q75+IF(O75&lt;=1,'Paramètres'!$B$18,IF(O75=2,'Paramètres'!$B$19,'Paramètres'!$B$20)))))</f>
        <v/>
      </c>
      <c r="H75" s="107">
        <f>IF(OR(G75="",BP75&lt;&gt;BQ75),"",IF(INDEX('Saisie'!$K$5:$K$2004,BP75-4)="","",INDEX('Saisie'!$K$5:$K$2004,BP75-4)))</f>
        <v/>
      </c>
      <c r="I75" s="60">
        <f>IF(C75="","",IF(OR(D75="Gagné",D75="Perdu"),"",IFERROR(INDEX('Saisie'!$I$5:$I$2004,_xlfn.MAXIFS('Saisie'!$AS$5:$AS$2004,'Saisie'!$C$5:$C$2004,C75,'Saisie'!$I$5:$I$2004,"&lt;&gt;")-4),"")))</f>
        <v/>
      </c>
      <c r="J75" s="60">
        <f>IF(C75="","",IFERROR(INDEX('Saisie'!$U$5:$U$2004,_xlfn.MAXIFS('Saisie'!$AS$5:$AS$2004,'Saisie'!$C$5:$C$2004,C75,'Saisie'!$U$5:$U$2004,"&lt;&gt;")-4),""))</f>
        <v/>
      </c>
      <c r="K75" s="60">
        <f>IF(C75="","",IFERROR(INDEX('Saisie'!$W$5:$W$2004,_xlfn.MAXIFS('Saisie'!$AS$5:$AS$2004,'Saisie'!$C$5:$C$2004,C75,'Saisie'!$W$5:$W$2004,"&lt;&gt;")-4),""))</f>
        <v/>
      </c>
      <c r="L75" s="60">
        <f>IF(IF(BB75&lt;&gt;"",BB75,K75)="","",HYPERLINK("https://wa.me/"&amp;IF(LEFT(SUBSTITUTE(SUBSTITUTE(SUBSTITUTE(IF(BB75&lt;&gt;"",BB75,K75)," ",""),".",""),"+",""),1)="0",'Paramètres'!$B$35&amp;MID(SUBSTITUTE(SUBSTITUTE(SUBSTITUTE(IF(BB75&lt;&gt;"",BB75,K75)," ",""),".",""),"+",""),2,20),SUBSTITUTE(SUBSTITUTE(SUBSTITUTE(IF(BB75&lt;&gt;"",BB75,K75)," ",""),".",""),"+","")),"WhatsApp"))</f>
        <v/>
      </c>
      <c r="M75" s="60">
        <f>IF(BC75="","",HYPERLINK(IF(LEFT(BC75,4)="http",BC75,"https://www.instagram.com/"&amp;SUBSTITUTE(SUBSTITUTE(BC75,"@","")," ","")),BC75))</f>
        <v/>
      </c>
      <c r="N75" s="60">
        <f>IF(C75="","",IFERROR(INDEX('Saisie'!$D$5:$D$2004,_xlfn.MINIFS('Saisie'!$AS$5:$AS$2004,'Saisie'!$C$5:$C$2004,C75,'Saisie'!$AU$5:$AU$2004,1)-4),IFERROR(INDEX('Saisie'!$D$5:$D$2004,_xlfn.MINIFS('Saisie'!$AS$5:$AS$2004,'Saisie'!$C$5:$C$2004,C75,'Saisie'!$D$5:$D$2004,"&lt;&gt;")-4),"")))</f>
        <v/>
      </c>
      <c r="O75" s="60">
        <f>IF(C75="","",COUNTIFS('Saisie'!$C$5:$C$2004,C75,'Saisie'!$AU$5:$AU$2004,1))</f>
        <v/>
      </c>
      <c r="P75" s="60">
        <f>IF(C75="","",COUNTIFS('Saisie'!$C$5:$C$2004,C75,'Saisie'!$AV$5:$AV$2004,1))</f>
        <v/>
      </c>
      <c r="Q75" s="106">
        <f>IF(C75="","",IFERROR(1/(1/_xlfn.MAXIFS('Saisie'!$A$5:$A$2004,'Saisie'!$C$5:$C$2004,C75)),""))</f>
        <v/>
      </c>
      <c r="R75" s="61">
        <f>IF(C75="","",IF(Q75="","",TODAY()-Q75))</f>
        <v/>
      </c>
      <c r="S75" s="60">
        <f>IF(C75="","",IFERROR(INDEX('Saisie'!$R$5:$R$2004,_xlfn.MAXIFS('Saisie'!$AS$5:$AS$2004,'Saisie'!$C$5:$C$2004,C75,'Saisie'!$R$5:$R$2004,"&lt;&gt;")-4),""))</f>
        <v/>
      </c>
      <c r="T75" s="60">
        <f>IF(C75="","",IFERROR(INDEX('Saisie'!$S$5:$S$2004,_xlfn.MAXIFS('Saisie'!$AS$5:$AS$2004,'Saisie'!$C$5:$C$2004,C75,'Saisie'!$S$5:$S$2004,"&lt;&gt;")-4),""))</f>
        <v/>
      </c>
      <c r="U75" s="60">
        <f>IF(C75="","",IFERROR(INDEX('Saisie'!$T$5:$T$2004,_xlfn.MAXIFS('Saisie'!$AS$5:$AS$2004,'Saisie'!$C$5:$C$2004,C75,'Saisie'!$T$5:$T$2004,"&lt;&gt;")-4),""))</f>
        <v/>
      </c>
      <c r="V75" s="60">
        <f>IF(C75="","",IFERROR(INDEX('Saisie'!$V$5:$V$2004,_xlfn.MAXIFS('Saisie'!$AS$5:$AS$2004,'Saisie'!$C$5:$C$2004,C75,'Saisie'!$V$5:$V$2004,"&lt;&gt;")-4),""))</f>
        <v/>
      </c>
      <c r="W75" s="60">
        <f>IF(C75="","",IFERROR(INDEX('Saisie'!$Z$5:$Z$2004,_xlfn.MAXIFS('Saisie'!$AS$5:$AS$2004,'Saisie'!$C$5:$C$2004,C75,'Saisie'!$Z$5:$Z$2004,"&lt;&gt;")-4),""))</f>
        <v/>
      </c>
      <c r="X75" s="60">
        <f>IF(C75="","",IFERROR(INDEX('Saisie'!$AA$5:$AA$2004,_xlfn.MAXIFS('Saisie'!$AS$5:$AS$2004,'Saisie'!$C$5:$C$2004,C75,'Saisie'!$AA$5:$AA$2004,"&lt;&gt;")-4),""))</f>
        <v/>
      </c>
      <c r="Y75" s="60">
        <f>IF(C75="","",IFERROR(INDEX('Saisie'!$AB$5:$AB$2004,_xlfn.MAXIFS('Saisie'!$AS$5:$AS$2004,'Saisie'!$C$5:$C$2004,C75,'Saisie'!$AB$5:$AB$2004,"&lt;&gt;")-4),""))</f>
        <v/>
      </c>
      <c r="Z75" s="60">
        <f>IF(C75="","",IFERROR(INDEX('Saisie'!$AC$5:$AC$2004,_xlfn.MAXIFS('Saisie'!$AS$5:$AS$2004,'Saisie'!$C$5:$C$2004,C75,'Saisie'!$AC$5:$AC$2004,"&lt;&gt;")-4),""))</f>
        <v/>
      </c>
      <c r="AA75" s="106">
        <f>IF(C75="","",IFERROR(INDEX('Saisie'!$AD$5:$AD$2004,_xlfn.MAXIFS('Saisie'!$AS$5:$AS$2004,'Saisie'!$C$5:$C$2004,C75,'Saisie'!$AD$5:$AD$2004,"&lt;&gt;")-4),""))</f>
        <v/>
      </c>
      <c r="AB75" s="60">
        <f>IF(C75="","",IFERROR(INDEX('Saisie'!$AE$5:$AE$2004,_xlfn.MAXIFS('Saisie'!$AS$5:$AS$2004,'Saisie'!$C$5:$C$2004,C75,'Saisie'!$AE$5:$AE$2004,"&lt;&gt;")-4),""))</f>
        <v/>
      </c>
      <c r="AC75" s="60">
        <f>IF(C75="","",IFERROR(INDEX('Saisie'!$AF$5:$AF$2004,_xlfn.MAXIFS('Saisie'!$AS$5:$AS$2004,'Saisie'!$C$5:$C$2004,C75,'Saisie'!$AF$5:$AF$2004,"&lt;&gt;")-4),""))</f>
        <v/>
      </c>
      <c r="AD75" s="108">
        <f>IF(C75="","",IFERROR(INDEX('Saisie'!$AG$5:$AG$2004,_xlfn.MAXIFS('Saisie'!$AS$5:$AS$2004,'Saisie'!$C$5:$C$2004,C75,'Saisie'!$AG$5:$AG$2004,"&lt;&gt;")-4),""))</f>
        <v/>
      </c>
      <c r="AE75" s="60">
        <f>IF(C75="","",IFERROR(INDEX('Saisie'!$AH$5:$AH$2004,_xlfn.MAXIFS('Saisie'!$AS$5:$AS$2004,'Saisie'!$C$5:$C$2004,C75,'Saisie'!$AH$5:$AH$2004,"&lt;&gt;")-4),""))</f>
        <v/>
      </c>
      <c r="AF75" s="60">
        <f>IF(C75="","",IFERROR(INDEX('Saisie'!$AI$5:$AI$2004,_xlfn.MAXIFS('Saisie'!$AS$5:$AS$2004,'Saisie'!$C$5:$C$2004,C75,'Saisie'!$AI$5:$AI$2004,"&lt;&gt;")-4),""))</f>
        <v/>
      </c>
      <c r="AG75" s="60">
        <f>IF(C75="","",IFERROR(INDEX('Saisie'!$AJ$5:$AJ$2004,_xlfn.MAXIFS('Saisie'!$AS$5:$AS$2004,'Saisie'!$C$5:$C$2004,C75,'Saisie'!$AJ$5:$AJ$2004,"&lt;&gt;")-4),""))</f>
        <v/>
      </c>
      <c r="AH75" s="60">
        <f>IF(C75="","",IFERROR(INDEX('Saisie'!$AK$5:$AK$2004,_xlfn.MAXIFS('Saisie'!$AS$5:$AS$2004,'Saisie'!$C$5:$C$2004,C75,'Saisie'!$AK$5:$AK$2004,"&lt;&gt;")-4),""))</f>
        <v/>
      </c>
      <c r="AI75" s="60">
        <f>IF(C75="","",IFERROR(INDEX('Saisie'!$AN$5:$AN$2004,_xlfn.MAXIFS('Saisie'!$AS$5:$AS$2004,'Saisie'!$C$5:$C$2004,C75,'Saisie'!$AN$5:$AN$2004,"&lt;&gt;")-4),""))</f>
        <v/>
      </c>
      <c r="AJ75" s="60">
        <f>IF(C75="","",IFERROR(INDEX('Saisie'!$AO$5:$AO$2004,_xlfn.MAXIFS('Saisie'!$AS$5:$AS$2004,'Saisie'!$C$5:$C$2004,C75,'Saisie'!$AO$5:$AO$2004,"&lt;&gt;")-4),""))</f>
        <v/>
      </c>
      <c r="AK75" s="60">
        <f>IF(C75="","",IFERROR(INDEX('Saisie'!$AP$5:$AP$2004,_xlfn.MAXIFS('Saisie'!$AS$5:$AS$2004,'Saisie'!$C$5:$C$2004,C75,'Saisie'!$AP$5:$AP$2004,"&lt;&gt;")-4),""))</f>
        <v/>
      </c>
      <c r="AL75" s="60">
        <f>IF(C75="","",IFERROR(INDEX('Saisie'!$AQ$5:$AQ$2004,_xlfn.MAXIFS('Saisie'!$AS$5:$AS$2004,'Saisie'!$C$5:$C$2004,C75,'Saisie'!$AQ$5:$AQ$2004,"&lt;&gt;")-4),""))</f>
        <v/>
      </c>
      <c r="AM75" s="60">
        <f>IF(C75="","",((AI75="Oui")+(AJ75="Oui")+(AK75="Oui")+OR(AL75="Immédiat",AL75="&lt; 1 mois"))&amp;"/4")</f>
        <v/>
      </c>
      <c r="AN75" s="60">
        <f>IF(C75="","",IFERROR(INDEX('Saisie'!$AL$5:$AL$2004,_xlfn.MAXIFS('Saisie'!$AS$5:$AS$2004,'Saisie'!$C$5:$C$2004,C75,'Saisie'!$AL$5:$AL$2004,"&lt;&gt;")-4),""))</f>
        <v/>
      </c>
      <c r="AO75" s="62">
        <f>IF(C75="","",IF(IFERROR(INDEX('Saisie'!$AM$5:$AM$2004,_xlfn.MAXIFS('Saisie'!$AS$5:$AS$2004,'Saisie'!$C$5:$C$2004,C75,'Saisie'!$AM$5:$AM$2004,"&lt;&gt;")-4),"")&lt;&gt;"",IFERROR(INDEX('Saisie'!$AM$5:$AM$2004,_xlfn.MAXIFS('Saisie'!$AS$5:$AS$2004,'Saisie'!$C$5:$C$2004,C75,'Saisie'!$AM$5:$AM$2004,"&lt;&gt;")-4),""),IFERROR(INDEX('Paramètres'!$S$6:$S$15,MATCH(AN75,'Paramètres'!$Q$6:$Q$15,0)),"")))</f>
        <v/>
      </c>
      <c r="AP75" s="62">
        <f>IF(C75="","",IFERROR(INDEX('Saisie'!$AW$5:$AW$2004,_xlfn.MAXIFS('Saisie'!$AS$5:$AS$2004,'Saisie'!$C$5:$C$2004,C75,'Saisie'!$E$5:$E$2004,"Proposition envoyée")-4),""))</f>
        <v/>
      </c>
      <c r="AQ75" s="106">
        <f>IF(C75="","",IFERROR(1/(1/_xlfn.MAXIFS('Saisie'!$A$5:$A$2004,'Saisie'!$C$5:$C$2004,C75,'Saisie'!$E$5:$E$2004,"Proposition envoyée")),""))</f>
        <v/>
      </c>
      <c r="AR75" s="106">
        <f>IF(C75="","",IF(AQ75="","",AQ75+'Paramètres'!$B$26))</f>
        <v/>
      </c>
      <c r="AS75" s="62">
        <f>IF(OR(C75="",D75="Gagné",D75="Perdu"),0,N(AP75)*IFERROR(INDEX('Paramètres'!$G$6:$G$13,MATCH(D75,'Paramètres'!$F$6:$F$13,0)),0))</f>
        <v/>
      </c>
      <c r="AT75" s="106">
        <f>IF(C75="","",IFERROR(1/(1/_xlfn.MINIFS('Saisie'!$A$5:$A$2004,'Saisie'!$C$5:$C$2004,C75,'Saisie'!$E$5:$E$2004,"Signature")),""))</f>
        <v/>
      </c>
      <c r="AU75" s="60">
        <f>IF(C75="","",IF(OR(AT75="",B75=""),"",AT75-B75))</f>
        <v/>
      </c>
      <c r="AV75" s="60">
        <f>IF(C75="","",IFERROR(INDEX('Saisie'!$L$5:$L$2004,_xlfn.MAXIFS('Saisie'!$AS$5:$AS$2004,'Saisie'!$C$5:$C$2004,C75,'Saisie'!$L$5:$L$2004,"&lt;&gt;")-4),""))</f>
        <v/>
      </c>
      <c r="AW75" s="106">
        <f>IF(C75="","",IF(D75&lt;&gt;"Perdu","",IFERROR(1/(1/_xlfn.MAXIFS('Saisie'!$A$5:$A$2004,'Saisie'!$C$5:$C$2004,C75,'Saisie'!$E$5:$E$2004,"Perdu")),"")))</f>
        <v/>
      </c>
      <c r="AX75" s="106">
        <f>IF(C75="","",IF(AW75="","",AW75+'Paramètres'!$B$28))</f>
        <v/>
      </c>
      <c r="AY75" s="60">
        <f>IF(C75="","",SUMIFS('Saisie'!$H$5:$H$2004,'Saisie'!$C$5:$C$2004,C75))</f>
        <v/>
      </c>
      <c r="AZ75" s="60">
        <f>IF(C75="","",IFERROR(INDEX('Paramètres'!$W$6:$W$20,MATCH(S75,'Paramètres'!$V$6:$V$20,0))&amp;"",""))</f>
        <v/>
      </c>
      <c r="BA75" s="60">
        <f>IF(C75="","",MAX(1,_xlfn.MAXIFS('Saisie'!$AT$5:$AT$2004,'Saisie'!$C$5:$C$2004,C75)))</f>
        <v/>
      </c>
      <c r="BB75" s="60">
        <f>IF(C75="","",IFERROR(INDEX('Saisie'!$X$5:$X$2004,_xlfn.MAXIFS('Saisie'!$AS$5:$AS$2004,'Saisie'!$C$5:$C$2004,C75,'Saisie'!$X$5:$X$2004,"&lt;&gt;")-4),""))</f>
        <v/>
      </c>
      <c r="BC75" s="60">
        <f>IF(C75="","",IFERROR(INDEX('Saisie'!$Y$5:$Y$2004,_xlfn.MAXIFS('Saisie'!$AS$5:$AS$2004,'Saisie'!$C$5:$C$2004,C75,'Saisie'!$Y$5:$Y$2004,"&lt;&gt;")-4),""))</f>
        <v/>
      </c>
      <c r="BD75" s="106">
        <f>IF(C75="","",IFERROR(1/(1/_xlfn.MINIFS('Saisie'!$A$5:$A$2004,'Saisie'!$C$5:$C$2004,C75,'Saisie'!$AT$5:$AT$2004,"&gt;=2")),""))</f>
        <v/>
      </c>
      <c r="BE75" s="106">
        <f>IF(C75="","",IFERROR(1/(1/_xlfn.MINIFS('Saisie'!$A$5:$A$2004,'Saisie'!$C$5:$C$2004,C75,'Saisie'!$AT$5:$AT$2004,"&gt;=3")),""))</f>
        <v/>
      </c>
      <c r="BF75" s="106">
        <f>IF(C75="","",IFERROR(1/(1/_xlfn.MINIFS('Saisie'!$A$5:$A$2004,'Saisie'!$C$5:$C$2004,C75,'Saisie'!$AT$5:$AT$2004,"&gt;=4")),""))</f>
        <v/>
      </c>
      <c r="BG75" s="106">
        <f>IF(C75="","",IFERROR(1/(1/_xlfn.MINIFS('Saisie'!$A$5:$A$2004,'Saisie'!$C$5:$C$2004,C75,'Saisie'!$AT$5:$AT$2004,"&gt;=5")),""))</f>
        <v/>
      </c>
      <c r="BH75" s="106">
        <f>IF(C75="","",IFERROR(1/(1/_xlfn.MINIFS('Saisie'!$A$5:$A$2004,'Saisie'!$C$5:$C$2004,C75,'Saisie'!$AT$5:$AT$2004,"&gt;=6")),""))</f>
        <v/>
      </c>
      <c r="BI75" s="106">
        <f>IF(C75="","",IFERROR(1/(1/_xlfn.MINIFS('Saisie'!$A$5:$A$2004,'Saisie'!$C$5:$C$2004,C75,'Saisie'!$AT$5:$AT$2004,"&gt;=7")),""))</f>
        <v/>
      </c>
      <c r="BJ75" s="60">
        <f>IF(OR(BD75="",B75=""),"",BD75-B75)</f>
        <v/>
      </c>
      <c r="BK75" s="60">
        <f>IF(OR(BE75="",BD75=""),"",BE75-BD75)</f>
        <v/>
      </c>
      <c r="BL75" s="60">
        <f>IF(OR(BF75="",BE75=""),"",BF75-BE75)</f>
        <v/>
      </c>
      <c r="BM75" s="60">
        <f>IF(OR(BG75="",BF75=""),"",BG75-BF75)</f>
        <v/>
      </c>
      <c r="BN75" s="60">
        <f>IF(OR(BH75="",BG75=""),"",BH75-BG75)</f>
        <v/>
      </c>
      <c r="BO75" s="60">
        <f>IF(OR(BI75="",BH75=""),"",BI75-BH75)</f>
        <v/>
      </c>
      <c r="BP75" s="60">
        <f>IF(C75="","",_xlfn.MAXIFS('Saisie'!$AS$5:$AS$2004,'Saisie'!$C$5:$C$2004,C75,'Saisie'!$J$5:$J$2004,"&lt;&gt;"))</f>
        <v/>
      </c>
      <c r="BQ75" s="60">
        <f>IF(C75="","",_xlfn.MAXIFS('Saisie'!$AS$5:$AS$2004,'Saisie'!$C$5:$C$2004,C75))</f>
        <v/>
      </c>
      <c r="BR75" s="60">
        <f>IF(C75="","",_xlfn.MAXIFS('Saisie'!$AS$5:$AS$2004,'Saisie'!$C$5:$C$2004,C75,'Saisie'!$E$5:$E$2004,"Perdu"))</f>
        <v/>
      </c>
      <c r="BS75" s="60">
        <f>IF(C75="","",_xlfn.MAXIFS('Saisie'!$AS$5:$AS$2004,'Saisie'!$C$5:$C$2004,C75,'Saisie'!$AT$5:$AT$2004,"&gt;0"))</f>
        <v/>
      </c>
      <c r="BT75" s="109">
        <f>IF(AND(C75&lt;&gt;"",OR(D75="Nouveau",D75="Contacté",D75="Qualifié"),OR(G75="",N(G75)&lt;=TODAY()),NOT(AND(O75&gt;='Paramètres'!$B$21,P75=0))),E75+71/10000,"")</f>
        <v/>
      </c>
      <c r="BU75" s="60">
        <f>IF(AND(G75&lt;&gt;"",N(G75)&lt;=TODAY()),MAX($BU$4:BU74)+1,"")</f>
        <v/>
      </c>
      <c r="BV75" s="60">
        <f>IF(AND(F75&lt;&gt;"",F75&lt;&gt;"Relance en retard"),MAX($BV$4:BV74)+1,"")</f>
        <v/>
      </c>
      <c r="BW75" s="60">
        <f>IF(C75="","",IF(AND(B75&gt;='Tableau de bord'!$R$4,B75&lt;='Tableau de bord'!$S$4,OR('Tableau de bord'!$G$4="Tous",N75='Tableau de bord'!$G$4)),1,0))</f>
        <v/>
      </c>
      <c r="BX75" s="60">
        <f>IF(AND(C75&lt;&gt;"",N(BA75)=7),MAX($BX$4:BX74)+1,"")</f>
        <v/>
      </c>
    </row>
    <row r="76">
      <c r="A76" s="60">
        <f>IF(C76="","","P-"&amp;TEXT(72,"000"))</f>
        <v/>
      </c>
      <c r="B76" s="106">
        <f>IF(C76="","",IFERROR(1/(1/_xlfn.MINIFS('Saisie'!$A$5:$A$2004,'Saisie'!$C$5:$C$2004,C76)),""))</f>
        <v/>
      </c>
      <c r="C76" s="60">
        <f>IFERROR(INDEX('Saisie'!$C$5:$C$2004,MATCH(72,'Saisie'!$AX$5:$AX$2004,0)),"")</f>
        <v/>
      </c>
      <c r="D76" s="60">
        <f>IF(C76="","",IF(AND(BR76&gt;0,BR76&gt;BS76,BA76&lt;7),"Perdu",INDEX('Paramètres'!$F$6:$F$13,BA76)))</f>
        <v/>
      </c>
      <c r="E76" s="61">
        <f>IF(C76="","",MIN(100,(Z76="Oui")*'Paramètres'!$B$38+(AB76="Régulière")*'Paramètres'!$B$39+IF(AND(N(AA76)&gt;0,TODAY()-N(AA76)&lt;=30),'Paramètres'!$B$40,0)+(W76="")*'Paramètres'!$B$41+(AC76="Absente")*'Paramètres'!$B$42+(AC76="Faible")*'Paramètres'!$B$43+IF(AND(N(AD76)&gt;0,N(AD76)&lt;4),'Paramètres'!$B$44,0)+(AF76="Moyenne")*'Paramètres'!$B$45+(AF76="Grande")*'Paramètres'!$B$46+(Y76&lt;&gt;"")*'Paramètres'!$B$47))</f>
        <v/>
      </c>
      <c r="F76" s="60">
        <f>IF(C76="","",IF(D76="Gagné","",IF(D76="Perdu",IF(AND(AX76&lt;&gt;"",AX76&lt;=TODAY()),"À recontacter (perdu)",""),IF(AND(O76&gt;='Paramètres'!$B$21,P76=0),"Stop : "&amp;'Paramètres'!$B$21&amp;" tentatives sans réponse",IF(AND(D76="Proposition",AR76&lt;&gt;"",TODAY()&gt;N(AR76)),"Proposition expirée",IF(AND(D76="Proposition",N(R76)&gt;='Paramètres'!$B$25),"Proposition sans réponse",IF(AND(G76&lt;&gt;"",N(G76)&lt;TODAY()),"Relance en retard",IF(N(R76)&gt;='Paramètres'!$B$24,"Sans action depuis "&amp;R76&amp;" j",""))))))))</f>
        <v/>
      </c>
      <c r="G76" s="106">
        <f>IF(OR(C76="",D76="Gagné",D76="Perdu"),"",IF(AND(BP76&gt;0,BP76=BQ76),INDEX('Saisie'!$J$5:$J$2004,BP76-4),IF(OR(O76=0,AND(O76&gt;='Paramètres'!$B$21,P76=0)),"",Q76+IF(O76&lt;=1,'Paramètres'!$B$18,IF(O76=2,'Paramètres'!$B$19,'Paramètres'!$B$20)))))</f>
        <v/>
      </c>
      <c r="H76" s="107">
        <f>IF(OR(G76="",BP76&lt;&gt;BQ76),"",IF(INDEX('Saisie'!$K$5:$K$2004,BP76-4)="","",INDEX('Saisie'!$K$5:$K$2004,BP76-4)))</f>
        <v/>
      </c>
      <c r="I76" s="60">
        <f>IF(C76="","",IF(OR(D76="Gagné",D76="Perdu"),"",IFERROR(INDEX('Saisie'!$I$5:$I$2004,_xlfn.MAXIFS('Saisie'!$AS$5:$AS$2004,'Saisie'!$C$5:$C$2004,C76,'Saisie'!$I$5:$I$2004,"&lt;&gt;")-4),"")))</f>
        <v/>
      </c>
      <c r="J76" s="60">
        <f>IF(C76="","",IFERROR(INDEX('Saisie'!$U$5:$U$2004,_xlfn.MAXIFS('Saisie'!$AS$5:$AS$2004,'Saisie'!$C$5:$C$2004,C76,'Saisie'!$U$5:$U$2004,"&lt;&gt;")-4),""))</f>
        <v/>
      </c>
      <c r="K76" s="60">
        <f>IF(C76="","",IFERROR(INDEX('Saisie'!$W$5:$W$2004,_xlfn.MAXIFS('Saisie'!$AS$5:$AS$2004,'Saisie'!$C$5:$C$2004,C76,'Saisie'!$W$5:$W$2004,"&lt;&gt;")-4),""))</f>
        <v/>
      </c>
      <c r="L76" s="60">
        <f>IF(IF(BB76&lt;&gt;"",BB76,K76)="","",HYPERLINK("https://wa.me/"&amp;IF(LEFT(SUBSTITUTE(SUBSTITUTE(SUBSTITUTE(IF(BB76&lt;&gt;"",BB76,K76)," ",""),".",""),"+",""),1)="0",'Paramètres'!$B$35&amp;MID(SUBSTITUTE(SUBSTITUTE(SUBSTITUTE(IF(BB76&lt;&gt;"",BB76,K76)," ",""),".",""),"+",""),2,20),SUBSTITUTE(SUBSTITUTE(SUBSTITUTE(IF(BB76&lt;&gt;"",BB76,K76)," ",""),".",""),"+","")),"WhatsApp"))</f>
        <v/>
      </c>
      <c r="M76" s="60">
        <f>IF(BC76="","",HYPERLINK(IF(LEFT(BC76,4)="http",BC76,"https://www.instagram.com/"&amp;SUBSTITUTE(SUBSTITUTE(BC76,"@","")," ","")),BC76))</f>
        <v/>
      </c>
      <c r="N76" s="60">
        <f>IF(C76="","",IFERROR(INDEX('Saisie'!$D$5:$D$2004,_xlfn.MINIFS('Saisie'!$AS$5:$AS$2004,'Saisie'!$C$5:$C$2004,C76,'Saisie'!$AU$5:$AU$2004,1)-4),IFERROR(INDEX('Saisie'!$D$5:$D$2004,_xlfn.MINIFS('Saisie'!$AS$5:$AS$2004,'Saisie'!$C$5:$C$2004,C76,'Saisie'!$D$5:$D$2004,"&lt;&gt;")-4),"")))</f>
        <v/>
      </c>
      <c r="O76" s="60">
        <f>IF(C76="","",COUNTIFS('Saisie'!$C$5:$C$2004,C76,'Saisie'!$AU$5:$AU$2004,1))</f>
        <v/>
      </c>
      <c r="P76" s="60">
        <f>IF(C76="","",COUNTIFS('Saisie'!$C$5:$C$2004,C76,'Saisie'!$AV$5:$AV$2004,1))</f>
        <v/>
      </c>
      <c r="Q76" s="106">
        <f>IF(C76="","",IFERROR(1/(1/_xlfn.MAXIFS('Saisie'!$A$5:$A$2004,'Saisie'!$C$5:$C$2004,C76)),""))</f>
        <v/>
      </c>
      <c r="R76" s="61">
        <f>IF(C76="","",IF(Q76="","",TODAY()-Q76))</f>
        <v/>
      </c>
      <c r="S76" s="60">
        <f>IF(C76="","",IFERROR(INDEX('Saisie'!$R$5:$R$2004,_xlfn.MAXIFS('Saisie'!$AS$5:$AS$2004,'Saisie'!$C$5:$C$2004,C76,'Saisie'!$R$5:$R$2004,"&lt;&gt;")-4),""))</f>
        <v/>
      </c>
      <c r="T76" s="60">
        <f>IF(C76="","",IFERROR(INDEX('Saisie'!$S$5:$S$2004,_xlfn.MAXIFS('Saisie'!$AS$5:$AS$2004,'Saisie'!$C$5:$C$2004,C76,'Saisie'!$S$5:$S$2004,"&lt;&gt;")-4),""))</f>
        <v/>
      </c>
      <c r="U76" s="60">
        <f>IF(C76="","",IFERROR(INDEX('Saisie'!$T$5:$T$2004,_xlfn.MAXIFS('Saisie'!$AS$5:$AS$2004,'Saisie'!$C$5:$C$2004,C76,'Saisie'!$T$5:$T$2004,"&lt;&gt;")-4),""))</f>
        <v/>
      </c>
      <c r="V76" s="60">
        <f>IF(C76="","",IFERROR(INDEX('Saisie'!$V$5:$V$2004,_xlfn.MAXIFS('Saisie'!$AS$5:$AS$2004,'Saisie'!$C$5:$C$2004,C76,'Saisie'!$V$5:$V$2004,"&lt;&gt;")-4),""))</f>
        <v/>
      </c>
      <c r="W76" s="60">
        <f>IF(C76="","",IFERROR(INDEX('Saisie'!$Z$5:$Z$2004,_xlfn.MAXIFS('Saisie'!$AS$5:$AS$2004,'Saisie'!$C$5:$C$2004,C76,'Saisie'!$Z$5:$Z$2004,"&lt;&gt;")-4),""))</f>
        <v/>
      </c>
      <c r="X76" s="60">
        <f>IF(C76="","",IFERROR(INDEX('Saisie'!$AA$5:$AA$2004,_xlfn.MAXIFS('Saisie'!$AS$5:$AS$2004,'Saisie'!$C$5:$C$2004,C76,'Saisie'!$AA$5:$AA$2004,"&lt;&gt;")-4),""))</f>
        <v/>
      </c>
      <c r="Y76" s="60">
        <f>IF(C76="","",IFERROR(INDEX('Saisie'!$AB$5:$AB$2004,_xlfn.MAXIFS('Saisie'!$AS$5:$AS$2004,'Saisie'!$C$5:$C$2004,C76,'Saisie'!$AB$5:$AB$2004,"&lt;&gt;")-4),""))</f>
        <v/>
      </c>
      <c r="Z76" s="60">
        <f>IF(C76="","",IFERROR(INDEX('Saisie'!$AC$5:$AC$2004,_xlfn.MAXIFS('Saisie'!$AS$5:$AS$2004,'Saisie'!$C$5:$C$2004,C76,'Saisie'!$AC$5:$AC$2004,"&lt;&gt;")-4),""))</f>
        <v/>
      </c>
      <c r="AA76" s="106">
        <f>IF(C76="","",IFERROR(INDEX('Saisie'!$AD$5:$AD$2004,_xlfn.MAXIFS('Saisie'!$AS$5:$AS$2004,'Saisie'!$C$5:$C$2004,C76,'Saisie'!$AD$5:$AD$2004,"&lt;&gt;")-4),""))</f>
        <v/>
      </c>
      <c r="AB76" s="60">
        <f>IF(C76="","",IFERROR(INDEX('Saisie'!$AE$5:$AE$2004,_xlfn.MAXIFS('Saisie'!$AS$5:$AS$2004,'Saisie'!$C$5:$C$2004,C76,'Saisie'!$AE$5:$AE$2004,"&lt;&gt;")-4),""))</f>
        <v/>
      </c>
      <c r="AC76" s="60">
        <f>IF(C76="","",IFERROR(INDEX('Saisie'!$AF$5:$AF$2004,_xlfn.MAXIFS('Saisie'!$AS$5:$AS$2004,'Saisie'!$C$5:$C$2004,C76,'Saisie'!$AF$5:$AF$2004,"&lt;&gt;")-4),""))</f>
        <v/>
      </c>
      <c r="AD76" s="108">
        <f>IF(C76="","",IFERROR(INDEX('Saisie'!$AG$5:$AG$2004,_xlfn.MAXIFS('Saisie'!$AS$5:$AS$2004,'Saisie'!$C$5:$C$2004,C76,'Saisie'!$AG$5:$AG$2004,"&lt;&gt;")-4),""))</f>
        <v/>
      </c>
      <c r="AE76" s="60">
        <f>IF(C76="","",IFERROR(INDEX('Saisie'!$AH$5:$AH$2004,_xlfn.MAXIFS('Saisie'!$AS$5:$AS$2004,'Saisie'!$C$5:$C$2004,C76,'Saisie'!$AH$5:$AH$2004,"&lt;&gt;")-4),""))</f>
        <v/>
      </c>
      <c r="AF76" s="60">
        <f>IF(C76="","",IFERROR(INDEX('Saisie'!$AI$5:$AI$2004,_xlfn.MAXIFS('Saisie'!$AS$5:$AS$2004,'Saisie'!$C$5:$C$2004,C76,'Saisie'!$AI$5:$AI$2004,"&lt;&gt;")-4),""))</f>
        <v/>
      </c>
      <c r="AG76" s="60">
        <f>IF(C76="","",IFERROR(INDEX('Saisie'!$AJ$5:$AJ$2004,_xlfn.MAXIFS('Saisie'!$AS$5:$AS$2004,'Saisie'!$C$5:$C$2004,C76,'Saisie'!$AJ$5:$AJ$2004,"&lt;&gt;")-4),""))</f>
        <v/>
      </c>
      <c r="AH76" s="60">
        <f>IF(C76="","",IFERROR(INDEX('Saisie'!$AK$5:$AK$2004,_xlfn.MAXIFS('Saisie'!$AS$5:$AS$2004,'Saisie'!$C$5:$C$2004,C76,'Saisie'!$AK$5:$AK$2004,"&lt;&gt;")-4),""))</f>
        <v/>
      </c>
      <c r="AI76" s="60">
        <f>IF(C76="","",IFERROR(INDEX('Saisie'!$AN$5:$AN$2004,_xlfn.MAXIFS('Saisie'!$AS$5:$AS$2004,'Saisie'!$C$5:$C$2004,C76,'Saisie'!$AN$5:$AN$2004,"&lt;&gt;")-4),""))</f>
        <v/>
      </c>
      <c r="AJ76" s="60">
        <f>IF(C76="","",IFERROR(INDEX('Saisie'!$AO$5:$AO$2004,_xlfn.MAXIFS('Saisie'!$AS$5:$AS$2004,'Saisie'!$C$5:$C$2004,C76,'Saisie'!$AO$5:$AO$2004,"&lt;&gt;")-4),""))</f>
        <v/>
      </c>
      <c r="AK76" s="60">
        <f>IF(C76="","",IFERROR(INDEX('Saisie'!$AP$5:$AP$2004,_xlfn.MAXIFS('Saisie'!$AS$5:$AS$2004,'Saisie'!$C$5:$C$2004,C76,'Saisie'!$AP$5:$AP$2004,"&lt;&gt;")-4),""))</f>
        <v/>
      </c>
      <c r="AL76" s="60">
        <f>IF(C76="","",IFERROR(INDEX('Saisie'!$AQ$5:$AQ$2004,_xlfn.MAXIFS('Saisie'!$AS$5:$AS$2004,'Saisie'!$C$5:$C$2004,C76,'Saisie'!$AQ$5:$AQ$2004,"&lt;&gt;")-4),""))</f>
        <v/>
      </c>
      <c r="AM76" s="60">
        <f>IF(C76="","",((AI76="Oui")+(AJ76="Oui")+(AK76="Oui")+OR(AL76="Immédiat",AL76="&lt; 1 mois"))&amp;"/4")</f>
        <v/>
      </c>
      <c r="AN76" s="60">
        <f>IF(C76="","",IFERROR(INDEX('Saisie'!$AL$5:$AL$2004,_xlfn.MAXIFS('Saisie'!$AS$5:$AS$2004,'Saisie'!$C$5:$C$2004,C76,'Saisie'!$AL$5:$AL$2004,"&lt;&gt;")-4),""))</f>
        <v/>
      </c>
      <c r="AO76" s="62">
        <f>IF(C76="","",IF(IFERROR(INDEX('Saisie'!$AM$5:$AM$2004,_xlfn.MAXIFS('Saisie'!$AS$5:$AS$2004,'Saisie'!$C$5:$C$2004,C76,'Saisie'!$AM$5:$AM$2004,"&lt;&gt;")-4),"")&lt;&gt;"",IFERROR(INDEX('Saisie'!$AM$5:$AM$2004,_xlfn.MAXIFS('Saisie'!$AS$5:$AS$2004,'Saisie'!$C$5:$C$2004,C76,'Saisie'!$AM$5:$AM$2004,"&lt;&gt;")-4),""),IFERROR(INDEX('Paramètres'!$S$6:$S$15,MATCH(AN76,'Paramètres'!$Q$6:$Q$15,0)),"")))</f>
        <v/>
      </c>
      <c r="AP76" s="62">
        <f>IF(C76="","",IFERROR(INDEX('Saisie'!$AW$5:$AW$2004,_xlfn.MAXIFS('Saisie'!$AS$5:$AS$2004,'Saisie'!$C$5:$C$2004,C76,'Saisie'!$E$5:$E$2004,"Proposition envoyée")-4),""))</f>
        <v/>
      </c>
      <c r="AQ76" s="106">
        <f>IF(C76="","",IFERROR(1/(1/_xlfn.MAXIFS('Saisie'!$A$5:$A$2004,'Saisie'!$C$5:$C$2004,C76,'Saisie'!$E$5:$E$2004,"Proposition envoyée")),""))</f>
        <v/>
      </c>
      <c r="AR76" s="106">
        <f>IF(C76="","",IF(AQ76="","",AQ76+'Paramètres'!$B$26))</f>
        <v/>
      </c>
      <c r="AS76" s="62">
        <f>IF(OR(C76="",D76="Gagné",D76="Perdu"),0,N(AP76)*IFERROR(INDEX('Paramètres'!$G$6:$G$13,MATCH(D76,'Paramètres'!$F$6:$F$13,0)),0))</f>
        <v/>
      </c>
      <c r="AT76" s="106">
        <f>IF(C76="","",IFERROR(1/(1/_xlfn.MINIFS('Saisie'!$A$5:$A$2004,'Saisie'!$C$5:$C$2004,C76,'Saisie'!$E$5:$E$2004,"Signature")),""))</f>
        <v/>
      </c>
      <c r="AU76" s="60">
        <f>IF(C76="","",IF(OR(AT76="",B76=""),"",AT76-B76))</f>
        <v/>
      </c>
      <c r="AV76" s="60">
        <f>IF(C76="","",IFERROR(INDEX('Saisie'!$L$5:$L$2004,_xlfn.MAXIFS('Saisie'!$AS$5:$AS$2004,'Saisie'!$C$5:$C$2004,C76,'Saisie'!$L$5:$L$2004,"&lt;&gt;")-4),""))</f>
        <v/>
      </c>
      <c r="AW76" s="106">
        <f>IF(C76="","",IF(D76&lt;&gt;"Perdu","",IFERROR(1/(1/_xlfn.MAXIFS('Saisie'!$A$5:$A$2004,'Saisie'!$C$5:$C$2004,C76,'Saisie'!$E$5:$E$2004,"Perdu")),"")))</f>
        <v/>
      </c>
      <c r="AX76" s="106">
        <f>IF(C76="","",IF(AW76="","",AW76+'Paramètres'!$B$28))</f>
        <v/>
      </c>
      <c r="AY76" s="60">
        <f>IF(C76="","",SUMIFS('Saisie'!$H$5:$H$2004,'Saisie'!$C$5:$C$2004,C76))</f>
        <v/>
      </c>
      <c r="AZ76" s="60">
        <f>IF(C76="","",IFERROR(INDEX('Paramètres'!$W$6:$W$20,MATCH(S76,'Paramètres'!$V$6:$V$20,0))&amp;"",""))</f>
        <v/>
      </c>
      <c r="BA76" s="60">
        <f>IF(C76="","",MAX(1,_xlfn.MAXIFS('Saisie'!$AT$5:$AT$2004,'Saisie'!$C$5:$C$2004,C76)))</f>
        <v/>
      </c>
      <c r="BB76" s="60">
        <f>IF(C76="","",IFERROR(INDEX('Saisie'!$X$5:$X$2004,_xlfn.MAXIFS('Saisie'!$AS$5:$AS$2004,'Saisie'!$C$5:$C$2004,C76,'Saisie'!$X$5:$X$2004,"&lt;&gt;")-4),""))</f>
        <v/>
      </c>
      <c r="BC76" s="60">
        <f>IF(C76="","",IFERROR(INDEX('Saisie'!$Y$5:$Y$2004,_xlfn.MAXIFS('Saisie'!$AS$5:$AS$2004,'Saisie'!$C$5:$C$2004,C76,'Saisie'!$Y$5:$Y$2004,"&lt;&gt;")-4),""))</f>
        <v/>
      </c>
      <c r="BD76" s="106">
        <f>IF(C76="","",IFERROR(1/(1/_xlfn.MINIFS('Saisie'!$A$5:$A$2004,'Saisie'!$C$5:$C$2004,C76,'Saisie'!$AT$5:$AT$2004,"&gt;=2")),""))</f>
        <v/>
      </c>
      <c r="BE76" s="106">
        <f>IF(C76="","",IFERROR(1/(1/_xlfn.MINIFS('Saisie'!$A$5:$A$2004,'Saisie'!$C$5:$C$2004,C76,'Saisie'!$AT$5:$AT$2004,"&gt;=3")),""))</f>
        <v/>
      </c>
      <c r="BF76" s="106">
        <f>IF(C76="","",IFERROR(1/(1/_xlfn.MINIFS('Saisie'!$A$5:$A$2004,'Saisie'!$C$5:$C$2004,C76,'Saisie'!$AT$5:$AT$2004,"&gt;=4")),""))</f>
        <v/>
      </c>
      <c r="BG76" s="106">
        <f>IF(C76="","",IFERROR(1/(1/_xlfn.MINIFS('Saisie'!$A$5:$A$2004,'Saisie'!$C$5:$C$2004,C76,'Saisie'!$AT$5:$AT$2004,"&gt;=5")),""))</f>
        <v/>
      </c>
      <c r="BH76" s="106">
        <f>IF(C76="","",IFERROR(1/(1/_xlfn.MINIFS('Saisie'!$A$5:$A$2004,'Saisie'!$C$5:$C$2004,C76,'Saisie'!$AT$5:$AT$2004,"&gt;=6")),""))</f>
        <v/>
      </c>
      <c r="BI76" s="106">
        <f>IF(C76="","",IFERROR(1/(1/_xlfn.MINIFS('Saisie'!$A$5:$A$2004,'Saisie'!$C$5:$C$2004,C76,'Saisie'!$AT$5:$AT$2004,"&gt;=7")),""))</f>
        <v/>
      </c>
      <c r="BJ76" s="60">
        <f>IF(OR(BD76="",B76=""),"",BD76-B76)</f>
        <v/>
      </c>
      <c r="BK76" s="60">
        <f>IF(OR(BE76="",BD76=""),"",BE76-BD76)</f>
        <v/>
      </c>
      <c r="BL76" s="60">
        <f>IF(OR(BF76="",BE76=""),"",BF76-BE76)</f>
        <v/>
      </c>
      <c r="BM76" s="60">
        <f>IF(OR(BG76="",BF76=""),"",BG76-BF76)</f>
        <v/>
      </c>
      <c r="BN76" s="60">
        <f>IF(OR(BH76="",BG76=""),"",BH76-BG76)</f>
        <v/>
      </c>
      <c r="BO76" s="60">
        <f>IF(OR(BI76="",BH76=""),"",BI76-BH76)</f>
        <v/>
      </c>
      <c r="BP76" s="60">
        <f>IF(C76="","",_xlfn.MAXIFS('Saisie'!$AS$5:$AS$2004,'Saisie'!$C$5:$C$2004,C76,'Saisie'!$J$5:$J$2004,"&lt;&gt;"))</f>
        <v/>
      </c>
      <c r="BQ76" s="60">
        <f>IF(C76="","",_xlfn.MAXIFS('Saisie'!$AS$5:$AS$2004,'Saisie'!$C$5:$C$2004,C76))</f>
        <v/>
      </c>
      <c r="BR76" s="60">
        <f>IF(C76="","",_xlfn.MAXIFS('Saisie'!$AS$5:$AS$2004,'Saisie'!$C$5:$C$2004,C76,'Saisie'!$E$5:$E$2004,"Perdu"))</f>
        <v/>
      </c>
      <c r="BS76" s="60">
        <f>IF(C76="","",_xlfn.MAXIFS('Saisie'!$AS$5:$AS$2004,'Saisie'!$C$5:$C$2004,C76,'Saisie'!$AT$5:$AT$2004,"&gt;0"))</f>
        <v/>
      </c>
      <c r="BT76" s="109">
        <f>IF(AND(C76&lt;&gt;"",OR(D76="Nouveau",D76="Contacté",D76="Qualifié"),OR(G76="",N(G76)&lt;=TODAY()),NOT(AND(O76&gt;='Paramètres'!$B$21,P76=0))),E76+72/10000,"")</f>
        <v/>
      </c>
      <c r="BU76" s="60">
        <f>IF(AND(G76&lt;&gt;"",N(G76)&lt;=TODAY()),MAX($BU$4:BU75)+1,"")</f>
        <v/>
      </c>
      <c r="BV76" s="60">
        <f>IF(AND(F76&lt;&gt;"",F76&lt;&gt;"Relance en retard"),MAX($BV$4:BV75)+1,"")</f>
        <v/>
      </c>
      <c r="BW76" s="60">
        <f>IF(C76="","",IF(AND(B76&gt;='Tableau de bord'!$R$4,B76&lt;='Tableau de bord'!$S$4,OR('Tableau de bord'!$G$4="Tous",N76='Tableau de bord'!$G$4)),1,0))</f>
        <v/>
      </c>
      <c r="BX76" s="60">
        <f>IF(AND(C76&lt;&gt;"",N(BA76)=7),MAX($BX$4:BX75)+1,"")</f>
        <v/>
      </c>
    </row>
    <row r="77">
      <c r="A77" s="60">
        <f>IF(C77="","","P-"&amp;TEXT(73,"000"))</f>
        <v/>
      </c>
      <c r="B77" s="106">
        <f>IF(C77="","",IFERROR(1/(1/_xlfn.MINIFS('Saisie'!$A$5:$A$2004,'Saisie'!$C$5:$C$2004,C77)),""))</f>
        <v/>
      </c>
      <c r="C77" s="60">
        <f>IFERROR(INDEX('Saisie'!$C$5:$C$2004,MATCH(73,'Saisie'!$AX$5:$AX$2004,0)),"")</f>
        <v/>
      </c>
      <c r="D77" s="60">
        <f>IF(C77="","",IF(AND(BR77&gt;0,BR77&gt;BS77,BA77&lt;7),"Perdu",INDEX('Paramètres'!$F$6:$F$13,BA77)))</f>
        <v/>
      </c>
      <c r="E77" s="61">
        <f>IF(C77="","",MIN(100,(Z77="Oui")*'Paramètres'!$B$38+(AB77="Régulière")*'Paramètres'!$B$39+IF(AND(N(AA77)&gt;0,TODAY()-N(AA77)&lt;=30),'Paramètres'!$B$40,0)+(W77="")*'Paramètres'!$B$41+(AC77="Absente")*'Paramètres'!$B$42+(AC77="Faible")*'Paramètres'!$B$43+IF(AND(N(AD77)&gt;0,N(AD77)&lt;4),'Paramètres'!$B$44,0)+(AF77="Moyenne")*'Paramètres'!$B$45+(AF77="Grande")*'Paramètres'!$B$46+(Y77&lt;&gt;"")*'Paramètres'!$B$47))</f>
        <v/>
      </c>
      <c r="F77" s="60">
        <f>IF(C77="","",IF(D77="Gagné","",IF(D77="Perdu",IF(AND(AX77&lt;&gt;"",AX77&lt;=TODAY()),"À recontacter (perdu)",""),IF(AND(O77&gt;='Paramètres'!$B$21,P77=0),"Stop : "&amp;'Paramètres'!$B$21&amp;" tentatives sans réponse",IF(AND(D77="Proposition",AR77&lt;&gt;"",TODAY()&gt;N(AR77)),"Proposition expirée",IF(AND(D77="Proposition",N(R77)&gt;='Paramètres'!$B$25),"Proposition sans réponse",IF(AND(G77&lt;&gt;"",N(G77)&lt;TODAY()),"Relance en retard",IF(N(R77)&gt;='Paramètres'!$B$24,"Sans action depuis "&amp;R77&amp;" j",""))))))))</f>
        <v/>
      </c>
      <c r="G77" s="106">
        <f>IF(OR(C77="",D77="Gagné",D77="Perdu"),"",IF(AND(BP77&gt;0,BP77=BQ77),INDEX('Saisie'!$J$5:$J$2004,BP77-4),IF(OR(O77=0,AND(O77&gt;='Paramètres'!$B$21,P77=0)),"",Q77+IF(O77&lt;=1,'Paramètres'!$B$18,IF(O77=2,'Paramètres'!$B$19,'Paramètres'!$B$20)))))</f>
        <v/>
      </c>
      <c r="H77" s="107">
        <f>IF(OR(G77="",BP77&lt;&gt;BQ77),"",IF(INDEX('Saisie'!$K$5:$K$2004,BP77-4)="","",INDEX('Saisie'!$K$5:$K$2004,BP77-4)))</f>
        <v/>
      </c>
      <c r="I77" s="60">
        <f>IF(C77="","",IF(OR(D77="Gagné",D77="Perdu"),"",IFERROR(INDEX('Saisie'!$I$5:$I$2004,_xlfn.MAXIFS('Saisie'!$AS$5:$AS$2004,'Saisie'!$C$5:$C$2004,C77,'Saisie'!$I$5:$I$2004,"&lt;&gt;")-4),"")))</f>
        <v/>
      </c>
      <c r="J77" s="60">
        <f>IF(C77="","",IFERROR(INDEX('Saisie'!$U$5:$U$2004,_xlfn.MAXIFS('Saisie'!$AS$5:$AS$2004,'Saisie'!$C$5:$C$2004,C77,'Saisie'!$U$5:$U$2004,"&lt;&gt;")-4),""))</f>
        <v/>
      </c>
      <c r="K77" s="60">
        <f>IF(C77="","",IFERROR(INDEX('Saisie'!$W$5:$W$2004,_xlfn.MAXIFS('Saisie'!$AS$5:$AS$2004,'Saisie'!$C$5:$C$2004,C77,'Saisie'!$W$5:$W$2004,"&lt;&gt;")-4),""))</f>
        <v/>
      </c>
      <c r="L77" s="60">
        <f>IF(IF(BB77&lt;&gt;"",BB77,K77)="","",HYPERLINK("https://wa.me/"&amp;IF(LEFT(SUBSTITUTE(SUBSTITUTE(SUBSTITUTE(IF(BB77&lt;&gt;"",BB77,K77)," ",""),".",""),"+",""),1)="0",'Paramètres'!$B$35&amp;MID(SUBSTITUTE(SUBSTITUTE(SUBSTITUTE(IF(BB77&lt;&gt;"",BB77,K77)," ",""),".",""),"+",""),2,20),SUBSTITUTE(SUBSTITUTE(SUBSTITUTE(IF(BB77&lt;&gt;"",BB77,K77)," ",""),".",""),"+","")),"WhatsApp"))</f>
        <v/>
      </c>
      <c r="M77" s="60">
        <f>IF(BC77="","",HYPERLINK(IF(LEFT(BC77,4)="http",BC77,"https://www.instagram.com/"&amp;SUBSTITUTE(SUBSTITUTE(BC77,"@","")," ","")),BC77))</f>
        <v/>
      </c>
      <c r="N77" s="60">
        <f>IF(C77="","",IFERROR(INDEX('Saisie'!$D$5:$D$2004,_xlfn.MINIFS('Saisie'!$AS$5:$AS$2004,'Saisie'!$C$5:$C$2004,C77,'Saisie'!$AU$5:$AU$2004,1)-4),IFERROR(INDEX('Saisie'!$D$5:$D$2004,_xlfn.MINIFS('Saisie'!$AS$5:$AS$2004,'Saisie'!$C$5:$C$2004,C77,'Saisie'!$D$5:$D$2004,"&lt;&gt;")-4),"")))</f>
        <v/>
      </c>
      <c r="O77" s="60">
        <f>IF(C77="","",COUNTIFS('Saisie'!$C$5:$C$2004,C77,'Saisie'!$AU$5:$AU$2004,1))</f>
        <v/>
      </c>
      <c r="P77" s="60">
        <f>IF(C77="","",COUNTIFS('Saisie'!$C$5:$C$2004,C77,'Saisie'!$AV$5:$AV$2004,1))</f>
        <v/>
      </c>
      <c r="Q77" s="106">
        <f>IF(C77="","",IFERROR(1/(1/_xlfn.MAXIFS('Saisie'!$A$5:$A$2004,'Saisie'!$C$5:$C$2004,C77)),""))</f>
        <v/>
      </c>
      <c r="R77" s="61">
        <f>IF(C77="","",IF(Q77="","",TODAY()-Q77))</f>
        <v/>
      </c>
      <c r="S77" s="60">
        <f>IF(C77="","",IFERROR(INDEX('Saisie'!$R$5:$R$2004,_xlfn.MAXIFS('Saisie'!$AS$5:$AS$2004,'Saisie'!$C$5:$C$2004,C77,'Saisie'!$R$5:$R$2004,"&lt;&gt;")-4),""))</f>
        <v/>
      </c>
      <c r="T77" s="60">
        <f>IF(C77="","",IFERROR(INDEX('Saisie'!$S$5:$S$2004,_xlfn.MAXIFS('Saisie'!$AS$5:$AS$2004,'Saisie'!$C$5:$C$2004,C77,'Saisie'!$S$5:$S$2004,"&lt;&gt;")-4),""))</f>
        <v/>
      </c>
      <c r="U77" s="60">
        <f>IF(C77="","",IFERROR(INDEX('Saisie'!$T$5:$T$2004,_xlfn.MAXIFS('Saisie'!$AS$5:$AS$2004,'Saisie'!$C$5:$C$2004,C77,'Saisie'!$T$5:$T$2004,"&lt;&gt;")-4),""))</f>
        <v/>
      </c>
      <c r="V77" s="60">
        <f>IF(C77="","",IFERROR(INDEX('Saisie'!$V$5:$V$2004,_xlfn.MAXIFS('Saisie'!$AS$5:$AS$2004,'Saisie'!$C$5:$C$2004,C77,'Saisie'!$V$5:$V$2004,"&lt;&gt;")-4),""))</f>
        <v/>
      </c>
      <c r="W77" s="60">
        <f>IF(C77="","",IFERROR(INDEX('Saisie'!$Z$5:$Z$2004,_xlfn.MAXIFS('Saisie'!$AS$5:$AS$2004,'Saisie'!$C$5:$C$2004,C77,'Saisie'!$Z$5:$Z$2004,"&lt;&gt;")-4),""))</f>
        <v/>
      </c>
      <c r="X77" s="60">
        <f>IF(C77="","",IFERROR(INDEX('Saisie'!$AA$5:$AA$2004,_xlfn.MAXIFS('Saisie'!$AS$5:$AS$2004,'Saisie'!$C$5:$C$2004,C77,'Saisie'!$AA$5:$AA$2004,"&lt;&gt;")-4),""))</f>
        <v/>
      </c>
      <c r="Y77" s="60">
        <f>IF(C77="","",IFERROR(INDEX('Saisie'!$AB$5:$AB$2004,_xlfn.MAXIFS('Saisie'!$AS$5:$AS$2004,'Saisie'!$C$5:$C$2004,C77,'Saisie'!$AB$5:$AB$2004,"&lt;&gt;")-4),""))</f>
        <v/>
      </c>
      <c r="Z77" s="60">
        <f>IF(C77="","",IFERROR(INDEX('Saisie'!$AC$5:$AC$2004,_xlfn.MAXIFS('Saisie'!$AS$5:$AS$2004,'Saisie'!$C$5:$C$2004,C77,'Saisie'!$AC$5:$AC$2004,"&lt;&gt;")-4),""))</f>
        <v/>
      </c>
      <c r="AA77" s="106">
        <f>IF(C77="","",IFERROR(INDEX('Saisie'!$AD$5:$AD$2004,_xlfn.MAXIFS('Saisie'!$AS$5:$AS$2004,'Saisie'!$C$5:$C$2004,C77,'Saisie'!$AD$5:$AD$2004,"&lt;&gt;")-4),""))</f>
        <v/>
      </c>
      <c r="AB77" s="60">
        <f>IF(C77="","",IFERROR(INDEX('Saisie'!$AE$5:$AE$2004,_xlfn.MAXIFS('Saisie'!$AS$5:$AS$2004,'Saisie'!$C$5:$C$2004,C77,'Saisie'!$AE$5:$AE$2004,"&lt;&gt;")-4),""))</f>
        <v/>
      </c>
      <c r="AC77" s="60">
        <f>IF(C77="","",IFERROR(INDEX('Saisie'!$AF$5:$AF$2004,_xlfn.MAXIFS('Saisie'!$AS$5:$AS$2004,'Saisie'!$C$5:$C$2004,C77,'Saisie'!$AF$5:$AF$2004,"&lt;&gt;")-4),""))</f>
        <v/>
      </c>
      <c r="AD77" s="108">
        <f>IF(C77="","",IFERROR(INDEX('Saisie'!$AG$5:$AG$2004,_xlfn.MAXIFS('Saisie'!$AS$5:$AS$2004,'Saisie'!$C$5:$C$2004,C77,'Saisie'!$AG$5:$AG$2004,"&lt;&gt;")-4),""))</f>
        <v/>
      </c>
      <c r="AE77" s="60">
        <f>IF(C77="","",IFERROR(INDEX('Saisie'!$AH$5:$AH$2004,_xlfn.MAXIFS('Saisie'!$AS$5:$AS$2004,'Saisie'!$C$5:$C$2004,C77,'Saisie'!$AH$5:$AH$2004,"&lt;&gt;")-4),""))</f>
        <v/>
      </c>
      <c r="AF77" s="60">
        <f>IF(C77="","",IFERROR(INDEX('Saisie'!$AI$5:$AI$2004,_xlfn.MAXIFS('Saisie'!$AS$5:$AS$2004,'Saisie'!$C$5:$C$2004,C77,'Saisie'!$AI$5:$AI$2004,"&lt;&gt;")-4),""))</f>
        <v/>
      </c>
      <c r="AG77" s="60">
        <f>IF(C77="","",IFERROR(INDEX('Saisie'!$AJ$5:$AJ$2004,_xlfn.MAXIFS('Saisie'!$AS$5:$AS$2004,'Saisie'!$C$5:$C$2004,C77,'Saisie'!$AJ$5:$AJ$2004,"&lt;&gt;")-4),""))</f>
        <v/>
      </c>
      <c r="AH77" s="60">
        <f>IF(C77="","",IFERROR(INDEX('Saisie'!$AK$5:$AK$2004,_xlfn.MAXIFS('Saisie'!$AS$5:$AS$2004,'Saisie'!$C$5:$C$2004,C77,'Saisie'!$AK$5:$AK$2004,"&lt;&gt;")-4),""))</f>
        <v/>
      </c>
      <c r="AI77" s="60">
        <f>IF(C77="","",IFERROR(INDEX('Saisie'!$AN$5:$AN$2004,_xlfn.MAXIFS('Saisie'!$AS$5:$AS$2004,'Saisie'!$C$5:$C$2004,C77,'Saisie'!$AN$5:$AN$2004,"&lt;&gt;")-4),""))</f>
        <v/>
      </c>
      <c r="AJ77" s="60">
        <f>IF(C77="","",IFERROR(INDEX('Saisie'!$AO$5:$AO$2004,_xlfn.MAXIFS('Saisie'!$AS$5:$AS$2004,'Saisie'!$C$5:$C$2004,C77,'Saisie'!$AO$5:$AO$2004,"&lt;&gt;")-4),""))</f>
        <v/>
      </c>
      <c r="AK77" s="60">
        <f>IF(C77="","",IFERROR(INDEX('Saisie'!$AP$5:$AP$2004,_xlfn.MAXIFS('Saisie'!$AS$5:$AS$2004,'Saisie'!$C$5:$C$2004,C77,'Saisie'!$AP$5:$AP$2004,"&lt;&gt;")-4),""))</f>
        <v/>
      </c>
      <c r="AL77" s="60">
        <f>IF(C77="","",IFERROR(INDEX('Saisie'!$AQ$5:$AQ$2004,_xlfn.MAXIFS('Saisie'!$AS$5:$AS$2004,'Saisie'!$C$5:$C$2004,C77,'Saisie'!$AQ$5:$AQ$2004,"&lt;&gt;")-4),""))</f>
        <v/>
      </c>
      <c r="AM77" s="60">
        <f>IF(C77="","",((AI77="Oui")+(AJ77="Oui")+(AK77="Oui")+OR(AL77="Immédiat",AL77="&lt; 1 mois"))&amp;"/4")</f>
        <v/>
      </c>
      <c r="AN77" s="60">
        <f>IF(C77="","",IFERROR(INDEX('Saisie'!$AL$5:$AL$2004,_xlfn.MAXIFS('Saisie'!$AS$5:$AS$2004,'Saisie'!$C$5:$C$2004,C77,'Saisie'!$AL$5:$AL$2004,"&lt;&gt;")-4),""))</f>
        <v/>
      </c>
      <c r="AO77" s="62">
        <f>IF(C77="","",IF(IFERROR(INDEX('Saisie'!$AM$5:$AM$2004,_xlfn.MAXIFS('Saisie'!$AS$5:$AS$2004,'Saisie'!$C$5:$C$2004,C77,'Saisie'!$AM$5:$AM$2004,"&lt;&gt;")-4),"")&lt;&gt;"",IFERROR(INDEX('Saisie'!$AM$5:$AM$2004,_xlfn.MAXIFS('Saisie'!$AS$5:$AS$2004,'Saisie'!$C$5:$C$2004,C77,'Saisie'!$AM$5:$AM$2004,"&lt;&gt;")-4),""),IFERROR(INDEX('Paramètres'!$S$6:$S$15,MATCH(AN77,'Paramètres'!$Q$6:$Q$15,0)),"")))</f>
        <v/>
      </c>
      <c r="AP77" s="62">
        <f>IF(C77="","",IFERROR(INDEX('Saisie'!$AW$5:$AW$2004,_xlfn.MAXIFS('Saisie'!$AS$5:$AS$2004,'Saisie'!$C$5:$C$2004,C77,'Saisie'!$E$5:$E$2004,"Proposition envoyée")-4),""))</f>
        <v/>
      </c>
      <c r="AQ77" s="106">
        <f>IF(C77="","",IFERROR(1/(1/_xlfn.MAXIFS('Saisie'!$A$5:$A$2004,'Saisie'!$C$5:$C$2004,C77,'Saisie'!$E$5:$E$2004,"Proposition envoyée")),""))</f>
        <v/>
      </c>
      <c r="AR77" s="106">
        <f>IF(C77="","",IF(AQ77="","",AQ77+'Paramètres'!$B$26))</f>
        <v/>
      </c>
      <c r="AS77" s="62">
        <f>IF(OR(C77="",D77="Gagné",D77="Perdu"),0,N(AP77)*IFERROR(INDEX('Paramètres'!$G$6:$G$13,MATCH(D77,'Paramètres'!$F$6:$F$13,0)),0))</f>
        <v/>
      </c>
      <c r="AT77" s="106">
        <f>IF(C77="","",IFERROR(1/(1/_xlfn.MINIFS('Saisie'!$A$5:$A$2004,'Saisie'!$C$5:$C$2004,C77,'Saisie'!$E$5:$E$2004,"Signature")),""))</f>
        <v/>
      </c>
      <c r="AU77" s="60">
        <f>IF(C77="","",IF(OR(AT77="",B77=""),"",AT77-B77))</f>
        <v/>
      </c>
      <c r="AV77" s="60">
        <f>IF(C77="","",IFERROR(INDEX('Saisie'!$L$5:$L$2004,_xlfn.MAXIFS('Saisie'!$AS$5:$AS$2004,'Saisie'!$C$5:$C$2004,C77,'Saisie'!$L$5:$L$2004,"&lt;&gt;")-4),""))</f>
        <v/>
      </c>
      <c r="AW77" s="106">
        <f>IF(C77="","",IF(D77&lt;&gt;"Perdu","",IFERROR(1/(1/_xlfn.MAXIFS('Saisie'!$A$5:$A$2004,'Saisie'!$C$5:$C$2004,C77,'Saisie'!$E$5:$E$2004,"Perdu")),"")))</f>
        <v/>
      </c>
      <c r="AX77" s="106">
        <f>IF(C77="","",IF(AW77="","",AW77+'Paramètres'!$B$28))</f>
        <v/>
      </c>
      <c r="AY77" s="60">
        <f>IF(C77="","",SUMIFS('Saisie'!$H$5:$H$2004,'Saisie'!$C$5:$C$2004,C77))</f>
        <v/>
      </c>
      <c r="AZ77" s="60">
        <f>IF(C77="","",IFERROR(INDEX('Paramètres'!$W$6:$W$20,MATCH(S77,'Paramètres'!$V$6:$V$20,0))&amp;"",""))</f>
        <v/>
      </c>
      <c r="BA77" s="60">
        <f>IF(C77="","",MAX(1,_xlfn.MAXIFS('Saisie'!$AT$5:$AT$2004,'Saisie'!$C$5:$C$2004,C77)))</f>
        <v/>
      </c>
      <c r="BB77" s="60">
        <f>IF(C77="","",IFERROR(INDEX('Saisie'!$X$5:$X$2004,_xlfn.MAXIFS('Saisie'!$AS$5:$AS$2004,'Saisie'!$C$5:$C$2004,C77,'Saisie'!$X$5:$X$2004,"&lt;&gt;")-4),""))</f>
        <v/>
      </c>
      <c r="BC77" s="60">
        <f>IF(C77="","",IFERROR(INDEX('Saisie'!$Y$5:$Y$2004,_xlfn.MAXIFS('Saisie'!$AS$5:$AS$2004,'Saisie'!$C$5:$C$2004,C77,'Saisie'!$Y$5:$Y$2004,"&lt;&gt;")-4),""))</f>
        <v/>
      </c>
      <c r="BD77" s="106">
        <f>IF(C77="","",IFERROR(1/(1/_xlfn.MINIFS('Saisie'!$A$5:$A$2004,'Saisie'!$C$5:$C$2004,C77,'Saisie'!$AT$5:$AT$2004,"&gt;=2")),""))</f>
        <v/>
      </c>
      <c r="BE77" s="106">
        <f>IF(C77="","",IFERROR(1/(1/_xlfn.MINIFS('Saisie'!$A$5:$A$2004,'Saisie'!$C$5:$C$2004,C77,'Saisie'!$AT$5:$AT$2004,"&gt;=3")),""))</f>
        <v/>
      </c>
      <c r="BF77" s="106">
        <f>IF(C77="","",IFERROR(1/(1/_xlfn.MINIFS('Saisie'!$A$5:$A$2004,'Saisie'!$C$5:$C$2004,C77,'Saisie'!$AT$5:$AT$2004,"&gt;=4")),""))</f>
        <v/>
      </c>
      <c r="BG77" s="106">
        <f>IF(C77="","",IFERROR(1/(1/_xlfn.MINIFS('Saisie'!$A$5:$A$2004,'Saisie'!$C$5:$C$2004,C77,'Saisie'!$AT$5:$AT$2004,"&gt;=5")),""))</f>
        <v/>
      </c>
      <c r="BH77" s="106">
        <f>IF(C77="","",IFERROR(1/(1/_xlfn.MINIFS('Saisie'!$A$5:$A$2004,'Saisie'!$C$5:$C$2004,C77,'Saisie'!$AT$5:$AT$2004,"&gt;=6")),""))</f>
        <v/>
      </c>
      <c r="BI77" s="106">
        <f>IF(C77="","",IFERROR(1/(1/_xlfn.MINIFS('Saisie'!$A$5:$A$2004,'Saisie'!$C$5:$C$2004,C77,'Saisie'!$AT$5:$AT$2004,"&gt;=7")),""))</f>
        <v/>
      </c>
      <c r="BJ77" s="60">
        <f>IF(OR(BD77="",B77=""),"",BD77-B77)</f>
        <v/>
      </c>
      <c r="BK77" s="60">
        <f>IF(OR(BE77="",BD77=""),"",BE77-BD77)</f>
        <v/>
      </c>
      <c r="BL77" s="60">
        <f>IF(OR(BF77="",BE77=""),"",BF77-BE77)</f>
        <v/>
      </c>
      <c r="BM77" s="60">
        <f>IF(OR(BG77="",BF77=""),"",BG77-BF77)</f>
        <v/>
      </c>
      <c r="BN77" s="60">
        <f>IF(OR(BH77="",BG77=""),"",BH77-BG77)</f>
        <v/>
      </c>
      <c r="BO77" s="60">
        <f>IF(OR(BI77="",BH77=""),"",BI77-BH77)</f>
        <v/>
      </c>
      <c r="BP77" s="60">
        <f>IF(C77="","",_xlfn.MAXIFS('Saisie'!$AS$5:$AS$2004,'Saisie'!$C$5:$C$2004,C77,'Saisie'!$J$5:$J$2004,"&lt;&gt;"))</f>
        <v/>
      </c>
      <c r="BQ77" s="60">
        <f>IF(C77="","",_xlfn.MAXIFS('Saisie'!$AS$5:$AS$2004,'Saisie'!$C$5:$C$2004,C77))</f>
        <v/>
      </c>
      <c r="BR77" s="60">
        <f>IF(C77="","",_xlfn.MAXIFS('Saisie'!$AS$5:$AS$2004,'Saisie'!$C$5:$C$2004,C77,'Saisie'!$E$5:$E$2004,"Perdu"))</f>
        <v/>
      </c>
      <c r="BS77" s="60">
        <f>IF(C77="","",_xlfn.MAXIFS('Saisie'!$AS$5:$AS$2004,'Saisie'!$C$5:$C$2004,C77,'Saisie'!$AT$5:$AT$2004,"&gt;0"))</f>
        <v/>
      </c>
      <c r="BT77" s="109">
        <f>IF(AND(C77&lt;&gt;"",OR(D77="Nouveau",D77="Contacté",D77="Qualifié"),OR(G77="",N(G77)&lt;=TODAY()),NOT(AND(O77&gt;='Paramètres'!$B$21,P77=0))),E77+73/10000,"")</f>
        <v/>
      </c>
      <c r="BU77" s="60">
        <f>IF(AND(G77&lt;&gt;"",N(G77)&lt;=TODAY()),MAX($BU$4:BU76)+1,"")</f>
        <v/>
      </c>
      <c r="BV77" s="60">
        <f>IF(AND(F77&lt;&gt;"",F77&lt;&gt;"Relance en retard"),MAX($BV$4:BV76)+1,"")</f>
        <v/>
      </c>
      <c r="BW77" s="60">
        <f>IF(C77="","",IF(AND(B77&gt;='Tableau de bord'!$R$4,B77&lt;='Tableau de bord'!$S$4,OR('Tableau de bord'!$G$4="Tous",N77='Tableau de bord'!$G$4)),1,0))</f>
        <v/>
      </c>
      <c r="BX77" s="60">
        <f>IF(AND(C77&lt;&gt;"",N(BA77)=7),MAX($BX$4:BX76)+1,"")</f>
        <v/>
      </c>
    </row>
    <row r="78">
      <c r="A78" s="60">
        <f>IF(C78="","","P-"&amp;TEXT(74,"000"))</f>
        <v/>
      </c>
      <c r="B78" s="106">
        <f>IF(C78="","",IFERROR(1/(1/_xlfn.MINIFS('Saisie'!$A$5:$A$2004,'Saisie'!$C$5:$C$2004,C78)),""))</f>
        <v/>
      </c>
      <c r="C78" s="60">
        <f>IFERROR(INDEX('Saisie'!$C$5:$C$2004,MATCH(74,'Saisie'!$AX$5:$AX$2004,0)),"")</f>
        <v/>
      </c>
      <c r="D78" s="60">
        <f>IF(C78="","",IF(AND(BR78&gt;0,BR78&gt;BS78,BA78&lt;7),"Perdu",INDEX('Paramètres'!$F$6:$F$13,BA78)))</f>
        <v/>
      </c>
      <c r="E78" s="61">
        <f>IF(C78="","",MIN(100,(Z78="Oui")*'Paramètres'!$B$38+(AB78="Régulière")*'Paramètres'!$B$39+IF(AND(N(AA78)&gt;0,TODAY()-N(AA78)&lt;=30),'Paramètres'!$B$40,0)+(W78="")*'Paramètres'!$B$41+(AC78="Absente")*'Paramètres'!$B$42+(AC78="Faible")*'Paramètres'!$B$43+IF(AND(N(AD78)&gt;0,N(AD78)&lt;4),'Paramètres'!$B$44,0)+(AF78="Moyenne")*'Paramètres'!$B$45+(AF78="Grande")*'Paramètres'!$B$46+(Y78&lt;&gt;"")*'Paramètres'!$B$47))</f>
        <v/>
      </c>
      <c r="F78" s="60">
        <f>IF(C78="","",IF(D78="Gagné","",IF(D78="Perdu",IF(AND(AX78&lt;&gt;"",AX78&lt;=TODAY()),"À recontacter (perdu)",""),IF(AND(O78&gt;='Paramètres'!$B$21,P78=0),"Stop : "&amp;'Paramètres'!$B$21&amp;" tentatives sans réponse",IF(AND(D78="Proposition",AR78&lt;&gt;"",TODAY()&gt;N(AR78)),"Proposition expirée",IF(AND(D78="Proposition",N(R78)&gt;='Paramètres'!$B$25),"Proposition sans réponse",IF(AND(G78&lt;&gt;"",N(G78)&lt;TODAY()),"Relance en retard",IF(N(R78)&gt;='Paramètres'!$B$24,"Sans action depuis "&amp;R78&amp;" j",""))))))))</f>
        <v/>
      </c>
      <c r="G78" s="106">
        <f>IF(OR(C78="",D78="Gagné",D78="Perdu"),"",IF(AND(BP78&gt;0,BP78=BQ78),INDEX('Saisie'!$J$5:$J$2004,BP78-4),IF(OR(O78=0,AND(O78&gt;='Paramètres'!$B$21,P78=0)),"",Q78+IF(O78&lt;=1,'Paramètres'!$B$18,IF(O78=2,'Paramètres'!$B$19,'Paramètres'!$B$20)))))</f>
        <v/>
      </c>
      <c r="H78" s="107">
        <f>IF(OR(G78="",BP78&lt;&gt;BQ78),"",IF(INDEX('Saisie'!$K$5:$K$2004,BP78-4)="","",INDEX('Saisie'!$K$5:$K$2004,BP78-4)))</f>
        <v/>
      </c>
      <c r="I78" s="60">
        <f>IF(C78="","",IF(OR(D78="Gagné",D78="Perdu"),"",IFERROR(INDEX('Saisie'!$I$5:$I$2004,_xlfn.MAXIFS('Saisie'!$AS$5:$AS$2004,'Saisie'!$C$5:$C$2004,C78,'Saisie'!$I$5:$I$2004,"&lt;&gt;")-4),"")))</f>
        <v/>
      </c>
      <c r="J78" s="60">
        <f>IF(C78="","",IFERROR(INDEX('Saisie'!$U$5:$U$2004,_xlfn.MAXIFS('Saisie'!$AS$5:$AS$2004,'Saisie'!$C$5:$C$2004,C78,'Saisie'!$U$5:$U$2004,"&lt;&gt;")-4),""))</f>
        <v/>
      </c>
      <c r="K78" s="60">
        <f>IF(C78="","",IFERROR(INDEX('Saisie'!$W$5:$W$2004,_xlfn.MAXIFS('Saisie'!$AS$5:$AS$2004,'Saisie'!$C$5:$C$2004,C78,'Saisie'!$W$5:$W$2004,"&lt;&gt;")-4),""))</f>
        <v/>
      </c>
      <c r="L78" s="60">
        <f>IF(IF(BB78&lt;&gt;"",BB78,K78)="","",HYPERLINK("https://wa.me/"&amp;IF(LEFT(SUBSTITUTE(SUBSTITUTE(SUBSTITUTE(IF(BB78&lt;&gt;"",BB78,K78)," ",""),".",""),"+",""),1)="0",'Paramètres'!$B$35&amp;MID(SUBSTITUTE(SUBSTITUTE(SUBSTITUTE(IF(BB78&lt;&gt;"",BB78,K78)," ",""),".",""),"+",""),2,20),SUBSTITUTE(SUBSTITUTE(SUBSTITUTE(IF(BB78&lt;&gt;"",BB78,K78)," ",""),".",""),"+","")),"WhatsApp"))</f>
        <v/>
      </c>
      <c r="M78" s="60">
        <f>IF(BC78="","",HYPERLINK(IF(LEFT(BC78,4)="http",BC78,"https://www.instagram.com/"&amp;SUBSTITUTE(SUBSTITUTE(BC78,"@","")," ","")),BC78))</f>
        <v/>
      </c>
      <c r="N78" s="60">
        <f>IF(C78="","",IFERROR(INDEX('Saisie'!$D$5:$D$2004,_xlfn.MINIFS('Saisie'!$AS$5:$AS$2004,'Saisie'!$C$5:$C$2004,C78,'Saisie'!$AU$5:$AU$2004,1)-4),IFERROR(INDEX('Saisie'!$D$5:$D$2004,_xlfn.MINIFS('Saisie'!$AS$5:$AS$2004,'Saisie'!$C$5:$C$2004,C78,'Saisie'!$D$5:$D$2004,"&lt;&gt;")-4),"")))</f>
        <v/>
      </c>
      <c r="O78" s="60">
        <f>IF(C78="","",COUNTIFS('Saisie'!$C$5:$C$2004,C78,'Saisie'!$AU$5:$AU$2004,1))</f>
        <v/>
      </c>
      <c r="P78" s="60">
        <f>IF(C78="","",COUNTIFS('Saisie'!$C$5:$C$2004,C78,'Saisie'!$AV$5:$AV$2004,1))</f>
        <v/>
      </c>
      <c r="Q78" s="106">
        <f>IF(C78="","",IFERROR(1/(1/_xlfn.MAXIFS('Saisie'!$A$5:$A$2004,'Saisie'!$C$5:$C$2004,C78)),""))</f>
        <v/>
      </c>
      <c r="R78" s="61">
        <f>IF(C78="","",IF(Q78="","",TODAY()-Q78))</f>
        <v/>
      </c>
      <c r="S78" s="60">
        <f>IF(C78="","",IFERROR(INDEX('Saisie'!$R$5:$R$2004,_xlfn.MAXIFS('Saisie'!$AS$5:$AS$2004,'Saisie'!$C$5:$C$2004,C78,'Saisie'!$R$5:$R$2004,"&lt;&gt;")-4),""))</f>
        <v/>
      </c>
      <c r="T78" s="60">
        <f>IF(C78="","",IFERROR(INDEX('Saisie'!$S$5:$S$2004,_xlfn.MAXIFS('Saisie'!$AS$5:$AS$2004,'Saisie'!$C$5:$C$2004,C78,'Saisie'!$S$5:$S$2004,"&lt;&gt;")-4),""))</f>
        <v/>
      </c>
      <c r="U78" s="60">
        <f>IF(C78="","",IFERROR(INDEX('Saisie'!$T$5:$T$2004,_xlfn.MAXIFS('Saisie'!$AS$5:$AS$2004,'Saisie'!$C$5:$C$2004,C78,'Saisie'!$T$5:$T$2004,"&lt;&gt;")-4),""))</f>
        <v/>
      </c>
      <c r="V78" s="60">
        <f>IF(C78="","",IFERROR(INDEX('Saisie'!$V$5:$V$2004,_xlfn.MAXIFS('Saisie'!$AS$5:$AS$2004,'Saisie'!$C$5:$C$2004,C78,'Saisie'!$V$5:$V$2004,"&lt;&gt;")-4),""))</f>
        <v/>
      </c>
      <c r="W78" s="60">
        <f>IF(C78="","",IFERROR(INDEX('Saisie'!$Z$5:$Z$2004,_xlfn.MAXIFS('Saisie'!$AS$5:$AS$2004,'Saisie'!$C$5:$C$2004,C78,'Saisie'!$Z$5:$Z$2004,"&lt;&gt;")-4),""))</f>
        <v/>
      </c>
      <c r="X78" s="60">
        <f>IF(C78="","",IFERROR(INDEX('Saisie'!$AA$5:$AA$2004,_xlfn.MAXIFS('Saisie'!$AS$5:$AS$2004,'Saisie'!$C$5:$C$2004,C78,'Saisie'!$AA$5:$AA$2004,"&lt;&gt;")-4),""))</f>
        <v/>
      </c>
      <c r="Y78" s="60">
        <f>IF(C78="","",IFERROR(INDEX('Saisie'!$AB$5:$AB$2004,_xlfn.MAXIFS('Saisie'!$AS$5:$AS$2004,'Saisie'!$C$5:$C$2004,C78,'Saisie'!$AB$5:$AB$2004,"&lt;&gt;")-4),""))</f>
        <v/>
      </c>
      <c r="Z78" s="60">
        <f>IF(C78="","",IFERROR(INDEX('Saisie'!$AC$5:$AC$2004,_xlfn.MAXIFS('Saisie'!$AS$5:$AS$2004,'Saisie'!$C$5:$C$2004,C78,'Saisie'!$AC$5:$AC$2004,"&lt;&gt;")-4),""))</f>
        <v/>
      </c>
      <c r="AA78" s="106">
        <f>IF(C78="","",IFERROR(INDEX('Saisie'!$AD$5:$AD$2004,_xlfn.MAXIFS('Saisie'!$AS$5:$AS$2004,'Saisie'!$C$5:$C$2004,C78,'Saisie'!$AD$5:$AD$2004,"&lt;&gt;")-4),""))</f>
        <v/>
      </c>
      <c r="AB78" s="60">
        <f>IF(C78="","",IFERROR(INDEX('Saisie'!$AE$5:$AE$2004,_xlfn.MAXIFS('Saisie'!$AS$5:$AS$2004,'Saisie'!$C$5:$C$2004,C78,'Saisie'!$AE$5:$AE$2004,"&lt;&gt;")-4),""))</f>
        <v/>
      </c>
      <c r="AC78" s="60">
        <f>IF(C78="","",IFERROR(INDEX('Saisie'!$AF$5:$AF$2004,_xlfn.MAXIFS('Saisie'!$AS$5:$AS$2004,'Saisie'!$C$5:$C$2004,C78,'Saisie'!$AF$5:$AF$2004,"&lt;&gt;")-4),""))</f>
        <v/>
      </c>
      <c r="AD78" s="108">
        <f>IF(C78="","",IFERROR(INDEX('Saisie'!$AG$5:$AG$2004,_xlfn.MAXIFS('Saisie'!$AS$5:$AS$2004,'Saisie'!$C$5:$C$2004,C78,'Saisie'!$AG$5:$AG$2004,"&lt;&gt;")-4),""))</f>
        <v/>
      </c>
      <c r="AE78" s="60">
        <f>IF(C78="","",IFERROR(INDEX('Saisie'!$AH$5:$AH$2004,_xlfn.MAXIFS('Saisie'!$AS$5:$AS$2004,'Saisie'!$C$5:$C$2004,C78,'Saisie'!$AH$5:$AH$2004,"&lt;&gt;")-4),""))</f>
        <v/>
      </c>
      <c r="AF78" s="60">
        <f>IF(C78="","",IFERROR(INDEX('Saisie'!$AI$5:$AI$2004,_xlfn.MAXIFS('Saisie'!$AS$5:$AS$2004,'Saisie'!$C$5:$C$2004,C78,'Saisie'!$AI$5:$AI$2004,"&lt;&gt;")-4),""))</f>
        <v/>
      </c>
      <c r="AG78" s="60">
        <f>IF(C78="","",IFERROR(INDEX('Saisie'!$AJ$5:$AJ$2004,_xlfn.MAXIFS('Saisie'!$AS$5:$AS$2004,'Saisie'!$C$5:$C$2004,C78,'Saisie'!$AJ$5:$AJ$2004,"&lt;&gt;")-4),""))</f>
        <v/>
      </c>
      <c r="AH78" s="60">
        <f>IF(C78="","",IFERROR(INDEX('Saisie'!$AK$5:$AK$2004,_xlfn.MAXIFS('Saisie'!$AS$5:$AS$2004,'Saisie'!$C$5:$C$2004,C78,'Saisie'!$AK$5:$AK$2004,"&lt;&gt;")-4),""))</f>
        <v/>
      </c>
      <c r="AI78" s="60">
        <f>IF(C78="","",IFERROR(INDEX('Saisie'!$AN$5:$AN$2004,_xlfn.MAXIFS('Saisie'!$AS$5:$AS$2004,'Saisie'!$C$5:$C$2004,C78,'Saisie'!$AN$5:$AN$2004,"&lt;&gt;")-4),""))</f>
        <v/>
      </c>
      <c r="AJ78" s="60">
        <f>IF(C78="","",IFERROR(INDEX('Saisie'!$AO$5:$AO$2004,_xlfn.MAXIFS('Saisie'!$AS$5:$AS$2004,'Saisie'!$C$5:$C$2004,C78,'Saisie'!$AO$5:$AO$2004,"&lt;&gt;")-4),""))</f>
        <v/>
      </c>
      <c r="AK78" s="60">
        <f>IF(C78="","",IFERROR(INDEX('Saisie'!$AP$5:$AP$2004,_xlfn.MAXIFS('Saisie'!$AS$5:$AS$2004,'Saisie'!$C$5:$C$2004,C78,'Saisie'!$AP$5:$AP$2004,"&lt;&gt;")-4),""))</f>
        <v/>
      </c>
      <c r="AL78" s="60">
        <f>IF(C78="","",IFERROR(INDEX('Saisie'!$AQ$5:$AQ$2004,_xlfn.MAXIFS('Saisie'!$AS$5:$AS$2004,'Saisie'!$C$5:$C$2004,C78,'Saisie'!$AQ$5:$AQ$2004,"&lt;&gt;")-4),""))</f>
        <v/>
      </c>
      <c r="AM78" s="60">
        <f>IF(C78="","",((AI78="Oui")+(AJ78="Oui")+(AK78="Oui")+OR(AL78="Immédiat",AL78="&lt; 1 mois"))&amp;"/4")</f>
        <v/>
      </c>
      <c r="AN78" s="60">
        <f>IF(C78="","",IFERROR(INDEX('Saisie'!$AL$5:$AL$2004,_xlfn.MAXIFS('Saisie'!$AS$5:$AS$2004,'Saisie'!$C$5:$C$2004,C78,'Saisie'!$AL$5:$AL$2004,"&lt;&gt;")-4),""))</f>
        <v/>
      </c>
      <c r="AO78" s="62">
        <f>IF(C78="","",IF(IFERROR(INDEX('Saisie'!$AM$5:$AM$2004,_xlfn.MAXIFS('Saisie'!$AS$5:$AS$2004,'Saisie'!$C$5:$C$2004,C78,'Saisie'!$AM$5:$AM$2004,"&lt;&gt;")-4),"")&lt;&gt;"",IFERROR(INDEX('Saisie'!$AM$5:$AM$2004,_xlfn.MAXIFS('Saisie'!$AS$5:$AS$2004,'Saisie'!$C$5:$C$2004,C78,'Saisie'!$AM$5:$AM$2004,"&lt;&gt;")-4),""),IFERROR(INDEX('Paramètres'!$S$6:$S$15,MATCH(AN78,'Paramètres'!$Q$6:$Q$15,0)),"")))</f>
        <v/>
      </c>
      <c r="AP78" s="62">
        <f>IF(C78="","",IFERROR(INDEX('Saisie'!$AW$5:$AW$2004,_xlfn.MAXIFS('Saisie'!$AS$5:$AS$2004,'Saisie'!$C$5:$C$2004,C78,'Saisie'!$E$5:$E$2004,"Proposition envoyée")-4),""))</f>
        <v/>
      </c>
      <c r="AQ78" s="106">
        <f>IF(C78="","",IFERROR(1/(1/_xlfn.MAXIFS('Saisie'!$A$5:$A$2004,'Saisie'!$C$5:$C$2004,C78,'Saisie'!$E$5:$E$2004,"Proposition envoyée")),""))</f>
        <v/>
      </c>
      <c r="AR78" s="106">
        <f>IF(C78="","",IF(AQ78="","",AQ78+'Paramètres'!$B$26))</f>
        <v/>
      </c>
      <c r="AS78" s="62">
        <f>IF(OR(C78="",D78="Gagné",D78="Perdu"),0,N(AP78)*IFERROR(INDEX('Paramètres'!$G$6:$G$13,MATCH(D78,'Paramètres'!$F$6:$F$13,0)),0))</f>
        <v/>
      </c>
      <c r="AT78" s="106">
        <f>IF(C78="","",IFERROR(1/(1/_xlfn.MINIFS('Saisie'!$A$5:$A$2004,'Saisie'!$C$5:$C$2004,C78,'Saisie'!$E$5:$E$2004,"Signature")),""))</f>
        <v/>
      </c>
      <c r="AU78" s="60">
        <f>IF(C78="","",IF(OR(AT78="",B78=""),"",AT78-B78))</f>
        <v/>
      </c>
      <c r="AV78" s="60">
        <f>IF(C78="","",IFERROR(INDEX('Saisie'!$L$5:$L$2004,_xlfn.MAXIFS('Saisie'!$AS$5:$AS$2004,'Saisie'!$C$5:$C$2004,C78,'Saisie'!$L$5:$L$2004,"&lt;&gt;")-4),""))</f>
        <v/>
      </c>
      <c r="AW78" s="106">
        <f>IF(C78="","",IF(D78&lt;&gt;"Perdu","",IFERROR(1/(1/_xlfn.MAXIFS('Saisie'!$A$5:$A$2004,'Saisie'!$C$5:$C$2004,C78,'Saisie'!$E$5:$E$2004,"Perdu")),"")))</f>
        <v/>
      </c>
      <c r="AX78" s="106">
        <f>IF(C78="","",IF(AW78="","",AW78+'Paramètres'!$B$28))</f>
        <v/>
      </c>
      <c r="AY78" s="60">
        <f>IF(C78="","",SUMIFS('Saisie'!$H$5:$H$2004,'Saisie'!$C$5:$C$2004,C78))</f>
        <v/>
      </c>
      <c r="AZ78" s="60">
        <f>IF(C78="","",IFERROR(INDEX('Paramètres'!$W$6:$W$20,MATCH(S78,'Paramètres'!$V$6:$V$20,0))&amp;"",""))</f>
        <v/>
      </c>
      <c r="BA78" s="60">
        <f>IF(C78="","",MAX(1,_xlfn.MAXIFS('Saisie'!$AT$5:$AT$2004,'Saisie'!$C$5:$C$2004,C78)))</f>
        <v/>
      </c>
      <c r="BB78" s="60">
        <f>IF(C78="","",IFERROR(INDEX('Saisie'!$X$5:$X$2004,_xlfn.MAXIFS('Saisie'!$AS$5:$AS$2004,'Saisie'!$C$5:$C$2004,C78,'Saisie'!$X$5:$X$2004,"&lt;&gt;")-4),""))</f>
        <v/>
      </c>
      <c r="BC78" s="60">
        <f>IF(C78="","",IFERROR(INDEX('Saisie'!$Y$5:$Y$2004,_xlfn.MAXIFS('Saisie'!$AS$5:$AS$2004,'Saisie'!$C$5:$C$2004,C78,'Saisie'!$Y$5:$Y$2004,"&lt;&gt;")-4),""))</f>
        <v/>
      </c>
      <c r="BD78" s="106">
        <f>IF(C78="","",IFERROR(1/(1/_xlfn.MINIFS('Saisie'!$A$5:$A$2004,'Saisie'!$C$5:$C$2004,C78,'Saisie'!$AT$5:$AT$2004,"&gt;=2")),""))</f>
        <v/>
      </c>
      <c r="BE78" s="106">
        <f>IF(C78="","",IFERROR(1/(1/_xlfn.MINIFS('Saisie'!$A$5:$A$2004,'Saisie'!$C$5:$C$2004,C78,'Saisie'!$AT$5:$AT$2004,"&gt;=3")),""))</f>
        <v/>
      </c>
      <c r="BF78" s="106">
        <f>IF(C78="","",IFERROR(1/(1/_xlfn.MINIFS('Saisie'!$A$5:$A$2004,'Saisie'!$C$5:$C$2004,C78,'Saisie'!$AT$5:$AT$2004,"&gt;=4")),""))</f>
        <v/>
      </c>
      <c r="BG78" s="106">
        <f>IF(C78="","",IFERROR(1/(1/_xlfn.MINIFS('Saisie'!$A$5:$A$2004,'Saisie'!$C$5:$C$2004,C78,'Saisie'!$AT$5:$AT$2004,"&gt;=5")),""))</f>
        <v/>
      </c>
      <c r="BH78" s="106">
        <f>IF(C78="","",IFERROR(1/(1/_xlfn.MINIFS('Saisie'!$A$5:$A$2004,'Saisie'!$C$5:$C$2004,C78,'Saisie'!$AT$5:$AT$2004,"&gt;=6")),""))</f>
        <v/>
      </c>
      <c r="BI78" s="106">
        <f>IF(C78="","",IFERROR(1/(1/_xlfn.MINIFS('Saisie'!$A$5:$A$2004,'Saisie'!$C$5:$C$2004,C78,'Saisie'!$AT$5:$AT$2004,"&gt;=7")),""))</f>
        <v/>
      </c>
      <c r="BJ78" s="60">
        <f>IF(OR(BD78="",B78=""),"",BD78-B78)</f>
        <v/>
      </c>
      <c r="BK78" s="60">
        <f>IF(OR(BE78="",BD78=""),"",BE78-BD78)</f>
        <v/>
      </c>
      <c r="BL78" s="60">
        <f>IF(OR(BF78="",BE78=""),"",BF78-BE78)</f>
        <v/>
      </c>
      <c r="BM78" s="60">
        <f>IF(OR(BG78="",BF78=""),"",BG78-BF78)</f>
        <v/>
      </c>
      <c r="BN78" s="60">
        <f>IF(OR(BH78="",BG78=""),"",BH78-BG78)</f>
        <v/>
      </c>
      <c r="BO78" s="60">
        <f>IF(OR(BI78="",BH78=""),"",BI78-BH78)</f>
        <v/>
      </c>
      <c r="BP78" s="60">
        <f>IF(C78="","",_xlfn.MAXIFS('Saisie'!$AS$5:$AS$2004,'Saisie'!$C$5:$C$2004,C78,'Saisie'!$J$5:$J$2004,"&lt;&gt;"))</f>
        <v/>
      </c>
      <c r="BQ78" s="60">
        <f>IF(C78="","",_xlfn.MAXIFS('Saisie'!$AS$5:$AS$2004,'Saisie'!$C$5:$C$2004,C78))</f>
        <v/>
      </c>
      <c r="BR78" s="60">
        <f>IF(C78="","",_xlfn.MAXIFS('Saisie'!$AS$5:$AS$2004,'Saisie'!$C$5:$C$2004,C78,'Saisie'!$E$5:$E$2004,"Perdu"))</f>
        <v/>
      </c>
      <c r="BS78" s="60">
        <f>IF(C78="","",_xlfn.MAXIFS('Saisie'!$AS$5:$AS$2004,'Saisie'!$C$5:$C$2004,C78,'Saisie'!$AT$5:$AT$2004,"&gt;0"))</f>
        <v/>
      </c>
      <c r="BT78" s="109">
        <f>IF(AND(C78&lt;&gt;"",OR(D78="Nouveau",D78="Contacté",D78="Qualifié"),OR(G78="",N(G78)&lt;=TODAY()),NOT(AND(O78&gt;='Paramètres'!$B$21,P78=0))),E78+74/10000,"")</f>
        <v/>
      </c>
      <c r="BU78" s="60">
        <f>IF(AND(G78&lt;&gt;"",N(G78)&lt;=TODAY()),MAX($BU$4:BU77)+1,"")</f>
        <v/>
      </c>
      <c r="BV78" s="60">
        <f>IF(AND(F78&lt;&gt;"",F78&lt;&gt;"Relance en retard"),MAX($BV$4:BV77)+1,"")</f>
        <v/>
      </c>
      <c r="BW78" s="60">
        <f>IF(C78="","",IF(AND(B78&gt;='Tableau de bord'!$R$4,B78&lt;='Tableau de bord'!$S$4,OR('Tableau de bord'!$G$4="Tous",N78='Tableau de bord'!$G$4)),1,0))</f>
        <v/>
      </c>
      <c r="BX78" s="60">
        <f>IF(AND(C78&lt;&gt;"",N(BA78)=7),MAX($BX$4:BX77)+1,"")</f>
        <v/>
      </c>
    </row>
    <row r="79">
      <c r="A79" s="60">
        <f>IF(C79="","","P-"&amp;TEXT(75,"000"))</f>
        <v/>
      </c>
      <c r="B79" s="106">
        <f>IF(C79="","",IFERROR(1/(1/_xlfn.MINIFS('Saisie'!$A$5:$A$2004,'Saisie'!$C$5:$C$2004,C79)),""))</f>
        <v/>
      </c>
      <c r="C79" s="60">
        <f>IFERROR(INDEX('Saisie'!$C$5:$C$2004,MATCH(75,'Saisie'!$AX$5:$AX$2004,0)),"")</f>
        <v/>
      </c>
      <c r="D79" s="60">
        <f>IF(C79="","",IF(AND(BR79&gt;0,BR79&gt;BS79,BA79&lt;7),"Perdu",INDEX('Paramètres'!$F$6:$F$13,BA79)))</f>
        <v/>
      </c>
      <c r="E79" s="61">
        <f>IF(C79="","",MIN(100,(Z79="Oui")*'Paramètres'!$B$38+(AB79="Régulière")*'Paramètres'!$B$39+IF(AND(N(AA79)&gt;0,TODAY()-N(AA79)&lt;=30),'Paramètres'!$B$40,0)+(W79="")*'Paramètres'!$B$41+(AC79="Absente")*'Paramètres'!$B$42+(AC79="Faible")*'Paramètres'!$B$43+IF(AND(N(AD79)&gt;0,N(AD79)&lt;4),'Paramètres'!$B$44,0)+(AF79="Moyenne")*'Paramètres'!$B$45+(AF79="Grande")*'Paramètres'!$B$46+(Y79&lt;&gt;"")*'Paramètres'!$B$47))</f>
        <v/>
      </c>
      <c r="F79" s="60">
        <f>IF(C79="","",IF(D79="Gagné","",IF(D79="Perdu",IF(AND(AX79&lt;&gt;"",AX79&lt;=TODAY()),"À recontacter (perdu)",""),IF(AND(O79&gt;='Paramètres'!$B$21,P79=0),"Stop : "&amp;'Paramètres'!$B$21&amp;" tentatives sans réponse",IF(AND(D79="Proposition",AR79&lt;&gt;"",TODAY()&gt;N(AR79)),"Proposition expirée",IF(AND(D79="Proposition",N(R79)&gt;='Paramètres'!$B$25),"Proposition sans réponse",IF(AND(G79&lt;&gt;"",N(G79)&lt;TODAY()),"Relance en retard",IF(N(R79)&gt;='Paramètres'!$B$24,"Sans action depuis "&amp;R79&amp;" j",""))))))))</f>
        <v/>
      </c>
      <c r="G79" s="106">
        <f>IF(OR(C79="",D79="Gagné",D79="Perdu"),"",IF(AND(BP79&gt;0,BP79=BQ79),INDEX('Saisie'!$J$5:$J$2004,BP79-4),IF(OR(O79=0,AND(O79&gt;='Paramètres'!$B$21,P79=0)),"",Q79+IF(O79&lt;=1,'Paramètres'!$B$18,IF(O79=2,'Paramètres'!$B$19,'Paramètres'!$B$20)))))</f>
        <v/>
      </c>
      <c r="H79" s="107">
        <f>IF(OR(G79="",BP79&lt;&gt;BQ79),"",IF(INDEX('Saisie'!$K$5:$K$2004,BP79-4)="","",INDEX('Saisie'!$K$5:$K$2004,BP79-4)))</f>
        <v/>
      </c>
      <c r="I79" s="60">
        <f>IF(C79="","",IF(OR(D79="Gagné",D79="Perdu"),"",IFERROR(INDEX('Saisie'!$I$5:$I$2004,_xlfn.MAXIFS('Saisie'!$AS$5:$AS$2004,'Saisie'!$C$5:$C$2004,C79,'Saisie'!$I$5:$I$2004,"&lt;&gt;")-4),"")))</f>
        <v/>
      </c>
      <c r="J79" s="60">
        <f>IF(C79="","",IFERROR(INDEX('Saisie'!$U$5:$U$2004,_xlfn.MAXIFS('Saisie'!$AS$5:$AS$2004,'Saisie'!$C$5:$C$2004,C79,'Saisie'!$U$5:$U$2004,"&lt;&gt;")-4),""))</f>
        <v/>
      </c>
      <c r="K79" s="60">
        <f>IF(C79="","",IFERROR(INDEX('Saisie'!$W$5:$W$2004,_xlfn.MAXIFS('Saisie'!$AS$5:$AS$2004,'Saisie'!$C$5:$C$2004,C79,'Saisie'!$W$5:$W$2004,"&lt;&gt;")-4),""))</f>
        <v/>
      </c>
      <c r="L79" s="60">
        <f>IF(IF(BB79&lt;&gt;"",BB79,K79)="","",HYPERLINK("https://wa.me/"&amp;IF(LEFT(SUBSTITUTE(SUBSTITUTE(SUBSTITUTE(IF(BB79&lt;&gt;"",BB79,K79)," ",""),".",""),"+",""),1)="0",'Paramètres'!$B$35&amp;MID(SUBSTITUTE(SUBSTITUTE(SUBSTITUTE(IF(BB79&lt;&gt;"",BB79,K79)," ",""),".",""),"+",""),2,20),SUBSTITUTE(SUBSTITUTE(SUBSTITUTE(IF(BB79&lt;&gt;"",BB79,K79)," ",""),".",""),"+","")),"WhatsApp"))</f>
        <v/>
      </c>
      <c r="M79" s="60">
        <f>IF(BC79="","",HYPERLINK(IF(LEFT(BC79,4)="http",BC79,"https://www.instagram.com/"&amp;SUBSTITUTE(SUBSTITUTE(BC79,"@","")," ","")),BC79))</f>
        <v/>
      </c>
      <c r="N79" s="60">
        <f>IF(C79="","",IFERROR(INDEX('Saisie'!$D$5:$D$2004,_xlfn.MINIFS('Saisie'!$AS$5:$AS$2004,'Saisie'!$C$5:$C$2004,C79,'Saisie'!$AU$5:$AU$2004,1)-4),IFERROR(INDEX('Saisie'!$D$5:$D$2004,_xlfn.MINIFS('Saisie'!$AS$5:$AS$2004,'Saisie'!$C$5:$C$2004,C79,'Saisie'!$D$5:$D$2004,"&lt;&gt;")-4),"")))</f>
        <v/>
      </c>
      <c r="O79" s="60">
        <f>IF(C79="","",COUNTIFS('Saisie'!$C$5:$C$2004,C79,'Saisie'!$AU$5:$AU$2004,1))</f>
        <v/>
      </c>
      <c r="P79" s="60">
        <f>IF(C79="","",COUNTIFS('Saisie'!$C$5:$C$2004,C79,'Saisie'!$AV$5:$AV$2004,1))</f>
        <v/>
      </c>
      <c r="Q79" s="106">
        <f>IF(C79="","",IFERROR(1/(1/_xlfn.MAXIFS('Saisie'!$A$5:$A$2004,'Saisie'!$C$5:$C$2004,C79)),""))</f>
        <v/>
      </c>
      <c r="R79" s="61">
        <f>IF(C79="","",IF(Q79="","",TODAY()-Q79))</f>
        <v/>
      </c>
      <c r="S79" s="60">
        <f>IF(C79="","",IFERROR(INDEX('Saisie'!$R$5:$R$2004,_xlfn.MAXIFS('Saisie'!$AS$5:$AS$2004,'Saisie'!$C$5:$C$2004,C79,'Saisie'!$R$5:$R$2004,"&lt;&gt;")-4),""))</f>
        <v/>
      </c>
      <c r="T79" s="60">
        <f>IF(C79="","",IFERROR(INDEX('Saisie'!$S$5:$S$2004,_xlfn.MAXIFS('Saisie'!$AS$5:$AS$2004,'Saisie'!$C$5:$C$2004,C79,'Saisie'!$S$5:$S$2004,"&lt;&gt;")-4),""))</f>
        <v/>
      </c>
      <c r="U79" s="60">
        <f>IF(C79="","",IFERROR(INDEX('Saisie'!$T$5:$T$2004,_xlfn.MAXIFS('Saisie'!$AS$5:$AS$2004,'Saisie'!$C$5:$C$2004,C79,'Saisie'!$T$5:$T$2004,"&lt;&gt;")-4),""))</f>
        <v/>
      </c>
      <c r="V79" s="60">
        <f>IF(C79="","",IFERROR(INDEX('Saisie'!$V$5:$V$2004,_xlfn.MAXIFS('Saisie'!$AS$5:$AS$2004,'Saisie'!$C$5:$C$2004,C79,'Saisie'!$V$5:$V$2004,"&lt;&gt;")-4),""))</f>
        <v/>
      </c>
      <c r="W79" s="60">
        <f>IF(C79="","",IFERROR(INDEX('Saisie'!$Z$5:$Z$2004,_xlfn.MAXIFS('Saisie'!$AS$5:$AS$2004,'Saisie'!$C$5:$C$2004,C79,'Saisie'!$Z$5:$Z$2004,"&lt;&gt;")-4),""))</f>
        <v/>
      </c>
      <c r="X79" s="60">
        <f>IF(C79="","",IFERROR(INDEX('Saisie'!$AA$5:$AA$2004,_xlfn.MAXIFS('Saisie'!$AS$5:$AS$2004,'Saisie'!$C$5:$C$2004,C79,'Saisie'!$AA$5:$AA$2004,"&lt;&gt;")-4),""))</f>
        <v/>
      </c>
      <c r="Y79" s="60">
        <f>IF(C79="","",IFERROR(INDEX('Saisie'!$AB$5:$AB$2004,_xlfn.MAXIFS('Saisie'!$AS$5:$AS$2004,'Saisie'!$C$5:$C$2004,C79,'Saisie'!$AB$5:$AB$2004,"&lt;&gt;")-4),""))</f>
        <v/>
      </c>
      <c r="Z79" s="60">
        <f>IF(C79="","",IFERROR(INDEX('Saisie'!$AC$5:$AC$2004,_xlfn.MAXIFS('Saisie'!$AS$5:$AS$2004,'Saisie'!$C$5:$C$2004,C79,'Saisie'!$AC$5:$AC$2004,"&lt;&gt;")-4),""))</f>
        <v/>
      </c>
      <c r="AA79" s="106">
        <f>IF(C79="","",IFERROR(INDEX('Saisie'!$AD$5:$AD$2004,_xlfn.MAXIFS('Saisie'!$AS$5:$AS$2004,'Saisie'!$C$5:$C$2004,C79,'Saisie'!$AD$5:$AD$2004,"&lt;&gt;")-4),""))</f>
        <v/>
      </c>
      <c r="AB79" s="60">
        <f>IF(C79="","",IFERROR(INDEX('Saisie'!$AE$5:$AE$2004,_xlfn.MAXIFS('Saisie'!$AS$5:$AS$2004,'Saisie'!$C$5:$C$2004,C79,'Saisie'!$AE$5:$AE$2004,"&lt;&gt;")-4),""))</f>
        <v/>
      </c>
      <c r="AC79" s="60">
        <f>IF(C79="","",IFERROR(INDEX('Saisie'!$AF$5:$AF$2004,_xlfn.MAXIFS('Saisie'!$AS$5:$AS$2004,'Saisie'!$C$5:$C$2004,C79,'Saisie'!$AF$5:$AF$2004,"&lt;&gt;")-4),""))</f>
        <v/>
      </c>
      <c r="AD79" s="108">
        <f>IF(C79="","",IFERROR(INDEX('Saisie'!$AG$5:$AG$2004,_xlfn.MAXIFS('Saisie'!$AS$5:$AS$2004,'Saisie'!$C$5:$C$2004,C79,'Saisie'!$AG$5:$AG$2004,"&lt;&gt;")-4),""))</f>
        <v/>
      </c>
      <c r="AE79" s="60">
        <f>IF(C79="","",IFERROR(INDEX('Saisie'!$AH$5:$AH$2004,_xlfn.MAXIFS('Saisie'!$AS$5:$AS$2004,'Saisie'!$C$5:$C$2004,C79,'Saisie'!$AH$5:$AH$2004,"&lt;&gt;")-4),""))</f>
        <v/>
      </c>
      <c r="AF79" s="60">
        <f>IF(C79="","",IFERROR(INDEX('Saisie'!$AI$5:$AI$2004,_xlfn.MAXIFS('Saisie'!$AS$5:$AS$2004,'Saisie'!$C$5:$C$2004,C79,'Saisie'!$AI$5:$AI$2004,"&lt;&gt;")-4),""))</f>
        <v/>
      </c>
      <c r="AG79" s="60">
        <f>IF(C79="","",IFERROR(INDEX('Saisie'!$AJ$5:$AJ$2004,_xlfn.MAXIFS('Saisie'!$AS$5:$AS$2004,'Saisie'!$C$5:$C$2004,C79,'Saisie'!$AJ$5:$AJ$2004,"&lt;&gt;")-4),""))</f>
        <v/>
      </c>
      <c r="AH79" s="60">
        <f>IF(C79="","",IFERROR(INDEX('Saisie'!$AK$5:$AK$2004,_xlfn.MAXIFS('Saisie'!$AS$5:$AS$2004,'Saisie'!$C$5:$C$2004,C79,'Saisie'!$AK$5:$AK$2004,"&lt;&gt;")-4),""))</f>
        <v/>
      </c>
      <c r="AI79" s="60">
        <f>IF(C79="","",IFERROR(INDEX('Saisie'!$AN$5:$AN$2004,_xlfn.MAXIFS('Saisie'!$AS$5:$AS$2004,'Saisie'!$C$5:$C$2004,C79,'Saisie'!$AN$5:$AN$2004,"&lt;&gt;")-4),""))</f>
        <v/>
      </c>
      <c r="AJ79" s="60">
        <f>IF(C79="","",IFERROR(INDEX('Saisie'!$AO$5:$AO$2004,_xlfn.MAXIFS('Saisie'!$AS$5:$AS$2004,'Saisie'!$C$5:$C$2004,C79,'Saisie'!$AO$5:$AO$2004,"&lt;&gt;")-4),""))</f>
        <v/>
      </c>
      <c r="AK79" s="60">
        <f>IF(C79="","",IFERROR(INDEX('Saisie'!$AP$5:$AP$2004,_xlfn.MAXIFS('Saisie'!$AS$5:$AS$2004,'Saisie'!$C$5:$C$2004,C79,'Saisie'!$AP$5:$AP$2004,"&lt;&gt;")-4),""))</f>
        <v/>
      </c>
      <c r="AL79" s="60">
        <f>IF(C79="","",IFERROR(INDEX('Saisie'!$AQ$5:$AQ$2004,_xlfn.MAXIFS('Saisie'!$AS$5:$AS$2004,'Saisie'!$C$5:$C$2004,C79,'Saisie'!$AQ$5:$AQ$2004,"&lt;&gt;")-4),""))</f>
        <v/>
      </c>
      <c r="AM79" s="60">
        <f>IF(C79="","",((AI79="Oui")+(AJ79="Oui")+(AK79="Oui")+OR(AL79="Immédiat",AL79="&lt; 1 mois"))&amp;"/4")</f>
        <v/>
      </c>
      <c r="AN79" s="60">
        <f>IF(C79="","",IFERROR(INDEX('Saisie'!$AL$5:$AL$2004,_xlfn.MAXIFS('Saisie'!$AS$5:$AS$2004,'Saisie'!$C$5:$C$2004,C79,'Saisie'!$AL$5:$AL$2004,"&lt;&gt;")-4),""))</f>
        <v/>
      </c>
      <c r="AO79" s="62">
        <f>IF(C79="","",IF(IFERROR(INDEX('Saisie'!$AM$5:$AM$2004,_xlfn.MAXIFS('Saisie'!$AS$5:$AS$2004,'Saisie'!$C$5:$C$2004,C79,'Saisie'!$AM$5:$AM$2004,"&lt;&gt;")-4),"")&lt;&gt;"",IFERROR(INDEX('Saisie'!$AM$5:$AM$2004,_xlfn.MAXIFS('Saisie'!$AS$5:$AS$2004,'Saisie'!$C$5:$C$2004,C79,'Saisie'!$AM$5:$AM$2004,"&lt;&gt;")-4),""),IFERROR(INDEX('Paramètres'!$S$6:$S$15,MATCH(AN79,'Paramètres'!$Q$6:$Q$15,0)),"")))</f>
        <v/>
      </c>
      <c r="AP79" s="62">
        <f>IF(C79="","",IFERROR(INDEX('Saisie'!$AW$5:$AW$2004,_xlfn.MAXIFS('Saisie'!$AS$5:$AS$2004,'Saisie'!$C$5:$C$2004,C79,'Saisie'!$E$5:$E$2004,"Proposition envoyée")-4),""))</f>
        <v/>
      </c>
      <c r="AQ79" s="106">
        <f>IF(C79="","",IFERROR(1/(1/_xlfn.MAXIFS('Saisie'!$A$5:$A$2004,'Saisie'!$C$5:$C$2004,C79,'Saisie'!$E$5:$E$2004,"Proposition envoyée")),""))</f>
        <v/>
      </c>
      <c r="AR79" s="106">
        <f>IF(C79="","",IF(AQ79="","",AQ79+'Paramètres'!$B$26))</f>
        <v/>
      </c>
      <c r="AS79" s="62">
        <f>IF(OR(C79="",D79="Gagné",D79="Perdu"),0,N(AP79)*IFERROR(INDEX('Paramètres'!$G$6:$G$13,MATCH(D79,'Paramètres'!$F$6:$F$13,0)),0))</f>
        <v/>
      </c>
      <c r="AT79" s="106">
        <f>IF(C79="","",IFERROR(1/(1/_xlfn.MINIFS('Saisie'!$A$5:$A$2004,'Saisie'!$C$5:$C$2004,C79,'Saisie'!$E$5:$E$2004,"Signature")),""))</f>
        <v/>
      </c>
      <c r="AU79" s="60">
        <f>IF(C79="","",IF(OR(AT79="",B79=""),"",AT79-B79))</f>
        <v/>
      </c>
      <c r="AV79" s="60">
        <f>IF(C79="","",IFERROR(INDEX('Saisie'!$L$5:$L$2004,_xlfn.MAXIFS('Saisie'!$AS$5:$AS$2004,'Saisie'!$C$5:$C$2004,C79,'Saisie'!$L$5:$L$2004,"&lt;&gt;")-4),""))</f>
        <v/>
      </c>
      <c r="AW79" s="106">
        <f>IF(C79="","",IF(D79&lt;&gt;"Perdu","",IFERROR(1/(1/_xlfn.MAXIFS('Saisie'!$A$5:$A$2004,'Saisie'!$C$5:$C$2004,C79,'Saisie'!$E$5:$E$2004,"Perdu")),"")))</f>
        <v/>
      </c>
      <c r="AX79" s="106">
        <f>IF(C79="","",IF(AW79="","",AW79+'Paramètres'!$B$28))</f>
        <v/>
      </c>
      <c r="AY79" s="60">
        <f>IF(C79="","",SUMIFS('Saisie'!$H$5:$H$2004,'Saisie'!$C$5:$C$2004,C79))</f>
        <v/>
      </c>
      <c r="AZ79" s="60">
        <f>IF(C79="","",IFERROR(INDEX('Paramètres'!$W$6:$W$20,MATCH(S79,'Paramètres'!$V$6:$V$20,0))&amp;"",""))</f>
        <v/>
      </c>
      <c r="BA79" s="60">
        <f>IF(C79="","",MAX(1,_xlfn.MAXIFS('Saisie'!$AT$5:$AT$2004,'Saisie'!$C$5:$C$2004,C79)))</f>
        <v/>
      </c>
      <c r="BB79" s="60">
        <f>IF(C79="","",IFERROR(INDEX('Saisie'!$X$5:$X$2004,_xlfn.MAXIFS('Saisie'!$AS$5:$AS$2004,'Saisie'!$C$5:$C$2004,C79,'Saisie'!$X$5:$X$2004,"&lt;&gt;")-4),""))</f>
        <v/>
      </c>
      <c r="BC79" s="60">
        <f>IF(C79="","",IFERROR(INDEX('Saisie'!$Y$5:$Y$2004,_xlfn.MAXIFS('Saisie'!$AS$5:$AS$2004,'Saisie'!$C$5:$C$2004,C79,'Saisie'!$Y$5:$Y$2004,"&lt;&gt;")-4),""))</f>
        <v/>
      </c>
      <c r="BD79" s="106">
        <f>IF(C79="","",IFERROR(1/(1/_xlfn.MINIFS('Saisie'!$A$5:$A$2004,'Saisie'!$C$5:$C$2004,C79,'Saisie'!$AT$5:$AT$2004,"&gt;=2")),""))</f>
        <v/>
      </c>
      <c r="BE79" s="106">
        <f>IF(C79="","",IFERROR(1/(1/_xlfn.MINIFS('Saisie'!$A$5:$A$2004,'Saisie'!$C$5:$C$2004,C79,'Saisie'!$AT$5:$AT$2004,"&gt;=3")),""))</f>
        <v/>
      </c>
      <c r="BF79" s="106">
        <f>IF(C79="","",IFERROR(1/(1/_xlfn.MINIFS('Saisie'!$A$5:$A$2004,'Saisie'!$C$5:$C$2004,C79,'Saisie'!$AT$5:$AT$2004,"&gt;=4")),""))</f>
        <v/>
      </c>
      <c r="BG79" s="106">
        <f>IF(C79="","",IFERROR(1/(1/_xlfn.MINIFS('Saisie'!$A$5:$A$2004,'Saisie'!$C$5:$C$2004,C79,'Saisie'!$AT$5:$AT$2004,"&gt;=5")),""))</f>
        <v/>
      </c>
      <c r="BH79" s="106">
        <f>IF(C79="","",IFERROR(1/(1/_xlfn.MINIFS('Saisie'!$A$5:$A$2004,'Saisie'!$C$5:$C$2004,C79,'Saisie'!$AT$5:$AT$2004,"&gt;=6")),""))</f>
        <v/>
      </c>
      <c r="BI79" s="106">
        <f>IF(C79="","",IFERROR(1/(1/_xlfn.MINIFS('Saisie'!$A$5:$A$2004,'Saisie'!$C$5:$C$2004,C79,'Saisie'!$AT$5:$AT$2004,"&gt;=7")),""))</f>
        <v/>
      </c>
      <c r="BJ79" s="60">
        <f>IF(OR(BD79="",B79=""),"",BD79-B79)</f>
        <v/>
      </c>
      <c r="BK79" s="60">
        <f>IF(OR(BE79="",BD79=""),"",BE79-BD79)</f>
        <v/>
      </c>
      <c r="BL79" s="60">
        <f>IF(OR(BF79="",BE79=""),"",BF79-BE79)</f>
        <v/>
      </c>
      <c r="BM79" s="60">
        <f>IF(OR(BG79="",BF79=""),"",BG79-BF79)</f>
        <v/>
      </c>
      <c r="BN79" s="60">
        <f>IF(OR(BH79="",BG79=""),"",BH79-BG79)</f>
        <v/>
      </c>
      <c r="BO79" s="60">
        <f>IF(OR(BI79="",BH79=""),"",BI79-BH79)</f>
        <v/>
      </c>
      <c r="BP79" s="60">
        <f>IF(C79="","",_xlfn.MAXIFS('Saisie'!$AS$5:$AS$2004,'Saisie'!$C$5:$C$2004,C79,'Saisie'!$J$5:$J$2004,"&lt;&gt;"))</f>
        <v/>
      </c>
      <c r="BQ79" s="60">
        <f>IF(C79="","",_xlfn.MAXIFS('Saisie'!$AS$5:$AS$2004,'Saisie'!$C$5:$C$2004,C79))</f>
        <v/>
      </c>
      <c r="BR79" s="60">
        <f>IF(C79="","",_xlfn.MAXIFS('Saisie'!$AS$5:$AS$2004,'Saisie'!$C$5:$C$2004,C79,'Saisie'!$E$5:$E$2004,"Perdu"))</f>
        <v/>
      </c>
      <c r="BS79" s="60">
        <f>IF(C79="","",_xlfn.MAXIFS('Saisie'!$AS$5:$AS$2004,'Saisie'!$C$5:$C$2004,C79,'Saisie'!$AT$5:$AT$2004,"&gt;0"))</f>
        <v/>
      </c>
      <c r="BT79" s="109">
        <f>IF(AND(C79&lt;&gt;"",OR(D79="Nouveau",D79="Contacté",D79="Qualifié"),OR(G79="",N(G79)&lt;=TODAY()),NOT(AND(O79&gt;='Paramètres'!$B$21,P79=0))),E79+75/10000,"")</f>
        <v/>
      </c>
      <c r="BU79" s="60">
        <f>IF(AND(G79&lt;&gt;"",N(G79)&lt;=TODAY()),MAX($BU$4:BU78)+1,"")</f>
        <v/>
      </c>
      <c r="BV79" s="60">
        <f>IF(AND(F79&lt;&gt;"",F79&lt;&gt;"Relance en retard"),MAX($BV$4:BV78)+1,"")</f>
        <v/>
      </c>
      <c r="BW79" s="60">
        <f>IF(C79="","",IF(AND(B79&gt;='Tableau de bord'!$R$4,B79&lt;='Tableau de bord'!$S$4,OR('Tableau de bord'!$G$4="Tous",N79='Tableau de bord'!$G$4)),1,0))</f>
        <v/>
      </c>
      <c r="BX79" s="60">
        <f>IF(AND(C79&lt;&gt;"",N(BA79)=7),MAX($BX$4:BX78)+1,"")</f>
        <v/>
      </c>
    </row>
    <row r="80">
      <c r="A80" s="60">
        <f>IF(C80="","","P-"&amp;TEXT(76,"000"))</f>
        <v/>
      </c>
      <c r="B80" s="106">
        <f>IF(C80="","",IFERROR(1/(1/_xlfn.MINIFS('Saisie'!$A$5:$A$2004,'Saisie'!$C$5:$C$2004,C80)),""))</f>
        <v/>
      </c>
      <c r="C80" s="60">
        <f>IFERROR(INDEX('Saisie'!$C$5:$C$2004,MATCH(76,'Saisie'!$AX$5:$AX$2004,0)),"")</f>
        <v/>
      </c>
      <c r="D80" s="60">
        <f>IF(C80="","",IF(AND(BR80&gt;0,BR80&gt;BS80,BA80&lt;7),"Perdu",INDEX('Paramètres'!$F$6:$F$13,BA80)))</f>
        <v/>
      </c>
      <c r="E80" s="61">
        <f>IF(C80="","",MIN(100,(Z80="Oui")*'Paramètres'!$B$38+(AB80="Régulière")*'Paramètres'!$B$39+IF(AND(N(AA80)&gt;0,TODAY()-N(AA80)&lt;=30),'Paramètres'!$B$40,0)+(W80="")*'Paramètres'!$B$41+(AC80="Absente")*'Paramètres'!$B$42+(AC80="Faible")*'Paramètres'!$B$43+IF(AND(N(AD80)&gt;0,N(AD80)&lt;4),'Paramètres'!$B$44,0)+(AF80="Moyenne")*'Paramètres'!$B$45+(AF80="Grande")*'Paramètres'!$B$46+(Y80&lt;&gt;"")*'Paramètres'!$B$47))</f>
        <v/>
      </c>
      <c r="F80" s="60">
        <f>IF(C80="","",IF(D80="Gagné","",IF(D80="Perdu",IF(AND(AX80&lt;&gt;"",AX80&lt;=TODAY()),"À recontacter (perdu)",""),IF(AND(O80&gt;='Paramètres'!$B$21,P80=0),"Stop : "&amp;'Paramètres'!$B$21&amp;" tentatives sans réponse",IF(AND(D80="Proposition",AR80&lt;&gt;"",TODAY()&gt;N(AR80)),"Proposition expirée",IF(AND(D80="Proposition",N(R80)&gt;='Paramètres'!$B$25),"Proposition sans réponse",IF(AND(G80&lt;&gt;"",N(G80)&lt;TODAY()),"Relance en retard",IF(N(R80)&gt;='Paramètres'!$B$24,"Sans action depuis "&amp;R80&amp;" j",""))))))))</f>
        <v/>
      </c>
      <c r="G80" s="106">
        <f>IF(OR(C80="",D80="Gagné",D80="Perdu"),"",IF(AND(BP80&gt;0,BP80=BQ80),INDEX('Saisie'!$J$5:$J$2004,BP80-4),IF(OR(O80=0,AND(O80&gt;='Paramètres'!$B$21,P80=0)),"",Q80+IF(O80&lt;=1,'Paramètres'!$B$18,IF(O80=2,'Paramètres'!$B$19,'Paramètres'!$B$20)))))</f>
        <v/>
      </c>
      <c r="H80" s="107">
        <f>IF(OR(G80="",BP80&lt;&gt;BQ80),"",IF(INDEX('Saisie'!$K$5:$K$2004,BP80-4)="","",INDEX('Saisie'!$K$5:$K$2004,BP80-4)))</f>
        <v/>
      </c>
      <c r="I80" s="60">
        <f>IF(C80="","",IF(OR(D80="Gagné",D80="Perdu"),"",IFERROR(INDEX('Saisie'!$I$5:$I$2004,_xlfn.MAXIFS('Saisie'!$AS$5:$AS$2004,'Saisie'!$C$5:$C$2004,C80,'Saisie'!$I$5:$I$2004,"&lt;&gt;")-4),"")))</f>
        <v/>
      </c>
      <c r="J80" s="60">
        <f>IF(C80="","",IFERROR(INDEX('Saisie'!$U$5:$U$2004,_xlfn.MAXIFS('Saisie'!$AS$5:$AS$2004,'Saisie'!$C$5:$C$2004,C80,'Saisie'!$U$5:$U$2004,"&lt;&gt;")-4),""))</f>
        <v/>
      </c>
      <c r="K80" s="60">
        <f>IF(C80="","",IFERROR(INDEX('Saisie'!$W$5:$W$2004,_xlfn.MAXIFS('Saisie'!$AS$5:$AS$2004,'Saisie'!$C$5:$C$2004,C80,'Saisie'!$W$5:$W$2004,"&lt;&gt;")-4),""))</f>
        <v/>
      </c>
      <c r="L80" s="60">
        <f>IF(IF(BB80&lt;&gt;"",BB80,K80)="","",HYPERLINK("https://wa.me/"&amp;IF(LEFT(SUBSTITUTE(SUBSTITUTE(SUBSTITUTE(IF(BB80&lt;&gt;"",BB80,K80)," ",""),".",""),"+",""),1)="0",'Paramètres'!$B$35&amp;MID(SUBSTITUTE(SUBSTITUTE(SUBSTITUTE(IF(BB80&lt;&gt;"",BB80,K80)," ",""),".",""),"+",""),2,20),SUBSTITUTE(SUBSTITUTE(SUBSTITUTE(IF(BB80&lt;&gt;"",BB80,K80)," ",""),".",""),"+","")),"WhatsApp"))</f>
        <v/>
      </c>
      <c r="M80" s="60">
        <f>IF(BC80="","",HYPERLINK(IF(LEFT(BC80,4)="http",BC80,"https://www.instagram.com/"&amp;SUBSTITUTE(SUBSTITUTE(BC80,"@","")," ","")),BC80))</f>
        <v/>
      </c>
      <c r="N80" s="60">
        <f>IF(C80="","",IFERROR(INDEX('Saisie'!$D$5:$D$2004,_xlfn.MINIFS('Saisie'!$AS$5:$AS$2004,'Saisie'!$C$5:$C$2004,C80,'Saisie'!$AU$5:$AU$2004,1)-4),IFERROR(INDEX('Saisie'!$D$5:$D$2004,_xlfn.MINIFS('Saisie'!$AS$5:$AS$2004,'Saisie'!$C$5:$C$2004,C80,'Saisie'!$D$5:$D$2004,"&lt;&gt;")-4),"")))</f>
        <v/>
      </c>
      <c r="O80" s="60">
        <f>IF(C80="","",COUNTIFS('Saisie'!$C$5:$C$2004,C80,'Saisie'!$AU$5:$AU$2004,1))</f>
        <v/>
      </c>
      <c r="P80" s="60">
        <f>IF(C80="","",COUNTIFS('Saisie'!$C$5:$C$2004,C80,'Saisie'!$AV$5:$AV$2004,1))</f>
        <v/>
      </c>
      <c r="Q80" s="106">
        <f>IF(C80="","",IFERROR(1/(1/_xlfn.MAXIFS('Saisie'!$A$5:$A$2004,'Saisie'!$C$5:$C$2004,C80)),""))</f>
        <v/>
      </c>
      <c r="R80" s="61">
        <f>IF(C80="","",IF(Q80="","",TODAY()-Q80))</f>
        <v/>
      </c>
      <c r="S80" s="60">
        <f>IF(C80="","",IFERROR(INDEX('Saisie'!$R$5:$R$2004,_xlfn.MAXIFS('Saisie'!$AS$5:$AS$2004,'Saisie'!$C$5:$C$2004,C80,'Saisie'!$R$5:$R$2004,"&lt;&gt;")-4),""))</f>
        <v/>
      </c>
      <c r="T80" s="60">
        <f>IF(C80="","",IFERROR(INDEX('Saisie'!$S$5:$S$2004,_xlfn.MAXIFS('Saisie'!$AS$5:$AS$2004,'Saisie'!$C$5:$C$2004,C80,'Saisie'!$S$5:$S$2004,"&lt;&gt;")-4),""))</f>
        <v/>
      </c>
      <c r="U80" s="60">
        <f>IF(C80="","",IFERROR(INDEX('Saisie'!$T$5:$T$2004,_xlfn.MAXIFS('Saisie'!$AS$5:$AS$2004,'Saisie'!$C$5:$C$2004,C80,'Saisie'!$T$5:$T$2004,"&lt;&gt;")-4),""))</f>
        <v/>
      </c>
      <c r="V80" s="60">
        <f>IF(C80="","",IFERROR(INDEX('Saisie'!$V$5:$V$2004,_xlfn.MAXIFS('Saisie'!$AS$5:$AS$2004,'Saisie'!$C$5:$C$2004,C80,'Saisie'!$V$5:$V$2004,"&lt;&gt;")-4),""))</f>
        <v/>
      </c>
      <c r="W80" s="60">
        <f>IF(C80="","",IFERROR(INDEX('Saisie'!$Z$5:$Z$2004,_xlfn.MAXIFS('Saisie'!$AS$5:$AS$2004,'Saisie'!$C$5:$C$2004,C80,'Saisie'!$Z$5:$Z$2004,"&lt;&gt;")-4),""))</f>
        <v/>
      </c>
      <c r="X80" s="60">
        <f>IF(C80="","",IFERROR(INDEX('Saisie'!$AA$5:$AA$2004,_xlfn.MAXIFS('Saisie'!$AS$5:$AS$2004,'Saisie'!$C$5:$C$2004,C80,'Saisie'!$AA$5:$AA$2004,"&lt;&gt;")-4),""))</f>
        <v/>
      </c>
      <c r="Y80" s="60">
        <f>IF(C80="","",IFERROR(INDEX('Saisie'!$AB$5:$AB$2004,_xlfn.MAXIFS('Saisie'!$AS$5:$AS$2004,'Saisie'!$C$5:$C$2004,C80,'Saisie'!$AB$5:$AB$2004,"&lt;&gt;")-4),""))</f>
        <v/>
      </c>
      <c r="Z80" s="60">
        <f>IF(C80="","",IFERROR(INDEX('Saisie'!$AC$5:$AC$2004,_xlfn.MAXIFS('Saisie'!$AS$5:$AS$2004,'Saisie'!$C$5:$C$2004,C80,'Saisie'!$AC$5:$AC$2004,"&lt;&gt;")-4),""))</f>
        <v/>
      </c>
      <c r="AA80" s="106">
        <f>IF(C80="","",IFERROR(INDEX('Saisie'!$AD$5:$AD$2004,_xlfn.MAXIFS('Saisie'!$AS$5:$AS$2004,'Saisie'!$C$5:$C$2004,C80,'Saisie'!$AD$5:$AD$2004,"&lt;&gt;")-4),""))</f>
        <v/>
      </c>
      <c r="AB80" s="60">
        <f>IF(C80="","",IFERROR(INDEX('Saisie'!$AE$5:$AE$2004,_xlfn.MAXIFS('Saisie'!$AS$5:$AS$2004,'Saisie'!$C$5:$C$2004,C80,'Saisie'!$AE$5:$AE$2004,"&lt;&gt;")-4),""))</f>
        <v/>
      </c>
      <c r="AC80" s="60">
        <f>IF(C80="","",IFERROR(INDEX('Saisie'!$AF$5:$AF$2004,_xlfn.MAXIFS('Saisie'!$AS$5:$AS$2004,'Saisie'!$C$5:$C$2004,C80,'Saisie'!$AF$5:$AF$2004,"&lt;&gt;")-4),""))</f>
        <v/>
      </c>
      <c r="AD80" s="108">
        <f>IF(C80="","",IFERROR(INDEX('Saisie'!$AG$5:$AG$2004,_xlfn.MAXIFS('Saisie'!$AS$5:$AS$2004,'Saisie'!$C$5:$C$2004,C80,'Saisie'!$AG$5:$AG$2004,"&lt;&gt;")-4),""))</f>
        <v/>
      </c>
      <c r="AE80" s="60">
        <f>IF(C80="","",IFERROR(INDEX('Saisie'!$AH$5:$AH$2004,_xlfn.MAXIFS('Saisie'!$AS$5:$AS$2004,'Saisie'!$C$5:$C$2004,C80,'Saisie'!$AH$5:$AH$2004,"&lt;&gt;")-4),""))</f>
        <v/>
      </c>
      <c r="AF80" s="60">
        <f>IF(C80="","",IFERROR(INDEX('Saisie'!$AI$5:$AI$2004,_xlfn.MAXIFS('Saisie'!$AS$5:$AS$2004,'Saisie'!$C$5:$C$2004,C80,'Saisie'!$AI$5:$AI$2004,"&lt;&gt;")-4),""))</f>
        <v/>
      </c>
      <c r="AG80" s="60">
        <f>IF(C80="","",IFERROR(INDEX('Saisie'!$AJ$5:$AJ$2004,_xlfn.MAXIFS('Saisie'!$AS$5:$AS$2004,'Saisie'!$C$5:$C$2004,C80,'Saisie'!$AJ$5:$AJ$2004,"&lt;&gt;")-4),""))</f>
        <v/>
      </c>
      <c r="AH80" s="60">
        <f>IF(C80="","",IFERROR(INDEX('Saisie'!$AK$5:$AK$2004,_xlfn.MAXIFS('Saisie'!$AS$5:$AS$2004,'Saisie'!$C$5:$C$2004,C80,'Saisie'!$AK$5:$AK$2004,"&lt;&gt;")-4),""))</f>
        <v/>
      </c>
      <c r="AI80" s="60">
        <f>IF(C80="","",IFERROR(INDEX('Saisie'!$AN$5:$AN$2004,_xlfn.MAXIFS('Saisie'!$AS$5:$AS$2004,'Saisie'!$C$5:$C$2004,C80,'Saisie'!$AN$5:$AN$2004,"&lt;&gt;")-4),""))</f>
        <v/>
      </c>
      <c r="AJ80" s="60">
        <f>IF(C80="","",IFERROR(INDEX('Saisie'!$AO$5:$AO$2004,_xlfn.MAXIFS('Saisie'!$AS$5:$AS$2004,'Saisie'!$C$5:$C$2004,C80,'Saisie'!$AO$5:$AO$2004,"&lt;&gt;")-4),""))</f>
        <v/>
      </c>
      <c r="AK80" s="60">
        <f>IF(C80="","",IFERROR(INDEX('Saisie'!$AP$5:$AP$2004,_xlfn.MAXIFS('Saisie'!$AS$5:$AS$2004,'Saisie'!$C$5:$C$2004,C80,'Saisie'!$AP$5:$AP$2004,"&lt;&gt;")-4),""))</f>
        <v/>
      </c>
      <c r="AL80" s="60">
        <f>IF(C80="","",IFERROR(INDEX('Saisie'!$AQ$5:$AQ$2004,_xlfn.MAXIFS('Saisie'!$AS$5:$AS$2004,'Saisie'!$C$5:$C$2004,C80,'Saisie'!$AQ$5:$AQ$2004,"&lt;&gt;")-4),""))</f>
        <v/>
      </c>
      <c r="AM80" s="60">
        <f>IF(C80="","",((AI80="Oui")+(AJ80="Oui")+(AK80="Oui")+OR(AL80="Immédiat",AL80="&lt; 1 mois"))&amp;"/4")</f>
        <v/>
      </c>
      <c r="AN80" s="60">
        <f>IF(C80="","",IFERROR(INDEX('Saisie'!$AL$5:$AL$2004,_xlfn.MAXIFS('Saisie'!$AS$5:$AS$2004,'Saisie'!$C$5:$C$2004,C80,'Saisie'!$AL$5:$AL$2004,"&lt;&gt;")-4),""))</f>
        <v/>
      </c>
      <c r="AO80" s="62">
        <f>IF(C80="","",IF(IFERROR(INDEX('Saisie'!$AM$5:$AM$2004,_xlfn.MAXIFS('Saisie'!$AS$5:$AS$2004,'Saisie'!$C$5:$C$2004,C80,'Saisie'!$AM$5:$AM$2004,"&lt;&gt;")-4),"")&lt;&gt;"",IFERROR(INDEX('Saisie'!$AM$5:$AM$2004,_xlfn.MAXIFS('Saisie'!$AS$5:$AS$2004,'Saisie'!$C$5:$C$2004,C80,'Saisie'!$AM$5:$AM$2004,"&lt;&gt;")-4),""),IFERROR(INDEX('Paramètres'!$S$6:$S$15,MATCH(AN80,'Paramètres'!$Q$6:$Q$15,0)),"")))</f>
        <v/>
      </c>
      <c r="AP80" s="62">
        <f>IF(C80="","",IFERROR(INDEX('Saisie'!$AW$5:$AW$2004,_xlfn.MAXIFS('Saisie'!$AS$5:$AS$2004,'Saisie'!$C$5:$C$2004,C80,'Saisie'!$E$5:$E$2004,"Proposition envoyée")-4),""))</f>
        <v/>
      </c>
      <c r="AQ80" s="106">
        <f>IF(C80="","",IFERROR(1/(1/_xlfn.MAXIFS('Saisie'!$A$5:$A$2004,'Saisie'!$C$5:$C$2004,C80,'Saisie'!$E$5:$E$2004,"Proposition envoyée")),""))</f>
        <v/>
      </c>
      <c r="AR80" s="106">
        <f>IF(C80="","",IF(AQ80="","",AQ80+'Paramètres'!$B$26))</f>
        <v/>
      </c>
      <c r="AS80" s="62">
        <f>IF(OR(C80="",D80="Gagné",D80="Perdu"),0,N(AP80)*IFERROR(INDEX('Paramètres'!$G$6:$G$13,MATCH(D80,'Paramètres'!$F$6:$F$13,0)),0))</f>
        <v/>
      </c>
      <c r="AT80" s="106">
        <f>IF(C80="","",IFERROR(1/(1/_xlfn.MINIFS('Saisie'!$A$5:$A$2004,'Saisie'!$C$5:$C$2004,C80,'Saisie'!$E$5:$E$2004,"Signature")),""))</f>
        <v/>
      </c>
      <c r="AU80" s="60">
        <f>IF(C80="","",IF(OR(AT80="",B80=""),"",AT80-B80))</f>
        <v/>
      </c>
      <c r="AV80" s="60">
        <f>IF(C80="","",IFERROR(INDEX('Saisie'!$L$5:$L$2004,_xlfn.MAXIFS('Saisie'!$AS$5:$AS$2004,'Saisie'!$C$5:$C$2004,C80,'Saisie'!$L$5:$L$2004,"&lt;&gt;")-4),""))</f>
        <v/>
      </c>
      <c r="AW80" s="106">
        <f>IF(C80="","",IF(D80&lt;&gt;"Perdu","",IFERROR(1/(1/_xlfn.MAXIFS('Saisie'!$A$5:$A$2004,'Saisie'!$C$5:$C$2004,C80,'Saisie'!$E$5:$E$2004,"Perdu")),"")))</f>
        <v/>
      </c>
      <c r="AX80" s="106">
        <f>IF(C80="","",IF(AW80="","",AW80+'Paramètres'!$B$28))</f>
        <v/>
      </c>
      <c r="AY80" s="60">
        <f>IF(C80="","",SUMIFS('Saisie'!$H$5:$H$2004,'Saisie'!$C$5:$C$2004,C80))</f>
        <v/>
      </c>
      <c r="AZ80" s="60">
        <f>IF(C80="","",IFERROR(INDEX('Paramètres'!$W$6:$W$20,MATCH(S80,'Paramètres'!$V$6:$V$20,0))&amp;"",""))</f>
        <v/>
      </c>
      <c r="BA80" s="60">
        <f>IF(C80="","",MAX(1,_xlfn.MAXIFS('Saisie'!$AT$5:$AT$2004,'Saisie'!$C$5:$C$2004,C80)))</f>
        <v/>
      </c>
      <c r="BB80" s="60">
        <f>IF(C80="","",IFERROR(INDEX('Saisie'!$X$5:$X$2004,_xlfn.MAXIFS('Saisie'!$AS$5:$AS$2004,'Saisie'!$C$5:$C$2004,C80,'Saisie'!$X$5:$X$2004,"&lt;&gt;")-4),""))</f>
        <v/>
      </c>
      <c r="BC80" s="60">
        <f>IF(C80="","",IFERROR(INDEX('Saisie'!$Y$5:$Y$2004,_xlfn.MAXIFS('Saisie'!$AS$5:$AS$2004,'Saisie'!$C$5:$C$2004,C80,'Saisie'!$Y$5:$Y$2004,"&lt;&gt;")-4),""))</f>
        <v/>
      </c>
      <c r="BD80" s="106">
        <f>IF(C80="","",IFERROR(1/(1/_xlfn.MINIFS('Saisie'!$A$5:$A$2004,'Saisie'!$C$5:$C$2004,C80,'Saisie'!$AT$5:$AT$2004,"&gt;=2")),""))</f>
        <v/>
      </c>
      <c r="BE80" s="106">
        <f>IF(C80="","",IFERROR(1/(1/_xlfn.MINIFS('Saisie'!$A$5:$A$2004,'Saisie'!$C$5:$C$2004,C80,'Saisie'!$AT$5:$AT$2004,"&gt;=3")),""))</f>
        <v/>
      </c>
      <c r="BF80" s="106">
        <f>IF(C80="","",IFERROR(1/(1/_xlfn.MINIFS('Saisie'!$A$5:$A$2004,'Saisie'!$C$5:$C$2004,C80,'Saisie'!$AT$5:$AT$2004,"&gt;=4")),""))</f>
        <v/>
      </c>
      <c r="BG80" s="106">
        <f>IF(C80="","",IFERROR(1/(1/_xlfn.MINIFS('Saisie'!$A$5:$A$2004,'Saisie'!$C$5:$C$2004,C80,'Saisie'!$AT$5:$AT$2004,"&gt;=5")),""))</f>
        <v/>
      </c>
      <c r="BH80" s="106">
        <f>IF(C80="","",IFERROR(1/(1/_xlfn.MINIFS('Saisie'!$A$5:$A$2004,'Saisie'!$C$5:$C$2004,C80,'Saisie'!$AT$5:$AT$2004,"&gt;=6")),""))</f>
        <v/>
      </c>
      <c r="BI80" s="106">
        <f>IF(C80="","",IFERROR(1/(1/_xlfn.MINIFS('Saisie'!$A$5:$A$2004,'Saisie'!$C$5:$C$2004,C80,'Saisie'!$AT$5:$AT$2004,"&gt;=7")),""))</f>
        <v/>
      </c>
      <c r="BJ80" s="60">
        <f>IF(OR(BD80="",B80=""),"",BD80-B80)</f>
        <v/>
      </c>
      <c r="BK80" s="60">
        <f>IF(OR(BE80="",BD80=""),"",BE80-BD80)</f>
        <v/>
      </c>
      <c r="BL80" s="60">
        <f>IF(OR(BF80="",BE80=""),"",BF80-BE80)</f>
        <v/>
      </c>
      <c r="BM80" s="60">
        <f>IF(OR(BG80="",BF80=""),"",BG80-BF80)</f>
        <v/>
      </c>
      <c r="BN80" s="60">
        <f>IF(OR(BH80="",BG80=""),"",BH80-BG80)</f>
        <v/>
      </c>
      <c r="BO80" s="60">
        <f>IF(OR(BI80="",BH80=""),"",BI80-BH80)</f>
        <v/>
      </c>
      <c r="BP80" s="60">
        <f>IF(C80="","",_xlfn.MAXIFS('Saisie'!$AS$5:$AS$2004,'Saisie'!$C$5:$C$2004,C80,'Saisie'!$J$5:$J$2004,"&lt;&gt;"))</f>
        <v/>
      </c>
      <c r="BQ80" s="60">
        <f>IF(C80="","",_xlfn.MAXIFS('Saisie'!$AS$5:$AS$2004,'Saisie'!$C$5:$C$2004,C80))</f>
        <v/>
      </c>
      <c r="BR80" s="60">
        <f>IF(C80="","",_xlfn.MAXIFS('Saisie'!$AS$5:$AS$2004,'Saisie'!$C$5:$C$2004,C80,'Saisie'!$E$5:$E$2004,"Perdu"))</f>
        <v/>
      </c>
      <c r="BS80" s="60">
        <f>IF(C80="","",_xlfn.MAXIFS('Saisie'!$AS$5:$AS$2004,'Saisie'!$C$5:$C$2004,C80,'Saisie'!$AT$5:$AT$2004,"&gt;0"))</f>
        <v/>
      </c>
      <c r="BT80" s="109">
        <f>IF(AND(C80&lt;&gt;"",OR(D80="Nouveau",D80="Contacté",D80="Qualifié"),OR(G80="",N(G80)&lt;=TODAY()),NOT(AND(O80&gt;='Paramètres'!$B$21,P80=0))),E80+76/10000,"")</f>
        <v/>
      </c>
      <c r="BU80" s="60">
        <f>IF(AND(G80&lt;&gt;"",N(G80)&lt;=TODAY()),MAX($BU$4:BU79)+1,"")</f>
        <v/>
      </c>
      <c r="BV80" s="60">
        <f>IF(AND(F80&lt;&gt;"",F80&lt;&gt;"Relance en retard"),MAX($BV$4:BV79)+1,"")</f>
        <v/>
      </c>
      <c r="BW80" s="60">
        <f>IF(C80="","",IF(AND(B80&gt;='Tableau de bord'!$R$4,B80&lt;='Tableau de bord'!$S$4,OR('Tableau de bord'!$G$4="Tous",N80='Tableau de bord'!$G$4)),1,0))</f>
        <v/>
      </c>
      <c r="BX80" s="60">
        <f>IF(AND(C80&lt;&gt;"",N(BA80)=7),MAX($BX$4:BX79)+1,"")</f>
        <v/>
      </c>
    </row>
    <row r="81">
      <c r="A81" s="60">
        <f>IF(C81="","","P-"&amp;TEXT(77,"000"))</f>
        <v/>
      </c>
      <c r="B81" s="106">
        <f>IF(C81="","",IFERROR(1/(1/_xlfn.MINIFS('Saisie'!$A$5:$A$2004,'Saisie'!$C$5:$C$2004,C81)),""))</f>
        <v/>
      </c>
      <c r="C81" s="60">
        <f>IFERROR(INDEX('Saisie'!$C$5:$C$2004,MATCH(77,'Saisie'!$AX$5:$AX$2004,0)),"")</f>
        <v/>
      </c>
      <c r="D81" s="60">
        <f>IF(C81="","",IF(AND(BR81&gt;0,BR81&gt;BS81,BA81&lt;7),"Perdu",INDEX('Paramètres'!$F$6:$F$13,BA81)))</f>
        <v/>
      </c>
      <c r="E81" s="61">
        <f>IF(C81="","",MIN(100,(Z81="Oui")*'Paramètres'!$B$38+(AB81="Régulière")*'Paramètres'!$B$39+IF(AND(N(AA81)&gt;0,TODAY()-N(AA81)&lt;=30),'Paramètres'!$B$40,0)+(W81="")*'Paramètres'!$B$41+(AC81="Absente")*'Paramètres'!$B$42+(AC81="Faible")*'Paramètres'!$B$43+IF(AND(N(AD81)&gt;0,N(AD81)&lt;4),'Paramètres'!$B$44,0)+(AF81="Moyenne")*'Paramètres'!$B$45+(AF81="Grande")*'Paramètres'!$B$46+(Y81&lt;&gt;"")*'Paramètres'!$B$47))</f>
        <v/>
      </c>
      <c r="F81" s="60">
        <f>IF(C81="","",IF(D81="Gagné","",IF(D81="Perdu",IF(AND(AX81&lt;&gt;"",AX81&lt;=TODAY()),"À recontacter (perdu)",""),IF(AND(O81&gt;='Paramètres'!$B$21,P81=0),"Stop : "&amp;'Paramètres'!$B$21&amp;" tentatives sans réponse",IF(AND(D81="Proposition",AR81&lt;&gt;"",TODAY()&gt;N(AR81)),"Proposition expirée",IF(AND(D81="Proposition",N(R81)&gt;='Paramètres'!$B$25),"Proposition sans réponse",IF(AND(G81&lt;&gt;"",N(G81)&lt;TODAY()),"Relance en retard",IF(N(R81)&gt;='Paramètres'!$B$24,"Sans action depuis "&amp;R81&amp;" j",""))))))))</f>
        <v/>
      </c>
      <c r="G81" s="106">
        <f>IF(OR(C81="",D81="Gagné",D81="Perdu"),"",IF(AND(BP81&gt;0,BP81=BQ81),INDEX('Saisie'!$J$5:$J$2004,BP81-4),IF(OR(O81=0,AND(O81&gt;='Paramètres'!$B$21,P81=0)),"",Q81+IF(O81&lt;=1,'Paramètres'!$B$18,IF(O81=2,'Paramètres'!$B$19,'Paramètres'!$B$20)))))</f>
        <v/>
      </c>
      <c r="H81" s="107">
        <f>IF(OR(G81="",BP81&lt;&gt;BQ81),"",IF(INDEX('Saisie'!$K$5:$K$2004,BP81-4)="","",INDEX('Saisie'!$K$5:$K$2004,BP81-4)))</f>
        <v/>
      </c>
      <c r="I81" s="60">
        <f>IF(C81="","",IF(OR(D81="Gagné",D81="Perdu"),"",IFERROR(INDEX('Saisie'!$I$5:$I$2004,_xlfn.MAXIFS('Saisie'!$AS$5:$AS$2004,'Saisie'!$C$5:$C$2004,C81,'Saisie'!$I$5:$I$2004,"&lt;&gt;")-4),"")))</f>
        <v/>
      </c>
      <c r="J81" s="60">
        <f>IF(C81="","",IFERROR(INDEX('Saisie'!$U$5:$U$2004,_xlfn.MAXIFS('Saisie'!$AS$5:$AS$2004,'Saisie'!$C$5:$C$2004,C81,'Saisie'!$U$5:$U$2004,"&lt;&gt;")-4),""))</f>
        <v/>
      </c>
      <c r="K81" s="60">
        <f>IF(C81="","",IFERROR(INDEX('Saisie'!$W$5:$W$2004,_xlfn.MAXIFS('Saisie'!$AS$5:$AS$2004,'Saisie'!$C$5:$C$2004,C81,'Saisie'!$W$5:$W$2004,"&lt;&gt;")-4),""))</f>
        <v/>
      </c>
      <c r="L81" s="60">
        <f>IF(IF(BB81&lt;&gt;"",BB81,K81)="","",HYPERLINK("https://wa.me/"&amp;IF(LEFT(SUBSTITUTE(SUBSTITUTE(SUBSTITUTE(IF(BB81&lt;&gt;"",BB81,K81)," ",""),".",""),"+",""),1)="0",'Paramètres'!$B$35&amp;MID(SUBSTITUTE(SUBSTITUTE(SUBSTITUTE(IF(BB81&lt;&gt;"",BB81,K81)," ",""),".",""),"+",""),2,20),SUBSTITUTE(SUBSTITUTE(SUBSTITUTE(IF(BB81&lt;&gt;"",BB81,K81)," ",""),".",""),"+","")),"WhatsApp"))</f>
        <v/>
      </c>
      <c r="M81" s="60">
        <f>IF(BC81="","",HYPERLINK(IF(LEFT(BC81,4)="http",BC81,"https://www.instagram.com/"&amp;SUBSTITUTE(SUBSTITUTE(BC81,"@","")," ","")),BC81))</f>
        <v/>
      </c>
      <c r="N81" s="60">
        <f>IF(C81="","",IFERROR(INDEX('Saisie'!$D$5:$D$2004,_xlfn.MINIFS('Saisie'!$AS$5:$AS$2004,'Saisie'!$C$5:$C$2004,C81,'Saisie'!$AU$5:$AU$2004,1)-4),IFERROR(INDEX('Saisie'!$D$5:$D$2004,_xlfn.MINIFS('Saisie'!$AS$5:$AS$2004,'Saisie'!$C$5:$C$2004,C81,'Saisie'!$D$5:$D$2004,"&lt;&gt;")-4),"")))</f>
        <v/>
      </c>
      <c r="O81" s="60">
        <f>IF(C81="","",COUNTIFS('Saisie'!$C$5:$C$2004,C81,'Saisie'!$AU$5:$AU$2004,1))</f>
        <v/>
      </c>
      <c r="P81" s="60">
        <f>IF(C81="","",COUNTIFS('Saisie'!$C$5:$C$2004,C81,'Saisie'!$AV$5:$AV$2004,1))</f>
        <v/>
      </c>
      <c r="Q81" s="106">
        <f>IF(C81="","",IFERROR(1/(1/_xlfn.MAXIFS('Saisie'!$A$5:$A$2004,'Saisie'!$C$5:$C$2004,C81)),""))</f>
        <v/>
      </c>
      <c r="R81" s="61">
        <f>IF(C81="","",IF(Q81="","",TODAY()-Q81))</f>
        <v/>
      </c>
      <c r="S81" s="60">
        <f>IF(C81="","",IFERROR(INDEX('Saisie'!$R$5:$R$2004,_xlfn.MAXIFS('Saisie'!$AS$5:$AS$2004,'Saisie'!$C$5:$C$2004,C81,'Saisie'!$R$5:$R$2004,"&lt;&gt;")-4),""))</f>
        <v/>
      </c>
      <c r="T81" s="60">
        <f>IF(C81="","",IFERROR(INDEX('Saisie'!$S$5:$S$2004,_xlfn.MAXIFS('Saisie'!$AS$5:$AS$2004,'Saisie'!$C$5:$C$2004,C81,'Saisie'!$S$5:$S$2004,"&lt;&gt;")-4),""))</f>
        <v/>
      </c>
      <c r="U81" s="60">
        <f>IF(C81="","",IFERROR(INDEX('Saisie'!$T$5:$T$2004,_xlfn.MAXIFS('Saisie'!$AS$5:$AS$2004,'Saisie'!$C$5:$C$2004,C81,'Saisie'!$T$5:$T$2004,"&lt;&gt;")-4),""))</f>
        <v/>
      </c>
      <c r="V81" s="60">
        <f>IF(C81="","",IFERROR(INDEX('Saisie'!$V$5:$V$2004,_xlfn.MAXIFS('Saisie'!$AS$5:$AS$2004,'Saisie'!$C$5:$C$2004,C81,'Saisie'!$V$5:$V$2004,"&lt;&gt;")-4),""))</f>
        <v/>
      </c>
      <c r="W81" s="60">
        <f>IF(C81="","",IFERROR(INDEX('Saisie'!$Z$5:$Z$2004,_xlfn.MAXIFS('Saisie'!$AS$5:$AS$2004,'Saisie'!$C$5:$C$2004,C81,'Saisie'!$Z$5:$Z$2004,"&lt;&gt;")-4),""))</f>
        <v/>
      </c>
      <c r="X81" s="60">
        <f>IF(C81="","",IFERROR(INDEX('Saisie'!$AA$5:$AA$2004,_xlfn.MAXIFS('Saisie'!$AS$5:$AS$2004,'Saisie'!$C$5:$C$2004,C81,'Saisie'!$AA$5:$AA$2004,"&lt;&gt;")-4),""))</f>
        <v/>
      </c>
      <c r="Y81" s="60">
        <f>IF(C81="","",IFERROR(INDEX('Saisie'!$AB$5:$AB$2004,_xlfn.MAXIFS('Saisie'!$AS$5:$AS$2004,'Saisie'!$C$5:$C$2004,C81,'Saisie'!$AB$5:$AB$2004,"&lt;&gt;")-4),""))</f>
        <v/>
      </c>
      <c r="Z81" s="60">
        <f>IF(C81="","",IFERROR(INDEX('Saisie'!$AC$5:$AC$2004,_xlfn.MAXIFS('Saisie'!$AS$5:$AS$2004,'Saisie'!$C$5:$C$2004,C81,'Saisie'!$AC$5:$AC$2004,"&lt;&gt;")-4),""))</f>
        <v/>
      </c>
      <c r="AA81" s="106">
        <f>IF(C81="","",IFERROR(INDEX('Saisie'!$AD$5:$AD$2004,_xlfn.MAXIFS('Saisie'!$AS$5:$AS$2004,'Saisie'!$C$5:$C$2004,C81,'Saisie'!$AD$5:$AD$2004,"&lt;&gt;")-4),""))</f>
        <v/>
      </c>
      <c r="AB81" s="60">
        <f>IF(C81="","",IFERROR(INDEX('Saisie'!$AE$5:$AE$2004,_xlfn.MAXIFS('Saisie'!$AS$5:$AS$2004,'Saisie'!$C$5:$C$2004,C81,'Saisie'!$AE$5:$AE$2004,"&lt;&gt;")-4),""))</f>
        <v/>
      </c>
      <c r="AC81" s="60">
        <f>IF(C81="","",IFERROR(INDEX('Saisie'!$AF$5:$AF$2004,_xlfn.MAXIFS('Saisie'!$AS$5:$AS$2004,'Saisie'!$C$5:$C$2004,C81,'Saisie'!$AF$5:$AF$2004,"&lt;&gt;")-4),""))</f>
        <v/>
      </c>
      <c r="AD81" s="108">
        <f>IF(C81="","",IFERROR(INDEX('Saisie'!$AG$5:$AG$2004,_xlfn.MAXIFS('Saisie'!$AS$5:$AS$2004,'Saisie'!$C$5:$C$2004,C81,'Saisie'!$AG$5:$AG$2004,"&lt;&gt;")-4),""))</f>
        <v/>
      </c>
      <c r="AE81" s="60">
        <f>IF(C81="","",IFERROR(INDEX('Saisie'!$AH$5:$AH$2004,_xlfn.MAXIFS('Saisie'!$AS$5:$AS$2004,'Saisie'!$C$5:$C$2004,C81,'Saisie'!$AH$5:$AH$2004,"&lt;&gt;")-4),""))</f>
        <v/>
      </c>
      <c r="AF81" s="60">
        <f>IF(C81="","",IFERROR(INDEX('Saisie'!$AI$5:$AI$2004,_xlfn.MAXIFS('Saisie'!$AS$5:$AS$2004,'Saisie'!$C$5:$C$2004,C81,'Saisie'!$AI$5:$AI$2004,"&lt;&gt;")-4),""))</f>
        <v/>
      </c>
      <c r="AG81" s="60">
        <f>IF(C81="","",IFERROR(INDEX('Saisie'!$AJ$5:$AJ$2004,_xlfn.MAXIFS('Saisie'!$AS$5:$AS$2004,'Saisie'!$C$5:$C$2004,C81,'Saisie'!$AJ$5:$AJ$2004,"&lt;&gt;")-4),""))</f>
        <v/>
      </c>
      <c r="AH81" s="60">
        <f>IF(C81="","",IFERROR(INDEX('Saisie'!$AK$5:$AK$2004,_xlfn.MAXIFS('Saisie'!$AS$5:$AS$2004,'Saisie'!$C$5:$C$2004,C81,'Saisie'!$AK$5:$AK$2004,"&lt;&gt;")-4),""))</f>
        <v/>
      </c>
      <c r="AI81" s="60">
        <f>IF(C81="","",IFERROR(INDEX('Saisie'!$AN$5:$AN$2004,_xlfn.MAXIFS('Saisie'!$AS$5:$AS$2004,'Saisie'!$C$5:$C$2004,C81,'Saisie'!$AN$5:$AN$2004,"&lt;&gt;")-4),""))</f>
        <v/>
      </c>
      <c r="AJ81" s="60">
        <f>IF(C81="","",IFERROR(INDEX('Saisie'!$AO$5:$AO$2004,_xlfn.MAXIFS('Saisie'!$AS$5:$AS$2004,'Saisie'!$C$5:$C$2004,C81,'Saisie'!$AO$5:$AO$2004,"&lt;&gt;")-4),""))</f>
        <v/>
      </c>
      <c r="AK81" s="60">
        <f>IF(C81="","",IFERROR(INDEX('Saisie'!$AP$5:$AP$2004,_xlfn.MAXIFS('Saisie'!$AS$5:$AS$2004,'Saisie'!$C$5:$C$2004,C81,'Saisie'!$AP$5:$AP$2004,"&lt;&gt;")-4),""))</f>
        <v/>
      </c>
      <c r="AL81" s="60">
        <f>IF(C81="","",IFERROR(INDEX('Saisie'!$AQ$5:$AQ$2004,_xlfn.MAXIFS('Saisie'!$AS$5:$AS$2004,'Saisie'!$C$5:$C$2004,C81,'Saisie'!$AQ$5:$AQ$2004,"&lt;&gt;")-4),""))</f>
        <v/>
      </c>
      <c r="AM81" s="60">
        <f>IF(C81="","",((AI81="Oui")+(AJ81="Oui")+(AK81="Oui")+OR(AL81="Immédiat",AL81="&lt; 1 mois"))&amp;"/4")</f>
        <v/>
      </c>
      <c r="AN81" s="60">
        <f>IF(C81="","",IFERROR(INDEX('Saisie'!$AL$5:$AL$2004,_xlfn.MAXIFS('Saisie'!$AS$5:$AS$2004,'Saisie'!$C$5:$C$2004,C81,'Saisie'!$AL$5:$AL$2004,"&lt;&gt;")-4),""))</f>
        <v/>
      </c>
      <c r="AO81" s="62">
        <f>IF(C81="","",IF(IFERROR(INDEX('Saisie'!$AM$5:$AM$2004,_xlfn.MAXIFS('Saisie'!$AS$5:$AS$2004,'Saisie'!$C$5:$C$2004,C81,'Saisie'!$AM$5:$AM$2004,"&lt;&gt;")-4),"")&lt;&gt;"",IFERROR(INDEX('Saisie'!$AM$5:$AM$2004,_xlfn.MAXIFS('Saisie'!$AS$5:$AS$2004,'Saisie'!$C$5:$C$2004,C81,'Saisie'!$AM$5:$AM$2004,"&lt;&gt;")-4),""),IFERROR(INDEX('Paramètres'!$S$6:$S$15,MATCH(AN81,'Paramètres'!$Q$6:$Q$15,0)),"")))</f>
        <v/>
      </c>
      <c r="AP81" s="62">
        <f>IF(C81="","",IFERROR(INDEX('Saisie'!$AW$5:$AW$2004,_xlfn.MAXIFS('Saisie'!$AS$5:$AS$2004,'Saisie'!$C$5:$C$2004,C81,'Saisie'!$E$5:$E$2004,"Proposition envoyée")-4),""))</f>
        <v/>
      </c>
      <c r="AQ81" s="106">
        <f>IF(C81="","",IFERROR(1/(1/_xlfn.MAXIFS('Saisie'!$A$5:$A$2004,'Saisie'!$C$5:$C$2004,C81,'Saisie'!$E$5:$E$2004,"Proposition envoyée")),""))</f>
        <v/>
      </c>
      <c r="AR81" s="106">
        <f>IF(C81="","",IF(AQ81="","",AQ81+'Paramètres'!$B$26))</f>
        <v/>
      </c>
      <c r="AS81" s="62">
        <f>IF(OR(C81="",D81="Gagné",D81="Perdu"),0,N(AP81)*IFERROR(INDEX('Paramètres'!$G$6:$G$13,MATCH(D81,'Paramètres'!$F$6:$F$13,0)),0))</f>
        <v/>
      </c>
      <c r="AT81" s="106">
        <f>IF(C81="","",IFERROR(1/(1/_xlfn.MINIFS('Saisie'!$A$5:$A$2004,'Saisie'!$C$5:$C$2004,C81,'Saisie'!$E$5:$E$2004,"Signature")),""))</f>
        <v/>
      </c>
      <c r="AU81" s="60">
        <f>IF(C81="","",IF(OR(AT81="",B81=""),"",AT81-B81))</f>
        <v/>
      </c>
      <c r="AV81" s="60">
        <f>IF(C81="","",IFERROR(INDEX('Saisie'!$L$5:$L$2004,_xlfn.MAXIFS('Saisie'!$AS$5:$AS$2004,'Saisie'!$C$5:$C$2004,C81,'Saisie'!$L$5:$L$2004,"&lt;&gt;")-4),""))</f>
        <v/>
      </c>
      <c r="AW81" s="106">
        <f>IF(C81="","",IF(D81&lt;&gt;"Perdu","",IFERROR(1/(1/_xlfn.MAXIFS('Saisie'!$A$5:$A$2004,'Saisie'!$C$5:$C$2004,C81,'Saisie'!$E$5:$E$2004,"Perdu")),"")))</f>
        <v/>
      </c>
      <c r="AX81" s="106">
        <f>IF(C81="","",IF(AW81="","",AW81+'Paramètres'!$B$28))</f>
        <v/>
      </c>
      <c r="AY81" s="60">
        <f>IF(C81="","",SUMIFS('Saisie'!$H$5:$H$2004,'Saisie'!$C$5:$C$2004,C81))</f>
        <v/>
      </c>
      <c r="AZ81" s="60">
        <f>IF(C81="","",IFERROR(INDEX('Paramètres'!$W$6:$W$20,MATCH(S81,'Paramètres'!$V$6:$V$20,0))&amp;"",""))</f>
        <v/>
      </c>
      <c r="BA81" s="60">
        <f>IF(C81="","",MAX(1,_xlfn.MAXIFS('Saisie'!$AT$5:$AT$2004,'Saisie'!$C$5:$C$2004,C81)))</f>
        <v/>
      </c>
      <c r="BB81" s="60">
        <f>IF(C81="","",IFERROR(INDEX('Saisie'!$X$5:$X$2004,_xlfn.MAXIFS('Saisie'!$AS$5:$AS$2004,'Saisie'!$C$5:$C$2004,C81,'Saisie'!$X$5:$X$2004,"&lt;&gt;")-4),""))</f>
        <v/>
      </c>
      <c r="BC81" s="60">
        <f>IF(C81="","",IFERROR(INDEX('Saisie'!$Y$5:$Y$2004,_xlfn.MAXIFS('Saisie'!$AS$5:$AS$2004,'Saisie'!$C$5:$C$2004,C81,'Saisie'!$Y$5:$Y$2004,"&lt;&gt;")-4),""))</f>
        <v/>
      </c>
      <c r="BD81" s="106">
        <f>IF(C81="","",IFERROR(1/(1/_xlfn.MINIFS('Saisie'!$A$5:$A$2004,'Saisie'!$C$5:$C$2004,C81,'Saisie'!$AT$5:$AT$2004,"&gt;=2")),""))</f>
        <v/>
      </c>
      <c r="BE81" s="106">
        <f>IF(C81="","",IFERROR(1/(1/_xlfn.MINIFS('Saisie'!$A$5:$A$2004,'Saisie'!$C$5:$C$2004,C81,'Saisie'!$AT$5:$AT$2004,"&gt;=3")),""))</f>
        <v/>
      </c>
      <c r="BF81" s="106">
        <f>IF(C81="","",IFERROR(1/(1/_xlfn.MINIFS('Saisie'!$A$5:$A$2004,'Saisie'!$C$5:$C$2004,C81,'Saisie'!$AT$5:$AT$2004,"&gt;=4")),""))</f>
        <v/>
      </c>
      <c r="BG81" s="106">
        <f>IF(C81="","",IFERROR(1/(1/_xlfn.MINIFS('Saisie'!$A$5:$A$2004,'Saisie'!$C$5:$C$2004,C81,'Saisie'!$AT$5:$AT$2004,"&gt;=5")),""))</f>
        <v/>
      </c>
      <c r="BH81" s="106">
        <f>IF(C81="","",IFERROR(1/(1/_xlfn.MINIFS('Saisie'!$A$5:$A$2004,'Saisie'!$C$5:$C$2004,C81,'Saisie'!$AT$5:$AT$2004,"&gt;=6")),""))</f>
        <v/>
      </c>
      <c r="BI81" s="106">
        <f>IF(C81="","",IFERROR(1/(1/_xlfn.MINIFS('Saisie'!$A$5:$A$2004,'Saisie'!$C$5:$C$2004,C81,'Saisie'!$AT$5:$AT$2004,"&gt;=7")),""))</f>
        <v/>
      </c>
      <c r="BJ81" s="60">
        <f>IF(OR(BD81="",B81=""),"",BD81-B81)</f>
        <v/>
      </c>
      <c r="BK81" s="60">
        <f>IF(OR(BE81="",BD81=""),"",BE81-BD81)</f>
        <v/>
      </c>
      <c r="BL81" s="60">
        <f>IF(OR(BF81="",BE81=""),"",BF81-BE81)</f>
        <v/>
      </c>
      <c r="BM81" s="60">
        <f>IF(OR(BG81="",BF81=""),"",BG81-BF81)</f>
        <v/>
      </c>
      <c r="BN81" s="60">
        <f>IF(OR(BH81="",BG81=""),"",BH81-BG81)</f>
        <v/>
      </c>
      <c r="BO81" s="60">
        <f>IF(OR(BI81="",BH81=""),"",BI81-BH81)</f>
        <v/>
      </c>
      <c r="BP81" s="60">
        <f>IF(C81="","",_xlfn.MAXIFS('Saisie'!$AS$5:$AS$2004,'Saisie'!$C$5:$C$2004,C81,'Saisie'!$J$5:$J$2004,"&lt;&gt;"))</f>
        <v/>
      </c>
      <c r="BQ81" s="60">
        <f>IF(C81="","",_xlfn.MAXIFS('Saisie'!$AS$5:$AS$2004,'Saisie'!$C$5:$C$2004,C81))</f>
        <v/>
      </c>
      <c r="BR81" s="60">
        <f>IF(C81="","",_xlfn.MAXIFS('Saisie'!$AS$5:$AS$2004,'Saisie'!$C$5:$C$2004,C81,'Saisie'!$E$5:$E$2004,"Perdu"))</f>
        <v/>
      </c>
      <c r="BS81" s="60">
        <f>IF(C81="","",_xlfn.MAXIFS('Saisie'!$AS$5:$AS$2004,'Saisie'!$C$5:$C$2004,C81,'Saisie'!$AT$5:$AT$2004,"&gt;0"))</f>
        <v/>
      </c>
      <c r="BT81" s="109">
        <f>IF(AND(C81&lt;&gt;"",OR(D81="Nouveau",D81="Contacté",D81="Qualifié"),OR(G81="",N(G81)&lt;=TODAY()),NOT(AND(O81&gt;='Paramètres'!$B$21,P81=0))),E81+77/10000,"")</f>
        <v/>
      </c>
      <c r="BU81" s="60">
        <f>IF(AND(G81&lt;&gt;"",N(G81)&lt;=TODAY()),MAX($BU$4:BU80)+1,"")</f>
        <v/>
      </c>
      <c r="BV81" s="60">
        <f>IF(AND(F81&lt;&gt;"",F81&lt;&gt;"Relance en retard"),MAX($BV$4:BV80)+1,"")</f>
        <v/>
      </c>
      <c r="BW81" s="60">
        <f>IF(C81="","",IF(AND(B81&gt;='Tableau de bord'!$R$4,B81&lt;='Tableau de bord'!$S$4,OR('Tableau de bord'!$G$4="Tous",N81='Tableau de bord'!$G$4)),1,0))</f>
        <v/>
      </c>
      <c r="BX81" s="60">
        <f>IF(AND(C81&lt;&gt;"",N(BA81)=7),MAX($BX$4:BX80)+1,"")</f>
        <v/>
      </c>
    </row>
    <row r="82">
      <c r="A82" s="60">
        <f>IF(C82="","","P-"&amp;TEXT(78,"000"))</f>
        <v/>
      </c>
      <c r="B82" s="106">
        <f>IF(C82="","",IFERROR(1/(1/_xlfn.MINIFS('Saisie'!$A$5:$A$2004,'Saisie'!$C$5:$C$2004,C82)),""))</f>
        <v/>
      </c>
      <c r="C82" s="60">
        <f>IFERROR(INDEX('Saisie'!$C$5:$C$2004,MATCH(78,'Saisie'!$AX$5:$AX$2004,0)),"")</f>
        <v/>
      </c>
      <c r="D82" s="60">
        <f>IF(C82="","",IF(AND(BR82&gt;0,BR82&gt;BS82,BA82&lt;7),"Perdu",INDEX('Paramètres'!$F$6:$F$13,BA82)))</f>
        <v/>
      </c>
      <c r="E82" s="61">
        <f>IF(C82="","",MIN(100,(Z82="Oui")*'Paramètres'!$B$38+(AB82="Régulière")*'Paramètres'!$B$39+IF(AND(N(AA82)&gt;0,TODAY()-N(AA82)&lt;=30),'Paramètres'!$B$40,0)+(W82="")*'Paramètres'!$B$41+(AC82="Absente")*'Paramètres'!$B$42+(AC82="Faible")*'Paramètres'!$B$43+IF(AND(N(AD82)&gt;0,N(AD82)&lt;4),'Paramètres'!$B$44,0)+(AF82="Moyenne")*'Paramètres'!$B$45+(AF82="Grande")*'Paramètres'!$B$46+(Y82&lt;&gt;"")*'Paramètres'!$B$47))</f>
        <v/>
      </c>
      <c r="F82" s="60">
        <f>IF(C82="","",IF(D82="Gagné","",IF(D82="Perdu",IF(AND(AX82&lt;&gt;"",AX82&lt;=TODAY()),"À recontacter (perdu)",""),IF(AND(O82&gt;='Paramètres'!$B$21,P82=0),"Stop : "&amp;'Paramètres'!$B$21&amp;" tentatives sans réponse",IF(AND(D82="Proposition",AR82&lt;&gt;"",TODAY()&gt;N(AR82)),"Proposition expirée",IF(AND(D82="Proposition",N(R82)&gt;='Paramètres'!$B$25),"Proposition sans réponse",IF(AND(G82&lt;&gt;"",N(G82)&lt;TODAY()),"Relance en retard",IF(N(R82)&gt;='Paramètres'!$B$24,"Sans action depuis "&amp;R82&amp;" j",""))))))))</f>
        <v/>
      </c>
      <c r="G82" s="106">
        <f>IF(OR(C82="",D82="Gagné",D82="Perdu"),"",IF(AND(BP82&gt;0,BP82=BQ82),INDEX('Saisie'!$J$5:$J$2004,BP82-4),IF(OR(O82=0,AND(O82&gt;='Paramètres'!$B$21,P82=0)),"",Q82+IF(O82&lt;=1,'Paramètres'!$B$18,IF(O82=2,'Paramètres'!$B$19,'Paramètres'!$B$20)))))</f>
        <v/>
      </c>
      <c r="H82" s="107">
        <f>IF(OR(G82="",BP82&lt;&gt;BQ82),"",IF(INDEX('Saisie'!$K$5:$K$2004,BP82-4)="","",INDEX('Saisie'!$K$5:$K$2004,BP82-4)))</f>
        <v/>
      </c>
      <c r="I82" s="60">
        <f>IF(C82="","",IF(OR(D82="Gagné",D82="Perdu"),"",IFERROR(INDEX('Saisie'!$I$5:$I$2004,_xlfn.MAXIFS('Saisie'!$AS$5:$AS$2004,'Saisie'!$C$5:$C$2004,C82,'Saisie'!$I$5:$I$2004,"&lt;&gt;")-4),"")))</f>
        <v/>
      </c>
      <c r="J82" s="60">
        <f>IF(C82="","",IFERROR(INDEX('Saisie'!$U$5:$U$2004,_xlfn.MAXIFS('Saisie'!$AS$5:$AS$2004,'Saisie'!$C$5:$C$2004,C82,'Saisie'!$U$5:$U$2004,"&lt;&gt;")-4),""))</f>
        <v/>
      </c>
      <c r="K82" s="60">
        <f>IF(C82="","",IFERROR(INDEX('Saisie'!$W$5:$W$2004,_xlfn.MAXIFS('Saisie'!$AS$5:$AS$2004,'Saisie'!$C$5:$C$2004,C82,'Saisie'!$W$5:$W$2004,"&lt;&gt;")-4),""))</f>
        <v/>
      </c>
      <c r="L82" s="60">
        <f>IF(IF(BB82&lt;&gt;"",BB82,K82)="","",HYPERLINK("https://wa.me/"&amp;IF(LEFT(SUBSTITUTE(SUBSTITUTE(SUBSTITUTE(IF(BB82&lt;&gt;"",BB82,K82)," ",""),".",""),"+",""),1)="0",'Paramètres'!$B$35&amp;MID(SUBSTITUTE(SUBSTITUTE(SUBSTITUTE(IF(BB82&lt;&gt;"",BB82,K82)," ",""),".",""),"+",""),2,20),SUBSTITUTE(SUBSTITUTE(SUBSTITUTE(IF(BB82&lt;&gt;"",BB82,K82)," ",""),".",""),"+","")),"WhatsApp"))</f>
        <v/>
      </c>
      <c r="M82" s="60">
        <f>IF(BC82="","",HYPERLINK(IF(LEFT(BC82,4)="http",BC82,"https://www.instagram.com/"&amp;SUBSTITUTE(SUBSTITUTE(BC82,"@","")," ","")),BC82))</f>
        <v/>
      </c>
      <c r="N82" s="60">
        <f>IF(C82="","",IFERROR(INDEX('Saisie'!$D$5:$D$2004,_xlfn.MINIFS('Saisie'!$AS$5:$AS$2004,'Saisie'!$C$5:$C$2004,C82,'Saisie'!$AU$5:$AU$2004,1)-4),IFERROR(INDEX('Saisie'!$D$5:$D$2004,_xlfn.MINIFS('Saisie'!$AS$5:$AS$2004,'Saisie'!$C$5:$C$2004,C82,'Saisie'!$D$5:$D$2004,"&lt;&gt;")-4),"")))</f>
        <v/>
      </c>
      <c r="O82" s="60">
        <f>IF(C82="","",COUNTIFS('Saisie'!$C$5:$C$2004,C82,'Saisie'!$AU$5:$AU$2004,1))</f>
        <v/>
      </c>
      <c r="P82" s="60">
        <f>IF(C82="","",COUNTIFS('Saisie'!$C$5:$C$2004,C82,'Saisie'!$AV$5:$AV$2004,1))</f>
        <v/>
      </c>
      <c r="Q82" s="106">
        <f>IF(C82="","",IFERROR(1/(1/_xlfn.MAXIFS('Saisie'!$A$5:$A$2004,'Saisie'!$C$5:$C$2004,C82)),""))</f>
        <v/>
      </c>
      <c r="R82" s="61">
        <f>IF(C82="","",IF(Q82="","",TODAY()-Q82))</f>
        <v/>
      </c>
      <c r="S82" s="60">
        <f>IF(C82="","",IFERROR(INDEX('Saisie'!$R$5:$R$2004,_xlfn.MAXIFS('Saisie'!$AS$5:$AS$2004,'Saisie'!$C$5:$C$2004,C82,'Saisie'!$R$5:$R$2004,"&lt;&gt;")-4),""))</f>
        <v/>
      </c>
      <c r="T82" s="60">
        <f>IF(C82="","",IFERROR(INDEX('Saisie'!$S$5:$S$2004,_xlfn.MAXIFS('Saisie'!$AS$5:$AS$2004,'Saisie'!$C$5:$C$2004,C82,'Saisie'!$S$5:$S$2004,"&lt;&gt;")-4),""))</f>
        <v/>
      </c>
      <c r="U82" s="60">
        <f>IF(C82="","",IFERROR(INDEX('Saisie'!$T$5:$T$2004,_xlfn.MAXIFS('Saisie'!$AS$5:$AS$2004,'Saisie'!$C$5:$C$2004,C82,'Saisie'!$T$5:$T$2004,"&lt;&gt;")-4),""))</f>
        <v/>
      </c>
      <c r="V82" s="60">
        <f>IF(C82="","",IFERROR(INDEX('Saisie'!$V$5:$V$2004,_xlfn.MAXIFS('Saisie'!$AS$5:$AS$2004,'Saisie'!$C$5:$C$2004,C82,'Saisie'!$V$5:$V$2004,"&lt;&gt;")-4),""))</f>
        <v/>
      </c>
      <c r="W82" s="60">
        <f>IF(C82="","",IFERROR(INDEX('Saisie'!$Z$5:$Z$2004,_xlfn.MAXIFS('Saisie'!$AS$5:$AS$2004,'Saisie'!$C$5:$C$2004,C82,'Saisie'!$Z$5:$Z$2004,"&lt;&gt;")-4),""))</f>
        <v/>
      </c>
      <c r="X82" s="60">
        <f>IF(C82="","",IFERROR(INDEX('Saisie'!$AA$5:$AA$2004,_xlfn.MAXIFS('Saisie'!$AS$5:$AS$2004,'Saisie'!$C$5:$C$2004,C82,'Saisie'!$AA$5:$AA$2004,"&lt;&gt;")-4),""))</f>
        <v/>
      </c>
      <c r="Y82" s="60">
        <f>IF(C82="","",IFERROR(INDEX('Saisie'!$AB$5:$AB$2004,_xlfn.MAXIFS('Saisie'!$AS$5:$AS$2004,'Saisie'!$C$5:$C$2004,C82,'Saisie'!$AB$5:$AB$2004,"&lt;&gt;")-4),""))</f>
        <v/>
      </c>
      <c r="Z82" s="60">
        <f>IF(C82="","",IFERROR(INDEX('Saisie'!$AC$5:$AC$2004,_xlfn.MAXIFS('Saisie'!$AS$5:$AS$2004,'Saisie'!$C$5:$C$2004,C82,'Saisie'!$AC$5:$AC$2004,"&lt;&gt;")-4),""))</f>
        <v/>
      </c>
      <c r="AA82" s="106">
        <f>IF(C82="","",IFERROR(INDEX('Saisie'!$AD$5:$AD$2004,_xlfn.MAXIFS('Saisie'!$AS$5:$AS$2004,'Saisie'!$C$5:$C$2004,C82,'Saisie'!$AD$5:$AD$2004,"&lt;&gt;")-4),""))</f>
        <v/>
      </c>
      <c r="AB82" s="60">
        <f>IF(C82="","",IFERROR(INDEX('Saisie'!$AE$5:$AE$2004,_xlfn.MAXIFS('Saisie'!$AS$5:$AS$2004,'Saisie'!$C$5:$C$2004,C82,'Saisie'!$AE$5:$AE$2004,"&lt;&gt;")-4),""))</f>
        <v/>
      </c>
      <c r="AC82" s="60">
        <f>IF(C82="","",IFERROR(INDEX('Saisie'!$AF$5:$AF$2004,_xlfn.MAXIFS('Saisie'!$AS$5:$AS$2004,'Saisie'!$C$5:$C$2004,C82,'Saisie'!$AF$5:$AF$2004,"&lt;&gt;")-4),""))</f>
        <v/>
      </c>
      <c r="AD82" s="108">
        <f>IF(C82="","",IFERROR(INDEX('Saisie'!$AG$5:$AG$2004,_xlfn.MAXIFS('Saisie'!$AS$5:$AS$2004,'Saisie'!$C$5:$C$2004,C82,'Saisie'!$AG$5:$AG$2004,"&lt;&gt;")-4),""))</f>
        <v/>
      </c>
      <c r="AE82" s="60">
        <f>IF(C82="","",IFERROR(INDEX('Saisie'!$AH$5:$AH$2004,_xlfn.MAXIFS('Saisie'!$AS$5:$AS$2004,'Saisie'!$C$5:$C$2004,C82,'Saisie'!$AH$5:$AH$2004,"&lt;&gt;")-4),""))</f>
        <v/>
      </c>
      <c r="AF82" s="60">
        <f>IF(C82="","",IFERROR(INDEX('Saisie'!$AI$5:$AI$2004,_xlfn.MAXIFS('Saisie'!$AS$5:$AS$2004,'Saisie'!$C$5:$C$2004,C82,'Saisie'!$AI$5:$AI$2004,"&lt;&gt;")-4),""))</f>
        <v/>
      </c>
      <c r="AG82" s="60">
        <f>IF(C82="","",IFERROR(INDEX('Saisie'!$AJ$5:$AJ$2004,_xlfn.MAXIFS('Saisie'!$AS$5:$AS$2004,'Saisie'!$C$5:$C$2004,C82,'Saisie'!$AJ$5:$AJ$2004,"&lt;&gt;")-4),""))</f>
        <v/>
      </c>
      <c r="AH82" s="60">
        <f>IF(C82="","",IFERROR(INDEX('Saisie'!$AK$5:$AK$2004,_xlfn.MAXIFS('Saisie'!$AS$5:$AS$2004,'Saisie'!$C$5:$C$2004,C82,'Saisie'!$AK$5:$AK$2004,"&lt;&gt;")-4),""))</f>
        <v/>
      </c>
      <c r="AI82" s="60">
        <f>IF(C82="","",IFERROR(INDEX('Saisie'!$AN$5:$AN$2004,_xlfn.MAXIFS('Saisie'!$AS$5:$AS$2004,'Saisie'!$C$5:$C$2004,C82,'Saisie'!$AN$5:$AN$2004,"&lt;&gt;")-4),""))</f>
        <v/>
      </c>
      <c r="AJ82" s="60">
        <f>IF(C82="","",IFERROR(INDEX('Saisie'!$AO$5:$AO$2004,_xlfn.MAXIFS('Saisie'!$AS$5:$AS$2004,'Saisie'!$C$5:$C$2004,C82,'Saisie'!$AO$5:$AO$2004,"&lt;&gt;")-4),""))</f>
        <v/>
      </c>
      <c r="AK82" s="60">
        <f>IF(C82="","",IFERROR(INDEX('Saisie'!$AP$5:$AP$2004,_xlfn.MAXIFS('Saisie'!$AS$5:$AS$2004,'Saisie'!$C$5:$C$2004,C82,'Saisie'!$AP$5:$AP$2004,"&lt;&gt;")-4),""))</f>
        <v/>
      </c>
      <c r="AL82" s="60">
        <f>IF(C82="","",IFERROR(INDEX('Saisie'!$AQ$5:$AQ$2004,_xlfn.MAXIFS('Saisie'!$AS$5:$AS$2004,'Saisie'!$C$5:$C$2004,C82,'Saisie'!$AQ$5:$AQ$2004,"&lt;&gt;")-4),""))</f>
        <v/>
      </c>
      <c r="AM82" s="60">
        <f>IF(C82="","",((AI82="Oui")+(AJ82="Oui")+(AK82="Oui")+OR(AL82="Immédiat",AL82="&lt; 1 mois"))&amp;"/4")</f>
        <v/>
      </c>
      <c r="AN82" s="60">
        <f>IF(C82="","",IFERROR(INDEX('Saisie'!$AL$5:$AL$2004,_xlfn.MAXIFS('Saisie'!$AS$5:$AS$2004,'Saisie'!$C$5:$C$2004,C82,'Saisie'!$AL$5:$AL$2004,"&lt;&gt;")-4),""))</f>
        <v/>
      </c>
      <c r="AO82" s="62">
        <f>IF(C82="","",IF(IFERROR(INDEX('Saisie'!$AM$5:$AM$2004,_xlfn.MAXIFS('Saisie'!$AS$5:$AS$2004,'Saisie'!$C$5:$C$2004,C82,'Saisie'!$AM$5:$AM$2004,"&lt;&gt;")-4),"")&lt;&gt;"",IFERROR(INDEX('Saisie'!$AM$5:$AM$2004,_xlfn.MAXIFS('Saisie'!$AS$5:$AS$2004,'Saisie'!$C$5:$C$2004,C82,'Saisie'!$AM$5:$AM$2004,"&lt;&gt;")-4),""),IFERROR(INDEX('Paramètres'!$S$6:$S$15,MATCH(AN82,'Paramètres'!$Q$6:$Q$15,0)),"")))</f>
        <v/>
      </c>
      <c r="AP82" s="62">
        <f>IF(C82="","",IFERROR(INDEX('Saisie'!$AW$5:$AW$2004,_xlfn.MAXIFS('Saisie'!$AS$5:$AS$2004,'Saisie'!$C$5:$C$2004,C82,'Saisie'!$E$5:$E$2004,"Proposition envoyée")-4),""))</f>
        <v/>
      </c>
      <c r="AQ82" s="106">
        <f>IF(C82="","",IFERROR(1/(1/_xlfn.MAXIFS('Saisie'!$A$5:$A$2004,'Saisie'!$C$5:$C$2004,C82,'Saisie'!$E$5:$E$2004,"Proposition envoyée")),""))</f>
        <v/>
      </c>
      <c r="AR82" s="106">
        <f>IF(C82="","",IF(AQ82="","",AQ82+'Paramètres'!$B$26))</f>
        <v/>
      </c>
      <c r="AS82" s="62">
        <f>IF(OR(C82="",D82="Gagné",D82="Perdu"),0,N(AP82)*IFERROR(INDEX('Paramètres'!$G$6:$G$13,MATCH(D82,'Paramètres'!$F$6:$F$13,0)),0))</f>
        <v/>
      </c>
      <c r="AT82" s="106">
        <f>IF(C82="","",IFERROR(1/(1/_xlfn.MINIFS('Saisie'!$A$5:$A$2004,'Saisie'!$C$5:$C$2004,C82,'Saisie'!$E$5:$E$2004,"Signature")),""))</f>
        <v/>
      </c>
      <c r="AU82" s="60">
        <f>IF(C82="","",IF(OR(AT82="",B82=""),"",AT82-B82))</f>
        <v/>
      </c>
      <c r="AV82" s="60">
        <f>IF(C82="","",IFERROR(INDEX('Saisie'!$L$5:$L$2004,_xlfn.MAXIFS('Saisie'!$AS$5:$AS$2004,'Saisie'!$C$5:$C$2004,C82,'Saisie'!$L$5:$L$2004,"&lt;&gt;")-4),""))</f>
        <v/>
      </c>
      <c r="AW82" s="106">
        <f>IF(C82="","",IF(D82&lt;&gt;"Perdu","",IFERROR(1/(1/_xlfn.MAXIFS('Saisie'!$A$5:$A$2004,'Saisie'!$C$5:$C$2004,C82,'Saisie'!$E$5:$E$2004,"Perdu")),"")))</f>
        <v/>
      </c>
      <c r="AX82" s="106">
        <f>IF(C82="","",IF(AW82="","",AW82+'Paramètres'!$B$28))</f>
        <v/>
      </c>
      <c r="AY82" s="60">
        <f>IF(C82="","",SUMIFS('Saisie'!$H$5:$H$2004,'Saisie'!$C$5:$C$2004,C82))</f>
        <v/>
      </c>
      <c r="AZ82" s="60">
        <f>IF(C82="","",IFERROR(INDEX('Paramètres'!$W$6:$W$20,MATCH(S82,'Paramètres'!$V$6:$V$20,0))&amp;"",""))</f>
        <v/>
      </c>
      <c r="BA82" s="60">
        <f>IF(C82="","",MAX(1,_xlfn.MAXIFS('Saisie'!$AT$5:$AT$2004,'Saisie'!$C$5:$C$2004,C82)))</f>
        <v/>
      </c>
      <c r="BB82" s="60">
        <f>IF(C82="","",IFERROR(INDEX('Saisie'!$X$5:$X$2004,_xlfn.MAXIFS('Saisie'!$AS$5:$AS$2004,'Saisie'!$C$5:$C$2004,C82,'Saisie'!$X$5:$X$2004,"&lt;&gt;")-4),""))</f>
        <v/>
      </c>
      <c r="BC82" s="60">
        <f>IF(C82="","",IFERROR(INDEX('Saisie'!$Y$5:$Y$2004,_xlfn.MAXIFS('Saisie'!$AS$5:$AS$2004,'Saisie'!$C$5:$C$2004,C82,'Saisie'!$Y$5:$Y$2004,"&lt;&gt;")-4),""))</f>
        <v/>
      </c>
      <c r="BD82" s="106">
        <f>IF(C82="","",IFERROR(1/(1/_xlfn.MINIFS('Saisie'!$A$5:$A$2004,'Saisie'!$C$5:$C$2004,C82,'Saisie'!$AT$5:$AT$2004,"&gt;=2")),""))</f>
        <v/>
      </c>
      <c r="BE82" s="106">
        <f>IF(C82="","",IFERROR(1/(1/_xlfn.MINIFS('Saisie'!$A$5:$A$2004,'Saisie'!$C$5:$C$2004,C82,'Saisie'!$AT$5:$AT$2004,"&gt;=3")),""))</f>
        <v/>
      </c>
      <c r="BF82" s="106">
        <f>IF(C82="","",IFERROR(1/(1/_xlfn.MINIFS('Saisie'!$A$5:$A$2004,'Saisie'!$C$5:$C$2004,C82,'Saisie'!$AT$5:$AT$2004,"&gt;=4")),""))</f>
        <v/>
      </c>
      <c r="BG82" s="106">
        <f>IF(C82="","",IFERROR(1/(1/_xlfn.MINIFS('Saisie'!$A$5:$A$2004,'Saisie'!$C$5:$C$2004,C82,'Saisie'!$AT$5:$AT$2004,"&gt;=5")),""))</f>
        <v/>
      </c>
      <c r="BH82" s="106">
        <f>IF(C82="","",IFERROR(1/(1/_xlfn.MINIFS('Saisie'!$A$5:$A$2004,'Saisie'!$C$5:$C$2004,C82,'Saisie'!$AT$5:$AT$2004,"&gt;=6")),""))</f>
        <v/>
      </c>
      <c r="BI82" s="106">
        <f>IF(C82="","",IFERROR(1/(1/_xlfn.MINIFS('Saisie'!$A$5:$A$2004,'Saisie'!$C$5:$C$2004,C82,'Saisie'!$AT$5:$AT$2004,"&gt;=7")),""))</f>
        <v/>
      </c>
      <c r="BJ82" s="60">
        <f>IF(OR(BD82="",B82=""),"",BD82-B82)</f>
        <v/>
      </c>
      <c r="BK82" s="60">
        <f>IF(OR(BE82="",BD82=""),"",BE82-BD82)</f>
        <v/>
      </c>
      <c r="BL82" s="60">
        <f>IF(OR(BF82="",BE82=""),"",BF82-BE82)</f>
        <v/>
      </c>
      <c r="BM82" s="60">
        <f>IF(OR(BG82="",BF82=""),"",BG82-BF82)</f>
        <v/>
      </c>
      <c r="BN82" s="60">
        <f>IF(OR(BH82="",BG82=""),"",BH82-BG82)</f>
        <v/>
      </c>
      <c r="BO82" s="60">
        <f>IF(OR(BI82="",BH82=""),"",BI82-BH82)</f>
        <v/>
      </c>
      <c r="BP82" s="60">
        <f>IF(C82="","",_xlfn.MAXIFS('Saisie'!$AS$5:$AS$2004,'Saisie'!$C$5:$C$2004,C82,'Saisie'!$J$5:$J$2004,"&lt;&gt;"))</f>
        <v/>
      </c>
      <c r="BQ82" s="60">
        <f>IF(C82="","",_xlfn.MAXIFS('Saisie'!$AS$5:$AS$2004,'Saisie'!$C$5:$C$2004,C82))</f>
        <v/>
      </c>
      <c r="BR82" s="60">
        <f>IF(C82="","",_xlfn.MAXIFS('Saisie'!$AS$5:$AS$2004,'Saisie'!$C$5:$C$2004,C82,'Saisie'!$E$5:$E$2004,"Perdu"))</f>
        <v/>
      </c>
      <c r="BS82" s="60">
        <f>IF(C82="","",_xlfn.MAXIFS('Saisie'!$AS$5:$AS$2004,'Saisie'!$C$5:$C$2004,C82,'Saisie'!$AT$5:$AT$2004,"&gt;0"))</f>
        <v/>
      </c>
      <c r="BT82" s="109">
        <f>IF(AND(C82&lt;&gt;"",OR(D82="Nouveau",D82="Contacté",D82="Qualifié"),OR(G82="",N(G82)&lt;=TODAY()),NOT(AND(O82&gt;='Paramètres'!$B$21,P82=0))),E82+78/10000,"")</f>
        <v/>
      </c>
      <c r="BU82" s="60">
        <f>IF(AND(G82&lt;&gt;"",N(G82)&lt;=TODAY()),MAX($BU$4:BU81)+1,"")</f>
        <v/>
      </c>
      <c r="BV82" s="60">
        <f>IF(AND(F82&lt;&gt;"",F82&lt;&gt;"Relance en retard"),MAX($BV$4:BV81)+1,"")</f>
        <v/>
      </c>
      <c r="BW82" s="60">
        <f>IF(C82="","",IF(AND(B82&gt;='Tableau de bord'!$R$4,B82&lt;='Tableau de bord'!$S$4,OR('Tableau de bord'!$G$4="Tous",N82='Tableau de bord'!$G$4)),1,0))</f>
        <v/>
      </c>
      <c r="BX82" s="60">
        <f>IF(AND(C82&lt;&gt;"",N(BA82)=7),MAX($BX$4:BX81)+1,"")</f>
        <v/>
      </c>
    </row>
    <row r="83">
      <c r="A83" s="60">
        <f>IF(C83="","","P-"&amp;TEXT(79,"000"))</f>
        <v/>
      </c>
      <c r="B83" s="106">
        <f>IF(C83="","",IFERROR(1/(1/_xlfn.MINIFS('Saisie'!$A$5:$A$2004,'Saisie'!$C$5:$C$2004,C83)),""))</f>
        <v/>
      </c>
      <c r="C83" s="60">
        <f>IFERROR(INDEX('Saisie'!$C$5:$C$2004,MATCH(79,'Saisie'!$AX$5:$AX$2004,0)),"")</f>
        <v/>
      </c>
      <c r="D83" s="60">
        <f>IF(C83="","",IF(AND(BR83&gt;0,BR83&gt;BS83,BA83&lt;7),"Perdu",INDEX('Paramètres'!$F$6:$F$13,BA83)))</f>
        <v/>
      </c>
      <c r="E83" s="61">
        <f>IF(C83="","",MIN(100,(Z83="Oui")*'Paramètres'!$B$38+(AB83="Régulière")*'Paramètres'!$B$39+IF(AND(N(AA83)&gt;0,TODAY()-N(AA83)&lt;=30),'Paramètres'!$B$40,0)+(W83="")*'Paramètres'!$B$41+(AC83="Absente")*'Paramètres'!$B$42+(AC83="Faible")*'Paramètres'!$B$43+IF(AND(N(AD83)&gt;0,N(AD83)&lt;4),'Paramètres'!$B$44,0)+(AF83="Moyenne")*'Paramètres'!$B$45+(AF83="Grande")*'Paramètres'!$B$46+(Y83&lt;&gt;"")*'Paramètres'!$B$47))</f>
        <v/>
      </c>
      <c r="F83" s="60">
        <f>IF(C83="","",IF(D83="Gagné","",IF(D83="Perdu",IF(AND(AX83&lt;&gt;"",AX83&lt;=TODAY()),"À recontacter (perdu)",""),IF(AND(O83&gt;='Paramètres'!$B$21,P83=0),"Stop : "&amp;'Paramètres'!$B$21&amp;" tentatives sans réponse",IF(AND(D83="Proposition",AR83&lt;&gt;"",TODAY()&gt;N(AR83)),"Proposition expirée",IF(AND(D83="Proposition",N(R83)&gt;='Paramètres'!$B$25),"Proposition sans réponse",IF(AND(G83&lt;&gt;"",N(G83)&lt;TODAY()),"Relance en retard",IF(N(R83)&gt;='Paramètres'!$B$24,"Sans action depuis "&amp;R83&amp;" j",""))))))))</f>
        <v/>
      </c>
      <c r="G83" s="106">
        <f>IF(OR(C83="",D83="Gagné",D83="Perdu"),"",IF(AND(BP83&gt;0,BP83=BQ83),INDEX('Saisie'!$J$5:$J$2004,BP83-4),IF(OR(O83=0,AND(O83&gt;='Paramètres'!$B$21,P83=0)),"",Q83+IF(O83&lt;=1,'Paramètres'!$B$18,IF(O83=2,'Paramètres'!$B$19,'Paramètres'!$B$20)))))</f>
        <v/>
      </c>
      <c r="H83" s="107">
        <f>IF(OR(G83="",BP83&lt;&gt;BQ83),"",IF(INDEX('Saisie'!$K$5:$K$2004,BP83-4)="","",INDEX('Saisie'!$K$5:$K$2004,BP83-4)))</f>
        <v/>
      </c>
      <c r="I83" s="60">
        <f>IF(C83="","",IF(OR(D83="Gagné",D83="Perdu"),"",IFERROR(INDEX('Saisie'!$I$5:$I$2004,_xlfn.MAXIFS('Saisie'!$AS$5:$AS$2004,'Saisie'!$C$5:$C$2004,C83,'Saisie'!$I$5:$I$2004,"&lt;&gt;")-4),"")))</f>
        <v/>
      </c>
      <c r="J83" s="60">
        <f>IF(C83="","",IFERROR(INDEX('Saisie'!$U$5:$U$2004,_xlfn.MAXIFS('Saisie'!$AS$5:$AS$2004,'Saisie'!$C$5:$C$2004,C83,'Saisie'!$U$5:$U$2004,"&lt;&gt;")-4),""))</f>
        <v/>
      </c>
      <c r="K83" s="60">
        <f>IF(C83="","",IFERROR(INDEX('Saisie'!$W$5:$W$2004,_xlfn.MAXIFS('Saisie'!$AS$5:$AS$2004,'Saisie'!$C$5:$C$2004,C83,'Saisie'!$W$5:$W$2004,"&lt;&gt;")-4),""))</f>
        <v/>
      </c>
      <c r="L83" s="60">
        <f>IF(IF(BB83&lt;&gt;"",BB83,K83)="","",HYPERLINK("https://wa.me/"&amp;IF(LEFT(SUBSTITUTE(SUBSTITUTE(SUBSTITUTE(IF(BB83&lt;&gt;"",BB83,K83)," ",""),".",""),"+",""),1)="0",'Paramètres'!$B$35&amp;MID(SUBSTITUTE(SUBSTITUTE(SUBSTITUTE(IF(BB83&lt;&gt;"",BB83,K83)," ",""),".",""),"+",""),2,20),SUBSTITUTE(SUBSTITUTE(SUBSTITUTE(IF(BB83&lt;&gt;"",BB83,K83)," ",""),".",""),"+","")),"WhatsApp"))</f>
        <v/>
      </c>
      <c r="M83" s="60">
        <f>IF(BC83="","",HYPERLINK(IF(LEFT(BC83,4)="http",BC83,"https://www.instagram.com/"&amp;SUBSTITUTE(SUBSTITUTE(BC83,"@","")," ","")),BC83))</f>
        <v/>
      </c>
      <c r="N83" s="60">
        <f>IF(C83="","",IFERROR(INDEX('Saisie'!$D$5:$D$2004,_xlfn.MINIFS('Saisie'!$AS$5:$AS$2004,'Saisie'!$C$5:$C$2004,C83,'Saisie'!$AU$5:$AU$2004,1)-4),IFERROR(INDEX('Saisie'!$D$5:$D$2004,_xlfn.MINIFS('Saisie'!$AS$5:$AS$2004,'Saisie'!$C$5:$C$2004,C83,'Saisie'!$D$5:$D$2004,"&lt;&gt;")-4),"")))</f>
        <v/>
      </c>
      <c r="O83" s="60">
        <f>IF(C83="","",COUNTIFS('Saisie'!$C$5:$C$2004,C83,'Saisie'!$AU$5:$AU$2004,1))</f>
        <v/>
      </c>
      <c r="P83" s="60">
        <f>IF(C83="","",COUNTIFS('Saisie'!$C$5:$C$2004,C83,'Saisie'!$AV$5:$AV$2004,1))</f>
        <v/>
      </c>
      <c r="Q83" s="106">
        <f>IF(C83="","",IFERROR(1/(1/_xlfn.MAXIFS('Saisie'!$A$5:$A$2004,'Saisie'!$C$5:$C$2004,C83)),""))</f>
        <v/>
      </c>
      <c r="R83" s="61">
        <f>IF(C83="","",IF(Q83="","",TODAY()-Q83))</f>
        <v/>
      </c>
      <c r="S83" s="60">
        <f>IF(C83="","",IFERROR(INDEX('Saisie'!$R$5:$R$2004,_xlfn.MAXIFS('Saisie'!$AS$5:$AS$2004,'Saisie'!$C$5:$C$2004,C83,'Saisie'!$R$5:$R$2004,"&lt;&gt;")-4),""))</f>
        <v/>
      </c>
      <c r="T83" s="60">
        <f>IF(C83="","",IFERROR(INDEX('Saisie'!$S$5:$S$2004,_xlfn.MAXIFS('Saisie'!$AS$5:$AS$2004,'Saisie'!$C$5:$C$2004,C83,'Saisie'!$S$5:$S$2004,"&lt;&gt;")-4),""))</f>
        <v/>
      </c>
      <c r="U83" s="60">
        <f>IF(C83="","",IFERROR(INDEX('Saisie'!$T$5:$T$2004,_xlfn.MAXIFS('Saisie'!$AS$5:$AS$2004,'Saisie'!$C$5:$C$2004,C83,'Saisie'!$T$5:$T$2004,"&lt;&gt;")-4),""))</f>
        <v/>
      </c>
      <c r="V83" s="60">
        <f>IF(C83="","",IFERROR(INDEX('Saisie'!$V$5:$V$2004,_xlfn.MAXIFS('Saisie'!$AS$5:$AS$2004,'Saisie'!$C$5:$C$2004,C83,'Saisie'!$V$5:$V$2004,"&lt;&gt;")-4),""))</f>
        <v/>
      </c>
      <c r="W83" s="60">
        <f>IF(C83="","",IFERROR(INDEX('Saisie'!$Z$5:$Z$2004,_xlfn.MAXIFS('Saisie'!$AS$5:$AS$2004,'Saisie'!$C$5:$C$2004,C83,'Saisie'!$Z$5:$Z$2004,"&lt;&gt;")-4),""))</f>
        <v/>
      </c>
      <c r="X83" s="60">
        <f>IF(C83="","",IFERROR(INDEX('Saisie'!$AA$5:$AA$2004,_xlfn.MAXIFS('Saisie'!$AS$5:$AS$2004,'Saisie'!$C$5:$C$2004,C83,'Saisie'!$AA$5:$AA$2004,"&lt;&gt;")-4),""))</f>
        <v/>
      </c>
      <c r="Y83" s="60">
        <f>IF(C83="","",IFERROR(INDEX('Saisie'!$AB$5:$AB$2004,_xlfn.MAXIFS('Saisie'!$AS$5:$AS$2004,'Saisie'!$C$5:$C$2004,C83,'Saisie'!$AB$5:$AB$2004,"&lt;&gt;")-4),""))</f>
        <v/>
      </c>
      <c r="Z83" s="60">
        <f>IF(C83="","",IFERROR(INDEX('Saisie'!$AC$5:$AC$2004,_xlfn.MAXIFS('Saisie'!$AS$5:$AS$2004,'Saisie'!$C$5:$C$2004,C83,'Saisie'!$AC$5:$AC$2004,"&lt;&gt;")-4),""))</f>
        <v/>
      </c>
      <c r="AA83" s="106">
        <f>IF(C83="","",IFERROR(INDEX('Saisie'!$AD$5:$AD$2004,_xlfn.MAXIFS('Saisie'!$AS$5:$AS$2004,'Saisie'!$C$5:$C$2004,C83,'Saisie'!$AD$5:$AD$2004,"&lt;&gt;")-4),""))</f>
        <v/>
      </c>
      <c r="AB83" s="60">
        <f>IF(C83="","",IFERROR(INDEX('Saisie'!$AE$5:$AE$2004,_xlfn.MAXIFS('Saisie'!$AS$5:$AS$2004,'Saisie'!$C$5:$C$2004,C83,'Saisie'!$AE$5:$AE$2004,"&lt;&gt;")-4),""))</f>
        <v/>
      </c>
      <c r="AC83" s="60">
        <f>IF(C83="","",IFERROR(INDEX('Saisie'!$AF$5:$AF$2004,_xlfn.MAXIFS('Saisie'!$AS$5:$AS$2004,'Saisie'!$C$5:$C$2004,C83,'Saisie'!$AF$5:$AF$2004,"&lt;&gt;")-4),""))</f>
        <v/>
      </c>
      <c r="AD83" s="108">
        <f>IF(C83="","",IFERROR(INDEX('Saisie'!$AG$5:$AG$2004,_xlfn.MAXIFS('Saisie'!$AS$5:$AS$2004,'Saisie'!$C$5:$C$2004,C83,'Saisie'!$AG$5:$AG$2004,"&lt;&gt;")-4),""))</f>
        <v/>
      </c>
      <c r="AE83" s="60">
        <f>IF(C83="","",IFERROR(INDEX('Saisie'!$AH$5:$AH$2004,_xlfn.MAXIFS('Saisie'!$AS$5:$AS$2004,'Saisie'!$C$5:$C$2004,C83,'Saisie'!$AH$5:$AH$2004,"&lt;&gt;")-4),""))</f>
        <v/>
      </c>
      <c r="AF83" s="60">
        <f>IF(C83="","",IFERROR(INDEX('Saisie'!$AI$5:$AI$2004,_xlfn.MAXIFS('Saisie'!$AS$5:$AS$2004,'Saisie'!$C$5:$C$2004,C83,'Saisie'!$AI$5:$AI$2004,"&lt;&gt;")-4),""))</f>
        <v/>
      </c>
      <c r="AG83" s="60">
        <f>IF(C83="","",IFERROR(INDEX('Saisie'!$AJ$5:$AJ$2004,_xlfn.MAXIFS('Saisie'!$AS$5:$AS$2004,'Saisie'!$C$5:$C$2004,C83,'Saisie'!$AJ$5:$AJ$2004,"&lt;&gt;")-4),""))</f>
        <v/>
      </c>
      <c r="AH83" s="60">
        <f>IF(C83="","",IFERROR(INDEX('Saisie'!$AK$5:$AK$2004,_xlfn.MAXIFS('Saisie'!$AS$5:$AS$2004,'Saisie'!$C$5:$C$2004,C83,'Saisie'!$AK$5:$AK$2004,"&lt;&gt;")-4),""))</f>
        <v/>
      </c>
      <c r="AI83" s="60">
        <f>IF(C83="","",IFERROR(INDEX('Saisie'!$AN$5:$AN$2004,_xlfn.MAXIFS('Saisie'!$AS$5:$AS$2004,'Saisie'!$C$5:$C$2004,C83,'Saisie'!$AN$5:$AN$2004,"&lt;&gt;")-4),""))</f>
        <v/>
      </c>
      <c r="AJ83" s="60">
        <f>IF(C83="","",IFERROR(INDEX('Saisie'!$AO$5:$AO$2004,_xlfn.MAXIFS('Saisie'!$AS$5:$AS$2004,'Saisie'!$C$5:$C$2004,C83,'Saisie'!$AO$5:$AO$2004,"&lt;&gt;")-4),""))</f>
        <v/>
      </c>
      <c r="AK83" s="60">
        <f>IF(C83="","",IFERROR(INDEX('Saisie'!$AP$5:$AP$2004,_xlfn.MAXIFS('Saisie'!$AS$5:$AS$2004,'Saisie'!$C$5:$C$2004,C83,'Saisie'!$AP$5:$AP$2004,"&lt;&gt;")-4),""))</f>
        <v/>
      </c>
      <c r="AL83" s="60">
        <f>IF(C83="","",IFERROR(INDEX('Saisie'!$AQ$5:$AQ$2004,_xlfn.MAXIFS('Saisie'!$AS$5:$AS$2004,'Saisie'!$C$5:$C$2004,C83,'Saisie'!$AQ$5:$AQ$2004,"&lt;&gt;")-4),""))</f>
        <v/>
      </c>
      <c r="AM83" s="60">
        <f>IF(C83="","",((AI83="Oui")+(AJ83="Oui")+(AK83="Oui")+OR(AL83="Immédiat",AL83="&lt; 1 mois"))&amp;"/4")</f>
        <v/>
      </c>
      <c r="AN83" s="60">
        <f>IF(C83="","",IFERROR(INDEX('Saisie'!$AL$5:$AL$2004,_xlfn.MAXIFS('Saisie'!$AS$5:$AS$2004,'Saisie'!$C$5:$C$2004,C83,'Saisie'!$AL$5:$AL$2004,"&lt;&gt;")-4),""))</f>
        <v/>
      </c>
      <c r="AO83" s="62">
        <f>IF(C83="","",IF(IFERROR(INDEX('Saisie'!$AM$5:$AM$2004,_xlfn.MAXIFS('Saisie'!$AS$5:$AS$2004,'Saisie'!$C$5:$C$2004,C83,'Saisie'!$AM$5:$AM$2004,"&lt;&gt;")-4),"")&lt;&gt;"",IFERROR(INDEX('Saisie'!$AM$5:$AM$2004,_xlfn.MAXIFS('Saisie'!$AS$5:$AS$2004,'Saisie'!$C$5:$C$2004,C83,'Saisie'!$AM$5:$AM$2004,"&lt;&gt;")-4),""),IFERROR(INDEX('Paramètres'!$S$6:$S$15,MATCH(AN83,'Paramètres'!$Q$6:$Q$15,0)),"")))</f>
        <v/>
      </c>
      <c r="AP83" s="62">
        <f>IF(C83="","",IFERROR(INDEX('Saisie'!$AW$5:$AW$2004,_xlfn.MAXIFS('Saisie'!$AS$5:$AS$2004,'Saisie'!$C$5:$C$2004,C83,'Saisie'!$E$5:$E$2004,"Proposition envoyée")-4),""))</f>
        <v/>
      </c>
      <c r="AQ83" s="106">
        <f>IF(C83="","",IFERROR(1/(1/_xlfn.MAXIFS('Saisie'!$A$5:$A$2004,'Saisie'!$C$5:$C$2004,C83,'Saisie'!$E$5:$E$2004,"Proposition envoyée")),""))</f>
        <v/>
      </c>
      <c r="AR83" s="106">
        <f>IF(C83="","",IF(AQ83="","",AQ83+'Paramètres'!$B$26))</f>
        <v/>
      </c>
      <c r="AS83" s="62">
        <f>IF(OR(C83="",D83="Gagné",D83="Perdu"),0,N(AP83)*IFERROR(INDEX('Paramètres'!$G$6:$G$13,MATCH(D83,'Paramètres'!$F$6:$F$13,0)),0))</f>
        <v/>
      </c>
      <c r="AT83" s="106">
        <f>IF(C83="","",IFERROR(1/(1/_xlfn.MINIFS('Saisie'!$A$5:$A$2004,'Saisie'!$C$5:$C$2004,C83,'Saisie'!$E$5:$E$2004,"Signature")),""))</f>
        <v/>
      </c>
      <c r="AU83" s="60">
        <f>IF(C83="","",IF(OR(AT83="",B83=""),"",AT83-B83))</f>
        <v/>
      </c>
      <c r="AV83" s="60">
        <f>IF(C83="","",IFERROR(INDEX('Saisie'!$L$5:$L$2004,_xlfn.MAXIFS('Saisie'!$AS$5:$AS$2004,'Saisie'!$C$5:$C$2004,C83,'Saisie'!$L$5:$L$2004,"&lt;&gt;")-4),""))</f>
        <v/>
      </c>
      <c r="AW83" s="106">
        <f>IF(C83="","",IF(D83&lt;&gt;"Perdu","",IFERROR(1/(1/_xlfn.MAXIFS('Saisie'!$A$5:$A$2004,'Saisie'!$C$5:$C$2004,C83,'Saisie'!$E$5:$E$2004,"Perdu")),"")))</f>
        <v/>
      </c>
      <c r="AX83" s="106">
        <f>IF(C83="","",IF(AW83="","",AW83+'Paramètres'!$B$28))</f>
        <v/>
      </c>
      <c r="AY83" s="60">
        <f>IF(C83="","",SUMIFS('Saisie'!$H$5:$H$2004,'Saisie'!$C$5:$C$2004,C83))</f>
        <v/>
      </c>
      <c r="AZ83" s="60">
        <f>IF(C83="","",IFERROR(INDEX('Paramètres'!$W$6:$W$20,MATCH(S83,'Paramètres'!$V$6:$V$20,0))&amp;"",""))</f>
        <v/>
      </c>
      <c r="BA83" s="60">
        <f>IF(C83="","",MAX(1,_xlfn.MAXIFS('Saisie'!$AT$5:$AT$2004,'Saisie'!$C$5:$C$2004,C83)))</f>
        <v/>
      </c>
      <c r="BB83" s="60">
        <f>IF(C83="","",IFERROR(INDEX('Saisie'!$X$5:$X$2004,_xlfn.MAXIFS('Saisie'!$AS$5:$AS$2004,'Saisie'!$C$5:$C$2004,C83,'Saisie'!$X$5:$X$2004,"&lt;&gt;")-4),""))</f>
        <v/>
      </c>
      <c r="BC83" s="60">
        <f>IF(C83="","",IFERROR(INDEX('Saisie'!$Y$5:$Y$2004,_xlfn.MAXIFS('Saisie'!$AS$5:$AS$2004,'Saisie'!$C$5:$C$2004,C83,'Saisie'!$Y$5:$Y$2004,"&lt;&gt;")-4),""))</f>
        <v/>
      </c>
      <c r="BD83" s="106">
        <f>IF(C83="","",IFERROR(1/(1/_xlfn.MINIFS('Saisie'!$A$5:$A$2004,'Saisie'!$C$5:$C$2004,C83,'Saisie'!$AT$5:$AT$2004,"&gt;=2")),""))</f>
        <v/>
      </c>
      <c r="BE83" s="106">
        <f>IF(C83="","",IFERROR(1/(1/_xlfn.MINIFS('Saisie'!$A$5:$A$2004,'Saisie'!$C$5:$C$2004,C83,'Saisie'!$AT$5:$AT$2004,"&gt;=3")),""))</f>
        <v/>
      </c>
      <c r="BF83" s="106">
        <f>IF(C83="","",IFERROR(1/(1/_xlfn.MINIFS('Saisie'!$A$5:$A$2004,'Saisie'!$C$5:$C$2004,C83,'Saisie'!$AT$5:$AT$2004,"&gt;=4")),""))</f>
        <v/>
      </c>
      <c r="BG83" s="106">
        <f>IF(C83="","",IFERROR(1/(1/_xlfn.MINIFS('Saisie'!$A$5:$A$2004,'Saisie'!$C$5:$C$2004,C83,'Saisie'!$AT$5:$AT$2004,"&gt;=5")),""))</f>
        <v/>
      </c>
      <c r="BH83" s="106">
        <f>IF(C83="","",IFERROR(1/(1/_xlfn.MINIFS('Saisie'!$A$5:$A$2004,'Saisie'!$C$5:$C$2004,C83,'Saisie'!$AT$5:$AT$2004,"&gt;=6")),""))</f>
        <v/>
      </c>
      <c r="BI83" s="106">
        <f>IF(C83="","",IFERROR(1/(1/_xlfn.MINIFS('Saisie'!$A$5:$A$2004,'Saisie'!$C$5:$C$2004,C83,'Saisie'!$AT$5:$AT$2004,"&gt;=7")),""))</f>
        <v/>
      </c>
      <c r="BJ83" s="60">
        <f>IF(OR(BD83="",B83=""),"",BD83-B83)</f>
        <v/>
      </c>
      <c r="BK83" s="60">
        <f>IF(OR(BE83="",BD83=""),"",BE83-BD83)</f>
        <v/>
      </c>
      <c r="BL83" s="60">
        <f>IF(OR(BF83="",BE83=""),"",BF83-BE83)</f>
        <v/>
      </c>
      <c r="BM83" s="60">
        <f>IF(OR(BG83="",BF83=""),"",BG83-BF83)</f>
        <v/>
      </c>
      <c r="BN83" s="60">
        <f>IF(OR(BH83="",BG83=""),"",BH83-BG83)</f>
        <v/>
      </c>
      <c r="BO83" s="60">
        <f>IF(OR(BI83="",BH83=""),"",BI83-BH83)</f>
        <v/>
      </c>
      <c r="BP83" s="60">
        <f>IF(C83="","",_xlfn.MAXIFS('Saisie'!$AS$5:$AS$2004,'Saisie'!$C$5:$C$2004,C83,'Saisie'!$J$5:$J$2004,"&lt;&gt;"))</f>
        <v/>
      </c>
      <c r="BQ83" s="60">
        <f>IF(C83="","",_xlfn.MAXIFS('Saisie'!$AS$5:$AS$2004,'Saisie'!$C$5:$C$2004,C83))</f>
        <v/>
      </c>
      <c r="BR83" s="60">
        <f>IF(C83="","",_xlfn.MAXIFS('Saisie'!$AS$5:$AS$2004,'Saisie'!$C$5:$C$2004,C83,'Saisie'!$E$5:$E$2004,"Perdu"))</f>
        <v/>
      </c>
      <c r="BS83" s="60">
        <f>IF(C83="","",_xlfn.MAXIFS('Saisie'!$AS$5:$AS$2004,'Saisie'!$C$5:$C$2004,C83,'Saisie'!$AT$5:$AT$2004,"&gt;0"))</f>
        <v/>
      </c>
      <c r="BT83" s="109">
        <f>IF(AND(C83&lt;&gt;"",OR(D83="Nouveau",D83="Contacté",D83="Qualifié"),OR(G83="",N(G83)&lt;=TODAY()),NOT(AND(O83&gt;='Paramètres'!$B$21,P83=0))),E83+79/10000,"")</f>
        <v/>
      </c>
      <c r="BU83" s="60">
        <f>IF(AND(G83&lt;&gt;"",N(G83)&lt;=TODAY()),MAX($BU$4:BU82)+1,"")</f>
        <v/>
      </c>
      <c r="BV83" s="60">
        <f>IF(AND(F83&lt;&gt;"",F83&lt;&gt;"Relance en retard"),MAX($BV$4:BV82)+1,"")</f>
        <v/>
      </c>
      <c r="BW83" s="60">
        <f>IF(C83="","",IF(AND(B83&gt;='Tableau de bord'!$R$4,B83&lt;='Tableau de bord'!$S$4,OR('Tableau de bord'!$G$4="Tous",N83='Tableau de bord'!$G$4)),1,0))</f>
        <v/>
      </c>
      <c r="BX83" s="60">
        <f>IF(AND(C83&lt;&gt;"",N(BA83)=7),MAX($BX$4:BX82)+1,"")</f>
        <v/>
      </c>
    </row>
    <row r="84">
      <c r="A84" s="60">
        <f>IF(C84="","","P-"&amp;TEXT(80,"000"))</f>
        <v/>
      </c>
      <c r="B84" s="106">
        <f>IF(C84="","",IFERROR(1/(1/_xlfn.MINIFS('Saisie'!$A$5:$A$2004,'Saisie'!$C$5:$C$2004,C84)),""))</f>
        <v/>
      </c>
      <c r="C84" s="60">
        <f>IFERROR(INDEX('Saisie'!$C$5:$C$2004,MATCH(80,'Saisie'!$AX$5:$AX$2004,0)),"")</f>
        <v/>
      </c>
      <c r="D84" s="60">
        <f>IF(C84="","",IF(AND(BR84&gt;0,BR84&gt;BS84,BA84&lt;7),"Perdu",INDEX('Paramètres'!$F$6:$F$13,BA84)))</f>
        <v/>
      </c>
      <c r="E84" s="61">
        <f>IF(C84="","",MIN(100,(Z84="Oui")*'Paramètres'!$B$38+(AB84="Régulière")*'Paramètres'!$B$39+IF(AND(N(AA84)&gt;0,TODAY()-N(AA84)&lt;=30),'Paramètres'!$B$40,0)+(W84="")*'Paramètres'!$B$41+(AC84="Absente")*'Paramètres'!$B$42+(AC84="Faible")*'Paramètres'!$B$43+IF(AND(N(AD84)&gt;0,N(AD84)&lt;4),'Paramètres'!$B$44,0)+(AF84="Moyenne")*'Paramètres'!$B$45+(AF84="Grande")*'Paramètres'!$B$46+(Y84&lt;&gt;"")*'Paramètres'!$B$47))</f>
        <v/>
      </c>
      <c r="F84" s="60">
        <f>IF(C84="","",IF(D84="Gagné","",IF(D84="Perdu",IF(AND(AX84&lt;&gt;"",AX84&lt;=TODAY()),"À recontacter (perdu)",""),IF(AND(O84&gt;='Paramètres'!$B$21,P84=0),"Stop : "&amp;'Paramètres'!$B$21&amp;" tentatives sans réponse",IF(AND(D84="Proposition",AR84&lt;&gt;"",TODAY()&gt;N(AR84)),"Proposition expirée",IF(AND(D84="Proposition",N(R84)&gt;='Paramètres'!$B$25),"Proposition sans réponse",IF(AND(G84&lt;&gt;"",N(G84)&lt;TODAY()),"Relance en retard",IF(N(R84)&gt;='Paramètres'!$B$24,"Sans action depuis "&amp;R84&amp;" j",""))))))))</f>
        <v/>
      </c>
      <c r="G84" s="106">
        <f>IF(OR(C84="",D84="Gagné",D84="Perdu"),"",IF(AND(BP84&gt;0,BP84=BQ84),INDEX('Saisie'!$J$5:$J$2004,BP84-4),IF(OR(O84=0,AND(O84&gt;='Paramètres'!$B$21,P84=0)),"",Q84+IF(O84&lt;=1,'Paramètres'!$B$18,IF(O84=2,'Paramètres'!$B$19,'Paramètres'!$B$20)))))</f>
        <v/>
      </c>
      <c r="H84" s="107">
        <f>IF(OR(G84="",BP84&lt;&gt;BQ84),"",IF(INDEX('Saisie'!$K$5:$K$2004,BP84-4)="","",INDEX('Saisie'!$K$5:$K$2004,BP84-4)))</f>
        <v/>
      </c>
      <c r="I84" s="60">
        <f>IF(C84="","",IF(OR(D84="Gagné",D84="Perdu"),"",IFERROR(INDEX('Saisie'!$I$5:$I$2004,_xlfn.MAXIFS('Saisie'!$AS$5:$AS$2004,'Saisie'!$C$5:$C$2004,C84,'Saisie'!$I$5:$I$2004,"&lt;&gt;")-4),"")))</f>
        <v/>
      </c>
      <c r="J84" s="60">
        <f>IF(C84="","",IFERROR(INDEX('Saisie'!$U$5:$U$2004,_xlfn.MAXIFS('Saisie'!$AS$5:$AS$2004,'Saisie'!$C$5:$C$2004,C84,'Saisie'!$U$5:$U$2004,"&lt;&gt;")-4),""))</f>
        <v/>
      </c>
      <c r="K84" s="60">
        <f>IF(C84="","",IFERROR(INDEX('Saisie'!$W$5:$W$2004,_xlfn.MAXIFS('Saisie'!$AS$5:$AS$2004,'Saisie'!$C$5:$C$2004,C84,'Saisie'!$W$5:$W$2004,"&lt;&gt;")-4),""))</f>
        <v/>
      </c>
      <c r="L84" s="60">
        <f>IF(IF(BB84&lt;&gt;"",BB84,K84)="","",HYPERLINK("https://wa.me/"&amp;IF(LEFT(SUBSTITUTE(SUBSTITUTE(SUBSTITUTE(IF(BB84&lt;&gt;"",BB84,K84)," ",""),".",""),"+",""),1)="0",'Paramètres'!$B$35&amp;MID(SUBSTITUTE(SUBSTITUTE(SUBSTITUTE(IF(BB84&lt;&gt;"",BB84,K84)," ",""),".",""),"+",""),2,20),SUBSTITUTE(SUBSTITUTE(SUBSTITUTE(IF(BB84&lt;&gt;"",BB84,K84)," ",""),".",""),"+","")),"WhatsApp"))</f>
        <v/>
      </c>
      <c r="M84" s="60">
        <f>IF(BC84="","",HYPERLINK(IF(LEFT(BC84,4)="http",BC84,"https://www.instagram.com/"&amp;SUBSTITUTE(SUBSTITUTE(BC84,"@","")," ","")),BC84))</f>
        <v/>
      </c>
      <c r="N84" s="60">
        <f>IF(C84="","",IFERROR(INDEX('Saisie'!$D$5:$D$2004,_xlfn.MINIFS('Saisie'!$AS$5:$AS$2004,'Saisie'!$C$5:$C$2004,C84,'Saisie'!$AU$5:$AU$2004,1)-4),IFERROR(INDEX('Saisie'!$D$5:$D$2004,_xlfn.MINIFS('Saisie'!$AS$5:$AS$2004,'Saisie'!$C$5:$C$2004,C84,'Saisie'!$D$5:$D$2004,"&lt;&gt;")-4),"")))</f>
        <v/>
      </c>
      <c r="O84" s="60">
        <f>IF(C84="","",COUNTIFS('Saisie'!$C$5:$C$2004,C84,'Saisie'!$AU$5:$AU$2004,1))</f>
        <v/>
      </c>
      <c r="P84" s="60">
        <f>IF(C84="","",COUNTIFS('Saisie'!$C$5:$C$2004,C84,'Saisie'!$AV$5:$AV$2004,1))</f>
        <v/>
      </c>
      <c r="Q84" s="106">
        <f>IF(C84="","",IFERROR(1/(1/_xlfn.MAXIFS('Saisie'!$A$5:$A$2004,'Saisie'!$C$5:$C$2004,C84)),""))</f>
        <v/>
      </c>
      <c r="R84" s="61">
        <f>IF(C84="","",IF(Q84="","",TODAY()-Q84))</f>
        <v/>
      </c>
      <c r="S84" s="60">
        <f>IF(C84="","",IFERROR(INDEX('Saisie'!$R$5:$R$2004,_xlfn.MAXIFS('Saisie'!$AS$5:$AS$2004,'Saisie'!$C$5:$C$2004,C84,'Saisie'!$R$5:$R$2004,"&lt;&gt;")-4),""))</f>
        <v/>
      </c>
      <c r="T84" s="60">
        <f>IF(C84="","",IFERROR(INDEX('Saisie'!$S$5:$S$2004,_xlfn.MAXIFS('Saisie'!$AS$5:$AS$2004,'Saisie'!$C$5:$C$2004,C84,'Saisie'!$S$5:$S$2004,"&lt;&gt;")-4),""))</f>
        <v/>
      </c>
      <c r="U84" s="60">
        <f>IF(C84="","",IFERROR(INDEX('Saisie'!$T$5:$T$2004,_xlfn.MAXIFS('Saisie'!$AS$5:$AS$2004,'Saisie'!$C$5:$C$2004,C84,'Saisie'!$T$5:$T$2004,"&lt;&gt;")-4),""))</f>
        <v/>
      </c>
      <c r="V84" s="60">
        <f>IF(C84="","",IFERROR(INDEX('Saisie'!$V$5:$V$2004,_xlfn.MAXIFS('Saisie'!$AS$5:$AS$2004,'Saisie'!$C$5:$C$2004,C84,'Saisie'!$V$5:$V$2004,"&lt;&gt;")-4),""))</f>
        <v/>
      </c>
      <c r="W84" s="60">
        <f>IF(C84="","",IFERROR(INDEX('Saisie'!$Z$5:$Z$2004,_xlfn.MAXIFS('Saisie'!$AS$5:$AS$2004,'Saisie'!$C$5:$C$2004,C84,'Saisie'!$Z$5:$Z$2004,"&lt;&gt;")-4),""))</f>
        <v/>
      </c>
      <c r="X84" s="60">
        <f>IF(C84="","",IFERROR(INDEX('Saisie'!$AA$5:$AA$2004,_xlfn.MAXIFS('Saisie'!$AS$5:$AS$2004,'Saisie'!$C$5:$C$2004,C84,'Saisie'!$AA$5:$AA$2004,"&lt;&gt;")-4),""))</f>
        <v/>
      </c>
      <c r="Y84" s="60">
        <f>IF(C84="","",IFERROR(INDEX('Saisie'!$AB$5:$AB$2004,_xlfn.MAXIFS('Saisie'!$AS$5:$AS$2004,'Saisie'!$C$5:$C$2004,C84,'Saisie'!$AB$5:$AB$2004,"&lt;&gt;")-4),""))</f>
        <v/>
      </c>
      <c r="Z84" s="60">
        <f>IF(C84="","",IFERROR(INDEX('Saisie'!$AC$5:$AC$2004,_xlfn.MAXIFS('Saisie'!$AS$5:$AS$2004,'Saisie'!$C$5:$C$2004,C84,'Saisie'!$AC$5:$AC$2004,"&lt;&gt;")-4),""))</f>
        <v/>
      </c>
      <c r="AA84" s="106">
        <f>IF(C84="","",IFERROR(INDEX('Saisie'!$AD$5:$AD$2004,_xlfn.MAXIFS('Saisie'!$AS$5:$AS$2004,'Saisie'!$C$5:$C$2004,C84,'Saisie'!$AD$5:$AD$2004,"&lt;&gt;")-4),""))</f>
        <v/>
      </c>
      <c r="AB84" s="60">
        <f>IF(C84="","",IFERROR(INDEX('Saisie'!$AE$5:$AE$2004,_xlfn.MAXIFS('Saisie'!$AS$5:$AS$2004,'Saisie'!$C$5:$C$2004,C84,'Saisie'!$AE$5:$AE$2004,"&lt;&gt;")-4),""))</f>
        <v/>
      </c>
      <c r="AC84" s="60">
        <f>IF(C84="","",IFERROR(INDEX('Saisie'!$AF$5:$AF$2004,_xlfn.MAXIFS('Saisie'!$AS$5:$AS$2004,'Saisie'!$C$5:$C$2004,C84,'Saisie'!$AF$5:$AF$2004,"&lt;&gt;")-4),""))</f>
        <v/>
      </c>
      <c r="AD84" s="108">
        <f>IF(C84="","",IFERROR(INDEX('Saisie'!$AG$5:$AG$2004,_xlfn.MAXIFS('Saisie'!$AS$5:$AS$2004,'Saisie'!$C$5:$C$2004,C84,'Saisie'!$AG$5:$AG$2004,"&lt;&gt;")-4),""))</f>
        <v/>
      </c>
      <c r="AE84" s="60">
        <f>IF(C84="","",IFERROR(INDEX('Saisie'!$AH$5:$AH$2004,_xlfn.MAXIFS('Saisie'!$AS$5:$AS$2004,'Saisie'!$C$5:$C$2004,C84,'Saisie'!$AH$5:$AH$2004,"&lt;&gt;")-4),""))</f>
        <v/>
      </c>
      <c r="AF84" s="60">
        <f>IF(C84="","",IFERROR(INDEX('Saisie'!$AI$5:$AI$2004,_xlfn.MAXIFS('Saisie'!$AS$5:$AS$2004,'Saisie'!$C$5:$C$2004,C84,'Saisie'!$AI$5:$AI$2004,"&lt;&gt;")-4),""))</f>
        <v/>
      </c>
      <c r="AG84" s="60">
        <f>IF(C84="","",IFERROR(INDEX('Saisie'!$AJ$5:$AJ$2004,_xlfn.MAXIFS('Saisie'!$AS$5:$AS$2004,'Saisie'!$C$5:$C$2004,C84,'Saisie'!$AJ$5:$AJ$2004,"&lt;&gt;")-4),""))</f>
        <v/>
      </c>
      <c r="AH84" s="60">
        <f>IF(C84="","",IFERROR(INDEX('Saisie'!$AK$5:$AK$2004,_xlfn.MAXIFS('Saisie'!$AS$5:$AS$2004,'Saisie'!$C$5:$C$2004,C84,'Saisie'!$AK$5:$AK$2004,"&lt;&gt;")-4),""))</f>
        <v/>
      </c>
      <c r="AI84" s="60">
        <f>IF(C84="","",IFERROR(INDEX('Saisie'!$AN$5:$AN$2004,_xlfn.MAXIFS('Saisie'!$AS$5:$AS$2004,'Saisie'!$C$5:$C$2004,C84,'Saisie'!$AN$5:$AN$2004,"&lt;&gt;")-4),""))</f>
        <v/>
      </c>
      <c r="AJ84" s="60">
        <f>IF(C84="","",IFERROR(INDEX('Saisie'!$AO$5:$AO$2004,_xlfn.MAXIFS('Saisie'!$AS$5:$AS$2004,'Saisie'!$C$5:$C$2004,C84,'Saisie'!$AO$5:$AO$2004,"&lt;&gt;")-4),""))</f>
        <v/>
      </c>
      <c r="AK84" s="60">
        <f>IF(C84="","",IFERROR(INDEX('Saisie'!$AP$5:$AP$2004,_xlfn.MAXIFS('Saisie'!$AS$5:$AS$2004,'Saisie'!$C$5:$C$2004,C84,'Saisie'!$AP$5:$AP$2004,"&lt;&gt;")-4),""))</f>
        <v/>
      </c>
      <c r="AL84" s="60">
        <f>IF(C84="","",IFERROR(INDEX('Saisie'!$AQ$5:$AQ$2004,_xlfn.MAXIFS('Saisie'!$AS$5:$AS$2004,'Saisie'!$C$5:$C$2004,C84,'Saisie'!$AQ$5:$AQ$2004,"&lt;&gt;")-4),""))</f>
        <v/>
      </c>
      <c r="AM84" s="60">
        <f>IF(C84="","",((AI84="Oui")+(AJ84="Oui")+(AK84="Oui")+OR(AL84="Immédiat",AL84="&lt; 1 mois"))&amp;"/4")</f>
        <v/>
      </c>
      <c r="AN84" s="60">
        <f>IF(C84="","",IFERROR(INDEX('Saisie'!$AL$5:$AL$2004,_xlfn.MAXIFS('Saisie'!$AS$5:$AS$2004,'Saisie'!$C$5:$C$2004,C84,'Saisie'!$AL$5:$AL$2004,"&lt;&gt;")-4),""))</f>
        <v/>
      </c>
      <c r="AO84" s="62">
        <f>IF(C84="","",IF(IFERROR(INDEX('Saisie'!$AM$5:$AM$2004,_xlfn.MAXIFS('Saisie'!$AS$5:$AS$2004,'Saisie'!$C$5:$C$2004,C84,'Saisie'!$AM$5:$AM$2004,"&lt;&gt;")-4),"")&lt;&gt;"",IFERROR(INDEX('Saisie'!$AM$5:$AM$2004,_xlfn.MAXIFS('Saisie'!$AS$5:$AS$2004,'Saisie'!$C$5:$C$2004,C84,'Saisie'!$AM$5:$AM$2004,"&lt;&gt;")-4),""),IFERROR(INDEX('Paramètres'!$S$6:$S$15,MATCH(AN84,'Paramètres'!$Q$6:$Q$15,0)),"")))</f>
        <v/>
      </c>
      <c r="AP84" s="62">
        <f>IF(C84="","",IFERROR(INDEX('Saisie'!$AW$5:$AW$2004,_xlfn.MAXIFS('Saisie'!$AS$5:$AS$2004,'Saisie'!$C$5:$C$2004,C84,'Saisie'!$E$5:$E$2004,"Proposition envoyée")-4),""))</f>
        <v/>
      </c>
      <c r="AQ84" s="106">
        <f>IF(C84="","",IFERROR(1/(1/_xlfn.MAXIFS('Saisie'!$A$5:$A$2004,'Saisie'!$C$5:$C$2004,C84,'Saisie'!$E$5:$E$2004,"Proposition envoyée")),""))</f>
        <v/>
      </c>
      <c r="AR84" s="106">
        <f>IF(C84="","",IF(AQ84="","",AQ84+'Paramètres'!$B$26))</f>
        <v/>
      </c>
      <c r="AS84" s="62">
        <f>IF(OR(C84="",D84="Gagné",D84="Perdu"),0,N(AP84)*IFERROR(INDEX('Paramètres'!$G$6:$G$13,MATCH(D84,'Paramètres'!$F$6:$F$13,0)),0))</f>
        <v/>
      </c>
      <c r="AT84" s="106">
        <f>IF(C84="","",IFERROR(1/(1/_xlfn.MINIFS('Saisie'!$A$5:$A$2004,'Saisie'!$C$5:$C$2004,C84,'Saisie'!$E$5:$E$2004,"Signature")),""))</f>
        <v/>
      </c>
      <c r="AU84" s="60">
        <f>IF(C84="","",IF(OR(AT84="",B84=""),"",AT84-B84))</f>
        <v/>
      </c>
      <c r="AV84" s="60">
        <f>IF(C84="","",IFERROR(INDEX('Saisie'!$L$5:$L$2004,_xlfn.MAXIFS('Saisie'!$AS$5:$AS$2004,'Saisie'!$C$5:$C$2004,C84,'Saisie'!$L$5:$L$2004,"&lt;&gt;")-4),""))</f>
        <v/>
      </c>
      <c r="AW84" s="106">
        <f>IF(C84="","",IF(D84&lt;&gt;"Perdu","",IFERROR(1/(1/_xlfn.MAXIFS('Saisie'!$A$5:$A$2004,'Saisie'!$C$5:$C$2004,C84,'Saisie'!$E$5:$E$2004,"Perdu")),"")))</f>
        <v/>
      </c>
      <c r="AX84" s="106">
        <f>IF(C84="","",IF(AW84="","",AW84+'Paramètres'!$B$28))</f>
        <v/>
      </c>
      <c r="AY84" s="60">
        <f>IF(C84="","",SUMIFS('Saisie'!$H$5:$H$2004,'Saisie'!$C$5:$C$2004,C84))</f>
        <v/>
      </c>
      <c r="AZ84" s="60">
        <f>IF(C84="","",IFERROR(INDEX('Paramètres'!$W$6:$W$20,MATCH(S84,'Paramètres'!$V$6:$V$20,0))&amp;"",""))</f>
        <v/>
      </c>
      <c r="BA84" s="60">
        <f>IF(C84="","",MAX(1,_xlfn.MAXIFS('Saisie'!$AT$5:$AT$2004,'Saisie'!$C$5:$C$2004,C84)))</f>
        <v/>
      </c>
      <c r="BB84" s="60">
        <f>IF(C84="","",IFERROR(INDEX('Saisie'!$X$5:$X$2004,_xlfn.MAXIFS('Saisie'!$AS$5:$AS$2004,'Saisie'!$C$5:$C$2004,C84,'Saisie'!$X$5:$X$2004,"&lt;&gt;")-4),""))</f>
        <v/>
      </c>
      <c r="BC84" s="60">
        <f>IF(C84="","",IFERROR(INDEX('Saisie'!$Y$5:$Y$2004,_xlfn.MAXIFS('Saisie'!$AS$5:$AS$2004,'Saisie'!$C$5:$C$2004,C84,'Saisie'!$Y$5:$Y$2004,"&lt;&gt;")-4),""))</f>
        <v/>
      </c>
      <c r="BD84" s="106">
        <f>IF(C84="","",IFERROR(1/(1/_xlfn.MINIFS('Saisie'!$A$5:$A$2004,'Saisie'!$C$5:$C$2004,C84,'Saisie'!$AT$5:$AT$2004,"&gt;=2")),""))</f>
        <v/>
      </c>
      <c r="BE84" s="106">
        <f>IF(C84="","",IFERROR(1/(1/_xlfn.MINIFS('Saisie'!$A$5:$A$2004,'Saisie'!$C$5:$C$2004,C84,'Saisie'!$AT$5:$AT$2004,"&gt;=3")),""))</f>
        <v/>
      </c>
      <c r="BF84" s="106">
        <f>IF(C84="","",IFERROR(1/(1/_xlfn.MINIFS('Saisie'!$A$5:$A$2004,'Saisie'!$C$5:$C$2004,C84,'Saisie'!$AT$5:$AT$2004,"&gt;=4")),""))</f>
        <v/>
      </c>
      <c r="BG84" s="106">
        <f>IF(C84="","",IFERROR(1/(1/_xlfn.MINIFS('Saisie'!$A$5:$A$2004,'Saisie'!$C$5:$C$2004,C84,'Saisie'!$AT$5:$AT$2004,"&gt;=5")),""))</f>
        <v/>
      </c>
      <c r="BH84" s="106">
        <f>IF(C84="","",IFERROR(1/(1/_xlfn.MINIFS('Saisie'!$A$5:$A$2004,'Saisie'!$C$5:$C$2004,C84,'Saisie'!$AT$5:$AT$2004,"&gt;=6")),""))</f>
        <v/>
      </c>
      <c r="BI84" s="106">
        <f>IF(C84="","",IFERROR(1/(1/_xlfn.MINIFS('Saisie'!$A$5:$A$2004,'Saisie'!$C$5:$C$2004,C84,'Saisie'!$AT$5:$AT$2004,"&gt;=7")),""))</f>
        <v/>
      </c>
      <c r="BJ84" s="60">
        <f>IF(OR(BD84="",B84=""),"",BD84-B84)</f>
        <v/>
      </c>
      <c r="BK84" s="60">
        <f>IF(OR(BE84="",BD84=""),"",BE84-BD84)</f>
        <v/>
      </c>
      <c r="BL84" s="60">
        <f>IF(OR(BF84="",BE84=""),"",BF84-BE84)</f>
        <v/>
      </c>
      <c r="BM84" s="60">
        <f>IF(OR(BG84="",BF84=""),"",BG84-BF84)</f>
        <v/>
      </c>
      <c r="BN84" s="60">
        <f>IF(OR(BH84="",BG84=""),"",BH84-BG84)</f>
        <v/>
      </c>
      <c r="BO84" s="60">
        <f>IF(OR(BI84="",BH84=""),"",BI84-BH84)</f>
        <v/>
      </c>
      <c r="BP84" s="60">
        <f>IF(C84="","",_xlfn.MAXIFS('Saisie'!$AS$5:$AS$2004,'Saisie'!$C$5:$C$2004,C84,'Saisie'!$J$5:$J$2004,"&lt;&gt;"))</f>
        <v/>
      </c>
      <c r="BQ84" s="60">
        <f>IF(C84="","",_xlfn.MAXIFS('Saisie'!$AS$5:$AS$2004,'Saisie'!$C$5:$C$2004,C84))</f>
        <v/>
      </c>
      <c r="BR84" s="60">
        <f>IF(C84="","",_xlfn.MAXIFS('Saisie'!$AS$5:$AS$2004,'Saisie'!$C$5:$C$2004,C84,'Saisie'!$E$5:$E$2004,"Perdu"))</f>
        <v/>
      </c>
      <c r="BS84" s="60">
        <f>IF(C84="","",_xlfn.MAXIFS('Saisie'!$AS$5:$AS$2004,'Saisie'!$C$5:$C$2004,C84,'Saisie'!$AT$5:$AT$2004,"&gt;0"))</f>
        <v/>
      </c>
      <c r="BT84" s="109">
        <f>IF(AND(C84&lt;&gt;"",OR(D84="Nouveau",D84="Contacté",D84="Qualifié"),OR(G84="",N(G84)&lt;=TODAY()),NOT(AND(O84&gt;='Paramètres'!$B$21,P84=0))),E84+80/10000,"")</f>
        <v/>
      </c>
      <c r="BU84" s="60">
        <f>IF(AND(G84&lt;&gt;"",N(G84)&lt;=TODAY()),MAX($BU$4:BU83)+1,"")</f>
        <v/>
      </c>
      <c r="BV84" s="60">
        <f>IF(AND(F84&lt;&gt;"",F84&lt;&gt;"Relance en retard"),MAX($BV$4:BV83)+1,"")</f>
        <v/>
      </c>
      <c r="BW84" s="60">
        <f>IF(C84="","",IF(AND(B84&gt;='Tableau de bord'!$R$4,B84&lt;='Tableau de bord'!$S$4,OR('Tableau de bord'!$G$4="Tous",N84='Tableau de bord'!$G$4)),1,0))</f>
        <v/>
      </c>
      <c r="BX84" s="60">
        <f>IF(AND(C84&lt;&gt;"",N(BA84)=7),MAX($BX$4:BX83)+1,"")</f>
        <v/>
      </c>
    </row>
    <row r="85">
      <c r="A85" s="60">
        <f>IF(C85="","","P-"&amp;TEXT(81,"000"))</f>
        <v/>
      </c>
      <c r="B85" s="106">
        <f>IF(C85="","",IFERROR(1/(1/_xlfn.MINIFS('Saisie'!$A$5:$A$2004,'Saisie'!$C$5:$C$2004,C85)),""))</f>
        <v/>
      </c>
      <c r="C85" s="60">
        <f>IFERROR(INDEX('Saisie'!$C$5:$C$2004,MATCH(81,'Saisie'!$AX$5:$AX$2004,0)),"")</f>
        <v/>
      </c>
      <c r="D85" s="60">
        <f>IF(C85="","",IF(AND(BR85&gt;0,BR85&gt;BS85,BA85&lt;7),"Perdu",INDEX('Paramètres'!$F$6:$F$13,BA85)))</f>
        <v/>
      </c>
      <c r="E85" s="61">
        <f>IF(C85="","",MIN(100,(Z85="Oui")*'Paramètres'!$B$38+(AB85="Régulière")*'Paramètres'!$B$39+IF(AND(N(AA85)&gt;0,TODAY()-N(AA85)&lt;=30),'Paramètres'!$B$40,0)+(W85="")*'Paramètres'!$B$41+(AC85="Absente")*'Paramètres'!$B$42+(AC85="Faible")*'Paramètres'!$B$43+IF(AND(N(AD85)&gt;0,N(AD85)&lt;4),'Paramètres'!$B$44,0)+(AF85="Moyenne")*'Paramètres'!$B$45+(AF85="Grande")*'Paramètres'!$B$46+(Y85&lt;&gt;"")*'Paramètres'!$B$47))</f>
        <v/>
      </c>
      <c r="F85" s="60">
        <f>IF(C85="","",IF(D85="Gagné","",IF(D85="Perdu",IF(AND(AX85&lt;&gt;"",AX85&lt;=TODAY()),"À recontacter (perdu)",""),IF(AND(O85&gt;='Paramètres'!$B$21,P85=0),"Stop : "&amp;'Paramètres'!$B$21&amp;" tentatives sans réponse",IF(AND(D85="Proposition",AR85&lt;&gt;"",TODAY()&gt;N(AR85)),"Proposition expirée",IF(AND(D85="Proposition",N(R85)&gt;='Paramètres'!$B$25),"Proposition sans réponse",IF(AND(G85&lt;&gt;"",N(G85)&lt;TODAY()),"Relance en retard",IF(N(R85)&gt;='Paramètres'!$B$24,"Sans action depuis "&amp;R85&amp;" j",""))))))))</f>
        <v/>
      </c>
      <c r="G85" s="106">
        <f>IF(OR(C85="",D85="Gagné",D85="Perdu"),"",IF(AND(BP85&gt;0,BP85=BQ85),INDEX('Saisie'!$J$5:$J$2004,BP85-4),IF(OR(O85=0,AND(O85&gt;='Paramètres'!$B$21,P85=0)),"",Q85+IF(O85&lt;=1,'Paramètres'!$B$18,IF(O85=2,'Paramètres'!$B$19,'Paramètres'!$B$20)))))</f>
        <v/>
      </c>
      <c r="H85" s="107">
        <f>IF(OR(G85="",BP85&lt;&gt;BQ85),"",IF(INDEX('Saisie'!$K$5:$K$2004,BP85-4)="","",INDEX('Saisie'!$K$5:$K$2004,BP85-4)))</f>
        <v/>
      </c>
      <c r="I85" s="60">
        <f>IF(C85="","",IF(OR(D85="Gagné",D85="Perdu"),"",IFERROR(INDEX('Saisie'!$I$5:$I$2004,_xlfn.MAXIFS('Saisie'!$AS$5:$AS$2004,'Saisie'!$C$5:$C$2004,C85,'Saisie'!$I$5:$I$2004,"&lt;&gt;")-4),"")))</f>
        <v/>
      </c>
      <c r="J85" s="60">
        <f>IF(C85="","",IFERROR(INDEX('Saisie'!$U$5:$U$2004,_xlfn.MAXIFS('Saisie'!$AS$5:$AS$2004,'Saisie'!$C$5:$C$2004,C85,'Saisie'!$U$5:$U$2004,"&lt;&gt;")-4),""))</f>
        <v/>
      </c>
      <c r="K85" s="60">
        <f>IF(C85="","",IFERROR(INDEX('Saisie'!$W$5:$W$2004,_xlfn.MAXIFS('Saisie'!$AS$5:$AS$2004,'Saisie'!$C$5:$C$2004,C85,'Saisie'!$W$5:$W$2004,"&lt;&gt;")-4),""))</f>
        <v/>
      </c>
      <c r="L85" s="60">
        <f>IF(IF(BB85&lt;&gt;"",BB85,K85)="","",HYPERLINK("https://wa.me/"&amp;IF(LEFT(SUBSTITUTE(SUBSTITUTE(SUBSTITUTE(IF(BB85&lt;&gt;"",BB85,K85)," ",""),".",""),"+",""),1)="0",'Paramètres'!$B$35&amp;MID(SUBSTITUTE(SUBSTITUTE(SUBSTITUTE(IF(BB85&lt;&gt;"",BB85,K85)," ",""),".",""),"+",""),2,20),SUBSTITUTE(SUBSTITUTE(SUBSTITUTE(IF(BB85&lt;&gt;"",BB85,K85)," ",""),".",""),"+","")),"WhatsApp"))</f>
        <v/>
      </c>
      <c r="M85" s="60">
        <f>IF(BC85="","",HYPERLINK(IF(LEFT(BC85,4)="http",BC85,"https://www.instagram.com/"&amp;SUBSTITUTE(SUBSTITUTE(BC85,"@","")," ","")),BC85))</f>
        <v/>
      </c>
      <c r="N85" s="60">
        <f>IF(C85="","",IFERROR(INDEX('Saisie'!$D$5:$D$2004,_xlfn.MINIFS('Saisie'!$AS$5:$AS$2004,'Saisie'!$C$5:$C$2004,C85,'Saisie'!$AU$5:$AU$2004,1)-4),IFERROR(INDEX('Saisie'!$D$5:$D$2004,_xlfn.MINIFS('Saisie'!$AS$5:$AS$2004,'Saisie'!$C$5:$C$2004,C85,'Saisie'!$D$5:$D$2004,"&lt;&gt;")-4),"")))</f>
        <v/>
      </c>
      <c r="O85" s="60">
        <f>IF(C85="","",COUNTIFS('Saisie'!$C$5:$C$2004,C85,'Saisie'!$AU$5:$AU$2004,1))</f>
        <v/>
      </c>
      <c r="P85" s="60">
        <f>IF(C85="","",COUNTIFS('Saisie'!$C$5:$C$2004,C85,'Saisie'!$AV$5:$AV$2004,1))</f>
        <v/>
      </c>
      <c r="Q85" s="106">
        <f>IF(C85="","",IFERROR(1/(1/_xlfn.MAXIFS('Saisie'!$A$5:$A$2004,'Saisie'!$C$5:$C$2004,C85)),""))</f>
        <v/>
      </c>
      <c r="R85" s="61">
        <f>IF(C85="","",IF(Q85="","",TODAY()-Q85))</f>
        <v/>
      </c>
      <c r="S85" s="60">
        <f>IF(C85="","",IFERROR(INDEX('Saisie'!$R$5:$R$2004,_xlfn.MAXIFS('Saisie'!$AS$5:$AS$2004,'Saisie'!$C$5:$C$2004,C85,'Saisie'!$R$5:$R$2004,"&lt;&gt;")-4),""))</f>
        <v/>
      </c>
      <c r="T85" s="60">
        <f>IF(C85="","",IFERROR(INDEX('Saisie'!$S$5:$S$2004,_xlfn.MAXIFS('Saisie'!$AS$5:$AS$2004,'Saisie'!$C$5:$C$2004,C85,'Saisie'!$S$5:$S$2004,"&lt;&gt;")-4),""))</f>
        <v/>
      </c>
      <c r="U85" s="60">
        <f>IF(C85="","",IFERROR(INDEX('Saisie'!$T$5:$T$2004,_xlfn.MAXIFS('Saisie'!$AS$5:$AS$2004,'Saisie'!$C$5:$C$2004,C85,'Saisie'!$T$5:$T$2004,"&lt;&gt;")-4),""))</f>
        <v/>
      </c>
      <c r="V85" s="60">
        <f>IF(C85="","",IFERROR(INDEX('Saisie'!$V$5:$V$2004,_xlfn.MAXIFS('Saisie'!$AS$5:$AS$2004,'Saisie'!$C$5:$C$2004,C85,'Saisie'!$V$5:$V$2004,"&lt;&gt;")-4),""))</f>
        <v/>
      </c>
      <c r="W85" s="60">
        <f>IF(C85="","",IFERROR(INDEX('Saisie'!$Z$5:$Z$2004,_xlfn.MAXIFS('Saisie'!$AS$5:$AS$2004,'Saisie'!$C$5:$C$2004,C85,'Saisie'!$Z$5:$Z$2004,"&lt;&gt;")-4),""))</f>
        <v/>
      </c>
      <c r="X85" s="60">
        <f>IF(C85="","",IFERROR(INDEX('Saisie'!$AA$5:$AA$2004,_xlfn.MAXIFS('Saisie'!$AS$5:$AS$2004,'Saisie'!$C$5:$C$2004,C85,'Saisie'!$AA$5:$AA$2004,"&lt;&gt;")-4),""))</f>
        <v/>
      </c>
      <c r="Y85" s="60">
        <f>IF(C85="","",IFERROR(INDEX('Saisie'!$AB$5:$AB$2004,_xlfn.MAXIFS('Saisie'!$AS$5:$AS$2004,'Saisie'!$C$5:$C$2004,C85,'Saisie'!$AB$5:$AB$2004,"&lt;&gt;")-4),""))</f>
        <v/>
      </c>
      <c r="Z85" s="60">
        <f>IF(C85="","",IFERROR(INDEX('Saisie'!$AC$5:$AC$2004,_xlfn.MAXIFS('Saisie'!$AS$5:$AS$2004,'Saisie'!$C$5:$C$2004,C85,'Saisie'!$AC$5:$AC$2004,"&lt;&gt;")-4),""))</f>
        <v/>
      </c>
      <c r="AA85" s="106">
        <f>IF(C85="","",IFERROR(INDEX('Saisie'!$AD$5:$AD$2004,_xlfn.MAXIFS('Saisie'!$AS$5:$AS$2004,'Saisie'!$C$5:$C$2004,C85,'Saisie'!$AD$5:$AD$2004,"&lt;&gt;")-4),""))</f>
        <v/>
      </c>
      <c r="AB85" s="60">
        <f>IF(C85="","",IFERROR(INDEX('Saisie'!$AE$5:$AE$2004,_xlfn.MAXIFS('Saisie'!$AS$5:$AS$2004,'Saisie'!$C$5:$C$2004,C85,'Saisie'!$AE$5:$AE$2004,"&lt;&gt;")-4),""))</f>
        <v/>
      </c>
      <c r="AC85" s="60">
        <f>IF(C85="","",IFERROR(INDEX('Saisie'!$AF$5:$AF$2004,_xlfn.MAXIFS('Saisie'!$AS$5:$AS$2004,'Saisie'!$C$5:$C$2004,C85,'Saisie'!$AF$5:$AF$2004,"&lt;&gt;")-4),""))</f>
        <v/>
      </c>
      <c r="AD85" s="108">
        <f>IF(C85="","",IFERROR(INDEX('Saisie'!$AG$5:$AG$2004,_xlfn.MAXIFS('Saisie'!$AS$5:$AS$2004,'Saisie'!$C$5:$C$2004,C85,'Saisie'!$AG$5:$AG$2004,"&lt;&gt;")-4),""))</f>
        <v/>
      </c>
      <c r="AE85" s="60">
        <f>IF(C85="","",IFERROR(INDEX('Saisie'!$AH$5:$AH$2004,_xlfn.MAXIFS('Saisie'!$AS$5:$AS$2004,'Saisie'!$C$5:$C$2004,C85,'Saisie'!$AH$5:$AH$2004,"&lt;&gt;")-4),""))</f>
        <v/>
      </c>
      <c r="AF85" s="60">
        <f>IF(C85="","",IFERROR(INDEX('Saisie'!$AI$5:$AI$2004,_xlfn.MAXIFS('Saisie'!$AS$5:$AS$2004,'Saisie'!$C$5:$C$2004,C85,'Saisie'!$AI$5:$AI$2004,"&lt;&gt;")-4),""))</f>
        <v/>
      </c>
      <c r="AG85" s="60">
        <f>IF(C85="","",IFERROR(INDEX('Saisie'!$AJ$5:$AJ$2004,_xlfn.MAXIFS('Saisie'!$AS$5:$AS$2004,'Saisie'!$C$5:$C$2004,C85,'Saisie'!$AJ$5:$AJ$2004,"&lt;&gt;")-4),""))</f>
        <v/>
      </c>
      <c r="AH85" s="60">
        <f>IF(C85="","",IFERROR(INDEX('Saisie'!$AK$5:$AK$2004,_xlfn.MAXIFS('Saisie'!$AS$5:$AS$2004,'Saisie'!$C$5:$C$2004,C85,'Saisie'!$AK$5:$AK$2004,"&lt;&gt;")-4),""))</f>
        <v/>
      </c>
      <c r="AI85" s="60">
        <f>IF(C85="","",IFERROR(INDEX('Saisie'!$AN$5:$AN$2004,_xlfn.MAXIFS('Saisie'!$AS$5:$AS$2004,'Saisie'!$C$5:$C$2004,C85,'Saisie'!$AN$5:$AN$2004,"&lt;&gt;")-4),""))</f>
        <v/>
      </c>
      <c r="AJ85" s="60">
        <f>IF(C85="","",IFERROR(INDEX('Saisie'!$AO$5:$AO$2004,_xlfn.MAXIFS('Saisie'!$AS$5:$AS$2004,'Saisie'!$C$5:$C$2004,C85,'Saisie'!$AO$5:$AO$2004,"&lt;&gt;")-4),""))</f>
        <v/>
      </c>
      <c r="AK85" s="60">
        <f>IF(C85="","",IFERROR(INDEX('Saisie'!$AP$5:$AP$2004,_xlfn.MAXIFS('Saisie'!$AS$5:$AS$2004,'Saisie'!$C$5:$C$2004,C85,'Saisie'!$AP$5:$AP$2004,"&lt;&gt;")-4),""))</f>
        <v/>
      </c>
      <c r="AL85" s="60">
        <f>IF(C85="","",IFERROR(INDEX('Saisie'!$AQ$5:$AQ$2004,_xlfn.MAXIFS('Saisie'!$AS$5:$AS$2004,'Saisie'!$C$5:$C$2004,C85,'Saisie'!$AQ$5:$AQ$2004,"&lt;&gt;")-4),""))</f>
        <v/>
      </c>
      <c r="AM85" s="60">
        <f>IF(C85="","",((AI85="Oui")+(AJ85="Oui")+(AK85="Oui")+OR(AL85="Immédiat",AL85="&lt; 1 mois"))&amp;"/4")</f>
        <v/>
      </c>
      <c r="AN85" s="60">
        <f>IF(C85="","",IFERROR(INDEX('Saisie'!$AL$5:$AL$2004,_xlfn.MAXIFS('Saisie'!$AS$5:$AS$2004,'Saisie'!$C$5:$C$2004,C85,'Saisie'!$AL$5:$AL$2004,"&lt;&gt;")-4),""))</f>
        <v/>
      </c>
      <c r="AO85" s="62">
        <f>IF(C85="","",IF(IFERROR(INDEX('Saisie'!$AM$5:$AM$2004,_xlfn.MAXIFS('Saisie'!$AS$5:$AS$2004,'Saisie'!$C$5:$C$2004,C85,'Saisie'!$AM$5:$AM$2004,"&lt;&gt;")-4),"")&lt;&gt;"",IFERROR(INDEX('Saisie'!$AM$5:$AM$2004,_xlfn.MAXIFS('Saisie'!$AS$5:$AS$2004,'Saisie'!$C$5:$C$2004,C85,'Saisie'!$AM$5:$AM$2004,"&lt;&gt;")-4),""),IFERROR(INDEX('Paramètres'!$S$6:$S$15,MATCH(AN85,'Paramètres'!$Q$6:$Q$15,0)),"")))</f>
        <v/>
      </c>
      <c r="AP85" s="62">
        <f>IF(C85="","",IFERROR(INDEX('Saisie'!$AW$5:$AW$2004,_xlfn.MAXIFS('Saisie'!$AS$5:$AS$2004,'Saisie'!$C$5:$C$2004,C85,'Saisie'!$E$5:$E$2004,"Proposition envoyée")-4),""))</f>
        <v/>
      </c>
      <c r="AQ85" s="106">
        <f>IF(C85="","",IFERROR(1/(1/_xlfn.MAXIFS('Saisie'!$A$5:$A$2004,'Saisie'!$C$5:$C$2004,C85,'Saisie'!$E$5:$E$2004,"Proposition envoyée")),""))</f>
        <v/>
      </c>
      <c r="AR85" s="106">
        <f>IF(C85="","",IF(AQ85="","",AQ85+'Paramètres'!$B$26))</f>
        <v/>
      </c>
      <c r="AS85" s="62">
        <f>IF(OR(C85="",D85="Gagné",D85="Perdu"),0,N(AP85)*IFERROR(INDEX('Paramètres'!$G$6:$G$13,MATCH(D85,'Paramètres'!$F$6:$F$13,0)),0))</f>
        <v/>
      </c>
      <c r="AT85" s="106">
        <f>IF(C85="","",IFERROR(1/(1/_xlfn.MINIFS('Saisie'!$A$5:$A$2004,'Saisie'!$C$5:$C$2004,C85,'Saisie'!$E$5:$E$2004,"Signature")),""))</f>
        <v/>
      </c>
      <c r="AU85" s="60">
        <f>IF(C85="","",IF(OR(AT85="",B85=""),"",AT85-B85))</f>
        <v/>
      </c>
      <c r="AV85" s="60">
        <f>IF(C85="","",IFERROR(INDEX('Saisie'!$L$5:$L$2004,_xlfn.MAXIFS('Saisie'!$AS$5:$AS$2004,'Saisie'!$C$5:$C$2004,C85,'Saisie'!$L$5:$L$2004,"&lt;&gt;")-4),""))</f>
        <v/>
      </c>
      <c r="AW85" s="106">
        <f>IF(C85="","",IF(D85&lt;&gt;"Perdu","",IFERROR(1/(1/_xlfn.MAXIFS('Saisie'!$A$5:$A$2004,'Saisie'!$C$5:$C$2004,C85,'Saisie'!$E$5:$E$2004,"Perdu")),"")))</f>
        <v/>
      </c>
      <c r="AX85" s="106">
        <f>IF(C85="","",IF(AW85="","",AW85+'Paramètres'!$B$28))</f>
        <v/>
      </c>
      <c r="AY85" s="60">
        <f>IF(C85="","",SUMIFS('Saisie'!$H$5:$H$2004,'Saisie'!$C$5:$C$2004,C85))</f>
        <v/>
      </c>
      <c r="AZ85" s="60">
        <f>IF(C85="","",IFERROR(INDEX('Paramètres'!$W$6:$W$20,MATCH(S85,'Paramètres'!$V$6:$V$20,0))&amp;"",""))</f>
        <v/>
      </c>
      <c r="BA85" s="60">
        <f>IF(C85="","",MAX(1,_xlfn.MAXIFS('Saisie'!$AT$5:$AT$2004,'Saisie'!$C$5:$C$2004,C85)))</f>
        <v/>
      </c>
      <c r="BB85" s="60">
        <f>IF(C85="","",IFERROR(INDEX('Saisie'!$X$5:$X$2004,_xlfn.MAXIFS('Saisie'!$AS$5:$AS$2004,'Saisie'!$C$5:$C$2004,C85,'Saisie'!$X$5:$X$2004,"&lt;&gt;")-4),""))</f>
        <v/>
      </c>
      <c r="BC85" s="60">
        <f>IF(C85="","",IFERROR(INDEX('Saisie'!$Y$5:$Y$2004,_xlfn.MAXIFS('Saisie'!$AS$5:$AS$2004,'Saisie'!$C$5:$C$2004,C85,'Saisie'!$Y$5:$Y$2004,"&lt;&gt;")-4),""))</f>
        <v/>
      </c>
      <c r="BD85" s="106">
        <f>IF(C85="","",IFERROR(1/(1/_xlfn.MINIFS('Saisie'!$A$5:$A$2004,'Saisie'!$C$5:$C$2004,C85,'Saisie'!$AT$5:$AT$2004,"&gt;=2")),""))</f>
        <v/>
      </c>
      <c r="BE85" s="106">
        <f>IF(C85="","",IFERROR(1/(1/_xlfn.MINIFS('Saisie'!$A$5:$A$2004,'Saisie'!$C$5:$C$2004,C85,'Saisie'!$AT$5:$AT$2004,"&gt;=3")),""))</f>
        <v/>
      </c>
      <c r="BF85" s="106">
        <f>IF(C85="","",IFERROR(1/(1/_xlfn.MINIFS('Saisie'!$A$5:$A$2004,'Saisie'!$C$5:$C$2004,C85,'Saisie'!$AT$5:$AT$2004,"&gt;=4")),""))</f>
        <v/>
      </c>
      <c r="BG85" s="106">
        <f>IF(C85="","",IFERROR(1/(1/_xlfn.MINIFS('Saisie'!$A$5:$A$2004,'Saisie'!$C$5:$C$2004,C85,'Saisie'!$AT$5:$AT$2004,"&gt;=5")),""))</f>
        <v/>
      </c>
      <c r="BH85" s="106">
        <f>IF(C85="","",IFERROR(1/(1/_xlfn.MINIFS('Saisie'!$A$5:$A$2004,'Saisie'!$C$5:$C$2004,C85,'Saisie'!$AT$5:$AT$2004,"&gt;=6")),""))</f>
        <v/>
      </c>
      <c r="BI85" s="106">
        <f>IF(C85="","",IFERROR(1/(1/_xlfn.MINIFS('Saisie'!$A$5:$A$2004,'Saisie'!$C$5:$C$2004,C85,'Saisie'!$AT$5:$AT$2004,"&gt;=7")),""))</f>
        <v/>
      </c>
      <c r="BJ85" s="60">
        <f>IF(OR(BD85="",B85=""),"",BD85-B85)</f>
        <v/>
      </c>
      <c r="BK85" s="60">
        <f>IF(OR(BE85="",BD85=""),"",BE85-BD85)</f>
        <v/>
      </c>
      <c r="BL85" s="60">
        <f>IF(OR(BF85="",BE85=""),"",BF85-BE85)</f>
        <v/>
      </c>
      <c r="BM85" s="60">
        <f>IF(OR(BG85="",BF85=""),"",BG85-BF85)</f>
        <v/>
      </c>
      <c r="BN85" s="60">
        <f>IF(OR(BH85="",BG85=""),"",BH85-BG85)</f>
        <v/>
      </c>
      <c r="BO85" s="60">
        <f>IF(OR(BI85="",BH85=""),"",BI85-BH85)</f>
        <v/>
      </c>
      <c r="BP85" s="60">
        <f>IF(C85="","",_xlfn.MAXIFS('Saisie'!$AS$5:$AS$2004,'Saisie'!$C$5:$C$2004,C85,'Saisie'!$J$5:$J$2004,"&lt;&gt;"))</f>
        <v/>
      </c>
      <c r="BQ85" s="60">
        <f>IF(C85="","",_xlfn.MAXIFS('Saisie'!$AS$5:$AS$2004,'Saisie'!$C$5:$C$2004,C85))</f>
        <v/>
      </c>
      <c r="BR85" s="60">
        <f>IF(C85="","",_xlfn.MAXIFS('Saisie'!$AS$5:$AS$2004,'Saisie'!$C$5:$C$2004,C85,'Saisie'!$E$5:$E$2004,"Perdu"))</f>
        <v/>
      </c>
      <c r="BS85" s="60">
        <f>IF(C85="","",_xlfn.MAXIFS('Saisie'!$AS$5:$AS$2004,'Saisie'!$C$5:$C$2004,C85,'Saisie'!$AT$5:$AT$2004,"&gt;0"))</f>
        <v/>
      </c>
      <c r="BT85" s="109">
        <f>IF(AND(C85&lt;&gt;"",OR(D85="Nouveau",D85="Contacté",D85="Qualifié"),OR(G85="",N(G85)&lt;=TODAY()),NOT(AND(O85&gt;='Paramètres'!$B$21,P85=0))),E85+81/10000,"")</f>
        <v/>
      </c>
      <c r="BU85" s="60">
        <f>IF(AND(G85&lt;&gt;"",N(G85)&lt;=TODAY()),MAX($BU$4:BU84)+1,"")</f>
        <v/>
      </c>
      <c r="BV85" s="60">
        <f>IF(AND(F85&lt;&gt;"",F85&lt;&gt;"Relance en retard"),MAX($BV$4:BV84)+1,"")</f>
        <v/>
      </c>
      <c r="BW85" s="60">
        <f>IF(C85="","",IF(AND(B85&gt;='Tableau de bord'!$R$4,B85&lt;='Tableau de bord'!$S$4,OR('Tableau de bord'!$G$4="Tous",N85='Tableau de bord'!$G$4)),1,0))</f>
        <v/>
      </c>
      <c r="BX85" s="60">
        <f>IF(AND(C85&lt;&gt;"",N(BA85)=7),MAX($BX$4:BX84)+1,"")</f>
        <v/>
      </c>
    </row>
    <row r="86">
      <c r="A86" s="60">
        <f>IF(C86="","","P-"&amp;TEXT(82,"000"))</f>
        <v/>
      </c>
      <c r="B86" s="106">
        <f>IF(C86="","",IFERROR(1/(1/_xlfn.MINIFS('Saisie'!$A$5:$A$2004,'Saisie'!$C$5:$C$2004,C86)),""))</f>
        <v/>
      </c>
      <c r="C86" s="60">
        <f>IFERROR(INDEX('Saisie'!$C$5:$C$2004,MATCH(82,'Saisie'!$AX$5:$AX$2004,0)),"")</f>
        <v/>
      </c>
      <c r="D86" s="60">
        <f>IF(C86="","",IF(AND(BR86&gt;0,BR86&gt;BS86,BA86&lt;7),"Perdu",INDEX('Paramètres'!$F$6:$F$13,BA86)))</f>
        <v/>
      </c>
      <c r="E86" s="61">
        <f>IF(C86="","",MIN(100,(Z86="Oui")*'Paramètres'!$B$38+(AB86="Régulière")*'Paramètres'!$B$39+IF(AND(N(AA86)&gt;0,TODAY()-N(AA86)&lt;=30),'Paramètres'!$B$40,0)+(W86="")*'Paramètres'!$B$41+(AC86="Absente")*'Paramètres'!$B$42+(AC86="Faible")*'Paramètres'!$B$43+IF(AND(N(AD86)&gt;0,N(AD86)&lt;4),'Paramètres'!$B$44,0)+(AF86="Moyenne")*'Paramètres'!$B$45+(AF86="Grande")*'Paramètres'!$B$46+(Y86&lt;&gt;"")*'Paramètres'!$B$47))</f>
        <v/>
      </c>
      <c r="F86" s="60">
        <f>IF(C86="","",IF(D86="Gagné","",IF(D86="Perdu",IF(AND(AX86&lt;&gt;"",AX86&lt;=TODAY()),"À recontacter (perdu)",""),IF(AND(O86&gt;='Paramètres'!$B$21,P86=0),"Stop : "&amp;'Paramètres'!$B$21&amp;" tentatives sans réponse",IF(AND(D86="Proposition",AR86&lt;&gt;"",TODAY()&gt;N(AR86)),"Proposition expirée",IF(AND(D86="Proposition",N(R86)&gt;='Paramètres'!$B$25),"Proposition sans réponse",IF(AND(G86&lt;&gt;"",N(G86)&lt;TODAY()),"Relance en retard",IF(N(R86)&gt;='Paramètres'!$B$24,"Sans action depuis "&amp;R86&amp;" j",""))))))))</f>
        <v/>
      </c>
      <c r="G86" s="106">
        <f>IF(OR(C86="",D86="Gagné",D86="Perdu"),"",IF(AND(BP86&gt;0,BP86=BQ86),INDEX('Saisie'!$J$5:$J$2004,BP86-4),IF(OR(O86=0,AND(O86&gt;='Paramètres'!$B$21,P86=0)),"",Q86+IF(O86&lt;=1,'Paramètres'!$B$18,IF(O86=2,'Paramètres'!$B$19,'Paramètres'!$B$20)))))</f>
        <v/>
      </c>
      <c r="H86" s="107">
        <f>IF(OR(G86="",BP86&lt;&gt;BQ86),"",IF(INDEX('Saisie'!$K$5:$K$2004,BP86-4)="","",INDEX('Saisie'!$K$5:$K$2004,BP86-4)))</f>
        <v/>
      </c>
      <c r="I86" s="60">
        <f>IF(C86="","",IF(OR(D86="Gagné",D86="Perdu"),"",IFERROR(INDEX('Saisie'!$I$5:$I$2004,_xlfn.MAXIFS('Saisie'!$AS$5:$AS$2004,'Saisie'!$C$5:$C$2004,C86,'Saisie'!$I$5:$I$2004,"&lt;&gt;")-4),"")))</f>
        <v/>
      </c>
      <c r="J86" s="60">
        <f>IF(C86="","",IFERROR(INDEX('Saisie'!$U$5:$U$2004,_xlfn.MAXIFS('Saisie'!$AS$5:$AS$2004,'Saisie'!$C$5:$C$2004,C86,'Saisie'!$U$5:$U$2004,"&lt;&gt;")-4),""))</f>
        <v/>
      </c>
      <c r="K86" s="60">
        <f>IF(C86="","",IFERROR(INDEX('Saisie'!$W$5:$W$2004,_xlfn.MAXIFS('Saisie'!$AS$5:$AS$2004,'Saisie'!$C$5:$C$2004,C86,'Saisie'!$W$5:$W$2004,"&lt;&gt;")-4),""))</f>
        <v/>
      </c>
      <c r="L86" s="60">
        <f>IF(IF(BB86&lt;&gt;"",BB86,K86)="","",HYPERLINK("https://wa.me/"&amp;IF(LEFT(SUBSTITUTE(SUBSTITUTE(SUBSTITUTE(IF(BB86&lt;&gt;"",BB86,K86)," ",""),".",""),"+",""),1)="0",'Paramètres'!$B$35&amp;MID(SUBSTITUTE(SUBSTITUTE(SUBSTITUTE(IF(BB86&lt;&gt;"",BB86,K86)," ",""),".",""),"+",""),2,20),SUBSTITUTE(SUBSTITUTE(SUBSTITUTE(IF(BB86&lt;&gt;"",BB86,K86)," ",""),".",""),"+","")),"WhatsApp"))</f>
        <v/>
      </c>
      <c r="M86" s="60">
        <f>IF(BC86="","",HYPERLINK(IF(LEFT(BC86,4)="http",BC86,"https://www.instagram.com/"&amp;SUBSTITUTE(SUBSTITUTE(BC86,"@","")," ","")),BC86))</f>
        <v/>
      </c>
      <c r="N86" s="60">
        <f>IF(C86="","",IFERROR(INDEX('Saisie'!$D$5:$D$2004,_xlfn.MINIFS('Saisie'!$AS$5:$AS$2004,'Saisie'!$C$5:$C$2004,C86,'Saisie'!$AU$5:$AU$2004,1)-4),IFERROR(INDEX('Saisie'!$D$5:$D$2004,_xlfn.MINIFS('Saisie'!$AS$5:$AS$2004,'Saisie'!$C$5:$C$2004,C86,'Saisie'!$D$5:$D$2004,"&lt;&gt;")-4),"")))</f>
        <v/>
      </c>
      <c r="O86" s="60">
        <f>IF(C86="","",COUNTIFS('Saisie'!$C$5:$C$2004,C86,'Saisie'!$AU$5:$AU$2004,1))</f>
        <v/>
      </c>
      <c r="P86" s="60">
        <f>IF(C86="","",COUNTIFS('Saisie'!$C$5:$C$2004,C86,'Saisie'!$AV$5:$AV$2004,1))</f>
        <v/>
      </c>
      <c r="Q86" s="106">
        <f>IF(C86="","",IFERROR(1/(1/_xlfn.MAXIFS('Saisie'!$A$5:$A$2004,'Saisie'!$C$5:$C$2004,C86)),""))</f>
        <v/>
      </c>
      <c r="R86" s="61">
        <f>IF(C86="","",IF(Q86="","",TODAY()-Q86))</f>
        <v/>
      </c>
      <c r="S86" s="60">
        <f>IF(C86="","",IFERROR(INDEX('Saisie'!$R$5:$R$2004,_xlfn.MAXIFS('Saisie'!$AS$5:$AS$2004,'Saisie'!$C$5:$C$2004,C86,'Saisie'!$R$5:$R$2004,"&lt;&gt;")-4),""))</f>
        <v/>
      </c>
      <c r="T86" s="60">
        <f>IF(C86="","",IFERROR(INDEX('Saisie'!$S$5:$S$2004,_xlfn.MAXIFS('Saisie'!$AS$5:$AS$2004,'Saisie'!$C$5:$C$2004,C86,'Saisie'!$S$5:$S$2004,"&lt;&gt;")-4),""))</f>
        <v/>
      </c>
      <c r="U86" s="60">
        <f>IF(C86="","",IFERROR(INDEX('Saisie'!$T$5:$T$2004,_xlfn.MAXIFS('Saisie'!$AS$5:$AS$2004,'Saisie'!$C$5:$C$2004,C86,'Saisie'!$T$5:$T$2004,"&lt;&gt;")-4),""))</f>
        <v/>
      </c>
      <c r="V86" s="60">
        <f>IF(C86="","",IFERROR(INDEX('Saisie'!$V$5:$V$2004,_xlfn.MAXIFS('Saisie'!$AS$5:$AS$2004,'Saisie'!$C$5:$C$2004,C86,'Saisie'!$V$5:$V$2004,"&lt;&gt;")-4),""))</f>
        <v/>
      </c>
      <c r="W86" s="60">
        <f>IF(C86="","",IFERROR(INDEX('Saisie'!$Z$5:$Z$2004,_xlfn.MAXIFS('Saisie'!$AS$5:$AS$2004,'Saisie'!$C$5:$C$2004,C86,'Saisie'!$Z$5:$Z$2004,"&lt;&gt;")-4),""))</f>
        <v/>
      </c>
      <c r="X86" s="60">
        <f>IF(C86="","",IFERROR(INDEX('Saisie'!$AA$5:$AA$2004,_xlfn.MAXIFS('Saisie'!$AS$5:$AS$2004,'Saisie'!$C$5:$C$2004,C86,'Saisie'!$AA$5:$AA$2004,"&lt;&gt;")-4),""))</f>
        <v/>
      </c>
      <c r="Y86" s="60">
        <f>IF(C86="","",IFERROR(INDEX('Saisie'!$AB$5:$AB$2004,_xlfn.MAXIFS('Saisie'!$AS$5:$AS$2004,'Saisie'!$C$5:$C$2004,C86,'Saisie'!$AB$5:$AB$2004,"&lt;&gt;")-4),""))</f>
        <v/>
      </c>
      <c r="Z86" s="60">
        <f>IF(C86="","",IFERROR(INDEX('Saisie'!$AC$5:$AC$2004,_xlfn.MAXIFS('Saisie'!$AS$5:$AS$2004,'Saisie'!$C$5:$C$2004,C86,'Saisie'!$AC$5:$AC$2004,"&lt;&gt;")-4),""))</f>
        <v/>
      </c>
      <c r="AA86" s="106">
        <f>IF(C86="","",IFERROR(INDEX('Saisie'!$AD$5:$AD$2004,_xlfn.MAXIFS('Saisie'!$AS$5:$AS$2004,'Saisie'!$C$5:$C$2004,C86,'Saisie'!$AD$5:$AD$2004,"&lt;&gt;")-4),""))</f>
        <v/>
      </c>
      <c r="AB86" s="60">
        <f>IF(C86="","",IFERROR(INDEX('Saisie'!$AE$5:$AE$2004,_xlfn.MAXIFS('Saisie'!$AS$5:$AS$2004,'Saisie'!$C$5:$C$2004,C86,'Saisie'!$AE$5:$AE$2004,"&lt;&gt;")-4),""))</f>
        <v/>
      </c>
      <c r="AC86" s="60">
        <f>IF(C86="","",IFERROR(INDEX('Saisie'!$AF$5:$AF$2004,_xlfn.MAXIFS('Saisie'!$AS$5:$AS$2004,'Saisie'!$C$5:$C$2004,C86,'Saisie'!$AF$5:$AF$2004,"&lt;&gt;")-4),""))</f>
        <v/>
      </c>
      <c r="AD86" s="108">
        <f>IF(C86="","",IFERROR(INDEX('Saisie'!$AG$5:$AG$2004,_xlfn.MAXIFS('Saisie'!$AS$5:$AS$2004,'Saisie'!$C$5:$C$2004,C86,'Saisie'!$AG$5:$AG$2004,"&lt;&gt;")-4),""))</f>
        <v/>
      </c>
      <c r="AE86" s="60">
        <f>IF(C86="","",IFERROR(INDEX('Saisie'!$AH$5:$AH$2004,_xlfn.MAXIFS('Saisie'!$AS$5:$AS$2004,'Saisie'!$C$5:$C$2004,C86,'Saisie'!$AH$5:$AH$2004,"&lt;&gt;")-4),""))</f>
        <v/>
      </c>
      <c r="AF86" s="60">
        <f>IF(C86="","",IFERROR(INDEX('Saisie'!$AI$5:$AI$2004,_xlfn.MAXIFS('Saisie'!$AS$5:$AS$2004,'Saisie'!$C$5:$C$2004,C86,'Saisie'!$AI$5:$AI$2004,"&lt;&gt;")-4),""))</f>
        <v/>
      </c>
      <c r="AG86" s="60">
        <f>IF(C86="","",IFERROR(INDEX('Saisie'!$AJ$5:$AJ$2004,_xlfn.MAXIFS('Saisie'!$AS$5:$AS$2004,'Saisie'!$C$5:$C$2004,C86,'Saisie'!$AJ$5:$AJ$2004,"&lt;&gt;")-4),""))</f>
        <v/>
      </c>
      <c r="AH86" s="60">
        <f>IF(C86="","",IFERROR(INDEX('Saisie'!$AK$5:$AK$2004,_xlfn.MAXIFS('Saisie'!$AS$5:$AS$2004,'Saisie'!$C$5:$C$2004,C86,'Saisie'!$AK$5:$AK$2004,"&lt;&gt;")-4),""))</f>
        <v/>
      </c>
      <c r="AI86" s="60">
        <f>IF(C86="","",IFERROR(INDEX('Saisie'!$AN$5:$AN$2004,_xlfn.MAXIFS('Saisie'!$AS$5:$AS$2004,'Saisie'!$C$5:$C$2004,C86,'Saisie'!$AN$5:$AN$2004,"&lt;&gt;")-4),""))</f>
        <v/>
      </c>
      <c r="AJ86" s="60">
        <f>IF(C86="","",IFERROR(INDEX('Saisie'!$AO$5:$AO$2004,_xlfn.MAXIFS('Saisie'!$AS$5:$AS$2004,'Saisie'!$C$5:$C$2004,C86,'Saisie'!$AO$5:$AO$2004,"&lt;&gt;")-4),""))</f>
        <v/>
      </c>
      <c r="AK86" s="60">
        <f>IF(C86="","",IFERROR(INDEX('Saisie'!$AP$5:$AP$2004,_xlfn.MAXIFS('Saisie'!$AS$5:$AS$2004,'Saisie'!$C$5:$C$2004,C86,'Saisie'!$AP$5:$AP$2004,"&lt;&gt;")-4),""))</f>
        <v/>
      </c>
      <c r="AL86" s="60">
        <f>IF(C86="","",IFERROR(INDEX('Saisie'!$AQ$5:$AQ$2004,_xlfn.MAXIFS('Saisie'!$AS$5:$AS$2004,'Saisie'!$C$5:$C$2004,C86,'Saisie'!$AQ$5:$AQ$2004,"&lt;&gt;")-4),""))</f>
        <v/>
      </c>
      <c r="AM86" s="60">
        <f>IF(C86="","",((AI86="Oui")+(AJ86="Oui")+(AK86="Oui")+OR(AL86="Immédiat",AL86="&lt; 1 mois"))&amp;"/4")</f>
        <v/>
      </c>
      <c r="AN86" s="60">
        <f>IF(C86="","",IFERROR(INDEX('Saisie'!$AL$5:$AL$2004,_xlfn.MAXIFS('Saisie'!$AS$5:$AS$2004,'Saisie'!$C$5:$C$2004,C86,'Saisie'!$AL$5:$AL$2004,"&lt;&gt;")-4),""))</f>
        <v/>
      </c>
      <c r="AO86" s="62">
        <f>IF(C86="","",IF(IFERROR(INDEX('Saisie'!$AM$5:$AM$2004,_xlfn.MAXIFS('Saisie'!$AS$5:$AS$2004,'Saisie'!$C$5:$C$2004,C86,'Saisie'!$AM$5:$AM$2004,"&lt;&gt;")-4),"")&lt;&gt;"",IFERROR(INDEX('Saisie'!$AM$5:$AM$2004,_xlfn.MAXIFS('Saisie'!$AS$5:$AS$2004,'Saisie'!$C$5:$C$2004,C86,'Saisie'!$AM$5:$AM$2004,"&lt;&gt;")-4),""),IFERROR(INDEX('Paramètres'!$S$6:$S$15,MATCH(AN86,'Paramètres'!$Q$6:$Q$15,0)),"")))</f>
        <v/>
      </c>
      <c r="AP86" s="62">
        <f>IF(C86="","",IFERROR(INDEX('Saisie'!$AW$5:$AW$2004,_xlfn.MAXIFS('Saisie'!$AS$5:$AS$2004,'Saisie'!$C$5:$C$2004,C86,'Saisie'!$E$5:$E$2004,"Proposition envoyée")-4),""))</f>
        <v/>
      </c>
      <c r="AQ86" s="106">
        <f>IF(C86="","",IFERROR(1/(1/_xlfn.MAXIFS('Saisie'!$A$5:$A$2004,'Saisie'!$C$5:$C$2004,C86,'Saisie'!$E$5:$E$2004,"Proposition envoyée")),""))</f>
        <v/>
      </c>
      <c r="AR86" s="106">
        <f>IF(C86="","",IF(AQ86="","",AQ86+'Paramètres'!$B$26))</f>
        <v/>
      </c>
      <c r="AS86" s="62">
        <f>IF(OR(C86="",D86="Gagné",D86="Perdu"),0,N(AP86)*IFERROR(INDEX('Paramètres'!$G$6:$G$13,MATCH(D86,'Paramètres'!$F$6:$F$13,0)),0))</f>
        <v/>
      </c>
      <c r="AT86" s="106">
        <f>IF(C86="","",IFERROR(1/(1/_xlfn.MINIFS('Saisie'!$A$5:$A$2004,'Saisie'!$C$5:$C$2004,C86,'Saisie'!$E$5:$E$2004,"Signature")),""))</f>
        <v/>
      </c>
      <c r="AU86" s="60">
        <f>IF(C86="","",IF(OR(AT86="",B86=""),"",AT86-B86))</f>
        <v/>
      </c>
      <c r="AV86" s="60">
        <f>IF(C86="","",IFERROR(INDEX('Saisie'!$L$5:$L$2004,_xlfn.MAXIFS('Saisie'!$AS$5:$AS$2004,'Saisie'!$C$5:$C$2004,C86,'Saisie'!$L$5:$L$2004,"&lt;&gt;")-4),""))</f>
        <v/>
      </c>
      <c r="AW86" s="106">
        <f>IF(C86="","",IF(D86&lt;&gt;"Perdu","",IFERROR(1/(1/_xlfn.MAXIFS('Saisie'!$A$5:$A$2004,'Saisie'!$C$5:$C$2004,C86,'Saisie'!$E$5:$E$2004,"Perdu")),"")))</f>
        <v/>
      </c>
      <c r="AX86" s="106">
        <f>IF(C86="","",IF(AW86="","",AW86+'Paramètres'!$B$28))</f>
        <v/>
      </c>
      <c r="AY86" s="60">
        <f>IF(C86="","",SUMIFS('Saisie'!$H$5:$H$2004,'Saisie'!$C$5:$C$2004,C86))</f>
        <v/>
      </c>
      <c r="AZ86" s="60">
        <f>IF(C86="","",IFERROR(INDEX('Paramètres'!$W$6:$W$20,MATCH(S86,'Paramètres'!$V$6:$V$20,0))&amp;"",""))</f>
        <v/>
      </c>
      <c r="BA86" s="60">
        <f>IF(C86="","",MAX(1,_xlfn.MAXIFS('Saisie'!$AT$5:$AT$2004,'Saisie'!$C$5:$C$2004,C86)))</f>
        <v/>
      </c>
      <c r="BB86" s="60">
        <f>IF(C86="","",IFERROR(INDEX('Saisie'!$X$5:$X$2004,_xlfn.MAXIFS('Saisie'!$AS$5:$AS$2004,'Saisie'!$C$5:$C$2004,C86,'Saisie'!$X$5:$X$2004,"&lt;&gt;")-4),""))</f>
        <v/>
      </c>
      <c r="BC86" s="60">
        <f>IF(C86="","",IFERROR(INDEX('Saisie'!$Y$5:$Y$2004,_xlfn.MAXIFS('Saisie'!$AS$5:$AS$2004,'Saisie'!$C$5:$C$2004,C86,'Saisie'!$Y$5:$Y$2004,"&lt;&gt;")-4),""))</f>
        <v/>
      </c>
      <c r="BD86" s="106">
        <f>IF(C86="","",IFERROR(1/(1/_xlfn.MINIFS('Saisie'!$A$5:$A$2004,'Saisie'!$C$5:$C$2004,C86,'Saisie'!$AT$5:$AT$2004,"&gt;=2")),""))</f>
        <v/>
      </c>
      <c r="BE86" s="106">
        <f>IF(C86="","",IFERROR(1/(1/_xlfn.MINIFS('Saisie'!$A$5:$A$2004,'Saisie'!$C$5:$C$2004,C86,'Saisie'!$AT$5:$AT$2004,"&gt;=3")),""))</f>
        <v/>
      </c>
      <c r="BF86" s="106">
        <f>IF(C86="","",IFERROR(1/(1/_xlfn.MINIFS('Saisie'!$A$5:$A$2004,'Saisie'!$C$5:$C$2004,C86,'Saisie'!$AT$5:$AT$2004,"&gt;=4")),""))</f>
        <v/>
      </c>
      <c r="BG86" s="106">
        <f>IF(C86="","",IFERROR(1/(1/_xlfn.MINIFS('Saisie'!$A$5:$A$2004,'Saisie'!$C$5:$C$2004,C86,'Saisie'!$AT$5:$AT$2004,"&gt;=5")),""))</f>
        <v/>
      </c>
      <c r="BH86" s="106">
        <f>IF(C86="","",IFERROR(1/(1/_xlfn.MINIFS('Saisie'!$A$5:$A$2004,'Saisie'!$C$5:$C$2004,C86,'Saisie'!$AT$5:$AT$2004,"&gt;=6")),""))</f>
        <v/>
      </c>
      <c r="BI86" s="106">
        <f>IF(C86="","",IFERROR(1/(1/_xlfn.MINIFS('Saisie'!$A$5:$A$2004,'Saisie'!$C$5:$C$2004,C86,'Saisie'!$AT$5:$AT$2004,"&gt;=7")),""))</f>
        <v/>
      </c>
      <c r="BJ86" s="60">
        <f>IF(OR(BD86="",B86=""),"",BD86-B86)</f>
        <v/>
      </c>
      <c r="BK86" s="60">
        <f>IF(OR(BE86="",BD86=""),"",BE86-BD86)</f>
        <v/>
      </c>
      <c r="BL86" s="60">
        <f>IF(OR(BF86="",BE86=""),"",BF86-BE86)</f>
        <v/>
      </c>
      <c r="BM86" s="60">
        <f>IF(OR(BG86="",BF86=""),"",BG86-BF86)</f>
        <v/>
      </c>
      <c r="BN86" s="60">
        <f>IF(OR(BH86="",BG86=""),"",BH86-BG86)</f>
        <v/>
      </c>
      <c r="BO86" s="60">
        <f>IF(OR(BI86="",BH86=""),"",BI86-BH86)</f>
        <v/>
      </c>
      <c r="BP86" s="60">
        <f>IF(C86="","",_xlfn.MAXIFS('Saisie'!$AS$5:$AS$2004,'Saisie'!$C$5:$C$2004,C86,'Saisie'!$J$5:$J$2004,"&lt;&gt;"))</f>
        <v/>
      </c>
      <c r="BQ86" s="60">
        <f>IF(C86="","",_xlfn.MAXIFS('Saisie'!$AS$5:$AS$2004,'Saisie'!$C$5:$C$2004,C86))</f>
        <v/>
      </c>
      <c r="BR86" s="60">
        <f>IF(C86="","",_xlfn.MAXIFS('Saisie'!$AS$5:$AS$2004,'Saisie'!$C$5:$C$2004,C86,'Saisie'!$E$5:$E$2004,"Perdu"))</f>
        <v/>
      </c>
      <c r="BS86" s="60">
        <f>IF(C86="","",_xlfn.MAXIFS('Saisie'!$AS$5:$AS$2004,'Saisie'!$C$5:$C$2004,C86,'Saisie'!$AT$5:$AT$2004,"&gt;0"))</f>
        <v/>
      </c>
      <c r="BT86" s="109">
        <f>IF(AND(C86&lt;&gt;"",OR(D86="Nouveau",D86="Contacté",D86="Qualifié"),OR(G86="",N(G86)&lt;=TODAY()),NOT(AND(O86&gt;='Paramètres'!$B$21,P86=0))),E86+82/10000,"")</f>
        <v/>
      </c>
      <c r="BU86" s="60">
        <f>IF(AND(G86&lt;&gt;"",N(G86)&lt;=TODAY()),MAX($BU$4:BU85)+1,"")</f>
        <v/>
      </c>
      <c r="BV86" s="60">
        <f>IF(AND(F86&lt;&gt;"",F86&lt;&gt;"Relance en retard"),MAX($BV$4:BV85)+1,"")</f>
        <v/>
      </c>
      <c r="BW86" s="60">
        <f>IF(C86="","",IF(AND(B86&gt;='Tableau de bord'!$R$4,B86&lt;='Tableau de bord'!$S$4,OR('Tableau de bord'!$G$4="Tous",N86='Tableau de bord'!$G$4)),1,0))</f>
        <v/>
      </c>
      <c r="BX86" s="60">
        <f>IF(AND(C86&lt;&gt;"",N(BA86)=7),MAX($BX$4:BX85)+1,"")</f>
        <v/>
      </c>
    </row>
    <row r="87">
      <c r="A87" s="60">
        <f>IF(C87="","","P-"&amp;TEXT(83,"000"))</f>
        <v/>
      </c>
      <c r="B87" s="106">
        <f>IF(C87="","",IFERROR(1/(1/_xlfn.MINIFS('Saisie'!$A$5:$A$2004,'Saisie'!$C$5:$C$2004,C87)),""))</f>
        <v/>
      </c>
      <c r="C87" s="60">
        <f>IFERROR(INDEX('Saisie'!$C$5:$C$2004,MATCH(83,'Saisie'!$AX$5:$AX$2004,0)),"")</f>
        <v/>
      </c>
      <c r="D87" s="60">
        <f>IF(C87="","",IF(AND(BR87&gt;0,BR87&gt;BS87,BA87&lt;7),"Perdu",INDEX('Paramètres'!$F$6:$F$13,BA87)))</f>
        <v/>
      </c>
      <c r="E87" s="61">
        <f>IF(C87="","",MIN(100,(Z87="Oui")*'Paramètres'!$B$38+(AB87="Régulière")*'Paramètres'!$B$39+IF(AND(N(AA87)&gt;0,TODAY()-N(AA87)&lt;=30),'Paramètres'!$B$40,0)+(W87="")*'Paramètres'!$B$41+(AC87="Absente")*'Paramètres'!$B$42+(AC87="Faible")*'Paramètres'!$B$43+IF(AND(N(AD87)&gt;0,N(AD87)&lt;4),'Paramètres'!$B$44,0)+(AF87="Moyenne")*'Paramètres'!$B$45+(AF87="Grande")*'Paramètres'!$B$46+(Y87&lt;&gt;"")*'Paramètres'!$B$47))</f>
        <v/>
      </c>
      <c r="F87" s="60">
        <f>IF(C87="","",IF(D87="Gagné","",IF(D87="Perdu",IF(AND(AX87&lt;&gt;"",AX87&lt;=TODAY()),"À recontacter (perdu)",""),IF(AND(O87&gt;='Paramètres'!$B$21,P87=0),"Stop : "&amp;'Paramètres'!$B$21&amp;" tentatives sans réponse",IF(AND(D87="Proposition",AR87&lt;&gt;"",TODAY()&gt;N(AR87)),"Proposition expirée",IF(AND(D87="Proposition",N(R87)&gt;='Paramètres'!$B$25),"Proposition sans réponse",IF(AND(G87&lt;&gt;"",N(G87)&lt;TODAY()),"Relance en retard",IF(N(R87)&gt;='Paramètres'!$B$24,"Sans action depuis "&amp;R87&amp;" j",""))))))))</f>
        <v/>
      </c>
      <c r="G87" s="106">
        <f>IF(OR(C87="",D87="Gagné",D87="Perdu"),"",IF(AND(BP87&gt;0,BP87=BQ87),INDEX('Saisie'!$J$5:$J$2004,BP87-4),IF(OR(O87=0,AND(O87&gt;='Paramètres'!$B$21,P87=0)),"",Q87+IF(O87&lt;=1,'Paramètres'!$B$18,IF(O87=2,'Paramètres'!$B$19,'Paramètres'!$B$20)))))</f>
        <v/>
      </c>
      <c r="H87" s="107">
        <f>IF(OR(G87="",BP87&lt;&gt;BQ87),"",IF(INDEX('Saisie'!$K$5:$K$2004,BP87-4)="","",INDEX('Saisie'!$K$5:$K$2004,BP87-4)))</f>
        <v/>
      </c>
      <c r="I87" s="60">
        <f>IF(C87="","",IF(OR(D87="Gagné",D87="Perdu"),"",IFERROR(INDEX('Saisie'!$I$5:$I$2004,_xlfn.MAXIFS('Saisie'!$AS$5:$AS$2004,'Saisie'!$C$5:$C$2004,C87,'Saisie'!$I$5:$I$2004,"&lt;&gt;")-4),"")))</f>
        <v/>
      </c>
      <c r="J87" s="60">
        <f>IF(C87="","",IFERROR(INDEX('Saisie'!$U$5:$U$2004,_xlfn.MAXIFS('Saisie'!$AS$5:$AS$2004,'Saisie'!$C$5:$C$2004,C87,'Saisie'!$U$5:$U$2004,"&lt;&gt;")-4),""))</f>
        <v/>
      </c>
      <c r="K87" s="60">
        <f>IF(C87="","",IFERROR(INDEX('Saisie'!$W$5:$W$2004,_xlfn.MAXIFS('Saisie'!$AS$5:$AS$2004,'Saisie'!$C$5:$C$2004,C87,'Saisie'!$W$5:$W$2004,"&lt;&gt;")-4),""))</f>
        <v/>
      </c>
      <c r="L87" s="60">
        <f>IF(IF(BB87&lt;&gt;"",BB87,K87)="","",HYPERLINK("https://wa.me/"&amp;IF(LEFT(SUBSTITUTE(SUBSTITUTE(SUBSTITUTE(IF(BB87&lt;&gt;"",BB87,K87)," ",""),".",""),"+",""),1)="0",'Paramètres'!$B$35&amp;MID(SUBSTITUTE(SUBSTITUTE(SUBSTITUTE(IF(BB87&lt;&gt;"",BB87,K87)," ",""),".",""),"+",""),2,20),SUBSTITUTE(SUBSTITUTE(SUBSTITUTE(IF(BB87&lt;&gt;"",BB87,K87)," ",""),".",""),"+","")),"WhatsApp"))</f>
        <v/>
      </c>
      <c r="M87" s="60">
        <f>IF(BC87="","",HYPERLINK(IF(LEFT(BC87,4)="http",BC87,"https://www.instagram.com/"&amp;SUBSTITUTE(SUBSTITUTE(BC87,"@","")," ","")),BC87))</f>
        <v/>
      </c>
      <c r="N87" s="60">
        <f>IF(C87="","",IFERROR(INDEX('Saisie'!$D$5:$D$2004,_xlfn.MINIFS('Saisie'!$AS$5:$AS$2004,'Saisie'!$C$5:$C$2004,C87,'Saisie'!$AU$5:$AU$2004,1)-4),IFERROR(INDEX('Saisie'!$D$5:$D$2004,_xlfn.MINIFS('Saisie'!$AS$5:$AS$2004,'Saisie'!$C$5:$C$2004,C87,'Saisie'!$D$5:$D$2004,"&lt;&gt;")-4),"")))</f>
        <v/>
      </c>
      <c r="O87" s="60">
        <f>IF(C87="","",COUNTIFS('Saisie'!$C$5:$C$2004,C87,'Saisie'!$AU$5:$AU$2004,1))</f>
        <v/>
      </c>
      <c r="P87" s="60">
        <f>IF(C87="","",COUNTIFS('Saisie'!$C$5:$C$2004,C87,'Saisie'!$AV$5:$AV$2004,1))</f>
        <v/>
      </c>
      <c r="Q87" s="106">
        <f>IF(C87="","",IFERROR(1/(1/_xlfn.MAXIFS('Saisie'!$A$5:$A$2004,'Saisie'!$C$5:$C$2004,C87)),""))</f>
        <v/>
      </c>
      <c r="R87" s="61">
        <f>IF(C87="","",IF(Q87="","",TODAY()-Q87))</f>
        <v/>
      </c>
      <c r="S87" s="60">
        <f>IF(C87="","",IFERROR(INDEX('Saisie'!$R$5:$R$2004,_xlfn.MAXIFS('Saisie'!$AS$5:$AS$2004,'Saisie'!$C$5:$C$2004,C87,'Saisie'!$R$5:$R$2004,"&lt;&gt;")-4),""))</f>
        <v/>
      </c>
      <c r="T87" s="60">
        <f>IF(C87="","",IFERROR(INDEX('Saisie'!$S$5:$S$2004,_xlfn.MAXIFS('Saisie'!$AS$5:$AS$2004,'Saisie'!$C$5:$C$2004,C87,'Saisie'!$S$5:$S$2004,"&lt;&gt;")-4),""))</f>
        <v/>
      </c>
      <c r="U87" s="60">
        <f>IF(C87="","",IFERROR(INDEX('Saisie'!$T$5:$T$2004,_xlfn.MAXIFS('Saisie'!$AS$5:$AS$2004,'Saisie'!$C$5:$C$2004,C87,'Saisie'!$T$5:$T$2004,"&lt;&gt;")-4),""))</f>
        <v/>
      </c>
      <c r="V87" s="60">
        <f>IF(C87="","",IFERROR(INDEX('Saisie'!$V$5:$V$2004,_xlfn.MAXIFS('Saisie'!$AS$5:$AS$2004,'Saisie'!$C$5:$C$2004,C87,'Saisie'!$V$5:$V$2004,"&lt;&gt;")-4),""))</f>
        <v/>
      </c>
      <c r="W87" s="60">
        <f>IF(C87="","",IFERROR(INDEX('Saisie'!$Z$5:$Z$2004,_xlfn.MAXIFS('Saisie'!$AS$5:$AS$2004,'Saisie'!$C$5:$C$2004,C87,'Saisie'!$Z$5:$Z$2004,"&lt;&gt;")-4),""))</f>
        <v/>
      </c>
      <c r="X87" s="60">
        <f>IF(C87="","",IFERROR(INDEX('Saisie'!$AA$5:$AA$2004,_xlfn.MAXIFS('Saisie'!$AS$5:$AS$2004,'Saisie'!$C$5:$C$2004,C87,'Saisie'!$AA$5:$AA$2004,"&lt;&gt;")-4),""))</f>
        <v/>
      </c>
      <c r="Y87" s="60">
        <f>IF(C87="","",IFERROR(INDEX('Saisie'!$AB$5:$AB$2004,_xlfn.MAXIFS('Saisie'!$AS$5:$AS$2004,'Saisie'!$C$5:$C$2004,C87,'Saisie'!$AB$5:$AB$2004,"&lt;&gt;")-4),""))</f>
        <v/>
      </c>
      <c r="Z87" s="60">
        <f>IF(C87="","",IFERROR(INDEX('Saisie'!$AC$5:$AC$2004,_xlfn.MAXIFS('Saisie'!$AS$5:$AS$2004,'Saisie'!$C$5:$C$2004,C87,'Saisie'!$AC$5:$AC$2004,"&lt;&gt;")-4),""))</f>
        <v/>
      </c>
      <c r="AA87" s="106">
        <f>IF(C87="","",IFERROR(INDEX('Saisie'!$AD$5:$AD$2004,_xlfn.MAXIFS('Saisie'!$AS$5:$AS$2004,'Saisie'!$C$5:$C$2004,C87,'Saisie'!$AD$5:$AD$2004,"&lt;&gt;")-4),""))</f>
        <v/>
      </c>
      <c r="AB87" s="60">
        <f>IF(C87="","",IFERROR(INDEX('Saisie'!$AE$5:$AE$2004,_xlfn.MAXIFS('Saisie'!$AS$5:$AS$2004,'Saisie'!$C$5:$C$2004,C87,'Saisie'!$AE$5:$AE$2004,"&lt;&gt;")-4),""))</f>
        <v/>
      </c>
      <c r="AC87" s="60">
        <f>IF(C87="","",IFERROR(INDEX('Saisie'!$AF$5:$AF$2004,_xlfn.MAXIFS('Saisie'!$AS$5:$AS$2004,'Saisie'!$C$5:$C$2004,C87,'Saisie'!$AF$5:$AF$2004,"&lt;&gt;")-4),""))</f>
        <v/>
      </c>
      <c r="AD87" s="108">
        <f>IF(C87="","",IFERROR(INDEX('Saisie'!$AG$5:$AG$2004,_xlfn.MAXIFS('Saisie'!$AS$5:$AS$2004,'Saisie'!$C$5:$C$2004,C87,'Saisie'!$AG$5:$AG$2004,"&lt;&gt;")-4),""))</f>
        <v/>
      </c>
      <c r="AE87" s="60">
        <f>IF(C87="","",IFERROR(INDEX('Saisie'!$AH$5:$AH$2004,_xlfn.MAXIFS('Saisie'!$AS$5:$AS$2004,'Saisie'!$C$5:$C$2004,C87,'Saisie'!$AH$5:$AH$2004,"&lt;&gt;")-4),""))</f>
        <v/>
      </c>
      <c r="AF87" s="60">
        <f>IF(C87="","",IFERROR(INDEX('Saisie'!$AI$5:$AI$2004,_xlfn.MAXIFS('Saisie'!$AS$5:$AS$2004,'Saisie'!$C$5:$C$2004,C87,'Saisie'!$AI$5:$AI$2004,"&lt;&gt;")-4),""))</f>
        <v/>
      </c>
      <c r="AG87" s="60">
        <f>IF(C87="","",IFERROR(INDEX('Saisie'!$AJ$5:$AJ$2004,_xlfn.MAXIFS('Saisie'!$AS$5:$AS$2004,'Saisie'!$C$5:$C$2004,C87,'Saisie'!$AJ$5:$AJ$2004,"&lt;&gt;")-4),""))</f>
        <v/>
      </c>
      <c r="AH87" s="60">
        <f>IF(C87="","",IFERROR(INDEX('Saisie'!$AK$5:$AK$2004,_xlfn.MAXIFS('Saisie'!$AS$5:$AS$2004,'Saisie'!$C$5:$C$2004,C87,'Saisie'!$AK$5:$AK$2004,"&lt;&gt;")-4),""))</f>
        <v/>
      </c>
      <c r="AI87" s="60">
        <f>IF(C87="","",IFERROR(INDEX('Saisie'!$AN$5:$AN$2004,_xlfn.MAXIFS('Saisie'!$AS$5:$AS$2004,'Saisie'!$C$5:$C$2004,C87,'Saisie'!$AN$5:$AN$2004,"&lt;&gt;")-4),""))</f>
        <v/>
      </c>
      <c r="AJ87" s="60">
        <f>IF(C87="","",IFERROR(INDEX('Saisie'!$AO$5:$AO$2004,_xlfn.MAXIFS('Saisie'!$AS$5:$AS$2004,'Saisie'!$C$5:$C$2004,C87,'Saisie'!$AO$5:$AO$2004,"&lt;&gt;")-4),""))</f>
        <v/>
      </c>
      <c r="AK87" s="60">
        <f>IF(C87="","",IFERROR(INDEX('Saisie'!$AP$5:$AP$2004,_xlfn.MAXIFS('Saisie'!$AS$5:$AS$2004,'Saisie'!$C$5:$C$2004,C87,'Saisie'!$AP$5:$AP$2004,"&lt;&gt;")-4),""))</f>
        <v/>
      </c>
      <c r="AL87" s="60">
        <f>IF(C87="","",IFERROR(INDEX('Saisie'!$AQ$5:$AQ$2004,_xlfn.MAXIFS('Saisie'!$AS$5:$AS$2004,'Saisie'!$C$5:$C$2004,C87,'Saisie'!$AQ$5:$AQ$2004,"&lt;&gt;")-4),""))</f>
        <v/>
      </c>
      <c r="AM87" s="60">
        <f>IF(C87="","",((AI87="Oui")+(AJ87="Oui")+(AK87="Oui")+OR(AL87="Immédiat",AL87="&lt; 1 mois"))&amp;"/4")</f>
        <v/>
      </c>
      <c r="AN87" s="60">
        <f>IF(C87="","",IFERROR(INDEX('Saisie'!$AL$5:$AL$2004,_xlfn.MAXIFS('Saisie'!$AS$5:$AS$2004,'Saisie'!$C$5:$C$2004,C87,'Saisie'!$AL$5:$AL$2004,"&lt;&gt;")-4),""))</f>
        <v/>
      </c>
      <c r="AO87" s="62">
        <f>IF(C87="","",IF(IFERROR(INDEX('Saisie'!$AM$5:$AM$2004,_xlfn.MAXIFS('Saisie'!$AS$5:$AS$2004,'Saisie'!$C$5:$C$2004,C87,'Saisie'!$AM$5:$AM$2004,"&lt;&gt;")-4),"")&lt;&gt;"",IFERROR(INDEX('Saisie'!$AM$5:$AM$2004,_xlfn.MAXIFS('Saisie'!$AS$5:$AS$2004,'Saisie'!$C$5:$C$2004,C87,'Saisie'!$AM$5:$AM$2004,"&lt;&gt;")-4),""),IFERROR(INDEX('Paramètres'!$S$6:$S$15,MATCH(AN87,'Paramètres'!$Q$6:$Q$15,0)),"")))</f>
        <v/>
      </c>
      <c r="AP87" s="62">
        <f>IF(C87="","",IFERROR(INDEX('Saisie'!$AW$5:$AW$2004,_xlfn.MAXIFS('Saisie'!$AS$5:$AS$2004,'Saisie'!$C$5:$C$2004,C87,'Saisie'!$E$5:$E$2004,"Proposition envoyée")-4),""))</f>
        <v/>
      </c>
      <c r="AQ87" s="106">
        <f>IF(C87="","",IFERROR(1/(1/_xlfn.MAXIFS('Saisie'!$A$5:$A$2004,'Saisie'!$C$5:$C$2004,C87,'Saisie'!$E$5:$E$2004,"Proposition envoyée")),""))</f>
        <v/>
      </c>
      <c r="AR87" s="106">
        <f>IF(C87="","",IF(AQ87="","",AQ87+'Paramètres'!$B$26))</f>
        <v/>
      </c>
      <c r="AS87" s="62">
        <f>IF(OR(C87="",D87="Gagné",D87="Perdu"),0,N(AP87)*IFERROR(INDEX('Paramètres'!$G$6:$G$13,MATCH(D87,'Paramètres'!$F$6:$F$13,0)),0))</f>
        <v/>
      </c>
      <c r="AT87" s="106">
        <f>IF(C87="","",IFERROR(1/(1/_xlfn.MINIFS('Saisie'!$A$5:$A$2004,'Saisie'!$C$5:$C$2004,C87,'Saisie'!$E$5:$E$2004,"Signature")),""))</f>
        <v/>
      </c>
      <c r="AU87" s="60">
        <f>IF(C87="","",IF(OR(AT87="",B87=""),"",AT87-B87))</f>
        <v/>
      </c>
      <c r="AV87" s="60">
        <f>IF(C87="","",IFERROR(INDEX('Saisie'!$L$5:$L$2004,_xlfn.MAXIFS('Saisie'!$AS$5:$AS$2004,'Saisie'!$C$5:$C$2004,C87,'Saisie'!$L$5:$L$2004,"&lt;&gt;")-4),""))</f>
        <v/>
      </c>
      <c r="AW87" s="106">
        <f>IF(C87="","",IF(D87&lt;&gt;"Perdu","",IFERROR(1/(1/_xlfn.MAXIFS('Saisie'!$A$5:$A$2004,'Saisie'!$C$5:$C$2004,C87,'Saisie'!$E$5:$E$2004,"Perdu")),"")))</f>
        <v/>
      </c>
      <c r="AX87" s="106">
        <f>IF(C87="","",IF(AW87="","",AW87+'Paramètres'!$B$28))</f>
        <v/>
      </c>
      <c r="AY87" s="60">
        <f>IF(C87="","",SUMIFS('Saisie'!$H$5:$H$2004,'Saisie'!$C$5:$C$2004,C87))</f>
        <v/>
      </c>
      <c r="AZ87" s="60">
        <f>IF(C87="","",IFERROR(INDEX('Paramètres'!$W$6:$W$20,MATCH(S87,'Paramètres'!$V$6:$V$20,0))&amp;"",""))</f>
        <v/>
      </c>
      <c r="BA87" s="60">
        <f>IF(C87="","",MAX(1,_xlfn.MAXIFS('Saisie'!$AT$5:$AT$2004,'Saisie'!$C$5:$C$2004,C87)))</f>
        <v/>
      </c>
      <c r="BB87" s="60">
        <f>IF(C87="","",IFERROR(INDEX('Saisie'!$X$5:$X$2004,_xlfn.MAXIFS('Saisie'!$AS$5:$AS$2004,'Saisie'!$C$5:$C$2004,C87,'Saisie'!$X$5:$X$2004,"&lt;&gt;")-4),""))</f>
        <v/>
      </c>
      <c r="BC87" s="60">
        <f>IF(C87="","",IFERROR(INDEX('Saisie'!$Y$5:$Y$2004,_xlfn.MAXIFS('Saisie'!$AS$5:$AS$2004,'Saisie'!$C$5:$C$2004,C87,'Saisie'!$Y$5:$Y$2004,"&lt;&gt;")-4),""))</f>
        <v/>
      </c>
      <c r="BD87" s="106">
        <f>IF(C87="","",IFERROR(1/(1/_xlfn.MINIFS('Saisie'!$A$5:$A$2004,'Saisie'!$C$5:$C$2004,C87,'Saisie'!$AT$5:$AT$2004,"&gt;=2")),""))</f>
        <v/>
      </c>
      <c r="BE87" s="106">
        <f>IF(C87="","",IFERROR(1/(1/_xlfn.MINIFS('Saisie'!$A$5:$A$2004,'Saisie'!$C$5:$C$2004,C87,'Saisie'!$AT$5:$AT$2004,"&gt;=3")),""))</f>
        <v/>
      </c>
      <c r="BF87" s="106">
        <f>IF(C87="","",IFERROR(1/(1/_xlfn.MINIFS('Saisie'!$A$5:$A$2004,'Saisie'!$C$5:$C$2004,C87,'Saisie'!$AT$5:$AT$2004,"&gt;=4")),""))</f>
        <v/>
      </c>
      <c r="BG87" s="106">
        <f>IF(C87="","",IFERROR(1/(1/_xlfn.MINIFS('Saisie'!$A$5:$A$2004,'Saisie'!$C$5:$C$2004,C87,'Saisie'!$AT$5:$AT$2004,"&gt;=5")),""))</f>
        <v/>
      </c>
      <c r="BH87" s="106">
        <f>IF(C87="","",IFERROR(1/(1/_xlfn.MINIFS('Saisie'!$A$5:$A$2004,'Saisie'!$C$5:$C$2004,C87,'Saisie'!$AT$5:$AT$2004,"&gt;=6")),""))</f>
        <v/>
      </c>
      <c r="BI87" s="106">
        <f>IF(C87="","",IFERROR(1/(1/_xlfn.MINIFS('Saisie'!$A$5:$A$2004,'Saisie'!$C$5:$C$2004,C87,'Saisie'!$AT$5:$AT$2004,"&gt;=7")),""))</f>
        <v/>
      </c>
      <c r="BJ87" s="60">
        <f>IF(OR(BD87="",B87=""),"",BD87-B87)</f>
        <v/>
      </c>
      <c r="BK87" s="60">
        <f>IF(OR(BE87="",BD87=""),"",BE87-BD87)</f>
        <v/>
      </c>
      <c r="BL87" s="60">
        <f>IF(OR(BF87="",BE87=""),"",BF87-BE87)</f>
        <v/>
      </c>
      <c r="BM87" s="60">
        <f>IF(OR(BG87="",BF87=""),"",BG87-BF87)</f>
        <v/>
      </c>
      <c r="BN87" s="60">
        <f>IF(OR(BH87="",BG87=""),"",BH87-BG87)</f>
        <v/>
      </c>
      <c r="BO87" s="60">
        <f>IF(OR(BI87="",BH87=""),"",BI87-BH87)</f>
        <v/>
      </c>
      <c r="BP87" s="60">
        <f>IF(C87="","",_xlfn.MAXIFS('Saisie'!$AS$5:$AS$2004,'Saisie'!$C$5:$C$2004,C87,'Saisie'!$J$5:$J$2004,"&lt;&gt;"))</f>
        <v/>
      </c>
      <c r="BQ87" s="60">
        <f>IF(C87="","",_xlfn.MAXIFS('Saisie'!$AS$5:$AS$2004,'Saisie'!$C$5:$C$2004,C87))</f>
        <v/>
      </c>
      <c r="BR87" s="60">
        <f>IF(C87="","",_xlfn.MAXIFS('Saisie'!$AS$5:$AS$2004,'Saisie'!$C$5:$C$2004,C87,'Saisie'!$E$5:$E$2004,"Perdu"))</f>
        <v/>
      </c>
      <c r="BS87" s="60">
        <f>IF(C87="","",_xlfn.MAXIFS('Saisie'!$AS$5:$AS$2004,'Saisie'!$C$5:$C$2004,C87,'Saisie'!$AT$5:$AT$2004,"&gt;0"))</f>
        <v/>
      </c>
      <c r="BT87" s="109">
        <f>IF(AND(C87&lt;&gt;"",OR(D87="Nouveau",D87="Contacté",D87="Qualifié"),OR(G87="",N(G87)&lt;=TODAY()),NOT(AND(O87&gt;='Paramètres'!$B$21,P87=0))),E87+83/10000,"")</f>
        <v/>
      </c>
      <c r="BU87" s="60">
        <f>IF(AND(G87&lt;&gt;"",N(G87)&lt;=TODAY()),MAX($BU$4:BU86)+1,"")</f>
        <v/>
      </c>
      <c r="BV87" s="60">
        <f>IF(AND(F87&lt;&gt;"",F87&lt;&gt;"Relance en retard"),MAX($BV$4:BV86)+1,"")</f>
        <v/>
      </c>
      <c r="BW87" s="60">
        <f>IF(C87="","",IF(AND(B87&gt;='Tableau de bord'!$R$4,B87&lt;='Tableau de bord'!$S$4,OR('Tableau de bord'!$G$4="Tous",N87='Tableau de bord'!$G$4)),1,0))</f>
        <v/>
      </c>
      <c r="BX87" s="60">
        <f>IF(AND(C87&lt;&gt;"",N(BA87)=7),MAX($BX$4:BX86)+1,"")</f>
        <v/>
      </c>
    </row>
    <row r="88">
      <c r="A88" s="60">
        <f>IF(C88="","","P-"&amp;TEXT(84,"000"))</f>
        <v/>
      </c>
      <c r="B88" s="106">
        <f>IF(C88="","",IFERROR(1/(1/_xlfn.MINIFS('Saisie'!$A$5:$A$2004,'Saisie'!$C$5:$C$2004,C88)),""))</f>
        <v/>
      </c>
      <c r="C88" s="60">
        <f>IFERROR(INDEX('Saisie'!$C$5:$C$2004,MATCH(84,'Saisie'!$AX$5:$AX$2004,0)),"")</f>
        <v/>
      </c>
      <c r="D88" s="60">
        <f>IF(C88="","",IF(AND(BR88&gt;0,BR88&gt;BS88,BA88&lt;7),"Perdu",INDEX('Paramètres'!$F$6:$F$13,BA88)))</f>
        <v/>
      </c>
      <c r="E88" s="61">
        <f>IF(C88="","",MIN(100,(Z88="Oui")*'Paramètres'!$B$38+(AB88="Régulière")*'Paramètres'!$B$39+IF(AND(N(AA88)&gt;0,TODAY()-N(AA88)&lt;=30),'Paramètres'!$B$40,0)+(W88="")*'Paramètres'!$B$41+(AC88="Absente")*'Paramètres'!$B$42+(AC88="Faible")*'Paramètres'!$B$43+IF(AND(N(AD88)&gt;0,N(AD88)&lt;4),'Paramètres'!$B$44,0)+(AF88="Moyenne")*'Paramètres'!$B$45+(AF88="Grande")*'Paramètres'!$B$46+(Y88&lt;&gt;"")*'Paramètres'!$B$47))</f>
        <v/>
      </c>
      <c r="F88" s="60">
        <f>IF(C88="","",IF(D88="Gagné","",IF(D88="Perdu",IF(AND(AX88&lt;&gt;"",AX88&lt;=TODAY()),"À recontacter (perdu)",""),IF(AND(O88&gt;='Paramètres'!$B$21,P88=0),"Stop : "&amp;'Paramètres'!$B$21&amp;" tentatives sans réponse",IF(AND(D88="Proposition",AR88&lt;&gt;"",TODAY()&gt;N(AR88)),"Proposition expirée",IF(AND(D88="Proposition",N(R88)&gt;='Paramètres'!$B$25),"Proposition sans réponse",IF(AND(G88&lt;&gt;"",N(G88)&lt;TODAY()),"Relance en retard",IF(N(R88)&gt;='Paramètres'!$B$24,"Sans action depuis "&amp;R88&amp;" j",""))))))))</f>
        <v/>
      </c>
      <c r="G88" s="106">
        <f>IF(OR(C88="",D88="Gagné",D88="Perdu"),"",IF(AND(BP88&gt;0,BP88=BQ88),INDEX('Saisie'!$J$5:$J$2004,BP88-4),IF(OR(O88=0,AND(O88&gt;='Paramètres'!$B$21,P88=0)),"",Q88+IF(O88&lt;=1,'Paramètres'!$B$18,IF(O88=2,'Paramètres'!$B$19,'Paramètres'!$B$20)))))</f>
        <v/>
      </c>
      <c r="H88" s="107">
        <f>IF(OR(G88="",BP88&lt;&gt;BQ88),"",IF(INDEX('Saisie'!$K$5:$K$2004,BP88-4)="","",INDEX('Saisie'!$K$5:$K$2004,BP88-4)))</f>
        <v/>
      </c>
      <c r="I88" s="60">
        <f>IF(C88="","",IF(OR(D88="Gagné",D88="Perdu"),"",IFERROR(INDEX('Saisie'!$I$5:$I$2004,_xlfn.MAXIFS('Saisie'!$AS$5:$AS$2004,'Saisie'!$C$5:$C$2004,C88,'Saisie'!$I$5:$I$2004,"&lt;&gt;")-4),"")))</f>
        <v/>
      </c>
      <c r="J88" s="60">
        <f>IF(C88="","",IFERROR(INDEX('Saisie'!$U$5:$U$2004,_xlfn.MAXIFS('Saisie'!$AS$5:$AS$2004,'Saisie'!$C$5:$C$2004,C88,'Saisie'!$U$5:$U$2004,"&lt;&gt;")-4),""))</f>
        <v/>
      </c>
      <c r="K88" s="60">
        <f>IF(C88="","",IFERROR(INDEX('Saisie'!$W$5:$W$2004,_xlfn.MAXIFS('Saisie'!$AS$5:$AS$2004,'Saisie'!$C$5:$C$2004,C88,'Saisie'!$W$5:$W$2004,"&lt;&gt;")-4),""))</f>
        <v/>
      </c>
      <c r="L88" s="60">
        <f>IF(IF(BB88&lt;&gt;"",BB88,K88)="","",HYPERLINK("https://wa.me/"&amp;IF(LEFT(SUBSTITUTE(SUBSTITUTE(SUBSTITUTE(IF(BB88&lt;&gt;"",BB88,K88)," ",""),".",""),"+",""),1)="0",'Paramètres'!$B$35&amp;MID(SUBSTITUTE(SUBSTITUTE(SUBSTITUTE(IF(BB88&lt;&gt;"",BB88,K88)," ",""),".",""),"+",""),2,20),SUBSTITUTE(SUBSTITUTE(SUBSTITUTE(IF(BB88&lt;&gt;"",BB88,K88)," ",""),".",""),"+","")),"WhatsApp"))</f>
        <v/>
      </c>
      <c r="M88" s="60">
        <f>IF(BC88="","",HYPERLINK(IF(LEFT(BC88,4)="http",BC88,"https://www.instagram.com/"&amp;SUBSTITUTE(SUBSTITUTE(BC88,"@","")," ","")),BC88))</f>
        <v/>
      </c>
      <c r="N88" s="60">
        <f>IF(C88="","",IFERROR(INDEX('Saisie'!$D$5:$D$2004,_xlfn.MINIFS('Saisie'!$AS$5:$AS$2004,'Saisie'!$C$5:$C$2004,C88,'Saisie'!$AU$5:$AU$2004,1)-4),IFERROR(INDEX('Saisie'!$D$5:$D$2004,_xlfn.MINIFS('Saisie'!$AS$5:$AS$2004,'Saisie'!$C$5:$C$2004,C88,'Saisie'!$D$5:$D$2004,"&lt;&gt;")-4),"")))</f>
        <v/>
      </c>
      <c r="O88" s="60">
        <f>IF(C88="","",COUNTIFS('Saisie'!$C$5:$C$2004,C88,'Saisie'!$AU$5:$AU$2004,1))</f>
        <v/>
      </c>
      <c r="P88" s="60">
        <f>IF(C88="","",COUNTIFS('Saisie'!$C$5:$C$2004,C88,'Saisie'!$AV$5:$AV$2004,1))</f>
        <v/>
      </c>
      <c r="Q88" s="106">
        <f>IF(C88="","",IFERROR(1/(1/_xlfn.MAXIFS('Saisie'!$A$5:$A$2004,'Saisie'!$C$5:$C$2004,C88)),""))</f>
        <v/>
      </c>
      <c r="R88" s="61">
        <f>IF(C88="","",IF(Q88="","",TODAY()-Q88))</f>
        <v/>
      </c>
      <c r="S88" s="60">
        <f>IF(C88="","",IFERROR(INDEX('Saisie'!$R$5:$R$2004,_xlfn.MAXIFS('Saisie'!$AS$5:$AS$2004,'Saisie'!$C$5:$C$2004,C88,'Saisie'!$R$5:$R$2004,"&lt;&gt;")-4),""))</f>
        <v/>
      </c>
      <c r="T88" s="60">
        <f>IF(C88="","",IFERROR(INDEX('Saisie'!$S$5:$S$2004,_xlfn.MAXIFS('Saisie'!$AS$5:$AS$2004,'Saisie'!$C$5:$C$2004,C88,'Saisie'!$S$5:$S$2004,"&lt;&gt;")-4),""))</f>
        <v/>
      </c>
      <c r="U88" s="60">
        <f>IF(C88="","",IFERROR(INDEX('Saisie'!$T$5:$T$2004,_xlfn.MAXIFS('Saisie'!$AS$5:$AS$2004,'Saisie'!$C$5:$C$2004,C88,'Saisie'!$T$5:$T$2004,"&lt;&gt;")-4),""))</f>
        <v/>
      </c>
      <c r="V88" s="60">
        <f>IF(C88="","",IFERROR(INDEX('Saisie'!$V$5:$V$2004,_xlfn.MAXIFS('Saisie'!$AS$5:$AS$2004,'Saisie'!$C$5:$C$2004,C88,'Saisie'!$V$5:$V$2004,"&lt;&gt;")-4),""))</f>
        <v/>
      </c>
      <c r="W88" s="60">
        <f>IF(C88="","",IFERROR(INDEX('Saisie'!$Z$5:$Z$2004,_xlfn.MAXIFS('Saisie'!$AS$5:$AS$2004,'Saisie'!$C$5:$C$2004,C88,'Saisie'!$Z$5:$Z$2004,"&lt;&gt;")-4),""))</f>
        <v/>
      </c>
      <c r="X88" s="60">
        <f>IF(C88="","",IFERROR(INDEX('Saisie'!$AA$5:$AA$2004,_xlfn.MAXIFS('Saisie'!$AS$5:$AS$2004,'Saisie'!$C$5:$C$2004,C88,'Saisie'!$AA$5:$AA$2004,"&lt;&gt;")-4),""))</f>
        <v/>
      </c>
      <c r="Y88" s="60">
        <f>IF(C88="","",IFERROR(INDEX('Saisie'!$AB$5:$AB$2004,_xlfn.MAXIFS('Saisie'!$AS$5:$AS$2004,'Saisie'!$C$5:$C$2004,C88,'Saisie'!$AB$5:$AB$2004,"&lt;&gt;")-4),""))</f>
        <v/>
      </c>
      <c r="Z88" s="60">
        <f>IF(C88="","",IFERROR(INDEX('Saisie'!$AC$5:$AC$2004,_xlfn.MAXIFS('Saisie'!$AS$5:$AS$2004,'Saisie'!$C$5:$C$2004,C88,'Saisie'!$AC$5:$AC$2004,"&lt;&gt;")-4),""))</f>
        <v/>
      </c>
      <c r="AA88" s="106">
        <f>IF(C88="","",IFERROR(INDEX('Saisie'!$AD$5:$AD$2004,_xlfn.MAXIFS('Saisie'!$AS$5:$AS$2004,'Saisie'!$C$5:$C$2004,C88,'Saisie'!$AD$5:$AD$2004,"&lt;&gt;")-4),""))</f>
        <v/>
      </c>
      <c r="AB88" s="60">
        <f>IF(C88="","",IFERROR(INDEX('Saisie'!$AE$5:$AE$2004,_xlfn.MAXIFS('Saisie'!$AS$5:$AS$2004,'Saisie'!$C$5:$C$2004,C88,'Saisie'!$AE$5:$AE$2004,"&lt;&gt;")-4),""))</f>
        <v/>
      </c>
      <c r="AC88" s="60">
        <f>IF(C88="","",IFERROR(INDEX('Saisie'!$AF$5:$AF$2004,_xlfn.MAXIFS('Saisie'!$AS$5:$AS$2004,'Saisie'!$C$5:$C$2004,C88,'Saisie'!$AF$5:$AF$2004,"&lt;&gt;")-4),""))</f>
        <v/>
      </c>
      <c r="AD88" s="108">
        <f>IF(C88="","",IFERROR(INDEX('Saisie'!$AG$5:$AG$2004,_xlfn.MAXIFS('Saisie'!$AS$5:$AS$2004,'Saisie'!$C$5:$C$2004,C88,'Saisie'!$AG$5:$AG$2004,"&lt;&gt;")-4),""))</f>
        <v/>
      </c>
      <c r="AE88" s="60">
        <f>IF(C88="","",IFERROR(INDEX('Saisie'!$AH$5:$AH$2004,_xlfn.MAXIFS('Saisie'!$AS$5:$AS$2004,'Saisie'!$C$5:$C$2004,C88,'Saisie'!$AH$5:$AH$2004,"&lt;&gt;")-4),""))</f>
        <v/>
      </c>
      <c r="AF88" s="60">
        <f>IF(C88="","",IFERROR(INDEX('Saisie'!$AI$5:$AI$2004,_xlfn.MAXIFS('Saisie'!$AS$5:$AS$2004,'Saisie'!$C$5:$C$2004,C88,'Saisie'!$AI$5:$AI$2004,"&lt;&gt;")-4),""))</f>
        <v/>
      </c>
      <c r="AG88" s="60">
        <f>IF(C88="","",IFERROR(INDEX('Saisie'!$AJ$5:$AJ$2004,_xlfn.MAXIFS('Saisie'!$AS$5:$AS$2004,'Saisie'!$C$5:$C$2004,C88,'Saisie'!$AJ$5:$AJ$2004,"&lt;&gt;")-4),""))</f>
        <v/>
      </c>
      <c r="AH88" s="60">
        <f>IF(C88="","",IFERROR(INDEX('Saisie'!$AK$5:$AK$2004,_xlfn.MAXIFS('Saisie'!$AS$5:$AS$2004,'Saisie'!$C$5:$C$2004,C88,'Saisie'!$AK$5:$AK$2004,"&lt;&gt;")-4),""))</f>
        <v/>
      </c>
      <c r="AI88" s="60">
        <f>IF(C88="","",IFERROR(INDEX('Saisie'!$AN$5:$AN$2004,_xlfn.MAXIFS('Saisie'!$AS$5:$AS$2004,'Saisie'!$C$5:$C$2004,C88,'Saisie'!$AN$5:$AN$2004,"&lt;&gt;")-4),""))</f>
        <v/>
      </c>
      <c r="AJ88" s="60">
        <f>IF(C88="","",IFERROR(INDEX('Saisie'!$AO$5:$AO$2004,_xlfn.MAXIFS('Saisie'!$AS$5:$AS$2004,'Saisie'!$C$5:$C$2004,C88,'Saisie'!$AO$5:$AO$2004,"&lt;&gt;")-4),""))</f>
        <v/>
      </c>
      <c r="AK88" s="60">
        <f>IF(C88="","",IFERROR(INDEX('Saisie'!$AP$5:$AP$2004,_xlfn.MAXIFS('Saisie'!$AS$5:$AS$2004,'Saisie'!$C$5:$C$2004,C88,'Saisie'!$AP$5:$AP$2004,"&lt;&gt;")-4),""))</f>
        <v/>
      </c>
      <c r="AL88" s="60">
        <f>IF(C88="","",IFERROR(INDEX('Saisie'!$AQ$5:$AQ$2004,_xlfn.MAXIFS('Saisie'!$AS$5:$AS$2004,'Saisie'!$C$5:$C$2004,C88,'Saisie'!$AQ$5:$AQ$2004,"&lt;&gt;")-4),""))</f>
        <v/>
      </c>
      <c r="AM88" s="60">
        <f>IF(C88="","",((AI88="Oui")+(AJ88="Oui")+(AK88="Oui")+OR(AL88="Immédiat",AL88="&lt; 1 mois"))&amp;"/4")</f>
        <v/>
      </c>
      <c r="AN88" s="60">
        <f>IF(C88="","",IFERROR(INDEX('Saisie'!$AL$5:$AL$2004,_xlfn.MAXIFS('Saisie'!$AS$5:$AS$2004,'Saisie'!$C$5:$C$2004,C88,'Saisie'!$AL$5:$AL$2004,"&lt;&gt;")-4),""))</f>
        <v/>
      </c>
      <c r="AO88" s="62">
        <f>IF(C88="","",IF(IFERROR(INDEX('Saisie'!$AM$5:$AM$2004,_xlfn.MAXIFS('Saisie'!$AS$5:$AS$2004,'Saisie'!$C$5:$C$2004,C88,'Saisie'!$AM$5:$AM$2004,"&lt;&gt;")-4),"")&lt;&gt;"",IFERROR(INDEX('Saisie'!$AM$5:$AM$2004,_xlfn.MAXIFS('Saisie'!$AS$5:$AS$2004,'Saisie'!$C$5:$C$2004,C88,'Saisie'!$AM$5:$AM$2004,"&lt;&gt;")-4),""),IFERROR(INDEX('Paramètres'!$S$6:$S$15,MATCH(AN88,'Paramètres'!$Q$6:$Q$15,0)),"")))</f>
        <v/>
      </c>
      <c r="AP88" s="62">
        <f>IF(C88="","",IFERROR(INDEX('Saisie'!$AW$5:$AW$2004,_xlfn.MAXIFS('Saisie'!$AS$5:$AS$2004,'Saisie'!$C$5:$C$2004,C88,'Saisie'!$E$5:$E$2004,"Proposition envoyée")-4),""))</f>
        <v/>
      </c>
      <c r="AQ88" s="106">
        <f>IF(C88="","",IFERROR(1/(1/_xlfn.MAXIFS('Saisie'!$A$5:$A$2004,'Saisie'!$C$5:$C$2004,C88,'Saisie'!$E$5:$E$2004,"Proposition envoyée")),""))</f>
        <v/>
      </c>
      <c r="AR88" s="106">
        <f>IF(C88="","",IF(AQ88="","",AQ88+'Paramètres'!$B$26))</f>
        <v/>
      </c>
      <c r="AS88" s="62">
        <f>IF(OR(C88="",D88="Gagné",D88="Perdu"),0,N(AP88)*IFERROR(INDEX('Paramètres'!$G$6:$G$13,MATCH(D88,'Paramètres'!$F$6:$F$13,0)),0))</f>
        <v/>
      </c>
      <c r="AT88" s="106">
        <f>IF(C88="","",IFERROR(1/(1/_xlfn.MINIFS('Saisie'!$A$5:$A$2004,'Saisie'!$C$5:$C$2004,C88,'Saisie'!$E$5:$E$2004,"Signature")),""))</f>
        <v/>
      </c>
      <c r="AU88" s="60">
        <f>IF(C88="","",IF(OR(AT88="",B88=""),"",AT88-B88))</f>
        <v/>
      </c>
      <c r="AV88" s="60">
        <f>IF(C88="","",IFERROR(INDEX('Saisie'!$L$5:$L$2004,_xlfn.MAXIFS('Saisie'!$AS$5:$AS$2004,'Saisie'!$C$5:$C$2004,C88,'Saisie'!$L$5:$L$2004,"&lt;&gt;")-4),""))</f>
        <v/>
      </c>
      <c r="AW88" s="106">
        <f>IF(C88="","",IF(D88&lt;&gt;"Perdu","",IFERROR(1/(1/_xlfn.MAXIFS('Saisie'!$A$5:$A$2004,'Saisie'!$C$5:$C$2004,C88,'Saisie'!$E$5:$E$2004,"Perdu")),"")))</f>
        <v/>
      </c>
      <c r="AX88" s="106">
        <f>IF(C88="","",IF(AW88="","",AW88+'Paramètres'!$B$28))</f>
        <v/>
      </c>
      <c r="AY88" s="60">
        <f>IF(C88="","",SUMIFS('Saisie'!$H$5:$H$2004,'Saisie'!$C$5:$C$2004,C88))</f>
        <v/>
      </c>
      <c r="AZ88" s="60">
        <f>IF(C88="","",IFERROR(INDEX('Paramètres'!$W$6:$W$20,MATCH(S88,'Paramètres'!$V$6:$V$20,0))&amp;"",""))</f>
        <v/>
      </c>
      <c r="BA88" s="60">
        <f>IF(C88="","",MAX(1,_xlfn.MAXIFS('Saisie'!$AT$5:$AT$2004,'Saisie'!$C$5:$C$2004,C88)))</f>
        <v/>
      </c>
      <c r="BB88" s="60">
        <f>IF(C88="","",IFERROR(INDEX('Saisie'!$X$5:$X$2004,_xlfn.MAXIFS('Saisie'!$AS$5:$AS$2004,'Saisie'!$C$5:$C$2004,C88,'Saisie'!$X$5:$X$2004,"&lt;&gt;")-4),""))</f>
        <v/>
      </c>
      <c r="BC88" s="60">
        <f>IF(C88="","",IFERROR(INDEX('Saisie'!$Y$5:$Y$2004,_xlfn.MAXIFS('Saisie'!$AS$5:$AS$2004,'Saisie'!$C$5:$C$2004,C88,'Saisie'!$Y$5:$Y$2004,"&lt;&gt;")-4),""))</f>
        <v/>
      </c>
      <c r="BD88" s="106">
        <f>IF(C88="","",IFERROR(1/(1/_xlfn.MINIFS('Saisie'!$A$5:$A$2004,'Saisie'!$C$5:$C$2004,C88,'Saisie'!$AT$5:$AT$2004,"&gt;=2")),""))</f>
        <v/>
      </c>
      <c r="BE88" s="106">
        <f>IF(C88="","",IFERROR(1/(1/_xlfn.MINIFS('Saisie'!$A$5:$A$2004,'Saisie'!$C$5:$C$2004,C88,'Saisie'!$AT$5:$AT$2004,"&gt;=3")),""))</f>
        <v/>
      </c>
      <c r="BF88" s="106">
        <f>IF(C88="","",IFERROR(1/(1/_xlfn.MINIFS('Saisie'!$A$5:$A$2004,'Saisie'!$C$5:$C$2004,C88,'Saisie'!$AT$5:$AT$2004,"&gt;=4")),""))</f>
        <v/>
      </c>
      <c r="BG88" s="106">
        <f>IF(C88="","",IFERROR(1/(1/_xlfn.MINIFS('Saisie'!$A$5:$A$2004,'Saisie'!$C$5:$C$2004,C88,'Saisie'!$AT$5:$AT$2004,"&gt;=5")),""))</f>
        <v/>
      </c>
      <c r="BH88" s="106">
        <f>IF(C88="","",IFERROR(1/(1/_xlfn.MINIFS('Saisie'!$A$5:$A$2004,'Saisie'!$C$5:$C$2004,C88,'Saisie'!$AT$5:$AT$2004,"&gt;=6")),""))</f>
        <v/>
      </c>
      <c r="BI88" s="106">
        <f>IF(C88="","",IFERROR(1/(1/_xlfn.MINIFS('Saisie'!$A$5:$A$2004,'Saisie'!$C$5:$C$2004,C88,'Saisie'!$AT$5:$AT$2004,"&gt;=7")),""))</f>
        <v/>
      </c>
      <c r="BJ88" s="60">
        <f>IF(OR(BD88="",B88=""),"",BD88-B88)</f>
        <v/>
      </c>
      <c r="BK88" s="60">
        <f>IF(OR(BE88="",BD88=""),"",BE88-BD88)</f>
        <v/>
      </c>
      <c r="BL88" s="60">
        <f>IF(OR(BF88="",BE88=""),"",BF88-BE88)</f>
        <v/>
      </c>
      <c r="BM88" s="60">
        <f>IF(OR(BG88="",BF88=""),"",BG88-BF88)</f>
        <v/>
      </c>
      <c r="BN88" s="60">
        <f>IF(OR(BH88="",BG88=""),"",BH88-BG88)</f>
        <v/>
      </c>
      <c r="BO88" s="60">
        <f>IF(OR(BI88="",BH88=""),"",BI88-BH88)</f>
        <v/>
      </c>
      <c r="BP88" s="60">
        <f>IF(C88="","",_xlfn.MAXIFS('Saisie'!$AS$5:$AS$2004,'Saisie'!$C$5:$C$2004,C88,'Saisie'!$J$5:$J$2004,"&lt;&gt;"))</f>
        <v/>
      </c>
      <c r="BQ88" s="60">
        <f>IF(C88="","",_xlfn.MAXIFS('Saisie'!$AS$5:$AS$2004,'Saisie'!$C$5:$C$2004,C88))</f>
        <v/>
      </c>
      <c r="BR88" s="60">
        <f>IF(C88="","",_xlfn.MAXIFS('Saisie'!$AS$5:$AS$2004,'Saisie'!$C$5:$C$2004,C88,'Saisie'!$E$5:$E$2004,"Perdu"))</f>
        <v/>
      </c>
      <c r="BS88" s="60">
        <f>IF(C88="","",_xlfn.MAXIFS('Saisie'!$AS$5:$AS$2004,'Saisie'!$C$5:$C$2004,C88,'Saisie'!$AT$5:$AT$2004,"&gt;0"))</f>
        <v/>
      </c>
      <c r="BT88" s="109">
        <f>IF(AND(C88&lt;&gt;"",OR(D88="Nouveau",D88="Contacté",D88="Qualifié"),OR(G88="",N(G88)&lt;=TODAY()),NOT(AND(O88&gt;='Paramètres'!$B$21,P88=0))),E88+84/10000,"")</f>
        <v/>
      </c>
      <c r="BU88" s="60">
        <f>IF(AND(G88&lt;&gt;"",N(G88)&lt;=TODAY()),MAX($BU$4:BU87)+1,"")</f>
        <v/>
      </c>
      <c r="BV88" s="60">
        <f>IF(AND(F88&lt;&gt;"",F88&lt;&gt;"Relance en retard"),MAX($BV$4:BV87)+1,"")</f>
        <v/>
      </c>
      <c r="BW88" s="60">
        <f>IF(C88="","",IF(AND(B88&gt;='Tableau de bord'!$R$4,B88&lt;='Tableau de bord'!$S$4,OR('Tableau de bord'!$G$4="Tous",N88='Tableau de bord'!$G$4)),1,0))</f>
        <v/>
      </c>
      <c r="BX88" s="60">
        <f>IF(AND(C88&lt;&gt;"",N(BA88)=7),MAX($BX$4:BX87)+1,"")</f>
        <v/>
      </c>
    </row>
    <row r="89">
      <c r="A89" s="60">
        <f>IF(C89="","","P-"&amp;TEXT(85,"000"))</f>
        <v/>
      </c>
      <c r="B89" s="106">
        <f>IF(C89="","",IFERROR(1/(1/_xlfn.MINIFS('Saisie'!$A$5:$A$2004,'Saisie'!$C$5:$C$2004,C89)),""))</f>
        <v/>
      </c>
      <c r="C89" s="60">
        <f>IFERROR(INDEX('Saisie'!$C$5:$C$2004,MATCH(85,'Saisie'!$AX$5:$AX$2004,0)),"")</f>
        <v/>
      </c>
      <c r="D89" s="60">
        <f>IF(C89="","",IF(AND(BR89&gt;0,BR89&gt;BS89,BA89&lt;7),"Perdu",INDEX('Paramètres'!$F$6:$F$13,BA89)))</f>
        <v/>
      </c>
      <c r="E89" s="61">
        <f>IF(C89="","",MIN(100,(Z89="Oui")*'Paramètres'!$B$38+(AB89="Régulière")*'Paramètres'!$B$39+IF(AND(N(AA89)&gt;0,TODAY()-N(AA89)&lt;=30),'Paramètres'!$B$40,0)+(W89="")*'Paramètres'!$B$41+(AC89="Absente")*'Paramètres'!$B$42+(AC89="Faible")*'Paramètres'!$B$43+IF(AND(N(AD89)&gt;0,N(AD89)&lt;4),'Paramètres'!$B$44,0)+(AF89="Moyenne")*'Paramètres'!$B$45+(AF89="Grande")*'Paramètres'!$B$46+(Y89&lt;&gt;"")*'Paramètres'!$B$47))</f>
        <v/>
      </c>
      <c r="F89" s="60">
        <f>IF(C89="","",IF(D89="Gagné","",IF(D89="Perdu",IF(AND(AX89&lt;&gt;"",AX89&lt;=TODAY()),"À recontacter (perdu)",""),IF(AND(O89&gt;='Paramètres'!$B$21,P89=0),"Stop : "&amp;'Paramètres'!$B$21&amp;" tentatives sans réponse",IF(AND(D89="Proposition",AR89&lt;&gt;"",TODAY()&gt;N(AR89)),"Proposition expirée",IF(AND(D89="Proposition",N(R89)&gt;='Paramètres'!$B$25),"Proposition sans réponse",IF(AND(G89&lt;&gt;"",N(G89)&lt;TODAY()),"Relance en retard",IF(N(R89)&gt;='Paramètres'!$B$24,"Sans action depuis "&amp;R89&amp;" j",""))))))))</f>
        <v/>
      </c>
      <c r="G89" s="106">
        <f>IF(OR(C89="",D89="Gagné",D89="Perdu"),"",IF(AND(BP89&gt;0,BP89=BQ89),INDEX('Saisie'!$J$5:$J$2004,BP89-4),IF(OR(O89=0,AND(O89&gt;='Paramètres'!$B$21,P89=0)),"",Q89+IF(O89&lt;=1,'Paramètres'!$B$18,IF(O89=2,'Paramètres'!$B$19,'Paramètres'!$B$20)))))</f>
        <v/>
      </c>
      <c r="H89" s="107">
        <f>IF(OR(G89="",BP89&lt;&gt;BQ89),"",IF(INDEX('Saisie'!$K$5:$K$2004,BP89-4)="","",INDEX('Saisie'!$K$5:$K$2004,BP89-4)))</f>
        <v/>
      </c>
      <c r="I89" s="60">
        <f>IF(C89="","",IF(OR(D89="Gagné",D89="Perdu"),"",IFERROR(INDEX('Saisie'!$I$5:$I$2004,_xlfn.MAXIFS('Saisie'!$AS$5:$AS$2004,'Saisie'!$C$5:$C$2004,C89,'Saisie'!$I$5:$I$2004,"&lt;&gt;")-4),"")))</f>
        <v/>
      </c>
      <c r="J89" s="60">
        <f>IF(C89="","",IFERROR(INDEX('Saisie'!$U$5:$U$2004,_xlfn.MAXIFS('Saisie'!$AS$5:$AS$2004,'Saisie'!$C$5:$C$2004,C89,'Saisie'!$U$5:$U$2004,"&lt;&gt;")-4),""))</f>
        <v/>
      </c>
      <c r="K89" s="60">
        <f>IF(C89="","",IFERROR(INDEX('Saisie'!$W$5:$W$2004,_xlfn.MAXIFS('Saisie'!$AS$5:$AS$2004,'Saisie'!$C$5:$C$2004,C89,'Saisie'!$W$5:$W$2004,"&lt;&gt;")-4),""))</f>
        <v/>
      </c>
      <c r="L89" s="60">
        <f>IF(IF(BB89&lt;&gt;"",BB89,K89)="","",HYPERLINK("https://wa.me/"&amp;IF(LEFT(SUBSTITUTE(SUBSTITUTE(SUBSTITUTE(IF(BB89&lt;&gt;"",BB89,K89)," ",""),".",""),"+",""),1)="0",'Paramètres'!$B$35&amp;MID(SUBSTITUTE(SUBSTITUTE(SUBSTITUTE(IF(BB89&lt;&gt;"",BB89,K89)," ",""),".",""),"+",""),2,20),SUBSTITUTE(SUBSTITUTE(SUBSTITUTE(IF(BB89&lt;&gt;"",BB89,K89)," ",""),".",""),"+","")),"WhatsApp"))</f>
        <v/>
      </c>
      <c r="M89" s="60">
        <f>IF(BC89="","",HYPERLINK(IF(LEFT(BC89,4)="http",BC89,"https://www.instagram.com/"&amp;SUBSTITUTE(SUBSTITUTE(BC89,"@","")," ","")),BC89))</f>
        <v/>
      </c>
      <c r="N89" s="60">
        <f>IF(C89="","",IFERROR(INDEX('Saisie'!$D$5:$D$2004,_xlfn.MINIFS('Saisie'!$AS$5:$AS$2004,'Saisie'!$C$5:$C$2004,C89,'Saisie'!$AU$5:$AU$2004,1)-4),IFERROR(INDEX('Saisie'!$D$5:$D$2004,_xlfn.MINIFS('Saisie'!$AS$5:$AS$2004,'Saisie'!$C$5:$C$2004,C89,'Saisie'!$D$5:$D$2004,"&lt;&gt;")-4),"")))</f>
        <v/>
      </c>
      <c r="O89" s="60">
        <f>IF(C89="","",COUNTIFS('Saisie'!$C$5:$C$2004,C89,'Saisie'!$AU$5:$AU$2004,1))</f>
        <v/>
      </c>
      <c r="P89" s="60">
        <f>IF(C89="","",COUNTIFS('Saisie'!$C$5:$C$2004,C89,'Saisie'!$AV$5:$AV$2004,1))</f>
        <v/>
      </c>
      <c r="Q89" s="106">
        <f>IF(C89="","",IFERROR(1/(1/_xlfn.MAXIFS('Saisie'!$A$5:$A$2004,'Saisie'!$C$5:$C$2004,C89)),""))</f>
        <v/>
      </c>
      <c r="R89" s="61">
        <f>IF(C89="","",IF(Q89="","",TODAY()-Q89))</f>
        <v/>
      </c>
      <c r="S89" s="60">
        <f>IF(C89="","",IFERROR(INDEX('Saisie'!$R$5:$R$2004,_xlfn.MAXIFS('Saisie'!$AS$5:$AS$2004,'Saisie'!$C$5:$C$2004,C89,'Saisie'!$R$5:$R$2004,"&lt;&gt;")-4),""))</f>
        <v/>
      </c>
      <c r="T89" s="60">
        <f>IF(C89="","",IFERROR(INDEX('Saisie'!$S$5:$S$2004,_xlfn.MAXIFS('Saisie'!$AS$5:$AS$2004,'Saisie'!$C$5:$C$2004,C89,'Saisie'!$S$5:$S$2004,"&lt;&gt;")-4),""))</f>
        <v/>
      </c>
      <c r="U89" s="60">
        <f>IF(C89="","",IFERROR(INDEX('Saisie'!$T$5:$T$2004,_xlfn.MAXIFS('Saisie'!$AS$5:$AS$2004,'Saisie'!$C$5:$C$2004,C89,'Saisie'!$T$5:$T$2004,"&lt;&gt;")-4),""))</f>
        <v/>
      </c>
      <c r="V89" s="60">
        <f>IF(C89="","",IFERROR(INDEX('Saisie'!$V$5:$V$2004,_xlfn.MAXIFS('Saisie'!$AS$5:$AS$2004,'Saisie'!$C$5:$C$2004,C89,'Saisie'!$V$5:$V$2004,"&lt;&gt;")-4),""))</f>
        <v/>
      </c>
      <c r="W89" s="60">
        <f>IF(C89="","",IFERROR(INDEX('Saisie'!$Z$5:$Z$2004,_xlfn.MAXIFS('Saisie'!$AS$5:$AS$2004,'Saisie'!$C$5:$C$2004,C89,'Saisie'!$Z$5:$Z$2004,"&lt;&gt;")-4),""))</f>
        <v/>
      </c>
      <c r="X89" s="60">
        <f>IF(C89="","",IFERROR(INDEX('Saisie'!$AA$5:$AA$2004,_xlfn.MAXIFS('Saisie'!$AS$5:$AS$2004,'Saisie'!$C$5:$C$2004,C89,'Saisie'!$AA$5:$AA$2004,"&lt;&gt;")-4),""))</f>
        <v/>
      </c>
      <c r="Y89" s="60">
        <f>IF(C89="","",IFERROR(INDEX('Saisie'!$AB$5:$AB$2004,_xlfn.MAXIFS('Saisie'!$AS$5:$AS$2004,'Saisie'!$C$5:$C$2004,C89,'Saisie'!$AB$5:$AB$2004,"&lt;&gt;")-4),""))</f>
        <v/>
      </c>
      <c r="Z89" s="60">
        <f>IF(C89="","",IFERROR(INDEX('Saisie'!$AC$5:$AC$2004,_xlfn.MAXIFS('Saisie'!$AS$5:$AS$2004,'Saisie'!$C$5:$C$2004,C89,'Saisie'!$AC$5:$AC$2004,"&lt;&gt;")-4),""))</f>
        <v/>
      </c>
      <c r="AA89" s="106">
        <f>IF(C89="","",IFERROR(INDEX('Saisie'!$AD$5:$AD$2004,_xlfn.MAXIFS('Saisie'!$AS$5:$AS$2004,'Saisie'!$C$5:$C$2004,C89,'Saisie'!$AD$5:$AD$2004,"&lt;&gt;")-4),""))</f>
        <v/>
      </c>
      <c r="AB89" s="60">
        <f>IF(C89="","",IFERROR(INDEX('Saisie'!$AE$5:$AE$2004,_xlfn.MAXIFS('Saisie'!$AS$5:$AS$2004,'Saisie'!$C$5:$C$2004,C89,'Saisie'!$AE$5:$AE$2004,"&lt;&gt;")-4),""))</f>
        <v/>
      </c>
      <c r="AC89" s="60">
        <f>IF(C89="","",IFERROR(INDEX('Saisie'!$AF$5:$AF$2004,_xlfn.MAXIFS('Saisie'!$AS$5:$AS$2004,'Saisie'!$C$5:$C$2004,C89,'Saisie'!$AF$5:$AF$2004,"&lt;&gt;")-4),""))</f>
        <v/>
      </c>
      <c r="AD89" s="108">
        <f>IF(C89="","",IFERROR(INDEX('Saisie'!$AG$5:$AG$2004,_xlfn.MAXIFS('Saisie'!$AS$5:$AS$2004,'Saisie'!$C$5:$C$2004,C89,'Saisie'!$AG$5:$AG$2004,"&lt;&gt;")-4),""))</f>
        <v/>
      </c>
      <c r="AE89" s="60">
        <f>IF(C89="","",IFERROR(INDEX('Saisie'!$AH$5:$AH$2004,_xlfn.MAXIFS('Saisie'!$AS$5:$AS$2004,'Saisie'!$C$5:$C$2004,C89,'Saisie'!$AH$5:$AH$2004,"&lt;&gt;")-4),""))</f>
        <v/>
      </c>
      <c r="AF89" s="60">
        <f>IF(C89="","",IFERROR(INDEX('Saisie'!$AI$5:$AI$2004,_xlfn.MAXIFS('Saisie'!$AS$5:$AS$2004,'Saisie'!$C$5:$C$2004,C89,'Saisie'!$AI$5:$AI$2004,"&lt;&gt;")-4),""))</f>
        <v/>
      </c>
      <c r="AG89" s="60">
        <f>IF(C89="","",IFERROR(INDEX('Saisie'!$AJ$5:$AJ$2004,_xlfn.MAXIFS('Saisie'!$AS$5:$AS$2004,'Saisie'!$C$5:$C$2004,C89,'Saisie'!$AJ$5:$AJ$2004,"&lt;&gt;")-4),""))</f>
        <v/>
      </c>
      <c r="AH89" s="60">
        <f>IF(C89="","",IFERROR(INDEX('Saisie'!$AK$5:$AK$2004,_xlfn.MAXIFS('Saisie'!$AS$5:$AS$2004,'Saisie'!$C$5:$C$2004,C89,'Saisie'!$AK$5:$AK$2004,"&lt;&gt;")-4),""))</f>
        <v/>
      </c>
      <c r="AI89" s="60">
        <f>IF(C89="","",IFERROR(INDEX('Saisie'!$AN$5:$AN$2004,_xlfn.MAXIFS('Saisie'!$AS$5:$AS$2004,'Saisie'!$C$5:$C$2004,C89,'Saisie'!$AN$5:$AN$2004,"&lt;&gt;")-4),""))</f>
        <v/>
      </c>
      <c r="AJ89" s="60">
        <f>IF(C89="","",IFERROR(INDEX('Saisie'!$AO$5:$AO$2004,_xlfn.MAXIFS('Saisie'!$AS$5:$AS$2004,'Saisie'!$C$5:$C$2004,C89,'Saisie'!$AO$5:$AO$2004,"&lt;&gt;")-4),""))</f>
        <v/>
      </c>
      <c r="AK89" s="60">
        <f>IF(C89="","",IFERROR(INDEX('Saisie'!$AP$5:$AP$2004,_xlfn.MAXIFS('Saisie'!$AS$5:$AS$2004,'Saisie'!$C$5:$C$2004,C89,'Saisie'!$AP$5:$AP$2004,"&lt;&gt;")-4),""))</f>
        <v/>
      </c>
      <c r="AL89" s="60">
        <f>IF(C89="","",IFERROR(INDEX('Saisie'!$AQ$5:$AQ$2004,_xlfn.MAXIFS('Saisie'!$AS$5:$AS$2004,'Saisie'!$C$5:$C$2004,C89,'Saisie'!$AQ$5:$AQ$2004,"&lt;&gt;")-4),""))</f>
        <v/>
      </c>
      <c r="AM89" s="60">
        <f>IF(C89="","",((AI89="Oui")+(AJ89="Oui")+(AK89="Oui")+OR(AL89="Immédiat",AL89="&lt; 1 mois"))&amp;"/4")</f>
        <v/>
      </c>
      <c r="AN89" s="60">
        <f>IF(C89="","",IFERROR(INDEX('Saisie'!$AL$5:$AL$2004,_xlfn.MAXIFS('Saisie'!$AS$5:$AS$2004,'Saisie'!$C$5:$C$2004,C89,'Saisie'!$AL$5:$AL$2004,"&lt;&gt;")-4),""))</f>
        <v/>
      </c>
      <c r="AO89" s="62">
        <f>IF(C89="","",IF(IFERROR(INDEX('Saisie'!$AM$5:$AM$2004,_xlfn.MAXIFS('Saisie'!$AS$5:$AS$2004,'Saisie'!$C$5:$C$2004,C89,'Saisie'!$AM$5:$AM$2004,"&lt;&gt;")-4),"")&lt;&gt;"",IFERROR(INDEX('Saisie'!$AM$5:$AM$2004,_xlfn.MAXIFS('Saisie'!$AS$5:$AS$2004,'Saisie'!$C$5:$C$2004,C89,'Saisie'!$AM$5:$AM$2004,"&lt;&gt;")-4),""),IFERROR(INDEX('Paramètres'!$S$6:$S$15,MATCH(AN89,'Paramètres'!$Q$6:$Q$15,0)),"")))</f>
        <v/>
      </c>
      <c r="AP89" s="62">
        <f>IF(C89="","",IFERROR(INDEX('Saisie'!$AW$5:$AW$2004,_xlfn.MAXIFS('Saisie'!$AS$5:$AS$2004,'Saisie'!$C$5:$C$2004,C89,'Saisie'!$E$5:$E$2004,"Proposition envoyée")-4),""))</f>
        <v/>
      </c>
      <c r="AQ89" s="106">
        <f>IF(C89="","",IFERROR(1/(1/_xlfn.MAXIFS('Saisie'!$A$5:$A$2004,'Saisie'!$C$5:$C$2004,C89,'Saisie'!$E$5:$E$2004,"Proposition envoyée")),""))</f>
        <v/>
      </c>
      <c r="AR89" s="106">
        <f>IF(C89="","",IF(AQ89="","",AQ89+'Paramètres'!$B$26))</f>
        <v/>
      </c>
      <c r="AS89" s="62">
        <f>IF(OR(C89="",D89="Gagné",D89="Perdu"),0,N(AP89)*IFERROR(INDEX('Paramètres'!$G$6:$G$13,MATCH(D89,'Paramètres'!$F$6:$F$13,0)),0))</f>
        <v/>
      </c>
      <c r="AT89" s="106">
        <f>IF(C89="","",IFERROR(1/(1/_xlfn.MINIFS('Saisie'!$A$5:$A$2004,'Saisie'!$C$5:$C$2004,C89,'Saisie'!$E$5:$E$2004,"Signature")),""))</f>
        <v/>
      </c>
      <c r="AU89" s="60">
        <f>IF(C89="","",IF(OR(AT89="",B89=""),"",AT89-B89))</f>
        <v/>
      </c>
      <c r="AV89" s="60">
        <f>IF(C89="","",IFERROR(INDEX('Saisie'!$L$5:$L$2004,_xlfn.MAXIFS('Saisie'!$AS$5:$AS$2004,'Saisie'!$C$5:$C$2004,C89,'Saisie'!$L$5:$L$2004,"&lt;&gt;")-4),""))</f>
        <v/>
      </c>
      <c r="AW89" s="106">
        <f>IF(C89="","",IF(D89&lt;&gt;"Perdu","",IFERROR(1/(1/_xlfn.MAXIFS('Saisie'!$A$5:$A$2004,'Saisie'!$C$5:$C$2004,C89,'Saisie'!$E$5:$E$2004,"Perdu")),"")))</f>
        <v/>
      </c>
      <c r="AX89" s="106">
        <f>IF(C89="","",IF(AW89="","",AW89+'Paramètres'!$B$28))</f>
        <v/>
      </c>
      <c r="AY89" s="60">
        <f>IF(C89="","",SUMIFS('Saisie'!$H$5:$H$2004,'Saisie'!$C$5:$C$2004,C89))</f>
        <v/>
      </c>
      <c r="AZ89" s="60">
        <f>IF(C89="","",IFERROR(INDEX('Paramètres'!$W$6:$W$20,MATCH(S89,'Paramètres'!$V$6:$V$20,0))&amp;"",""))</f>
        <v/>
      </c>
      <c r="BA89" s="60">
        <f>IF(C89="","",MAX(1,_xlfn.MAXIFS('Saisie'!$AT$5:$AT$2004,'Saisie'!$C$5:$C$2004,C89)))</f>
        <v/>
      </c>
      <c r="BB89" s="60">
        <f>IF(C89="","",IFERROR(INDEX('Saisie'!$X$5:$X$2004,_xlfn.MAXIFS('Saisie'!$AS$5:$AS$2004,'Saisie'!$C$5:$C$2004,C89,'Saisie'!$X$5:$X$2004,"&lt;&gt;")-4),""))</f>
        <v/>
      </c>
      <c r="BC89" s="60">
        <f>IF(C89="","",IFERROR(INDEX('Saisie'!$Y$5:$Y$2004,_xlfn.MAXIFS('Saisie'!$AS$5:$AS$2004,'Saisie'!$C$5:$C$2004,C89,'Saisie'!$Y$5:$Y$2004,"&lt;&gt;")-4),""))</f>
        <v/>
      </c>
      <c r="BD89" s="106">
        <f>IF(C89="","",IFERROR(1/(1/_xlfn.MINIFS('Saisie'!$A$5:$A$2004,'Saisie'!$C$5:$C$2004,C89,'Saisie'!$AT$5:$AT$2004,"&gt;=2")),""))</f>
        <v/>
      </c>
      <c r="BE89" s="106">
        <f>IF(C89="","",IFERROR(1/(1/_xlfn.MINIFS('Saisie'!$A$5:$A$2004,'Saisie'!$C$5:$C$2004,C89,'Saisie'!$AT$5:$AT$2004,"&gt;=3")),""))</f>
        <v/>
      </c>
      <c r="BF89" s="106">
        <f>IF(C89="","",IFERROR(1/(1/_xlfn.MINIFS('Saisie'!$A$5:$A$2004,'Saisie'!$C$5:$C$2004,C89,'Saisie'!$AT$5:$AT$2004,"&gt;=4")),""))</f>
        <v/>
      </c>
      <c r="BG89" s="106">
        <f>IF(C89="","",IFERROR(1/(1/_xlfn.MINIFS('Saisie'!$A$5:$A$2004,'Saisie'!$C$5:$C$2004,C89,'Saisie'!$AT$5:$AT$2004,"&gt;=5")),""))</f>
        <v/>
      </c>
      <c r="BH89" s="106">
        <f>IF(C89="","",IFERROR(1/(1/_xlfn.MINIFS('Saisie'!$A$5:$A$2004,'Saisie'!$C$5:$C$2004,C89,'Saisie'!$AT$5:$AT$2004,"&gt;=6")),""))</f>
        <v/>
      </c>
      <c r="BI89" s="106">
        <f>IF(C89="","",IFERROR(1/(1/_xlfn.MINIFS('Saisie'!$A$5:$A$2004,'Saisie'!$C$5:$C$2004,C89,'Saisie'!$AT$5:$AT$2004,"&gt;=7")),""))</f>
        <v/>
      </c>
      <c r="BJ89" s="60">
        <f>IF(OR(BD89="",B89=""),"",BD89-B89)</f>
        <v/>
      </c>
      <c r="BK89" s="60">
        <f>IF(OR(BE89="",BD89=""),"",BE89-BD89)</f>
        <v/>
      </c>
      <c r="BL89" s="60">
        <f>IF(OR(BF89="",BE89=""),"",BF89-BE89)</f>
        <v/>
      </c>
      <c r="BM89" s="60">
        <f>IF(OR(BG89="",BF89=""),"",BG89-BF89)</f>
        <v/>
      </c>
      <c r="BN89" s="60">
        <f>IF(OR(BH89="",BG89=""),"",BH89-BG89)</f>
        <v/>
      </c>
      <c r="BO89" s="60">
        <f>IF(OR(BI89="",BH89=""),"",BI89-BH89)</f>
        <v/>
      </c>
      <c r="BP89" s="60">
        <f>IF(C89="","",_xlfn.MAXIFS('Saisie'!$AS$5:$AS$2004,'Saisie'!$C$5:$C$2004,C89,'Saisie'!$J$5:$J$2004,"&lt;&gt;"))</f>
        <v/>
      </c>
      <c r="BQ89" s="60">
        <f>IF(C89="","",_xlfn.MAXIFS('Saisie'!$AS$5:$AS$2004,'Saisie'!$C$5:$C$2004,C89))</f>
        <v/>
      </c>
      <c r="BR89" s="60">
        <f>IF(C89="","",_xlfn.MAXIFS('Saisie'!$AS$5:$AS$2004,'Saisie'!$C$5:$C$2004,C89,'Saisie'!$E$5:$E$2004,"Perdu"))</f>
        <v/>
      </c>
      <c r="BS89" s="60">
        <f>IF(C89="","",_xlfn.MAXIFS('Saisie'!$AS$5:$AS$2004,'Saisie'!$C$5:$C$2004,C89,'Saisie'!$AT$5:$AT$2004,"&gt;0"))</f>
        <v/>
      </c>
      <c r="BT89" s="109">
        <f>IF(AND(C89&lt;&gt;"",OR(D89="Nouveau",D89="Contacté",D89="Qualifié"),OR(G89="",N(G89)&lt;=TODAY()),NOT(AND(O89&gt;='Paramètres'!$B$21,P89=0))),E89+85/10000,"")</f>
        <v/>
      </c>
      <c r="BU89" s="60">
        <f>IF(AND(G89&lt;&gt;"",N(G89)&lt;=TODAY()),MAX($BU$4:BU88)+1,"")</f>
        <v/>
      </c>
      <c r="BV89" s="60">
        <f>IF(AND(F89&lt;&gt;"",F89&lt;&gt;"Relance en retard"),MAX($BV$4:BV88)+1,"")</f>
        <v/>
      </c>
      <c r="BW89" s="60">
        <f>IF(C89="","",IF(AND(B89&gt;='Tableau de bord'!$R$4,B89&lt;='Tableau de bord'!$S$4,OR('Tableau de bord'!$G$4="Tous",N89='Tableau de bord'!$G$4)),1,0))</f>
        <v/>
      </c>
      <c r="BX89" s="60">
        <f>IF(AND(C89&lt;&gt;"",N(BA89)=7),MAX($BX$4:BX88)+1,"")</f>
        <v/>
      </c>
    </row>
    <row r="90">
      <c r="A90" s="60">
        <f>IF(C90="","","P-"&amp;TEXT(86,"000"))</f>
        <v/>
      </c>
      <c r="B90" s="106">
        <f>IF(C90="","",IFERROR(1/(1/_xlfn.MINIFS('Saisie'!$A$5:$A$2004,'Saisie'!$C$5:$C$2004,C90)),""))</f>
        <v/>
      </c>
      <c r="C90" s="60">
        <f>IFERROR(INDEX('Saisie'!$C$5:$C$2004,MATCH(86,'Saisie'!$AX$5:$AX$2004,0)),"")</f>
        <v/>
      </c>
      <c r="D90" s="60">
        <f>IF(C90="","",IF(AND(BR90&gt;0,BR90&gt;BS90,BA90&lt;7),"Perdu",INDEX('Paramètres'!$F$6:$F$13,BA90)))</f>
        <v/>
      </c>
      <c r="E90" s="61">
        <f>IF(C90="","",MIN(100,(Z90="Oui")*'Paramètres'!$B$38+(AB90="Régulière")*'Paramètres'!$B$39+IF(AND(N(AA90)&gt;0,TODAY()-N(AA90)&lt;=30),'Paramètres'!$B$40,0)+(W90="")*'Paramètres'!$B$41+(AC90="Absente")*'Paramètres'!$B$42+(AC90="Faible")*'Paramètres'!$B$43+IF(AND(N(AD90)&gt;0,N(AD90)&lt;4),'Paramètres'!$B$44,0)+(AF90="Moyenne")*'Paramètres'!$B$45+(AF90="Grande")*'Paramètres'!$B$46+(Y90&lt;&gt;"")*'Paramètres'!$B$47))</f>
        <v/>
      </c>
      <c r="F90" s="60">
        <f>IF(C90="","",IF(D90="Gagné","",IF(D90="Perdu",IF(AND(AX90&lt;&gt;"",AX90&lt;=TODAY()),"À recontacter (perdu)",""),IF(AND(O90&gt;='Paramètres'!$B$21,P90=0),"Stop : "&amp;'Paramètres'!$B$21&amp;" tentatives sans réponse",IF(AND(D90="Proposition",AR90&lt;&gt;"",TODAY()&gt;N(AR90)),"Proposition expirée",IF(AND(D90="Proposition",N(R90)&gt;='Paramètres'!$B$25),"Proposition sans réponse",IF(AND(G90&lt;&gt;"",N(G90)&lt;TODAY()),"Relance en retard",IF(N(R90)&gt;='Paramètres'!$B$24,"Sans action depuis "&amp;R90&amp;" j",""))))))))</f>
        <v/>
      </c>
      <c r="G90" s="106">
        <f>IF(OR(C90="",D90="Gagné",D90="Perdu"),"",IF(AND(BP90&gt;0,BP90=BQ90),INDEX('Saisie'!$J$5:$J$2004,BP90-4),IF(OR(O90=0,AND(O90&gt;='Paramètres'!$B$21,P90=0)),"",Q90+IF(O90&lt;=1,'Paramètres'!$B$18,IF(O90=2,'Paramètres'!$B$19,'Paramètres'!$B$20)))))</f>
        <v/>
      </c>
      <c r="H90" s="107">
        <f>IF(OR(G90="",BP90&lt;&gt;BQ90),"",IF(INDEX('Saisie'!$K$5:$K$2004,BP90-4)="","",INDEX('Saisie'!$K$5:$K$2004,BP90-4)))</f>
        <v/>
      </c>
      <c r="I90" s="60">
        <f>IF(C90="","",IF(OR(D90="Gagné",D90="Perdu"),"",IFERROR(INDEX('Saisie'!$I$5:$I$2004,_xlfn.MAXIFS('Saisie'!$AS$5:$AS$2004,'Saisie'!$C$5:$C$2004,C90,'Saisie'!$I$5:$I$2004,"&lt;&gt;")-4),"")))</f>
        <v/>
      </c>
      <c r="J90" s="60">
        <f>IF(C90="","",IFERROR(INDEX('Saisie'!$U$5:$U$2004,_xlfn.MAXIFS('Saisie'!$AS$5:$AS$2004,'Saisie'!$C$5:$C$2004,C90,'Saisie'!$U$5:$U$2004,"&lt;&gt;")-4),""))</f>
        <v/>
      </c>
      <c r="K90" s="60">
        <f>IF(C90="","",IFERROR(INDEX('Saisie'!$W$5:$W$2004,_xlfn.MAXIFS('Saisie'!$AS$5:$AS$2004,'Saisie'!$C$5:$C$2004,C90,'Saisie'!$W$5:$W$2004,"&lt;&gt;")-4),""))</f>
        <v/>
      </c>
      <c r="L90" s="60">
        <f>IF(IF(BB90&lt;&gt;"",BB90,K90)="","",HYPERLINK("https://wa.me/"&amp;IF(LEFT(SUBSTITUTE(SUBSTITUTE(SUBSTITUTE(IF(BB90&lt;&gt;"",BB90,K90)," ",""),".",""),"+",""),1)="0",'Paramètres'!$B$35&amp;MID(SUBSTITUTE(SUBSTITUTE(SUBSTITUTE(IF(BB90&lt;&gt;"",BB90,K90)," ",""),".",""),"+",""),2,20),SUBSTITUTE(SUBSTITUTE(SUBSTITUTE(IF(BB90&lt;&gt;"",BB90,K90)," ",""),".",""),"+","")),"WhatsApp"))</f>
        <v/>
      </c>
      <c r="M90" s="60">
        <f>IF(BC90="","",HYPERLINK(IF(LEFT(BC90,4)="http",BC90,"https://www.instagram.com/"&amp;SUBSTITUTE(SUBSTITUTE(BC90,"@","")," ","")),BC90))</f>
        <v/>
      </c>
      <c r="N90" s="60">
        <f>IF(C90="","",IFERROR(INDEX('Saisie'!$D$5:$D$2004,_xlfn.MINIFS('Saisie'!$AS$5:$AS$2004,'Saisie'!$C$5:$C$2004,C90,'Saisie'!$AU$5:$AU$2004,1)-4),IFERROR(INDEX('Saisie'!$D$5:$D$2004,_xlfn.MINIFS('Saisie'!$AS$5:$AS$2004,'Saisie'!$C$5:$C$2004,C90,'Saisie'!$D$5:$D$2004,"&lt;&gt;")-4),"")))</f>
        <v/>
      </c>
      <c r="O90" s="60">
        <f>IF(C90="","",COUNTIFS('Saisie'!$C$5:$C$2004,C90,'Saisie'!$AU$5:$AU$2004,1))</f>
        <v/>
      </c>
      <c r="P90" s="60">
        <f>IF(C90="","",COUNTIFS('Saisie'!$C$5:$C$2004,C90,'Saisie'!$AV$5:$AV$2004,1))</f>
        <v/>
      </c>
      <c r="Q90" s="106">
        <f>IF(C90="","",IFERROR(1/(1/_xlfn.MAXIFS('Saisie'!$A$5:$A$2004,'Saisie'!$C$5:$C$2004,C90)),""))</f>
        <v/>
      </c>
      <c r="R90" s="61">
        <f>IF(C90="","",IF(Q90="","",TODAY()-Q90))</f>
        <v/>
      </c>
      <c r="S90" s="60">
        <f>IF(C90="","",IFERROR(INDEX('Saisie'!$R$5:$R$2004,_xlfn.MAXIFS('Saisie'!$AS$5:$AS$2004,'Saisie'!$C$5:$C$2004,C90,'Saisie'!$R$5:$R$2004,"&lt;&gt;")-4),""))</f>
        <v/>
      </c>
      <c r="T90" s="60">
        <f>IF(C90="","",IFERROR(INDEX('Saisie'!$S$5:$S$2004,_xlfn.MAXIFS('Saisie'!$AS$5:$AS$2004,'Saisie'!$C$5:$C$2004,C90,'Saisie'!$S$5:$S$2004,"&lt;&gt;")-4),""))</f>
        <v/>
      </c>
      <c r="U90" s="60">
        <f>IF(C90="","",IFERROR(INDEX('Saisie'!$T$5:$T$2004,_xlfn.MAXIFS('Saisie'!$AS$5:$AS$2004,'Saisie'!$C$5:$C$2004,C90,'Saisie'!$T$5:$T$2004,"&lt;&gt;")-4),""))</f>
        <v/>
      </c>
      <c r="V90" s="60">
        <f>IF(C90="","",IFERROR(INDEX('Saisie'!$V$5:$V$2004,_xlfn.MAXIFS('Saisie'!$AS$5:$AS$2004,'Saisie'!$C$5:$C$2004,C90,'Saisie'!$V$5:$V$2004,"&lt;&gt;")-4),""))</f>
        <v/>
      </c>
      <c r="W90" s="60">
        <f>IF(C90="","",IFERROR(INDEX('Saisie'!$Z$5:$Z$2004,_xlfn.MAXIFS('Saisie'!$AS$5:$AS$2004,'Saisie'!$C$5:$C$2004,C90,'Saisie'!$Z$5:$Z$2004,"&lt;&gt;")-4),""))</f>
        <v/>
      </c>
      <c r="X90" s="60">
        <f>IF(C90="","",IFERROR(INDEX('Saisie'!$AA$5:$AA$2004,_xlfn.MAXIFS('Saisie'!$AS$5:$AS$2004,'Saisie'!$C$5:$C$2004,C90,'Saisie'!$AA$5:$AA$2004,"&lt;&gt;")-4),""))</f>
        <v/>
      </c>
      <c r="Y90" s="60">
        <f>IF(C90="","",IFERROR(INDEX('Saisie'!$AB$5:$AB$2004,_xlfn.MAXIFS('Saisie'!$AS$5:$AS$2004,'Saisie'!$C$5:$C$2004,C90,'Saisie'!$AB$5:$AB$2004,"&lt;&gt;")-4),""))</f>
        <v/>
      </c>
      <c r="Z90" s="60">
        <f>IF(C90="","",IFERROR(INDEX('Saisie'!$AC$5:$AC$2004,_xlfn.MAXIFS('Saisie'!$AS$5:$AS$2004,'Saisie'!$C$5:$C$2004,C90,'Saisie'!$AC$5:$AC$2004,"&lt;&gt;")-4),""))</f>
        <v/>
      </c>
      <c r="AA90" s="106">
        <f>IF(C90="","",IFERROR(INDEX('Saisie'!$AD$5:$AD$2004,_xlfn.MAXIFS('Saisie'!$AS$5:$AS$2004,'Saisie'!$C$5:$C$2004,C90,'Saisie'!$AD$5:$AD$2004,"&lt;&gt;")-4),""))</f>
        <v/>
      </c>
      <c r="AB90" s="60">
        <f>IF(C90="","",IFERROR(INDEX('Saisie'!$AE$5:$AE$2004,_xlfn.MAXIFS('Saisie'!$AS$5:$AS$2004,'Saisie'!$C$5:$C$2004,C90,'Saisie'!$AE$5:$AE$2004,"&lt;&gt;")-4),""))</f>
        <v/>
      </c>
      <c r="AC90" s="60">
        <f>IF(C90="","",IFERROR(INDEX('Saisie'!$AF$5:$AF$2004,_xlfn.MAXIFS('Saisie'!$AS$5:$AS$2004,'Saisie'!$C$5:$C$2004,C90,'Saisie'!$AF$5:$AF$2004,"&lt;&gt;")-4),""))</f>
        <v/>
      </c>
      <c r="AD90" s="108">
        <f>IF(C90="","",IFERROR(INDEX('Saisie'!$AG$5:$AG$2004,_xlfn.MAXIFS('Saisie'!$AS$5:$AS$2004,'Saisie'!$C$5:$C$2004,C90,'Saisie'!$AG$5:$AG$2004,"&lt;&gt;")-4),""))</f>
        <v/>
      </c>
      <c r="AE90" s="60">
        <f>IF(C90="","",IFERROR(INDEX('Saisie'!$AH$5:$AH$2004,_xlfn.MAXIFS('Saisie'!$AS$5:$AS$2004,'Saisie'!$C$5:$C$2004,C90,'Saisie'!$AH$5:$AH$2004,"&lt;&gt;")-4),""))</f>
        <v/>
      </c>
      <c r="AF90" s="60">
        <f>IF(C90="","",IFERROR(INDEX('Saisie'!$AI$5:$AI$2004,_xlfn.MAXIFS('Saisie'!$AS$5:$AS$2004,'Saisie'!$C$5:$C$2004,C90,'Saisie'!$AI$5:$AI$2004,"&lt;&gt;")-4),""))</f>
        <v/>
      </c>
      <c r="AG90" s="60">
        <f>IF(C90="","",IFERROR(INDEX('Saisie'!$AJ$5:$AJ$2004,_xlfn.MAXIFS('Saisie'!$AS$5:$AS$2004,'Saisie'!$C$5:$C$2004,C90,'Saisie'!$AJ$5:$AJ$2004,"&lt;&gt;")-4),""))</f>
        <v/>
      </c>
      <c r="AH90" s="60">
        <f>IF(C90="","",IFERROR(INDEX('Saisie'!$AK$5:$AK$2004,_xlfn.MAXIFS('Saisie'!$AS$5:$AS$2004,'Saisie'!$C$5:$C$2004,C90,'Saisie'!$AK$5:$AK$2004,"&lt;&gt;")-4),""))</f>
        <v/>
      </c>
      <c r="AI90" s="60">
        <f>IF(C90="","",IFERROR(INDEX('Saisie'!$AN$5:$AN$2004,_xlfn.MAXIFS('Saisie'!$AS$5:$AS$2004,'Saisie'!$C$5:$C$2004,C90,'Saisie'!$AN$5:$AN$2004,"&lt;&gt;")-4),""))</f>
        <v/>
      </c>
      <c r="AJ90" s="60">
        <f>IF(C90="","",IFERROR(INDEX('Saisie'!$AO$5:$AO$2004,_xlfn.MAXIFS('Saisie'!$AS$5:$AS$2004,'Saisie'!$C$5:$C$2004,C90,'Saisie'!$AO$5:$AO$2004,"&lt;&gt;")-4),""))</f>
        <v/>
      </c>
      <c r="AK90" s="60">
        <f>IF(C90="","",IFERROR(INDEX('Saisie'!$AP$5:$AP$2004,_xlfn.MAXIFS('Saisie'!$AS$5:$AS$2004,'Saisie'!$C$5:$C$2004,C90,'Saisie'!$AP$5:$AP$2004,"&lt;&gt;")-4),""))</f>
        <v/>
      </c>
      <c r="AL90" s="60">
        <f>IF(C90="","",IFERROR(INDEX('Saisie'!$AQ$5:$AQ$2004,_xlfn.MAXIFS('Saisie'!$AS$5:$AS$2004,'Saisie'!$C$5:$C$2004,C90,'Saisie'!$AQ$5:$AQ$2004,"&lt;&gt;")-4),""))</f>
        <v/>
      </c>
      <c r="AM90" s="60">
        <f>IF(C90="","",((AI90="Oui")+(AJ90="Oui")+(AK90="Oui")+OR(AL90="Immédiat",AL90="&lt; 1 mois"))&amp;"/4")</f>
        <v/>
      </c>
      <c r="AN90" s="60">
        <f>IF(C90="","",IFERROR(INDEX('Saisie'!$AL$5:$AL$2004,_xlfn.MAXIFS('Saisie'!$AS$5:$AS$2004,'Saisie'!$C$5:$C$2004,C90,'Saisie'!$AL$5:$AL$2004,"&lt;&gt;")-4),""))</f>
        <v/>
      </c>
      <c r="AO90" s="62">
        <f>IF(C90="","",IF(IFERROR(INDEX('Saisie'!$AM$5:$AM$2004,_xlfn.MAXIFS('Saisie'!$AS$5:$AS$2004,'Saisie'!$C$5:$C$2004,C90,'Saisie'!$AM$5:$AM$2004,"&lt;&gt;")-4),"")&lt;&gt;"",IFERROR(INDEX('Saisie'!$AM$5:$AM$2004,_xlfn.MAXIFS('Saisie'!$AS$5:$AS$2004,'Saisie'!$C$5:$C$2004,C90,'Saisie'!$AM$5:$AM$2004,"&lt;&gt;")-4),""),IFERROR(INDEX('Paramètres'!$S$6:$S$15,MATCH(AN90,'Paramètres'!$Q$6:$Q$15,0)),"")))</f>
        <v/>
      </c>
      <c r="AP90" s="62">
        <f>IF(C90="","",IFERROR(INDEX('Saisie'!$AW$5:$AW$2004,_xlfn.MAXIFS('Saisie'!$AS$5:$AS$2004,'Saisie'!$C$5:$C$2004,C90,'Saisie'!$E$5:$E$2004,"Proposition envoyée")-4),""))</f>
        <v/>
      </c>
      <c r="AQ90" s="106">
        <f>IF(C90="","",IFERROR(1/(1/_xlfn.MAXIFS('Saisie'!$A$5:$A$2004,'Saisie'!$C$5:$C$2004,C90,'Saisie'!$E$5:$E$2004,"Proposition envoyée")),""))</f>
        <v/>
      </c>
      <c r="AR90" s="106">
        <f>IF(C90="","",IF(AQ90="","",AQ90+'Paramètres'!$B$26))</f>
        <v/>
      </c>
      <c r="AS90" s="62">
        <f>IF(OR(C90="",D90="Gagné",D90="Perdu"),0,N(AP90)*IFERROR(INDEX('Paramètres'!$G$6:$G$13,MATCH(D90,'Paramètres'!$F$6:$F$13,0)),0))</f>
        <v/>
      </c>
      <c r="AT90" s="106">
        <f>IF(C90="","",IFERROR(1/(1/_xlfn.MINIFS('Saisie'!$A$5:$A$2004,'Saisie'!$C$5:$C$2004,C90,'Saisie'!$E$5:$E$2004,"Signature")),""))</f>
        <v/>
      </c>
      <c r="AU90" s="60">
        <f>IF(C90="","",IF(OR(AT90="",B90=""),"",AT90-B90))</f>
        <v/>
      </c>
      <c r="AV90" s="60">
        <f>IF(C90="","",IFERROR(INDEX('Saisie'!$L$5:$L$2004,_xlfn.MAXIFS('Saisie'!$AS$5:$AS$2004,'Saisie'!$C$5:$C$2004,C90,'Saisie'!$L$5:$L$2004,"&lt;&gt;")-4),""))</f>
        <v/>
      </c>
      <c r="AW90" s="106">
        <f>IF(C90="","",IF(D90&lt;&gt;"Perdu","",IFERROR(1/(1/_xlfn.MAXIFS('Saisie'!$A$5:$A$2004,'Saisie'!$C$5:$C$2004,C90,'Saisie'!$E$5:$E$2004,"Perdu")),"")))</f>
        <v/>
      </c>
      <c r="AX90" s="106">
        <f>IF(C90="","",IF(AW90="","",AW90+'Paramètres'!$B$28))</f>
        <v/>
      </c>
      <c r="AY90" s="60">
        <f>IF(C90="","",SUMIFS('Saisie'!$H$5:$H$2004,'Saisie'!$C$5:$C$2004,C90))</f>
        <v/>
      </c>
      <c r="AZ90" s="60">
        <f>IF(C90="","",IFERROR(INDEX('Paramètres'!$W$6:$W$20,MATCH(S90,'Paramètres'!$V$6:$V$20,0))&amp;"",""))</f>
        <v/>
      </c>
      <c r="BA90" s="60">
        <f>IF(C90="","",MAX(1,_xlfn.MAXIFS('Saisie'!$AT$5:$AT$2004,'Saisie'!$C$5:$C$2004,C90)))</f>
        <v/>
      </c>
      <c r="BB90" s="60">
        <f>IF(C90="","",IFERROR(INDEX('Saisie'!$X$5:$X$2004,_xlfn.MAXIFS('Saisie'!$AS$5:$AS$2004,'Saisie'!$C$5:$C$2004,C90,'Saisie'!$X$5:$X$2004,"&lt;&gt;")-4),""))</f>
        <v/>
      </c>
      <c r="BC90" s="60">
        <f>IF(C90="","",IFERROR(INDEX('Saisie'!$Y$5:$Y$2004,_xlfn.MAXIFS('Saisie'!$AS$5:$AS$2004,'Saisie'!$C$5:$C$2004,C90,'Saisie'!$Y$5:$Y$2004,"&lt;&gt;")-4),""))</f>
        <v/>
      </c>
      <c r="BD90" s="106">
        <f>IF(C90="","",IFERROR(1/(1/_xlfn.MINIFS('Saisie'!$A$5:$A$2004,'Saisie'!$C$5:$C$2004,C90,'Saisie'!$AT$5:$AT$2004,"&gt;=2")),""))</f>
        <v/>
      </c>
      <c r="BE90" s="106">
        <f>IF(C90="","",IFERROR(1/(1/_xlfn.MINIFS('Saisie'!$A$5:$A$2004,'Saisie'!$C$5:$C$2004,C90,'Saisie'!$AT$5:$AT$2004,"&gt;=3")),""))</f>
        <v/>
      </c>
      <c r="BF90" s="106">
        <f>IF(C90="","",IFERROR(1/(1/_xlfn.MINIFS('Saisie'!$A$5:$A$2004,'Saisie'!$C$5:$C$2004,C90,'Saisie'!$AT$5:$AT$2004,"&gt;=4")),""))</f>
        <v/>
      </c>
      <c r="BG90" s="106">
        <f>IF(C90="","",IFERROR(1/(1/_xlfn.MINIFS('Saisie'!$A$5:$A$2004,'Saisie'!$C$5:$C$2004,C90,'Saisie'!$AT$5:$AT$2004,"&gt;=5")),""))</f>
        <v/>
      </c>
      <c r="BH90" s="106">
        <f>IF(C90="","",IFERROR(1/(1/_xlfn.MINIFS('Saisie'!$A$5:$A$2004,'Saisie'!$C$5:$C$2004,C90,'Saisie'!$AT$5:$AT$2004,"&gt;=6")),""))</f>
        <v/>
      </c>
      <c r="BI90" s="106">
        <f>IF(C90="","",IFERROR(1/(1/_xlfn.MINIFS('Saisie'!$A$5:$A$2004,'Saisie'!$C$5:$C$2004,C90,'Saisie'!$AT$5:$AT$2004,"&gt;=7")),""))</f>
        <v/>
      </c>
      <c r="BJ90" s="60">
        <f>IF(OR(BD90="",B90=""),"",BD90-B90)</f>
        <v/>
      </c>
      <c r="BK90" s="60">
        <f>IF(OR(BE90="",BD90=""),"",BE90-BD90)</f>
        <v/>
      </c>
      <c r="BL90" s="60">
        <f>IF(OR(BF90="",BE90=""),"",BF90-BE90)</f>
        <v/>
      </c>
      <c r="BM90" s="60">
        <f>IF(OR(BG90="",BF90=""),"",BG90-BF90)</f>
        <v/>
      </c>
      <c r="BN90" s="60">
        <f>IF(OR(BH90="",BG90=""),"",BH90-BG90)</f>
        <v/>
      </c>
      <c r="BO90" s="60">
        <f>IF(OR(BI90="",BH90=""),"",BI90-BH90)</f>
        <v/>
      </c>
      <c r="BP90" s="60">
        <f>IF(C90="","",_xlfn.MAXIFS('Saisie'!$AS$5:$AS$2004,'Saisie'!$C$5:$C$2004,C90,'Saisie'!$J$5:$J$2004,"&lt;&gt;"))</f>
        <v/>
      </c>
      <c r="BQ90" s="60">
        <f>IF(C90="","",_xlfn.MAXIFS('Saisie'!$AS$5:$AS$2004,'Saisie'!$C$5:$C$2004,C90))</f>
        <v/>
      </c>
      <c r="BR90" s="60">
        <f>IF(C90="","",_xlfn.MAXIFS('Saisie'!$AS$5:$AS$2004,'Saisie'!$C$5:$C$2004,C90,'Saisie'!$E$5:$E$2004,"Perdu"))</f>
        <v/>
      </c>
      <c r="BS90" s="60">
        <f>IF(C90="","",_xlfn.MAXIFS('Saisie'!$AS$5:$AS$2004,'Saisie'!$C$5:$C$2004,C90,'Saisie'!$AT$5:$AT$2004,"&gt;0"))</f>
        <v/>
      </c>
      <c r="BT90" s="109">
        <f>IF(AND(C90&lt;&gt;"",OR(D90="Nouveau",D90="Contacté",D90="Qualifié"),OR(G90="",N(G90)&lt;=TODAY()),NOT(AND(O90&gt;='Paramètres'!$B$21,P90=0))),E90+86/10000,"")</f>
        <v/>
      </c>
      <c r="BU90" s="60">
        <f>IF(AND(G90&lt;&gt;"",N(G90)&lt;=TODAY()),MAX($BU$4:BU89)+1,"")</f>
        <v/>
      </c>
      <c r="BV90" s="60">
        <f>IF(AND(F90&lt;&gt;"",F90&lt;&gt;"Relance en retard"),MAX($BV$4:BV89)+1,"")</f>
        <v/>
      </c>
      <c r="BW90" s="60">
        <f>IF(C90="","",IF(AND(B90&gt;='Tableau de bord'!$R$4,B90&lt;='Tableau de bord'!$S$4,OR('Tableau de bord'!$G$4="Tous",N90='Tableau de bord'!$G$4)),1,0))</f>
        <v/>
      </c>
      <c r="BX90" s="60">
        <f>IF(AND(C90&lt;&gt;"",N(BA90)=7),MAX($BX$4:BX89)+1,"")</f>
        <v/>
      </c>
    </row>
    <row r="91">
      <c r="A91" s="60">
        <f>IF(C91="","","P-"&amp;TEXT(87,"000"))</f>
        <v/>
      </c>
      <c r="B91" s="106">
        <f>IF(C91="","",IFERROR(1/(1/_xlfn.MINIFS('Saisie'!$A$5:$A$2004,'Saisie'!$C$5:$C$2004,C91)),""))</f>
        <v/>
      </c>
      <c r="C91" s="60">
        <f>IFERROR(INDEX('Saisie'!$C$5:$C$2004,MATCH(87,'Saisie'!$AX$5:$AX$2004,0)),"")</f>
        <v/>
      </c>
      <c r="D91" s="60">
        <f>IF(C91="","",IF(AND(BR91&gt;0,BR91&gt;BS91,BA91&lt;7),"Perdu",INDEX('Paramètres'!$F$6:$F$13,BA91)))</f>
        <v/>
      </c>
      <c r="E91" s="61">
        <f>IF(C91="","",MIN(100,(Z91="Oui")*'Paramètres'!$B$38+(AB91="Régulière")*'Paramètres'!$B$39+IF(AND(N(AA91)&gt;0,TODAY()-N(AA91)&lt;=30),'Paramètres'!$B$40,0)+(W91="")*'Paramètres'!$B$41+(AC91="Absente")*'Paramètres'!$B$42+(AC91="Faible")*'Paramètres'!$B$43+IF(AND(N(AD91)&gt;0,N(AD91)&lt;4),'Paramètres'!$B$44,0)+(AF91="Moyenne")*'Paramètres'!$B$45+(AF91="Grande")*'Paramètres'!$B$46+(Y91&lt;&gt;"")*'Paramètres'!$B$47))</f>
        <v/>
      </c>
      <c r="F91" s="60">
        <f>IF(C91="","",IF(D91="Gagné","",IF(D91="Perdu",IF(AND(AX91&lt;&gt;"",AX91&lt;=TODAY()),"À recontacter (perdu)",""),IF(AND(O91&gt;='Paramètres'!$B$21,P91=0),"Stop : "&amp;'Paramètres'!$B$21&amp;" tentatives sans réponse",IF(AND(D91="Proposition",AR91&lt;&gt;"",TODAY()&gt;N(AR91)),"Proposition expirée",IF(AND(D91="Proposition",N(R91)&gt;='Paramètres'!$B$25),"Proposition sans réponse",IF(AND(G91&lt;&gt;"",N(G91)&lt;TODAY()),"Relance en retard",IF(N(R91)&gt;='Paramètres'!$B$24,"Sans action depuis "&amp;R91&amp;" j",""))))))))</f>
        <v/>
      </c>
      <c r="G91" s="106">
        <f>IF(OR(C91="",D91="Gagné",D91="Perdu"),"",IF(AND(BP91&gt;0,BP91=BQ91),INDEX('Saisie'!$J$5:$J$2004,BP91-4),IF(OR(O91=0,AND(O91&gt;='Paramètres'!$B$21,P91=0)),"",Q91+IF(O91&lt;=1,'Paramètres'!$B$18,IF(O91=2,'Paramètres'!$B$19,'Paramètres'!$B$20)))))</f>
        <v/>
      </c>
      <c r="H91" s="107">
        <f>IF(OR(G91="",BP91&lt;&gt;BQ91),"",IF(INDEX('Saisie'!$K$5:$K$2004,BP91-4)="","",INDEX('Saisie'!$K$5:$K$2004,BP91-4)))</f>
        <v/>
      </c>
      <c r="I91" s="60">
        <f>IF(C91="","",IF(OR(D91="Gagné",D91="Perdu"),"",IFERROR(INDEX('Saisie'!$I$5:$I$2004,_xlfn.MAXIFS('Saisie'!$AS$5:$AS$2004,'Saisie'!$C$5:$C$2004,C91,'Saisie'!$I$5:$I$2004,"&lt;&gt;")-4),"")))</f>
        <v/>
      </c>
      <c r="J91" s="60">
        <f>IF(C91="","",IFERROR(INDEX('Saisie'!$U$5:$U$2004,_xlfn.MAXIFS('Saisie'!$AS$5:$AS$2004,'Saisie'!$C$5:$C$2004,C91,'Saisie'!$U$5:$U$2004,"&lt;&gt;")-4),""))</f>
        <v/>
      </c>
      <c r="K91" s="60">
        <f>IF(C91="","",IFERROR(INDEX('Saisie'!$W$5:$W$2004,_xlfn.MAXIFS('Saisie'!$AS$5:$AS$2004,'Saisie'!$C$5:$C$2004,C91,'Saisie'!$W$5:$W$2004,"&lt;&gt;")-4),""))</f>
        <v/>
      </c>
      <c r="L91" s="60">
        <f>IF(IF(BB91&lt;&gt;"",BB91,K91)="","",HYPERLINK("https://wa.me/"&amp;IF(LEFT(SUBSTITUTE(SUBSTITUTE(SUBSTITUTE(IF(BB91&lt;&gt;"",BB91,K91)," ",""),".",""),"+",""),1)="0",'Paramètres'!$B$35&amp;MID(SUBSTITUTE(SUBSTITUTE(SUBSTITUTE(IF(BB91&lt;&gt;"",BB91,K91)," ",""),".",""),"+",""),2,20),SUBSTITUTE(SUBSTITUTE(SUBSTITUTE(IF(BB91&lt;&gt;"",BB91,K91)," ",""),".",""),"+","")),"WhatsApp"))</f>
        <v/>
      </c>
      <c r="M91" s="60">
        <f>IF(BC91="","",HYPERLINK(IF(LEFT(BC91,4)="http",BC91,"https://www.instagram.com/"&amp;SUBSTITUTE(SUBSTITUTE(BC91,"@","")," ","")),BC91))</f>
        <v/>
      </c>
      <c r="N91" s="60">
        <f>IF(C91="","",IFERROR(INDEX('Saisie'!$D$5:$D$2004,_xlfn.MINIFS('Saisie'!$AS$5:$AS$2004,'Saisie'!$C$5:$C$2004,C91,'Saisie'!$AU$5:$AU$2004,1)-4),IFERROR(INDEX('Saisie'!$D$5:$D$2004,_xlfn.MINIFS('Saisie'!$AS$5:$AS$2004,'Saisie'!$C$5:$C$2004,C91,'Saisie'!$D$5:$D$2004,"&lt;&gt;")-4),"")))</f>
        <v/>
      </c>
      <c r="O91" s="60">
        <f>IF(C91="","",COUNTIFS('Saisie'!$C$5:$C$2004,C91,'Saisie'!$AU$5:$AU$2004,1))</f>
        <v/>
      </c>
      <c r="P91" s="60">
        <f>IF(C91="","",COUNTIFS('Saisie'!$C$5:$C$2004,C91,'Saisie'!$AV$5:$AV$2004,1))</f>
        <v/>
      </c>
      <c r="Q91" s="106">
        <f>IF(C91="","",IFERROR(1/(1/_xlfn.MAXIFS('Saisie'!$A$5:$A$2004,'Saisie'!$C$5:$C$2004,C91)),""))</f>
        <v/>
      </c>
      <c r="R91" s="61">
        <f>IF(C91="","",IF(Q91="","",TODAY()-Q91))</f>
        <v/>
      </c>
      <c r="S91" s="60">
        <f>IF(C91="","",IFERROR(INDEX('Saisie'!$R$5:$R$2004,_xlfn.MAXIFS('Saisie'!$AS$5:$AS$2004,'Saisie'!$C$5:$C$2004,C91,'Saisie'!$R$5:$R$2004,"&lt;&gt;")-4),""))</f>
        <v/>
      </c>
      <c r="T91" s="60">
        <f>IF(C91="","",IFERROR(INDEX('Saisie'!$S$5:$S$2004,_xlfn.MAXIFS('Saisie'!$AS$5:$AS$2004,'Saisie'!$C$5:$C$2004,C91,'Saisie'!$S$5:$S$2004,"&lt;&gt;")-4),""))</f>
        <v/>
      </c>
      <c r="U91" s="60">
        <f>IF(C91="","",IFERROR(INDEX('Saisie'!$T$5:$T$2004,_xlfn.MAXIFS('Saisie'!$AS$5:$AS$2004,'Saisie'!$C$5:$C$2004,C91,'Saisie'!$T$5:$T$2004,"&lt;&gt;")-4),""))</f>
        <v/>
      </c>
      <c r="V91" s="60">
        <f>IF(C91="","",IFERROR(INDEX('Saisie'!$V$5:$V$2004,_xlfn.MAXIFS('Saisie'!$AS$5:$AS$2004,'Saisie'!$C$5:$C$2004,C91,'Saisie'!$V$5:$V$2004,"&lt;&gt;")-4),""))</f>
        <v/>
      </c>
      <c r="W91" s="60">
        <f>IF(C91="","",IFERROR(INDEX('Saisie'!$Z$5:$Z$2004,_xlfn.MAXIFS('Saisie'!$AS$5:$AS$2004,'Saisie'!$C$5:$C$2004,C91,'Saisie'!$Z$5:$Z$2004,"&lt;&gt;")-4),""))</f>
        <v/>
      </c>
      <c r="X91" s="60">
        <f>IF(C91="","",IFERROR(INDEX('Saisie'!$AA$5:$AA$2004,_xlfn.MAXIFS('Saisie'!$AS$5:$AS$2004,'Saisie'!$C$5:$C$2004,C91,'Saisie'!$AA$5:$AA$2004,"&lt;&gt;")-4),""))</f>
        <v/>
      </c>
      <c r="Y91" s="60">
        <f>IF(C91="","",IFERROR(INDEX('Saisie'!$AB$5:$AB$2004,_xlfn.MAXIFS('Saisie'!$AS$5:$AS$2004,'Saisie'!$C$5:$C$2004,C91,'Saisie'!$AB$5:$AB$2004,"&lt;&gt;")-4),""))</f>
        <v/>
      </c>
      <c r="Z91" s="60">
        <f>IF(C91="","",IFERROR(INDEX('Saisie'!$AC$5:$AC$2004,_xlfn.MAXIFS('Saisie'!$AS$5:$AS$2004,'Saisie'!$C$5:$C$2004,C91,'Saisie'!$AC$5:$AC$2004,"&lt;&gt;")-4),""))</f>
        <v/>
      </c>
      <c r="AA91" s="106">
        <f>IF(C91="","",IFERROR(INDEX('Saisie'!$AD$5:$AD$2004,_xlfn.MAXIFS('Saisie'!$AS$5:$AS$2004,'Saisie'!$C$5:$C$2004,C91,'Saisie'!$AD$5:$AD$2004,"&lt;&gt;")-4),""))</f>
        <v/>
      </c>
      <c r="AB91" s="60">
        <f>IF(C91="","",IFERROR(INDEX('Saisie'!$AE$5:$AE$2004,_xlfn.MAXIFS('Saisie'!$AS$5:$AS$2004,'Saisie'!$C$5:$C$2004,C91,'Saisie'!$AE$5:$AE$2004,"&lt;&gt;")-4),""))</f>
        <v/>
      </c>
      <c r="AC91" s="60">
        <f>IF(C91="","",IFERROR(INDEX('Saisie'!$AF$5:$AF$2004,_xlfn.MAXIFS('Saisie'!$AS$5:$AS$2004,'Saisie'!$C$5:$C$2004,C91,'Saisie'!$AF$5:$AF$2004,"&lt;&gt;")-4),""))</f>
        <v/>
      </c>
      <c r="AD91" s="108">
        <f>IF(C91="","",IFERROR(INDEX('Saisie'!$AG$5:$AG$2004,_xlfn.MAXIFS('Saisie'!$AS$5:$AS$2004,'Saisie'!$C$5:$C$2004,C91,'Saisie'!$AG$5:$AG$2004,"&lt;&gt;")-4),""))</f>
        <v/>
      </c>
      <c r="AE91" s="60">
        <f>IF(C91="","",IFERROR(INDEX('Saisie'!$AH$5:$AH$2004,_xlfn.MAXIFS('Saisie'!$AS$5:$AS$2004,'Saisie'!$C$5:$C$2004,C91,'Saisie'!$AH$5:$AH$2004,"&lt;&gt;")-4),""))</f>
        <v/>
      </c>
      <c r="AF91" s="60">
        <f>IF(C91="","",IFERROR(INDEX('Saisie'!$AI$5:$AI$2004,_xlfn.MAXIFS('Saisie'!$AS$5:$AS$2004,'Saisie'!$C$5:$C$2004,C91,'Saisie'!$AI$5:$AI$2004,"&lt;&gt;")-4),""))</f>
        <v/>
      </c>
      <c r="AG91" s="60">
        <f>IF(C91="","",IFERROR(INDEX('Saisie'!$AJ$5:$AJ$2004,_xlfn.MAXIFS('Saisie'!$AS$5:$AS$2004,'Saisie'!$C$5:$C$2004,C91,'Saisie'!$AJ$5:$AJ$2004,"&lt;&gt;")-4),""))</f>
        <v/>
      </c>
      <c r="AH91" s="60">
        <f>IF(C91="","",IFERROR(INDEX('Saisie'!$AK$5:$AK$2004,_xlfn.MAXIFS('Saisie'!$AS$5:$AS$2004,'Saisie'!$C$5:$C$2004,C91,'Saisie'!$AK$5:$AK$2004,"&lt;&gt;")-4),""))</f>
        <v/>
      </c>
      <c r="AI91" s="60">
        <f>IF(C91="","",IFERROR(INDEX('Saisie'!$AN$5:$AN$2004,_xlfn.MAXIFS('Saisie'!$AS$5:$AS$2004,'Saisie'!$C$5:$C$2004,C91,'Saisie'!$AN$5:$AN$2004,"&lt;&gt;")-4),""))</f>
        <v/>
      </c>
      <c r="AJ91" s="60">
        <f>IF(C91="","",IFERROR(INDEX('Saisie'!$AO$5:$AO$2004,_xlfn.MAXIFS('Saisie'!$AS$5:$AS$2004,'Saisie'!$C$5:$C$2004,C91,'Saisie'!$AO$5:$AO$2004,"&lt;&gt;")-4),""))</f>
        <v/>
      </c>
      <c r="AK91" s="60">
        <f>IF(C91="","",IFERROR(INDEX('Saisie'!$AP$5:$AP$2004,_xlfn.MAXIFS('Saisie'!$AS$5:$AS$2004,'Saisie'!$C$5:$C$2004,C91,'Saisie'!$AP$5:$AP$2004,"&lt;&gt;")-4),""))</f>
        <v/>
      </c>
      <c r="AL91" s="60">
        <f>IF(C91="","",IFERROR(INDEX('Saisie'!$AQ$5:$AQ$2004,_xlfn.MAXIFS('Saisie'!$AS$5:$AS$2004,'Saisie'!$C$5:$C$2004,C91,'Saisie'!$AQ$5:$AQ$2004,"&lt;&gt;")-4),""))</f>
        <v/>
      </c>
      <c r="AM91" s="60">
        <f>IF(C91="","",((AI91="Oui")+(AJ91="Oui")+(AK91="Oui")+OR(AL91="Immédiat",AL91="&lt; 1 mois"))&amp;"/4")</f>
        <v/>
      </c>
      <c r="AN91" s="60">
        <f>IF(C91="","",IFERROR(INDEX('Saisie'!$AL$5:$AL$2004,_xlfn.MAXIFS('Saisie'!$AS$5:$AS$2004,'Saisie'!$C$5:$C$2004,C91,'Saisie'!$AL$5:$AL$2004,"&lt;&gt;")-4),""))</f>
        <v/>
      </c>
      <c r="AO91" s="62">
        <f>IF(C91="","",IF(IFERROR(INDEX('Saisie'!$AM$5:$AM$2004,_xlfn.MAXIFS('Saisie'!$AS$5:$AS$2004,'Saisie'!$C$5:$C$2004,C91,'Saisie'!$AM$5:$AM$2004,"&lt;&gt;")-4),"")&lt;&gt;"",IFERROR(INDEX('Saisie'!$AM$5:$AM$2004,_xlfn.MAXIFS('Saisie'!$AS$5:$AS$2004,'Saisie'!$C$5:$C$2004,C91,'Saisie'!$AM$5:$AM$2004,"&lt;&gt;")-4),""),IFERROR(INDEX('Paramètres'!$S$6:$S$15,MATCH(AN91,'Paramètres'!$Q$6:$Q$15,0)),"")))</f>
        <v/>
      </c>
      <c r="AP91" s="62">
        <f>IF(C91="","",IFERROR(INDEX('Saisie'!$AW$5:$AW$2004,_xlfn.MAXIFS('Saisie'!$AS$5:$AS$2004,'Saisie'!$C$5:$C$2004,C91,'Saisie'!$E$5:$E$2004,"Proposition envoyée")-4),""))</f>
        <v/>
      </c>
      <c r="AQ91" s="106">
        <f>IF(C91="","",IFERROR(1/(1/_xlfn.MAXIFS('Saisie'!$A$5:$A$2004,'Saisie'!$C$5:$C$2004,C91,'Saisie'!$E$5:$E$2004,"Proposition envoyée")),""))</f>
        <v/>
      </c>
      <c r="AR91" s="106">
        <f>IF(C91="","",IF(AQ91="","",AQ91+'Paramètres'!$B$26))</f>
        <v/>
      </c>
      <c r="AS91" s="62">
        <f>IF(OR(C91="",D91="Gagné",D91="Perdu"),0,N(AP91)*IFERROR(INDEX('Paramètres'!$G$6:$G$13,MATCH(D91,'Paramètres'!$F$6:$F$13,0)),0))</f>
        <v/>
      </c>
      <c r="AT91" s="106">
        <f>IF(C91="","",IFERROR(1/(1/_xlfn.MINIFS('Saisie'!$A$5:$A$2004,'Saisie'!$C$5:$C$2004,C91,'Saisie'!$E$5:$E$2004,"Signature")),""))</f>
        <v/>
      </c>
      <c r="AU91" s="60">
        <f>IF(C91="","",IF(OR(AT91="",B91=""),"",AT91-B91))</f>
        <v/>
      </c>
      <c r="AV91" s="60">
        <f>IF(C91="","",IFERROR(INDEX('Saisie'!$L$5:$L$2004,_xlfn.MAXIFS('Saisie'!$AS$5:$AS$2004,'Saisie'!$C$5:$C$2004,C91,'Saisie'!$L$5:$L$2004,"&lt;&gt;")-4),""))</f>
        <v/>
      </c>
      <c r="AW91" s="106">
        <f>IF(C91="","",IF(D91&lt;&gt;"Perdu","",IFERROR(1/(1/_xlfn.MAXIFS('Saisie'!$A$5:$A$2004,'Saisie'!$C$5:$C$2004,C91,'Saisie'!$E$5:$E$2004,"Perdu")),"")))</f>
        <v/>
      </c>
      <c r="AX91" s="106">
        <f>IF(C91="","",IF(AW91="","",AW91+'Paramètres'!$B$28))</f>
        <v/>
      </c>
      <c r="AY91" s="60">
        <f>IF(C91="","",SUMIFS('Saisie'!$H$5:$H$2004,'Saisie'!$C$5:$C$2004,C91))</f>
        <v/>
      </c>
      <c r="AZ91" s="60">
        <f>IF(C91="","",IFERROR(INDEX('Paramètres'!$W$6:$W$20,MATCH(S91,'Paramètres'!$V$6:$V$20,0))&amp;"",""))</f>
        <v/>
      </c>
      <c r="BA91" s="60">
        <f>IF(C91="","",MAX(1,_xlfn.MAXIFS('Saisie'!$AT$5:$AT$2004,'Saisie'!$C$5:$C$2004,C91)))</f>
        <v/>
      </c>
      <c r="BB91" s="60">
        <f>IF(C91="","",IFERROR(INDEX('Saisie'!$X$5:$X$2004,_xlfn.MAXIFS('Saisie'!$AS$5:$AS$2004,'Saisie'!$C$5:$C$2004,C91,'Saisie'!$X$5:$X$2004,"&lt;&gt;")-4),""))</f>
        <v/>
      </c>
      <c r="BC91" s="60">
        <f>IF(C91="","",IFERROR(INDEX('Saisie'!$Y$5:$Y$2004,_xlfn.MAXIFS('Saisie'!$AS$5:$AS$2004,'Saisie'!$C$5:$C$2004,C91,'Saisie'!$Y$5:$Y$2004,"&lt;&gt;")-4),""))</f>
        <v/>
      </c>
      <c r="BD91" s="106">
        <f>IF(C91="","",IFERROR(1/(1/_xlfn.MINIFS('Saisie'!$A$5:$A$2004,'Saisie'!$C$5:$C$2004,C91,'Saisie'!$AT$5:$AT$2004,"&gt;=2")),""))</f>
        <v/>
      </c>
      <c r="BE91" s="106">
        <f>IF(C91="","",IFERROR(1/(1/_xlfn.MINIFS('Saisie'!$A$5:$A$2004,'Saisie'!$C$5:$C$2004,C91,'Saisie'!$AT$5:$AT$2004,"&gt;=3")),""))</f>
        <v/>
      </c>
      <c r="BF91" s="106">
        <f>IF(C91="","",IFERROR(1/(1/_xlfn.MINIFS('Saisie'!$A$5:$A$2004,'Saisie'!$C$5:$C$2004,C91,'Saisie'!$AT$5:$AT$2004,"&gt;=4")),""))</f>
        <v/>
      </c>
      <c r="BG91" s="106">
        <f>IF(C91="","",IFERROR(1/(1/_xlfn.MINIFS('Saisie'!$A$5:$A$2004,'Saisie'!$C$5:$C$2004,C91,'Saisie'!$AT$5:$AT$2004,"&gt;=5")),""))</f>
        <v/>
      </c>
      <c r="BH91" s="106">
        <f>IF(C91="","",IFERROR(1/(1/_xlfn.MINIFS('Saisie'!$A$5:$A$2004,'Saisie'!$C$5:$C$2004,C91,'Saisie'!$AT$5:$AT$2004,"&gt;=6")),""))</f>
        <v/>
      </c>
      <c r="BI91" s="106">
        <f>IF(C91="","",IFERROR(1/(1/_xlfn.MINIFS('Saisie'!$A$5:$A$2004,'Saisie'!$C$5:$C$2004,C91,'Saisie'!$AT$5:$AT$2004,"&gt;=7")),""))</f>
        <v/>
      </c>
      <c r="BJ91" s="60">
        <f>IF(OR(BD91="",B91=""),"",BD91-B91)</f>
        <v/>
      </c>
      <c r="BK91" s="60">
        <f>IF(OR(BE91="",BD91=""),"",BE91-BD91)</f>
        <v/>
      </c>
      <c r="BL91" s="60">
        <f>IF(OR(BF91="",BE91=""),"",BF91-BE91)</f>
        <v/>
      </c>
      <c r="BM91" s="60">
        <f>IF(OR(BG91="",BF91=""),"",BG91-BF91)</f>
        <v/>
      </c>
      <c r="BN91" s="60">
        <f>IF(OR(BH91="",BG91=""),"",BH91-BG91)</f>
        <v/>
      </c>
      <c r="BO91" s="60">
        <f>IF(OR(BI91="",BH91=""),"",BI91-BH91)</f>
        <v/>
      </c>
      <c r="BP91" s="60">
        <f>IF(C91="","",_xlfn.MAXIFS('Saisie'!$AS$5:$AS$2004,'Saisie'!$C$5:$C$2004,C91,'Saisie'!$J$5:$J$2004,"&lt;&gt;"))</f>
        <v/>
      </c>
      <c r="BQ91" s="60">
        <f>IF(C91="","",_xlfn.MAXIFS('Saisie'!$AS$5:$AS$2004,'Saisie'!$C$5:$C$2004,C91))</f>
        <v/>
      </c>
      <c r="BR91" s="60">
        <f>IF(C91="","",_xlfn.MAXIFS('Saisie'!$AS$5:$AS$2004,'Saisie'!$C$5:$C$2004,C91,'Saisie'!$E$5:$E$2004,"Perdu"))</f>
        <v/>
      </c>
      <c r="BS91" s="60">
        <f>IF(C91="","",_xlfn.MAXIFS('Saisie'!$AS$5:$AS$2004,'Saisie'!$C$5:$C$2004,C91,'Saisie'!$AT$5:$AT$2004,"&gt;0"))</f>
        <v/>
      </c>
      <c r="BT91" s="109">
        <f>IF(AND(C91&lt;&gt;"",OR(D91="Nouveau",D91="Contacté",D91="Qualifié"),OR(G91="",N(G91)&lt;=TODAY()),NOT(AND(O91&gt;='Paramètres'!$B$21,P91=0))),E91+87/10000,"")</f>
        <v/>
      </c>
      <c r="BU91" s="60">
        <f>IF(AND(G91&lt;&gt;"",N(G91)&lt;=TODAY()),MAX($BU$4:BU90)+1,"")</f>
        <v/>
      </c>
      <c r="BV91" s="60">
        <f>IF(AND(F91&lt;&gt;"",F91&lt;&gt;"Relance en retard"),MAX($BV$4:BV90)+1,"")</f>
        <v/>
      </c>
      <c r="BW91" s="60">
        <f>IF(C91="","",IF(AND(B91&gt;='Tableau de bord'!$R$4,B91&lt;='Tableau de bord'!$S$4,OR('Tableau de bord'!$G$4="Tous",N91='Tableau de bord'!$G$4)),1,0))</f>
        <v/>
      </c>
      <c r="BX91" s="60">
        <f>IF(AND(C91&lt;&gt;"",N(BA91)=7),MAX($BX$4:BX90)+1,"")</f>
        <v/>
      </c>
    </row>
    <row r="92">
      <c r="A92" s="60">
        <f>IF(C92="","","P-"&amp;TEXT(88,"000"))</f>
        <v/>
      </c>
      <c r="B92" s="106">
        <f>IF(C92="","",IFERROR(1/(1/_xlfn.MINIFS('Saisie'!$A$5:$A$2004,'Saisie'!$C$5:$C$2004,C92)),""))</f>
        <v/>
      </c>
      <c r="C92" s="60">
        <f>IFERROR(INDEX('Saisie'!$C$5:$C$2004,MATCH(88,'Saisie'!$AX$5:$AX$2004,0)),"")</f>
        <v/>
      </c>
      <c r="D92" s="60">
        <f>IF(C92="","",IF(AND(BR92&gt;0,BR92&gt;BS92,BA92&lt;7),"Perdu",INDEX('Paramètres'!$F$6:$F$13,BA92)))</f>
        <v/>
      </c>
      <c r="E92" s="61">
        <f>IF(C92="","",MIN(100,(Z92="Oui")*'Paramètres'!$B$38+(AB92="Régulière")*'Paramètres'!$B$39+IF(AND(N(AA92)&gt;0,TODAY()-N(AA92)&lt;=30),'Paramètres'!$B$40,0)+(W92="")*'Paramètres'!$B$41+(AC92="Absente")*'Paramètres'!$B$42+(AC92="Faible")*'Paramètres'!$B$43+IF(AND(N(AD92)&gt;0,N(AD92)&lt;4),'Paramètres'!$B$44,0)+(AF92="Moyenne")*'Paramètres'!$B$45+(AF92="Grande")*'Paramètres'!$B$46+(Y92&lt;&gt;"")*'Paramètres'!$B$47))</f>
        <v/>
      </c>
      <c r="F92" s="60">
        <f>IF(C92="","",IF(D92="Gagné","",IF(D92="Perdu",IF(AND(AX92&lt;&gt;"",AX92&lt;=TODAY()),"À recontacter (perdu)",""),IF(AND(O92&gt;='Paramètres'!$B$21,P92=0),"Stop : "&amp;'Paramètres'!$B$21&amp;" tentatives sans réponse",IF(AND(D92="Proposition",AR92&lt;&gt;"",TODAY()&gt;N(AR92)),"Proposition expirée",IF(AND(D92="Proposition",N(R92)&gt;='Paramètres'!$B$25),"Proposition sans réponse",IF(AND(G92&lt;&gt;"",N(G92)&lt;TODAY()),"Relance en retard",IF(N(R92)&gt;='Paramètres'!$B$24,"Sans action depuis "&amp;R92&amp;" j",""))))))))</f>
        <v/>
      </c>
      <c r="G92" s="106">
        <f>IF(OR(C92="",D92="Gagné",D92="Perdu"),"",IF(AND(BP92&gt;0,BP92=BQ92),INDEX('Saisie'!$J$5:$J$2004,BP92-4),IF(OR(O92=0,AND(O92&gt;='Paramètres'!$B$21,P92=0)),"",Q92+IF(O92&lt;=1,'Paramètres'!$B$18,IF(O92=2,'Paramètres'!$B$19,'Paramètres'!$B$20)))))</f>
        <v/>
      </c>
      <c r="H92" s="107">
        <f>IF(OR(G92="",BP92&lt;&gt;BQ92),"",IF(INDEX('Saisie'!$K$5:$K$2004,BP92-4)="","",INDEX('Saisie'!$K$5:$K$2004,BP92-4)))</f>
        <v/>
      </c>
      <c r="I92" s="60">
        <f>IF(C92="","",IF(OR(D92="Gagné",D92="Perdu"),"",IFERROR(INDEX('Saisie'!$I$5:$I$2004,_xlfn.MAXIFS('Saisie'!$AS$5:$AS$2004,'Saisie'!$C$5:$C$2004,C92,'Saisie'!$I$5:$I$2004,"&lt;&gt;")-4),"")))</f>
        <v/>
      </c>
      <c r="J92" s="60">
        <f>IF(C92="","",IFERROR(INDEX('Saisie'!$U$5:$U$2004,_xlfn.MAXIFS('Saisie'!$AS$5:$AS$2004,'Saisie'!$C$5:$C$2004,C92,'Saisie'!$U$5:$U$2004,"&lt;&gt;")-4),""))</f>
        <v/>
      </c>
      <c r="K92" s="60">
        <f>IF(C92="","",IFERROR(INDEX('Saisie'!$W$5:$W$2004,_xlfn.MAXIFS('Saisie'!$AS$5:$AS$2004,'Saisie'!$C$5:$C$2004,C92,'Saisie'!$W$5:$W$2004,"&lt;&gt;")-4),""))</f>
        <v/>
      </c>
      <c r="L92" s="60">
        <f>IF(IF(BB92&lt;&gt;"",BB92,K92)="","",HYPERLINK("https://wa.me/"&amp;IF(LEFT(SUBSTITUTE(SUBSTITUTE(SUBSTITUTE(IF(BB92&lt;&gt;"",BB92,K92)," ",""),".",""),"+",""),1)="0",'Paramètres'!$B$35&amp;MID(SUBSTITUTE(SUBSTITUTE(SUBSTITUTE(IF(BB92&lt;&gt;"",BB92,K92)," ",""),".",""),"+",""),2,20),SUBSTITUTE(SUBSTITUTE(SUBSTITUTE(IF(BB92&lt;&gt;"",BB92,K92)," ",""),".",""),"+","")),"WhatsApp"))</f>
        <v/>
      </c>
      <c r="M92" s="60">
        <f>IF(BC92="","",HYPERLINK(IF(LEFT(BC92,4)="http",BC92,"https://www.instagram.com/"&amp;SUBSTITUTE(SUBSTITUTE(BC92,"@","")," ","")),BC92))</f>
        <v/>
      </c>
      <c r="N92" s="60">
        <f>IF(C92="","",IFERROR(INDEX('Saisie'!$D$5:$D$2004,_xlfn.MINIFS('Saisie'!$AS$5:$AS$2004,'Saisie'!$C$5:$C$2004,C92,'Saisie'!$AU$5:$AU$2004,1)-4),IFERROR(INDEX('Saisie'!$D$5:$D$2004,_xlfn.MINIFS('Saisie'!$AS$5:$AS$2004,'Saisie'!$C$5:$C$2004,C92,'Saisie'!$D$5:$D$2004,"&lt;&gt;")-4),"")))</f>
        <v/>
      </c>
      <c r="O92" s="60">
        <f>IF(C92="","",COUNTIFS('Saisie'!$C$5:$C$2004,C92,'Saisie'!$AU$5:$AU$2004,1))</f>
        <v/>
      </c>
      <c r="P92" s="60">
        <f>IF(C92="","",COUNTIFS('Saisie'!$C$5:$C$2004,C92,'Saisie'!$AV$5:$AV$2004,1))</f>
        <v/>
      </c>
      <c r="Q92" s="106">
        <f>IF(C92="","",IFERROR(1/(1/_xlfn.MAXIFS('Saisie'!$A$5:$A$2004,'Saisie'!$C$5:$C$2004,C92)),""))</f>
        <v/>
      </c>
      <c r="R92" s="61">
        <f>IF(C92="","",IF(Q92="","",TODAY()-Q92))</f>
        <v/>
      </c>
      <c r="S92" s="60">
        <f>IF(C92="","",IFERROR(INDEX('Saisie'!$R$5:$R$2004,_xlfn.MAXIFS('Saisie'!$AS$5:$AS$2004,'Saisie'!$C$5:$C$2004,C92,'Saisie'!$R$5:$R$2004,"&lt;&gt;")-4),""))</f>
        <v/>
      </c>
      <c r="T92" s="60">
        <f>IF(C92="","",IFERROR(INDEX('Saisie'!$S$5:$S$2004,_xlfn.MAXIFS('Saisie'!$AS$5:$AS$2004,'Saisie'!$C$5:$C$2004,C92,'Saisie'!$S$5:$S$2004,"&lt;&gt;")-4),""))</f>
        <v/>
      </c>
      <c r="U92" s="60">
        <f>IF(C92="","",IFERROR(INDEX('Saisie'!$T$5:$T$2004,_xlfn.MAXIFS('Saisie'!$AS$5:$AS$2004,'Saisie'!$C$5:$C$2004,C92,'Saisie'!$T$5:$T$2004,"&lt;&gt;")-4),""))</f>
        <v/>
      </c>
      <c r="V92" s="60">
        <f>IF(C92="","",IFERROR(INDEX('Saisie'!$V$5:$V$2004,_xlfn.MAXIFS('Saisie'!$AS$5:$AS$2004,'Saisie'!$C$5:$C$2004,C92,'Saisie'!$V$5:$V$2004,"&lt;&gt;")-4),""))</f>
        <v/>
      </c>
      <c r="W92" s="60">
        <f>IF(C92="","",IFERROR(INDEX('Saisie'!$Z$5:$Z$2004,_xlfn.MAXIFS('Saisie'!$AS$5:$AS$2004,'Saisie'!$C$5:$C$2004,C92,'Saisie'!$Z$5:$Z$2004,"&lt;&gt;")-4),""))</f>
        <v/>
      </c>
      <c r="X92" s="60">
        <f>IF(C92="","",IFERROR(INDEX('Saisie'!$AA$5:$AA$2004,_xlfn.MAXIFS('Saisie'!$AS$5:$AS$2004,'Saisie'!$C$5:$C$2004,C92,'Saisie'!$AA$5:$AA$2004,"&lt;&gt;")-4),""))</f>
        <v/>
      </c>
      <c r="Y92" s="60">
        <f>IF(C92="","",IFERROR(INDEX('Saisie'!$AB$5:$AB$2004,_xlfn.MAXIFS('Saisie'!$AS$5:$AS$2004,'Saisie'!$C$5:$C$2004,C92,'Saisie'!$AB$5:$AB$2004,"&lt;&gt;")-4),""))</f>
        <v/>
      </c>
      <c r="Z92" s="60">
        <f>IF(C92="","",IFERROR(INDEX('Saisie'!$AC$5:$AC$2004,_xlfn.MAXIFS('Saisie'!$AS$5:$AS$2004,'Saisie'!$C$5:$C$2004,C92,'Saisie'!$AC$5:$AC$2004,"&lt;&gt;")-4),""))</f>
        <v/>
      </c>
      <c r="AA92" s="106">
        <f>IF(C92="","",IFERROR(INDEX('Saisie'!$AD$5:$AD$2004,_xlfn.MAXIFS('Saisie'!$AS$5:$AS$2004,'Saisie'!$C$5:$C$2004,C92,'Saisie'!$AD$5:$AD$2004,"&lt;&gt;")-4),""))</f>
        <v/>
      </c>
      <c r="AB92" s="60">
        <f>IF(C92="","",IFERROR(INDEX('Saisie'!$AE$5:$AE$2004,_xlfn.MAXIFS('Saisie'!$AS$5:$AS$2004,'Saisie'!$C$5:$C$2004,C92,'Saisie'!$AE$5:$AE$2004,"&lt;&gt;")-4),""))</f>
        <v/>
      </c>
      <c r="AC92" s="60">
        <f>IF(C92="","",IFERROR(INDEX('Saisie'!$AF$5:$AF$2004,_xlfn.MAXIFS('Saisie'!$AS$5:$AS$2004,'Saisie'!$C$5:$C$2004,C92,'Saisie'!$AF$5:$AF$2004,"&lt;&gt;")-4),""))</f>
        <v/>
      </c>
      <c r="AD92" s="108">
        <f>IF(C92="","",IFERROR(INDEX('Saisie'!$AG$5:$AG$2004,_xlfn.MAXIFS('Saisie'!$AS$5:$AS$2004,'Saisie'!$C$5:$C$2004,C92,'Saisie'!$AG$5:$AG$2004,"&lt;&gt;")-4),""))</f>
        <v/>
      </c>
      <c r="AE92" s="60">
        <f>IF(C92="","",IFERROR(INDEX('Saisie'!$AH$5:$AH$2004,_xlfn.MAXIFS('Saisie'!$AS$5:$AS$2004,'Saisie'!$C$5:$C$2004,C92,'Saisie'!$AH$5:$AH$2004,"&lt;&gt;")-4),""))</f>
        <v/>
      </c>
      <c r="AF92" s="60">
        <f>IF(C92="","",IFERROR(INDEX('Saisie'!$AI$5:$AI$2004,_xlfn.MAXIFS('Saisie'!$AS$5:$AS$2004,'Saisie'!$C$5:$C$2004,C92,'Saisie'!$AI$5:$AI$2004,"&lt;&gt;")-4),""))</f>
        <v/>
      </c>
      <c r="AG92" s="60">
        <f>IF(C92="","",IFERROR(INDEX('Saisie'!$AJ$5:$AJ$2004,_xlfn.MAXIFS('Saisie'!$AS$5:$AS$2004,'Saisie'!$C$5:$C$2004,C92,'Saisie'!$AJ$5:$AJ$2004,"&lt;&gt;")-4),""))</f>
        <v/>
      </c>
      <c r="AH92" s="60">
        <f>IF(C92="","",IFERROR(INDEX('Saisie'!$AK$5:$AK$2004,_xlfn.MAXIFS('Saisie'!$AS$5:$AS$2004,'Saisie'!$C$5:$C$2004,C92,'Saisie'!$AK$5:$AK$2004,"&lt;&gt;")-4),""))</f>
        <v/>
      </c>
      <c r="AI92" s="60">
        <f>IF(C92="","",IFERROR(INDEX('Saisie'!$AN$5:$AN$2004,_xlfn.MAXIFS('Saisie'!$AS$5:$AS$2004,'Saisie'!$C$5:$C$2004,C92,'Saisie'!$AN$5:$AN$2004,"&lt;&gt;")-4),""))</f>
        <v/>
      </c>
      <c r="AJ92" s="60">
        <f>IF(C92="","",IFERROR(INDEX('Saisie'!$AO$5:$AO$2004,_xlfn.MAXIFS('Saisie'!$AS$5:$AS$2004,'Saisie'!$C$5:$C$2004,C92,'Saisie'!$AO$5:$AO$2004,"&lt;&gt;")-4),""))</f>
        <v/>
      </c>
      <c r="AK92" s="60">
        <f>IF(C92="","",IFERROR(INDEX('Saisie'!$AP$5:$AP$2004,_xlfn.MAXIFS('Saisie'!$AS$5:$AS$2004,'Saisie'!$C$5:$C$2004,C92,'Saisie'!$AP$5:$AP$2004,"&lt;&gt;")-4),""))</f>
        <v/>
      </c>
      <c r="AL92" s="60">
        <f>IF(C92="","",IFERROR(INDEX('Saisie'!$AQ$5:$AQ$2004,_xlfn.MAXIFS('Saisie'!$AS$5:$AS$2004,'Saisie'!$C$5:$C$2004,C92,'Saisie'!$AQ$5:$AQ$2004,"&lt;&gt;")-4),""))</f>
        <v/>
      </c>
      <c r="AM92" s="60">
        <f>IF(C92="","",((AI92="Oui")+(AJ92="Oui")+(AK92="Oui")+OR(AL92="Immédiat",AL92="&lt; 1 mois"))&amp;"/4")</f>
        <v/>
      </c>
      <c r="AN92" s="60">
        <f>IF(C92="","",IFERROR(INDEX('Saisie'!$AL$5:$AL$2004,_xlfn.MAXIFS('Saisie'!$AS$5:$AS$2004,'Saisie'!$C$5:$C$2004,C92,'Saisie'!$AL$5:$AL$2004,"&lt;&gt;")-4),""))</f>
        <v/>
      </c>
      <c r="AO92" s="62">
        <f>IF(C92="","",IF(IFERROR(INDEX('Saisie'!$AM$5:$AM$2004,_xlfn.MAXIFS('Saisie'!$AS$5:$AS$2004,'Saisie'!$C$5:$C$2004,C92,'Saisie'!$AM$5:$AM$2004,"&lt;&gt;")-4),"")&lt;&gt;"",IFERROR(INDEX('Saisie'!$AM$5:$AM$2004,_xlfn.MAXIFS('Saisie'!$AS$5:$AS$2004,'Saisie'!$C$5:$C$2004,C92,'Saisie'!$AM$5:$AM$2004,"&lt;&gt;")-4),""),IFERROR(INDEX('Paramètres'!$S$6:$S$15,MATCH(AN92,'Paramètres'!$Q$6:$Q$15,0)),"")))</f>
        <v/>
      </c>
      <c r="AP92" s="62">
        <f>IF(C92="","",IFERROR(INDEX('Saisie'!$AW$5:$AW$2004,_xlfn.MAXIFS('Saisie'!$AS$5:$AS$2004,'Saisie'!$C$5:$C$2004,C92,'Saisie'!$E$5:$E$2004,"Proposition envoyée")-4),""))</f>
        <v/>
      </c>
      <c r="AQ92" s="106">
        <f>IF(C92="","",IFERROR(1/(1/_xlfn.MAXIFS('Saisie'!$A$5:$A$2004,'Saisie'!$C$5:$C$2004,C92,'Saisie'!$E$5:$E$2004,"Proposition envoyée")),""))</f>
        <v/>
      </c>
      <c r="AR92" s="106">
        <f>IF(C92="","",IF(AQ92="","",AQ92+'Paramètres'!$B$26))</f>
        <v/>
      </c>
      <c r="AS92" s="62">
        <f>IF(OR(C92="",D92="Gagné",D92="Perdu"),0,N(AP92)*IFERROR(INDEX('Paramètres'!$G$6:$G$13,MATCH(D92,'Paramètres'!$F$6:$F$13,0)),0))</f>
        <v/>
      </c>
      <c r="AT92" s="106">
        <f>IF(C92="","",IFERROR(1/(1/_xlfn.MINIFS('Saisie'!$A$5:$A$2004,'Saisie'!$C$5:$C$2004,C92,'Saisie'!$E$5:$E$2004,"Signature")),""))</f>
        <v/>
      </c>
      <c r="AU92" s="60">
        <f>IF(C92="","",IF(OR(AT92="",B92=""),"",AT92-B92))</f>
        <v/>
      </c>
      <c r="AV92" s="60">
        <f>IF(C92="","",IFERROR(INDEX('Saisie'!$L$5:$L$2004,_xlfn.MAXIFS('Saisie'!$AS$5:$AS$2004,'Saisie'!$C$5:$C$2004,C92,'Saisie'!$L$5:$L$2004,"&lt;&gt;")-4),""))</f>
        <v/>
      </c>
      <c r="AW92" s="106">
        <f>IF(C92="","",IF(D92&lt;&gt;"Perdu","",IFERROR(1/(1/_xlfn.MAXIFS('Saisie'!$A$5:$A$2004,'Saisie'!$C$5:$C$2004,C92,'Saisie'!$E$5:$E$2004,"Perdu")),"")))</f>
        <v/>
      </c>
      <c r="AX92" s="106">
        <f>IF(C92="","",IF(AW92="","",AW92+'Paramètres'!$B$28))</f>
        <v/>
      </c>
      <c r="AY92" s="60">
        <f>IF(C92="","",SUMIFS('Saisie'!$H$5:$H$2004,'Saisie'!$C$5:$C$2004,C92))</f>
        <v/>
      </c>
      <c r="AZ92" s="60">
        <f>IF(C92="","",IFERROR(INDEX('Paramètres'!$W$6:$W$20,MATCH(S92,'Paramètres'!$V$6:$V$20,0))&amp;"",""))</f>
        <v/>
      </c>
      <c r="BA92" s="60">
        <f>IF(C92="","",MAX(1,_xlfn.MAXIFS('Saisie'!$AT$5:$AT$2004,'Saisie'!$C$5:$C$2004,C92)))</f>
        <v/>
      </c>
      <c r="BB92" s="60">
        <f>IF(C92="","",IFERROR(INDEX('Saisie'!$X$5:$X$2004,_xlfn.MAXIFS('Saisie'!$AS$5:$AS$2004,'Saisie'!$C$5:$C$2004,C92,'Saisie'!$X$5:$X$2004,"&lt;&gt;")-4),""))</f>
        <v/>
      </c>
      <c r="BC92" s="60">
        <f>IF(C92="","",IFERROR(INDEX('Saisie'!$Y$5:$Y$2004,_xlfn.MAXIFS('Saisie'!$AS$5:$AS$2004,'Saisie'!$C$5:$C$2004,C92,'Saisie'!$Y$5:$Y$2004,"&lt;&gt;")-4),""))</f>
        <v/>
      </c>
      <c r="BD92" s="106">
        <f>IF(C92="","",IFERROR(1/(1/_xlfn.MINIFS('Saisie'!$A$5:$A$2004,'Saisie'!$C$5:$C$2004,C92,'Saisie'!$AT$5:$AT$2004,"&gt;=2")),""))</f>
        <v/>
      </c>
      <c r="BE92" s="106">
        <f>IF(C92="","",IFERROR(1/(1/_xlfn.MINIFS('Saisie'!$A$5:$A$2004,'Saisie'!$C$5:$C$2004,C92,'Saisie'!$AT$5:$AT$2004,"&gt;=3")),""))</f>
        <v/>
      </c>
      <c r="BF92" s="106">
        <f>IF(C92="","",IFERROR(1/(1/_xlfn.MINIFS('Saisie'!$A$5:$A$2004,'Saisie'!$C$5:$C$2004,C92,'Saisie'!$AT$5:$AT$2004,"&gt;=4")),""))</f>
        <v/>
      </c>
      <c r="BG92" s="106">
        <f>IF(C92="","",IFERROR(1/(1/_xlfn.MINIFS('Saisie'!$A$5:$A$2004,'Saisie'!$C$5:$C$2004,C92,'Saisie'!$AT$5:$AT$2004,"&gt;=5")),""))</f>
        <v/>
      </c>
      <c r="BH92" s="106">
        <f>IF(C92="","",IFERROR(1/(1/_xlfn.MINIFS('Saisie'!$A$5:$A$2004,'Saisie'!$C$5:$C$2004,C92,'Saisie'!$AT$5:$AT$2004,"&gt;=6")),""))</f>
        <v/>
      </c>
      <c r="BI92" s="106">
        <f>IF(C92="","",IFERROR(1/(1/_xlfn.MINIFS('Saisie'!$A$5:$A$2004,'Saisie'!$C$5:$C$2004,C92,'Saisie'!$AT$5:$AT$2004,"&gt;=7")),""))</f>
        <v/>
      </c>
      <c r="BJ92" s="60">
        <f>IF(OR(BD92="",B92=""),"",BD92-B92)</f>
        <v/>
      </c>
      <c r="BK92" s="60">
        <f>IF(OR(BE92="",BD92=""),"",BE92-BD92)</f>
        <v/>
      </c>
      <c r="BL92" s="60">
        <f>IF(OR(BF92="",BE92=""),"",BF92-BE92)</f>
        <v/>
      </c>
      <c r="BM92" s="60">
        <f>IF(OR(BG92="",BF92=""),"",BG92-BF92)</f>
        <v/>
      </c>
      <c r="BN92" s="60">
        <f>IF(OR(BH92="",BG92=""),"",BH92-BG92)</f>
        <v/>
      </c>
      <c r="BO92" s="60">
        <f>IF(OR(BI92="",BH92=""),"",BI92-BH92)</f>
        <v/>
      </c>
      <c r="BP92" s="60">
        <f>IF(C92="","",_xlfn.MAXIFS('Saisie'!$AS$5:$AS$2004,'Saisie'!$C$5:$C$2004,C92,'Saisie'!$J$5:$J$2004,"&lt;&gt;"))</f>
        <v/>
      </c>
      <c r="BQ92" s="60">
        <f>IF(C92="","",_xlfn.MAXIFS('Saisie'!$AS$5:$AS$2004,'Saisie'!$C$5:$C$2004,C92))</f>
        <v/>
      </c>
      <c r="BR92" s="60">
        <f>IF(C92="","",_xlfn.MAXIFS('Saisie'!$AS$5:$AS$2004,'Saisie'!$C$5:$C$2004,C92,'Saisie'!$E$5:$E$2004,"Perdu"))</f>
        <v/>
      </c>
      <c r="BS92" s="60">
        <f>IF(C92="","",_xlfn.MAXIFS('Saisie'!$AS$5:$AS$2004,'Saisie'!$C$5:$C$2004,C92,'Saisie'!$AT$5:$AT$2004,"&gt;0"))</f>
        <v/>
      </c>
      <c r="BT92" s="109">
        <f>IF(AND(C92&lt;&gt;"",OR(D92="Nouveau",D92="Contacté",D92="Qualifié"),OR(G92="",N(G92)&lt;=TODAY()),NOT(AND(O92&gt;='Paramètres'!$B$21,P92=0))),E92+88/10000,"")</f>
        <v/>
      </c>
      <c r="BU92" s="60">
        <f>IF(AND(G92&lt;&gt;"",N(G92)&lt;=TODAY()),MAX($BU$4:BU91)+1,"")</f>
        <v/>
      </c>
      <c r="BV92" s="60">
        <f>IF(AND(F92&lt;&gt;"",F92&lt;&gt;"Relance en retard"),MAX($BV$4:BV91)+1,"")</f>
        <v/>
      </c>
      <c r="BW92" s="60">
        <f>IF(C92="","",IF(AND(B92&gt;='Tableau de bord'!$R$4,B92&lt;='Tableau de bord'!$S$4,OR('Tableau de bord'!$G$4="Tous",N92='Tableau de bord'!$G$4)),1,0))</f>
        <v/>
      </c>
      <c r="BX92" s="60">
        <f>IF(AND(C92&lt;&gt;"",N(BA92)=7),MAX($BX$4:BX91)+1,"")</f>
        <v/>
      </c>
    </row>
    <row r="93">
      <c r="A93" s="60">
        <f>IF(C93="","","P-"&amp;TEXT(89,"000"))</f>
        <v/>
      </c>
      <c r="B93" s="106">
        <f>IF(C93="","",IFERROR(1/(1/_xlfn.MINIFS('Saisie'!$A$5:$A$2004,'Saisie'!$C$5:$C$2004,C93)),""))</f>
        <v/>
      </c>
      <c r="C93" s="60">
        <f>IFERROR(INDEX('Saisie'!$C$5:$C$2004,MATCH(89,'Saisie'!$AX$5:$AX$2004,0)),"")</f>
        <v/>
      </c>
      <c r="D93" s="60">
        <f>IF(C93="","",IF(AND(BR93&gt;0,BR93&gt;BS93,BA93&lt;7),"Perdu",INDEX('Paramètres'!$F$6:$F$13,BA93)))</f>
        <v/>
      </c>
      <c r="E93" s="61">
        <f>IF(C93="","",MIN(100,(Z93="Oui")*'Paramètres'!$B$38+(AB93="Régulière")*'Paramètres'!$B$39+IF(AND(N(AA93)&gt;0,TODAY()-N(AA93)&lt;=30),'Paramètres'!$B$40,0)+(W93="")*'Paramètres'!$B$41+(AC93="Absente")*'Paramètres'!$B$42+(AC93="Faible")*'Paramètres'!$B$43+IF(AND(N(AD93)&gt;0,N(AD93)&lt;4),'Paramètres'!$B$44,0)+(AF93="Moyenne")*'Paramètres'!$B$45+(AF93="Grande")*'Paramètres'!$B$46+(Y93&lt;&gt;"")*'Paramètres'!$B$47))</f>
        <v/>
      </c>
      <c r="F93" s="60">
        <f>IF(C93="","",IF(D93="Gagné","",IF(D93="Perdu",IF(AND(AX93&lt;&gt;"",AX93&lt;=TODAY()),"À recontacter (perdu)",""),IF(AND(O93&gt;='Paramètres'!$B$21,P93=0),"Stop : "&amp;'Paramètres'!$B$21&amp;" tentatives sans réponse",IF(AND(D93="Proposition",AR93&lt;&gt;"",TODAY()&gt;N(AR93)),"Proposition expirée",IF(AND(D93="Proposition",N(R93)&gt;='Paramètres'!$B$25),"Proposition sans réponse",IF(AND(G93&lt;&gt;"",N(G93)&lt;TODAY()),"Relance en retard",IF(N(R93)&gt;='Paramètres'!$B$24,"Sans action depuis "&amp;R93&amp;" j",""))))))))</f>
        <v/>
      </c>
      <c r="G93" s="106">
        <f>IF(OR(C93="",D93="Gagné",D93="Perdu"),"",IF(AND(BP93&gt;0,BP93=BQ93),INDEX('Saisie'!$J$5:$J$2004,BP93-4),IF(OR(O93=0,AND(O93&gt;='Paramètres'!$B$21,P93=0)),"",Q93+IF(O93&lt;=1,'Paramètres'!$B$18,IF(O93=2,'Paramètres'!$B$19,'Paramètres'!$B$20)))))</f>
        <v/>
      </c>
      <c r="H93" s="107">
        <f>IF(OR(G93="",BP93&lt;&gt;BQ93),"",IF(INDEX('Saisie'!$K$5:$K$2004,BP93-4)="","",INDEX('Saisie'!$K$5:$K$2004,BP93-4)))</f>
        <v/>
      </c>
      <c r="I93" s="60">
        <f>IF(C93="","",IF(OR(D93="Gagné",D93="Perdu"),"",IFERROR(INDEX('Saisie'!$I$5:$I$2004,_xlfn.MAXIFS('Saisie'!$AS$5:$AS$2004,'Saisie'!$C$5:$C$2004,C93,'Saisie'!$I$5:$I$2004,"&lt;&gt;")-4),"")))</f>
        <v/>
      </c>
      <c r="J93" s="60">
        <f>IF(C93="","",IFERROR(INDEX('Saisie'!$U$5:$U$2004,_xlfn.MAXIFS('Saisie'!$AS$5:$AS$2004,'Saisie'!$C$5:$C$2004,C93,'Saisie'!$U$5:$U$2004,"&lt;&gt;")-4),""))</f>
        <v/>
      </c>
      <c r="K93" s="60">
        <f>IF(C93="","",IFERROR(INDEX('Saisie'!$W$5:$W$2004,_xlfn.MAXIFS('Saisie'!$AS$5:$AS$2004,'Saisie'!$C$5:$C$2004,C93,'Saisie'!$W$5:$W$2004,"&lt;&gt;")-4),""))</f>
        <v/>
      </c>
      <c r="L93" s="60">
        <f>IF(IF(BB93&lt;&gt;"",BB93,K93)="","",HYPERLINK("https://wa.me/"&amp;IF(LEFT(SUBSTITUTE(SUBSTITUTE(SUBSTITUTE(IF(BB93&lt;&gt;"",BB93,K93)," ",""),".",""),"+",""),1)="0",'Paramètres'!$B$35&amp;MID(SUBSTITUTE(SUBSTITUTE(SUBSTITUTE(IF(BB93&lt;&gt;"",BB93,K93)," ",""),".",""),"+",""),2,20),SUBSTITUTE(SUBSTITUTE(SUBSTITUTE(IF(BB93&lt;&gt;"",BB93,K93)," ",""),".",""),"+","")),"WhatsApp"))</f>
        <v/>
      </c>
      <c r="M93" s="60">
        <f>IF(BC93="","",HYPERLINK(IF(LEFT(BC93,4)="http",BC93,"https://www.instagram.com/"&amp;SUBSTITUTE(SUBSTITUTE(BC93,"@","")," ","")),BC93))</f>
        <v/>
      </c>
      <c r="N93" s="60">
        <f>IF(C93="","",IFERROR(INDEX('Saisie'!$D$5:$D$2004,_xlfn.MINIFS('Saisie'!$AS$5:$AS$2004,'Saisie'!$C$5:$C$2004,C93,'Saisie'!$AU$5:$AU$2004,1)-4),IFERROR(INDEX('Saisie'!$D$5:$D$2004,_xlfn.MINIFS('Saisie'!$AS$5:$AS$2004,'Saisie'!$C$5:$C$2004,C93,'Saisie'!$D$5:$D$2004,"&lt;&gt;")-4),"")))</f>
        <v/>
      </c>
      <c r="O93" s="60">
        <f>IF(C93="","",COUNTIFS('Saisie'!$C$5:$C$2004,C93,'Saisie'!$AU$5:$AU$2004,1))</f>
        <v/>
      </c>
      <c r="P93" s="60">
        <f>IF(C93="","",COUNTIFS('Saisie'!$C$5:$C$2004,C93,'Saisie'!$AV$5:$AV$2004,1))</f>
        <v/>
      </c>
      <c r="Q93" s="106">
        <f>IF(C93="","",IFERROR(1/(1/_xlfn.MAXIFS('Saisie'!$A$5:$A$2004,'Saisie'!$C$5:$C$2004,C93)),""))</f>
        <v/>
      </c>
      <c r="R93" s="61">
        <f>IF(C93="","",IF(Q93="","",TODAY()-Q93))</f>
        <v/>
      </c>
      <c r="S93" s="60">
        <f>IF(C93="","",IFERROR(INDEX('Saisie'!$R$5:$R$2004,_xlfn.MAXIFS('Saisie'!$AS$5:$AS$2004,'Saisie'!$C$5:$C$2004,C93,'Saisie'!$R$5:$R$2004,"&lt;&gt;")-4),""))</f>
        <v/>
      </c>
      <c r="T93" s="60">
        <f>IF(C93="","",IFERROR(INDEX('Saisie'!$S$5:$S$2004,_xlfn.MAXIFS('Saisie'!$AS$5:$AS$2004,'Saisie'!$C$5:$C$2004,C93,'Saisie'!$S$5:$S$2004,"&lt;&gt;")-4),""))</f>
        <v/>
      </c>
      <c r="U93" s="60">
        <f>IF(C93="","",IFERROR(INDEX('Saisie'!$T$5:$T$2004,_xlfn.MAXIFS('Saisie'!$AS$5:$AS$2004,'Saisie'!$C$5:$C$2004,C93,'Saisie'!$T$5:$T$2004,"&lt;&gt;")-4),""))</f>
        <v/>
      </c>
      <c r="V93" s="60">
        <f>IF(C93="","",IFERROR(INDEX('Saisie'!$V$5:$V$2004,_xlfn.MAXIFS('Saisie'!$AS$5:$AS$2004,'Saisie'!$C$5:$C$2004,C93,'Saisie'!$V$5:$V$2004,"&lt;&gt;")-4),""))</f>
        <v/>
      </c>
      <c r="W93" s="60">
        <f>IF(C93="","",IFERROR(INDEX('Saisie'!$Z$5:$Z$2004,_xlfn.MAXIFS('Saisie'!$AS$5:$AS$2004,'Saisie'!$C$5:$C$2004,C93,'Saisie'!$Z$5:$Z$2004,"&lt;&gt;")-4),""))</f>
        <v/>
      </c>
      <c r="X93" s="60">
        <f>IF(C93="","",IFERROR(INDEX('Saisie'!$AA$5:$AA$2004,_xlfn.MAXIFS('Saisie'!$AS$5:$AS$2004,'Saisie'!$C$5:$C$2004,C93,'Saisie'!$AA$5:$AA$2004,"&lt;&gt;")-4),""))</f>
        <v/>
      </c>
      <c r="Y93" s="60">
        <f>IF(C93="","",IFERROR(INDEX('Saisie'!$AB$5:$AB$2004,_xlfn.MAXIFS('Saisie'!$AS$5:$AS$2004,'Saisie'!$C$5:$C$2004,C93,'Saisie'!$AB$5:$AB$2004,"&lt;&gt;")-4),""))</f>
        <v/>
      </c>
      <c r="Z93" s="60">
        <f>IF(C93="","",IFERROR(INDEX('Saisie'!$AC$5:$AC$2004,_xlfn.MAXIFS('Saisie'!$AS$5:$AS$2004,'Saisie'!$C$5:$C$2004,C93,'Saisie'!$AC$5:$AC$2004,"&lt;&gt;")-4),""))</f>
        <v/>
      </c>
      <c r="AA93" s="106">
        <f>IF(C93="","",IFERROR(INDEX('Saisie'!$AD$5:$AD$2004,_xlfn.MAXIFS('Saisie'!$AS$5:$AS$2004,'Saisie'!$C$5:$C$2004,C93,'Saisie'!$AD$5:$AD$2004,"&lt;&gt;")-4),""))</f>
        <v/>
      </c>
      <c r="AB93" s="60">
        <f>IF(C93="","",IFERROR(INDEX('Saisie'!$AE$5:$AE$2004,_xlfn.MAXIFS('Saisie'!$AS$5:$AS$2004,'Saisie'!$C$5:$C$2004,C93,'Saisie'!$AE$5:$AE$2004,"&lt;&gt;")-4),""))</f>
        <v/>
      </c>
      <c r="AC93" s="60">
        <f>IF(C93="","",IFERROR(INDEX('Saisie'!$AF$5:$AF$2004,_xlfn.MAXIFS('Saisie'!$AS$5:$AS$2004,'Saisie'!$C$5:$C$2004,C93,'Saisie'!$AF$5:$AF$2004,"&lt;&gt;")-4),""))</f>
        <v/>
      </c>
      <c r="AD93" s="108">
        <f>IF(C93="","",IFERROR(INDEX('Saisie'!$AG$5:$AG$2004,_xlfn.MAXIFS('Saisie'!$AS$5:$AS$2004,'Saisie'!$C$5:$C$2004,C93,'Saisie'!$AG$5:$AG$2004,"&lt;&gt;")-4),""))</f>
        <v/>
      </c>
      <c r="AE93" s="60">
        <f>IF(C93="","",IFERROR(INDEX('Saisie'!$AH$5:$AH$2004,_xlfn.MAXIFS('Saisie'!$AS$5:$AS$2004,'Saisie'!$C$5:$C$2004,C93,'Saisie'!$AH$5:$AH$2004,"&lt;&gt;")-4),""))</f>
        <v/>
      </c>
      <c r="AF93" s="60">
        <f>IF(C93="","",IFERROR(INDEX('Saisie'!$AI$5:$AI$2004,_xlfn.MAXIFS('Saisie'!$AS$5:$AS$2004,'Saisie'!$C$5:$C$2004,C93,'Saisie'!$AI$5:$AI$2004,"&lt;&gt;")-4),""))</f>
        <v/>
      </c>
      <c r="AG93" s="60">
        <f>IF(C93="","",IFERROR(INDEX('Saisie'!$AJ$5:$AJ$2004,_xlfn.MAXIFS('Saisie'!$AS$5:$AS$2004,'Saisie'!$C$5:$C$2004,C93,'Saisie'!$AJ$5:$AJ$2004,"&lt;&gt;")-4),""))</f>
        <v/>
      </c>
      <c r="AH93" s="60">
        <f>IF(C93="","",IFERROR(INDEX('Saisie'!$AK$5:$AK$2004,_xlfn.MAXIFS('Saisie'!$AS$5:$AS$2004,'Saisie'!$C$5:$C$2004,C93,'Saisie'!$AK$5:$AK$2004,"&lt;&gt;")-4),""))</f>
        <v/>
      </c>
      <c r="AI93" s="60">
        <f>IF(C93="","",IFERROR(INDEX('Saisie'!$AN$5:$AN$2004,_xlfn.MAXIFS('Saisie'!$AS$5:$AS$2004,'Saisie'!$C$5:$C$2004,C93,'Saisie'!$AN$5:$AN$2004,"&lt;&gt;")-4),""))</f>
        <v/>
      </c>
      <c r="AJ93" s="60">
        <f>IF(C93="","",IFERROR(INDEX('Saisie'!$AO$5:$AO$2004,_xlfn.MAXIFS('Saisie'!$AS$5:$AS$2004,'Saisie'!$C$5:$C$2004,C93,'Saisie'!$AO$5:$AO$2004,"&lt;&gt;")-4),""))</f>
        <v/>
      </c>
      <c r="AK93" s="60">
        <f>IF(C93="","",IFERROR(INDEX('Saisie'!$AP$5:$AP$2004,_xlfn.MAXIFS('Saisie'!$AS$5:$AS$2004,'Saisie'!$C$5:$C$2004,C93,'Saisie'!$AP$5:$AP$2004,"&lt;&gt;")-4),""))</f>
        <v/>
      </c>
      <c r="AL93" s="60">
        <f>IF(C93="","",IFERROR(INDEX('Saisie'!$AQ$5:$AQ$2004,_xlfn.MAXIFS('Saisie'!$AS$5:$AS$2004,'Saisie'!$C$5:$C$2004,C93,'Saisie'!$AQ$5:$AQ$2004,"&lt;&gt;")-4),""))</f>
        <v/>
      </c>
      <c r="AM93" s="60">
        <f>IF(C93="","",((AI93="Oui")+(AJ93="Oui")+(AK93="Oui")+OR(AL93="Immédiat",AL93="&lt; 1 mois"))&amp;"/4")</f>
        <v/>
      </c>
      <c r="AN93" s="60">
        <f>IF(C93="","",IFERROR(INDEX('Saisie'!$AL$5:$AL$2004,_xlfn.MAXIFS('Saisie'!$AS$5:$AS$2004,'Saisie'!$C$5:$C$2004,C93,'Saisie'!$AL$5:$AL$2004,"&lt;&gt;")-4),""))</f>
        <v/>
      </c>
      <c r="AO93" s="62">
        <f>IF(C93="","",IF(IFERROR(INDEX('Saisie'!$AM$5:$AM$2004,_xlfn.MAXIFS('Saisie'!$AS$5:$AS$2004,'Saisie'!$C$5:$C$2004,C93,'Saisie'!$AM$5:$AM$2004,"&lt;&gt;")-4),"")&lt;&gt;"",IFERROR(INDEX('Saisie'!$AM$5:$AM$2004,_xlfn.MAXIFS('Saisie'!$AS$5:$AS$2004,'Saisie'!$C$5:$C$2004,C93,'Saisie'!$AM$5:$AM$2004,"&lt;&gt;")-4),""),IFERROR(INDEX('Paramètres'!$S$6:$S$15,MATCH(AN93,'Paramètres'!$Q$6:$Q$15,0)),"")))</f>
        <v/>
      </c>
      <c r="AP93" s="62">
        <f>IF(C93="","",IFERROR(INDEX('Saisie'!$AW$5:$AW$2004,_xlfn.MAXIFS('Saisie'!$AS$5:$AS$2004,'Saisie'!$C$5:$C$2004,C93,'Saisie'!$E$5:$E$2004,"Proposition envoyée")-4),""))</f>
        <v/>
      </c>
      <c r="AQ93" s="106">
        <f>IF(C93="","",IFERROR(1/(1/_xlfn.MAXIFS('Saisie'!$A$5:$A$2004,'Saisie'!$C$5:$C$2004,C93,'Saisie'!$E$5:$E$2004,"Proposition envoyée")),""))</f>
        <v/>
      </c>
      <c r="AR93" s="106">
        <f>IF(C93="","",IF(AQ93="","",AQ93+'Paramètres'!$B$26))</f>
        <v/>
      </c>
      <c r="AS93" s="62">
        <f>IF(OR(C93="",D93="Gagné",D93="Perdu"),0,N(AP93)*IFERROR(INDEX('Paramètres'!$G$6:$G$13,MATCH(D93,'Paramètres'!$F$6:$F$13,0)),0))</f>
        <v/>
      </c>
      <c r="AT93" s="106">
        <f>IF(C93="","",IFERROR(1/(1/_xlfn.MINIFS('Saisie'!$A$5:$A$2004,'Saisie'!$C$5:$C$2004,C93,'Saisie'!$E$5:$E$2004,"Signature")),""))</f>
        <v/>
      </c>
      <c r="AU93" s="60">
        <f>IF(C93="","",IF(OR(AT93="",B93=""),"",AT93-B93))</f>
        <v/>
      </c>
      <c r="AV93" s="60">
        <f>IF(C93="","",IFERROR(INDEX('Saisie'!$L$5:$L$2004,_xlfn.MAXIFS('Saisie'!$AS$5:$AS$2004,'Saisie'!$C$5:$C$2004,C93,'Saisie'!$L$5:$L$2004,"&lt;&gt;")-4),""))</f>
        <v/>
      </c>
      <c r="AW93" s="106">
        <f>IF(C93="","",IF(D93&lt;&gt;"Perdu","",IFERROR(1/(1/_xlfn.MAXIFS('Saisie'!$A$5:$A$2004,'Saisie'!$C$5:$C$2004,C93,'Saisie'!$E$5:$E$2004,"Perdu")),"")))</f>
        <v/>
      </c>
      <c r="AX93" s="106">
        <f>IF(C93="","",IF(AW93="","",AW93+'Paramètres'!$B$28))</f>
        <v/>
      </c>
      <c r="AY93" s="60">
        <f>IF(C93="","",SUMIFS('Saisie'!$H$5:$H$2004,'Saisie'!$C$5:$C$2004,C93))</f>
        <v/>
      </c>
      <c r="AZ93" s="60">
        <f>IF(C93="","",IFERROR(INDEX('Paramètres'!$W$6:$W$20,MATCH(S93,'Paramètres'!$V$6:$V$20,0))&amp;"",""))</f>
        <v/>
      </c>
      <c r="BA93" s="60">
        <f>IF(C93="","",MAX(1,_xlfn.MAXIFS('Saisie'!$AT$5:$AT$2004,'Saisie'!$C$5:$C$2004,C93)))</f>
        <v/>
      </c>
      <c r="BB93" s="60">
        <f>IF(C93="","",IFERROR(INDEX('Saisie'!$X$5:$X$2004,_xlfn.MAXIFS('Saisie'!$AS$5:$AS$2004,'Saisie'!$C$5:$C$2004,C93,'Saisie'!$X$5:$X$2004,"&lt;&gt;")-4),""))</f>
        <v/>
      </c>
      <c r="BC93" s="60">
        <f>IF(C93="","",IFERROR(INDEX('Saisie'!$Y$5:$Y$2004,_xlfn.MAXIFS('Saisie'!$AS$5:$AS$2004,'Saisie'!$C$5:$C$2004,C93,'Saisie'!$Y$5:$Y$2004,"&lt;&gt;")-4),""))</f>
        <v/>
      </c>
      <c r="BD93" s="106">
        <f>IF(C93="","",IFERROR(1/(1/_xlfn.MINIFS('Saisie'!$A$5:$A$2004,'Saisie'!$C$5:$C$2004,C93,'Saisie'!$AT$5:$AT$2004,"&gt;=2")),""))</f>
        <v/>
      </c>
      <c r="BE93" s="106">
        <f>IF(C93="","",IFERROR(1/(1/_xlfn.MINIFS('Saisie'!$A$5:$A$2004,'Saisie'!$C$5:$C$2004,C93,'Saisie'!$AT$5:$AT$2004,"&gt;=3")),""))</f>
        <v/>
      </c>
      <c r="BF93" s="106">
        <f>IF(C93="","",IFERROR(1/(1/_xlfn.MINIFS('Saisie'!$A$5:$A$2004,'Saisie'!$C$5:$C$2004,C93,'Saisie'!$AT$5:$AT$2004,"&gt;=4")),""))</f>
        <v/>
      </c>
      <c r="BG93" s="106">
        <f>IF(C93="","",IFERROR(1/(1/_xlfn.MINIFS('Saisie'!$A$5:$A$2004,'Saisie'!$C$5:$C$2004,C93,'Saisie'!$AT$5:$AT$2004,"&gt;=5")),""))</f>
        <v/>
      </c>
      <c r="BH93" s="106">
        <f>IF(C93="","",IFERROR(1/(1/_xlfn.MINIFS('Saisie'!$A$5:$A$2004,'Saisie'!$C$5:$C$2004,C93,'Saisie'!$AT$5:$AT$2004,"&gt;=6")),""))</f>
        <v/>
      </c>
      <c r="BI93" s="106">
        <f>IF(C93="","",IFERROR(1/(1/_xlfn.MINIFS('Saisie'!$A$5:$A$2004,'Saisie'!$C$5:$C$2004,C93,'Saisie'!$AT$5:$AT$2004,"&gt;=7")),""))</f>
        <v/>
      </c>
      <c r="BJ93" s="60">
        <f>IF(OR(BD93="",B93=""),"",BD93-B93)</f>
        <v/>
      </c>
      <c r="BK93" s="60">
        <f>IF(OR(BE93="",BD93=""),"",BE93-BD93)</f>
        <v/>
      </c>
      <c r="BL93" s="60">
        <f>IF(OR(BF93="",BE93=""),"",BF93-BE93)</f>
        <v/>
      </c>
      <c r="BM93" s="60">
        <f>IF(OR(BG93="",BF93=""),"",BG93-BF93)</f>
        <v/>
      </c>
      <c r="BN93" s="60">
        <f>IF(OR(BH93="",BG93=""),"",BH93-BG93)</f>
        <v/>
      </c>
      <c r="BO93" s="60">
        <f>IF(OR(BI93="",BH93=""),"",BI93-BH93)</f>
        <v/>
      </c>
      <c r="BP93" s="60">
        <f>IF(C93="","",_xlfn.MAXIFS('Saisie'!$AS$5:$AS$2004,'Saisie'!$C$5:$C$2004,C93,'Saisie'!$J$5:$J$2004,"&lt;&gt;"))</f>
        <v/>
      </c>
      <c r="BQ93" s="60">
        <f>IF(C93="","",_xlfn.MAXIFS('Saisie'!$AS$5:$AS$2004,'Saisie'!$C$5:$C$2004,C93))</f>
        <v/>
      </c>
      <c r="BR93" s="60">
        <f>IF(C93="","",_xlfn.MAXIFS('Saisie'!$AS$5:$AS$2004,'Saisie'!$C$5:$C$2004,C93,'Saisie'!$E$5:$E$2004,"Perdu"))</f>
        <v/>
      </c>
      <c r="BS93" s="60">
        <f>IF(C93="","",_xlfn.MAXIFS('Saisie'!$AS$5:$AS$2004,'Saisie'!$C$5:$C$2004,C93,'Saisie'!$AT$5:$AT$2004,"&gt;0"))</f>
        <v/>
      </c>
      <c r="BT93" s="109">
        <f>IF(AND(C93&lt;&gt;"",OR(D93="Nouveau",D93="Contacté",D93="Qualifié"),OR(G93="",N(G93)&lt;=TODAY()),NOT(AND(O93&gt;='Paramètres'!$B$21,P93=0))),E93+89/10000,"")</f>
        <v/>
      </c>
      <c r="BU93" s="60">
        <f>IF(AND(G93&lt;&gt;"",N(G93)&lt;=TODAY()),MAX($BU$4:BU92)+1,"")</f>
        <v/>
      </c>
      <c r="BV93" s="60">
        <f>IF(AND(F93&lt;&gt;"",F93&lt;&gt;"Relance en retard"),MAX($BV$4:BV92)+1,"")</f>
        <v/>
      </c>
      <c r="BW93" s="60">
        <f>IF(C93="","",IF(AND(B93&gt;='Tableau de bord'!$R$4,B93&lt;='Tableau de bord'!$S$4,OR('Tableau de bord'!$G$4="Tous",N93='Tableau de bord'!$G$4)),1,0))</f>
        <v/>
      </c>
      <c r="BX93" s="60">
        <f>IF(AND(C93&lt;&gt;"",N(BA93)=7),MAX($BX$4:BX92)+1,"")</f>
        <v/>
      </c>
    </row>
    <row r="94">
      <c r="A94" s="60">
        <f>IF(C94="","","P-"&amp;TEXT(90,"000"))</f>
        <v/>
      </c>
      <c r="B94" s="106">
        <f>IF(C94="","",IFERROR(1/(1/_xlfn.MINIFS('Saisie'!$A$5:$A$2004,'Saisie'!$C$5:$C$2004,C94)),""))</f>
        <v/>
      </c>
      <c r="C94" s="60">
        <f>IFERROR(INDEX('Saisie'!$C$5:$C$2004,MATCH(90,'Saisie'!$AX$5:$AX$2004,0)),"")</f>
        <v/>
      </c>
      <c r="D94" s="60">
        <f>IF(C94="","",IF(AND(BR94&gt;0,BR94&gt;BS94,BA94&lt;7),"Perdu",INDEX('Paramètres'!$F$6:$F$13,BA94)))</f>
        <v/>
      </c>
      <c r="E94" s="61">
        <f>IF(C94="","",MIN(100,(Z94="Oui")*'Paramètres'!$B$38+(AB94="Régulière")*'Paramètres'!$B$39+IF(AND(N(AA94)&gt;0,TODAY()-N(AA94)&lt;=30),'Paramètres'!$B$40,0)+(W94="")*'Paramètres'!$B$41+(AC94="Absente")*'Paramètres'!$B$42+(AC94="Faible")*'Paramètres'!$B$43+IF(AND(N(AD94)&gt;0,N(AD94)&lt;4),'Paramètres'!$B$44,0)+(AF94="Moyenne")*'Paramètres'!$B$45+(AF94="Grande")*'Paramètres'!$B$46+(Y94&lt;&gt;"")*'Paramètres'!$B$47))</f>
        <v/>
      </c>
      <c r="F94" s="60">
        <f>IF(C94="","",IF(D94="Gagné","",IF(D94="Perdu",IF(AND(AX94&lt;&gt;"",AX94&lt;=TODAY()),"À recontacter (perdu)",""),IF(AND(O94&gt;='Paramètres'!$B$21,P94=0),"Stop : "&amp;'Paramètres'!$B$21&amp;" tentatives sans réponse",IF(AND(D94="Proposition",AR94&lt;&gt;"",TODAY()&gt;N(AR94)),"Proposition expirée",IF(AND(D94="Proposition",N(R94)&gt;='Paramètres'!$B$25),"Proposition sans réponse",IF(AND(G94&lt;&gt;"",N(G94)&lt;TODAY()),"Relance en retard",IF(N(R94)&gt;='Paramètres'!$B$24,"Sans action depuis "&amp;R94&amp;" j",""))))))))</f>
        <v/>
      </c>
      <c r="G94" s="106">
        <f>IF(OR(C94="",D94="Gagné",D94="Perdu"),"",IF(AND(BP94&gt;0,BP94=BQ94),INDEX('Saisie'!$J$5:$J$2004,BP94-4),IF(OR(O94=0,AND(O94&gt;='Paramètres'!$B$21,P94=0)),"",Q94+IF(O94&lt;=1,'Paramètres'!$B$18,IF(O94=2,'Paramètres'!$B$19,'Paramètres'!$B$20)))))</f>
        <v/>
      </c>
      <c r="H94" s="107">
        <f>IF(OR(G94="",BP94&lt;&gt;BQ94),"",IF(INDEX('Saisie'!$K$5:$K$2004,BP94-4)="","",INDEX('Saisie'!$K$5:$K$2004,BP94-4)))</f>
        <v/>
      </c>
      <c r="I94" s="60">
        <f>IF(C94="","",IF(OR(D94="Gagné",D94="Perdu"),"",IFERROR(INDEX('Saisie'!$I$5:$I$2004,_xlfn.MAXIFS('Saisie'!$AS$5:$AS$2004,'Saisie'!$C$5:$C$2004,C94,'Saisie'!$I$5:$I$2004,"&lt;&gt;")-4),"")))</f>
        <v/>
      </c>
      <c r="J94" s="60">
        <f>IF(C94="","",IFERROR(INDEX('Saisie'!$U$5:$U$2004,_xlfn.MAXIFS('Saisie'!$AS$5:$AS$2004,'Saisie'!$C$5:$C$2004,C94,'Saisie'!$U$5:$U$2004,"&lt;&gt;")-4),""))</f>
        <v/>
      </c>
      <c r="K94" s="60">
        <f>IF(C94="","",IFERROR(INDEX('Saisie'!$W$5:$W$2004,_xlfn.MAXIFS('Saisie'!$AS$5:$AS$2004,'Saisie'!$C$5:$C$2004,C94,'Saisie'!$W$5:$W$2004,"&lt;&gt;")-4),""))</f>
        <v/>
      </c>
      <c r="L94" s="60">
        <f>IF(IF(BB94&lt;&gt;"",BB94,K94)="","",HYPERLINK("https://wa.me/"&amp;IF(LEFT(SUBSTITUTE(SUBSTITUTE(SUBSTITUTE(IF(BB94&lt;&gt;"",BB94,K94)," ",""),".",""),"+",""),1)="0",'Paramètres'!$B$35&amp;MID(SUBSTITUTE(SUBSTITUTE(SUBSTITUTE(IF(BB94&lt;&gt;"",BB94,K94)," ",""),".",""),"+",""),2,20),SUBSTITUTE(SUBSTITUTE(SUBSTITUTE(IF(BB94&lt;&gt;"",BB94,K94)," ",""),".",""),"+","")),"WhatsApp"))</f>
        <v/>
      </c>
      <c r="M94" s="60">
        <f>IF(BC94="","",HYPERLINK(IF(LEFT(BC94,4)="http",BC94,"https://www.instagram.com/"&amp;SUBSTITUTE(SUBSTITUTE(BC94,"@","")," ","")),BC94))</f>
        <v/>
      </c>
      <c r="N94" s="60">
        <f>IF(C94="","",IFERROR(INDEX('Saisie'!$D$5:$D$2004,_xlfn.MINIFS('Saisie'!$AS$5:$AS$2004,'Saisie'!$C$5:$C$2004,C94,'Saisie'!$AU$5:$AU$2004,1)-4),IFERROR(INDEX('Saisie'!$D$5:$D$2004,_xlfn.MINIFS('Saisie'!$AS$5:$AS$2004,'Saisie'!$C$5:$C$2004,C94,'Saisie'!$D$5:$D$2004,"&lt;&gt;")-4),"")))</f>
        <v/>
      </c>
      <c r="O94" s="60">
        <f>IF(C94="","",COUNTIFS('Saisie'!$C$5:$C$2004,C94,'Saisie'!$AU$5:$AU$2004,1))</f>
        <v/>
      </c>
      <c r="P94" s="60">
        <f>IF(C94="","",COUNTIFS('Saisie'!$C$5:$C$2004,C94,'Saisie'!$AV$5:$AV$2004,1))</f>
        <v/>
      </c>
      <c r="Q94" s="106">
        <f>IF(C94="","",IFERROR(1/(1/_xlfn.MAXIFS('Saisie'!$A$5:$A$2004,'Saisie'!$C$5:$C$2004,C94)),""))</f>
        <v/>
      </c>
      <c r="R94" s="61">
        <f>IF(C94="","",IF(Q94="","",TODAY()-Q94))</f>
        <v/>
      </c>
      <c r="S94" s="60">
        <f>IF(C94="","",IFERROR(INDEX('Saisie'!$R$5:$R$2004,_xlfn.MAXIFS('Saisie'!$AS$5:$AS$2004,'Saisie'!$C$5:$C$2004,C94,'Saisie'!$R$5:$R$2004,"&lt;&gt;")-4),""))</f>
        <v/>
      </c>
      <c r="T94" s="60">
        <f>IF(C94="","",IFERROR(INDEX('Saisie'!$S$5:$S$2004,_xlfn.MAXIFS('Saisie'!$AS$5:$AS$2004,'Saisie'!$C$5:$C$2004,C94,'Saisie'!$S$5:$S$2004,"&lt;&gt;")-4),""))</f>
        <v/>
      </c>
      <c r="U94" s="60">
        <f>IF(C94="","",IFERROR(INDEX('Saisie'!$T$5:$T$2004,_xlfn.MAXIFS('Saisie'!$AS$5:$AS$2004,'Saisie'!$C$5:$C$2004,C94,'Saisie'!$T$5:$T$2004,"&lt;&gt;")-4),""))</f>
        <v/>
      </c>
      <c r="V94" s="60">
        <f>IF(C94="","",IFERROR(INDEX('Saisie'!$V$5:$V$2004,_xlfn.MAXIFS('Saisie'!$AS$5:$AS$2004,'Saisie'!$C$5:$C$2004,C94,'Saisie'!$V$5:$V$2004,"&lt;&gt;")-4),""))</f>
        <v/>
      </c>
      <c r="W94" s="60">
        <f>IF(C94="","",IFERROR(INDEX('Saisie'!$Z$5:$Z$2004,_xlfn.MAXIFS('Saisie'!$AS$5:$AS$2004,'Saisie'!$C$5:$C$2004,C94,'Saisie'!$Z$5:$Z$2004,"&lt;&gt;")-4),""))</f>
        <v/>
      </c>
      <c r="X94" s="60">
        <f>IF(C94="","",IFERROR(INDEX('Saisie'!$AA$5:$AA$2004,_xlfn.MAXIFS('Saisie'!$AS$5:$AS$2004,'Saisie'!$C$5:$C$2004,C94,'Saisie'!$AA$5:$AA$2004,"&lt;&gt;")-4),""))</f>
        <v/>
      </c>
      <c r="Y94" s="60">
        <f>IF(C94="","",IFERROR(INDEX('Saisie'!$AB$5:$AB$2004,_xlfn.MAXIFS('Saisie'!$AS$5:$AS$2004,'Saisie'!$C$5:$C$2004,C94,'Saisie'!$AB$5:$AB$2004,"&lt;&gt;")-4),""))</f>
        <v/>
      </c>
      <c r="Z94" s="60">
        <f>IF(C94="","",IFERROR(INDEX('Saisie'!$AC$5:$AC$2004,_xlfn.MAXIFS('Saisie'!$AS$5:$AS$2004,'Saisie'!$C$5:$C$2004,C94,'Saisie'!$AC$5:$AC$2004,"&lt;&gt;")-4),""))</f>
        <v/>
      </c>
      <c r="AA94" s="106">
        <f>IF(C94="","",IFERROR(INDEX('Saisie'!$AD$5:$AD$2004,_xlfn.MAXIFS('Saisie'!$AS$5:$AS$2004,'Saisie'!$C$5:$C$2004,C94,'Saisie'!$AD$5:$AD$2004,"&lt;&gt;")-4),""))</f>
        <v/>
      </c>
      <c r="AB94" s="60">
        <f>IF(C94="","",IFERROR(INDEX('Saisie'!$AE$5:$AE$2004,_xlfn.MAXIFS('Saisie'!$AS$5:$AS$2004,'Saisie'!$C$5:$C$2004,C94,'Saisie'!$AE$5:$AE$2004,"&lt;&gt;")-4),""))</f>
        <v/>
      </c>
      <c r="AC94" s="60">
        <f>IF(C94="","",IFERROR(INDEX('Saisie'!$AF$5:$AF$2004,_xlfn.MAXIFS('Saisie'!$AS$5:$AS$2004,'Saisie'!$C$5:$C$2004,C94,'Saisie'!$AF$5:$AF$2004,"&lt;&gt;")-4),""))</f>
        <v/>
      </c>
      <c r="AD94" s="108">
        <f>IF(C94="","",IFERROR(INDEX('Saisie'!$AG$5:$AG$2004,_xlfn.MAXIFS('Saisie'!$AS$5:$AS$2004,'Saisie'!$C$5:$C$2004,C94,'Saisie'!$AG$5:$AG$2004,"&lt;&gt;")-4),""))</f>
        <v/>
      </c>
      <c r="AE94" s="60">
        <f>IF(C94="","",IFERROR(INDEX('Saisie'!$AH$5:$AH$2004,_xlfn.MAXIFS('Saisie'!$AS$5:$AS$2004,'Saisie'!$C$5:$C$2004,C94,'Saisie'!$AH$5:$AH$2004,"&lt;&gt;")-4),""))</f>
        <v/>
      </c>
      <c r="AF94" s="60">
        <f>IF(C94="","",IFERROR(INDEX('Saisie'!$AI$5:$AI$2004,_xlfn.MAXIFS('Saisie'!$AS$5:$AS$2004,'Saisie'!$C$5:$C$2004,C94,'Saisie'!$AI$5:$AI$2004,"&lt;&gt;")-4),""))</f>
        <v/>
      </c>
      <c r="AG94" s="60">
        <f>IF(C94="","",IFERROR(INDEX('Saisie'!$AJ$5:$AJ$2004,_xlfn.MAXIFS('Saisie'!$AS$5:$AS$2004,'Saisie'!$C$5:$C$2004,C94,'Saisie'!$AJ$5:$AJ$2004,"&lt;&gt;")-4),""))</f>
        <v/>
      </c>
      <c r="AH94" s="60">
        <f>IF(C94="","",IFERROR(INDEX('Saisie'!$AK$5:$AK$2004,_xlfn.MAXIFS('Saisie'!$AS$5:$AS$2004,'Saisie'!$C$5:$C$2004,C94,'Saisie'!$AK$5:$AK$2004,"&lt;&gt;")-4),""))</f>
        <v/>
      </c>
      <c r="AI94" s="60">
        <f>IF(C94="","",IFERROR(INDEX('Saisie'!$AN$5:$AN$2004,_xlfn.MAXIFS('Saisie'!$AS$5:$AS$2004,'Saisie'!$C$5:$C$2004,C94,'Saisie'!$AN$5:$AN$2004,"&lt;&gt;")-4),""))</f>
        <v/>
      </c>
      <c r="AJ94" s="60">
        <f>IF(C94="","",IFERROR(INDEX('Saisie'!$AO$5:$AO$2004,_xlfn.MAXIFS('Saisie'!$AS$5:$AS$2004,'Saisie'!$C$5:$C$2004,C94,'Saisie'!$AO$5:$AO$2004,"&lt;&gt;")-4),""))</f>
        <v/>
      </c>
      <c r="AK94" s="60">
        <f>IF(C94="","",IFERROR(INDEX('Saisie'!$AP$5:$AP$2004,_xlfn.MAXIFS('Saisie'!$AS$5:$AS$2004,'Saisie'!$C$5:$C$2004,C94,'Saisie'!$AP$5:$AP$2004,"&lt;&gt;")-4),""))</f>
        <v/>
      </c>
      <c r="AL94" s="60">
        <f>IF(C94="","",IFERROR(INDEX('Saisie'!$AQ$5:$AQ$2004,_xlfn.MAXIFS('Saisie'!$AS$5:$AS$2004,'Saisie'!$C$5:$C$2004,C94,'Saisie'!$AQ$5:$AQ$2004,"&lt;&gt;")-4),""))</f>
        <v/>
      </c>
      <c r="AM94" s="60">
        <f>IF(C94="","",((AI94="Oui")+(AJ94="Oui")+(AK94="Oui")+OR(AL94="Immédiat",AL94="&lt; 1 mois"))&amp;"/4")</f>
        <v/>
      </c>
      <c r="AN94" s="60">
        <f>IF(C94="","",IFERROR(INDEX('Saisie'!$AL$5:$AL$2004,_xlfn.MAXIFS('Saisie'!$AS$5:$AS$2004,'Saisie'!$C$5:$C$2004,C94,'Saisie'!$AL$5:$AL$2004,"&lt;&gt;")-4),""))</f>
        <v/>
      </c>
      <c r="AO94" s="62">
        <f>IF(C94="","",IF(IFERROR(INDEX('Saisie'!$AM$5:$AM$2004,_xlfn.MAXIFS('Saisie'!$AS$5:$AS$2004,'Saisie'!$C$5:$C$2004,C94,'Saisie'!$AM$5:$AM$2004,"&lt;&gt;")-4),"")&lt;&gt;"",IFERROR(INDEX('Saisie'!$AM$5:$AM$2004,_xlfn.MAXIFS('Saisie'!$AS$5:$AS$2004,'Saisie'!$C$5:$C$2004,C94,'Saisie'!$AM$5:$AM$2004,"&lt;&gt;")-4),""),IFERROR(INDEX('Paramètres'!$S$6:$S$15,MATCH(AN94,'Paramètres'!$Q$6:$Q$15,0)),"")))</f>
        <v/>
      </c>
      <c r="AP94" s="62">
        <f>IF(C94="","",IFERROR(INDEX('Saisie'!$AW$5:$AW$2004,_xlfn.MAXIFS('Saisie'!$AS$5:$AS$2004,'Saisie'!$C$5:$C$2004,C94,'Saisie'!$E$5:$E$2004,"Proposition envoyée")-4),""))</f>
        <v/>
      </c>
      <c r="AQ94" s="106">
        <f>IF(C94="","",IFERROR(1/(1/_xlfn.MAXIFS('Saisie'!$A$5:$A$2004,'Saisie'!$C$5:$C$2004,C94,'Saisie'!$E$5:$E$2004,"Proposition envoyée")),""))</f>
        <v/>
      </c>
      <c r="AR94" s="106">
        <f>IF(C94="","",IF(AQ94="","",AQ94+'Paramètres'!$B$26))</f>
        <v/>
      </c>
      <c r="AS94" s="62">
        <f>IF(OR(C94="",D94="Gagné",D94="Perdu"),0,N(AP94)*IFERROR(INDEX('Paramètres'!$G$6:$G$13,MATCH(D94,'Paramètres'!$F$6:$F$13,0)),0))</f>
        <v/>
      </c>
      <c r="AT94" s="106">
        <f>IF(C94="","",IFERROR(1/(1/_xlfn.MINIFS('Saisie'!$A$5:$A$2004,'Saisie'!$C$5:$C$2004,C94,'Saisie'!$E$5:$E$2004,"Signature")),""))</f>
        <v/>
      </c>
      <c r="AU94" s="60">
        <f>IF(C94="","",IF(OR(AT94="",B94=""),"",AT94-B94))</f>
        <v/>
      </c>
      <c r="AV94" s="60">
        <f>IF(C94="","",IFERROR(INDEX('Saisie'!$L$5:$L$2004,_xlfn.MAXIFS('Saisie'!$AS$5:$AS$2004,'Saisie'!$C$5:$C$2004,C94,'Saisie'!$L$5:$L$2004,"&lt;&gt;")-4),""))</f>
        <v/>
      </c>
      <c r="AW94" s="106">
        <f>IF(C94="","",IF(D94&lt;&gt;"Perdu","",IFERROR(1/(1/_xlfn.MAXIFS('Saisie'!$A$5:$A$2004,'Saisie'!$C$5:$C$2004,C94,'Saisie'!$E$5:$E$2004,"Perdu")),"")))</f>
        <v/>
      </c>
      <c r="AX94" s="106">
        <f>IF(C94="","",IF(AW94="","",AW94+'Paramètres'!$B$28))</f>
        <v/>
      </c>
      <c r="AY94" s="60">
        <f>IF(C94="","",SUMIFS('Saisie'!$H$5:$H$2004,'Saisie'!$C$5:$C$2004,C94))</f>
        <v/>
      </c>
      <c r="AZ94" s="60">
        <f>IF(C94="","",IFERROR(INDEX('Paramètres'!$W$6:$W$20,MATCH(S94,'Paramètres'!$V$6:$V$20,0))&amp;"",""))</f>
        <v/>
      </c>
      <c r="BA94" s="60">
        <f>IF(C94="","",MAX(1,_xlfn.MAXIFS('Saisie'!$AT$5:$AT$2004,'Saisie'!$C$5:$C$2004,C94)))</f>
        <v/>
      </c>
      <c r="BB94" s="60">
        <f>IF(C94="","",IFERROR(INDEX('Saisie'!$X$5:$X$2004,_xlfn.MAXIFS('Saisie'!$AS$5:$AS$2004,'Saisie'!$C$5:$C$2004,C94,'Saisie'!$X$5:$X$2004,"&lt;&gt;")-4),""))</f>
        <v/>
      </c>
      <c r="BC94" s="60">
        <f>IF(C94="","",IFERROR(INDEX('Saisie'!$Y$5:$Y$2004,_xlfn.MAXIFS('Saisie'!$AS$5:$AS$2004,'Saisie'!$C$5:$C$2004,C94,'Saisie'!$Y$5:$Y$2004,"&lt;&gt;")-4),""))</f>
        <v/>
      </c>
      <c r="BD94" s="106">
        <f>IF(C94="","",IFERROR(1/(1/_xlfn.MINIFS('Saisie'!$A$5:$A$2004,'Saisie'!$C$5:$C$2004,C94,'Saisie'!$AT$5:$AT$2004,"&gt;=2")),""))</f>
        <v/>
      </c>
      <c r="BE94" s="106">
        <f>IF(C94="","",IFERROR(1/(1/_xlfn.MINIFS('Saisie'!$A$5:$A$2004,'Saisie'!$C$5:$C$2004,C94,'Saisie'!$AT$5:$AT$2004,"&gt;=3")),""))</f>
        <v/>
      </c>
      <c r="BF94" s="106">
        <f>IF(C94="","",IFERROR(1/(1/_xlfn.MINIFS('Saisie'!$A$5:$A$2004,'Saisie'!$C$5:$C$2004,C94,'Saisie'!$AT$5:$AT$2004,"&gt;=4")),""))</f>
        <v/>
      </c>
      <c r="BG94" s="106">
        <f>IF(C94="","",IFERROR(1/(1/_xlfn.MINIFS('Saisie'!$A$5:$A$2004,'Saisie'!$C$5:$C$2004,C94,'Saisie'!$AT$5:$AT$2004,"&gt;=5")),""))</f>
        <v/>
      </c>
      <c r="BH94" s="106">
        <f>IF(C94="","",IFERROR(1/(1/_xlfn.MINIFS('Saisie'!$A$5:$A$2004,'Saisie'!$C$5:$C$2004,C94,'Saisie'!$AT$5:$AT$2004,"&gt;=6")),""))</f>
        <v/>
      </c>
      <c r="BI94" s="106">
        <f>IF(C94="","",IFERROR(1/(1/_xlfn.MINIFS('Saisie'!$A$5:$A$2004,'Saisie'!$C$5:$C$2004,C94,'Saisie'!$AT$5:$AT$2004,"&gt;=7")),""))</f>
        <v/>
      </c>
      <c r="BJ94" s="60">
        <f>IF(OR(BD94="",B94=""),"",BD94-B94)</f>
        <v/>
      </c>
      <c r="BK94" s="60">
        <f>IF(OR(BE94="",BD94=""),"",BE94-BD94)</f>
        <v/>
      </c>
      <c r="BL94" s="60">
        <f>IF(OR(BF94="",BE94=""),"",BF94-BE94)</f>
        <v/>
      </c>
      <c r="BM94" s="60">
        <f>IF(OR(BG94="",BF94=""),"",BG94-BF94)</f>
        <v/>
      </c>
      <c r="BN94" s="60">
        <f>IF(OR(BH94="",BG94=""),"",BH94-BG94)</f>
        <v/>
      </c>
      <c r="BO94" s="60">
        <f>IF(OR(BI94="",BH94=""),"",BI94-BH94)</f>
        <v/>
      </c>
      <c r="BP94" s="60">
        <f>IF(C94="","",_xlfn.MAXIFS('Saisie'!$AS$5:$AS$2004,'Saisie'!$C$5:$C$2004,C94,'Saisie'!$J$5:$J$2004,"&lt;&gt;"))</f>
        <v/>
      </c>
      <c r="BQ94" s="60">
        <f>IF(C94="","",_xlfn.MAXIFS('Saisie'!$AS$5:$AS$2004,'Saisie'!$C$5:$C$2004,C94))</f>
        <v/>
      </c>
      <c r="BR94" s="60">
        <f>IF(C94="","",_xlfn.MAXIFS('Saisie'!$AS$5:$AS$2004,'Saisie'!$C$5:$C$2004,C94,'Saisie'!$E$5:$E$2004,"Perdu"))</f>
        <v/>
      </c>
      <c r="BS94" s="60">
        <f>IF(C94="","",_xlfn.MAXIFS('Saisie'!$AS$5:$AS$2004,'Saisie'!$C$5:$C$2004,C94,'Saisie'!$AT$5:$AT$2004,"&gt;0"))</f>
        <v/>
      </c>
      <c r="BT94" s="109">
        <f>IF(AND(C94&lt;&gt;"",OR(D94="Nouveau",D94="Contacté",D94="Qualifié"),OR(G94="",N(G94)&lt;=TODAY()),NOT(AND(O94&gt;='Paramètres'!$B$21,P94=0))),E94+90/10000,"")</f>
        <v/>
      </c>
      <c r="BU94" s="60">
        <f>IF(AND(G94&lt;&gt;"",N(G94)&lt;=TODAY()),MAX($BU$4:BU93)+1,"")</f>
        <v/>
      </c>
      <c r="BV94" s="60">
        <f>IF(AND(F94&lt;&gt;"",F94&lt;&gt;"Relance en retard"),MAX($BV$4:BV93)+1,"")</f>
        <v/>
      </c>
      <c r="BW94" s="60">
        <f>IF(C94="","",IF(AND(B94&gt;='Tableau de bord'!$R$4,B94&lt;='Tableau de bord'!$S$4,OR('Tableau de bord'!$G$4="Tous",N94='Tableau de bord'!$G$4)),1,0))</f>
        <v/>
      </c>
      <c r="BX94" s="60">
        <f>IF(AND(C94&lt;&gt;"",N(BA94)=7),MAX($BX$4:BX93)+1,"")</f>
        <v/>
      </c>
    </row>
    <row r="95">
      <c r="A95" s="60">
        <f>IF(C95="","","P-"&amp;TEXT(91,"000"))</f>
        <v/>
      </c>
      <c r="B95" s="106">
        <f>IF(C95="","",IFERROR(1/(1/_xlfn.MINIFS('Saisie'!$A$5:$A$2004,'Saisie'!$C$5:$C$2004,C95)),""))</f>
        <v/>
      </c>
      <c r="C95" s="60">
        <f>IFERROR(INDEX('Saisie'!$C$5:$C$2004,MATCH(91,'Saisie'!$AX$5:$AX$2004,0)),"")</f>
        <v/>
      </c>
      <c r="D95" s="60">
        <f>IF(C95="","",IF(AND(BR95&gt;0,BR95&gt;BS95,BA95&lt;7),"Perdu",INDEX('Paramètres'!$F$6:$F$13,BA95)))</f>
        <v/>
      </c>
      <c r="E95" s="61">
        <f>IF(C95="","",MIN(100,(Z95="Oui")*'Paramètres'!$B$38+(AB95="Régulière")*'Paramètres'!$B$39+IF(AND(N(AA95)&gt;0,TODAY()-N(AA95)&lt;=30),'Paramètres'!$B$40,0)+(W95="")*'Paramètres'!$B$41+(AC95="Absente")*'Paramètres'!$B$42+(AC95="Faible")*'Paramètres'!$B$43+IF(AND(N(AD95)&gt;0,N(AD95)&lt;4),'Paramètres'!$B$44,0)+(AF95="Moyenne")*'Paramètres'!$B$45+(AF95="Grande")*'Paramètres'!$B$46+(Y95&lt;&gt;"")*'Paramètres'!$B$47))</f>
        <v/>
      </c>
      <c r="F95" s="60">
        <f>IF(C95="","",IF(D95="Gagné","",IF(D95="Perdu",IF(AND(AX95&lt;&gt;"",AX95&lt;=TODAY()),"À recontacter (perdu)",""),IF(AND(O95&gt;='Paramètres'!$B$21,P95=0),"Stop : "&amp;'Paramètres'!$B$21&amp;" tentatives sans réponse",IF(AND(D95="Proposition",AR95&lt;&gt;"",TODAY()&gt;N(AR95)),"Proposition expirée",IF(AND(D95="Proposition",N(R95)&gt;='Paramètres'!$B$25),"Proposition sans réponse",IF(AND(G95&lt;&gt;"",N(G95)&lt;TODAY()),"Relance en retard",IF(N(R95)&gt;='Paramètres'!$B$24,"Sans action depuis "&amp;R95&amp;" j",""))))))))</f>
        <v/>
      </c>
      <c r="G95" s="106">
        <f>IF(OR(C95="",D95="Gagné",D95="Perdu"),"",IF(AND(BP95&gt;0,BP95=BQ95),INDEX('Saisie'!$J$5:$J$2004,BP95-4),IF(OR(O95=0,AND(O95&gt;='Paramètres'!$B$21,P95=0)),"",Q95+IF(O95&lt;=1,'Paramètres'!$B$18,IF(O95=2,'Paramètres'!$B$19,'Paramètres'!$B$20)))))</f>
        <v/>
      </c>
      <c r="H95" s="107">
        <f>IF(OR(G95="",BP95&lt;&gt;BQ95),"",IF(INDEX('Saisie'!$K$5:$K$2004,BP95-4)="","",INDEX('Saisie'!$K$5:$K$2004,BP95-4)))</f>
        <v/>
      </c>
      <c r="I95" s="60">
        <f>IF(C95="","",IF(OR(D95="Gagné",D95="Perdu"),"",IFERROR(INDEX('Saisie'!$I$5:$I$2004,_xlfn.MAXIFS('Saisie'!$AS$5:$AS$2004,'Saisie'!$C$5:$C$2004,C95,'Saisie'!$I$5:$I$2004,"&lt;&gt;")-4),"")))</f>
        <v/>
      </c>
      <c r="J95" s="60">
        <f>IF(C95="","",IFERROR(INDEX('Saisie'!$U$5:$U$2004,_xlfn.MAXIFS('Saisie'!$AS$5:$AS$2004,'Saisie'!$C$5:$C$2004,C95,'Saisie'!$U$5:$U$2004,"&lt;&gt;")-4),""))</f>
        <v/>
      </c>
      <c r="K95" s="60">
        <f>IF(C95="","",IFERROR(INDEX('Saisie'!$W$5:$W$2004,_xlfn.MAXIFS('Saisie'!$AS$5:$AS$2004,'Saisie'!$C$5:$C$2004,C95,'Saisie'!$W$5:$W$2004,"&lt;&gt;")-4),""))</f>
        <v/>
      </c>
      <c r="L95" s="60">
        <f>IF(IF(BB95&lt;&gt;"",BB95,K95)="","",HYPERLINK("https://wa.me/"&amp;IF(LEFT(SUBSTITUTE(SUBSTITUTE(SUBSTITUTE(IF(BB95&lt;&gt;"",BB95,K95)," ",""),".",""),"+",""),1)="0",'Paramètres'!$B$35&amp;MID(SUBSTITUTE(SUBSTITUTE(SUBSTITUTE(IF(BB95&lt;&gt;"",BB95,K95)," ",""),".",""),"+",""),2,20),SUBSTITUTE(SUBSTITUTE(SUBSTITUTE(IF(BB95&lt;&gt;"",BB95,K95)," ",""),".",""),"+","")),"WhatsApp"))</f>
        <v/>
      </c>
      <c r="M95" s="60">
        <f>IF(BC95="","",HYPERLINK(IF(LEFT(BC95,4)="http",BC95,"https://www.instagram.com/"&amp;SUBSTITUTE(SUBSTITUTE(BC95,"@","")," ","")),BC95))</f>
        <v/>
      </c>
      <c r="N95" s="60">
        <f>IF(C95="","",IFERROR(INDEX('Saisie'!$D$5:$D$2004,_xlfn.MINIFS('Saisie'!$AS$5:$AS$2004,'Saisie'!$C$5:$C$2004,C95,'Saisie'!$AU$5:$AU$2004,1)-4),IFERROR(INDEX('Saisie'!$D$5:$D$2004,_xlfn.MINIFS('Saisie'!$AS$5:$AS$2004,'Saisie'!$C$5:$C$2004,C95,'Saisie'!$D$5:$D$2004,"&lt;&gt;")-4),"")))</f>
        <v/>
      </c>
      <c r="O95" s="60">
        <f>IF(C95="","",COUNTIFS('Saisie'!$C$5:$C$2004,C95,'Saisie'!$AU$5:$AU$2004,1))</f>
        <v/>
      </c>
      <c r="P95" s="60">
        <f>IF(C95="","",COUNTIFS('Saisie'!$C$5:$C$2004,C95,'Saisie'!$AV$5:$AV$2004,1))</f>
        <v/>
      </c>
      <c r="Q95" s="106">
        <f>IF(C95="","",IFERROR(1/(1/_xlfn.MAXIFS('Saisie'!$A$5:$A$2004,'Saisie'!$C$5:$C$2004,C95)),""))</f>
        <v/>
      </c>
      <c r="R95" s="61">
        <f>IF(C95="","",IF(Q95="","",TODAY()-Q95))</f>
        <v/>
      </c>
      <c r="S95" s="60">
        <f>IF(C95="","",IFERROR(INDEX('Saisie'!$R$5:$R$2004,_xlfn.MAXIFS('Saisie'!$AS$5:$AS$2004,'Saisie'!$C$5:$C$2004,C95,'Saisie'!$R$5:$R$2004,"&lt;&gt;")-4),""))</f>
        <v/>
      </c>
      <c r="T95" s="60">
        <f>IF(C95="","",IFERROR(INDEX('Saisie'!$S$5:$S$2004,_xlfn.MAXIFS('Saisie'!$AS$5:$AS$2004,'Saisie'!$C$5:$C$2004,C95,'Saisie'!$S$5:$S$2004,"&lt;&gt;")-4),""))</f>
        <v/>
      </c>
      <c r="U95" s="60">
        <f>IF(C95="","",IFERROR(INDEX('Saisie'!$T$5:$T$2004,_xlfn.MAXIFS('Saisie'!$AS$5:$AS$2004,'Saisie'!$C$5:$C$2004,C95,'Saisie'!$T$5:$T$2004,"&lt;&gt;")-4),""))</f>
        <v/>
      </c>
      <c r="V95" s="60">
        <f>IF(C95="","",IFERROR(INDEX('Saisie'!$V$5:$V$2004,_xlfn.MAXIFS('Saisie'!$AS$5:$AS$2004,'Saisie'!$C$5:$C$2004,C95,'Saisie'!$V$5:$V$2004,"&lt;&gt;")-4),""))</f>
        <v/>
      </c>
      <c r="W95" s="60">
        <f>IF(C95="","",IFERROR(INDEX('Saisie'!$Z$5:$Z$2004,_xlfn.MAXIFS('Saisie'!$AS$5:$AS$2004,'Saisie'!$C$5:$C$2004,C95,'Saisie'!$Z$5:$Z$2004,"&lt;&gt;")-4),""))</f>
        <v/>
      </c>
      <c r="X95" s="60">
        <f>IF(C95="","",IFERROR(INDEX('Saisie'!$AA$5:$AA$2004,_xlfn.MAXIFS('Saisie'!$AS$5:$AS$2004,'Saisie'!$C$5:$C$2004,C95,'Saisie'!$AA$5:$AA$2004,"&lt;&gt;")-4),""))</f>
        <v/>
      </c>
      <c r="Y95" s="60">
        <f>IF(C95="","",IFERROR(INDEX('Saisie'!$AB$5:$AB$2004,_xlfn.MAXIFS('Saisie'!$AS$5:$AS$2004,'Saisie'!$C$5:$C$2004,C95,'Saisie'!$AB$5:$AB$2004,"&lt;&gt;")-4),""))</f>
        <v/>
      </c>
      <c r="Z95" s="60">
        <f>IF(C95="","",IFERROR(INDEX('Saisie'!$AC$5:$AC$2004,_xlfn.MAXIFS('Saisie'!$AS$5:$AS$2004,'Saisie'!$C$5:$C$2004,C95,'Saisie'!$AC$5:$AC$2004,"&lt;&gt;")-4),""))</f>
        <v/>
      </c>
      <c r="AA95" s="106">
        <f>IF(C95="","",IFERROR(INDEX('Saisie'!$AD$5:$AD$2004,_xlfn.MAXIFS('Saisie'!$AS$5:$AS$2004,'Saisie'!$C$5:$C$2004,C95,'Saisie'!$AD$5:$AD$2004,"&lt;&gt;")-4),""))</f>
        <v/>
      </c>
      <c r="AB95" s="60">
        <f>IF(C95="","",IFERROR(INDEX('Saisie'!$AE$5:$AE$2004,_xlfn.MAXIFS('Saisie'!$AS$5:$AS$2004,'Saisie'!$C$5:$C$2004,C95,'Saisie'!$AE$5:$AE$2004,"&lt;&gt;")-4),""))</f>
        <v/>
      </c>
      <c r="AC95" s="60">
        <f>IF(C95="","",IFERROR(INDEX('Saisie'!$AF$5:$AF$2004,_xlfn.MAXIFS('Saisie'!$AS$5:$AS$2004,'Saisie'!$C$5:$C$2004,C95,'Saisie'!$AF$5:$AF$2004,"&lt;&gt;")-4),""))</f>
        <v/>
      </c>
      <c r="AD95" s="108">
        <f>IF(C95="","",IFERROR(INDEX('Saisie'!$AG$5:$AG$2004,_xlfn.MAXIFS('Saisie'!$AS$5:$AS$2004,'Saisie'!$C$5:$C$2004,C95,'Saisie'!$AG$5:$AG$2004,"&lt;&gt;")-4),""))</f>
        <v/>
      </c>
      <c r="AE95" s="60">
        <f>IF(C95="","",IFERROR(INDEX('Saisie'!$AH$5:$AH$2004,_xlfn.MAXIFS('Saisie'!$AS$5:$AS$2004,'Saisie'!$C$5:$C$2004,C95,'Saisie'!$AH$5:$AH$2004,"&lt;&gt;")-4),""))</f>
        <v/>
      </c>
      <c r="AF95" s="60">
        <f>IF(C95="","",IFERROR(INDEX('Saisie'!$AI$5:$AI$2004,_xlfn.MAXIFS('Saisie'!$AS$5:$AS$2004,'Saisie'!$C$5:$C$2004,C95,'Saisie'!$AI$5:$AI$2004,"&lt;&gt;")-4),""))</f>
        <v/>
      </c>
      <c r="AG95" s="60">
        <f>IF(C95="","",IFERROR(INDEX('Saisie'!$AJ$5:$AJ$2004,_xlfn.MAXIFS('Saisie'!$AS$5:$AS$2004,'Saisie'!$C$5:$C$2004,C95,'Saisie'!$AJ$5:$AJ$2004,"&lt;&gt;")-4),""))</f>
        <v/>
      </c>
      <c r="AH95" s="60">
        <f>IF(C95="","",IFERROR(INDEX('Saisie'!$AK$5:$AK$2004,_xlfn.MAXIFS('Saisie'!$AS$5:$AS$2004,'Saisie'!$C$5:$C$2004,C95,'Saisie'!$AK$5:$AK$2004,"&lt;&gt;")-4),""))</f>
        <v/>
      </c>
      <c r="AI95" s="60">
        <f>IF(C95="","",IFERROR(INDEX('Saisie'!$AN$5:$AN$2004,_xlfn.MAXIFS('Saisie'!$AS$5:$AS$2004,'Saisie'!$C$5:$C$2004,C95,'Saisie'!$AN$5:$AN$2004,"&lt;&gt;")-4),""))</f>
        <v/>
      </c>
      <c r="AJ95" s="60">
        <f>IF(C95="","",IFERROR(INDEX('Saisie'!$AO$5:$AO$2004,_xlfn.MAXIFS('Saisie'!$AS$5:$AS$2004,'Saisie'!$C$5:$C$2004,C95,'Saisie'!$AO$5:$AO$2004,"&lt;&gt;")-4),""))</f>
        <v/>
      </c>
      <c r="AK95" s="60">
        <f>IF(C95="","",IFERROR(INDEX('Saisie'!$AP$5:$AP$2004,_xlfn.MAXIFS('Saisie'!$AS$5:$AS$2004,'Saisie'!$C$5:$C$2004,C95,'Saisie'!$AP$5:$AP$2004,"&lt;&gt;")-4),""))</f>
        <v/>
      </c>
      <c r="AL95" s="60">
        <f>IF(C95="","",IFERROR(INDEX('Saisie'!$AQ$5:$AQ$2004,_xlfn.MAXIFS('Saisie'!$AS$5:$AS$2004,'Saisie'!$C$5:$C$2004,C95,'Saisie'!$AQ$5:$AQ$2004,"&lt;&gt;")-4),""))</f>
        <v/>
      </c>
      <c r="AM95" s="60">
        <f>IF(C95="","",((AI95="Oui")+(AJ95="Oui")+(AK95="Oui")+OR(AL95="Immédiat",AL95="&lt; 1 mois"))&amp;"/4")</f>
        <v/>
      </c>
      <c r="AN95" s="60">
        <f>IF(C95="","",IFERROR(INDEX('Saisie'!$AL$5:$AL$2004,_xlfn.MAXIFS('Saisie'!$AS$5:$AS$2004,'Saisie'!$C$5:$C$2004,C95,'Saisie'!$AL$5:$AL$2004,"&lt;&gt;")-4),""))</f>
        <v/>
      </c>
      <c r="AO95" s="62">
        <f>IF(C95="","",IF(IFERROR(INDEX('Saisie'!$AM$5:$AM$2004,_xlfn.MAXIFS('Saisie'!$AS$5:$AS$2004,'Saisie'!$C$5:$C$2004,C95,'Saisie'!$AM$5:$AM$2004,"&lt;&gt;")-4),"")&lt;&gt;"",IFERROR(INDEX('Saisie'!$AM$5:$AM$2004,_xlfn.MAXIFS('Saisie'!$AS$5:$AS$2004,'Saisie'!$C$5:$C$2004,C95,'Saisie'!$AM$5:$AM$2004,"&lt;&gt;")-4),""),IFERROR(INDEX('Paramètres'!$S$6:$S$15,MATCH(AN95,'Paramètres'!$Q$6:$Q$15,0)),"")))</f>
        <v/>
      </c>
      <c r="AP95" s="62">
        <f>IF(C95="","",IFERROR(INDEX('Saisie'!$AW$5:$AW$2004,_xlfn.MAXIFS('Saisie'!$AS$5:$AS$2004,'Saisie'!$C$5:$C$2004,C95,'Saisie'!$E$5:$E$2004,"Proposition envoyée")-4),""))</f>
        <v/>
      </c>
      <c r="AQ95" s="106">
        <f>IF(C95="","",IFERROR(1/(1/_xlfn.MAXIFS('Saisie'!$A$5:$A$2004,'Saisie'!$C$5:$C$2004,C95,'Saisie'!$E$5:$E$2004,"Proposition envoyée")),""))</f>
        <v/>
      </c>
      <c r="AR95" s="106">
        <f>IF(C95="","",IF(AQ95="","",AQ95+'Paramètres'!$B$26))</f>
        <v/>
      </c>
      <c r="AS95" s="62">
        <f>IF(OR(C95="",D95="Gagné",D95="Perdu"),0,N(AP95)*IFERROR(INDEX('Paramètres'!$G$6:$G$13,MATCH(D95,'Paramètres'!$F$6:$F$13,0)),0))</f>
        <v/>
      </c>
      <c r="AT95" s="106">
        <f>IF(C95="","",IFERROR(1/(1/_xlfn.MINIFS('Saisie'!$A$5:$A$2004,'Saisie'!$C$5:$C$2004,C95,'Saisie'!$E$5:$E$2004,"Signature")),""))</f>
        <v/>
      </c>
      <c r="AU95" s="60">
        <f>IF(C95="","",IF(OR(AT95="",B95=""),"",AT95-B95))</f>
        <v/>
      </c>
      <c r="AV95" s="60">
        <f>IF(C95="","",IFERROR(INDEX('Saisie'!$L$5:$L$2004,_xlfn.MAXIFS('Saisie'!$AS$5:$AS$2004,'Saisie'!$C$5:$C$2004,C95,'Saisie'!$L$5:$L$2004,"&lt;&gt;")-4),""))</f>
        <v/>
      </c>
      <c r="AW95" s="106">
        <f>IF(C95="","",IF(D95&lt;&gt;"Perdu","",IFERROR(1/(1/_xlfn.MAXIFS('Saisie'!$A$5:$A$2004,'Saisie'!$C$5:$C$2004,C95,'Saisie'!$E$5:$E$2004,"Perdu")),"")))</f>
        <v/>
      </c>
      <c r="AX95" s="106">
        <f>IF(C95="","",IF(AW95="","",AW95+'Paramètres'!$B$28))</f>
        <v/>
      </c>
      <c r="AY95" s="60">
        <f>IF(C95="","",SUMIFS('Saisie'!$H$5:$H$2004,'Saisie'!$C$5:$C$2004,C95))</f>
        <v/>
      </c>
      <c r="AZ95" s="60">
        <f>IF(C95="","",IFERROR(INDEX('Paramètres'!$W$6:$W$20,MATCH(S95,'Paramètres'!$V$6:$V$20,0))&amp;"",""))</f>
        <v/>
      </c>
      <c r="BA95" s="60">
        <f>IF(C95="","",MAX(1,_xlfn.MAXIFS('Saisie'!$AT$5:$AT$2004,'Saisie'!$C$5:$C$2004,C95)))</f>
        <v/>
      </c>
      <c r="BB95" s="60">
        <f>IF(C95="","",IFERROR(INDEX('Saisie'!$X$5:$X$2004,_xlfn.MAXIFS('Saisie'!$AS$5:$AS$2004,'Saisie'!$C$5:$C$2004,C95,'Saisie'!$X$5:$X$2004,"&lt;&gt;")-4),""))</f>
        <v/>
      </c>
      <c r="BC95" s="60">
        <f>IF(C95="","",IFERROR(INDEX('Saisie'!$Y$5:$Y$2004,_xlfn.MAXIFS('Saisie'!$AS$5:$AS$2004,'Saisie'!$C$5:$C$2004,C95,'Saisie'!$Y$5:$Y$2004,"&lt;&gt;")-4),""))</f>
        <v/>
      </c>
      <c r="BD95" s="106">
        <f>IF(C95="","",IFERROR(1/(1/_xlfn.MINIFS('Saisie'!$A$5:$A$2004,'Saisie'!$C$5:$C$2004,C95,'Saisie'!$AT$5:$AT$2004,"&gt;=2")),""))</f>
        <v/>
      </c>
      <c r="BE95" s="106">
        <f>IF(C95="","",IFERROR(1/(1/_xlfn.MINIFS('Saisie'!$A$5:$A$2004,'Saisie'!$C$5:$C$2004,C95,'Saisie'!$AT$5:$AT$2004,"&gt;=3")),""))</f>
        <v/>
      </c>
      <c r="BF95" s="106">
        <f>IF(C95="","",IFERROR(1/(1/_xlfn.MINIFS('Saisie'!$A$5:$A$2004,'Saisie'!$C$5:$C$2004,C95,'Saisie'!$AT$5:$AT$2004,"&gt;=4")),""))</f>
        <v/>
      </c>
      <c r="BG95" s="106">
        <f>IF(C95="","",IFERROR(1/(1/_xlfn.MINIFS('Saisie'!$A$5:$A$2004,'Saisie'!$C$5:$C$2004,C95,'Saisie'!$AT$5:$AT$2004,"&gt;=5")),""))</f>
        <v/>
      </c>
      <c r="BH95" s="106">
        <f>IF(C95="","",IFERROR(1/(1/_xlfn.MINIFS('Saisie'!$A$5:$A$2004,'Saisie'!$C$5:$C$2004,C95,'Saisie'!$AT$5:$AT$2004,"&gt;=6")),""))</f>
        <v/>
      </c>
      <c r="BI95" s="106">
        <f>IF(C95="","",IFERROR(1/(1/_xlfn.MINIFS('Saisie'!$A$5:$A$2004,'Saisie'!$C$5:$C$2004,C95,'Saisie'!$AT$5:$AT$2004,"&gt;=7")),""))</f>
        <v/>
      </c>
      <c r="BJ95" s="60">
        <f>IF(OR(BD95="",B95=""),"",BD95-B95)</f>
        <v/>
      </c>
      <c r="BK95" s="60">
        <f>IF(OR(BE95="",BD95=""),"",BE95-BD95)</f>
        <v/>
      </c>
      <c r="BL95" s="60">
        <f>IF(OR(BF95="",BE95=""),"",BF95-BE95)</f>
        <v/>
      </c>
      <c r="BM95" s="60">
        <f>IF(OR(BG95="",BF95=""),"",BG95-BF95)</f>
        <v/>
      </c>
      <c r="BN95" s="60">
        <f>IF(OR(BH95="",BG95=""),"",BH95-BG95)</f>
        <v/>
      </c>
      <c r="BO95" s="60">
        <f>IF(OR(BI95="",BH95=""),"",BI95-BH95)</f>
        <v/>
      </c>
      <c r="BP95" s="60">
        <f>IF(C95="","",_xlfn.MAXIFS('Saisie'!$AS$5:$AS$2004,'Saisie'!$C$5:$C$2004,C95,'Saisie'!$J$5:$J$2004,"&lt;&gt;"))</f>
        <v/>
      </c>
      <c r="BQ95" s="60">
        <f>IF(C95="","",_xlfn.MAXIFS('Saisie'!$AS$5:$AS$2004,'Saisie'!$C$5:$C$2004,C95))</f>
        <v/>
      </c>
      <c r="BR95" s="60">
        <f>IF(C95="","",_xlfn.MAXIFS('Saisie'!$AS$5:$AS$2004,'Saisie'!$C$5:$C$2004,C95,'Saisie'!$E$5:$E$2004,"Perdu"))</f>
        <v/>
      </c>
      <c r="BS95" s="60">
        <f>IF(C95="","",_xlfn.MAXIFS('Saisie'!$AS$5:$AS$2004,'Saisie'!$C$5:$C$2004,C95,'Saisie'!$AT$5:$AT$2004,"&gt;0"))</f>
        <v/>
      </c>
      <c r="BT95" s="109">
        <f>IF(AND(C95&lt;&gt;"",OR(D95="Nouveau",D95="Contacté",D95="Qualifié"),OR(G95="",N(G95)&lt;=TODAY()),NOT(AND(O95&gt;='Paramètres'!$B$21,P95=0))),E95+91/10000,"")</f>
        <v/>
      </c>
      <c r="BU95" s="60">
        <f>IF(AND(G95&lt;&gt;"",N(G95)&lt;=TODAY()),MAX($BU$4:BU94)+1,"")</f>
        <v/>
      </c>
      <c r="BV95" s="60">
        <f>IF(AND(F95&lt;&gt;"",F95&lt;&gt;"Relance en retard"),MAX($BV$4:BV94)+1,"")</f>
        <v/>
      </c>
      <c r="BW95" s="60">
        <f>IF(C95="","",IF(AND(B95&gt;='Tableau de bord'!$R$4,B95&lt;='Tableau de bord'!$S$4,OR('Tableau de bord'!$G$4="Tous",N95='Tableau de bord'!$G$4)),1,0))</f>
        <v/>
      </c>
      <c r="BX95" s="60">
        <f>IF(AND(C95&lt;&gt;"",N(BA95)=7),MAX($BX$4:BX94)+1,"")</f>
        <v/>
      </c>
    </row>
    <row r="96">
      <c r="A96" s="60">
        <f>IF(C96="","","P-"&amp;TEXT(92,"000"))</f>
        <v/>
      </c>
      <c r="B96" s="106">
        <f>IF(C96="","",IFERROR(1/(1/_xlfn.MINIFS('Saisie'!$A$5:$A$2004,'Saisie'!$C$5:$C$2004,C96)),""))</f>
        <v/>
      </c>
      <c r="C96" s="60">
        <f>IFERROR(INDEX('Saisie'!$C$5:$C$2004,MATCH(92,'Saisie'!$AX$5:$AX$2004,0)),"")</f>
        <v/>
      </c>
      <c r="D96" s="60">
        <f>IF(C96="","",IF(AND(BR96&gt;0,BR96&gt;BS96,BA96&lt;7),"Perdu",INDEX('Paramètres'!$F$6:$F$13,BA96)))</f>
        <v/>
      </c>
      <c r="E96" s="61">
        <f>IF(C96="","",MIN(100,(Z96="Oui")*'Paramètres'!$B$38+(AB96="Régulière")*'Paramètres'!$B$39+IF(AND(N(AA96)&gt;0,TODAY()-N(AA96)&lt;=30),'Paramètres'!$B$40,0)+(W96="")*'Paramètres'!$B$41+(AC96="Absente")*'Paramètres'!$B$42+(AC96="Faible")*'Paramètres'!$B$43+IF(AND(N(AD96)&gt;0,N(AD96)&lt;4),'Paramètres'!$B$44,0)+(AF96="Moyenne")*'Paramètres'!$B$45+(AF96="Grande")*'Paramètres'!$B$46+(Y96&lt;&gt;"")*'Paramètres'!$B$47))</f>
        <v/>
      </c>
      <c r="F96" s="60">
        <f>IF(C96="","",IF(D96="Gagné","",IF(D96="Perdu",IF(AND(AX96&lt;&gt;"",AX96&lt;=TODAY()),"À recontacter (perdu)",""),IF(AND(O96&gt;='Paramètres'!$B$21,P96=0),"Stop : "&amp;'Paramètres'!$B$21&amp;" tentatives sans réponse",IF(AND(D96="Proposition",AR96&lt;&gt;"",TODAY()&gt;N(AR96)),"Proposition expirée",IF(AND(D96="Proposition",N(R96)&gt;='Paramètres'!$B$25),"Proposition sans réponse",IF(AND(G96&lt;&gt;"",N(G96)&lt;TODAY()),"Relance en retard",IF(N(R96)&gt;='Paramètres'!$B$24,"Sans action depuis "&amp;R96&amp;" j",""))))))))</f>
        <v/>
      </c>
      <c r="G96" s="106">
        <f>IF(OR(C96="",D96="Gagné",D96="Perdu"),"",IF(AND(BP96&gt;0,BP96=BQ96),INDEX('Saisie'!$J$5:$J$2004,BP96-4),IF(OR(O96=0,AND(O96&gt;='Paramètres'!$B$21,P96=0)),"",Q96+IF(O96&lt;=1,'Paramètres'!$B$18,IF(O96=2,'Paramètres'!$B$19,'Paramètres'!$B$20)))))</f>
        <v/>
      </c>
      <c r="H96" s="107">
        <f>IF(OR(G96="",BP96&lt;&gt;BQ96),"",IF(INDEX('Saisie'!$K$5:$K$2004,BP96-4)="","",INDEX('Saisie'!$K$5:$K$2004,BP96-4)))</f>
        <v/>
      </c>
      <c r="I96" s="60">
        <f>IF(C96="","",IF(OR(D96="Gagné",D96="Perdu"),"",IFERROR(INDEX('Saisie'!$I$5:$I$2004,_xlfn.MAXIFS('Saisie'!$AS$5:$AS$2004,'Saisie'!$C$5:$C$2004,C96,'Saisie'!$I$5:$I$2004,"&lt;&gt;")-4),"")))</f>
        <v/>
      </c>
      <c r="J96" s="60">
        <f>IF(C96="","",IFERROR(INDEX('Saisie'!$U$5:$U$2004,_xlfn.MAXIFS('Saisie'!$AS$5:$AS$2004,'Saisie'!$C$5:$C$2004,C96,'Saisie'!$U$5:$U$2004,"&lt;&gt;")-4),""))</f>
        <v/>
      </c>
      <c r="K96" s="60">
        <f>IF(C96="","",IFERROR(INDEX('Saisie'!$W$5:$W$2004,_xlfn.MAXIFS('Saisie'!$AS$5:$AS$2004,'Saisie'!$C$5:$C$2004,C96,'Saisie'!$W$5:$W$2004,"&lt;&gt;")-4),""))</f>
        <v/>
      </c>
      <c r="L96" s="60">
        <f>IF(IF(BB96&lt;&gt;"",BB96,K96)="","",HYPERLINK("https://wa.me/"&amp;IF(LEFT(SUBSTITUTE(SUBSTITUTE(SUBSTITUTE(IF(BB96&lt;&gt;"",BB96,K96)," ",""),".",""),"+",""),1)="0",'Paramètres'!$B$35&amp;MID(SUBSTITUTE(SUBSTITUTE(SUBSTITUTE(IF(BB96&lt;&gt;"",BB96,K96)," ",""),".",""),"+",""),2,20),SUBSTITUTE(SUBSTITUTE(SUBSTITUTE(IF(BB96&lt;&gt;"",BB96,K96)," ",""),".",""),"+","")),"WhatsApp"))</f>
        <v/>
      </c>
      <c r="M96" s="60">
        <f>IF(BC96="","",HYPERLINK(IF(LEFT(BC96,4)="http",BC96,"https://www.instagram.com/"&amp;SUBSTITUTE(SUBSTITUTE(BC96,"@","")," ","")),BC96))</f>
        <v/>
      </c>
      <c r="N96" s="60">
        <f>IF(C96="","",IFERROR(INDEX('Saisie'!$D$5:$D$2004,_xlfn.MINIFS('Saisie'!$AS$5:$AS$2004,'Saisie'!$C$5:$C$2004,C96,'Saisie'!$AU$5:$AU$2004,1)-4),IFERROR(INDEX('Saisie'!$D$5:$D$2004,_xlfn.MINIFS('Saisie'!$AS$5:$AS$2004,'Saisie'!$C$5:$C$2004,C96,'Saisie'!$D$5:$D$2004,"&lt;&gt;")-4),"")))</f>
        <v/>
      </c>
      <c r="O96" s="60">
        <f>IF(C96="","",COUNTIFS('Saisie'!$C$5:$C$2004,C96,'Saisie'!$AU$5:$AU$2004,1))</f>
        <v/>
      </c>
      <c r="P96" s="60">
        <f>IF(C96="","",COUNTIFS('Saisie'!$C$5:$C$2004,C96,'Saisie'!$AV$5:$AV$2004,1))</f>
        <v/>
      </c>
      <c r="Q96" s="106">
        <f>IF(C96="","",IFERROR(1/(1/_xlfn.MAXIFS('Saisie'!$A$5:$A$2004,'Saisie'!$C$5:$C$2004,C96)),""))</f>
        <v/>
      </c>
      <c r="R96" s="61">
        <f>IF(C96="","",IF(Q96="","",TODAY()-Q96))</f>
        <v/>
      </c>
      <c r="S96" s="60">
        <f>IF(C96="","",IFERROR(INDEX('Saisie'!$R$5:$R$2004,_xlfn.MAXIFS('Saisie'!$AS$5:$AS$2004,'Saisie'!$C$5:$C$2004,C96,'Saisie'!$R$5:$R$2004,"&lt;&gt;")-4),""))</f>
        <v/>
      </c>
      <c r="T96" s="60">
        <f>IF(C96="","",IFERROR(INDEX('Saisie'!$S$5:$S$2004,_xlfn.MAXIFS('Saisie'!$AS$5:$AS$2004,'Saisie'!$C$5:$C$2004,C96,'Saisie'!$S$5:$S$2004,"&lt;&gt;")-4),""))</f>
        <v/>
      </c>
      <c r="U96" s="60">
        <f>IF(C96="","",IFERROR(INDEX('Saisie'!$T$5:$T$2004,_xlfn.MAXIFS('Saisie'!$AS$5:$AS$2004,'Saisie'!$C$5:$C$2004,C96,'Saisie'!$T$5:$T$2004,"&lt;&gt;")-4),""))</f>
        <v/>
      </c>
      <c r="V96" s="60">
        <f>IF(C96="","",IFERROR(INDEX('Saisie'!$V$5:$V$2004,_xlfn.MAXIFS('Saisie'!$AS$5:$AS$2004,'Saisie'!$C$5:$C$2004,C96,'Saisie'!$V$5:$V$2004,"&lt;&gt;")-4),""))</f>
        <v/>
      </c>
      <c r="W96" s="60">
        <f>IF(C96="","",IFERROR(INDEX('Saisie'!$Z$5:$Z$2004,_xlfn.MAXIFS('Saisie'!$AS$5:$AS$2004,'Saisie'!$C$5:$C$2004,C96,'Saisie'!$Z$5:$Z$2004,"&lt;&gt;")-4),""))</f>
        <v/>
      </c>
      <c r="X96" s="60">
        <f>IF(C96="","",IFERROR(INDEX('Saisie'!$AA$5:$AA$2004,_xlfn.MAXIFS('Saisie'!$AS$5:$AS$2004,'Saisie'!$C$5:$C$2004,C96,'Saisie'!$AA$5:$AA$2004,"&lt;&gt;")-4),""))</f>
        <v/>
      </c>
      <c r="Y96" s="60">
        <f>IF(C96="","",IFERROR(INDEX('Saisie'!$AB$5:$AB$2004,_xlfn.MAXIFS('Saisie'!$AS$5:$AS$2004,'Saisie'!$C$5:$C$2004,C96,'Saisie'!$AB$5:$AB$2004,"&lt;&gt;")-4),""))</f>
        <v/>
      </c>
      <c r="Z96" s="60">
        <f>IF(C96="","",IFERROR(INDEX('Saisie'!$AC$5:$AC$2004,_xlfn.MAXIFS('Saisie'!$AS$5:$AS$2004,'Saisie'!$C$5:$C$2004,C96,'Saisie'!$AC$5:$AC$2004,"&lt;&gt;")-4),""))</f>
        <v/>
      </c>
      <c r="AA96" s="106">
        <f>IF(C96="","",IFERROR(INDEX('Saisie'!$AD$5:$AD$2004,_xlfn.MAXIFS('Saisie'!$AS$5:$AS$2004,'Saisie'!$C$5:$C$2004,C96,'Saisie'!$AD$5:$AD$2004,"&lt;&gt;")-4),""))</f>
        <v/>
      </c>
      <c r="AB96" s="60">
        <f>IF(C96="","",IFERROR(INDEX('Saisie'!$AE$5:$AE$2004,_xlfn.MAXIFS('Saisie'!$AS$5:$AS$2004,'Saisie'!$C$5:$C$2004,C96,'Saisie'!$AE$5:$AE$2004,"&lt;&gt;")-4),""))</f>
        <v/>
      </c>
      <c r="AC96" s="60">
        <f>IF(C96="","",IFERROR(INDEX('Saisie'!$AF$5:$AF$2004,_xlfn.MAXIFS('Saisie'!$AS$5:$AS$2004,'Saisie'!$C$5:$C$2004,C96,'Saisie'!$AF$5:$AF$2004,"&lt;&gt;")-4),""))</f>
        <v/>
      </c>
      <c r="AD96" s="108">
        <f>IF(C96="","",IFERROR(INDEX('Saisie'!$AG$5:$AG$2004,_xlfn.MAXIFS('Saisie'!$AS$5:$AS$2004,'Saisie'!$C$5:$C$2004,C96,'Saisie'!$AG$5:$AG$2004,"&lt;&gt;")-4),""))</f>
        <v/>
      </c>
      <c r="AE96" s="60">
        <f>IF(C96="","",IFERROR(INDEX('Saisie'!$AH$5:$AH$2004,_xlfn.MAXIFS('Saisie'!$AS$5:$AS$2004,'Saisie'!$C$5:$C$2004,C96,'Saisie'!$AH$5:$AH$2004,"&lt;&gt;")-4),""))</f>
        <v/>
      </c>
      <c r="AF96" s="60">
        <f>IF(C96="","",IFERROR(INDEX('Saisie'!$AI$5:$AI$2004,_xlfn.MAXIFS('Saisie'!$AS$5:$AS$2004,'Saisie'!$C$5:$C$2004,C96,'Saisie'!$AI$5:$AI$2004,"&lt;&gt;")-4),""))</f>
        <v/>
      </c>
      <c r="AG96" s="60">
        <f>IF(C96="","",IFERROR(INDEX('Saisie'!$AJ$5:$AJ$2004,_xlfn.MAXIFS('Saisie'!$AS$5:$AS$2004,'Saisie'!$C$5:$C$2004,C96,'Saisie'!$AJ$5:$AJ$2004,"&lt;&gt;")-4),""))</f>
        <v/>
      </c>
      <c r="AH96" s="60">
        <f>IF(C96="","",IFERROR(INDEX('Saisie'!$AK$5:$AK$2004,_xlfn.MAXIFS('Saisie'!$AS$5:$AS$2004,'Saisie'!$C$5:$C$2004,C96,'Saisie'!$AK$5:$AK$2004,"&lt;&gt;")-4),""))</f>
        <v/>
      </c>
      <c r="AI96" s="60">
        <f>IF(C96="","",IFERROR(INDEX('Saisie'!$AN$5:$AN$2004,_xlfn.MAXIFS('Saisie'!$AS$5:$AS$2004,'Saisie'!$C$5:$C$2004,C96,'Saisie'!$AN$5:$AN$2004,"&lt;&gt;")-4),""))</f>
        <v/>
      </c>
      <c r="AJ96" s="60">
        <f>IF(C96="","",IFERROR(INDEX('Saisie'!$AO$5:$AO$2004,_xlfn.MAXIFS('Saisie'!$AS$5:$AS$2004,'Saisie'!$C$5:$C$2004,C96,'Saisie'!$AO$5:$AO$2004,"&lt;&gt;")-4),""))</f>
        <v/>
      </c>
      <c r="AK96" s="60">
        <f>IF(C96="","",IFERROR(INDEX('Saisie'!$AP$5:$AP$2004,_xlfn.MAXIFS('Saisie'!$AS$5:$AS$2004,'Saisie'!$C$5:$C$2004,C96,'Saisie'!$AP$5:$AP$2004,"&lt;&gt;")-4),""))</f>
        <v/>
      </c>
      <c r="AL96" s="60">
        <f>IF(C96="","",IFERROR(INDEX('Saisie'!$AQ$5:$AQ$2004,_xlfn.MAXIFS('Saisie'!$AS$5:$AS$2004,'Saisie'!$C$5:$C$2004,C96,'Saisie'!$AQ$5:$AQ$2004,"&lt;&gt;")-4),""))</f>
        <v/>
      </c>
      <c r="AM96" s="60">
        <f>IF(C96="","",((AI96="Oui")+(AJ96="Oui")+(AK96="Oui")+OR(AL96="Immédiat",AL96="&lt; 1 mois"))&amp;"/4")</f>
        <v/>
      </c>
      <c r="AN96" s="60">
        <f>IF(C96="","",IFERROR(INDEX('Saisie'!$AL$5:$AL$2004,_xlfn.MAXIFS('Saisie'!$AS$5:$AS$2004,'Saisie'!$C$5:$C$2004,C96,'Saisie'!$AL$5:$AL$2004,"&lt;&gt;")-4),""))</f>
        <v/>
      </c>
      <c r="AO96" s="62">
        <f>IF(C96="","",IF(IFERROR(INDEX('Saisie'!$AM$5:$AM$2004,_xlfn.MAXIFS('Saisie'!$AS$5:$AS$2004,'Saisie'!$C$5:$C$2004,C96,'Saisie'!$AM$5:$AM$2004,"&lt;&gt;")-4),"")&lt;&gt;"",IFERROR(INDEX('Saisie'!$AM$5:$AM$2004,_xlfn.MAXIFS('Saisie'!$AS$5:$AS$2004,'Saisie'!$C$5:$C$2004,C96,'Saisie'!$AM$5:$AM$2004,"&lt;&gt;")-4),""),IFERROR(INDEX('Paramètres'!$S$6:$S$15,MATCH(AN96,'Paramètres'!$Q$6:$Q$15,0)),"")))</f>
        <v/>
      </c>
      <c r="AP96" s="62">
        <f>IF(C96="","",IFERROR(INDEX('Saisie'!$AW$5:$AW$2004,_xlfn.MAXIFS('Saisie'!$AS$5:$AS$2004,'Saisie'!$C$5:$C$2004,C96,'Saisie'!$E$5:$E$2004,"Proposition envoyée")-4),""))</f>
        <v/>
      </c>
      <c r="AQ96" s="106">
        <f>IF(C96="","",IFERROR(1/(1/_xlfn.MAXIFS('Saisie'!$A$5:$A$2004,'Saisie'!$C$5:$C$2004,C96,'Saisie'!$E$5:$E$2004,"Proposition envoyée")),""))</f>
        <v/>
      </c>
      <c r="AR96" s="106">
        <f>IF(C96="","",IF(AQ96="","",AQ96+'Paramètres'!$B$26))</f>
        <v/>
      </c>
      <c r="AS96" s="62">
        <f>IF(OR(C96="",D96="Gagné",D96="Perdu"),0,N(AP96)*IFERROR(INDEX('Paramètres'!$G$6:$G$13,MATCH(D96,'Paramètres'!$F$6:$F$13,0)),0))</f>
        <v/>
      </c>
      <c r="AT96" s="106">
        <f>IF(C96="","",IFERROR(1/(1/_xlfn.MINIFS('Saisie'!$A$5:$A$2004,'Saisie'!$C$5:$C$2004,C96,'Saisie'!$E$5:$E$2004,"Signature")),""))</f>
        <v/>
      </c>
      <c r="AU96" s="60">
        <f>IF(C96="","",IF(OR(AT96="",B96=""),"",AT96-B96))</f>
        <v/>
      </c>
      <c r="AV96" s="60">
        <f>IF(C96="","",IFERROR(INDEX('Saisie'!$L$5:$L$2004,_xlfn.MAXIFS('Saisie'!$AS$5:$AS$2004,'Saisie'!$C$5:$C$2004,C96,'Saisie'!$L$5:$L$2004,"&lt;&gt;")-4),""))</f>
        <v/>
      </c>
      <c r="AW96" s="106">
        <f>IF(C96="","",IF(D96&lt;&gt;"Perdu","",IFERROR(1/(1/_xlfn.MAXIFS('Saisie'!$A$5:$A$2004,'Saisie'!$C$5:$C$2004,C96,'Saisie'!$E$5:$E$2004,"Perdu")),"")))</f>
        <v/>
      </c>
      <c r="AX96" s="106">
        <f>IF(C96="","",IF(AW96="","",AW96+'Paramètres'!$B$28))</f>
        <v/>
      </c>
      <c r="AY96" s="60">
        <f>IF(C96="","",SUMIFS('Saisie'!$H$5:$H$2004,'Saisie'!$C$5:$C$2004,C96))</f>
        <v/>
      </c>
      <c r="AZ96" s="60">
        <f>IF(C96="","",IFERROR(INDEX('Paramètres'!$W$6:$W$20,MATCH(S96,'Paramètres'!$V$6:$V$20,0))&amp;"",""))</f>
        <v/>
      </c>
      <c r="BA96" s="60">
        <f>IF(C96="","",MAX(1,_xlfn.MAXIFS('Saisie'!$AT$5:$AT$2004,'Saisie'!$C$5:$C$2004,C96)))</f>
        <v/>
      </c>
      <c r="BB96" s="60">
        <f>IF(C96="","",IFERROR(INDEX('Saisie'!$X$5:$X$2004,_xlfn.MAXIFS('Saisie'!$AS$5:$AS$2004,'Saisie'!$C$5:$C$2004,C96,'Saisie'!$X$5:$X$2004,"&lt;&gt;")-4),""))</f>
        <v/>
      </c>
      <c r="BC96" s="60">
        <f>IF(C96="","",IFERROR(INDEX('Saisie'!$Y$5:$Y$2004,_xlfn.MAXIFS('Saisie'!$AS$5:$AS$2004,'Saisie'!$C$5:$C$2004,C96,'Saisie'!$Y$5:$Y$2004,"&lt;&gt;")-4),""))</f>
        <v/>
      </c>
      <c r="BD96" s="106">
        <f>IF(C96="","",IFERROR(1/(1/_xlfn.MINIFS('Saisie'!$A$5:$A$2004,'Saisie'!$C$5:$C$2004,C96,'Saisie'!$AT$5:$AT$2004,"&gt;=2")),""))</f>
        <v/>
      </c>
      <c r="BE96" s="106">
        <f>IF(C96="","",IFERROR(1/(1/_xlfn.MINIFS('Saisie'!$A$5:$A$2004,'Saisie'!$C$5:$C$2004,C96,'Saisie'!$AT$5:$AT$2004,"&gt;=3")),""))</f>
        <v/>
      </c>
      <c r="BF96" s="106">
        <f>IF(C96="","",IFERROR(1/(1/_xlfn.MINIFS('Saisie'!$A$5:$A$2004,'Saisie'!$C$5:$C$2004,C96,'Saisie'!$AT$5:$AT$2004,"&gt;=4")),""))</f>
        <v/>
      </c>
      <c r="BG96" s="106">
        <f>IF(C96="","",IFERROR(1/(1/_xlfn.MINIFS('Saisie'!$A$5:$A$2004,'Saisie'!$C$5:$C$2004,C96,'Saisie'!$AT$5:$AT$2004,"&gt;=5")),""))</f>
        <v/>
      </c>
      <c r="BH96" s="106">
        <f>IF(C96="","",IFERROR(1/(1/_xlfn.MINIFS('Saisie'!$A$5:$A$2004,'Saisie'!$C$5:$C$2004,C96,'Saisie'!$AT$5:$AT$2004,"&gt;=6")),""))</f>
        <v/>
      </c>
      <c r="BI96" s="106">
        <f>IF(C96="","",IFERROR(1/(1/_xlfn.MINIFS('Saisie'!$A$5:$A$2004,'Saisie'!$C$5:$C$2004,C96,'Saisie'!$AT$5:$AT$2004,"&gt;=7")),""))</f>
        <v/>
      </c>
      <c r="BJ96" s="60">
        <f>IF(OR(BD96="",B96=""),"",BD96-B96)</f>
        <v/>
      </c>
      <c r="BK96" s="60">
        <f>IF(OR(BE96="",BD96=""),"",BE96-BD96)</f>
        <v/>
      </c>
      <c r="BL96" s="60">
        <f>IF(OR(BF96="",BE96=""),"",BF96-BE96)</f>
        <v/>
      </c>
      <c r="BM96" s="60">
        <f>IF(OR(BG96="",BF96=""),"",BG96-BF96)</f>
        <v/>
      </c>
      <c r="BN96" s="60">
        <f>IF(OR(BH96="",BG96=""),"",BH96-BG96)</f>
        <v/>
      </c>
      <c r="BO96" s="60">
        <f>IF(OR(BI96="",BH96=""),"",BI96-BH96)</f>
        <v/>
      </c>
      <c r="BP96" s="60">
        <f>IF(C96="","",_xlfn.MAXIFS('Saisie'!$AS$5:$AS$2004,'Saisie'!$C$5:$C$2004,C96,'Saisie'!$J$5:$J$2004,"&lt;&gt;"))</f>
        <v/>
      </c>
      <c r="BQ96" s="60">
        <f>IF(C96="","",_xlfn.MAXIFS('Saisie'!$AS$5:$AS$2004,'Saisie'!$C$5:$C$2004,C96))</f>
        <v/>
      </c>
      <c r="BR96" s="60">
        <f>IF(C96="","",_xlfn.MAXIFS('Saisie'!$AS$5:$AS$2004,'Saisie'!$C$5:$C$2004,C96,'Saisie'!$E$5:$E$2004,"Perdu"))</f>
        <v/>
      </c>
      <c r="BS96" s="60">
        <f>IF(C96="","",_xlfn.MAXIFS('Saisie'!$AS$5:$AS$2004,'Saisie'!$C$5:$C$2004,C96,'Saisie'!$AT$5:$AT$2004,"&gt;0"))</f>
        <v/>
      </c>
      <c r="BT96" s="109">
        <f>IF(AND(C96&lt;&gt;"",OR(D96="Nouveau",D96="Contacté",D96="Qualifié"),OR(G96="",N(G96)&lt;=TODAY()),NOT(AND(O96&gt;='Paramètres'!$B$21,P96=0))),E96+92/10000,"")</f>
        <v/>
      </c>
      <c r="BU96" s="60">
        <f>IF(AND(G96&lt;&gt;"",N(G96)&lt;=TODAY()),MAX($BU$4:BU95)+1,"")</f>
        <v/>
      </c>
      <c r="BV96" s="60">
        <f>IF(AND(F96&lt;&gt;"",F96&lt;&gt;"Relance en retard"),MAX($BV$4:BV95)+1,"")</f>
        <v/>
      </c>
      <c r="BW96" s="60">
        <f>IF(C96="","",IF(AND(B96&gt;='Tableau de bord'!$R$4,B96&lt;='Tableau de bord'!$S$4,OR('Tableau de bord'!$G$4="Tous",N96='Tableau de bord'!$G$4)),1,0))</f>
        <v/>
      </c>
      <c r="BX96" s="60">
        <f>IF(AND(C96&lt;&gt;"",N(BA96)=7),MAX($BX$4:BX95)+1,"")</f>
        <v/>
      </c>
    </row>
    <row r="97">
      <c r="A97" s="60">
        <f>IF(C97="","","P-"&amp;TEXT(93,"000"))</f>
        <v/>
      </c>
      <c r="B97" s="106">
        <f>IF(C97="","",IFERROR(1/(1/_xlfn.MINIFS('Saisie'!$A$5:$A$2004,'Saisie'!$C$5:$C$2004,C97)),""))</f>
        <v/>
      </c>
      <c r="C97" s="60">
        <f>IFERROR(INDEX('Saisie'!$C$5:$C$2004,MATCH(93,'Saisie'!$AX$5:$AX$2004,0)),"")</f>
        <v/>
      </c>
      <c r="D97" s="60">
        <f>IF(C97="","",IF(AND(BR97&gt;0,BR97&gt;BS97,BA97&lt;7),"Perdu",INDEX('Paramètres'!$F$6:$F$13,BA97)))</f>
        <v/>
      </c>
      <c r="E97" s="61">
        <f>IF(C97="","",MIN(100,(Z97="Oui")*'Paramètres'!$B$38+(AB97="Régulière")*'Paramètres'!$B$39+IF(AND(N(AA97)&gt;0,TODAY()-N(AA97)&lt;=30),'Paramètres'!$B$40,0)+(W97="")*'Paramètres'!$B$41+(AC97="Absente")*'Paramètres'!$B$42+(AC97="Faible")*'Paramètres'!$B$43+IF(AND(N(AD97)&gt;0,N(AD97)&lt;4),'Paramètres'!$B$44,0)+(AF97="Moyenne")*'Paramètres'!$B$45+(AF97="Grande")*'Paramètres'!$B$46+(Y97&lt;&gt;"")*'Paramètres'!$B$47))</f>
        <v/>
      </c>
      <c r="F97" s="60">
        <f>IF(C97="","",IF(D97="Gagné","",IF(D97="Perdu",IF(AND(AX97&lt;&gt;"",AX97&lt;=TODAY()),"À recontacter (perdu)",""),IF(AND(O97&gt;='Paramètres'!$B$21,P97=0),"Stop : "&amp;'Paramètres'!$B$21&amp;" tentatives sans réponse",IF(AND(D97="Proposition",AR97&lt;&gt;"",TODAY()&gt;N(AR97)),"Proposition expirée",IF(AND(D97="Proposition",N(R97)&gt;='Paramètres'!$B$25),"Proposition sans réponse",IF(AND(G97&lt;&gt;"",N(G97)&lt;TODAY()),"Relance en retard",IF(N(R97)&gt;='Paramètres'!$B$24,"Sans action depuis "&amp;R97&amp;" j",""))))))))</f>
        <v/>
      </c>
      <c r="G97" s="106">
        <f>IF(OR(C97="",D97="Gagné",D97="Perdu"),"",IF(AND(BP97&gt;0,BP97=BQ97),INDEX('Saisie'!$J$5:$J$2004,BP97-4),IF(OR(O97=0,AND(O97&gt;='Paramètres'!$B$21,P97=0)),"",Q97+IF(O97&lt;=1,'Paramètres'!$B$18,IF(O97=2,'Paramètres'!$B$19,'Paramètres'!$B$20)))))</f>
        <v/>
      </c>
      <c r="H97" s="107">
        <f>IF(OR(G97="",BP97&lt;&gt;BQ97),"",IF(INDEX('Saisie'!$K$5:$K$2004,BP97-4)="","",INDEX('Saisie'!$K$5:$K$2004,BP97-4)))</f>
        <v/>
      </c>
      <c r="I97" s="60">
        <f>IF(C97="","",IF(OR(D97="Gagné",D97="Perdu"),"",IFERROR(INDEX('Saisie'!$I$5:$I$2004,_xlfn.MAXIFS('Saisie'!$AS$5:$AS$2004,'Saisie'!$C$5:$C$2004,C97,'Saisie'!$I$5:$I$2004,"&lt;&gt;")-4),"")))</f>
        <v/>
      </c>
      <c r="J97" s="60">
        <f>IF(C97="","",IFERROR(INDEX('Saisie'!$U$5:$U$2004,_xlfn.MAXIFS('Saisie'!$AS$5:$AS$2004,'Saisie'!$C$5:$C$2004,C97,'Saisie'!$U$5:$U$2004,"&lt;&gt;")-4),""))</f>
        <v/>
      </c>
      <c r="K97" s="60">
        <f>IF(C97="","",IFERROR(INDEX('Saisie'!$W$5:$W$2004,_xlfn.MAXIFS('Saisie'!$AS$5:$AS$2004,'Saisie'!$C$5:$C$2004,C97,'Saisie'!$W$5:$W$2004,"&lt;&gt;")-4),""))</f>
        <v/>
      </c>
      <c r="L97" s="60">
        <f>IF(IF(BB97&lt;&gt;"",BB97,K97)="","",HYPERLINK("https://wa.me/"&amp;IF(LEFT(SUBSTITUTE(SUBSTITUTE(SUBSTITUTE(IF(BB97&lt;&gt;"",BB97,K97)," ",""),".",""),"+",""),1)="0",'Paramètres'!$B$35&amp;MID(SUBSTITUTE(SUBSTITUTE(SUBSTITUTE(IF(BB97&lt;&gt;"",BB97,K97)," ",""),".",""),"+",""),2,20),SUBSTITUTE(SUBSTITUTE(SUBSTITUTE(IF(BB97&lt;&gt;"",BB97,K97)," ",""),".",""),"+","")),"WhatsApp"))</f>
        <v/>
      </c>
      <c r="M97" s="60">
        <f>IF(BC97="","",HYPERLINK(IF(LEFT(BC97,4)="http",BC97,"https://www.instagram.com/"&amp;SUBSTITUTE(SUBSTITUTE(BC97,"@","")," ","")),BC97))</f>
        <v/>
      </c>
      <c r="N97" s="60">
        <f>IF(C97="","",IFERROR(INDEX('Saisie'!$D$5:$D$2004,_xlfn.MINIFS('Saisie'!$AS$5:$AS$2004,'Saisie'!$C$5:$C$2004,C97,'Saisie'!$AU$5:$AU$2004,1)-4),IFERROR(INDEX('Saisie'!$D$5:$D$2004,_xlfn.MINIFS('Saisie'!$AS$5:$AS$2004,'Saisie'!$C$5:$C$2004,C97,'Saisie'!$D$5:$D$2004,"&lt;&gt;")-4),"")))</f>
        <v/>
      </c>
      <c r="O97" s="60">
        <f>IF(C97="","",COUNTIFS('Saisie'!$C$5:$C$2004,C97,'Saisie'!$AU$5:$AU$2004,1))</f>
        <v/>
      </c>
      <c r="P97" s="60">
        <f>IF(C97="","",COUNTIFS('Saisie'!$C$5:$C$2004,C97,'Saisie'!$AV$5:$AV$2004,1))</f>
        <v/>
      </c>
      <c r="Q97" s="106">
        <f>IF(C97="","",IFERROR(1/(1/_xlfn.MAXIFS('Saisie'!$A$5:$A$2004,'Saisie'!$C$5:$C$2004,C97)),""))</f>
        <v/>
      </c>
      <c r="R97" s="61">
        <f>IF(C97="","",IF(Q97="","",TODAY()-Q97))</f>
        <v/>
      </c>
      <c r="S97" s="60">
        <f>IF(C97="","",IFERROR(INDEX('Saisie'!$R$5:$R$2004,_xlfn.MAXIFS('Saisie'!$AS$5:$AS$2004,'Saisie'!$C$5:$C$2004,C97,'Saisie'!$R$5:$R$2004,"&lt;&gt;")-4),""))</f>
        <v/>
      </c>
      <c r="T97" s="60">
        <f>IF(C97="","",IFERROR(INDEX('Saisie'!$S$5:$S$2004,_xlfn.MAXIFS('Saisie'!$AS$5:$AS$2004,'Saisie'!$C$5:$C$2004,C97,'Saisie'!$S$5:$S$2004,"&lt;&gt;")-4),""))</f>
        <v/>
      </c>
      <c r="U97" s="60">
        <f>IF(C97="","",IFERROR(INDEX('Saisie'!$T$5:$T$2004,_xlfn.MAXIFS('Saisie'!$AS$5:$AS$2004,'Saisie'!$C$5:$C$2004,C97,'Saisie'!$T$5:$T$2004,"&lt;&gt;")-4),""))</f>
        <v/>
      </c>
      <c r="V97" s="60">
        <f>IF(C97="","",IFERROR(INDEX('Saisie'!$V$5:$V$2004,_xlfn.MAXIFS('Saisie'!$AS$5:$AS$2004,'Saisie'!$C$5:$C$2004,C97,'Saisie'!$V$5:$V$2004,"&lt;&gt;")-4),""))</f>
        <v/>
      </c>
      <c r="W97" s="60">
        <f>IF(C97="","",IFERROR(INDEX('Saisie'!$Z$5:$Z$2004,_xlfn.MAXIFS('Saisie'!$AS$5:$AS$2004,'Saisie'!$C$5:$C$2004,C97,'Saisie'!$Z$5:$Z$2004,"&lt;&gt;")-4),""))</f>
        <v/>
      </c>
      <c r="X97" s="60">
        <f>IF(C97="","",IFERROR(INDEX('Saisie'!$AA$5:$AA$2004,_xlfn.MAXIFS('Saisie'!$AS$5:$AS$2004,'Saisie'!$C$5:$C$2004,C97,'Saisie'!$AA$5:$AA$2004,"&lt;&gt;")-4),""))</f>
        <v/>
      </c>
      <c r="Y97" s="60">
        <f>IF(C97="","",IFERROR(INDEX('Saisie'!$AB$5:$AB$2004,_xlfn.MAXIFS('Saisie'!$AS$5:$AS$2004,'Saisie'!$C$5:$C$2004,C97,'Saisie'!$AB$5:$AB$2004,"&lt;&gt;")-4),""))</f>
        <v/>
      </c>
      <c r="Z97" s="60">
        <f>IF(C97="","",IFERROR(INDEX('Saisie'!$AC$5:$AC$2004,_xlfn.MAXIFS('Saisie'!$AS$5:$AS$2004,'Saisie'!$C$5:$C$2004,C97,'Saisie'!$AC$5:$AC$2004,"&lt;&gt;")-4),""))</f>
        <v/>
      </c>
      <c r="AA97" s="106">
        <f>IF(C97="","",IFERROR(INDEX('Saisie'!$AD$5:$AD$2004,_xlfn.MAXIFS('Saisie'!$AS$5:$AS$2004,'Saisie'!$C$5:$C$2004,C97,'Saisie'!$AD$5:$AD$2004,"&lt;&gt;")-4),""))</f>
        <v/>
      </c>
      <c r="AB97" s="60">
        <f>IF(C97="","",IFERROR(INDEX('Saisie'!$AE$5:$AE$2004,_xlfn.MAXIFS('Saisie'!$AS$5:$AS$2004,'Saisie'!$C$5:$C$2004,C97,'Saisie'!$AE$5:$AE$2004,"&lt;&gt;")-4),""))</f>
        <v/>
      </c>
      <c r="AC97" s="60">
        <f>IF(C97="","",IFERROR(INDEX('Saisie'!$AF$5:$AF$2004,_xlfn.MAXIFS('Saisie'!$AS$5:$AS$2004,'Saisie'!$C$5:$C$2004,C97,'Saisie'!$AF$5:$AF$2004,"&lt;&gt;")-4),""))</f>
        <v/>
      </c>
      <c r="AD97" s="108">
        <f>IF(C97="","",IFERROR(INDEX('Saisie'!$AG$5:$AG$2004,_xlfn.MAXIFS('Saisie'!$AS$5:$AS$2004,'Saisie'!$C$5:$C$2004,C97,'Saisie'!$AG$5:$AG$2004,"&lt;&gt;")-4),""))</f>
        <v/>
      </c>
      <c r="AE97" s="60">
        <f>IF(C97="","",IFERROR(INDEX('Saisie'!$AH$5:$AH$2004,_xlfn.MAXIFS('Saisie'!$AS$5:$AS$2004,'Saisie'!$C$5:$C$2004,C97,'Saisie'!$AH$5:$AH$2004,"&lt;&gt;")-4),""))</f>
        <v/>
      </c>
      <c r="AF97" s="60">
        <f>IF(C97="","",IFERROR(INDEX('Saisie'!$AI$5:$AI$2004,_xlfn.MAXIFS('Saisie'!$AS$5:$AS$2004,'Saisie'!$C$5:$C$2004,C97,'Saisie'!$AI$5:$AI$2004,"&lt;&gt;")-4),""))</f>
        <v/>
      </c>
      <c r="AG97" s="60">
        <f>IF(C97="","",IFERROR(INDEX('Saisie'!$AJ$5:$AJ$2004,_xlfn.MAXIFS('Saisie'!$AS$5:$AS$2004,'Saisie'!$C$5:$C$2004,C97,'Saisie'!$AJ$5:$AJ$2004,"&lt;&gt;")-4),""))</f>
        <v/>
      </c>
      <c r="AH97" s="60">
        <f>IF(C97="","",IFERROR(INDEX('Saisie'!$AK$5:$AK$2004,_xlfn.MAXIFS('Saisie'!$AS$5:$AS$2004,'Saisie'!$C$5:$C$2004,C97,'Saisie'!$AK$5:$AK$2004,"&lt;&gt;")-4),""))</f>
        <v/>
      </c>
      <c r="AI97" s="60">
        <f>IF(C97="","",IFERROR(INDEX('Saisie'!$AN$5:$AN$2004,_xlfn.MAXIFS('Saisie'!$AS$5:$AS$2004,'Saisie'!$C$5:$C$2004,C97,'Saisie'!$AN$5:$AN$2004,"&lt;&gt;")-4),""))</f>
        <v/>
      </c>
      <c r="AJ97" s="60">
        <f>IF(C97="","",IFERROR(INDEX('Saisie'!$AO$5:$AO$2004,_xlfn.MAXIFS('Saisie'!$AS$5:$AS$2004,'Saisie'!$C$5:$C$2004,C97,'Saisie'!$AO$5:$AO$2004,"&lt;&gt;")-4),""))</f>
        <v/>
      </c>
      <c r="AK97" s="60">
        <f>IF(C97="","",IFERROR(INDEX('Saisie'!$AP$5:$AP$2004,_xlfn.MAXIFS('Saisie'!$AS$5:$AS$2004,'Saisie'!$C$5:$C$2004,C97,'Saisie'!$AP$5:$AP$2004,"&lt;&gt;")-4),""))</f>
        <v/>
      </c>
      <c r="AL97" s="60">
        <f>IF(C97="","",IFERROR(INDEX('Saisie'!$AQ$5:$AQ$2004,_xlfn.MAXIFS('Saisie'!$AS$5:$AS$2004,'Saisie'!$C$5:$C$2004,C97,'Saisie'!$AQ$5:$AQ$2004,"&lt;&gt;")-4),""))</f>
        <v/>
      </c>
      <c r="AM97" s="60">
        <f>IF(C97="","",((AI97="Oui")+(AJ97="Oui")+(AK97="Oui")+OR(AL97="Immédiat",AL97="&lt; 1 mois"))&amp;"/4")</f>
        <v/>
      </c>
      <c r="AN97" s="60">
        <f>IF(C97="","",IFERROR(INDEX('Saisie'!$AL$5:$AL$2004,_xlfn.MAXIFS('Saisie'!$AS$5:$AS$2004,'Saisie'!$C$5:$C$2004,C97,'Saisie'!$AL$5:$AL$2004,"&lt;&gt;")-4),""))</f>
        <v/>
      </c>
      <c r="AO97" s="62">
        <f>IF(C97="","",IF(IFERROR(INDEX('Saisie'!$AM$5:$AM$2004,_xlfn.MAXIFS('Saisie'!$AS$5:$AS$2004,'Saisie'!$C$5:$C$2004,C97,'Saisie'!$AM$5:$AM$2004,"&lt;&gt;")-4),"")&lt;&gt;"",IFERROR(INDEX('Saisie'!$AM$5:$AM$2004,_xlfn.MAXIFS('Saisie'!$AS$5:$AS$2004,'Saisie'!$C$5:$C$2004,C97,'Saisie'!$AM$5:$AM$2004,"&lt;&gt;")-4),""),IFERROR(INDEX('Paramètres'!$S$6:$S$15,MATCH(AN97,'Paramètres'!$Q$6:$Q$15,0)),"")))</f>
        <v/>
      </c>
      <c r="AP97" s="62">
        <f>IF(C97="","",IFERROR(INDEX('Saisie'!$AW$5:$AW$2004,_xlfn.MAXIFS('Saisie'!$AS$5:$AS$2004,'Saisie'!$C$5:$C$2004,C97,'Saisie'!$E$5:$E$2004,"Proposition envoyée")-4),""))</f>
        <v/>
      </c>
      <c r="AQ97" s="106">
        <f>IF(C97="","",IFERROR(1/(1/_xlfn.MAXIFS('Saisie'!$A$5:$A$2004,'Saisie'!$C$5:$C$2004,C97,'Saisie'!$E$5:$E$2004,"Proposition envoyée")),""))</f>
        <v/>
      </c>
      <c r="AR97" s="106">
        <f>IF(C97="","",IF(AQ97="","",AQ97+'Paramètres'!$B$26))</f>
        <v/>
      </c>
      <c r="AS97" s="62">
        <f>IF(OR(C97="",D97="Gagné",D97="Perdu"),0,N(AP97)*IFERROR(INDEX('Paramètres'!$G$6:$G$13,MATCH(D97,'Paramètres'!$F$6:$F$13,0)),0))</f>
        <v/>
      </c>
      <c r="AT97" s="106">
        <f>IF(C97="","",IFERROR(1/(1/_xlfn.MINIFS('Saisie'!$A$5:$A$2004,'Saisie'!$C$5:$C$2004,C97,'Saisie'!$E$5:$E$2004,"Signature")),""))</f>
        <v/>
      </c>
      <c r="AU97" s="60">
        <f>IF(C97="","",IF(OR(AT97="",B97=""),"",AT97-B97))</f>
        <v/>
      </c>
      <c r="AV97" s="60">
        <f>IF(C97="","",IFERROR(INDEX('Saisie'!$L$5:$L$2004,_xlfn.MAXIFS('Saisie'!$AS$5:$AS$2004,'Saisie'!$C$5:$C$2004,C97,'Saisie'!$L$5:$L$2004,"&lt;&gt;")-4),""))</f>
        <v/>
      </c>
      <c r="AW97" s="106">
        <f>IF(C97="","",IF(D97&lt;&gt;"Perdu","",IFERROR(1/(1/_xlfn.MAXIFS('Saisie'!$A$5:$A$2004,'Saisie'!$C$5:$C$2004,C97,'Saisie'!$E$5:$E$2004,"Perdu")),"")))</f>
        <v/>
      </c>
      <c r="AX97" s="106">
        <f>IF(C97="","",IF(AW97="","",AW97+'Paramètres'!$B$28))</f>
        <v/>
      </c>
      <c r="AY97" s="60">
        <f>IF(C97="","",SUMIFS('Saisie'!$H$5:$H$2004,'Saisie'!$C$5:$C$2004,C97))</f>
        <v/>
      </c>
      <c r="AZ97" s="60">
        <f>IF(C97="","",IFERROR(INDEX('Paramètres'!$W$6:$W$20,MATCH(S97,'Paramètres'!$V$6:$V$20,0))&amp;"",""))</f>
        <v/>
      </c>
      <c r="BA97" s="60">
        <f>IF(C97="","",MAX(1,_xlfn.MAXIFS('Saisie'!$AT$5:$AT$2004,'Saisie'!$C$5:$C$2004,C97)))</f>
        <v/>
      </c>
      <c r="BB97" s="60">
        <f>IF(C97="","",IFERROR(INDEX('Saisie'!$X$5:$X$2004,_xlfn.MAXIFS('Saisie'!$AS$5:$AS$2004,'Saisie'!$C$5:$C$2004,C97,'Saisie'!$X$5:$X$2004,"&lt;&gt;")-4),""))</f>
        <v/>
      </c>
      <c r="BC97" s="60">
        <f>IF(C97="","",IFERROR(INDEX('Saisie'!$Y$5:$Y$2004,_xlfn.MAXIFS('Saisie'!$AS$5:$AS$2004,'Saisie'!$C$5:$C$2004,C97,'Saisie'!$Y$5:$Y$2004,"&lt;&gt;")-4),""))</f>
        <v/>
      </c>
      <c r="BD97" s="106">
        <f>IF(C97="","",IFERROR(1/(1/_xlfn.MINIFS('Saisie'!$A$5:$A$2004,'Saisie'!$C$5:$C$2004,C97,'Saisie'!$AT$5:$AT$2004,"&gt;=2")),""))</f>
        <v/>
      </c>
      <c r="BE97" s="106">
        <f>IF(C97="","",IFERROR(1/(1/_xlfn.MINIFS('Saisie'!$A$5:$A$2004,'Saisie'!$C$5:$C$2004,C97,'Saisie'!$AT$5:$AT$2004,"&gt;=3")),""))</f>
        <v/>
      </c>
      <c r="BF97" s="106">
        <f>IF(C97="","",IFERROR(1/(1/_xlfn.MINIFS('Saisie'!$A$5:$A$2004,'Saisie'!$C$5:$C$2004,C97,'Saisie'!$AT$5:$AT$2004,"&gt;=4")),""))</f>
        <v/>
      </c>
      <c r="BG97" s="106">
        <f>IF(C97="","",IFERROR(1/(1/_xlfn.MINIFS('Saisie'!$A$5:$A$2004,'Saisie'!$C$5:$C$2004,C97,'Saisie'!$AT$5:$AT$2004,"&gt;=5")),""))</f>
        <v/>
      </c>
      <c r="BH97" s="106">
        <f>IF(C97="","",IFERROR(1/(1/_xlfn.MINIFS('Saisie'!$A$5:$A$2004,'Saisie'!$C$5:$C$2004,C97,'Saisie'!$AT$5:$AT$2004,"&gt;=6")),""))</f>
        <v/>
      </c>
      <c r="BI97" s="106">
        <f>IF(C97="","",IFERROR(1/(1/_xlfn.MINIFS('Saisie'!$A$5:$A$2004,'Saisie'!$C$5:$C$2004,C97,'Saisie'!$AT$5:$AT$2004,"&gt;=7")),""))</f>
        <v/>
      </c>
      <c r="BJ97" s="60">
        <f>IF(OR(BD97="",B97=""),"",BD97-B97)</f>
        <v/>
      </c>
      <c r="BK97" s="60">
        <f>IF(OR(BE97="",BD97=""),"",BE97-BD97)</f>
        <v/>
      </c>
      <c r="BL97" s="60">
        <f>IF(OR(BF97="",BE97=""),"",BF97-BE97)</f>
        <v/>
      </c>
      <c r="BM97" s="60">
        <f>IF(OR(BG97="",BF97=""),"",BG97-BF97)</f>
        <v/>
      </c>
      <c r="BN97" s="60">
        <f>IF(OR(BH97="",BG97=""),"",BH97-BG97)</f>
        <v/>
      </c>
      <c r="BO97" s="60">
        <f>IF(OR(BI97="",BH97=""),"",BI97-BH97)</f>
        <v/>
      </c>
      <c r="BP97" s="60">
        <f>IF(C97="","",_xlfn.MAXIFS('Saisie'!$AS$5:$AS$2004,'Saisie'!$C$5:$C$2004,C97,'Saisie'!$J$5:$J$2004,"&lt;&gt;"))</f>
        <v/>
      </c>
      <c r="BQ97" s="60">
        <f>IF(C97="","",_xlfn.MAXIFS('Saisie'!$AS$5:$AS$2004,'Saisie'!$C$5:$C$2004,C97))</f>
        <v/>
      </c>
      <c r="BR97" s="60">
        <f>IF(C97="","",_xlfn.MAXIFS('Saisie'!$AS$5:$AS$2004,'Saisie'!$C$5:$C$2004,C97,'Saisie'!$E$5:$E$2004,"Perdu"))</f>
        <v/>
      </c>
      <c r="BS97" s="60">
        <f>IF(C97="","",_xlfn.MAXIFS('Saisie'!$AS$5:$AS$2004,'Saisie'!$C$5:$C$2004,C97,'Saisie'!$AT$5:$AT$2004,"&gt;0"))</f>
        <v/>
      </c>
      <c r="BT97" s="109">
        <f>IF(AND(C97&lt;&gt;"",OR(D97="Nouveau",D97="Contacté",D97="Qualifié"),OR(G97="",N(G97)&lt;=TODAY()),NOT(AND(O97&gt;='Paramètres'!$B$21,P97=0))),E97+93/10000,"")</f>
        <v/>
      </c>
      <c r="BU97" s="60">
        <f>IF(AND(G97&lt;&gt;"",N(G97)&lt;=TODAY()),MAX($BU$4:BU96)+1,"")</f>
        <v/>
      </c>
      <c r="BV97" s="60">
        <f>IF(AND(F97&lt;&gt;"",F97&lt;&gt;"Relance en retard"),MAX($BV$4:BV96)+1,"")</f>
        <v/>
      </c>
      <c r="BW97" s="60">
        <f>IF(C97="","",IF(AND(B97&gt;='Tableau de bord'!$R$4,B97&lt;='Tableau de bord'!$S$4,OR('Tableau de bord'!$G$4="Tous",N97='Tableau de bord'!$G$4)),1,0))</f>
        <v/>
      </c>
      <c r="BX97" s="60">
        <f>IF(AND(C97&lt;&gt;"",N(BA97)=7),MAX($BX$4:BX96)+1,"")</f>
        <v/>
      </c>
    </row>
    <row r="98">
      <c r="A98" s="60">
        <f>IF(C98="","","P-"&amp;TEXT(94,"000"))</f>
        <v/>
      </c>
      <c r="B98" s="106">
        <f>IF(C98="","",IFERROR(1/(1/_xlfn.MINIFS('Saisie'!$A$5:$A$2004,'Saisie'!$C$5:$C$2004,C98)),""))</f>
        <v/>
      </c>
      <c r="C98" s="60">
        <f>IFERROR(INDEX('Saisie'!$C$5:$C$2004,MATCH(94,'Saisie'!$AX$5:$AX$2004,0)),"")</f>
        <v/>
      </c>
      <c r="D98" s="60">
        <f>IF(C98="","",IF(AND(BR98&gt;0,BR98&gt;BS98,BA98&lt;7),"Perdu",INDEX('Paramètres'!$F$6:$F$13,BA98)))</f>
        <v/>
      </c>
      <c r="E98" s="61">
        <f>IF(C98="","",MIN(100,(Z98="Oui")*'Paramètres'!$B$38+(AB98="Régulière")*'Paramètres'!$B$39+IF(AND(N(AA98)&gt;0,TODAY()-N(AA98)&lt;=30),'Paramètres'!$B$40,0)+(W98="")*'Paramètres'!$B$41+(AC98="Absente")*'Paramètres'!$B$42+(AC98="Faible")*'Paramètres'!$B$43+IF(AND(N(AD98)&gt;0,N(AD98)&lt;4),'Paramètres'!$B$44,0)+(AF98="Moyenne")*'Paramètres'!$B$45+(AF98="Grande")*'Paramètres'!$B$46+(Y98&lt;&gt;"")*'Paramètres'!$B$47))</f>
        <v/>
      </c>
      <c r="F98" s="60">
        <f>IF(C98="","",IF(D98="Gagné","",IF(D98="Perdu",IF(AND(AX98&lt;&gt;"",AX98&lt;=TODAY()),"À recontacter (perdu)",""),IF(AND(O98&gt;='Paramètres'!$B$21,P98=0),"Stop : "&amp;'Paramètres'!$B$21&amp;" tentatives sans réponse",IF(AND(D98="Proposition",AR98&lt;&gt;"",TODAY()&gt;N(AR98)),"Proposition expirée",IF(AND(D98="Proposition",N(R98)&gt;='Paramètres'!$B$25),"Proposition sans réponse",IF(AND(G98&lt;&gt;"",N(G98)&lt;TODAY()),"Relance en retard",IF(N(R98)&gt;='Paramètres'!$B$24,"Sans action depuis "&amp;R98&amp;" j",""))))))))</f>
        <v/>
      </c>
      <c r="G98" s="106">
        <f>IF(OR(C98="",D98="Gagné",D98="Perdu"),"",IF(AND(BP98&gt;0,BP98=BQ98),INDEX('Saisie'!$J$5:$J$2004,BP98-4),IF(OR(O98=0,AND(O98&gt;='Paramètres'!$B$21,P98=0)),"",Q98+IF(O98&lt;=1,'Paramètres'!$B$18,IF(O98=2,'Paramètres'!$B$19,'Paramètres'!$B$20)))))</f>
        <v/>
      </c>
      <c r="H98" s="107">
        <f>IF(OR(G98="",BP98&lt;&gt;BQ98),"",IF(INDEX('Saisie'!$K$5:$K$2004,BP98-4)="","",INDEX('Saisie'!$K$5:$K$2004,BP98-4)))</f>
        <v/>
      </c>
      <c r="I98" s="60">
        <f>IF(C98="","",IF(OR(D98="Gagné",D98="Perdu"),"",IFERROR(INDEX('Saisie'!$I$5:$I$2004,_xlfn.MAXIFS('Saisie'!$AS$5:$AS$2004,'Saisie'!$C$5:$C$2004,C98,'Saisie'!$I$5:$I$2004,"&lt;&gt;")-4),"")))</f>
        <v/>
      </c>
      <c r="J98" s="60">
        <f>IF(C98="","",IFERROR(INDEX('Saisie'!$U$5:$U$2004,_xlfn.MAXIFS('Saisie'!$AS$5:$AS$2004,'Saisie'!$C$5:$C$2004,C98,'Saisie'!$U$5:$U$2004,"&lt;&gt;")-4),""))</f>
        <v/>
      </c>
      <c r="K98" s="60">
        <f>IF(C98="","",IFERROR(INDEX('Saisie'!$W$5:$W$2004,_xlfn.MAXIFS('Saisie'!$AS$5:$AS$2004,'Saisie'!$C$5:$C$2004,C98,'Saisie'!$W$5:$W$2004,"&lt;&gt;")-4),""))</f>
        <v/>
      </c>
      <c r="L98" s="60">
        <f>IF(IF(BB98&lt;&gt;"",BB98,K98)="","",HYPERLINK("https://wa.me/"&amp;IF(LEFT(SUBSTITUTE(SUBSTITUTE(SUBSTITUTE(IF(BB98&lt;&gt;"",BB98,K98)," ",""),".",""),"+",""),1)="0",'Paramètres'!$B$35&amp;MID(SUBSTITUTE(SUBSTITUTE(SUBSTITUTE(IF(BB98&lt;&gt;"",BB98,K98)," ",""),".",""),"+",""),2,20),SUBSTITUTE(SUBSTITUTE(SUBSTITUTE(IF(BB98&lt;&gt;"",BB98,K98)," ",""),".",""),"+","")),"WhatsApp"))</f>
        <v/>
      </c>
      <c r="M98" s="60">
        <f>IF(BC98="","",HYPERLINK(IF(LEFT(BC98,4)="http",BC98,"https://www.instagram.com/"&amp;SUBSTITUTE(SUBSTITUTE(BC98,"@","")," ","")),BC98))</f>
        <v/>
      </c>
      <c r="N98" s="60">
        <f>IF(C98="","",IFERROR(INDEX('Saisie'!$D$5:$D$2004,_xlfn.MINIFS('Saisie'!$AS$5:$AS$2004,'Saisie'!$C$5:$C$2004,C98,'Saisie'!$AU$5:$AU$2004,1)-4),IFERROR(INDEX('Saisie'!$D$5:$D$2004,_xlfn.MINIFS('Saisie'!$AS$5:$AS$2004,'Saisie'!$C$5:$C$2004,C98,'Saisie'!$D$5:$D$2004,"&lt;&gt;")-4),"")))</f>
        <v/>
      </c>
      <c r="O98" s="60">
        <f>IF(C98="","",COUNTIFS('Saisie'!$C$5:$C$2004,C98,'Saisie'!$AU$5:$AU$2004,1))</f>
        <v/>
      </c>
      <c r="P98" s="60">
        <f>IF(C98="","",COUNTIFS('Saisie'!$C$5:$C$2004,C98,'Saisie'!$AV$5:$AV$2004,1))</f>
        <v/>
      </c>
      <c r="Q98" s="106">
        <f>IF(C98="","",IFERROR(1/(1/_xlfn.MAXIFS('Saisie'!$A$5:$A$2004,'Saisie'!$C$5:$C$2004,C98)),""))</f>
        <v/>
      </c>
      <c r="R98" s="61">
        <f>IF(C98="","",IF(Q98="","",TODAY()-Q98))</f>
        <v/>
      </c>
      <c r="S98" s="60">
        <f>IF(C98="","",IFERROR(INDEX('Saisie'!$R$5:$R$2004,_xlfn.MAXIFS('Saisie'!$AS$5:$AS$2004,'Saisie'!$C$5:$C$2004,C98,'Saisie'!$R$5:$R$2004,"&lt;&gt;")-4),""))</f>
        <v/>
      </c>
      <c r="T98" s="60">
        <f>IF(C98="","",IFERROR(INDEX('Saisie'!$S$5:$S$2004,_xlfn.MAXIFS('Saisie'!$AS$5:$AS$2004,'Saisie'!$C$5:$C$2004,C98,'Saisie'!$S$5:$S$2004,"&lt;&gt;")-4),""))</f>
        <v/>
      </c>
      <c r="U98" s="60">
        <f>IF(C98="","",IFERROR(INDEX('Saisie'!$T$5:$T$2004,_xlfn.MAXIFS('Saisie'!$AS$5:$AS$2004,'Saisie'!$C$5:$C$2004,C98,'Saisie'!$T$5:$T$2004,"&lt;&gt;")-4),""))</f>
        <v/>
      </c>
      <c r="V98" s="60">
        <f>IF(C98="","",IFERROR(INDEX('Saisie'!$V$5:$V$2004,_xlfn.MAXIFS('Saisie'!$AS$5:$AS$2004,'Saisie'!$C$5:$C$2004,C98,'Saisie'!$V$5:$V$2004,"&lt;&gt;")-4),""))</f>
        <v/>
      </c>
      <c r="W98" s="60">
        <f>IF(C98="","",IFERROR(INDEX('Saisie'!$Z$5:$Z$2004,_xlfn.MAXIFS('Saisie'!$AS$5:$AS$2004,'Saisie'!$C$5:$C$2004,C98,'Saisie'!$Z$5:$Z$2004,"&lt;&gt;")-4),""))</f>
        <v/>
      </c>
      <c r="X98" s="60">
        <f>IF(C98="","",IFERROR(INDEX('Saisie'!$AA$5:$AA$2004,_xlfn.MAXIFS('Saisie'!$AS$5:$AS$2004,'Saisie'!$C$5:$C$2004,C98,'Saisie'!$AA$5:$AA$2004,"&lt;&gt;")-4),""))</f>
        <v/>
      </c>
      <c r="Y98" s="60">
        <f>IF(C98="","",IFERROR(INDEX('Saisie'!$AB$5:$AB$2004,_xlfn.MAXIFS('Saisie'!$AS$5:$AS$2004,'Saisie'!$C$5:$C$2004,C98,'Saisie'!$AB$5:$AB$2004,"&lt;&gt;")-4),""))</f>
        <v/>
      </c>
      <c r="Z98" s="60">
        <f>IF(C98="","",IFERROR(INDEX('Saisie'!$AC$5:$AC$2004,_xlfn.MAXIFS('Saisie'!$AS$5:$AS$2004,'Saisie'!$C$5:$C$2004,C98,'Saisie'!$AC$5:$AC$2004,"&lt;&gt;")-4),""))</f>
        <v/>
      </c>
      <c r="AA98" s="106">
        <f>IF(C98="","",IFERROR(INDEX('Saisie'!$AD$5:$AD$2004,_xlfn.MAXIFS('Saisie'!$AS$5:$AS$2004,'Saisie'!$C$5:$C$2004,C98,'Saisie'!$AD$5:$AD$2004,"&lt;&gt;")-4),""))</f>
        <v/>
      </c>
      <c r="AB98" s="60">
        <f>IF(C98="","",IFERROR(INDEX('Saisie'!$AE$5:$AE$2004,_xlfn.MAXIFS('Saisie'!$AS$5:$AS$2004,'Saisie'!$C$5:$C$2004,C98,'Saisie'!$AE$5:$AE$2004,"&lt;&gt;")-4),""))</f>
        <v/>
      </c>
      <c r="AC98" s="60">
        <f>IF(C98="","",IFERROR(INDEX('Saisie'!$AF$5:$AF$2004,_xlfn.MAXIFS('Saisie'!$AS$5:$AS$2004,'Saisie'!$C$5:$C$2004,C98,'Saisie'!$AF$5:$AF$2004,"&lt;&gt;")-4),""))</f>
        <v/>
      </c>
      <c r="AD98" s="108">
        <f>IF(C98="","",IFERROR(INDEX('Saisie'!$AG$5:$AG$2004,_xlfn.MAXIFS('Saisie'!$AS$5:$AS$2004,'Saisie'!$C$5:$C$2004,C98,'Saisie'!$AG$5:$AG$2004,"&lt;&gt;")-4),""))</f>
        <v/>
      </c>
      <c r="AE98" s="60">
        <f>IF(C98="","",IFERROR(INDEX('Saisie'!$AH$5:$AH$2004,_xlfn.MAXIFS('Saisie'!$AS$5:$AS$2004,'Saisie'!$C$5:$C$2004,C98,'Saisie'!$AH$5:$AH$2004,"&lt;&gt;")-4),""))</f>
        <v/>
      </c>
      <c r="AF98" s="60">
        <f>IF(C98="","",IFERROR(INDEX('Saisie'!$AI$5:$AI$2004,_xlfn.MAXIFS('Saisie'!$AS$5:$AS$2004,'Saisie'!$C$5:$C$2004,C98,'Saisie'!$AI$5:$AI$2004,"&lt;&gt;")-4),""))</f>
        <v/>
      </c>
      <c r="AG98" s="60">
        <f>IF(C98="","",IFERROR(INDEX('Saisie'!$AJ$5:$AJ$2004,_xlfn.MAXIFS('Saisie'!$AS$5:$AS$2004,'Saisie'!$C$5:$C$2004,C98,'Saisie'!$AJ$5:$AJ$2004,"&lt;&gt;")-4),""))</f>
        <v/>
      </c>
      <c r="AH98" s="60">
        <f>IF(C98="","",IFERROR(INDEX('Saisie'!$AK$5:$AK$2004,_xlfn.MAXIFS('Saisie'!$AS$5:$AS$2004,'Saisie'!$C$5:$C$2004,C98,'Saisie'!$AK$5:$AK$2004,"&lt;&gt;")-4),""))</f>
        <v/>
      </c>
      <c r="AI98" s="60">
        <f>IF(C98="","",IFERROR(INDEX('Saisie'!$AN$5:$AN$2004,_xlfn.MAXIFS('Saisie'!$AS$5:$AS$2004,'Saisie'!$C$5:$C$2004,C98,'Saisie'!$AN$5:$AN$2004,"&lt;&gt;")-4),""))</f>
        <v/>
      </c>
      <c r="AJ98" s="60">
        <f>IF(C98="","",IFERROR(INDEX('Saisie'!$AO$5:$AO$2004,_xlfn.MAXIFS('Saisie'!$AS$5:$AS$2004,'Saisie'!$C$5:$C$2004,C98,'Saisie'!$AO$5:$AO$2004,"&lt;&gt;")-4),""))</f>
        <v/>
      </c>
      <c r="AK98" s="60">
        <f>IF(C98="","",IFERROR(INDEX('Saisie'!$AP$5:$AP$2004,_xlfn.MAXIFS('Saisie'!$AS$5:$AS$2004,'Saisie'!$C$5:$C$2004,C98,'Saisie'!$AP$5:$AP$2004,"&lt;&gt;")-4),""))</f>
        <v/>
      </c>
      <c r="AL98" s="60">
        <f>IF(C98="","",IFERROR(INDEX('Saisie'!$AQ$5:$AQ$2004,_xlfn.MAXIFS('Saisie'!$AS$5:$AS$2004,'Saisie'!$C$5:$C$2004,C98,'Saisie'!$AQ$5:$AQ$2004,"&lt;&gt;")-4),""))</f>
        <v/>
      </c>
      <c r="AM98" s="60">
        <f>IF(C98="","",((AI98="Oui")+(AJ98="Oui")+(AK98="Oui")+OR(AL98="Immédiat",AL98="&lt; 1 mois"))&amp;"/4")</f>
        <v/>
      </c>
      <c r="AN98" s="60">
        <f>IF(C98="","",IFERROR(INDEX('Saisie'!$AL$5:$AL$2004,_xlfn.MAXIFS('Saisie'!$AS$5:$AS$2004,'Saisie'!$C$5:$C$2004,C98,'Saisie'!$AL$5:$AL$2004,"&lt;&gt;")-4),""))</f>
        <v/>
      </c>
      <c r="AO98" s="62">
        <f>IF(C98="","",IF(IFERROR(INDEX('Saisie'!$AM$5:$AM$2004,_xlfn.MAXIFS('Saisie'!$AS$5:$AS$2004,'Saisie'!$C$5:$C$2004,C98,'Saisie'!$AM$5:$AM$2004,"&lt;&gt;")-4),"")&lt;&gt;"",IFERROR(INDEX('Saisie'!$AM$5:$AM$2004,_xlfn.MAXIFS('Saisie'!$AS$5:$AS$2004,'Saisie'!$C$5:$C$2004,C98,'Saisie'!$AM$5:$AM$2004,"&lt;&gt;")-4),""),IFERROR(INDEX('Paramètres'!$S$6:$S$15,MATCH(AN98,'Paramètres'!$Q$6:$Q$15,0)),"")))</f>
        <v/>
      </c>
      <c r="AP98" s="62">
        <f>IF(C98="","",IFERROR(INDEX('Saisie'!$AW$5:$AW$2004,_xlfn.MAXIFS('Saisie'!$AS$5:$AS$2004,'Saisie'!$C$5:$C$2004,C98,'Saisie'!$E$5:$E$2004,"Proposition envoyée")-4),""))</f>
        <v/>
      </c>
      <c r="AQ98" s="106">
        <f>IF(C98="","",IFERROR(1/(1/_xlfn.MAXIFS('Saisie'!$A$5:$A$2004,'Saisie'!$C$5:$C$2004,C98,'Saisie'!$E$5:$E$2004,"Proposition envoyée")),""))</f>
        <v/>
      </c>
      <c r="AR98" s="106">
        <f>IF(C98="","",IF(AQ98="","",AQ98+'Paramètres'!$B$26))</f>
        <v/>
      </c>
      <c r="AS98" s="62">
        <f>IF(OR(C98="",D98="Gagné",D98="Perdu"),0,N(AP98)*IFERROR(INDEX('Paramètres'!$G$6:$G$13,MATCH(D98,'Paramètres'!$F$6:$F$13,0)),0))</f>
        <v/>
      </c>
      <c r="AT98" s="106">
        <f>IF(C98="","",IFERROR(1/(1/_xlfn.MINIFS('Saisie'!$A$5:$A$2004,'Saisie'!$C$5:$C$2004,C98,'Saisie'!$E$5:$E$2004,"Signature")),""))</f>
        <v/>
      </c>
      <c r="AU98" s="60">
        <f>IF(C98="","",IF(OR(AT98="",B98=""),"",AT98-B98))</f>
        <v/>
      </c>
      <c r="AV98" s="60">
        <f>IF(C98="","",IFERROR(INDEX('Saisie'!$L$5:$L$2004,_xlfn.MAXIFS('Saisie'!$AS$5:$AS$2004,'Saisie'!$C$5:$C$2004,C98,'Saisie'!$L$5:$L$2004,"&lt;&gt;")-4),""))</f>
        <v/>
      </c>
      <c r="AW98" s="106">
        <f>IF(C98="","",IF(D98&lt;&gt;"Perdu","",IFERROR(1/(1/_xlfn.MAXIFS('Saisie'!$A$5:$A$2004,'Saisie'!$C$5:$C$2004,C98,'Saisie'!$E$5:$E$2004,"Perdu")),"")))</f>
        <v/>
      </c>
      <c r="AX98" s="106">
        <f>IF(C98="","",IF(AW98="","",AW98+'Paramètres'!$B$28))</f>
        <v/>
      </c>
      <c r="AY98" s="60">
        <f>IF(C98="","",SUMIFS('Saisie'!$H$5:$H$2004,'Saisie'!$C$5:$C$2004,C98))</f>
        <v/>
      </c>
      <c r="AZ98" s="60">
        <f>IF(C98="","",IFERROR(INDEX('Paramètres'!$W$6:$W$20,MATCH(S98,'Paramètres'!$V$6:$V$20,0))&amp;"",""))</f>
        <v/>
      </c>
      <c r="BA98" s="60">
        <f>IF(C98="","",MAX(1,_xlfn.MAXIFS('Saisie'!$AT$5:$AT$2004,'Saisie'!$C$5:$C$2004,C98)))</f>
        <v/>
      </c>
      <c r="BB98" s="60">
        <f>IF(C98="","",IFERROR(INDEX('Saisie'!$X$5:$X$2004,_xlfn.MAXIFS('Saisie'!$AS$5:$AS$2004,'Saisie'!$C$5:$C$2004,C98,'Saisie'!$X$5:$X$2004,"&lt;&gt;")-4),""))</f>
        <v/>
      </c>
      <c r="BC98" s="60">
        <f>IF(C98="","",IFERROR(INDEX('Saisie'!$Y$5:$Y$2004,_xlfn.MAXIFS('Saisie'!$AS$5:$AS$2004,'Saisie'!$C$5:$C$2004,C98,'Saisie'!$Y$5:$Y$2004,"&lt;&gt;")-4),""))</f>
        <v/>
      </c>
      <c r="BD98" s="106">
        <f>IF(C98="","",IFERROR(1/(1/_xlfn.MINIFS('Saisie'!$A$5:$A$2004,'Saisie'!$C$5:$C$2004,C98,'Saisie'!$AT$5:$AT$2004,"&gt;=2")),""))</f>
        <v/>
      </c>
      <c r="BE98" s="106">
        <f>IF(C98="","",IFERROR(1/(1/_xlfn.MINIFS('Saisie'!$A$5:$A$2004,'Saisie'!$C$5:$C$2004,C98,'Saisie'!$AT$5:$AT$2004,"&gt;=3")),""))</f>
        <v/>
      </c>
      <c r="BF98" s="106">
        <f>IF(C98="","",IFERROR(1/(1/_xlfn.MINIFS('Saisie'!$A$5:$A$2004,'Saisie'!$C$5:$C$2004,C98,'Saisie'!$AT$5:$AT$2004,"&gt;=4")),""))</f>
        <v/>
      </c>
      <c r="BG98" s="106">
        <f>IF(C98="","",IFERROR(1/(1/_xlfn.MINIFS('Saisie'!$A$5:$A$2004,'Saisie'!$C$5:$C$2004,C98,'Saisie'!$AT$5:$AT$2004,"&gt;=5")),""))</f>
        <v/>
      </c>
      <c r="BH98" s="106">
        <f>IF(C98="","",IFERROR(1/(1/_xlfn.MINIFS('Saisie'!$A$5:$A$2004,'Saisie'!$C$5:$C$2004,C98,'Saisie'!$AT$5:$AT$2004,"&gt;=6")),""))</f>
        <v/>
      </c>
      <c r="BI98" s="106">
        <f>IF(C98="","",IFERROR(1/(1/_xlfn.MINIFS('Saisie'!$A$5:$A$2004,'Saisie'!$C$5:$C$2004,C98,'Saisie'!$AT$5:$AT$2004,"&gt;=7")),""))</f>
        <v/>
      </c>
      <c r="BJ98" s="60">
        <f>IF(OR(BD98="",B98=""),"",BD98-B98)</f>
        <v/>
      </c>
      <c r="BK98" s="60">
        <f>IF(OR(BE98="",BD98=""),"",BE98-BD98)</f>
        <v/>
      </c>
      <c r="BL98" s="60">
        <f>IF(OR(BF98="",BE98=""),"",BF98-BE98)</f>
        <v/>
      </c>
      <c r="BM98" s="60">
        <f>IF(OR(BG98="",BF98=""),"",BG98-BF98)</f>
        <v/>
      </c>
      <c r="BN98" s="60">
        <f>IF(OR(BH98="",BG98=""),"",BH98-BG98)</f>
        <v/>
      </c>
      <c r="BO98" s="60">
        <f>IF(OR(BI98="",BH98=""),"",BI98-BH98)</f>
        <v/>
      </c>
      <c r="BP98" s="60">
        <f>IF(C98="","",_xlfn.MAXIFS('Saisie'!$AS$5:$AS$2004,'Saisie'!$C$5:$C$2004,C98,'Saisie'!$J$5:$J$2004,"&lt;&gt;"))</f>
        <v/>
      </c>
      <c r="BQ98" s="60">
        <f>IF(C98="","",_xlfn.MAXIFS('Saisie'!$AS$5:$AS$2004,'Saisie'!$C$5:$C$2004,C98))</f>
        <v/>
      </c>
      <c r="BR98" s="60">
        <f>IF(C98="","",_xlfn.MAXIFS('Saisie'!$AS$5:$AS$2004,'Saisie'!$C$5:$C$2004,C98,'Saisie'!$E$5:$E$2004,"Perdu"))</f>
        <v/>
      </c>
      <c r="BS98" s="60">
        <f>IF(C98="","",_xlfn.MAXIFS('Saisie'!$AS$5:$AS$2004,'Saisie'!$C$5:$C$2004,C98,'Saisie'!$AT$5:$AT$2004,"&gt;0"))</f>
        <v/>
      </c>
      <c r="BT98" s="109">
        <f>IF(AND(C98&lt;&gt;"",OR(D98="Nouveau",D98="Contacté",D98="Qualifié"),OR(G98="",N(G98)&lt;=TODAY()),NOT(AND(O98&gt;='Paramètres'!$B$21,P98=0))),E98+94/10000,"")</f>
        <v/>
      </c>
      <c r="BU98" s="60">
        <f>IF(AND(G98&lt;&gt;"",N(G98)&lt;=TODAY()),MAX($BU$4:BU97)+1,"")</f>
        <v/>
      </c>
      <c r="BV98" s="60">
        <f>IF(AND(F98&lt;&gt;"",F98&lt;&gt;"Relance en retard"),MAX($BV$4:BV97)+1,"")</f>
        <v/>
      </c>
      <c r="BW98" s="60">
        <f>IF(C98="","",IF(AND(B98&gt;='Tableau de bord'!$R$4,B98&lt;='Tableau de bord'!$S$4,OR('Tableau de bord'!$G$4="Tous",N98='Tableau de bord'!$G$4)),1,0))</f>
        <v/>
      </c>
      <c r="BX98" s="60">
        <f>IF(AND(C98&lt;&gt;"",N(BA98)=7),MAX($BX$4:BX97)+1,"")</f>
        <v/>
      </c>
    </row>
    <row r="99">
      <c r="A99" s="60">
        <f>IF(C99="","","P-"&amp;TEXT(95,"000"))</f>
        <v/>
      </c>
      <c r="B99" s="106">
        <f>IF(C99="","",IFERROR(1/(1/_xlfn.MINIFS('Saisie'!$A$5:$A$2004,'Saisie'!$C$5:$C$2004,C99)),""))</f>
        <v/>
      </c>
      <c r="C99" s="60">
        <f>IFERROR(INDEX('Saisie'!$C$5:$C$2004,MATCH(95,'Saisie'!$AX$5:$AX$2004,0)),"")</f>
        <v/>
      </c>
      <c r="D99" s="60">
        <f>IF(C99="","",IF(AND(BR99&gt;0,BR99&gt;BS99,BA99&lt;7),"Perdu",INDEX('Paramètres'!$F$6:$F$13,BA99)))</f>
        <v/>
      </c>
      <c r="E99" s="61">
        <f>IF(C99="","",MIN(100,(Z99="Oui")*'Paramètres'!$B$38+(AB99="Régulière")*'Paramètres'!$B$39+IF(AND(N(AA99)&gt;0,TODAY()-N(AA99)&lt;=30),'Paramètres'!$B$40,0)+(W99="")*'Paramètres'!$B$41+(AC99="Absente")*'Paramètres'!$B$42+(AC99="Faible")*'Paramètres'!$B$43+IF(AND(N(AD99)&gt;0,N(AD99)&lt;4),'Paramètres'!$B$44,0)+(AF99="Moyenne")*'Paramètres'!$B$45+(AF99="Grande")*'Paramètres'!$B$46+(Y99&lt;&gt;"")*'Paramètres'!$B$47))</f>
        <v/>
      </c>
      <c r="F99" s="60">
        <f>IF(C99="","",IF(D99="Gagné","",IF(D99="Perdu",IF(AND(AX99&lt;&gt;"",AX99&lt;=TODAY()),"À recontacter (perdu)",""),IF(AND(O99&gt;='Paramètres'!$B$21,P99=0),"Stop : "&amp;'Paramètres'!$B$21&amp;" tentatives sans réponse",IF(AND(D99="Proposition",AR99&lt;&gt;"",TODAY()&gt;N(AR99)),"Proposition expirée",IF(AND(D99="Proposition",N(R99)&gt;='Paramètres'!$B$25),"Proposition sans réponse",IF(AND(G99&lt;&gt;"",N(G99)&lt;TODAY()),"Relance en retard",IF(N(R99)&gt;='Paramètres'!$B$24,"Sans action depuis "&amp;R99&amp;" j",""))))))))</f>
        <v/>
      </c>
      <c r="G99" s="106">
        <f>IF(OR(C99="",D99="Gagné",D99="Perdu"),"",IF(AND(BP99&gt;0,BP99=BQ99),INDEX('Saisie'!$J$5:$J$2004,BP99-4),IF(OR(O99=0,AND(O99&gt;='Paramètres'!$B$21,P99=0)),"",Q99+IF(O99&lt;=1,'Paramètres'!$B$18,IF(O99=2,'Paramètres'!$B$19,'Paramètres'!$B$20)))))</f>
        <v/>
      </c>
      <c r="H99" s="107">
        <f>IF(OR(G99="",BP99&lt;&gt;BQ99),"",IF(INDEX('Saisie'!$K$5:$K$2004,BP99-4)="","",INDEX('Saisie'!$K$5:$K$2004,BP99-4)))</f>
        <v/>
      </c>
      <c r="I99" s="60">
        <f>IF(C99="","",IF(OR(D99="Gagné",D99="Perdu"),"",IFERROR(INDEX('Saisie'!$I$5:$I$2004,_xlfn.MAXIFS('Saisie'!$AS$5:$AS$2004,'Saisie'!$C$5:$C$2004,C99,'Saisie'!$I$5:$I$2004,"&lt;&gt;")-4),"")))</f>
        <v/>
      </c>
      <c r="J99" s="60">
        <f>IF(C99="","",IFERROR(INDEX('Saisie'!$U$5:$U$2004,_xlfn.MAXIFS('Saisie'!$AS$5:$AS$2004,'Saisie'!$C$5:$C$2004,C99,'Saisie'!$U$5:$U$2004,"&lt;&gt;")-4),""))</f>
        <v/>
      </c>
      <c r="K99" s="60">
        <f>IF(C99="","",IFERROR(INDEX('Saisie'!$W$5:$W$2004,_xlfn.MAXIFS('Saisie'!$AS$5:$AS$2004,'Saisie'!$C$5:$C$2004,C99,'Saisie'!$W$5:$W$2004,"&lt;&gt;")-4),""))</f>
        <v/>
      </c>
      <c r="L99" s="60">
        <f>IF(IF(BB99&lt;&gt;"",BB99,K99)="","",HYPERLINK("https://wa.me/"&amp;IF(LEFT(SUBSTITUTE(SUBSTITUTE(SUBSTITUTE(IF(BB99&lt;&gt;"",BB99,K99)," ",""),".",""),"+",""),1)="0",'Paramètres'!$B$35&amp;MID(SUBSTITUTE(SUBSTITUTE(SUBSTITUTE(IF(BB99&lt;&gt;"",BB99,K99)," ",""),".",""),"+",""),2,20),SUBSTITUTE(SUBSTITUTE(SUBSTITUTE(IF(BB99&lt;&gt;"",BB99,K99)," ",""),".",""),"+","")),"WhatsApp"))</f>
        <v/>
      </c>
      <c r="M99" s="60">
        <f>IF(BC99="","",HYPERLINK(IF(LEFT(BC99,4)="http",BC99,"https://www.instagram.com/"&amp;SUBSTITUTE(SUBSTITUTE(BC99,"@","")," ","")),BC99))</f>
        <v/>
      </c>
      <c r="N99" s="60">
        <f>IF(C99="","",IFERROR(INDEX('Saisie'!$D$5:$D$2004,_xlfn.MINIFS('Saisie'!$AS$5:$AS$2004,'Saisie'!$C$5:$C$2004,C99,'Saisie'!$AU$5:$AU$2004,1)-4),IFERROR(INDEX('Saisie'!$D$5:$D$2004,_xlfn.MINIFS('Saisie'!$AS$5:$AS$2004,'Saisie'!$C$5:$C$2004,C99,'Saisie'!$D$5:$D$2004,"&lt;&gt;")-4),"")))</f>
        <v/>
      </c>
      <c r="O99" s="60">
        <f>IF(C99="","",COUNTIFS('Saisie'!$C$5:$C$2004,C99,'Saisie'!$AU$5:$AU$2004,1))</f>
        <v/>
      </c>
      <c r="P99" s="60">
        <f>IF(C99="","",COUNTIFS('Saisie'!$C$5:$C$2004,C99,'Saisie'!$AV$5:$AV$2004,1))</f>
        <v/>
      </c>
      <c r="Q99" s="106">
        <f>IF(C99="","",IFERROR(1/(1/_xlfn.MAXIFS('Saisie'!$A$5:$A$2004,'Saisie'!$C$5:$C$2004,C99)),""))</f>
        <v/>
      </c>
      <c r="R99" s="61">
        <f>IF(C99="","",IF(Q99="","",TODAY()-Q99))</f>
        <v/>
      </c>
      <c r="S99" s="60">
        <f>IF(C99="","",IFERROR(INDEX('Saisie'!$R$5:$R$2004,_xlfn.MAXIFS('Saisie'!$AS$5:$AS$2004,'Saisie'!$C$5:$C$2004,C99,'Saisie'!$R$5:$R$2004,"&lt;&gt;")-4),""))</f>
        <v/>
      </c>
      <c r="T99" s="60">
        <f>IF(C99="","",IFERROR(INDEX('Saisie'!$S$5:$S$2004,_xlfn.MAXIFS('Saisie'!$AS$5:$AS$2004,'Saisie'!$C$5:$C$2004,C99,'Saisie'!$S$5:$S$2004,"&lt;&gt;")-4),""))</f>
        <v/>
      </c>
      <c r="U99" s="60">
        <f>IF(C99="","",IFERROR(INDEX('Saisie'!$T$5:$T$2004,_xlfn.MAXIFS('Saisie'!$AS$5:$AS$2004,'Saisie'!$C$5:$C$2004,C99,'Saisie'!$T$5:$T$2004,"&lt;&gt;")-4),""))</f>
        <v/>
      </c>
      <c r="V99" s="60">
        <f>IF(C99="","",IFERROR(INDEX('Saisie'!$V$5:$V$2004,_xlfn.MAXIFS('Saisie'!$AS$5:$AS$2004,'Saisie'!$C$5:$C$2004,C99,'Saisie'!$V$5:$V$2004,"&lt;&gt;")-4),""))</f>
        <v/>
      </c>
      <c r="W99" s="60">
        <f>IF(C99="","",IFERROR(INDEX('Saisie'!$Z$5:$Z$2004,_xlfn.MAXIFS('Saisie'!$AS$5:$AS$2004,'Saisie'!$C$5:$C$2004,C99,'Saisie'!$Z$5:$Z$2004,"&lt;&gt;")-4),""))</f>
        <v/>
      </c>
      <c r="X99" s="60">
        <f>IF(C99="","",IFERROR(INDEX('Saisie'!$AA$5:$AA$2004,_xlfn.MAXIFS('Saisie'!$AS$5:$AS$2004,'Saisie'!$C$5:$C$2004,C99,'Saisie'!$AA$5:$AA$2004,"&lt;&gt;")-4),""))</f>
        <v/>
      </c>
      <c r="Y99" s="60">
        <f>IF(C99="","",IFERROR(INDEX('Saisie'!$AB$5:$AB$2004,_xlfn.MAXIFS('Saisie'!$AS$5:$AS$2004,'Saisie'!$C$5:$C$2004,C99,'Saisie'!$AB$5:$AB$2004,"&lt;&gt;")-4),""))</f>
        <v/>
      </c>
      <c r="Z99" s="60">
        <f>IF(C99="","",IFERROR(INDEX('Saisie'!$AC$5:$AC$2004,_xlfn.MAXIFS('Saisie'!$AS$5:$AS$2004,'Saisie'!$C$5:$C$2004,C99,'Saisie'!$AC$5:$AC$2004,"&lt;&gt;")-4),""))</f>
        <v/>
      </c>
      <c r="AA99" s="106">
        <f>IF(C99="","",IFERROR(INDEX('Saisie'!$AD$5:$AD$2004,_xlfn.MAXIFS('Saisie'!$AS$5:$AS$2004,'Saisie'!$C$5:$C$2004,C99,'Saisie'!$AD$5:$AD$2004,"&lt;&gt;")-4),""))</f>
        <v/>
      </c>
      <c r="AB99" s="60">
        <f>IF(C99="","",IFERROR(INDEX('Saisie'!$AE$5:$AE$2004,_xlfn.MAXIFS('Saisie'!$AS$5:$AS$2004,'Saisie'!$C$5:$C$2004,C99,'Saisie'!$AE$5:$AE$2004,"&lt;&gt;")-4),""))</f>
        <v/>
      </c>
      <c r="AC99" s="60">
        <f>IF(C99="","",IFERROR(INDEX('Saisie'!$AF$5:$AF$2004,_xlfn.MAXIFS('Saisie'!$AS$5:$AS$2004,'Saisie'!$C$5:$C$2004,C99,'Saisie'!$AF$5:$AF$2004,"&lt;&gt;")-4),""))</f>
        <v/>
      </c>
      <c r="AD99" s="108">
        <f>IF(C99="","",IFERROR(INDEX('Saisie'!$AG$5:$AG$2004,_xlfn.MAXIFS('Saisie'!$AS$5:$AS$2004,'Saisie'!$C$5:$C$2004,C99,'Saisie'!$AG$5:$AG$2004,"&lt;&gt;")-4),""))</f>
        <v/>
      </c>
      <c r="AE99" s="60">
        <f>IF(C99="","",IFERROR(INDEX('Saisie'!$AH$5:$AH$2004,_xlfn.MAXIFS('Saisie'!$AS$5:$AS$2004,'Saisie'!$C$5:$C$2004,C99,'Saisie'!$AH$5:$AH$2004,"&lt;&gt;")-4),""))</f>
        <v/>
      </c>
      <c r="AF99" s="60">
        <f>IF(C99="","",IFERROR(INDEX('Saisie'!$AI$5:$AI$2004,_xlfn.MAXIFS('Saisie'!$AS$5:$AS$2004,'Saisie'!$C$5:$C$2004,C99,'Saisie'!$AI$5:$AI$2004,"&lt;&gt;")-4),""))</f>
        <v/>
      </c>
      <c r="AG99" s="60">
        <f>IF(C99="","",IFERROR(INDEX('Saisie'!$AJ$5:$AJ$2004,_xlfn.MAXIFS('Saisie'!$AS$5:$AS$2004,'Saisie'!$C$5:$C$2004,C99,'Saisie'!$AJ$5:$AJ$2004,"&lt;&gt;")-4),""))</f>
        <v/>
      </c>
      <c r="AH99" s="60">
        <f>IF(C99="","",IFERROR(INDEX('Saisie'!$AK$5:$AK$2004,_xlfn.MAXIFS('Saisie'!$AS$5:$AS$2004,'Saisie'!$C$5:$C$2004,C99,'Saisie'!$AK$5:$AK$2004,"&lt;&gt;")-4),""))</f>
        <v/>
      </c>
      <c r="AI99" s="60">
        <f>IF(C99="","",IFERROR(INDEX('Saisie'!$AN$5:$AN$2004,_xlfn.MAXIFS('Saisie'!$AS$5:$AS$2004,'Saisie'!$C$5:$C$2004,C99,'Saisie'!$AN$5:$AN$2004,"&lt;&gt;")-4),""))</f>
        <v/>
      </c>
      <c r="AJ99" s="60">
        <f>IF(C99="","",IFERROR(INDEX('Saisie'!$AO$5:$AO$2004,_xlfn.MAXIFS('Saisie'!$AS$5:$AS$2004,'Saisie'!$C$5:$C$2004,C99,'Saisie'!$AO$5:$AO$2004,"&lt;&gt;")-4),""))</f>
        <v/>
      </c>
      <c r="AK99" s="60">
        <f>IF(C99="","",IFERROR(INDEX('Saisie'!$AP$5:$AP$2004,_xlfn.MAXIFS('Saisie'!$AS$5:$AS$2004,'Saisie'!$C$5:$C$2004,C99,'Saisie'!$AP$5:$AP$2004,"&lt;&gt;")-4),""))</f>
        <v/>
      </c>
      <c r="AL99" s="60">
        <f>IF(C99="","",IFERROR(INDEX('Saisie'!$AQ$5:$AQ$2004,_xlfn.MAXIFS('Saisie'!$AS$5:$AS$2004,'Saisie'!$C$5:$C$2004,C99,'Saisie'!$AQ$5:$AQ$2004,"&lt;&gt;")-4),""))</f>
        <v/>
      </c>
      <c r="AM99" s="60">
        <f>IF(C99="","",((AI99="Oui")+(AJ99="Oui")+(AK99="Oui")+OR(AL99="Immédiat",AL99="&lt; 1 mois"))&amp;"/4")</f>
        <v/>
      </c>
      <c r="AN99" s="60">
        <f>IF(C99="","",IFERROR(INDEX('Saisie'!$AL$5:$AL$2004,_xlfn.MAXIFS('Saisie'!$AS$5:$AS$2004,'Saisie'!$C$5:$C$2004,C99,'Saisie'!$AL$5:$AL$2004,"&lt;&gt;")-4),""))</f>
        <v/>
      </c>
      <c r="AO99" s="62">
        <f>IF(C99="","",IF(IFERROR(INDEX('Saisie'!$AM$5:$AM$2004,_xlfn.MAXIFS('Saisie'!$AS$5:$AS$2004,'Saisie'!$C$5:$C$2004,C99,'Saisie'!$AM$5:$AM$2004,"&lt;&gt;")-4),"")&lt;&gt;"",IFERROR(INDEX('Saisie'!$AM$5:$AM$2004,_xlfn.MAXIFS('Saisie'!$AS$5:$AS$2004,'Saisie'!$C$5:$C$2004,C99,'Saisie'!$AM$5:$AM$2004,"&lt;&gt;")-4),""),IFERROR(INDEX('Paramètres'!$S$6:$S$15,MATCH(AN99,'Paramètres'!$Q$6:$Q$15,0)),"")))</f>
        <v/>
      </c>
      <c r="AP99" s="62">
        <f>IF(C99="","",IFERROR(INDEX('Saisie'!$AW$5:$AW$2004,_xlfn.MAXIFS('Saisie'!$AS$5:$AS$2004,'Saisie'!$C$5:$C$2004,C99,'Saisie'!$E$5:$E$2004,"Proposition envoyée")-4),""))</f>
        <v/>
      </c>
      <c r="AQ99" s="106">
        <f>IF(C99="","",IFERROR(1/(1/_xlfn.MAXIFS('Saisie'!$A$5:$A$2004,'Saisie'!$C$5:$C$2004,C99,'Saisie'!$E$5:$E$2004,"Proposition envoyée")),""))</f>
        <v/>
      </c>
      <c r="AR99" s="106">
        <f>IF(C99="","",IF(AQ99="","",AQ99+'Paramètres'!$B$26))</f>
        <v/>
      </c>
      <c r="AS99" s="62">
        <f>IF(OR(C99="",D99="Gagné",D99="Perdu"),0,N(AP99)*IFERROR(INDEX('Paramètres'!$G$6:$G$13,MATCH(D99,'Paramètres'!$F$6:$F$13,0)),0))</f>
        <v/>
      </c>
      <c r="AT99" s="106">
        <f>IF(C99="","",IFERROR(1/(1/_xlfn.MINIFS('Saisie'!$A$5:$A$2004,'Saisie'!$C$5:$C$2004,C99,'Saisie'!$E$5:$E$2004,"Signature")),""))</f>
        <v/>
      </c>
      <c r="AU99" s="60">
        <f>IF(C99="","",IF(OR(AT99="",B99=""),"",AT99-B99))</f>
        <v/>
      </c>
      <c r="AV99" s="60">
        <f>IF(C99="","",IFERROR(INDEX('Saisie'!$L$5:$L$2004,_xlfn.MAXIFS('Saisie'!$AS$5:$AS$2004,'Saisie'!$C$5:$C$2004,C99,'Saisie'!$L$5:$L$2004,"&lt;&gt;")-4),""))</f>
        <v/>
      </c>
      <c r="AW99" s="106">
        <f>IF(C99="","",IF(D99&lt;&gt;"Perdu","",IFERROR(1/(1/_xlfn.MAXIFS('Saisie'!$A$5:$A$2004,'Saisie'!$C$5:$C$2004,C99,'Saisie'!$E$5:$E$2004,"Perdu")),"")))</f>
        <v/>
      </c>
      <c r="AX99" s="106">
        <f>IF(C99="","",IF(AW99="","",AW99+'Paramètres'!$B$28))</f>
        <v/>
      </c>
      <c r="AY99" s="60">
        <f>IF(C99="","",SUMIFS('Saisie'!$H$5:$H$2004,'Saisie'!$C$5:$C$2004,C99))</f>
        <v/>
      </c>
      <c r="AZ99" s="60">
        <f>IF(C99="","",IFERROR(INDEX('Paramètres'!$W$6:$W$20,MATCH(S99,'Paramètres'!$V$6:$V$20,0))&amp;"",""))</f>
        <v/>
      </c>
      <c r="BA99" s="60">
        <f>IF(C99="","",MAX(1,_xlfn.MAXIFS('Saisie'!$AT$5:$AT$2004,'Saisie'!$C$5:$C$2004,C99)))</f>
        <v/>
      </c>
      <c r="BB99" s="60">
        <f>IF(C99="","",IFERROR(INDEX('Saisie'!$X$5:$X$2004,_xlfn.MAXIFS('Saisie'!$AS$5:$AS$2004,'Saisie'!$C$5:$C$2004,C99,'Saisie'!$X$5:$X$2004,"&lt;&gt;")-4),""))</f>
        <v/>
      </c>
      <c r="BC99" s="60">
        <f>IF(C99="","",IFERROR(INDEX('Saisie'!$Y$5:$Y$2004,_xlfn.MAXIFS('Saisie'!$AS$5:$AS$2004,'Saisie'!$C$5:$C$2004,C99,'Saisie'!$Y$5:$Y$2004,"&lt;&gt;")-4),""))</f>
        <v/>
      </c>
      <c r="BD99" s="106">
        <f>IF(C99="","",IFERROR(1/(1/_xlfn.MINIFS('Saisie'!$A$5:$A$2004,'Saisie'!$C$5:$C$2004,C99,'Saisie'!$AT$5:$AT$2004,"&gt;=2")),""))</f>
        <v/>
      </c>
      <c r="BE99" s="106">
        <f>IF(C99="","",IFERROR(1/(1/_xlfn.MINIFS('Saisie'!$A$5:$A$2004,'Saisie'!$C$5:$C$2004,C99,'Saisie'!$AT$5:$AT$2004,"&gt;=3")),""))</f>
        <v/>
      </c>
      <c r="BF99" s="106">
        <f>IF(C99="","",IFERROR(1/(1/_xlfn.MINIFS('Saisie'!$A$5:$A$2004,'Saisie'!$C$5:$C$2004,C99,'Saisie'!$AT$5:$AT$2004,"&gt;=4")),""))</f>
        <v/>
      </c>
      <c r="BG99" s="106">
        <f>IF(C99="","",IFERROR(1/(1/_xlfn.MINIFS('Saisie'!$A$5:$A$2004,'Saisie'!$C$5:$C$2004,C99,'Saisie'!$AT$5:$AT$2004,"&gt;=5")),""))</f>
        <v/>
      </c>
      <c r="BH99" s="106">
        <f>IF(C99="","",IFERROR(1/(1/_xlfn.MINIFS('Saisie'!$A$5:$A$2004,'Saisie'!$C$5:$C$2004,C99,'Saisie'!$AT$5:$AT$2004,"&gt;=6")),""))</f>
        <v/>
      </c>
      <c r="BI99" s="106">
        <f>IF(C99="","",IFERROR(1/(1/_xlfn.MINIFS('Saisie'!$A$5:$A$2004,'Saisie'!$C$5:$C$2004,C99,'Saisie'!$AT$5:$AT$2004,"&gt;=7")),""))</f>
        <v/>
      </c>
      <c r="BJ99" s="60">
        <f>IF(OR(BD99="",B99=""),"",BD99-B99)</f>
        <v/>
      </c>
      <c r="BK99" s="60">
        <f>IF(OR(BE99="",BD99=""),"",BE99-BD99)</f>
        <v/>
      </c>
      <c r="BL99" s="60">
        <f>IF(OR(BF99="",BE99=""),"",BF99-BE99)</f>
        <v/>
      </c>
      <c r="BM99" s="60">
        <f>IF(OR(BG99="",BF99=""),"",BG99-BF99)</f>
        <v/>
      </c>
      <c r="BN99" s="60">
        <f>IF(OR(BH99="",BG99=""),"",BH99-BG99)</f>
        <v/>
      </c>
      <c r="BO99" s="60">
        <f>IF(OR(BI99="",BH99=""),"",BI99-BH99)</f>
        <v/>
      </c>
      <c r="BP99" s="60">
        <f>IF(C99="","",_xlfn.MAXIFS('Saisie'!$AS$5:$AS$2004,'Saisie'!$C$5:$C$2004,C99,'Saisie'!$J$5:$J$2004,"&lt;&gt;"))</f>
        <v/>
      </c>
      <c r="BQ99" s="60">
        <f>IF(C99="","",_xlfn.MAXIFS('Saisie'!$AS$5:$AS$2004,'Saisie'!$C$5:$C$2004,C99))</f>
        <v/>
      </c>
      <c r="BR99" s="60">
        <f>IF(C99="","",_xlfn.MAXIFS('Saisie'!$AS$5:$AS$2004,'Saisie'!$C$5:$C$2004,C99,'Saisie'!$E$5:$E$2004,"Perdu"))</f>
        <v/>
      </c>
      <c r="BS99" s="60">
        <f>IF(C99="","",_xlfn.MAXIFS('Saisie'!$AS$5:$AS$2004,'Saisie'!$C$5:$C$2004,C99,'Saisie'!$AT$5:$AT$2004,"&gt;0"))</f>
        <v/>
      </c>
      <c r="BT99" s="109">
        <f>IF(AND(C99&lt;&gt;"",OR(D99="Nouveau",D99="Contacté",D99="Qualifié"),OR(G99="",N(G99)&lt;=TODAY()),NOT(AND(O99&gt;='Paramètres'!$B$21,P99=0))),E99+95/10000,"")</f>
        <v/>
      </c>
      <c r="BU99" s="60">
        <f>IF(AND(G99&lt;&gt;"",N(G99)&lt;=TODAY()),MAX($BU$4:BU98)+1,"")</f>
        <v/>
      </c>
      <c r="BV99" s="60">
        <f>IF(AND(F99&lt;&gt;"",F99&lt;&gt;"Relance en retard"),MAX($BV$4:BV98)+1,"")</f>
        <v/>
      </c>
      <c r="BW99" s="60">
        <f>IF(C99="","",IF(AND(B99&gt;='Tableau de bord'!$R$4,B99&lt;='Tableau de bord'!$S$4,OR('Tableau de bord'!$G$4="Tous",N99='Tableau de bord'!$G$4)),1,0))</f>
        <v/>
      </c>
      <c r="BX99" s="60">
        <f>IF(AND(C99&lt;&gt;"",N(BA99)=7),MAX($BX$4:BX98)+1,"")</f>
        <v/>
      </c>
    </row>
    <row r="100">
      <c r="A100" s="60">
        <f>IF(C100="","","P-"&amp;TEXT(96,"000"))</f>
        <v/>
      </c>
      <c r="B100" s="106">
        <f>IF(C100="","",IFERROR(1/(1/_xlfn.MINIFS('Saisie'!$A$5:$A$2004,'Saisie'!$C$5:$C$2004,C100)),""))</f>
        <v/>
      </c>
      <c r="C100" s="60">
        <f>IFERROR(INDEX('Saisie'!$C$5:$C$2004,MATCH(96,'Saisie'!$AX$5:$AX$2004,0)),"")</f>
        <v/>
      </c>
      <c r="D100" s="60">
        <f>IF(C100="","",IF(AND(BR100&gt;0,BR100&gt;BS100,BA100&lt;7),"Perdu",INDEX('Paramètres'!$F$6:$F$13,BA100)))</f>
        <v/>
      </c>
      <c r="E100" s="61">
        <f>IF(C100="","",MIN(100,(Z100="Oui")*'Paramètres'!$B$38+(AB100="Régulière")*'Paramètres'!$B$39+IF(AND(N(AA100)&gt;0,TODAY()-N(AA100)&lt;=30),'Paramètres'!$B$40,0)+(W100="")*'Paramètres'!$B$41+(AC100="Absente")*'Paramètres'!$B$42+(AC100="Faible")*'Paramètres'!$B$43+IF(AND(N(AD100)&gt;0,N(AD100)&lt;4),'Paramètres'!$B$44,0)+(AF100="Moyenne")*'Paramètres'!$B$45+(AF100="Grande")*'Paramètres'!$B$46+(Y100&lt;&gt;"")*'Paramètres'!$B$47))</f>
        <v/>
      </c>
      <c r="F100" s="60">
        <f>IF(C100="","",IF(D100="Gagné","",IF(D100="Perdu",IF(AND(AX100&lt;&gt;"",AX100&lt;=TODAY()),"À recontacter (perdu)",""),IF(AND(O100&gt;='Paramètres'!$B$21,P100=0),"Stop : "&amp;'Paramètres'!$B$21&amp;" tentatives sans réponse",IF(AND(D100="Proposition",AR100&lt;&gt;"",TODAY()&gt;N(AR100)),"Proposition expirée",IF(AND(D100="Proposition",N(R100)&gt;='Paramètres'!$B$25),"Proposition sans réponse",IF(AND(G100&lt;&gt;"",N(G100)&lt;TODAY()),"Relance en retard",IF(N(R100)&gt;='Paramètres'!$B$24,"Sans action depuis "&amp;R100&amp;" j",""))))))))</f>
        <v/>
      </c>
      <c r="G100" s="106">
        <f>IF(OR(C100="",D100="Gagné",D100="Perdu"),"",IF(AND(BP100&gt;0,BP100=BQ100),INDEX('Saisie'!$J$5:$J$2004,BP100-4),IF(OR(O100=0,AND(O100&gt;='Paramètres'!$B$21,P100=0)),"",Q100+IF(O100&lt;=1,'Paramètres'!$B$18,IF(O100=2,'Paramètres'!$B$19,'Paramètres'!$B$20)))))</f>
        <v/>
      </c>
      <c r="H100" s="107">
        <f>IF(OR(G100="",BP100&lt;&gt;BQ100),"",IF(INDEX('Saisie'!$K$5:$K$2004,BP100-4)="","",INDEX('Saisie'!$K$5:$K$2004,BP100-4)))</f>
        <v/>
      </c>
      <c r="I100" s="60">
        <f>IF(C100="","",IF(OR(D100="Gagné",D100="Perdu"),"",IFERROR(INDEX('Saisie'!$I$5:$I$2004,_xlfn.MAXIFS('Saisie'!$AS$5:$AS$2004,'Saisie'!$C$5:$C$2004,C100,'Saisie'!$I$5:$I$2004,"&lt;&gt;")-4),"")))</f>
        <v/>
      </c>
      <c r="J100" s="60">
        <f>IF(C100="","",IFERROR(INDEX('Saisie'!$U$5:$U$2004,_xlfn.MAXIFS('Saisie'!$AS$5:$AS$2004,'Saisie'!$C$5:$C$2004,C100,'Saisie'!$U$5:$U$2004,"&lt;&gt;")-4),""))</f>
        <v/>
      </c>
      <c r="K100" s="60">
        <f>IF(C100="","",IFERROR(INDEX('Saisie'!$W$5:$W$2004,_xlfn.MAXIFS('Saisie'!$AS$5:$AS$2004,'Saisie'!$C$5:$C$2004,C100,'Saisie'!$W$5:$W$2004,"&lt;&gt;")-4),""))</f>
        <v/>
      </c>
      <c r="L100" s="60">
        <f>IF(IF(BB100&lt;&gt;"",BB100,K100)="","",HYPERLINK("https://wa.me/"&amp;IF(LEFT(SUBSTITUTE(SUBSTITUTE(SUBSTITUTE(IF(BB100&lt;&gt;"",BB100,K100)," ",""),".",""),"+",""),1)="0",'Paramètres'!$B$35&amp;MID(SUBSTITUTE(SUBSTITUTE(SUBSTITUTE(IF(BB100&lt;&gt;"",BB100,K100)," ",""),".",""),"+",""),2,20),SUBSTITUTE(SUBSTITUTE(SUBSTITUTE(IF(BB100&lt;&gt;"",BB100,K100)," ",""),".",""),"+","")),"WhatsApp"))</f>
        <v/>
      </c>
      <c r="M100" s="60">
        <f>IF(BC100="","",HYPERLINK(IF(LEFT(BC100,4)="http",BC100,"https://www.instagram.com/"&amp;SUBSTITUTE(SUBSTITUTE(BC100,"@","")," ","")),BC100))</f>
        <v/>
      </c>
      <c r="N100" s="60">
        <f>IF(C100="","",IFERROR(INDEX('Saisie'!$D$5:$D$2004,_xlfn.MINIFS('Saisie'!$AS$5:$AS$2004,'Saisie'!$C$5:$C$2004,C100,'Saisie'!$AU$5:$AU$2004,1)-4),IFERROR(INDEX('Saisie'!$D$5:$D$2004,_xlfn.MINIFS('Saisie'!$AS$5:$AS$2004,'Saisie'!$C$5:$C$2004,C100,'Saisie'!$D$5:$D$2004,"&lt;&gt;")-4),"")))</f>
        <v/>
      </c>
      <c r="O100" s="60">
        <f>IF(C100="","",COUNTIFS('Saisie'!$C$5:$C$2004,C100,'Saisie'!$AU$5:$AU$2004,1))</f>
        <v/>
      </c>
      <c r="P100" s="60">
        <f>IF(C100="","",COUNTIFS('Saisie'!$C$5:$C$2004,C100,'Saisie'!$AV$5:$AV$2004,1))</f>
        <v/>
      </c>
      <c r="Q100" s="106">
        <f>IF(C100="","",IFERROR(1/(1/_xlfn.MAXIFS('Saisie'!$A$5:$A$2004,'Saisie'!$C$5:$C$2004,C100)),""))</f>
        <v/>
      </c>
      <c r="R100" s="61">
        <f>IF(C100="","",IF(Q100="","",TODAY()-Q100))</f>
        <v/>
      </c>
      <c r="S100" s="60">
        <f>IF(C100="","",IFERROR(INDEX('Saisie'!$R$5:$R$2004,_xlfn.MAXIFS('Saisie'!$AS$5:$AS$2004,'Saisie'!$C$5:$C$2004,C100,'Saisie'!$R$5:$R$2004,"&lt;&gt;")-4),""))</f>
        <v/>
      </c>
      <c r="T100" s="60">
        <f>IF(C100="","",IFERROR(INDEX('Saisie'!$S$5:$S$2004,_xlfn.MAXIFS('Saisie'!$AS$5:$AS$2004,'Saisie'!$C$5:$C$2004,C100,'Saisie'!$S$5:$S$2004,"&lt;&gt;")-4),""))</f>
        <v/>
      </c>
      <c r="U100" s="60">
        <f>IF(C100="","",IFERROR(INDEX('Saisie'!$T$5:$T$2004,_xlfn.MAXIFS('Saisie'!$AS$5:$AS$2004,'Saisie'!$C$5:$C$2004,C100,'Saisie'!$T$5:$T$2004,"&lt;&gt;")-4),""))</f>
        <v/>
      </c>
      <c r="V100" s="60">
        <f>IF(C100="","",IFERROR(INDEX('Saisie'!$V$5:$V$2004,_xlfn.MAXIFS('Saisie'!$AS$5:$AS$2004,'Saisie'!$C$5:$C$2004,C100,'Saisie'!$V$5:$V$2004,"&lt;&gt;")-4),""))</f>
        <v/>
      </c>
      <c r="W100" s="60">
        <f>IF(C100="","",IFERROR(INDEX('Saisie'!$Z$5:$Z$2004,_xlfn.MAXIFS('Saisie'!$AS$5:$AS$2004,'Saisie'!$C$5:$C$2004,C100,'Saisie'!$Z$5:$Z$2004,"&lt;&gt;")-4),""))</f>
        <v/>
      </c>
      <c r="X100" s="60">
        <f>IF(C100="","",IFERROR(INDEX('Saisie'!$AA$5:$AA$2004,_xlfn.MAXIFS('Saisie'!$AS$5:$AS$2004,'Saisie'!$C$5:$C$2004,C100,'Saisie'!$AA$5:$AA$2004,"&lt;&gt;")-4),""))</f>
        <v/>
      </c>
      <c r="Y100" s="60">
        <f>IF(C100="","",IFERROR(INDEX('Saisie'!$AB$5:$AB$2004,_xlfn.MAXIFS('Saisie'!$AS$5:$AS$2004,'Saisie'!$C$5:$C$2004,C100,'Saisie'!$AB$5:$AB$2004,"&lt;&gt;")-4),""))</f>
        <v/>
      </c>
      <c r="Z100" s="60">
        <f>IF(C100="","",IFERROR(INDEX('Saisie'!$AC$5:$AC$2004,_xlfn.MAXIFS('Saisie'!$AS$5:$AS$2004,'Saisie'!$C$5:$C$2004,C100,'Saisie'!$AC$5:$AC$2004,"&lt;&gt;")-4),""))</f>
        <v/>
      </c>
      <c r="AA100" s="106">
        <f>IF(C100="","",IFERROR(INDEX('Saisie'!$AD$5:$AD$2004,_xlfn.MAXIFS('Saisie'!$AS$5:$AS$2004,'Saisie'!$C$5:$C$2004,C100,'Saisie'!$AD$5:$AD$2004,"&lt;&gt;")-4),""))</f>
        <v/>
      </c>
      <c r="AB100" s="60">
        <f>IF(C100="","",IFERROR(INDEX('Saisie'!$AE$5:$AE$2004,_xlfn.MAXIFS('Saisie'!$AS$5:$AS$2004,'Saisie'!$C$5:$C$2004,C100,'Saisie'!$AE$5:$AE$2004,"&lt;&gt;")-4),""))</f>
        <v/>
      </c>
      <c r="AC100" s="60">
        <f>IF(C100="","",IFERROR(INDEX('Saisie'!$AF$5:$AF$2004,_xlfn.MAXIFS('Saisie'!$AS$5:$AS$2004,'Saisie'!$C$5:$C$2004,C100,'Saisie'!$AF$5:$AF$2004,"&lt;&gt;")-4),""))</f>
        <v/>
      </c>
      <c r="AD100" s="108">
        <f>IF(C100="","",IFERROR(INDEX('Saisie'!$AG$5:$AG$2004,_xlfn.MAXIFS('Saisie'!$AS$5:$AS$2004,'Saisie'!$C$5:$C$2004,C100,'Saisie'!$AG$5:$AG$2004,"&lt;&gt;")-4),""))</f>
        <v/>
      </c>
      <c r="AE100" s="60">
        <f>IF(C100="","",IFERROR(INDEX('Saisie'!$AH$5:$AH$2004,_xlfn.MAXIFS('Saisie'!$AS$5:$AS$2004,'Saisie'!$C$5:$C$2004,C100,'Saisie'!$AH$5:$AH$2004,"&lt;&gt;")-4),""))</f>
        <v/>
      </c>
      <c r="AF100" s="60">
        <f>IF(C100="","",IFERROR(INDEX('Saisie'!$AI$5:$AI$2004,_xlfn.MAXIFS('Saisie'!$AS$5:$AS$2004,'Saisie'!$C$5:$C$2004,C100,'Saisie'!$AI$5:$AI$2004,"&lt;&gt;")-4),""))</f>
        <v/>
      </c>
      <c r="AG100" s="60">
        <f>IF(C100="","",IFERROR(INDEX('Saisie'!$AJ$5:$AJ$2004,_xlfn.MAXIFS('Saisie'!$AS$5:$AS$2004,'Saisie'!$C$5:$C$2004,C100,'Saisie'!$AJ$5:$AJ$2004,"&lt;&gt;")-4),""))</f>
        <v/>
      </c>
      <c r="AH100" s="60">
        <f>IF(C100="","",IFERROR(INDEX('Saisie'!$AK$5:$AK$2004,_xlfn.MAXIFS('Saisie'!$AS$5:$AS$2004,'Saisie'!$C$5:$C$2004,C100,'Saisie'!$AK$5:$AK$2004,"&lt;&gt;")-4),""))</f>
        <v/>
      </c>
      <c r="AI100" s="60">
        <f>IF(C100="","",IFERROR(INDEX('Saisie'!$AN$5:$AN$2004,_xlfn.MAXIFS('Saisie'!$AS$5:$AS$2004,'Saisie'!$C$5:$C$2004,C100,'Saisie'!$AN$5:$AN$2004,"&lt;&gt;")-4),""))</f>
        <v/>
      </c>
      <c r="AJ100" s="60">
        <f>IF(C100="","",IFERROR(INDEX('Saisie'!$AO$5:$AO$2004,_xlfn.MAXIFS('Saisie'!$AS$5:$AS$2004,'Saisie'!$C$5:$C$2004,C100,'Saisie'!$AO$5:$AO$2004,"&lt;&gt;")-4),""))</f>
        <v/>
      </c>
      <c r="AK100" s="60">
        <f>IF(C100="","",IFERROR(INDEX('Saisie'!$AP$5:$AP$2004,_xlfn.MAXIFS('Saisie'!$AS$5:$AS$2004,'Saisie'!$C$5:$C$2004,C100,'Saisie'!$AP$5:$AP$2004,"&lt;&gt;")-4),""))</f>
        <v/>
      </c>
      <c r="AL100" s="60">
        <f>IF(C100="","",IFERROR(INDEX('Saisie'!$AQ$5:$AQ$2004,_xlfn.MAXIFS('Saisie'!$AS$5:$AS$2004,'Saisie'!$C$5:$C$2004,C100,'Saisie'!$AQ$5:$AQ$2004,"&lt;&gt;")-4),""))</f>
        <v/>
      </c>
      <c r="AM100" s="60">
        <f>IF(C100="","",((AI100="Oui")+(AJ100="Oui")+(AK100="Oui")+OR(AL100="Immédiat",AL100="&lt; 1 mois"))&amp;"/4")</f>
        <v/>
      </c>
      <c r="AN100" s="60">
        <f>IF(C100="","",IFERROR(INDEX('Saisie'!$AL$5:$AL$2004,_xlfn.MAXIFS('Saisie'!$AS$5:$AS$2004,'Saisie'!$C$5:$C$2004,C100,'Saisie'!$AL$5:$AL$2004,"&lt;&gt;")-4),""))</f>
        <v/>
      </c>
      <c r="AO100" s="62">
        <f>IF(C100="","",IF(IFERROR(INDEX('Saisie'!$AM$5:$AM$2004,_xlfn.MAXIFS('Saisie'!$AS$5:$AS$2004,'Saisie'!$C$5:$C$2004,C100,'Saisie'!$AM$5:$AM$2004,"&lt;&gt;")-4),"")&lt;&gt;"",IFERROR(INDEX('Saisie'!$AM$5:$AM$2004,_xlfn.MAXIFS('Saisie'!$AS$5:$AS$2004,'Saisie'!$C$5:$C$2004,C100,'Saisie'!$AM$5:$AM$2004,"&lt;&gt;")-4),""),IFERROR(INDEX('Paramètres'!$S$6:$S$15,MATCH(AN100,'Paramètres'!$Q$6:$Q$15,0)),"")))</f>
        <v/>
      </c>
      <c r="AP100" s="62">
        <f>IF(C100="","",IFERROR(INDEX('Saisie'!$AW$5:$AW$2004,_xlfn.MAXIFS('Saisie'!$AS$5:$AS$2004,'Saisie'!$C$5:$C$2004,C100,'Saisie'!$E$5:$E$2004,"Proposition envoyée")-4),""))</f>
        <v/>
      </c>
      <c r="AQ100" s="106">
        <f>IF(C100="","",IFERROR(1/(1/_xlfn.MAXIFS('Saisie'!$A$5:$A$2004,'Saisie'!$C$5:$C$2004,C100,'Saisie'!$E$5:$E$2004,"Proposition envoyée")),""))</f>
        <v/>
      </c>
      <c r="AR100" s="106">
        <f>IF(C100="","",IF(AQ100="","",AQ100+'Paramètres'!$B$26))</f>
        <v/>
      </c>
      <c r="AS100" s="62">
        <f>IF(OR(C100="",D100="Gagné",D100="Perdu"),0,N(AP100)*IFERROR(INDEX('Paramètres'!$G$6:$G$13,MATCH(D100,'Paramètres'!$F$6:$F$13,0)),0))</f>
        <v/>
      </c>
      <c r="AT100" s="106">
        <f>IF(C100="","",IFERROR(1/(1/_xlfn.MINIFS('Saisie'!$A$5:$A$2004,'Saisie'!$C$5:$C$2004,C100,'Saisie'!$E$5:$E$2004,"Signature")),""))</f>
        <v/>
      </c>
      <c r="AU100" s="60">
        <f>IF(C100="","",IF(OR(AT100="",B100=""),"",AT100-B100))</f>
        <v/>
      </c>
      <c r="AV100" s="60">
        <f>IF(C100="","",IFERROR(INDEX('Saisie'!$L$5:$L$2004,_xlfn.MAXIFS('Saisie'!$AS$5:$AS$2004,'Saisie'!$C$5:$C$2004,C100,'Saisie'!$L$5:$L$2004,"&lt;&gt;")-4),""))</f>
        <v/>
      </c>
      <c r="AW100" s="106">
        <f>IF(C100="","",IF(D100&lt;&gt;"Perdu","",IFERROR(1/(1/_xlfn.MAXIFS('Saisie'!$A$5:$A$2004,'Saisie'!$C$5:$C$2004,C100,'Saisie'!$E$5:$E$2004,"Perdu")),"")))</f>
        <v/>
      </c>
      <c r="AX100" s="106">
        <f>IF(C100="","",IF(AW100="","",AW100+'Paramètres'!$B$28))</f>
        <v/>
      </c>
      <c r="AY100" s="60">
        <f>IF(C100="","",SUMIFS('Saisie'!$H$5:$H$2004,'Saisie'!$C$5:$C$2004,C100))</f>
        <v/>
      </c>
      <c r="AZ100" s="60">
        <f>IF(C100="","",IFERROR(INDEX('Paramètres'!$W$6:$W$20,MATCH(S100,'Paramètres'!$V$6:$V$20,0))&amp;"",""))</f>
        <v/>
      </c>
      <c r="BA100" s="60">
        <f>IF(C100="","",MAX(1,_xlfn.MAXIFS('Saisie'!$AT$5:$AT$2004,'Saisie'!$C$5:$C$2004,C100)))</f>
        <v/>
      </c>
      <c r="BB100" s="60">
        <f>IF(C100="","",IFERROR(INDEX('Saisie'!$X$5:$X$2004,_xlfn.MAXIFS('Saisie'!$AS$5:$AS$2004,'Saisie'!$C$5:$C$2004,C100,'Saisie'!$X$5:$X$2004,"&lt;&gt;")-4),""))</f>
        <v/>
      </c>
      <c r="BC100" s="60">
        <f>IF(C100="","",IFERROR(INDEX('Saisie'!$Y$5:$Y$2004,_xlfn.MAXIFS('Saisie'!$AS$5:$AS$2004,'Saisie'!$C$5:$C$2004,C100,'Saisie'!$Y$5:$Y$2004,"&lt;&gt;")-4),""))</f>
        <v/>
      </c>
      <c r="BD100" s="106">
        <f>IF(C100="","",IFERROR(1/(1/_xlfn.MINIFS('Saisie'!$A$5:$A$2004,'Saisie'!$C$5:$C$2004,C100,'Saisie'!$AT$5:$AT$2004,"&gt;=2")),""))</f>
        <v/>
      </c>
      <c r="BE100" s="106">
        <f>IF(C100="","",IFERROR(1/(1/_xlfn.MINIFS('Saisie'!$A$5:$A$2004,'Saisie'!$C$5:$C$2004,C100,'Saisie'!$AT$5:$AT$2004,"&gt;=3")),""))</f>
        <v/>
      </c>
      <c r="BF100" s="106">
        <f>IF(C100="","",IFERROR(1/(1/_xlfn.MINIFS('Saisie'!$A$5:$A$2004,'Saisie'!$C$5:$C$2004,C100,'Saisie'!$AT$5:$AT$2004,"&gt;=4")),""))</f>
        <v/>
      </c>
      <c r="BG100" s="106">
        <f>IF(C100="","",IFERROR(1/(1/_xlfn.MINIFS('Saisie'!$A$5:$A$2004,'Saisie'!$C$5:$C$2004,C100,'Saisie'!$AT$5:$AT$2004,"&gt;=5")),""))</f>
        <v/>
      </c>
      <c r="BH100" s="106">
        <f>IF(C100="","",IFERROR(1/(1/_xlfn.MINIFS('Saisie'!$A$5:$A$2004,'Saisie'!$C$5:$C$2004,C100,'Saisie'!$AT$5:$AT$2004,"&gt;=6")),""))</f>
        <v/>
      </c>
      <c r="BI100" s="106">
        <f>IF(C100="","",IFERROR(1/(1/_xlfn.MINIFS('Saisie'!$A$5:$A$2004,'Saisie'!$C$5:$C$2004,C100,'Saisie'!$AT$5:$AT$2004,"&gt;=7")),""))</f>
        <v/>
      </c>
      <c r="BJ100" s="60">
        <f>IF(OR(BD100="",B100=""),"",BD100-B100)</f>
        <v/>
      </c>
      <c r="BK100" s="60">
        <f>IF(OR(BE100="",BD100=""),"",BE100-BD100)</f>
        <v/>
      </c>
      <c r="BL100" s="60">
        <f>IF(OR(BF100="",BE100=""),"",BF100-BE100)</f>
        <v/>
      </c>
      <c r="BM100" s="60">
        <f>IF(OR(BG100="",BF100=""),"",BG100-BF100)</f>
        <v/>
      </c>
      <c r="BN100" s="60">
        <f>IF(OR(BH100="",BG100=""),"",BH100-BG100)</f>
        <v/>
      </c>
      <c r="BO100" s="60">
        <f>IF(OR(BI100="",BH100=""),"",BI100-BH100)</f>
        <v/>
      </c>
      <c r="BP100" s="60">
        <f>IF(C100="","",_xlfn.MAXIFS('Saisie'!$AS$5:$AS$2004,'Saisie'!$C$5:$C$2004,C100,'Saisie'!$J$5:$J$2004,"&lt;&gt;"))</f>
        <v/>
      </c>
      <c r="BQ100" s="60">
        <f>IF(C100="","",_xlfn.MAXIFS('Saisie'!$AS$5:$AS$2004,'Saisie'!$C$5:$C$2004,C100))</f>
        <v/>
      </c>
      <c r="BR100" s="60">
        <f>IF(C100="","",_xlfn.MAXIFS('Saisie'!$AS$5:$AS$2004,'Saisie'!$C$5:$C$2004,C100,'Saisie'!$E$5:$E$2004,"Perdu"))</f>
        <v/>
      </c>
      <c r="BS100" s="60">
        <f>IF(C100="","",_xlfn.MAXIFS('Saisie'!$AS$5:$AS$2004,'Saisie'!$C$5:$C$2004,C100,'Saisie'!$AT$5:$AT$2004,"&gt;0"))</f>
        <v/>
      </c>
      <c r="BT100" s="109">
        <f>IF(AND(C100&lt;&gt;"",OR(D100="Nouveau",D100="Contacté",D100="Qualifié"),OR(G100="",N(G100)&lt;=TODAY()),NOT(AND(O100&gt;='Paramètres'!$B$21,P100=0))),E100+96/10000,"")</f>
        <v/>
      </c>
      <c r="BU100" s="60">
        <f>IF(AND(G100&lt;&gt;"",N(G100)&lt;=TODAY()),MAX($BU$4:BU99)+1,"")</f>
        <v/>
      </c>
      <c r="BV100" s="60">
        <f>IF(AND(F100&lt;&gt;"",F100&lt;&gt;"Relance en retard"),MAX($BV$4:BV99)+1,"")</f>
        <v/>
      </c>
      <c r="BW100" s="60">
        <f>IF(C100="","",IF(AND(B100&gt;='Tableau de bord'!$R$4,B100&lt;='Tableau de bord'!$S$4,OR('Tableau de bord'!$G$4="Tous",N100='Tableau de bord'!$G$4)),1,0))</f>
        <v/>
      </c>
      <c r="BX100" s="60">
        <f>IF(AND(C100&lt;&gt;"",N(BA100)=7),MAX($BX$4:BX99)+1,"")</f>
        <v/>
      </c>
    </row>
    <row r="101">
      <c r="A101" s="60">
        <f>IF(C101="","","P-"&amp;TEXT(97,"000"))</f>
        <v/>
      </c>
      <c r="B101" s="106">
        <f>IF(C101="","",IFERROR(1/(1/_xlfn.MINIFS('Saisie'!$A$5:$A$2004,'Saisie'!$C$5:$C$2004,C101)),""))</f>
        <v/>
      </c>
      <c r="C101" s="60">
        <f>IFERROR(INDEX('Saisie'!$C$5:$C$2004,MATCH(97,'Saisie'!$AX$5:$AX$2004,0)),"")</f>
        <v/>
      </c>
      <c r="D101" s="60">
        <f>IF(C101="","",IF(AND(BR101&gt;0,BR101&gt;BS101,BA101&lt;7),"Perdu",INDEX('Paramètres'!$F$6:$F$13,BA101)))</f>
        <v/>
      </c>
      <c r="E101" s="61">
        <f>IF(C101="","",MIN(100,(Z101="Oui")*'Paramètres'!$B$38+(AB101="Régulière")*'Paramètres'!$B$39+IF(AND(N(AA101)&gt;0,TODAY()-N(AA101)&lt;=30),'Paramètres'!$B$40,0)+(W101="")*'Paramètres'!$B$41+(AC101="Absente")*'Paramètres'!$B$42+(AC101="Faible")*'Paramètres'!$B$43+IF(AND(N(AD101)&gt;0,N(AD101)&lt;4),'Paramètres'!$B$44,0)+(AF101="Moyenne")*'Paramètres'!$B$45+(AF101="Grande")*'Paramètres'!$B$46+(Y101&lt;&gt;"")*'Paramètres'!$B$47))</f>
        <v/>
      </c>
      <c r="F101" s="60">
        <f>IF(C101="","",IF(D101="Gagné","",IF(D101="Perdu",IF(AND(AX101&lt;&gt;"",AX101&lt;=TODAY()),"À recontacter (perdu)",""),IF(AND(O101&gt;='Paramètres'!$B$21,P101=0),"Stop : "&amp;'Paramètres'!$B$21&amp;" tentatives sans réponse",IF(AND(D101="Proposition",AR101&lt;&gt;"",TODAY()&gt;N(AR101)),"Proposition expirée",IF(AND(D101="Proposition",N(R101)&gt;='Paramètres'!$B$25),"Proposition sans réponse",IF(AND(G101&lt;&gt;"",N(G101)&lt;TODAY()),"Relance en retard",IF(N(R101)&gt;='Paramètres'!$B$24,"Sans action depuis "&amp;R101&amp;" j",""))))))))</f>
        <v/>
      </c>
      <c r="G101" s="106">
        <f>IF(OR(C101="",D101="Gagné",D101="Perdu"),"",IF(AND(BP101&gt;0,BP101=BQ101),INDEX('Saisie'!$J$5:$J$2004,BP101-4),IF(OR(O101=0,AND(O101&gt;='Paramètres'!$B$21,P101=0)),"",Q101+IF(O101&lt;=1,'Paramètres'!$B$18,IF(O101=2,'Paramètres'!$B$19,'Paramètres'!$B$20)))))</f>
        <v/>
      </c>
      <c r="H101" s="107">
        <f>IF(OR(G101="",BP101&lt;&gt;BQ101),"",IF(INDEX('Saisie'!$K$5:$K$2004,BP101-4)="","",INDEX('Saisie'!$K$5:$K$2004,BP101-4)))</f>
        <v/>
      </c>
      <c r="I101" s="60">
        <f>IF(C101="","",IF(OR(D101="Gagné",D101="Perdu"),"",IFERROR(INDEX('Saisie'!$I$5:$I$2004,_xlfn.MAXIFS('Saisie'!$AS$5:$AS$2004,'Saisie'!$C$5:$C$2004,C101,'Saisie'!$I$5:$I$2004,"&lt;&gt;")-4),"")))</f>
        <v/>
      </c>
      <c r="J101" s="60">
        <f>IF(C101="","",IFERROR(INDEX('Saisie'!$U$5:$U$2004,_xlfn.MAXIFS('Saisie'!$AS$5:$AS$2004,'Saisie'!$C$5:$C$2004,C101,'Saisie'!$U$5:$U$2004,"&lt;&gt;")-4),""))</f>
        <v/>
      </c>
      <c r="K101" s="60">
        <f>IF(C101="","",IFERROR(INDEX('Saisie'!$W$5:$W$2004,_xlfn.MAXIFS('Saisie'!$AS$5:$AS$2004,'Saisie'!$C$5:$C$2004,C101,'Saisie'!$W$5:$W$2004,"&lt;&gt;")-4),""))</f>
        <v/>
      </c>
      <c r="L101" s="60">
        <f>IF(IF(BB101&lt;&gt;"",BB101,K101)="","",HYPERLINK("https://wa.me/"&amp;IF(LEFT(SUBSTITUTE(SUBSTITUTE(SUBSTITUTE(IF(BB101&lt;&gt;"",BB101,K101)," ",""),".",""),"+",""),1)="0",'Paramètres'!$B$35&amp;MID(SUBSTITUTE(SUBSTITUTE(SUBSTITUTE(IF(BB101&lt;&gt;"",BB101,K101)," ",""),".",""),"+",""),2,20),SUBSTITUTE(SUBSTITUTE(SUBSTITUTE(IF(BB101&lt;&gt;"",BB101,K101)," ",""),".",""),"+","")),"WhatsApp"))</f>
        <v/>
      </c>
      <c r="M101" s="60">
        <f>IF(BC101="","",HYPERLINK(IF(LEFT(BC101,4)="http",BC101,"https://www.instagram.com/"&amp;SUBSTITUTE(SUBSTITUTE(BC101,"@","")," ","")),BC101))</f>
        <v/>
      </c>
      <c r="N101" s="60">
        <f>IF(C101="","",IFERROR(INDEX('Saisie'!$D$5:$D$2004,_xlfn.MINIFS('Saisie'!$AS$5:$AS$2004,'Saisie'!$C$5:$C$2004,C101,'Saisie'!$AU$5:$AU$2004,1)-4),IFERROR(INDEX('Saisie'!$D$5:$D$2004,_xlfn.MINIFS('Saisie'!$AS$5:$AS$2004,'Saisie'!$C$5:$C$2004,C101,'Saisie'!$D$5:$D$2004,"&lt;&gt;")-4),"")))</f>
        <v/>
      </c>
      <c r="O101" s="60">
        <f>IF(C101="","",COUNTIFS('Saisie'!$C$5:$C$2004,C101,'Saisie'!$AU$5:$AU$2004,1))</f>
        <v/>
      </c>
      <c r="P101" s="60">
        <f>IF(C101="","",COUNTIFS('Saisie'!$C$5:$C$2004,C101,'Saisie'!$AV$5:$AV$2004,1))</f>
        <v/>
      </c>
      <c r="Q101" s="106">
        <f>IF(C101="","",IFERROR(1/(1/_xlfn.MAXIFS('Saisie'!$A$5:$A$2004,'Saisie'!$C$5:$C$2004,C101)),""))</f>
        <v/>
      </c>
      <c r="R101" s="61">
        <f>IF(C101="","",IF(Q101="","",TODAY()-Q101))</f>
        <v/>
      </c>
      <c r="S101" s="60">
        <f>IF(C101="","",IFERROR(INDEX('Saisie'!$R$5:$R$2004,_xlfn.MAXIFS('Saisie'!$AS$5:$AS$2004,'Saisie'!$C$5:$C$2004,C101,'Saisie'!$R$5:$R$2004,"&lt;&gt;")-4),""))</f>
        <v/>
      </c>
      <c r="T101" s="60">
        <f>IF(C101="","",IFERROR(INDEX('Saisie'!$S$5:$S$2004,_xlfn.MAXIFS('Saisie'!$AS$5:$AS$2004,'Saisie'!$C$5:$C$2004,C101,'Saisie'!$S$5:$S$2004,"&lt;&gt;")-4),""))</f>
        <v/>
      </c>
      <c r="U101" s="60">
        <f>IF(C101="","",IFERROR(INDEX('Saisie'!$T$5:$T$2004,_xlfn.MAXIFS('Saisie'!$AS$5:$AS$2004,'Saisie'!$C$5:$C$2004,C101,'Saisie'!$T$5:$T$2004,"&lt;&gt;")-4),""))</f>
        <v/>
      </c>
      <c r="V101" s="60">
        <f>IF(C101="","",IFERROR(INDEX('Saisie'!$V$5:$V$2004,_xlfn.MAXIFS('Saisie'!$AS$5:$AS$2004,'Saisie'!$C$5:$C$2004,C101,'Saisie'!$V$5:$V$2004,"&lt;&gt;")-4),""))</f>
        <v/>
      </c>
      <c r="W101" s="60">
        <f>IF(C101="","",IFERROR(INDEX('Saisie'!$Z$5:$Z$2004,_xlfn.MAXIFS('Saisie'!$AS$5:$AS$2004,'Saisie'!$C$5:$C$2004,C101,'Saisie'!$Z$5:$Z$2004,"&lt;&gt;")-4),""))</f>
        <v/>
      </c>
      <c r="X101" s="60">
        <f>IF(C101="","",IFERROR(INDEX('Saisie'!$AA$5:$AA$2004,_xlfn.MAXIFS('Saisie'!$AS$5:$AS$2004,'Saisie'!$C$5:$C$2004,C101,'Saisie'!$AA$5:$AA$2004,"&lt;&gt;")-4),""))</f>
        <v/>
      </c>
      <c r="Y101" s="60">
        <f>IF(C101="","",IFERROR(INDEX('Saisie'!$AB$5:$AB$2004,_xlfn.MAXIFS('Saisie'!$AS$5:$AS$2004,'Saisie'!$C$5:$C$2004,C101,'Saisie'!$AB$5:$AB$2004,"&lt;&gt;")-4),""))</f>
        <v/>
      </c>
      <c r="Z101" s="60">
        <f>IF(C101="","",IFERROR(INDEX('Saisie'!$AC$5:$AC$2004,_xlfn.MAXIFS('Saisie'!$AS$5:$AS$2004,'Saisie'!$C$5:$C$2004,C101,'Saisie'!$AC$5:$AC$2004,"&lt;&gt;")-4),""))</f>
        <v/>
      </c>
      <c r="AA101" s="106">
        <f>IF(C101="","",IFERROR(INDEX('Saisie'!$AD$5:$AD$2004,_xlfn.MAXIFS('Saisie'!$AS$5:$AS$2004,'Saisie'!$C$5:$C$2004,C101,'Saisie'!$AD$5:$AD$2004,"&lt;&gt;")-4),""))</f>
        <v/>
      </c>
      <c r="AB101" s="60">
        <f>IF(C101="","",IFERROR(INDEX('Saisie'!$AE$5:$AE$2004,_xlfn.MAXIFS('Saisie'!$AS$5:$AS$2004,'Saisie'!$C$5:$C$2004,C101,'Saisie'!$AE$5:$AE$2004,"&lt;&gt;")-4),""))</f>
        <v/>
      </c>
      <c r="AC101" s="60">
        <f>IF(C101="","",IFERROR(INDEX('Saisie'!$AF$5:$AF$2004,_xlfn.MAXIFS('Saisie'!$AS$5:$AS$2004,'Saisie'!$C$5:$C$2004,C101,'Saisie'!$AF$5:$AF$2004,"&lt;&gt;")-4),""))</f>
        <v/>
      </c>
      <c r="AD101" s="108">
        <f>IF(C101="","",IFERROR(INDEX('Saisie'!$AG$5:$AG$2004,_xlfn.MAXIFS('Saisie'!$AS$5:$AS$2004,'Saisie'!$C$5:$C$2004,C101,'Saisie'!$AG$5:$AG$2004,"&lt;&gt;")-4),""))</f>
        <v/>
      </c>
      <c r="AE101" s="60">
        <f>IF(C101="","",IFERROR(INDEX('Saisie'!$AH$5:$AH$2004,_xlfn.MAXIFS('Saisie'!$AS$5:$AS$2004,'Saisie'!$C$5:$C$2004,C101,'Saisie'!$AH$5:$AH$2004,"&lt;&gt;")-4),""))</f>
        <v/>
      </c>
      <c r="AF101" s="60">
        <f>IF(C101="","",IFERROR(INDEX('Saisie'!$AI$5:$AI$2004,_xlfn.MAXIFS('Saisie'!$AS$5:$AS$2004,'Saisie'!$C$5:$C$2004,C101,'Saisie'!$AI$5:$AI$2004,"&lt;&gt;")-4),""))</f>
        <v/>
      </c>
      <c r="AG101" s="60">
        <f>IF(C101="","",IFERROR(INDEX('Saisie'!$AJ$5:$AJ$2004,_xlfn.MAXIFS('Saisie'!$AS$5:$AS$2004,'Saisie'!$C$5:$C$2004,C101,'Saisie'!$AJ$5:$AJ$2004,"&lt;&gt;")-4),""))</f>
        <v/>
      </c>
      <c r="AH101" s="60">
        <f>IF(C101="","",IFERROR(INDEX('Saisie'!$AK$5:$AK$2004,_xlfn.MAXIFS('Saisie'!$AS$5:$AS$2004,'Saisie'!$C$5:$C$2004,C101,'Saisie'!$AK$5:$AK$2004,"&lt;&gt;")-4),""))</f>
        <v/>
      </c>
      <c r="AI101" s="60">
        <f>IF(C101="","",IFERROR(INDEX('Saisie'!$AN$5:$AN$2004,_xlfn.MAXIFS('Saisie'!$AS$5:$AS$2004,'Saisie'!$C$5:$C$2004,C101,'Saisie'!$AN$5:$AN$2004,"&lt;&gt;")-4),""))</f>
        <v/>
      </c>
      <c r="AJ101" s="60">
        <f>IF(C101="","",IFERROR(INDEX('Saisie'!$AO$5:$AO$2004,_xlfn.MAXIFS('Saisie'!$AS$5:$AS$2004,'Saisie'!$C$5:$C$2004,C101,'Saisie'!$AO$5:$AO$2004,"&lt;&gt;")-4),""))</f>
        <v/>
      </c>
      <c r="AK101" s="60">
        <f>IF(C101="","",IFERROR(INDEX('Saisie'!$AP$5:$AP$2004,_xlfn.MAXIFS('Saisie'!$AS$5:$AS$2004,'Saisie'!$C$5:$C$2004,C101,'Saisie'!$AP$5:$AP$2004,"&lt;&gt;")-4),""))</f>
        <v/>
      </c>
      <c r="AL101" s="60">
        <f>IF(C101="","",IFERROR(INDEX('Saisie'!$AQ$5:$AQ$2004,_xlfn.MAXIFS('Saisie'!$AS$5:$AS$2004,'Saisie'!$C$5:$C$2004,C101,'Saisie'!$AQ$5:$AQ$2004,"&lt;&gt;")-4),""))</f>
        <v/>
      </c>
      <c r="AM101" s="60">
        <f>IF(C101="","",((AI101="Oui")+(AJ101="Oui")+(AK101="Oui")+OR(AL101="Immédiat",AL101="&lt; 1 mois"))&amp;"/4")</f>
        <v/>
      </c>
      <c r="AN101" s="60">
        <f>IF(C101="","",IFERROR(INDEX('Saisie'!$AL$5:$AL$2004,_xlfn.MAXIFS('Saisie'!$AS$5:$AS$2004,'Saisie'!$C$5:$C$2004,C101,'Saisie'!$AL$5:$AL$2004,"&lt;&gt;")-4),""))</f>
        <v/>
      </c>
      <c r="AO101" s="62">
        <f>IF(C101="","",IF(IFERROR(INDEX('Saisie'!$AM$5:$AM$2004,_xlfn.MAXIFS('Saisie'!$AS$5:$AS$2004,'Saisie'!$C$5:$C$2004,C101,'Saisie'!$AM$5:$AM$2004,"&lt;&gt;")-4),"")&lt;&gt;"",IFERROR(INDEX('Saisie'!$AM$5:$AM$2004,_xlfn.MAXIFS('Saisie'!$AS$5:$AS$2004,'Saisie'!$C$5:$C$2004,C101,'Saisie'!$AM$5:$AM$2004,"&lt;&gt;")-4),""),IFERROR(INDEX('Paramètres'!$S$6:$S$15,MATCH(AN101,'Paramètres'!$Q$6:$Q$15,0)),"")))</f>
        <v/>
      </c>
      <c r="AP101" s="62">
        <f>IF(C101="","",IFERROR(INDEX('Saisie'!$AW$5:$AW$2004,_xlfn.MAXIFS('Saisie'!$AS$5:$AS$2004,'Saisie'!$C$5:$C$2004,C101,'Saisie'!$E$5:$E$2004,"Proposition envoyée")-4),""))</f>
        <v/>
      </c>
      <c r="AQ101" s="106">
        <f>IF(C101="","",IFERROR(1/(1/_xlfn.MAXIFS('Saisie'!$A$5:$A$2004,'Saisie'!$C$5:$C$2004,C101,'Saisie'!$E$5:$E$2004,"Proposition envoyée")),""))</f>
        <v/>
      </c>
      <c r="AR101" s="106">
        <f>IF(C101="","",IF(AQ101="","",AQ101+'Paramètres'!$B$26))</f>
        <v/>
      </c>
      <c r="AS101" s="62">
        <f>IF(OR(C101="",D101="Gagné",D101="Perdu"),0,N(AP101)*IFERROR(INDEX('Paramètres'!$G$6:$G$13,MATCH(D101,'Paramètres'!$F$6:$F$13,0)),0))</f>
        <v/>
      </c>
      <c r="AT101" s="106">
        <f>IF(C101="","",IFERROR(1/(1/_xlfn.MINIFS('Saisie'!$A$5:$A$2004,'Saisie'!$C$5:$C$2004,C101,'Saisie'!$E$5:$E$2004,"Signature")),""))</f>
        <v/>
      </c>
      <c r="AU101" s="60">
        <f>IF(C101="","",IF(OR(AT101="",B101=""),"",AT101-B101))</f>
        <v/>
      </c>
      <c r="AV101" s="60">
        <f>IF(C101="","",IFERROR(INDEX('Saisie'!$L$5:$L$2004,_xlfn.MAXIFS('Saisie'!$AS$5:$AS$2004,'Saisie'!$C$5:$C$2004,C101,'Saisie'!$L$5:$L$2004,"&lt;&gt;")-4),""))</f>
        <v/>
      </c>
      <c r="AW101" s="106">
        <f>IF(C101="","",IF(D101&lt;&gt;"Perdu","",IFERROR(1/(1/_xlfn.MAXIFS('Saisie'!$A$5:$A$2004,'Saisie'!$C$5:$C$2004,C101,'Saisie'!$E$5:$E$2004,"Perdu")),"")))</f>
        <v/>
      </c>
      <c r="AX101" s="106">
        <f>IF(C101="","",IF(AW101="","",AW101+'Paramètres'!$B$28))</f>
        <v/>
      </c>
      <c r="AY101" s="60">
        <f>IF(C101="","",SUMIFS('Saisie'!$H$5:$H$2004,'Saisie'!$C$5:$C$2004,C101))</f>
        <v/>
      </c>
      <c r="AZ101" s="60">
        <f>IF(C101="","",IFERROR(INDEX('Paramètres'!$W$6:$W$20,MATCH(S101,'Paramètres'!$V$6:$V$20,0))&amp;"",""))</f>
        <v/>
      </c>
      <c r="BA101" s="60">
        <f>IF(C101="","",MAX(1,_xlfn.MAXIFS('Saisie'!$AT$5:$AT$2004,'Saisie'!$C$5:$C$2004,C101)))</f>
        <v/>
      </c>
      <c r="BB101" s="60">
        <f>IF(C101="","",IFERROR(INDEX('Saisie'!$X$5:$X$2004,_xlfn.MAXIFS('Saisie'!$AS$5:$AS$2004,'Saisie'!$C$5:$C$2004,C101,'Saisie'!$X$5:$X$2004,"&lt;&gt;")-4),""))</f>
        <v/>
      </c>
      <c r="BC101" s="60">
        <f>IF(C101="","",IFERROR(INDEX('Saisie'!$Y$5:$Y$2004,_xlfn.MAXIFS('Saisie'!$AS$5:$AS$2004,'Saisie'!$C$5:$C$2004,C101,'Saisie'!$Y$5:$Y$2004,"&lt;&gt;")-4),""))</f>
        <v/>
      </c>
      <c r="BD101" s="106">
        <f>IF(C101="","",IFERROR(1/(1/_xlfn.MINIFS('Saisie'!$A$5:$A$2004,'Saisie'!$C$5:$C$2004,C101,'Saisie'!$AT$5:$AT$2004,"&gt;=2")),""))</f>
        <v/>
      </c>
      <c r="BE101" s="106">
        <f>IF(C101="","",IFERROR(1/(1/_xlfn.MINIFS('Saisie'!$A$5:$A$2004,'Saisie'!$C$5:$C$2004,C101,'Saisie'!$AT$5:$AT$2004,"&gt;=3")),""))</f>
        <v/>
      </c>
      <c r="BF101" s="106">
        <f>IF(C101="","",IFERROR(1/(1/_xlfn.MINIFS('Saisie'!$A$5:$A$2004,'Saisie'!$C$5:$C$2004,C101,'Saisie'!$AT$5:$AT$2004,"&gt;=4")),""))</f>
        <v/>
      </c>
      <c r="BG101" s="106">
        <f>IF(C101="","",IFERROR(1/(1/_xlfn.MINIFS('Saisie'!$A$5:$A$2004,'Saisie'!$C$5:$C$2004,C101,'Saisie'!$AT$5:$AT$2004,"&gt;=5")),""))</f>
        <v/>
      </c>
      <c r="BH101" s="106">
        <f>IF(C101="","",IFERROR(1/(1/_xlfn.MINIFS('Saisie'!$A$5:$A$2004,'Saisie'!$C$5:$C$2004,C101,'Saisie'!$AT$5:$AT$2004,"&gt;=6")),""))</f>
        <v/>
      </c>
      <c r="BI101" s="106">
        <f>IF(C101="","",IFERROR(1/(1/_xlfn.MINIFS('Saisie'!$A$5:$A$2004,'Saisie'!$C$5:$C$2004,C101,'Saisie'!$AT$5:$AT$2004,"&gt;=7")),""))</f>
        <v/>
      </c>
      <c r="BJ101" s="60">
        <f>IF(OR(BD101="",B101=""),"",BD101-B101)</f>
        <v/>
      </c>
      <c r="BK101" s="60">
        <f>IF(OR(BE101="",BD101=""),"",BE101-BD101)</f>
        <v/>
      </c>
      <c r="BL101" s="60">
        <f>IF(OR(BF101="",BE101=""),"",BF101-BE101)</f>
        <v/>
      </c>
      <c r="BM101" s="60">
        <f>IF(OR(BG101="",BF101=""),"",BG101-BF101)</f>
        <v/>
      </c>
      <c r="BN101" s="60">
        <f>IF(OR(BH101="",BG101=""),"",BH101-BG101)</f>
        <v/>
      </c>
      <c r="BO101" s="60">
        <f>IF(OR(BI101="",BH101=""),"",BI101-BH101)</f>
        <v/>
      </c>
      <c r="BP101" s="60">
        <f>IF(C101="","",_xlfn.MAXIFS('Saisie'!$AS$5:$AS$2004,'Saisie'!$C$5:$C$2004,C101,'Saisie'!$J$5:$J$2004,"&lt;&gt;"))</f>
        <v/>
      </c>
      <c r="BQ101" s="60">
        <f>IF(C101="","",_xlfn.MAXIFS('Saisie'!$AS$5:$AS$2004,'Saisie'!$C$5:$C$2004,C101))</f>
        <v/>
      </c>
      <c r="BR101" s="60">
        <f>IF(C101="","",_xlfn.MAXIFS('Saisie'!$AS$5:$AS$2004,'Saisie'!$C$5:$C$2004,C101,'Saisie'!$E$5:$E$2004,"Perdu"))</f>
        <v/>
      </c>
      <c r="BS101" s="60">
        <f>IF(C101="","",_xlfn.MAXIFS('Saisie'!$AS$5:$AS$2004,'Saisie'!$C$5:$C$2004,C101,'Saisie'!$AT$5:$AT$2004,"&gt;0"))</f>
        <v/>
      </c>
      <c r="BT101" s="109">
        <f>IF(AND(C101&lt;&gt;"",OR(D101="Nouveau",D101="Contacté",D101="Qualifié"),OR(G101="",N(G101)&lt;=TODAY()),NOT(AND(O101&gt;='Paramètres'!$B$21,P101=0))),E101+97/10000,"")</f>
        <v/>
      </c>
      <c r="BU101" s="60">
        <f>IF(AND(G101&lt;&gt;"",N(G101)&lt;=TODAY()),MAX($BU$4:BU100)+1,"")</f>
        <v/>
      </c>
      <c r="BV101" s="60">
        <f>IF(AND(F101&lt;&gt;"",F101&lt;&gt;"Relance en retard"),MAX($BV$4:BV100)+1,"")</f>
        <v/>
      </c>
      <c r="BW101" s="60">
        <f>IF(C101="","",IF(AND(B101&gt;='Tableau de bord'!$R$4,B101&lt;='Tableau de bord'!$S$4,OR('Tableau de bord'!$G$4="Tous",N101='Tableau de bord'!$G$4)),1,0))</f>
        <v/>
      </c>
      <c r="BX101" s="60">
        <f>IF(AND(C101&lt;&gt;"",N(BA101)=7),MAX($BX$4:BX100)+1,"")</f>
        <v/>
      </c>
    </row>
    <row r="102">
      <c r="A102" s="60">
        <f>IF(C102="","","P-"&amp;TEXT(98,"000"))</f>
        <v/>
      </c>
      <c r="B102" s="106">
        <f>IF(C102="","",IFERROR(1/(1/_xlfn.MINIFS('Saisie'!$A$5:$A$2004,'Saisie'!$C$5:$C$2004,C102)),""))</f>
        <v/>
      </c>
      <c r="C102" s="60">
        <f>IFERROR(INDEX('Saisie'!$C$5:$C$2004,MATCH(98,'Saisie'!$AX$5:$AX$2004,0)),"")</f>
        <v/>
      </c>
      <c r="D102" s="60">
        <f>IF(C102="","",IF(AND(BR102&gt;0,BR102&gt;BS102,BA102&lt;7),"Perdu",INDEX('Paramètres'!$F$6:$F$13,BA102)))</f>
        <v/>
      </c>
      <c r="E102" s="61">
        <f>IF(C102="","",MIN(100,(Z102="Oui")*'Paramètres'!$B$38+(AB102="Régulière")*'Paramètres'!$B$39+IF(AND(N(AA102)&gt;0,TODAY()-N(AA102)&lt;=30),'Paramètres'!$B$40,0)+(W102="")*'Paramètres'!$B$41+(AC102="Absente")*'Paramètres'!$B$42+(AC102="Faible")*'Paramètres'!$B$43+IF(AND(N(AD102)&gt;0,N(AD102)&lt;4),'Paramètres'!$B$44,0)+(AF102="Moyenne")*'Paramètres'!$B$45+(AF102="Grande")*'Paramètres'!$B$46+(Y102&lt;&gt;"")*'Paramètres'!$B$47))</f>
        <v/>
      </c>
      <c r="F102" s="60">
        <f>IF(C102="","",IF(D102="Gagné","",IF(D102="Perdu",IF(AND(AX102&lt;&gt;"",AX102&lt;=TODAY()),"À recontacter (perdu)",""),IF(AND(O102&gt;='Paramètres'!$B$21,P102=0),"Stop : "&amp;'Paramètres'!$B$21&amp;" tentatives sans réponse",IF(AND(D102="Proposition",AR102&lt;&gt;"",TODAY()&gt;N(AR102)),"Proposition expirée",IF(AND(D102="Proposition",N(R102)&gt;='Paramètres'!$B$25),"Proposition sans réponse",IF(AND(G102&lt;&gt;"",N(G102)&lt;TODAY()),"Relance en retard",IF(N(R102)&gt;='Paramètres'!$B$24,"Sans action depuis "&amp;R102&amp;" j",""))))))))</f>
        <v/>
      </c>
      <c r="G102" s="106">
        <f>IF(OR(C102="",D102="Gagné",D102="Perdu"),"",IF(AND(BP102&gt;0,BP102=BQ102),INDEX('Saisie'!$J$5:$J$2004,BP102-4),IF(OR(O102=0,AND(O102&gt;='Paramètres'!$B$21,P102=0)),"",Q102+IF(O102&lt;=1,'Paramètres'!$B$18,IF(O102=2,'Paramètres'!$B$19,'Paramètres'!$B$20)))))</f>
        <v/>
      </c>
      <c r="H102" s="107">
        <f>IF(OR(G102="",BP102&lt;&gt;BQ102),"",IF(INDEX('Saisie'!$K$5:$K$2004,BP102-4)="","",INDEX('Saisie'!$K$5:$K$2004,BP102-4)))</f>
        <v/>
      </c>
      <c r="I102" s="60">
        <f>IF(C102="","",IF(OR(D102="Gagné",D102="Perdu"),"",IFERROR(INDEX('Saisie'!$I$5:$I$2004,_xlfn.MAXIFS('Saisie'!$AS$5:$AS$2004,'Saisie'!$C$5:$C$2004,C102,'Saisie'!$I$5:$I$2004,"&lt;&gt;")-4),"")))</f>
        <v/>
      </c>
      <c r="J102" s="60">
        <f>IF(C102="","",IFERROR(INDEX('Saisie'!$U$5:$U$2004,_xlfn.MAXIFS('Saisie'!$AS$5:$AS$2004,'Saisie'!$C$5:$C$2004,C102,'Saisie'!$U$5:$U$2004,"&lt;&gt;")-4),""))</f>
        <v/>
      </c>
      <c r="K102" s="60">
        <f>IF(C102="","",IFERROR(INDEX('Saisie'!$W$5:$W$2004,_xlfn.MAXIFS('Saisie'!$AS$5:$AS$2004,'Saisie'!$C$5:$C$2004,C102,'Saisie'!$W$5:$W$2004,"&lt;&gt;")-4),""))</f>
        <v/>
      </c>
      <c r="L102" s="60">
        <f>IF(IF(BB102&lt;&gt;"",BB102,K102)="","",HYPERLINK("https://wa.me/"&amp;IF(LEFT(SUBSTITUTE(SUBSTITUTE(SUBSTITUTE(IF(BB102&lt;&gt;"",BB102,K102)," ",""),".",""),"+",""),1)="0",'Paramètres'!$B$35&amp;MID(SUBSTITUTE(SUBSTITUTE(SUBSTITUTE(IF(BB102&lt;&gt;"",BB102,K102)," ",""),".",""),"+",""),2,20),SUBSTITUTE(SUBSTITUTE(SUBSTITUTE(IF(BB102&lt;&gt;"",BB102,K102)," ",""),".",""),"+","")),"WhatsApp"))</f>
        <v/>
      </c>
      <c r="M102" s="60">
        <f>IF(BC102="","",HYPERLINK(IF(LEFT(BC102,4)="http",BC102,"https://www.instagram.com/"&amp;SUBSTITUTE(SUBSTITUTE(BC102,"@","")," ","")),BC102))</f>
        <v/>
      </c>
      <c r="N102" s="60">
        <f>IF(C102="","",IFERROR(INDEX('Saisie'!$D$5:$D$2004,_xlfn.MINIFS('Saisie'!$AS$5:$AS$2004,'Saisie'!$C$5:$C$2004,C102,'Saisie'!$AU$5:$AU$2004,1)-4),IFERROR(INDEX('Saisie'!$D$5:$D$2004,_xlfn.MINIFS('Saisie'!$AS$5:$AS$2004,'Saisie'!$C$5:$C$2004,C102,'Saisie'!$D$5:$D$2004,"&lt;&gt;")-4),"")))</f>
        <v/>
      </c>
      <c r="O102" s="60">
        <f>IF(C102="","",COUNTIFS('Saisie'!$C$5:$C$2004,C102,'Saisie'!$AU$5:$AU$2004,1))</f>
        <v/>
      </c>
      <c r="P102" s="60">
        <f>IF(C102="","",COUNTIFS('Saisie'!$C$5:$C$2004,C102,'Saisie'!$AV$5:$AV$2004,1))</f>
        <v/>
      </c>
      <c r="Q102" s="106">
        <f>IF(C102="","",IFERROR(1/(1/_xlfn.MAXIFS('Saisie'!$A$5:$A$2004,'Saisie'!$C$5:$C$2004,C102)),""))</f>
        <v/>
      </c>
      <c r="R102" s="61">
        <f>IF(C102="","",IF(Q102="","",TODAY()-Q102))</f>
        <v/>
      </c>
      <c r="S102" s="60">
        <f>IF(C102="","",IFERROR(INDEX('Saisie'!$R$5:$R$2004,_xlfn.MAXIFS('Saisie'!$AS$5:$AS$2004,'Saisie'!$C$5:$C$2004,C102,'Saisie'!$R$5:$R$2004,"&lt;&gt;")-4),""))</f>
        <v/>
      </c>
      <c r="T102" s="60">
        <f>IF(C102="","",IFERROR(INDEX('Saisie'!$S$5:$S$2004,_xlfn.MAXIFS('Saisie'!$AS$5:$AS$2004,'Saisie'!$C$5:$C$2004,C102,'Saisie'!$S$5:$S$2004,"&lt;&gt;")-4),""))</f>
        <v/>
      </c>
      <c r="U102" s="60">
        <f>IF(C102="","",IFERROR(INDEX('Saisie'!$T$5:$T$2004,_xlfn.MAXIFS('Saisie'!$AS$5:$AS$2004,'Saisie'!$C$5:$C$2004,C102,'Saisie'!$T$5:$T$2004,"&lt;&gt;")-4),""))</f>
        <v/>
      </c>
      <c r="V102" s="60">
        <f>IF(C102="","",IFERROR(INDEX('Saisie'!$V$5:$V$2004,_xlfn.MAXIFS('Saisie'!$AS$5:$AS$2004,'Saisie'!$C$5:$C$2004,C102,'Saisie'!$V$5:$V$2004,"&lt;&gt;")-4),""))</f>
        <v/>
      </c>
      <c r="W102" s="60">
        <f>IF(C102="","",IFERROR(INDEX('Saisie'!$Z$5:$Z$2004,_xlfn.MAXIFS('Saisie'!$AS$5:$AS$2004,'Saisie'!$C$5:$C$2004,C102,'Saisie'!$Z$5:$Z$2004,"&lt;&gt;")-4),""))</f>
        <v/>
      </c>
      <c r="X102" s="60">
        <f>IF(C102="","",IFERROR(INDEX('Saisie'!$AA$5:$AA$2004,_xlfn.MAXIFS('Saisie'!$AS$5:$AS$2004,'Saisie'!$C$5:$C$2004,C102,'Saisie'!$AA$5:$AA$2004,"&lt;&gt;")-4),""))</f>
        <v/>
      </c>
      <c r="Y102" s="60">
        <f>IF(C102="","",IFERROR(INDEX('Saisie'!$AB$5:$AB$2004,_xlfn.MAXIFS('Saisie'!$AS$5:$AS$2004,'Saisie'!$C$5:$C$2004,C102,'Saisie'!$AB$5:$AB$2004,"&lt;&gt;")-4),""))</f>
        <v/>
      </c>
      <c r="Z102" s="60">
        <f>IF(C102="","",IFERROR(INDEX('Saisie'!$AC$5:$AC$2004,_xlfn.MAXIFS('Saisie'!$AS$5:$AS$2004,'Saisie'!$C$5:$C$2004,C102,'Saisie'!$AC$5:$AC$2004,"&lt;&gt;")-4),""))</f>
        <v/>
      </c>
      <c r="AA102" s="106">
        <f>IF(C102="","",IFERROR(INDEX('Saisie'!$AD$5:$AD$2004,_xlfn.MAXIFS('Saisie'!$AS$5:$AS$2004,'Saisie'!$C$5:$C$2004,C102,'Saisie'!$AD$5:$AD$2004,"&lt;&gt;")-4),""))</f>
        <v/>
      </c>
      <c r="AB102" s="60">
        <f>IF(C102="","",IFERROR(INDEX('Saisie'!$AE$5:$AE$2004,_xlfn.MAXIFS('Saisie'!$AS$5:$AS$2004,'Saisie'!$C$5:$C$2004,C102,'Saisie'!$AE$5:$AE$2004,"&lt;&gt;")-4),""))</f>
        <v/>
      </c>
      <c r="AC102" s="60">
        <f>IF(C102="","",IFERROR(INDEX('Saisie'!$AF$5:$AF$2004,_xlfn.MAXIFS('Saisie'!$AS$5:$AS$2004,'Saisie'!$C$5:$C$2004,C102,'Saisie'!$AF$5:$AF$2004,"&lt;&gt;")-4),""))</f>
        <v/>
      </c>
      <c r="AD102" s="108">
        <f>IF(C102="","",IFERROR(INDEX('Saisie'!$AG$5:$AG$2004,_xlfn.MAXIFS('Saisie'!$AS$5:$AS$2004,'Saisie'!$C$5:$C$2004,C102,'Saisie'!$AG$5:$AG$2004,"&lt;&gt;")-4),""))</f>
        <v/>
      </c>
      <c r="AE102" s="60">
        <f>IF(C102="","",IFERROR(INDEX('Saisie'!$AH$5:$AH$2004,_xlfn.MAXIFS('Saisie'!$AS$5:$AS$2004,'Saisie'!$C$5:$C$2004,C102,'Saisie'!$AH$5:$AH$2004,"&lt;&gt;")-4),""))</f>
        <v/>
      </c>
      <c r="AF102" s="60">
        <f>IF(C102="","",IFERROR(INDEX('Saisie'!$AI$5:$AI$2004,_xlfn.MAXIFS('Saisie'!$AS$5:$AS$2004,'Saisie'!$C$5:$C$2004,C102,'Saisie'!$AI$5:$AI$2004,"&lt;&gt;")-4),""))</f>
        <v/>
      </c>
      <c r="AG102" s="60">
        <f>IF(C102="","",IFERROR(INDEX('Saisie'!$AJ$5:$AJ$2004,_xlfn.MAXIFS('Saisie'!$AS$5:$AS$2004,'Saisie'!$C$5:$C$2004,C102,'Saisie'!$AJ$5:$AJ$2004,"&lt;&gt;")-4),""))</f>
        <v/>
      </c>
      <c r="AH102" s="60">
        <f>IF(C102="","",IFERROR(INDEX('Saisie'!$AK$5:$AK$2004,_xlfn.MAXIFS('Saisie'!$AS$5:$AS$2004,'Saisie'!$C$5:$C$2004,C102,'Saisie'!$AK$5:$AK$2004,"&lt;&gt;")-4),""))</f>
        <v/>
      </c>
      <c r="AI102" s="60">
        <f>IF(C102="","",IFERROR(INDEX('Saisie'!$AN$5:$AN$2004,_xlfn.MAXIFS('Saisie'!$AS$5:$AS$2004,'Saisie'!$C$5:$C$2004,C102,'Saisie'!$AN$5:$AN$2004,"&lt;&gt;")-4),""))</f>
        <v/>
      </c>
      <c r="AJ102" s="60">
        <f>IF(C102="","",IFERROR(INDEX('Saisie'!$AO$5:$AO$2004,_xlfn.MAXIFS('Saisie'!$AS$5:$AS$2004,'Saisie'!$C$5:$C$2004,C102,'Saisie'!$AO$5:$AO$2004,"&lt;&gt;")-4),""))</f>
        <v/>
      </c>
      <c r="AK102" s="60">
        <f>IF(C102="","",IFERROR(INDEX('Saisie'!$AP$5:$AP$2004,_xlfn.MAXIFS('Saisie'!$AS$5:$AS$2004,'Saisie'!$C$5:$C$2004,C102,'Saisie'!$AP$5:$AP$2004,"&lt;&gt;")-4),""))</f>
        <v/>
      </c>
      <c r="AL102" s="60">
        <f>IF(C102="","",IFERROR(INDEX('Saisie'!$AQ$5:$AQ$2004,_xlfn.MAXIFS('Saisie'!$AS$5:$AS$2004,'Saisie'!$C$5:$C$2004,C102,'Saisie'!$AQ$5:$AQ$2004,"&lt;&gt;")-4),""))</f>
        <v/>
      </c>
      <c r="AM102" s="60">
        <f>IF(C102="","",((AI102="Oui")+(AJ102="Oui")+(AK102="Oui")+OR(AL102="Immédiat",AL102="&lt; 1 mois"))&amp;"/4")</f>
        <v/>
      </c>
      <c r="AN102" s="60">
        <f>IF(C102="","",IFERROR(INDEX('Saisie'!$AL$5:$AL$2004,_xlfn.MAXIFS('Saisie'!$AS$5:$AS$2004,'Saisie'!$C$5:$C$2004,C102,'Saisie'!$AL$5:$AL$2004,"&lt;&gt;")-4),""))</f>
        <v/>
      </c>
      <c r="AO102" s="62">
        <f>IF(C102="","",IF(IFERROR(INDEX('Saisie'!$AM$5:$AM$2004,_xlfn.MAXIFS('Saisie'!$AS$5:$AS$2004,'Saisie'!$C$5:$C$2004,C102,'Saisie'!$AM$5:$AM$2004,"&lt;&gt;")-4),"")&lt;&gt;"",IFERROR(INDEX('Saisie'!$AM$5:$AM$2004,_xlfn.MAXIFS('Saisie'!$AS$5:$AS$2004,'Saisie'!$C$5:$C$2004,C102,'Saisie'!$AM$5:$AM$2004,"&lt;&gt;")-4),""),IFERROR(INDEX('Paramètres'!$S$6:$S$15,MATCH(AN102,'Paramètres'!$Q$6:$Q$15,0)),"")))</f>
        <v/>
      </c>
      <c r="AP102" s="62">
        <f>IF(C102="","",IFERROR(INDEX('Saisie'!$AW$5:$AW$2004,_xlfn.MAXIFS('Saisie'!$AS$5:$AS$2004,'Saisie'!$C$5:$C$2004,C102,'Saisie'!$E$5:$E$2004,"Proposition envoyée")-4),""))</f>
        <v/>
      </c>
      <c r="AQ102" s="106">
        <f>IF(C102="","",IFERROR(1/(1/_xlfn.MAXIFS('Saisie'!$A$5:$A$2004,'Saisie'!$C$5:$C$2004,C102,'Saisie'!$E$5:$E$2004,"Proposition envoyée")),""))</f>
        <v/>
      </c>
      <c r="AR102" s="106">
        <f>IF(C102="","",IF(AQ102="","",AQ102+'Paramètres'!$B$26))</f>
        <v/>
      </c>
      <c r="AS102" s="62">
        <f>IF(OR(C102="",D102="Gagné",D102="Perdu"),0,N(AP102)*IFERROR(INDEX('Paramètres'!$G$6:$G$13,MATCH(D102,'Paramètres'!$F$6:$F$13,0)),0))</f>
        <v/>
      </c>
      <c r="AT102" s="106">
        <f>IF(C102="","",IFERROR(1/(1/_xlfn.MINIFS('Saisie'!$A$5:$A$2004,'Saisie'!$C$5:$C$2004,C102,'Saisie'!$E$5:$E$2004,"Signature")),""))</f>
        <v/>
      </c>
      <c r="AU102" s="60">
        <f>IF(C102="","",IF(OR(AT102="",B102=""),"",AT102-B102))</f>
        <v/>
      </c>
      <c r="AV102" s="60">
        <f>IF(C102="","",IFERROR(INDEX('Saisie'!$L$5:$L$2004,_xlfn.MAXIFS('Saisie'!$AS$5:$AS$2004,'Saisie'!$C$5:$C$2004,C102,'Saisie'!$L$5:$L$2004,"&lt;&gt;")-4),""))</f>
        <v/>
      </c>
      <c r="AW102" s="106">
        <f>IF(C102="","",IF(D102&lt;&gt;"Perdu","",IFERROR(1/(1/_xlfn.MAXIFS('Saisie'!$A$5:$A$2004,'Saisie'!$C$5:$C$2004,C102,'Saisie'!$E$5:$E$2004,"Perdu")),"")))</f>
        <v/>
      </c>
      <c r="AX102" s="106">
        <f>IF(C102="","",IF(AW102="","",AW102+'Paramètres'!$B$28))</f>
        <v/>
      </c>
      <c r="AY102" s="60">
        <f>IF(C102="","",SUMIFS('Saisie'!$H$5:$H$2004,'Saisie'!$C$5:$C$2004,C102))</f>
        <v/>
      </c>
      <c r="AZ102" s="60">
        <f>IF(C102="","",IFERROR(INDEX('Paramètres'!$W$6:$W$20,MATCH(S102,'Paramètres'!$V$6:$V$20,0))&amp;"",""))</f>
        <v/>
      </c>
      <c r="BA102" s="60">
        <f>IF(C102="","",MAX(1,_xlfn.MAXIFS('Saisie'!$AT$5:$AT$2004,'Saisie'!$C$5:$C$2004,C102)))</f>
        <v/>
      </c>
      <c r="BB102" s="60">
        <f>IF(C102="","",IFERROR(INDEX('Saisie'!$X$5:$X$2004,_xlfn.MAXIFS('Saisie'!$AS$5:$AS$2004,'Saisie'!$C$5:$C$2004,C102,'Saisie'!$X$5:$X$2004,"&lt;&gt;")-4),""))</f>
        <v/>
      </c>
      <c r="BC102" s="60">
        <f>IF(C102="","",IFERROR(INDEX('Saisie'!$Y$5:$Y$2004,_xlfn.MAXIFS('Saisie'!$AS$5:$AS$2004,'Saisie'!$C$5:$C$2004,C102,'Saisie'!$Y$5:$Y$2004,"&lt;&gt;")-4),""))</f>
        <v/>
      </c>
      <c r="BD102" s="106">
        <f>IF(C102="","",IFERROR(1/(1/_xlfn.MINIFS('Saisie'!$A$5:$A$2004,'Saisie'!$C$5:$C$2004,C102,'Saisie'!$AT$5:$AT$2004,"&gt;=2")),""))</f>
        <v/>
      </c>
      <c r="BE102" s="106">
        <f>IF(C102="","",IFERROR(1/(1/_xlfn.MINIFS('Saisie'!$A$5:$A$2004,'Saisie'!$C$5:$C$2004,C102,'Saisie'!$AT$5:$AT$2004,"&gt;=3")),""))</f>
        <v/>
      </c>
      <c r="BF102" s="106">
        <f>IF(C102="","",IFERROR(1/(1/_xlfn.MINIFS('Saisie'!$A$5:$A$2004,'Saisie'!$C$5:$C$2004,C102,'Saisie'!$AT$5:$AT$2004,"&gt;=4")),""))</f>
        <v/>
      </c>
      <c r="BG102" s="106">
        <f>IF(C102="","",IFERROR(1/(1/_xlfn.MINIFS('Saisie'!$A$5:$A$2004,'Saisie'!$C$5:$C$2004,C102,'Saisie'!$AT$5:$AT$2004,"&gt;=5")),""))</f>
        <v/>
      </c>
      <c r="BH102" s="106">
        <f>IF(C102="","",IFERROR(1/(1/_xlfn.MINIFS('Saisie'!$A$5:$A$2004,'Saisie'!$C$5:$C$2004,C102,'Saisie'!$AT$5:$AT$2004,"&gt;=6")),""))</f>
        <v/>
      </c>
      <c r="BI102" s="106">
        <f>IF(C102="","",IFERROR(1/(1/_xlfn.MINIFS('Saisie'!$A$5:$A$2004,'Saisie'!$C$5:$C$2004,C102,'Saisie'!$AT$5:$AT$2004,"&gt;=7")),""))</f>
        <v/>
      </c>
      <c r="BJ102" s="60">
        <f>IF(OR(BD102="",B102=""),"",BD102-B102)</f>
        <v/>
      </c>
      <c r="BK102" s="60">
        <f>IF(OR(BE102="",BD102=""),"",BE102-BD102)</f>
        <v/>
      </c>
      <c r="BL102" s="60">
        <f>IF(OR(BF102="",BE102=""),"",BF102-BE102)</f>
        <v/>
      </c>
      <c r="BM102" s="60">
        <f>IF(OR(BG102="",BF102=""),"",BG102-BF102)</f>
        <v/>
      </c>
      <c r="BN102" s="60">
        <f>IF(OR(BH102="",BG102=""),"",BH102-BG102)</f>
        <v/>
      </c>
      <c r="BO102" s="60">
        <f>IF(OR(BI102="",BH102=""),"",BI102-BH102)</f>
        <v/>
      </c>
      <c r="BP102" s="60">
        <f>IF(C102="","",_xlfn.MAXIFS('Saisie'!$AS$5:$AS$2004,'Saisie'!$C$5:$C$2004,C102,'Saisie'!$J$5:$J$2004,"&lt;&gt;"))</f>
        <v/>
      </c>
      <c r="BQ102" s="60">
        <f>IF(C102="","",_xlfn.MAXIFS('Saisie'!$AS$5:$AS$2004,'Saisie'!$C$5:$C$2004,C102))</f>
        <v/>
      </c>
      <c r="BR102" s="60">
        <f>IF(C102="","",_xlfn.MAXIFS('Saisie'!$AS$5:$AS$2004,'Saisie'!$C$5:$C$2004,C102,'Saisie'!$E$5:$E$2004,"Perdu"))</f>
        <v/>
      </c>
      <c r="BS102" s="60">
        <f>IF(C102="","",_xlfn.MAXIFS('Saisie'!$AS$5:$AS$2004,'Saisie'!$C$5:$C$2004,C102,'Saisie'!$AT$5:$AT$2004,"&gt;0"))</f>
        <v/>
      </c>
      <c r="BT102" s="109">
        <f>IF(AND(C102&lt;&gt;"",OR(D102="Nouveau",D102="Contacté",D102="Qualifié"),OR(G102="",N(G102)&lt;=TODAY()),NOT(AND(O102&gt;='Paramètres'!$B$21,P102=0))),E102+98/10000,"")</f>
        <v/>
      </c>
      <c r="BU102" s="60">
        <f>IF(AND(G102&lt;&gt;"",N(G102)&lt;=TODAY()),MAX($BU$4:BU101)+1,"")</f>
        <v/>
      </c>
      <c r="BV102" s="60">
        <f>IF(AND(F102&lt;&gt;"",F102&lt;&gt;"Relance en retard"),MAX($BV$4:BV101)+1,"")</f>
        <v/>
      </c>
      <c r="BW102" s="60">
        <f>IF(C102="","",IF(AND(B102&gt;='Tableau de bord'!$R$4,B102&lt;='Tableau de bord'!$S$4,OR('Tableau de bord'!$G$4="Tous",N102='Tableau de bord'!$G$4)),1,0))</f>
        <v/>
      </c>
      <c r="BX102" s="60">
        <f>IF(AND(C102&lt;&gt;"",N(BA102)=7),MAX($BX$4:BX101)+1,"")</f>
        <v/>
      </c>
    </row>
    <row r="103">
      <c r="A103" s="60">
        <f>IF(C103="","","P-"&amp;TEXT(99,"000"))</f>
        <v/>
      </c>
      <c r="B103" s="106">
        <f>IF(C103="","",IFERROR(1/(1/_xlfn.MINIFS('Saisie'!$A$5:$A$2004,'Saisie'!$C$5:$C$2004,C103)),""))</f>
        <v/>
      </c>
      <c r="C103" s="60">
        <f>IFERROR(INDEX('Saisie'!$C$5:$C$2004,MATCH(99,'Saisie'!$AX$5:$AX$2004,0)),"")</f>
        <v/>
      </c>
      <c r="D103" s="60">
        <f>IF(C103="","",IF(AND(BR103&gt;0,BR103&gt;BS103,BA103&lt;7),"Perdu",INDEX('Paramètres'!$F$6:$F$13,BA103)))</f>
        <v/>
      </c>
      <c r="E103" s="61">
        <f>IF(C103="","",MIN(100,(Z103="Oui")*'Paramètres'!$B$38+(AB103="Régulière")*'Paramètres'!$B$39+IF(AND(N(AA103)&gt;0,TODAY()-N(AA103)&lt;=30),'Paramètres'!$B$40,0)+(W103="")*'Paramètres'!$B$41+(AC103="Absente")*'Paramètres'!$B$42+(AC103="Faible")*'Paramètres'!$B$43+IF(AND(N(AD103)&gt;0,N(AD103)&lt;4),'Paramètres'!$B$44,0)+(AF103="Moyenne")*'Paramètres'!$B$45+(AF103="Grande")*'Paramètres'!$B$46+(Y103&lt;&gt;"")*'Paramètres'!$B$47))</f>
        <v/>
      </c>
      <c r="F103" s="60">
        <f>IF(C103="","",IF(D103="Gagné","",IF(D103="Perdu",IF(AND(AX103&lt;&gt;"",AX103&lt;=TODAY()),"À recontacter (perdu)",""),IF(AND(O103&gt;='Paramètres'!$B$21,P103=0),"Stop : "&amp;'Paramètres'!$B$21&amp;" tentatives sans réponse",IF(AND(D103="Proposition",AR103&lt;&gt;"",TODAY()&gt;N(AR103)),"Proposition expirée",IF(AND(D103="Proposition",N(R103)&gt;='Paramètres'!$B$25),"Proposition sans réponse",IF(AND(G103&lt;&gt;"",N(G103)&lt;TODAY()),"Relance en retard",IF(N(R103)&gt;='Paramètres'!$B$24,"Sans action depuis "&amp;R103&amp;" j",""))))))))</f>
        <v/>
      </c>
      <c r="G103" s="106">
        <f>IF(OR(C103="",D103="Gagné",D103="Perdu"),"",IF(AND(BP103&gt;0,BP103=BQ103),INDEX('Saisie'!$J$5:$J$2004,BP103-4),IF(OR(O103=0,AND(O103&gt;='Paramètres'!$B$21,P103=0)),"",Q103+IF(O103&lt;=1,'Paramètres'!$B$18,IF(O103=2,'Paramètres'!$B$19,'Paramètres'!$B$20)))))</f>
        <v/>
      </c>
      <c r="H103" s="107">
        <f>IF(OR(G103="",BP103&lt;&gt;BQ103),"",IF(INDEX('Saisie'!$K$5:$K$2004,BP103-4)="","",INDEX('Saisie'!$K$5:$K$2004,BP103-4)))</f>
        <v/>
      </c>
      <c r="I103" s="60">
        <f>IF(C103="","",IF(OR(D103="Gagné",D103="Perdu"),"",IFERROR(INDEX('Saisie'!$I$5:$I$2004,_xlfn.MAXIFS('Saisie'!$AS$5:$AS$2004,'Saisie'!$C$5:$C$2004,C103,'Saisie'!$I$5:$I$2004,"&lt;&gt;")-4),"")))</f>
        <v/>
      </c>
      <c r="J103" s="60">
        <f>IF(C103="","",IFERROR(INDEX('Saisie'!$U$5:$U$2004,_xlfn.MAXIFS('Saisie'!$AS$5:$AS$2004,'Saisie'!$C$5:$C$2004,C103,'Saisie'!$U$5:$U$2004,"&lt;&gt;")-4),""))</f>
        <v/>
      </c>
      <c r="K103" s="60">
        <f>IF(C103="","",IFERROR(INDEX('Saisie'!$W$5:$W$2004,_xlfn.MAXIFS('Saisie'!$AS$5:$AS$2004,'Saisie'!$C$5:$C$2004,C103,'Saisie'!$W$5:$W$2004,"&lt;&gt;")-4),""))</f>
        <v/>
      </c>
      <c r="L103" s="60">
        <f>IF(IF(BB103&lt;&gt;"",BB103,K103)="","",HYPERLINK("https://wa.me/"&amp;IF(LEFT(SUBSTITUTE(SUBSTITUTE(SUBSTITUTE(IF(BB103&lt;&gt;"",BB103,K103)," ",""),".",""),"+",""),1)="0",'Paramètres'!$B$35&amp;MID(SUBSTITUTE(SUBSTITUTE(SUBSTITUTE(IF(BB103&lt;&gt;"",BB103,K103)," ",""),".",""),"+",""),2,20),SUBSTITUTE(SUBSTITUTE(SUBSTITUTE(IF(BB103&lt;&gt;"",BB103,K103)," ",""),".",""),"+","")),"WhatsApp"))</f>
        <v/>
      </c>
      <c r="M103" s="60">
        <f>IF(BC103="","",HYPERLINK(IF(LEFT(BC103,4)="http",BC103,"https://www.instagram.com/"&amp;SUBSTITUTE(SUBSTITUTE(BC103,"@","")," ","")),BC103))</f>
        <v/>
      </c>
      <c r="N103" s="60">
        <f>IF(C103="","",IFERROR(INDEX('Saisie'!$D$5:$D$2004,_xlfn.MINIFS('Saisie'!$AS$5:$AS$2004,'Saisie'!$C$5:$C$2004,C103,'Saisie'!$AU$5:$AU$2004,1)-4),IFERROR(INDEX('Saisie'!$D$5:$D$2004,_xlfn.MINIFS('Saisie'!$AS$5:$AS$2004,'Saisie'!$C$5:$C$2004,C103,'Saisie'!$D$5:$D$2004,"&lt;&gt;")-4),"")))</f>
        <v/>
      </c>
      <c r="O103" s="60">
        <f>IF(C103="","",COUNTIFS('Saisie'!$C$5:$C$2004,C103,'Saisie'!$AU$5:$AU$2004,1))</f>
        <v/>
      </c>
      <c r="P103" s="60">
        <f>IF(C103="","",COUNTIFS('Saisie'!$C$5:$C$2004,C103,'Saisie'!$AV$5:$AV$2004,1))</f>
        <v/>
      </c>
      <c r="Q103" s="106">
        <f>IF(C103="","",IFERROR(1/(1/_xlfn.MAXIFS('Saisie'!$A$5:$A$2004,'Saisie'!$C$5:$C$2004,C103)),""))</f>
        <v/>
      </c>
      <c r="R103" s="61">
        <f>IF(C103="","",IF(Q103="","",TODAY()-Q103))</f>
        <v/>
      </c>
      <c r="S103" s="60">
        <f>IF(C103="","",IFERROR(INDEX('Saisie'!$R$5:$R$2004,_xlfn.MAXIFS('Saisie'!$AS$5:$AS$2004,'Saisie'!$C$5:$C$2004,C103,'Saisie'!$R$5:$R$2004,"&lt;&gt;")-4),""))</f>
        <v/>
      </c>
      <c r="T103" s="60">
        <f>IF(C103="","",IFERROR(INDEX('Saisie'!$S$5:$S$2004,_xlfn.MAXIFS('Saisie'!$AS$5:$AS$2004,'Saisie'!$C$5:$C$2004,C103,'Saisie'!$S$5:$S$2004,"&lt;&gt;")-4),""))</f>
        <v/>
      </c>
      <c r="U103" s="60">
        <f>IF(C103="","",IFERROR(INDEX('Saisie'!$T$5:$T$2004,_xlfn.MAXIFS('Saisie'!$AS$5:$AS$2004,'Saisie'!$C$5:$C$2004,C103,'Saisie'!$T$5:$T$2004,"&lt;&gt;")-4),""))</f>
        <v/>
      </c>
      <c r="V103" s="60">
        <f>IF(C103="","",IFERROR(INDEX('Saisie'!$V$5:$V$2004,_xlfn.MAXIFS('Saisie'!$AS$5:$AS$2004,'Saisie'!$C$5:$C$2004,C103,'Saisie'!$V$5:$V$2004,"&lt;&gt;")-4),""))</f>
        <v/>
      </c>
      <c r="W103" s="60">
        <f>IF(C103="","",IFERROR(INDEX('Saisie'!$Z$5:$Z$2004,_xlfn.MAXIFS('Saisie'!$AS$5:$AS$2004,'Saisie'!$C$5:$C$2004,C103,'Saisie'!$Z$5:$Z$2004,"&lt;&gt;")-4),""))</f>
        <v/>
      </c>
      <c r="X103" s="60">
        <f>IF(C103="","",IFERROR(INDEX('Saisie'!$AA$5:$AA$2004,_xlfn.MAXIFS('Saisie'!$AS$5:$AS$2004,'Saisie'!$C$5:$C$2004,C103,'Saisie'!$AA$5:$AA$2004,"&lt;&gt;")-4),""))</f>
        <v/>
      </c>
      <c r="Y103" s="60">
        <f>IF(C103="","",IFERROR(INDEX('Saisie'!$AB$5:$AB$2004,_xlfn.MAXIFS('Saisie'!$AS$5:$AS$2004,'Saisie'!$C$5:$C$2004,C103,'Saisie'!$AB$5:$AB$2004,"&lt;&gt;")-4),""))</f>
        <v/>
      </c>
      <c r="Z103" s="60">
        <f>IF(C103="","",IFERROR(INDEX('Saisie'!$AC$5:$AC$2004,_xlfn.MAXIFS('Saisie'!$AS$5:$AS$2004,'Saisie'!$C$5:$C$2004,C103,'Saisie'!$AC$5:$AC$2004,"&lt;&gt;")-4),""))</f>
        <v/>
      </c>
      <c r="AA103" s="106">
        <f>IF(C103="","",IFERROR(INDEX('Saisie'!$AD$5:$AD$2004,_xlfn.MAXIFS('Saisie'!$AS$5:$AS$2004,'Saisie'!$C$5:$C$2004,C103,'Saisie'!$AD$5:$AD$2004,"&lt;&gt;")-4),""))</f>
        <v/>
      </c>
      <c r="AB103" s="60">
        <f>IF(C103="","",IFERROR(INDEX('Saisie'!$AE$5:$AE$2004,_xlfn.MAXIFS('Saisie'!$AS$5:$AS$2004,'Saisie'!$C$5:$C$2004,C103,'Saisie'!$AE$5:$AE$2004,"&lt;&gt;")-4),""))</f>
        <v/>
      </c>
      <c r="AC103" s="60">
        <f>IF(C103="","",IFERROR(INDEX('Saisie'!$AF$5:$AF$2004,_xlfn.MAXIFS('Saisie'!$AS$5:$AS$2004,'Saisie'!$C$5:$C$2004,C103,'Saisie'!$AF$5:$AF$2004,"&lt;&gt;")-4),""))</f>
        <v/>
      </c>
      <c r="AD103" s="108">
        <f>IF(C103="","",IFERROR(INDEX('Saisie'!$AG$5:$AG$2004,_xlfn.MAXIFS('Saisie'!$AS$5:$AS$2004,'Saisie'!$C$5:$C$2004,C103,'Saisie'!$AG$5:$AG$2004,"&lt;&gt;")-4),""))</f>
        <v/>
      </c>
      <c r="AE103" s="60">
        <f>IF(C103="","",IFERROR(INDEX('Saisie'!$AH$5:$AH$2004,_xlfn.MAXIFS('Saisie'!$AS$5:$AS$2004,'Saisie'!$C$5:$C$2004,C103,'Saisie'!$AH$5:$AH$2004,"&lt;&gt;")-4),""))</f>
        <v/>
      </c>
      <c r="AF103" s="60">
        <f>IF(C103="","",IFERROR(INDEX('Saisie'!$AI$5:$AI$2004,_xlfn.MAXIFS('Saisie'!$AS$5:$AS$2004,'Saisie'!$C$5:$C$2004,C103,'Saisie'!$AI$5:$AI$2004,"&lt;&gt;")-4),""))</f>
        <v/>
      </c>
      <c r="AG103" s="60">
        <f>IF(C103="","",IFERROR(INDEX('Saisie'!$AJ$5:$AJ$2004,_xlfn.MAXIFS('Saisie'!$AS$5:$AS$2004,'Saisie'!$C$5:$C$2004,C103,'Saisie'!$AJ$5:$AJ$2004,"&lt;&gt;")-4),""))</f>
        <v/>
      </c>
      <c r="AH103" s="60">
        <f>IF(C103="","",IFERROR(INDEX('Saisie'!$AK$5:$AK$2004,_xlfn.MAXIFS('Saisie'!$AS$5:$AS$2004,'Saisie'!$C$5:$C$2004,C103,'Saisie'!$AK$5:$AK$2004,"&lt;&gt;")-4),""))</f>
        <v/>
      </c>
      <c r="AI103" s="60">
        <f>IF(C103="","",IFERROR(INDEX('Saisie'!$AN$5:$AN$2004,_xlfn.MAXIFS('Saisie'!$AS$5:$AS$2004,'Saisie'!$C$5:$C$2004,C103,'Saisie'!$AN$5:$AN$2004,"&lt;&gt;")-4),""))</f>
        <v/>
      </c>
      <c r="AJ103" s="60">
        <f>IF(C103="","",IFERROR(INDEX('Saisie'!$AO$5:$AO$2004,_xlfn.MAXIFS('Saisie'!$AS$5:$AS$2004,'Saisie'!$C$5:$C$2004,C103,'Saisie'!$AO$5:$AO$2004,"&lt;&gt;")-4),""))</f>
        <v/>
      </c>
      <c r="AK103" s="60">
        <f>IF(C103="","",IFERROR(INDEX('Saisie'!$AP$5:$AP$2004,_xlfn.MAXIFS('Saisie'!$AS$5:$AS$2004,'Saisie'!$C$5:$C$2004,C103,'Saisie'!$AP$5:$AP$2004,"&lt;&gt;")-4),""))</f>
        <v/>
      </c>
      <c r="AL103" s="60">
        <f>IF(C103="","",IFERROR(INDEX('Saisie'!$AQ$5:$AQ$2004,_xlfn.MAXIFS('Saisie'!$AS$5:$AS$2004,'Saisie'!$C$5:$C$2004,C103,'Saisie'!$AQ$5:$AQ$2004,"&lt;&gt;")-4),""))</f>
        <v/>
      </c>
      <c r="AM103" s="60">
        <f>IF(C103="","",((AI103="Oui")+(AJ103="Oui")+(AK103="Oui")+OR(AL103="Immédiat",AL103="&lt; 1 mois"))&amp;"/4")</f>
        <v/>
      </c>
      <c r="AN103" s="60">
        <f>IF(C103="","",IFERROR(INDEX('Saisie'!$AL$5:$AL$2004,_xlfn.MAXIFS('Saisie'!$AS$5:$AS$2004,'Saisie'!$C$5:$C$2004,C103,'Saisie'!$AL$5:$AL$2004,"&lt;&gt;")-4),""))</f>
        <v/>
      </c>
      <c r="AO103" s="62">
        <f>IF(C103="","",IF(IFERROR(INDEX('Saisie'!$AM$5:$AM$2004,_xlfn.MAXIFS('Saisie'!$AS$5:$AS$2004,'Saisie'!$C$5:$C$2004,C103,'Saisie'!$AM$5:$AM$2004,"&lt;&gt;")-4),"")&lt;&gt;"",IFERROR(INDEX('Saisie'!$AM$5:$AM$2004,_xlfn.MAXIFS('Saisie'!$AS$5:$AS$2004,'Saisie'!$C$5:$C$2004,C103,'Saisie'!$AM$5:$AM$2004,"&lt;&gt;")-4),""),IFERROR(INDEX('Paramètres'!$S$6:$S$15,MATCH(AN103,'Paramètres'!$Q$6:$Q$15,0)),"")))</f>
        <v/>
      </c>
      <c r="AP103" s="62">
        <f>IF(C103="","",IFERROR(INDEX('Saisie'!$AW$5:$AW$2004,_xlfn.MAXIFS('Saisie'!$AS$5:$AS$2004,'Saisie'!$C$5:$C$2004,C103,'Saisie'!$E$5:$E$2004,"Proposition envoyée")-4),""))</f>
        <v/>
      </c>
      <c r="AQ103" s="106">
        <f>IF(C103="","",IFERROR(1/(1/_xlfn.MAXIFS('Saisie'!$A$5:$A$2004,'Saisie'!$C$5:$C$2004,C103,'Saisie'!$E$5:$E$2004,"Proposition envoyée")),""))</f>
        <v/>
      </c>
      <c r="AR103" s="106">
        <f>IF(C103="","",IF(AQ103="","",AQ103+'Paramètres'!$B$26))</f>
        <v/>
      </c>
      <c r="AS103" s="62">
        <f>IF(OR(C103="",D103="Gagné",D103="Perdu"),0,N(AP103)*IFERROR(INDEX('Paramètres'!$G$6:$G$13,MATCH(D103,'Paramètres'!$F$6:$F$13,0)),0))</f>
        <v/>
      </c>
      <c r="AT103" s="106">
        <f>IF(C103="","",IFERROR(1/(1/_xlfn.MINIFS('Saisie'!$A$5:$A$2004,'Saisie'!$C$5:$C$2004,C103,'Saisie'!$E$5:$E$2004,"Signature")),""))</f>
        <v/>
      </c>
      <c r="AU103" s="60">
        <f>IF(C103="","",IF(OR(AT103="",B103=""),"",AT103-B103))</f>
        <v/>
      </c>
      <c r="AV103" s="60">
        <f>IF(C103="","",IFERROR(INDEX('Saisie'!$L$5:$L$2004,_xlfn.MAXIFS('Saisie'!$AS$5:$AS$2004,'Saisie'!$C$5:$C$2004,C103,'Saisie'!$L$5:$L$2004,"&lt;&gt;")-4),""))</f>
        <v/>
      </c>
      <c r="AW103" s="106">
        <f>IF(C103="","",IF(D103&lt;&gt;"Perdu","",IFERROR(1/(1/_xlfn.MAXIFS('Saisie'!$A$5:$A$2004,'Saisie'!$C$5:$C$2004,C103,'Saisie'!$E$5:$E$2004,"Perdu")),"")))</f>
        <v/>
      </c>
      <c r="AX103" s="106">
        <f>IF(C103="","",IF(AW103="","",AW103+'Paramètres'!$B$28))</f>
        <v/>
      </c>
      <c r="AY103" s="60">
        <f>IF(C103="","",SUMIFS('Saisie'!$H$5:$H$2004,'Saisie'!$C$5:$C$2004,C103))</f>
        <v/>
      </c>
      <c r="AZ103" s="60">
        <f>IF(C103="","",IFERROR(INDEX('Paramètres'!$W$6:$W$20,MATCH(S103,'Paramètres'!$V$6:$V$20,0))&amp;"",""))</f>
        <v/>
      </c>
      <c r="BA103" s="60">
        <f>IF(C103="","",MAX(1,_xlfn.MAXIFS('Saisie'!$AT$5:$AT$2004,'Saisie'!$C$5:$C$2004,C103)))</f>
        <v/>
      </c>
      <c r="BB103" s="60">
        <f>IF(C103="","",IFERROR(INDEX('Saisie'!$X$5:$X$2004,_xlfn.MAXIFS('Saisie'!$AS$5:$AS$2004,'Saisie'!$C$5:$C$2004,C103,'Saisie'!$X$5:$X$2004,"&lt;&gt;")-4),""))</f>
        <v/>
      </c>
      <c r="BC103" s="60">
        <f>IF(C103="","",IFERROR(INDEX('Saisie'!$Y$5:$Y$2004,_xlfn.MAXIFS('Saisie'!$AS$5:$AS$2004,'Saisie'!$C$5:$C$2004,C103,'Saisie'!$Y$5:$Y$2004,"&lt;&gt;")-4),""))</f>
        <v/>
      </c>
      <c r="BD103" s="106">
        <f>IF(C103="","",IFERROR(1/(1/_xlfn.MINIFS('Saisie'!$A$5:$A$2004,'Saisie'!$C$5:$C$2004,C103,'Saisie'!$AT$5:$AT$2004,"&gt;=2")),""))</f>
        <v/>
      </c>
      <c r="BE103" s="106">
        <f>IF(C103="","",IFERROR(1/(1/_xlfn.MINIFS('Saisie'!$A$5:$A$2004,'Saisie'!$C$5:$C$2004,C103,'Saisie'!$AT$5:$AT$2004,"&gt;=3")),""))</f>
        <v/>
      </c>
      <c r="BF103" s="106">
        <f>IF(C103="","",IFERROR(1/(1/_xlfn.MINIFS('Saisie'!$A$5:$A$2004,'Saisie'!$C$5:$C$2004,C103,'Saisie'!$AT$5:$AT$2004,"&gt;=4")),""))</f>
        <v/>
      </c>
      <c r="BG103" s="106">
        <f>IF(C103="","",IFERROR(1/(1/_xlfn.MINIFS('Saisie'!$A$5:$A$2004,'Saisie'!$C$5:$C$2004,C103,'Saisie'!$AT$5:$AT$2004,"&gt;=5")),""))</f>
        <v/>
      </c>
      <c r="BH103" s="106">
        <f>IF(C103="","",IFERROR(1/(1/_xlfn.MINIFS('Saisie'!$A$5:$A$2004,'Saisie'!$C$5:$C$2004,C103,'Saisie'!$AT$5:$AT$2004,"&gt;=6")),""))</f>
        <v/>
      </c>
      <c r="BI103" s="106">
        <f>IF(C103="","",IFERROR(1/(1/_xlfn.MINIFS('Saisie'!$A$5:$A$2004,'Saisie'!$C$5:$C$2004,C103,'Saisie'!$AT$5:$AT$2004,"&gt;=7")),""))</f>
        <v/>
      </c>
      <c r="BJ103" s="60">
        <f>IF(OR(BD103="",B103=""),"",BD103-B103)</f>
        <v/>
      </c>
      <c r="BK103" s="60">
        <f>IF(OR(BE103="",BD103=""),"",BE103-BD103)</f>
        <v/>
      </c>
      <c r="BL103" s="60">
        <f>IF(OR(BF103="",BE103=""),"",BF103-BE103)</f>
        <v/>
      </c>
      <c r="BM103" s="60">
        <f>IF(OR(BG103="",BF103=""),"",BG103-BF103)</f>
        <v/>
      </c>
      <c r="BN103" s="60">
        <f>IF(OR(BH103="",BG103=""),"",BH103-BG103)</f>
        <v/>
      </c>
      <c r="BO103" s="60">
        <f>IF(OR(BI103="",BH103=""),"",BI103-BH103)</f>
        <v/>
      </c>
      <c r="BP103" s="60">
        <f>IF(C103="","",_xlfn.MAXIFS('Saisie'!$AS$5:$AS$2004,'Saisie'!$C$5:$C$2004,C103,'Saisie'!$J$5:$J$2004,"&lt;&gt;"))</f>
        <v/>
      </c>
      <c r="BQ103" s="60">
        <f>IF(C103="","",_xlfn.MAXIFS('Saisie'!$AS$5:$AS$2004,'Saisie'!$C$5:$C$2004,C103))</f>
        <v/>
      </c>
      <c r="BR103" s="60">
        <f>IF(C103="","",_xlfn.MAXIFS('Saisie'!$AS$5:$AS$2004,'Saisie'!$C$5:$C$2004,C103,'Saisie'!$E$5:$E$2004,"Perdu"))</f>
        <v/>
      </c>
      <c r="BS103" s="60">
        <f>IF(C103="","",_xlfn.MAXIFS('Saisie'!$AS$5:$AS$2004,'Saisie'!$C$5:$C$2004,C103,'Saisie'!$AT$5:$AT$2004,"&gt;0"))</f>
        <v/>
      </c>
      <c r="BT103" s="109">
        <f>IF(AND(C103&lt;&gt;"",OR(D103="Nouveau",D103="Contacté",D103="Qualifié"),OR(G103="",N(G103)&lt;=TODAY()),NOT(AND(O103&gt;='Paramètres'!$B$21,P103=0))),E103+99/10000,"")</f>
        <v/>
      </c>
      <c r="BU103" s="60">
        <f>IF(AND(G103&lt;&gt;"",N(G103)&lt;=TODAY()),MAX($BU$4:BU102)+1,"")</f>
        <v/>
      </c>
      <c r="BV103" s="60">
        <f>IF(AND(F103&lt;&gt;"",F103&lt;&gt;"Relance en retard"),MAX($BV$4:BV102)+1,"")</f>
        <v/>
      </c>
      <c r="BW103" s="60">
        <f>IF(C103="","",IF(AND(B103&gt;='Tableau de bord'!$R$4,B103&lt;='Tableau de bord'!$S$4,OR('Tableau de bord'!$G$4="Tous",N103='Tableau de bord'!$G$4)),1,0))</f>
        <v/>
      </c>
      <c r="BX103" s="60">
        <f>IF(AND(C103&lt;&gt;"",N(BA103)=7),MAX($BX$4:BX102)+1,"")</f>
        <v/>
      </c>
    </row>
    <row r="104">
      <c r="A104" s="60">
        <f>IF(C104="","","P-"&amp;TEXT(100,"000"))</f>
        <v/>
      </c>
      <c r="B104" s="106">
        <f>IF(C104="","",IFERROR(1/(1/_xlfn.MINIFS('Saisie'!$A$5:$A$2004,'Saisie'!$C$5:$C$2004,C104)),""))</f>
        <v/>
      </c>
      <c r="C104" s="60">
        <f>IFERROR(INDEX('Saisie'!$C$5:$C$2004,MATCH(100,'Saisie'!$AX$5:$AX$2004,0)),"")</f>
        <v/>
      </c>
      <c r="D104" s="60">
        <f>IF(C104="","",IF(AND(BR104&gt;0,BR104&gt;BS104,BA104&lt;7),"Perdu",INDEX('Paramètres'!$F$6:$F$13,BA104)))</f>
        <v/>
      </c>
      <c r="E104" s="61">
        <f>IF(C104="","",MIN(100,(Z104="Oui")*'Paramètres'!$B$38+(AB104="Régulière")*'Paramètres'!$B$39+IF(AND(N(AA104)&gt;0,TODAY()-N(AA104)&lt;=30),'Paramètres'!$B$40,0)+(W104="")*'Paramètres'!$B$41+(AC104="Absente")*'Paramètres'!$B$42+(AC104="Faible")*'Paramètres'!$B$43+IF(AND(N(AD104)&gt;0,N(AD104)&lt;4),'Paramètres'!$B$44,0)+(AF104="Moyenne")*'Paramètres'!$B$45+(AF104="Grande")*'Paramètres'!$B$46+(Y104&lt;&gt;"")*'Paramètres'!$B$47))</f>
        <v/>
      </c>
      <c r="F104" s="60">
        <f>IF(C104="","",IF(D104="Gagné","",IF(D104="Perdu",IF(AND(AX104&lt;&gt;"",AX104&lt;=TODAY()),"À recontacter (perdu)",""),IF(AND(O104&gt;='Paramètres'!$B$21,P104=0),"Stop : "&amp;'Paramètres'!$B$21&amp;" tentatives sans réponse",IF(AND(D104="Proposition",AR104&lt;&gt;"",TODAY()&gt;N(AR104)),"Proposition expirée",IF(AND(D104="Proposition",N(R104)&gt;='Paramètres'!$B$25),"Proposition sans réponse",IF(AND(G104&lt;&gt;"",N(G104)&lt;TODAY()),"Relance en retard",IF(N(R104)&gt;='Paramètres'!$B$24,"Sans action depuis "&amp;R104&amp;" j",""))))))))</f>
        <v/>
      </c>
      <c r="G104" s="106">
        <f>IF(OR(C104="",D104="Gagné",D104="Perdu"),"",IF(AND(BP104&gt;0,BP104=BQ104),INDEX('Saisie'!$J$5:$J$2004,BP104-4),IF(OR(O104=0,AND(O104&gt;='Paramètres'!$B$21,P104=0)),"",Q104+IF(O104&lt;=1,'Paramètres'!$B$18,IF(O104=2,'Paramètres'!$B$19,'Paramètres'!$B$20)))))</f>
        <v/>
      </c>
      <c r="H104" s="107">
        <f>IF(OR(G104="",BP104&lt;&gt;BQ104),"",IF(INDEX('Saisie'!$K$5:$K$2004,BP104-4)="","",INDEX('Saisie'!$K$5:$K$2004,BP104-4)))</f>
        <v/>
      </c>
      <c r="I104" s="60">
        <f>IF(C104="","",IF(OR(D104="Gagné",D104="Perdu"),"",IFERROR(INDEX('Saisie'!$I$5:$I$2004,_xlfn.MAXIFS('Saisie'!$AS$5:$AS$2004,'Saisie'!$C$5:$C$2004,C104,'Saisie'!$I$5:$I$2004,"&lt;&gt;")-4),"")))</f>
        <v/>
      </c>
      <c r="J104" s="60">
        <f>IF(C104="","",IFERROR(INDEX('Saisie'!$U$5:$U$2004,_xlfn.MAXIFS('Saisie'!$AS$5:$AS$2004,'Saisie'!$C$5:$C$2004,C104,'Saisie'!$U$5:$U$2004,"&lt;&gt;")-4),""))</f>
        <v/>
      </c>
      <c r="K104" s="60">
        <f>IF(C104="","",IFERROR(INDEX('Saisie'!$W$5:$W$2004,_xlfn.MAXIFS('Saisie'!$AS$5:$AS$2004,'Saisie'!$C$5:$C$2004,C104,'Saisie'!$W$5:$W$2004,"&lt;&gt;")-4),""))</f>
        <v/>
      </c>
      <c r="L104" s="60">
        <f>IF(IF(BB104&lt;&gt;"",BB104,K104)="","",HYPERLINK("https://wa.me/"&amp;IF(LEFT(SUBSTITUTE(SUBSTITUTE(SUBSTITUTE(IF(BB104&lt;&gt;"",BB104,K104)," ",""),".",""),"+",""),1)="0",'Paramètres'!$B$35&amp;MID(SUBSTITUTE(SUBSTITUTE(SUBSTITUTE(IF(BB104&lt;&gt;"",BB104,K104)," ",""),".",""),"+",""),2,20),SUBSTITUTE(SUBSTITUTE(SUBSTITUTE(IF(BB104&lt;&gt;"",BB104,K104)," ",""),".",""),"+","")),"WhatsApp"))</f>
        <v/>
      </c>
      <c r="M104" s="60">
        <f>IF(BC104="","",HYPERLINK(IF(LEFT(BC104,4)="http",BC104,"https://www.instagram.com/"&amp;SUBSTITUTE(SUBSTITUTE(BC104,"@","")," ","")),BC104))</f>
        <v/>
      </c>
      <c r="N104" s="60">
        <f>IF(C104="","",IFERROR(INDEX('Saisie'!$D$5:$D$2004,_xlfn.MINIFS('Saisie'!$AS$5:$AS$2004,'Saisie'!$C$5:$C$2004,C104,'Saisie'!$AU$5:$AU$2004,1)-4),IFERROR(INDEX('Saisie'!$D$5:$D$2004,_xlfn.MINIFS('Saisie'!$AS$5:$AS$2004,'Saisie'!$C$5:$C$2004,C104,'Saisie'!$D$5:$D$2004,"&lt;&gt;")-4),"")))</f>
        <v/>
      </c>
      <c r="O104" s="60">
        <f>IF(C104="","",COUNTIFS('Saisie'!$C$5:$C$2004,C104,'Saisie'!$AU$5:$AU$2004,1))</f>
        <v/>
      </c>
      <c r="P104" s="60">
        <f>IF(C104="","",COUNTIFS('Saisie'!$C$5:$C$2004,C104,'Saisie'!$AV$5:$AV$2004,1))</f>
        <v/>
      </c>
      <c r="Q104" s="106">
        <f>IF(C104="","",IFERROR(1/(1/_xlfn.MAXIFS('Saisie'!$A$5:$A$2004,'Saisie'!$C$5:$C$2004,C104)),""))</f>
        <v/>
      </c>
      <c r="R104" s="61">
        <f>IF(C104="","",IF(Q104="","",TODAY()-Q104))</f>
        <v/>
      </c>
      <c r="S104" s="60">
        <f>IF(C104="","",IFERROR(INDEX('Saisie'!$R$5:$R$2004,_xlfn.MAXIFS('Saisie'!$AS$5:$AS$2004,'Saisie'!$C$5:$C$2004,C104,'Saisie'!$R$5:$R$2004,"&lt;&gt;")-4),""))</f>
        <v/>
      </c>
      <c r="T104" s="60">
        <f>IF(C104="","",IFERROR(INDEX('Saisie'!$S$5:$S$2004,_xlfn.MAXIFS('Saisie'!$AS$5:$AS$2004,'Saisie'!$C$5:$C$2004,C104,'Saisie'!$S$5:$S$2004,"&lt;&gt;")-4),""))</f>
        <v/>
      </c>
      <c r="U104" s="60">
        <f>IF(C104="","",IFERROR(INDEX('Saisie'!$T$5:$T$2004,_xlfn.MAXIFS('Saisie'!$AS$5:$AS$2004,'Saisie'!$C$5:$C$2004,C104,'Saisie'!$T$5:$T$2004,"&lt;&gt;")-4),""))</f>
        <v/>
      </c>
      <c r="V104" s="60">
        <f>IF(C104="","",IFERROR(INDEX('Saisie'!$V$5:$V$2004,_xlfn.MAXIFS('Saisie'!$AS$5:$AS$2004,'Saisie'!$C$5:$C$2004,C104,'Saisie'!$V$5:$V$2004,"&lt;&gt;")-4),""))</f>
        <v/>
      </c>
      <c r="W104" s="60">
        <f>IF(C104="","",IFERROR(INDEX('Saisie'!$Z$5:$Z$2004,_xlfn.MAXIFS('Saisie'!$AS$5:$AS$2004,'Saisie'!$C$5:$C$2004,C104,'Saisie'!$Z$5:$Z$2004,"&lt;&gt;")-4),""))</f>
        <v/>
      </c>
      <c r="X104" s="60">
        <f>IF(C104="","",IFERROR(INDEX('Saisie'!$AA$5:$AA$2004,_xlfn.MAXIFS('Saisie'!$AS$5:$AS$2004,'Saisie'!$C$5:$C$2004,C104,'Saisie'!$AA$5:$AA$2004,"&lt;&gt;")-4),""))</f>
        <v/>
      </c>
      <c r="Y104" s="60">
        <f>IF(C104="","",IFERROR(INDEX('Saisie'!$AB$5:$AB$2004,_xlfn.MAXIFS('Saisie'!$AS$5:$AS$2004,'Saisie'!$C$5:$C$2004,C104,'Saisie'!$AB$5:$AB$2004,"&lt;&gt;")-4),""))</f>
        <v/>
      </c>
      <c r="Z104" s="60">
        <f>IF(C104="","",IFERROR(INDEX('Saisie'!$AC$5:$AC$2004,_xlfn.MAXIFS('Saisie'!$AS$5:$AS$2004,'Saisie'!$C$5:$C$2004,C104,'Saisie'!$AC$5:$AC$2004,"&lt;&gt;")-4),""))</f>
        <v/>
      </c>
      <c r="AA104" s="106">
        <f>IF(C104="","",IFERROR(INDEX('Saisie'!$AD$5:$AD$2004,_xlfn.MAXIFS('Saisie'!$AS$5:$AS$2004,'Saisie'!$C$5:$C$2004,C104,'Saisie'!$AD$5:$AD$2004,"&lt;&gt;")-4),""))</f>
        <v/>
      </c>
      <c r="AB104" s="60">
        <f>IF(C104="","",IFERROR(INDEX('Saisie'!$AE$5:$AE$2004,_xlfn.MAXIFS('Saisie'!$AS$5:$AS$2004,'Saisie'!$C$5:$C$2004,C104,'Saisie'!$AE$5:$AE$2004,"&lt;&gt;")-4),""))</f>
        <v/>
      </c>
      <c r="AC104" s="60">
        <f>IF(C104="","",IFERROR(INDEX('Saisie'!$AF$5:$AF$2004,_xlfn.MAXIFS('Saisie'!$AS$5:$AS$2004,'Saisie'!$C$5:$C$2004,C104,'Saisie'!$AF$5:$AF$2004,"&lt;&gt;")-4),""))</f>
        <v/>
      </c>
      <c r="AD104" s="108">
        <f>IF(C104="","",IFERROR(INDEX('Saisie'!$AG$5:$AG$2004,_xlfn.MAXIFS('Saisie'!$AS$5:$AS$2004,'Saisie'!$C$5:$C$2004,C104,'Saisie'!$AG$5:$AG$2004,"&lt;&gt;")-4),""))</f>
        <v/>
      </c>
      <c r="AE104" s="60">
        <f>IF(C104="","",IFERROR(INDEX('Saisie'!$AH$5:$AH$2004,_xlfn.MAXIFS('Saisie'!$AS$5:$AS$2004,'Saisie'!$C$5:$C$2004,C104,'Saisie'!$AH$5:$AH$2004,"&lt;&gt;")-4),""))</f>
        <v/>
      </c>
      <c r="AF104" s="60">
        <f>IF(C104="","",IFERROR(INDEX('Saisie'!$AI$5:$AI$2004,_xlfn.MAXIFS('Saisie'!$AS$5:$AS$2004,'Saisie'!$C$5:$C$2004,C104,'Saisie'!$AI$5:$AI$2004,"&lt;&gt;")-4),""))</f>
        <v/>
      </c>
      <c r="AG104" s="60">
        <f>IF(C104="","",IFERROR(INDEX('Saisie'!$AJ$5:$AJ$2004,_xlfn.MAXIFS('Saisie'!$AS$5:$AS$2004,'Saisie'!$C$5:$C$2004,C104,'Saisie'!$AJ$5:$AJ$2004,"&lt;&gt;")-4),""))</f>
        <v/>
      </c>
      <c r="AH104" s="60">
        <f>IF(C104="","",IFERROR(INDEX('Saisie'!$AK$5:$AK$2004,_xlfn.MAXIFS('Saisie'!$AS$5:$AS$2004,'Saisie'!$C$5:$C$2004,C104,'Saisie'!$AK$5:$AK$2004,"&lt;&gt;")-4),""))</f>
        <v/>
      </c>
      <c r="AI104" s="60">
        <f>IF(C104="","",IFERROR(INDEX('Saisie'!$AN$5:$AN$2004,_xlfn.MAXIFS('Saisie'!$AS$5:$AS$2004,'Saisie'!$C$5:$C$2004,C104,'Saisie'!$AN$5:$AN$2004,"&lt;&gt;")-4),""))</f>
        <v/>
      </c>
      <c r="AJ104" s="60">
        <f>IF(C104="","",IFERROR(INDEX('Saisie'!$AO$5:$AO$2004,_xlfn.MAXIFS('Saisie'!$AS$5:$AS$2004,'Saisie'!$C$5:$C$2004,C104,'Saisie'!$AO$5:$AO$2004,"&lt;&gt;")-4),""))</f>
        <v/>
      </c>
      <c r="AK104" s="60">
        <f>IF(C104="","",IFERROR(INDEX('Saisie'!$AP$5:$AP$2004,_xlfn.MAXIFS('Saisie'!$AS$5:$AS$2004,'Saisie'!$C$5:$C$2004,C104,'Saisie'!$AP$5:$AP$2004,"&lt;&gt;")-4),""))</f>
        <v/>
      </c>
      <c r="AL104" s="60">
        <f>IF(C104="","",IFERROR(INDEX('Saisie'!$AQ$5:$AQ$2004,_xlfn.MAXIFS('Saisie'!$AS$5:$AS$2004,'Saisie'!$C$5:$C$2004,C104,'Saisie'!$AQ$5:$AQ$2004,"&lt;&gt;")-4),""))</f>
        <v/>
      </c>
      <c r="AM104" s="60">
        <f>IF(C104="","",((AI104="Oui")+(AJ104="Oui")+(AK104="Oui")+OR(AL104="Immédiat",AL104="&lt; 1 mois"))&amp;"/4")</f>
        <v/>
      </c>
      <c r="AN104" s="60">
        <f>IF(C104="","",IFERROR(INDEX('Saisie'!$AL$5:$AL$2004,_xlfn.MAXIFS('Saisie'!$AS$5:$AS$2004,'Saisie'!$C$5:$C$2004,C104,'Saisie'!$AL$5:$AL$2004,"&lt;&gt;")-4),""))</f>
        <v/>
      </c>
      <c r="AO104" s="62">
        <f>IF(C104="","",IF(IFERROR(INDEX('Saisie'!$AM$5:$AM$2004,_xlfn.MAXIFS('Saisie'!$AS$5:$AS$2004,'Saisie'!$C$5:$C$2004,C104,'Saisie'!$AM$5:$AM$2004,"&lt;&gt;")-4),"")&lt;&gt;"",IFERROR(INDEX('Saisie'!$AM$5:$AM$2004,_xlfn.MAXIFS('Saisie'!$AS$5:$AS$2004,'Saisie'!$C$5:$C$2004,C104,'Saisie'!$AM$5:$AM$2004,"&lt;&gt;")-4),""),IFERROR(INDEX('Paramètres'!$S$6:$S$15,MATCH(AN104,'Paramètres'!$Q$6:$Q$15,0)),"")))</f>
        <v/>
      </c>
      <c r="AP104" s="62">
        <f>IF(C104="","",IFERROR(INDEX('Saisie'!$AW$5:$AW$2004,_xlfn.MAXIFS('Saisie'!$AS$5:$AS$2004,'Saisie'!$C$5:$C$2004,C104,'Saisie'!$E$5:$E$2004,"Proposition envoyée")-4),""))</f>
        <v/>
      </c>
      <c r="AQ104" s="106">
        <f>IF(C104="","",IFERROR(1/(1/_xlfn.MAXIFS('Saisie'!$A$5:$A$2004,'Saisie'!$C$5:$C$2004,C104,'Saisie'!$E$5:$E$2004,"Proposition envoyée")),""))</f>
        <v/>
      </c>
      <c r="AR104" s="106">
        <f>IF(C104="","",IF(AQ104="","",AQ104+'Paramètres'!$B$26))</f>
        <v/>
      </c>
      <c r="AS104" s="62">
        <f>IF(OR(C104="",D104="Gagné",D104="Perdu"),0,N(AP104)*IFERROR(INDEX('Paramètres'!$G$6:$G$13,MATCH(D104,'Paramètres'!$F$6:$F$13,0)),0))</f>
        <v/>
      </c>
      <c r="AT104" s="106">
        <f>IF(C104="","",IFERROR(1/(1/_xlfn.MINIFS('Saisie'!$A$5:$A$2004,'Saisie'!$C$5:$C$2004,C104,'Saisie'!$E$5:$E$2004,"Signature")),""))</f>
        <v/>
      </c>
      <c r="AU104" s="60">
        <f>IF(C104="","",IF(OR(AT104="",B104=""),"",AT104-B104))</f>
        <v/>
      </c>
      <c r="AV104" s="60">
        <f>IF(C104="","",IFERROR(INDEX('Saisie'!$L$5:$L$2004,_xlfn.MAXIFS('Saisie'!$AS$5:$AS$2004,'Saisie'!$C$5:$C$2004,C104,'Saisie'!$L$5:$L$2004,"&lt;&gt;")-4),""))</f>
        <v/>
      </c>
      <c r="AW104" s="106">
        <f>IF(C104="","",IF(D104&lt;&gt;"Perdu","",IFERROR(1/(1/_xlfn.MAXIFS('Saisie'!$A$5:$A$2004,'Saisie'!$C$5:$C$2004,C104,'Saisie'!$E$5:$E$2004,"Perdu")),"")))</f>
        <v/>
      </c>
      <c r="AX104" s="106">
        <f>IF(C104="","",IF(AW104="","",AW104+'Paramètres'!$B$28))</f>
        <v/>
      </c>
      <c r="AY104" s="60">
        <f>IF(C104="","",SUMIFS('Saisie'!$H$5:$H$2004,'Saisie'!$C$5:$C$2004,C104))</f>
        <v/>
      </c>
      <c r="AZ104" s="60">
        <f>IF(C104="","",IFERROR(INDEX('Paramètres'!$W$6:$W$20,MATCH(S104,'Paramètres'!$V$6:$V$20,0))&amp;"",""))</f>
        <v/>
      </c>
      <c r="BA104" s="60">
        <f>IF(C104="","",MAX(1,_xlfn.MAXIFS('Saisie'!$AT$5:$AT$2004,'Saisie'!$C$5:$C$2004,C104)))</f>
        <v/>
      </c>
      <c r="BB104" s="60">
        <f>IF(C104="","",IFERROR(INDEX('Saisie'!$X$5:$X$2004,_xlfn.MAXIFS('Saisie'!$AS$5:$AS$2004,'Saisie'!$C$5:$C$2004,C104,'Saisie'!$X$5:$X$2004,"&lt;&gt;")-4),""))</f>
        <v/>
      </c>
      <c r="BC104" s="60">
        <f>IF(C104="","",IFERROR(INDEX('Saisie'!$Y$5:$Y$2004,_xlfn.MAXIFS('Saisie'!$AS$5:$AS$2004,'Saisie'!$C$5:$C$2004,C104,'Saisie'!$Y$5:$Y$2004,"&lt;&gt;")-4),""))</f>
        <v/>
      </c>
      <c r="BD104" s="106">
        <f>IF(C104="","",IFERROR(1/(1/_xlfn.MINIFS('Saisie'!$A$5:$A$2004,'Saisie'!$C$5:$C$2004,C104,'Saisie'!$AT$5:$AT$2004,"&gt;=2")),""))</f>
        <v/>
      </c>
      <c r="BE104" s="106">
        <f>IF(C104="","",IFERROR(1/(1/_xlfn.MINIFS('Saisie'!$A$5:$A$2004,'Saisie'!$C$5:$C$2004,C104,'Saisie'!$AT$5:$AT$2004,"&gt;=3")),""))</f>
        <v/>
      </c>
      <c r="BF104" s="106">
        <f>IF(C104="","",IFERROR(1/(1/_xlfn.MINIFS('Saisie'!$A$5:$A$2004,'Saisie'!$C$5:$C$2004,C104,'Saisie'!$AT$5:$AT$2004,"&gt;=4")),""))</f>
        <v/>
      </c>
      <c r="BG104" s="106">
        <f>IF(C104="","",IFERROR(1/(1/_xlfn.MINIFS('Saisie'!$A$5:$A$2004,'Saisie'!$C$5:$C$2004,C104,'Saisie'!$AT$5:$AT$2004,"&gt;=5")),""))</f>
        <v/>
      </c>
      <c r="BH104" s="106">
        <f>IF(C104="","",IFERROR(1/(1/_xlfn.MINIFS('Saisie'!$A$5:$A$2004,'Saisie'!$C$5:$C$2004,C104,'Saisie'!$AT$5:$AT$2004,"&gt;=6")),""))</f>
        <v/>
      </c>
      <c r="BI104" s="106">
        <f>IF(C104="","",IFERROR(1/(1/_xlfn.MINIFS('Saisie'!$A$5:$A$2004,'Saisie'!$C$5:$C$2004,C104,'Saisie'!$AT$5:$AT$2004,"&gt;=7")),""))</f>
        <v/>
      </c>
      <c r="BJ104" s="60">
        <f>IF(OR(BD104="",B104=""),"",BD104-B104)</f>
        <v/>
      </c>
      <c r="BK104" s="60">
        <f>IF(OR(BE104="",BD104=""),"",BE104-BD104)</f>
        <v/>
      </c>
      <c r="BL104" s="60">
        <f>IF(OR(BF104="",BE104=""),"",BF104-BE104)</f>
        <v/>
      </c>
      <c r="BM104" s="60">
        <f>IF(OR(BG104="",BF104=""),"",BG104-BF104)</f>
        <v/>
      </c>
      <c r="BN104" s="60">
        <f>IF(OR(BH104="",BG104=""),"",BH104-BG104)</f>
        <v/>
      </c>
      <c r="BO104" s="60">
        <f>IF(OR(BI104="",BH104=""),"",BI104-BH104)</f>
        <v/>
      </c>
      <c r="BP104" s="60">
        <f>IF(C104="","",_xlfn.MAXIFS('Saisie'!$AS$5:$AS$2004,'Saisie'!$C$5:$C$2004,C104,'Saisie'!$J$5:$J$2004,"&lt;&gt;"))</f>
        <v/>
      </c>
      <c r="BQ104" s="60">
        <f>IF(C104="","",_xlfn.MAXIFS('Saisie'!$AS$5:$AS$2004,'Saisie'!$C$5:$C$2004,C104))</f>
        <v/>
      </c>
      <c r="BR104" s="60">
        <f>IF(C104="","",_xlfn.MAXIFS('Saisie'!$AS$5:$AS$2004,'Saisie'!$C$5:$C$2004,C104,'Saisie'!$E$5:$E$2004,"Perdu"))</f>
        <v/>
      </c>
      <c r="BS104" s="60">
        <f>IF(C104="","",_xlfn.MAXIFS('Saisie'!$AS$5:$AS$2004,'Saisie'!$C$5:$C$2004,C104,'Saisie'!$AT$5:$AT$2004,"&gt;0"))</f>
        <v/>
      </c>
      <c r="BT104" s="109">
        <f>IF(AND(C104&lt;&gt;"",OR(D104="Nouveau",D104="Contacté",D104="Qualifié"),OR(G104="",N(G104)&lt;=TODAY()),NOT(AND(O104&gt;='Paramètres'!$B$21,P104=0))),E104+100/10000,"")</f>
        <v/>
      </c>
      <c r="BU104" s="60">
        <f>IF(AND(G104&lt;&gt;"",N(G104)&lt;=TODAY()),MAX($BU$4:BU103)+1,"")</f>
        <v/>
      </c>
      <c r="BV104" s="60">
        <f>IF(AND(F104&lt;&gt;"",F104&lt;&gt;"Relance en retard"),MAX($BV$4:BV103)+1,"")</f>
        <v/>
      </c>
      <c r="BW104" s="60">
        <f>IF(C104="","",IF(AND(B104&gt;='Tableau de bord'!$R$4,B104&lt;='Tableau de bord'!$S$4,OR('Tableau de bord'!$G$4="Tous",N104='Tableau de bord'!$G$4)),1,0))</f>
        <v/>
      </c>
      <c r="BX104" s="60">
        <f>IF(AND(C104&lt;&gt;"",N(BA104)=7),MAX($BX$4:BX103)+1,"")</f>
        <v/>
      </c>
    </row>
    <row r="105">
      <c r="A105" s="60">
        <f>IF(C105="","","P-"&amp;TEXT(101,"000"))</f>
        <v/>
      </c>
      <c r="B105" s="106">
        <f>IF(C105="","",IFERROR(1/(1/_xlfn.MINIFS('Saisie'!$A$5:$A$2004,'Saisie'!$C$5:$C$2004,C105)),""))</f>
        <v/>
      </c>
      <c r="C105" s="60">
        <f>IFERROR(INDEX('Saisie'!$C$5:$C$2004,MATCH(101,'Saisie'!$AX$5:$AX$2004,0)),"")</f>
        <v/>
      </c>
      <c r="D105" s="60">
        <f>IF(C105="","",IF(AND(BR105&gt;0,BR105&gt;BS105,BA105&lt;7),"Perdu",INDEX('Paramètres'!$F$6:$F$13,BA105)))</f>
        <v/>
      </c>
      <c r="E105" s="61">
        <f>IF(C105="","",MIN(100,(Z105="Oui")*'Paramètres'!$B$38+(AB105="Régulière")*'Paramètres'!$B$39+IF(AND(N(AA105)&gt;0,TODAY()-N(AA105)&lt;=30),'Paramètres'!$B$40,0)+(W105="")*'Paramètres'!$B$41+(AC105="Absente")*'Paramètres'!$B$42+(AC105="Faible")*'Paramètres'!$B$43+IF(AND(N(AD105)&gt;0,N(AD105)&lt;4),'Paramètres'!$B$44,0)+(AF105="Moyenne")*'Paramètres'!$B$45+(AF105="Grande")*'Paramètres'!$B$46+(Y105&lt;&gt;"")*'Paramètres'!$B$47))</f>
        <v/>
      </c>
      <c r="F105" s="60">
        <f>IF(C105="","",IF(D105="Gagné","",IF(D105="Perdu",IF(AND(AX105&lt;&gt;"",AX105&lt;=TODAY()),"À recontacter (perdu)",""),IF(AND(O105&gt;='Paramètres'!$B$21,P105=0),"Stop : "&amp;'Paramètres'!$B$21&amp;" tentatives sans réponse",IF(AND(D105="Proposition",AR105&lt;&gt;"",TODAY()&gt;N(AR105)),"Proposition expirée",IF(AND(D105="Proposition",N(R105)&gt;='Paramètres'!$B$25),"Proposition sans réponse",IF(AND(G105&lt;&gt;"",N(G105)&lt;TODAY()),"Relance en retard",IF(N(R105)&gt;='Paramètres'!$B$24,"Sans action depuis "&amp;R105&amp;" j",""))))))))</f>
        <v/>
      </c>
      <c r="G105" s="106">
        <f>IF(OR(C105="",D105="Gagné",D105="Perdu"),"",IF(AND(BP105&gt;0,BP105=BQ105),INDEX('Saisie'!$J$5:$J$2004,BP105-4),IF(OR(O105=0,AND(O105&gt;='Paramètres'!$B$21,P105=0)),"",Q105+IF(O105&lt;=1,'Paramètres'!$B$18,IF(O105=2,'Paramètres'!$B$19,'Paramètres'!$B$20)))))</f>
        <v/>
      </c>
      <c r="H105" s="107">
        <f>IF(OR(G105="",BP105&lt;&gt;BQ105),"",IF(INDEX('Saisie'!$K$5:$K$2004,BP105-4)="","",INDEX('Saisie'!$K$5:$K$2004,BP105-4)))</f>
        <v/>
      </c>
      <c r="I105" s="60">
        <f>IF(C105="","",IF(OR(D105="Gagné",D105="Perdu"),"",IFERROR(INDEX('Saisie'!$I$5:$I$2004,_xlfn.MAXIFS('Saisie'!$AS$5:$AS$2004,'Saisie'!$C$5:$C$2004,C105,'Saisie'!$I$5:$I$2004,"&lt;&gt;")-4),"")))</f>
        <v/>
      </c>
      <c r="J105" s="60">
        <f>IF(C105="","",IFERROR(INDEX('Saisie'!$U$5:$U$2004,_xlfn.MAXIFS('Saisie'!$AS$5:$AS$2004,'Saisie'!$C$5:$C$2004,C105,'Saisie'!$U$5:$U$2004,"&lt;&gt;")-4),""))</f>
        <v/>
      </c>
      <c r="K105" s="60">
        <f>IF(C105="","",IFERROR(INDEX('Saisie'!$W$5:$W$2004,_xlfn.MAXIFS('Saisie'!$AS$5:$AS$2004,'Saisie'!$C$5:$C$2004,C105,'Saisie'!$W$5:$W$2004,"&lt;&gt;")-4),""))</f>
        <v/>
      </c>
      <c r="L105" s="60">
        <f>IF(IF(BB105&lt;&gt;"",BB105,K105)="","",HYPERLINK("https://wa.me/"&amp;IF(LEFT(SUBSTITUTE(SUBSTITUTE(SUBSTITUTE(IF(BB105&lt;&gt;"",BB105,K105)," ",""),".",""),"+",""),1)="0",'Paramètres'!$B$35&amp;MID(SUBSTITUTE(SUBSTITUTE(SUBSTITUTE(IF(BB105&lt;&gt;"",BB105,K105)," ",""),".",""),"+",""),2,20),SUBSTITUTE(SUBSTITUTE(SUBSTITUTE(IF(BB105&lt;&gt;"",BB105,K105)," ",""),".",""),"+","")),"WhatsApp"))</f>
        <v/>
      </c>
      <c r="M105" s="60">
        <f>IF(BC105="","",HYPERLINK(IF(LEFT(BC105,4)="http",BC105,"https://www.instagram.com/"&amp;SUBSTITUTE(SUBSTITUTE(BC105,"@","")," ","")),BC105))</f>
        <v/>
      </c>
      <c r="N105" s="60">
        <f>IF(C105="","",IFERROR(INDEX('Saisie'!$D$5:$D$2004,_xlfn.MINIFS('Saisie'!$AS$5:$AS$2004,'Saisie'!$C$5:$C$2004,C105,'Saisie'!$AU$5:$AU$2004,1)-4),IFERROR(INDEX('Saisie'!$D$5:$D$2004,_xlfn.MINIFS('Saisie'!$AS$5:$AS$2004,'Saisie'!$C$5:$C$2004,C105,'Saisie'!$D$5:$D$2004,"&lt;&gt;")-4),"")))</f>
        <v/>
      </c>
      <c r="O105" s="60">
        <f>IF(C105="","",COUNTIFS('Saisie'!$C$5:$C$2004,C105,'Saisie'!$AU$5:$AU$2004,1))</f>
        <v/>
      </c>
      <c r="P105" s="60">
        <f>IF(C105="","",COUNTIFS('Saisie'!$C$5:$C$2004,C105,'Saisie'!$AV$5:$AV$2004,1))</f>
        <v/>
      </c>
      <c r="Q105" s="106">
        <f>IF(C105="","",IFERROR(1/(1/_xlfn.MAXIFS('Saisie'!$A$5:$A$2004,'Saisie'!$C$5:$C$2004,C105)),""))</f>
        <v/>
      </c>
      <c r="R105" s="61">
        <f>IF(C105="","",IF(Q105="","",TODAY()-Q105))</f>
        <v/>
      </c>
      <c r="S105" s="60">
        <f>IF(C105="","",IFERROR(INDEX('Saisie'!$R$5:$R$2004,_xlfn.MAXIFS('Saisie'!$AS$5:$AS$2004,'Saisie'!$C$5:$C$2004,C105,'Saisie'!$R$5:$R$2004,"&lt;&gt;")-4),""))</f>
        <v/>
      </c>
      <c r="T105" s="60">
        <f>IF(C105="","",IFERROR(INDEX('Saisie'!$S$5:$S$2004,_xlfn.MAXIFS('Saisie'!$AS$5:$AS$2004,'Saisie'!$C$5:$C$2004,C105,'Saisie'!$S$5:$S$2004,"&lt;&gt;")-4),""))</f>
        <v/>
      </c>
      <c r="U105" s="60">
        <f>IF(C105="","",IFERROR(INDEX('Saisie'!$T$5:$T$2004,_xlfn.MAXIFS('Saisie'!$AS$5:$AS$2004,'Saisie'!$C$5:$C$2004,C105,'Saisie'!$T$5:$T$2004,"&lt;&gt;")-4),""))</f>
        <v/>
      </c>
      <c r="V105" s="60">
        <f>IF(C105="","",IFERROR(INDEX('Saisie'!$V$5:$V$2004,_xlfn.MAXIFS('Saisie'!$AS$5:$AS$2004,'Saisie'!$C$5:$C$2004,C105,'Saisie'!$V$5:$V$2004,"&lt;&gt;")-4),""))</f>
        <v/>
      </c>
      <c r="W105" s="60">
        <f>IF(C105="","",IFERROR(INDEX('Saisie'!$Z$5:$Z$2004,_xlfn.MAXIFS('Saisie'!$AS$5:$AS$2004,'Saisie'!$C$5:$C$2004,C105,'Saisie'!$Z$5:$Z$2004,"&lt;&gt;")-4),""))</f>
        <v/>
      </c>
      <c r="X105" s="60">
        <f>IF(C105="","",IFERROR(INDEX('Saisie'!$AA$5:$AA$2004,_xlfn.MAXIFS('Saisie'!$AS$5:$AS$2004,'Saisie'!$C$5:$C$2004,C105,'Saisie'!$AA$5:$AA$2004,"&lt;&gt;")-4),""))</f>
        <v/>
      </c>
      <c r="Y105" s="60">
        <f>IF(C105="","",IFERROR(INDEX('Saisie'!$AB$5:$AB$2004,_xlfn.MAXIFS('Saisie'!$AS$5:$AS$2004,'Saisie'!$C$5:$C$2004,C105,'Saisie'!$AB$5:$AB$2004,"&lt;&gt;")-4),""))</f>
        <v/>
      </c>
      <c r="Z105" s="60">
        <f>IF(C105="","",IFERROR(INDEX('Saisie'!$AC$5:$AC$2004,_xlfn.MAXIFS('Saisie'!$AS$5:$AS$2004,'Saisie'!$C$5:$C$2004,C105,'Saisie'!$AC$5:$AC$2004,"&lt;&gt;")-4),""))</f>
        <v/>
      </c>
      <c r="AA105" s="106">
        <f>IF(C105="","",IFERROR(INDEX('Saisie'!$AD$5:$AD$2004,_xlfn.MAXIFS('Saisie'!$AS$5:$AS$2004,'Saisie'!$C$5:$C$2004,C105,'Saisie'!$AD$5:$AD$2004,"&lt;&gt;")-4),""))</f>
        <v/>
      </c>
      <c r="AB105" s="60">
        <f>IF(C105="","",IFERROR(INDEX('Saisie'!$AE$5:$AE$2004,_xlfn.MAXIFS('Saisie'!$AS$5:$AS$2004,'Saisie'!$C$5:$C$2004,C105,'Saisie'!$AE$5:$AE$2004,"&lt;&gt;")-4),""))</f>
        <v/>
      </c>
      <c r="AC105" s="60">
        <f>IF(C105="","",IFERROR(INDEX('Saisie'!$AF$5:$AF$2004,_xlfn.MAXIFS('Saisie'!$AS$5:$AS$2004,'Saisie'!$C$5:$C$2004,C105,'Saisie'!$AF$5:$AF$2004,"&lt;&gt;")-4),""))</f>
        <v/>
      </c>
      <c r="AD105" s="108">
        <f>IF(C105="","",IFERROR(INDEX('Saisie'!$AG$5:$AG$2004,_xlfn.MAXIFS('Saisie'!$AS$5:$AS$2004,'Saisie'!$C$5:$C$2004,C105,'Saisie'!$AG$5:$AG$2004,"&lt;&gt;")-4),""))</f>
        <v/>
      </c>
      <c r="AE105" s="60">
        <f>IF(C105="","",IFERROR(INDEX('Saisie'!$AH$5:$AH$2004,_xlfn.MAXIFS('Saisie'!$AS$5:$AS$2004,'Saisie'!$C$5:$C$2004,C105,'Saisie'!$AH$5:$AH$2004,"&lt;&gt;")-4),""))</f>
        <v/>
      </c>
      <c r="AF105" s="60">
        <f>IF(C105="","",IFERROR(INDEX('Saisie'!$AI$5:$AI$2004,_xlfn.MAXIFS('Saisie'!$AS$5:$AS$2004,'Saisie'!$C$5:$C$2004,C105,'Saisie'!$AI$5:$AI$2004,"&lt;&gt;")-4),""))</f>
        <v/>
      </c>
      <c r="AG105" s="60">
        <f>IF(C105="","",IFERROR(INDEX('Saisie'!$AJ$5:$AJ$2004,_xlfn.MAXIFS('Saisie'!$AS$5:$AS$2004,'Saisie'!$C$5:$C$2004,C105,'Saisie'!$AJ$5:$AJ$2004,"&lt;&gt;")-4),""))</f>
        <v/>
      </c>
      <c r="AH105" s="60">
        <f>IF(C105="","",IFERROR(INDEX('Saisie'!$AK$5:$AK$2004,_xlfn.MAXIFS('Saisie'!$AS$5:$AS$2004,'Saisie'!$C$5:$C$2004,C105,'Saisie'!$AK$5:$AK$2004,"&lt;&gt;")-4),""))</f>
        <v/>
      </c>
      <c r="AI105" s="60">
        <f>IF(C105="","",IFERROR(INDEX('Saisie'!$AN$5:$AN$2004,_xlfn.MAXIFS('Saisie'!$AS$5:$AS$2004,'Saisie'!$C$5:$C$2004,C105,'Saisie'!$AN$5:$AN$2004,"&lt;&gt;")-4),""))</f>
        <v/>
      </c>
      <c r="AJ105" s="60">
        <f>IF(C105="","",IFERROR(INDEX('Saisie'!$AO$5:$AO$2004,_xlfn.MAXIFS('Saisie'!$AS$5:$AS$2004,'Saisie'!$C$5:$C$2004,C105,'Saisie'!$AO$5:$AO$2004,"&lt;&gt;")-4),""))</f>
        <v/>
      </c>
      <c r="AK105" s="60">
        <f>IF(C105="","",IFERROR(INDEX('Saisie'!$AP$5:$AP$2004,_xlfn.MAXIFS('Saisie'!$AS$5:$AS$2004,'Saisie'!$C$5:$C$2004,C105,'Saisie'!$AP$5:$AP$2004,"&lt;&gt;")-4),""))</f>
        <v/>
      </c>
      <c r="AL105" s="60">
        <f>IF(C105="","",IFERROR(INDEX('Saisie'!$AQ$5:$AQ$2004,_xlfn.MAXIFS('Saisie'!$AS$5:$AS$2004,'Saisie'!$C$5:$C$2004,C105,'Saisie'!$AQ$5:$AQ$2004,"&lt;&gt;")-4),""))</f>
        <v/>
      </c>
      <c r="AM105" s="60">
        <f>IF(C105="","",((AI105="Oui")+(AJ105="Oui")+(AK105="Oui")+OR(AL105="Immédiat",AL105="&lt; 1 mois"))&amp;"/4")</f>
        <v/>
      </c>
      <c r="AN105" s="60">
        <f>IF(C105="","",IFERROR(INDEX('Saisie'!$AL$5:$AL$2004,_xlfn.MAXIFS('Saisie'!$AS$5:$AS$2004,'Saisie'!$C$5:$C$2004,C105,'Saisie'!$AL$5:$AL$2004,"&lt;&gt;")-4),""))</f>
        <v/>
      </c>
      <c r="AO105" s="62">
        <f>IF(C105="","",IF(IFERROR(INDEX('Saisie'!$AM$5:$AM$2004,_xlfn.MAXIFS('Saisie'!$AS$5:$AS$2004,'Saisie'!$C$5:$C$2004,C105,'Saisie'!$AM$5:$AM$2004,"&lt;&gt;")-4),"")&lt;&gt;"",IFERROR(INDEX('Saisie'!$AM$5:$AM$2004,_xlfn.MAXIFS('Saisie'!$AS$5:$AS$2004,'Saisie'!$C$5:$C$2004,C105,'Saisie'!$AM$5:$AM$2004,"&lt;&gt;")-4),""),IFERROR(INDEX('Paramètres'!$S$6:$S$15,MATCH(AN105,'Paramètres'!$Q$6:$Q$15,0)),"")))</f>
        <v/>
      </c>
      <c r="AP105" s="62">
        <f>IF(C105="","",IFERROR(INDEX('Saisie'!$AW$5:$AW$2004,_xlfn.MAXIFS('Saisie'!$AS$5:$AS$2004,'Saisie'!$C$5:$C$2004,C105,'Saisie'!$E$5:$E$2004,"Proposition envoyée")-4),""))</f>
        <v/>
      </c>
      <c r="AQ105" s="106">
        <f>IF(C105="","",IFERROR(1/(1/_xlfn.MAXIFS('Saisie'!$A$5:$A$2004,'Saisie'!$C$5:$C$2004,C105,'Saisie'!$E$5:$E$2004,"Proposition envoyée")),""))</f>
        <v/>
      </c>
      <c r="AR105" s="106">
        <f>IF(C105="","",IF(AQ105="","",AQ105+'Paramètres'!$B$26))</f>
        <v/>
      </c>
      <c r="AS105" s="62">
        <f>IF(OR(C105="",D105="Gagné",D105="Perdu"),0,N(AP105)*IFERROR(INDEX('Paramètres'!$G$6:$G$13,MATCH(D105,'Paramètres'!$F$6:$F$13,0)),0))</f>
        <v/>
      </c>
      <c r="AT105" s="106">
        <f>IF(C105="","",IFERROR(1/(1/_xlfn.MINIFS('Saisie'!$A$5:$A$2004,'Saisie'!$C$5:$C$2004,C105,'Saisie'!$E$5:$E$2004,"Signature")),""))</f>
        <v/>
      </c>
      <c r="AU105" s="60">
        <f>IF(C105="","",IF(OR(AT105="",B105=""),"",AT105-B105))</f>
        <v/>
      </c>
      <c r="AV105" s="60">
        <f>IF(C105="","",IFERROR(INDEX('Saisie'!$L$5:$L$2004,_xlfn.MAXIFS('Saisie'!$AS$5:$AS$2004,'Saisie'!$C$5:$C$2004,C105,'Saisie'!$L$5:$L$2004,"&lt;&gt;")-4),""))</f>
        <v/>
      </c>
      <c r="AW105" s="106">
        <f>IF(C105="","",IF(D105&lt;&gt;"Perdu","",IFERROR(1/(1/_xlfn.MAXIFS('Saisie'!$A$5:$A$2004,'Saisie'!$C$5:$C$2004,C105,'Saisie'!$E$5:$E$2004,"Perdu")),"")))</f>
        <v/>
      </c>
      <c r="AX105" s="106">
        <f>IF(C105="","",IF(AW105="","",AW105+'Paramètres'!$B$28))</f>
        <v/>
      </c>
      <c r="AY105" s="60">
        <f>IF(C105="","",SUMIFS('Saisie'!$H$5:$H$2004,'Saisie'!$C$5:$C$2004,C105))</f>
        <v/>
      </c>
      <c r="AZ105" s="60">
        <f>IF(C105="","",IFERROR(INDEX('Paramètres'!$W$6:$W$20,MATCH(S105,'Paramètres'!$V$6:$V$20,0))&amp;"",""))</f>
        <v/>
      </c>
      <c r="BA105" s="60">
        <f>IF(C105="","",MAX(1,_xlfn.MAXIFS('Saisie'!$AT$5:$AT$2004,'Saisie'!$C$5:$C$2004,C105)))</f>
        <v/>
      </c>
      <c r="BB105" s="60">
        <f>IF(C105="","",IFERROR(INDEX('Saisie'!$X$5:$X$2004,_xlfn.MAXIFS('Saisie'!$AS$5:$AS$2004,'Saisie'!$C$5:$C$2004,C105,'Saisie'!$X$5:$X$2004,"&lt;&gt;")-4),""))</f>
        <v/>
      </c>
      <c r="BC105" s="60">
        <f>IF(C105="","",IFERROR(INDEX('Saisie'!$Y$5:$Y$2004,_xlfn.MAXIFS('Saisie'!$AS$5:$AS$2004,'Saisie'!$C$5:$C$2004,C105,'Saisie'!$Y$5:$Y$2004,"&lt;&gt;")-4),""))</f>
        <v/>
      </c>
      <c r="BD105" s="106">
        <f>IF(C105="","",IFERROR(1/(1/_xlfn.MINIFS('Saisie'!$A$5:$A$2004,'Saisie'!$C$5:$C$2004,C105,'Saisie'!$AT$5:$AT$2004,"&gt;=2")),""))</f>
        <v/>
      </c>
      <c r="BE105" s="106">
        <f>IF(C105="","",IFERROR(1/(1/_xlfn.MINIFS('Saisie'!$A$5:$A$2004,'Saisie'!$C$5:$C$2004,C105,'Saisie'!$AT$5:$AT$2004,"&gt;=3")),""))</f>
        <v/>
      </c>
      <c r="BF105" s="106">
        <f>IF(C105="","",IFERROR(1/(1/_xlfn.MINIFS('Saisie'!$A$5:$A$2004,'Saisie'!$C$5:$C$2004,C105,'Saisie'!$AT$5:$AT$2004,"&gt;=4")),""))</f>
        <v/>
      </c>
      <c r="BG105" s="106">
        <f>IF(C105="","",IFERROR(1/(1/_xlfn.MINIFS('Saisie'!$A$5:$A$2004,'Saisie'!$C$5:$C$2004,C105,'Saisie'!$AT$5:$AT$2004,"&gt;=5")),""))</f>
        <v/>
      </c>
      <c r="BH105" s="106">
        <f>IF(C105="","",IFERROR(1/(1/_xlfn.MINIFS('Saisie'!$A$5:$A$2004,'Saisie'!$C$5:$C$2004,C105,'Saisie'!$AT$5:$AT$2004,"&gt;=6")),""))</f>
        <v/>
      </c>
      <c r="BI105" s="106">
        <f>IF(C105="","",IFERROR(1/(1/_xlfn.MINIFS('Saisie'!$A$5:$A$2004,'Saisie'!$C$5:$C$2004,C105,'Saisie'!$AT$5:$AT$2004,"&gt;=7")),""))</f>
        <v/>
      </c>
      <c r="BJ105" s="60">
        <f>IF(OR(BD105="",B105=""),"",BD105-B105)</f>
        <v/>
      </c>
      <c r="BK105" s="60">
        <f>IF(OR(BE105="",BD105=""),"",BE105-BD105)</f>
        <v/>
      </c>
      <c r="BL105" s="60">
        <f>IF(OR(BF105="",BE105=""),"",BF105-BE105)</f>
        <v/>
      </c>
      <c r="BM105" s="60">
        <f>IF(OR(BG105="",BF105=""),"",BG105-BF105)</f>
        <v/>
      </c>
      <c r="BN105" s="60">
        <f>IF(OR(BH105="",BG105=""),"",BH105-BG105)</f>
        <v/>
      </c>
      <c r="BO105" s="60">
        <f>IF(OR(BI105="",BH105=""),"",BI105-BH105)</f>
        <v/>
      </c>
      <c r="BP105" s="60">
        <f>IF(C105="","",_xlfn.MAXIFS('Saisie'!$AS$5:$AS$2004,'Saisie'!$C$5:$C$2004,C105,'Saisie'!$J$5:$J$2004,"&lt;&gt;"))</f>
        <v/>
      </c>
      <c r="BQ105" s="60">
        <f>IF(C105="","",_xlfn.MAXIFS('Saisie'!$AS$5:$AS$2004,'Saisie'!$C$5:$C$2004,C105))</f>
        <v/>
      </c>
      <c r="BR105" s="60">
        <f>IF(C105="","",_xlfn.MAXIFS('Saisie'!$AS$5:$AS$2004,'Saisie'!$C$5:$C$2004,C105,'Saisie'!$E$5:$E$2004,"Perdu"))</f>
        <v/>
      </c>
      <c r="BS105" s="60">
        <f>IF(C105="","",_xlfn.MAXIFS('Saisie'!$AS$5:$AS$2004,'Saisie'!$C$5:$C$2004,C105,'Saisie'!$AT$5:$AT$2004,"&gt;0"))</f>
        <v/>
      </c>
      <c r="BT105" s="109">
        <f>IF(AND(C105&lt;&gt;"",OR(D105="Nouveau",D105="Contacté",D105="Qualifié"),OR(G105="",N(G105)&lt;=TODAY()),NOT(AND(O105&gt;='Paramètres'!$B$21,P105=0))),E105+101/10000,"")</f>
        <v/>
      </c>
      <c r="BU105" s="60">
        <f>IF(AND(G105&lt;&gt;"",N(G105)&lt;=TODAY()),MAX($BU$4:BU104)+1,"")</f>
        <v/>
      </c>
      <c r="BV105" s="60">
        <f>IF(AND(F105&lt;&gt;"",F105&lt;&gt;"Relance en retard"),MAX($BV$4:BV104)+1,"")</f>
        <v/>
      </c>
      <c r="BW105" s="60">
        <f>IF(C105="","",IF(AND(B105&gt;='Tableau de bord'!$R$4,B105&lt;='Tableau de bord'!$S$4,OR('Tableau de bord'!$G$4="Tous",N105='Tableau de bord'!$G$4)),1,0))</f>
        <v/>
      </c>
      <c r="BX105" s="60">
        <f>IF(AND(C105&lt;&gt;"",N(BA105)=7),MAX($BX$4:BX104)+1,"")</f>
        <v/>
      </c>
    </row>
    <row r="106">
      <c r="A106" s="60">
        <f>IF(C106="","","P-"&amp;TEXT(102,"000"))</f>
        <v/>
      </c>
      <c r="B106" s="106">
        <f>IF(C106="","",IFERROR(1/(1/_xlfn.MINIFS('Saisie'!$A$5:$A$2004,'Saisie'!$C$5:$C$2004,C106)),""))</f>
        <v/>
      </c>
      <c r="C106" s="60">
        <f>IFERROR(INDEX('Saisie'!$C$5:$C$2004,MATCH(102,'Saisie'!$AX$5:$AX$2004,0)),"")</f>
        <v/>
      </c>
      <c r="D106" s="60">
        <f>IF(C106="","",IF(AND(BR106&gt;0,BR106&gt;BS106,BA106&lt;7),"Perdu",INDEX('Paramètres'!$F$6:$F$13,BA106)))</f>
        <v/>
      </c>
      <c r="E106" s="61">
        <f>IF(C106="","",MIN(100,(Z106="Oui")*'Paramètres'!$B$38+(AB106="Régulière")*'Paramètres'!$B$39+IF(AND(N(AA106)&gt;0,TODAY()-N(AA106)&lt;=30),'Paramètres'!$B$40,0)+(W106="")*'Paramètres'!$B$41+(AC106="Absente")*'Paramètres'!$B$42+(AC106="Faible")*'Paramètres'!$B$43+IF(AND(N(AD106)&gt;0,N(AD106)&lt;4),'Paramètres'!$B$44,0)+(AF106="Moyenne")*'Paramètres'!$B$45+(AF106="Grande")*'Paramètres'!$B$46+(Y106&lt;&gt;"")*'Paramètres'!$B$47))</f>
        <v/>
      </c>
      <c r="F106" s="60">
        <f>IF(C106="","",IF(D106="Gagné","",IF(D106="Perdu",IF(AND(AX106&lt;&gt;"",AX106&lt;=TODAY()),"À recontacter (perdu)",""),IF(AND(O106&gt;='Paramètres'!$B$21,P106=0),"Stop : "&amp;'Paramètres'!$B$21&amp;" tentatives sans réponse",IF(AND(D106="Proposition",AR106&lt;&gt;"",TODAY()&gt;N(AR106)),"Proposition expirée",IF(AND(D106="Proposition",N(R106)&gt;='Paramètres'!$B$25),"Proposition sans réponse",IF(AND(G106&lt;&gt;"",N(G106)&lt;TODAY()),"Relance en retard",IF(N(R106)&gt;='Paramètres'!$B$24,"Sans action depuis "&amp;R106&amp;" j",""))))))))</f>
        <v/>
      </c>
      <c r="G106" s="106">
        <f>IF(OR(C106="",D106="Gagné",D106="Perdu"),"",IF(AND(BP106&gt;0,BP106=BQ106),INDEX('Saisie'!$J$5:$J$2004,BP106-4),IF(OR(O106=0,AND(O106&gt;='Paramètres'!$B$21,P106=0)),"",Q106+IF(O106&lt;=1,'Paramètres'!$B$18,IF(O106=2,'Paramètres'!$B$19,'Paramètres'!$B$20)))))</f>
        <v/>
      </c>
      <c r="H106" s="107">
        <f>IF(OR(G106="",BP106&lt;&gt;BQ106),"",IF(INDEX('Saisie'!$K$5:$K$2004,BP106-4)="","",INDEX('Saisie'!$K$5:$K$2004,BP106-4)))</f>
        <v/>
      </c>
      <c r="I106" s="60">
        <f>IF(C106="","",IF(OR(D106="Gagné",D106="Perdu"),"",IFERROR(INDEX('Saisie'!$I$5:$I$2004,_xlfn.MAXIFS('Saisie'!$AS$5:$AS$2004,'Saisie'!$C$5:$C$2004,C106,'Saisie'!$I$5:$I$2004,"&lt;&gt;")-4),"")))</f>
        <v/>
      </c>
      <c r="J106" s="60">
        <f>IF(C106="","",IFERROR(INDEX('Saisie'!$U$5:$U$2004,_xlfn.MAXIFS('Saisie'!$AS$5:$AS$2004,'Saisie'!$C$5:$C$2004,C106,'Saisie'!$U$5:$U$2004,"&lt;&gt;")-4),""))</f>
        <v/>
      </c>
      <c r="K106" s="60">
        <f>IF(C106="","",IFERROR(INDEX('Saisie'!$W$5:$W$2004,_xlfn.MAXIFS('Saisie'!$AS$5:$AS$2004,'Saisie'!$C$5:$C$2004,C106,'Saisie'!$W$5:$W$2004,"&lt;&gt;")-4),""))</f>
        <v/>
      </c>
      <c r="L106" s="60">
        <f>IF(IF(BB106&lt;&gt;"",BB106,K106)="","",HYPERLINK("https://wa.me/"&amp;IF(LEFT(SUBSTITUTE(SUBSTITUTE(SUBSTITUTE(IF(BB106&lt;&gt;"",BB106,K106)," ",""),".",""),"+",""),1)="0",'Paramètres'!$B$35&amp;MID(SUBSTITUTE(SUBSTITUTE(SUBSTITUTE(IF(BB106&lt;&gt;"",BB106,K106)," ",""),".",""),"+",""),2,20),SUBSTITUTE(SUBSTITUTE(SUBSTITUTE(IF(BB106&lt;&gt;"",BB106,K106)," ",""),".",""),"+","")),"WhatsApp"))</f>
        <v/>
      </c>
      <c r="M106" s="60">
        <f>IF(BC106="","",HYPERLINK(IF(LEFT(BC106,4)="http",BC106,"https://www.instagram.com/"&amp;SUBSTITUTE(SUBSTITUTE(BC106,"@","")," ","")),BC106))</f>
        <v/>
      </c>
      <c r="N106" s="60">
        <f>IF(C106="","",IFERROR(INDEX('Saisie'!$D$5:$D$2004,_xlfn.MINIFS('Saisie'!$AS$5:$AS$2004,'Saisie'!$C$5:$C$2004,C106,'Saisie'!$AU$5:$AU$2004,1)-4),IFERROR(INDEX('Saisie'!$D$5:$D$2004,_xlfn.MINIFS('Saisie'!$AS$5:$AS$2004,'Saisie'!$C$5:$C$2004,C106,'Saisie'!$D$5:$D$2004,"&lt;&gt;")-4),"")))</f>
        <v/>
      </c>
      <c r="O106" s="60">
        <f>IF(C106="","",COUNTIFS('Saisie'!$C$5:$C$2004,C106,'Saisie'!$AU$5:$AU$2004,1))</f>
        <v/>
      </c>
      <c r="P106" s="60">
        <f>IF(C106="","",COUNTIFS('Saisie'!$C$5:$C$2004,C106,'Saisie'!$AV$5:$AV$2004,1))</f>
        <v/>
      </c>
      <c r="Q106" s="106">
        <f>IF(C106="","",IFERROR(1/(1/_xlfn.MAXIFS('Saisie'!$A$5:$A$2004,'Saisie'!$C$5:$C$2004,C106)),""))</f>
        <v/>
      </c>
      <c r="R106" s="61">
        <f>IF(C106="","",IF(Q106="","",TODAY()-Q106))</f>
        <v/>
      </c>
      <c r="S106" s="60">
        <f>IF(C106="","",IFERROR(INDEX('Saisie'!$R$5:$R$2004,_xlfn.MAXIFS('Saisie'!$AS$5:$AS$2004,'Saisie'!$C$5:$C$2004,C106,'Saisie'!$R$5:$R$2004,"&lt;&gt;")-4),""))</f>
        <v/>
      </c>
      <c r="T106" s="60">
        <f>IF(C106="","",IFERROR(INDEX('Saisie'!$S$5:$S$2004,_xlfn.MAXIFS('Saisie'!$AS$5:$AS$2004,'Saisie'!$C$5:$C$2004,C106,'Saisie'!$S$5:$S$2004,"&lt;&gt;")-4),""))</f>
        <v/>
      </c>
      <c r="U106" s="60">
        <f>IF(C106="","",IFERROR(INDEX('Saisie'!$T$5:$T$2004,_xlfn.MAXIFS('Saisie'!$AS$5:$AS$2004,'Saisie'!$C$5:$C$2004,C106,'Saisie'!$T$5:$T$2004,"&lt;&gt;")-4),""))</f>
        <v/>
      </c>
      <c r="V106" s="60">
        <f>IF(C106="","",IFERROR(INDEX('Saisie'!$V$5:$V$2004,_xlfn.MAXIFS('Saisie'!$AS$5:$AS$2004,'Saisie'!$C$5:$C$2004,C106,'Saisie'!$V$5:$V$2004,"&lt;&gt;")-4),""))</f>
        <v/>
      </c>
      <c r="W106" s="60">
        <f>IF(C106="","",IFERROR(INDEX('Saisie'!$Z$5:$Z$2004,_xlfn.MAXIFS('Saisie'!$AS$5:$AS$2004,'Saisie'!$C$5:$C$2004,C106,'Saisie'!$Z$5:$Z$2004,"&lt;&gt;")-4),""))</f>
        <v/>
      </c>
      <c r="X106" s="60">
        <f>IF(C106="","",IFERROR(INDEX('Saisie'!$AA$5:$AA$2004,_xlfn.MAXIFS('Saisie'!$AS$5:$AS$2004,'Saisie'!$C$5:$C$2004,C106,'Saisie'!$AA$5:$AA$2004,"&lt;&gt;")-4),""))</f>
        <v/>
      </c>
      <c r="Y106" s="60">
        <f>IF(C106="","",IFERROR(INDEX('Saisie'!$AB$5:$AB$2004,_xlfn.MAXIFS('Saisie'!$AS$5:$AS$2004,'Saisie'!$C$5:$C$2004,C106,'Saisie'!$AB$5:$AB$2004,"&lt;&gt;")-4),""))</f>
        <v/>
      </c>
      <c r="Z106" s="60">
        <f>IF(C106="","",IFERROR(INDEX('Saisie'!$AC$5:$AC$2004,_xlfn.MAXIFS('Saisie'!$AS$5:$AS$2004,'Saisie'!$C$5:$C$2004,C106,'Saisie'!$AC$5:$AC$2004,"&lt;&gt;")-4),""))</f>
        <v/>
      </c>
      <c r="AA106" s="106">
        <f>IF(C106="","",IFERROR(INDEX('Saisie'!$AD$5:$AD$2004,_xlfn.MAXIFS('Saisie'!$AS$5:$AS$2004,'Saisie'!$C$5:$C$2004,C106,'Saisie'!$AD$5:$AD$2004,"&lt;&gt;")-4),""))</f>
        <v/>
      </c>
      <c r="AB106" s="60">
        <f>IF(C106="","",IFERROR(INDEX('Saisie'!$AE$5:$AE$2004,_xlfn.MAXIFS('Saisie'!$AS$5:$AS$2004,'Saisie'!$C$5:$C$2004,C106,'Saisie'!$AE$5:$AE$2004,"&lt;&gt;")-4),""))</f>
        <v/>
      </c>
      <c r="AC106" s="60">
        <f>IF(C106="","",IFERROR(INDEX('Saisie'!$AF$5:$AF$2004,_xlfn.MAXIFS('Saisie'!$AS$5:$AS$2004,'Saisie'!$C$5:$C$2004,C106,'Saisie'!$AF$5:$AF$2004,"&lt;&gt;")-4),""))</f>
        <v/>
      </c>
      <c r="AD106" s="108">
        <f>IF(C106="","",IFERROR(INDEX('Saisie'!$AG$5:$AG$2004,_xlfn.MAXIFS('Saisie'!$AS$5:$AS$2004,'Saisie'!$C$5:$C$2004,C106,'Saisie'!$AG$5:$AG$2004,"&lt;&gt;")-4),""))</f>
        <v/>
      </c>
      <c r="AE106" s="60">
        <f>IF(C106="","",IFERROR(INDEX('Saisie'!$AH$5:$AH$2004,_xlfn.MAXIFS('Saisie'!$AS$5:$AS$2004,'Saisie'!$C$5:$C$2004,C106,'Saisie'!$AH$5:$AH$2004,"&lt;&gt;")-4),""))</f>
        <v/>
      </c>
      <c r="AF106" s="60">
        <f>IF(C106="","",IFERROR(INDEX('Saisie'!$AI$5:$AI$2004,_xlfn.MAXIFS('Saisie'!$AS$5:$AS$2004,'Saisie'!$C$5:$C$2004,C106,'Saisie'!$AI$5:$AI$2004,"&lt;&gt;")-4),""))</f>
        <v/>
      </c>
      <c r="AG106" s="60">
        <f>IF(C106="","",IFERROR(INDEX('Saisie'!$AJ$5:$AJ$2004,_xlfn.MAXIFS('Saisie'!$AS$5:$AS$2004,'Saisie'!$C$5:$C$2004,C106,'Saisie'!$AJ$5:$AJ$2004,"&lt;&gt;")-4),""))</f>
        <v/>
      </c>
      <c r="AH106" s="60">
        <f>IF(C106="","",IFERROR(INDEX('Saisie'!$AK$5:$AK$2004,_xlfn.MAXIFS('Saisie'!$AS$5:$AS$2004,'Saisie'!$C$5:$C$2004,C106,'Saisie'!$AK$5:$AK$2004,"&lt;&gt;")-4),""))</f>
        <v/>
      </c>
      <c r="AI106" s="60">
        <f>IF(C106="","",IFERROR(INDEX('Saisie'!$AN$5:$AN$2004,_xlfn.MAXIFS('Saisie'!$AS$5:$AS$2004,'Saisie'!$C$5:$C$2004,C106,'Saisie'!$AN$5:$AN$2004,"&lt;&gt;")-4),""))</f>
        <v/>
      </c>
      <c r="AJ106" s="60">
        <f>IF(C106="","",IFERROR(INDEX('Saisie'!$AO$5:$AO$2004,_xlfn.MAXIFS('Saisie'!$AS$5:$AS$2004,'Saisie'!$C$5:$C$2004,C106,'Saisie'!$AO$5:$AO$2004,"&lt;&gt;")-4),""))</f>
        <v/>
      </c>
      <c r="AK106" s="60">
        <f>IF(C106="","",IFERROR(INDEX('Saisie'!$AP$5:$AP$2004,_xlfn.MAXIFS('Saisie'!$AS$5:$AS$2004,'Saisie'!$C$5:$C$2004,C106,'Saisie'!$AP$5:$AP$2004,"&lt;&gt;")-4),""))</f>
        <v/>
      </c>
      <c r="AL106" s="60">
        <f>IF(C106="","",IFERROR(INDEX('Saisie'!$AQ$5:$AQ$2004,_xlfn.MAXIFS('Saisie'!$AS$5:$AS$2004,'Saisie'!$C$5:$C$2004,C106,'Saisie'!$AQ$5:$AQ$2004,"&lt;&gt;")-4),""))</f>
        <v/>
      </c>
      <c r="AM106" s="60">
        <f>IF(C106="","",((AI106="Oui")+(AJ106="Oui")+(AK106="Oui")+OR(AL106="Immédiat",AL106="&lt; 1 mois"))&amp;"/4")</f>
        <v/>
      </c>
      <c r="AN106" s="60">
        <f>IF(C106="","",IFERROR(INDEX('Saisie'!$AL$5:$AL$2004,_xlfn.MAXIFS('Saisie'!$AS$5:$AS$2004,'Saisie'!$C$5:$C$2004,C106,'Saisie'!$AL$5:$AL$2004,"&lt;&gt;")-4),""))</f>
        <v/>
      </c>
      <c r="AO106" s="62">
        <f>IF(C106="","",IF(IFERROR(INDEX('Saisie'!$AM$5:$AM$2004,_xlfn.MAXIFS('Saisie'!$AS$5:$AS$2004,'Saisie'!$C$5:$C$2004,C106,'Saisie'!$AM$5:$AM$2004,"&lt;&gt;")-4),"")&lt;&gt;"",IFERROR(INDEX('Saisie'!$AM$5:$AM$2004,_xlfn.MAXIFS('Saisie'!$AS$5:$AS$2004,'Saisie'!$C$5:$C$2004,C106,'Saisie'!$AM$5:$AM$2004,"&lt;&gt;")-4),""),IFERROR(INDEX('Paramètres'!$S$6:$S$15,MATCH(AN106,'Paramètres'!$Q$6:$Q$15,0)),"")))</f>
        <v/>
      </c>
      <c r="AP106" s="62">
        <f>IF(C106="","",IFERROR(INDEX('Saisie'!$AW$5:$AW$2004,_xlfn.MAXIFS('Saisie'!$AS$5:$AS$2004,'Saisie'!$C$5:$C$2004,C106,'Saisie'!$E$5:$E$2004,"Proposition envoyée")-4),""))</f>
        <v/>
      </c>
      <c r="AQ106" s="106">
        <f>IF(C106="","",IFERROR(1/(1/_xlfn.MAXIFS('Saisie'!$A$5:$A$2004,'Saisie'!$C$5:$C$2004,C106,'Saisie'!$E$5:$E$2004,"Proposition envoyée")),""))</f>
        <v/>
      </c>
      <c r="AR106" s="106">
        <f>IF(C106="","",IF(AQ106="","",AQ106+'Paramètres'!$B$26))</f>
        <v/>
      </c>
      <c r="AS106" s="62">
        <f>IF(OR(C106="",D106="Gagné",D106="Perdu"),0,N(AP106)*IFERROR(INDEX('Paramètres'!$G$6:$G$13,MATCH(D106,'Paramètres'!$F$6:$F$13,0)),0))</f>
        <v/>
      </c>
      <c r="AT106" s="106">
        <f>IF(C106="","",IFERROR(1/(1/_xlfn.MINIFS('Saisie'!$A$5:$A$2004,'Saisie'!$C$5:$C$2004,C106,'Saisie'!$E$5:$E$2004,"Signature")),""))</f>
        <v/>
      </c>
      <c r="AU106" s="60">
        <f>IF(C106="","",IF(OR(AT106="",B106=""),"",AT106-B106))</f>
        <v/>
      </c>
      <c r="AV106" s="60">
        <f>IF(C106="","",IFERROR(INDEX('Saisie'!$L$5:$L$2004,_xlfn.MAXIFS('Saisie'!$AS$5:$AS$2004,'Saisie'!$C$5:$C$2004,C106,'Saisie'!$L$5:$L$2004,"&lt;&gt;")-4),""))</f>
        <v/>
      </c>
      <c r="AW106" s="106">
        <f>IF(C106="","",IF(D106&lt;&gt;"Perdu","",IFERROR(1/(1/_xlfn.MAXIFS('Saisie'!$A$5:$A$2004,'Saisie'!$C$5:$C$2004,C106,'Saisie'!$E$5:$E$2004,"Perdu")),"")))</f>
        <v/>
      </c>
      <c r="AX106" s="106">
        <f>IF(C106="","",IF(AW106="","",AW106+'Paramètres'!$B$28))</f>
        <v/>
      </c>
      <c r="AY106" s="60">
        <f>IF(C106="","",SUMIFS('Saisie'!$H$5:$H$2004,'Saisie'!$C$5:$C$2004,C106))</f>
        <v/>
      </c>
      <c r="AZ106" s="60">
        <f>IF(C106="","",IFERROR(INDEX('Paramètres'!$W$6:$W$20,MATCH(S106,'Paramètres'!$V$6:$V$20,0))&amp;"",""))</f>
        <v/>
      </c>
      <c r="BA106" s="60">
        <f>IF(C106="","",MAX(1,_xlfn.MAXIFS('Saisie'!$AT$5:$AT$2004,'Saisie'!$C$5:$C$2004,C106)))</f>
        <v/>
      </c>
      <c r="BB106" s="60">
        <f>IF(C106="","",IFERROR(INDEX('Saisie'!$X$5:$X$2004,_xlfn.MAXIFS('Saisie'!$AS$5:$AS$2004,'Saisie'!$C$5:$C$2004,C106,'Saisie'!$X$5:$X$2004,"&lt;&gt;")-4),""))</f>
        <v/>
      </c>
      <c r="BC106" s="60">
        <f>IF(C106="","",IFERROR(INDEX('Saisie'!$Y$5:$Y$2004,_xlfn.MAXIFS('Saisie'!$AS$5:$AS$2004,'Saisie'!$C$5:$C$2004,C106,'Saisie'!$Y$5:$Y$2004,"&lt;&gt;")-4),""))</f>
        <v/>
      </c>
      <c r="BD106" s="106">
        <f>IF(C106="","",IFERROR(1/(1/_xlfn.MINIFS('Saisie'!$A$5:$A$2004,'Saisie'!$C$5:$C$2004,C106,'Saisie'!$AT$5:$AT$2004,"&gt;=2")),""))</f>
        <v/>
      </c>
      <c r="BE106" s="106">
        <f>IF(C106="","",IFERROR(1/(1/_xlfn.MINIFS('Saisie'!$A$5:$A$2004,'Saisie'!$C$5:$C$2004,C106,'Saisie'!$AT$5:$AT$2004,"&gt;=3")),""))</f>
        <v/>
      </c>
      <c r="BF106" s="106">
        <f>IF(C106="","",IFERROR(1/(1/_xlfn.MINIFS('Saisie'!$A$5:$A$2004,'Saisie'!$C$5:$C$2004,C106,'Saisie'!$AT$5:$AT$2004,"&gt;=4")),""))</f>
        <v/>
      </c>
      <c r="BG106" s="106">
        <f>IF(C106="","",IFERROR(1/(1/_xlfn.MINIFS('Saisie'!$A$5:$A$2004,'Saisie'!$C$5:$C$2004,C106,'Saisie'!$AT$5:$AT$2004,"&gt;=5")),""))</f>
        <v/>
      </c>
      <c r="BH106" s="106">
        <f>IF(C106="","",IFERROR(1/(1/_xlfn.MINIFS('Saisie'!$A$5:$A$2004,'Saisie'!$C$5:$C$2004,C106,'Saisie'!$AT$5:$AT$2004,"&gt;=6")),""))</f>
        <v/>
      </c>
      <c r="BI106" s="106">
        <f>IF(C106="","",IFERROR(1/(1/_xlfn.MINIFS('Saisie'!$A$5:$A$2004,'Saisie'!$C$5:$C$2004,C106,'Saisie'!$AT$5:$AT$2004,"&gt;=7")),""))</f>
        <v/>
      </c>
      <c r="BJ106" s="60">
        <f>IF(OR(BD106="",B106=""),"",BD106-B106)</f>
        <v/>
      </c>
      <c r="BK106" s="60">
        <f>IF(OR(BE106="",BD106=""),"",BE106-BD106)</f>
        <v/>
      </c>
      <c r="BL106" s="60">
        <f>IF(OR(BF106="",BE106=""),"",BF106-BE106)</f>
        <v/>
      </c>
      <c r="BM106" s="60">
        <f>IF(OR(BG106="",BF106=""),"",BG106-BF106)</f>
        <v/>
      </c>
      <c r="BN106" s="60">
        <f>IF(OR(BH106="",BG106=""),"",BH106-BG106)</f>
        <v/>
      </c>
      <c r="BO106" s="60">
        <f>IF(OR(BI106="",BH106=""),"",BI106-BH106)</f>
        <v/>
      </c>
      <c r="BP106" s="60">
        <f>IF(C106="","",_xlfn.MAXIFS('Saisie'!$AS$5:$AS$2004,'Saisie'!$C$5:$C$2004,C106,'Saisie'!$J$5:$J$2004,"&lt;&gt;"))</f>
        <v/>
      </c>
      <c r="BQ106" s="60">
        <f>IF(C106="","",_xlfn.MAXIFS('Saisie'!$AS$5:$AS$2004,'Saisie'!$C$5:$C$2004,C106))</f>
        <v/>
      </c>
      <c r="BR106" s="60">
        <f>IF(C106="","",_xlfn.MAXIFS('Saisie'!$AS$5:$AS$2004,'Saisie'!$C$5:$C$2004,C106,'Saisie'!$E$5:$E$2004,"Perdu"))</f>
        <v/>
      </c>
      <c r="BS106" s="60">
        <f>IF(C106="","",_xlfn.MAXIFS('Saisie'!$AS$5:$AS$2004,'Saisie'!$C$5:$C$2004,C106,'Saisie'!$AT$5:$AT$2004,"&gt;0"))</f>
        <v/>
      </c>
      <c r="BT106" s="109">
        <f>IF(AND(C106&lt;&gt;"",OR(D106="Nouveau",D106="Contacté",D106="Qualifié"),OR(G106="",N(G106)&lt;=TODAY()),NOT(AND(O106&gt;='Paramètres'!$B$21,P106=0))),E106+102/10000,"")</f>
        <v/>
      </c>
      <c r="BU106" s="60">
        <f>IF(AND(G106&lt;&gt;"",N(G106)&lt;=TODAY()),MAX($BU$4:BU105)+1,"")</f>
        <v/>
      </c>
      <c r="BV106" s="60">
        <f>IF(AND(F106&lt;&gt;"",F106&lt;&gt;"Relance en retard"),MAX($BV$4:BV105)+1,"")</f>
        <v/>
      </c>
      <c r="BW106" s="60">
        <f>IF(C106="","",IF(AND(B106&gt;='Tableau de bord'!$R$4,B106&lt;='Tableau de bord'!$S$4,OR('Tableau de bord'!$G$4="Tous",N106='Tableau de bord'!$G$4)),1,0))</f>
        <v/>
      </c>
      <c r="BX106" s="60">
        <f>IF(AND(C106&lt;&gt;"",N(BA106)=7),MAX($BX$4:BX105)+1,"")</f>
        <v/>
      </c>
    </row>
    <row r="107">
      <c r="A107" s="60">
        <f>IF(C107="","","P-"&amp;TEXT(103,"000"))</f>
        <v/>
      </c>
      <c r="B107" s="106">
        <f>IF(C107="","",IFERROR(1/(1/_xlfn.MINIFS('Saisie'!$A$5:$A$2004,'Saisie'!$C$5:$C$2004,C107)),""))</f>
        <v/>
      </c>
      <c r="C107" s="60">
        <f>IFERROR(INDEX('Saisie'!$C$5:$C$2004,MATCH(103,'Saisie'!$AX$5:$AX$2004,0)),"")</f>
        <v/>
      </c>
      <c r="D107" s="60">
        <f>IF(C107="","",IF(AND(BR107&gt;0,BR107&gt;BS107,BA107&lt;7),"Perdu",INDEX('Paramètres'!$F$6:$F$13,BA107)))</f>
        <v/>
      </c>
      <c r="E107" s="61">
        <f>IF(C107="","",MIN(100,(Z107="Oui")*'Paramètres'!$B$38+(AB107="Régulière")*'Paramètres'!$B$39+IF(AND(N(AA107)&gt;0,TODAY()-N(AA107)&lt;=30),'Paramètres'!$B$40,0)+(W107="")*'Paramètres'!$B$41+(AC107="Absente")*'Paramètres'!$B$42+(AC107="Faible")*'Paramètres'!$B$43+IF(AND(N(AD107)&gt;0,N(AD107)&lt;4),'Paramètres'!$B$44,0)+(AF107="Moyenne")*'Paramètres'!$B$45+(AF107="Grande")*'Paramètres'!$B$46+(Y107&lt;&gt;"")*'Paramètres'!$B$47))</f>
        <v/>
      </c>
      <c r="F107" s="60">
        <f>IF(C107="","",IF(D107="Gagné","",IF(D107="Perdu",IF(AND(AX107&lt;&gt;"",AX107&lt;=TODAY()),"À recontacter (perdu)",""),IF(AND(O107&gt;='Paramètres'!$B$21,P107=0),"Stop : "&amp;'Paramètres'!$B$21&amp;" tentatives sans réponse",IF(AND(D107="Proposition",AR107&lt;&gt;"",TODAY()&gt;N(AR107)),"Proposition expirée",IF(AND(D107="Proposition",N(R107)&gt;='Paramètres'!$B$25),"Proposition sans réponse",IF(AND(G107&lt;&gt;"",N(G107)&lt;TODAY()),"Relance en retard",IF(N(R107)&gt;='Paramètres'!$B$24,"Sans action depuis "&amp;R107&amp;" j",""))))))))</f>
        <v/>
      </c>
      <c r="G107" s="106">
        <f>IF(OR(C107="",D107="Gagné",D107="Perdu"),"",IF(AND(BP107&gt;0,BP107=BQ107),INDEX('Saisie'!$J$5:$J$2004,BP107-4),IF(OR(O107=0,AND(O107&gt;='Paramètres'!$B$21,P107=0)),"",Q107+IF(O107&lt;=1,'Paramètres'!$B$18,IF(O107=2,'Paramètres'!$B$19,'Paramètres'!$B$20)))))</f>
        <v/>
      </c>
      <c r="H107" s="107">
        <f>IF(OR(G107="",BP107&lt;&gt;BQ107),"",IF(INDEX('Saisie'!$K$5:$K$2004,BP107-4)="","",INDEX('Saisie'!$K$5:$K$2004,BP107-4)))</f>
        <v/>
      </c>
      <c r="I107" s="60">
        <f>IF(C107="","",IF(OR(D107="Gagné",D107="Perdu"),"",IFERROR(INDEX('Saisie'!$I$5:$I$2004,_xlfn.MAXIFS('Saisie'!$AS$5:$AS$2004,'Saisie'!$C$5:$C$2004,C107,'Saisie'!$I$5:$I$2004,"&lt;&gt;")-4),"")))</f>
        <v/>
      </c>
      <c r="J107" s="60">
        <f>IF(C107="","",IFERROR(INDEX('Saisie'!$U$5:$U$2004,_xlfn.MAXIFS('Saisie'!$AS$5:$AS$2004,'Saisie'!$C$5:$C$2004,C107,'Saisie'!$U$5:$U$2004,"&lt;&gt;")-4),""))</f>
        <v/>
      </c>
      <c r="K107" s="60">
        <f>IF(C107="","",IFERROR(INDEX('Saisie'!$W$5:$W$2004,_xlfn.MAXIFS('Saisie'!$AS$5:$AS$2004,'Saisie'!$C$5:$C$2004,C107,'Saisie'!$W$5:$W$2004,"&lt;&gt;")-4),""))</f>
        <v/>
      </c>
      <c r="L107" s="60">
        <f>IF(IF(BB107&lt;&gt;"",BB107,K107)="","",HYPERLINK("https://wa.me/"&amp;IF(LEFT(SUBSTITUTE(SUBSTITUTE(SUBSTITUTE(IF(BB107&lt;&gt;"",BB107,K107)," ",""),".",""),"+",""),1)="0",'Paramètres'!$B$35&amp;MID(SUBSTITUTE(SUBSTITUTE(SUBSTITUTE(IF(BB107&lt;&gt;"",BB107,K107)," ",""),".",""),"+",""),2,20),SUBSTITUTE(SUBSTITUTE(SUBSTITUTE(IF(BB107&lt;&gt;"",BB107,K107)," ",""),".",""),"+","")),"WhatsApp"))</f>
        <v/>
      </c>
      <c r="M107" s="60">
        <f>IF(BC107="","",HYPERLINK(IF(LEFT(BC107,4)="http",BC107,"https://www.instagram.com/"&amp;SUBSTITUTE(SUBSTITUTE(BC107,"@","")," ","")),BC107))</f>
        <v/>
      </c>
      <c r="N107" s="60">
        <f>IF(C107="","",IFERROR(INDEX('Saisie'!$D$5:$D$2004,_xlfn.MINIFS('Saisie'!$AS$5:$AS$2004,'Saisie'!$C$5:$C$2004,C107,'Saisie'!$AU$5:$AU$2004,1)-4),IFERROR(INDEX('Saisie'!$D$5:$D$2004,_xlfn.MINIFS('Saisie'!$AS$5:$AS$2004,'Saisie'!$C$5:$C$2004,C107,'Saisie'!$D$5:$D$2004,"&lt;&gt;")-4),"")))</f>
        <v/>
      </c>
      <c r="O107" s="60">
        <f>IF(C107="","",COUNTIFS('Saisie'!$C$5:$C$2004,C107,'Saisie'!$AU$5:$AU$2004,1))</f>
        <v/>
      </c>
      <c r="P107" s="60">
        <f>IF(C107="","",COUNTIFS('Saisie'!$C$5:$C$2004,C107,'Saisie'!$AV$5:$AV$2004,1))</f>
        <v/>
      </c>
      <c r="Q107" s="106">
        <f>IF(C107="","",IFERROR(1/(1/_xlfn.MAXIFS('Saisie'!$A$5:$A$2004,'Saisie'!$C$5:$C$2004,C107)),""))</f>
        <v/>
      </c>
      <c r="R107" s="61">
        <f>IF(C107="","",IF(Q107="","",TODAY()-Q107))</f>
        <v/>
      </c>
      <c r="S107" s="60">
        <f>IF(C107="","",IFERROR(INDEX('Saisie'!$R$5:$R$2004,_xlfn.MAXIFS('Saisie'!$AS$5:$AS$2004,'Saisie'!$C$5:$C$2004,C107,'Saisie'!$R$5:$R$2004,"&lt;&gt;")-4),""))</f>
        <v/>
      </c>
      <c r="T107" s="60">
        <f>IF(C107="","",IFERROR(INDEX('Saisie'!$S$5:$S$2004,_xlfn.MAXIFS('Saisie'!$AS$5:$AS$2004,'Saisie'!$C$5:$C$2004,C107,'Saisie'!$S$5:$S$2004,"&lt;&gt;")-4),""))</f>
        <v/>
      </c>
      <c r="U107" s="60">
        <f>IF(C107="","",IFERROR(INDEX('Saisie'!$T$5:$T$2004,_xlfn.MAXIFS('Saisie'!$AS$5:$AS$2004,'Saisie'!$C$5:$C$2004,C107,'Saisie'!$T$5:$T$2004,"&lt;&gt;")-4),""))</f>
        <v/>
      </c>
      <c r="V107" s="60">
        <f>IF(C107="","",IFERROR(INDEX('Saisie'!$V$5:$V$2004,_xlfn.MAXIFS('Saisie'!$AS$5:$AS$2004,'Saisie'!$C$5:$C$2004,C107,'Saisie'!$V$5:$V$2004,"&lt;&gt;")-4),""))</f>
        <v/>
      </c>
      <c r="W107" s="60">
        <f>IF(C107="","",IFERROR(INDEX('Saisie'!$Z$5:$Z$2004,_xlfn.MAXIFS('Saisie'!$AS$5:$AS$2004,'Saisie'!$C$5:$C$2004,C107,'Saisie'!$Z$5:$Z$2004,"&lt;&gt;")-4),""))</f>
        <v/>
      </c>
      <c r="X107" s="60">
        <f>IF(C107="","",IFERROR(INDEX('Saisie'!$AA$5:$AA$2004,_xlfn.MAXIFS('Saisie'!$AS$5:$AS$2004,'Saisie'!$C$5:$C$2004,C107,'Saisie'!$AA$5:$AA$2004,"&lt;&gt;")-4),""))</f>
        <v/>
      </c>
      <c r="Y107" s="60">
        <f>IF(C107="","",IFERROR(INDEX('Saisie'!$AB$5:$AB$2004,_xlfn.MAXIFS('Saisie'!$AS$5:$AS$2004,'Saisie'!$C$5:$C$2004,C107,'Saisie'!$AB$5:$AB$2004,"&lt;&gt;")-4),""))</f>
        <v/>
      </c>
      <c r="Z107" s="60">
        <f>IF(C107="","",IFERROR(INDEX('Saisie'!$AC$5:$AC$2004,_xlfn.MAXIFS('Saisie'!$AS$5:$AS$2004,'Saisie'!$C$5:$C$2004,C107,'Saisie'!$AC$5:$AC$2004,"&lt;&gt;")-4),""))</f>
        <v/>
      </c>
      <c r="AA107" s="106">
        <f>IF(C107="","",IFERROR(INDEX('Saisie'!$AD$5:$AD$2004,_xlfn.MAXIFS('Saisie'!$AS$5:$AS$2004,'Saisie'!$C$5:$C$2004,C107,'Saisie'!$AD$5:$AD$2004,"&lt;&gt;")-4),""))</f>
        <v/>
      </c>
      <c r="AB107" s="60">
        <f>IF(C107="","",IFERROR(INDEX('Saisie'!$AE$5:$AE$2004,_xlfn.MAXIFS('Saisie'!$AS$5:$AS$2004,'Saisie'!$C$5:$C$2004,C107,'Saisie'!$AE$5:$AE$2004,"&lt;&gt;")-4),""))</f>
        <v/>
      </c>
      <c r="AC107" s="60">
        <f>IF(C107="","",IFERROR(INDEX('Saisie'!$AF$5:$AF$2004,_xlfn.MAXIFS('Saisie'!$AS$5:$AS$2004,'Saisie'!$C$5:$C$2004,C107,'Saisie'!$AF$5:$AF$2004,"&lt;&gt;")-4),""))</f>
        <v/>
      </c>
      <c r="AD107" s="108">
        <f>IF(C107="","",IFERROR(INDEX('Saisie'!$AG$5:$AG$2004,_xlfn.MAXIFS('Saisie'!$AS$5:$AS$2004,'Saisie'!$C$5:$C$2004,C107,'Saisie'!$AG$5:$AG$2004,"&lt;&gt;")-4),""))</f>
        <v/>
      </c>
      <c r="AE107" s="60">
        <f>IF(C107="","",IFERROR(INDEX('Saisie'!$AH$5:$AH$2004,_xlfn.MAXIFS('Saisie'!$AS$5:$AS$2004,'Saisie'!$C$5:$C$2004,C107,'Saisie'!$AH$5:$AH$2004,"&lt;&gt;")-4),""))</f>
        <v/>
      </c>
      <c r="AF107" s="60">
        <f>IF(C107="","",IFERROR(INDEX('Saisie'!$AI$5:$AI$2004,_xlfn.MAXIFS('Saisie'!$AS$5:$AS$2004,'Saisie'!$C$5:$C$2004,C107,'Saisie'!$AI$5:$AI$2004,"&lt;&gt;")-4),""))</f>
        <v/>
      </c>
      <c r="AG107" s="60">
        <f>IF(C107="","",IFERROR(INDEX('Saisie'!$AJ$5:$AJ$2004,_xlfn.MAXIFS('Saisie'!$AS$5:$AS$2004,'Saisie'!$C$5:$C$2004,C107,'Saisie'!$AJ$5:$AJ$2004,"&lt;&gt;")-4),""))</f>
        <v/>
      </c>
      <c r="AH107" s="60">
        <f>IF(C107="","",IFERROR(INDEX('Saisie'!$AK$5:$AK$2004,_xlfn.MAXIFS('Saisie'!$AS$5:$AS$2004,'Saisie'!$C$5:$C$2004,C107,'Saisie'!$AK$5:$AK$2004,"&lt;&gt;")-4),""))</f>
        <v/>
      </c>
      <c r="AI107" s="60">
        <f>IF(C107="","",IFERROR(INDEX('Saisie'!$AN$5:$AN$2004,_xlfn.MAXIFS('Saisie'!$AS$5:$AS$2004,'Saisie'!$C$5:$C$2004,C107,'Saisie'!$AN$5:$AN$2004,"&lt;&gt;")-4),""))</f>
        <v/>
      </c>
      <c r="AJ107" s="60">
        <f>IF(C107="","",IFERROR(INDEX('Saisie'!$AO$5:$AO$2004,_xlfn.MAXIFS('Saisie'!$AS$5:$AS$2004,'Saisie'!$C$5:$C$2004,C107,'Saisie'!$AO$5:$AO$2004,"&lt;&gt;")-4),""))</f>
        <v/>
      </c>
      <c r="AK107" s="60">
        <f>IF(C107="","",IFERROR(INDEX('Saisie'!$AP$5:$AP$2004,_xlfn.MAXIFS('Saisie'!$AS$5:$AS$2004,'Saisie'!$C$5:$C$2004,C107,'Saisie'!$AP$5:$AP$2004,"&lt;&gt;")-4),""))</f>
        <v/>
      </c>
      <c r="AL107" s="60">
        <f>IF(C107="","",IFERROR(INDEX('Saisie'!$AQ$5:$AQ$2004,_xlfn.MAXIFS('Saisie'!$AS$5:$AS$2004,'Saisie'!$C$5:$C$2004,C107,'Saisie'!$AQ$5:$AQ$2004,"&lt;&gt;")-4),""))</f>
        <v/>
      </c>
      <c r="AM107" s="60">
        <f>IF(C107="","",((AI107="Oui")+(AJ107="Oui")+(AK107="Oui")+OR(AL107="Immédiat",AL107="&lt; 1 mois"))&amp;"/4")</f>
        <v/>
      </c>
      <c r="AN107" s="60">
        <f>IF(C107="","",IFERROR(INDEX('Saisie'!$AL$5:$AL$2004,_xlfn.MAXIFS('Saisie'!$AS$5:$AS$2004,'Saisie'!$C$5:$C$2004,C107,'Saisie'!$AL$5:$AL$2004,"&lt;&gt;")-4),""))</f>
        <v/>
      </c>
      <c r="AO107" s="62">
        <f>IF(C107="","",IF(IFERROR(INDEX('Saisie'!$AM$5:$AM$2004,_xlfn.MAXIFS('Saisie'!$AS$5:$AS$2004,'Saisie'!$C$5:$C$2004,C107,'Saisie'!$AM$5:$AM$2004,"&lt;&gt;")-4),"")&lt;&gt;"",IFERROR(INDEX('Saisie'!$AM$5:$AM$2004,_xlfn.MAXIFS('Saisie'!$AS$5:$AS$2004,'Saisie'!$C$5:$C$2004,C107,'Saisie'!$AM$5:$AM$2004,"&lt;&gt;")-4),""),IFERROR(INDEX('Paramètres'!$S$6:$S$15,MATCH(AN107,'Paramètres'!$Q$6:$Q$15,0)),"")))</f>
        <v/>
      </c>
      <c r="AP107" s="62">
        <f>IF(C107="","",IFERROR(INDEX('Saisie'!$AW$5:$AW$2004,_xlfn.MAXIFS('Saisie'!$AS$5:$AS$2004,'Saisie'!$C$5:$C$2004,C107,'Saisie'!$E$5:$E$2004,"Proposition envoyée")-4),""))</f>
        <v/>
      </c>
      <c r="AQ107" s="106">
        <f>IF(C107="","",IFERROR(1/(1/_xlfn.MAXIFS('Saisie'!$A$5:$A$2004,'Saisie'!$C$5:$C$2004,C107,'Saisie'!$E$5:$E$2004,"Proposition envoyée")),""))</f>
        <v/>
      </c>
      <c r="AR107" s="106">
        <f>IF(C107="","",IF(AQ107="","",AQ107+'Paramètres'!$B$26))</f>
        <v/>
      </c>
      <c r="AS107" s="62">
        <f>IF(OR(C107="",D107="Gagné",D107="Perdu"),0,N(AP107)*IFERROR(INDEX('Paramètres'!$G$6:$G$13,MATCH(D107,'Paramètres'!$F$6:$F$13,0)),0))</f>
        <v/>
      </c>
      <c r="AT107" s="106">
        <f>IF(C107="","",IFERROR(1/(1/_xlfn.MINIFS('Saisie'!$A$5:$A$2004,'Saisie'!$C$5:$C$2004,C107,'Saisie'!$E$5:$E$2004,"Signature")),""))</f>
        <v/>
      </c>
      <c r="AU107" s="60">
        <f>IF(C107="","",IF(OR(AT107="",B107=""),"",AT107-B107))</f>
        <v/>
      </c>
      <c r="AV107" s="60">
        <f>IF(C107="","",IFERROR(INDEX('Saisie'!$L$5:$L$2004,_xlfn.MAXIFS('Saisie'!$AS$5:$AS$2004,'Saisie'!$C$5:$C$2004,C107,'Saisie'!$L$5:$L$2004,"&lt;&gt;")-4),""))</f>
        <v/>
      </c>
      <c r="AW107" s="106">
        <f>IF(C107="","",IF(D107&lt;&gt;"Perdu","",IFERROR(1/(1/_xlfn.MAXIFS('Saisie'!$A$5:$A$2004,'Saisie'!$C$5:$C$2004,C107,'Saisie'!$E$5:$E$2004,"Perdu")),"")))</f>
        <v/>
      </c>
      <c r="AX107" s="106">
        <f>IF(C107="","",IF(AW107="","",AW107+'Paramètres'!$B$28))</f>
        <v/>
      </c>
      <c r="AY107" s="60">
        <f>IF(C107="","",SUMIFS('Saisie'!$H$5:$H$2004,'Saisie'!$C$5:$C$2004,C107))</f>
        <v/>
      </c>
      <c r="AZ107" s="60">
        <f>IF(C107="","",IFERROR(INDEX('Paramètres'!$W$6:$W$20,MATCH(S107,'Paramètres'!$V$6:$V$20,0))&amp;"",""))</f>
        <v/>
      </c>
      <c r="BA107" s="60">
        <f>IF(C107="","",MAX(1,_xlfn.MAXIFS('Saisie'!$AT$5:$AT$2004,'Saisie'!$C$5:$C$2004,C107)))</f>
        <v/>
      </c>
      <c r="BB107" s="60">
        <f>IF(C107="","",IFERROR(INDEX('Saisie'!$X$5:$X$2004,_xlfn.MAXIFS('Saisie'!$AS$5:$AS$2004,'Saisie'!$C$5:$C$2004,C107,'Saisie'!$X$5:$X$2004,"&lt;&gt;")-4),""))</f>
        <v/>
      </c>
      <c r="BC107" s="60">
        <f>IF(C107="","",IFERROR(INDEX('Saisie'!$Y$5:$Y$2004,_xlfn.MAXIFS('Saisie'!$AS$5:$AS$2004,'Saisie'!$C$5:$C$2004,C107,'Saisie'!$Y$5:$Y$2004,"&lt;&gt;")-4),""))</f>
        <v/>
      </c>
      <c r="BD107" s="106">
        <f>IF(C107="","",IFERROR(1/(1/_xlfn.MINIFS('Saisie'!$A$5:$A$2004,'Saisie'!$C$5:$C$2004,C107,'Saisie'!$AT$5:$AT$2004,"&gt;=2")),""))</f>
        <v/>
      </c>
      <c r="BE107" s="106">
        <f>IF(C107="","",IFERROR(1/(1/_xlfn.MINIFS('Saisie'!$A$5:$A$2004,'Saisie'!$C$5:$C$2004,C107,'Saisie'!$AT$5:$AT$2004,"&gt;=3")),""))</f>
        <v/>
      </c>
      <c r="BF107" s="106">
        <f>IF(C107="","",IFERROR(1/(1/_xlfn.MINIFS('Saisie'!$A$5:$A$2004,'Saisie'!$C$5:$C$2004,C107,'Saisie'!$AT$5:$AT$2004,"&gt;=4")),""))</f>
        <v/>
      </c>
      <c r="BG107" s="106">
        <f>IF(C107="","",IFERROR(1/(1/_xlfn.MINIFS('Saisie'!$A$5:$A$2004,'Saisie'!$C$5:$C$2004,C107,'Saisie'!$AT$5:$AT$2004,"&gt;=5")),""))</f>
        <v/>
      </c>
      <c r="BH107" s="106">
        <f>IF(C107="","",IFERROR(1/(1/_xlfn.MINIFS('Saisie'!$A$5:$A$2004,'Saisie'!$C$5:$C$2004,C107,'Saisie'!$AT$5:$AT$2004,"&gt;=6")),""))</f>
        <v/>
      </c>
      <c r="BI107" s="106">
        <f>IF(C107="","",IFERROR(1/(1/_xlfn.MINIFS('Saisie'!$A$5:$A$2004,'Saisie'!$C$5:$C$2004,C107,'Saisie'!$AT$5:$AT$2004,"&gt;=7")),""))</f>
        <v/>
      </c>
      <c r="BJ107" s="60">
        <f>IF(OR(BD107="",B107=""),"",BD107-B107)</f>
        <v/>
      </c>
      <c r="BK107" s="60">
        <f>IF(OR(BE107="",BD107=""),"",BE107-BD107)</f>
        <v/>
      </c>
      <c r="BL107" s="60">
        <f>IF(OR(BF107="",BE107=""),"",BF107-BE107)</f>
        <v/>
      </c>
      <c r="BM107" s="60">
        <f>IF(OR(BG107="",BF107=""),"",BG107-BF107)</f>
        <v/>
      </c>
      <c r="BN107" s="60">
        <f>IF(OR(BH107="",BG107=""),"",BH107-BG107)</f>
        <v/>
      </c>
      <c r="BO107" s="60">
        <f>IF(OR(BI107="",BH107=""),"",BI107-BH107)</f>
        <v/>
      </c>
      <c r="BP107" s="60">
        <f>IF(C107="","",_xlfn.MAXIFS('Saisie'!$AS$5:$AS$2004,'Saisie'!$C$5:$C$2004,C107,'Saisie'!$J$5:$J$2004,"&lt;&gt;"))</f>
        <v/>
      </c>
      <c r="BQ107" s="60">
        <f>IF(C107="","",_xlfn.MAXIFS('Saisie'!$AS$5:$AS$2004,'Saisie'!$C$5:$C$2004,C107))</f>
        <v/>
      </c>
      <c r="BR107" s="60">
        <f>IF(C107="","",_xlfn.MAXIFS('Saisie'!$AS$5:$AS$2004,'Saisie'!$C$5:$C$2004,C107,'Saisie'!$E$5:$E$2004,"Perdu"))</f>
        <v/>
      </c>
      <c r="BS107" s="60">
        <f>IF(C107="","",_xlfn.MAXIFS('Saisie'!$AS$5:$AS$2004,'Saisie'!$C$5:$C$2004,C107,'Saisie'!$AT$5:$AT$2004,"&gt;0"))</f>
        <v/>
      </c>
      <c r="BT107" s="109">
        <f>IF(AND(C107&lt;&gt;"",OR(D107="Nouveau",D107="Contacté",D107="Qualifié"),OR(G107="",N(G107)&lt;=TODAY()),NOT(AND(O107&gt;='Paramètres'!$B$21,P107=0))),E107+103/10000,"")</f>
        <v/>
      </c>
      <c r="BU107" s="60">
        <f>IF(AND(G107&lt;&gt;"",N(G107)&lt;=TODAY()),MAX($BU$4:BU106)+1,"")</f>
        <v/>
      </c>
      <c r="BV107" s="60">
        <f>IF(AND(F107&lt;&gt;"",F107&lt;&gt;"Relance en retard"),MAX($BV$4:BV106)+1,"")</f>
        <v/>
      </c>
      <c r="BW107" s="60">
        <f>IF(C107="","",IF(AND(B107&gt;='Tableau de bord'!$R$4,B107&lt;='Tableau de bord'!$S$4,OR('Tableau de bord'!$G$4="Tous",N107='Tableau de bord'!$G$4)),1,0))</f>
        <v/>
      </c>
      <c r="BX107" s="60">
        <f>IF(AND(C107&lt;&gt;"",N(BA107)=7),MAX($BX$4:BX106)+1,"")</f>
        <v/>
      </c>
    </row>
    <row r="108">
      <c r="A108" s="60">
        <f>IF(C108="","","P-"&amp;TEXT(104,"000"))</f>
        <v/>
      </c>
      <c r="B108" s="106">
        <f>IF(C108="","",IFERROR(1/(1/_xlfn.MINIFS('Saisie'!$A$5:$A$2004,'Saisie'!$C$5:$C$2004,C108)),""))</f>
        <v/>
      </c>
      <c r="C108" s="60">
        <f>IFERROR(INDEX('Saisie'!$C$5:$C$2004,MATCH(104,'Saisie'!$AX$5:$AX$2004,0)),"")</f>
        <v/>
      </c>
      <c r="D108" s="60">
        <f>IF(C108="","",IF(AND(BR108&gt;0,BR108&gt;BS108,BA108&lt;7),"Perdu",INDEX('Paramètres'!$F$6:$F$13,BA108)))</f>
        <v/>
      </c>
      <c r="E108" s="61">
        <f>IF(C108="","",MIN(100,(Z108="Oui")*'Paramètres'!$B$38+(AB108="Régulière")*'Paramètres'!$B$39+IF(AND(N(AA108)&gt;0,TODAY()-N(AA108)&lt;=30),'Paramètres'!$B$40,0)+(W108="")*'Paramètres'!$B$41+(AC108="Absente")*'Paramètres'!$B$42+(AC108="Faible")*'Paramètres'!$B$43+IF(AND(N(AD108)&gt;0,N(AD108)&lt;4),'Paramètres'!$B$44,0)+(AF108="Moyenne")*'Paramètres'!$B$45+(AF108="Grande")*'Paramètres'!$B$46+(Y108&lt;&gt;"")*'Paramètres'!$B$47))</f>
        <v/>
      </c>
      <c r="F108" s="60">
        <f>IF(C108="","",IF(D108="Gagné","",IF(D108="Perdu",IF(AND(AX108&lt;&gt;"",AX108&lt;=TODAY()),"À recontacter (perdu)",""),IF(AND(O108&gt;='Paramètres'!$B$21,P108=0),"Stop : "&amp;'Paramètres'!$B$21&amp;" tentatives sans réponse",IF(AND(D108="Proposition",AR108&lt;&gt;"",TODAY()&gt;N(AR108)),"Proposition expirée",IF(AND(D108="Proposition",N(R108)&gt;='Paramètres'!$B$25),"Proposition sans réponse",IF(AND(G108&lt;&gt;"",N(G108)&lt;TODAY()),"Relance en retard",IF(N(R108)&gt;='Paramètres'!$B$24,"Sans action depuis "&amp;R108&amp;" j",""))))))))</f>
        <v/>
      </c>
      <c r="G108" s="106">
        <f>IF(OR(C108="",D108="Gagné",D108="Perdu"),"",IF(AND(BP108&gt;0,BP108=BQ108),INDEX('Saisie'!$J$5:$J$2004,BP108-4),IF(OR(O108=0,AND(O108&gt;='Paramètres'!$B$21,P108=0)),"",Q108+IF(O108&lt;=1,'Paramètres'!$B$18,IF(O108=2,'Paramètres'!$B$19,'Paramètres'!$B$20)))))</f>
        <v/>
      </c>
      <c r="H108" s="107">
        <f>IF(OR(G108="",BP108&lt;&gt;BQ108),"",IF(INDEX('Saisie'!$K$5:$K$2004,BP108-4)="","",INDEX('Saisie'!$K$5:$K$2004,BP108-4)))</f>
        <v/>
      </c>
      <c r="I108" s="60">
        <f>IF(C108="","",IF(OR(D108="Gagné",D108="Perdu"),"",IFERROR(INDEX('Saisie'!$I$5:$I$2004,_xlfn.MAXIFS('Saisie'!$AS$5:$AS$2004,'Saisie'!$C$5:$C$2004,C108,'Saisie'!$I$5:$I$2004,"&lt;&gt;")-4),"")))</f>
        <v/>
      </c>
      <c r="J108" s="60">
        <f>IF(C108="","",IFERROR(INDEX('Saisie'!$U$5:$U$2004,_xlfn.MAXIFS('Saisie'!$AS$5:$AS$2004,'Saisie'!$C$5:$C$2004,C108,'Saisie'!$U$5:$U$2004,"&lt;&gt;")-4),""))</f>
        <v/>
      </c>
      <c r="K108" s="60">
        <f>IF(C108="","",IFERROR(INDEX('Saisie'!$W$5:$W$2004,_xlfn.MAXIFS('Saisie'!$AS$5:$AS$2004,'Saisie'!$C$5:$C$2004,C108,'Saisie'!$W$5:$W$2004,"&lt;&gt;")-4),""))</f>
        <v/>
      </c>
      <c r="L108" s="60">
        <f>IF(IF(BB108&lt;&gt;"",BB108,K108)="","",HYPERLINK("https://wa.me/"&amp;IF(LEFT(SUBSTITUTE(SUBSTITUTE(SUBSTITUTE(IF(BB108&lt;&gt;"",BB108,K108)," ",""),".",""),"+",""),1)="0",'Paramètres'!$B$35&amp;MID(SUBSTITUTE(SUBSTITUTE(SUBSTITUTE(IF(BB108&lt;&gt;"",BB108,K108)," ",""),".",""),"+",""),2,20),SUBSTITUTE(SUBSTITUTE(SUBSTITUTE(IF(BB108&lt;&gt;"",BB108,K108)," ",""),".",""),"+","")),"WhatsApp"))</f>
        <v/>
      </c>
      <c r="M108" s="60">
        <f>IF(BC108="","",HYPERLINK(IF(LEFT(BC108,4)="http",BC108,"https://www.instagram.com/"&amp;SUBSTITUTE(SUBSTITUTE(BC108,"@","")," ","")),BC108))</f>
        <v/>
      </c>
      <c r="N108" s="60">
        <f>IF(C108="","",IFERROR(INDEX('Saisie'!$D$5:$D$2004,_xlfn.MINIFS('Saisie'!$AS$5:$AS$2004,'Saisie'!$C$5:$C$2004,C108,'Saisie'!$AU$5:$AU$2004,1)-4),IFERROR(INDEX('Saisie'!$D$5:$D$2004,_xlfn.MINIFS('Saisie'!$AS$5:$AS$2004,'Saisie'!$C$5:$C$2004,C108,'Saisie'!$D$5:$D$2004,"&lt;&gt;")-4),"")))</f>
        <v/>
      </c>
      <c r="O108" s="60">
        <f>IF(C108="","",COUNTIFS('Saisie'!$C$5:$C$2004,C108,'Saisie'!$AU$5:$AU$2004,1))</f>
        <v/>
      </c>
      <c r="P108" s="60">
        <f>IF(C108="","",COUNTIFS('Saisie'!$C$5:$C$2004,C108,'Saisie'!$AV$5:$AV$2004,1))</f>
        <v/>
      </c>
      <c r="Q108" s="106">
        <f>IF(C108="","",IFERROR(1/(1/_xlfn.MAXIFS('Saisie'!$A$5:$A$2004,'Saisie'!$C$5:$C$2004,C108)),""))</f>
        <v/>
      </c>
      <c r="R108" s="61">
        <f>IF(C108="","",IF(Q108="","",TODAY()-Q108))</f>
        <v/>
      </c>
      <c r="S108" s="60">
        <f>IF(C108="","",IFERROR(INDEX('Saisie'!$R$5:$R$2004,_xlfn.MAXIFS('Saisie'!$AS$5:$AS$2004,'Saisie'!$C$5:$C$2004,C108,'Saisie'!$R$5:$R$2004,"&lt;&gt;")-4),""))</f>
        <v/>
      </c>
      <c r="T108" s="60">
        <f>IF(C108="","",IFERROR(INDEX('Saisie'!$S$5:$S$2004,_xlfn.MAXIFS('Saisie'!$AS$5:$AS$2004,'Saisie'!$C$5:$C$2004,C108,'Saisie'!$S$5:$S$2004,"&lt;&gt;")-4),""))</f>
        <v/>
      </c>
      <c r="U108" s="60">
        <f>IF(C108="","",IFERROR(INDEX('Saisie'!$T$5:$T$2004,_xlfn.MAXIFS('Saisie'!$AS$5:$AS$2004,'Saisie'!$C$5:$C$2004,C108,'Saisie'!$T$5:$T$2004,"&lt;&gt;")-4),""))</f>
        <v/>
      </c>
      <c r="V108" s="60">
        <f>IF(C108="","",IFERROR(INDEX('Saisie'!$V$5:$V$2004,_xlfn.MAXIFS('Saisie'!$AS$5:$AS$2004,'Saisie'!$C$5:$C$2004,C108,'Saisie'!$V$5:$V$2004,"&lt;&gt;")-4),""))</f>
        <v/>
      </c>
      <c r="W108" s="60">
        <f>IF(C108="","",IFERROR(INDEX('Saisie'!$Z$5:$Z$2004,_xlfn.MAXIFS('Saisie'!$AS$5:$AS$2004,'Saisie'!$C$5:$C$2004,C108,'Saisie'!$Z$5:$Z$2004,"&lt;&gt;")-4),""))</f>
        <v/>
      </c>
      <c r="X108" s="60">
        <f>IF(C108="","",IFERROR(INDEX('Saisie'!$AA$5:$AA$2004,_xlfn.MAXIFS('Saisie'!$AS$5:$AS$2004,'Saisie'!$C$5:$C$2004,C108,'Saisie'!$AA$5:$AA$2004,"&lt;&gt;")-4),""))</f>
        <v/>
      </c>
      <c r="Y108" s="60">
        <f>IF(C108="","",IFERROR(INDEX('Saisie'!$AB$5:$AB$2004,_xlfn.MAXIFS('Saisie'!$AS$5:$AS$2004,'Saisie'!$C$5:$C$2004,C108,'Saisie'!$AB$5:$AB$2004,"&lt;&gt;")-4),""))</f>
        <v/>
      </c>
      <c r="Z108" s="60">
        <f>IF(C108="","",IFERROR(INDEX('Saisie'!$AC$5:$AC$2004,_xlfn.MAXIFS('Saisie'!$AS$5:$AS$2004,'Saisie'!$C$5:$C$2004,C108,'Saisie'!$AC$5:$AC$2004,"&lt;&gt;")-4),""))</f>
        <v/>
      </c>
      <c r="AA108" s="106">
        <f>IF(C108="","",IFERROR(INDEX('Saisie'!$AD$5:$AD$2004,_xlfn.MAXIFS('Saisie'!$AS$5:$AS$2004,'Saisie'!$C$5:$C$2004,C108,'Saisie'!$AD$5:$AD$2004,"&lt;&gt;")-4),""))</f>
        <v/>
      </c>
      <c r="AB108" s="60">
        <f>IF(C108="","",IFERROR(INDEX('Saisie'!$AE$5:$AE$2004,_xlfn.MAXIFS('Saisie'!$AS$5:$AS$2004,'Saisie'!$C$5:$C$2004,C108,'Saisie'!$AE$5:$AE$2004,"&lt;&gt;")-4),""))</f>
        <v/>
      </c>
      <c r="AC108" s="60">
        <f>IF(C108="","",IFERROR(INDEX('Saisie'!$AF$5:$AF$2004,_xlfn.MAXIFS('Saisie'!$AS$5:$AS$2004,'Saisie'!$C$5:$C$2004,C108,'Saisie'!$AF$5:$AF$2004,"&lt;&gt;")-4),""))</f>
        <v/>
      </c>
      <c r="AD108" s="108">
        <f>IF(C108="","",IFERROR(INDEX('Saisie'!$AG$5:$AG$2004,_xlfn.MAXIFS('Saisie'!$AS$5:$AS$2004,'Saisie'!$C$5:$C$2004,C108,'Saisie'!$AG$5:$AG$2004,"&lt;&gt;")-4),""))</f>
        <v/>
      </c>
      <c r="AE108" s="60">
        <f>IF(C108="","",IFERROR(INDEX('Saisie'!$AH$5:$AH$2004,_xlfn.MAXIFS('Saisie'!$AS$5:$AS$2004,'Saisie'!$C$5:$C$2004,C108,'Saisie'!$AH$5:$AH$2004,"&lt;&gt;")-4),""))</f>
        <v/>
      </c>
      <c r="AF108" s="60">
        <f>IF(C108="","",IFERROR(INDEX('Saisie'!$AI$5:$AI$2004,_xlfn.MAXIFS('Saisie'!$AS$5:$AS$2004,'Saisie'!$C$5:$C$2004,C108,'Saisie'!$AI$5:$AI$2004,"&lt;&gt;")-4),""))</f>
        <v/>
      </c>
      <c r="AG108" s="60">
        <f>IF(C108="","",IFERROR(INDEX('Saisie'!$AJ$5:$AJ$2004,_xlfn.MAXIFS('Saisie'!$AS$5:$AS$2004,'Saisie'!$C$5:$C$2004,C108,'Saisie'!$AJ$5:$AJ$2004,"&lt;&gt;")-4),""))</f>
        <v/>
      </c>
      <c r="AH108" s="60">
        <f>IF(C108="","",IFERROR(INDEX('Saisie'!$AK$5:$AK$2004,_xlfn.MAXIFS('Saisie'!$AS$5:$AS$2004,'Saisie'!$C$5:$C$2004,C108,'Saisie'!$AK$5:$AK$2004,"&lt;&gt;")-4),""))</f>
        <v/>
      </c>
      <c r="AI108" s="60">
        <f>IF(C108="","",IFERROR(INDEX('Saisie'!$AN$5:$AN$2004,_xlfn.MAXIFS('Saisie'!$AS$5:$AS$2004,'Saisie'!$C$5:$C$2004,C108,'Saisie'!$AN$5:$AN$2004,"&lt;&gt;")-4),""))</f>
        <v/>
      </c>
      <c r="AJ108" s="60">
        <f>IF(C108="","",IFERROR(INDEX('Saisie'!$AO$5:$AO$2004,_xlfn.MAXIFS('Saisie'!$AS$5:$AS$2004,'Saisie'!$C$5:$C$2004,C108,'Saisie'!$AO$5:$AO$2004,"&lt;&gt;")-4),""))</f>
        <v/>
      </c>
      <c r="AK108" s="60">
        <f>IF(C108="","",IFERROR(INDEX('Saisie'!$AP$5:$AP$2004,_xlfn.MAXIFS('Saisie'!$AS$5:$AS$2004,'Saisie'!$C$5:$C$2004,C108,'Saisie'!$AP$5:$AP$2004,"&lt;&gt;")-4),""))</f>
        <v/>
      </c>
      <c r="AL108" s="60">
        <f>IF(C108="","",IFERROR(INDEX('Saisie'!$AQ$5:$AQ$2004,_xlfn.MAXIFS('Saisie'!$AS$5:$AS$2004,'Saisie'!$C$5:$C$2004,C108,'Saisie'!$AQ$5:$AQ$2004,"&lt;&gt;")-4),""))</f>
        <v/>
      </c>
      <c r="AM108" s="60">
        <f>IF(C108="","",((AI108="Oui")+(AJ108="Oui")+(AK108="Oui")+OR(AL108="Immédiat",AL108="&lt; 1 mois"))&amp;"/4")</f>
        <v/>
      </c>
      <c r="AN108" s="60">
        <f>IF(C108="","",IFERROR(INDEX('Saisie'!$AL$5:$AL$2004,_xlfn.MAXIFS('Saisie'!$AS$5:$AS$2004,'Saisie'!$C$5:$C$2004,C108,'Saisie'!$AL$5:$AL$2004,"&lt;&gt;")-4),""))</f>
        <v/>
      </c>
      <c r="AO108" s="62">
        <f>IF(C108="","",IF(IFERROR(INDEX('Saisie'!$AM$5:$AM$2004,_xlfn.MAXIFS('Saisie'!$AS$5:$AS$2004,'Saisie'!$C$5:$C$2004,C108,'Saisie'!$AM$5:$AM$2004,"&lt;&gt;")-4),"")&lt;&gt;"",IFERROR(INDEX('Saisie'!$AM$5:$AM$2004,_xlfn.MAXIFS('Saisie'!$AS$5:$AS$2004,'Saisie'!$C$5:$C$2004,C108,'Saisie'!$AM$5:$AM$2004,"&lt;&gt;")-4),""),IFERROR(INDEX('Paramètres'!$S$6:$S$15,MATCH(AN108,'Paramètres'!$Q$6:$Q$15,0)),"")))</f>
        <v/>
      </c>
      <c r="AP108" s="62">
        <f>IF(C108="","",IFERROR(INDEX('Saisie'!$AW$5:$AW$2004,_xlfn.MAXIFS('Saisie'!$AS$5:$AS$2004,'Saisie'!$C$5:$C$2004,C108,'Saisie'!$E$5:$E$2004,"Proposition envoyée")-4),""))</f>
        <v/>
      </c>
      <c r="AQ108" s="106">
        <f>IF(C108="","",IFERROR(1/(1/_xlfn.MAXIFS('Saisie'!$A$5:$A$2004,'Saisie'!$C$5:$C$2004,C108,'Saisie'!$E$5:$E$2004,"Proposition envoyée")),""))</f>
        <v/>
      </c>
      <c r="AR108" s="106">
        <f>IF(C108="","",IF(AQ108="","",AQ108+'Paramètres'!$B$26))</f>
        <v/>
      </c>
      <c r="AS108" s="62">
        <f>IF(OR(C108="",D108="Gagné",D108="Perdu"),0,N(AP108)*IFERROR(INDEX('Paramètres'!$G$6:$G$13,MATCH(D108,'Paramètres'!$F$6:$F$13,0)),0))</f>
        <v/>
      </c>
      <c r="AT108" s="106">
        <f>IF(C108="","",IFERROR(1/(1/_xlfn.MINIFS('Saisie'!$A$5:$A$2004,'Saisie'!$C$5:$C$2004,C108,'Saisie'!$E$5:$E$2004,"Signature")),""))</f>
        <v/>
      </c>
      <c r="AU108" s="60">
        <f>IF(C108="","",IF(OR(AT108="",B108=""),"",AT108-B108))</f>
        <v/>
      </c>
      <c r="AV108" s="60">
        <f>IF(C108="","",IFERROR(INDEX('Saisie'!$L$5:$L$2004,_xlfn.MAXIFS('Saisie'!$AS$5:$AS$2004,'Saisie'!$C$5:$C$2004,C108,'Saisie'!$L$5:$L$2004,"&lt;&gt;")-4),""))</f>
        <v/>
      </c>
      <c r="AW108" s="106">
        <f>IF(C108="","",IF(D108&lt;&gt;"Perdu","",IFERROR(1/(1/_xlfn.MAXIFS('Saisie'!$A$5:$A$2004,'Saisie'!$C$5:$C$2004,C108,'Saisie'!$E$5:$E$2004,"Perdu")),"")))</f>
        <v/>
      </c>
      <c r="AX108" s="106">
        <f>IF(C108="","",IF(AW108="","",AW108+'Paramètres'!$B$28))</f>
        <v/>
      </c>
      <c r="AY108" s="60">
        <f>IF(C108="","",SUMIFS('Saisie'!$H$5:$H$2004,'Saisie'!$C$5:$C$2004,C108))</f>
        <v/>
      </c>
      <c r="AZ108" s="60">
        <f>IF(C108="","",IFERROR(INDEX('Paramètres'!$W$6:$W$20,MATCH(S108,'Paramètres'!$V$6:$V$20,0))&amp;"",""))</f>
        <v/>
      </c>
      <c r="BA108" s="60">
        <f>IF(C108="","",MAX(1,_xlfn.MAXIFS('Saisie'!$AT$5:$AT$2004,'Saisie'!$C$5:$C$2004,C108)))</f>
        <v/>
      </c>
      <c r="BB108" s="60">
        <f>IF(C108="","",IFERROR(INDEX('Saisie'!$X$5:$X$2004,_xlfn.MAXIFS('Saisie'!$AS$5:$AS$2004,'Saisie'!$C$5:$C$2004,C108,'Saisie'!$X$5:$X$2004,"&lt;&gt;")-4),""))</f>
        <v/>
      </c>
      <c r="BC108" s="60">
        <f>IF(C108="","",IFERROR(INDEX('Saisie'!$Y$5:$Y$2004,_xlfn.MAXIFS('Saisie'!$AS$5:$AS$2004,'Saisie'!$C$5:$C$2004,C108,'Saisie'!$Y$5:$Y$2004,"&lt;&gt;")-4),""))</f>
        <v/>
      </c>
      <c r="BD108" s="106">
        <f>IF(C108="","",IFERROR(1/(1/_xlfn.MINIFS('Saisie'!$A$5:$A$2004,'Saisie'!$C$5:$C$2004,C108,'Saisie'!$AT$5:$AT$2004,"&gt;=2")),""))</f>
        <v/>
      </c>
      <c r="BE108" s="106">
        <f>IF(C108="","",IFERROR(1/(1/_xlfn.MINIFS('Saisie'!$A$5:$A$2004,'Saisie'!$C$5:$C$2004,C108,'Saisie'!$AT$5:$AT$2004,"&gt;=3")),""))</f>
        <v/>
      </c>
      <c r="BF108" s="106">
        <f>IF(C108="","",IFERROR(1/(1/_xlfn.MINIFS('Saisie'!$A$5:$A$2004,'Saisie'!$C$5:$C$2004,C108,'Saisie'!$AT$5:$AT$2004,"&gt;=4")),""))</f>
        <v/>
      </c>
      <c r="BG108" s="106">
        <f>IF(C108="","",IFERROR(1/(1/_xlfn.MINIFS('Saisie'!$A$5:$A$2004,'Saisie'!$C$5:$C$2004,C108,'Saisie'!$AT$5:$AT$2004,"&gt;=5")),""))</f>
        <v/>
      </c>
      <c r="BH108" s="106">
        <f>IF(C108="","",IFERROR(1/(1/_xlfn.MINIFS('Saisie'!$A$5:$A$2004,'Saisie'!$C$5:$C$2004,C108,'Saisie'!$AT$5:$AT$2004,"&gt;=6")),""))</f>
        <v/>
      </c>
      <c r="BI108" s="106">
        <f>IF(C108="","",IFERROR(1/(1/_xlfn.MINIFS('Saisie'!$A$5:$A$2004,'Saisie'!$C$5:$C$2004,C108,'Saisie'!$AT$5:$AT$2004,"&gt;=7")),""))</f>
        <v/>
      </c>
      <c r="BJ108" s="60">
        <f>IF(OR(BD108="",B108=""),"",BD108-B108)</f>
        <v/>
      </c>
      <c r="BK108" s="60">
        <f>IF(OR(BE108="",BD108=""),"",BE108-BD108)</f>
        <v/>
      </c>
      <c r="BL108" s="60">
        <f>IF(OR(BF108="",BE108=""),"",BF108-BE108)</f>
        <v/>
      </c>
      <c r="BM108" s="60">
        <f>IF(OR(BG108="",BF108=""),"",BG108-BF108)</f>
        <v/>
      </c>
      <c r="BN108" s="60">
        <f>IF(OR(BH108="",BG108=""),"",BH108-BG108)</f>
        <v/>
      </c>
      <c r="BO108" s="60">
        <f>IF(OR(BI108="",BH108=""),"",BI108-BH108)</f>
        <v/>
      </c>
      <c r="BP108" s="60">
        <f>IF(C108="","",_xlfn.MAXIFS('Saisie'!$AS$5:$AS$2004,'Saisie'!$C$5:$C$2004,C108,'Saisie'!$J$5:$J$2004,"&lt;&gt;"))</f>
        <v/>
      </c>
      <c r="BQ108" s="60">
        <f>IF(C108="","",_xlfn.MAXIFS('Saisie'!$AS$5:$AS$2004,'Saisie'!$C$5:$C$2004,C108))</f>
        <v/>
      </c>
      <c r="BR108" s="60">
        <f>IF(C108="","",_xlfn.MAXIFS('Saisie'!$AS$5:$AS$2004,'Saisie'!$C$5:$C$2004,C108,'Saisie'!$E$5:$E$2004,"Perdu"))</f>
        <v/>
      </c>
      <c r="BS108" s="60">
        <f>IF(C108="","",_xlfn.MAXIFS('Saisie'!$AS$5:$AS$2004,'Saisie'!$C$5:$C$2004,C108,'Saisie'!$AT$5:$AT$2004,"&gt;0"))</f>
        <v/>
      </c>
      <c r="BT108" s="109">
        <f>IF(AND(C108&lt;&gt;"",OR(D108="Nouveau",D108="Contacté",D108="Qualifié"),OR(G108="",N(G108)&lt;=TODAY()),NOT(AND(O108&gt;='Paramètres'!$B$21,P108=0))),E108+104/10000,"")</f>
        <v/>
      </c>
      <c r="BU108" s="60">
        <f>IF(AND(G108&lt;&gt;"",N(G108)&lt;=TODAY()),MAX($BU$4:BU107)+1,"")</f>
        <v/>
      </c>
      <c r="BV108" s="60">
        <f>IF(AND(F108&lt;&gt;"",F108&lt;&gt;"Relance en retard"),MAX($BV$4:BV107)+1,"")</f>
        <v/>
      </c>
      <c r="BW108" s="60">
        <f>IF(C108="","",IF(AND(B108&gt;='Tableau de bord'!$R$4,B108&lt;='Tableau de bord'!$S$4,OR('Tableau de bord'!$G$4="Tous",N108='Tableau de bord'!$G$4)),1,0))</f>
        <v/>
      </c>
      <c r="BX108" s="60">
        <f>IF(AND(C108&lt;&gt;"",N(BA108)=7),MAX($BX$4:BX107)+1,"")</f>
        <v/>
      </c>
    </row>
    <row r="109">
      <c r="A109" s="60">
        <f>IF(C109="","","P-"&amp;TEXT(105,"000"))</f>
        <v/>
      </c>
      <c r="B109" s="106">
        <f>IF(C109="","",IFERROR(1/(1/_xlfn.MINIFS('Saisie'!$A$5:$A$2004,'Saisie'!$C$5:$C$2004,C109)),""))</f>
        <v/>
      </c>
      <c r="C109" s="60">
        <f>IFERROR(INDEX('Saisie'!$C$5:$C$2004,MATCH(105,'Saisie'!$AX$5:$AX$2004,0)),"")</f>
        <v/>
      </c>
      <c r="D109" s="60">
        <f>IF(C109="","",IF(AND(BR109&gt;0,BR109&gt;BS109,BA109&lt;7),"Perdu",INDEX('Paramètres'!$F$6:$F$13,BA109)))</f>
        <v/>
      </c>
      <c r="E109" s="61">
        <f>IF(C109="","",MIN(100,(Z109="Oui")*'Paramètres'!$B$38+(AB109="Régulière")*'Paramètres'!$B$39+IF(AND(N(AA109)&gt;0,TODAY()-N(AA109)&lt;=30),'Paramètres'!$B$40,0)+(W109="")*'Paramètres'!$B$41+(AC109="Absente")*'Paramètres'!$B$42+(AC109="Faible")*'Paramètres'!$B$43+IF(AND(N(AD109)&gt;0,N(AD109)&lt;4),'Paramètres'!$B$44,0)+(AF109="Moyenne")*'Paramètres'!$B$45+(AF109="Grande")*'Paramètres'!$B$46+(Y109&lt;&gt;"")*'Paramètres'!$B$47))</f>
        <v/>
      </c>
      <c r="F109" s="60">
        <f>IF(C109="","",IF(D109="Gagné","",IF(D109="Perdu",IF(AND(AX109&lt;&gt;"",AX109&lt;=TODAY()),"À recontacter (perdu)",""),IF(AND(O109&gt;='Paramètres'!$B$21,P109=0),"Stop : "&amp;'Paramètres'!$B$21&amp;" tentatives sans réponse",IF(AND(D109="Proposition",AR109&lt;&gt;"",TODAY()&gt;N(AR109)),"Proposition expirée",IF(AND(D109="Proposition",N(R109)&gt;='Paramètres'!$B$25),"Proposition sans réponse",IF(AND(G109&lt;&gt;"",N(G109)&lt;TODAY()),"Relance en retard",IF(N(R109)&gt;='Paramètres'!$B$24,"Sans action depuis "&amp;R109&amp;" j",""))))))))</f>
        <v/>
      </c>
      <c r="G109" s="106">
        <f>IF(OR(C109="",D109="Gagné",D109="Perdu"),"",IF(AND(BP109&gt;0,BP109=BQ109),INDEX('Saisie'!$J$5:$J$2004,BP109-4),IF(OR(O109=0,AND(O109&gt;='Paramètres'!$B$21,P109=0)),"",Q109+IF(O109&lt;=1,'Paramètres'!$B$18,IF(O109=2,'Paramètres'!$B$19,'Paramètres'!$B$20)))))</f>
        <v/>
      </c>
      <c r="H109" s="107">
        <f>IF(OR(G109="",BP109&lt;&gt;BQ109),"",IF(INDEX('Saisie'!$K$5:$K$2004,BP109-4)="","",INDEX('Saisie'!$K$5:$K$2004,BP109-4)))</f>
        <v/>
      </c>
      <c r="I109" s="60">
        <f>IF(C109="","",IF(OR(D109="Gagné",D109="Perdu"),"",IFERROR(INDEX('Saisie'!$I$5:$I$2004,_xlfn.MAXIFS('Saisie'!$AS$5:$AS$2004,'Saisie'!$C$5:$C$2004,C109,'Saisie'!$I$5:$I$2004,"&lt;&gt;")-4),"")))</f>
        <v/>
      </c>
      <c r="J109" s="60">
        <f>IF(C109="","",IFERROR(INDEX('Saisie'!$U$5:$U$2004,_xlfn.MAXIFS('Saisie'!$AS$5:$AS$2004,'Saisie'!$C$5:$C$2004,C109,'Saisie'!$U$5:$U$2004,"&lt;&gt;")-4),""))</f>
        <v/>
      </c>
      <c r="K109" s="60">
        <f>IF(C109="","",IFERROR(INDEX('Saisie'!$W$5:$W$2004,_xlfn.MAXIFS('Saisie'!$AS$5:$AS$2004,'Saisie'!$C$5:$C$2004,C109,'Saisie'!$W$5:$W$2004,"&lt;&gt;")-4),""))</f>
        <v/>
      </c>
      <c r="L109" s="60">
        <f>IF(IF(BB109&lt;&gt;"",BB109,K109)="","",HYPERLINK("https://wa.me/"&amp;IF(LEFT(SUBSTITUTE(SUBSTITUTE(SUBSTITUTE(IF(BB109&lt;&gt;"",BB109,K109)," ",""),".",""),"+",""),1)="0",'Paramètres'!$B$35&amp;MID(SUBSTITUTE(SUBSTITUTE(SUBSTITUTE(IF(BB109&lt;&gt;"",BB109,K109)," ",""),".",""),"+",""),2,20),SUBSTITUTE(SUBSTITUTE(SUBSTITUTE(IF(BB109&lt;&gt;"",BB109,K109)," ",""),".",""),"+","")),"WhatsApp"))</f>
        <v/>
      </c>
      <c r="M109" s="60">
        <f>IF(BC109="","",HYPERLINK(IF(LEFT(BC109,4)="http",BC109,"https://www.instagram.com/"&amp;SUBSTITUTE(SUBSTITUTE(BC109,"@","")," ","")),BC109))</f>
        <v/>
      </c>
      <c r="N109" s="60">
        <f>IF(C109="","",IFERROR(INDEX('Saisie'!$D$5:$D$2004,_xlfn.MINIFS('Saisie'!$AS$5:$AS$2004,'Saisie'!$C$5:$C$2004,C109,'Saisie'!$AU$5:$AU$2004,1)-4),IFERROR(INDEX('Saisie'!$D$5:$D$2004,_xlfn.MINIFS('Saisie'!$AS$5:$AS$2004,'Saisie'!$C$5:$C$2004,C109,'Saisie'!$D$5:$D$2004,"&lt;&gt;")-4),"")))</f>
        <v/>
      </c>
      <c r="O109" s="60">
        <f>IF(C109="","",COUNTIFS('Saisie'!$C$5:$C$2004,C109,'Saisie'!$AU$5:$AU$2004,1))</f>
        <v/>
      </c>
      <c r="P109" s="60">
        <f>IF(C109="","",COUNTIFS('Saisie'!$C$5:$C$2004,C109,'Saisie'!$AV$5:$AV$2004,1))</f>
        <v/>
      </c>
      <c r="Q109" s="106">
        <f>IF(C109="","",IFERROR(1/(1/_xlfn.MAXIFS('Saisie'!$A$5:$A$2004,'Saisie'!$C$5:$C$2004,C109)),""))</f>
        <v/>
      </c>
      <c r="R109" s="61">
        <f>IF(C109="","",IF(Q109="","",TODAY()-Q109))</f>
        <v/>
      </c>
      <c r="S109" s="60">
        <f>IF(C109="","",IFERROR(INDEX('Saisie'!$R$5:$R$2004,_xlfn.MAXIFS('Saisie'!$AS$5:$AS$2004,'Saisie'!$C$5:$C$2004,C109,'Saisie'!$R$5:$R$2004,"&lt;&gt;")-4),""))</f>
        <v/>
      </c>
      <c r="T109" s="60">
        <f>IF(C109="","",IFERROR(INDEX('Saisie'!$S$5:$S$2004,_xlfn.MAXIFS('Saisie'!$AS$5:$AS$2004,'Saisie'!$C$5:$C$2004,C109,'Saisie'!$S$5:$S$2004,"&lt;&gt;")-4),""))</f>
        <v/>
      </c>
      <c r="U109" s="60">
        <f>IF(C109="","",IFERROR(INDEX('Saisie'!$T$5:$T$2004,_xlfn.MAXIFS('Saisie'!$AS$5:$AS$2004,'Saisie'!$C$5:$C$2004,C109,'Saisie'!$T$5:$T$2004,"&lt;&gt;")-4),""))</f>
        <v/>
      </c>
      <c r="V109" s="60">
        <f>IF(C109="","",IFERROR(INDEX('Saisie'!$V$5:$V$2004,_xlfn.MAXIFS('Saisie'!$AS$5:$AS$2004,'Saisie'!$C$5:$C$2004,C109,'Saisie'!$V$5:$V$2004,"&lt;&gt;")-4),""))</f>
        <v/>
      </c>
      <c r="W109" s="60">
        <f>IF(C109="","",IFERROR(INDEX('Saisie'!$Z$5:$Z$2004,_xlfn.MAXIFS('Saisie'!$AS$5:$AS$2004,'Saisie'!$C$5:$C$2004,C109,'Saisie'!$Z$5:$Z$2004,"&lt;&gt;")-4),""))</f>
        <v/>
      </c>
      <c r="X109" s="60">
        <f>IF(C109="","",IFERROR(INDEX('Saisie'!$AA$5:$AA$2004,_xlfn.MAXIFS('Saisie'!$AS$5:$AS$2004,'Saisie'!$C$5:$C$2004,C109,'Saisie'!$AA$5:$AA$2004,"&lt;&gt;")-4),""))</f>
        <v/>
      </c>
      <c r="Y109" s="60">
        <f>IF(C109="","",IFERROR(INDEX('Saisie'!$AB$5:$AB$2004,_xlfn.MAXIFS('Saisie'!$AS$5:$AS$2004,'Saisie'!$C$5:$C$2004,C109,'Saisie'!$AB$5:$AB$2004,"&lt;&gt;")-4),""))</f>
        <v/>
      </c>
      <c r="Z109" s="60">
        <f>IF(C109="","",IFERROR(INDEX('Saisie'!$AC$5:$AC$2004,_xlfn.MAXIFS('Saisie'!$AS$5:$AS$2004,'Saisie'!$C$5:$C$2004,C109,'Saisie'!$AC$5:$AC$2004,"&lt;&gt;")-4),""))</f>
        <v/>
      </c>
      <c r="AA109" s="106">
        <f>IF(C109="","",IFERROR(INDEX('Saisie'!$AD$5:$AD$2004,_xlfn.MAXIFS('Saisie'!$AS$5:$AS$2004,'Saisie'!$C$5:$C$2004,C109,'Saisie'!$AD$5:$AD$2004,"&lt;&gt;")-4),""))</f>
        <v/>
      </c>
      <c r="AB109" s="60">
        <f>IF(C109="","",IFERROR(INDEX('Saisie'!$AE$5:$AE$2004,_xlfn.MAXIFS('Saisie'!$AS$5:$AS$2004,'Saisie'!$C$5:$C$2004,C109,'Saisie'!$AE$5:$AE$2004,"&lt;&gt;")-4),""))</f>
        <v/>
      </c>
      <c r="AC109" s="60">
        <f>IF(C109="","",IFERROR(INDEX('Saisie'!$AF$5:$AF$2004,_xlfn.MAXIFS('Saisie'!$AS$5:$AS$2004,'Saisie'!$C$5:$C$2004,C109,'Saisie'!$AF$5:$AF$2004,"&lt;&gt;")-4),""))</f>
        <v/>
      </c>
      <c r="AD109" s="108">
        <f>IF(C109="","",IFERROR(INDEX('Saisie'!$AG$5:$AG$2004,_xlfn.MAXIFS('Saisie'!$AS$5:$AS$2004,'Saisie'!$C$5:$C$2004,C109,'Saisie'!$AG$5:$AG$2004,"&lt;&gt;")-4),""))</f>
        <v/>
      </c>
      <c r="AE109" s="60">
        <f>IF(C109="","",IFERROR(INDEX('Saisie'!$AH$5:$AH$2004,_xlfn.MAXIFS('Saisie'!$AS$5:$AS$2004,'Saisie'!$C$5:$C$2004,C109,'Saisie'!$AH$5:$AH$2004,"&lt;&gt;")-4),""))</f>
        <v/>
      </c>
      <c r="AF109" s="60">
        <f>IF(C109="","",IFERROR(INDEX('Saisie'!$AI$5:$AI$2004,_xlfn.MAXIFS('Saisie'!$AS$5:$AS$2004,'Saisie'!$C$5:$C$2004,C109,'Saisie'!$AI$5:$AI$2004,"&lt;&gt;")-4),""))</f>
        <v/>
      </c>
      <c r="AG109" s="60">
        <f>IF(C109="","",IFERROR(INDEX('Saisie'!$AJ$5:$AJ$2004,_xlfn.MAXIFS('Saisie'!$AS$5:$AS$2004,'Saisie'!$C$5:$C$2004,C109,'Saisie'!$AJ$5:$AJ$2004,"&lt;&gt;")-4),""))</f>
        <v/>
      </c>
      <c r="AH109" s="60">
        <f>IF(C109="","",IFERROR(INDEX('Saisie'!$AK$5:$AK$2004,_xlfn.MAXIFS('Saisie'!$AS$5:$AS$2004,'Saisie'!$C$5:$C$2004,C109,'Saisie'!$AK$5:$AK$2004,"&lt;&gt;")-4),""))</f>
        <v/>
      </c>
      <c r="AI109" s="60">
        <f>IF(C109="","",IFERROR(INDEX('Saisie'!$AN$5:$AN$2004,_xlfn.MAXIFS('Saisie'!$AS$5:$AS$2004,'Saisie'!$C$5:$C$2004,C109,'Saisie'!$AN$5:$AN$2004,"&lt;&gt;")-4),""))</f>
        <v/>
      </c>
      <c r="AJ109" s="60">
        <f>IF(C109="","",IFERROR(INDEX('Saisie'!$AO$5:$AO$2004,_xlfn.MAXIFS('Saisie'!$AS$5:$AS$2004,'Saisie'!$C$5:$C$2004,C109,'Saisie'!$AO$5:$AO$2004,"&lt;&gt;")-4),""))</f>
        <v/>
      </c>
      <c r="AK109" s="60">
        <f>IF(C109="","",IFERROR(INDEX('Saisie'!$AP$5:$AP$2004,_xlfn.MAXIFS('Saisie'!$AS$5:$AS$2004,'Saisie'!$C$5:$C$2004,C109,'Saisie'!$AP$5:$AP$2004,"&lt;&gt;")-4),""))</f>
        <v/>
      </c>
      <c r="AL109" s="60">
        <f>IF(C109="","",IFERROR(INDEX('Saisie'!$AQ$5:$AQ$2004,_xlfn.MAXIFS('Saisie'!$AS$5:$AS$2004,'Saisie'!$C$5:$C$2004,C109,'Saisie'!$AQ$5:$AQ$2004,"&lt;&gt;")-4),""))</f>
        <v/>
      </c>
      <c r="AM109" s="60">
        <f>IF(C109="","",((AI109="Oui")+(AJ109="Oui")+(AK109="Oui")+OR(AL109="Immédiat",AL109="&lt; 1 mois"))&amp;"/4")</f>
        <v/>
      </c>
      <c r="AN109" s="60">
        <f>IF(C109="","",IFERROR(INDEX('Saisie'!$AL$5:$AL$2004,_xlfn.MAXIFS('Saisie'!$AS$5:$AS$2004,'Saisie'!$C$5:$C$2004,C109,'Saisie'!$AL$5:$AL$2004,"&lt;&gt;")-4),""))</f>
        <v/>
      </c>
      <c r="AO109" s="62">
        <f>IF(C109="","",IF(IFERROR(INDEX('Saisie'!$AM$5:$AM$2004,_xlfn.MAXIFS('Saisie'!$AS$5:$AS$2004,'Saisie'!$C$5:$C$2004,C109,'Saisie'!$AM$5:$AM$2004,"&lt;&gt;")-4),"")&lt;&gt;"",IFERROR(INDEX('Saisie'!$AM$5:$AM$2004,_xlfn.MAXIFS('Saisie'!$AS$5:$AS$2004,'Saisie'!$C$5:$C$2004,C109,'Saisie'!$AM$5:$AM$2004,"&lt;&gt;")-4),""),IFERROR(INDEX('Paramètres'!$S$6:$S$15,MATCH(AN109,'Paramètres'!$Q$6:$Q$15,0)),"")))</f>
        <v/>
      </c>
      <c r="AP109" s="62">
        <f>IF(C109="","",IFERROR(INDEX('Saisie'!$AW$5:$AW$2004,_xlfn.MAXIFS('Saisie'!$AS$5:$AS$2004,'Saisie'!$C$5:$C$2004,C109,'Saisie'!$E$5:$E$2004,"Proposition envoyée")-4),""))</f>
        <v/>
      </c>
      <c r="AQ109" s="106">
        <f>IF(C109="","",IFERROR(1/(1/_xlfn.MAXIFS('Saisie'!$A$5:$A$2004,'Saisie'!$C$5:$C$2004,C109,'Saisie'!$E$5:$E$2004,"Proposition envoyée")),""))</f>
        <v/>
      </c>
      <c r="AR109" s="106">
        <f>IF(C109="","",IF(AQ109="","",AQ109+'Paramètres'!$B$26))</f>
        <v/>
      </c>
      <c r="AS109" s="62">
        <f>IF(OR(C109="",D109="Gagné",D109="Perdu"),0,N(AP109)*IFERROR(INDEX('Paramètres'!$G$6:$G$13,MATCH(D109,'Paramètres'!$F$6:$F$13,0)),0))</f>
        <v/>
      </c>
      <c r="AT109" s="106">
        <f>IF(C109="","",IFERROR(1/(1/_xlfn.MINIFS('Saisie'!$A$5:$A$2004,'Saisie'!$C$5:$C$2004,C109,'Saisie'!$E$5:$E$2004,"Signature")),""))</f>
        <v/>
      </c>
      <c r="AU109" s="60">
        <f>IF(C109="","",IF(OR(AT109="",B109=""),"",AT109-B109))</f>
        <v/>
      </c>
      <c r="AV109" s="60">
        <f>IF(C109="","",IFERROR(INDEX('Saisie'!$L$5:$L$2004,_xlfn.MAXIFS('Saisie'!$AS$5:$AS$2004,'Saisie'!$C$5:$C$2004,C109,'Saisie'!$L$5:$L$2004,"&lt;&gt;")-4),""))</f>
        <v/>
      </c>
      <c r="AW109" s="106">
        <f>IF(C109="","",IF(D109&lt;&gt;"Perdu","",IFERROR(1/(1/_xlfn.MAXIFS('Saisie'!$A$5:$A$2004,'Saisie'!$C$5:$C$2004,C109,'Saisie'!$E$5:$E$2004,"Perdu")),"")))</f>
        <v/>
      </c>
      <c r="AX109" s="106">
        <f>IF(C109="","",IF(AW109="","",AW109+'Paramètres'!$B$28))</f>
        <v/>
      </c>
      <c r="AY109" s="60">
        <f>IF(C109="","",SUMIFS('Saisie'!$H$5:$H$2004,'Saisie'!$C$5:$C$2004,C109))</f>
        <v/>
      </c>
      <c r="AZ109" s="60">
        <f>IF(C109="","",IFERROR(INDEX('Paramètres'!$W$6:$W$20,MATCH(S109,'Paramètres'!$V$6:$V$20,0))&amp;"",""))</f>
        <v/>
      </c>
      <c r="BA109" s="60">
        <f>IF(C109="","",MAX(1,_xlfn.MAXIFS('Saisie'!$AT$5:$AT$2004,'Saisie'!$C$5:$C$2004,C109)))</f>
        <v/>
      </c>
      <c r="BB109" s="60">
        <f>IF(C109="","",IFERROR(INDEX('Saisie'!$X$5:$X$2004,_xlfn.MAXIFS('Saisie'!$AS$5:$AS$2004,'Saisie'!$C$5:$C$2004,C109,'Saisie'!$X$5:$X$2004,"&lt;&gt;")-4),""))</f>
        <v/>
      </c>
      <c r="BC109" s="60">
        <f>IF(C109="","",IFERROR(INDEX('Saisie'!$Y$5:$Y$2004,_xlfn.MAXIFS('Saisie'!$AS$5:$AS$2004,'Saisie'!$C$5:$C$2004,C109,'Saisie'!$Y$5:$Y$2004,"&lt;&gt;")-4),""))</f>
        <v/>
      </c>
      <c r="BD109" s="106">
        <f>IF(C109="","",IFERROR(1/(1/_xlfn.MINIFS('Saisie'!$A$5:$A$2004,'Saisie'!$C$5:$C$2004,C109,'Saisie'!$AT$5:$AT$2004,"&gt;=2")),""))</f>
        <v/>
      </c>
      <c r="BE109" s="106">
        <f>IF(C109="","",IFERROR(1/(1/_xlfn.MINIFS('Saisie'!$A$5:$A$2004,'Saisie'!$C$5:$C$2004,C109,'Saisie'!$AT$5:$AT$2004,"&gt;=3")),""))</f>
        <v/>
      </c>
      <c r="BF109" s="106">
        <f>IF(C109="","",IFERROR(1/(1/_xlfn.MINIFS('Saisie'!$A$5:$A$2004,'Saisie'!$C$5:$C$2004,C109,'Saisie'!$AT$5:$AT$2004,"&gt;=4")),""))</f>
        <v/>
      </c>
      <c r="BG109" s="106">
        <f>IF(C109="","",IFERROR(1/(1/_xlfn.MINIFS('Saisie'!$A$5:$A$2004,'Saisie'!$C$5:$C$2004,C109,'Saisie'!$AT$5:$AT$2004,"&gt;=5")),""))</f>
        <v/>
      </c>
      <c r="BH109" s="106">
        <f>IF(C109="","",IFERROR(1/(1/_xlfn.MINIFS('Saisie'!$A$5:$A$2004,'Saisie'!$C$5:$C$2004,C109,'Saisie'!$AT$5:$AT$2004,"&gt;=6")),""))</f>
        <v/>
      </c>
      <c r="BI109" s="106">
        <f>IF(C109="","",IFERROR(1/(1/_xlfn.MINIFS('Saisie'!$A$5:$A$2004,'Saisie'!$C$5:$C$2004,C109,'Saisie'!$AT$5:$AT$2004,"&gt;=7")),""))</f>
        <v/>
      </c>
      <c r="BJ109" s="60">
        <f>IF(OR(BD109="",B109=""),"",BD109-B109)</f>
        <v/>
      </c>
      <c r="BK109" s="60">
        <f>IF(OR(BE109="",BD109=""),"",BE109-BD109)</f>
        <v/>
      </c>
      <c r="BL109" s="60">
        <f>IF(OR(BF109="",BE109=""),"",BF109-BE109)</f>
        <v/>
      </c>
      <c r="BM109" s="60">
        <f>IF(OR(BG109="",BF109=""),"",BG109-BF109)</f>
        <v/>
      </c>
      <c r="BN109" s="60">
        <f>IF(OR(BH109="",BG109=""),"",BH109-BG109)</f>
        <v/>
      </c>
      <c r="BO109" s="60">
        <f>IF(OR(BI109="",BH109=""),"",BI109-BH109)</f>
        <v/>
      </c>
      <c r="BP109" s="60">
        <f>IF(C109="","",_xlfn.MAXIFS('Saisie'!$AS$5:$AS$2004,'Saisie'!$C$5:$C$2004,C109,'Saisie'!$J$5:$J$2004,"&lt;&gt;"))</f>
        <v/>
      </c>
      <c r="BQ109" s="60">
        <f>IF(C109="","",_xlfn.MAXIFS('Saisie'!$AS$5:$AS$2004,'Saisie'!$C$5:$C$2004,C109))</f>
        <v/>
      </c>
      <c r="BR109" s="60">
        <f>IF(C109="","",_xlfn.MAXIFS('Saisie'!$AS$5:$AS$2004,'Saisie'!$C$5:$C$2004,C109,'Saisie'!$E$5:$E$2004,"Perdu"))</f>
        <v/>
      </c>
      <c r="BS109" s="60">
        <f>IF(C109="","",_xlfn.MAXIFS('Saisie'!$AS$5:$AS$2004,'Saisie'!$C$5:$C$2004,C109,'Saisie'!$AT$5:$AT$2004,"&gt;0"))</f>
        <v/>
      </c>
      <c r="BT109" s="109">
        <f>IF(AND(C109&lt;&gt;"",OR(D109="Nouveau",D109="Contacté",D109="Qualifié"),OR(G109="",N(G109)&lt;=TODAY()),NOT(AND(O109&gt;='Paramètres'!$B$21,P109=0))),E109+105/10000,"")</f>
        <v/>
      </c>
      <c r="BU109" s="60">
        <f>IF(AND(G109&lt;&gt;"",N(G109)&lt;=TODAY()),MAX($BU$4:BU108)+1,"")</f>
        <v/>
      </c>
      <c r="BV109" s="60">
        <f>IF(AND(F109&lt;&gt;"",F109&lt;&gt;"Relance en retard"),MAX($BV$4:BV108)+1,"")</f>
        <v/>
      </c>
      <c r="BW109" s="60">
        <f>IF(C109="","",IF(AND(B109&gt;='Tableau de bord'!$R$4,B109&lt;='Tableau de bord'!$S$4,OR('Tableau de bord'!$G$4="Tous",N109='Tableau de bord'!$G$4)),1,0))</f>
        <v/>
      </c>
      <c r="BX109" s="60">
        <f>IF(AND(C109&lt;&gt;"",N(BA109)=7),MAX($BX$4:BX108)+1,"")</f>
        <v/>
      </c>
    </row>
    <row r="110">
      <c r="A110" s="60">
        <f>IF(C110="","","P-"&amp;TEXT(106,"000"))</f>
        <v/>
      </c>
      <c r="B110" s="106">
        <f>IF(C110="","",IFERROR(1/(1/_xlfn.MINIFS('Saisie'!$A$5:$A$2004,'Saisie'!$C$5:$C$2004,C110)),""))</f>
        <v/>
      </c>
      <c r="C110" s="60">
        <f>IFERROR(INDEX('Saisie'!$C$5:$C$2004,MATCH(106,'Saisie'!$AX$5:$AX$2004,0)),"")</f>
        <v/>
      </c>
      <c r="D110" s="60">
        <f>IF(C110="","",IF(AND(BR110&gt;0,BR110&gt;BS110,BA110&lt;7),"Perdu",INDEX('Paramètres'!$F$6:$F$13,BA110)))</f>
        <v/>
      </c>
      <c r="E110" s="61">
        <f>IF(C110="","",MIN(100,(Z110="Oui")*'Paramètres'!$B$38+(AB110="Régulière")*'Paramètres'!$B$39+IF(AND(N(AA110)&gt;0,TODAY()-N(AA110)&lt;=30),'Paramètres'!$B$40,0)+(W110="")*'Paramètres'!$B$41+(AC110="Absente")*'Paramètres'!$B$42+(AC110="Faible")*'Paramètres'!$B$43+IF(AND(N(AD110)&gt;0,N(AD110)&lt;4),'Paramètres'!$B$44,0)+(AF110="Moyenne")*'Paramètres'!$B$45+(AF110="Grande")*'Paramètres'!$B$46+(Y110&lt;&gt;"")*'Paramètres'!$B$47))</f>
        <v/>
      </c>
      <c r="F110" s="60">
        <f>IF(C110="","",IF(D110="Gagné","",IF(D110="Perdu",IF(AND(AX110&lt;&gt;"",AX110&lt;=TODAY()),"À recontacter (perdu)",""),IF(AND(O110&gt;='Paramètres'!$B$21,P110=0),"Stop : "&amp;'Paramètres'!$B$21&amp;" tentatives sans réponse",IF(AND(D110="Proposition",AR110&lt;&gt;"",TODAY()&gt;N(AR110)),"Proposition expirée",IF(AND(D110="Proposition",N(R110)&gt;='Paramètres'!$B$25),"Proposition sans réponse",IF(AND(G110&lt;&gt;"",N(G110)&lt;TODAY()),"Relance en retard",IF(N(R110)&gt;='Paramètres'!$B$24,"Sans action depuis "&amp;R110&amp;" j",""))))))))</f>
        <v/>
      </c>
      <c r="G110" s="106">
        <f>IF(OR(C110="",D110="Gagné",D110="Perdu"),"",IF(AND(BP110&gt;0,BP110=BQ110),INDEX('Saisie'!$J$5:$J$2004,BP110-4),IF(OR(O110=0,AND(O110&gt;='Paramètres'!$B$21,P110=0)),"",Q110+IF(O110&lt;=1,'Paramètres'!$B$18,IF(O110=2,'Paramètres'!$B$19,'Paramètres'!$B$20)))))</f>
        <v/>
      </c>
      <c r="H110" s="107">
        <f>IF(OR(G110="",BP110&lt;&gt;BQ110),"",IF(INDEX('Saisie'!$K$5:$K$2004,BP110-4)="","",INDEX('Saisie'!$K$5:$K$2004,BP110-4)))</f>
        <v/>
      </c>
      <c r="I110" s="60">
        <f>IF(C110="","",IF(OR(D110="Gagné",D110="Perdu"),"",IFERROR(INDEX('Saisie'!$I$5:$I$2004,_xlfn.MAXIFS('Saisie'!$AS$5:$AS$2004,'Saisie'!$C$5:$C$2004,C110,'Saisie'!$I$5:$I$2004,"&lt;&gt;")-4),"")))</f>
        <v/>
      </c>
      <c r="J110" s="60">
        <f>IF(C110="","",IFERROR(INDEX('Saisie'!$U$5:$U$2004,_xlfn.MAXIFS('Saisie'!$AS$5:$AS$2004,'Saisie'!$C$5:$C$2004,C110,'Saisie'!$U$5:$U$2004,"&lt;&gt;")-4),""))</f>
        <v/>
      </c>
      <c r="K110" s="60">
        <f>IF(C110="","",IFERROR(INDEX('Saisie'!$W$5:$W$2004,_xlfn.MAXIFS('Saisie'!$AS$5:$AS$2004,'Saisie'!$C$5:$C$2004,C110,'Saisie'!$W$5:$W$2004,"&lt;&gt;")-4),""))</f>
        <v/>
      </c>
      <c r="L110" s="60">
        <f>IF(IF(BB110&lt;&gt;"",BB110,K110)="","",HYPERLINK("https://wa.me/"&amp;IF(LEFT(SUBSTITUTE(SUBSTITUTE(SUBSTITUTE(IF(BB110&lt;&gt;"",BB110,K110)," ",""),".",""),"+",""),1)="0",'Paramètres'!$B$35&amp;MID(SUBSTITUTE(SUBSTITUTE(SUBSTITUTE(IF(BB110&lt;&gt;"",BB110,K110)," ",""),".",""),"+",""),2,20),SUBSTITUTE(SUBSTITUTE(SUBSTITUTE(IF(BB110&lt;&gt;"",BB110,K110)," ",""),".",""),"+","")),"WhatsApp"))</f>
        <v/>
      </c>
      <c r="M110" s="60">
        <f>IF(BC110="","",HYPERLINK(IF(LEFT(BC110,4)="http",BC110,"https://www.instagram.com/"&amp;SUBSTITUTE(SUBSTITUTE(BC110,"@","")," ","")),BC110))</f>
        <v/>
      </c>
      <c r="N110" s="60">
        <f>IF(C110="","",IFERROR(INDEX('Saisie'!$D$5:$D$2004,_xlfn.MINIFS('Saisie'!$AS$5:$AS$2004,'Saisie'!$C$5:$C$2004,C110,'Saisie'!$AU$5:$AU$2004,1)-4),IFERROR(INDEX('Saisie'!$D$5:$D$2004,_xlfn.MINIFS('Saisie'!$AS$5:$AS$2004,'Saisie'!$C$5:$C$2004,C110,'Saisie'!$D$5:$D$2004,"&lt;&gt;")-4),"")))</f>
        <v/>
      </c>
      <c r="O110" s="60">
        <f>IF(C110="","",COUNTIFS('Saisie'!$C$5:$C$2004,C110,'Saisie'!$AU$5:$AU$2004,1))</f>
        <v/>
      </c>
      <c r="P110" s="60">
        <f>IF(C110="","",COUNTIFS('Saisie'!$C$5:$C$2004,C110,'Saisie'!$AV$5:$AV$2004,1))</f>
        <v/>
      </c>
      <c r="Q110" s="106">
        <f>IF(C110="","",IFERROR(1/(1/_xlfn.MAXIFS('Saisie'!$A$5:$A$2004,'Saisie'!$C$5:$C$2004,C110)),""))</f>
        <v/>
      </c>
      <c r="R110" s="61">
        <f>IF(C110="","",IF(Q110="","",TODAY()-Q110))</f>
        <v/>
      </c>
      <c r="S110" s="60">
        <f>IF(C110="","",IFERROR(INDEX('Saisie'!$R$5:$R$2004,_xlfn.MAXIFS('Saisie'!$AS$5:$AS$2004,'Saisie'!$C$5:$C$2004,C110,'Saisie'!$R$5:$R$2004,"&lt;&gt;")-4),""))</f>
        <v/>
      </c>
      <c r="T110" s="60">
        <f>IF(C110="","",IFERROR(INDEX('Saisie'!$S$5:$S$2004,_xlfn.MAXIFS('Saisie'!$AS$5:$AS$2004,'Saisie'!$C$5:$C$2004,C110,'Saisie'!$S$5:$S$2004,"&lt;&gt;")-4),""))</f>
        <v/>
      </c>
      <c r="U110" s="60">
        <f>IF(C110="","",IFERROR(INDEX('Saisie'!$T$5:$T$2004,_xlfn.MAXIFS('Saisie'!$AS$5:$AS$2004,'Saisie'!$C$5:$C$2004,C110,'Saisie'!$T$5:$T$2004,"&lt;&gt;")-4),""))</f>
        <v/>
      </c>
      <c r="V110" s="60">
        <f>IF(C110="","",IFERROR(INDEX('Saisie'!$V$5:$V$2004,_xlfn.MAXIFS('Saisie'!$AS$5:$AS$2004,'Saisie'!$C$5:$C$2004,C110,'Saisie'!$V$5:$V$2004,"&lt;&gt;")-4),""))</f>
        <v/>
      </c>
      <c r="W110" s="60">
        <f>IF(C110="","",IFERROR(INDEX('Saisie'!$Z$5:$Z$2004,_xlfn.MAXIFS('Saisie'!$AS$5:$AS$2004,'Saisie'!$C$5:$C$2004,C110,'Saisie'!$Z$5:$Z$2004,"&lt;&gt;")-4),""))</f>
        <v/>
      </c>
      <c r="X110" s="60">
        <f>IF(C110="","",IFERROR(INDEX('Saisie'!$AA$5:$AA$2004,_xlfn.MAXIFS('Saisie'!$AS$5:$AS$2004,'Saisie'!$C$5:$C$2004,C110,'Saisie'!$AA$5:$AA$2004,"&lt;&gt;")-4),""))</f>
        <v/>
      </c>
      <c r="Y110" s="60">
        <f>IF(C110="","",IFERROR(INDEX('Saisie'!$AB$5:$AB$2004,_xlfn.MAXIFS('Saisie'!$AS$5:$AS$2004,'Saisie'!$C$5:$C$2004,C110,'Saisie'!$AB$5:$AB$2004,"&lt;&gt;")-4),""))</f>
        <v/>
      </c>
      <c r="Z110" s="60">
        <f>IF(C110="","",IFERROR(INDEX('Saisie'!$AC$5:$AC$2004,_xlfn.MAXIFS('Saisie'!$AS$5:$AS$2004,'Saisie'!$C$5:$C$2004,C110,'Saisie'!$AC$5:$AC$2004,"&lt;&gt;")-4),""))</f>
        <v/>
      </c>
      <c r="AA110" s="106">
        <f>IF(C110="","",IFERROR(INDEX('Saisie'!$AD$5:$AD$2004,_xlfn.MAXIFS('Saisie'!$AS$5:$AS$2004,'Saisie'!$C$5:$C$2004,C110,'Saisie'!$AD$5:$AD$2004,"&lt;&gt;")-4),""))</f>
        <v/>
      </c>
      <c r="AB110" s="60">
        <f>IF(C110="","",IFERROR(INDEX('Saisie'!$AE$5:$AE$2004,_xlfn.MAXIFS('Saisie'!$AS$5:$AS$2004,'Saisie'!$C$5:$C$2004,C110,'Saisie'!$AE$5:$AE$2004,"&lt;&gt;")-4),""))</f>
        <v/>
      </c>
      <c r="AC110" s="60">
        <f>IF(C110="","",IFERROR(INDEX('Saisie'!$AF$5:$AF$2004,_xlfn.MAXIFS('Saisie'!$AS$5:$AS$2004,'Saisie'!$C$5:$C$2004,C110,'Saisie'!$AF$5:$AF$2004,"&lt;&gt;")-4),""))</f>
        <v/>
      </c>
      <c r="AD110" s="108">
        <f>IF(C110="","",IFERROR(INDEX('Saisie'!$AG$5:$AG$2004,_xlfn.MAXIFS('Saisie'!$AS$5:$AS$2004,'Saisie'!$C$5:$C$2004,C110,'Saisie'!$AG$5:$AG$2004,"&lt;&gt;")-4),""))</f>
        <v/>
      </c>
      <c r="AE110" s="60">
        <f>IF(C110="","",IFERROR(INDEX('Saisie'!$AH$5:$AH$2004,_xlfn.MAXIFS('Saisie'!$AS$5:$AS$2004,'Saisie'!$C$5:$C$2004,C110,'Saisie'!$AH$5:$AH$2004,"&lt;&gt;")-4),""))</f>
        <v/>
      </c>
      <c r="AF110" s="60">
        <f>IF(C110="","",IFERROR(INDEX('Saisie'!$AI$5:$AI$2004,_xlfn.MAXIFS('Saisie'!$AS$5:$AS$2004,'Saisie'!$C$5:$C$2004,C110,'Saisie'!$AI$5:$AI$2004,"&lt;&gt;")-4),""))</f>
        <v/>
      </c>
      <c r="AG110" s="60">
        <f>IF(C110="","",IFERROR(INDEX('Saisie'!$AJ$5:$AJ$2004,_xlfn.MAXIFS('Saisie'!$AS$5:$AS$2004,'Saisie'!$C$5:$C$2004,C110,'Saisie'!$AJ$5:$AJ$2004,"&lt;&gt;")-4),""))</f>
        <v/>
      </c>
      <c r="AH110" s="60">
        <f>IF(C110="","",IFERROR(INDEX('Saisie'!$AK$5:$AK$2004,_xlfn.MAXIFS('Saisie'!$AS$5:$AS$2004,'Saisie'!$C$5:$C$2004,C110,'Saisie'!$AK$5:$AK$2004,"&lt;&gt;")-4),""))</f>
        <v/>
      </c>
      <c r="AI110" s="60">
        <f>IF(C110="","",IFERROR(INDEX('Saisie'!$AN$5:$AN$2004,_xlfn.MAXIFS('Saisie'!$AS$5:$AS$2004,'Saisie'!$C$5:$C$2004,C110,'Saisie'!$AN$5:$AN$2004,"&lt;&gt;")-4),""))</f>
        <v/>
      </c>
      <c r="AJ110" s="60">
        <f>IF(C110="","",IFERROR(INDEX('Saisie'!$AO$5:$AO$2004,_xlfn.MAXIFS('Saisie'!$AS$5:$AS$2004,'Saisie'!$C$5:$C$2004,C110,'Saisie'!$AO$5:$AO$2004,"&lt;&gt;")-4),""))</f>
        <v/>
      </c>
      <c r="AK110" s="60">
        <f>IF(C110="","",IFERROR(INDEX('Saisie'!$AP$5:$AP$2004,_xlfn.MAXIFS('Saisie'!$AS$5:$AS$2004,'Saisie'!$C$5:$C$2004,C110,'Saisie'!$AP$5:$AP$2004,"&lt;&gt;")-4),""))</f>
        <v/>
      </c>
      <c r="AL110" s="60">
        <f>IF(C110="","",IFERROR(INDEX('Saisie'!$AQ$5:$AQ$2004,_xlfn.MAXIFS('Saisie'!$AS$5:$AS$2004,'Saisie'!$C$5:$C$2004,C110,'Saisie'!$AQ$5:$AQ$2004,"&lt;&gt;")-4),""))</f>
        <v/>
      </c>
      <c r="AM110" s="60">
        <f>IF(C110="","",((AI110="Oui")+(AJ110="Oui")+(AK110="Oui")+OR(AL110="Immédiat",AL110="&lt; 1 mois"))&amp;"/4")</f>
        <v/>
      </c>
      <c r="AN110" s="60">
        <f>IF(C110="","",IFERROR(INDEX('Saisie'!$AL$5:$AL$2004,_xlfn.MAXIFS('Saisie'!$AS$5:$AS$2004,'Saisie'!$C$5:$C$2004,C110,'Saisie'!$AL$5:$AL$2004,"&lt;&gt;")-4),""))</f>
        <v/>
      </c>
      <c r="AO110" s="62">
        <f>IF(C110="","",IF(IFERROR(INDEX('Saisie'!$AM$5:$AM$2004,_xlfn.MAXIFS('Saisie'!$AS$5:$AS$2004,'Saisie'!$C$5:$C$2004,C110,'Saisie'!$AM$5:$AM$2004,"&lt;&gt;")-4),"")&lt;&gt;"",IFERROR(INDEX('Saisie'!$AM$5:$AM$2004,_xlfn.MAXIFS('Saisie'!$AS$5:$AS$2004,'Saisie'!$C$5:$C$2004,C110,'Saisie'!$AM$5:$AM$2004,"&lt;&gt;")-4),""),IFERROR(INDEX('Paramètres'!$S$6:$S$15,MATCH(AN110,'Paramètres'!$Q$6:$Q$15,0)),"")))</f>
        <v/>
      </c>
      <c r="AP110" s="62">
        <f>IF(C110="","",IFERROR(INDEX('Saisie'!$AW$5:$AW$2004,_xlfn.MAXIFS('Saisie'!$AS$5:$AS$2004,'Saisie'!$C$5:$C$2004,C110,'Saisie'!$E$5:$E$2004,"Proposition envoyée")-4),""))</f>
        <v/>
      </c>
      <c r="AQ110" s="106">
        <f>IF(C110="","",IFERROR(1/(1/_xlfn.MAXIFS('Saisie'!$A$5:$A$2004,'Saisie'!$C$5:$C$2004,C110,'Saisie'!$E$5:$E$2004,"Proposition envoyée")),""))</f>
        <v/>
      </c>
      <c r="AR110" s="106">
        <f>IF(C110="","",IF(AQ110="","",AQ110+'Paramètres'!$B$26))</f>
        <v/>
      </c>
      <c r="AS110" s="62">
        <f>IF(OR(C110="",D110="Gagné",D110="Perdu"),0,N(AP110)*IFERROR(INDEX('Paramètres'!$G$6:$G$13,MATCH(D110,'Paramètres'!$F$6:$F$13,0)),0))</f>
        <v/>
      </c>
      <c r="AT110" s="106">
        <f>IF(C110="","",IFERROR(1/(1/_xlfn.MINIFS('Saisie'!$A$5:$A$2004,'Saisie'!$C$5:$C$2004,C110,'Saisie'!$E$5:$E$2004,"Signature")),""))</f>
        <v/>
      </c>
      <c r="AU110" s="60">
        <f>IF(C110="","",IF(OR(AT110="",B110=""),"",AT110-B110))</f>
        <v/>
      </c>
      <c r="AV110" s="60">
        <f>IF(C110="","",IFERROR(INDEX('Saisie'!$L$5:$L$2004,_xlfn.MAXIFS('Saisie'!$AS$5:$AS$2004,'Saisie'!$C$5:$C$2004,C110,'Saisie'!$L$5:$L$2004,"&lt;&gt;")-4),""))</f>
        <v/>
      </c>
      <c r="AW110" s="106">
        <f>IF(C110="","",IF(D110&lt;&gt;"Perdu","",IFERROR(1/(1/_xlfn.MAXIFS('Saisie'!$A$5:$A$2004,'Saisie'!$C$5:$C$2004,C110,'Saisie'!$E$5:$E$2004,"Perdu")),"")))</f>
        <v/>
      </c>
      <c r="AX110" s="106">
        <f>IF(C110="","",IF(AW110="","",AW110+'Paramètres'!$B$28))</f>
        <v/>
      </c>
      <c r="AY110" s="60">
        <f>IF(C110="","",SUMIFS('Saisie'!$H$5:$H$2004,'Saisie'!$C$5:$C$2004,C110))</f>
        <v/>
      </c>
      <c r="AZ110" s="60">
        <f>IF(C110="","",IFERROR(INDEX('Paramètres'!$W$6:$W$20,MATCH(S110,'Paramètres'!$V$6:$V$20,0))&amp;"",""))</f>
        <v/>
      </c>
      <c r="BA110" s="60">
        <f>IF(C110="","",MAX(1,_xlfn.MAXIFS('Saisie'!$AT$5:$AT$2004,'Saisie'!$C$5:$C$2004,C110)))</f>
        <v/>
      </c>
      <c r="BB110" s="60">
        <f>IF(C110="","",IFERROR(INDEX('Saisie'!$X$5:$X$2004,_xlfn.MAXIFS('Saisie'!$AS$5:$AS$2004,'Saisie'!$C$5:$C$2004,C110,'Saisie'!$X$5:$X$2004,"&lt;&gt;")-4),""))</f>
        <v/>
      </c>
      <c r="BC110" s="60">
        <f>IF(C110="","",IFERROR(INDEX('Saisie'!$Y$5:$Y$2004,_xlfn.MAXIFS('Saisie'!$AS$5:$AS$2004,'Saisie'!$C$5:$C$2004,C110,'Saisie'!$Y$5:$Y$2004,"&lt;&gt;")-4),""))</f>
        <v/>
      </c>
      <c r="BD110" s="106">
        <f>IF(C110="","",IFERROR(1/(1/_xlfn.MINIFS('Saisie'!$A$5:$A$2004,'Saisie'!$C$5:$C$2004,C110,'Saisie'!$AT$5:$AT$2004,"&gt;=2")),""))</f>
        <v/>
      </c>
      <c r="BE110" s="106">
        <f>IF(C110="","",IFERROR(1/(1/_xlfn.MINIFS('Saisie'!$A$5:$A$2004,'Saisie'!$C$5:$C$2004,C110,'Saisie'!$AT$5:$AT$2004,"&gt;=3")),""))</f>
        <v/>
      </c>
      <c r="BF110" s="106">
        <f>IF(C110="","",IFERROR(1/(1/_xlfn.MINIFS('Saisie'!$A$5:$A$2004,'Saisie'!$C$5:$C$2004,C110,'Saisie'!$AT$5:$AT$2004,"&gt;=4")),""))</f>
        <v/>
      </c>
      <c r="BG110" s="106">
        <f>IF(C110="","",IFERROR(1/(1/_xlfn.MINIFS('Saisie'!$A$5:$A$2004,'Saisie'!$C$5:$C$2004,C110,'Saisie'!$AT$5:$AT$2004,"&gt;=5")),""))</f>
        <v/>
      </c>
      <c r="BH110" s="106">
        <f>IF(C110="","",IFERROR(1/(1/_xlfn.MINIFS('Saisie'!$A$5:$A$2004,'Saisie'!$C$5:$C$2004,C110,'Saisie'!$AT$5:$AT$2004,"&gt;=6")),""))</f>
        <v/>
      </c>
      <c r="BI110" s="106">
        <f>IF(C110="","",IFERROR(1/(1/_xlfn.MINIFS('Saisie'!$A$5:$A$2004,'Saisie'!$C$5:$C$2004,C110,'Saisie'!$AT$5:$AT$2004,"&gt;=7")),""))</f>
        <v/>
      </c>
      <c r="BJ110" s="60">
        <f>IF(OR(BD110="",B110=""),"",BD110-B110)</f>
        <v/>
      </c>
      <c r="BK110" s="60">
        <f>IF(OR(BE110="",BD110=""),"",BE110-BD110)</f>
        <v/>
      </c>
      <c r="BL110" s="60">
        <f>IF(OR(BF110="",BE110=""),"",BF110-BE110)</f>
        <v/>
      </c>
      <c r="BM110" s="60">
        <f>IF(OR(BG110="",BF110=""),"",BG110-BF110)</f>
        <v/>
      </c>
      <c r="BN110" s="60">
        <f>IF(OR(BH110="",BG110=""),"",BH110-BG110)</f>
        <v/>
      </c>
      <c r="BO110" s="60">
        <f>IF(OR(BI110="",BH110=""),"",BI110-BH110)</f>
        <v/>
      </c>
      <c r="BP110" s="60">
        <f>IF(C110="","",_xlfn.MAXIFS('Saisie'!$AS$5:$AS$2004,'Saisie'!$C$5:$C$2004,C110,'Saisie'!$J$5:$J$2004,"&lt;&gt;"))</f>
        <v/>
      </c>
      <c r="BQ110" s="60">
        <f>IF(C110="","",_xlfn.MAXIFS('Saisie'!$AS$5:$AS$2004,'Saisie'!$C$5:$C$2004,C110))</f>
        <v/>
      </c>
      <c r="BR110" s="60">
        <f>IF(C110="","",_xlfn.MAXIFS('Saisie'!$AS$5:$AS$2004,'Saisie'!$C$5:$C$2004,C110,'Saisie'!$E$5:$E$2004,"Perdu"))</f>
        <v/>
      </c>
      <c r="BS110" s="60">
        <f>IF(C110="","",_xlfn.MAXIFS('Saisie'!$AS$5:$AS$2004,'Saisie'!$C$5:$C$2004,C110,'Saisie'!$AT$5:$AT$2004,"&gt;0"))</f>
        <v/>
      </c>
      <c r="BT110" s="109">
        <f>IF(AND(C110&lt;&gt;"",OR(D110="Nouveau",D110="Contacté",D110="Qualifié"),OR(G110="",N(G110)&lt;=TODAY()),NOT(AND(O110&gt;='Paramètres'!$B$21,P110=0))),E110+106/10000,"")</f>
        <v/>
      </c>
      <c r="BU110" s="60">
        <f>IF(AND(G110&lt;&gt;"",N(G110)&lt;=TODAY()),MAX($BU$4:BU109)+1,"")</f>
        <v/>
      </c>
      <c r="BV110" s="60">
        <f>IF(AND(F110&lt;&gt;"",F110&lt;&gt;"Relance en retard"),MAX($BV$4:BV109)+1,"")</f>
        <v/>
      </c>
      <c r="BW110" s="60">
        <f>IF(C110="","",IF(AND(B110&gt;='Tableau de bord'!$R$4,B110&lt;='Tableau de bord'!$S$4,OR('Tableau de bord'!$G$4="Tous",N110='Tableau de bord'!$G$4)),1,0))</f>
        <v/>
      </c>
      <c r="BX110" s="60">
        <f>IF(AND(C110&lt;&gt;"",N(BA110)=7),MAX($BX$4:BX109)+1,"")</f>
        <v/>
      </c>
    </row>
    <row r="111">
      <c r="A111" s="60">
        <f>IF(C111="","","P-"&amp;TEXT(107,"000"))</f>
        <v/>
      </c>
      <c r="B111" s="106">
        <f>IF(C111="","",IFERROR(1/(1/_xlfn.MINIFS('Saisie'!$A$5:$A$2004,'Saisie'!$C$5:$C$2004,C111)),""))</f>
        <v/>
      </c>
      <c r="C111" s="60">
        <f>IFERROR(INDEX('Saisie'!$C$5:$C$2004,MATCH(107,'Saisie'!$AX$5:$AX$2004,0)),"")</f>
        <v/>
      </c>
      <c r="D111" s="60">
        <f>IF(C111="","",IF(AND(BR111&gt;0,BR111&gt;BS111,BA111&lt;7),"Perdu",INDEX('Paramètres'!$F$6:$F$13,BA111)))</f>
        <v/>
      </c>
      <c r="E111" s="61">
        <f>IF(C111="","",MIN(100,(Z111="Oui")*'Paramètres'!$B$38+(AB111="Régulière")*'Paramètres'!$B$39+IF(AND(N(AA111)&gt;0,TODAY()-N(AA111)&lt;=30),'Paramètres'!$B$40,0)+(W111="")*'Paramètres'!$B$41+(AC111="Absente")*'Paramètres'!$B$42+(AC111="Faible")*'Paramètres'!$B$43+IF(AND(N(AD111)&gt;0,N(AD111)&lt;4),'Paramètres'!$B$44,0)+(AF111="Moyenne")*'Paramètres'!$B$45+(AF111="Grande")*'Paramètres'!$B$46+(Y111&lt;&gt;"")*'Paramètres'!$B$47))</f>
        <v/>
      </c>
      <c r="F111" s="60">
        <f>IF(C111="","",IF(D111="Gagné","",IF(D111="Perdu",IF(AND(AX111&lt;&gt;"",AX111&lt;=TODAY()),"À recontacter (perdu)",""),IF(AND(O111&gt;='Paramètres'!$B$21,P111=0),"Stop : "&amp;'Paramètres'!$B$21&amp;" tentatives sans réponse",IF(AND(D111="Proposition",AR111&lt;&gt;"",TODAY()&gt;N(AR111)),"Proposition expirée",IF(AND(D111="Proposition",N(R111)&gt;='Paramètres'!$B$25),"Proposition sans réponse",IF(AND(G111&lt;&gt;"",N(G111)&lt;TODAY()),"Relance en retard",IF(N(R111)&gt;='Paramètres'!$B$24,"Sans action depuis "&amp;R111&amp;" j",""))))))))</f>
        <v/>
      </c>
      <c r="G111" s="106">
        <f>IF(OR(C111="",D111="Gagné",D111="Perdu"),"",IF(AND(BP111&gt;0,BP111=BQ111),INDEX('Saisie'!$J$5:$J$2004,BP111-4),IF(OR(O111=0,AND(O111&gt;='Paramètres'!$B$21,P111=0)),"",Q111+IF(O111&lt;=1,'Paramètres'!$B$18,IF(O111=2,'Paramètres'!$B$19,'Paramètres'!$B$20)))))</f>
        <v/>
      </c>
      <c r="H111" s="107">
        <f>IF(OR(G111="",BP111&lt;&gt;BQ111),"",IF(INDEX('Saisie'!$K$5:$K$2004,BP111-4)="","",INDEX('Saisie'!$K$5:$K$2004,BP111-4)))</f>
        <v/>
      </c>
      <c r="I111" s="60">
        <f>IF(C111="","",IF(OR(D111="Gagné",D111="Perdu"),"",IFERROR(INDEX('Saisie'!$I$5:$I$2004,_xlfn.MAXIFS('Saisie'!$AS$5:$AS$2004,'Saisie'!$C$5:$C$2004,C111,'Saisie'!$I$5:$I$2004,"&lt;&gt;")-4),"")))</f>
        <v/>
      </c>
      <c r="J111" s="60">
        <f>IF(C111="","",IFERROR(INDEX('Saisie'!$U$5:$U$2004,_xlfn.MAXIFS('Saisie'!$AS$5:$AS$2004,'Saisie'!$C$5:$C$2004,C111,'Saisie'!$U$5:$U$2004,"&lt;&gt;")-4),""))</f>
        <v/>
      </c>
      <c r="K111" s="60">
        <f>IF(C111="","",IFERROR(INDEX('Saisie'!$W$5:$W$2004,_xlfn.MAXIFS('Saisie'!$AS$5:$AS$2004,'Saisie'!$C$5:$C$2004,C111,'Saisie'!$W$5:$W$2004,"&lt;&gt;")-4),""))</f>
        <v/>
      </c>
      <c r="L111" s="60">
        <f>IF(IF(BB111&lt;&gt;"",BB111,K111)="","",HYPERLINK("https://wa.me/"&amp;IF(LEFT(SUBSTITUTE(SUBSTITUTE(SUBSTITUTE(IF(BB111&lt;&gt;"",BB111,K111)," ",""),".",""),"+",""),1)="0",'Paramètres'!$B$35&amp;MID(SUBSTITUTE(SUBSTITUTE(SUBSTITUTE(IF(BB111&lt;&gt;"",BB111,K111)," ",""),".",""),"+",""),2,20),SUBSTITUTE(SUBSTITUTE(SUBSTITUTE(IF(BB111&lt;&gt;"",BB111,K111)," ",""),".",""),"+","")),"WhatsApp"))</f>
        <v/>
      </c>
      <c r="M111" s="60">
        <f>IF(BC111="","",HYPERLINK(IF(LEFT(BC111,4)="http",BC111,"https://www.instagram.com/"&amp;SUBSTITUTE(SUBSTITUTE(BC111,"@","")," ","")),BC111))</f>
        <v/>
      </c>
      <c r="N111" s="60">
        <f>IF(C111="","",IFERROR(INDEX('Saisie'!$D$5:$D$2004,_xlfn.MINIFS('Saisie'!$AS$5:$AS$2004,'Saisie'!$C$5:$C$2004,C111,'Saisie'!$AU$5:$AU$2004,1)-4),IFERROR(INDEX('Saisie'!$D$5:$D$2004,_xlfn.MINIFS('Saisie'!$AS$5:$AS$2004,'Saisie'!$C$5:$C$2004,C111,'Saisie'!$D$5:$D$2004,"&lt;&gt;")-4),"")))</f>
        <v/>
      </c>
      <c r="O111" s="60">
        <f>IF(C111="","",COUNTIFS('Saisie'!$C$5:$C$2004,C111,'Saisie'!$AU$5:$AU$2004,1))</f>
        <v/>
      </c>
      <c r="P111" s="60">
        <f>IF(C111="","",COUNTIFS('Saisie'!$C$5:$C$2004,C111,'Saisie'!$AV$5:$AV$2004,1))</f>
        <v/>
      </c>
      <c r="Q111" s="106">
        <f>IF(C111="","",IFERROR(1/(1/_xlfn.MAXIFS('Saisie'!$A$5:$A$2004,'Saisie'!$C$5:$C$2004,C111)),""))</f>
        <v/>
      </c>
      <c r="R111" s="61">
        <f>IF(C111="","",IF(Q111="","",TODAY()-Q111))</f>
        <v/>
      </c>
      <c r="S111" s="60">
        <f>IF(C111="","",IFERROR(INDEX('Saisie'!$R$5:$R$2004,_xlfn.MAXIFS('Saisie'!$AS$5:$AS$2004,'Saisie'!$C$5:$C$2004,C111,'Saisie'!$R$5:$R$2004,"&lt;&gt;")-4),""))</f>
        <v/>
      </c>
      <c r="T111" s="60">
        <f>IF(C111="","",IFERROR(INDEX('Saisie'!$S$5:$S$2004,_xlfn.MAXIFS('Saisie'!$AS$5:$AS$2004,'Saisie'!$C$5:$C$2004,C111,'Saisie'!$S$5:$S$2004,"&lt;&gt;")-4),""))</f>
        <v/>
      </c>
      <c r="U111" s="60">
        <f>IF(C111="","",IFERROR(INDEX('Saisie'!$T$5:$T$2004,_xlfn.MAXIFS('Saisie'!$AS$5:$AS$2004,'Saisie'!$C$5:$C$2004,C111,'Saisie'!$T$5:$T$2004,"&lt;&gt;")-4),""))</f>
        <v/>
      </c>
      <c r="V111" s="60">
        <f>IF(C111="","",IFERROR(INDEX('Saisie'!$V$5:$V$2004,_xlfn.MAXIFS('Saisie'!$AS$5:$AS$2004,'Saisie'!$C$5:$C$2004,C111,'Saisie'!$V$5:$V$2004,"&lt;&gt;")-4),""))</f>
        <v/>
      </c>
      <c r="W111" s="60">
        <f>IF(C111="","",IFERROR(INDEX('Saisie'!$Z$5:$Z$2004,_xlfn.MAXIFS('Saisie'!$AS$5:$AS$2004,'Saisie'!$C$5:$C$2004,C111,'Saisie'!$Z$5:$Z$2004,"&lt;&gt;")-4),""))</f>
        <v/>
      </c>
      <c r="X111" s="60">
        <f>IF(C111="","",IFERROR(INDEX('Saisie'!$AA$5:$AA$2004,_xlfn.MAXIFS('Saisie'!$AS$5:$AS$2004,'Saisie'!$C$5:$C$2004,C111,'Saisie'!$AA$5:$AA$2004,"&lt;&gt;")-4),""))</f>
        <v/>
      </c>
      <c r="Y111" s="60">
        <f>IF(C111="","",IFERROR(INDEX('Saisie'!$AB$5:$AB$2004,_xlfn.MAXIFS('Saisie'!$AS$5:$AS$2004,'Saisie'!$C$5:$C$2004,C111,'Saisie'!$AB$5:$AB$2004,"&lt;&gt;")-4),""))</f>
        <v/>
      </c>
      <c r="Z111" s="60">
        <f>IF(C111="","",IFERROR(INDEX('Saisie'!$AC$5:$AC$2004,_xlfn.MAXIFS('Saisie'!$AS$5:$AS$2004,'Saisie'!$C$5:$C$2004,C111,'Saisie'!$AC$5:$AC$2004,"&lt;&gt;")-4),""))</f>
        <v/>
      </c>
      <c r="AA111" s="106">
        <f>IF(C111="","",IFERROR(INDEX('Saisie'!$AD$5:$AD$2004,_xlfn.MAXIFS('Saisie'!$AS$5:$AS$2004,'Saisie'!$C$5:$C$2004,C111,'Saisie'!$AD$5:$AD$2004,"&lt;&gt;")-4),""))</f>
        <v/>
      </c>
      <c r="AB111" s="60">
        <f>IF(C111="","",IFERROR(INDEX('Saisie'!$AE$5:$AE$2004,_xlfn.MAXIFS('Saisie'!$AS$5:$AS$2004,'Saisie'!$C$5:$C$2004,C111,'Saisie'!$AE$5:$AE$2004,"&lt;&gt;")-4),""))</f>
        <v/>
      </c>
      <c r="AC111" s="60">
        <f>IF(C111="","",IFERROR(INDEX('Saisie'!$AF$5:$AF$2004,_xlfn.MAXIFS('Saisie'!$AS$5:$AS$2004,'Saisie'!$C$5:$C$2004,C111,'Saisie'!$AF$5:$AF$2004,"&lt;&gt;")-4),""))</f>
        <v/>
      </c>
      <c r="AD111" s="108">
        <f>IF(C111="","",IFERROR(INDEX('Saisie'!$AG$5:$AG$2004,_xlfn.MAXIFS('Saisie'!$AS$5:$AS$2004,'Saisie'!$C$5:$C$2004,C111,'Saisie'!$AG$5:$AG$2004,"&lt;&gt;")-4),""))</f>
        <v/>
      </c>
      <c r="AE111" s="60">
        <f>IF(C111="","",IFERROR(INDEX('Saisie'!$AH$5:$AH$2004,_xlfn.MAXIFS('Saisie'!$AS$5:$AS$2004,'Saisie'!$C$5:$C$2004,C111,'Saisie'!$AH$5:$AH$2004,"&lt;&gt;")-4),""))</f>
        <v/>
      </c>
      <c r="AF111" s="60">
        <f>IF(C111="","",IFERROR(INDEX('Saisie'!$AI$5:$AI$2004,_xlfn.MAXIFS('Saisie'!$AS$5:$AS$2004,'Saisie'!$C$5:$C$2004,C111,'Saisie'!$AI$5:$AI$2004,"&lt;&gt;")-4),""))</f>
        <v/>
      </c>
      <c r="AG111" s="60">
        <f>IF(C111="","",IFERROR(INDEX('Saisie'!$AJ$5:$AJ$2004,_xlfn.MAXIFS('Saisie'!$AS$5:$AS$2004,'Saisie'!$C$5:$C$2004,C111,'Saisie'!$AJ$5:$AJ$2004,"&lt;&gt;")-4),""))</f>
        <v/>
      </c>
      <c r="AH111" s="60">
        <f>IF(C111="","",IFERROR(INDEX('Saisie'!$AK$5:$AK$2004,_xlfn.MAXIFS('Saisie'!$AS$5:$AS$2004,'Saisie'!$C$5:$C$2004,C111,'Saisie'!$AK$5:$AK$2004,"&lt;&gt;")-4),""))</f>
        <v/>
      </c>
      <c r="AI111" s="60">
        <f>IF(C111="","",IFERROR(INDEX('Saisie'!$AN$5:$AN$2004,_xlfn.MAXIFS('Saisie'!$AS$5:$AS$2004,'Saisie'!$C$5:$C$2004,C111,'Saisie'!$AN$5:$AN$2004,"&lt;&gt;")-4),""))</f>
        <v/>
      </c>
      <c r="AJ111" s="60">
        <f>IF(C111="","",IFERROR(INDEX('Saisie'!$AO$5:$AO$2004,_xlfn.MAXIFS('Saisie'!$AS$5:$AS$2004,'Saisie'!$C$5:$C$2004,C111,'Saisie'!$AO$5:$AO$2004,"&lt;&gt;")-4),""))</f>
        <v/>
      </c>
      <c r="AK111" s="60">
        <f>IF(C111="","",IFERROR(INDEX('Saisie'!$AP$5:$AP$2004,_xlfn.MAXIFS('Saisie'!$AS$5:$AS$2004,'Saisie'!$C$5:$C$2004,C111,'Saisie'!$AP$5:$AP$2004,"&lt;&gt;")-4),""))</f>
        <v/>
      </c>
      <c r="AL111" s="60">
        <f>IF(C111="","",IFERROR(INDEX('Saisie'!$AQ$5:$AQ$2004,_xlfn.MAXIFS('Saisie'!$AS$5:$AS$2004,'Saisie'!$C$5:$C$2004,C111,'Saisie'!$AQ$5:$AQ$2004,"&lt;&gt;")-4),""))</f>
        <v/>
      </c>
      <c r="AM111" s="60">
        <f>IF(C111="","",((AI111="Oui")+(AJ111="Oui")+(AK111="Oui")+OR(AL111="Immédiat",AL111="&lt; 1 mois"))&amp;"/4")</f>
        <v/>
      </c>
      <c r="AN111" s="60">
        <f>IF(C111="","",IFERROR(INDEX('Saisie'!$AL$5:$AL$2004,_xlfn.MAXIFS('Saisie'!$AS$5:$AS$2004,'Saisie'!$C$5:$C$2004,C111,'Saisie'!$AL$5:$AL$2004,"&lt;&gt;")-4),""))</f>
        <v/>
      </c>
      <c r="AO111" s="62">
        <f>IF(C111="","",IF(IFERROR(INDEX('Saisie'!$AM$5:$AM$2004,_xlfn.MAXIFS('Saisie'!$AS$5:$AS$2004,'Saisie'!$C$5:$C$2004,C111,'Saisie'!$AM$5:$AM$2004,"&lt;&gt;")-4),"")&lt;&gt;"",IFERROR(INDEX('Saisie'!$AM$5:$AM$2004,_xlfn.MAXIFS('Saisie'!$AS$5:$AS$2004,'Saisie'!$C$5:$C$2004,C111,'Saisie'!$AM$5:$AM$2004,"&lt;&gt;")-4),""),IFERROR(INDEX('Paramètres'!$S$6:$S$15,MATCH(AN111,'Paramètres'!$Q$6:$Q$15,0)),"")))</f>
        <v/>
      </c>
      <c r="AP111" s="62">
        <f>IF(C111="","",IFERROR(INDEX('Saisie'!$AW$5:$AW$2004,_xlfn.MAXIFS('Saisie'!$AS$5:$AS$2004,'Saisie'!$C$5:$C$2004,C111,'Saisie'!$E$5:$E$2004,"Proposition envoyée")-4),""))</f>
        <v/>
      </c>
      <c r="AQ111" s="106">
        <f>IF(C111="","",IFERROR(1/(1/_xlfn.MAXIFS('Saisie'!$A$5:$A$2004,'Saisie'!$C$5:$C$2004,C111,'Saisie'!$E$5:$E$2004,"Proposition envoyée")),""))</f>
        <v/>
      </c>
      <c r="AR111" s="106">
        <f>IF(C111="","",IF(AQ111="","",AQ111+'Paramètres'!$B$26))</f>
        <v/>
      </c>
      <c r="AS111" s="62">
        <f>IF(OR(C111="",D111="Gagné",D111="Perdu"),0,N(AP111)*IFERROR(INDEX('Paramètres'!$G$6:$G$13,MATCH(D111,'Paramètres'!$F$6:$F$13,0)),0))</f>
        <v/>
      </c>
      <c r="AT111" s="106">
        <f>IF(C111="","",IFERROR(1/(1/_xlfn.MINIFS('Saisie'!$A$5:$A$2004,'Saisie'!$C$5:$C$2004,C111,'Saisie'!$E$5:$E$2004,"Signature")),""))</f>
        <v/>
      </c>
      <c r="AU111" s="60">
        <f>IF(C111="","",IF(OR(AT111="",B111=""),"",AT111-B111))</f>
        <v/>
      </c>
      <c r="AV111" s="60">
        <f>IF(C111="","",IFERROR(INDEX('Saisie'!$L$5:$L$2004,_xlfn.MAXIFS('Saisie'!$AS$5:$AS$2004,'Saisie'!$C$5:$C$2004,C111,'Saisie'!$L$5:$L$2004,"&lt;&gt;")-4),""))</f>
        <v/>
      </c>
      <c r="AW111" s="106">
        <f>IF(C111="","",IF(D111&lt;&gt;"Perdu","",IFERROR(1/(1/_xlfn.MAXIFS('Saisie'!$A$5:$A$2004,'Saisie'!$C$5:$C$2004,C111,'Saisie'!$E$5:$E$2004,"Perdu")),"")))</f>
        <v/>
      </c>
      <c r="AX111" s="106">
        <f>IF(C111="","",IF(AW111="","",AW111+'Paramètres'!$B$28))</f>
        <v/>
      </c>
      <c r="AY111" s="60">
        <f>IF(C111="","",SUMIFS('Saisie'!$H$5:$H$2004,'Saisie'!$C$5:$C$2004,C111))</f>
        <v/>
      </c>
      <c r="AZ111" s="60">
        <f>IF(C111="","",IFERROR(INDEX('Paramètres'!$W$6:$W$20,MATCH(S111,'Paramètres'!$V$6:$V$20,0))&amp;"",""))</f>
        <v/>
      </c>
      <c r="BA111" s="60">
        <f>IF(C111="","",MAX(1,_xlfn.MAXIFS('Saisie'!$AT$5:$AT$2004,'Saisie'!$C$5:$C$2004,C111)))</f>
        <v/>
      </c>
      <c r="BB111" s="60">
        <f>IF(C111="","",IFERROR(INDEX('Saisie'!$X$5:$X$2004,_xlfn.MAXIFS('Saisie'!$AS$5:$AS$2004,'Saisie'!$C$5:$C$2004,C111,'Saisie'!$X$5:$X$2004,"&lt;&gt;")-4),""))</f>
        <v/>
      </c>
      <c r="BC111" s="60">
        <f>IF(C111="","",IFERROR(INDEX('Saisie'!$Y$5:$Y$2004,_xlfn.MAXIFS('Saisie'!$AS$5:$AS$2004,'Saisie'!$C$5:$C$2004,C111,'Saisie'!$Y$5:$Y$2004,"&lt;&gt;")-4),""))</f>
        <v/>
      </c>
      <c r="BD111" s="106">
        <f>IF(C111="","",IFERROR(1/(1/_xlfn.MINIFS('Saisie'!$A$5:$A$2004,'Saisie'!$C$5:$C$2004,C111,'Saisie'!$AT$5:$AT$2004,"&gt;=2")),""))</f>
        <v/>
      </c>
      <c r="BE111" s="106">
        <f>IF(C111="","",IFERROR(1/(1/_xlfn.MINIFS('Saisie'!$A$5:$A$2004,'Saisie'!$C$5:$C$2004,C111,'Saisie'!$AT$5:$AT$2004,"&gt;=3")),""))</f>
        <v/>
      </c>
      <c r="BF111" s="106">
        <f>IF(C111="","",IFERROR(1/(1/_xlfn.MINIFS('Saisie'!$A$5:$A$2004,'Saisie'!$C$5:$C$2004,C111,'Saisie'!$AT$5:$AT$2004,"&gt;=4")),""))</f>
        <v/>
      </c>
      <c r="BG111" s="106">
        <f>IF(C111="","",IFERROR(1/(1/_xlfn.MINIFS('Saisie'!$A$5:$A$2004,'Saisie'!$C$5:$C$2004,C111,'Saisie'!$AT$5:$AT$2004,"&gt;=5")),""))</f>
        <v/>
      </c>
      <c r="BH111" s="106">
        <f>IF(C111="","",IFERROR(1/(1/_xlfn.MINIFS('Saisie'!$A$5:$A$2004,'Saisie'!$C$5:$C$2004,C111,'Saisie'!$AT$5:$AT$2004,"&gt;=6")),""))</f>
        <v/>
      </c>
      <c r="BI111" s="106">
        <f>IF(C111="","",IFERROR(1/(1/_xlfn.MINIFS('Saisie'!$A$5:$A$2004,'Saisie'!$C$5:$C$2004,C111,'Saisie'!$AT$5:$AT$2004,"&gt;=7")),""))</f>
        <v/>
      </c>
      <c r="BJ111" s="60">
        <f>IF(OR(BD111="",B111=""),"",BD111-B111)</f>
        <v/>
      </c>
      <c r="BK111" s="60">
        <f>IF(OR(BE111="",BD111=""),"",BE111-BD111)</f>
        <v/>
      </c>
      <c r="BL111" s="60">
        <f>IF(OR(BF111="",BE111=""),"",BF111-BE111)</f>
        <v/>
      </c>
      <c r="BM111" s="60">
        <f>IF(OR(BG111="",BF111=""),"",BG111-BF111)</f>
        <v/>
      </c>
      <c r="BN111" s="60">
        <f>IF(OR(BH111="",BG111=""),"",BH111-BG111)</f>
        <v/>
      </c>
      <c r="BO111" s="60">
        <f>IF(OR(BI111="",BH111=""),"",BI111-BH111)</f>
        <v/>
      </c>
      <c r="BP111" s="60">
        <f>IF(C111="","",_xlfn.MAXIFS('Saisie'!$AS$5:$AS$2004,'Saisie'!$C$5:$C$2004,C111,'Saisie'!$J$5:$J$2004,"&lt;&gt;"))</f>
        <v/>
      </c>
      <c r="BQ111" s="60">
        <f>IF(C111="","",_xlfn.MAXIFS('Saisie'!$AS$5:$AS$2004,'Saisie'!$C$5:$C$2004,C111))</f>
        <v/>
      </c>
      <c r="BR111" s="60">
        <f>IF(C111="","",_xlfn.MAXIFS('Saisie'!$AS$5:$AS$2004,'Saisie'!$C$5:$C$2004,C111,'Saisie'!$E$5:$E$2004,"Perdu"))</f>
        <v/>
      </c>
      <c r="BS111" s="60">
        <f>IF(C111="","",_xlfn.MAXIFS('Saisie'!$AS$5:$AS$2004,'Saisie'!$C$5:$C$2004,C111,'Saisie'!$AT$5:$AT$2004,"&gt;0"))</f>
        <v/>
      </c>
      <c r="BT111" s="109">
        <f>IF(AND(C111&lt;&gt;"",OR(D111="Nouveau",D111="Contacté",D111="Qualifié"),OR(G111="",N(G111)&lt;=TODAY()),NOT(AND(O111&gt;='Paramètres'!$B$21,P111=0))),E111+107/10000,"")</f>
        <v/>
      </c>
      <c r="BU111" s="60">
        <f>IF(AND(G111&lt;&gt;"",N(G111)&lt;=TODAY()),MAX($BU$4:BU110)+1,"")</f>
        <v/>
      </c>
      <c r="BV111" s="60">
        <f>IF(AND(F111&lt;&gt;"",F111&lt;&gt;"Relance en retard"),MAX($BV$4:BV110)+1,"")</f>
        <v/>
      </c>
      <c r="BW111" s="60">
        <f>IF(C111="","",IF(AND(B111&gt;='Tableau de bord'!$R$4,B111&lt;='Tableau de bord'!$S$4,OR('Tableau de bord'!$G$4="Tous",N111='Tableau de bord'!$G$4)),1,0))</f>
        <v/>
      </c>
      <c r="BX111" s="60">
        <f>IF(AND(C111&lt;&gt;"",N(BA111)=7),MAX($BX$4:BX110)+1,"")</f>
        <v/>
      </c>
    </row>
    <row r="112">
      <c r="A112" s="60">
        <f>IF(C112="","","P-"&amp;TEXT(108,"000"))</f>
        <v/>
      </c>
      <c r="B112" s="106">
        <f>IF(C112="","",IFERROR(1/(1/_xlfn.MINIFS('Saisie'!$A$5:$A$2004,'Saisie'!$C$5:$C$2004,C112)),""))</f>
        <v/>
      </c>
      <c r="C112" s="60">
        <f>IFERROR(INDEX('Saisie'!$C$5:$C$2004,MATCH(108,'Saisie'!$AX$5:$AX$2004,0)),"")</f>
        <v/>
      </c>
      <c r="D112" s="60">
        <f>IF(C112="","",IF(AND(BR112&gt;0,BR112&gt;BS112,BA112&lt;7),"Perdu",INDEX('Paramètres'!$F$6:$F$13,BA112)))</f>
        <v/>
      </c>
      <c r="E112" s="61">
        <f>IF(C112="","",MIN(100,(Z112="Oui")*'Paramètres'!$B$38+(AB112="Régulière")*'Paramètres'!$B$39+IF(AND(N(AA112)&gt;0,TODAY()-N(AA112)&lt;=30),'Paramètres'!$B$40,0)+(W112="")*'Paramètres'!$B$41+(AC112="Absente")*'Paramètres'!$B$42+(AC112="Faible")*'Paramètres'!$B$43+IF(AND(N(AD112)&gt;0,N(AD112)&lt;4),'Paramètres'!$B$44,0)+(AF112="Moyenne")*'Paramètres'!$B$45+(AF112="Grande")*'Paramètres'!$B$46+(Y112&lt;&gt;"")*'Paramètres'!$B$47))</f>
        <v/>
      </c>
      <c r="F112" s="60">
        <f>IF(C112="","",IF(D112="Gagné","",IF(D112="Perdu",IF(AND(AX112&lt;&gt;"",AX112&lt;=TODAY()),"À recontacter (perdu)",""),IF(AND(O112&gt;='Paramètres'!$B$21,P112=0),"Stop : "&amp;'Paramètres'!$B$21&amp;" tentatives sans réponse",IF(AND(D112="Proposition",AR112&lt;&gt;"",TODAY()&gt;N(AR112)),"Proposition expirée",IF(AND(D112="Proposition",N(R112)&gt;='Paramètres'!$B$25),"Proposition sans réponse",IF(AND(G112&lt;&gt;"",N(G112)&lt;TODAY()),"Relance en retard",IF(N(R112)&gt;='Paramètres'!$B$24,"Sans action depuis "&amp;R112&amp;" j",""))))))))</f>
        <v/>
      </c>
      <c r="G112" s="106">
        <f>IF(OR(C112="",D112="Gagné",D112="Perdu"),"",IF(AND(BP112&gt;0,BP112=BQ112),INDEX('Saisie'!$J$5:$J$2004,BP112-4),IF(OR(O112=0,AND(O112&gt;='Paramètres'!$B$21,P112=0)),"",Q112+IF(O112&lt;=1,'Paramètres'!$B$18,IF(O112=2,'Paramètres'!$B$19,'Paramètres'!$B$20)))))</f>
        <v/>
      </c>
      <c r="H112" s="107">
        <f>IF(OR(G112="",BP112&lt;&gt;BQ112),"",IF(INDEX('Saisie'!$K$5:$K$2004,BP112-4)="","",INDEX('Saisie'!$K$5:$K$2004,BP112-4)))</f>
        <v/>
      </c>
      <c r="I112" s="60">
        <f>IF(C112="","",IF(OR(D112="Gagné",D112="Perdu"),"",IFERROR(INDEX('Saisie'!$I$5:$I$2004,_xlfn.MAXIFS('Saisie'!$AS$5:$AS$2004,'Saisie'!$C$5:$C$2004,C112,'Saisie'!$I$5:$I$2004,"&lt;&gt;")-4),"")))</f>
        <v/>
      </c>
      <c r="J112" s="60">
        <f>IF(C112="","",IFERROR(INDEX('Saisie'!$U$5:$U$2004,_xlfn.MAXIFS('Saisie'!$AS$5:$AS$2004,'Saisie'!$C$5:$C$2004,C112,'Saisie'!$U$5:$U$2004,"&lt;&gt;")-4),""))</f>
        <v/>
      </c>
      <c r="K112" s="60">
        <f>IF(C112="","",IFERROR(INDEX('Saisie'!$W$5:$W$2004,_xlfn.MAXIFS('Saisie'!$AS$5:$AS$2004,'Saisie'!$C$5:$C$2004,C112,'Saisie'!$W$5:$W$2004,"&lt;&gt;")-4),""))</f>
        <v/>
      </c>
      <c r="L112" s="60">
        <f>IF(IF(BB112&lt;&gt;"",BB112,K112)="","",HYPERLINK("https://wa.me/"&amp;IF(LEFT(SUBSTITUTE(SUBSTITUTE(SUBSTITUTE(IF(BB112&lt;&gt;"",BB112,K112)," ",""),".",""),"+",""),1)="0",'Paramètres'!$B$35&amp;MID(SUBSTITUTE(SUBSTITUTE(SUBSTITUTE(IF(BB112&lt;&gt;"",BB112,K112)," ",""),".",""),"+",""),2,20),SUBSTITUTE(SUBSTITUTE(SUBSTITUTE(IF(BB112&lt;&gt;"",BB112,K112)," ",""),".",""),"+","")),"WhatsApp"))</f>
        <v/>
      </c>
      <c r="M112" s="60">
        <f>IF(BC112="","",HYPERLINK(IF(LEFT(BC112,4)="http",BC112,"https://www.instagram.com/"&amp;SUBSTITUTE(SUBSTITUTE(BC112,"@","")," ","")),BC112))</f>
        <v/>
      </c>
      <c r="N112" s="60">
        <f>IF(C112="","",IFERROR(INDEX('Saisie'!$D$5:$D$2004,_xlfn.MINIFS('Saisie'!$AS$5:$AS$2004,'Saisie'!$C$5:$C$2004,C112,'Saisie'!$AU$5:$AU$2004,1)-4),IFERROR(INDEX('Saisie'!$D$5:$D$2004,_xlfn.MINIFS('Saisie'!$AS$5:$AS$2004,'Saisie'!$C$5:$C$2004,C112,'Saisie'!$D$5:$D$2004,"&lt;&gt;")-4),"")))</f>
        <v/>
      </c>
      <c r="O112" s="60">
        <f>IF(C112="","",COUNTIFS('Saisie'!$C$5:$C$2004,C112,'Saisie'!$AU$5:$AU$2004,1))</f>
        <v/>
      </c>
      <c r="P112" s="60">
        <f>IF(C112="","",COUNTIFS('Saisie'!$C$5:$C$2004,C112,'Saisie'!$AV$5:$AV$2004,1))</f>
        <v/>
      </c>
      <c r="Q112" s="106">
        <f>IF(C112="","",IFERROR(1/(1/_xlfn.MAXIFS('Saisie'!$A$5:$A$2004,'Saisie'!$C$5:$C$2004,C112)),""))</f>
        <v/>
      </c>
      <c r="R112" s="61">
        <f>IF(C112="","",IF(Q112="","",TODAY()-Q112))</f>
        <v/>
      </c>
      <c r="S112" s="60">
        <f>IF(C112="","",IFERROR(INDEX('Saisie'!$R$5:$R$2004,_xlfn.MAXIFS('Saisie'!$AS$5:$AS$2004,'Saisie'!$C$5:$C$2004,C112,'Saisie'!$R$5:$R$2004,"&lt;&gt;")-4),""))</f>
        <v/>
      </c>
      <c r="T112" s="60">
        <f>IF(C112="","",IFERROR(INDEX('Saisie'!$S$5:$S$2004,_xlfn.MAXIFS('Saisie'!$AS$5:$AS$2004,'Saisie'!$C$5:$C$2004,C112,'Saisie'!$S$5:$S$2004,"&lt;&gt;")-4),""))</f>
        <v/>
      </c>
      <c r="U112" s="60">
        <f>IF(C112="","",IFERROR(INDEX('Saisie'!$T$5:$T$2004,_xlfn.MAXIFS('Saisie'!$AS$5:$AS$2004,'Saisie'!$C$5:$C$2004,C112,'Saisie'!$T$5:$T$2004,"&lt;&gt;")-4),""))</f>
        <v/>
      </c>
      <c r="V112" s="60">
        <f>IF(C112="","",IFERROR(INDEX('Saisie'!$V$5:$V$2004,_xlfn.MAXIFS('Saisie'!$AS$5:$AS$2004,'Saisie'!$C$5:$C$2004,C112,'Saisie'!$V$5:$V$2004,"&lt;&gt;")-4),""))</f>
        <v/>
      </c>
      <c r="W112" s="60">
        <f>IF(C112="","",IFERROR(INDEX('Saisie'!$Z$5:$Z$2004,_xlfn.MAXIFS('Saisie'!$AS$5:$AS$2004,'Saisie'!$C$5:$C$2004,C112,'Saisie'!$Z$5:$Z$2004,"&lt;&gt;")-4),""))</f>
        <v/>
      </c>
      <c r="X112" s="60">
        <f>IF(C112="","",IFERROR(INDEX('Saisie'!$AA$5:$AA$2004,_xlfn.MAXIFS('Saisie'!$AS$5:$AS$2004,'Saisie'!$C$5:$C$2004,C112,'Saisie'!$AA$5:$AA$2004,"&lt;&gt;")-4),""))</f>
        <v/>
      </c>
      <c r="Y112" s="60">
        <f>IF(C112="","",IFERROR(INDEX('Saisie'!$AB$5:$AB$2004,_xlfn.MAXIFS('Saisie'!$AS$5:$AS$2004,'Saisie'!$C$5:$C$2004,C112,'Saisie'!$AB$5:$AB$2004,"&lt;&gt;")-4),""))</f>
        <v/>
      </c>
      <c r="Z112" s="60">
        <f>IF(C112="","",IFERROR(INDEX('Saisie'!$AC$5:$AC$2004,_xlfn.MAXIFS('Saisie'!$AS$5:$AS$2004,'Saisie'!$C$5:$C$2004,C112,'Saisie'!$AC$5:$AC$2004,"&lt;&gt;")-4),""))</f>
        <v/>
      </c>
      <c r="AA112" s="106">
        <f>IF(C112="","",IFERROR(INDEX('Saisie'!$AD$5:$AD$2004,_xlfn.MAXIFS('Saisie'!$AS$5:$AS$2004,'Saisie'!$C$5:$C$2004,C112,'Saisie'!$AD$5:$AD$2004,"&lt;&gt;")-4),""))</f>
        <v/>
      </c>
      <c r="AB112" s="60">
        <f>IF(C112="","",IFERROR(INDEX('Saisie'!$AE$5:$AE$2004,_xlfn.MAXIFS('Saisie'!$AS$5:$AS$2004,'Saisie'!$C$5:$C$2004,C112,'Saisie'!$AE$5:$AE$2004,"&lt;&gt;")-4),""))</f>
        <v/>
      </c>
      <c r="AC112" s="60">
        <f>IF(C112="","",IFERROR(INDEX('Saisie'!$AF$5:$AF$2004,_xlfn.MAXIFS('Saisie'!$AS$5:$AS$2004,'Saisie'!$C$5:$C$2004,C112,'Saisie'!$AF$5:$AF$2004,"&lt;&gt;")-4),""))</f>
        <v/>
      </c>
      <c r="AD112" s="108">
        <f>IF(C112="","",IFERROR(INDEX('Saisie'!$AG$5:$AG$2004,_xlfn.MAXIFS('Saisie'!$AS$5:$AS$2004,'Saisie'!$C$5:$C$2004,C112,'Saisie'!$AG$5:$AG$2004,"&lt;&gt;")-4),""))</f>
        <v/>
      </c>
      <c r="AE112" s="60">
        <f>IF(C112="","",IFERROR(INDEX('Saisie'!$AH$5:$AH$2004,_xlfn.MAXIFS('Saisie'!$AS$5:$AS$2004,'Saisie'!$C$5:$C$2004,C112,'Saisie'!$AH$5:$AH$2004,"&lt;&gt;")-4),""))</f>
        <v/>
      </c>
      <c r="AF112" s="60">
        <f>IF(C112="","",IFERROR(INDEX('Saisie'!$AI$5:$AI$2004,_xlfn.MAXIFS('Saisie'!$AS$5:$AS$2004,'Saisie'!$C$5:$C$2004,C112,'Saisie'!$AI$5:$AI$2004,"&lt;&gt;")-4),""))</f>
        <v/>
      </c>
      <c r="AG112" s="60">
        <f>IF(C112="","",IFERROR(INDEX('Saisie'!$AJ$5:$AJ$2004,_xlfn.MAXIFS('Saisie'!$AS$5:$AS$2004,'Saisie'!$C$5:$C$2004,C112,'Saisie'!$AJ$5:$AJ$2004,"&lt;&gt;")-4),""))</f>
        <v/>
      </c>
      <c r="AH112" s="60">
        <f>IF(C112="","",IFERROR(INDEX('Saisie'!$AK$5:$AK$2004,_xlfn.MAXIFS('Saisie'!$AS$5:$AS$2004,'Saisie'!$C$5:$C$2004,C112,'Saisie'!$AK$5:$AK$2004,"&lt;&gt;")-4),""))</f>
        <v/>
      </c>
      <c r="AI112" s="60">
        <f>IF(C112="","",IFERROR(INDEX('Saisie'!$AN$5:$AN$2004,_xlfn.MAXIFS('Saisie'!$AS$5:$AS$2004,'Saisie'!$C$5:$C$2004,C112,'Saisie'!$AN$5:$AN$2004,"&lt;&gt;")-4),""))</f>
        <v/>
      </c>
      <c r="AJ112" s="60">
        <f>IF(C112="","",IFERROR(INDEX('Saisie'!$AO$5:$AO$2004,_xlfn.MAXIFS('Saisie'!$AS$5:$AS$2004,'Saisie'!$C$5:$C$2004,C112,'Saisie'!$AO$5:$AO$2004,"&lt;&gt;")-4),""))</f>
        <v/>
      </c>
      <c r="AK112" s="60">
        <f>IF(C112="","",IFERROR(INDEX('Saisie'!$AP$5:$AP$2004,_xlfn.MAXIFS('Saisie'!$AS$5:$AS$2004,'Saisie'!$C$5:$C$2004,C112,'Saisie'!$AP$5:$AP$2004,"&lt;&gt;")-4),""))</f>
        <v/>
      </c>
      <c r="AL112" s="60">
        <f>IF(C112="","",IFERROR(INDEX('Saisie'!$AQ$5:$AQ$2004,_xlfn.MAXIFS('Saisie'!$AS$5:$AS$2004,'Saisie'!$C$5:$C$2004,C112,'Saisie'!$AQ$5:$AQ$2004,"&lt;&gt;")-4),""))</f>
        <v/>
      </c>
      <c r="AM112" s="60">
        <f>IF(C112="","",((AI112="Oui")+(AJ112="Oui")+(AK112="Oui")+OR(AL112="Immédiat",AL112="&lt; 1 mois"))&amp;"/4")</f>
        <v/>
      </c>
      <c r="AN112" s="60">
        <f>IF(C112="","",IFERROR(INDEX('Saisie'!$AL$5:$AL$2004,_xlfn.MAXIFS('Saisie'!$AS$5:$AS$2004,'Saisie'!$C$5:$C$2004,C112,'Saisie'!$AL$5:$AL$2004,"&lt;&gt;")-4),""))</f>
        <v/>
      </c>
      <c r="AO112" s="62">
        <f>IF(C112="","",IF(IFERROR(INDEX('Saisie'!$AM$5:$AM$2004,_xlfn.MAXIFS('Saisie'!$AS$5:$AS$2004,'Saisie'!$C$5:$C$2004,C112,'Saisie'!$AM$5:$AM$2004,"&lt;&gt;")-4),"")&lt;&gt;"",IFERROR(INDEX('Saisie'!$AM$5:$AM$2004,_xlfn.MAXIFS('Saisie'!$AS$5:$AS$2004,'Saisie'!$C$5:$C$2004,C112,'Saisie'!$AM$5:$AM$2004,"&lt;&gt;")-4),""),IFERROR(INDEX('Paramètres'!$S$6:$S$15,MATCH(AN112,'Paramètres'!$Q$6:$Q$15,0)),"")))</f>
        <v/>
      </c>
      <c r="AP112" s="62">
        <f>IF(C112="","",IFERROR(INDEX('Saisie'!$AW$5:$AW$2004,_xlfn.MAXIFS('Saisie'!$AS$5:$AS$2004,'Saisie'!$C$5:$C$2004,C112,'Saisie'!$E$5:$E$2004,"Proposition envoyée")-4),""))</f>
        <v/>
      </c>
      <c r="AQ112" s="106">
        <f>IF(C112="","",IFERROR(1/(1/_xlfn.MAXIFS('Saisie'!$A$5:$A$2004,'Saisie'!$C$5:$C$2004,C112,'Saisie'!$E$5:$E$2004,"Proposition envoyée")),""))</f>
        <v/>
      </c>
      <c r="AR112" s="106">
        <f>IF(C112="","",IF(AQ112="","",AQ112+'Paramètres'!$B$26))</f>
        <v/>
      </c>
      <c r="AS112" s="62">
        <f>IF(OR(C112="",D112="Gagné",D112="Perdu"),0,N(AP112)*IFERROR(INDEX('Paramètres'!$G$6:$G$13,MATCH(D112,'Paramètres'!$F$6:$F$13,0)),0))</f>
        <v/>
      </c>
      <c r="AT112" s="106">
        <f>IF(C112="","",IFERROR(1/(1/_xlfn.MINIFS('Saisie'!$A$5:$A$2004,'Saisie'!$C$5:$C$2004,C112,'Saisie'!$E$5:$E$2004,"Signature")),""))</f>
        <v/>
      </c>
      <c r="AU112" s="60">
        <f>IF(C112="","",IF(OR(AT112="",B112=""),"",AT112-B112))</f>
        <v/>
      </c>
      <c r="AV112" s="60">
        <f>IF(C112="","",IFERROR(INDEX('Saisie'!$L$5:$L$2004,_xlfn.MAXIFS('Saisie'!$AS$5:$AS$2004,'Saisie'!$C$5:$C$2004,C112,'Saisie'!$L$5:$L$2004,"&lt;&gt;")-4),""))</f>
        <v/>
      </c>
      <c r="AW112" s="106">
        <f>IF(C112="","",IF(D112&lt;&gt;"Perdu","",IFERROR(1/(1/_xlfn.MAXIFS('Saisie'!$A$5:$A$2004,'Saisie'!$C$5:$C$2004,C112,'Saisie'!$E$5:$E$2004,"Perdu")),"")))</f>
        <v/>
      </c>
      <c r="AX112" s="106">
        <f>IF(C112="","",IF(AW112="","",AW112+'Paramètres'!$B$28))</f>
        <v/>
      </c>
      <c r="AY112" s="60">
        <f>IF(C112="","",SUMIFS('Saisie'!$H$5:$H$2004,'Saisie'!$C$5:$C$2004,C112))</f>
        <v/>
      </c>
      <c r="AZ112" s="60">
        <f>IF(C112="","",IFERROR(INDEX('Paramètres'!$W$6:$W$20,MATCH(S112,'Paramètres'!$V$6:$V$20,0))&amp;"",""))</f>
        <v/>
      </c>
      <c r="BA112" s="60">
        <f>IF(C112="","",MAX(1,_xlfn.MAXIFS('Saisie'!$AT$5:$AT$2004,'Saisie'!$C$5:$C$2004,C112)))</f>
        <v/>
      </c>
      <c r="BB112" s="60">
        <f>IF(C112="","",IFERROR(INDEX('Saisie'!$X$5:$X$2004,_xlfn.MAXIFS('Saisie'!$AS$5:$AS$2004,'Saisie'!$C$5:$C$2004,C112,'Saisie'!$X$5:$X$2004,"&lt;&gt;")-4),""))</f>
        <v/>
      </c>
      <c r="BC112" s="60">
        <f>IF(C112="","",IFERROR(INDEX('Saisie'!$Y$5:$Y$2004,_xlfn.MAXIFS('Saisie'!$AS$5:$AS$2004,'Saisie'!$C$5:$C$2004,C112,'Saisie'!$Y$5:$Y$2004,"&lt;&gt;")-4),""))</f>
        <v/>
      </c>
      <c r="BD112" s="106">
        <f>IF(C112="","",IFERROR(1/(1/_xlfn.MINIFS('Saisie'!$A$5:$A$2004,'Saisie'!$C$5:$C$2004,C112,'Saisie'!$AT$5:$AT$2004,"&gt;=2")),""))</f>
        <v/>
      </c>
      <c r="BE112" s="106">
        <f>IF(C112="","",IFERROR(1/(1/_xlfn.MINIFS('Saisie'!$A$5:$A$2004,'Saisie'!$C$5:$C$2004,C112,'Saisie'!$AT$5:$AT$2004,"&gt;=3")),""))</f>
        <v/>
      </c>
      <c r="BF112" s="106">
        <f>IF(C112="","",IFERROR(1/(1/_xlfn.MINIFS('Saisie'!$A$5:$A$2004,'Saisie'!$C$5:$C$2004,C112,'Saisie'!$AT$5:$AT$2004,"&gt;=4")),""))</f>
        <v/>
      </c>
      <c r="BG112" s="106">
        <f>IF(C112="","",IFERROR(1/(1/_xlfn.MINIFS('Saisie'!$A$5:$A$2004,'Saisie'!$C$5:$C$2004,C112,'Saisie'!$AT$5:$AT$2004,"&gt;=5")),""))</f>
        <v/>
      </c>
      <c r="BH112" s="106">
        <f>IF(C112="","",IFERROR(1/(1/_xlfn.MINIFS('Saisie'!$A$5:$A$2004,'Saisie'!$C$5:$C$2004,C112,'Saisie'!$AT$5:$AT$2004,"&gt;=6")),""))</f>
        <v/>
      </c>
      <c r="BI112" s="106">
        <f>IF(C112="","",IFERROR(1/(1/_xlfn.MINIFS('Saisie'!$A$5:$A$2004,'Saisie'!$C$5:$C$2004,C112,'Saisie'!$AT$5:$AT$2004,"&gt;=7")),""))</f>
        <v/>
      </c>
      <c r="BJ112" s="60">
        <f>IF(OR(BD112="",B112=""),"",BD112-B112)</f>
        <v/>
      </c>
      <c r="BK112" s="60">
        <f>IF(OR(BE112="",BD112=""),"",BE112-BD112)</f>
        <v/>
      </c>
      <c r="BL112" s="60">
        <f>IF(OR(BF112="",BE112=""),"",BF112-BE112)</f>
        <v/>
      </c>
      <c r="BM112" s="60">
        <f>IF(OR(BG112="",BF112=""),"",BG112-BF112)</f>
        <v/>
      </c>
      <c r="BN112" s="60">
        <f>IF(OR(BH112="",BG112=""),"",BH112-BG112)</f>
        <v/>
      </c>
      <c r="BO112" s="60">
        <f>IF(OR(BI112="",BH112=""),"",BI112-BH112)</f>
        <v/>
      </c>
      <c r="BP112" s="60">
        <f>IF(C112="","",_xlfn.MAXIFS('Saisie'!$AS$5:$AS$2004,'Saisie'!$C$5:$C$2004,C112,'Saisie'!$J$5:$J$2004,"&lt;&gt;"))</f>
        <v/>
      </c>
      <c r="BQ112" s="60">
        <f>IF(C112="","",_xlfn.MAXIFS('Saisie'!$AS$5:$AS$2004,'Saisie'!$C$5:$C$2004,C112))</f>
        <v/>
      </c>
      <c r="BR112" s="60">
        <f>IF(C112="","",_xlfn.MAXIFS('Saisie'!$AS$5:$AS$2004,'Saisie'!$C$5:$C$2004,C112,'Saisie'!$E$5:$E$2004,"Perdu"))</f>
        <v/>
      </c>
      <c r="BS112" s="60">
        <f>IF(C112="","",_xlfn.MAXIFS('Saisie'!$AS$5:$AS$2004,'Saisie'!$C$5:$C$2004,C112,'Saisie'!$AT$5:$AT$2004,"&gt;0"))</f>
        <v/>
      </c>
      <c r="BT112" s="109">
        <f>IF(AND(C112&lt;&gt;"",OR(D112="Nouveau",D112="Contacté",D112="Qualifié"),OR(G112="",N(G112)&lt;=TODAY()),NOT(AND(O112&gt;='Paramètres'!$B$21,P112=0))),E112+108/10000,"")</f>
        <v/>
      </c>
      <c r="BU112" s="60">
        <f>IF(AND(G112&lt;&gt;"",N(G112)&lt;=TODAY()),MAX($BU$4:BU111)+1,"")</f>
        <v/>
      </c>
      <c r="BV112" s="60">
        <f>IF(AND(F112&lt;&gt;"",F112&lt;&gt;"Relance en retard"),MAX($BV$4:BV111)+1,"")</f>
        <v/>
      </c>
      <c r="BW112" s="60">
        <f>IF(C112="","",IF(AND(B112&gt;='Tableau de bord'!$R$4,B112&lt;='Tableau de bord'!$S$4,OR('Tableau de bord'!$G$4="Tous",N112='Tableau de bord'!$G$4)),1,0))</f>
        <v/>
      </c>
      <c r="BX112" s="60">
        <f>IF(AND(C112&lt;&gt;"",N(BA112)=7),MAX($BX$4:BX111)+1,"")</f>
        <v/>
      </c>
    </row>
    <row r="113">
      <c r="A113" s="60">
        <f>IF(C113="","","P-"&amp;TEXT(109,"000"))</f>
        <v/>
      </c>
      <c r="B113" s="106">
        <f>IF(C113="","",IFERROR(1/(1/_xlfn.MINIFS('Saisie'!$A$5:$A$2004,'Saisie'!$C$5:$C$2004,C113)),""))</f>
        <v/>
      </c>
      <c r="C113" s="60">
        <f>IFERROR(INDEX('Saisie'!$C$5:$C$2004,MATCH(109,'Saisie'!$AX$5:$AX$2004,0)),"")</f>
        <v/>
      </c>
      <c r="D113" s="60">
        <f>IF(C113="","",IF(AND(BR113&gt;0,BR113&gt;BS113,BA113&lt;7),"Perdu",INDEX('Paramètres'!$F$6:$F$13,BA113)))</f>
        <v/>
      </c>
      <c r="E113" s="61">
        <f>IF(C113="","",MIN(100,(Z113="Oui")*'Paramètres'!$B$38+(AB113="Régulière")*'Paramètres'!$B$39+IF(AND(N(AA113)&gt;0,TODAY()-N(AA113)&lt;=30),'Paramètres'!$B$40,0)+(W113="")*'Paramètres'!$B$41+(AC113="Absente")*'Paramètres'!$B$42+(AC113="Faible")*'Paramètres'!$B$43+IF(AND(N(AD113)&gt;0,N(AD113)&lt;4),'Paramètres'!$B$44,0)+(AF113="Moyenne")*'Paramètres'!$B$45+(AF113="Grande")*'Paramètres'!$B$46+(Y113&lt;&gt;"")*'Paramètres'!$B$47))</f>
        <v/>
      </c>
      <c r="F113" s="60">
        <f>IF(C113="","",IF(D113="Gagné","",IF(D113="Perdu",IF(AND(AX113&lt;&gt;"",AX113&lt;=TODAY()),"À recontacter (perdu)",""),IF(AND(O113&gt;='Paramètres'!$B$21,P113=0),"Stop : "&amp;'Paramètres'!$B$21&amp;" tentatives sans réponse",IF(AND(D113="Proposition",AR113&lt;&gt;"",TODAY()&gt;N(AR113)),"Proposition expirée",IF(AND(D113="Proposition",N(R113)&gt;='Paramètres'!$B$25),"Proposition sans réponse",IF(AND(G113&lt;&gt;"",N(G113)&lt;TODAY()),"Relance en retard",IF(N(R113)&gt;='Paramètres'!$B$24,"Sans action depuis "&amp;R113&amp;" j",""))))))))</f>
        <v/>
      </c>
      <c r="G113" s="106">
        <f>IF(OR(C113="",D113="Gagné",D113="Perdu"),"",IF(AND(BP113&gt;0,BP113=BQ113),INDEX('Saisie'!$J$5:$J$2004,BP113-4),IF(OR(O113=0,AND(O113&gt;='Paramètres'!$B$21,P113=0)),"",Q113+IF(O113&lt;=1,'Paramètres'!$B$18,IF(O113=2,'Paramètres'!$B$19,'Paramètres'!$B$20)))))</f>
        <v/>
      </c>
      <c r="H113" s="107">
        <f>IF(OR(G113="",BP113&lt;&gt;BQ113),"",IF(INDEX('Saisie'!$K$5:$K$2004,BP113-4)="","",INDEX('Saisie'!$K$5:$K$2004,BP113-4)))</f>
        <v/>
      </c>
      <c r="I113" s="60">
        <f>IF(C113="","",IF(OR(D113="Gagné",D113="Perdu"),"",IFERROR(INDEX('Saisie'!$I$5:$I$2004,_xlfn.MAXIFS('Saisie'!$AS$5:$AS$2004,'Saisie'!$C$5:$C$2004,C113,'Saisie'!$I$5:$I$2004,"&lt;&gt;")-4),"")))</f>
        <v/>
      </c>
      <c r="J113" s="60">
        <f>IF(C113="","",IFERROR(INDEX('Saisie'!$U$5:$U$2004,_xlfn.MAXIFS('Saisie'!$AS$5:$AS$2004,'Saisie'!$C$5:$C$2004,C113,'Saisie'!$U$5:$U$2004,"&lt;&gt;")-4),""))</f>
        <v/>
      </c>
      <c r="K113" s="60">
        <f>IF(C113="","",IFERROR(INDEX('Saisie'!$W$5:$W$2004,_xlfn.MAXIFS('Saisie'!$AS$5:$AS$2004,'Saisie'!$C$5:$C$2004,C113,'Saisie'!$W$5:$W$2004,"&lt;&gt;")-4),""))</f>
        <v/>
      </c>
      <c r="L113" s="60">
        <f>IF(IF(BB113&lt;&gt;"",BB113,K113)="","",HYPERLINK("https://wa.me/"&amp;IF(LEFT(SUBSTITUTE(SUBSTITUTE(SUBSTITUTE(IF(BB113&lt;&gt;"",BB113,K113)," ",""),".",""),"+",""),1)="0",'Paramètres'!$B$35&amp;MID(SUBSTITUTE(SUBSTITUTE(SUBSTITUTE(IF(BB113&lt;&gt;"",BB113,K113)," ",""),".",""),"+",""),2,20),SUBSTITUTE(SUBSTITUTE(SUBSTITUTE(IF(BB113&lt;&gt;"",BB113,K113)," ",""),".",""),"+","")),"WhatsApp"))</f>
        <v/>
      </c>
      <c r="M113" s="60">
        <f>IF(BC113="","",HYPERLINK(IF(LEFT(BC113,4)="http",BC113,"https://www.instagram.com/"&amp;SUBSTITUTE(SUBSTITUTE(BC113,"@","")," ","")),BC113))</f>
        <v/>
      </c>
      <c r="N113" s="60">
        <f>IF(C113="","",IFERROR(INDEX('Saisie'!$D$5:$D$2004,_xlfn.MINIFS('Saisie'!$AS$5:$AS$2004,'Saisie'!$C$5:$C$2004,C113,'Saisie'!$AU$5:$AU$2004,1)-4),IFERROR(INDEX('Saisie'!$D$5:$D$2004,_xlfn.MINIFS('Saisie'!$AS$5:$AS$2004,'Saisie'!$C$5:$C$2004,C113,'Saisie'!$D$5:$D$2004,"&lt;&gt;")-4),"")))</f>
        <v/>
      </c>
      <c r="O113" s="60">
        <f>IF(C113="","",COUNTIFS('Saisie'!$C$5:$C$2004,C113,'Saisie'!$AU$5:$AU$2004,1))</f>
        <v/>
      </c>
      <c r="P113" s="60">
        <f>IF(C113="","",COUNTIFS('Saisie'!$C$5:$C$2004,C113,'Saisie'!$AV$5:$AV$2004,1))</f>
        <v/>
      </c>
      <c r="Q113" s="106">
        <f>IF(C113="","",IFERROR(1/(1/_xlfn.MAXIFS('Saisie'!$A$5:$A$2004,'Saisie'!$C$5:$C$2004,C113)),""))</f>
        <v/>
      </c>
      <c r="R113" s="61">
        <f>IF(C113="","",IF(Q113="","",TODAY()-Q113))</f>
        <v/>
      </c>
      <c r="S113" s="60">
        <f>IF(C113="","",IFERROR(INDEX('Saisie'!$R$5:$R$2004,_xlfn.MAXIFS('Saisie'!$AS$5:$AS$2004,'Saisie'!$C$5:$C$2004,C113,'Saisie'!$R$5:$R$2004,"&lt;&gt;")-4),""))</f>
        <v/>
      </c>
      <c r="T113" s="60">
        <f>IF(C113="","",IFERROR(INDEX('Saisie'!$S$5:$S$2004,_xlfn.MAXIFS('Saisie'!$AS$5:$AS$2004,'Saisie'!$C$5:$C$2004,C113,'Saisie'!$S$5:$S$2004,"&lt;&gt;")-4),""))</f>
        <v/>
      </c>
      <c r="U113" s="60">
        <f>IF(C113="","",IFERROR(INDEX('Saisie'!$T$5:$T$2004,_xlfn.MAXIFS('Saisie'!$AS$5:$AS$2004,'Saisie'!$C$5:$C$2004,C113,'Saisie'!$T$5:$T$2004,"&lt;&gt;")-4),""))</f>
        <v/>
      </c>
      <c r="V113" s="60">
        <f>IF(C113="","",IFERROR(INDEX('Saisie'!$V$5:$V$2004,_xlfn.MAXIFS('Saisie'!$AS$5:$AS$2004,'Saisie'!$C$5:$C$2004,C113,'Saisie'!$V$5:$V$2004,"&lt;&gt;")-4),""))</f>
        <v/>
      </c>
      <c r="W113" s="60">
        <f>IF(C113="","",IFERROR(INDEX('Saisie'!$Z$5:$Z$2004,_xlfn.MAXIFS('Saisie'!$AS$5:$AS$2004,'Saisie'!$C$5:$C$2004,C113,'Saisie'!$Z$5:$Z$2004,"&lt;&gt;")-4),""))</f>
        <v/>
      </c>
      <c r="X113" s="60">
        <f>IF(C113="","",IFERROR(INDEX('Saisie'!$AA$5:$AA$2004,_xlfn.MAXIFS('Saisie'!$AS$5:$AS$2004,'Saisie'!$C$5:$C$2004,C113,'Saisie'!$AA$5:$AA$2004,"&lt;&gt;")-4),""))</f>
        <v/>
      </c>
      <c r="Y113" s="60">
        <f>IF(C113="","",IFERROR(INDEX('Saisie'!$AB$5:$AB$2004,_xlfn.MAXIFS('Saisie'!$AS$5:$AS$2004,'Saisie'!$C$5:$C$2004,C113,'Saisie'!$AB$5:$AB$2004,"&lt;&gt;")-4),""))</f>
        <v/>
      </c>
      <c r="Z113" s="60">
        <f>IF(C113="","",IFERROR(INDEX('Saisie'!$AC$5:$AC$2004,_xlfn.MAXIFS('Saisie'!$AS$5:$AS$2004,'Saisie'!$C$5:$C$2004,C113,'Saisie'!$AC$5:$AC$2004,"&lt;&gt;")-4),""))</f>
        <v/>
      </c>
      <c r="AA113" s="106">
        <f>IF(C113="","",IFERROR(INDEX('Saisie'!$AD$5:$AD$2004,_xlfn.MAXIFS('Saisie'!$AS$5:$AS$2004,'Saisie'!$C$5:$C$2004,C113,'Saisie'!$AD$5:$AD$2004,"&lt;&gt;")-4),""))</f>
        <v/>
      </c>
      <c r="AB113" s="60">
        <f>IF(C113="","",IFERROR(INDEX('Saisie'!$AE$5:$AE$2004,_xlfn.MAXIFS('Saisie'!$AS$5:$AS$2004,'Saisie'!$C$5:$C$2004,C113,'Saisie'!$AE$5:$AE$2004,"&lt;&gt;")-4),""))</f>
        <v/>
      </c>
      <c r="AC113" s="60">
        <f>IF(C113="","",IFERROR(INDEX('Saisie'!$AF$5:$AF$2004,_xlfn.MAXIFS('Saisie'!$AS$5:$AS$2004,'Saisie'!$C$5:$C$2004,C113,'Saisie'!$AF$5:$AF$2004,"&lt;&gt;")-4),""))</f>
        <v/>
      </c>
      <c r="AD113" s="108">
        <f>IF(C113="","",IFERROR(INDEX('Saisie'!$AG$5:$AG$2004,_xlfn.MAXIFS('Saisie'!$AS$5:$AS$2004,'Saisie'!$C$5:$C$2004,C113,'Saisie'!$AG$5:$AG$2004,"&lt;&gt;")-4),""))</f>
        <v/>
      </c>
      <c r="AE113" s="60">
        <f>IF(C113="","",IFERROR(INDEX('Saisie'!$AH$5:$AH$2004,_xlfn.MAXIFS('Saisie'!$AS$5:$AS$2004,'Saisie'!$C$5:$C$2004,C113,'Saisie'!$AH$5:$AH$2004,"&lt;&gt;")-4),""))</f>
        <v/>
      </c>
      <c r="AF113" s="60">
        <f>IF(C113="","",IFERROR(INDEX('Saisie'!$AI$5:$AI$2004,_xlfn.MAXIFS('Saisie'!$AS$5:$AS$2004,'Saisie'!$C$5:$C$2004,C113,'Saisie'!$AI$5:$AI$2004,"&lt;&gt;")-4),""))</f>
        <v/>
      </c>
      <c r="AG113" s="60">
        <f>IF(C113="","",IFERROR(INDEX('Saisie'!$AJ$5:$AJ$2004,_xlfn.MAXIFS('Saisie'!$AS$5:$AS$2004,'Saisie'!$C$5:$C$2004,C113,'Saisie'!$AJ$5:$AJ$2004,"&lt;&gt;")-4),""))</f>
        <v/>
      </c>
      <c r="AH113" s="60">
        <f>IF(C113="","",IFERROR(INDEX('Saisie'!$AK$5:$AK$2004,_xlfn.MAXIFS('Saisie'!$AS$5:$AS$2004,'Saisie'!$C$5:$C$2004,C113,'Saisie'!$AK$5:$AK$2004,"&lt;&gt;")-4),""))</f>
        <v/>
      </c>
      <c r="AI113" s="60">
        <f>IF(C113="","",IFERROR(INDEX('Saisie'!$AN$5:$AN$2004,_xlfn.MAXIFS('Saisie'!$AS$5:$AS$2004,'Saisie'!$C$5:$C$2004,C113,'Saisie'!$AN$5:$AN$2004,"&lt;&gt;")-4),""))</f>
        <v/>
      </c>
      <c r="AJ113" s="60">
        <f>IF(C113="","",IFERROR(INDEX('Saisie'!$AO$5:$AO$2004,_xlfn.MAXIFS('Saisie'!$AS$5:$AS$2004,'Saisie'!$C$5:$C$2004,C113,'Saisie'!$AO$5:$AO$2004,"&lt;&gt;")-4),""))</f>
        <v/>
      </c>
      <c r="AK113" s="60">
        <f>IF(C113="","",IFERROR(INDEX('Saisie'!$AP$5:$AP$2004,_xlfn.MAXIFS('Saisie'!$AS$5:$AS$2004,'Saisie'!$C$5:$C$2004,C113,'Saisie'!$AP$5:$AP$2004,"&lt;&gt;")-4),""))</f>
        <v/>
      </c>
      <c r="AL113" s="60">
        <f>IF(C113="","",IFERROR(INDEX('Saisie'!$AQ$5:$AQ$2004,_xlfn.MAXIFS('Saisie'!$AS$5:$AS$2004,'Saisie'!$C$5:$C$2004,C113,'Saisie'!$AQ$5:$AQ$2004,"&lt;&gt;")-4),""))</f>
        <v/>
      </c>
      <c r="AM113" s="60">
        <f>IF(C113="","",((AI113="Oui")+(AJ113="Oui")+(AK113="Oui")+OR(AL113="Immédiat",AL113="&lt; 1 mois"))&amp;"/4")</f>
        <v/>
      </c>
      <c r="AN113" s="60">
        <f>IF(C113="","",IFERROR(INDEX('Saisie'!$AL$5:$AL$2004,_xlfn.MAXIFS('Saisie'!$AS$5:$AS$2004,'Saisie'!$C$5:$C$2004,C113,'Saisie'!$AL$5:$AL$2004,"&lt;&gt;")-4),""))</f>
        <v/>
      </c>
      <c r="AO113" s="62">
        <f>IF(C113="","",IF(IFERROR(INDEX('Saisie'!$AM$5:$AM$2004,_xlfn.MAXIFS('Saisie'!$AS$5:$AS$2004,'Saisie'!$C$5:$C$2004,C113,'Saisie'!$AM$5:$AM$2004,"&lt;&gt;")-4),"")&lt;&gt;"",IFERROR(INDEX('Saisie'!$AM$5:$AM$2004,_xlfn.MAXIFS('Saisie'!$AS$5:$AS$2004,'Saisie'!$C$5:$C$2004,C113,'Saisie'!$AM$5:$AM$2004,"&lt;&gt;")-4),""),IFERROR(INDEX('Paramètres'!$S$6:$S$15,MATCH(AN113,'Paramètres'!$Q$6:$Q$15,0)),"")))</f>
        <v/>
      </c>
      <c r="AP113" s="62">
        <f>IF(C113="","",IFERROR(INDEX('Saisie'!$AW$5:$AW$2004,_xlfn.MAXIFS('Saisie'!$AS$5:$AS$2004,'Saisie'!$C$5:$C$2004,C113,'Saisie'!$E$5:$E$2004,"Proposition envoyée")-4),""))</f>
        <v/>
      </c>
      <c r="AQ113" s="106">
        <f>IF(C113="","",IFERROR(1/(1/_xlfn.MAXIFS('Saisie'!$A$5:$A$2004,'Saisie'!$C$5:$C$2004,C113,'Saisie'!$E$5:$E$2004,"Proposition envoyée")),""))</f>
        <v/>
      </c>
      <c r="AR113" s="106">
        <f>IF(C113="","",IF(AQ113="","",AQ113+'Paramètres'!$B$26))</f>
        <v/>
      </c>
      <c r="AS113" s="62">
        <f>IF(OR(C113="",D113="Gagné",D113="Perdu"),0,N(AP113)*IFERROR(INDEX('Paramètres'!$G$6:$G$13,MATCH(D113,'Paramètres'!$F$6:$F$13,0)),0))</f>
        <v/>
      </c>
      <c r="AT113" s="106">
        <f>IF(C113="","",IFERROR(1/(1/_xlfn.MINIFS('Saisie'!$A$5:$A$2004,'Saisie'!$C$5:$C$2004,C113,'Saisie'!$E$5:$E$2004,"Signature")),""))</f>
        <v/>
      </c>
      <c r="AU113" s="60">
        <f>IF(C113="","",IF(OR(AT113="",B113=""),"",AT113-B113))</f>
        <v/>
      </c>
      <c r="AV113" s="60">
        <f>IF(C113="","",IFERROR(INDEX('Saisie'!$L$5:$L$2004,_xlfn.MAXIFS('Saisie'!$AS$5:$AS$2004,'Saisie'!$C$5:$C$2004,C113,'Saisie'!$L$5:$L$2004,"&lt;&gt;")-4),""))</f>
        <v/>
      </c>
      <c r="AW113" s="106">
        <f>IF(C113="","",IF(D113&lt;&gt;"Perdu","",IFERROR(1/(1/_xlfn.MAXIFS('Saisie'!$A$5:$A$2004,'Saisie'!$C$5:$C$2004,C113,'Saisie'!$E$5:$E$2004,"Perdu")),"")))</f>
        <v/>
      </c>
      <c r="AX113" s="106">
        <f>IF(C113="","",IF(AW113="","",AW113+'Paramètres'!$B$28))</f>
        <v/>
      </c>
      <c r="AY113" s="60">
        <f>IF(C113="","",SUMIFS('Saisie'!$H$5:$H$2004,'Saisie'!$C$5:$C$2004,C113))</f>
        <v/>
      </c>
      <c r="AZ113" s="60">
        <f>IF(C113="","",IFERROR(INDEX('Paramètres'!$W$6:$W$20,MATCH(S113,'Paramètres'!$V$6:$V$20,0))&amp;"",""))</f>
        <v/>
      </c>
      <c r="BA113" s="60">
        <f>IF(C113="","",MAX(1,_xlfn.MAXIFS('Saisie'!$AT$5:$AT$2004,'Saisie'!$C$5:$C$2004,C113)))</f>
        <v/>
      </c>
      <c r="BB113" s="60">
        <f>IF(C113="","",IFERROR(INDEX('Saisie'!$X$5:$X$2004,_xlfn.MAXIFS('Saisie'!$AS$5:$AS$2004,'Saisie'!$C$5:$C$2004,C113,'Saisie'!$X$5:$X$2004,"&lt;&gt;")-4),""))</f>
        <v/>
      </c>
      <c r="BC113" s="60">
        <f>IF(C113="","",IFERROR(INDEX('Saisie'!$Y$5:$Y$2004,_xlfn.MAXIFS('Saisie'!$AS$5:$AS$2004,'Saisie'!$C$5:$C$2004,C113,'Saisie'!$Y$5:$Y$2004,"&lt;&gt;")-4),""))</f>
        <v/>
      </c>
      <c r="BD113" s="106">
        <f>IF(C113="","",IFERROR(1/(1/_xlfn.MINIFS('Saisie'!$A$5:$A$2004,'Saisie'!$C$5:$C$2004,C113,'Saisie'!$AT$5:$AT$2004,"&gt;=2")),""))</f>
        <v/>
      </c>
      <c r="BE113" s="106">
        <f>IF(C113="","",IFERROR(1/(1/_xlfn.MINIFS('Saisie'!$A$5:$A$2004,'Saisie'!$C$5:$C$2004,C113,'Saisie'!$AT$5:$AT$2004,"&gt;=3")),""))</f>
        <v/>
      </c>
      <c r="BF113" s="106">
        <f>IF(C113="","",IFERROR(1/(1/_xlfn.MINIFS('Saisie'!$A$5:$A$2004,'Saisie'!$C$5:$C$2004,C113,'Saisie'!$AT$5:$AT$2004,"&gt;=4")),""))</f>
        <v/>
      </c>
      <c r="BG113" s="106">
        <f>IF(C113="","",IFERROR(1/(1/_xlfn.MINIFS('Saisie'!$A$5:$A$2004,'Saisie'!$C$5:$C$2004,C113,'Saisie'!$AT$5:$AT$2004,"&gt;=5")),""))</f>
        <v/>
      </c>
      <c r="BH113" s="106">
        <f>IF(C113="","",IFERROR(1/(1/_xlfn.MINIFS('Saisie'!$A$5:$A$2004,'Saisie'!$C$5:$C$2004,C113,'Saisie'!$AT$5:$AT$2004,"&gt;=6")),""))</f>
        <v/>
      </c>
      <c r="BI113" s="106">
        <f>IF(C113="","",IFERROR(1/(1/_xlfn.MINIFS('Saisie'!$A$5:$A$2004,'Saisie'!$C$5:$C$2004,C113,'Saisie'!$AT$5:$AT$2004,"&gt;=7")),""))</f>
        <v/>
      </c>
      <c r="BJ113" s="60">
        <f>IF(OR(BD113="",B113=""),"",BD113-B113)</f>
        <v/>
      </c>
      <c r="BK113" s="60">
        <f>IF(OR(BE113="",BD113=""),"",BE113-BD113)</f>
        <v/>
      </c>
      <c r="BL113" s="60">
        <f>IF(OR(BF113="",BE113=""),"",BF113-BE113)</f>
        <v/>
      </c>
      <c r="BM113" s="60">
        <f>IF(OR(BG113="",BF113=""),"",BG113-BF113)</f>
        <v/>
      </c>
      <c r="BN113" s="60">
        <f>IF(OR(BH113="",BG113=""),"",BH113-BG113)</f>
        <v/>
      </c>
      <c r="BO113" s="60">
        <f>IF(OR(BI113="",BH113=""),"",BI113-BH113)</f>
        <v/>
      </c>
      <c r="BP113" s="60">
        <f>IF(C113="","",_xlfn.MAXIFS('Saisie'!$AS$5:$AS$2004,'Saisie'!$C$5:$C$2004,C113,'Saisie'!$J$5:$J$2004,"&lt;&gt;"))</f>
        <v/>
      </c>
      <c r="BQ113" s="60">
        <f>IF(C113="","",_xlfn.MAXIFS('Saisie'!$AS$5:$AS$2004,'Saisie'!$C$5:$C$2004,C113))</f>
        <v/>
      </c>
      <c r="BR113" s="60">
        <f>IF(C113="","",_xlfn.MAXIFS('Saisie'!$AS$5:$AS$2004,'Saisie'!$C$5:$C$2004,C113,'Saisie'!$E$5:$E$2004,"Perdu"))</f>
        <v/>
      </c>
      <c r="BS113" s="60">
        <f>IF(C113="","",_xlfn.MAXIFS('Saisie'!$AS$5:$AS$2004,'Saisie'!$C$5:$C$2004,C113,'Saisie'!$AT$5:$AT$2004,"&gt;0"))</f>
        <v/>
      </c>
      <c r="BT113" s="109">
        <f>IF(AND(C113&lt;&gt;"",OR(D113="Nouveau",D113="Contacté",D113="Qualifié"),OR(G113="",N(G113)&lt;=TODAY()),NOT(AND(O113&gt;='Paramètres'!$B$21,P113=0))),E113+109/10000,"")</f>
        <v/>
      </c>
      <c r="BU113" s="60">
        <f>IF(AND(G113&lt;&gt;"",N(G113)&lt;=TODAY()),MAX($BU$4:BU112)+1,"")</f>
        <v/>
      </c>
      <c r="BV113" s="60">
        <f>IF(AND(F113&lt;&gt;"",F113&lt;&gt;"Relance en retard"),MAX($BV$4:BV112)+1,"")</f>
        <v/>
      </c>
      <c r="BW113" s="60">
        <f>IF(C113="","",IF(AND(B113&gt;='Tableau de bord'!$R$4,B113&lt;='Tableau de bord'!$S$4,OR('Tableau de bord'!$G$4="Tous",N113='Tableau de bord'!$G$4)),1,0))</f>
        <v/>
      </c>
      <c r="BX113" s="60">
        <f>IF(AND(C113&lt;&gt;"",N(BA113)=7),MAX($BX$4:BX112)+1,"")</f>
        <v/>
      </c>
    </row>
    <row r="114">
      <c r="A114" s="60">
        <f>IF(C114="","","P-"&amp;TEXT(110,"000"))</f>
        <v/>
      </c>
      <c r="B114" s="106">
        <f>IF(C114="","",IFERROR(1/(1/_xlfn.MINIFS('Saisie'!$A$5:$A$2004,'Saisie'!$C$5:$C$2004,C114)),""))</f>
        <v/>
      </c>
      <c r="C114" s="60">
        <f>IFERROR(INDEX('Saisie'!$C$5:$C$2004,MATCH(110,'Saisie'!$AX$5:$AX$2004,0)),"")</f>
        <v/>
      </c>
      <c r="D114" s="60">
        <f>IF(C114="","",IF(AND(BR114&gt;0,BR114&gt;BS114,BA114&lt;7),"Perdu",INDEX('Paramètres'!$F$6:$F$13,BA114)))</f>
        <v/>
      </c>
      <c r="E114" s="61">
        <f>IF(C114="","",MIN(100,(Z114="Oui")*'Paramètres'!$B$38+(AB114="Régulière")*'Paramètres'!$B$39+IF(AND(N(AA114)&gt;0,TODAY()-N(AA114)&lt;=30),'Paramètres'!$B$40,0)+(W114="")*'Paramètres'!$B$41+(AC114="Absente")*'Paramètres'!$B$42+(AC114="Faible")*'Paramètres'!$B$43+IF(AND(N(AD114)&gt;0,N(AD114)&lt;4),'Paramètres'!$B$44,0)+(AF114="Moyenne")*'Paramètres'!$B$45+(AF114="Grande")*'Paramètres'!$B$46+(Y114&lt;&gt;"")*'Paramètres'!$B$47))</f>
        <v/>
      </c>
      <c r="F114" s="60">
        <f>IF(C114="","",IF(D114="Gagné","",IF(D114="Perdu",IF(AND(AX114&lt;&gt;"",AX114&lt;=TODAY()),"À recontacter (perdu)",""),IF(AND(O114&gt;='Paramètres'!$B$21,P114=0),"Stop : "&amp;'Paramètres'!$B$21&amp;" tentatives sans réponse",IF(AND(D114="Proposition",AR114&lt;&gt;"",TODAY()&gt;N(AR114)),"Proposition expirée",IF(AND(D114="Proposition",N(R114)&gt;='Paramètres'!$B$25),"Proposition sans réponse",IF(AND(G114&lt;&gt;"",N(G114)&lt;TODAY()),"Relance en retard",IF(N(R114)&gt;='Paramètres'!$B$24,"Sans action depuis "&amp;R114&amp;" j",""))))))))</f>
        <v/>
      </c>
      <c r="G114" s="106">
        <f>IF(OR(C114="",D114="Gagné",D114="Perdu"),"",IF(AND(BP114&gt;0,BP114=BQ114),INDEX('Saisie'!$J$5:$J$2004,BP114-4),IF(OR(O114=0,AND(O114&gt;='Paramètres'!$B$21,P114=0)),"",Q114+IF(O114&lt;=1,'Paramètres'!$B$18,IF(O114=2,'Paramètres'!$B$19,'Paramètres'!$B$20)))))</f>
        <v/>
      </c>
      <c r="H114" s="107">
        <f>IF(OR(G114="",BP114&lt;&gt;BQ114),"",IF(INDEX('Saisie'!$K$5:$K$2004,BP114-4)="","",INDEX('Saisie'!$K$5:$K$2004,BP114-4)))</f>
        <v/>
      </c>
      <c r="I114" s="60">
        <f>IF(C114="","",IF(OR(D114="Gagné",D114="Perdu"),"",IFERROR(INDEX('Saisie'!$I$5:$I$2004,_xlfn.MAXIFS('Saisie'!$AS$5:$AS$2004,'Saisie'!$C$5:$C$2004,C114,'Saisie'!$I$5:$I$2004,"&lt;&gt;")-4),"")))</f>
        <v/>
      </c>
      <c r="J114" s="60">
        <f>IF(C114="","",IFERROR(INDEX('Saisie'!$U$5:$U$2004,_xlfn.MAXIFS('Saisie'!$AS$5:$AS$2004,'Saisie'!$C$5:$C$2004,C114,'Saisie'!$U$5:$U$2004,"&lt;&gt;")-4),""))</f>
        <v/>
      </c>
      <c r="K114" s="60">
        <f>IF(C114="","",IFERROR(INDEX('Saisie'!$W$5:$W$2004,_xlfn.MAXIFS('Saisie'!$AS$5:$AS$2004,'Saisie'!$C$5:$C$2004,C114,'Saisie'!$W$5:$W$2004,"&lt;&gt;")-4),""))</f>
        <v/>
      </c>
      <c r="L114" s="60">
        <f>IF(IF(BB114&lt;&gt;"",BB114,K114)="","",HYPERLINK("https://wa.me/"&amp;IF(LEFT(SUBSTITUTE(SUBSTITUTE(SUBSTITUTE(IF(BB114&lt;&gt;"",BB114,K114)," ",""),".",""),"+",""),1)="0",'Paramètres'!$B$35&amp;MID(SUBSTITUTE(SUBSTITUTE(SUBSTITUTE(IF(BB114&lt;&gt;"",BB114,K114)," ",""),".",""),"+",""),2,20),SUBSTITUTE(SUBSTITUTE(SUBSTITUTE(IF(BB114&lt;&gt;"",BB114,K114)," ",""),".",""),"+","")),"WhatsApp"))</f>
        <v/>
      </c>
      <c r="M114" s="60">
        <f>IF(BC114="","",HYPERLINK(IF(LEFT(BC114,4)="http",BC114,"https://www.instagram.com/"&amp;SUBSTITUTE(SUBSTITUTE(BC114,"@","")," ","")),BC114))</f>
        <v/>
      </c>
      <c r="N114" s="60">
        <f>IF(C114="","",IFERROR(INDEX('Saisie'!$D$5:$D$2004,_xlfn.MINIFS('Saisie'!$AS$5:$AS$2004,'Saisie'!$C$5:$C$2004,C114,'Saisie'!$AU$5:$AU$2004,1)-4),IFERROR(INDEX('Saisie'!$D$5:$D$2004,_xlfn.MINIFS('Saisie'!$AS$5:$AS$2004,'Saisie'!$C$5:$C$2004,C114,'Saisie'!$D$5:$D$2004,"&lt;&gt;")-4),"")))</f>
        <v/>
      </c>
      <c r="O114" s="60">
        <f>IF(C114="","",COUNTIFS('Saisie'!$C$5:$C$2004,C114,'Saisie'!$AU$5:$AU$2004,1))</f>
        <v/>
      </c>
      <c r="P114" s="60">
        <f>IF(C114="","",COUNTIFS('Saisie'!$C$5:$C$2004,C114,'Saisie'!$AV$5:$AV$2004,1))</f>
        <v/>
      </c>
      <c r="Q114" s="106">
        <f>IF(C114="","",IFERROR(1/(1/_xlfn.MAXIFS('Saisie'!$A$5:$A$2004,'Saisie'!$C$5:$C$2004,C114)),""))</f>
        <v/>
      </c>
      <c r="R114" s="61">
        <f>IF(C114="","",IF(Q114="","",TODAY()-Q114))</f>
        <v/>
      </c>
      <c r="S114" s="60">
        <f>IF(C114="","",IFERROR(INDEX('Saisie'!$R$5:$R$2004,_xlfn.MAXIFS('Saisie'!$AS$5:$AS$2004,'Saisie'!$C$5:$C$2004,C114,'Saisie'!$R$5:$R$2004,"&lt;&gt;")-4),""))</f>
        <v/>
      </c>
      <c r="T114" s="60">
        <f>IF(C114="","",IFERROR(INDEX('Saisie'!$S$5:$S$2004,_xlfn.MAXIFS('Saisie'!$AS$5:$AS$2004,'Saisie'!$C$5:$C$2004,C114,'Saisie'!$S$5:$S$2004,"&lt;&gt;")-4),""))</f>
        <v/>
      </c>
      <c r="U114" s="60">
        <f>IF(C114="","",IFERROR(INDEX('Saisie'!$T$5:$T$2004,_xlfn.MAXIFS('Saisie'!$AS$5:$AS$2004,'Saisie'!$C$5:$C$2004,C114,'Saisie'!$T$5:$T$2004,"&lt;&gt;")-4),""))</f>
        <v/>
      </c>
      <c r="V114" s="60">
        <f>IF(C114="","",IFERROR(INDEX('Saisie'!$V$5:$V$2004,_xlfn.MAXIFS('Saisie'!$AS$5:$AS$2004,'Saisie'!$C$5:$C$2004,C114,'Saisie'!$V$5:$V$2004,"&lt;&gt;")-4),""))</f>
        <v/>
      </c>
      <c r="W114" s="60">
        <f>IF(C114="","",IFERROR(INDEX('Saisie'!$Z$5:$Z$2004,_xlfn.MAXIFS('Saisie'!$AS$5:$AS$2004,'Saisie'!$C$5:$C$2004,C114,'Saisie'!$Z$5:$Z$2004,"&lt;&gt;")-4),""))</f>
        <v/>
      </c>
      <c r="X114" s="60">
        <f>IF(C114="","",IFERROR(INDEX('Saisie'!$AA$5:$AA$2004,_xlfn.MAXIFS('Saisie'!$AS$5:$AS$2004,'Saisie'!$C$5:$C$2004,C114,'Saisie'!$AA$5:$AA$2004,"&lt;&gt;")-4),""))</f>
        <v/>
      </c>
      <c r="Y114" s="60">
        <f>IF(C114="","",IFERROR(INDEX('Saisie'!$AB$5:$AB$2004,_xlfn.MAXIFS('Saisie'!$AS$5:$AS$2004,'Saisie'!$C$5:$C$2004,C114,'Saisie'!$AB$5:$AB$2004,"&lt;&gt;")-4),""))</f>
        <v/>
      </c>
      <c r="Z114" s="60">
        <f>IF(C114="","",IFERROR(INDEX('Saisie'!$AC$5:$AC$2004,_xlfn.MAXIFS('Saisie'!$AS$5:$AS$2004,'Saisie'!$C$5:$C$2004,C114,'Saisie'!$AC$5:$AC$2004,"&lt;&gt;")-4),""))</f>
        <v/>
      </c>
      <c r="AA114" s="106">
        <f>IF(C114="","",IFERROR(INDEX('Saisie'!$AD$5:$AD$2004,_xlfn.MAXIFS('Saisie'!$AS$5:$AS$2004,'Saisie'!$C$5:$C$2004,C114,'Saisie'!$AD$5:$AD$2004,"&lt;&gt;")-4),""))</f>
        <v/>
      </c>
      <c r="AB114" s="60">
        <f>IF(C114="","",IFERROR(INDEX('Saisie'!$AE$5:$AE$2004,_xlfn.MAXIFS('Saisie'!$AS$5:$AS$2004,'Saisie'!$C$5:$C$2004,C114,'Saisie'!$AE$5:$AE$2004,"&lt;&gt;")-4),""))</f>
        <v/>
      </c>
      <c r="AC114" s="60">
        <f>IF(C114="","",IFERROR(INDEX('Saisie'!$AF$5:$AF$2004,_xlfn.MAXIFS('Saisie'!$AS$5:$AS$2004,'Saisie'!$C$5:$C$2004,C114,'Saisie'!$AF$5:$AF$2004,"&lt;&gt;")-4),""))</f>
        <v/>
      </c>
      <c r="AD114" s="108">
        <f>IF(C114="","",IFERROR(INDEX('Saisie'!$AG$5:$AG$2004,_xlfn.MAXIFS('Saisie'!$AS$5:$AS$2004,'Saisie'!$C$5:$C$2004,C114,'Saisie'!$AG$5:$AG$2004,"&lt;&gt;")-4),""))</f>
        <v/>
      </c>
      <c r="AE114" s="60">
        <f>IF(C114="","",IFERROR(INDEX('Saisie'!$AH$5:$AH$2004,_xlfn.MAXIFS('Saisie'!$AS$5:$AS$2004,'Saisie'!$C$5:$C$2004,C114,'Saisie'!$AH$5:$AH$2004,"&lt;&gt;")-4),""))</f>
        <v/>
      </c>
      <c r="AF114" s="60">
        <f>IF(C114="","",IFERROR(INDEX('Saisie'!$AI$5:$AI$2004,_xlfn.MAXIFS('Saisie'!$AS$5:$AS$2004,'Saisie'!$C$5:$C$2004,C114,'Saisie'!$AI$5:$AI$2004,"&lt;&gt;")-4),""))</f>
        <v/>
      </c>
      <c r="AG114" s="60">
        <f>IF(C114="","",IFERROR(INDEX('Saisie'!$AJ$5:$AJ$2004,_xlfn.MAXIFS('Saisie'!$AS$5:$AS$2004,'Saisie'!$C$5:$C$2004,C114,'Saisie'!$AJ$5:$AJ$2004,"&lt;&gt;")-4),""))</f>
        <v/>
      </c>
      <c r="AH114" s="60">
        <f>IF(C114="","",IFERROR(INDEX('Saisie'!$AK$5:$AK$2004,_xlfn.MAXIFS('Saisie'!$AS$5:$AS$2004,'Saisie'!$C$5:$C$2004,C114,'Saisie'!$AK$5:$AK$2004,"&lt;&gt;")-4),""))</f>
        <v/>
      </c>
      <c r="AI114" s="60">
        <f>IF(C114="","",IFERROR(INDEX('Saisie'!$AN$5:$AN$2004,_xlfn.MAXIFS('Saisie'!$AS$5:$AS$2004,'Saisie'!$C$5:$C$2004,C114,'Saisie'!$AN$5:$AN$2004,"&lt;&gt;")-4),""))</f>
        <v/>
      </c>
      <c r="AJ114" s="60">
        <f>IF(C114="","",IFERROR(INDEX('Saisie'!$AO$5:$AO$2004,_xlfn.MAXIFS('Saisie'!$AS$5:$AS$2004,'Saisie'!$C$5:$C$2004,C114,'Saisie'!$AO$5:$AO$2004,"&lt;&gt;")-4),""))</f>
        <v/>
      </c>
      <c r="AK114" s="60">
        <f>IF(C114="","",IFERROR(INDEX('Saisie'!$AP$5:$AP$2004,_xlfn.MAXIFS('Saisie'!$AS$5:$AS$2004,'Saisie'!$C$5:$C$2004,C114,'Saisie'!$AP$5:$AP$2004,"&lt;&gt;")-4),""))</f>
        <v/>
      </c>
      <c r="AL114" s="60">
        <f>IF(C114="","",IFERROR(INDEX('Saisie'!$AQ$5:$AQ$2004,_xlfn.MAXIFS('Saisie'!$AS$5:$AS$2004,'Saisie'!$C$5:$C$2004,C114,'Saisie'!$AQ$5:$AQ$2004,"&lt;&gt;")-4),""))</f>
        <v/>
      </c>
      <c r="AM114" s="60">
        <f>IF(C114="","",((AI114="Oui")+(AJ114="Oui")+(AK114="Oui")+OR(AL114="Immédiat",AL114="&lt; 1 mois"))&amp;"/4")</f>
        <v/>
      </c>
      <c r="AN114" s="60">
        <f>IF(C114="","",IFERROR(INDEX('Saisie'!$AL$5:$AL$2004,_xlfn.MAXIFS('Saisie'!$AS$5:$AS$2004,'Saisie'!$C$5:$C$2004,C114,'Saisie'!$AL$5:$AL$2004,"&lt;&gt;")-4),""))</f>
        <v/>
      </c>
      <c r="AO114" s="62">
        <f>IF(C114="","",IF(IFERROR(INDEX('Saisie'!$AM$5:$AM$2004,_xlfn.MAXIFS('Saisie'!$AS$5:$AS$2004,'Saisie'!$C$5:$C$2004,C114,'Saisie'!$AM$5:$AM$2004,"&lt;&gt;")-4),"")&lt;&gt;"",IFERROR(INDEX('Saisie'!$AM$5:$AM$2004,_xlfn.MAXIFS('Saisie'!$AS$5:$AS$2004,'Saisie'!$C$5:$C$2004,C114,'Saisie'!$AM$5:$AM$2004,"&lt;&gt;")-4),""),IFERROR(INDEX('Paramètres'!$S$6:$S$15,MATCH(AN114,'Paramètres'!$Q$6:$Q$15,0)),"")))</f>
        <v/>
      </c>
      <c r="AP114" s="62">
        <f>IF(C114="","",IFERROR(INDEX('Saisie'!$AW$5:$AW$2004,_xlfn.MAXIFS('Saisie'!$AS$5:$AS$2004,'Saisie'!$C$5:$C$2004,C114,'Saisie'!$E$5:$E$2004,"Proposition envoyée")-4),""))</f>
        <v/>
      </c>
      <c r="AQ114" s="106">
        <f>IF(C114="","",IFERROR(1/(1/_xlfn.MAXIFS('Saisie'!$A$5:$A$2004,'Saisie'!$C$5:$C$2004,C114,'Saisie'!$E$5:$E$2004,"Proposition envoyée")),""))</f>
        <v/>
      </c>
      <c r="AR114" s="106">
        <f>IF(C114="","",IF(AQ114="","",AQ114+'Paramètres'!$B$26))</f>
        <v/>
      </c>
      <c r="AS114" s="62">
        <f>IF(OR(C114="",D114="Gagné",D114="Perdu"),0,N(AP114)*IFERROR(INDEX('Paramètres'!$G$6:$G$13,MATCH(D114,'Paramètres'!$F$6:$F$13,0)),0))</f>
        <v/>
      </c>
      <c r="AT114" s="106">
        <f>IF(C114="","",IFERROR(1/(1/_xlfn.MINIFS('Saisie'!$A$5:$A$2004,'Saisie'!$C$5:$C$2004,C114,'Saisie'!$E$5:$E$2004,"Signature")),""))</f>
        <v/>
      </c>
      <c r="AU114" s="60">
        <f>IF(C114="","",IF(OR(AT114="",B114=""),"",AT114-B114))</f>
        <v/>
      </c>
      <c r="AV114" s="60">
        <f>IF(C114="","",IFERROR(INDEX('Saisie'!$L$5:$L$2004,_xlfn.MAXIFS('Saisie'!$AS$5:$AS$2004,'Saisie'!$C$5:$C$2004,C114,'Saisie'!$L$5:$L$2004,"&lt;&gt;")-4),""))</f>
        <v/>
      </c>
      <c r="AW114" s="106">
        <f>IF(C114="","",IF(D114&lt;&gt;"Perdu","",IFERROR(1/(1/_xlfn.MAXIFS('Saisie'!$A$5:$A$2004,'Saisie'!$C$5:$C$2004,C114,'Saisie'!$E$5:$E$2004,"Perdu")),"")))</f>
        <v/>
      </c>
      <c r="AX114" s="106">
        <f>IF(C114="","",IF(AW114="","",AW114+'Paramètres'!$B$28))</f>
        <v/>
      </c>
      <c r="AY114" s="60">
        <f>IF(C114="","",SUMIFS('Saisie'!$H$5:$H$2004,'Saisie'!$C$5:$C$2004,C114))</f>
        <v/>
      </c>
      <c r="AZ114" s="60">
        <f>IF(C114="","",IFERROR(INDEX('Paramètres'!$W$6:$W$20,MATCH(S114,'Paramètres'!$V$6:$V$20,0))&amp;"",""))</f>
        <v/>
      </c>
      <c r="BA114" s="60">
        <f>IF(C114="","",MAX(1,_xlfn.MAXIFS('Saisie'!$AT$5:$AT$2004,'Saisie'!$C$5:$C$2004,C114)))</f>
        <v/>
      </c>
      <c r="BB114" s="60">
        <f>IF(C114="","",IFERROR(INDEX('Saisie'!$X$5:$X$2004,_xlfn.MAXIFS('Saisie'!$AS$5:$AS$2004,'Saisie'!$C$5:$C$2004,C114,'Saisie'!$X$5:$X$2004,"&lt;&gt;")-4),""))</f>
        <v/>
      </c>
      <c r="BC114" s="60">
        <f>IF(C114="","",IFERROR(INDEX('Saisie'!$Y$5:$Y$2004,_xlfn.MAXIFS('Saisie'!$AS$5:$AS$2004,'Saisie'!$C$5:$C$2004,C114,'Saisie'!$Y$5:$Y$2004,"&lt;&gt;")-4),""))</f>
        <v/>
      </c>
      <c r="BD114" s="106">
        <f>IF(C114="","",IFERROR(1/(1/_xlfn.MINIFS('Saisie'!$A$5:$A$2004,'Saisie'!$C$5:$C$2004,C114,'Saisie'!$AT$5:$AT$2004,"&gt;=2")),""))</f>
        <v/>
      </c>
      <c r="BE114" s="106">
        <f>IF(C114="","",IFERROR(1/(1/_xlfn.MINIFS('Saisie'!$A$5:$A$2004,'Saisie'!$C$5:$C$2004,C114,'Saisie'!$AT$5:$AT$2004,"&gt;=3")),""))</f>
        <v/>
      </c>
      <c r="BF114" s="106">
        <f>IF(C114="","",IFERROR(1/(1/_xlfn.MINIFS('Saisie'!$A$5:$A$2004,'Saisie'!$C$5:$C$2004,C114,'Saisie'!$AT$5:$AT$2004,"&gt;=4")),""))</f>
        <v/>
      </c>
      <c r="BG114" s="106">
        <f>IF(C114="","",IFERROR(1/(1/_xlfn.MINIFS('Saisie'!$A$5:$A$2004,'Saisie'!$C$5:$C$2004,C114,'Saisie'!$AT$5:$AT$2004,"&gt;=5")),""))</f>
        <v/>
      </c>
      <c r="BH114" s="106">
        <f>IF(C114="","",IFERROR(1/(1/_xlfn.MINIFS('Saisie'!$A$5:$A$2004,'Saisie'!$C$5:$C$2004,C114,'Saisie'!$AT$5:$AT$2004,"&gt;=6")),""))</f>
        <v/>
      </c>
      <c r="BI114" s="106">
        <f>IF(C114="","",IFERROR(1/(1/_xlfn.MINIFS('Saisie'!$A$5:$A$2004,'Saisie'!$C$5:$C$2004,C114,'Saisie'!$AT$5:$AT$2004,"&gt;=7")),""))</f>
        <v/>
      </c>
      <c r="BJ114" s="60">
        <f>IF(OR(BD114="",B114=""),"",BD114-B114)</f>
        <v/>
      </c>
      <c r="BK114" s="60">
        <f>IF(OR(BE114="",BD114=""),"",BE114-BD114)</f>
        <v/>
      </c>
      <c r="BL114" s="60">
        <f>IF(OR(BF114="",BE114=""),"",BF114-BE114)</f>
        <v/>
      </c>
      <c r="BM114" s="60">
        <f>IF(OR(BG114="",BF114=""),"",BG114-BF114)</f>
        <v/>
      </c>
      <c r="BN114" s="60">
        <f>IF(OR(BH114="",BG114=""),"",BH114-BG114)</f>
        <v/>
      </c>
      <c r="BO114" s="60">
        <f>IF(OR(BI114="",BH114=""),"",BI114-BH114)</f>
        <v/>
      </c>
      <c r="BP114" s="60">
        <f>IF(C114="","",_xlfn.MAXIFS('Saisie'!$AS$5:$AS$2004,'Saisie'!$C$5:$C$2004,C114,'Saisie'!$J$5:$J$2004,"&lt;&gt;"))</f>
        <v/>
      </c>
      <c r="BQ114" s="60">
        <f>IF(C114="","",_xlfn.MAXIFS('Saisie'!$AS$5:$AS$2004,'Saisie'!$C$5:$C$2004,C114))</f>
        <v/>
      </c>
      <c r="BR114" s="60">
        <f>IF(C114="","",_xlfn.MAXIFS('Saisie'!$AS$5:$AS$2004,'Saisie'!$C$5:$C$2004,C114,'Saisie'!$E$5:$E$2004,"Perdu"))</f>
        <v/>
      </c>
      <c r="BS114" s="60">
        <f>IF(C114="","",_xlfn.MAXIFS('Saisie'!$AS$5:$AS$2004,'Saisie'!$C$5:$C$2004,C114,'Saisie'!$AT$5:$AT$2004,"&gt;0"))</f>
        <v/>
      </c>
      <c r="BT114" s="109">
        <f>IF(AND(C114&lt;&gt;"",OR(D114="Nouveau",D114="Contacté",D114="Qualifié"),OR(G114="",N(G114)&lt;=TODAY()),NOT(AND(O114&gt;='Paramètres'!$B$21,P114=0))),E114+110/10000,"")</f>
        <v/>
      </c>
      <c r="BU114" s="60">
        <f>IF(AND(G114&lt;&gt;"",N(G114)&lt;=TODAY()),MAX($BU$4:BU113)+1,"")</f>
        <v/>
      </c>
      <c r="BV114" s="60">
        <f>IF(AND(F114&lt;&gt;"",F114&lt;&gt;"Relance en retard"),MAX($BV$4:BV113)+1,"")</f>
        <v/>
      </c>
      <c r="BW114" s="60">
        <f>IF(C114="","",IF(AND(B114&gt;='Tableau de bord'!$R$4,B114&lt;='Tableau de bord'!$S$4,OR('Tableau de bord'!$G$4="Tous",N114='Tableau de bord'!$G$4)),1,0))</f>
        <v/>
      </c>
      <c r="BX114" s="60">
        <f>IF(AND(C114&lt;&gt;"",N(BA114)=7),MAX($BX$4:BX113)+1,"")</f>
        <v/>
      </c>
    </row>
    <row r="115">
      <c r="A115" s="60">
        <f>IF(C115="","","P-"&amp;TEXT(111,"000"))</f>
        <v/>
      </c>
      <c r="B115" s="106">
        <f>IF(C115="","",IFERROR(1/(1/_xlfn.MINIFS('Saisie'!$A$5:$A$2004,'Saisie'!$C$5:$C$2004,C115)),""))</f>
        <v/>
      </c>
      <c r="C115" s="60">
        <f>IFERROR(INDEX('Saisie'!$C$5:$C$2004,MATCH(111,'Saisie'!$AX$5:$AX$2004,0)),"")</f>
        <v/>
      </c>
      <c r="D115" s="60">
        <f>IF(C115="","",IF(AND(BR115&gt;0,BR115&gt;BS115,BA115&lt;7),"Perdu",INDEX('Paramètres'!$F$6:$F$13,BA115)))</f>
        <v/>
      </c>
      <c r="E115" s="61">
        <f>IF(C115="","",MIN(100,(Z115="Oui")*'Paramètres'!$B$38+(AB115="Régulière")*'Paramètres'!$B$39+IF(AND(N(AA115)&gt;0,TODAY()-N(AA115)&lt;=30),'Paramètres'!$B$40,0)+(W115="")*'Paramètres'!$B$41+(AC115="Absente")*'Paramètres'!$B$42+(AC115="Faible")*'Paramètres'!$B$43+IF(AND(N(AD115)&gt;0,N(AD115)&lt;4),'Paramètres'!$B$44,0)+(AF115="Moyenne")*'Paramètres'!$B$45+(AF115="Grande")*'Paramètres'!$B$46+(Y115&lt;&gt;"")*'Paramètres'!$B$47))</f>
        <v/>
      </c>
      <c r="F115" s="60">
        <f>IF(C115="","",IF(D115="Gagné","",IF(D115="Perdu",IF(AND(AX115&lt;&gt;"",AX115&lt;=TODAY()),"À recontacter (perdu)",""),IF(AND(O115&gt;='Paramètres'!$B$21,P115=0),"Stop : "&amp;'Paramètres'!$B$21&amp;" tentatives sans réponse",IF(AND(D115="Proposition",AR115&lt;&gt;"",TODAY()&gt;N(AR115)),"Proposition expirée",IF(AND(D115="Proposition",N(R115)&gt;='Paramètres'!$B$25),"Proposition sans réponse",IF(AND(G115&lt;&gt;"",N(G115)&lt;TODAY()),"Relance en retard",IF(N(R115)&gt;='Paramètres'!$B$24,"Sans action depuis "&amp;R115&amp;" j",""))))))))</f>
        <v/>
      </c>
      <c r="G115" s="106">
        <f>IF(OR(C115="",D115="Gagné",D115="Perdu"),"",IF(AND(BP115&gt;0,BP115=BQ115),INDEX('Saisie'!$J$5:$J$2004,BP115-4),IF(OR(O115=0,AND(O115&gt;='Paramètres'!$B$21,P115=0)),"",Q115+IF(O115&lt;=1,'Paramètres'!$B$18,IF(O115=2,'Paramètres'!$B$19,'Paramètres'!$B$20)))))</f>
        <v/>
      </c>
      <c r="H115" s="107">
        <f>IF(OR(G115="",BP115&lt;&gt;BQ115),"",IF(INDEX('Saisie'!$K$5:$K$2004,BP115-4)="","",INDEX('Saisie'!$K$5:$K$2004,BP115-4)))</f>
        <v/>
      </c>
      <c r="I115" s="60">
        <f>IF(C115="","",IF(OR(D115="Gagné",D115="Perdu"),"",IFERROR(INDEX('Saisie'!$I$5:$I$2004,_xlfn.MAXIFS('Saisie'!$AS$5:$AS$2004,'Saisie'!$C$5:$C$2004,C115,'Saisie'!$I$5:$I$2004,"&lt;&gt;")-4),"")))</f>
        <v/>
      </c>
      <c r="J115" s="60">
        <f>IF(C115="","",IFERROR(INDEX('Saisie'!$U$5:$U$2004,_xlfn.MAXIFS('Saisie'!$AS$5:$AS$2004,'Saisie'!$C$5:$C$2004,C115,'Saisie'!$U$5:$U$2004,"&lt;&gt;")-4),""))</f>
        <v/>
      </c>
      <c r="K115" s="60">
        <f>IF(C115="","",IFERROR(INDEX('Saisie'!$W$5:$W$2004,_xlfn.MAXIFS('Saisie'!$AS$5:$AS$2004,'Saisie'!$C$5:$C$2004,C115,'Saisie'!$W$5:$W$2004,"&lt;&gt;")-4),""))</f>
        <v/>
      </c>
      <c r="L115" s="60">
        <f>IF(IF(BB115&lt;&gt;"",BB115,K115)="","",HYPERLINK("https://wa.me/"&amp;IF(LEFT(SUBSTITUTE(SUBSTITUTE(SUBSTITUTE(IF(BB115&lt;&gt;"",BB115,K115)," ",""),".",""),"+",""),1)="0",'Paramètres'!$B$35&amp;MID(SUBSTITUTE(SUBSTITUTE(SUBSTITUTE(IF(BB115&lt;&gt;"",BB115,K115)," ",""),".",""),"+",""),2,20),SUBSTITUTE(SUBSTITUTE(SUBSTITUTE(IF(BB115&lt;&gt;"",BB115,K115)," ",""),".",""),"+","")),"WhatsApp"))</f>
        <v/>
      </c>
      <c r="M115" s="60">
        <f>IF(BC115="","",HYPERLINK(IF(LEFT(BC115,4)="http",BC115,"https://www.instagram.com/"&amp;SUBSTITUTE(SUBSTITUTE(BC115,"@","")," ","")),BC115))</f>
        <v/>
      </c>
      <c r="N115" s="60">
        <f>IF(C115="","",IFERROR(INDEX('Saisie'!$D$5:$D$2004,_xlfn.MINIFS('Saisie'!$AS$5:$AS$2004,'Saisie'!$C$5:$C$2004,C115,'Saisie'!$AU$5:$AU$2004,1)-4),IFERROR(INDEX('Saisie'!$D$5:$D$2004,_xlfn.MINIFS('Saisie'!$AS$5:$AS$2004,'Saisie'!$C$5:$C$2004,C115,'Saisie'!$D$5:$D$2004,"&lt;&gt;")-4),"")))</f>
        <v/>
      </c>
      <c r="O115" s="60">
        <f>IF(C115="","",COUNTIFS('Saisie'!$C$5:$C$2004,C115,'Saisie'!$AU$5:$AU$2004,1))</f>
        <v/>
      </c>
      <c r="P115" s="60">
        <f>IF(C115="","",COUNTIFS('Saisie'!$C$5:$C$2004,C115,'Saisie'!$AV$5:$AV$2004,1))</f>
        <v/>
      </c>
      <c r="Q115" s="106">
        <f>IF(C115="","",IFERROR(1/(1/_xlfn.MAXIFS('Saisie'!$A$5:$A$2004,'Saisie'!$C$5:$C$2004,C115)),""))</f>
        <v/>
      </c>
      <c r="R115" s="61">
        <f>IF(C115="","",IF(Q115="","",TODAY()-Q115))</f>
        <v/>
      </c>
      <c r="S115" s="60">
        <f>IF(C115="","",IFERROR(INDEX('Saisie'!$R$5:$R$2004,_xlfn.MAXIFS('Saisie'!$AS$5:$AS$2004,'Saisie'!$C$5:$C$2004,C115,'Saisie'!$R$5:$R$2004,"&lt;&gt;")-4),""))</f>
        <v/>
      </c>
      <c r="T115" s="60">
        <f>IF(C115="","",IFERROR(INDEX('Saisie'!$S$5:$S$2004,_xlfn.MAXIFS('Saisie'!$AS$5:$AS$2004,'Saisie'!$C$5:$C$2004,C115,'Saisie'!$S$5:$S$2004,"&lt;&gt;")-4),""))</f>
        <v/>
      </c>
      <c r="U115" s="60">
        <f>IF(C115="","",IFERROR(INDEX('Saisie'!$T$5:$T$2004,_xlfn.MAXIFS('Saisie'!$AS$5:$AS$2004,'Saisie'!$C$5:$C$2004,C115,'Saisie'!$T$5:$T$2004,"&lt;&gt;")-4),""))</f>
        <v/>
      </c>
      <c r="V115" s="60">
        <f>IF(C115="","",IFERROR(INDEX('Saisie'!$V$5:$V$2004,_xlfn.MAXIFS('Saisie'!$AS$5:$AS$2004,'Saisie'!$C$5:$C$2004,C115,'Saisie'!$V$5:$V$2004,"&lt;&gt;")-4),""))</f>
        <v/>
      </c>
      <c r="W115" s="60">
        <f>IF(C115="","",IFERROR(INDEX('Saisie'!$Z$5:$Z$2004,_xlfn.MAXIFS('Saisie'!$AS$5:$AS$2004,'Saisie'!$C$5:$C$2004,C115,'Saisie'!$Z$5:$Z$2004,"&lt;&gt;")-4),""))</f>
        <v/>
      </c>
      <c r="X115" s="60">
        <f>IF(C115="","",IFERROR(INDEX('Saisie'!$AA$5:$AA$2004,_xlfn.MAXIFS('Saisie'!$AS$5:$AS$2004,'Saisie'!$C$5:$C$2004,C115,'Saisie'!$AA$5:$AA$2004,"&lt;&gt;")-4),""))</f>
        <v/>
      </c>
      <c r="Y115" s="60">
        <f>IF(C115="","",IFERROR(INDEX('Saisie'!$AB$5:$AB$2004,_xlfn.MAXIFS('Saisie'!$AS$5:$AS$2004,'Saisie'!$C$5:$C$2004,C115,'Saisie'!$AB$5:$AB$2004,"&lt;&gt;")-4),""))</f>
        <v/>
      </c>
      <c r="Z115" s="60">
        <f>IF(C115="","",IFERROR(INDEX('Saisie'!$AC$5:$AC$2004,_xlfn.MAXIFS('Saisie'!$AS$5:$AS$2004,'Saisie'!$C$5:$C$2004,C115,'Saisie'!$AC$5:$AC$2004,"&lt;&gt;")-4),""))</f>
        <v/>
      </c>
      <c r="AA115" s="106">
        <f>IF(C115="","",IFERROR(INDEX('Saisie'!$AD$5:$AD$2004,_xlfn.MAXIFS('Saisie'!$AS$5:$AS$2004,'Saisie'!$C$5:$C$2004,C115,'Saisie'!$AD$5:$AD$2004,"&lt;&gt;")-4),""))</f>
        <v/>
      </c>
      <c r="AB115" s="60">
        <f>IF(C115="","",IFERROR(INDEX('Saisie'!$AE$5:$AE$2004,_xlfn.MAXIFS('Saisie'!$AS$5:$AS$2004,'Saisie'!$C$5:$C$2004,C115,'Saisie'!$AE$5:$AE$2004,"&lt;&gt;")-4),""))</f>
        <v/>
      </c>
      <c r="AC115" s="60">
        <f>IF(C115="","",IFERROR(INDEX('Saisie'!$AF$5:$AF$2004,_xlfn.MAXIFS('Saisie'!$AS$5:$AS$2004,'Saisie'!$C$5:$C$2004,C115,'Saisie'!$AF$5:$AF$2004,"&lt;&gt;")-4),""))</f>
        <v/>
      </c>
      <c r="AD115" s="108">
        <f>IF(C115="","",IFERROR(INDEX('Saisie'!$AG$5:$AG$2004,_xlfn.MAXIFS('Saisie'!$AS$5:$AS$2004,'Saisie'!$C$5:$C$2004,C115,'Saisie'!$AG$5:$AG$2004,"&lt;&gt;")-4),""))</f>
        <v/>
      </c>
      <c r="AE115" s="60">
        <f>IF(C115="","",IFERROR(INDEX('Saisie'!$AH$5:$AH$2004,_xlfn.MAXIFS('Saisie'!$AS$5:$AS$2004,'Saisie'!$C$5:$C$2004,C115,'Saisie'!$AH$5:$AH$2004,"&lt;&gt;")-4),""))</f>
        <v/>
      </c>
      <c r="AF115" s="60">
        <f>IF(C115="","",IFERROR(INDEX('Saisie'!$AI$5:$AI$2004,_xlfn.MAXIFS('Saisie'!$AS$5:$AS$2004,'Saisie'!$C$5:$C$2004,C115,'Saisie'!$AI$5:$AI$2004,"&lt;&gt;")-4),""))</f>
        <v/>
      </c>
      <c r="AG115" s="60">
        <f>IF(C115="","",IFERROR(INDEX('Saisie'!$AJ$5:$AJ$2004,_xlfn.MAXIFS('Saisie'!$AS$5:$AS$2004,'Saisie'!$C$5:$C$2004,C115,'Saisie'!$AJ$5:$AJ$2004,"&lt;&gt;")-4),""))</f>
        <v/>
      </c>
      <c r="AH115" s="60">
        <f>IF(C115="","",IFERROR(INDEX('Saisie'!$AK$5:$AK$2004,_xlfn.MAXIFS('Saisie'!$AS$5:$AS$2004,'Saisie'!$C$5:$C$2004,C115,'Saisie'!$AK$5:$AK$2004,"&lt;&gt;")-4),""))</f>
        <v/>
      </c>
      <c r="AI115" s="60">
        <f>IF(C115="","",IFERROR(INDEX('Saisie'!$AN$5:$AN$2004,_xlfn.MAXIFS('Saisie'!$AS$5:$AS$2004,'Saisie'!$C$5:$C$2004,C115,'Saisie'!$AN$5:$AN$2004,"&lt;&gt;")-4),""))</f>
        <v/>
      </c>
      <c r="AJ115" s="60">
        <f>IF(C115="","",IFERROR(INDEX('Saisie'!$AO$5:$AO$2004,_xlfn.MAXIFS('Saisie'!$AS$5:$AS$2004,'Saisie'!$C$5:$C$2004,C115,'Saisie'!$AO$5:$AO$2004,"&lt;&gt;")-4),""))</f>
        <v/>
      </c>
      <c r="AK115" s="60">
        <f>IF(C115="","",IFERROR(INDEX('Saisie'!$AP$5:$AP$2004,_xlfn.MAXIFS('Saisie'!$AS$5:$AS$2004,'Saisie'!$C$5:$C$2004,C115,'Saisie'!$AP$5:$AP$2004,"&lt;&gt;")-4),""))</f>
        <v/>
      </c>
      <c r="AL115" s="60">
        <f>IF(C115="","",IFERROR(INDEX('Saisie'!$AQ$5:$AQ$2004,_xlfn.MAXIFS('Saisie'!$AS$5:$AS$2004,'Saisie'!$C$5:$C$2004,C115,'Saisie'!$AQ$5:$AQ$2004,"&lt;&gt;")-4),""))</f>
        <v/>
      </c>
      <c r="AM115" s="60">
        <f>IF(C115="","",((AI115="Oui")+(AJ115="Oui")+(AK115="Oui")+OR(AL115="Immédiat",AL115="&lt; 1 mois"))&amp;"/4")</f>
        <v/>
      </c>
      <c r="AN115" s="60">
        <f>IF(C115="","",IFERROR(INDEX('Saisie'!$AL$5:$AL$2004,_xlfn.MAXIFS('Saisie'!$AS$5:$AS$2004,'Saisie'!$C$5:$C$2004,C115,'Saisie'!$AL$5:$AL$2004,"&lt;&gt;")-4),""))</f>
        <v/>
      </c>
      <c r="AO115" s="62">
        <f>IF(C115="","",IF(IFERROR(INDEX('Saisie'!$AM$5:$AM$2004,_xlfn.MAXIFS('Saisie'!$AS$5:$AS$2004,'Saisie'!$C$5:$C$2004,C115,'Saisie'!$AM$5:$AM$2004,"&lt;&gt;")-4),"")&lt;&gt;"",IFERROR(INDEX('Saisie'!$AM$5:$AM$2004,_xlfn.MAXIFS('Saisie'!$AS$5:$AS$2004,'Saisie'!$C$5:$C$2004,C115,'Saisie'!$AM$5:$AM$2004,"&lt;&gt;")-4),""),IFERROR(INDEX('Paramètres'!$S$6:$S$15,MATCH(AN115,'Paramètres'!$Q$6:$Q$15,0)),"")))</f>
        <v/>
      </c>
      <c r="AP115" s="62">
        <f>IF(C115="","",IFERROR(INDEX('Saisie'!$AW$5:$AW$2004,_xlfn.MAXIFS('Saisie'!$AS$5:$AS$2004,'Saisie'!$C$5:$C$2004,C115,'Saisie'!$E$5:$E$2004,"Proposition envoyée")-4),""))</f>
        <v/>
      </c>
      <c r="AQ115" s="106">
        <f>IF(C115="","",IFERROR(1/(1/_xlfn.MAXIFS('Saisie'!$A$5:$A$2004,'Saisie'!$C$5:$C$2004,C115,'Saisie'!$E$5:$E$2004,"Proposition envoyée")),""))</f>
        <v/>
      </c>
      <c r="AR115" s="106">
        <f>IF(C115="","",IF(AQ115="","",AQ115+'Paramètres'!$B$26))</f>
        <v/>
      </c>
      <c r="AS115" s="62">
        <f>IF(OR(C115="",D115="Gagné",D115="Perdu"),0,N(AP115)*IFERROR(INDEX('Paramètres'!$G$6:$G$13,MATCH(D115,'Paramètres'!$F$6:$F$13,0)),0))</f>
        <v/>
      </c>
      <c r="AT115" s="106">
        <f>IF(C115="","",IFERROR(1/(1/_xlfn.MINIFS('Saisie'!$A$5:$A$2004,'Saisie'!$C$5:$C$2004,C115,'Saisie'!$E$5:$E$2004,"Signature")),""))</f>
        <v/>
      </c>
      <c r="AU115" s="60">
        <f>IF(C115="","",IF(OR(AT115="",B115=""),"",AT115-B115))</f>
        <v/>
      </c>
      <c r="AV115" s="60">
        <f>IF(C115="","",IFERROR(INDEX('Saisie'!$L$5:$L$2004,_xlfn.MAXIFS('Saisie'!$AS$5:$AS$2004,'Saisie'!$C$5:$C$2004,C115,'Saisie'!$L$5:$L$2004,"&lt;&gt;")-4),""))</f>
        <v/>
      </c>
      <c r="AW115" s="106">
        <f>IF(C115="","",IF(D115&lt;&gt;"Perdu","",IFERROR(1/(1/_xlfn.MAXIFS('Saisie'!$A$5:$A$2004,'Saisie'!$C$5:$C$2004,C115,'Saisie'!$E$5:$E$2004,"Perdu")),"")))</f>
        <v/>
      </c>
      <c r="AX115" s="106">
        <f>IF(C115="","",IF(AW115="","",AW115+'Paramètres'!$B$28))</f>
        <v/>
      </c>
      <c r="AY115" s="60">
        <f>IF(C115="","",SUMIFS('Saisie'!$H$5:$H$2004,'Saisie'!$C$5:$C$2004,C115))</f>
        <v/>
      </c>
      <c r="AZ115" s="60">
        <f>IF(C115="","",IFERROR(INDEX('Paramètres'!$W$6:$W$20,MATCH(S115,'Paramètres'!$V$6:$V$20,0))&amp;"",""))</f>
        <v/>
      </c>
      <c r="BA115" s="60">
        <f>IF(C115="","",MAX(1,_xlfn.MAXIFS('Saisie'!$AT$5:$AT$2004,'Saisie'!$C$5:$C$2004,C115)))</f>
        <v/>
      </c>
      <c r="BB115" s="60">
        <f>IF(C115="","",IFERROR(INDEX('Saisie'!$X$5:$X$2004,_xlfn.MAXIFS('Saisie'!$AS$5:$AS$2004,'Saisie'!$C$5:$C$2004,C115,'Saisie'!$X$5:$X$2004,"&lt;&gt;")-4),""))</f>
        <v/>
      </c>
      <c r="BC115" s="60">
        <f>IF(C115="","",IFERROR(INDEX('Saisie'!$Y$5:$Y$2004,_xlfn.MAXIFS('Saisie'!$AS$5:$AS$2004,'Saisie'!$C$5:$C$2004,C115,'Saisie'!$Y$5:$Y$2004,"&lt;&gt;")-4),""))</f>
        <v/>
      </c>
      <c r="BD115" s="106">
        <f>IF(C115="","",IFERROR(1/(1/_xlfn.MINIFS('Saisie'!$A$5:$A$2004,'Saisie'!$C$5:$C$2004,C115,'Saisie'!$AT$5:$AT$2004,"&gt;=2")),""))</f>
        <v/>
      </c>
      <c r="BE115" s="106">
        <f>IF(C115="","",IFERROR(1/(1/_xlfn.MINIFS('Saisie'!$A$5:$A$2004,'Saisie'!$C$5:$C$2004,C115,'Saisie'!$AT$5:$AT$2004,"&gt;=3")),""))</f>
        <v/>
      </c>
      <c r="BF115" s="106">
        <f>IF(C115="","",IFERROR(1/(1/_xlfn.MINIFS('Saisie'!$A$5:$A$2004,'Saisie'!$C$5:$C$2004,C115,'Saisie'!$AT$5:$AT$2004,"&gt;=4")),""))</f>
        <v/>
      </c>
      <c r="BG115" s="106">
        <f>IF(C115="","",IFERROR(1/(1/_xlfn.MINIFS('Saisie'!$A$5:$A$2004,'Saisie'!$C$5:$C$2004,C115,'Saisie'!$AT$5:$AT$2004,"&gt;=5")),""))</f>
        <v/>
      </c>
      <c r="BH115" s="106">
        <f>IF(C115="","",IFERROR(1/(1/_xlfn.MINIFS('Saisie'!$A$5:$A$2004,'Saisie'!$C$5:$C$2004,C115,'Saisie'!$AT$5:$AT$2004,"&gt;=6")),""))</f>
        <v/>
      </c>
      <c r="BI115" s="106">
        <f>IF(C115="","",IFERROR(1/(1/_xlfn.MINIFS('Saisie'!$A$5:$A$2004,'Saisie'!$C$5:$C$2004,C115,'Saisie'!$AT$5:$AT$2004,"&gt;=7")),""))</f>
        <v/>
      </c>
      <c r="BJ115" s="60">
        <f>IF(OR(BD115="",B115=""),"",BD115-B115)</f>
        <v/>
      </c>
      <c r="BK115" s="60">
        <f>IF(OR(BE115="",BD115=""),"",BE115-BD115)</f>
        <v/>
      </c>
      <c r="BL115" s="60">
        <f>IF(OR(BF115="",BE115=""),"",BF115-BE115)</f>
        <v/>
      </c>
      <c r="BM115" s="60">
        <f>IF(OR(BG115="",BF115=""),"",BG115-BF115)</f>
        <v/>
      </c>
      <c r="BN115" s="60">
        <f>IF(OR(BH115="",BG115=""),"",BH115-BG115)</f>
        <v/>
      </c>
      <c r="BO115" s="60">
        <f>IF(OR(BI115="",BH115=""),"",BI115-BH115)</f>
        <v/>
      </c>
      <c r="BP115" s="60">
        <f>IF(C115="","",_xlfn.MAXIFS('Saisie'!$AS$5:$AS$2004,'Saisie'!$C$5:$C$2004,C115,'Saisie'!$J$5:$J$2004,"&lt;&gt;"))</f>
        <v/>
      </c>
      <c r="BQ115" s="60">
        <f>IF(C115="","",_xlfn.MAXIFS('Saisie'!$AS$5:$AS$2004,'Saisie'!$C$5:$C$2004,C115))</f>
        <v/>
      </c>
      <c r="BR115" s="60">
        <f>IF(C115="","",_xlfn.MAXIFS('Saisie'!$AS$5:$AS$2004,'Saisie'!$C$5:$C$2004,C115,'Saisie'!$E$5:$E$2004,"Perdu"))</f>
        <v/>
      </c>
      <c r="BS115" s="60">
        <f>IF(C115="","",_xlfn.MAXIFS('Saisie'!$AS$5:$AS$2004,'Saisie'!$C$5:$C$2004,C115,'Saisie'!$AT$5:$AT$2004,"&gt;0"))</f>
        <v/>
      </c>
      <c r="BT115" s="109">
        <f>IF(AND(C115&lt;&gt;"",OR(D115="Nouveau",D115="Contacté",D115="Qualifié"),OR(G115="",N(G115)&lt;=TODAY()),NOT(AND(O115&gt;='Paramètres'!$B$21,P115=0))),E115+111/10000,"")</f>
        <v/>
      </c>
      <c r="BU115" s="60">
        <f>IF(AND(G115&lt;&gt;"",N(G115)&lt;=TODAY()),MAX($BU$4:BU114)+1,"")</f>
        <v/>
      </c>
      <c r="BV115" s="60">
        <f>IF(AND(F115&lt;&gt;"",F115&lt;&gt;"Relance en retard"),MAX($BV$4:BV114)+1,"")</f>
        <v/>
      </c>
      <c r="BW115" s="60">
        <f>IF(C115="","",IF(AND(B115&gt;='Tableau de bord'!$R$4,B115&lt;='Tableau de bord'!$S$4,OR('Tableau de bord'!$G$4="Tous",N115='Tableau de bord'!$G$4)),1,0))</f>
        <v/>
      </c>
      <c r="BX115" s="60">
        <f>IF(AND(C115&lt;&gt;"",N(BA115)=7),MAX($BX$4:BX114)+1,"")</f>
        <v/>
      </c>
    </row>
    <row r="116">
      <c r="A116" s="60">
        <f>IF(C116="","","P-"&amp;TEXT(112,"000"))</f>
        <v/>
      </c>
      <c r="B116" s="106">
        <f>IF(C116="","",IFERROR(1/(1/_xlfn.MINIFS('Saisie'!$A$5:$A$2004,'Saisie'!$C$5:$C$2004,C116)),""))</f>
        <v/>
      </c>
      <c r="C116" s="60">
        <f>IFERROR(INDEX('Saisie'!$C$5:$C$2004,MATCH(112,'Saisie'!$AX$5:$AX$2004,0)),"")</f>
        <v/>
      </c>
      <c r="D116" s="60">
        <f>IF(C116="","",IF(AND(BR116&gt;0,BR116&gt;BS116,BA116&lt;7),"Perdu",INDEX('Paramètres'!$F$6:$F$13,BA116)))</f>
        <v/>
      </c>
      <c r="E116" s="61">
        <f>IF(C116="","",MIN(100,(Z116="Oui")*'Paramètres'!$B$38+(AB116="Régulière")*'Paramètres'!$B$39+IF(AND(N(AA116)&gt;0,TODAY()-N(AA116)&lt;=30),'Paramètres'!$B$40,0)+(W116="")*'Paramètres'!$B$41+(AC116="Absente")*'Paramètres'!$B$42+(AC116="Faible")*'Paramètres'!$B$43+IF(AND(N(AD116)&gt;0,N(AD116)&lt;4),'Paramètres'!$B$44,0)+(AF116="Moyenne")*'Paramètres'!$B$45+(AF116="Grande")*'Paramètres'!$B$46+(Y116&lt;&gt;"")*'Paramètres'!$B$47))</f>
        <v/>
      </c>
      <c r="F116" s="60">
        <f>IF(C116="","",IF(D116="Gagné","",IF(D116="Perdu",IF(AND(AX116&lt;&gt;"",AX116&lt;=TODAY()),"À recontacter (perdu)",""),IF(AND(O116&gt;='Paramètres'!$B$21,P116=0),"Stop : "&amp;'Paramètres'!$B$21&amp;" tentatives sans réponse",IF(AND(D116="Proposition",AR116&lt;&gt;"",TODAY()&gt;N(AR116)),"Proposition expirée",IF(AND(D116="Proposition",N(R116)&gt;='Paramètres'!$B$25),"Proposition sans réponse",IF(AND(G116&lt;&gt;"",N(G116)&lt;TODAY()),"Relance en retard",IF(N(R116)&gt;='Paramètres'!$B$24,"Sans action depuis "&amp;R116&amp;" j",""))))))))</f>
        <v/>
      </c>
      <c r="G116" s="106">
        <f>IF(OR(C116="",D116="Gagné",D116="Perdu"),"",IF(AND(BP116&gt;0,BP116=BQ116),INDEX('Saisie'!$J$5:$J$2004,BP116-4),IF(OR(O116=0,AND(O116&gt;='Paramètres'!$B$21,P116=0)),"",Q116+IF(O116&lt;=1,'Paramètres'!$B$18,IF(O116=2,'Paramètres'!$B$19,'Paramètres'!$B$20)))))</f>
        <v/>
      </c>
      <c r="H116" s="107">
        <f>IF(OR(G116="",BP116&lt;&gt;BQ116),"",IF(INDEX('Saisie'!$K$5:$K$2004,BP116-4)="","",INDEX('Saisie'!$K$5:$K$2004,BP116-4)))</f>
        <v/>
      </c>
      <c r="I116" s="60">
        <f>IF(C116="","",IF(OR(D116="Gagné",D116="Perdu"),"",IFERROR(INDEX('Saisie'!$I$5:$I$2004,_xlfn.MAXIFS('Saisie'!$AS$5:$AS$2004,'Saisie'!$C$5:$C$2004,C116,'Saisie'!$I$5:$I$2004,"&lt;&gt;")-4),"")))</f>
        <v/>
      </c>
      <c r="J116" s="60">
        <f>IF(C116="","",IFERROR(INDEX('Saisie'!$U$5:$U$2004,_xlfn.MAXIFS('Saisie'!$AS$5:$AS$2004,'Saisie'!$C$5:$C$2004,C116,'Saisie'!$U$5:$U$2004,"&lt;&gt;")-4),""))</f>
        <v/>
      </c>
      <c r="K116" s="60">
        <f>IF(C116="","",IFERROR(INDEX('Saisie'!$W$5:$W$2004,_xlfn.MAXIFS('Saisie'!$AS$5:$AS$2004,'Saisie'!$C$5:$C$2004,C116,'Saisie'!$W$5:$W$2004,"&lt;&gt;")-4),""))</f>
        <v/>
      </c>
      <c r="L116" s="60">
        <f>IF(IF(BB116&lt;&gt;"",BB116,K116)="","",HYPERLINK("https://wa.me/"&amp;IF(LEFT(SUBSTITUTE(SUBSTITUTE(SUBSTITUTE(IF(BB116&lt;&gt;"",BB116,K116)," ",""),".",""),"+",""),1)="0",'Paramètres'!$B$35&amp;MID(SUBSTITUTE(SUBSTITUTE(SUBSTITUTE(IF(BB116&lt;&gt;"",BB116,K116)," ",""),".",""),"+",""),2,20),SUBSTITUTE(SUBSTITUTE(SUBSTITUTE(IF(BB116&lt;&gt;"",BB116,K116)," ",""),".",""),"+","")),"WhatsApp"))</f>
        <v/>
      </c>
      <c r="M116" s="60">
        <f>IF(BC116="","",HYPERLINK(IF(LEFT(BC116,4)="http",BC116,"https://www.instagram.com/"&amp;SUBSTITUTE(SUBSTITUTE(BC116,"@","")," ","")),BC116))</f>
        <v/>
      </c>
      <c r="N116" s="60">
        <f>IF(C116="","",IFERROR(INDEX('Saisie'!$D$5:$D$2004,_xlfn.MINIFS('Saisie'!$AS$5:$AS$2004,'Saisie'!$C$5:$C$2004,C116,'Saisie'!$AU$5:$AU$2004,1)-4),IFERROR(INDEX('Saisie'!$D$5:$D$2004,_xlfn.MINIFS('Saisie'!$AS$5:$AS$2004,'Saisie'!$C$5:$C$2004,C116,'Saisie'!$D$5:$D$2004,"&lt;&gt;")-4),"")))</f>
        <v/>
      </c>
      <c r="O116" s="60">
        <f>IF(C116="","",COUNTIFS('Saisie'!$C$5:$C$2004,C116,'Saisie'!$AU$5:$AU$2004,1))</f>
        <v/>
      </c>
      <c r="P116" s="60">
        <f>IF(C116="","",COUNTIFS('Saisie'!$C$5:$C$2004,C116,'Saisie'!$AV$5:$AV$2004,1))</f>
        <v/>
      </c>
      <c r="Q116" s="106">
        <f>IF(C116="","",IFERROR(1/(1/_xlfn.MAXIFS('Saisie'!$A$5:$A$2004,'Saisie'!$C$5:$C$2004,C116)),""))</f>
        <v/>
      </c>
      <c r="R116" s="61">
        <f>IF(C116="","",IF(Q116="","",TODAY()-Q116))</f>
        <v/>
      </c>
      <c r="S116" s="60">
        <f>IF(C116="","",IFERROR(INDEX('Saisie'!$R$5:$R$2004,_xlfn.MAXIFS('Saisie'!$AS$5:$AS$2004,'Saisie'!$C$5:$C$2004,C116,'Saisie'!$R$5:$R$2004,"&lt;&gt;")-4),""))</f>
        <v/>
      </c>
      <c r="T116" s="60">
        <f>IF(C116="","",IFERROR(INDEX('Saisie'!$S$5:$S$2004,_xlfn.MAXIFS('Saisie'!$AS$5:$AS$2004,'Saisie'!$C$5:$C$2004,C116,'Saisie'!$S$5:$S$2004,"&lt;&gt;")-4),""))</f>
        <v/>
      </c>
      <c r="U116" s="60">
        <f>IF(C116="","",IFERROR(INDEX('Saisie'!$T$5:$T$2004,_xlfn.MAXIFS('Saisie'!$AS$5:$AS$2004,'Saisie'!$C$5:$C$2004,C116,'Saisie'!$T$5:$T$2004,"&lt;&gt;")-4),""))</f>
        <v/>
      </c>
      <c r="V116" s="60">
        <f>IF(C116="","",IFERROR(INDEX('Saisie'!$V$5:$V$2004,_xlfn.MAXIFS('Saisie'!$AS$5:$AS$2004,'Saisie'!$C$5:$C$2004,C116,'Saisie'!$V$5:$V$2004,"&lt;&gt;")-4),""))</f>
        <v/>
      </c>
      <c r="W116" s="60">
        <f>IF(C116="","",IFERROR(INDEX('Saisie'!$Z$5:$Z$2004,_xlfn.MAXIFS('Saisie'!$AS$5:$AS$2004,'Saisie'!$C$5:$C$2004,C116,'Saisie'!$Z$5:$Z$2004,"&lt;&gt;")-4),""))</f>
        <v/>
      </c>
      <c r="X116" s="60">
        <f>IF(C116="","",IFERROR(INDEX('Saisie'!$AA$5:$AA$2004,_xlfn.MAXIFS('Saisie'!$AS$5:$AS$2004,'Saisie'!$C$5:$C$2004,C116,'Saisie'!$AA$5:$AA$2004,"&lt;&gt;")-4),""))</f>
        <v/>
      </c>
      <c r="Y116" s="60">
        <f>IF(C116="","",IFERROR(INDEX('Saisie'!$AB$5:$AB$2004,_xlfn.MAXIFS('Saisie'!$AS$5:$AS$2004,'Saisie'!$C$5:$C$2004,C116,'Saisie'!$AB$5:$AB$2004,"&lt;&gt;")-4),""))</f>
        <v/>
      </c>
      <c r="Z116" s="60">
        <f>IF(C116="","",IFERROR(INDEX('Saisie'!$AC$5:$AC$2004,_xlfn.MAXIFS('Saisie'!$AS$5:$AS$2004,'Saisie'!$C$5:$C$2004,C116,'Saisie'!$AC$5:$AC$2004,"&lt;&gt;")-4),""))</f>
        <v/>
      </c>
      <c r="AA116" s="106">
        <f>IF(C116="","",IFERROR(INDEX('Saisie'!$AD$5:$AD$2004,_xlfn.MAXIFS('Saisie'!$AS$5:$AS$2004,'Saisie'!$C$5:$C$2004,C116,'Saisie'!$AD$5:$AD$2004,"&lt;&gt;")-4),""))</f>
        <v/>
      </c>
      <c r="AB116" s="60">
        <f>IF(C116="","",IFERROR(INDEX('Saisie'!$AE$5:$AE$2004,_xlfn.MAXIFS('Saisie'!$AS$5:$AS$2004,'Saisie'!$C$5:$C$2004,C116,'Saisie'!$AE$5:$AE$2004,"&lt;&gt;")-4),""))</f>
        <v/>
      </c>
      <c r="AC116" s="60">
        <f>IF(C116="","",IFERROR(INDEX('Saisie'!$AF$5:$AF$2004,_xlfn.MAXIFS('Saisie'!$AS$5:$AS$2004,'Saisie'!$C$5:$C$2004,C116,'Saisie'!$AF$5:$AF$2004,"&lt;&gt;")-4),""))</f>
        <v/>
      </c>
      <c r="AD116" s="108">
        <f>IF(C116="","",IFERROR(INDEX('Saisie'!$AG$5:$AG$2004,_xlfn.MAXIFS('Saisie'!$AS$5:$AS$2004,'Saisie'!$C$5:$C$2004,C116,'Saisie'!$AG$5:$AG$2004,"&lt;&gt;")-4),""))</f>
        <v/>
      </c>
      <c r="AE116" s="60">
        <f>IF(C116="","",IFERROR(INDEX('Saisie'!$AH$5:$AH$2004,_xlfn.MAXIFS('Saisie'!$AS$5:$AS$2004,'Saisie'!$C$5:$C$2004,C116,'Saisie'!$AH$5:$AH$2004,"&lt;&gt;")-4),""))</f>
        <v/>
      </c>
      <c r="AF116" s="60">
        <f>IF(C116="","",IFERROR(INDEX('Saisie'!$AI$5:$AI$2004,_xlfn.MAXIFS('Saisie'!$AS$5:$AS$2004,'Saisie'!$C$5:$C$2004,C116,'Saisie'!$AI$5:$AI$2004,"&lt;&gt;")-4),""))</f>
        <v/>
      </c>
      <c r="AG116" s="60">
        <f>IF(C116="","",IFERROR(INDEX('Saisie'!$AJ$5:$AJ$2004,_xlfn.MAXIFS('Saisie'!$AS$5:$AS$2004,'Saisie'!$C$5:$C$2004,C116,'Saisie'!$AJ$5:$AJ$2004,"&lt;&gt;")-4),""))</f>
        <v/>
      </c>
      <c r="AH116" s="60">
        <f>IF(C116="","",IFERROR(INDEX('Saisie'!$AK$5:$AK$2004,_xlfn.MAXIFS('Saisie'!$AS$5:$AS$2004,'Saisie'!$C$5:$C$2004,C116,'Saisie'!$AK$5:$AK$2004,"&lt;&gt;")-4),""))</f>
        <v/>
      </c>
      <c r="AI116" s="60">
        <f>IF(C116="","",IFERROR(INDEX('Saisie'!$AN$5:$AN$2004,_xlfn.MAXIFS('Saisie'!$AS$5:$AS$2004,'Saisie'!$C$5:$C$2004,C116,'Saisie'!$AN$5:$AN$2004,"&lt;&gt;")-4),""))</f>
        <v/>
      </c>
      <c r="AJ116" s="60">
        <f>IF(C116="","",IFERROR(INDEX('Saisie'!$AO$5:$AO$2004,_xlfn.MAXIFS('Saisie'!$AS$5:$AS$2004,'Saisie'!$C$5:$C$2004,C116,'Saisie'!$AO$5:$AO$2004,"&lt;&gt;")-4),""))</f>
        <v/>
      </c>
      <c r="AK116" s="60">
        <f>IF(C116="","",IFERROR(INDEX('Saisie'!$AP$5:$AP$2004,_xlfn.MAXIFS('Saisie'!$AS$5:$AS$2004,'Saisie'!$C$5:$C$2004,C116,'Saisie'!$AP$5:$AP$2004,"&lt;&gt;")-4),""))</f>
        <v/>
      </c>
      <c r="AL116" s="60">
        <f>IF(C116="","",IFERROR(INDEX('Saisie'!$AQ$5:$AQ$2004,_xlfn.MAXIFS('Saisie'!$AS$5:$AS$2004,'Saisie'!$C$5:$C$2004,C116,'Saisie'!$AQ$5:$AQ$2004,"&lt;&gt;")-4),""))</f>
        <v/>
      </c>
      <c r="AM116" s="60">
        <f>IF(C116="","",((AI116="Oui")+(AJ116="Oui")+(AK116="Oui")+OR(AL116="Immédiat",AL116="&lt; 1 mois"))&amp;"/4")</f>
        <v/>
      </c>
      <c r="AN116" s="60">
        <f>IF(C116="","",IFERROR(INDEX('Saisie'!$AL$5:$AL$2004,_xlfn.MAXIFS('Saisie'!$AS$5:$AS$2004,'Saisie'!$C$5:$C$2004,C116,'Saisie'!$AL$5:$AL$2004,"&lt;&gt;")-4),""))</f>
        <v/>
      </c>
      <c r="AO116" s="62">
        <f>IF(C116="","",IF(IFERROR(INDEX('Saisie'!$AM$5:$AM$2004,_xlfn.MAXIFS('Saisie'!$AS$5:$AS$2004,'Saisie'!$C$5:$C$2004,C116,'Saisie'!$AM$5:$AM$2004,"&lt;&gt;")-4),"")&lt;&gt;"",IFERROR(INDEX('Saisie'!$AM$5:$AM$2004,_xlfn.MAXIFS('Saisie'!$AS$5:$AS$2004,'Saisie'!$C$5:$C$2004,C116,'Saisie'!$AM$5:$AM$2004,"&lt;&gt;")-4),""),IFERROR(INDEX('Paramètres'!$S$6:$S$15,MATCH(AN116,'Paramètres'!$Q$6:$Q$15,0)),"")))</f>
        <v/>
      </c>
      <c r="AP116" s="62">
        <f>IF(C116="","",IFERROR(INDEX('Saisie'!$AW$5:$AW$2004,_xlfn.MAXIFS('Saisie'!$AS$5:$AS$2004,'Saisie'!$C$5:$C$2004,C116,'Saisie'!$E$5:$E$2004,"Proposition envoyée")-4),""))</f>
        <v/>
      </c>
      <c r="AQ116" s="106">
        <f>IF(C116="","",IFERROR(1/(1/_xlfn.MAXIFS('Saisie'!$A$5:$A$2004,'Saisie'!$C$5:$C$2004,C116,'Saisie'!$E$5:$E$2004,"Proposition envoyée")),""))</f>
        <v/>
      </c>
      <c r="AR116" s="106">
        <f>IF(C116="","",IF(AQ116="","",AQ116+'Paramètres'!$B$26))</f>
        <v/>
      </c>
      <c r="AS116" s="62">
        <f>IF(OR(C116="",D116="Gagné",D116="Perdu"),0,N(AP116)*IFERROR(INDEX('Paramètres'!$G$6:$G$13,MATCH(D116,'Paramètres'!$F$6:$F$13,0)),0))</f>
        <v/>
      </c>
      <c r="AT116" s="106">
        <f>IF(C116="","",IFERROR(1/(1/_xlfn.MINIFS('Saisie'!$A$5:$A$2004,'Saisie'!$C$5:$C$2004,C116,'Saisie'!$E$5:$E$2004,"Signature")),""))</f>
        <v/>
      </c>
      <c r="AU116" s="60">
        <f>IF(C116="","",IF(OR(AT116="",B116=""),"",AT116-B116))</f>
        <v/>
      </c>
      <c r="AV116" s="60">
        <f>IF(C116="","",IFERROR(INDEX('Saisie'!$L$5:$L$2004,_xlfn.MAXIFS('Saisie'!$AS$5:$AS$2004,'Saisie'!$C$5:$C$2004,C116,'Saisie'!$L$5:$L$2004,"&lt;&gt;")-4),""))</f>
        <v/>
      </c>
      <c r="AW116" s="106">
        <f>IF(C116="","",IF(D116&lt;&gt;"Perdu","",IFERROR(1/(1/_xlfn.MAXIFS('Saisie'!$A$5:$A$2004,'Saisie'!$C$5:$C$2004,C116,'Saisie'!$E$5:$E$2004,"Perdu")),"")))</f>
        <v/>
      </c>
      <c r="AX116" s="106">
        <f>IF(C116="","",IF(AW116="","",AW116+'Paramètres'!$B$28))</f>
        <v/>
      </c>
      <c r="AY116" s="60">
        <f>IF(C116="","",SUMIFS('Saisie'!$H$5:$H$2004,'Saisie'!$C$5:$C$2004,C116))</f>
        <v/>
      </c>
      <c r="AZ116" s="60">
        <f>IF(C116="","",IFERROR(INDEX('Paramètres'!$W$6:$W$20,MATCH(S116,'Paramètres'!$V$6:$V$20,0))&amp;"",""))</f>
        <v/>
      </c>
      <c r="BA116" s="60">
        <f>IF(C116="","",MAX(1,_xlfn.MAXIFS('Saisie'!$AT$5:$AT$2004,'Saisie'!$C$5:$C$2004,C116)))</f>
        <v/>
      </c>
      <c r="BB116" s="60">
        <f>IF(C116="","",IFERROR(INDEX('Saisie'!$X$5:$X$2004,_xlfn.MAXIFS('Saisie'!$AS$5:$AS$2004,'Saisie'!$C$5:$C$2004,C116,'Saisie'!$X$5:$X$2004,"&lt;&gt;")-4),""))</f>
        <v/>
      </c>
      <c r="BC116" s="60">
        <f>IF(C116="","",IFERROR(INDEX('Saisie'!$Y$5:$Y$2004,_xlfn.MAXIFS('Saisie'!$AS$5:$AS$2004,'Saisie'!$C$5:$C$2004,C116,'Saisie'!$Y$5:$Y$2004,"&lt;&gt;")-4),""))</f>
        <v/>
      </c>
      <c r="BD116" s="106">
        <f>IF(C116="","",IFERROR(1/(1/_xlfn.MINIFS('Saisie'!$A$5:$A$2004,'Saisie'!$C$5:$C$2004,C116,'Saisie'!$AT$5:$AT$2004,"&gt;=2")),""))</f>
        <v/>
      </c>
      <c r="BE116" s="106">
        <f>IF(C116="","",IFERROR(1/(1/_xlfn.MINIFS('Saisie'!$A$5:$A$2004,'Saisie'!$C$5:$C$2004,C116,'Saisie'!$AT$5:$AT$2004,"&gt;=3")),""))</f>
        <v/>
      </c>
      <c r="BF116" s="106">
        <f>IF(C116="","",IFERROR(1/(1/_xlfn.MINIFS('Saisie'!$A$5:$A$2004,'Saisie'!$C$5:$C$2004,C116,'Saisie'!$AT$5:$AT$2004,"&gt;=4")),""))</f>
        <v/>
      </c>
      <c r="BG116" s="106">
        <f>IF(C116="","",IFERROR(1/(1/_xlfn.MINIFS('Saisie'!$A$5:$A$2004,'Saisie'!$C$5:$C$2004,C116,'Saisie'!$AT$5:$AT$2004,"&gt;=5")),""))</f>
        <v/>
      </c>
      <c r="BH116" s="106">
        <f>IF(C116="","",IFERROR(1/(1/_xlfn.MINIFS('Saisie'!$A$5:$A$2004,'Saisie'!$C$5:$C$2004,C116,'Saisie'!$AT$5:$AT$2004,"&gt;=6")),""))</f>
        <v/>
      </c>
      <c r="BI116" s="106">
        <f>IF(C116="","",IFERROR(1/(1/_xlfn.MINIFS('Saisie'!$A$5:$A$2004,'Saisie'!$C$5:$C$2004,C116,'Saisie'!$AT$5:$AT$2004,"&gt;=7")),""))</f>
        <v/>
      </c>
      <c r="BJ116" s="60">
        <f>IF(OR(BD116="",B116=""),"",BD116-B116)</f>
        <v/>
      </c>
      <c r="BK116" s="60">
        <f>IF(OR(BE116="",BD116=""),"",BE116-BD116)</f>
        <v/>
      </c>
      <c r="BL116" s="60">
        <f>IF(OR(BF116="",BE116=""),"",BF116-BE116)</f>
        <v/>
      </c>
      <c r="BM116" s="60">
        <f>IF(OR(BG116="",BF116=""),"",BG116-BF116)</f>
        <v/>
      </c>
      <c r="BN116" s="60">
        <f>IF(OR(BH116="",BG116=""),"",BH116-BG116)</f>
        <v/>
      </c>
      <c r="BO116" s="60">
        <f>IF(OR(BI116="",BH116=""),"",BI116-BH116)</f>
        <v/>
      </c>
      <c r="BP116" s="60">
        <f>IF(C116="","",_xlfn.MAXIFS('Saisie'!$AS$5:$AS$2004,'Saisie'!$C$5:$C$2004,C116,'Saisie'!$J$5:$J$2004,"&lt;&gt;"))</f>
        <v/>
      </c>
      <c r="BQ116" s="60">
        <f>IF(C116="","",_xlfn.MAXIFS('Saisie'!$AS$5:$AS$2004,'Saisie'!$C$5:$C$2004,C116))</f>
        <v/>
      </c>
      <c r="BR116" s="60">
        <f>IF(C116="","",_xlfn.MAXIFS('Saisie'!$AS$5:$AS$2004,'Saisie'!$C$5:$C$2004,C116,'Saisie'!$E$5:$E$2004,"Perdu"))</f>
        <v/>
      </c>
      <c r="BS116" s="60">
        <f>IF(C116="","",_xlfn.MAXIFS('Saisie'!$AS$5:$AS$2004,'Saisie'!$C$5:$C$2004,C116,'Saisie'!$AT$5:$AT$2004,"&gt;0"))</f>
        <v/>
      </c>
      <c r="BT116" s="109">
        <f>IF(AND(C116&lt;&gt;"",OR(D116="Nouveau",D116="Contacté",D116="Qualifié"),OR(G116="",N(G116)&lt;=TODAY()),NOT(AND(O116&gt;='Paramètres'!$B$21,P116=0))),E116+112/10000,"")</f>
        <v/>
      </c>
      <c r="BU116" s="60">
        <f>IF(AND(G116&lt;&gt;"",N(G116)&lt;=TODAY()),MAX($BU$4:BU115)+1,"")</f>
        <v/>
      </c>
      <c r="BV116" s="60">
        <f>IF(AND(F116&lt;&gt;"",F116&lt;&gt;"Relance en retard"),MAX($BV$4:BV115)+1,"")</f>
        <v/>
      </c>
      <c r="BW116" s="60">
        <f>IF(C116="","",IF(AND(B116&gt;='Tableau de bord'!$R$4,B116&lt;='Tableau de bord'!$S$4,OR('Tableau de bord'!$G$4="Tous",N116='Tableau de bord'!$G$4)),1,0))</f>
        <v/>
      </c>
      <c r="BX116" s="60">
        <f>IF(AND(C116&lt;&gt;"",N(BA116)=7),MAX($BX$4:BX115)+1,"")</f>
        <v/>
      </c>
    </row>
    <row r="117">
      <c r="A117" s="60">
        <f>IF(C117="","","P-"&amp;TEXT(113,"000"))</f>
        <v/>
      </c>
      <c r="B117" s="106">
        <f>IF(C117="","",IFERROR(1/(1/_xlfn.MINIFS('Saisie'!$A$5:$A$2004,'Saisie'!$C$5:$C$2004,C117)),""))</f>
        <v/>
      </c>
      <c r="C117" s="60">
        <f>IFERROR(INDEX('Saisie'!$C$5:$C$2004,MATCH(113,'Saisie'!$AX$5:$AX$2004,0)),"")</f>
        <v/>
      </c>
      <c r="D117" s="60">
        <f>IF(C117="","",IF(AND(BR117&gt;0,BR117&gt;BS117,BA117&lt;7),"Perdu",INDEX('Paramètres'!$F$6:$F$13,BA117)))</f>
        <v/>
      </c>
      <c r="E117" s="61">
        <f>IF(C117="","",MIN(100,(Z117="Oui")*'Paramètres'!$B$38+(AB117="Régulière")*'Paramètres'!$B$39+IF(AND(N(AA117)&gt;0,TODAY()-N(AA117)&lt;=30),'Paramètres'!$B$40,0)+(W117="")*'Paramètres'!$B$41+(AC117="Absente")*'Paramètres'!$B$42+(AC117="Faible")*'Paramètres'!$B$43+IF(AND(N(AD117)&gt;0,N(AD117)&lt;4),'Paramètres'!$B$44,0)+(AF117="Moyenne")*'Paramètres'!$B$45+(AF117="Grande")*'Paramètres'!$B$46+(Y117&lt;&gt;"")*'Paramètres'!$B$47))</f>
        <v/>
      </c>
      <c r="F117" s="60">
        <f>IF(C117="","",IF(D117="Gagné","",IF(D117="Perdu",IF(AND(AX117&lt;&gt;"",AX117&lt;=TODAY()),"À recontacter (perdu)",""),IF(AND(O117&gt;='Paramètres'!$B$21,P117=0),"Stop : "&amp;'Paramètres'!$B$21&amp;" tentatives sans réponse",IF(AND(D117="Proposition",AR117&lt;&gt;"",TODAY()&gt;N(AR117)),"Proposition expirée",IF(AND(D117="Proposition",N(R117)&gt;='Paramètres'!$B$25),"Proposition sans réponse",IF(AND(G117&lt;&gt;"",N(G117)&lt;TODAY()),"Relance en retard",IF(N(R117)&gt;='Paramètres'!$B$24,"Sans action depuis "&amp;R117&amp;" j",""))))))))</f>
        <v/>
      </c>
      <c r="G117" s="106">
        <f>IF(OR(C117="",D117="Gagné",D117="Perdu"),"",IF(AND(BP117&gt;0,BP117=BQ117),INDEX('Saisie'!$J$5:$J$2004,BP117-4),IF(OR(O117=0,AND(O117&gt;='Paramètres'!$B$21,P117=0)),"",Q117+IF(O117&lt;=1,'Paramètres'!$B$18,IF(O117=2,'Paramètres'!$B$19,'Paramètres'!$B$20)))))</f>
        <v/>
      </c>
      <c r="H117" s="107">
        <f>IF(OR(G117="",BP117&lt;&gt;BQ117),"",IF(INDEX('Saisie'!$K$5:$K$2004,BP117-4)="","",INDEX('Saisie'!$K$5:$K$2004,BP117-4)))</f>
        <v/>
      </c>
      <c r="I117" s="60">
        <f>IF(C117="","",IF(OR(D117="Gagné",D117="Perdu"),"",IFERROR(INDEX('Saisie'!$I$5:$I$2004,_xlfn.MAXIFS('Saisie'!$AS$5:$AS$2004,'Saisie'!$C$5:$C$2004,C117,'Saisie'!$I$5:$I$2004,"&lt;&gt;")-4),"")))</f>
        <v/>
      </c>
      <c r="J117" s="60">
        <f>IF(C117="","",IFERROR(INDEX('Saisie'!$U$5:$U$2004,_xlfn.MAXIFS('Saisie'!$AS$5:$AS$2004,'Saisie'!$C$5:$C$2004,C117,'Saisie'!$U$5:$U$2004,"&lt;&gt;")-4),""))</f>
        <v/>
      </c>
      <c r="K117" s="60">
        <f>IF(C117="","",IFERROR(INDEX('Saisie'!$W$5:$W$2004,_xlfn.MAXIFS('Saisie'!$AS$5:$AS$2004,'Saisie'!$C$5:$C$2004,C117,'Saisie'!$W$5:$W$2004,"&lt;&gt;")-4),""))</f>
        <v/>
      </c>
      <c r="L117" s="60">
        <f>IF(IF(BB117&lt;&gt;"",BB117,K117)="","",HYPERLINK("https://wa.me/"&amp;IF(LEFT(SUBSTITUTE(SUBSTITUTE(SUBSTITUTE(IF(BB117&lt;&gt;"",BB117,K117)," ",""),".",""),"+",""),1)="0",'Paramètres'!$B$35&amp;MID(SUBSTITUTE(SUBSTITUTE(SUBSTITUTE(IF(BB117&lt;&gt;"",BB117,K117)," ",""),".",""),"+",""),2,20),SUBSTITUTE(SUBSTITUTE(SUBSTITUTE(IF(BB117&lt;&gt;"",BB117,K117)," ",""),".",""),"+","")),"WhatsApp"))</f>
        <v/>
      </c>
      <c r="M117" s="60">
        <f>IF(BC117="","",HYPERLINK(IF(LEFT(BC117,4)="http",BC117,"https://www.instagram.com/"&amp;SUBSTITUTE(SUBSTITUTE(BC117,"@","")," ","")),BC117))</f>
        <v/>
      </c>
      <c r="N117" s="60">
        <f>IF(C117="","",IFERROR(INDEX('Saisie'!$D$5:$D$2004,_xlfn.MINIFS('Saisie'!$AS$5:$AS$2004,'Saisie'!$C$5:$C$2004,C117,'Saisie'!$AU$5:$AU$2004,1)-4),IFERROR(INDEX('Saisie'!$D$5:$D$2004,_xlfn.MINIFS('Saisie'!$AS$5:$AS$2004,'Saisie'!$C$5:$C$2004,C117,'Saisie'!$D$5:$D$2004,"&lt;&gt;")-4),"")))</f>
        <v/>
      </c>
      <c r="O117" s="60">
        <f>IF(C117="","",COUNTIFS('Saisie'!$C$5:$C$2004,C117,'Saisie'!$AU$5:$AU$2004,1))</f>
        <v/>
      </c>
      <c r="P117" s="60">
        <f>IF(C117="","",COUNTIFS('Saisie'!$C$5:$C$2004,C117,'Saisie'!$AV$5:$AV$2004,1))</f>
        <v/>
      </c>
      <c r="Q117" s="106">
        <f>IF(C117="","",IFERROR(1/(1/_xlfn.MAXIFS('Saisie'!$A$5:$A$2004,'Saisie'!$C$5:$C$2004,C117)),""))</f>
        <v/>
      </c>
      <c r="R117" s="61">
        <f>IF(C117="","",IF(Q117="","",TODAY()-Q117))</f>
        <v/>
      </c>
      <c r="S117" s="60">
        <f>IF(C117="","",IFERROR(INDEX('Saisie'!$R$5:$R$2004,_xlfn.MAXIFS('Saisie'!$AS$5:$AS$2004,'Saisie'!$C$5:$C$2004,C117,'Saisie'!$R$5:$R$2004,"&lt;&gt;")-4),""))</f>
        <v/>
      </c>
      <c r="T117" s="60">
        <f>IF(C117="","",IFERROR(INDEX('Saisie'!$S$5:$S$2004,_xlfn.MAXIFS('Saisie'!$AS$5:$AS$2004,'Saisie'!$C$5:$C$2004,C117,'Saisie'!$S$5:$S$2004,"&lt;&gt;")-4),""))</f>
        <v/>
      </c>
      <c r="U117" s="60">
        <f>IF(C117="","",IFERROR(INDEX('Saisie'!$T$5:$T$2004,_xlfn.MAXIFS('Saisie'!$AS$5:$AS$2004,'Saisie'!$C$5:$C$2004,C117,'Saisie'!$T$5:$T$2004,"&lt;&gt;")-4),""))</f>
        <v/>
      </c>
      <c r="V117" s="60">
        <f>IF(C117="","",IFERROR(INDEX('Saisie'!$V$5:$V$2004,_xlfn.MAXIFS('Saisie'!$AS$5:$AS$2004,'Saisie'!$C$5:$C$2004,C117,'Saisie'!$V$5:$V$2004,"&lt;&gt;")-4),""))</f>
        <v/>
      </c>
      <c r="W117" s="60">
        <f>IF(C117="","",IFERROR(INDEX('Saisie'!$Z$5:$Z$2004,_xlfn.MAXIFS('Saisie'!$AS$5:$AS$2004,'Saisie'!$C$5:$C$2004,C117,'Saisie'!$Z$5:$Z$2004,"&lt;&gt;")-4),""))</f>
        <v/>
      </c>
      <c r="X117" s="60">
        <f>IF(C117="","",IFERROR(INDEX('Saisie'!$AA$5:$AA$2004,_xlfn.MAXIFS('Saisie'!$AS$5:$AS$2004,'Saisie'!$C$5:$C$2004,C117,'Saisie'!$AA$5:$AA$2004,"&lt;&gt;")-4),""))</f>
        <v/>
      </c>
      <c r="Y117" s="60">
        <f>IF(C117="","",IFERROR(INDEX('Saisie'!$AB$5:$AB$2004,_xlfn.MAXIFS('Saisie'!$AS$5:$AS$2004,'Saisie'!$C$5:$C$2004,C117,'Saisie'!$AB$5:$AB$2004,"&lt;&gt;")-4),""))</f>
        <v/>
      </c>
      <c r="Z117" s="60">
        <f>IF(C117="","",IFERROR(INDEX('Saisie'!$AC$5:$AC$2004,_xlfn.MAXIFS('Saisie'!$AS$5:$AS$2004,'Saisie'!$C$5:$C$2004,C117,'Saisie'!$AC$5:$AC$2004,"&lt;&gt;")-4),""))</f>
        <v/>
      </c>
      <c r="AA117" s="106">
        <f>IF(C117="","",IFERROR(INDEX('Saisie'!$AD$5:$AD$2004,_xlfn.MAXIFS('Saisie'!$AS$5:$AS$2004,'Saisie'!$C$5:$C$2004,C117,'Saisie'!$AD$5:$AD$2004,"&lt;&gt;")-4),""))</f>
        <v/>
      </c>
      <c r="AB117" s="60">
        <f>IF(C117="","",IFERROR(INDEX('Saisie'!$AE$5:$AE$2004,_xlfn.MAXIFS('Saisie'!$AS$5:$AS$2004,'Saisie'!$C$5:$C$2004,C117,'Saisie'!$AE$5:$AE$2004,"&lt;&gt;")-4),""))</f>
        <v/>
      </c>
      <c r="AC117" s="60">
        <f>IF(C117="","",IFERROR(INDEX('Saisie'!$AF$5:$AF$2004,_xlfn.MAXIFS('Saisie'!$AS$5:$AS$2004,'Saisie'!$C$5:$C$2004,C117,'Saisie'!$AF$5:$AF$2004,"&lt;&gt;")-4),""))</f>
        <v/>
      </c>
      <c r="AD117" s="108">
        <f>IF(C117="","",IFERROR(INDEX('Saisie'!$AG$5:$AG$2004,_xlfn.MAXIFS('Saisie'!$AS$5:$AS$2004,'Saisie'!$C$5:$C$2004,C117,'Saisie'!$AG$5:$AG$2004,"&lt;&gt;")-4),""))</f>
        <v/>
      </c>
      <c r="AE117" s="60">
        <f>IF(C117="","",IFERROR(INDEX('Saisie'!$AH$5:$AH$2004,_xlfn.MAXIFS('Saisie'!$AS$5:$AS$2004,'Saisie'!$C$5:$C$2004,C117,'Saisie'!$AH$5:$AH$2004,"&lt;&gt;")-4),""))</f>
        <v/>
      </c>
      <c r="AF117" s="60">
        <f>IF(C117="","",IFERROR(INDEX('Saisie'!$AI$5:$AI$2004,_xlfn.MAXIFS('Saisie'!$AS$5:$AS$2004,'Saisie'!$C$5:$C$2004,C117,'Saisie'!$AI$5:$AI$2004,"&lt;&gt;")-4),""))</f>
        <v/>
      </c>
      <c r="AG117" s="60">
        <f>IF(C117="","",IFERROR(INDEX('Saisie'!$AJ$5:$AJ$2004,_xlfn.MAXIFS('Saisie'!$AS$5:$AS$2004,'Saisie'!$C$5:$C$2004,C117,'Saisie'!$AJ$5:$AJ$2004,"&lt;&gt;")-4),""))</f>
        <v/>
      </c>
      <c r="AH117" s="60">
        <f>IF(C117="","",IFERROR(INDEX('Saisie'!$AK$5:$AK$2004,_xlfn.MAXIFS('Saisie'!$AS$5:$AS$2004,'Saisie'!$C$5:$C$2004,C117,'Saisie'!$AK$5:$AK$2004,"&lt;&gt;")-4),""))</f>
        <v/>
      </c>
      <c r="AI117" s="60">
        <f>IF(C117="","",IFERROR(INDEX('Saisie'!$AN$5:$AN$2004,_xlfn.MAXIFS('Saisie'!$AS$5:$AS$2004,'Saisie'!$C$5:$C$2004,C117,'Saisie'!$AN$5:$AN$2004,"&lt;&gt;")-4),""))</f>
        <v/>
      </c>
      <c r="AJ117" s="60">
        <f>IF(C117="","",IFERROR(INDEX('Saisie'!$AO$5:$AO$2004,_xlfn.MAXIFS('Saisie'!$AS$5:$AS$2004,'Saisie'!$C$5:$C$2004,C117,'Saisie'!$AO$5:$AO$2004,"&lt;&gt;")-4),""))</f>
        <v/>
      </c>
      <c r="AK117" s="60">
        <f>IF(C117="","",IFERROR(INDEX('Saisie'!$AP$5:$AP$2004,_xlfn.MAXIFS('Saisie'!$AS$5:$AS$2004,'Saisie'!$C$5:$C$2004,C117,'Saisie'!$AP$5:$AP$2004,"&lt;&gt;")-4),""))</f>
        <v/>
      </c>
      <c r="AL117" s="60">
        <f>IF(C117="","",IFERROR(INDEX('Saisie'!$AQ$5:$AQ$2004,_xlfn.MAXIFS('Saisie'!$AS$5:$AS$2004,'Saisie'!$C$5:$C$2004,C117,'Saisie'!$AQ$5:$AQ$2004,"&lt;&gt;")-4),""))</f>
        <v/>
      </c>
      <c r="AM117" s="60">
        <f>IF(C117="","",((AI117="Oui")+(AJ117="Oui")+(AK117="Oui")+OR(AL117="Immédiat",AL117="&lt; 1 mois"))&amp;"/4")</f>
        <v/>
      </c>
      <c r="AN117" s="60">
        <f>IF(C117="","",IFERROR(INDEX('Saisie'!$AL$5:$AL$2004,_xlfn.MAXIFS('Saisie'!$AS$5:$AS$2004,'Saisie'!$C$5:$C$2004,C117,'Saisie'!$AL$5:$AL$2004,"&lt;&gt;")-4),""))</f>
        <v/>
      </c>
      <c r="AO117" s="62">
        <f>IF(C117="","",IF(IFERROR(INDEX('Saisie'!$AM$5:$AM$2004,_xlfn.MAXIFS('Saisie'!$AS$5:$AS$2004,'Saisie'!$C$5:$C$2004,C117,'Saisie'!$AM$5:$AM$2004,"&lt;&gt;")-4),"")&lt;&gt;"",IFERROR(INDEX('Saisie'!$AM$5:$AM$2004,_xlfn.MAXIFS('Saisie'!$AS$5:$AS$2004,'Saisie'!$C$5:$C$2004,C117,'Saisie'!$AM$5:$AM$2004,"&lt;&gt;")-4),""),IFERROR(INDEX('Paramètres'!$S$6:$S$15,MATCH(AN117,'Paramètres'!$Q$6:$Q$15,0)),"")))</f>
        <v/>
      </c>
      <c r="AP117" s="62">
        <f>IF(C117="","",IFERROR(INDEX('Saisie'!$AW$5:$AW$2004,_xlfn.MAXIFS('Saisie'!$AS$5:$AS$2004,'Saisie'!$C$5:$C$2004,C117,'Saisie'!$E$5:$E$2004,"Proposition envoyée")-4),""))</f>
        <v/>
      </c>
      <c r="AQ117" s="106">
        <f>IF(C117="","",IFERROR(1/(1/_xlfn.MAXIFS('Saisie'!$A$5:$A$2004,'Saisie'!$C$5:$C$2004,C117,'Saisie'!$E$5:$E$2004,"Proposition envoyée")),""))</f>
        <v/>
      </c>
      <c r="AR117" s="106">
        <f>IF(C117="","",IF(AQ117="","",AQ117+'Paramètres'!$B$26))</f>
        <v/>
      </c>
      <c r="AS117" s="62">
        <f>IF(OR(C117="",D117="Gagné",D117="Perdu"),0,N(AP117)*IFERROR(INDEX('Paramètres'!$G$6:$G$13,MATCH(D117,'Paramètres'!$F$6:$F$13,0)),0))</f>
        <v/>
      </c>
      <c r="AT117" s="106">
        <f>IF(C117="","",IFERROR(1/(1/_xlfn.MINIFS('Saisie'!$A$5:$A$2004,'Saisie'!$C$5:$C$2004,C117,'Saisie'!$E$5:$E$2004,"Signature")),""))</f>
        <v/>
      </c>
      <c r="AU117" s="60">
        <f>IF(C117="","",IF(OR(AT117="",B117=""),"",AT117-B117))</f>
        <v/>
      </c>
      <c r="AV117" s="60">
        <f>IF(C117="","",IFERROR(INDEX('Saisie'!$L$5:$L$2004,_xlfn.MAXIFS('Saisie'!$AS$5:$AS$2004,'Saisie'!$C$5:$C$2004,C117,'Saisie'!$L$5:$L$2004,"&lt;&gt;")-4),""))</f>
        <v/>
      </c>
      <c r="AW117" s="106">
        <f>IF(C117="","",IF(D117&lt;&gt;"Perdu","",IFERROR(1/(1/_xlfn.MAXIFS('Saisie'!$A$5:$A$2004,'Saisie'!$C$5:$C$2004,C117,'Saisie'!$E$5:$E$2004,"Perdu")),"")))</f>
        <v/>
      </c>
      <c r="AX117" s="106">
        <f>IF(C117="","",IF(AW117="","",AW117+'Paramètres'!$B$28))</f>
        <v/>
      </c>
      <c r="AY117" s="60">
        <f>IF(C117="","",SUMIFS('Saisie'!$H$5:$H$2004,'Saisie'!$C$5:$C$2004,C117))</f>
        <v/>
      </c>
      <c r="AZ117" s="60">
        <f>IF(C117="","",IFERROR(INDEX('Paramètres'!$W$6:$W$20,MATCH(S117,'Paramètres'!$V$6:$V$20,0))&amp;"",""))</f>
        <v/>
      </c>
      <c r="BA117" s="60">
        <f>IF(C117="","",MAX(1,_xlfn.MAXIFS('Saisie'!$AT$5:$AT$2004,'Saisie'!$C$5:$C$2004,C117)))</f>
        <v/>
      </c>
      <c r="BB117" s="60">
        <f>IF(C117="","",IFERROR(INDEX('Saisie'!$X$5:$X$2004,_xlfn.MAXIFS('Saisie'!$AS$5:$AS$2004,'Saisie'!$C$5:$C$2004,C117,'Saisie'!$X$5:$X$2004,"&lt;&gt;")-4),""))</f>
        <v/>
      </c>
      <c r="BC117" s="60">
        <f>IF(C117="","",IFERROR(INDEX('Saisie'!$Y$5:$Y$2004,_xlfn.MAXIFS('Saisie'!$AS$5:$AS$2004,'Saisie'!$C$5:$C$2004,C117,'Saisie'!$Y$5:$Y$2004,"&lt;&gt;")-4),""))</f>
        <v/>
      </c>
      <c r="BD117" s="106">
        <f>IF(C117="","",IFERROR(1/(1/_xlfn.MINIFS('Saisie'!$A$5:$A$2004,'Saisie'!$C$5:$C$2004,C117,'Saisie'!$AT$5:$AT$2004,"&gt;=2")),""))</f>
        <v/>
      </c>
      <c r="BE117" s="106">
        <f>IF(C117="","",IFERROR(1/(1/_xlfn.MINIFS('Saisie'!$A$5:$A$2004,'Saisie'!$C$5:$C$2004,C117,'Saisie'!$AT$5:$AT$2004,"&gt;=3")),""))</f>
        <v/>
      </c>
      <c r="BF117" s="106">
        <f>IF(C117="","",IFERROR(1/(1/_xlfn.MINIFS('Saisie'!$A$5:$A$2004,'Saisie'!$C$5:$C$2004,C117,'Saisie'!$AT$5:$AT$2004,"&gt;=4")),""))</f>
        <v/>
      </c>
      <c r="BG117" s="106">
        <f>IF(C117="","",IFERROR(1/(1/_xlfn.MINIFS('Saisie'!$A$5:$A$2004,'Saisie'!$C$5:$C$2004,C117,'Saisie'!$AT$5:$AT$2004,"&gt;=5")),""))</f>
        <v/>
      </c>
      <c r="BH117" s="106">
        <f>IF(C117="","",IFERROR(1/(1/_xlfn.MINIFS('Saisie'!$A$5:$A$2004,'Saisie'!$C$5:$C$2004,C117,'Saisie'!$AT$5:$AT$2004,"&gt;=6")),""))</f>
        <v/>
      </c>
      <c r="BI117" s="106">
        <f>IF(C117="","",IFERROR(1/(1/_xlfn.MINIFS('Saisie'!$A$5:$A$2004,'Saisie'!$C$5:$C$2004,C117,'Saisie'!$AT$5:$AT$2004,"&gt;=7")),""))</f>
        <v/>
      </c>
      <c r="BJ117" s="60">
        <f>IF(OR(BD117="",B117=""),"",BD117-B117)</f>
        <v/>
      </c>
      <c r="BK117" s="60">
        <f>IF(OR(BE117="",BD117=""),"",BE117-BD117)</f>
        <v/>
      </c>
      <c r="BL117" s="60">
        <f>IF(OR(BF117="",BE117=""),"",BF117-BE117)</f>
        <v/>
      </c>
      <c r="BM117" s="60">
        <f>IF(OR(BG117="",BF117=""),"",BG117-BF117)</f>
        <v/>
      </c>
      <c r="BN117" s="60">
        <f>IF(OR(BH117="",BG117=""),"",BH117-BG117)</f>
        <v/>
      </c>
      <c r="BO117" s="60">
        <f>IF(OR(BI117="",BH117=""),"",BI117-BH117)</f>
        <v/>
      </c>
      <c r="BP117" s="60">
        <f>IF(C117="","",_xlfn.MAXIFS('Saisie'!$AS$5:$AS$2004,'Saisie'!$C$5:$C$2004,C117,'Saisie'!$J$5:$J$2004,"&lt;&gt;"))</f>
        <v/>
      </c>
      <c r="BQ117" s="60">
        <f>IF(C117="","",_xlfn.MAXIFS('Saisie'!$AS$5:$AS$2004,'Saisie'!$C$5:$C$2004,C117))</f>
        <v/>
      </c>
      <c r="BR117" s="60">
        <f>IF(C117="","",_xlfn.MAXIFS('Saisie'!$AS$5:$AS$2004,'Saisie'!$C$5:$C$2004,C117,'Saisie'!$E$5:$E$2004,"Perdu"))</f>
        <v/>
      </c>
      <c r="BS117" s="60">
        <f>IF(C117="","",_xlfn.MAXIFS('Saisie'!$AS$5:$AS$2004,'Saisie'!$C$5:$C$2004,C117,'Saisie'!$AT$5:$AT$2004,"&gt;0"))</f>
        <v/>
      </c>
      <c r="BT117" s="109">
        <f>IF(AND(C117&lt;&gt;"",OR(D117="Nouveau",D117="Contacté",D117="Qualifié"),OR(G117="",N(G117)&lt;=TODAY()),NOT(AND(O117&gt;='Paramètres'!$B$21,P117=0))),E117+113/10000,"")</f>
        <v/>
      </c>
      <c r="BU117" s="60">
        <f>IF(AND(G117&lt;&gt;"",N(G117)&lt;=TODAY()),MAX($BU$4:BU116)+1,"")</f>
        <v/>
      </c>
      <c r="BV117" s="60">
        <f>IF(AND(F117&lt;&gt;"",F117&lt;&gt;"Relance en retard"),MAX($BV$4:BV116)+1,"")</f>
        <v/>
      </c>
      <c r="BW117" s="60">
        <f>IF(C117="","",IF(AND(B117&gt;='Tableau de bord'!$R$4,B117&lt;='Tableau de bord'!$S$4,OR('Tableau de bord'!$G$4="Tous",N117='Tableau de bord'!$G$4)),1,0))</f>
        <v/>
      </c>
      <c r="BX117" s="60">
        <f>IF(AND(C117&lt;&gt;"",N(BA117)=7),MAX($BX$4:BX116)+1,"")</f>
        <v/>
      </c>
    </row>
    <row r="118">
      <c r="A118" s="60">
        <f>IF(C118="","","P-"&amp;TEXT(114,"000"))</f>
        <v/>
      </c>
      <c r="B118" s="106">
        <f>IF(C118="","",IFERROR(1/(1/_xlfn.MINIFS('Saisie'!$A$5:$A$2004,'Saisie'!$C$5:$C$2004,C118)),""))</f>
        <v/>
      </c>
      <c r="C118" s="60">
        <f>IFERROR(INDEX('Saisie'!$C$5:$C$2004,MATCH(114,'Saisie'!$AX$5:$AX$2004,0)),"")</f>
        <v/>
      </c>
      <c r="D118" s="60">
        <f>IF(C118="","",IF(AND(BR118&gt;0,BR118&gt;BS118,BA118&lt;7),"Perdu",INDEX('Paramètres'!$F$6:$F$13,BA118)))</f>
        <v/>
      </c>
      <c r="E118" s="61">
        <f>IF(C118="","",MIN(100,(Z118="Oui")*'Paramètres'!$B$38+(AB118="Régulière")*'Paramètres'!$B$39+IF(AND(N(AA118)&gt;0,TODAY()-N(AA118)&lt;=30),'Paramètres'!$B$40,0)+(W118="")*'Paramètres'!$B$41+(AC118="Absente")*'Paramètres'!$B$42+(AC118="Faible")*'Paramètres'!$B$43+IF(AND(N(AD118)&gt;0,N(AD118)&lt;4),'Paramètres'!$B$44,0)+(AF118="Moyenne")*'Paramètres'!$B$45+(AF118="Grande")*'Paramètres'!$B$46+(Y118&lt;&gt;"")*'Paramètres'!$B$47))</f>
        <v/>
      </c>
      <c r="F118" s="60">
        <f>IF(C118="","",IF(D118="Gagné","",IF(D118="Perdu",IF(AND(AX118&lt;&gt;"",AX118&lt;=TODAY()),"À recontacter (perdu)",""),IF(AND(O118&gt;='Paramètres'!$B$21,P118=0),"Stop : "&amp;'Paramètres'!$B$21&amp;" tentatives sans réponse",IF(AND(D118="Proposition",AR118&lt;&gt;"",TODAY()&gt;N(AR118)),"Proposition expirée",IF(AND(D118="Proposition",N(R118)&gt;='Paramètres'!$B$25),"Proposition sans réponse",IF(AND(G118&lt;&gt;"",N(G118)&lt;TODAY()),"Relance en retard",IF(N(R118)&gt;='Paramètres'!$B$24,"Sans action depuis "&amp;R118&amp;" j",""))))))))</f>
        <v/>
      </c>
      <c r="G118" s="106">
        <f>IF(OR(C118="",D118="Gagné",D118="Perdu"),"",IF(AND(BP118&gt;0,BP118=BQ118),INDEX('Saisie'!$J$5:$J$2004,BP118-4),IF(OR(O118=0,AND(O118&gt;='Paramètres'!$B$21,P118=0)),"",Q118+IF(O118&lt;=1,'Paramètres'!$B$18,IF(O118=2,'Paramètres'!$B$19,'Paramètres'!$B$20)))))</f>
        <v/>
      </c>
      <c r="H118" s="107">
        <f>IF(OR(G118="",BP118&lt;&gt;BQ118),"",IF(INDEX('Saisie'!$K$5:$K$2004,BP118-4)="","",INDEX('Saisie'!$K$5:$K$2004,BP118-4)))</f>
        <v/>
      </c>
      <c r="I118" s="60">
        <f>IF(C118="","",IF(OR(D118="Gagné",D118="Perdu"),"",IFERROR(INDEX('Saisie'!$I$5:$I$2004,_xlfn.MAXIFS('Saisie'!$AS$5:$AS$2004,'Saisie'!$C$5:$C$2004,C118,'Saisie'!$I$5:$I$2004,"&lt;&gt;")-4),"")))</f>
        <v/>
      </c>
      <c r="J118" s="60">
        <f>IF(C118="","",IFERROR(INDEX('Saisie'!$U$5:$U$2004,_xlfn.MAXIFS('Saisie'!$AS$5:$AS$2004,'Saisie'!$C$5:$C$2004,C118,'Saisie'!$U$5:$U$2004,"&lt;&gt;")-4),""))</f>
        <v/>
      </c>
      <c r="K118" s="60">
        <f>IF(C118="","",IFERROR(INDEX('Saisie'!$W$5:$W$2004,_xlfn.MAXIFS('Saisie'!$AS$5:$AS$2004,'Saisie'!$C$5:$C$2004,C118,'Saisie'!$W$5:$W$2004,"&lt;&gt;")-4),""))</f>
        <v/>
      </c>
      <c r="L118" s="60">
        <f>IF(IF(BB118&lt;&gt;"",BB118,K118)="","",HYPERLINK("https://wa.me/"&amp;IF(LEFT(SUBSTITUTE(SUBSTITUTE(SUBSTITUTE(IF(BB118&lt;&gt;"",BB118,K118)," ",""),".",""),"+",""),1)="0",'Paramètres'!$B$35&amp;MID(SUBSTITUTE(SUBSTITUTE(SUBSTITUTE(IF(BB118&lt;&gt;"",BB118,K118)," ",""),".",""),"+",""),2,20),SUBSTITUTE(SUBSTITUTE(SUBSTITUTE(IF(BB118&lt;&gt;"",BB118,K118)," ",""),".",""),"+","")),"WhatsApp"))</f>
        <v/>
      </c>
      <c r="M118" s="60">
        <f>IF(BC118="","",HYPERLINK(IF(LEFT(BC118,4)="http",BC118,"https://www.instagram.com/"&amp;SUBSTITUTE(SUBSTITUTE(BC118,"@","")," ","")),BC118))</f>
        <v/>
      </c>
      <c r="N118" s="60">
        <f>IF(C118="","",IFERROR(INDEX('Saisie'!$D$5:$D$2004,_xlfn.MINIFS('Saisie'!$AS$5:$AS$2004,'Saisie'!$C$5:$C$2004,C118,'Saisie'!$AU$5:$AU$2004,1)-4),IFERROR(INDEX('Saisie'!$D$5:$D$2004,_xlfn.MINIFS('Saisie'!$AS$5:$AS$2004,'Saisie'!$C$5:$C$2004,C118,'Saisie'!$D$5:$D$2004,"&lt;&gt;")-4),"")))</f>
        <v/>
      </c>
      <c r="O118" s="60">
        <f>IF(C118="","",COUNTIFS('Saisie'!$C$5:$C$2004,C118,'Saisie'!$AU$5:$AU$2004,1))</f>
        <v/>
      </c>
      <c r="P118" s="60">
        <f>IF(C118="","",COUNTIFS('Saisie'!$C$5:$C$2004,C118,'Saisie'!$AV$5:$AV$2004,1))</f>
        <v/>
      </c>
      <c r="Q118" s="106">
        <f>IF(C118="","",IFERROR(1/(1/_xlfn.MAXIFS('Saisie'!$A$5:$A$2004,'Saisie'!$C$5:$C$2004,C118)),""))</f>
        <v/>
      </c>
      <c r="R118" s="61">
        <f>IF(C118="","",IF(Q118="","",TODAY()-Q118))</f>
        <v/>
      </c>
      <c r="S118" s="60">
        <f>IF(C118="","",IFERROR(INDEX('Saisie'!$R$5:$R$2004,_xlfn.MAXIFS('Saisie'!$AS$5:$AS$2004,'Saisie'!$C$5:$C$2004,C118,'Saisie'!$R$5:$R$2004,"&lt;&gt;")-4),""))</f>
        <v/>
      </c>
      <c r="T118" s="60">
        <f>IF(C118="","",IFERROR(INDEX('Saisie'!$S$5:$S$2004,_xlfn.MAXIFS('Saisie'!$AS$5:$AS$2004,'Saisie'!$C$5:$C$2004,C118,'Saisie'!$S$5:$S$2004,"&lt;&gt;")-4),""))</f>
        <v/>
      </c>
      <c r="U118" s="60">
        <f>IF(C118="","",IFERROR(INDEX('Saisie'!$T$5:$T$2004,_xlfn.MAXIFS('Saisie'!$AS$5:$AS$2004,'Saisie'!$C$5:$C$2004,C118,'Saisie'!$T$5:$T$2004,"&lt;&gt;")-4),""))</f>
        <v/>
      </c>
      <c r="V118" s="60">
        <f>IF(C118="","",IFERROR(INDEX('Saisie'!$V$5:$V$2004,_xlfn.MAXIFS('Saisie'!$AS$5:$AS$2004,'Saisie'!$C$5:$C$2004,C118,'Saisie'!$V$5:$V$2004,"&lt;&gt;")-4),""))</f>
        <v/>
      </c>
      <c r="W118" s="60">
        <f>IF(C118="","",IFERROR(INDEX('Saisie'!$Z$5:$Z$2004,_xlfn.MAXIFS('Saisie'!$AS$5:$AS$2004,'Saisie'!$C$5:$C$2004,C118,'Saisie'!$Z$5:$Z$2004,"&lt;&gt;")-4),""))</f>
        <v/>
      </c>
      <c r="X118" s="60">
        <f>IF(C118="","",IFERROR(INDEX('Saisie'!$AA$5:$AA$2004,_xlfn.MAXIFS('Saisie'!$AS$5:$AS$2004,'Saisie'!$C$5:$C$2004,C118,'Saisie'!$AA$5:$AA$2004,"&lt;&gt;")-4),""))</f>
        <v/>
      </c>
      <c r="Y118" s="60">
        <f>IF(C118="","",IFERROR(INDEX('Saisie'!$AB$5:$AB$2004,_xlfn.MAXIFS('Saisie'!$AS$5:$AS$2004,'Saisie'!$C$5:$C$2004,C118,'Saisie'!$AB$5:$AB$2004,"&lt;&gt;")-4),""))</f>
        <v/>
      </c>
      <c r="Z118" s="60">
        <f>IF(C118="","",IFERROR(INDEX('Saisie'!$AC$5:$AC$2004,_xlfn.MAXIFS('Saisie'!$AS$5:$AS$2004,'Saisie'!$C$5:$C$2004,C118,'Saisie'!$AC$5:$AC$2004,"&lt;&gt;")-4),""))</f>
        <v/>
      </c>
      <c r="AA118" s="106">
        <f>IF(C118="","",IFERROR(INDEX('Saisie'!$AD$5:$AD$2004,_xlfn.MAXIFS('Saisie'!$AS$5:$AS$2004,'Saisie'!$C$5:$C$2004,C118,'Saisie'!$AD$5:$AD$2004,"&lt;&gt;")-4),""))</f>
        <v/>
      </c>
      <c r="AB118" s="60">
        <f>IF(C118="","",IFERROR(INDEX('Saisie'!$AE$5:$AE$2004,_xlfn.MAXIFS('Saisie'!$AS$5:$AS$2004,'Saisie'!$C$5:$C$2004,C118,'Saisie'!$AE$5:$AE$2004,"&lt;&gt;")-4),""))</f>
        <v/>
      </c>
      <c r="AC118" s="60">
        <f>IF(C118="","",IFERROR(INDEX('Saisie'!$AF$5:$AF$2004,_xlfn.MAXIFS('Saisie'!$AS$5:$AS$2004,'Saisie'!$C$5:$C$2004,C118,'Saisie'!$AF$5:$AF$2004,"&lt;&gt;")-4),""))</f>
        <v/>
      </c>
      <c r="AD118" s="108">
        <f>IF(C118="","",IFERROR(INDEX('Saisie'!$AG$5:$AG$2004,_xlfn.MAXIFS('Saisie'!$AS$5:$AS$2004,'Saisie'!$C$5:$C$2004,C118,'Saisie'!$AG$5:$AG$2004,"&lt;&gt;")-4),""))</f>
        <v/>
      </c>
      <c r="AE118" s="60">
        <f>IF(C118="","",IFERROR(INDEX('Saisie'!$AH$5:$AH$2004,_xlfn.MAXIFS('Saisie'!$AS$5:$AS$2004,'Saisie'!$C$5:$C$2004,C118,'Saisie'!$AH$5:$AH$2004,"&lt;&gt;")-4),""))</f>
        <v/>
      </c>
      <c r="AF118" s="60">
        <f>IF(C118="","",IFERROR(INDEX('Saisie'!$AI$5:$AI$2004,_xlfn.MAXIFS('Saisie'!$AS$5:$AS$2004,'Saisie'!$C$5:$C$2004,C118,'Saisie'!$AI$5:$AI$2004,"&lt;&gt;")-4),""))</f>
        <v/>
      </c>
      <c r="AG118" s="60">
        <f>IF(C118="","",IFERROR(INDEX('Saisie'!$AJ$5:$AJ$2004,_xlfn.MAXIFS('Saisie'!$AS$5:$AS$2004,'Saisie'!$C$5:$C$2004,C118,'Saisie'!$AJ$5:$AJ$2004,"&lt;&gt;")-4),""))</f>
        <v/>
      </c>
      <c r="AH118" s="60">
        <f>IF(C118="","",IFERROR(INDEX('Saisie'!$AK$5:$AK$2004,_xlfn.MAXIFS('Saisie'!$AS$5:$AS$2004,'Saisie'!$C$5:$C$2004,C118,'Saisie'!$AK$5:$AK$2004,"&lt;&gt;")-4),""))</f>
        <v/>
      </c>
      <c r="AI118" s="60">
        <f>IF(C118="","",IFERROR(INDEX('Saisie'!$AN$5:$AN$2004,_xlfn.MAXIFS('Saisie'!$AS$5:$AS$2004,'Saisie'!$C$5:$C$2004,C118,'Saisie'!$AN$5:$AN$2004,"&lt;&gt;")-4),""))</f>
        <v/>
      </c>
      <c r="AJ118" s="60">
        <f>IF(C118="","",IFERROR(INDEX('Saisie'!$AO$5:$AO$2004,_xlfn.MAXIFS('Saisie'!$AS$5:$AS$2004,'Saisie'!$C$5:$C$2004,C118,'Saisie'!$AO$5:$AO$2004,"&lt;&gt;")-4),""))</f>
        <v/>
      </c>
      <c r="AK118" s="60">
        <f>IF(C118="","",IFERROR(INDEX('Saisie'!$AP$5:$AP$2004,_xlfn.MAXIFS('Saisie'!$AS$5:$AS$2004,'Saisie'!$C$5:$C$2004,C118,'Saisie'!$AP$5:$AP$2004,"&lt;&gt;")-4),""))</f>
        <v/>
      </c>
      <c r="AL118" s="60">
        <f>IF(C118="","",IFERROR(INDEX('Saisie'!$AQ$5:$AQ$2004,_xlfn.MAXIFS('Saisie'!$AS$5:$AS$2004,'Saisie'!$C$5:$C$2004,C118,'Saisie'!$AQ$5:$AQ$2004,"&lt;&gt;")-4),""))</f>
        <v/>
      </c>
      <c r="AM118" s="60">
        <f>IF(C118="","",((AI118="Oui")+(AJ118="Oui")+(AK118="Oui")+OR(AL118="Immédiat",AL118="&lt; 1 mois"))&amp;"/4")</f>
        <v/>
      </c>
      <c r="AN118" s="60">
        <f>IF(C118="","",IFERROR(INDEX('Saisie'!$AL$5:$AL$2004,_xlfn.MAXIFS('Saisie'!$AS$5:$AS$2004,'Saisie'!$C$5:$C$2004,C118,'Saisie'!$AL$5:$AL$2004,"&lt;&gt;")-4),""))</f>
        <v/>
      </c>
      <c r="AO118" s="62">
        <f>IF(C118="","",IF(IFERROR(INDEX('Saisie'!$AM$5:$AM$2004,_xlfn.MAXIFS('Saisie'!$AS$5:$AS$2004,'Saisie'!$C$5:$C$2004,C118,'Saisie'!$AM$5:$AM$2004,"&lt;&gt;")-4),"")&lt;&gt;"",IFERROR(INDEX('Saisie'!$AM$5:$AM$2004,_xlfn.MAXIFS('Saisie'!$AS$5:$AS$2004,'Saisie'!$C$5:$C$2004,C118,'Saisie'!$AM$5:$AM$2004,"&lt;&gt;")-4),""),IFERROR(INDEX('Paramètres'!$S$6:$S$15,MATCH(AN118,'Paramètres'!$Q$6:$Q$15,0)),"")))</f>
        <v/>
      </c>
      <c r="AP118" s="62">
        <f>IF(C118="","",IFERROR(INDEX('Saisie'!$AW$5:$AW$2004,_xlfn.MAXIFS('Saisie'!$AS$5:$AS$2004,'Saisie'!$C$5:$C$2004,C118,'Saisie'!$E$5:$E$2004,"Proposition envoyée")-4),""))</f>
        <v/>
      </c>
      <c r="AQ118" s="106">
        <f>IF(C118="","",IFERROR(1/(1/_xlfn.MAXIFS('Saisie'!$A$5:$A$2004,'Saisie'!$C$5:$C$2004,C118,'Saisie'!$E$5:$E$2004,"Proposition envoyée")),""))</f>
        <v/>
      </c>
      <c r="AR118" s="106">
        <f>IF(C118="","",IF(AQ118="","",AQ118+'Paramètres'!$B$26))</f>
        <v/>
      </c>
      <c r="AS118" s="62">
        <f>IF(OR(C118="",D118="Gagné",D118="Perdu"),0,N(AP118)*IFERROR(INDEX('Paramètres'!$G$6:$G$13,MATCH(D118,'Paramètres'!$F$6:$F$13,0)),0))</f>
        <v/>
      </c>
      <c r="AT118" s="106">
        <f>IF(C118="","",IFERROR(1/(1/_xlfn.MINIFS('Saisie'!$A$5:$A$2004,'Saisie'!$C$5:$C$2004,C118,'Saisie'!$E$5:$E$2004,"Signature")),""))</f>
        <v/>
      </c>
      <c r="AU118" s="60">
        <f>IF(C118="","",IF(OR(AT118="",B118=""),"",AT118-B118))</f>
        <v/>
      </c>
      <c r="AV118" s="60">
        <f>IF(C118="","",IFERROR(INDEX('Saisie'!$L$5:$L$2004,_xlfn.MAXIFS('Saisie'!$AS$5:$AS$2004,'Saisie'!$C$5:$C$2004,C118,'Saisie'!$L$5:$L$2004,"&lt;&gt;")-4),""))</f>
        <v/>
      </c>
      <c r="AW118" s="106">
        <f>IF(C118="","",IF(D118&lt;&gt;"Perdu","",IFERROR(1/(1/_xlfn.MAXIFS('Saisie'!$A$5:$A$2004,'Saisie'!$C$5:$C$2004,C118,'Saisie'!$E$5:$E$2004,"Perdu")),"")))</f>
        <v/>
      </c>
      <c r="AX118" s="106">
        <f>IF(C118="","",IF(AW118="","",AW118+'Paramètres'!$B$28))</f>
        <v/>
      </c>
      <c r="AY118" s="60">
        <f>IF(C118="","",SUMIFS('Saisie'!$H$5:$H$2004,'Saisie'!$C$5:$C$2004,C118))</f>
        <v/>
      </c>
      <c r="AZ118" s="60">
        <f>IF(C118="","",IFERROR(INDEX('Paramètres'!$W$6:$W$20,MATCH(S118,'Paramètres'!$V$6:$V$20,0))&amp;"",""))</f>
        <v/>
      </c>
      <c r="BA118" s="60">
        <f>IF(C118="","",MAX(1,_xlfn.MAXIFS('Saisie'!$AT$5:$AT$2004,'Saisie'!$C$5:$C$2004,C118)))</f>
        <v/>
      </c>
      <c r="BB118" s="60">
        <f>IF(C118="","",IFERROR(INDEX('Saisie'!$X$5:$X$2004,_xlfn.MAXIFS('Saisie'!$AS$5:$AS$2004,'Saisie'!$C$5:$C$2004,C118,'Saisie'!$X$5:$X$2004,"&lt;&gt;")-4),""))</f>
        <v/>
      </c>
      <c r="BC118" s="60">
        <f>IF(C118="","",IFERROR(INDEX('Saisie'!$Y$5:$Y$2004,_xlfn.MAXIFS('Saisie'!$AS$5:$AS$2004,'Saisie'!$C$5:$C$2004,C118,'Saisie'!$Y$5:$Y$2004,"&lt;&gt;")-4),""))</f>
        <v/>
      </c>
      <c r="BD118" s="106">
        <f>IF(C118="","",IFERROR(1/(1/_xlfn.MINIFS('Saisie'!$A$5:$A$2004,'Saisie'!$C$5:$C$2004,C118,'Saisie'!$AT$5:$AT$2004,"&gt;=2")),""))</f>
        <v/>
      </c>
      <c r="BE118" s="106">
        <f>IF(C118="","",IFERROR(1/(1/_xlfn.MINIFS('Saisie'!$A$5:$A$2004,'Saisie'!$C$5:$C$2004,C118,'Saisie'!$AT$5:$AT$2004,"&gt;=3")),""))</f>
        <v/>
      </c>
      <c r="BF118" s="106">
        <f>IF(C118="","",IFERROR(1/(1/_xlfn.MINIFS('Saisie'!$A$5:$A$2004,'Saisie'!$C$5:$C$2004,C118,'Saisie'!$AT$5:$AT$2004,"&gt;=4")),""))</f>
        <v/>
      </c>
      <c r="BG118" s="106">
        <f>IF(C118="","",IFERROR(1/(1/_xlfn.MINIFS('Saisie'!$A$5:$A$2004,'Saisie'!$C$5:$C$2004,C118,'Saisie'!$AT$5:$AT$2004,"&gt;=5")),""))</f>
        <v/>
      </c>
      <c r="BH118" s="106">
        <f>IF(C118="","",IFERROR(1/(1/_xlfn.MINIFS('Saisie'!$A$5:$A$2004,'Saisie'!$C$5:$C$2004,C118,'Saisie'!$AT$5:$AT$2004,"&gt;=6")),""))</f>
        <v/>
      </c>
      <c r="BI118" s="106">
        <f>IF(C118="","",IFERROR(1/(1/_xlfn.MINIFS('Saisie'!$A$5:$A$2004,'Saisie'!$C$5:$C$2004,C118,'Saisie'!$AT$5:$AT$2004,"&gt;=7")),""))</f>
        <v/>
      </c>
      <c r="BJ118" s="60">
        <f>IF(OR(BD118="",B118=""),"",BD118-B118)</f>
        <v/>
      </c>
      <c r="BK118" s="60">
        <f>IF(OR(BE118="",BD118=""),"",BE118-BD118)</f>
        <v/>
      </c>
      <c r="BL118" s="60">
        <f>IF(OR(BF118="",BE118=""),"",BF118-BE118)</f>
        <v/>
      </c>
      <c r="BM118" s="60">
        <f>IF(OR(BG118="",BF118=""),"",BG118-BF118)</f>
        <v/>
      </c>
      <c r="BN118" s="60">
        <f>IF(OR(BH118="",BG118=""),"",BH118-BG118)</f>
        <v/>
      </c>
      <c r="BO118" s="60">
        <f>IF(OR(BI118="",BH118=""),"",BI118-BH118)</f>
        <v/>
      </c>
      <c r="BP118" s="60">
        <f>IF(C118="","",_xlfn.MAXIFS('Saisie'!$AS$5:$AS$2004,'Saisie'!$C$5:$C$2004,C118,'Saisie'!$J$5:$J$2004,"&lt;&gt;"))</f>
        <v/>
      </c>
      <c r="BQ118" s="60">
        <f>IF(C118="","",_xlfn.MAXIFS('Saisie'!$AS$5:$AS$2004,'Saisie'!$C$5:$C$2004,C118))</f>
        <v/>
      </c>
      <c r="BR118" s="60">
        <f>IF(C118="","",_xlfn.MAXIFS('Saisie'!$AS$5:$AS$2004,'Saisie'!$C$5:$C$2004,C118,'Saisie'!$E$5:$E$2004,"Perdu"))</f>
        <v/>
      </c>
      <c r="BS118" s="60">
        <f>IF(C118="","",_xlfn.MAXIFS('Saisie'!$AS$5:$AS$2004,'Saisie'!$C$5:$C$2004,C118,'Saisie'!$AT$5:$AT$2004,"&gt;0"))</f>
        <v/>
      </c>
      <c r="BT118" s="109">
        <f>IF(AND(C118&lt;&gt;"",OR(D118="Nouveau",D118="Contacté",D118="Qualifié"),OR(G118="",N(G118)&lt;=TODAY()),NOT(AND(O118&gt;='Paramètres'!$B$21,P118=0))),E118+114/10000,"")</f>
        <v/>
      </c>
      <c r="BU118" s="60">
        <f>IF(AND(G118&lt;&gt;"",N(G118)&lt;=TODAY()),MAX($BU$4:BU117)+1,"")</f>
        <v/>
      </c>
      <c r="BV118" s="60">
        <f>IF(AND(F118&lt;&gt;"",F118&lt;&gt;"Relance en retard"),MAX($BV$4:BV117)+1,"")</f>
        <v/>
      </c>
      <c r="BW118" s="60">
        <f>IF(C118="","",IF(AND(B118&gt;='Tableau de bord'!$R$4,B118&lt;='Tableau de bord'!$S$4,OR('Tableau de bord'!$G$4="Tous",N118='Tableau de bord'!$G$4)),1,0))</f>
        <v/>
      </c>
      <c r="BX118" s="60">
        <f>IF(AND(C118&lt;&gt;"",N(BA118)=7),MAX($BX$4:BX117)+1,"")</f>
        <v/>
      </c>
    </row>
    <row r="119">
      <c r="A119" s="60">
        <f>IF(C119="","","P-"&amp;TEXT(115,"000"))</f>
        <v/>
      </c>
      <c r="B119" s="106">
        <f>IF(C119="","",IFERROR(1/(1/_xlfn.MINIFS('Saisie'!$A$5:$A$2004,'Saisie'!$C$5:$C$2004,C119)),""))</f>
        <v/>
      </c>
      <c r="C119" s="60">
        <f>IFERROR(INDEX('Saisie'!$C$5:$C$2004,MATCH(115,'Saisie'!$AX$5:$AX$2004,0)),"")</f>
        <v/>
      </c>
      <c r="D119" s="60">
        <f>IF(C119="","",IF(AND(BR119&gt;0,BR119&gt;BS119,BA119&lt;7),"Perdu",INDEX('Paramètres'!$F$6:$F$13,BA119)))</f>
        <v/>
      </c>
      <c r="E119" s="61">
        <f>IF(C119="","",MIN(100,(Z119="Oui")*'Paramètres'!$B$38+(AB119="Régulière")*'Paramètres'!$B$39+IF(AND(N(AA119)&gt;0,TODAY()-N(AA119)&lt;=30),'Paramètres'!$B$40,0)+(W119="")*'Paramètres'!$B$41+(AC119="Absente")*'Paramètres'!$B$42+(AC119="Faible")*'Paramètres'!$B$43+IF(AND(N(AD119)&gt;0,N(AD119)&lt;4),'Paramètres'!$B$44,0)+(AF119="Moyenne")*'Paramètres'!$B$45+(AF119="Grande")*'Paramètres'!$B$46+(Y119&lt;&gt;"")*'Paramètres'!$B$47))</f>
        <v/>
      </c>
      <c r="F119" s="60">
        <f>IF(C119="","",IF(D119="Gagné","",IF(D119="Perdu",IF(AND(AX119&lt;&gt;"",AX119&lt;=TODAY()),"À recontacter (perdu)",""),IF(AND(O119&gt;='Paramètres'!$B$21,P119=0),"Stop : "&amp;'Paramètres'!$B$21&amp;" tentatives sans réponse",IF(AND(D119="Proposition",AR119&lt;&gt;"",TODAY()&gt;N(AR119)),"Proposition expirée",IF(AND(D119="Proposition",N(R119)&gt;='Paramètres'!$B$25),"Proposition sans réponse",IF(AND(G119&lt;&gt;"",N(G119)&lt;TODAY()),"Relance en retard",IF(N(R119)&gt;='Paramètres'!$B$24,"Sans action depuis "&amp;R119&amp;" j",""))))))))</f>
        <v/>
      </c>
      <c r="G119" s="106">
        <f>IF(OR(C119="",D119="Gagné",D119="Perdu"),"",IF(AND(BP119&gt;0,BP119=BQ119),INDEX('Saisie'!$J$5:$J$2004,BP119-4),IF(OR(O119=0,AND(O119&gt;='Paramètres'!$B$21,P119=0)),"",Q119+IF(O119&lt;=1,'Paramètres'!$B$18,IF(O119=2,'Paramètres'!$B$19,'Paramètres'!$B$20)))))</f>
        <v/>
      </c>
      <c r="H119" s="107">
        <f>IF(OR(G119="",BP119&lt;&gt;BQ119),"",IF(INDEX('Saisie'!$K$5:$K$2004,BP119-4)="","",INDEX('Saisie'!$K$5:$K$2004,BP119-4)))</f>
        <v/>
      </c>
      <c r="I119" s="60">
        <f>IF(C119="","",IF(OR(D119="Gagné",D119="Perdu"),"",IFERROR(INDEX('Saisie'!$I$5:$I$2004,_xlfn.MAXIFS('Saisie'!$AS$5:$AS$2004,'Saisie'!$C$5:$C$2004,C119,'Saisie'!$I$5:$I$2004,"&lt;&gt;")-4),"")))</f>
        <v/>
      </c>
      <c r="J119" s="60">
        <f>IF(C119="","",IFERROR(INDEX('Saisie'!$U$5:$U$2004,_xlfn.MAXIFS('Saisie'!$AS$5:$AS$2004,'Saisie'!$C$5:$C$2004,C119,'Saisie'!$U$5:$U$2004,"&lt;&gt;")-4),""))</f>
        <v/>
      </c>
      <c r="K119" s="60">
        <f>IF(C119="","",IFERROR(INDEX('Saisie'!$W$5:$W$2004,_xlfn.MAXIFS('Saisie'!$AS$5:$AS$2004,'Saisie'!$C$5:$C$2004,C119,'Saisie'!$W$5:$W$2004,"&lt;&gt;")-4),""))</f>
        <v/>
      </c>
      <c r="L119" s="60">
        <f>IF(IF(BB119&lt;&gt;"",BB119,K119)="","",HYPERLINK("https://wa.me/"&amp;IF(LEFT(SUBSTITUTE(SUBSTITUTE(SUBSTITUTE(IF(BB119&lt;&gt;"",BB119,K119)," ",""),".",""),"+",""),1)="0",'Paramètres'!$B$35&amp;MID(SUBSTITUTE(SUBSTITUTE(SUBSTITUTE(IF(BB119&lt;&gt;"",BB119,K119)," ",""),".",""),"+",""),2,20),SUBSTITUTE(SUBSTITUTE(SUBSTITUTE(IF(BB119&lt;&gt;"",BB119,K119)," ",""),".",""),"+","")),"WhatsApp"))</f>
        <v/>
      </c>
      <c r="M119" s="60">
        <f>IF(BC119="","",HYPERLINK(IF(LEFT(BC119,4)="http",BC119,"https://www.instagram.com/"&amp;SUBSTITUTE(SUBSTITUTE(BC119,"@","")," ","")),BC119))</f>
        <v/>
      </c>
      <c r="N119" s="60">
        <f>IF(C119="","",IFERROR(INDEX('Saisie'!$D$5:$D$2004,_xlfn.MINIFS('Saisie'!$AS$5:$AS$2004,'Saisie'!$C$5:$C$2004,C119,'Saisie'!$AU$5:$AU$2004,1)-4),IFERROR(INDEX('Saisie'!$D$5:$D$2004,_xlfn.MINIFS('Saisie'!$AS$5:$AS$2004,'Saisie'!$C$5:$C$2004,C119,'Saisie'!$D$5:$D$2004,"&lt;&gt;")-4),"")))</f>
        <v/>
      </c>
      <c r="O119" s="60">
        <f>IF(C119="","",COUNTIFS('Saisie'!$C$5:$C$2004,C119,'Saisie'!$AU$5:$AU$2004,1))</f>
        <v/>
      </c>
      <c r="P119" s="60">
        <f>IF(C119="","",COUNTIFS('Saisie'!$C$5:$C$2004,C119,'Saisie'!$AV$5:$AV$2004,1))</f>
        <v/>
      </c>
      <c r="Q119" s="106">
        <f>IF(C119="","",IFERROR(1/(1/_xlfn.MAXIFS('Saisie'!$A$5:$A$2004,'Saisie'!$C$5:$C$2004,C119)),""))</f>
        <v/>
      </c>
      <c r="R119" s="61">
        <f>IF(C119="","",IF(Q119="","",TODAY()-Q119))</f>
        <v/>
      </c>
      <c r="S119" s="60">
        <f>IF(C119="","",IFERROR(INDEX('Saisie'!$R$5:$R$2004,_xlfn.MAXIFS('Saisie'!$AS$5:$AS$2004,'Saisie'!$C$5:$C$2004,C119,'Saisie'!$R$5:$R$2004,"&lt;&gt;")-4),""))</f>
        <v/>
      </c>
      <c r="T119" s="60">
        <f>IF(C119="","",IFERROR(INDEX('Saisie'!$S$5:$S$2004,_xlfn.MAXIFS('Saisie'!$AS$5:$AS$2004,'Saisie'!$C$5:$C$2004,C119,'Saisie'!$S$5:$S$2004,"&lt;&gt;")-4),""))</f>
        <v/>
      </c>
      <c r="U119" s="60">
        <f>IF(C119="","",IFERROR(INDEX('Saisie'!$T$5:$T$2004,_xlfn.MAXIFS('Saisie'!$AS$5:$AS$2004,'Saisie'!$C$5:$C$2004,C119,'Saisie'!$T$5:$T$2004,"&lt;&gt;")-4),""))</f>
        <v/>
      </c>
      <c r="V119" s="60">
        <f>IF(C119="","",IFERROR(INDEX('Saisie'!$V$5:$V$2004,_xlfn.MAXIFS('Saisie'!$AS$5:$AS$2004,'Saisie'!$C$5:$C$2004,C119,'Saisie'!$V$5:$V$2004,"&lt;&gt;")-4),""))</f>
        <v/>
      </c>
      <c r="W119" s="60">
        <f>IF(C119="","",IFERROR(INDEX('Saisie'!$Z$5:$Z$2004,_xlfn.MAXIFS('Saisie'!$AS$5:$AS$2004,'Saisie'!$C$5:$C$2004,C119,'Saisie'!$Z$5:$Z$2004,"&lt;&gt;")-4),""))</f>
        <v/>
      </c>
      <c r="X119" s="60">
        <f>IF(C119="","",IFERROR(INDEX('Saisie'!$AA$5:$AA$2004,_xlfn.MAXIFS('Saisie'!$AS$5:$AS$2004,'Saisie'!$C$5:$C$2004,C119,'Saisie'!$AA$5:$AA$2004,"&lt;&gt;")-4),""))</f>
        <v/>
      </c>
      <c r="Y119" s="60">
        <f>IF(C119="","",IFERROR(INDEX('Saisie'!$AB$5:$AB$2004,_xlfn.MAXIFS('Saisie'!$AS$5:$AS$2004,'Saisie'!$C$5:$C$2004,C119,'Saisie'!$AB$5:$AB$2004,"&lt;&gt;")-4),""))</f>
        <v/>
      </c>
      <c r="Z119" s="60">
        <f>IF(C119="","",IFERROR(INDEX('Saisie'!$AC$5:$AC$2004,_xlfn.MAXIFS('Saisie'!$AS$5:$AS$2004,'Saisie'!$C$5:$C$2004,C119,'Saisie'!$AC$5:$AC$2004,"&lt;&gt;")-4),""))</f>
        <v/>
      </c>
      <c r="AA119" s="106">
        <f>IF(C119="","",IFERROR(INDEX('Saisie'!$AD$5:$AD$2004,_xlfn.MAXIFS('Saisie'!$AS$5:$AS$2004,'Saisie'!$C$5:$C$2004,C119,'Saisie'!$AD$5:$AD$2004,"&lt;&gt;")-4),""))</f>
        <v/>
      </c>
      <c r="AB119" s="60">
        <f>IF(C119="","",IFERROR(INDEX('Saisie'!$AE$5:$AE$2004,_xlfn.MAXIFS('Saisie'!$AS$5:$AS$2004,'Saisie'!$C$5:$C$2004,C119,'Saisie'!$AE$5:$AE$2004,"&lt;&gt;")-4),""))</f>
        <v/>
      </c>
      <c r="AC119" s="60">
        <f>IF(C119="","",IFERROR(INDEX('Saisie'!$AF$5:$AF$2004,_xlfn.MAXIFS('Saisie'!$AS$5:$AS$2004,'Saisie'!$C$5:$C$2004,C119,'Saisie'!$AF$5:$AF$2004,"&lt;&gt;")-4),""))</f>
        <v/>
      </c>
      <c r="AD119" s="108">
        <f>IF(C119="","",IFERROR(INDEX('Saisie'!$AG$5:$AG$2004,_xlfn.MAXIFS('Saisie'!$AS$5:$AS$2004,'Saisie'!$C$5:$C$2004,C119,'Saisie'!$AG$5:$AG$2004,"&lt;&gt;")-4),""))</f>
        <v/>
      </c>
      <c r="AE119" s="60">
        <f>IF(C119="","",IFERROR(INDEX('Saisie'!$AH$5:$AH$2004,_xlfn.MAXIFS('Saisie'!$AS$5:$AS$2004,'Saisie'!$C$5:$C$2004,C119,'Saisie'!$AH$5:$AH$2004,"&lt;&gt;")-4),""))</f>
        <v/>
      </c>
      <c r="AF119" s="60">
        <f>IF(C119="","",IFERROR(INDEX('Saisie'!$AI$5:$AI$2004,_xlfn.MAXIFS('Saisie'!$AS$5:$AS$2004,'Saisie'!$C$5:$C$2004,C119,'Saisie'!$AI$5:$AI$2004,"&lt;&gt;")-4),""))</f>
        <v/>
      </c>
      <c r="AG119" s="60">
        <f>IF(C119="","",IFERROR(INDEX('Saisie'!$AJ$5:$AJ$2004,_xlfn.MAXIFS('Saisie'!$AS$5:$AS$2004,'Saisie'!$C$5:$C$2004,C119,'Saisie'!$AJ$5:$AJ$2004,"&lt;&gt;")-4),""))</f>
        <v/>
      </c>
      <c r="AH119" s="60">
        <f>IF(C119="","",IFERROR(INDEX('Saisie'!$AK$5:$AK$2004,_xlfn.MAXIFS('Saisie'!$AS$5:$AS$2004,'Saisie'!$C$5:$C$2004,C119,'Saisie'!$AK$5:$AK$2004,"&lt;&gt;")-4),""))</f>
        <v/>
      </c>
      <c r="AI119" s="60">
        <f>IF(C119="","",IFERROR(INDEX('Saisie'!$AN$5:$AN$2004,_xlfn.MAXIFS('Saisie'!$AS$5:$AS$2004,'Saisie'!$C$5:$C$2004,C119,'Saisie'!$AN$5:$AN$2004,"&lt;&gt;")-4),""))</f>
        <v/>
      </c>
      <c r="AJ119" s="60">
        <f>IF(C119="","",IFERROR(INDEX('Saisie'!$AO$5:$AO$2004,_xlfn.MAXIFS('Saisie'!$AS$5:$AS$2004,'Saisie'!$C$5:$C$2004,C119,'Saisie'!$AO$5:$AO$2004,"&lt;&gt;")-4),""))</f>
        <v/>
      </c>
      <c r="AK119" s="60">
        <f>IF(C119="","",IFERROR(INDEX('Saisie'!$AP$5:$AP$2004,_xlfn.MAXIFS('Saisie'!$AS$5:$AS$2004,'Saisie'!$C$5:$C$2004,C119,'Saisie'!$AP$5:$AP$2004,"&lt;&gt;")-4),""))</f>
        <v/>
      </c>
      <c r="AL119" s="60">
        <f>IF(C119="","",IFERROR(INDEX('Saisie'!$AQ$5:$AQ$2004,_xlfn.MAXIFS('Saisie'!$AS$5:$AS$2004,'Saisie'!$C$5:$C$2004,C119,'Saisie'!$AQ$5:$AQ$2004,"&lt;&gt;")-4),""))</f>
        <v/>
      </c>
      <c r="AM119" s="60">
        <f>IF(C119="","",((AI119="Oui")+(AJ119="Oui")+(AK119="Oui")+OR(AL119="Immédiat",AL119="&lt; 1 mois"))&amp;"/4")</f>
        <v/>
      </c>
      <c r="AN119" s="60">
        <f>IF(C119="","",IFERROR(INDEX('Saisie'!$AL$5:$AL$2004,_xlfn.MAXIFS('Saisie'!$AS$5:$AS$2004,'Saisie'!$C$5:$C$2004,C119,'Saisie'!$AL$5:$AL$2004,"&lt;&gt;")-4),""))</f>
        <v/>
      </c>
      <c r="AO119" s="62">
        <f>IF(C119="","",IF(IFERROR(INDEX('Saisie'!$AM$5:$AM$2004,_xlfn.MAXIFS('Saisie'!$AS$5:$AS$2004,'Saisie'!$C$5:$C$2004,C119,'Saisie'!$AM$5:$AM$2004,"&lt;&gt;")-4),"")&lt;&gt;"",IFERROR(INDEX('Saisie'!$AM$5:$AM$2004,_xlfn.MAXIFS('Saisie'!$AS$5:$AS$2004,'Saisie'!$C$5:$C$2004,C119,'Saisie'!$AM$5:$AM$2004,"&lt;&gt;")-4),""),IFERROR(INDEX('Paramètres'!$S$6:$S$15,MATCH(AN119,'Paramètres'!$Q$6:$Q$15,0)),"")))</f>
        <v/>
      </c>
      <c r="AP119" s="62">
        <f>IF(C119="","",IFERROR(INDEX('Saisie'!$AW$5:$AW$2004,_xlfn.MAXIFS('Saisie'!$AS$5:$AS$2004,'Saisie'!$C$5:$C$2004,C119,'Saisie'!$E$5:$E$2004,"Proposition envoyée")-4),""))</f>
        <v/>
      </c>
      <c r="AQ119" s="106">
        <f>IF(C119="","",IFERROR(1/(1/_xlfn.MAXIFS('Saisie'!$A$5:$A$2004,'Saisie'!$C$5:$C$2004,C119,'Saisie'!$E$5:$E$2004,"Proposition envoyée")),""))</f>
        <v/>
      </c>
      <c r="AR119" s="106">
        <f>IF(C119="","",IF(AQ119="","",AQ119+'Paramètres'!$B$26))</f>
        <v/>
      </c>
      <c r="AS119" s="62">
        <f>IF(OR(C119="",D119="Gagné",D119="Perdu"),0,N(AP119)*IFERROR(INDEX('Paramètres'!$G$6:$G$13,MATCH(D119,'Paramètres'!$F$6:$F$13,0)),0))</f>
        <v/>
      </c>
      <c r="AT119" s="106">
        <f>IF(C119="","",IFERROR(1/(1/_xlfn.MINIFS('Saisie'!$A$5:$A$2004,'Saisie'!$C$5:$C$2004,C119,'Saisie'!$E$5:$E$2004,"Signature")),""))</f>
        <v/>
      </c>
      <c r="AU119" s="60">
        <f>IF(C119="","",IF(OR(AT119="",B119=""),"",AT119-B119))</f>
        <v/>
      </c>
      <c r="AV119" s="60">
        <f>IF(C119="","",IFERROR(INDEX('Saisie'!$L$5:$L$2004,_xlfn.MAXIFS('Saisie'!$AS$5:$AS$2004,'Saisie'!$C$5:$C$2004,C119,'Saisie'!$L$5:$L$2004,"&lt;&gt;")-4),""))</f>
        <v/>
      </c>
      <c r="AW119" s="106">
        <f>IF(C119="","",IF(D119&lt;&gt;"Perdu","",IFERROR(1/(1/_xlfn.MAXIFS('Saisie'!$A$5:$A$2004,'Saisie'!$C$5:$C$2004,C119,'Saisie'!$E$5:$E$2004,"Perdu")),"")))</f>
        <v/>
      </c>
      <c r="AX119" s="106">
        <f>IF(C119="","",IF(AW119="","",AW119+'Paramètres'!$B$28))</f>
        <v/>
      </c>
      <c r="AY119" s="60">
        <f>IF(C119="","",SUMIFS('Saisie'!$H$5:$H$2004,'Saisie'!$C$5:$C$2004,C119))</f>
        <v/>
      </c>
      <c r="AZ119" s="60">
        <f>IF(C119="","",IFERROR(INDEX('Paramètres'!$W$6:$W$20,MATCH(S119,'Paramètres'!$V$6:$V$20,0))&amp;"",""))</f>
        <v/>
      </c>
      <c r="BA119" s="60">
        <f>IF(C119="","",MAX(1,_xlfn.MAXIFS('Saisie'!$AT$5:$AT$2004,'Saisie'!$C$5:$C$2004,C119)))</f>
        <v/>
      </c>
      <c r="BB119" s="60">
        <f>IF(C119="","",IFERROR(INDEX('Saisie'!$X$5:$X$2004,_xlfn.MAXIFS('Saisie'!$AS$5:$AS$2004,'Saisie'!$C$5:$C$2004,C119,'Saisie'!$X$5:$X$2004,"&lt;&gt;")-4),""))</f>
        <v/>
      </c>
      <c r="BC119" s="60">
        <f>IF(C119="","",IFERROR(INDEX('Saisie'!$Y$5:$Y$2004,_xlfn.MAXIFS('Saisie'!$AS$5:$AS$2004,'Saisie'!$C$5:$C$2004,C119,'Saisie'!$Y$5:$Y$2004,"&lt;&gt;")-4),""))</f>
        <v/>
      </c>
      <c r="BD119" s="106">
        <f>IF(C119="","",IFERROR(1/(1/_xlfn.MINIFS('Saisie'!$A$5:$A$2004,'Saisie'!$C$5:$C$2004,C119,'Saisie'!$AT$5:$AT$2004,"&gt;=2")),""))</f>
        <v/>
      </c>
      <c r="BE119" s="106">
        <f>IF(C119="","",IFERROR(1/(1/_xlfn.MINIFS('Saisie'!$A$5:$A$2004,'Saisie'!$C$5:$C$2004,C119,'Saisie'!$AT$5:$AT$2004,"&gt;=3")),""))</f>
        <v/>
      </c>
      <c r="BF119" s="106">
        <f>IF(C119="","",IFERROR(1/(1/_xlfn.MINIFS('Saisie'!$A$5:$A$2004,'Saisie'!$C$5:$C$2004,C119,'Saisie'!$AT$5:$AT$2004,"&gt;=4")),""))</f>
        <v/>
      </c>
      <c r="BG119" s="106">
        <f>IF(C119="","",IFERROR(1/(1/_xlfn.MINIFS('Saisie'!$A$5:$A$2004,'Saisie'!$C$5:$C$2004,C119,'Saisie'!$AT$5:$AT$2004,"&gt;=5")),""))</f>
        <v/>
      </c>
      <c r="BH119" s="106">
        <f>IF(C119="","",IFERROR(1/(1/_xlfn.MINIFS('Saisie'!$A$5:$A$2004,'Saisie'!$C$5:$C$2004,C119,'Saisie'!$AT$5:$AT$2004,"&gt;=6")),""))</f>
        <v/>
      </c>
      <c r="BI119" s="106">
        <f>IF(C119="","",IFERROR(1/(1/_xlfn.MINIFS('Saisie'!$A$5:$A$2004,'Saisie'!$C$5:$C$2004,C119,'Saisie'!$AT$5:$AT$2004,"&gt;=7")),""))</f>
        <v/>
      </c>
      <c r="BJ119" s="60">
        <f>IF(OR(BD119="",B119=""),"",BD119-B119)</f>
        <v/>
      </c>
      <c r="BK119" s="60">
        <f>IF(OR(BE119="",BD119=""),"",BE119-BD119)</f>
        <v/>
      </c>
      <c r="BL119" s="60">
        <f>IF(OR(BF119="",BE119=""),"",BF119-BE119)</f>
        <v/>
      </c>
      <c r="BM119" s="60">
        <f>IF(OR(BG119="",BF119=""),"",BG119-BF119)</f>
        <v/>
      </c>
      <c r="BN119" s="60">
        <f>IF(OR(BH119="",BG119=""),"",BH119-BG119)</f>
        <v/>
      </c>
      <c r="BO119" s="60">
        <f>IF(OR(BI119="",BH119=""),"",BI119-BH119)</f>
        <v/>
      </c>
      <c r="BP119" s="60">
        <f>IF(C119="","",_xlfn.MAXIFS('Saisie'!$AS$5:$AS$2004,'Saisie'!$C$5:$C$2004,C119,'Saisie'!$J$5:$J$2004,"&lt;&gt;"))</f>
        <v/>
      </c>
      <c r="BQ119" s="60">
        <f>IF(C119="","",_xlfn.MAXIFS('Saisie'!$AS$5:$AS$2004,'Saisie'!$C$5:$C$2004,C119))</f>
        <v/>
      </c>
      <c r="BR119" s="60">
        <f>IF(C119="","",_xlfn.MAXIFS('Saisie'!$AS$5:$AS$2004,'Saisie'!$C$5:$C$2004,C119,'Saisie'!$E$5:$E$2004,"Perdu"))</f>
        <v/>
      </c>
      <c r="BS119" s="60">
        <f>IF(C119="","",_xlfn.MAXIFS('Saisie'!$AS$5:$AS$2004,'Saisie'!$C$5:$C$2004,C119,'Saisie'!$AT$5:$AT$2004,"&gt;0"))</f>
        <v/>
      </c>
      <c r="BT119" s="109">
        <f>IF(AND(C119&lt;&gt;"",OR(D119="Nouveau",D119="Contacté",D119="Qualifié"),OR(G119="",N(G119)&lt;=TODAY()),NOT(AND(O119&gt;='Paramètres'!$B$21,P119=0))),E119+115/10000,"")</f>
        <v/>
      </c>
      <c r="BU119" s="60">
        <f>IF(AND(G119&lt;&gt;"",N(G119)&lt;=TODAY()),MAX($BU$4:BU118)+1,"")</f>
        <v/>
      </c>
      <c r="BV119" s="60">
        <f>IF(AND(F119&lt;&gt;"",F119&lt;&gt;"Relance en retard"),MAX($BV$4:BV118)+1,"")</f>
        <v/>
      </c>
      <c r="BW119" s="60">
        <f>IF(C119="","",IF(AND(B119&gt;='Tableau de bord'!$R$4,B119&lt;='Tableau de bord'!$S$4,OR('Tableau de bord'!$G$4="Tous",N119='Tableau de bord'!$G$4)),1,0))</f>
        <v/>
      </c>
      <c r="BX119" s="60">
        <f>IF(AND(C119&lt;&gt;"",N(BA119)=7),MAX($BX$4:BX118)+1,"")</f>
        <v/>
      </c>
    </row>
    <row r="120">
      <c r="A120" s="60">
        <f>IF(C120="","","P-"&amp;TEXT(116,"000"))</f>
        <v/>
      </c>
      <c r="B120" s="106">
        <f>IF(C120="","",IFERROR(1/(1/_xlfn.MINIFS('Saisie'!$A$5:$A$2004,'Saisie'!$C$5:$C$2004,C120)),""))</f>
        <v/>
      </c>
      <c r="C120" s="60">
        <f>IFERROR(INDEX('Saisie'!$C$5:$C$2004,MATCH(116,'Saisie'!$AX$5:$AX$2004,0)),"")</f>
        <v/>
      </c>
      <c r="D120" s="60">
        <f>IF(C120="","",IF(AND(BR120&gt;0,BR120&gt;BS120,BA120&lt;7),"Perdu",INDEX('Paramètres'!$F$6:$F$13,BA120)))</f>
        <v/>
      </c>
      <c r="E120" s="61">
        <f>IF(C120="","",MIN(100,(Z120="Oui")*'Paramètres'!$B$38+(AB120="Régulière")*'Paramètres'!$B$39+IF(AND(N(AA120)&gt;0,TODAY()-N(AA120)&lt;=30),'Paramètres'!$B$40,0)+(W120="")*'Paramètres'!$B$41+(AC120="Absente")*'Paramètres'!$B$42+(AC120="Faible")*'Paramètres'!$B$43+IF(AND(N(AD120)&gt;0,N(AD120)&lt;4),'Paramètres'!$B$44,0)+(AF120="Moyenne")*'Paramètres'!$B$45+(AF120="Grande")*'Paramètres'!$B$46+(Y120&lt;&gt;"")*'Paramètres'!$B$47))</f>
        <v/>
      </c>
      <c r="F120" s="60">
        <f>IF(C120="","",IF(D120="Gagné","",IF(D120="Perdu",IF(AND(AX120&lt;&gt;"",AX120&lt;=TODAY()),"À recontacter (perdu)",""),IF(AND(O120&gt;='Paramètres'!$B$21,P120=0),"Stop : "&amp;'Paramètres'!$B$21&amp;" tentatives sans réponse",IF(AND(D120="Proposition",AR120&lt;&gt;"",TODAY()&gt;N(AR120)),"Proposition expirée",IF(AND(D120="Proposition",N(R120)&gt;='Paramètres'!$B$25),"Proposition sans réponse",IF(AND(G120&lt;&gt;"",N(G120)&lt;TODAY()),"Relance en retard",IF(N(R120)&gt;='Paramètres'!$B$24,"Sans action depuis "&amp;R120&amp;" j",""))))))))</f>
        <v/>
      </c>
      <c r="G120" s="106">
        <f>IF(OR(C120="",D120="Gagné",D120="Perdu"),"",IF(AND(BP120&gt;0,BP120=BQ120),INDEX('Saisie'!$J$5:$J$2004,BP120-4),IF(OR(O120=0,AND(O120&gt;='Paramètres'!$B$21,P120=0)),"",Q120+IF(O120&lt;=1,'Paramètres'!$B$18,IF(O120=2,'Paramètres'!$B$19,'Paramètres'!$B$20)))))</f>
        <v/>
      </c>
      <c r="H120" s="107">
        <f>IF(OR(G120="",BP120&lt;&gt;BQ120),"",IF(INDEX('Saisie'!$K$5:$K$2004,BP120-4)="","",INDEX('Saisie'!$K$5:$K$2004,BP120-4)))</f>
        <v/>
      </c>
      <c r="I120" s="60">
        <f>IF(C120="","",IF(OR(D120="Gagné",D120="Perdu"),"",IFERROR(INDEX('Saisie'!$I$5:$I$2004,_xlfn.MAXIFS('Saisie'!$AS$5:$AS$2004,'Saisie'!$C$5:$C$2004,C120,'Saisie'!$I$5:$I$2004,"&lt;&gt;")-4),"")))</f>
        <v/>
      </c>
      <c r="J120" s="60">
        <f>IF(C120="","",IFERROR(INDEX('Saisie'!$U$5:$U$2004,_xlfn.MAXIFS('Saisie'!$AS$5:$AS$2004,'Saisie'!$C$5:$C$2004,C120,'Saisie'!$U$5:$U$2004,"&lt;&gt;")-4),""))</f>
        <v/>
      </c>
      <c r="K120" s="60">
        <f>IF(C120="","",IFERROR(INDEX('Saisie'!$W$5:$W$2004,_xlfn.MAXIFS('Saisie'!$AS$5:$AS$2004,'Saisie'!$C$5:$C$2004,C120,'Saisie'!$W$5:$W$2004,"&lt;&gt;")-4),""))</f>
        <v/>
      </c>
      <c r="L120" s="60">
        <f>IF(IF(BB120&lt;&gt;"",BB120,K120)="","",HYPERLINK("https://wa.me/"&amp;IF(LEFT(SUBSTITUTE(SUBSTITUTE(SUBSTITUTE(IF(BB120&lt;&gt;"",BB120,K120)," ",""),".",""),"+",""),1)="0",'Paramètres'!$B$35&amp;MID(SUBSTITUTE(SUBSTITUTE(SUBSTITUTE(IF(BB120&lt;&gt;"",BB120,K120)," ",""),".",""),"+",""),2,20),SUBSTITUTE(SUBSTITUTE(SUBSTITUTE(IF(BB120&lt;&gt;"",BB120,K120)," ",""),".",""),"+","")),"WhatsApp"))</f>
        <v/>
      </c>
      <c r="M120" s="60">
        <f>IF(BC120="","",HYPERLINK(IF(LEFT(BC120,4)="http",BC120,"https://www.instagram.com/"&amp;SUBSTITUTE(SUBSTITUTE(BC120,"@","")," ","")),BC120))</f>
        <v/>
      </c>
      <c r="N120" s="60">
        <f>IF(C120="","",IFERROR(INDEX('Saisie'!$D$5:$D$2004,_xlfn.MINIFS('Saisie'!$AS$5:$AS$2004,'Saisie'!$C$5:$C$2004,C120,'Saisie'!$AU$5:$AU$2004,1)-4),IFERROR(INDEX('Saisie'!$D$5:$D$2004,_xlfn.MINIFS('Saisie'!$AS$5:$AS$2004,'Saisie'!$C$5:$C$2004,C120,'Saisie'!$D$5:$D$2004,"&lt;&gt;")-4),"")))</f>
        <v/>
      </c>
      <c r="O120" s="60">
        <f>IF(C120="","",COUNTIFS('Saisie'!$C$5:$C$2004,C120,'Saisie'!$AU$5:$AU$2004,1))</f>
        <v/>
      </c>
      <c r="P120" s="60">
        <f>IF(C120="","",COUNTIFS('Saisie'!$C$5:$C$2004,C120,'Saisie'!$AV$5:$AV$2004,1))</f>
        <v/>
      </c>
      <c r="Q120" s="106">
        <f>IF(C120="","",IFERROR(1/(1/_xlfn.MAXIFS('Saisie'!$A$5:$A$2004,'Saisie'!$C$5:$C$2004,C120)),""))</f>
        <v/>
      </c>
      <c r="R120" s="61">
        <f>IF(C120="","",IF(Q120="","",TODAY()-Q120))</f>
        <v/>
      </c>
      <c r="S120" s="60">
        <f>IF(C120="","",IFERROR(INDEX('Saisie'!$R$5:$R$2004,_xlfn.MAXIFS('Saisie'!$AS$5:$AS$2004,'Saisie'!$C$5:$C$2004,C120,'Saisie'!$R$5:$R$2004,"&lt;&gt;")-4),""))</f>
        <v/>
      </c>
      <c r="T120" s="60">
        <f>IF(C120="","",IFERROR(INDEX('Saisie'!$S$5:$S$2004,_xlfn.MAXIFS('Saisie'!$AS$5:$AS$2004,'Saisie'!$C$5:$C$2004,C120,'Saisie'!$S$5:$S$2004,"&lt;&gt;")-4),""))</f>
        <v/>
      </c>
      <c r="U120" s="60">
        <f>IF(C120="","",IFERROR(INDEX('Saisie'!$T$5:$T$2004,_xlfn.MAXIFS('Saisie'!$AS$5:$AS$2004,'Saisie'!$C$5:$C$2004,C120,'Saisie'!$T$5:$T$2004,"&lt;&gt;")-4),""))</f>
        <v/>
      </c>
      <c r="V120" s="60">
        <f>IF(C120="","",IFERROR(INDEX('Saisie'!$V$5:$V$2004,_xlfn.MAXIFS('Saisie'!$AS$5:$AS$2004,'Saisie'!$C$5:$C$2004,C120,'Saisie'!$V$5:$V$2004,"&lt;&gt;")-4),""))</f>
        <v/>
      </c>
      <c r="W120" s="60">
        <f>IF(C120="","",IFERROR(INDEX('Saisie'!$Z$5:$Z$2004,_xlfn.MAXIFS('Saisie'!$AS$5:$AS$2004,'Saisie'!$C$5:$C$2004,C120,'Saisie'!$Z$5:$Z$2004,"&lt;&gt;")-4),""))</f>
        <v/>
      </c>
      <c r="X120" s="60">
        <f>IF(C120="","",IFERROR(INDEX('Saisie'!$AA$5:$AA$2004,_xlfn.MAXIFS('Saisie'!$AS$5:$AS$2004,'Saisie'!$C$5:$C$2004,C120,'Saisie'!$AA$5:$AA$2004,"&lt;&gt;")-4),""))</f>
        <v/>
      </c>
      <c r="Y120" s="60">
        <f>IF(C120="","",IFERROR(INDEX('Saisie'!$AB$5:$AB$2004,_xlfn.MAXIFS('Saisie'!$AS$5:$AS$2004,'Saisie'!$C$5:$C$2004,C120,'Saisie'!$AB$5:$AB$2004,"&lt;&gt;")-4),""))</f>
        <v/>
      </c>
      <c r="Z120" s="60">
        <f>IF(C120="","",IFERROR(INDEX('Saisie'!$AC$5:$AC$2004,_xlfn.MAXIFS('Saisie'!$AS$5:$AS$2004,'Saisie'!$C$5:$C$2004,C120,'Saisie'!$AC$5:$AC$2004,"&lt;&gt;")-4),""))</f>
        <v/>
      </c>
      <c r="AA120" s="106">
        <f>IF(C120="","",IFERROR(INDEX('Saisie'!$AD$5:$AD$2004,_xlfn.MAXIFS('Saisie'!$AS$5:$AS$2004,'Saisie'!$C$5:$C$2004,C120,'Saisie'!$AD$5:$AD$2004,"&lt;&gt;")-4),""))</f>
        <v/>
      </c>
      <c r="AB120" s="60">
        <f>IF(C120="","",IFERROR(INDEX('Saisie'!$AE$5:$AE$2004,_xlfn.MAXIFS('Saisie'!$AS$5:$AS$2004,'Saisie'!$C$5:$C$2004,C120,'Saisie'!$AE$5:$AE$2004,"&lt;&gt;")-4),""))</f>
        <v/>
      </c>
      <c r="AC120" s="60">
        <f>IF(C120="","",IFERROR(INDEX('Saisie'!$AF$5:$AF$2004,_xlfn.MAXIFS('Saisie'!$AS$5:$AS$2004,'Saisie'!$C$5:$C$2004,C120,'Saisie'!$AF$5:$AF$2004,"&lt;&gt;")-4),""))</f>
        <v/>
      </c>
      <c r="AD120" s="108">
        <f>IF(C120="","",IFERROR(INDEX('Saisie'!$AG$5:$AG$2004,_xlfn.MAXIFS('Saisie'!$AS$5:$AS$2004,'Saisie'!$C$5:$C$2004,C120,'Saisie'!$AG$5:$AG$2004,"&lt;&gt;")-4),""))</f>
        <v/>
      </c>
      <c r="AE120" s="60">
        <f>IF(C120="","",IFERROR(INDEX('Saisie'!$AH$5:$AH$2004,_xlfn.MAXIFS('Saisie'!$AS$5:$AS$2004,'Saisie'!$C$5:$C$2004,C120,'Saisie'!$AH$5:$AH$2004,"&lt;&gt;")-4),""))</f>
        <v/>
      </c>
      <c r="AF120" s="60">
        <f>IF(C120="","",IFERROR(INDEX('Saisie'!$AI$5:$AI$2004,_xlfn.MAXIFS('Saisie'!$AS$5:$AS$2004,'Saisie'!$C$5:$C$2004,C120,'Saisie'!$AI$5:$AI$2004,"&lt;&gt;")-4),""))</f>
        <v/>
      </c>
      <c r="AG120" s="60">
        <f>IF(C120="","",IFERROR(INDEX('Saisie'!$AJ$5:$AJ$2004,_xlfn.MAXIFS('Saisie'!$AS$5:$AS$2004,'Saisie'!$C$5:$C$2004,C120,'Saisie'!$AJ$5:$AJ$2004,"&lt;&gt;")-4),""))</f>
        <v/>
      </c>
      <c r="AH120" s="60">
        <f>IF(C120="","",IFERROR(INDEX('Saisie'!$AK$5:$AK$2004,_xlfn.MAXIFS('Saisie'!$AS$5:$AS$2004,'Saisie'!$C$5:$C$2004,C120,'Saisie'!$AK$5:$AK$2004,"&lt;&gt;")-4),""))</f>
        <v/>
      </c>
      <c r="AI120" s="60">
        <f>IF(C120="","",IFERROR(INDEX('Saisie'!$AN$5:$AN$2004,_xlfn.MAXIFS('Saisie'!$AS$5:$AS$2004,'Saisie'!$C$5:$C$2004,C120,'Saisie'!$AN$5:$AN$2004,"&lt;&gt;")-4),""))</f>
        <v/>
      </c>
      <c r="AJ120" s="60">
        <f>IF(C120="","",IFERROR(INDEX('Saisie'!$AO$5:$AO$2004,_xlfn.MAXIFS('Saisie'!$AS$5:$AS$2004,'Saisie'!$C$5:$C$2004,C120,'Saisie'!$AO$5:$AO$2004,"&lt;&gt;")-4),""))</f>
        <v/>
      </c>
      <c r="AK120" s="60">
        <f>IF(C120="","",IFERROR(INDEX('Saisie'!$AP$5:$AP$2004,_xlfn.MAXIFS('Saisie'!$AS$5:$AS$2004,'Saisie'!$C$5:$C$2004,C120,'Saisie'!$AP$5:$AP$2004,"&lt;&gt;")-4),""))</f>
        <v/>
      </c>
      <c r="AL120" s="60">
        <f>IF(C120="","",IFERROR(INDEX('Saisie'!$AQ$5:$AQ$2004,_xlfn.MAXIFS('Saisie'!$AS$5:$AS$2004,'Saisie'!$C$5:$C$2004,C120,'Saisie'!$AQ$5:$AQ$2004,"&lt;&gt;")-4),""))</f>
        <v/>
      </c>
      <c r="AM120" s="60">
        <f>IF(C120="","",((AI120="Oui")+(AJ120="Oui")+(AK120="Oui")+OR(AL120="Immédiat",AL120="&lt; 1 mois"))&amp;"/4")</f>
        <v/>
      </c>
      <c r="AN120" s="60">
        <f>IF(C120="","",IFERROR(INDEX('Saisie'!$AL$5:$AL$2004,_xlfn.MAXIFS('Saisie'!$AS$5:$AS$2004,'Saisie'!$C$5:$C$2004,C120,'Saisie'!$AL$5:$AL$2004,"&lt;&gt;")-4),""))</f>
        <v/>
      </c>
      <c r="AO120" s="62">
        <f>IF(C120="","",IF(IFERROR(INDEX('Saisie'!$AM$5:$AM$2004,_xlfn.MAXIFS('Saisie'!$AS$5:$AS$2004,'Saisie'!$C$5:$C$2004,C120,'Saisie'!$AM$5:$AM$2004,"&lt;&gt;")-4),"")&lt;&gt;"",IFERROR(INDEX('Saisie'!$AM$5:$AM$2004,_xlfn.MAXIFS('Saisie'!$AS$5:$AS$2004,'Saisie'!$C$5:$C$2004,C120,'Saisie'!$AM$5:$AM$2004,"&lt;&gt;")-4),""),IFERROR(INDEX('Paramètres'!$S$6:$S$15,MATCH(AN120,'Paramètres'!$Q$6:$Q$15,0)),"")))</f>
        <v/>
      </c>
      <c r="AP120" s="62">
        <f>IF(C120="","",IFERROR(INDEX('Saisie'!$AW$5:$AW$2004,_xlfn.MAXIFS('Saisie'!$AS$5:$AS$2004,'Saisie'!$C$5:$C$2004,C120,'Saisie'!$E$5:$E$2004,"Proposition envoyée")-4),""))</f>
        <v/>
      </c>
      <c r="AQ120" s="106">
        <f>IF(C120="","",IFERROR(1/(1/_xlfn.MAXIFS('Saisie'!$A$5:$A$2004,'Saisie'!$C$5:$C$2004,C120,'Saisie'!$E$5:$E$2004,"Proposition envoyée")),""))</f>
        <v/>
      </c>
      <c r="AR120" s="106">
        <f>IF(C120="","",IF(AQ120="","",AQ120+'Paramètres'!$B$26))</f>
        <v/>
      </c>
      <c r="AS120" s="62">
        <f>IF(OR(C120="",D120="Gagné",D120="Perdu"),0,N(AP120)*IFERROR(INDEX('Paramètres'!$G$6:$G$13,MATCH(D120,'Paramètres'!$F$6:$F$13,0)),0))</f>
        <v/>
      </c>
      <c r="AT120" s="106">
        <f>IF(C120="","",IFERROR(1/(1/_xlfn.MINIFS('Saisie'!$A$5:$A$2004,'Saisie'!$C$5:$C$2004,C120,'Saisie'!$E$5:$E$2004,"Signature")),""))</f>
        <v/>
      </c>
      <c r="AU120" s="60">
        <f>IF(C120="","",IF(OR(AT120="",B120=""),"",AT120-B120))</f>
        <v/>
      </c>
      <c r="AV120" s="60">
        <f>IF(C120="","",IFERROR(INDEX('Saisie'!$L$5:$L$2004,_xlfn.MAXIFS('Saisie'!$AS$5:$AS$2004,'Saisie'!$C$5:$C$2004,C120,'Saisie'!$L$5:$L$2004,"&lt;&gt;")-4),""))</f>
        <v/>
      </c>
      <c r="AW120" s="106">
        <f>IF(C120="","",IF(D120&lt;&gt;"Perdu","",IFERROR(1/(1/_xlfn.MAXIFS('Saisie'!$A$5:$A$2004,'Saisie'!$C$5:$C$2004,C120,'Saisie'!$E$5:$E$2004,"Perdu")),"")))</f>
        <v/>
      </c>
      <c r="AX120" s="106">
        <f>IF(C120="","",IF(AW120="","",AW120+'Paramètres'!$B$28))</f>
        <v/>
      </c>
      <c r="AY120" s="60">
        <f>IF(C120="","",SUMIFS('Saisie'!$H$5:$H$2004,'Saisie'!$C$5:$C$2004,C120))</f>
        <v/>
      </c>
      <c r="AZ120" s="60">
        <f>IF(C120="","",IFERROR(INDEX('Paramètres'!$W$6:$W$20,MATCH(S120,'Paramètres'!$V$6:$V$20,0))&amp;"",""))</f>
        <v/>
      </c>
      <c r="BA120" s="60">
        <f>IF(C120="","",MAX(1,_xlfn.MAXIFS('Saisie'!$AT$5:$AT$2004,'Saisie'!$C$5:$C$2004,C120)))</f>
        <v/>
      </c>
      <c r="BB120" s="60">
        <f>IF(C120="","",IFERROR(INDEX('Saisie'!$X$5:$X$2004,_xlfn.MAXIFS('Saisie'!$AS$5:$AS$2004,'Saisie'!$C$5:$C$2004,C120,'Saisie'!$X$5:$X$2004,"&lt;&gt;")-4),""))</f>
        <v/>
      </c>
      <c r="BC120" s="60">
        <f>IF(C120="","",IFERROR(INDEX('Saisie'!$Y$5:$Y$2004,_xlfn.MAXIFS('Saisie'!$AS$5:$AS$2004,'Saisie'!$C$5:$C$2004,C120,'Saisie'!$Y$5:$Y$2004,"&lt;&gt;")-4),""))</f>
        <v/>
      </c>
      <c r="BD120" s="106">
        <f>IF(C120="","",IFERROR(1/(1/_xlfn.MINIFS('Saisie'!$A$5:$A$2004,'Saisie'!$C$5:$C$2004,C120,'Saisie'!$AT$5:$AT$2004,"&gt;=2")),""))</f>
        <v/>
      </c>
      <c r="BE120" s="106">
        <f>IF(C120="","",IFERROR(1/(1/_xlfn.MINIFS('Saisie'!$A$5:$A$2004,'Saisie'!$C$5:$C$2004,C120,'Saisie'!$AT$5:$AT$2004,"&gt;=3")),""))</f>
        <v/>
      </c>
      <c r="BF120" s="106">
        <f>IF(C120="","",IFERROR(1/(1/_xlfn.MINIFS('Saisie'!$A$5:$A$2004,'Saisie'!$C$5:$C$2004,C120,'Saisie'!$AT$5:$AT$2004,"&gt;=4")),""))</f>
        <v/>
      </c>
      <c r="BG120" s="106">
        <f>IF(C120="","",IFERROR(1/(1/_xlfn.MINIFS('Saisie'!$A$5:$A$2004,'Saisie'!$C$5:$C$2004,C120,'Saisie'!$AT$5:$AT$2004,"&gt;=5")),""))</f>
        <v/>
      </c>
      <c r="BH120" s="106">
        <f>IF(C120="","",IFERROR(1/(1/_xlfn.MINIFS('Saisie'!$A$5:$A$2004,'Saisie'!$C$5:$C$2004,C120,'Saisie'!$AT$5:$AT$2004,"&gt;=6")),""))</f>
        <v/>
      </c>
      <c r="BI120" s="106">
        <f>IF(C120="","",IFERROR(1/(1/_xlfn.MINIFS('Saisie'!$A$5:$A$2004,'Saisie'!$C$5:$C$2004,C120,'Saisie'!$AT$5:$AT$2004,"&gt;=7")),""))</f>
        <v/>
      </c>
      <c r="BJ120" s="60">
        <f>IF(OR(BD120="",B120=""),"",BD120-B120)</f>
        <v/>
      </c>
      <c r="BK120" s="60">
        <f>IF(OR(BE120="",BD120=""),"",BE120-BD120)</f>
        <v/>
      </c>
      <c r="BL120" s="60">
        <f>IF(OR(BF120="",BE120=""),"",BF120-BE120)</f>
        <v/>
      </c>
      <c r="BM120" s="60">
        <f>IF(OR(BG120="",BF120=""),"",BG120-BF120)</f>
        <v/>
      </c>
      <c r="BN120" s="60">
        <f>IF(OR(BH120="",BG120=""),"",BH120-BG120)</f>
        <v/>
      </c>
      <c r="BO120" s="60">
        <f>IF(OR(BI120="",BH120=""),"",BI120-BH120)</f>
        <v/>
      </c>
      <c r="BP120" s="60">
        <f>IF(C120="","",_xlfn.MAXIFS('Saisie'!$AS$5:$AS$2004,'Saisie'!$C$5:$C$2004,C120,'Saisie'!$J$5:$J$2004,"&lt;&gt;"))</f>
        <v/>
      </c>
      <c r="BQ120" s="60">
        <f>IF(C120="","",_xlfn.MAXIFS('Saisie'!$AS$5:$AS$2004,'Saisie'!$C$5:$C$2004,C120))</f>
        <v/>
      </c>
      <c r="BR120" s="60">
        <f>IF(C120="","",_xlfn.MAXIFS('Saisie'!$AS$5:$AS$2004,'Saisie'!$C$5:$C$2004,C120,'Saisie'!$E$5:$E$2004,"Perdu"))</f>
        <v/>
      </c>
      <c r="BS120" s="60">
        <f>IF(C120="","",_xlfn.MAXIFS('Saisie'!$AS$5:$AS$2004,'Saisie'!$C$5:$C$2004,C120,'Saisie'!$AT$5:$AT$2004,"&gt;0"))</f>
        <v/>
      </c>
      <c r="BT120" s="109">
        <f>IF(AND(C120&lt;&gt;"",OR(D120="Nouveau",D120="Contacté",D120="Qualifié"),OR(G120="",N(G120)&lt;=TODAY()),NOT(AND(O120&gt;='Paramètres'!$B$21,P120=0))),E120+116/10000,"")</f>
        <v/>
      </c>
      <c r="BU120" s="60">
        <f>IF(AND(G120&lt;&gt;"",N(G120)&lt;=TODAY()),MAX($BU$4:BU119)+1,"")</f>
        <v/>
      </c>
      <c r="BV120" s="60">
        <f>IF(AND(F120&lt;&gt;"",F120&lt;&gt;"Relance en retard"),MAX($BV$4:BV119)+1,"")</f>
        <v/>
      </c>
      <c r="BW120" s="60">
        <f>IF(C120="","",IF(AND(B120&gt;='Tableau de bord'!$R$4,B120&lt;='Tableau de bord'!$S$4,OR('Tableau de bord'!$G$4="Tous",N120='Tableau de bord'!$G$4)),1,0))</f>
        <v/>
      </c>
      <c r="BX120" s="60">
        <f>IF(AND(C120&lt;&gt;"",N(BA120)=7),MAX($BX$4:BX119)+1,"")</f>
        <v/>
      </c>
    </row>
    <row r="121">
      <c r="A121" s="60">
        <f>IF(C121="","","P-"&amp;TEXT(117,"000"))</f>
        <v/>
      </c>
      <c r="B121" s="106">
        <f>IF(C121="","",IFERROR(1/(1/_xlfn.MINIFS('Saisie'!$A$5:$A$2004,'Saisie'!$C$5:$C$2004,C121)),""))</f>
        <v/>
      </c>
      <c r="C121" s="60">
        <f>IFERROR(INDEX('Saisie'!$C$5:$C$2004,MATCH(117,'Saisie'!$AX$5:$AX$2004,0)),"")</f>
        <v/>
      </c>
      <c r="D121" s="60">
        <f>IF(C121="","",IF(AND(BR121&gt;0,BR121&gt;BS121,BA121&lt;7),"Perdu",INDEX('Paramètres'!$F$6:$F$13,BA121)))</f>
        <v/>
      </c>
      <c r="E121" s="61">
        <f>IF(C121="","",MIN(100,(Z121="Oui")*'Paramètres'!$B$38+(AB121="Régulière")*'Paramètres'!$B$39+IF(AND(N(AA121)&gt;0,TODAY()-N(AA121)&lt;=30),'Paramètres'!$B$40,0)+(W121="")*'Paramètres'!$B$41+(AC121="Absente")*'Paramètres'!$B$42+(AC121="Faible")*'Paramètres'!$B$43+IF(AND(N(AD121)&gt;0,N(AD121)&lt;4),'Paramètres'!$B$44,0)+(AF121="Moyenne")*'Paramètres'!$B$45+(AF121="Grande")*'Paramètres'!$B$46+(Y121&lt;&gt;"")*'Paramètres'!$B$47))</f>
        <v/>
      </c>
      <c r="F121" s="60">
        <f>IF(C121="","",IF(D121="Gagné","",IF(D121="Perdu",IF(AND(AX121&lt;&gt;"",AX121&lt;=TODAY()),"À recontacter (perdu)",""),IF(AND(O121&gt;='Paramètres'!$B$21,P121=0),"Stop : "&amp;'Paramètres'!$B$21&amp;" tentatives sans réponse",IF(AND(D121="Proposition",AR121&lt;&gt;"",TODAY()&gt;N(AR121)),"Proposition expirée",IF(AND(D121="Proposition",N(R121)&gt;='Paramètres'!$B$25),"Proposition sans réponse",IF(AND(G121&lt;&gt;"",N(G121)&lt;TODAY()),"Relance en retard",IF(N(R121)&gt;='Paramètres'!$B$24,"Sans action depuis "&amp;R121&amp;" j",""))))))))</f>
        <v/>
      </c>
      <c r="G121" s="106">
        <f>IF(OR(C121="",D121="Gagné",D121="Perdu"),"",IF(AND(BP121&gt;0,BP121=BQ121),INDEX('Saisie'!$J$5:$J$2004,BP121-4),IF(OR(O121=0,AND(O121&gt;='Paramètres'!$B$21,P121=0)),"",Q121+IF(O121&lt;=1,'Paramètres'!$B$18,IF(O121=2,'Paramètres'!$B$19,'Paramètres'!$B$20)))))</f>
        <v/>
      </c>
      <c r="H121" s="107">
        <f>IF(OR(G121="",BP121&lt;&gt;BQ121),"",IF(INDEX('Saisie'!$K$5:$K$2004,BP121-4)="","",INDEX('Saisie'!$K$5:$K$2004,BP121-4)))</f>
        <v/>
      </c>
      <c r="I121" s="60">
        <f>IF(C121="","",IF(OR(D121="Gagné",D121="Perdu"),"",IFERROR(INDEX('Saisie'!$I$5:$I$2004,_xlfn.MAXIFS('Saisie'!$AS$5:$AS$2004,'Saisie'!$C$5:$C$2004,C121,'Saisie'!$I$5:$I$2004,"&lt;&gt;")-4),"")))</f>
        <v/>
      </c>
      <c r="J121" s="60">
        <f>IF(C121="","",IFERROR(INDEX('Saisie'!$U$5:$U$2004,_xlfn.MAXIFS('Saisie'!$AS$5:$AS$2004,'Saisie'!$C$5:$C$2004,C121,'Saisie'!$U$5:$U$2004,"&lt;&gt;")-4),""))</f>
        <v/>
      </c>
      <c r="K121" s="60">
        <f>IF(C121="","",IFERROR(INDEX('Saisie'!$W$5:$W$2004,_xlfn.MAXIFS('Saisie'!$AS$5:$AS$2004,'Saisie'!$C$5:$C$2004,C121,'Saisie'!$W$5:$W$2004,"&lt;&gt;")-4),""))</f>
        <v/>
      </c>
      <c r="L121" s="60">
        <f>IF(IF(BB121&lt;&gt;"",BB121,K121)="","",HYPERLINK("https://wa.me/"&amp;IF(LEFT(SUBSTITUTE(SUBSTITUTE(SUBSTITUTE(IF(BB121&lt;&gt;"",BB121,K121)," ",""),".",""),"+",""),1)="0",'Paramètres'!$B$35&amp;MID(SUBSTITUTE(SUBSTITUTE(SUBSTITUTE(IF(BB121&lt;&gt;"",BB121,K121)," ",""),".",""),"+",""),2,20),SUBSTITUTE(SUBSTITUTE(SUBSTITUTE(IF(BB121&lt;&gt;"",BB121,K121)," ",""),".",""),"+","")),"WhatsApp"))</f>
        <v/>
      </c>
      <c r="M121" s="60">
        <f>IF(BC121="","",HYPERLINK(IF(LEFT(BC121,4)="http",BC121,"https://www.instagram.com/"&amp;SUBSTITUTE(SUBSTITUTE(BC121,"@","")," ","")),BC121))</f>
        <v/>
      </c>
      <c r="N121" s="60">
        <f>IF(C121="","",IFERROR(INDEX('Saisie'!$D$5:$D$2004,_xlfn.MINIFS('Saisie'!$AS$5:$AS$2004,'Saisie'!$C$5:$C$2004,C121,'Saisie'!$AU$5:$AU$2004,1)-4),IFERROR(INDEX('Saisie'!$D$5:$D$2004,_xlfn.MINIFS('Saisie'!$AS$5:$AS$2004,'Saisie'!$C$5:$C$2004,C121,'Saisie'!$D$5:$D$2004,"&lt;&gt;")-4),"")))</f>
        <v/>
      </c>
      <c r="O121" s="60">
        <f>IF(C121="","",COUNTIFS('Saisie'!$C$5:$C$2004,C121,'Saisie'!$AU$5:$AU$2004,1))</f>
        <v/>
      </c>
      <c r="P121" s="60">
        <f>IF(C121="","",COUNTIFS('Saisie'!$C$5:$C$2004,C121,'Saisie'!$AV$5:$AV$2004,1))</f>
        <v/>
      </c>
      <c r="Q121" s="106">
        <f>IF(C121="","",IFERROR(1/(1/_xlfn.MAXIFS('Saisie'!$A$5:$A$2004,'Saisie'!$C$5:$C$2004,C121)),""))</f>
        <v/>
      </c>
      <c r="R121" s="61">
        <f>IF(C121="","",IF(Q121="","",TODAY()-Q121))</f>
        <v/>
      </c>
      <c r="S121" s="60">
        <f>IF(C121="","",IFERROR(INDEX('Saisie'!$R$5:$R$2004,_xlfn.MAXIFS('Saisie'!$AS$5:$AS$2004,'Saisie'!$C$5:$C$2004,C121,'Saisie'!$R$5:$R$2004,"&lt;&gt;")-4),""))</f>
        <v/>
      </c>
      <c r="T121" s="60">
        <f>IF(C121="","",IFERROR(INDEX('Saisie'!$S$5:$S$2004,_xlfn.MAXIFS('Saisie'!$AS$5:$AS$2004,'Saisie'!$C$5:$C$2004,C121,'Saisie'!$S$5:$S$2004,"&lt;&gt;")-4),""))</f>
        <v/>
      </c>
      <c r="U121" s="60">
        <f>IF(C121="","",IFERROR(INDEX('Saisie'!$T$5:$T$2004,_xlfn.MAXIFS('Saisie'!$AS$5:$AS$2004,'Saisie'!$C$5:$C$2004,C121,'Saisie'!$T$5:$T$2004,"&lt;&gt;")-4),""))</f>
        <v/>
      </c>
      <c r="V121" s="60">
        <f>IF(C121="","",IFERROR(INDEX('Saisie'!$V$5:$V$2004,_xlfn.MAXIFS('Saisie'!$AS$5:$AS$2004,'Saisie'!$C$5:$C$2004,C121,'Saisie'!$V$5:$V$2004,"&lt;&gt;")-4),""))</f>
        <v/>
      </c>
      <c r="W121" s="60">
        <f>IF(C121="","",IFERROR(INDEX('Saisie'!$Z$5:$Z$2004,_xlfn.MAXIFS('Saisie'!$AS$5:$AS$2004,'Saisie'!$C$5:$C$2004,C121,'Saisie'!$Z$5:$Z$2004,"&lt;&gt;")-4),""))</f>
        <v/>
      </c>
      <c r="X121" s="60">
        <f>IF(C121="","",IFERROR(INDEX('Saisie'!$AA$5:$AA$2004,_xlfn.MAXIFS('Saisie'!$AS$5:$AS$2004,'Saisie'!$C$5:$C$2004,C121,'Saisie'!$AA$5:$AA$2004,"&lt;&gt;")-4),""))</f>
        <v/>
      </c>
      <c r="Y121" s="60">
        <f>IF(C121="","",IFERROR(INDEX('Saisie'!$AB$5:$AB$2004,_xlfn.MAXIFS('Saisie'!$AS$5:$AS$2004,'Saisie'!$C$5:$C$2004,C121,'Saisie'!$AB$5:$AB$2004,"&lt;&gt;")-4),""))</f>
        <v/>
      </c>
      <c r="Z121" s="60">
        <f>IF(C121="","",IFERROR(INDEX('Saisie'!$AC$5:$AC$2004,_xlfn.MAXIFS('Saisie'!$AS$5:$AS$2004,'Saisie'!$C$5:$C$2004,C121,'Saisie'!$AC$5:$AC$2004,"&lt;&gt;")-4),""))</f>
        <v/>
      </c>
      <c r="AA121" s="106">
        <f>IF(C121="","",IFERROR(INDEX('Saisie'!$AD$5:$AD$2004,_xlfn.MAXIFS('Saisie'!$AS$5:$AS$2004,'Saisie'!$C$5:$C$2004,C121,'Saisie'!$AD$5:$AD$2004,"&lt;&gt;")-4),""))</f>
        <v/>
      </c>
      <c r="AB121" s="60">
        <f>IF(C121="","",IFERROR(INDEX('Saisie'!$AE$5:$AE$2004,_xlfn.MAXIFS('Saisie'!$AS$5:$AS$2004,'Saisie'!$C$5:$C$2004,C121,'Saisie'!$AE$5:$AE$2004,"&lt;&gt;")-4),""))</f>
        <v/>
      </c>
      <c r="AC121" s="60">
        <f>IF(C121="","",IFERROR(INDEX('Saisie'!$AF$5:$AF$2004,_xlfn.MAXIFS('Saisie'!$AS$5:$AS$2004,'Saisie'!$C$5:$C$2004,C121,'Saisie'!$AF$5:$AF$2004,"&lt;&gt;")-4),""))</f>
        <v/>
      </c>
      <c r="AD121" s="108">
        <f>IF(C121="","",IFERROR(INDEX('Saisie'!$AG$5:$AG$2004,_xlfn.MAXIFS('Saisie'!$AS$5:$AS$2004,'Saisie'!$C$5:$C$2004,C121,'Saisie'!$AG$5:$AG$2004,"&lt;&gt;")-4),""))</f>
        <v/>
      </c>
      <c r="AE121" s="60">
        <f>IF(C121="","",IFERROR(INDEX('Saisie'!$AH$5:$AH$2004,_xlfn.MAXIFS('Saisie'!$AS$5:$AS$2004,'Saisie'!$C$5:$C$2004,C121,'Saisie'!$AH$5:$AH$2004,"&lt;&gt;")-4),""))</f>
        <v/>
      </c>
      <c r="AF121" s="60">
        <f>IF(C121="","",IFERROR(INDEX('Saisie'!$AI$5:$AI$2004,_xlfn.MAXIFS('Saisie'!$AS$5:$AS$2004,'Saisie'!$C$5:$C$2004,C121,'Saisie'!$AI$5:$AI$2004,"&lt;&gt;")-4),""))</f>
        <v/>
      </c>
      <c r="AG121" s="60">
        <f>IF(C121="","",IFERROR(INDEX('Saisie'!$AJ$5:$AJ$2004,_xlfn.MAXIFS('Saisie'!$AS$5:$AS$2004,'Saisie'!$C$5:$C$2004,C121,'Saisie'!$AJ$5:$AJ$2004,"&lt;&gt;")-4),""))</f>
        <v/>
      </c>
      <c r="AH121" s="60">
        <f>IF(C121="","",IFERROR(INDEX('Saisie'!$AK$5:$AK$2004,_xlfn.MAXIFS('Saisie'!$AS$5:$AS$2004,'Saisie'!$C$5:$C$2004,C121,'Saisie'!$AK$5:$AK$2004,"&lt;&gt;")-4),""))</f>
        <v/>
      </c>
      <c r="AI121" s="60">
        <f>IF(C121="","",IFERROR(INDEX('Saisie'!$AN$5:$AN$2004,_xlfn.MAXIFS('Saisie'!$AS$5:$AS$2004,'Saisie'!$C$5:$C$2004,C121,'Saisie'!$AN$5:$AN$2004,"&lt;&gt;")-4),""))</f>
        <v/>
      </c>
      <c r="AJ121" s="60">
        <f>IF(C121="","",IFERROR(INDEX('Saisie'!$AO$5:$AO$2004,_xlfn.MAXIFS('Saisie'!$AS$5:$AS$2004,'Saisie'!$C$5:$C$2004,C121,'Saisie'!$AO$5:$AO$2004,"&lt;&gt;")-4),""))</f>
        <v/>
      </c>
      <c r="AK121" s="60">
        <f>IF(C121="","",IFERROR(INDEX('Saisie'!$AP$5:$AP$2004,_xlfn.MAXIFS('Saisie'!$AS$5:$AS$2004,'Saisie'!$C$5:$C$2004,C121,'Saisie'!$AP$5:$AP$2004,"&lt;&gt;")-4),""))</f>
        <v/>
      </c>
      <c r="AL121" s="60">
        <f>IF(C121="","",IFERROR(INDEX('Saisie'!$AQ$5:$AQ$2004,_xlfn.MAXIFS('Saisie'!$AS$5:$AS$2004,'Saisie'!$C$5:$C$2004,C121,'Saisie'!$AQ$5:$AQ$2004,"&lt;&gt;")-4),""))</f>
        <v/>
      </c>
      <c r="AM121" s="60">
        <f>IF(C121="","",((AI121="Oui")+(AJ121="Oui")+(AK121="Oui")+OR(AL121="Immédiat",AL121="&lt; 1 mois"))&amp;"/4")</f>
        <v/>
      </c>
      <c r="AN121" s="60">
        <f>IF(C121="","",IFERROR(INDEX('Saisie'!$AL$5:$AL$2004,_xlfn.MAXIFS('Saisie'!$AS$5:$AS$2004,'Saisie'!$C$5:$C$2004,C121,'Saisie'!$AL$5:$AL$2004,"&lt;&gt;")-4),""))</f>
        <v/>
      </c>
      <c r="AO121" s="62">
        <f>IF(C121="","",IF(IFERROR(INDEX('Saisie'!$AM$5:$AM$2004,_xlfn.MAXIFS('Saisie'!$AS$5:$AS$2004,'Saisie'!$C$5:$C$2004,C121,'Saisie'!$AM$5:$AM$2004,"&lt;&gt;")-4),"")&lt;&gt;"",IFERROR(INDEX('Saisie'!$AM$5:$AM$2004,_xlfn.MAXIFS('Saisie'!$AS$5:$AS$2004,'Saisie'!$C$5:$C$2004,C121,'Saisie'!$AM$5:$AM$2004,"&lt;&gt;")-4),""),IFERROR(INDEX('Paramètres'!$S$6:$S$15,MATCH(AN121,'Paramètres'!$Q$6:$Q$15,0)),"")))</f>
        <v/>
      </c>
      <c r="AP121" s="62">
        <f>IF(C121="","",IFERROR(INDEX('Saisie'!$AW$5:$AW$2004,_xlfn.MAXIFS('Saisie'!$AS$5:$AS$2004,'Saisie'!$C$5:$C$2004,C121,'Saisie'!$E$5:$E$2004,"Proposition envoyée")-4),""))</f>
        <v/>
      </c>
      <c r="AQ121" s="106">
        <f>IF(C121="","",IFERROR(1/(1/_xlfn.MAXIFS('Saisie'!$A$5:$A$2004,'Saisie'!$C$5:$C$2004,C121,'Saisie'!$E$5:$E$2004,"Proposition envoyée")),""))</f>
        <v/>
      </c>
      <c r="AR121" s="106">
        <f>IF(C121="","",IF(AQ121="","",AQ121+'Paramètres'!$B$26))</f>
        <v/>
      </c>
      <c r="AS121" s="62">
        <f>IF(OR(C121="",D121="Gagné",D121="Perdu"),0,N(AP121)*IFERROR(INDEX('Paramètres'!$G$6:$G$13,MATCH(D121,'Paramètres'!$F$6:$F$13,0)),0))</f>
        <v/>
      </c>
      <c r="AT121" s="106">
        <f>IF(C121="","",IFERROR(1/(1/_xlfn.MINIFS('Saisie'!$A$5:$A$2004,'Saisie'!$C$5:$C$2004,C121,'Saisie'!$E$5:$E$2004,"Signature")),""))</f>
        <v/>
      </c>
      <c r="AU121" s="60">
        <f>IF(C121="","",IF(OR(AT121="",B121=""),"",AT121-B121))</f>
        <v/>
      </c>
      <c r="AV121" s="60">
        <f>IF(C121="","",IFERROR(INDEX('Saisie'!$L$5:$L$2004,_xlfn.MAXIFS('Saisie'!$AS$5:$AS$2004,'Saisie'!$C$5:$C$2004,C121,'Saisie'!$L$5:$L$2004,"&lt;&gt;")-4),""))</f>
        <v/>
      </c>
      <c r="AW121" s="106">
        <f>IF(C121="","",IF(D121&lt;&gt;"Perdu","",IFERROR(1/(1/_xlfn.MAXIFS('Saisie'!$A$5:$A$2004,'Saisie'!$C$5:$C$2004,C121,'Saisie'!$E$5:$E$2004,"Perdu")),"")))</f>
        <v/>
      </c>
      <c r="AX121" s="106">
        <f>IF(C121="","",IF(AW121="","",AW121+'Paramètres'!$B$28))</f>
        <v/>
      </c>
      <c r="AY121" s="60">
        <f>IF(C121="","",SUMIFS('Saisie'!$H$5:$H$2004,'Saisie'!$C$5:$C$2004,C121))</f>
        <v/>
      </c>
      <c r="AZ121" s="60">
        <f>IF(C121="","",IFERROR(INDEX('Paramètres'!$W$6:$W$20,MATCH(S121,'Paramètres'!$V$6:$V$20,0))&amp;"",""))</f>
        <v/>
      </c>
      <c r="BA121" s="60">
        <f>IF(C121="","",MAX(1,_xlfn.MAXIFS('Saisie'!$AT$5:$AT$2004,'Saisie'!$C$5:$C$2004,C121)))</f>
        <v/>
      </c>
      <c r="BB121" s="60">
        <f>IF(C121="","",IFERROR(INDEX('Saisie'!$X$5:$X$2004,_xlfn.MAXIFS('Saisie'!$AS$5:$AS$2004,'Saisie'!$C$5:$C$2004,C121,'Saisie'!$X$5:$X$2004,"&lt;&gt;")-4),""))</f>
        <v/>
      </c>
      <c r="BC121" s="60">
        <f>IF(C121="","",IFERROR(INDEX('Saisie'!$Y$5:$Y$2004,_xlfn.MAXIFS('Saisie'!$AS$5:$AS$2004,'Saisie'!$C$5:$C$2004,C121,'Saisie'!$Y$5:$Y$2004,"&lt;&gt;")-4),""))</f>
        <v/>
      </c>
      <c r="BD121" s="106">
        <f>IF(C121="","",IFERROR(1/(1/_xlfn.MINIFS('Saisie'!$A$5:$A$2004,'Saisie'!$C$5:$C$2004,C121,'Saisie'!$AT$5:$AT$2004,"&gt;=2")),""))</f>
        <v/>
      </c>
      <c r="BE121" s="106">
        <f>IF(C121="","",IFERROR(1/(1/_xlfn.MINIFS('Saisie'!$A$5:$A$2004,'Saisie'!$C$5:$C$2004,C121,'Saisie'!$AT$5:$AT$2004,"&gt;=3")),""))</f>
        <v/>
      </c>
      <c r="BF121" s="106">
        <f>IF(C121="","",IFERROR(1/(1/_xlfn.MINIFS('Saisie'!$A$5:$A$2004,'Saisie'!$C$5:$C$2004,C121,'Saisie'!$AT$5:$AT$2004,"&gt;=4")),""))</f>
        <v/>
      </c>
      <c r="BG121" s="106">
        <f>IF(C121="","",IFERROR(1/(1/_xlfn.MINIFS('Saisie'!$A$5:$A$2004,'Saisie'!$C$5:$C$2004,C121,'Saisie'!$AT$5:$AT$2004,"&gt;=5")),""))</f>
        <v/>
      </c>
      <c r="BH121" s="106">
        <f>IF(C121="","",IFERROR(1/(1/_xlfn.MINIFS('Saisie'!$A$5:$A$2004,'Saisie'!$C$5:$C$2004,C121,'Saisie'!$AT$5:$AT$2004,"&gt;=6")),""))</f>
        <v/>
      </c>
      <c r="BI121" s="106">
        <f>IF(C121="","",IFERROR(1/(1/_xlfn.MINIFS('Saisie'!$A$5:$A$2004,'Saisie'!$C$5:$C$2004,C121,'Saisie'!$AT$5:$AT$2004,"&gt;=7")),""))</f>
        <v/>
      </c>
      <c r="BJ121" s="60">
        <f>IF(OR(BD121="",B121=""),"",BD121-B121)</f>
        <v/>
      </c>
      <c r="BK121" s="60">
        <f>IF(OR(BE121="",BD121=""),"",BE121-BD121)</f>
        <v/>
      </c>
      <c r="BL121" s="60">
        <f>IF(OR(BF121="",BE121=""),"",BF121-BE121)</f>
        <v/>
      </c>
      <c r="BM121" s="60">
        <f>IF(OR(BG121="",BF121=""),"",BG121-BF121)</f>
        <v/>
      </c>
      <c r="BN121" s="60">
        <f>IF(OR(BH121="",BG121=""),"",BH121-BG121)</f>
        <v/>
      </c>
      <c r="BO121" s="60">
        <f>IF(OR(BI121="",BH121=""),"",BI121-BH121)</f>
        <v/>
      </c>
      <c r="BP121" s="60">
        <f>IF(C121="","",_xlfn.MAXIFS('Saisie'!$AS$5:$AS$2004,'Saisie'!$C$5:$C$2004,C121,'Saisie'!$J$5:$J$2004,"&lt;&gt;"))</f>
        <v/>
      </c>
      <c r="BQ121" s="60">
        <f>IF(C121="","",_xlfn.MAXIFS('Saisie'!$AS$5:$AS$2004,'Saisie'!$C$5:$C$2004,C121))</f>
        <v/>
      </c>
      <c r="BR121" s="60">
        <f>IF(C121="","",_xlfn.MAXIFS('Saisie'!$AS$5:$AS$2004,'Saisie'!$C$5:$C$2004,C121,'Saisie'!$E$5:$E$2004,"Perdu"))</f>
        <v/>
      </c>
      <c r="BS121" s="60">
        <f>IF(C121="","",_xlfn.MAXIFS('Saisie'!$AS$5:$AS$2004,'Saisie'!$C$5:$C$2004,C121,'Saisie'!$AT$5:$AT$2004,"&gt;0"))</f>
        <v/>
      </c>
      <c r="BT121" s="109">
        <f>IF(AND(C121&lt;&gt;"",OR(D121="Nouveau",D121="Contacté",D121="Qualifié"),OR(G121="",N(G121)&lt;=TODAY()),NOT(AND(O121&gt;='Paramètres'!$B$21,P121=0))),E121+117/10000,"")</f>
        <v/>
      </c>
      <c r="BU121" s="60">
        <f>IF(AND(G121&lt;&gt;"",N(G121)&lt;=TODAY()),MAX($BU$4:BU120)+1,"")</f>
        <v/>
      </c>
      <c r="BV121" s="60">
        <f>IF(AND(F121&lt;&gt;"",F121&lt;&gt;"Relance en retard"),MAX($BV$4:BV120)+1,"")</f>
        <v/>
      </c>
      <c r="BW121" s="60">
        <f>IF(C121="","",IF(AND(B121&gt;='Tableau de bord'!$R$4,B121&lt;='Tableau de bord'!$S$4,OR('Tableau de bord'!$G$4="Tous",N121='Tableau de bord'!$G$4)),1,0))</f>
        <v/>
      </c>
      <c r="BX121" s="60">
        <f>IF(AND(C121&lt;&gt;"",N(BA121)=7),MAX($BX$4:BX120)+1,"")</f>
        <v/>
      </c>
    </row>
    <row r="122">
      <c r="A122" s="60">
        <f>IF(C122="","","P-"&amp;TEXT(118,"000"))</f>
        <v/>
      </c>
      <c r="B122" s="106">
        <f>IF(C122="","",IFERROR(1/(1/_xlfn.MINIFS('Saisie'!$A$5:$A$2004,'Saisie'!$C$5:$C$2004,C122)),""))</f>
        <v/>
      </c>
      <c r="C122" s="60">
        <f>IFERROR(INDEX('Saisie'!$C$5:$C$2004,MATCH(118,'Saisie'!$AX$5:$AX$2004,0)),"")</f>
        <v/>
      </c>
      <c r="D122" s="60">
        <f>IF(C122="","",IF(AND(BR122&gt;0,BR122&gt;BS122,BA122&lt;7),"Perdu",INDEX('Paramètres'!$F$6:$F$13,BA122)))</f>
        <v/>
      </c>
      <c r="E122" s="61">
        <f>IF(C122="","",MIN(100,(Z122="Oui")*'Paramètres'!$B$38+(AB122="Régulière")*'Paramètres'!$B$39+IF(AND(N(AA122)&gt;0,TODAY()-N(AA122)&lt;=30),'Paramètres'!$B$40,0)+(W122="")*'Paramètres'!$B$41+(AC122="Absente")*'Paramètres'!$B$42+(AC122="Faible")*'Paramètres'!$B$43+IF(AND(N(AD122)&gt;0,N(AD122)&lt;4),'Paramètres'!$B$44,0)+(AF122="Moyenne")*'Paramètres'!$B$45+(AF122="Grande")*'Paramètres'!$B$46+(Y122&lt;&gt;"")*'Paramètres'!$B$47))</f>
        <v/>
      </c>
      <c r="F122" s="60">
        <f>IF(C122="","",IF(D122="Gagné","",IF(D122="Perdu",IF(AND(AX122&lt;&gt;"",AX122&lt;=TODAY()),"À recontacter (perdu)",""),IF(AND(O122&gt;='Paramètres'!$B$21,P122=0),"Stop : "&amp;'Paramètres'!$B$21&amp;" tentatives sans réponse",IF(AND(D122="Proposition",AR122&lt;&gt;"",TODAY()&gt;N(AR122)),"Proposition expirée",IF(AND(D122="Proposition",N(R122)&gt;='Paramètres'!$B$25),"Proposition sans réponse",IF(AND(G122&lt;&gt;"",N(G122)&lt;TODAY()),"Relance en retard",IF(N(R122)&gt;='Paramètres'!$B$24,"Sans action depuis "&amp;R122&amp;" j",""))))))))</f>
        <v/>
      </c>
      <c r="G122" s="106">
        <f>IF(OR(C122="",D122="Gagné",D122="Perdu"),"",IF(AND(BP122&gt;0,BP122=BQ122),INDEX('Saisie'!$J$5:$J$2004,BP122-4),IF(OR(O122=0,AND(O122&gt;='Paramètres'!$B$21,P122=0)),"",Q122+IF(O122&lt;=1,'Paramètres'!$B$18,IF(O122=2,'Paramètres'!$B$19,'Paramètres'!$B$20)))))</f>
        <v/>
      </c>
      <c r="H122" s="107">
        <f>IF(OR(G122="",BP122&lt;&gt;BQ122),"",IF(INDEX('Saisie'!$K$5:$K$2004,BP122-4)="","",INDEX('Saisie'!$K$5:$K$2004,BP122-4)))</f>
        <v/>
      </c>
      <c r="I122" s="60">
        <f>IF(C122="","",IF(OR(D122="Gagné",D122="Perdu"),"",IFERROR(INDEX('Saisie'!$I$5:$I$2004,_xlfn.MAXIFS('Saisie'!$AS$5:$AS$2004,'Saisie'!$C$5:$C$2004,C122,'Saisie'!$I$5:$I$2004,"&lt;&gt;")-4),"")))</f>
        <v/>
      </c>
      <c r="J122" s="60">
        <f>IF(C122="","",IFERROR(INDEX('Saisie'!$U$5:$U$2004,_xlfn.MAXIFS('Saisie'!$AS$5:$AS$2004,'Saisie'!$C$5:$C$2004,C122,'Saisie'!$U$5:$U$2004,"&lt;&gt;")-4),""))</f>
        <v/>
      </c>
      <c r="K122" s="60">
        <f>IF(C122="","",IFERROR(INDEX('Saisie'!$W$5:$W$2004,_xlfn.MAXIFS('Saisie'!$AS$5:$AS$2004,'Saisie'!$C$5:$C$2004,C122,'Saisie'!$W$5:$W$2004,"&lt;&gt;")-4),""))</f>
        <v/>
      </c>
      <c r="L122" s="60">
        <f>IF(IF(BB122&lt;&gt;"",BB122,K122)="","",HYPERLINK("https://wa.me/"&amp;IF(LEFT(SUBSTITUTE(SUBSTITUTE(SUBSTITUTE(IF(BB122&lt;&gt;"",BB122,K122)," ",""),".",""),"+",""),1)="0",'Paramètres'!$B$35&amp;MID(SUBSTITUTE(SUBSTITUTE(SUBSTITUTE(IF(BB122&lt;&gt;"",BB122,K122)," ",""),".",""),"+",""),2,20),SUBSTITUTE(SUBSTITUTE(SUBSTITUTE(IF(BB122&lt;&gt;"",BB122,K122)," ",""),".",""),"+","")),"WhatsApp"))</f>
        <v/>
      </c>
      <c r="M122" s="60">
        <f>IF(BC122="","",HYPERLINK(IF(LEFT(BC122,4)="http",BC122,"https://www.instagram.com/"&amp;SUBSTITUTE(SUBSTITUTE(BC122,"@","")," ","")),BC122))</f>
        <v/>
      </c>
      <c r="N122" s="60">
        <f>IF(C122="","",IFERROR(INDEX('Saisie'!$D$5:$D$2004,_xlfn.MINIFS('Saisie'!$AS$5:$AS$2004,'Saisie'!$C$5:$C$2004,C122,'Saisie'!$AU$5:$AU$2004,1)-4),IFERROR(INDEX('Saisie'!$D$5:$D$2004,_xlfn.MINIFS('Saisie'!$AS$5:$AS$2004,'Saisie'!$C$5:$C$2004,C122,'Saisie'!$D$5:$D$2004,"&lt;&gt;")-4),"")))</f>
        <v/>
      </c>
      <c r="O122" s="60">
        <f>IF(C122="","",COUNTIFS('Saisie'!$C$5:$C$2004,C122,'Saisie'!$AU$5:$AU$2004,1))</f>
        <v/>
      </c>
      <c r="P122" s="60">
        <f>IF(C122="","",COUNTIFS('Saisie'!$C$5:$C$2004,C122,'Saisie'!$AV$5:$AV$2004,1))</f>
        <v/>
      </c>
      <c r="Q122" s="106">
        <f>IF(C122="","",IFERROR(1/(1/_xlfn.MAXIFS('Saisie'!$A$5:$A$2004,'Saisie'!$C$5:$C$2004,C122)),""))</f>
        <v/>
      </c>
      <c r="R122" s="61">
        <f>IF(C122="","",IF(Q122="","",TODAY()-Q122))</f>
        <v/>
      </c>
      <c r="S122" s="60">
        <f>IF(C122="","",IFERROR(INDEX('Saisie'!$R$5:$R$2004,_xlfn.MAXIFS('Saisie'!$AS$5:$AS$2004,'Saisie'!$C$5:$C$2004,C122,'Saisie'!$R$5:$R$2004,"&lt;&gt;")-4),""))</f>
        <v/>
      </c>
      <c r="T122" s="60">
        <f>IF(C122="","",IFERROR(INDEX('Saisie'!$S$5:$S$2004,_xlfn.MAXIFS('Saisie'!$AS$5:$AS$2004,'Saisie'!$C$5:$C$2004,C122,'Saisie'!$S$5:$S$2004,"&lt;&gt;")-4),""))</f>
        <v/>
      </c>
      <c r="U122" s="60">
        <f>IF(C122="","",IFERROR(INDEX('Saisie'!$T$5:$T$2004,_xlfn.MAXIFS('Saisie'!$AS$5:$AS$2004,'Saisie'!$C$5:$C$2004,C122,'Saisie'!$T$5:$T$2004,"&lt;&gt;")-4),""))</f>
        <v/>
      </c>
      <c r="V122" s="60">
        <f>IF(C122="","",IFERROR(INDEX('Saisie'!$V$5:$V$2004,_xlfn.MAXIFS('Saisie'!$AS$5:$AS$2004,'Saisie'!$C$5:$C$2004,C122,'Saisie'!$V$5:$V$2004,"&lt;&gt;")-4),""))</f>
        <v/>
      </c>
      <c r="W122" s="60">
        <f>IF(C122="","",IFERROR(INDEX('Saisie'!$Z$5:$Z$2004,_xlfn.MAXIFS('Saisie'!$AS$5:$AS$2004,'Saisie'!$C$5:$C$2004,C122,'Saisie'!$Z$5:$Z$2004,"&lt;&gt;")-4),""))</f>
        <v/>
      </c>
      <c r="X122" s="60">
        <f>IF(C122="","",IFERROR(INDEX('Saisie'!$AA$5:$AA$2004,_xlfn.MAXIFS('Saisie'!$AS$5:$AS$2004,'Saisie'!$C$5:$C$2004,C122,'Saisie'!$AA$5:$AA$2004,"&lt;&gt;")-4),""))</f>
        <v/>
      </c>
      <c r="Y122" s="60">
        <f>IF(C122="","",IFERROR(INDEX('Saisie'!$AB$5:$AB$2004,_xlfn.MAXIFS('Saisie'!$AS$5:$AS$2004,'Saisie'!$C$5:$C$2004,C122,'Saisie'!$AB$5:$AB$2004,"&lt;&gt;")-4),""))</f>
        <v/>
      </c>
      <c r="Z122" s="60">
        <f>IF(C122="","",IFERROR(INDEX('Saisie'!$AC$5:$AC$2004,_xlfn.MAXIFS('Saisie'!$AS$5:$AS$2004,'Saisie'!$C$5:$C$2004,C122,'Saisie'!$AC$5:$AC$2004,"&lt;&gt;")-4),""))</f>
        <v/>
      </c>
      <c r="AA122" s="106">
        <f>IF(C122="","",IFERROR(INDEX('Saisie'!$AD$5:$AD$2004,_xlfn.MAXIFS('Saisie'!$AS$5:$AS$2004,'Saisie'!$C$5:$C$2004,C122,'Saisie'!$AD$5:$AD$2004,"&lt;&gt;")-4),""))</f>
        <v/>
      </c>
      <c r="AB122" s="60">
        <f>IF(C122="","",IFERROR(INDEX('Saisie'!$AE$5:$AE$2004,_xlfn.MAXIFS('Saisie'!$AS$5:$AS$2004,'Saisie'!$C$5:$C$2004,C122,'Saisie'!$AE$5:$AE$2004,"&lt;&gt;")-4),""))</f>
        <v/>
      </c>
      <c r="AC122" s="60">
        <f>IF(C122="","",IFERROR(INDEX('Saisie'!$AF$5:$AF$2004,_xlfn.MAXIFS('Saisie'!$AS$5:$AS$2004,'Saisie'!$C$5:$C$2004,C122,'Saisie'!$AF$5:$AF$2004,"&lt;&gt;")-4),""))</f>
        <v/>
      </c>
      <c r="AD122" s="108">
        <f>IF(C122="","",IFERROR(INDEX('Saisie'!$AG$5:$AG$2004,_xlfn.MAXIFS('Saisie'!$AS$5:$AS$2004,'Saisie'!$C$5:$C$2004,C122,'Saisie'!$AG$5:$AG$2004,"&lt;&gt;")-4),""))</f>
        <v/>
      </c>
      <c r="AE122" s="60">
        <f>IF(C122="","",IFERROR(INDEX('Saisie'!$AH$5:$AH$2004,_xlfn.MAXIFS('Saisie'!$AS$5:$AS$2004,'Saisie'!$C$5:$C$2004,C122,'Saisie'!$AH$5:$AH$2004,"&lt;&gt;")-4),""))</f>
        <v/>
      </c>
      <c r="AF122" s="60">
        <f>IF(C122="","",IFERROR(INDEX('Saisie'!$AI$5:$AI$2004,_xlfn.MAXIFS('Saisie'!$AS$5:$AS$2004,'Saisie'!$C$5:$C$2004,C122,'Saisie'!$AI$5:$AI$2004,"&lt;&gt;")-4),""))</f>
        <v/>
      </c>
      <c r="AG122" s="60">
        <f>IF(C122="","",IFERROR(INDEX('Saisie'!$AJ$5:$AJ$2004,_xlfn.MAXIFS('Saisie'!$AS$5:$AS$2004,'Saisie'!$C$5:$C$2004,C122,'Saisie'!$AJ$5:$AJ$2004,"&lt;&gt;")-4),""))</f>
        <v/>
      </c>
      <c r="AH122" s="60">
        <f>IF(C122="","",IFERROR(INDEX('Saisie'!$AK$5:$AK$2004,_xlfn.MAXIFS('Saisie'!$AS$5:$AS$2004,'Saisie'!$C$5:$C$2004,C122,'Saisie'!$AK$5:$AK$2004,"&lt;&gt;")-4),""))</f>
        <v/>
      </c>
      <c r="AI122" s="60">
        <f>IF(C122="","",IFERROR(INDEX('Saisie'!$AN$5:$AN$2004,_xlfn.MAXIFS('Saisie'!$AS$5:$AS$2004,'Saisie'!$C$5:$C$2004,C122,'Saisie'!$AN$5:$AN$2004,"&lt;&gt;")-4),""))</f>
        <v/>
      </c>
      <c r="AJ122" s="60">
        <f>IF(C122="","",IFERROR(INDEX('Saisie'!$AO$5:$AO$2004,_xlfn.MAXIFS('Saisie'!$AS$5:$AS$2004,'Saisie'!$C$5:$C$2004,C122,'Saisie'!$AO$5:$AO$2004,"&lt;&gt;")-4),""))</f>
        <v/>
      </c>
      <c r="AK122" s="60">
        <f>IF(C122="","",IFERROR(INDEX('Saisie'!$AP$5:$AP$2004,_xlfn.MAXIFS('Saisie'!$AS$5:$AS$2004,'Saisie'!$C$5:$C$2004,C122,'Saisie'!$AP$5:$AP$2004,"&lt;&gt;")-4),""))</f>
        <v/>
      </c>
      <c r="AL122" s="60">
        <f>IF(C122="","",IFERROR(INDEX('Saisie'!$AQ$5:$AQ$2004,_xlfn.MAXIFS('Saisie'!$AS$5:$AS$2004,'Saisie'!$C$5:$C$2004,C122,'Saisie'!$AQ$5:$AQ$2004,"&lt;&gt;")-4),""))</f>
        <v/>
      </c>
      <c r="AM122" s="60">
        <f>IF(C122="","",((AI122="Oui")+(AJ122="Oui")+(AK122="Oui")+OR(AL122="Immédiat",AL122="&lt; 1 mois"))&amp;"/4")</f>
        <v/>
      </c>
      <c r="AN122" s="60">
        <f>IF(C122="","",IFERROR(INDEX('Saisie'!$AL$5:$AL$2004,_xlfn.MAXIFS('Saisie'!$AS$5:$AS$2004,'Saisie'!$C$5:$C$2004,C122,'Saisie'!$AL$5:$AL$2004,"&lt;&gt;")-4),""))</f>
        <v/>
      </c>
      <c r="AO122" s="62">
        <f>IF(C122="","",IF(IFERROR(INDEX('Saisie'!$AM$5:$AM$2004,_xlfn.MAXIFS('Saisie'!$AS$5:$AS$2004,'Saisie'!$C$5:$C$2004,C122,'Saisie'!$AM$5:$AM$2004,"&lt;&gt;")-4),"")&lt;&gt;"",IFERROR(INDEX('Saisie'!$AM$5:$AM$2004,_xlfn.MAXIFS('Saisie'!$AS$5:$AS$2004,'Saisie'!$C$5:$C$2004,C122,'Saisie'!$AM$5:$AM$2004,"&lt;&gt;")-4),""),IFERROR(INDEX('Paramètres'!$S$6:$S$15,MATCH(AN122,'Paramètres'!$Q$6:$Q$15,0)),"")))</f>
        <v/>
      </c>
      <c r="AP122" s="62">
        <f>IF(C122="","",IFERROR(INDEX('Saisie'!$AW$5:$AW$2004,_xlfn.MAXIFS('Saisie'!$AS$5:$AS$2004,'Saisie'!$C$5:$C$2004,C122,'Saisie'!$E$5:$E$2004,"Proposition envoyée")-4),""))</f>
        <v/>
      </c>
      <c r="AQ122" s="106">
        <f>IF(C122="","",IFERROR(1/(1/_xlfn.MAXIFS('Saisie'!$A$5:$A$2004,'Saisie'!$C$5:$C$2004,C122,'Saisie'!$E$5:$E$2004,"Proposition envoyée")),""))</f>
        <v/>
      </c>
      <c r="AR122" s="106">
        <f>IF(C122="","",IF(AQ122="","",AQ122+'Paramètres'!$B$26))</f>
        <v/>
      </c>
      <c r="AS122" s="62">
        <f>IF(OR(C122="",D122="Gagné",D122="Perdu"),0,N(AP122)*IFERROR(INDEX('Paramètres'!$G$6:$G$13,MATCH(D122,'Paramètres'!$F$6:$F$13,0)),0))</f>
        <v/>
      </c>
      <c r="AT122" s="106">
        <f>IF(C122="","",IFERROR(1/(1/_xlfn.MINIFS('Saisie'!$A$5:$A$2004,'Saisie'!$C$5:$C$2004,C122,'Saisie'!$E$5:$E$2004,"Signature")),""))</f>
        <v/>
      </c>
      <c r="AU122" s="60">
        <f>IF(C122="","",IF(OR(AT122="",B122=""),"",AT122-B122))</f>
        <v/>
      </c>
      <c r="AV122" s="60">
        <f>IF(C122="","",IFERROR(INDEX('Saisie'!$L$5:$L$2004,_xlfn.MAXIFS('Saisie'!$AS$5:$AS$2004,'Saisie'!$C$5:$C$2004,C122,'Saisie'!$L$5:$L$2004,"&lt;&gt;")-4),""))</f>
        <v/>
      </c>
      <c r="AW122" s="106">
        <f>IF(C122="","",IF(D122&lt;&gt;"Perdu","",IFERROR(1/(1/_xlfn.MAXIFS('Saisie'!$A$5:$A$2004,'Saisie'!$C$5:$C$2004,C122,'Saisie'!$E$5:$E$2004,"Perdu")),"")))</f>
        <v/>
      </c>
      <c r="AX122" s="106">
        <f>IF(C122="","",IF(AW122="","",AW122+'Paramètres'!$B$28))</f>
        <v/>
      </c>
      <c r="AY122" s="60">
        <f>IF(C122="","",SUMIFS('Saisie'!$H$5:$H$2004,'Saisie'!$C$5:$C$2004,C122))</f>
        <v/>
      </c>
      <c r="AZ122" s="60">
        <f>IF(C122="","",IFERROR(INDEX('Paramètres'!$W$6:$W$20,MATCH(S122,'Paramètres'!$V$6:$V$20,0))&amp;"",""))</f>
        <v/>
      </c>
      <c r="BA122" s="60">
        <f>IF(C122="","",MAX(1,_xlfn.MAXIFS('Saisie'!$AT$5:$AT$2004,'Saisie'!$C$5:$C$2004,C122)))</f>
        <v/>
      </c>
      <c r="BB122" s="60">
        <f>IF(C122="","",IFERROR(INDEX('Saisie'!$X$5:$X$2004,_xlfn.MAXIFS('Saisie'!$AS$5:$AS$2004,'Saisie'!$C$5:$C$2004,C122,'Saisie'!$X$5:$X$2004,"&lt;&gt;")-4),""))</f>
        <v/>
      </c>
      <c r="BC122" s="60">
        <f>IF(C122="","",IFERROR(INDEX('Saisie'!$Y$5:$Y$2004,_xlfn.MAXIFS('Saisie'!$AS$5:$AS$2004,'Saisie'!$C$5:$C$2004,C122,'Saisie'!$Y$5:$Y$2004,"&lt;&gt;")-4),""))</f>
        <v/>
      </c>
      <c r="BD122" s="106">
        <f>IF(C122="","",IFERROR(1/(1/_xlfn.MINIFS('Saisie'!$A$5:$A$2004,'Saisie'!$C$5:$C$2004,C122,'Saisie'!$AT$5:$AT$2004,"&gt;=2")),""))</f>
        <v/>
      </c>
      <c r="BE122" s="106">
        <f>IF(C122="","",IFERROR(1/(1/_xlfn.MINIFS('Saisie'!$A$5:$A$2004,'Saisie'!$C$5:$C$2004,C122,'Saisie'!$AT$5:$AT$2004,"&gt;=3")),""))</f>
        <v/>
      </c>
      <c r="BF122" s="106">
        <f>IF(C122="","",IFERROR(1/(1/_xlfn.MINIFS('Saisie'!$A$5:$A$2004,'Saisie'!$C$5:$C$2004,C122,'Saisie'!$AT$5:$AT$2004,"&gt;=4")),""))</f>
        <v/>
      </c>
      <c r="BG122" s="106">
        <f>IF(C122="","",IFERROR(1/(1/_xlfn.MINIFS('Saisie'!$A$5:$A$2004,'Saisie'!$C$5:$C$2004,C122,'Saisie'!$AT$5:$AT$2004,"&gt;=5")),""))</f>
        <v/>
      </c>
      <c r="BH122" s="106">
        <f>IF(C122="","",IFERROR(1/(1/_xlfn.MINIFS('Saisie'!$A$5:$A$2004,'Saisie'!$C$5:$C$2004,C122,'Saisie'!$AT$5:$AT$2004,"&gt;=6")),""))</f>
        <v/>
      </c>
      <c r="BI122" s="106">
        <f>IF(C122="","",IFERROR(1/(1/_xlfn.MINIFS('Saisie'!$A$5:$A$2004,'Saisie'!$C$5:$C$2004,C122,'Saisie'!$AT$5:$AT$2004,"&gt;=7")),""))</f>
        <v/>
      </c>
      <c r="BJ122" s="60">
        <f>IF(OR(BD122="",B122=""),"",BD122-B122)</f>
        <v/>
      </c>
      <c r="BK122" s="60">
        <f>IF(OR(BE122="",BD122=""),"",BE122-BD122)</f>
        <v/>
      </c>
      <c r="BL122" s="60">
        <f>IF(OR(BF122="",BE122=""),"",BF122-BE122)</f>
        <v/>
      </c>
      <c r="BM122" s="60">
        <f>IF(OR(BG122="",BF122=""),"",BG122-BF122)</f>
        <v/>
      </c>
      <c r="BN122" s="60">
        <f>IF(OR(BH122="",BG122=""),"",BH122-BG122)</f>
        <v/>
      </c>
      <c r="BO122" s="60">
        <f>IF(OR(BI122="",BH122=""),"",BI122-BH122)</f>
        <v/>
      </c>
      <c r="BP122" s="60">
        <f>IF(C122="","",_xlfn.MAXIFS('Saisie'!$AS$5:$AS$2004,'Saisie'!$C$5:$C$2004,C122,'Saisie'!$J$5:$J$2004,"&lt;&gt;"))</f>
        <v/>
      </c>
      <c r="BQ122" s="60">
        <f>IF(C122="","",_xlfn.MAXIFS('Saisie'!$AS$5:$AS$2004,'Saisie'!$C$5:$C$2004,C122))</f>
        <v/>
      </c>
      <c r="BR122" s="60">
        <f>IF(C122="","",_xlfn.MAXIFS('Saisie'!$AS$5:$AS$2004,'Saisie'!$C$5:$C$2004,C122,'Saisie'!$E$5:$E$2004,"Perdu"))</f>
        <v/>
      </c>
      <c r="BS122" s="60">
        <f>IF(C122="","",_xlfn.MAXIFS('Saisie'!$AS$5:$AS$2004,'Saisie'!$C$5:$C$2004,C122,'Saisie'!$AT$5:$AT$2004,"&gt;0"))</f>
        <v/>
      </c>
      <c r="BT122" s="109">
        <f>IF(AND(C122&lt;&gt;"",OR(D122="Nouveau",D122="Contacté",D122="Qualifié"),OR(G122="",N(G122)&lt;=TODAY()),NOT(AND(O122&gt;='Paramètres'!$B$21,P122=0))),E122+118/10000,"")</f>
        <v/>
      </c>
      <c r="BU122" s="60">
        <f>IF(AND(G122&lt;&gt;"",N(G122)&lt;=TODAY()),MAX($BU$4:BU121)+1,"")</f>
        <v/>
      </c>
      <c r="BV122" s="60">
        <f>IF(AND(F122&lt;&gt;"",F122&lt;&gt;"Relance en retard"),MAX($BV$4:BV121)+1,"")</f>
        <v/>
      </c>
      <c r="BW122" s="60">
        <f>IF(C122="","",IF(AND(B122&gt;='Tableau de bord'!$R$4,B122&lt;='Tableau de bord'!$S$4,OR('Tableau de bord'!$G$4="Tous",N122='Tableau de bord'!$G$4)),1,0))</f>
        <v/>
      </c>
      <c r="BX122" s="60">
        <f>IF(AND(C122&lt;&gt;"",N(BA122)=7),MAX($BX$4:BX121)+1,"")</f>
        <v/>
      </c>
    </row>
    <row r="123">
      <c r="A123" s="60">
        <f>IF(C123="","","P-"&amp;TEXT(119,"000"))</f>
        <v/>
      </c>
      <c r="B123" s="106">
        <f>IF(C123="","",IFERROR(1/(1/_xlfn.MINIFS('Saisie'!$A$5:$A$2004,'Saisie'!$C$5:$C$2004,C123)),""))</f>
        <v/>
      </c>
      <c r="C123" s="60">
        <f>IFERROR(INDEX('Saisie'!$C$5:$C$2004,MATCH(119,'Saisie'!$AX$5:$AX$2004,0)),"")</f>
        <v/>
      </c>
      <c r="D123" s="60">
        <f>IF(C123="","",IF(AND(BR123&gt;0,BR123&gt;BS123,BA123&lt;7),"Perdu",INDEX('Paramètres'!$F$6:$F$13,BA123)))</f>
        <v/>
      </c>
      <c r="E123" s="61">
        <f>IF(C123="","",MIN(100,(Z123="Oui")*'Paramètres'!$B$38+(AB123="Régulière")*'Paramètres'!$B$39+IF(AND(N(AA123)&gt;0,TODAY()-N(AA123)&lt;=30),'Paramètres'!$B$40,0)+(W123="")*'Paramètres'!$B$41+(AC123="Absente")*'Paramètres'!$B$42+(AC123="Faible")*'Paramètres'!$B$43+IF(AND(N(AD123)&gt;0,N(AD123)&lt;4),'Paramètres'!$B$44,0)+(AF123="Moyenne")*'Paramètres'!$B$45+(AF123="Grande")*'Paramètres'!$B$46+(Y123&lt;&gt;"")*'Paramètres'!$B$47))</f>
        <v/>
      </c>
      <c r="F123" s="60">
        <f>IF(C123="","",IF(D123="Gagné","",IF(D123="Perdu",IF(AND(AX123&lt;&gt;"",AX123&lt;=TODAY()),"À recontacter (perdu)",""),IF(AND(O123&gt;='Paramètres'!$B$21,P123=0),"Stop : "&amp;'Paramètres'!$B$21&amp;" tentatives sans réponse",IF(AND(D123="Proposition",AR123&lt;&gt;"",TODAY()&gt;N(AR123)),"Proposition expirée",IF(AND(D123="Proposition",N(R123)&gt;='Paramètres'!$B$25),"Proposition sans réponse",IF(AND(G123&lt;&gt;"",N(G123)&lt;TODAY()),"Relance en retard",IF(N(R123)&gt;='Paramètres'!$B$24,"Sans action depuis "&amp;R123&amp;" j",""))))))))</f>
        <v/>
      </c>
      <c r="G123" s="106">
        <f>IF(OR(C123="",D123="Gagné",D123="Perdu"),"",IF(AND(BP123&gt;0,BP123=BQ123),INDEX('Saisie'!$J$5:$J$2004,BP123-4),IF(OR(O123=0,AND(O123&gt;='Paramètres'!$B$21,P123=0)),"",Q123+IF(O123&lt;=1,'Paramètres'!$B$18,IF(O123=2,'Paramètres'!$B$19,'Paramètres'!$B$20)))))</f>
        <v/>
      </c>
      <c r="H123" s="107">
        <f>IF(OR(G123="",BP123&lt;&gt;BQ123),"",IF(INDEX('Saisie'!$K$5:$K$2004,BP123-4)="","",INDEX('Saisie'!$K$5:$K$2004,BP123-4)))</f>
        <v/>
      </c>
      <c r="I123" s="60">
        <f>IF(C123="","",IF(OR(D123="Gagné",D123="Perdu"),"",IFERROR(INDEX('Saisie'!$I$5:$I$2004,_xlfn.MAXIFS('Saisie'!$AS$5:$AS$2004,'Saisie'!$C$5:$C$2004,C123,'Saisie'!$I$5:$I$2004,"&lt;&gt;")-4),"")))</f>
        <v/>
      </c>
      <c r="J123" s="60">
        <f>IF(C123="","",IFERROR(INDEX('Saisie'!$U$5:$U$2004,_xlfn.MAXIFS('Saisie'!$AS$5:$AS$2004,'Saisie'!$C$5:$C$2004,C123,'Saisie'!$U$5:$U$2004,"&lt;&gt;")-4),""))</f>
        <v/>
      </c>
      <c r="K123" s="60">
        <f>IF(C123="","",IFERROR(INDEX('Saisie'!$W$5:$W$2004,_xlfn.MAXIFS('Saisie'!$AS$5:$AS$2004,'Saisie'!$C$5:$C$2004,C123,'Saisie'!$W$5:$W$2004,"&lt;&gt;")-4),""))</f>
        <v/>
      </c>
      <c r="L123" s="60">
        <f>IF(IF(BB123&lt;&gt;"",BB123,K123)="","",HYPERLINK("https://wa.me/"&amp;IF(LEFT(SUBSTITUTE(SUBSTITUTE(SUBSTITUTE(IF(BB123&lt;&gt;"",BB123,K123)," ",""),".",""),"+",""),1)="0",'Paramètres'!$B$35&amp;MID(SUBSTITUTE(SUBSTITUTE(SUBSTITUTE(IF(BB123&lt;&gt;"",BB123,K123)," ",""),".",""),"+",""),2,20),SUBSTITUTE(SUBSTITUTE(SUBSTITUTE(IF(BB123&lt;&gt;"",BB123,K123)," ",""),".",""),"+","")),"WhatsApp"))</f>
        <v/>
      </c>
      <c r="M123" s="60">
        <f>IF(BC123="","",HYPERLINK(IF(LEFT(BC123,4)="http",BC123,"https://www.instagram.com/"&amp;SUBSTITUTE(SUBSTITUTE(BC123,"@","")," ","")),BC123))</f>
        <v/>
      </c>
      <c r="N123" s="60">
        <f>IF(C123="","",IFERROR(INDEX('Saisie'!$D$5:$D$2004,_xlfn.MINIFS('Saisie'!$AS$5:$AS$2004,'Saisie'!$C$5:$C$2004,C123,'Saisie'!$AU$5:$AU$2004,1)-4),IFERROR(INDEX('Saisie'!$D$5:$D$2004,_xlfn.MINIFS('Saisie'!$AS$5:$AS$2004,'Saisie'!$C$5:$C$2004,C123,'Saisie'!$D$5:$D$2004,"&lt;&gt;")-4),"")))</f>
        <v/>
      </c>
      <c r="O123" s="60">
        <f>IF(C123="","",COUNTIFS('Saisie'!$C$5:$C$2004,C123,'Saisie'!$AU$5:$AU$2004,1))</f>
        <v/>
      </c>
      <c r="P123" s="60">
        <f>IF(C123="","",COUNTIFS('Saisie'!$C$5:$C$2004,C123,'Saisie'!$AV$5:$AV$2004,1))</f>
        <v/>
      </c>
      <c r="Q123" s="106">
        <f>IF(C123="","",IFERROR(1/(1/_xlfn.MAXIFS('Saisie'!$A$5:$A$2004,'Saisie'!$C$5:$C$2004,C123)),""))</f>
        <v/>
      </c>
      <c r="R123" s="61">
        <f>IF(C123="","",IF(Q123="","",TODAY()-Q123))</f>
        <v/>
      </c>
      <c r="S123" s="60">
        <f>IF(C123="","",IFERROR(INDEX('Saisie'!$R$5:$R$2004,_xlfn.MAXIFS('Saisie'!$AS$5:$AS$2004,'Saisie'!$C$5:$C$2004,C123,'Saisie'!$R$5:$R$2004,"&lt;&gt;")-4),""))</f>
        <v/>
      </c>
      <c r="T123" s="60">
        <f>IF(C123="","",IFERROR(INDEX('Saisie'!$S$5:$S$2004,_xlfn.MAXIFS('Saisie'!$AS$5:$AS$2004,'Saisie'!$C$5:$C$2004,C123,'Saisie'!$S$5:$S$2004,"&lt;&gt;")-4),""))</f>
        <v/>
      </c>
      <c r="U123" s="60">
        <f>IF(C123="","",IFERROR(INDEX('Saisie'!$T$5:$T$2004,_xlfn.MAXIFS('Saisie'!$AS$5:$AS$2004,'Saisie'!$C$5:$C$2004,C123,'Saisie'!$T$5:$T$2004,"&lt;&gt;")-4),""))</f>
        <v/>
      </c>
      <c r="V123" s="60">
        <f>IF(C123="","",IFERROR(INDEX('Saisie'!$V$5:$V$2004,_xlfn.MAXIFS('Saisie'!$AS$5:$AS$2004,'Saisie'!$C$5:$C$2004,C123,'Saisie'!$V$5:$V$2004,"&lt;&gt;")-4),""))</f>
        <v/>
      </c>
      <c r="W123" s="60">
        <f>IF(C123="","",IFERROR(INDEX('Saisie'!$Z$5:$Z$2004,_xlfn.MAXIFS('Saisie'!$AS$5:$AS$2004,'Saisie'!$C$5:$C$2004,C123,'Saisie'!$Z$5:$Z$2004,"&lt;&gt;")-4),""))</f>
        <v/>
      </c>
      <c r="X123" s="60">
        <f>IF(C123="","",IFERROR(INDEX('Saisie'!$AA$5:$AA$2004,_xlfn.MAXIFS('Saisie'!$AS$5:$AS$2004,'Saisie'!$C$5:$C$2004,C123,'Saisie'!$AA$5:$AA$2004,"&lt;&gt;")-4),""))</f>
        <v/>
      </c>
      <c r="Y123" s="60">
        <f>IF(C123="","",IFERROR(INDEX('Saisie'!$AB$5:$AB$2004,_xlfn.MAXIFS('Saisie'!$AS$5:$AS$2004,'Saisie'!$C$5:$C$2004,C123,'Saisie'!$AB$5:$AB$2004,"&lt;&gt;")-4),""))</f>
        <v/>
      </c>
      <c r="Z123" s="60">
        <f>IF(C123="","",IFERROR(INDEX('Saisie'!$AC$5:$AC$2004,_xlfn.MAXIFS('Saisie'!$AS$5:$AS$2004,'Saisie'!$C$5:$C$2004,C123,'Saisie'!$AC$5:$AC$2004,"&lt;&gt;")-4),""))</f>
        <v/>
      </c>
      <c r="AA123" s="106">
        <f>IF(C123="","",IFERROR(INDEX('Saisie'!$AD$5:$AD$2004,_xlfn.MAXIFS('Saisie'!$AS$5:$AS$2004,'Saisie'!$C$5:$C$2004,C123,'Saisie'!$AD$5:$AD$2004,"&lt;&gt;")-4),""))</f>
        <v/>
      </c>
      <c r="AB123" s="60">
        <f>IF(C123="","",IFERROR(INDEX('Saisie'!$AE$5:$AE$2004,_xlfn.MAXIFS('Saisie'!$AS$5:$AS$2004,'Saisie'!$C$5:$C$2004,C123,'Saisie'!$AE$5:$AE$2004,"&lt;&gt;")-4),""))</f>
        <v/>
      </c>
      <c r="AC123" s="60">
        <f>IF(C123="","",IFERROR(INDEX('Saisie'!$AF$5:$AF$2004,_xlfn.MAXIFS('Saisie'!$AS$5:$AS$2004,'Saisie'!$C$5:$C$2004,C123,'Saisie'!$AF$5:$AF$2004,"&lt;&gt;")-4),""))</f>
        <v/>
      </c>
      <c r="AD123" s="108">
        <f>IF(C123="","",IFERROR(INDEX('Saisie'!$AG$5:$AG$2004,_xlfn.MAXIFS('Saisie'!$AS$5:$AS$2004,'Saisie'!$C$5:$C$2004,C123,'Saisie'!$AG$5:$AG$2004,"&lt;&gt;")-4),""))</f>
        <v/>
      </c>
      <c r="AE123" s="60">
        <f>IF(C123="","",IFERROR(INDEX('Saisie'!$AH$5:$AH$2004,_xlfn.MAXIFS('Saisie'!$AS$5:$AS$2004,'Saisie'!$C$5:$C$2004,C123,'Saisie'!$AH$5:$AH$2004,"&lt;&gt;")-4),""))</f>
        <v/>
      </c>
      <c r="AF123" s="60">
        <f>IF(C123="","",IFERROR(INDEX('Saisie'!$AI$5:$AI$2004,_xlfn.MAXIFS('Saisie'!$AS$5:$AS$2004,'Saisie'!$C$5:$C$2004,C123,'Saisie'!$AI$5:$AI$2004,"&lt;&gt;")-4),""))</f>
        <v/>
      </c>
      <c r="AG123" s="60">
        <f>IF(C123="","",IFERROR(INDEX('Saisie'!$AJ$5:$AJ$2004,_xlfn.MAXIFS('Saisie'!$AS$5:$AS$2004,'Saisie'!$C$5:$C$2004,C123,'Saisie'!$AJ$5:$AJ$2004,"&lt;&gt;")-4),""))</f>
        <v/>
      </c>
      <c r="AH123" s="60">
        <f>IF(C123="","",IFERROR(INDEX('Saisie'!$AK$5:$AK$2004,_xlfn.MAXIFS('Saisie'!$AS$5:$AS$2004,'Saisie'!$C$5:$C$2004,C123,'Saisie'!$AK$5:$AK$2004,"&lt;&gt;")-4),""))</f>
        <v/>
      </c>
      <c r="AI123" s="60">
        <f>IF(C123="","",IFERROR(INDEX('Saisie'!$AN$5:$AN$2004,_xlfn.MAXIFS('Saisie'!$AS$5:$AS$2004,'Saisie'!$C$5:$C$2004,C123,'Saisie'!$AN$5:$AN$2004,"&lt;&gt;")-4),""))</f>
        <v/>
      </c>
      <c r="AJ123" s="60">
        <f>IF(C123="","",IFERROR(INDEX('Saisie'!$AO$5:$AO$2004,_xlfn.MAXIFS('Saisie'!$AS$5:$AS$2004,'Saisie'!$C$5:$C$2004,C123,'Saisie'!$AO$5:$AO$2004,"&lt;&gt;")-4),""))</f>
        <v/>
      </c>
      <c r="AK123" s="60">
        <f>IF(C123="","",IFERROR(INDEX('Saisie'!$AP$5:$AP$2004,_xlfn.MAXIFS('Saisie'!$AS$5:$AS$2004,'Saisie'!$C$5:$C$2004,C123,'Saisie'!$AP$5:$AP$2004,"&lt;&gt;")-4),""))</f>
        <v/>
      </c>
      <c r="AL123" s="60">
        <f>IF(C123="","",IFERROR(INDEX('Saisie'!$AQ$5:$AQ$2004,_xlfn.MAXIFS('Saisie'!$AS$5:$AS$2004,'Saisie'!$C$5:$C$2004,C123,'Saisie'!$AQ$5:$AQ$2004,"&lt;&gt;")-4),""))</f>
        <v/>
      </c>
      <c r="AM123" s="60">
        <f>IF(C123="","",((AI123="Oui")+(AJ123="Oui")+(AK123="Oui")+OR(AL123="Immédiat",AL123="&lt; 1 mois"))&amp;"/4")</f>
        <v/>
      </c>
      <c r="AN123" s="60">
        <f>IF(C123="","",IFERROR(INDEX('Saisie'!$AL$5:$AL$2004,_xlfn.MAXIFS('Saisie'!$AS$5:$AS$2004,'Saisie'!$C$5:$C$2004,C123,'Saisie'!$AL$5:$AL$2004,"&lt;&gt;")-4),""))</f>
        <v/>
      </c>
      <c r="AO123" s="62">
        <f>IF(C123="","",IF(IFERROR(INDEX('Saisie'!$AM$5:$AM$2004,_xlfn.MAXIFS('Saisie'!$AS$5:$AS$2004,'Saisie'!$C$5:$C$2004,C123,'Saisie'!$AM$5:$AM$2004,"&lt;&gt;")-4),"")&lt;&gt;"",IFERROR(INDEX('Saisie'!$AM$5:$AM$2004,_xlfn.MAXIFS('Saisie'!$AS$5:$AS$2004,'Saisie'!$C$5:$C$2004,C123,'Saisie'!$AM$5:$AM$2004,"&lt;&gt;")-4),""),IFERROR(INDEX('Paramètres'!$S$6:$S$15,MATCH(AN123,'Paramètres'!$Q$6:$Q$15,0)),"")))</f>
        <v/>
      </c>
      <c r="AP123" s="62">
        <f>IF(C123="","",IFERROR(INDEX('Saisie'!$AW$5:$AW$2004,_xlfn.MAXIFS('Saisie'!$AS$5:$AS$2004,'Saisie'!$C$5:$C$2004,C123,'Saisie'!$E$5:$E$2004,"Proposition envoyée")-4),""))</f>
        <v/>
      </c>
      <c r="AQ123" s="106">
        <f>IF(C123="","",IFERROR(1/(1/_xlfn.MAXIFS('Saisie'!$A$5:$A$2004,'Saisie'!$C$5:$C$2004,C123,'Saisie'!$E$5:$E$2004,"Proposition envoyée")),""))</f>
        <v/>
      </c>
      <c r="AR123" s="106">
        <f>IF(C123="","",IF(AQ123="","",AQ123+'Paramètres'!$B$26))</f>
        <v/>
      </c>
      <c r="AS123" s="62">
        <f>IF(OR(C123="",D123="Gagné",D123="Perdu"),0,N(AP123)*IFERROR(INDEX('Paramètres'!$G$6:$G$13,MATCH(D123,'Paramètres'!$F$6:$F$13,0)),0))</f>
        <v/>
      </c>
      <c r="AT123" s="106">
        <f>IF(C123="","",IFERROR(1/(1/_xlfn.MINIFS('Saisie'!$A$5:$A$2004,'Saisie'!$C$5:$C$2004,C123,'Saisie'!$E$5:$E$2004,"Signature")),""))</f>
        <v/>
      </c>
      <c r="AU123" s="60">
        <f>IF(C123="","",IF(OR(AT123="",B123=""),"",AT123-B123))</f>
        <v/>
      </c>
      <c r="AV123" s="60">
        <f>IF(C123="","",IFERROR(INDEX('Saisie'!$L$5:$L$2004,_xlfn.MAXIFS('Saisie'!$AS$5:$AS$2004,'Saisie'!$C$5:$C$2004,C123,'Saisie'!$L$5:$L$2004,"&lt;&gt;")-4),""))</f>
        <v/>
      </c>
      <c r="AW123" s="106">
        <f>IF(C123="","",IF(D123&lt;&gt;"Perdu","",IFERROR(1/(1/_xlfn.MAXIFS('Saisie'!$A$5:$A$2004,'Saisie'!$C$5:$C$2004,C123,'Saisie'!$E$5:$E$2004,"Perdu")),"")))</f>
        <v/>
      </c>
      <c r="AX123" s="106">
        <f>IF(C123="","",IF(AW123="","",AW123+'Paramètres'!$B$28))</f>
        <v/>
      </c>
      <c r="AY123" s="60">
        <f>IF(C123="","",SUMIFS('Saisie'!$H$5:$H$2004,'Saisie'!$C$5:$C$2004,C123))</f>
        <v/>
      </c>
      <c r="AZ123" s="60">
        <f>IF(C123="","",IFERROR(INDEX('Paramètres'!$W$6:$W$20,MATCH(S123,'Paramètres'!$V$6:$V$20,0))&amp;"",""))</f>
        <v/>
      </c>
      <c r="BA123" s="60">
        <f>IF(C123="","",MAX(1,_xlfn.MAXIFS('Saisie'!$AT$5:$AT$2004,'Saisie'!$C$5:$C$2004,C123)))</f>
        <v/>
      </c>
      <c r="BB123" s="60">
        <f>IF(C123="","",IFERROR(INDEX('Saisie'!$X$5:$X$2004,_xlfn.MAXIFS('Saisie'!$AS$5:$AS$2004,'Saisie'!$C$5:$C$2004,C123,'Saisie'!$X$5:$X$2004,"&lt;&gt;")-4),""))</f>
        <v/>
      </c>
      <c r="BC123" s="60">
        <f>IF(C123="","",IFERROR(INDEX('Saisie'!$Y$5:$Y$2004,_xlfn.MAXIFS('Saisie'!$AS$5:$AS$2004,'Saisie'!$C$5:$C$2004,C123,'Saisie'!$Y$5:$Y$2004,"&lt;&gt;")-4),""))</f>
        <v/>
      </c>
      <c r="BD123" s="106">
        <f>IF(C123="","",IFERROR(1/(1/_xlfn.MINIFS('Saisie'!$A$5:$A$2004,'Saisie'!$C$5:$C$2004,C123,'Saisie'!$AT$5:$AT$2004,"&gt;=2")),""))</f>
        <v/>
      </c>
      <c r="BE123" s="106">
        <f>IF(C123="","",IFERROR(1/(1/_xlfn.MINIFS('Saisie'!$A$5:$A$2004,'Saisie'!$C$5:$C$2004,C123,'Saisie'!$AT$5:$AT$2004,"&gt;=3")),""))</f>
        <v/>
      </c>
      <c r="BF123" s="106">
        <f>IF(C123="","",IFERROR(1/(1/_xlfn.MINIFS('Saisie'!$A$5:$A$2004,'Saisie'!$C$5:$C$2004,C123,'Saisie'!$AT$5:$AT$2004,"&gt;=4")),""))</f>
        <v/>
      </c>
      <c r="BG123" s="106">
        <f>IF(C123="","",IFERROR(1/(1/_xlfn.MINIFS('Saisie'!$A$5:$A$2004,'Saisie'!$C$5:$C$2004,C123,'Saisie'!$AT$5:$AT$2004,"&gt;=5")),""))</f>
        <v/>
      </c>
      <c r="BH123" s="106">
        <f>IF(C123="","",IFERROR(1/(1/_xlfn.MINIFS('Saisie'!$A$5:$A$2004,'Saisie'!$C$5:$C$2004,C123,'Saisie'!$AT$5:$AT$2004,"&gt;=6")),""))</f>
        <v/>
      </c>
      <c r="BI123" s="106">
        <f>IF(C123="","",IFERROR(1/(1/_xlfn.MINIFS('Saisie'!$A$5:$A$2004,'Saisie'!$C$5:$C$2004,C123,'Saisie'!$AT$5:$AT$2004,"&gt;=7")),""))</f>
        <v/>
      </c>
      <c r="BJ123" s="60">
        <f>IF(OR(BD123="",B123=""),"",BD123-B123)</f>
        <v/>
      </c>
      <c r="BK123" s="60">
        <f>IF(OR(BE123="",BD123=""),"",BE123-BD123)</f>
        <v/>
      </c>
      <c r="BL123" s="60">
        <f>IF(OR(BF123="",BE123=""),"",BF123-BE123)</f>
        <v/>
      </c>
      <c r="BM123" s="60">
        <f>IF(OR(BG123="",BF123=""),"",BG123-BF123)</f>
        <v/>
      </c>
      <c r="BN123" s="60">
        <f>IF(OR(BH123="",BG123=""),"",BH123-BG123)</f>
        <v/>
      </c>
      <c r="BO123" s="60">
        <f>IF(OR(BI123="",BH123=""),"",BI123-BH123)</f>
        <v/>
      </c>
      <c r="BP123" s="60">
        <f>IF(C123="","",_xlfn.MAXIFS('Saisie'!$AS$5:$AS$2004,'Saisie'!$C$5:$C$2004,C123,'Saisie'!$J$5:$J$2004,"&lt;&gt;"))</f>
        <v/>
      </c>
      <c r="BQ123" s="60">
        <f>IF(C123="","",_xlfn.MAXIFS('Saisie'!$AS$5:$AS$2004,'Saisie'!$C$5:$C$2004,C123))</f>
        <v/>
      </c>
      <c r="BR123" s="60">
        <f>IF(C123="","",_xlfn.MAXIFS('Saisie'!$AS$5:$AS$2004,'Saisie'!$C$5:$C$2004,C123,'Saisie'!$E$5:$E$2004,"Perdu"))</f>
        <v/>
      </c>
      <c r="BS123" s="60">
        <f>IF(C123="","",_xlfn.MAXIFS('Saisie'!$AS$5:$AS$2004,'Saisie'!$C$5:$C$2004,C123,'Saisie'!$AT$5:$AT$2004,"&gt;0"))</f>
        <v/>
      </c>
      <c r="BT123" s="109">
        <f>IF(AND(C123&lt;&gt;"",OR(D123="Nouveau",D123="Contacté",D123="Qualifié"),OR(G123="",N(G123)&lt;=TODAY()),NOT(AND(O123&gt;='Paramètres'!$B$21,P123=0))),E123+119/10000,"")</f>
        <v/>
      </c>
      <c r="BU123" s="60">
        <f>IF(AND(G123&lt;&gt;"",N(G123)&lt;=TODAY()),MAX($BU$4:BU122)+1,"")</f>
        <v/>
      </c>
      <c r="BV123" s="60">
        <f>IF(AND(F123&lt;&gt;"",F123&lt;&gt;"Relance en retard"),MAX($BV$4:BV122)+1,"")</f>
        <v/>
      </c>
      <c r="BW123" s="60">
        <f>IF(C123="","",IF(AND(B123&gt;='Tableau de bord'!$R$4,B123&lt;='Tableau de bord'!$S$4,OR('Tableau de bord'!$G$4="Tous",N123='Tableau de bord'!$G$4)),1,0))</f>
        <v/>
      </c>
      <c r="BX123" s="60">
        <f>IF(AND(C123&lt;&gt;"",N(BA123)=7),MAX($BX$4:BX122)+1,"")</f>
        <v/>
      </c>
    </row>
    <row r="124">
      <c r="A124" s="60">
        <f>IF(C124="","","P-"&amp;TEXT(120,"000"))</f>
        <v/>
      </c>
      <c r="B124" s="106">
        <f>IF(C124="","",IFERROR(1/(1/_xlfn.MINIFS('Saisie'!$A$5:$A$2004,'Saisie'!$C$5:$C$2004,C124)),""))</f>
        <v/>
      </c>
      <c r="C124" s="60">
        <f>IFERROR(INDEX('Saisie'!$C$5:$C$2004,MATCH(120,'Saisie'!$AX$5:$AX$2004,0)),"")</f>
        <v/>
      </c>
      <c r="D124" s="60">
        <f>IF(C124="","",IF(AND(BR124&gt;0,BR124&gt;BS124,BA124&lt;7),"Perdu",INDEX('Paramètres'!$F$6:$F$13,BA124)))</f>
        <v/>
      </c>
      <c r="E124" s="61">
        <f>IF(C124="","",MIN(100,(Z124="Oui")*'Paramètres'!$B$38+(AB124="Régulière")*'Paramètres'!$B$39+IF(AND(N(AA124)&gt;0,TODAY()-N(AA124)&lt;=30),'Paramètres'!$B$40,0)+(W124="")*'Paramètres'!$B$41+(AC124="Absente")*'Paramètres'!$B$42+(AC124="Faible")*'Paramètres'!$B$43+IF(AND(N(AD124)&gt;0,N(AD124)&lt;4),'Paramètres'!$B$44,0)+(AF124="Moyenne")*'Paramètres'!$B$45+(AF124="Grande")*'Paramètres'!$B$46+(Y124&lt;&gt;"")*'Paramètres'!$B$47))</f>
        <v/>
      </c>
      <c r="F124" s="60">
        <f>IF(C124="","",IF(D124="Gagné","",IF(D124="Perdu",IF(AND(AX124&lt;&gt;"",AX124&lt;=TODAY()),"À recontacter (perdu)",""),IF(AND(O124&gt;='Paramètres'!$B$21,P124=0),"Stop : "&amp;'Paramètres'!$B$21&amp;" tentatives sans réponse",IF(AND(D124="Proposition",AR124&lt;&gt;"",TODAY()&gt;N(AR124)),"Proposition expirée",IF(AND(D124="Proposition",N(R124)&gt;='Paramètres'!$B$25),"Proposition sans réponse",IF(AND(G124&lt;&gt;"",N(G124)&lt;TODAY()),"Relance en retard",IF(N(R124)&gt;='Paramètres'!$B$24,"Sans action depuis "&amp;R124&amp;" j",""))))))))</f>
        <v/>
      </c>
      <c r="G124" s="106">
        <f>IF(OR(C124="",D124="Gagné",D124="Perdu"),"",IF(AND(BP124&gt;0,BP124=BQ124),INDEX('Saisie'!$J$5:$J$2004,BP124-4),IF(OR(O124=0,AND(O124&gt;='Paramètres'!$B$21,P124=0)),"",Q124+IF(O124&lt;=1,'Paramètres'!$B$18,IF(O124=2,'Paramètres'!$B$19,'Paramètres'!$B$20)))))</f>
        <v/>
      </c>
      <c r="H124" s="107">
        <f>IF(OR(G124="",BP124&lt;&gt;BQ124),"",IF(INDEX('Saisie'!$K$5:$K$2004,BP124-4)="","",INDEX('Saisie'!$K$5:$K$2004,BP124-4)))</f>
        <v/>
      </c>
      <c r="I124" s="60">
        <f>IF(C124="","",IF(OR(D124="Gagné",D124="Perdu"),"",IFERROR(INDEX('Saisie'!$I$5:$I$2004,_xlfn.MAXIFS('Saisie'!$AS$5:$AS$2004,'Saisie'!$C$5:$C$2004,C124,'Saisie'!$I$5:$I$2004,"&lt;&gt;")-4),"")))</f>
        <v/>
      </c>
      <c r="J124" s="60">
        <f>IF(C124="","",IFERROR(INDEX('Saisie'!$U$5:$U$2004,_xlfn.MAXIFS('Saisie'!$AS$5:$AS$2004,'Saisie'!$C$5:$C$2004,C124,'Saisie'!$U$5:$U$2004,"&lt;&gt;")-4),""))</f>
        <v/>
      </c>
      <c r="K124" s="60">
        <f>IF(C124="","",IFERROR(INDEX('Saisie'!$W$5:$W$2004,_xlfn.MAXIFS('Saisie'!$AS$5:$AS$2004,'Saisie'!$C$5:$C$2004,C124,'Saisie'!$W$5:$W$2004,"&lt;&gt;")-4),""))</f>
        <v/>
      </c>
      <c r="L124" s="60">
        <f>IF(IF(BB124&lt;&gt;"",BB124,K124)="","",HYPERLINK("https://wa.me/"&amp;IF(LEFT(SUBSTITUTE(SUBSTITUTE(SUBSTITUTE(IF(BB124&lt;&gt;"",BB124,K124)," ",""),".",""),"+",""),1)="0",'Paramètres'!$B$35&amp;MID(SUBSTITUTE(SUBSTITUTE(SUBSTITUTE(IF(BB124&lt;&gt;"",BB124,K124)," ",""),".",""),"+",""),2,20),SUBSTITUTE(SUBSTITUTE(SUBSTITUTE(IF(BB124&lt;&gt;"",BB124,K124)," ",""),".",""),"+","")),"WhatsApp"))</f>
        <v/>
      </c>
      <c r="M124" s="60">
        <f>IF(BC124="","",HYPERLINK(IF(LEFT(BC124,4)="http",BC124,"https://www.instagram.com/"&amp;SUBSTITUTE(SUBSTITUTE(BC124,"@","")," ","")),BC124))</f>
        <v/>
      </c>
      <c r="N124" s="60">
        <f>IF(C124="","",IFERROR(INDEX('Saisie'!$D$5:$D$2004,_xlfn.MINIFS('Saisie'!$AS$5:$AS$2004,'Saisie'!$C$5:$C$2004,C124,'Saisie'!$AU$5:$AU$2004,1)-4),IFERROR(INDEX('Saisie'!$D$5:$D$2004,_xlfn.MINIFS('Saisie'!$AS$5:$AS$2004,'Saisie'!$C$5:$C$2004,C124,'Saisie'!$D$5:$D$2004,"&lt;&gt;")-4),"")))</f>
        <v/>
      </c>
      <c r="O124" s="60">
        <f>IF(C124="","",COUNTIFS('Saisie'!$C$5:$C$2004,C124,'Saisie'!$AU$5:$AU$2004,1))</f>
        <v/>
      </c>
      <c r="P124" s="60">
        <f>IF(C124="","",COUNTIFS('Saisie'!$C$5:$C$2004,C124,'Saisie'!$AV$5:$AV$2004,1))</f>
        <v/>
      </c>
      <c r="Q124" s="106">
        <f>IF(C124="","",IFERROR(1/(1/_xlfn.MAXIFS('Saisie'!$A$5:$A$2004,'Saisie'!$C$5:$C$2004,C124)),""))</f>
        <v/>
      </c>
      <c r="R124" s="61">
        <f>IF(C124="","",IF(Q124="","",TODAY()-Q124))</f>
        <v/>
      </c>
      <c r="S124" s="60">
        <f>IF(C124="","",IFERROR(INDEX('Saisie'!$R$5:$R$2004,_xlfn.MAXIFS('Saisie'!$AS$5:$AS$2004,'Saisie'!$C$5:$C$2004,C124,'Saisie'!$R$5:$R$2004,"&lt;&gt;")-4),""))</f>
        <v/>
      </c>
      <c r="T124" s="60">
        <f>IF(C124="","",IFERROR(INDEX('Saisie'!$S$5:$S$2004,_xlfn.MAXIFS('Saisie'!$AS$5:$AS$2004,'Saisie'!$C$5:$C$2004,C124,'Saisie'!$S$5:$S$2004,"&lt;&gt;")-4),""))</f>
        <v/>
      </c>
      <c r="U124" s="60">
        <f>IF(C124="","",IFERROR(INDEX('Saisie'!$T$5:$T$2004,_xlfn.MAXIFS('Saisie'!$AS$5:$AS$2004,'Saisie'!$C$5:$C$2004,C124,'Saisie'!$T$5:$T$2004,"&lt;&gt;")-4),""))</f>
        <v/>
      </c>
      <c r="V124" s="60">
        <f>IF(C124="","",IFERROR(INDEX('Saisie'!$V$5:$V$2004,_xlfn.MAXIFS('Saisie'!$AS$5:$AS$2004,'Saisie'!$C$5:$C$2004,C124,'Saisie'!$V$5:$V$2004,"&lt;&gt;")-4),""))</f>
        <v/>
      </c>
      <c r="W124" s="60">
        <f>IF(C124="","",IFERROR(INDEX('Saisie'!$Z$5:$Z$2004,_xlfn.MAXIFS('Saisie'!$AS$5:$AS$2004,'Saisie'!$C$5:$C$2004,C124,'Saisie'!$Z$5:$Z$2004,"&lt;&gt;")-4),""))</f>
        <v/>
      </c>
      <c r="X124" s="60">
        <f>IF(C124="","",IFERROR(INDEX('Saisie'!$AA$5:$AA$2004,_xlfn.MAXIFS('Saisie'!$AS$5:$AS$2004,'Saisie'!$C$5:$C$2004,C124,'Saisie'!$AA$5:$AA$2004,"&lt;&gt;")-4),""))</f>
        <v/>
      </c>
      <c r="Y124" s="60">
        <f>IF(C124="","",IFERROR(INDEX('Saisie'!$AB$5:$AB$2004,_xlfn.MAXIFS('Saisie'!$AS$5:$AS$2004,'Saisie'!$C$5:$C$2004,C124,'Saisie'!$AB$5:$AB$2004,"&lt;&gt;")-4),""))</f>
        <v/>
      </c>
      <c r="Z124" s="60">
        <f>IF(C124="","",IFERROR(INDEX('Saisie'!$AC$5:$AC$2004,_xlfn.MAXIFS('Saisie'!$AS$5:$AS$2004,'Saisie'!$C$5:$C$2004,C124,'Saisie'!$AC$5:$AC$2004,"&lt;&gt;")-4),""))</f>
        <v/>
      </c>
      <c r="AA124" s="106">
        <f>IF(C124="","",IFERROR(INDEX('Saisie'!$AD$5:$AD$2004,_xlfn.MAXIFS('Saisie'!$AS$5:$AS$2004,'Saisie'!$C$5:$C$2004,C124,'Saisie'!$AD$5:$AD$2004,"&lt;&gt;")-4),""))</f>
        <v/>
      </c>
      <c r="AB124" s="60">
        <f>IF(C124="","",IFERROR(INDEX('Saisie'!$AE$5:$AE$2004,_xlfn.MAXIFS('Saisie'!$AS$5:$AS$2004,'Saisie'!$C$5:$C$2004,C124,'Saisie'!$AE$5:$AE$2004,"&lt;&gt;")-4),""))</f>
        <v/>
      </c>
      <c r="AC124" s="60">
        <f>IF(C124="","",IFERROR(INDEX('Saisie'!$AF$5:$AF$2004,_xlfn.MAXIFS('Saisie'!$AS$5:$AS$2004,'Saisie'!$C$5:$C$2004,C124,'Saisie'!$AF$5:$AF$2004,"&lt;&gt;")-4),""))</f>
        <v/>
      </c>
      <c r="AD124" s="108">
        <f>IF(C124="","",IFERROR(INDEX('Saisie'!$AG$5:$AG$2004,_xlfn.MAXIFS('Saisie'!$AS$5:$AS$2004,'Saisie'!$C$5:$C$2004,C124,'Saisie'!$AG$5:$AG$2004,"&lt;&gt;")-4),""))</f>
        <v/>
      </c>
      <c r="AE124" s="60">
        <f>IF(C124="","",IFERROR(INDEX('Saisie'!$AH$5:$AH$2004,_xlfn.MAXIFS('Saisie'!$AS$5:$AS$2004,'Saisie'!$C$5:$C$2004,C124,'Saisie'!$AH$5:$AH$2004,"&lt;&gt;")-4),""))</f>
        <v/>
      </c>
      <c r="AF124" s="60">
        <f>IF(C124="","",IFERROR(INDEX('Saisie'!$AI$5:$AI$2004,_xlfn.MAXIFS('Saisie'!$AS$5:$AS$2004,'Saisie'!$C$5:$C$2004,C124,'Saisie'!$AI$5:$AI$2004,"&lt;&gt;")-4),""))</f>
        <v/>
      </c>
      <c r="AG124" s="60">
        <f>IF(C124="","",IFERROR(INDEX('Saisie'!$AJ$5:$AJ$2004,_xlfn.MAXIFS('Saisie'!$AS$5:$AS$2004,'Saisie'!$C$5:$C$2004,C124,'Saisie'!$AJ$5:$AJ$2004,"&lt;&gt;")-4),""))</f>
        <v/>
      </c>
      <c r="AH124" s="60">
        <f>IF(C124="","",IFERROR(INDEX('Saisie'!$AK$5:$AK$2004,_xlfn.MAXIFS('Saisie'!$AS$5:$AS$2004,'Saisie'!$C$5:$C$2004,C124,'Saisie'!$AK$5:$AK$2004,"&lt;&gt;")-4),""))</f>
        <v/>
      </c>
      <c r="AI124" s="60">
        <f>IF(C124="","",IFERROR(INDEX('Saisie'!$AN$5:$AN$2004,_xlfn.MAXIFS('Saisie'!$AS$5:$AS$2004,'Saisie'!$C$5:$C$2004,C124,'Saisie'!$AN$5:$AN$2004,"&lt;&gt;")-4),""))</f>
        <v/>
      </c>
      <c r="AJ124" s="60">
        <f>IF(C124="","",IFERROR(INDEX('Saisie'!$AO$5:$AO$2004,_xlfn.MAXIFS('Saisie'!$AS$5:$AS$2004,'Saisie'!$C$5:$C$2004,C124,'Saisie'!$AO$5:$AO$2004,"&lt;&gt;")-4),""))</f>
        <v/>
      </c>
      <c r="AK124" s="60">
        <f>IF(C124="","",IFERROR(INDEX('Saisie'!$AP$5:$AP$2004,_xlfn.MAXIFS('Saisie'!$AS$5:$AS$2004,'Saisie'!$C$5:$C$2004,C124,'Saisie'!$AP$5:$AP$2004,"&lt;&gt;")-4),""))</f>
        <v/>
      </c>
      <c r="AL124" s="60">
        <f>IF(C124="","",IFERROR(INDEX('Saisie'!$AQ$5:$AQ$2004,_xlfn.MAXIFS('Saisie'!$AS$5:$AS$2004,'Saisie'!$C$5:$C$2004,C124,'Saisie'!$AQ$5:$AQ$2004,"&lt;&gt;")-4),""))</f>
        <v/>
      </c>
      <c r="AM124" s="60">
        <f>IF(C124="","",((AI124="Oui")+(AJ124="Oui")+(AK124="Oui")+OR(AL124="Immédiat",AL124="&lt; 1 mois"))&amp;"/4")</f>
        <v/>
      </c>
      <c r="AN124" s="60">
        <f>IF(C124="","",IFERROR(INDEX('Saisie'!$AL$5:$AL$2004,_xlfn.MAXIFS('Saisie'!$AS$5:$AS$2004,'Saisie'!$C$5:$C$2004,C124,'Saisie'!$AL$5:$AL$2004,"&lt;&gt;")-4),""))</f>
        <v/>
      </c>
      <c r="AO124" s="62">
        <f>IF(C124="","",IF(IFERROR(INDEX('Saisie'!$AM$5:$AM$2004,_xlfn.MAXIFS('Saisie'!$AS$5:$AS$2004,'Saisie'!$C$5:$C$2004,C124,'Saisie'!$AM$5:$AM$2004,"&lt;&gt;")-4),"")&lt;&gt;"",IFERROR(INDEX('Saisie'!$AM$5:$AM$2004,_xlfn.MAXIFS('Saisie'!$AS$5:$AS$2004,'Saisie'!$C$5:$C$2004,C124,'Saisie'!$AM$5:$AM$2004,"&lt;&gt;")-4),""),IFERROR(INDEX('Paramètres'!$S$6:$S$15,MATCH(AN124,'Paramètres'!$Q$6:$Q$15,0)),"")))</f>
        <v/>
      </c>
      <c r="AP124" s="62">
        <f>IF(C124="","",IFERROR(INDEX('Saisie'!$AW$5:$AW$2004,_xlfn.MAXIFS('Saisie'!$AS$5:$AS$2004,'Saisie'!$C$5:$C$2004,C124,'Saisie'!$E$5:$E$2004,"Proposition envoyée")-4),""))</f>
        <v/>
      </c>
      <c r="AQ124" s="106">
        <f>IF(C124="","",IFERROR(1/(1/_xlfn.MAXIFS('Saisie'!$A$5:$A$2004,'Saisie'!$C$5:$C$2004,C124,'Saisie'!$E$5:$E$2004,"Proposition envoyée")),""))</f>
        <v/>
      </c>
      <c r="AR124" s="106">
        <f>IF(C124="","",IF(AQ124="","",AQ124+'Paramètres'!$B$26))</f>
        <v/>
      </c>
      <c r="AS124" s="62">
        <f>IF(OR(C124="",D124="Gagné",D124="Perdu"),0,N(AP124)*IFERROR(INDEX('Paramètres'!$G$6:$G$13,MATCH(D124,'Paramètres'!$F$6:$F$13,0)),0))</f>
        <v/>
      </c>
      <c r="AT124" s="106">
        <f>IF(C124="","",IFERROR(1/(1/_xlfn.MINIFS('Saisie'!$A$5:$A$2004,'Saisie'!$C$5:$C$2004,C124,'Saisie'!$E$5:$E$2004,"Signature")),""))</f>
        <v/>
      </c>
      <c r="AU124" s="60">
        <f>IF(C124="","",IF(OR(AT124="",B124=""),"",AT124-B124))</f>
        <v/>
      </c>
      <c r="AV124" s="60">
        <f>IF(C124="","",IFERROR(INDEX('Saisie'!$L$5:$L$2004,_xlfn.MAXIFS('Saisie'!$AS$5:$AS$2004,'Saisie'!$C$5:$C$2004,C124,'Saisie'!$L$5:$L$2004,"&lt;&gt;")-4),""))</f>
        <v/>
      </c>
      <c r="AW124" s="106">
        <f>IF(C124="","",IF(D124&lt;&gt;"Perdu","",IFERROR(1/(1/_xlfn.MAXIFS('Saisie'!$A$5:$A$2004,'Saisie'!$C$5:$C$2004,C124,'Saisie'!$E$5:$E$2004,"Perdu")),"")))</f>
        <v/>
      </c>
      <c r="AX124" s="106">
        <f>IF(C124="","",IF(AW124="","",AW124+'Paramètres'!$B$28))</f>
        <v/>
      </c>
      <c r="AY124" s="60">
        <f>IF(C124="","",SUMIFS('Saisie'!$H$5:$H$2004,'Saisie'!$C$5:$C$2004,C124))</f>
        <v/>
      </c>
      <c r="AZ124" s="60">
        <f>IF(C124="","",IFERROR(INDEX('Paramètres'!$W$6:$W$20,MATCH(S124,'Paramètres'!$V$6:$V$20,0))&amp;"",""))</f>
        <v/>
      </c>
      <c r="BA124" s="60">
        <f>IF(C124="","",MAX(1,_xlfn.MAXIFS('Saisie'!$AT$5:$AT$2004,'Saisie'!$C$5:$C$2004,C124)))</f>
        <v/>
      </c>
      <c r="BB124" s="60">
        <f>IF(C124="","",IFERROR(INDEX('Saisie'!$X$5:$X$2004,_xlfn.MAXIFS('Saisie'!$AS$5:$AS$2004,'Saisie'!$C$5:$C$2004,C124,'Saisie'!$X$5:$X$2004,"&lt;&gt;")-4),""))</f>
        <v/>
      </c>
      <c r="BC124" s="60">
        <f>IF(C124="","",IFERROR(INDEX('Saisie'!$Y$5:$Y$2004,_xlfn.MAXIFS('Saisie'!$AS$5:$AS$2004,'Saisie'!$C$5:$C$2004,C124,'Saisie'!$Y$5:$Y$2004,"&lt;&gt;")-4),""))</f>
        <v/>
      </c>
      <c r="BD124" s="106">
        <f>IF(C124="","",IFERROR(1/(1/_xlfn.MINIFS('Saisie'!$A$5:$A$2004,'Saisie'!$C$5:$C$2004,C124,'Saisie'!$AT$5:$AT$2004,"&gt;=2")),""))</f>
        <v/>
      </c>
      <c r="BE124" s="106">
        <f>IF(C124="","",IFERROR(1/(1/_xlfn.MINIFS('Saisie'!$A$5:$A$2004,'Saisie'!$C$5:$C$2004,C124,'Saisie'!$AT$5:$AT$2004,"&gt;=3")),""))</f>
        <v/>
      </c>
      <c r="BF124" s="106">
        <f>IF(C124="","",IFERROR(1/(1/_xlfn.MINIFS('Saisie'!$A$5:$A$2004,'Saisie'!$C$5:$C$2004,C124,'Saisie'!$AT$5:$AT$2004,"&gt;=4")),""))</f>
        <v/>
      </c>
      <c r="BG124" s="106">
        <f>IF(C124="","",IFERROR(1/(1/_xlfn.MINIFS('Saisie'!$A$5:$A$2004,'Saisie'!$C$5:$C$2004,C124,'Saisie'!$AT$5:$AT$2004,"&gt;=5")),""))</f>
        <v/>
      </c>
      <c r="BH124" s="106">
        <f>IF(C124="","",IFERROR(1/(1/_xlfn.MINIFS('Saisie'!$A$5:$A$2004,'Saisie'!$C$5:$C$2004,C124,'Saisie'!$AT$5:$AT$2004,"&gt;=6")),""))</f>
        <v/>
      </c>
      <c r="BI124" s="106">
        <f>IF(C124="","",IFERROR(1/(1/_xlfn.MINIFS('Saisie'!$A$5:$A$2004,'Saisie'!$C$5:$C$2004,C124,'Saisie'!$AT$5:$AT$2004,"&gt;=7")),""))</f>
        <v/>
      </c>
      <c r="BJ124" s="60">
        <f>IF(OR(BD124="",B124=""),"",BD124-B124)</f>
        <v/>
      </c>
      <c r="BK124" s="60">
        <f>IF(OR(BE124="",BD124=""),"",BE124-BD124)</f>
        <v/>
      </c>
      <c r="BL124" s="60">
        <f>IF(OR(BF124="",BE124=""),"",BF124-BE124)</f>
        <v/>
      </c>
      <c r="BM124" s="60">
        <f>IF(OR(BG124="",BF124=""),"",BG124-BF124)</f>
        <v/>
      </c>
      <c r="BN124" s="60">
        <f>IF(OR(BH124="",BG124=""),"",BH124-BG124)</f>
        <v/>
      </c>
      <c r="BO124" s="60">
        <f>IF(OR(BI124="",BH124=""),"",BI124-BH124)</f>
        <v/>
      </c>
      <c r="BP124" s="60">
        <f>IF(C124="","",_xlfn.MAXIFS('Saisie'!$AS$5:$AS$2004,'Saisie'!$C$5:$C$2004,C124,'Saisie'!$J$5:$J$2004,"&lt;&gt;"))</f>
        <v/>
      </c>
      <c r="BQ124" s="60">
        <f>IF(C124="","",_xlfn.MAXIFS('Saisie'!$AS$5:$AS$2004,'Saisie'!$C$5:$C$2004,C124))</f>
        <v/>
      </c>
      <c r="BR124" s="60">
        <f>IF(C124="","",_xlfn.MAXIFS('Saisie'!$AS$5:$AS$2004,'Saisie'!$C$5:$C$2004,C124,'Saisie'!$E$5:$E$2004,"Perdu"))</f>
        <v/>
      </c>
      <c r="BS124" s="60">
        <f>IF(C124="","",_xlfn.MAXIFS('Saisie'!$AS$5:$AS$2004,'Saisie'!$C$5:$C$2004,C124,'Saisie'!$AT$5:$AT$2004,"&gt;0"))</f>
        <v/>
      </c>
      <c r="BT124" s="109">
        <f>IF(AND(C124&lt;&gt;"",OR(D124="Nouveau",D124="Contacté",D124="Qualifié"),OR(G124="",N(G124)&lt;=TODAY()),NOT(AND(O124&gt;='Paramètres'!$B$21,P124=0))),E124+120/10000,"")</f>
        <v/>
      </c>
      <c r="BU124" s="60">
        <f>IF(AND(G124&lt;&gt;"",N(G124)&lt;=TODAY()),MAX($BU$4:BU123)+1,"")</f>
        <v/>
      </c>
      <c r="BV124" s="60">
        <f>IF(AND(F124&lt;&gt;"",F124&lt;&gt;"Relance en retard"),MAX($BV$4:BV123)+1,"")</f>
        <v/>
      </c>
      <c r="BW124" s="60">
        <f>IF(C124="","",IF(AND(B124&gt;='Tableau de bord'!$R$4,B124&lt;='Tableau de bord'!$S$4,OR('Tableau de bord'!$G$4="Tous",N124='Tableau de bord'!$G$4)),1,0))</f>
        <v/>
      </c>
      <c r="BX124" s="60">
        <f>IF(AND(C124&lt;&gt;"",N(BA124)=7),MAX($BX$4:BX123)+1,"")</f>
        <v/>
      </c>
    </row>
    <row r="125">
      <c r="A125" s="60">
        <f>IF(C125="","","P-"&amp;TEXT(121,"000"))</f>
        <v/>
      </c>
      <c r="B125" s="106">
        <f>IF(C125="","",IFERROR(1/(1/_xlfn.MINIFS('Saisie'!$A$5:$A$2004,'Saisie'!$C$5:$C$2004,C125)),""))</f>
        <v/>
      </c>
      <c r="C125" s="60">
        <f>IFERROR(INDEX('Saisie'!$C$5:$C$2004,MATCH(121,'Saisie'!$AX$5:$AX$2004,0)),"")</f>
        <v/>
      </c>
      <c r="D125" s="60">
        <f>IF(C125="","",IF(AND(BR125&gt;0,BR125&gt;BS125,BA125&lt;7),"Perdu",INDEX('Paramètres'!$F$6:$F$13,BA125)))</f>
        <v/>
      </c>
      <c r="E125" s="61">
        <f>IF(C125="","",MIN(100,(Z125="Oui")*'Paramètres'!$B$38+(AB125="Régulière")*'Paramètres'!$B$39+IF(AND(N(AA125)&gt;0,TODAY()-N(AA125)&lt;=30),'Paramètres'!$B$40,0)+(W125="")*'Paramètres'!$B$41+(AC125="Absente")*'Paramètres'!$B$42+(AC125="Faible")*'Paramètres'!$B$43+IF(AND(N(AD125)&gt;0,N(AD125)&lt;4),'Paramètres'!$B$44,0)+(AF125="Moyenne")*'Paramètres'!$B$45+(AF125="Grande")*'Paramètres'!$B$46+(Y125&lt;&gt;"")*'Paramètres'!$B$47))</f>
        <v/>
      </c>
      <c r="F125" s="60">
        <f>IF(C125="","",IF(D125="Gagné","",IF(D125="Perdu",IF(AND(AX125&lt;&gt;"",AX125&lt;=TODAY()),"À recontacter (perdu)",""),IF(AND(O125&gt;='Paramètres'!$B$21,P125=0),"Stop : "&amp;'Paramètres'!$B$21&amp;" tentatives sans réponse",IF(AND(D125="Proposition",AR125&lt;&gt;"",TODAY()&gt;N(AR125)),"Proposition expirée",IF(AND(D125="Proposition",N(R125)&gt;='Paramètres'!$B$25),"Proposition sans réponse",IF(AND(G125&lt;&gt;"",N(G125)&lt;TODAY()),"Relance en retard",IF(N(R125)&gt;='Paramètres'!$B$24,"Sans action depuis "&amp;R125&amp;" j",""))))))))</f>
        <v/>
      </c>
      <c r="G125" s="106">
        <f>IF(OR(C125="",D125="Gagné",D125="Perdu"),"",IF(AND(BP125&gt;0,BP125=BQ125),INDEX('Saisie'!$J$5:$J$2004,BP125-4),IF(OR(O125=0,AND(O125&gt;='Paramètres'!$B$21,P125=0)),"",Q125+IF(O125&lt;=1,'Paramètres'!$B$18,IF(O125=2,'Paramètres'!$B$19,'Paramètres'!$B$20)))))</f>
        <v/>
      </c>
      <c r="H125" s="107">
        <f>IF(OR(G125="",BP125&lt;&gt;BQ125),"",IF(INDEX('Saisie'!$K$5:$K$2004,BP125-4)="","",INDEX('Saisie'!$K$5:$K$2004,BP125-4)))</f>
        <v/>
      </c>
      <c r="I125" s="60">
        <f>IF(C125="","",IF(OR(D125="Gagné",D125="Perdu"),"",IFERROR(INDEX('Saisie'!$I$5:$I$2004,_xlfn.MAXIFS('Saisie'!$AS$5:$AS$2004,'Saisie'!$C$5:$C$2004,C125,'Saisie'!$I$5:$I$2004,"&lt;&gt;")-4),"")))</f>
        <v/>
      </c>
      <c r="J125" s="60">
        <f>IF(C125="","",IFERROR(INDEX('Saisie'!$U$5:$U$2004,_xlfn.MAXIFS('Saisie'!$AS$5:$AS$2004,'Saisie'!$C$5:$C$2004,C125,'Saisie'!$U$5:$U$2004,"&lt;&gt;")-4),""))</f>
        <v/>
      </c>
      <c r="K125" s="60">
        <f>IF(C125="","",IFERROR(INDEX('Saisie'!$W$5:$W$2004,_xlfn.MAXIFS('Saisie'!$AS$5:$AS$2004,'Saisie'!$C$5:$C$2004,C125,'Saisie'!$W$5:$W$2004,"&lt;&gt;")-4),""))</f>
        <v/>
      </c>
      <c r="L125" s="60">
        <f>IF(IF(BB125&lt;&gt;"",BB125,K125)="","",HYPERLINK("https://wa.me/"&amp;IF(LEFT(SUBSTITUTE(SUBSTITUTE(SUBSTITUTE(IF(BB125&lt;&gt;"",BB125,K125)," ",""),".",""),"+",""),1)="0",'Paramètres'!$B$35&amp;MID(SUBSTITUTE(SUBSTITUTE(SUBSTITUTE(IF(BB125&lt;&gt;"",BB125,K125)," ",""),".",""),"+",""),2,20),SUBSTITUTE(SUBSTITUTE(SUBSTITUTE(IF(BB125&lt;&gt;"",BB125,K125)," ",""),".",""),"+","")),"WhatsApp"))</f>
        <v/>
      </c>
      <c r="M125" s="60">
        <f>IF(BC125="","",HYPERLINK(IF(LEFT(BC125,4)="http",BC125,"https://www.instagram.com/"&amp;SUBSTITUTE(SUBSTITUTE(BC125,"@","")," ","")),BC125))</f>
        <v/>
      </c>
      <c r="N125" s="60">
        <f>IF(C125="","",IFERROR(INDEX('Saisie'!$D$5:$D$2004,_xlfn.MINIFS('Saisie'!$AS$5:$AS$2004,'Saisie'!$C$5:$C$2004,C125,'Saisie'!$AU$5:$AU$2004,1)-4),IFERROR(INDEX('Saisie'!$D$5:$D$2004,_xlfn.MINIFS('Saisie'!$AS$5:$AS$2004,'Saisie'!$C$5:$C$2004,C125,'Saisie'!$D$5:$D$2004,"&lt;&gt;")-4),"")))</f>
        <v/>
      </c>
      <c r="O125" s="60">
        <f>IF(C125="","",COUNTIFS('Saisie'!$C$5:$C$2004,C125,'Saisie'!$AU$5:$AU$2004,1))</f>
        <v/>
      </c>
      <c r="P125" s="60">
        <f>IF(C125="","",COUNTIFS('Saisie'!$C$5:$C$2004,C125,'Saisie'!$AV$5:$AV$2004,1))</f>
        <v/>
      </c>
      <c r="Q125" s="106">
        <f>IF(C125="","",IFERROR(1/(1/_xlfn.MAXIFS('Saisie'!$A$5:$A$2004,'Saisie'!$C$5:$C$2004,C125)),""))</f>
        <v/>
      </c>
      <c r="R125" s="61">
        <f>IF(C125="","",IF(Q125="","",TODAY()-Q125))</f>
        <v/>
      </c>
      <c r="S125" s="60">
        <f>IF(C125="","",IFERROR(INDEX('Saisie'!$R$5:$R$2004,_xlfn.MAXIFS('Saisie'!$AS$5:$AS$2004,'Saisie'!$C$5:$C$2004,C125,'Saisie'!$R$5:$R$2004,"&lt;&gt;")-4),""))</f>
        <v/>
      </c>
      <c r="T125" s="60">
        <f>IF(C125="","",IFERROR(INDEX('Saisie'!$S$5:$S$2004,_xlfn.MAXIFS('Saisie'!$AS$5:$AS$2004,'Saisie'!$C$5:$C$2004,C125,'Saisie'!$S$5:$S$2004,"&lt;&gt;")-4),""))</f>
        <v/>
      </c>
      <c r="U125" s="60">
        <f>IF(C125="","",IFERROR(INDEX('Saisie'!$T$5:$T$2004,_xlfn.MAXIFS('Saisie'!$AS$5:$AS$2004,'Saisie'!$C$5:$C$2004,C125,'Saisie'!$T$5:$T$2004,"&lt;&gt;")-4),""))</f>
        <v/>
      </c>
      <c r="V125" s="60">
        <f>IF(C125="","",IFERROR(INDEX('Saisie'!$V$5:$V$2004,_xlfn.MAXIFS('Saisie'!$AS$5:$AS$2004,'Saisie'!$C$5:$C$2004,C125,'Saisie'!$V$5:$V$2004,"&lt;&gt;")-4),""))</f>
        <v/>
      </c>
      <c r="W125" s="60">
        <f>IF(C125="","",IFERROR(INDEX('Saisie'!$Z$5:$Z$2004,_xlfn.MAXIFS('Saisie'!$AS$5:$AS$2004,'Saisie'!$C$5:$C$2004,C125,'Saisie'!$Z$5:$Z$2004,"&lt;&gt;")-4),""))</f>
        <v/>
      </c>
      <c r="X125" s="60">
        <f>IF(C125="","",IFERROR(INDEX('Saisie'!$AA$5:$AA$2004,_xlfn.MAXIFS('Saisie'!$AS$5:$AS$2004,'Saisie'!$C$5:$C$2004,C125,'Saisie'!$AA$5:$AA$2004,"&lt;&gt;")-4),""))</f>
        <v/>
      </c>
      <c r="Y125" s="60">
        <f>IF(C125="","",IFERROR(INDEX('Saisie'!$AB$5:$AB$2004,_xlfn.MAXIFS('Saisie'!$AS$5:$AS$2004,'Saisie'!$C$5:$C$2004,C125,'Saisie'!$AB$5:$AB$2004,"&lt;&gt;")-4),""))</f>
        <v/>
      </c>
      <c r="Z125" s="60">
        <f>IF(C125="","",IFERROR(INDEX('Saisie'!$AC$5:$AC$2004,_xlfn.MAXIFS('Saisie'!$AS$5:$AS$2004,'Saisie'!$C$5:$C$2004,C125,'Saisie'!$AC$5:$AC$2004,"&lt;&gt;")-4),""))</f>
        <v/>
      </c>
      <c r="AA125" s="106">
        <f>IF(C125="","",IFERROR(INDEX('Saisie'!$AD$5:$AD$2004,_xlfn.MAXIFS('Saisie'!$AS$5:$AS$2004,'Saisie'!$C$5:$C$2004,C125,'Saisie'!$AD$5:$AD$2004,"&lt;&gt;")-4),""))</f>
        <v/>
      </c>
      <c r="AB125" s="60">
        <f>IF(C125="","",IFERROR(INDEX('Saisie'!$AE$5:$AE$2004,_xlfn.MAXIFS('Saisie'!$AS$5:$AS$2004,'Saisie'!$C$5:$C$2004,C125,'Saisie'!$AE$5:$AE$2004,"&lt;&gt;")-4),""))</f>
        <v/>
      </c>
      <c r="AC125" s="60">
        <f>IF(C125="","",IFERROR(INDEX('Saisie'!$AF$5:$AF$2004,_xlfn.MAXIFS('Saisie'!$AS$5:$AS$2004,'Saisie'!$C$5:$C$2004,C125,'Saisie'!$AF$5:$AF$2004,"&lt;&gt;")-4),""))</f>
        <v/>
      </c>
      <c r="AD125" s="108">
        <f>IF(C125="","",IFERROR(INDEX('Saisie'!$AG$5:$AG$2004,_xlfn.MAXIFS('Saisie'!$AS$5:$AS$2004,'Saisie'!$C$5:$C$2004,C125,'Saisie'!$AG$5:$AG$2004,"&lt;&gt;")-4),""))</f>
        <v/>
      </c>
      <c r="AE125" s="60">
        <f>IF(C125="","",IFERROR(INDEX('Saisie'!$AH$5:$AH$2004,_xlfn.MAXIFS('Saisie'!$AS$5:$AS$2004,'Saisie'!$C$5:$C$2004,C125,'Saisie'!$AH$5:$AH$2004,"&lt;&gt;")-4),""))</f>
        <v/>
      </c>
      <c r="AF125" s="60">
        <f>IF(C125="","",IFERROR(INDEX('Saisie'!$AI$5:$AI$2004,_xlfn.MAXIFS('Saisie'!$AS$5:$AS$2004,'Saisie'!$C$5:$C$2004,C125,'Saisie'!$AI$5:$AI$2004,"&lt;&gt;")-4),""))</f>
        <v/>
      </c>
      <c r="AG125" s="60">
        <f>IF(C125="","",IFERROR(INDEX('Saisie'!$AJ$5:$AJ$2004,_xlfn.MAXIFS('Saisie'!$AS$5:$AS$2004,'Saisie'!$C$5:$C$2004,C125,'Saisie'!$AJ$5:$AJ$2004,"&lt;&gt;")-4),""))</f>
        <v/>
      </c>
      <c r="AH125" s="60">
        <f>IF(C125="","",IFERROR(INDEX('Saisie'!$AK$5:$AK$2004,_xlfn.MAXIFS('Saisie'!$AS$5:$AS$2004,'Saisie'!$C$5:$C$2004,C125,'Saisie'!$AK$5:$AK$2004,"&lt;&gt;")-4),""))</f>
        <v/>
      </c>
      <c r="AI125" s="60">
        <f>IF(C125="","",IFERROR(INDEX('Saisie'!$AN$5:$AN$2004,_xlfn.MAXIFS('Saisie'!$AS$5:$AS$2004,'Saisie'!$C$5:$C$2004,C125,'Saisie'!$AN$5:$AN$2004,"&lt;&gt;")-4),""))</f>
        <v/>
      </c>
      <c r="AJ125" s="60">
        <f>IF(C125="","",IFERROR(INDEX('Saisie'!$AO$5:$AO$2004,_xlfn.MAXIFS('Saisie'!$AS$5:$AS$2004,'Saisie'!$C$5:$C$2004,C125,'Saisie'!$AO$5:$AO$2004,"&lt;&gt;")-4),""))</f>
        <v/>
      </c>
      <c r="AK125" s="60">
        <f>IF(C125="","",IFERROR(INDEX('Saisie'!$AP$5:$AP$2004,_xlfn.MAXIFS('Saisie'!$AS$5:$AS$2004,'Saisie'!$C$5:$C$2004,C125,'Saisie'!$AP$5:$AP$2004,"&lt;&gt;")-4),""))</f>
        <v/>
      </c>
      <c r="AL125" s="60">
        <f>IF(C125="","",IFERROR(INDEX('Saisie'!$AQ$5:$AQ$2004,_xlfn.MAXIFS('Saisie'!$AS$5:$AS$2004,'Saisie'!$C$5:$C$2004,C125,'Saisie'!$AQ$5:$AQ$2004,"&lt;&gt;")-4),""))</f>
        <v/>
      </c>
      <c r="AM125" s="60">
        <f>IF(C125="","",((AI125="Oui")+(AJ125="Oui")+(AK125="Oui")+OR(AL125="Immédiat",AL125="&lt; 1 mois"))&amp;"/4")</f>
        <v/>
      </c>
      <c r="AN125" s="60">
        <f>IF(C125="","",IFERROR(INDEX('Saisie'!$AL$5:$AL$2004,_xlfn.MAXIFS('Saisie'!$AS$5:$AS$2004,'Saisie'!$C$5:$C$2004,C125,'Saisie'!$AL$5:$AL$2004,"&lt;&gt;")-4),""))</f>
        <v/>
      </c>
      <c r="AO125" s="62">
        <f>IF(C125="","",IF(IFERROR(INDEX('Saisie'!$AM$5:$AM$2004,_xlfn.MAXIFS('Saisie'!$AS$5:$AS$2004,'Saisie'!$C$5:$C$2004,C125,'Saisie'!$AM$5:$AM$2004,"&lt;&gt;")-4),"")&lt;&gt;"",IFERROR(INDEX('Saisie'!$AM$5:$AM$2004,_xlfn.MAXIFS('Saisie'!$AS$5:$AS$2004,'Saisie'!$C$5:$C$2004,C125,'Saisie'!$AM$5:$AM$2004,"&lt;&gt;")-4),""),IFERROR(INDEX('Paramètres'!$S$6:$S$15,MATCH(AN125,'Paramètres'!$Q$6:$Q$15,0)),"")))</f>
        <v/>
      </c>
      <c r="AP125" s="62">
        <f>IF(C125="","",IFERROR(INDEX('Saisie'!$AW$5:$AW$2004,_xlfn.MAXIFS('Saisie'!$AS$5:$AS$2004,'Saisie'!$C$5:$C$2004,C125,'Saisie'!$E$5:$E$2004,"Proposition envoyée")-4),""))</f>
        <v/>
      </c>
      <c r="AQ125" s="106">
        <f>IF(C125="","",IFERROR(1/(1/_xlfn.MAXIFS('Saisie'!$A$5:$A$2004,'Saisie'!$C$5:$C$2004,C125,'Saisie'!$E$5:$E$2004,"Proposition envoyée")),""))</f>
        <v/>
      </c>
      <c r="AR125" s="106">
        <f>IF(C125="","",IF(AQ125="","",AQ125+'Paramètres'!$B$26))</f>
        <v/>
      </c>
      <c r="AS125" s="62">
        <f>IF(OR(C125="",D125="Gagné",D125="Perdu"),0,N(AP125)*IFERROR(INDEX('Paramètres'!$G$6:$G$13,MATCH(D125,'Paramètres'!$F$6:$F$13,0)),0))</f>
        <v/>
      </c>
      <c r="AT125" s="106">
        <f>IF(C125="","",IFERROR(1/(1/_xlfn.MINIFS('Saisie'!$A$5:$A$2004,'Saisie'!$C$5:$C$2004,C125,'Saisie'!$E$5:$E$2004,"Signature")),""))</f>
        <v/>
      </c>
      <c r="AU125" s="60">
        <f>IF(C125="","",IF(OR(AT125="",B125=""),"",AT125-B125))</f>
        <v/>
      </c>
      <c r="AV125" s="60">
        <f>IF(C125="","",IFERROR(INDEX('Saisie'!$L$5:$L$2004,_xlfn.MAXIFS('Saisie'!$AS$5:$AS$2004,'Saisie'!$C$5:$C$2004,C125,'Saisie'!$L$5:$L$2004,"&lt;&gt;")-4),""))</f>
        <v/>
      </c>
      <c r="AW125" s="106">
        <f>IF(C125="","",IF(D125&lt;&gt;"Perdu","",IFERROR(1/(1/_xlfn.MAXIFS('Saisie'!$A$5:$A$2004,'Saisie'!$C$5:$C$2004,C125,'Saisie'!$E$5:$E$2004,"Perdu")),"")))</f>
        <v/>
      </c>
      <c r="AX125" s="106">
        <f>IF(C125="","",IF(AW125="","",AW125+'Paramètres'!$B$28))</f>
        <v/>
      </c>
      <c r="AY125" s="60">
        <f>IF(C125="","",SUMIFS('Saisie'!$H$5:$H$2004,'Saisie'!$C$5:$C$2004,C125))</f>
        <v/>
      </c>
      <c r="AZ125" s="60">
        <f>IF(C125="","",IFERROR(INDEX('Paramètres'!$W$6:$W$20,MATCH(S125,'Paramètres'!$V$6:$V$20,0))&amp;"",""))</f>
        <v/>
      </c>
      <c r="BA125" s="60">
        <f>IF(C125="","",MAX(1,_xlfn.MAXIFS('Saisie'!$AT$5:$AT$2004,'Saisie'!$C$5:$C$2004,C125)))</f>
        <v/>
      </c>
      <c r="BB125" s="60">
        <f>IF(C125="","",IFERROR(INDEX('Saisie'!$X$5:$X$2004,_xlfn.MAXIFS('Saisie'!$AS$5:$AS$2004,'Saisie'!$C$5:$C$2004,C125,'Saisie'!$X$5:$X$2004,"&lt;&gt;")-4),""))</f>
        <v/>
      </c>
      <c r="BC125" s="60">
        <f>IF(C125="","",IFERROR(INDEX('Saisie'!$Y$5:$Y$2004,_xlfn.MAXIFS('Saisie'!$AS$5:$AS$2004,'Saisie'!$C$5:$C$2004,C125,'Saisie'!$Y$5:$Y$2004,"&lt;&gt;")-4),""))</f>
        <v/>
      </c>
      <c r="BD125" s="106">
        <f>IF(C125="","",IFERROR(1/(1/_xlfn.MINIFS('Saisie'!$A$5:$A$2004,'Saisie'!$C$5:$C$2004,C125,'Saisie'!$AT$5:$AT$2004,"&gt;=2")),""))</f>
        <v/>
      </c>
      <c r="BE125" s="106">
        <f>IF(C125="","",IFERROR(1/(1/_xlfn.MINIFS('Saisie'!$A$5:$A$2004,'Saisie'!$C$5:$C$2004,C125,'Saisie'!$AT$5:$AT$2004,"&gt;=3")),""))</f>
        <v/>
      </c>
      <c r="BF125" s="106">
        <f>IF(C125="","",IFERROR(1/(1/_xlfn.MINIFS('Saisie'!$A$5:$A$2004,'Saisie'!$C$5:$C$2004,C125,'Saisie'!$AT$5:$AT$2004,"&gt;=4")),""))</f>
        <v/>
      </c>
      <c r="BG125" s="106">
        <f>IF(C125="","",IFERROR(1/(1/_xlfn.MINIFS('Saisie'!$A$5:$A$2004,'Saisie'!$C$5:$C$2004,C125,'Saisie'!$AT$5:$AT$2004,"&gt;=5")),""))</f>
        <v/>
      </c>
      <c r="BH125" s="106">
        <f>IF(C125="","",IFERROR(1/(1/_xlfn.MINIFS('Saisie'!$A$5:$A$2004,'Saisie'!$C$5:$C$2004,C125,'Saisie'!$AT$5:$AT$2004,"&gt;=6")),""))</f>
        <v/>
      </c>
      <c r="BI125" s="106">
        <f>IF(C125="","",IFERROR(1/(1/_xlfn.MINIFS('Saisie'!$A$5:$A$2004,'Saisie'!$C$5:$C$2004,C125,'Saisie'!$AT$5:$AT$2004,"&gt;=7")),""))</f>
        <v/>
      </c>
      <c r="BJ125" s="60">
        <f>IF(OR(BD125="",B125=""),"",BD125-B125)</f>
        <v/>
      </c>
      <c r="BK125" s="60">
        <f>IF(OR(BE125="",BD125=""),"",BE125-BD125)</f>
        <v/>
      </c>
      <c r="BL125" s="60">
        <f>IF(OR(BF125="",BE125=""),"",BF125-BE125)</f>
        <v/>
      </c>
      <c r="BM125" s="60">
        <f>IF(OR(BG125="",BF125=""),"",BG125-BF125)</f>
        <v/>
      </c>
      <c r="BN125" s="60">
        <f>IF(OR(BH125="",BG125=""),"",BH125-BG125)</f>
        <v/>
      </c>
      <c r="BO125" s="60">
        <f>IF(OR(BI125="",BH125=""),"",BI125-BH125)</f>
        <v/>
      </c>
      <c r="BP125" s="60">
        <f>IF(C125="","",_xlfn.MAXIFS('Saisie'!$AS$5:$AS$2004,'Saisie'!$C$5:$C$2004,C125,'Saisie'!$J$5:$J$2004,"&lt;&gt;"))</f>
        <v/>
      </c>
      <c r="BQ125" s="60">
        <f>IF(C125="","",_xlfn.MAXIFS('Saisie'!$AS$5:$AS$2004,'Saisie'!$C$5:$C$2004,C125))</f>
        <v/>
      </c>
      <c r="BR125" s="60">
        <f>IF(C125="","",_xlfn.MAXIFS('Saisie'!$AS$5:$AS$2004,'Saisie'!$C$5:$C$2004,C125,'Saisie'!$E$5:$E$2004,"Perdu"))</f>
        <v/>
      </c>
      <c r="BS125" s="60">
        <f>IF(C125="","",_xlfn.MAXIFS('Saisie'!$AS$5:$AS$2004,'Saisie'!$C$5:$C$2004,C125,'Saisie'!$AT$5:$AT$2004,"&gt;0"))</f>
        <v/>
      </c>
      <c r="BT125" s="109">
        <f>IF(AND(C125&lt;&gt;"",OR(D125="Nouveau",D125="Contacté",D125="Qualifié"),OR(G125="",N(G125)&lt;=TODAY()),NOT(AND(O125&gt;='Paramètres'!$B$21,P125=0))),E125+121/10000,"")</f>
        <v/>
      </c>
      <c r="BU125" s="60">
        <f>IF(AND(G125&lt;&gt;"",N(G125)&lt;=TODAY()),MAX($BU$4:BU124)+1,"")</f>
        <v/>
      </c>
      <c r="BV125" s="60">
        <f>IF(AND(F125&lt;&gt;"",F125&lt;&gt;"Relance en retard"),MAX($BV$4:BV124)+1,"")</f>
        <v/>
      </c>
      <c r="BW125" s="60">
        <f>IF(C125="","",IF(AND(B125&gt;='Tableau de bord'!$R$4,B125&lt;='Tableau de bord'!$S$4,OR('Tableau de bord'!$G$4="Tous",N125='Tableau de bord'!$G$4)),1,0))</f>
        <v/>
      </c>
      <c r="BX125" s="60">
        <f>IF(AND(C125&lt;&gt;"",N(BA125)=7),MAX($BX$4:BX124)+1,"")</f>
        <v/>
      </c>
    </row>
    <row r="126">
      <c r="A126" s="60">
        <f>IF(C126="","","P-"&amp;TEXT(122,"000"))</f>
        <v/>
      </c>
      <c r="B126" s="106">
        <f>IF(C126="","",IFERROR(1/(1/_xlfn.MINIFS('Saisie'!$A$5:$A$2004,'Saisie'!$C$5:$C$2004,C126)),""))</f>
        <v/>
      </c>
      <c r="C126" s="60">
        <f>IFERROR(INDEX('Saisie'!$C$5:$C$2004,MATCH(122,'Saisie'!$AX$5:$AX$2004,0)),"")</f>
        <v/>
      </c>
      <c r="D126" s="60">
        <f>IF(C126="","",IF(AND(BR126&gt;0,BR126&gt;BS126,BA126&lt;7),"Perdu",INDEX('Paramètres'!$F$6:$F$13,BA126)))</f>
        <v/>
      </c>
      <c r="E126" s="61">
        <f>IF(C126="","",MIN(100,(Z126="Oui")*'Paramètres'!$B$38+(AB126="Régulière")*'Paramètres'!$B$39+IF(AND(N(AA126)&gt;0,TODAY()-N(AA126)&lt;=30),'Paramètres'!$B$40,0)+(W126="")*'Paramètres'!$B$41+(AC126="Absente")*'Paramètres'!$B$42+(AC126="Faible")*'Paramètres'!$B$43+IF(AND(N(AD126)&gt;0,N(AD126)&lt;4),'Paramètres'!$B$44,0)+(AF126="Moyenne")*'Paramètres'!$B$45+(AF126="Grande")*'Paramètres'!$B$46+(Y126&lt;&gt;"")*'Paramètres'!$B$47))</f>
        <v/>
      </c>
      <c r="F126" s="60">
        <f>IF(C126="","",IF(D126="Gagné","",IF(D126="Perdu",IF(AND(AX126&lt;&gt;"",AX126&lt;=TODAY()),"À recontacter (perdu)",""),IF(AND(O126&gt;='Paramètres'!$B$21,P126=0),"Stop : "&amp;'Paramètres'!$B$21&amp;" tentatives sans réponse",IF(AND(D126="Proposition",AR126&lt;&gt;"",TODAY()&gt;N(AR126)),"Proposition expirée",IF(AND(D126="Proposition",N(R126)&gt;='Paramètres'!$B$25),"Proposition sans réponse",IF(AND(G126&lt;&gt;"",N(G126)&lt;TODAY()),"Relance en retard",IF(N(R126)&gt;='Paramètres'!$B$24,"Sans action depuis "&amp;R126&amp;" j",""))))))))</f>
        <v/>
      </c>
      <c r="G126" s="106">
        <f>IF(OR(C126="",D126="Gagné",D126="Perdu"),"",IF(AND(BP126&gt;0,BP126=BQ126),INDEX('Saisie'!$J$5:$J$2004,BP126-4),IF(OR(O126=0,AND(O126&gt;='Paramètres'!$B$21,P126=0)),"",Q126+IF(O126&lt;=1,'Paramètres'!$B$18,IF(O126=2,'Paramètres'!$B$19,'Paramètres'!$B$20)))))</f>
        <v/>
      </c>
      <c r="H126" s="107">
        <f>IF(OR(G126="",BP126&lt;&gt;BQ126),"",IF(INDEX('Saisie'!$K$5:$K$2004,BP126-4)="","",INDEX('Saisie'!$K$5:$K$2004,BP126-4)))</f>
        <v/>
      </c>
      <c r="I126" s="60">
        <f>IF(C126="","",IF(OR(D126="Gagné",D126="Perdu"),"",IFERROR(INDEX('Saisie'!$I$5:$I$2004,_xlfn.MAXIFS('Saisie'!$AS$5:$AS$2004,'Saisie'!$C$5:$C$2004,C126,'Saisie'!$I$5:$I$2004,"&lt;&gt;")-4),"")))</f>
        <v/>
      </c>
      <c r="J126" s="60">
        <f>IF(C126="","",IFERROR(INDEX('Saisie'!$U$5:$U$2004,_xlfn.MAXIFS('Saisie'!$AS$5:$AS$2004,'Saisie'!$C$5:$C$2004,C126,'Saisie'!$U$5:$U$2004,"&lt;&gt;")-4),""))</f>
        <v/>
      </c>
      <c r="K126" s="60">
        <f>IF(C126="","",IFERROR(INDEX('Saisie'!$W$5:$W$2004,_xlfn.MAXIFS('Saisie'!$AS$5:$AS$2004,'Saisie'!$C$5:$C$2004,C126,'Saisie'!$W$5:$W$2004,"&lt;&gt;")-4),""))</f>
        <v/>
      </c>
      <c r="L126" s="60">
        <f>IF(IF(BB126&lt;&gt;"",BB126,K126)="","",HYPERLINK("https://wa.me/"&amp;IF(LEFT(SUBSTITUTE(SUBSTITUTE(SUBSTITUTE(IF(BB126&lt;&gt;"",BB126,K126)," ",""),".",""),"+",""),1)="0",'Paramètres'!$B$35&amp;MID(SUBSTITUTE(SUBSTITUTE(SUBSTITUTE(IF(BB126&lt;&gt;"",BB126,K126)," ",""),".",""),"+",""),2,20),SUBSTITUTE(SUBSTITUTE(SUBSTITUTE(IF(BB126&lt;&gt;"",BB126,K126)," ",""),".",""),"+","")),"WhatsApp"))</f>
        <v/>
      </c>
      <c r="M126" s="60">
        <f>IF(BC126="","",HYPERLINK(IF(LEFT(BC126,4)="http",BC126,"https://www.instagram.com/"&amp;SUBSTITUTE(SUBSTITUTE(BC126,"@","")," ","")),BC126))</f>
        <v/>
      </c>
      <c r="N126" s="60">
        <f>IF(C126="","",IFERROR(INDEX('Saisie'!$D$5:$D$2004,_xlfn.MINIFS('Saisie'!$AS$5:$AS$2004,'Saisie'!$C$5:$C$2004,C126,'Saisie'!$AU$5:$AU$2004,1)-4),IFERROR(INDEX('Saisie'!$D$5:$D$2004,_xlfn.MINIFS('Saisie'!$AS$5:$AS$2004,'Saisie'!$C$5:$C$2004,C126,'Saisie'!$D$5:$D$2004,"&lt;&gt;")-4),"")))</f>
        <v/>
      </c>
      <c r="O126" s="60">
        <f>IF(C126="","",COUNTIFS('Saisie'!$C$5:$C$2004,C126,'Saisie'!$AU$5:$AU$2004,1))</f>
        <v/>
      </c>
      <c r="P126" s="60">
        <f>IF(C126="","",COUNTIFS('Saisie'!$C$5:$C$2004,C126,'Saisie'!$AV$5:$AV$2004,1))</f>
        <v/>
      </c>
      <c r="Q126" s="106">
        <f>IF(C126="","",IFERROR(1/(1/_xlfn.MAXIFS('Saisie'!$A$5:$A$2004,'Saisie'!$C$5:$C$2004,C126)),""))</f>
        <v/>
      </c>
      <c r="R126" s="61">
        <f>IF(C126="","",IF(Q126="","",TODAY()-Q126))</f>
        <v/>
      </c>
      <c r="S126" s="60">
        <f>IF(C126="","",IFERROR(INDEX('Saisie'!$R$5:$R$2004,_xlfn.MAXIFS('Saisie'!$AS$5:$AS$2004,'Saisie'!$C$5:$C$2004,C126,'Saisie'!$R$5:$R$2004,"&lt;&gt;")-4),""))</f>
        <v/>
      </c>
      <c r="T126" s="60">
        <f>IF(C126="","",IFERROR(INDEX('Saisie'!$S$5:$S$2004,_xlfn.MAXIFS('Saisie'!$AS$5:$AS$2004,'Saisie'!$C$5:$C$2004,C126,'Saisie'!$S$5:$S$2004,"&lt;&gt;")-4),""))</f>
        <v/>
      </c>
      <c r="U126" s="60">
        <f>IF(C126="","",IFERROR(INDEX('Saisie'!$T$5:$T$2004,_xlfn.MAXIFS('Saisie'!$AS$5:$AS$2004,'Saisie'!$C$5:$C$2004,C126,'Saisie'!$T$5:$T$2004,"&lt;&gt;")-4),""))</f>
        <v/>
      </c>
      <c r="V126" s="60">
        <f>IF(C126="","",IFERROR(INDEX('Saisie'!$V$5:$V$2004,_xlfn.MAXIFS('Saisie'!$AS$5:$AS$2004,'Saisie'!$C$5:$C$2004,C126,'Saisie'!$V$5:$V$2004,"&lt;&gt;")-4),""))</f>
        <v/>
      </c>
      <c r="W126" s="60">
        <f>IF(C126="","",IFERROR(INDEX('Saisie'!$Z$5:$Z$2004,_xlfn.MAXIFS('Saisie'!$AS$5:$AS$2004,'Saisie'!$C$5:$C$2004,C126,'Saisie'!$Z$5:$Z$2004,"&lt;&gt;")-4),""))</f>
        <v/>
      </c>
      <c r="X126" s="60">
        <f>IF(C126="","",IFERROR(INDEX('Saisie'!$AA$5:$AA$2004,_xlfn.MAXIFS('Saisie'!$AS$5:$AS$2004,'Saisie'!$C$5:$C$2004,C126,'Saisie'!$AA$5:$AA$2004,"&lt;&gt;")-4),""))</f>
        <v/>
      </c>
      <c r="Y126" s="60">
        <f>IF(C126="","",IFERROR(INDEX('Saisie'!$AB$5:$AB$2004,_xlfn.MAXIFS('Saisie'!$AS$5:$AS$2004,'Saisie'!$C$5:$C$2004,C126,'Saisie'!$AB$5:$AB$2004,"&lt;&gt;")-4),""))</f>
        <v/>
      </c>
      <c r="Z126" s="60">
        <f>IF(C126="","",IFERROR(INDEX('Saisie'!$AC$5:$AC$2004,_xlfn.MAXIFS('Saisie'!$AS$5:$AS$2004,'Saisie'!$C$5:$C$2004,C126,'Saisie'!$AC$5:$AC$2004,"&lt;&gt;")-4),""))</f>
        <v/>
      </c>
      <c r="AA126" s="106">
        <f>IF(C126="","",IFERROR(INDEX('Saisie'!$AD$5:$AD$2004,_xlfn.MAXIFS('Saisie'!$AS$5:$AS$2004,'Saisie'!$C$5:$C$2004,C126,'Saisie'!$AD$5:$AD$2004,"&lt;&gt;")-4),""))</f>
        <v/>
      </c>
      <c r="AB126" s="60">
        <f>IF(C126="","",IFERROR(INDEX('Saisie'!$AE$5:$AE$2004,_xlfn.MAXIFS('Saisie'!$AS$5:$AS$2004,'Saisie'!$C$5:$C$2004,C126,'Saisie'!$AE$5:$AE$2004,"&lt;&gt;")-4),""))</f>
        <v/>
      </c>
      <c r="AC126" s="60">
        <f>IF(C126="","",IFERROR(INDEX('Saisie'!$AF$5:$AF$2004,_xlfn.MAXIFS('Saisie'!$AS$5:$AS$2004,'Saisie'!$C$5:$C$2004,C126,'Saisie'!$AF$5:$AF$2004,"&lt;&gt;")-4),""))</f>
        <v/>
      </c>
      <c r="AD126" s="108">
        <f>IF(C126="","",IFERROR(INDEX('Saisie'!$AG$5:$AG$2004,_xlfn.MAXIFS('Saisie'!$AS$5:$AS$2004,'Saisie'!$C$5:$C$2004,C126,'Saisie'!$AG$5:$AG$2004,"&lt;&gt;")-4),""))</f>
        <v/>
      </c>
      <c r="AE126" s="60">
        <f>IF(C126="","",IFERROR(INDEX('Saisie'!$AH$5:$AH$2004,_xlfn.MAXIFS('Saisie'!$AS$5:$AS$2004,'Saisie'!$C$5:$C$2004,C126,'Saisie'!$AH$5:$AH$2004,"&lt;&gt;")-4),""))</f>
        <v/>
      </c>
      <c r="AF126" s="60">
        <f>IF(C126="","",IFERROR(INDEX('Saisie'!$AI$5:$AI$2004,_xlfn.MAXIFS('Saisie'!$AS$5:$AS$2004,'Saisie'!$C$5:$C$2004,C126,'Saisie'!$AI$5:$AI$2004,"&lt;&gt;")-4),""))</f>
        <v/>
      </c>
      <c r="AG126" s="60">
        <f>IF(C126="","",IFERROR(INDEX('Saisie'!$AJ$5:$AJ$2004,_xlfn.MAXIFS('Saisie'!$AS$5:$AS$2004,'Saisie'!$C$5:$C$2004,C126,'Saisie'!$AJ$5:$AJ$2004,"&lt;&gt;")-4),""))</f>
        <v/>
      </c>
      <c r="AH126" s="60">
        <f>IF(C126="","",IFERROR(INDEX('Saisie'!$AK$5:$AK$2004,_xlfn.MAXIFS('Saisie'!$AS$5:$AS$2004,'Saisie'!$C$5:$C$2004,C126,'Saisie'!$AK$5:$AK$2004,"&lt;&gt;")-4),""))</f>
        <v/>
      </c>
      <c r="AI126" s="60">
        <f>IF(C126="","",IFERROR(INDEX('Saisie'!$AN$5:$AN$2004,_xlfn.MAXIFS('Saisie'!$AS$5:$AS$2004,'Saisie'!$C$5:$C$2004,C126,'Saisie'!$AN$5:$AN$2004,"&lt;&gt;")-4),""))</f>
        <v/>
      </c>
      <c r="AJ126" s="60">
        <f>IF(C126="","",IFERROR(INDEX('Saisie'!$AO$5:$AO$2004,_xlfn.MAXIFS('Saisie'!$AS$5:$AS$2004,'Saisie'!$C$5:$C$2004,C126,'Saisie'!$AO$5:$AO$2004,"&lt;&gt;")-4),""))</f>
        <v/>
      </c>
      <c r="AK126" s="60">
        <f>IF(C126="","",IFERROR(INDEX('Saisie'!$AP$5:$AP$2004,_xlfn.MAXIFS('Saisie'!$AS$5:$AS$2004,'Saisie'!$C$5:$C$2004,C126,'Saisie'!$AP$5:$AP$2004,"&lt;&gt;")-4),""))</f>
        <v/>
      </c>
      <c r="AL126" s="60">
        <f>IF(C126="","",IFERROR(INDEX('Saisie'!$AQ$5:$AQ$2004,_xlfn.MAXIFS('Saisie'!$AS$5:$AS$2004,'Saisie'!$C$5:$C$2004,C126,'Saisie'!$AQ$5:$AQ$2004,"&lt;&gt;")-4),""))</f>
        <v/>
      </c>
      <c r="AM126" s="60">
        <f>IF(C126="","",((AI126="Oui")+(AJ126="Oui")+(AK126="Oui")+OR(AL126="Immédiat",AL126="&lt; 1 mois"))&amp;"/4")</f>
        <v/>
      </c>
      <c r="AN126" s="60">
        <f>IF(C126="","",IFERROR(INDEX('Saisie'!$AL$5:$AL$2004,_xlfn.MAXIFS('Saisie'!$AS$5:$AS$2004,'Saisie'!$C$5:$C$2004,C126,'Saisie'!$AL$5:$AL$2004,"&lt;&gt;")-4),""))</f>
        <v/>
      </c>
      <c r="AO126" s="62">
        <f>IF(C126="","",IF(IFERROR(INDEX('Saisie'!$AM$5:$AM$2004,_xlfn.MAXIFS('Saisie'!$AS$5:$AS$2004,'Saisie'!$C$5:$C$2004,C126,'Saisie'!$AM$5:$AM$2004,"&lt;&gt;")-4),"")&lt;&gt;"",IFERROR(INDEX('Saisie'!$AM$5:$AM$2004,_xlfn.MAXIFS('Saisie'!$AS$5:$AS$2004,'Saisie'!$C$5:$C$2004,C126,'Saisie'!$AM$5:$AM$2004,"&lt;&gt;")-4),""),IFERROR(INDEX('Paramètres'!$S$6:$S$15,MATCH(AN126,'Paramètres'!$Q$6:$Q$15,0)),"")))</f>
        <v/>
      </c>
      <c r="AP126" s="62">
        <f>IF(C126="","",IFERROR(INDEX('Saisie'!$AW$5:$AW$2004,_xlfn.MAXIFS('Saisie'!$AS$5:$AS$2004,'Saisie'!$C$5:$C$2004,C126,'Saisie'!$E$5:$E$2004,"Proposition envoyée")-4),""))</f>
        <v/>
      </c>
      <c r="AQ126" s="106">
        <f>IF(C126="","",IFERROR(1/(1/_xlfn.MAXIFS('Saisie'!$A$5:$A$2004,'Saisie'!$C$5:$C$2004,C126,'Saisie'!$E$5:$E$2004,"Proposition envoyée")),""))</f>
        <v/>
      </c>
      <c r="AR126" s="106">
        <f>IF(C126="","",IF(AQ126="","",AQ126+'Paramètres'!$B$26))</f>
        <v/>
      </c>
      <c r="AS126" s="62">
        <f>IF(OR(C126="",D126="Gagné",D126="Perdu"),0,N(AP126)*IFERROR(INDEX('Paramètres'!$G$6:$G$13,MATCH(D126,'Paramètres'!$F$6:$F$13,0)),0))</f>
        <v/>
      </c>
      <c r="AT126" s="106">
        <f>IF(C126="","",IFERROR(1/(1/_xlfn.MINIFS('Saisie'!$A$5:$A$2004,'Saisie'!$C$5:$C$2004,C126,'Saisie'!$E$5:$E$2004,"Signature")),""))</f>
        <v/>
      </c>
      <c r="AU126" s="60">
        <f>IF(C126="","",IF(OR(AT126="",B126=""),"",AT126-B126))</f>
        <v/>
      </c>
      <c r="AV126" s="60">
        <f>IF(C126="","",IFERROR(INDEX('Saisie'!$L$5:$L$2004,_xlfn.MAXIFS('Saisie'!$AS$5:$AS$2004,'Saisie'!$C$5:$C$2004,C126,'Saisie'!$L$5:$L$2004,"&lt;&gt;")-4),""))</f>
        <v/>
      </c>
      <c r="AW126" s="106">
        <f>IF(C126="","",IF(D126&lt;&gt;"Perdu","",IFERROR(1/(1/_xlfn.MAXIFS('Saisie'!$A$5:$A$2004,'Saisie'!$C$5:$C$2004,C126,'Saisie'!$E$5:$E$2004,"Perdu")),"")))</f>
        <v/>
      </c>
      <c r="AX126" s="106">
        <f>IF(C126="","",IF(AW126="","",AW126+'Paramètres'!$B$28))</f>
        <v/>
      </c>
      <c r="AY126" s="60">
        <f>IF(C126="","",SUMIFS('Saisie'!$H$5:$H$2004,'Saisie'!$C$5:$C$2004,C126))</f>
        <v/>
      </c>
      <c r="AZ126" s="60">
        <f>IF(C126="","",IFERROR(INDEX('Paramètres'!$W$6:$W$20,MATCH(S126,'Paramètres'!$V$6:$V$20,0))&amp;"",""))</f>
        <v/>
      </c>
      <c r="BA126" s="60">
        <f>IF(C126="","",MAX(1,_xlfn.MAXIFS('Saisie'!$AT$5:$AT$2004,'Saisie'!$C$5:$C$2004,C126)))</f>
        <v/>
      </c>
      <c r="BB126" s="60">
        <f>IF(C126="","",IFERROR(INDEX('Saisie'!$X$5:$X$2004,_xlfn.MAXIFS('Saisie'!$AS$5:$AS$2004,'Saisie'!$C$5:$C$2004,C126,'Saisie'!$X$5:$X$2004,"&lt;&gt;")-4),""))</f>
        <v/>
      </c>
      <c r="BC126" s="60">
        <f>IF(C126="","",IFERROR(INDEX('Saisie'!$Y$5:$Y$2004,_xlfn.MAXIFS('Saisie'!$AS$5:$AS$2004,'Saisie'!$C$5:$C$2004,C126,'Saisie'!$Y$5:$Y$2004,"&lt;&gt;")-4),""))</f>
        <v/>
      </c>
      <c r="BD126" s="106">
        <f>IF(C126="","",IFERROR(1/(1/_xlfn.MINIFS('Saisie'!$A$5:$A$2004,'Saisie'!$C$5:$C$2004,C126,'Saisie'!$AT$5:$AT$2004,"&gt;=2")),""))</f>
        <v/>
      </c>
      <c r="BE126" s="106">
        <f>IF(C126="","",IFERROR(1/(1/_xlfn.MINIFS('Saisie'!$A$5:$A$2004,'Saisie'!$C$5:$C$2004,C126,'Saisie'!$AT$5:$AT$2004,"&gt;=3")),""))</f>
        <v/>
      </c>
      <c r="BF126" s="106">
        <f>IF(C126="","",IFERROR(1/(1/_xlfn.MINIFS('Saisie'!$A$5:$A$2004,'Saisie'!$C$5:$C$2004,C126,'Saisie'!$AT$5:$AT$2004,"&gt;=4")),""))</f>
        <v/>
      </c>
      <c r="BG126" s="106">
        <f>IF(C126="","",IFERROR(1/(1/_xlfn.MINIFS('Saisie'!$A$5:$A$2004,'Saisie'!$C$5:$C$2004,C126,'Saisie'!$AT$5:$AT$2004,"&gt;=5")),""))</f>
        <v/>
      </c>
      <c r="BH126" s="106">
        <f>IF(C126="","",IFERROR(1/(1/_xlfn.MINIFS('Saisie'!$A$5:$A$2004,'Saisie'!$C$5:$C$2004,C126,'Saisie'!$AT$5:$AT$2004,"&gt;=6")),""))</f>
        <v/>
      </c>
      <c r="BI126" s="106">
        <f>IF(C126="","",IFERROR(1/(1/_xlfn.MINIFS('Saisie'!$A$5:$A$2004,'Saisie'!$C$5:$C$2004,C126,'Saisie'!$AT$5:$AT$2004,"&gt;=7")),""))</f>
        <v/>
      </c>
      <c r="BJ126" s="60">
        <f>IF(OR(BD126="",B126=""),"",BD126-B126)</f>
        <v/>
      </c>
      <c r="BK126" s="60">
        <f>IF(OR(BE126="",BD126=""),"",BE126-BD126)</f>
        <v/>
      </c>
      <c r="BL126" s="60">
        <f>IF(OR(BF126="",BE126=""),"",BF126-BE126)</f>
        <v/>
      </c>
      <c r="BM126" s="60">
        <f>IF(OR(BG126="",BF126=""),"",BG126-BF126)</f>
        <v/>
      </c>
      <c r="BN126" s="60">
        <f>IF(OR(BH126="",BG126=""),"",BH126-BG126)</f>
        <v/>
      </c>
      <c r="BO126" s="60">
        <f>IF(OR(BI126="",BH126=""),"",BI126-BH126)</f>
        <v/>
      </c>
      <c r="BP126" s="60">
        <f>IF(C126="","",_xlfn.MAXIFS('Saisie'!$AS$5:$AS$2004,'Saisie'!$C$5:$C$2004,C126,'Saisie'!$J$5:$J$2004,"&lt;&gt;"))</f>
        <v/>
      </c>
      <c r="BQ126" s="60">
        <f>IF(C126="","",_xlfn.MAXIFS('Saisie'!$AS$5:$AS$2004,'Saisie'!$C$5:$C$2004,C126))</f>
        <v/>
      </c>
      <c r="BR126" s="60">
        <f>IF(C126="","",_xlfn.MAXIFS('Saisie'!$AS$5:$AS$2004,'Saisie'!$C$5:$C$2004,C126,'Saisie'!$E$5:$E$2004,"Perdu"))</f>
        <v/>
      </c>
      <c r="BS126" s="60">
        <f>IF(C126="","",_xlfn.MAXIFS('Saisie'!$AS$5:$AS$2004,'Saisie'!$C$5:$C$2004,C126,'Saisie'!$AT$5:$AT$2004,"&gt;0"))</f>
        <v/>
      </c>
      <c r="BT126" s="109">
        <f>IF(AND(C126&lt;&gt;"",OR(D126="Nouveau",D126="Contacté",D126="Qualifié"),OR(G126="",N(G126)&lt;=TODAY()),NOT(AND(O126&gt;='Paramètres'!$B$21,P126=0))),E126+122/10000,"")</f>
        <v/>
      </c>
      <c r="BU126" s="60">
        <f>IF(AND(G126&lt;&gt;"",N(G126)&lt;=TODAY()),MAX($BU$4:BU125)+1,"")</f>
        <v/>
      </c>
      <c r="BV126" s="60">
        <f>IF(AND(F126&lt;&gt;"",F126&lt;&gt;"Relance en retard"),MAX($BV$4:BV125)+1,"")</f>
        <v/>
      </c>
      <c r="BW126" s="60">
        <f>IF(C126="","",IF(AND(B126&gt;='Tableau de bord'!$R$4,B126&lt;='Tableau de bord'!$S$4,OR('Tableau de bord'!$G$4="Tous",N126='Tableau de bord'!$G$4)),1,0))</f>
        <v/>
      </c>
      <c r="BX126" s="60">
        <f>IF(AND(C126&lt;&gt;"",N(BA126)=7),MAX($BX$4:BX125)+1,"")</f>
        <v/>
      </c>
    </row>
    <row r="127">
      <c r="A127" s="60">
        <f>IF(C127="","","P-"&amp;TEXT(123,"000"))</f>
        <v/>
      </c>
      <c r="B127" s="106">
        <f>IF(C127="","",IFERROR(1/(1/_xlfn.MINIFS('Saisie'!$A$5:$A$2004,'Saisie'!$C$5:$C$2004,C127)),""))</f>
        <v/>
      </c>
      <c r="C127" s="60">
        <f>IFERROR(INDEX('Saisie'!$C$5:$C$2004,MATCH(123,'Saisie'!$AX$5:$AX$2004,0)),"")</f>
        <v/>
      </c>
      <c r="D127" s="60">
        <f>IF(C127="","",IF(AND(BR127&gt;0,BR127&gt;BS127,BA127&lt;7),"Perdu",INDEX('Paramètres'!$F$6:$F$13,BA127)))</f>
        <v/>
      </c>
      <c r="E127" s="61">
        <f>IF(C127="","",MIN(100,(Z127="Oui")*'Paramètres'!$B$38+(AB127="Régulière")*'Paramètres'!$B$39+IF(AND(N(AA127)&gt;0,TODAY()-N(AA127)&lt;=30),'Paramètres'!$B$40,0)+(W127="")*'Paramètres'!$B$41+(AC127="Absente")*'Paramètres'!$B$42+(AC127="Faible")*'Paramètres'!$B$43+IF(AND(N(AD127)&gt;0,N(AD127)&lt;4),'Paramètres'!$B$44,0)+(AF127="Moyenne")*'Paramètres'!$B$45+(AF127="Grande")*'Paramètres'!$B$46+(Y127&lt;&gt;"")*'Paramètres'!$B$47))</f>
        <v/>
      </c>
      <c r="F127" s="60">
        <f>IF(C127="","",IF(D127="Gagné","",IF(D127="Perdu",IF(AND(AX127&lt;&gt;"",AX127&lt;=TODAY()),"À recontacter (perdu)",""),IF(AND(O127&gt;='Paramètres'!$B$21,P127=0),"Stop : "&amp;'Paramètres'!$B$21&amp;" tentatives sans réponse",IF(AND(D127="Proposition",AR127&lt;&gt;"",TODAY()&gt;N(AR127)),"Proposition expirée",IF(AND(D127="Proposition",N(R127)&gt;='Paramètres'!$B$25),"Proposition sans réponse",IF(AND(G127&lt;&gt;"",N(G127)&lt;TODAY()),"Relance en retard",IF(N(R127)&gt;='Paramètres'!$B$24,"Sans action depuis "&amp;R127&amp;" j",""))))))))</f>
        <v/>
      </c>
      <c r="G127" s="106">
        <f>IF(OR(C127="",D127="Gagné",D127="Perdu"),"",IF(AND(BP127&gt;0,BP127=BQ127),INDEX('Saisie'!$J$5:$J$2004,BP127-4),IF(OR(O127=0,AND(O127&gt;='Paramètres'!$B$21,P127=0)),"",Q127+IF(O127&lt;=1,'Paramètres'!$B$18,IF(O127=2,'Paramètres'!$B$19,'Paramètres'!$B$20)))))</f>
        <v/>
      </c>
      <c r="H127" s="107">
        <f>IF(OR(G127="",BP127&lt;&gt;BQ127),"",IF(INDEX('Saisie'!$K$5:$K$2004,BP127-4)="","",INDEX('Saisie'!$K$5:$K$2004,BP127-4)))</f>
        <v/>
      </c>
      <c r="I127" s="60">
        <f>IF(C127="","",IF(OR(D127="Gagné",D127="Perdu"),"",IFERROR(INDEX('Saisie'!$I$5:$I$2004,_xlfn.MAXIFS('Saisie'!$AS$5:$AS$2004,'Saisie'!$C$5:$C$2004,C127,'Saisie'!$I$5:$I$2004,"&lt;&gt;")-4),"")))</f>
        <v/>
      </c>
      <c r="J127" s="60">
        <f>IF(C127="","",IFERROR(INDEX('Saisie'!$U$5:$U$2004,_xlfn.MAXIFS('Saisie'!$AS$5:$AS$2004,'Saisie'!$C$5:$C$2004,C127,'Saisie'!$U$5:$U$2004,"&lt;&gt;")-4),""))</f>
        <v/>
      </c>
      <c r="K127" s="60">
        <f>IF(C127="","",IFERROR(INDEX('Saisie'!$W$5:$W$2004,_xlfn.MAXIFS('Saisie'!$AS$5:$AS$2004,'Saisie'!$C$5:$C$2004,C127,'Saisie'!$W$5:$W$2004,"&lt;&gt;")-4),""))</f>
        <v/>
      </c>
      <c r="L127" s="60">
        <f>IF(IF(BB127&lt;&gt;"",BB127,K127)="","",HYPERLINK("https://wa.me/"&amp;IF(LEFT(SUBSTITUTE(SUBSTITUTE(SUBSTITUTE(IF(BB127&lt;&gt;"",BB127,K127)," ",""),".",""),"+",""),1)="0",'Paramètres'!$B$35&amp;MID(SUBSTITUTE(SUBSTITUTE(SUBSTITUTE(IF(BB127&lt;&gt;"",BB127,K127)," ",""),".",""),"+",""),2,20),SUBSTITUTE(SUBSTITUTE(SUBSTITUTE(IF(BB127&lt;&gt;"",BB127,K127)," ",""),".",""),"+","")),"WhatsApp"))</f>
        <v/>
      </c>
      <c r="M127" s="60">
        <f>IF(BC127="","",HYPERLINK(IF(LEFT(BC127,4)="http",BC127,"https://www.instagram.com/"&amp;SUBSTITUTE(SUBSTITUTE(BC127,"@","")," ","")),BC127))</f>
        <v/>
      </c>
      <c r="N127" s="60">
        <f>IF(C127="","",IFERROR(INDEX('Saisie'!$D$5:$D$2004,_xlfn.MINIFS('Saisie'!$AS$5:$AS$2004,'Saisie'!$C$5:$C$2004,C127,'Saisie'!$AU$5:$AU$2004,1)-4),IFERROR(INDEX('Saisie'!$D$5:$D$2004,_xlfn.MINIFS('Saisie'!$AS$5:$AS$2004,'Saisie'!$C$5:$C$2004,C127,'Saisie'!$D$5:$D$2004,"&lt;&gt;")-4),"")))</f>
        <v/>
      </c>
      <c r="O127" s="60">
        <f>IF(C127="","",COUNTIFS('Saisie'!$C$5:$C$2004,C127,'Saisie'!$AU$5:$AU$2004,1))</f>
        <v/>
      </c>
      <c r="P127" s="60">
        <f>IF(C127="","",COUNTIFS('Saisie'!$C$5:$C$2004,C127,'Saisie'!$AV$5:$AV$2004,1))</f>
        <v/>
      </c>
      <c r="Q127" s="106">
        <f>IF(C127="","",IFERROR(1/(1/_xlfn.MAXIFS('Saisie'!$A$5:$A$2004,'Saisie'!$C$5:$C$2004,C127)),""))</f>
        <v/>
      </c>
      <c r="R127" s="61">
        <f>IF(C127="","",IF(Q127="","",TODAY()-Q127))</f>
        <v/>
      </c>
      <c r="S127" s="60">
        <f>IF(C127="","",IFERROR(INDEX('Saisie'!$R$5:$R$2004,_xlfn.MAXIFS('Saisie'!$AS$5:$AS$2004,'Saisie'!$C$5:$C$2004,C127,'Saisie'!$R$5:$R$2004,"&lt;&gt;")-4),""))</f>
        <v/>
      </c>
      <c r="T127" s="60">
        <f>IF(C127="","",IFERROR(INDEX('Saisie'!$S$5:$S$2004,_xlfn.MAXIFS('Saisie'!$AS$5:$AS$2004,'Saisie'!$C$5:$C$2004,C127,'Saisie'!$S$5:$S$2004,"&lt;&gt;")-4),""))</f>
        <v/>
      </c>
      <c r="U127" s="60">
        <f>IF(C127="","",IFERROR(INDEX('Saisie'!$T$5:$T$2004,_xlfn.MAXIFS('Saisie'!$AS$5:$AS$2004,'Saisie'!$C$5:$C$2004,C127,'Saisie'!$T$5:$T$2004,"&lt;&gt;")-4),""))</f>
        <v/>
      </c>
      <c r="V127" s="60">
        <f>IF(C127="","",IFERROR(INDEX('Saisie'!$V$5:$V$2004,_xlfn.MAXIFS('Saisie'!$AS$5:$AS$2004,'Saisie'!$C$5:$C$2004,C127,'Saisie'!$V$5:$V$2004,"&lt;&gt;")-4),""))</f>
        <v/>
      </c>
      <c r="W127" s="60">
        <f>IF(C127="","",IFERROR(INDEX('Saisie'!$Z$5:$Z$2004,_xlfn.MAXIFS('Saisie'!$AS$5:$AS$2004,'Saisie'!$C$5:$C$2004,C127,'Saisie'!$Z$5:$Z$2004,"&lt;&gt;")-4),""))</f>
        <v/>
      </c>
      <c r="X127" s="60">
        <f>IF(C127="","",IFERROR(INDEX('Saisie'!$AA$5:$AA$2004,_xlfn.MAXIFS('Saisie'!$AS$5:$AS$2004,'Saisie'!$C$5:$C$2004,C127,'Saisie'!$AA$5:$AA$2004,"&lt;&gt;")-4),""))</f>
        <v/>
      </c>
      <c r="Y127" s="60">
        <f>IF(C127="","",IFERROR(INDEX('Saisie'!$AB$5:$AB$2004,_xlfn.MAXIFS('Saisie'!$AS$5:$AS$2004,'Saisie'!$C$5:$C$2004,C127,'Saisie'!$AB$5:$AB$2004,"&lt;&gt;")-4),""))</f>
        <v/>
      </c>
      <c r="Z127" s="60">
        <f>IF(C127="","",IFERROR(INDEX('Saisie'!$AC$5:$AC$2004,_xlfn.MAXIFS('Saisie'!$AS$5:$AS$2004,'Saisie'!$C$5:$C$2004,C127,'Saisie'!$AC$5:$AC$2004,"&lt;&gt;")-4),""))</f>
        <v/>
      </c>
      <c r="AA127" s="106">
        <f>IF(C127="","",IFERROR(INDEX('Saisie'!$AD$5:$AD$2004,_xlfn.MAXIFS('Saisie'!$AS$5:$AS$2004,'Saisie'!$C$5:$C$2004,C127,'Saisie'!$AD$5:$AD$2004,"&lt;&gt;")-4),""))</f>
        <v/>
      </c>
      <c r="AB127" s="60">
        <f>IF(C127="","",IFERROR(INDEX('Saisie'!$AE$5:$AE$2004,_xlfn.MAXIFS('Saisie'!$AS$5:$AS$2004,'Saisie'!$C$5:$C$2004,C127,'Saisie'!$AE$5:$AE$2004,"&lt;&gt;")-4),""))</f>
        <v/>
      </c>
      <c r="AC127" s="60">
        <f>IF(C127="","",IFERROR(INDEX('Saisie'!$AF$5:$AF$2004,_xlfn.MAXIFS('Saisie'!$AS$5:$AS$2004,'Saisie'!$C$5:$C$2004,C127,'Saisie'!$AF$5:$AF$2004,"&lt;&gt;")-4),""))</f>
        <v/>
      </c>
      <c r="AD127" s="108">
        <f>IF(C127="","",IFERROR(INDEX('Saisie'!$AG$5:$AG$2004,_xlfn.MAXIFS('Saisie'!$AS$5:$AS$2004,'Saisie'!$C$5:$C$2004,C127,'Saisie'!$AG$5:$AG$2004,"&lt;&gt;")-4),""))</f>
        <v/>
      </c>
      <c r="AE127" s="60">
        <f>IF(C127="","",IFERROR(INDEX('Saisie'!$AH$5:$AH$2004,_xlfn.MAXIFS('Saisie'!$AS$5:$AS$2004,'Saisie'!$C$5:$C$2004,C127,'Saisie'!$AH$5:$AH$2004,"&lt;&gt;")-4),""))</f>
        <v/>
      </c>
      <c r="AF127" s="60">
        <f>IF(C127="","",IFERROR(INDEX('Saisie'!$AI$5:$AI$2004,_xlfn.MAXIFS('Saisie'!$AS$5:$AS$2004,'Saisie'!$C$5:$C$2004,C127,'Saisie'!$AI$5:$AI$2004,"&lt;&gt;")-4),""))</f>
        <v/>
      </c>
      <c r="AG127" s="60">
        <f>IF(C127="","",IFERROR(INDEX('Saisie'!$AJ$5:$AJ$2004,_xlfn.MAXIFS('Saisie'!$AS$5:$AS$2004,'Saisie'!$C$5:$C$2004,C127,'Saisie'!$AJ$5:$AJ$2004,"&lt;&gt;")-4),""))</f>
        <v/>
      </c>
      <c r="AH127" s="60">
        <f>IF(C127="","",IFERROR(INDEX('Saisie'!$AK$5:$AK$2004,_xlfn.MAXIFS('Saisie'!$AS$5:$AS$2004,'Saisie'!$C$5:$C$2004,C127,'Saisie'!$AK$5:$AK$2004,"&lt;&gt;")-4),""))</f>
        <v/>
      </c>
      <c r="AI127" s="60">
        <f>IF(C127="","",IFERROR(INDEX('Saisie'!$AN$5:$AN$2004,_xlfn.MAXIFS('Saisie'!$AS$5:$AS$2004,'Saisie'!$C$5:$C$2004,C127,'Saisie'!$AN$5:$AN$2004,"&lt;&gt;")-4),""))</f>
        <v/>
      </c>
      <c r="AJ127" s="60">
        <f>IF(C127="","",IFERROR(INDEX('Saisie'!$AO$5:$AO$2004,_xlfn.MAXIFS('Saisie'!$AS$5:$AS$2004,'Saisie'!$C$5:$C$2004,C127,'Saisie'!$AO$5:$AO$2004,"&lt;&gt;")-4),""))</f>
        <v/>
      </c>
      <c r="AK127" s="60">
        <f>IF(C127="","",IFERROR(INDEX('Saisie'!$AP$5:$AP$2004,_xlfn.MAXIFS('Saisie'!$AS$5:$AS$2004,'Saisie'!$C$5:$C$2004,C127,'Saisie'!$AP$5:$AP$2004,"&lt;&gt;")-4),""))</f>
        <v/>
      </c>
      <c r="AL127" s="60">
        <f>IF(C127="","",IFERROR(INDEX('Saisie'!$AQ$5:$AQ$2004,_xlfn.MAXIFS('Saisie'!$AS$5:$AS$2004,'Saisie'!$C$5:$C$2004,C127,'Saisie'!$AQ$5:$AQ$2004,"&lt;&gt;")-4),""))</f>
        <v/>
      </c>
      <c r="AM127" s="60">
        <f>IF(C127="","",((AI127="Oui")+(AJ127="Oui")+(AK127="Oui")+OR(AL127="Immédiat",AL127="&lt; 1 mois"))&amp;"/4")</f>
        <v/>
      </c>
      <c r="AN127" s="60">
        <f>IF(C127="","",IFERROR(INDEX('Saisie'!$AL$5:$AL$2004,_xlfn.MAXIFS('Saisie'!$AS$5:$AS$2004,'Saisie'!$C$5:$C$2004,C127,'Saisie'!$AL$5:$AL$2004,"&lt;&gt;")-4),""))</f>
        <v/>
      </c>
      <c r="AO127" s="62">
        <f>IF(C127="","",IF(IFERROR(INDEX('Saisie'!$AM$5:$AM$2004,_xlfn.MAXIFS('Saisie'!$AS$5:$AS$2004,'Saisie'!$C$5:$C$2004,C127,'Saisie'!$AM$5:$AM$2004,"&lt;&gt;")-4),"")&lt;&gt;"",IFERROR(INDEX('Saisie'!$AM$5:$AM$2004,_xlfn.MAXIFS('Saisie'!$AS$5:$AS$2004,'Saisie'!$C$5:$C$2004,C127,'Saisie'!$AM$5:$AM$2004,"&lt;&gt;")-4),""),IFERROR(INDEX('Paramètres'!$S$6:$S$15,MATCH(AN127,'Paramètres'!$Q$6:$Q$15,0)),"")))</f>
        <v/>
      </c>
      <c r="AP127" s="62">
        <f>IF(C127="","",IFERROR(INDEX('Saisie'!$AW$5:$AW$2004,_xlfn.MAXIFS('Saisie'!$AS$5:$AS$2004,'Saisie'!$C$5:$C$2004,C127,'Saisie'!$E$5:$E$2004,"Proposition envoyée")-4),""))</f>
        <v/>
      </c>
      <c r="AQ127" s="106">
        <f>IF(C127="","",IFERROR(1/(1/_xlfn.MAXIFS('Saisie'!$A$5:$A$2004,'Saisie'!$C$5:$C$2004,C127,'Saisie'!$E$5:$E$2004,"Proposition envoyée")),""))</f>
        <v/>
      </c>
      <c r="AR127" s="106">
        <f>IF(C127="","",IF(AQ127="","",AQ127+'Paramètres'!$B$26))</f>
        <v/>
      </c>
      <c r="AS127" s="62">
        <f>IF(OR(C127="",D127="Gagné",D127="Perdu"),0,N(AP127)*IFERROR(INDEX('Paramètres'!$G$6:$G$13,MATCH(D127,'Paramètres'!$F$6:$F$13,0)),0))</f>
        <v/>
      </c>
      <c r="AT127" s="106">
        <f>IF(C127="","",IFERROR(1/(1/_xlfn.MINIFS('Saisie'!$A$5:$A$2004,'Saisie'!$C$5:$C$2004,C127,'Saisie'!$E$5:$E$2004,"Signature")),""))</f>
        <v/>
      </c>
      <c r="AU127" s="60">
        <f>IF(C127="","",IF(OR(AT127="",B127=""),"",AT127-B127))</f>
        <v/>
      </c>
      <c r="AV127" s="60">
        <f>IF(C127="","",IFERROR(INDEX('Saisie'!$L$5:$L$2004,_xlfn.MAXIFS('Saisie'!$AS$5:$AS$2004,'Saisie'!$C$5:$C$2004,C127,'Saisie'!$L$5:$L$2004,"&lt;&gt;")-4),""))</f>
        <v/>
      </c>
      <c r="AW127" s="106">
        <f>IF(C127="","",IF(D127&lt;&gt;"Perdu","",IFERROR(1/(1/_xlfn.MAXIFS('Saisie'!$A$5:$A$2004,'Saisie'!$C$5:$C$2004,C127,'Saisie'!$E$5:$E$2004,"Perdu")),"")))</f>
        <v/>
      </c>
      <c r="AX127" s="106">
        <f>IF(C127="","",IF(AW127="","",AW127+'Paramètres'!$B$28))</f>
        <v/>
      </c>
      <c r="AY127" s="60">
        <f>IF(C127="","",SUMIFS('Saisie'!$H$5:$H$2004,'Saisie'!$C$5:$C$2004,C127))</f>
        <v/>
      </c>
      <c r="AZ127" s="60">
        <f>IF(C127="","",IFERROR(INDEX('Paramètres'!$W$6:$W$20,MATCH(S127,'Paramètres'!$V$6:$V$20,0))&amp;"",""))</f>
        <v/>
      </c>
      <c r="BA127" s="60">
        <f>IF(C127="","",MAX(1,_xlfn.MAXIFS('Saisie'!$AT$5:$AT$2004,'Saisie'!$C$5:$C$2004,C127)))</f>
        <v/>
      </c>
      <c r="BB127" s="60">
        <f>IF(C127="","",IFERROR(INDEX('Saisie'!$X$5:$X$2004,_xlfn.MAXIFS('Saisie'!$AS$5:$AS$2004,'Saisie'!$C$5:$C$2004,C127,'Saisie'!$X$5:$X$2004,"&lt;&gt;")-4),""))</f>
        <v/>
      </c>
      <c r="BC127" s="60">
        <f>IF(C127="","",IFERROR(INDEX('Saisie'!$Y$5:$Y$2004,_xlfn.MAXIFS('Saisie'!$AS$5:$AS$2004,'Saisie'!$C$5:$C$2004,C127,'Saisie'!$Y$5:$Y$2004,"&lt;&gt;")-4),""))</f>
        <v/>
      </c>
      <c r="BD127" s="106">
        <f>IF(C127="","",IFERROR(1/(1/_xlfn.MINIFS('Saisie'!$A$5:$A$2004,'Saisie'!$C$5:$C$2004,C127,'Saisie'!$AT$5:$AT$2004,"&gt;=2")),""))</f>
        <v/>
      </c>
      <c r="BE127" s="106">
        <f>IF(C127="","",IFERROR(1/(1/_xlfn.MINIFS('Saisie'!$A$5:$A$2004,'Saisie'!$C$5:$C$2004,C127,'Saisie'!$AT$5:$AT$2004,"&gt;=3")),""))</f>
        <v/>
      </c>
      <c r="BF127" s="106">
        <f>IF(C127="","",IFERROR(1/(1/_xlfn.MINIFS('Saisie'!$A$5:$A$2004,'Saisie'!$C$5:$C$2004,C127,'Saisie'!$AT$5:$AT$2004,"&gt;=4")),""))</f>
        <v/>
      </c>
      <c r="BG127" s="106">
        <f>IF(C127="","",IFERROR(1/(1/_xlfn.MINIFS('Saisie'!$A$5:$A$2004,'Saisie'!$C$5:$C$2004,C127,'Saisie'!$AT$5:$AT$2004,"&gt;=5")),""))</f>
        <v/>
      </c>
      <c r="BH127" s="106">
        <f>IF(C127="","",IFERROR(1/(1/_xlfn.MINIFS('Saisie'!$A$5:$A$2004,'Saisie'!$C$5:$C$2004,C127,'Saisie'!$AT$5:$AT$2004,"&gt;=6")),""))</f>
        <v/>
      </c>
      <c r="BI127" s="106">
        <f>IF(C127="","",IFERROR(1/(1/_xlfn.MINIFS('Saisie'!$A$5:$A$2004,'Saisie'!$C$5:$C$2004,C127,'Saisie'!$AT$5:$AT$2004,"&gt;=7")),""))</f>
        <v/>
      </c>
      <c r="BJ127" s="60">
        <f>IF(OR(BD127="",B127=""),"",BD127-B127)</f>
        <v/>
      </c>
      <c r="BK127" s="60">
        <f>IF(OR(BE127="",BD127=""),"",BE127-BD127)</f>
        <v/>
      </c>
      <c r="BL127" s="60">
        <f>IF(OR(BF127="",BE127=""),"",BF127-BE127)</f>
        <v/>
      </c>
      <c r="BM127" s="60">
        <f>IF(OR(BG127="",BF127=""),"",BG127-BF127)</f>
        <v/>
      </c>
      <c r="BN127" s="60">
        <f>IF(OR(BH127="",BG127=""),"",BH127-BG127)</f>
        <v/>
      </c>
      <c r="BO127" s="60">
        <f>IF(OR(BI127="",BH127=""),"",BI127-BH127)</f>
        <v/>
      </c>
      <c r="BP127" s="60">
        <f>IF(C127="","",_xlfn.MAXIFS('Saisie'!$AS$5:$AS$2004,'Saisie'!$C$5:$C$2004,C127,'Saisie'!$J$5:$J$2004,"&lt;&gt;"))</f>
        <v/>
      </c>
      <c r="BQ127" s="60">
        <f>IF(C127="","",_xlfn.MAXIFS('Saisie'!$AS$5:$AS$2004,'Saisie'!$C$5:$C$2004,C127))</f>
        <v/>
      </c>
      <c r="BR127" s="60">
        <f>IF(C127="","",_xlfn.MAXIFS('Saisie'!$AS$5:$AS$2004,'Saisie'!$C$5:$C$2004,C127,'Saisie'!$E$5:$E$2004,"Perdu"))</f>
        <v/>
      </c>
      <c r="BS127" s="60">
        <f>IF(C127="","",_xlfn.MAXIFS('Saisie'!$AS$5:$AS$2004,'Saisie'!$C$5:$C$2004,C127,'Saisie'!$AT$5:$AT$2004,"&gt;0"))</f>
        <v/>
      </c>
      <c r="BT127" s="109">
        <f>IF(AND(C127&lt;&gt;"",OR(D127="Nouveau",D127="Contacté",D127="Qualifié"),OR(G127="",N(G127)&lt;=TODAY()),NOT(AND(O127&gt;='Paramètres'!$B$21,P127=0))),E127+123/10000,"")</f>
        <v/>
      </c>
      <c r="BU127" s="60">
        <f>IF(AND(G127&lt;&gt;"",N(G127)&lt;=TODAY()),MAX($BU$4:BU126)+1,"")</f>
        <v/>
      </c>
      <c r="BV127" s="60">
        <f>IF(AND(F127&lt;&gt;"",F127&lt;&gt;"Relance en retard"),MAX($BV$4:BV126)+1,"")</f>
        <v/>
      </c>
      <c r="BW127" s="60">
        <f>IF(C127="","",IF(AND(B127&gt;='Tableau de bord'!$R$4,B127&lt;='Tableau de bord'!$S$4,OR('Tableau de bord'!$G$4="Tous",N127='Tableau de bord'!$G$4)),1,0))</f>
        <v/>
      </c>
      <c r="BX127" s="60">
        <f>IF(AND(C127&lt;&gt;"",N(BA127)=7),MAX($BX$4:BX126)+1,"")</f>
        <v/>
      </c>
    </row>
    <row r="128">
      <c r="A128" s="60">
        <f>IF(C128="","","P-"&amp;TEXT(124,"000"))</f>
        <v/>
      </c>
      <c r="B128" s="106">
        <f>IF(C128="","",IFERROR(1/(1/_xlfn.MINIFS('Saisie'!$A$5:$A$2004,'Saisie'!$C$5:$C$2004,C128)),""))</f>
        <v/>
      </c>
      <c r="C128" s="60">
        <f>IFERROR(INDEX('Saisie'!$C$5:$C$2004,MATCH(124,'Saisie'!$AX$5:$AX$2004,0)),"")</f>
        <v/>
      </c>
      <c r="D128" s="60">
        <f>IF(C128="","",IF(AND(BR128&gt;0,BR128&gt;BS128,BA128&lt;7),"Perdu",INDEX('Paramètres'!$F$6:$F$13,BA128)))</f>
        <v/>
      </c>
      <c r="E128" s="61">
        <f>IF(C128="","",MIN(100,(Z128="Oui")*'Paramètres'!$B$38+(AB128="Régulière")*'Paramètres'!$B$39+IF(AND(N(AA128)&gt;0,TODAY()-N(AA128)&lt;=30),'Paramètres'!$B$40,0)+(W128="")*'Paramètres'!$B$41+(AC128="Absente")*'Paramètres'!$B$42+(AC128="Faible")*'Paramètres'!$B$43+IF(AND(N(AD128)&gt;0,N(AD128)&lt;4),'Paramètres'!$B$44,0)+(AF128="Moyenne")*'Paramètres'!$B$45+(AF128="Grande")*'Paramètres'!$B$46+(Y128&lt;&gt;"")*'Paramètres'!$B$47))</f>
        <v/>
      </c>
      <c r="F128" s="60">
        <f>IF(C128="","",IF(D128="Gagné","",IF(D128="Perdu",IF(AND(AX128&lt;&gt;"",AX128&lt;=TODAY()),"À recontacter (perdu)",""),IF(AND(O128&gt;='Paramètres'!$B$21,P128=0),"Stop : "&amp;'Paramètres'!$B$21&amp;" tentatives sans réponse",IF(AND(D128="Proposition",AR128&lt;&gt;"",TODAY()&gt;N(AR128)),"Proposition expirée",IF(AND(D128="Proposition",N(R128)&gt;='Paramètres'!$B$25),"Proposition sans réponse",IF(AND(G128&lt;&gt;"",N(G128)&lt;TODAY()),"Relance en retard",IF(N(R128)&gt;='Paramètres'!$B$24,"Sans action depuis "&amp;R128&amp;" j",""))))))))</f>
        <v/>
      </c>
      <c r="G128" s="106">
        <f>IF(OR(C128="",D128="Gagné",D128="Perdu"),"",IF(AND(BP128&gt;0,BP128=BQ128),INDEX('Saisie'!$J$5:$J$2004,BP128-4),IF(OR(O128=0,AND(O128&gt;='Paramètres'!$B$21,P128=0)),"",Q128+IF(O128&lt;=1,'Paramètres'!$B$18,IF(O128=2,'Paramètres'!$B$19,'Paramètres'!$B$20)))))</f>
        <v/>
      </c>
      <c r="H128" s="107">
        <f>IF(OR(G128="",BP128&lt;&gt;BQ128),"",IF(INDEX('Saisie'!$K$5:$K$2004,BP128-4)="","",INDEX('Saisie'!$K$5:$K$2004,BP128-4)))</f>
        <v/>
      </c>
      <c r="I128" s="60">
        <f>IF(C128="","",IF(OR(D128="Gagné",D128="Perdu"),"",IFERROR(INDEX('Saisie'!$I$5:$I$2004,_xlfn.MAXIFS('Saisie'!$AS$5:$AS$2004,'Saisie'!$C$5:$C$2004,C128,'Saisie'!$I$5:$I$2004,"&lt;&gt;")-4),"")))</f>
        <v/>
      </c>
      <c r="J128" s="60">
        <f>IF(C128="","",IFERROR(INDEX('Saisie'!$U$5:$U$2004,_xlfn.MAXIFS('Saisie'!$AS$5:$AS$2004,'Saisie'!$C$5:$C$2004,C128,'Saisie'!$U$5:$U$2004,"&lt;&gt;")-4),""))</f>
        <v/>
      </c>
      <c r="K128" s="60">
        <f>IF(C128="","",IFERROR(INDEX('Saisie'!$W$5:$W$2004,_xlfn.MAXIFS('Saisie'!$AS$5:$AS$2004,'Saisie'!$C$5:$C$2004,C128,'Saisie'!$W$5:$W$2004,"&lt;&gt;")-4),""))</f>
        <v/>
      </c>
      <c r="L128" s="60">
        <f>IF(IF(BB128&lt;&gt;"",BB128,K128)="","",HYPERLINK("https://wa.me/"&amp;IF(LEFT(SUBSTITUTE(SUBSTITUTE(SUBSTITUTE(IF(BB128&lt;&gt;"",BB128,K128)," ",""),".",""),"+",""),1)="0",'Paramètres'!$B$35&amp;MID(SUBSTITUTE(SUBSTITUTE(SUBSTITUTE(IF(BB128&lt;&gt;"",BB128,K128)," ",""),".",""),"+",""),2,20),SUBSTITUTE(SUBSTITUTE(SUBSTITUTE(IF(BB128&lt;&gt;"",BB128,K128)," ",""),".",""),"+","")),"WhatsApp"))</f>
        <v/>
      </c>
      <c r="M128" s="60">
        <f>IF(BC128="","",HYPERLINK(IF(LEFT(BC128,4)="http",BC128,"https://www.instagram.com/"&amp;SUBSTITUTE(SUBSTITUTE(BC128,"@","")," ","")),BC128))</f>
        <v/>
      </c>
      <c r="N128" s="60">
        <f>IF(C128="","",IFERROR(INDEX('Saisie'!$D$5:$D$2004,_xlfn.MINIFS('Saisie'!$AS$5:$AS$2004,'Saisie'!$C$5:$C$2004,C128,'Saisie'!$AU$5:$AU$2004,1)-4),IFERROR(INDEX('Saisie'!$D$5:$D$2004,_xlfn.MINIFS('Saisie'!$AS$5:$AS$2004,'Saisie'!$C$5:$C$2004,C128,'Saisie'!$D$5:$D$2004,"&lt;&gt;")-4),"")))</f>
        <v/>
      </c>
      <c r="O128" s="60">
        <f>IF(C128="","",COUNTIFS('Saisie'!$C$5:$C$2004,C128,'Saisie'!$AU$5:$AU$2004,1))</f>
        <v/>
      </c>
      <c r="P128" s="60">
        <f>IF(C128="","",COUNTIFS('Saisie'!$C$5:$C$2004,C128,'Saisie'!$AV$5:$AV$2004,1))</f>
        <v/>
      </c>
      <c r="Q128" s="106">
        <f>IF(C128="","",IFERROR(1/(1/_xlfn.MAXIFS('Saisie'!$A$5:$A$2004,'Saisie'!$C$5:$C$2004,C128)),""))</f>
        <v/>
      </c>
      <c r="R128" s="61">
        <f>IF(C128="","",IF(Q128="","",TODAY()-Q128))</f>
        <v/>
      </c>
      <c r="S128" s="60">
        <f>IF(C128="","",IFERROR(INDEX('Saisie'!$R$5:$R$2004,_xlfn.MAXIFS('Saisie'!$AS$5:$AS$2004,'Saisie'!$C$5:$C$2004,C128,'Saisie'!$R$5:$R$2004,"&lt;&gt;")-4),""))</f>
        <v/>
      </c>
      <c r="T128" s="60">
        <f>IF(C128="","",IFERROR(INDEX('Saisie'!$S$5:$S$2004,_xlfn.MAXIFS('Saisie'!$AS$5:$AS$2004,'Saisie'!$C$5:$C$2004,C128,'Saisie'!$S$5:$S$2004,"&lt;&gt;")-4),""))</f>
        <v/>
      </c>
      <c r="U128" s="60">
        <f>IF(C128="","",IFERROR(INDEX('Saisie'!$T$5:$T$2004,_xlfn.MAXIFS('Saisie'!$AS$5:$AS$2004,'Saisie'!$C$5:$C$2004,C128,'Saisie'!$T$5:$T$2004,"&lt;&gt;")-4),""))</f>
        <v/>
      </c>
      <c r="V128" s="60">
        <f>IF(C128="","",IFERROR(INDEX('Saisie'!$V$5:$V$2004,_xlfn.MAXIFS('Saisie'!$AS$5:$AS$2004,'Saisie'!$C$5:$C$2004,C128,'Saisie'!$V$5:$V$2004,"&lt;&gt;")-4),""))</f>
        <v/>
      </c>
      <c r="W128" s="60">
        <f>IF(C128="","",IFERROR(INDEX('Saisie'!$Z$5:$Z$2004,_xlfn.MAXIFS('Saisie'!$AS$5:$AS$2004,'Saisie'!$C$5:$C$2004,C128,'Saisie'!$Z$5:$Z$2004,"&lt;&gt;")-4),""))</f>
        <v/>
      </c>
      <c r="X128" s="60">
        <f>IF(C128="","",IFERROR(INDEX('Saisie'!$AA$5:$AA$2004,_xlfn.MAXIFS('Saisie'!$AS$5:$AS$2004,'Saisie'!$C$5:$C$2004,C128,'Saisie'!$AA$5:$AA$2004,"&lt;&gt;")-4),""))</f>
        <v/>
      </c>
      <c r="Y128" s="60">
        <f>IF(C128="","",IFERROR(INDEX('Saisie'!$AB$5:$AB$2004,_xlfn.MAXIFS('Saisie'!$AS$5:$AS$2004,'Saisie'!$C$5:$C$2004,C128,'Saisie'!$AB$5:$AB$2004,"&lt;&gt;")-4),""))</f>
        <v/>
      </c>
      <c r="Z128" s="60">
        <f>IF(C128="","",IFERROR(INDEX('Saisie'!$AC$5:$AC$2004,_xlfn.MAXIFS('Saisie'!$AS$5:$AS$2004,'Saisie'!$C$5:$C$2004,C128,'Saisie'!$AC$5:$AC$2004,"&lt;&gt;")-4),""))</f>
        <v/>
      </c>
      <c r="AA128" s="106">
        <f>IF(C128="","",IFERROR(INDEX('Saisie'!$AD$5:$AD$2004,_xlfn.MAXIFS('Saisie'!$AS$5:$AS$2004,'Saisie'!$C$5:$C$2004,C128,'Saisie'!$AD$5:$AD$2004,"&lt;&gt;")-4),""))</f>
        <v/>
      </c>
      <c r="AB128" s="60">
        <f>IF(C128="","",IFERROR(INDEX('Saisie'!$AE$5:$AE$2004,_xlfn.MAXIFS('Saisie'!$AS$5:$AS$2004,'Saisie'!$C$5:$C$2004,C128,'Saisie'!$AE$5:$AE$2004,"&lt;&gt;")-4),""))</f>
        <v/>
      </c>
      <c r="AC128" s="60">
        <f>IF(C128="","",IFERROR(INDEX('Saisie'!$AF$5:$AF$2004,_xlfn.MAXIFS('Saisie'!$AS$5:$AS$2004,'Saisie'!$C$5:$C$2004,C128,'Saisie'!$AF$5:$AF$2004,"&lt;&gt;")-4),""))</f>
        <v/>
      </c>
      <c r="AD128" s="108">
        <f>IF(C128="","",IFERROR(INDEX('Saisie'!$AG$5:$AG$2004,_xlfn.MAXIFS('Saisie'!$AS$5:$AS$2004,'Saisie'!$C$5:$C$2004,C128,'Saisie'!$AG$5:$AG$2004,"&lt;&gt;")-4),""))</f>
        <v/>
      </c>
      <c r="AE128" s="60">
        <f>IF(C128="","",IFERROR(INDEX('Saisie'!$AH$5:$AH$2004,_xlfn.MAXIFS('Saisie'!$AS$5:$AS$2004,'Saisie'!$C$5:$C$2004,C128,'Saisie'!$AH$5:$AH$2004,"&lt;&gt;")-4),""))</f>
        <v/>
      </c>
      <c r="AF128" s="60">
        <f>IF(C128="","",IFERROR(INDEX('Saisie'!$AI$5:$AI$2004,_xlfn.MAXIFS('Saisie'!$AS$5:$AS$2004,'Saisie'!$C$5:$C$2004,C128,'Saisie'!$AI$5:$AI$2004,"&lt;&gt;")-4),""))</f>
        <v/>
      </c>
      <c r="AG128" s="60">
        <f>IF(C128="","",IFERROR(INDEX('Saisie'!$AJ$5:$AJ$2004,_xlfn.MAXIFS('Saisie'!$AS$5:$AS$2004,'Saisie'!$C$5:$C$2004,C128,'Saisie'!$AJ$5:$AJ$2004,"&lt;&gt;")-4),""))</f>
        <v/>
      </c>
      <c r="AH128" s="60">
        <f>IF(C128="","",IFERROR(INDEX('Saisie'!$AK$5:$AK$2004,_xlfn.MAXIFS('Saisie'!$AS$5:$AS$2004,'Saisie'!$C$5:$C$2004,C128,'Saisie'!$AK$5:$AK$2004,"&lt;&gt;")-4),""))</f>
        <v/>
      </c>
      <c r="AI128" s="60">
        <f>IF(C128="","",IFERROR(INDEX('Saisie'!$AN$5:$AN$2004,_xlfn.MAXIFS('Saisie'!$AS$5:$AS$2004,'Saisie'!$C$5:$C$2004,C128,'Saisie'!$AN$5:$AN$2004,"&lt;&gt;")-4),""))</f>
        <v/>
      </c>
      <c r="AJ128" s="60">
        <f>IF(C128="","",IFERROR(INDEX('Saisie'!$AO$5:$AO$2004,_xlfn.MAXIFS('Saisie'!$AS$5:$AS$2004,'Saisie'!$C$5:$C$2004,C128,'Saisie'!$AO$5:$AO$2004,"&lt;&gt;")-4),""))</f>
        <v/>
      </c>
      <c r="AK128" s="60">
        <f>IF(C128="","",IFERROR(INDEX('Saisie'!$AP$5:$AP$2004,_xlfn.MAXIFS('Saisie'!$AS$5:$AS$2004,'Saisie'!$C$5:$C$2004,C128,'Saisie'!$AP$5:$AP$2004,"&lt;&gt;")-4),""))</f>
        <v/>
      </c>
      <c r="AL128" s="60">
        <f>IF(C128="","",IFERROR(INDEX('Saisie'!$AQ$5:$AQ$2004,_xlfn.MAXIFS('Saisie'!$AS$5:$AS$2004,'Saisie'!$C$5:$C$2004,C128,'Saisie'!$AQ$5:$AQ$2004,"&lt;&gt;")-4),""))</f>
        <v/>
      </c>
      <c r="AM128" s="60">
        <f>IF(C128="","",((AI128="Oui")+(AJ128="Oui")+(AK128="Oui")+OR(AL128="Immédiat",AL128="&lt; 1 mois"))&amp;"/4")</f>
        <v/>
      </c>
      <c r="AN128" s="60">
        <f>IF(C128="","",IFERROR(INDEX('Saisie'!$AL$5:$AL$2004,_xlfn.MAXIFS('Saisie'!$AS$5:$AS$2004,'Saisie'!$C$5:$C$2004,C128,'Saisie'!$AL$5:$AL$2004,"&lt;&gt;")-4),""))</f>
        <v/>
      </c>
      <c r="AO128" s="62">
        <f>IF(C128="","",IF(IFERROR(INDEX('Saisie'!$AM$5:$AM$2004,_xlfn.MAXIFS('Saisie'!$AS$5:$AS$2004,'Saisie'!$C$5:$C$2004,C128,'Saisie'!$AM$5:$AM$2004,"&lt;&gt;")-4),"")&lt;&gt;"",IFERROR(INDEX('Saisie'!$AM$5:$AM$2004,_xlfn.MAXIFS('Saisie'!$AS$5:$AS$2004,'Saisie'!$C$5:$C$2004,C128,'Saisie'!$AM$5:$AM$2004,"&lt;&gt;")-4),""),IFERROR(INDEX('Paramètres'!$S$6:$S$15,MATCH(AN128,'Paramètres'!$Q$6:$Q$15,0)),"")))</f>
        <v/>
      </c>
      <c r="AP128" s="62">
        <f>IF(C128="","",IFERROR(INDEX('Saisie'!$AW$5:$AW$2004,_xlfn.MAXIFS('Saisie'!$AS$5:$AS$2004,'Saisie'!$C$5:$C$2004,C128,'Saisie'!$E$5:$E$2004,"Proposition envoyée")-4),""))</f>
        <v/>
      </c>
      <c r="AQ128" s="106">
        <f>IF(C128="","",IFERROR(1/(1/_xlfn.MAXIFS('Saisie'!$A$5:$A$2004,'Saisie'!$C$5:$C$2004,C128,'Saisie'!$E$5:$E$2004,"Proposition envoyée")),""))</f>
        <v/>
      </c>
      <c r="AR128" s="106">
        <f>IF(C128="","",IF(AQ128="","",AQ128+'Paramètres'!$B$26))</f>
        <v/>
      </c>
      <c r="AS128" s="62">
        <f>IF(OR(C128="",D128="Gagné",D128="Perdu"),0,N(AP128)*IFERROR(INDEX('Paramètres'!$G$6:$G$13,MATCH(D128,'Paramètres'!$F$6:$F$13,0)),0))</f>
        <v/>
      </c>
      <c r="AT128" s="106">
        <f>IF(C128="","",IFERROR(1/(1/_xlfn.MINIFS('Saisie'!$A$5:$A$2004,'Saisie'!$C$5:$C$2004,C128,'Saisie'!$E$5:$E$2004,"Signature")),""))</f>
        <v/>
      </c>
      <c r="AU128" s="60">
        <f>IF(C128="","",IF(OR(AT128="",B128=""),"",AT128-B128))</f>
        <v/>
      </c>
      <c r="AV128" s="60">
        <f>IF(C128="","",IFERROR(INDEX('Saisie'!$L$5:$L$2004,_xlfn.MAXIFS('Saisie'!$AS$5:$AS$2004,'Saisie'!$C$5:$C$2004,C128,'Saisie'!$L$5:$L$2004,"&lt;&gt;")-4),""))</f>
        <v/>
      </c>
      <c r="AW128" s="106">
        <f>IF(C128="","",IF(D128&lt;&gt;"Perdu","",IFERROR(1/(1/_xlfn.MAXIFS('Saisie'!$A$5:$A$2004,'Saisie'!$C$5:$C$2004,C128,'Saisie'!$E$5:$E$2004,"Perdu")),"")))</f>
        <v/>
      </c>
      <c r="AX128" s="106">
        <f>IF(C128="","",IF(AW128="","",AW128+'Paramètres'!$B$28))</f>
        <v/>
      </c>
      <c r="AY128" s="60">
        <f>IF(C128="","",SUMIFS('Saisie'!$H$5:$H$2004,'Saisie'!$C$5:$C$2004,C128))</f>
        <v/>
      </c>
      <c r="AZ128" s="60">
        <f>IF(C128="","",IFERROR(INDEX('Paramètres'!$W$6:$W$20,MATCH(S128,'Paramètres'!$V$6:$V$20,0))&amp;"",""))</f>
        <v/>
      </c>
      <c r="BA128" s="60">
        <f>IF(C128="","",MAX(1,_xlfn.MAXIFS('Saisie'!$AT$5:$AT$2004,'Saisie'!$C$5:$C$2004,C128)))</f>
        <v/>
      </c>
      <c r="BB128" s="60">
        <f>IF(C128="","",IFERROR(INDEX('Saisie'!$X$5:$X$2004,_xlfn.MAXIFS('Saisie'!$AS$5:$AS$2004,'Saisie'!$C$5:$C$2004,C128,'Saisie'!$X$5:$X$2004,"&lt;&gt;")-4),""))</f>
        <v/>
      </c>
      <c r="BC128" s="60">
        <f>IF(C128="","",IFERROR(INDEX('Saisie'!$Y$5:$Y$2004,_xlfn.MAXIFS('Saisie'!$AS$5:$AS$2004,'Saisie'!$C$5:$C$2004,C128,'Saisie'!$Y$5:$Y$2004,"&lt;&gt;")-4),""))</f>
        <v/>
      </c>
      <c r="BD128" s="106">
        <f>IF(C128="","",IFERROR(1/(1/_xlfn.MINIFS('Saisie'!$A$5:$A$2004,'Saisie'!$C$5:$C$2004,C128,'Saisie'!$AT$5:$AT$2004,"&gt;=2")),""))</f>
        <v/>
      </c>
      <c r="BE128" s="106">
        <f>IF(C128="","",IFERROR(1/(1/_xlfn.MINIFS('Saisie'!$A$5:$A$2004,'Saisie'!$C$5:$C$2004,C128,'Saisie'!$AT$5:$AT$2004,"&gt;=3")),""))</f>
        <v/>
      </c>
      <c r="BF128" s="106">
        <f>IF(C128="","",IFERROR(1/(1/_xlfn.MINIFS('Saisie'!$A$5:$A$2004,'Saisie'!$C$5:$C$2004,C128,'Saisie'!$AT$5:$AT$2004,"&gt;=4")),""))</f>
        <v/>
      </c>
      <c r="BG128" s="106">
        <f>IF(C128="","",IFERROR(1/(1/_xlfn.MINIFS('Saisie'!$A$5:$A$2004,'Saisie'!$C$5:$C$2004,C128,'Saisie'!$AT$5:$AT$2004,"&gt;=5")),""))</f>
        <v/>
      </c>
      <c r="BH128" s="106">
        <f>IF(C128="","",IFERROR(1/(1/_xlfn.MINIFS('Saisie'!$A$5:$A$2004,'Saisie'!$C$5:$C$2004,C128,'Saisie'!$AT$5:$AT$2004,"&gt;=6")),""))</f>
        <v/>
      </c>
      <c r="BI128" s="106">
        <f>IF(C128="","",IFERROR(1/(1/_xlfn.MINIFS('Saisie'!$A$5:$A$2004,'Saisie'!$C$5:$C$2004,C128,'Saisie'!$AT$5:$AT$2004,"&gt;=7")),""))</f>
        <v/>
      </c>
      <c r="BJ128" s="60">
        <f>IF(OR(BD128="",B128=""),"",BD128-B128)</f>
        <v/>
      </c>
      <c r="BK128" s="60">
        <f>IF(OR(BE128="",BD128=""),"",BE128-BD128)</f>
        <v/>
      </c>
      <c r="BL128" s="60">
        <f>IF(OR(BF128="",BE128=""),"",BF128-BE128)</f>
        <v/>
      </c>
      <c r="BM128" s="60">
        <f>IF(OR(BG128="",BF128=""),"",BG128-BF128)</f>
        <v/>
      </c>
      <c r="BN128" s="60">
        <f>IF(OR(BH128="",BG128=""),"",BH128-BG128)</f>
        <v/>
      </c>
      <c r="BO128" s="60">
        <f>IF(OR(BI128="",BH128=""),"",BI128-BH128)</f>
        <v/>
      </c>
      <c r="BP128" s="60">
        <f>IF(C128="","",_xlfn.MAXIFS('Saisie'!$AS$5:$AS$2004,'Saisie'!$C$5:$C$2004,C128,'Saisie'!$J$5:$J$2004,"&lt;&gt;"))</f>
        <v/>
      </c>
      <c r="BQ128" s="60">
        <f>IF(C128="","",_xlfn.MAXIFS('Saisie'!$AS$5:$AS$2004,'Saisie'!$C$5:$C$2004,C128))</f>
        <v/>
      </c>
      <c r="BR128" s="60">
        <f>IF(C128="","",_xlfn.MAXIFS('Saisie'!$AS$5:$AS$2004,'Saisie'!$C$5:$C$2004,C128,'Saisie'!$E$5:$E$2004,"Perdu"))</f>
        <v/>
      </c>
      <c r="BS128" s="60">
        <f>IF(C128="","",_xlfn.MAXIFS('Saisie'!$AS$5:$AS$2004,'Saisie'!$C$5:$C$2004,C128,'Saisie'!$AT$5:$AT$2004,"&gt;0"))</f>
        <v/>
      </c>
      <c r="BT128" s="109">
        <f>IF(AND(C128&lt;&gt;"",OR(D128="Nouveau",D128="Contacté",D128="Qualifié"),OR(G128="",N(G128)&lt;=TODAY()),NOT(AND(O128&gt;='Paramètres'!$B$21,P128=0))),E128+124/10000,"")</f>
        <v/>
      </c>
      <c r="BU128" s="60">
        <f>IF(AND(G128&lt;&gt;"",N(G128)&lt;=TODAY()),MAX($BU$4:BU127)+1,"")</f>
        <v/>
      </c>
      <c r="BV128" s="60">
        <f>IF(AND(F128&lt;&gt;"",F128&lt;&gt;"Relance en retard"),MAX($BV$4:BV127)+1,"")</f>
        <v/>
      </c>
      <c r="BW128" s="60">
        <f>IF(C128="","",IF(AND(B128&gt;='Tableau de bord'!$R$4,B128&lt;='Tableau de bord'!$S$4,OR('Tableau de bord'!$G$4="Tous",N128='Tableau de bord'!$G$4)),1,0))</f>
        <v/>
      </c>
      <c r="BX128" s="60">
        <f>IF(AND(C128&lt;&gt;"",N(BA128)=7),MAX($BX$4:BX127)+1,"")</f>
        <v/>
      </c>
    </row>
    <row r="129">
      <c r="A129" s="60">
        <f>IF(C129="","","P-"&amp;TEXT(125,"000"))</f>
        <v/>
      </c>
      <c r="B129" s="106">
        <f>IF(C129="","",IFERROR(1/(1/_xlfn.MINIFS('Saisie'!$A$5:$A$2004,'Saisie'!$C$5:$C$2004,C129)),""))</f>
        <v/>
      </c>
      <c r="C129" s="60">
        <f>IFERROR(INDEX('Saisie'!$C$5:$C$2004,MATCH(125,'Saisie'!$AX$5:$AX$2004,0)),"")</f>
        <v/>
      </c>
      <c r="D129" s="60">
        <f>IF(C129="","",IF(AND(BR129&gt;0,BR129&gt;BS129,BA129&lt;7),"Perdu",INDEX('Paramètres'!$F$6:$F$13,BA129)))</f>
        <v/>
      </c>
      <c r="E129" s="61">
        <f>IF(C129="","",MIN(100,(Z129="Oui")*'Paramètres'!$B$38+(AB129="Régulière")*'Paramètres'!$B$39+IF(AND(N(AA129)&gt;0,TODAY()-N(AA129)&lt;=30),'Paramètres'!$B$40,0)+(W129="")*'Paramètres'!$B$41+(AC129="Absente")*'Paramètres'!$B$42+(AC129="Faible")*'Paramètres'!$B$43+IF(AND(N(AD129)&gt;0,N(AD129)&lt;4),'Paramètres'!$B$44,0)+(AF129="Moyenne")*'Paramètres'!$B$45+(AF129="Grande")*'Paramètres'!$B$46+(Y129&lt;&gt;"")*'Paramètres'!$B$47))</f>
        <v/>
      </c>
      <c r="F129" s="60">
        <f>IF(C129="","",IF(D129="Gagné","",IF(D129="Perdu",IF(AND(AX129&lt;&gt;"",AX129&lt;=TODAY()),"À recontacter (perdu)",""),IF(AND(O129&gt;='Paramètres'!$B$21,P129=0),"Stop : "&amp;'Paramètres'!$B$21&amp;" tentatives sans réponse",IF(AND(D129="Proposition",AR129&lt;&gt;"",TODAY()&gt;N(AR129)),"Proposition expirée",IF(AND(D129="Proposition",N(R129)&gt;='Paramètres'!$B$25),"Proposition sans réponse",IF(AND(G129&lt;&gt;"",N(G129)&lt;TODAY()),"Relance en retard",IF(N(R129)&gt;='Paramètres'!$B$24,"Sans action depuis "&amp;R129&amp;" j",""))))))))</f>
        <v/>
      </c>
      <c r="G129" s="106">
        <f>IF(OR(C129="",D129="Gagné",D129="Perdu"),"",IF(AND(BP129&gt;0,BP129=BQ129),INDEX('Saisie'!$J$5:$J$2004,BP129-4),IF(OR(O129=0,AND(O129&gt;='Paramètres'!$B$21,P129=0)),"",Q129+IF(O129&lt;=1,'Paramètres'!$B$18,IF(O129=2,'Paramètres'!$B$19,'Paramètres'!$B$20)))))</f>
        <v/>
      </c>
      <c r="H129" s="107">
        <f>IF(OR(G129="",BP129&lt;&gt;BQ129),"",IF(INDEX('Saisie'!$K$5:$K$2004,BP129-4)="","",INDEX('Saisie'!$K$5:$K$2004,BP129-4)))</f>
        <v/>
      </c>
      <c r="I129" s="60">
        <f>IF(C129="","",IF(OR(D129="Gagné",D129="Perdu"),"",IFERROR(INDEX('Saisie'!$I$5:$I$2004,_xlfn.MAXIFS('Saisie'!$AS$5:$AS$2004,'Saisie'!$C$5:$C$2004,C129,'Saisie'!$I$5:$I$2004,"&lt;&gt;")-4),"")))</f>
        <v/>
      </c>
      <c r="J129" s="60">
        <f>IF(C129="","",IFERROR(INDEX('Saisie'!$U$5:$U$2004,_xlfn.MAXIFS('Saisie'!$AS$5:$AS$2004,'Saisie'!$C$5:$C$2004,C129,'Saisie'!$U$5:$U$2004,"&lt;&gt;")-4),""))</f>
        <v/>
      </c>
      <c r="K129" s="60">
        <f>IF(C129="","",IFERROR(INDEX('Saisie'!$W$5:$W$2004,_xlfn.MAXIFS('Saisie'!$AS$5:$AS$2004,'Saisie'!$C$5:$C$2004,C129,'Saisie'!$W$5:$W$2004,"&lt;&gt;")-4),""))</f>
        <v/>
      </c>
      <c r="L129" s="60">
        <f>IF(IF(BB129&lt;&gt;"",BB129,K129)="","",HYPERLINK("https://wa.me/"&amp;IF(LEFT(SUBSTITUTE(SUBSTITUTE(SUBSTITUTE(IF(BB129&lt;&gt;"",BB129,K129)," ",""),".",""),"+",""),1)="0",'Paramètres'!$B$35&amp;MID(SUBSTITUTE(SUBSTITUTE(SUBSTITUTE(IF(BB129&lt;&gt;"",BB129,K129)," ",""),".",""),"+",""),2,20),SUBSTITUTE(SUBSTITUTE(SUBSTITUTE(IF(BB129&lt;&gt;"",BB129,K129)," ",""),".",""),"+","")),"WhatsApp"))</f>
        <v/>
      </c>
      <c r="M129" s="60">
        <f>IF(BC129="","",HYPERLINK(IF(LEFT(BC129,4)="http",BC129,"https://www.instagram.com/"&amp;SUBSTITUTE(SUBSTITUTE(BC129,"@","")," ","")),BC129))</f>
        <v/>
      </c>
      <c r="N129" s="60">
        <f>IF(C129="","",IFERROR(INDEX('Saisie'!$D$5:$D$2004,_xlfn.MINIFS('Saisie'!$AS$5:$AS$2004,'Saisie'!$C$5:$C$2004,C129,'Saisie'!$AU$5:$AU$2004,1)-4),IFERROR(INDEX('Saisie'!$D$5:$D$2004,_xlfn.MINIFS('Saisie'!$AS$5:$AS$2004,'Saisie'!$C$5:$C$2004,C129,'Saisie'!$D$5:$D$2004,"&lt;&gt;")-4),"")))</f>
        <v/>
      </c>
      <c r="O129" s="60">
        <f>IF(C129="","",COUNTIFS('Saisie'!$C$5:$C$2004,C129,'Saisie'!$AU$5:$AU$2004,1))</f>
        <v/>
      </c>
      <c r="P129" s="60">
        <f>IF(C129="","",COUNTIFS('Saisie'!$C$5:$C$2004,C129,'Saisie'!$AV$5:$AV$2004,1))</f>
        <v/>
      </c>
      <c r="Q129" s="106">
        <f>IF(C129="","",IFERROR(1/(1/_xlfn.MAXIFS('Saisie'!$A$5:$A$2004,'Saisie'!$C$5:$C$2004,C129)),""))</f>
        <v/>
      </c>
      <c r="R129" s="61">
        <f>IF(C129="","",IF(Q129="","",TODAY()-Q129))</f>
        <v/>
      </c>
      <c r="S129" s="60">
        <f>IF(C129="","",IFERROR(INDEX('Saisie'!$R$5:$R$2004,_xlfn.MAXIFS('Saisie'!$AS$5:$AS$2004,'Saisie'!$C$5:$C$2004,C129,'Saisie'!$R$5:$R$2004,"&lt;&gt;")-4),""))</f>
        <v/>
      </c>
      <c r="T129" s="60">
        <f>IF(C129="","",IFERROR(INDEX('Saisie'!$S$5:$S$2004,_xlfn.MAXIFS('Saisie'!$AS$5:$AS$2004,'Saisie'!$C$5:$C$2004,C129,'Saisie'!$S$5:$S$2004,"&lt;&gt;")-4),""))</f>
        <v/>
      </c>
      <c r="U129" s="60">
        <f>IF(C129="","",IFERROR(INDEX('Saisie'!$T$5:$T$2004,_xlfn.MAXIFS('Saisie'!$AS$5:$AS$2004,'Saisie'!$C$5:$C$2004,C129,'Saisie'!$T$5:$T$2004,"&lt;&gt;")-4),""))</f>
        <v/>
      </c>
      <c r="V129" s="60">
        <f>IF(C129="","",IFERROR(INDEX('Saisie'!$V$5:$V$2004,_xlfn.MAXIFS('Saisie'!$AS$5:$AS$2004,'Saisie'!$C$5:$C$2004,C129,'Saisie'!$V$5:$V$2004,"&lt;&gt;")-4),""))</f>
        <v/>
      </c>
      <c r="W129" s="60">
        <f>IF(C129="","",IFERROR(INDEX('Saisie'!$Z$5:$Z$2004,_xlfn.MAXIFS('Saisie'!$AS$5:$AS$2004,'Saisie'!$C$5:$C$2004,C129,'Saisie'!$Z$5:$Z$2004,"&lt;&gt;")-4),""))</f>
        <v/>
      </c>
      <c r="X129" s="60">
        <f>IF(C129="","",IFERROR(INDEX('Saisie'!$AA$5:$AA$2004,_xlfn.MAXIFS('Saisie'!$AS$5:$AS$2004,'Saisie'!$C$5:$C$2004,C129,'Saisie'!$AA$5:$AA$2004,"&lt;&gt;")-4),""))</f>
        <v/>
      </c>
      <c r="Y129" s="60">
        <f>IF(C129="","",IFERROR(INDEX('Saisie'!$AB$5:$AB$2004,_xlfn.MAXIFS('Saisie'!$AS$5:$AS$2004,'Saisie'!$C$5:$C$2004,C129,'Saisie'!$AB$5:$AB$2004,"&lt;&gt;")-4),""))</f>
        <v/>
      </c>
      <c r="Z129" s="60">
        <f>IF(C129="","",IFERROR(INDEX('Saisie'!$AC$5:$AC$2004,_xlfn.MAXIFS('Saisie'!$AS$5:$AS$2004,'Saisie'!$C$5:$C$2004,C129,'Saisie'!$AC$5:$AC$2004,"&lt;&gt;")-4),""))</f>
        <v/>
      </c>
      <c r="AA129" s="106">
        <f>IF(C129="","",IFERROR(INDEX('Saisie'!$AD$5:$AD$2004,_xlfn.MAXIFS('Saisie'!$AS$5:$AS$2004,'Saisie'!$C$5:$C$2004,C129,'Saisie'!$AD$5:$AD$2004,"&lt;&gt;")-4),""))</f>
        <v/>
      </c>
      <c r="AB129" s="60">
        <f>IF(C129="","",IFERROR(INDEX('Saisie'!$AE$5:$AE$2004,_xlfn.MAXIFS('Saisie'!$AS$5:$AS$2004,'Saisie'!$C$5:$C$2004,C129,'Saisie'!$AE$5:$AE$2004,"&lt;&gt;")-4),""))</f>
        <v/>
      </c>
      <c r="AC129" s="60">
        <f>IF(C129="","",IFERROR(INDEX('Saisie'!$AF$5:$AF$2004,_xlfn.MAXIFS('Saisie'!$AS$5:$AS$2004,'Saisie'!$C$5:$C$2004,C129,'Saisie'!$AF$5:$AF$2004,"&lt;&gt;")-4),""))</f>
        <v/>
      </c>
      <c r="AD129" s="108">
        <f>IF(C129="","",IFERROR(INDEX('Saisie'!$AG$5:$AG$2004,_xlfn.MAXIFS('Saisie'!$AS$5:$AS$2004,'Saisie'!$C$5:$C$2004,C129,'Saisie'!$AG$5:$AG$2004,"&lt;&gt;")-4),""))</f>
        <v/>
      </c>
      <c r="AE129" s="60">
        <f>IF(C129="","",IFERROR(INDEX('Saisie'!$AH$5:$AH$2004,_xlfn.MAXIFS('Saisie'!$AS$5:$AS$2004,'Saisie'!$C$5:$C$2004,C129,'Saisie'!$AH$5:$AH$2004,"&lt;&gt;")-4),""))</f>
        <v/>
      </c>
      <c r="AF129" s="60">
        <f>IF(C129="","",IFERROR(INDEX('Saisie'!$AI$5:$AI$2004,_xlfn.MAXIFS('Saisie'!$AS$5:$AS$2004,'Saisie'!$C$5:$C$2004,C129,'Saisie'!$AI$5:$AI$2004,"&lt;&gt;")-4),""))</f>
        <v/>
      </c>
      <c r="AG129" s="60">
        <f>IF(C129="","",IFERROR(INDEX('Saisie'!$AJ$5:$AJ$2004,_xlfn.MAXIFS('Saisie'!$AS$5:$AS$2004,'Saisie'!$C$5:$C$2004,C129,'Saisie'!$AJ$5:$AJ$2004,"&lt;&gt;")-4),""))</f>
        <v/>
      </c>
      <c r="AH129" s="60">
        <f>IF(C129="","",IFERROR(INDEX('Saisie'!$AK$5:$AK$2004,_xlfn.MAXIFS('Saisie'!$AS$5:$AS$2004,'Saisie'!$C$5:$C$2004,C129,'Saisie'!$AK$5:$AK$2004,"&lt;&gt;")-4),""))</f>
        <v/>
      </c>
      <c r="AI129" s="60">
        <f>IF(C129="","",IFERROR(INDEX('Saisie'!$AN$5:$AN$2004,_xlfn.MAXIFS('Saisie'!$AS$5:$AS$2004,'Saisie'!$C$5:$C$2004,C129,'Saisie'!$AN$5:$AN$2004,"&lt;&gt;")-4),""))</f>
        <v/>
      </c>
      <c r="AJ129" s="60">
        <f>IF(C129="","",IFERROR(INDEX('Saisie'!$AO$5:$AO$2004,_xlfn.MAXIFS('Saisie'!$AS$5:$AS$2004,'Saisie'!$C$5:$C$2004,C129,'Saisie'!$AO$5:$AO$2004,"&lt;&gt;")-4),""))</f>
        <v/>
      </c>
      <c r="AK129" s="60">
        <f>IF(C129="","",IFERROR(INDEX('Saisie'!$AP$5:$AP$2004,_xlfn.MAXIFS('Saisie'!$AS$5:$AS$2004,'Saisie'!$C$5:$C$2004,C129,'Saisie'!$AP$5:$AP$2004,"&lt;&gt;")-4),""))</f>
        <v/>
      </c>
      <c r="AL129" s="60">
        <f>IF(C129="","",IFERROR(INDEX('Saisie'!$AQ$5:$AQ$2004,_xlfn.MAXIFS('Saisie'!$AS$5:$AS$2004,'Saisie'!$C$5:$C$2004,C129,'Saisie'!$AQ$5:$AQ$2004,"&lt;&gt;")-4),""))</f>
        <v/>
      </c>
      <c r="AM129" s="60">
        <f>IF(C129="","",((AI129="Oui")+(AJ129="Oui")+(AK129="Oui")+OR(AL129="Immédiat",AL129="&lt; 1 mois"))&amp;"/4")</f>
        <v/>
      </c>
      <c r="AN129" s="60">
        <f>IF(C129="","",IFERROR(INDEX('Saisie'!$AL$5:$AL$2004,_xlfn.MAXIFS('Saisie'!$AS$5:$AS$2004,'Saisie'!$C$5:$C$2004,C129,'Saisie'!$AL$5:$AL$2004,"&lt;&gt;")-4),""))</f>
        <v/>
      </c>
      <c r="AO129" s="62">
        <f>IF(C129="","",IF(IFERROR(INDEX('Saisie'!$AM$5:$AM$2004,_xlfn.MAXIFS('Saisie'!$AS$5:$AS$2004,'Saisie'!$C$5:$C$2004,C129,'Saisie'!$AM$5:$AM$2004,"&lt;&gt;")-4),"")&lt;&gt;"",IFERROR(INDEX('Saisie'!$AM$5:$AM$2004,_xlfn.MAXIFS('Saisie'!$AS$5:$AS$2004,'Saisie'!$C$5:$C$2004,C129,'Saisie'!$AM$5:$AM$2004,"&lt;&gt;")-4),""),IFERROR(INDEX('Paramètres'!$S$6:$S$15,MATCH(AN129,'Paramètres'!$Q$6:$Q$15,0)),"")))</f>
        <v/>
      </c>
      <c r="AP129" s="62">
        <f>IF(C129="","",IFERROR(INDEX('Saisie'!$AW$5:$AW$2004,_xlfn.MAXIFS('Saisie'!$AS$5:$AS$2004,'Saisie'!$C$5:$C$2004,C129,'Saisie'!$E$5:$E$2004,"Proposition envoyée")-4),""))</f>
        <v/>
      </c>
      <c r="AQ129" s="106">
        <f>IF(C129="","",IFERROR(1/(1/_xlfn.MAXIFS('Saisie'!$A$5:$A$2004,'Saisie'!$C$5:$C$2004,C129,'Saisie'!$E$5:$E$2004,"Proposition envoyée")),""))</f>
        <v/>
      </c>
      <c r="AR129" s="106">
        <f>IF(C129="","",IF(AQ129="","",AQ129+'Paramètres'!$B$26))</f>
        <v/>
      </c>
      <c r="AS129" s="62">
        <f>IF(OR(C129="",D129="Gagné",D129="Perdu"),0,N(AP129)*IFERROR(INDEX('Paramètres'!$G$6:$G$13,MATCH(D129,'Paramètres'!$F$6:$F$13,0)),0))</f>
        <v/>
      </c>
      <c r="AT129" s="106">
        <f>IF(C129="","",IFERROR(1/(1/_xlfn.MINIFS('Saisie'!$A$5:$A$2004,'Saisie'!$C$5:$C$2004,C129,'Saisie'!$E$5:$E$2004,"Signature")),""))</f>
        <v/>
      </c>
      <c r="AU129" s="60">
        <f>IF(C129="","",IF(OR(AT129="",B129=""),"",AT129-B129))</f>
        <v/>
      </c>
      <c r="AV129" s="60">
        <f>IF(C129="","",IFERROR(INDEX('Saisie'!$L$5:$L$2004,_xlfn.MAXIFS('Saisie'!$AS$5:$AS$2004,'Saisie'!$C$5:$C$2004,C129,'Saisie'!$L$5:$L$2004,"&lt;&gt;")-4),""))</f>
        <v/>
      </c>
      <c r="AW129" s="106">
        <f>IF(C129="","",IF(D129&lt;&gt;"Perdu","",IFERROR(1/(1/_xlfn.MAXIFS('Saisie'!$A$5:$A$2004,'Saisie'!$C$5:$C$2004,C129,'Saisie'!$E$5:$E$2004,"Perdu")),"")))</f>
        <v/>
      </c>
      <c r="AX129" s="106">
        <f>IF(C129="","",IF(AW129="","",AW129+'Paramètres'!$B$28))</f>
        <v/>
      </c>
      <c r="AY129" s="60">
        <f>IF(C129="","",SUMIFS('Saisie'!$H$5:$H$2004,'Saisie'!$C$5:$C$2004,C129))</f>
        <v/>
      </c>
      <c r="AZ129" s="60">
        <f>IF(C129="","",IFERROR(INDEX('Paramètres'!$W$6:$W$20,MATCH(S129,'Paramètres'!$V$6:$V$20,0))&amp;"",""))</f>
        <v/>
      </c>
      <c r="BA129" s="60">
        <f>IF(C129="","",MAX(1,_xlfn.MAXIFS('Saisie'!$AT$5:$AT$2004,'Saisie'!$C$5:$C$2004,C129)))</f>
        <v/>
      </c>
      <c r="BB129" s="60">
        <f>IF(C129="","",IFERROR(INDEX('Saisie'!$X$5:$X$2004,_xlfn.MAXIFS('Saisie'!$AS$5:$AS$2004,'Saisie'!$C$5:$C$2004,C129,'Saisie'!$X$5:$X$2004,"&lt;&gt;")-4),""))</f>
        <v/>
      </c>
      <c r="BC129" s="60">
        <f>IF(C129="","",IFERROR(INDEX('Saisie'!$Y$5:$Y$2004,_xlfn.MAXIFS('Saisie'!$AS$5:$AS$2004,'Saisie'!$C$5:$C$2004,C129,'Saisie'!$Y$5:$Y$2004,"&lt;&gt;")-4),""))</f>
        <v/>
      </c>
      <c r="BD129" s="106">
        <f>IF(C129="","",IFERROR(1/(1/_xlfn.MINIFS('Saisie'!$A$5:$A$2004,'Saisie'!$C$5:$C$2004,C129,'Saisie'!$AT$5:$AT$2004,"&gt;=2")),""))</f>
        <v/>
      </c>
      <c r="BE129" s="106">
        <f>IF(C129="","",IFERROR(1/(1/_xlfn.MINIFS('Saisie'!$A$5:$A$2004,'Saisie'!$C$5:$C$2004,C129,'Saisie'!$AT$5:$AT$2004,"&gt;=3")),""))</f>
        <v/>
      </c>
      <c r="BF129" s="106">
        <f>IF(C129="","",IFERROR(1/(1/_xlfn.MINIFS('Saisie'!$A$5:$A$2004,'Saisie'!$C$5:$C$2004,C129,'Saisie'!$AT$5:$AT$2004,"&gt;=4")),""))</f>
        <v/>
      </c>
      <c r="BG129" s="106">
        <f>IF(C129="","",IFERROR(1/(1/_xlfn.MINIFS('Saisie'!$A$5:$A$2004,'Saisie'!$C$5:$C$2004,C129,'Saisie'!$AT$5:$AT$2004,"&gt;=5")),""))</f>
        <v/>
      </c>
      <c r="BH129" s="106">
        <f>IF(C129="","",IFERROR(1/(1/_xlfn.MINIFS('Saisie'!$A$5:$A$2004,'Saisie'!$C$5:$C$2004,C129,'Saisie'!$AT$5:$AT$2004,"&gt;=6")),""))</f>
        <v/>
      </c>
      <c r="BI129" s="106">
        <f>IF(C129="","",IFERROR(1/(1/_xlfn.MINIFS('Saisie'!$A$5:$A$2004,'Saisie'!$C$5:$C$2004,C129,'Saisie'!$AT$5:$AT$2004,"&gt;=7")),""))</f>
        <v/>
      </c>
      <c r="BJ129" s="60">
        <f>IF(OR(BD129="",B129=""),"",BD129-B129)</f>
        <v/>
      </c>
      <c r="BK129" s="60">
        <f>IF(OR(BE129="",BD129=""),"",BE129-BD129)</f>
        <v/>
      </c>
      <c r="BL129" s="60">
        <f>IF(OR(BF129="",BE129=""),"",BF129-BE129)</f>
        <v/>
      </c>
      <c r="BM129" s="60">
        <f>IF(OR(BG129="",BF129=""),"",BG129-BF129)</f>
        <v/>
      </c>
      <c r="BN129" s="60">
        <f>IF(OR(BH129="",BG129=""),"",BH129-BG129)</f>
        <v/>
      </c>
      <c r="BO129" s="60">
        <f>IF(OR(BI129="",BH129=""),"",BI129-BH129)</f>
        <v/>
      </c>
      <c r="BP129" s="60">
        <f>IF(C129="","",_xlfn.MAXIFS('Saisie'!$AS$5:$AS$2004,'Saisie'!$C$5:$C$2004,C129,'Saisie'!$J$5:$J$2004,"&lt;&gt;"))</f>
        <v/>
      </c>
      <c r="BQ129" s="60">
        <f>IF(C129="","",_xlfn.MAXIFS('Saisie'!$AS$5:$AS$2004,'Saisie'!$C$5:$C$2004,C129))</f>
        <v/>
      </c>
      <c r="BR129" s="60">
        <f>IF(C129="","",_xlfn.MAXIFS('Saisie'!$AS$5:$AS$2004,'Saisie'!$C$5:$C$2004,C129,'Saisie'!$E$5:$E$2004,"Perdu"))</f>
        <v/>
      </c>
      <c r="BS129" s="60">
        <f>IF(C129="","",_xlfn.MAXIFS('Saisie'!$AS$5:$AS$2004,'Saisie'!$C$5:$C$2004,C129,'Saisie'!$AT$5:$AT$2004,"&gt;0"))</f>
        <v/>
      </c>
      <c r="BT129" s="109">
        <f>IF(AND(C129&lt;&gt;"",OR(D129="Nouveau",D129="Contacté",D129="Qualifié"),OR(G129="",N(G129)&lt;=TODAY()),NOT(AND(O129&gt;='Paramètres'!$B$21,P129=0))),E129+125/10000,"")</f>
        <v/>
      </c>
      <c r="BU129" s="60">
        <f>IF(AND(G129&lt;&gt;"",N(G129)&lt;=TODAY()),MAX($BU$4:BU128)+1,"")</f>
        <v/>
      </c>
      <c r="BV129" s="60">
        <f>IF(AND(F129&lt;&gt;"",F129&lt;&gt;"Relance en retard"),MAX($BV$4:BV128)+1,"")</f>
        <v/>
      </c>
      <c r="BW129" s="60">
        <f>IF(C129="","",IF(AND(B129&gt;='Tableau de bord'!$R$4,B129&lt;='Tableau de bord'!$S$4,OR('Tableau de bord'!$G$4="Tous",N129='Tableau de bord'!$G$4)),1,0))</f>
        <v/>
      </c>
      <c r="BX129" s="60">
        <f>IF(AND(C129&lt;&gt;"",N(BA129)=7),MAX($BX$4:BX128)+1,"")</f>
        <v/>
      </c>
    </row>
    <row r="130">
      <c r="A130" s="60">
        <f>IF(C130="","","P-"&amp;TEXT(126,"000"))</f>
        <v/>
      </c>
      <c r="B130" s="106">
        <f>IF(C130="","",IFERROR(1/(1/_xlfn.MINIFS('Saisie'!$A$5:$A$2004,'Saisie'!$C$5:$C$2004,C130)),""))</f>
        <v/>
      </c>
      <c r="C130" s="60">
        <f>IFERROR(INDEX('Saisie'!$C$5:$C$2004,MATCH(126,'Saisie'!$AX$5:$AX$2004,0)),"")</f>
        <v/>
      </c>
      <c r="D130" s="60">
        <f>IF(C130="","",IF(AND(BR130&gt;0,BR130&gt;BS130,BA130&lt;7),"Perdu",INDEX('Paramètres'!$F$6:$F$13,BA130)))</f>
        <v/>
      </c>
      <c r="E130" s="61">
        <f>IF(C130="","",MIN(100,(Z130="Oui")*'Paramètres'!$B$38+(AB130="Régulière")*'Paramètres'!$B$39+IF(AND(N(AA130)&gt;0,TODAY()-N(AA130)&lt;=30),'Paramètres'!$B$40,0)+(W130="")*'Paramètres'!$B$41+(AC130="Absente")*'Paramètres'!$B$42+(AC130="Faible")*'Paramètres'!$B$43+IF(AND(N(AD130)&gt;0,N(AD130)&lt;4),'Paramètres'!$B$44,0)+(AF130="Moyenne")*'Paramètres'!$B$45+(AF130="Grande")*'Paramètres'!$B$46+(Y130&lt;&gt;"")*'Paramètres'!$B$47))</f>
        <v/>
      </c>
      <c r="F130" s="60">
        <f>IF(C130="","",IF(D130="Gagné","",IF(D130="Perdu",IF(AND(AX130&lt;&gt;"",AX130&lt;=TODAY()),"À recontacter (perdu)",""),IF(AND(O130&gt;='Paramètres'!$B$21,P130=0),"Stop : "&amp;'Paramètres'!$B$21&amp;" tentatives sans réponse",IF(AND(D130="Proposition",AR130&lt;&gt;"",TODAY()&gt;N(AR130)),"Proposition expirée",IF(AND(D130="Proposition",N(R130)&gt;='Paramètres'!$B$25),"Proposition sans réponse",IF(AND(G130&lt;&gt;"",N(G130)&lt;TODAY()),"Relance en retard",IF(N(R130)&gt;='Paramètres'!$B$24,"Sans action depuis "&amp;R130&amp;" j",""))))))))</f>
        <v/>
      </c>
      <c r="G130" s="106">
        <f>IF(OR(C130="",D130="Gagné",D130="Perdu"),"",IF(AND(BP130&gt;0,BP130=BQ130),INDEX('Saisie'!$J$5:$J$2004,BP130-4),IF(OR(O130=0,AND(O130&gt;='Paramètres'!$B$21,P130=0)),"",Q130+IF(O130&lt;=1,'Paramètres'!$B$18,IF(O130=2,'Paramètres'!$B$19,'Paramètres'!$B$20)))))</f>
        <v/>
      </c>
      <c r="H130" s="107">
        <f>IF(OR(G130="",BP130&lt;&gt;BQ130),"",IF(INDEX('Saisie'!$K$5:$K$2004,BP130-4)="","",INDEX('Saisie'!$K$5:$K$2004,BP130-4)))</f>
        <v/>
      </c>
      <c r="I130" s="60">
        <f>IF(C130="","",IF(OR(D130="Gagné",D130="Perdu"),"",IFERROR(INDEX('Saisie'!$I$5:$I$2004,_xlfn.MAXIFS('Saisie'!$AS$5:$AS$2004,'Saisie'!$C$5:$C$2004,C130,'Saisie'!$I$5:$I$2004,"&lt;&gt;")-4),"")))</f>
        <v/>
      </c>
      <c r="J130" s="60">
        <f>IF(C130="","",IFERROR(INDEX('Saisie'!$U$5:$U$2004,_xlfn.MAXIFS('Saisie'!$AS$5:$AS$2004,'Saisie'!$C$5:$C$2004,C130,'Saisie'!$U$5:$U$2004,"&lt;&gt;")-4),""))</f>
        <v/>
      </c>
      <c r="K130" s="60">
        <f>IF(C130="","",IFERROR(INDEX('Saisie'!$W$5:$W$2004,_xlfn.MAXIFS('Saisie'!$AS$5:$AS$2004,'Saisie'!$C$5:$C$2004,C130,'Saisie'!$W$5:$W$2004,"&lt;&gt;")-4),""))</f>
        <v/>
      </c>
      <c r="L130" s="60">
        <f>IF(IF(BB130&lt;&gt;"",BB130,K130)="","",HYPERLINK("https://wa.me/"&amp;IF(LEFT(SUBSTITUTE(SUBSTITUTE(SUBSTITUTE(IF(BB130&lt;&gt;"",BB130,K130)," ",""),".",""),"+",""),1)="0",'Paramètres'!$B$35&amp;MID(SUBSTITUTE(SUBSTITUTE(SUBSTITUTE(IF(BB130&lt;&gt;"",BB130,K130)," ",""),".",""),"+",""),2,20),SUBSTITUTE(SUBSTITUTE(SUBSTITUTE(IF(BB130&lt;&gt;"",BB130,K130)," ",""),".",""),"+","")),"WhatsApp"))</f>
        <v/>
      </c>
      <c r="M130" s="60">
        <f>IF(BC130="","",HYPERLINK(IF(LEFT(BC130,4)="http",BC130,"https://www.instagram.com/"&amp;SUBSTITUTE(SUBSTITUTE(BC130,"@","")," ","")),BC130))</f>
        <v/>
      </c>
      <c r="N130" s="60">
        <f>IF(C130="","",IFERROR(INDEX('Saisie'!$D$5:$D$2004,_xlfn.MINIFS('Saisie'!$AS$5:$AS$2004,'Saisie'!$C$5:$C$2004,C130,'Saisie'!$AU$5:$AU$2004,1)-4),IFERROR(INDEX('Saisie'!$D$5:$D$2004,_xlfn.MINIFS('Saisie'!$AS$5:$AS$2004,'Saisie'!$C$5:$C$2004,C130,'Saisie'!$D$5:$D$2004,"&lt;&gt;")-4),"")))</f>
        <v/>
      </c>
      <c r="O130" s="60">
        <f>IF(C130="","",COUNTIFS('Saisie'!$C$5:$C$2004,C130,'Saisie'!$AU$5:$AU$2004,1))</f>
        <v/>
      </c>
      <c r="P130" s="60">
        <f>IF(C130="","",COUNTIFS('Saisie'!$C$5:$C$2004,C130,'Saisie'!$AV$5:$AV$2004,1))</f>
        <v/>
      </c>
      <c r="Q130" s="106">
        <f>IF(C130="","",IFERROR(1/(1/_xlfn.MAXIFS('Saisie'!$A$5:$A$2004,'Saisie'!$C$5:$C$2004,C130)),""))</f>
        <v/>
      </c>
      <c r="R130" s="61">
        <f>IF(C130="","",IF(Q130="","",TODAY()-Q130))</f>
        <v/>
      </c>
      <c r="S130" s="60">
        <f>IF(C130="","",IFERROR(INDEX('Saisie'!$R$5:$R$2004,_xlfn.MAXIFS('Saisie'!$AS$5:$AS$2004,'Saisie'!$C$5:$C$2004,C130,'Saisie'!$R$5:$R$2004,"&lt;&gt;")-4),""))</f>
        <v/>
      </c>
      <c r="T130" s="60">
        <f>IF(C130="","",IFERROR(INDEX('Saisie'!$S$5:$S$2004,_xlfn.MAXIFS('Saisie'!$AS$5:$AS$2004,'Saisie'!$C$5:$C$2004,C130,'Saisie'!$S$5:$S$2004,"&lt;&gt;")-4),""))</f>
        <v/>
      </c>
      <c r="U130" s="60">
        <f>IF(C130="","",IFERROR(INDEX('Saisie'!$T$5:$T$2004,_xlfn.MAXIFS('Saisie'!$AS$5:$AS$2004,'Saisie'!$C$5:$C$2004,C130,'Saisie'!$T$5:$T$2004,"&lt;&gt;")-4),""))</f>
        <v/>
      </c>
      <c r="V130" s="60">
        <f>IF(C130="","",IFERROR(INDEX('Saisie'!$V$5:$V$2004,_xlfn.MAXIFS('Saisie'!$AS$5:$AS$2004,'Saisie'!$C$5:$C$2004,C130,'Saisie'!$V$5:$V$2004,"&lt;&gt;")-4),""))</f>
        <v/>
      </c>
      <c r="W130" s="60">
        <f>IF(C130="","",IFERROR(INDEX('Saisie'!$Z$5:$Z$2004,_xlfn.MAXIFS('Saisie'!$AS$5:$AS$2004,'Saisie'!$C$5:$C$2004,C130,'Saisie'!$Z$5:$Z$2004,"&lt;&gt;")-4),""))</f>
        <v/>
      </c>
      <c r="X130" s="60">
        <f>IF(C130="","",IFERROR(INDEX('Saisie'!$AA$5:$AA$2004,_xlfn.MAXIFS('Saisie'!$AS$5:$AS$2004,'Saisie'!$C$5:$C$2004,C130,'Saisie'!$AA$5:$AA$2004,"&lt;&gt;")-4),""))</f>
        <v/>
      </c>
      <c r="Y130" s="60">
        <f>IF(C130="","",IFERROR(INDEX('Saisie'!$AB$5:$AB$2004,_xlfn.MAXIFS('Saisie'!$AS$5:$AS$2004,'Saisie'!$C$5:$C$2004,C130,'Saisie'!$AB$5:$AB$2004,"&lt;&gt;")-4),""))</f>
        <v/>
      </c>
      <c r="Z130" s="60">
        <f>IF(C130="","",IFERROR(INDEX('Saisie'!$AC$5:$AC$2004,_xlfn.MAXIFS('Saisie'!$AS$5:$AS$2004,'Saisie'!$C$5:$C$2004,C130,'Saisie'!$AC$5:$AC$2004,"&lt;&gt;")-4),""))</f>
        <v/>
      </c>
      <c r="AA130" s="106">
        <f>IF(C130="","",IFERROR(INDEX('Saisie'!$AD$5:$AD$2004,_xlfn.MAXIFS('Saisie'!$AS$5:$AS$2004,'Saisie'!$C$5:$C$2004,C130,'Saisie'!$AD$5:$AD$2004,"&lt;&gt;")-4),""))</f>
        <v/>
      </c>
      <c r="AB130" s="60">
        <f>IF(C130="","",IFERROR(INDEX('Saisie'!$AE$5:$AE$2004,_xlfn.MAXIFS('Saisie'!$AS$5:$AS$2004,'Saisie'!$C$5:$C$2004,C130,'Saisie'!$AE$5:$AE$2004,"&lt;&gt;")-4),""))</f>
        <v/>
      </c>
      <c r="AC130" s="60">
        <f>IF(C130="","",IFERROR(INDEX('Saisie'!$AF$5:$AF$2004,_xlfn.MAXIFS('Saisie'!$AS$5:$AS$2004,'Saisie'!$C$5:$C$2004,C130,'Saisie'!$AF$5:$AF$2004,"&lt;&gt;")-4),""))</f>
        <v/>
      </c>
      <c r="AD130" s="108">
        <f>IF(C130="","",IFERROR(INDEX('Saisie'!$AG$5:$AG$2004,_xlfn.MAXIFS('Saisie'!$AS$5:$AS$2004,'Saisie'!$C$5:$C$2004,C130,'Saisie'!$AG$5:$AG$2004,"&lt;&gt;")-4),""))</f>
        <v/>
      </c>
      <c r="AE130" s="60">
        <f>IF(C130="","",IFERROR(INDEX('Saisie'!$AH$5:$AH$2004,_xlfn.MAXIFS('Saisie'!$AS$5:$AS$2004,'Saisie'!$C$5:$C$2004,C130,'Saisie'!$AH$5:$AH$2004,"&lt;&gt;")-4),""))</f>
        <v/>
      </c>
      <c r="AF130" s="60">
        <f>IF(C130="","",IFERROR(INDEX('Saisie'!$AI$5:$AI$2004,_xlfn.MAXIFS('Saisie'!$AS$5:$AS$2004,'Saisie'!$C$5:$C$2004,C130,'Saisie'!$AI$5:$AI$2004,"&lt;&gt;")-4),""))</f>
        <v/>
      </c>
      <c r="AG130" s="60">
        <f>IF(C130="","",IFERROR(INDEX('Saisie'!$AJ$5:$AJ$2004,_xlfn.MAXIFS('Saisie'!$AS$5:$AS$2004,'Saisie'!$C$5:$C$2004,C130,'Saisie'!$AJ$5:$AJ$2004,"&lt;&gt;")-4),""))</f>
        <v/>
      </c>
      <c r="AH130" s="60">
        <f>IF(C130="","",IFERROR(INDEX('Saisie'!$AK$5:$AK$2004,_xlfn.MAXIFS('Saisie'!$AS$5:$AS$2004,'Saisie'!$C$5:$C$2004,C130,'Saisie'!$AK$5:$AK$2004,"&lt;&gt;")-4),""))</f>
        <v/>
      </c>
      <c r="AI130" s="60">
        <f>IF(C130="","",IFERROR(INDEX('Saisie'!$AN$5:$AN$2004,_xlfn.MAXIFS('Saisie'!$AS$5:$AS$2004,'Saisie'!$C$5:$C$2004,C130,'Saisie'!$AN$5:$AN$2004,"&lt;&gt;")-4),""))</f>
        <v/>
      </c>
      <c r="AJ130" s="60">
        <f>IF(C130="","",IFERROR(INDEX('Saisie'!$AO$5:$AO$2004,_xlfn.MAXIFS('Saisie'!$AS$5:$AS$2004,'Saisie'!$C$5:$C$2004,C130,'Saisie'!$AO$5:$AO$2004,"&lt;&gt;")-4),""))</f>
        <v/>
      </c>
      <c r="AK130" s="60">
        <f>IF(C130="","",IFERROR(INDEX('Saisie'!$AP$5:$AP$2004,_xlfn.MAXIFS('Saisie'!$AS$5:$AS$2004,'Saisie'!$C$5:$C$2004,C130,'Saisie'!$AP$5:$AP$2004,"&lt;&gt;")-4),""))</f>
        <v/>
      </c>
      <c r="AL130" s="60">
        <f>IF(C130="","",IFERROR(INDEX('Saisie'!$AQ$5:$AQ$2004,_xlfn.MAXIFS('Saisie'!$AS$5:$AS$2004,'Saisie'!$C$5:$C$2004,C130,'Saisie'!$AQ$5:$AQ$2004,"&lt;&gt;")-4),""))</f>
        <v/>
      </c>
      <c r="AM130" s="60">
        <f>IF(C130="","",((AI130="Oui")+(AJ130="Oui")+(AK130="Oui")+OR(AL130="Immédiat",AL130="&lt; 1 mois"))&amp;"/4")</f>
        <v/>
      </c>
      <c r="AN130" s="60">
        <f>IF(C130="","",IFERROR(INDEX('Saisie'!$AL$5:$AL$2004,_xlfn.MAXIFS('Saisie'!$AS$5:$AS$2004,'Saisie'!$C$5:$C$2004,C130,'Saisie'!$AL$5:$AL$2004,"&lt;&gt;")-4),""))</f>
        <v/>
      </c>
      <c r="AO130" s="62">
        <f>IF(C130="","",IF(IFERROR(INDEX('Saisie'!$AM$5:$AM$2004,_xlfn.MAXIFS('Saisie'!$AS$5:$AS$2004,'Saisie'!$C$5:$C$2004,C130,'Saisie'!$AM$5:$AM$2004,"&lt;&gt;")-4),"")&lt;&gt;"",IFERROR(INDEX('Saisie'!$AM$5:$AM$2004,_xlfn.MAXIFS('Saisie'!$AS$5:$AS$2004,'Saisie'!$C$5:$C$2004,C130,'Saisie'!$AM$5:$AM$2004,"&lt;&gt;")-4),""),IFERROR(INDEX('Paramètres'!$S$6:$S$15,MATCH(AN130,'Paramètres'!$Q$6:$Q$15,0)),"")))</f>
        <v/>
      </c>
      <c r="AP130" s="62">
        <f>IF(C130="","",IFERROR(INDEX('Saisie'!$AW$5:$AW$2004,_xlfn.MAXIFS('Saisie'!$AS$5:$AS$2004,'Saisie'!$C$5:$C$2004,C130,'Saisie'!$E$5:$E$2004,"Proposition envoyée")-4),""))</f>
        <v/>
      </c>
      <c r="AQ130" s="106">
        <f>IF(C130="","",IFERROR(1/(1/_xlfn.MAXIFS('Saisie'!$A$5:$A$2004,'Saisie'!$C$5:$C$2004,C130,'Saisie'!$E$5:$E$2004,"Proposition envoyée")),""))</f>
        <v/>
      </c>
      <c r="AR130" s="106">
        <f>IF(C130="","",IF(AQ130="","",AQ130+'Paramètres'!$B$26))</f>
        <v/>
      </c>
      <c r="AS130" s="62">
        <f>IF(OR(C130="",D130="Gagné",D130="Perdu"),0,N(AP130)*IFERROR(INDEX('Paramètres'!$G$6:$G$13,MATCH(D130,'Paramètres'!$F$6:$F$13,0)),0))</f>
        <v/>
      </c>
      <c r="AT130" s="106">
        <f>IF(C130="","",IFERROR(1/(1/_xlfn.MINIFS('Saisie'!$A$5:$A$2004,'Saisie'!$C$5:$C$2004,C130,'Saisie'!$E$5:$E$2004,"Signature")),""))</f>
        <v/>
      </c>
      <c r="AU130" s="60">
        <f>IF(C130="","",IF(OR(AT130="",B130=""),"",AT130-B130))</f>
        <v/>
      </c>
      <c r="AV130" s="60">
        <f>IF(C130="","",IFERROR(INDEX('Saisie'!$L$5:$L$2004,_xlfn.MAXIFS('Saisie'!$AS$5:$AS$2004,'Saisie'!$C$5:$C$2004,C130,'Saisie'!$L$5:$L$2004,"&lt;&gt;")-4),""))</f>
        <v/>
      </c>
      <c r="AW130" s="106">
        <f>IF(C130="","",IF(D130&lt;&gt;"Perdu","",IFERROR(1/(1/_xlfn.MAXIFS('Saisie'!$A$5:$A$2004,'Saisie'!$C$5:$C$2004,C130,'Saisie'!$E$5:$E$2004,"Perdu")),"")))</f>
        <v/>
      </c>
      <c r="AX130" s="106">
        <f>IF(C130="","",IF(AW130="","",AW130+'Paramètres'!$B$28))</f>
        <v/>
      </c>
      <c r="AY130" s="60">
        <f>IF(C130="","",SUMIFS('Saisie'!$H$5:$H$2004,'Saisie'!$C$5:$C$2004,C130))</f>
        <v/>
      </c>
      <c r="AZ130" s="60">
        <f>IF(C130="","",IFERROR(INDEX('Paramètres'!$W$6:$W$20,MATCH(S130,'Paramètres'!$V$6:$V$20,0))&amp;"",""))</f>
        <v/>
      </c>
      <c r="BA130" s="60">
        <f>IF(C130="","",MAX(1,_xlfn.MAXIFS('Saisie'!$AT$5:$AT$2004,'Saisie'!$C$5:$C$2004,C130)))</f>
        <v/>
      </c>
      <c r="BB130" s="60">
        <f>IF(C130="","",IFERROR(INDEX('Saisie'!$X$5:$X$2004,_xlfn.MAXIFS('Saisie'!$AS$5:$AS$2004,'Saisie'!$C$5:$C$2004,C130,'Saisie'!$X$5:$X$2004,"&lt;&gt;")-4),""))</f>
        <v/>
      </c>
      <c r="BC130" s="60">
        <f>IF(C130="","",IFERROR(INDEX('Saisie'!$Y$5:$Y$2004,_xlfn.MAXIFS('Saisie'!$AS$5:$AS$2004,'Saisie'!$C$5:$C$2004,C130,'Saisie'!$Y$5:$Y$2004,"&lt;&gt;")-4),""))</f>
        <v/>
      </c>
      <c r="BD130" s="106">
        <f>IF(C130="","",IFERROR(1/(1/_xlfn.MINIFS('Saisie'!$A$5:$A$2004,'Saisie'!$C$5:$C$2004,C130,'Saisie'!$AT$5:$AT$2004,"&gt;=2")),""))</f>
        <v/>
      </c>
      <c r="BE130" s="106">
        <f>IF(C130="","",IFERROR(1/(1/_xlfn.MINIFS('Saisie'!$A$5:$A$2004,'Saisie'!$C$5:$C$2004,C130,'Saisie'!$AT$5:$AT$2004,"&gt;=3")),""))</f>
        <v/>
      </c>
      <c r="BF130" s="106">
        <f>IF(C130="","",IFERROR(1/(1/_xlfn.MINIFS('Saisie'!$A$5:$A$2004,'Saisie'!$C$5:$C$2004,C130,'Saisie'!$AT$5:$AT$2004,"&gt;=4")),""))</f>
        <v/>
      </c>
      <c r="BG130" s="106">
        <f>IF(C130="","",IFERROR(1/(1/_xlfn.MINIFS('Saisie'!$A$5:$A$2004,'Saisie'!$C$5:$C$2004,C130,'Saisie'!$AT$5:$AT$2004,"&gt;=5")),""))</f>
        <v/>
      </c>
      <c r="BH130" s="106">
        <f>IF(C130="","",IFERROR(1/(1/_xlfn.MINIFS('Saisie'!$A$5:$A$2004,'Saisie'!$C$5:$C$2004,C130,'Saisie'!$AT$5:$AT$2004,"&gt;=6")),""))</f>
        <v/>
      </c>
      <c r="BI130" s="106">
        <f>IF(C130="","",IFERROR(1/(1/_xlfn.MINIFS('Saisie'!$A$5:$A$2004,'Saisie'!$C$5:$C$2004,C130,'Saisie'!$AT$5:$AT$2004,"&gt;=7")),""))</f>
        <v/>
      </c>
      <c r="BJ130" s="60">
        <f>IF(OR(BD130="",B130=""),"",BD130-B130)</f>
        <v/>
      </c>
      <c r="BK130" s="60">
        <f>IF(OR(BE130="",BD130=""),"",BE130-BD130)</f>
        <v/>
      </c>
      <c r="BL130" s="60">
        <f>IF(OR(BF130="",BE130=""),"",BF130-BE130)</f>
        <v/>
      </c>
      <c r="BM130" s="60">
        <f>IF(OR(BG130="",BF130=""),"",BG130-BF130)</f>
        <v/>
      </c>
      <c r="BN130" s="60">
        <f>IF(OR(BH130="",BG130=""),"",BH130-BG130)</f>
        <v/>
      </c>
      <c r="BO130" s="60">
        <f>IF(OR(BI130="",BH130=""),"",BI130-BH130)</f>
        <v/>
      </c>
      <c r="BP130" s="60">
        <f>IF(C130="","",_xlfn.MAXIFS('Saisie'!$AS$5:$AS$2004,'Saisie'!$C$5:$C$2004,C130,'Saisie'!$J$5:$J$2004,"&lt;&gt;"))</f>
        <v/>
      </c>
      <c r="BQ130" s="60">
        <f>IF(C130="","",_xlfn.MAXIFS('Saisie'!$AS$5:$AS$2004,'Saisie'!$C$5:$C$2004,C130))</f>
        <v/>
      </c>
      <c r="BR130" s="60">
        <f>IF(C130="","",_xlfn.MAXIFS('Saisie'!$AS$5:$AS$2004,'Saisie'!$C$5:$C$2004,C130,'Saisie'!$E$5:$E$2004,"Perdu"))</f>
        <v/>
      </c>
      <c r="BS130" s="60">
        <f>IF(C130="","",_xlfn.MAXIFS('Saisie'!$AS$5:$AS$2004,'Saisie'!$C$5:$C$2004,C130,'Saisie'!$AT$5:$AT$2004,"&gt;0"))</f>
        <v/>
      </c>
      <c r="BT130" s="109">
        <f>IF(AND(C130&lt;&gt;"",OR(D130="Nouveau",D130="Contacté",D130="Qualifié"),OR(G130="",N(G130)&lt;=TODAY()),NOT(AND(O130&gt;='Paramètres'!$B$21,P130=0))),E130+126/10000,"")</f>
        <v/>
      </c>
      <c r="BU130" s="60">
        <f>IF(AND(G130&lt;&gt;"",N(G130)&lt;=TODAY()),MAX($BU$4:BU129)+1,"")</f>
        <v/>
      </c>
      <c r="BV130" s="60">
        <f>IF(AND(F130&lt;&gt;"",F130&lt;&gt;"Relance en retard"),MAX($BV$4:BV129)+1,"")</f>
        <v/>
      </c>
      <c r="BW130" s="60">
        <f>IF(C130="","",IF(AND(B130&gt;='Tableau de bord'!$R$4,B130&lt;='Tableau de bord'!$S$4,OR('Tableau de bord'!$G$4="Tous",N130='Tableau de bord'!$G$4)),1,0))</f>
        <v/>
      </c>
      <c r="BX130" s="60">
        <f>IF(AND(C130&lt;&gt;"",N(BA130)=7),MAX($BX$4:BX129)+1,"")</f>
        <v/>
      </c>
    </row>
    <row r="131">
      <c r="A131" s="60">
        <f>IF(C131="","","P-"&amp;TEXT(127,"000"))</f>
        <v/>
      </c>
      <c r="B131" s="106">
        <f>IF(C131="","",IFERROR(1/(1/_xlfn.MINIFS('Saisie'!$A$5:$A$2004,'Saisie'!$C$5:$C$2004,C131)),""))</f>
        <v/>
      </c>
      <c r="C131" s="60">
        <f>IFERROR(INDEX('Saisie'!$C$5:$C$2004,MATCH(127,'Saisie'!$AX$5:$AX$2004,0)),"")</f>
        <v/>
      </c>
      <c r="D131" s="60">
        <f>IF(C131="","",IF(AND(BR131&gt;0,BR131&gt;BS131,BA131&lt;7),"Perdu",INDEX('Paramètres'!$F$6:$F$13,BA131)))</f>
        <v/>
      </c>
      <c r="E131" s="61">
        <f>IF(C131="","",MIN(100,(Z131="Oui")*'Paramètres'!$B$38+(AB131="Régulière")*'Paramètres'!$B$39+IF(AND(N(AA131)&gt;0,TODAY()-N(AA131)&lt;=30),'Paramètres'!$B$40,0)+(W131="")*'Paramètres'!$B$41+(AC131="Absente")*'Paramètres'!$B$42+(AC131="Faible")*'Paramètres'!$B$43+IF(AND(N(AD131)&gt;0,N(AD131)&lt;4),'Paramètres'!$B$44,0)+(AF131="Moyenne")*'Paramètres'!$B$45+(AF131="Grande")*'Paramètres'!$B$46+(Y131&lt;&gt;"")*'Paramètres'!$B$47))</f>
        <v/>
      </c>
      <c r="F131" s="60">
        <f>IF(C131="","",IF(D131="Gagné","",IF(D131="Perdu",IF(AND(AX131&lt;&gt;"",AX131&lt;=TODAY()),"À recontacter (perdu)",""),IF(AND(O131&gt;='Paramètres'!$B$21,P131=0),"Stop : "&amp;'Paramètres'!$B$21&amp;" tentatives sans réponse",IF(AND(D131="Proposition",AR131&lt;&gt;"",TODAY()&gt;N(AR131)),"Proposition expirée",IF(AND(D131="Proposition",N(R131)&gt;='Paramètres'!$B$25),"Proposition sans réponse",IF(AND(G131&lt;&gt;"",N(G131)&lt;TODAY()),"Relance en retard",IF(N(R131)&gt;='Paramètres'!$B$24,"Sans action depuis "&amp;R131&amp;" j",""))))))))</f>
        <v/>
      </c>
      <c r="G131" s="106">
        <f>IF(OR(C131="",D131="Gagné",D131="Perdu"),"",IF(AND(BP131&gt;0,BP131=BQ131),INDEX('Saisie'!$J$5:$J$2004,BP131-4),IF(OR(O131=0,AND(O131&gt;='Paramètres'!$B$21,P131=0)),"",Q131+IF(O131&lt;=1,'Paramètres'!$B$18,IF(O131=2,'Paramètres'!$B$19,'Paramètres'!$B$20)))))</f>
        <v/>
      </c>
      <c r="H131" s="107">
        <f>IF(OR(G131="",BP131&lt;&gt;BQ131),"",IF(INDEX('Saisie'!$K$5:$K$2004,BP131-4)="","",INDEX('Saisie'!$K$5:$K$2004,BP131-4)))</f>
        <v/>
      </c>
      <c r="I131" s="60">
        <f>IF(C131="","",IF(OR(D131="Gagné",D131="Perdu"),"",IFERROR(INDEX('Saisie'!$I$5:$I$2004,_xlfn.MAXIFS('Saisie'!$AS$5:$AS$2004,'Saisie'!$C$5:$C$2004,C131,'Saisie'!$I$5:$I$2004,"&lt;&gt;")-4),"")))</f>
        <v/>
      </c>
      <c r="J131" s="60">
        <f>IF(C131="","",IFERROR(INDEX('Saisie'!$U$5:$U$2004,_xlfn.MAXIFS('Saisie'!$AS$5:$AS$2004,'Saisie'!$C$5:$C$2004,C131,'Saisie'!$U$5:$U$2004,"&lt;&gt;")-4),""))</f>
        <v/>
      </c>
      <c r="K131" s="60">
        <f>IF(C131="","",IFERROR(INDEX('Saisie'!$W$5:$W$2004,_xlfn.MAXIFS('Saisie'!$AS$5:$AS$2004,'Saisie'!$C$5:$C$2004,C131,'Saisie'!$W$5:$W$2004,"&lt;&gt;")-4),""))</f>
        <v/>
      </c>
      <c r="L131" s="60">
        <f>IF(IF(BB131&lt;&gt;"",BB131,K131)="","",HYPERLINK("https://wa.me/"&amp;IF(LEFT(SUBSTITUTE(SUBSTITUTE(SUBSTITUTE(IF(BB131&lt;&gt;"",BB131,K131)," ",""),".",""),"+",""),1)="0",'Paramètres'!$B$35&amp;MID(SUBSTITUTE(SUBSTITUTE(SUBSTITUTE(IF(BB131&lt;&gt;"",BB131,K131)," ",""),".",""),"+",""),2,20),SUBSTITUTE(SUBSTITUTE(SUBSTITUTE(IF(BB131&lt;&gt;"",BB131,K131)," ",""),".",""),"+","")),"WhatsApp"))</f>
        <v/>
      </c>
      <c r="M131" s="60">
        <f>IF(BC131="","",HYPERLINK(IF(LEFT(BC131,4)="http",BC131,"https://www.instagram.com/"&amp;SUBSTITUTE(SUBSTITUTE(BC131,"@","")," ","")),BC131))</f>
        <v/>
      </c>
      <c r="N131" s="60">
        <f>IF(C131="","",IFERROR(INDEX('Saisie'!$D$5:$D$2004,_xlfn.MINIFS('Saisie'!$AS$5:$AS$2004,'Saisie'!$C$5:$C$2004,C131,'Saisie'!$AU$5:$AU$2004,1)-4),IFERROR(INDEX('Saisie'!$D$5:$D$2004,_xlfn.MINIFS('Saisie'!$AS$5:$AS$2004,'Saisie'!$C$5:$C$2004,C131,'Saisie'!$D$5:$D$2004,"&lt;&gt;")-4),"")))</f>
        <v/>
      </c>
      <c r="O131" s="60">
        <f>IF(C131="","",COUNTIFS('Saisie'!$C$5:$C$2004,C131,'Saisie'!$AU$5:$AU$2004,1))</f>
        <v/>
      </c>
      <c r="P131" s="60">
        <f>IF(C131="","",COUNTIFS('Saisie'!$C$5:$C$2004,C131,'Saisie'!$AV$5:$AV$2004,1))</f>
        <v/>
      </c>
      <c r="Q131" s="106">
        <f>IF(C131="","",IFERROR(1/(1/_xlfn.MAXIFS('Saisie'!$A$5:$A$2004,'Saisie'!$C$5:$C$2004,C131)),""))</f>
        <v/>
      </c>
      <c r="R131" s="61">
        <f>IF(C131="","",IF(Q131="","",TODAY()-Q131))</f>
        <v/>
      </c>
      <c r="S131" s="60">
        <f>IF(C131="","",IFERROR(INDEX('Saisie'!$R$5:$R$2004,_xlfn.MAXIFS('Saisie'!$AS$5:$AS$2004,'Saisie'!$C$5:$C$2004,C131,'Saisie'!$R$5:$R$2004,"&lt;&gt;")-4),""))</f>
        <v/>
      </c>
      <c r="T131" s="60">
        <f>IF(C131="","",IFERROR(INDEX('Saisie'!$S$5:$S$2004,_xlfn.MAXIFS('Saisie'!$AS$5:$AS$2004,'Saisie'!$C$5:$C$2004,C131,'Saisie'!$S$5:$S$2004,"&lt;&gt;")-4),""))</f>
        <v/>
      </c>
      <c r="U131" s="60">
        <f>IF(C131="","",IFERROR(INDEX('Saisie'!$T$5:$T$2004,_xlfn.MAXIFS('Saisie'!$AS$5:$AS$2004,'Saisie'!$C$5:$C$2004,C131,'Saisie'!$T$5:$T$2004,"&lt;&gt;")-4),""))</f>
        <v/>
      </c>
      <c r="V131" s="60">
        <f>IF(C131="","",IFERROR(INDEX('Saisie'!$V$5:$V$2004,_xlfn.MAXIFS('Saisie'!$AS$5:$AS$2004,'Saisie'!$C$5:$C$2004,C131,'Saisie'!$V$5:$V$2004,"&lt;&gt;")-4),""))</f>
        <v/>
      </c>
      <c r="W131" s="60">
        <f>IF(C131="","",IFERROR(INDEX('Saisie'!$Z$5:$Z$2004,_xlfn.MAXIFS('Saisie'!$AS$5:$AS$2004,'Saisie'!$C$5:$C$2004,C131,'Saisie'!$Z$5:$Z$2004,"&lt;&gt;")-4),""))</f>
        <v/>
      </c>
      <c r="X131" s="60">
        <f>IF(C131="","",IFERROR(INDEX('Saisie'!$AA$5:$AA$2004,_xlfn.MAXIFS('Saisie'!$AS$5:$AS$2004,'Saisie'!$C$5:$C$2004,C131,'Saisie'!$AA$5:$AA$2004,"&lt;&gt;")-4),""))</f>
        <v/>
      </c>
      <c r="Y131" s="60">
        <f>IF(C131="","",IFERROR(INDEX('Saisie'!$AB$5:$AB$2004,_xlfn.MAXIFS('Saisie'!$AS$5:$AS$2004,'Saisie'!$C$5:$C$2004,C131,'Saisie'!$AB$5:$AB$2004,"&lt;&gt;")-4),""))</f>
        <v/>
      </c>
      <c r="Z131" s="60">
        <f>IF(C131="","",IFERROR(INDEX('Saisie'!$AC$5:$AC$2004,_xlfn.MAXIFS('Saisie'!$AS$5:$AS$2004,'Saisie'!$C$5:$C$2004,C131,'Saisie'!$AC$5:$AC$2004,"&lt;&gt;")-4),""))</f>
        <v/>
      </c>
      <c r="AA131" s="106">
        <f>IF(C131="","",IFERROR(INDEX('Saisie'!$AD$5:$AD$2004,_xlfn.MAXIFS('Saisie'!$AS$5:$AS$2004,'Saisie'!$C$5:$C$2004,C131,'Saisie'!$AD$5:$AD$2004,"&lt;&gt;")-4),""))</f>
        <v/>
      </c>
      <c r="AB131" s="60">
        <f>IF(C131="","",IFERROR(INDEX('Saisie'!$AE$5:$AE$2004,_xlfn.MAXIFS('Saisie'!$AS$5:$AS$2004,'Saisie'!$C$5:$C$2004,C131,'Saisie'!$AE$5:$AE$2004,"&lt;&gt;")-4),""))</f>
        <v/>
      </c>
      <c r="AC131" s="60">
        <f>IF(C131="","",IFERROR(INDEX('Saisie'!$AF$5:$AF$2004,_xlfn.MAXIFS('Saisie'!$AS$5:$AS$2004,'Saisie'!$C$5:$C$2004,C131,'Saisie'!$AF$5:$AF$2004,"&lt;&gt;")-4),""))</f>
        <v/>
      </c>
      <c r="AD131" s="108">
        <f>IF(C131="","",IFERROR(INDEX('Saisie'!$AG$5:$AG$2004,_xlfn.MAXIFS('Saisie'!$AS$5:$AS$2004,'Saisie'!$C$5:$C$2004,C131,'Saisie'!$AG$5:$AG$2004,"&lt;&gt;")-4),""))</f>
        <v/>
      </c>
      <c r="AE131" s="60">
        <f>IF(C131="","",IFERROR(INDEX('Saisie'!$AH$5:$AH$2004,_xlfn.MAXIFS('Saisie'!$AS$5:$AS$2004,'Saisie'!$C$5:$C$2004,C131,'Saisie'!$AH$5:$AH$2004,"&lt;&gt;")-4),""))</f>
        <v/>
      </c>
      <c r="AF131" s="60">
        <f>IF(C131="","",IFERROR(INDEX('Saisie'!$AI$5:$AI$2004,_xlfn.MAXIFS('Saisie'!$AS$5:$AS$2004,'Saisie'!$C$5:$C$2004,C131,'Saisie'!$AI$5:$AI$2004,"&lt;&gt;")-4),""))</f>
        <v/>
      </c>
      <c r="AG131" s="60">
        <f>IF(C131="","",IFERROR(INDEX('Saisie'!$AJ$5:$AJ$2004,_xlfn.MAXIFS('Saisie'!$AS$5:$AS$2004,'Saisie'!$C$5:$C$2004,C131,'Saisie'!$AJ$5:$AJ$2004,"&lt;&gt;")-4),""))</f>
        <v/>
      </c>
      <c r="AH131" s="60">
        <f>IF(C131="","",IFERROR(INDEX('Saisie'!$AK$5:$AK$2004,_xlfn.MAXIFS('Saisie'!$AS$5:$AS$2004,'Saisie'!$C$5:$C$2004,C131,'Saisie'!$AK$5:$AK$2004,"&lt;&gt;")-4),""))</f>
        <v/>
      </c>
      <c r="AI131" s="60">
        <f>IF(C131="","",IFERROR(INDEX('Saisie'!$AN$5:$AN$2004,_xlfn.MAXIFS('Saisie'!$AS$5:$AS$2004,'Saisie'!$C$5:$C$2004,C131,'Saisie'!$AN$5:$AN$2004,"&lt;&gt;")-4),""))</f>
        <v/>
      </c>
      <c r="AJ131" s="60">
        <f>IF(C131="","",IFERROR(INDEX('Saisie'!$AO$5:$AO$2004,_xlfn.MAXIFS('Saisie'!$AS$5:$AS$2004,'Saisie'!$C$5:$C$2004,C131,'Saisie'!$AO$5:$AO$2004,"&lt;&gt;")-4),""))</f>
        <v/>
      </c>
      <c r="AK131" s="60">
        <f>IF(C131="","",IFERROR(INDEX('Saisie'!$AP$5:$AP$2004,_xlfn.MAXIFS('Saisie'!$AS$5:$AS$2004,'Saisie'!$C$5:$C$2004,C131,'Saisie'!$AP$5:$AP$2004,"&lt;&gt;")-4),""))</f>
        <v/>
      </c>
      <c r="AL131" s="60">
        <f>IF(C131="","",IFERROR(INDEX('Saisie'!$AQ$5:$AQ$2004,_xlfn.MAXIFS('Saisie'!$AS$5:$AS$2004,'Saisie'!$C$5:$C$2004,C131,'Saisie'!$AQ$5:$AQ$2004,"&lt;&gt;")-4),""))</f>
        <v/>
      </c>
      <c r="AM131" s="60">
        <f>IF(C131="","",((AI131="Oui")+(AJ131="Oui")+(AK131="Oui")+OR(AL131="Immédiat",AL131="&lt; 1 mois"))&amp;"/4")</f>
        <v/>
      </c>
      <c r="AN131" s="60">
        <f>IF(C131="","",IFERROR(INDEX('Saisie'!$AL$5:$AL$2004,_xlfn.MAXIFS('Saisie'!$AS$5:$AS$2004,'Saisie'!$C$5:$C$2004,C131,'Saisie'!$AL$5:$AL$2004,"&lt;&gt;")-4),""))</f>
        <v/>
      </c>
      <c r="AO131" s="62">
        <f>IF(C131="","",IF(IFERROR(INDEX('Saisie'!$AM$5:$AM$2004,_xlfn.MAXIFS('Saisie'!$AS$5:$AS$2004,'Saisie'!$C$5:$C$2004,C131,'Saisie'!$AM$5:$AM$2004,"&lt;&gt;")-4),"")&lt;&gt;"",IFERROR(INDEX('Saisie'!$AM$5:$AM$2004,_xlfn.MAXIFS('Saisie'!$AS$5:$AS$2004,'Saisie'!$C$5:$C$2004,C131,'Saisie'!$AM$5:$AM$2004,"&lt;&gt;")-4),""),IFERROR(INDEX('Paramètres'!$S$6:$S$15,MATCH(AN131,'Paramètres'!$Q$6:$Q$15,0)),"")))</f>
        <v/>
      </c>
      <c r="AP131" s="62">
        <f>IF(C131="","",IFERROR(INDEX('Saisie'!$AW$5:$AW$2004,_xlfn.MAXIFS('Saisie'!$AS$5:$AS$2004,'Saisie'!$C$5:$C$2004,C131,'Saisie'!$E$5:$E$2004,"Proposition envoyée")-4),""))</f>
        <v/>
      </c>
      <c r="AQ131" s="106">
        <f>IF(C131="","",IFERROR(1/(1/_xlfn.MAXIFS('Saisie'!$A$5:$A$2004,'Saisie'!$C$5:$C$2004,C131,'Saisie'!$E$5:$E$2004,"Proposition envoyée")),""))</f>
        <v/>
      </c>
      <c r="AR131" s="106">
        <f>IF(C131="","",IF(AQ131="","",AQ131+'Paramètres'!$B$26))</f>
        <v/>
      </c>
      <c r="AS131" s="62">
        <f>IF(OR(C131="",D131="Gagné",D131="Perdu"),0,N(AP131)*IFERROR(INDEX('Paramètres'!$G$6:$G$13,MATCH(D131,'Paramètres'!$F$6:$F$13,0)),0))</f>
        <v/>
      </c>
      <c r="AT131" s="106">
        <f>IF(C131="","",IFERROR(1/(1/_xlfn.MINIFS('Saisie'!$A$5:$A$2004,'Saisie'!$C$5:$C$2004,C131,'Saisie'!$E$5:$E$2004,"Signature")),""))</f>
        <v/>
      </c>
      <c r="AU131" s="60">
        <f>IF(C131="","",IF(OR(AT131="",B131=""),"",AT131-B131))</f>
        <v/>
      </c>
      <c r="AV131" s="60">
        <f>IF(C131="","",IFERROR(INDEX('Saisie'!$L$5:$L$2004,_xlfn.MAXIFS('Saisie'!$AS$5:$AS$2004,'Saisie'!$C$5:$C$2004,C131,'Saisie'!$L$5:$L$2004,"&lt;&gt;")-4),""))</f>
        <v/>
      </c>
      <c r="AW131" s="106">
        <f>IF(C131="","",IF(D131&lt;&gt;"Perdu","",IFERROR(1/(1/_xlfn.MAXIFS('Saisie'!$A$5:$A$2004,'Saisie'!$C$5:$C$2004,C131,'Saisie'!$E$5:$E$2004,"Perdu")),"")))</f>
        <v/>
      </c>
      <c r="AX131" s="106">
        <f>IF(C131="","",IF(AW131="","",AW131+'Paramètres'!$B$28))</f>
        <v/>
      </c>
      <c r="AY131" s="60">
        <f>IF(C131="","",SUMIFS('Saisie'!$H$5:$H$2004,'Saisie'!$C$5:$C$2004,C131))</f>
        <v/>
      </c>
      <c r="AZ131" s="60">
        <f>IF(C131="","",IFERROR(INDEX('Paramètres'!$W$6:$W$20,MATCH(S131,'Paramètres'!$V$6:$V$20,0))&amp;"",""))</f>
        <v/>
      </c>
      <c r="BA131" s="60">
        <f>IF(C131="","",MAX(1,_xlfn.MAXIFS('Saisie'!$AT$5:$AT$2004,'Saisie'!$C$5:$C$2004,C131)))</f>
        <v/>
      </c>
      <c r="BB131" s="60">
        <f>IF(C131="","",IFERROR(INDEX('Saisie'!$X$5:$X$2004,_xlfn.MAXIFS('Saisie'!$AS$5:$AS$2004,'Saisie'!$C$5:$C$2004,C131,'Saisie'!$X$5:$X$2004,"&lt;&gt;")-4),""))</f>
        <v/>
      </c>
      <c r="BC131" s="60">
        <f>IF(C131="","",IFERROR(INDEX('Saisie'!$Y$5:$Y$2004,_xlfn.MAXIFS('Saisie'!$AS$5:$AS$2004,'Saisie'!$C$5:$C$2004,C131,'Saisie'!$Y$5:$Y$2004,"&lt;&gt;")-4),""))</f>
        <v/>
      </c>
      <c r="BD131" s="106">
        <f>IF(C131="","",IFERROR(1/(1/_xlfn.MINIFS('Saisie'!$A$5:$A$2004,'Saisie'!$C$5:$C$2004,C131,'Saisie'!$AT$5:$AT$2004,"&gt;=2")),""))</f>
        <v/>
      </c>
      <c r="BE131" s="106">
        <f>IF(C131="","",IFERROR(1/(1/_xlfn.MINIFS('Saisie'!$A$5:$A$2004,'Saisie'!$C$5:$C$2004,C131,'Saisie'!$AT$5:$AT$2004,"&gt;=3")),""))</f>
        <v/>
      </c>
      <c r="BF131" s="106">
        <f>IF(C131="","",IFERROR(1/(1/_xlfn.MINIFS('Saisie'!$A$5:$A$2004,'Saisie'!$C$5:$C$2004,C131,'Saisie'!$AT$5:$AT$2004,"&gt;=4")),""))</f>
        <v/>
      </c>
      <c r="BG131" s="106">
        <f>IF(C131="","",IFERROR(1/(1/_xlfn.MINIFS('Saisie'!$A$5:$A$2004,'Saisie'!$C$5:$C$2004,C131,'Saisie'!$AT$5:$AT$2004,"&gt;=5")),""))</f>
        <v/>
      </c>
      <c r="BH131" s="106">
        <f>IF(C131="","",IFERROR(1/(1/_xlfn.MINIFS('Saisie'!$A$5:$A$2004,'Saisie'!$C$5:$C$2004,C131,'Saisie'!$AT$5:$AT$2004,"&gt;=6")),""))</f>
        <v/>
      </c>
      <c r="BI131" s="106">
        <f>IF(C131="","",IFERROR(1/(1/_xlfn.MINIFS('Saisie'!$A$5:$A$2004,'Saisie'!$C$5:$C$2004,C131,'Saisie'!$AT$5:$AT$2004,"&gt;=7")),""))</f>
        <v/>
      </c>
      <c r="BJ131" s="60">
        <f>IF(OR(BD131="",B131=""),"",BD131-B131)</f>
        <v/>
      </c>
      <c r="BK131" s="60">
        <f>IF(OR(BE131="",BD131=""),"",BE131-BD131)</f>
        <v/>
      </c>
      <c r="BL131" s="60">
        <f>IF(OR(BF131="",BE131=""),"",BF131-BE131)</f>
        <v/>
      </c>
      <c r="BM131" s="60">
        <f>IF(OR(BG131="",BF131=""),"",BG131-BF131)</f>
        <v/>
      </c>
      <c r="BN131" s="60">
        <f>IF(OR(BH131="",BG131=""),"",BH131-BG131)</f>
        <v/>
      </c>
      <c r="BO131" s="60">
        <f>IF(OR(BI131="",BH131=""),"",BI131-BH131)</f>
        <v/>
      </c>
      <c r="BP131" s="60">
        <f>IF(C131="","",_xlfn.MAXIFS('Saisie'!$AS$5:$AS$2004,'Saisie'!$C$5:$C$2004,C131,'Saisie'!$J$5:$J$2004,"&lt;&gt;"))</f>
        <v/>
      </c>
      <c r="BQ131" s="60">
        <f>IF(C131="","",_xlfn.MAXIFS('Saisie'!$AS$5:$AS$2004,'Saisie'!$C$5:$C$2004,C131))</f>
        <v/>
      </c>
      <c r="BR131" s="60">
        <f>IF(C131="","",_xlfn.MAXIFS('Saisie'!$AS$5:$AS$2004,'Saisie'!$C$5:$C$2004,C131,'Saisie'!$E$5:$E$2004,"Perdu"))</f>
        <v/>
      </c>
      <c r="BS131" s="60">
        <f>IF(C131="","",_xlfn.MAXIFS('Saisie'!$AS$5:$AS$2004,'Saisie'!$C$5:$C$2004,C131,'Saisie'!$AT$5:$AT$2004,"&gt;0"))</f>
        <v/>
      </c>
      <c r="BT131" s="109">
        <f>IF(AND(C131&lt;&gt;"",OR(D131="Nouveau",D131="Contacté",D131="Qualifié"),OR(G131="",N(G131)&lt;=TODAY()),NOT(AND(O131&gt;='Paramètres'!$B$21,P131=0))),E131+127/10000,"")</f>
        <v/>
      </c>
      <c r="BU131" s="60">
        <f>IF(AND(G131&lt;&gt;"",N(G131)&lt;=TODAY()),MAX($BU$4:BU130)+1,"")</f>
        <v/>
      </c>
      <c r="BV131" s="60">
        <f>IF(AND(F131&lt;&gt;"",F131&lt;&gt;"Relance en retard"),MAX($BV$4:BV130)+1,"")</f>
        <v/>
      </c>
      <c r="BW131" s="60">
        <f>IF(C131="","",IF(AND(B131&gt;='Tableau de bord'!$R$4,B131&lt;='Tableau de bord'!$S$4,OR('Tableau de bord'!$G$4="Tous",N131='Tableau de bord'!$G$4)),1,0))</f>
        <v/>
      </c>
      <c r="BX131" s="60">
        <f>IF(AND(C131&lt;&gt;"",N(BA131)=7),MAX($BX$4:BX130)+1,"")</f>
        <v/>
      </c>
    </row>
    <row r="132">
      <c r="A132" s="60">
        <f>IF(C132="","","P-"&amp;TEXT(128,"000"))</f>
        <v/>
      </c>
      <c r="B132" s="106">
        <f>IF(C132="","",IFERROR(1/(1/_xlfn.MINIFS('Saisie'!$A$5:$A$2004,'Saisie'!$C$5:$C$2004,C132)),""))</f>
        <v/>
      </c>
      <c r="C132" s="60">
        <f>IFERROR(INDEX('Saisie'!$C$5:$C$2004,MATCH(128,'Saisie'!$AX$5:$AX$2004,0)),"")</f>
        <v/>
      </c>
      <c r="D132" s="60">
        <f>IF(C132="","",IF(AND(BR132&gt;0,BR132&gt;BS132,BA132&lt;7),"Perdu",INDEX('Paramètres'!$F$6:$F$13,BA132)))</f>
        <v/>
      </c>
      <c r="E132" s="61">
        <f>IF(C132="","",MIN(100,(Z132="Oui")*'Paramètres'!$B$38+(AB132="Régulière")*'Paramètres'!$B$39+IF(AND(N(AA132)&gt;0,TODAY()-N(AA132)&lt;=30),'Paramètres'!$B$40,0)+(W132="")*'Paramètres'!$B$41+(AC132="Absente")*'Paramètres'!$B$42+(AC132="Faible")*'Paramètres'!$B$43+IF(AND(N(AD132)&gt;0,N(AD132)&lt;4),'Paramètres'!$B$44,0)+(AF132="Moyenne")*'Paramètres'!$B$45+(AF132="Grande")*'Paramètres'!$B$46+(Y132&lt;&gt;"")*'Paramètres'!$B$47))</f>
        <v/>
      </c>
      <c r="F132" s="60">
        <f>IF(C132="","",IF(D132="Gagné","",IF(D132="Perdu",IF(AND(AX132&lt;&gt;"",AX132&lt;=TODAY()),"À recontacter (perdu)",""),IF(AND(O132&gt;='Paramètres'!$B$21,P132=0),"Stop : "&amp;'Paramètres'!$B$21&amp;" tentatives sans réponse",IF(AND(D132="Proposition",AR132&lt;&gt;"",TODAY()&gt;N(AR132)),"Proposition expirée",IF(AND(D132="Proposition",N(R132)&gt;='Paramètres'!$B$25),"Proposition sans réponse",IF(AND(G132&lt;&gt;"",N(G132)&lt;TODAY()),"Relance en retard",IF(N(R132)&gt;='Paramètres'!$B$24,"Sans action depuis "&amp;R132&amp;" j",""))))))))</f>
        <v/>
      </c>
      <c r="G132" s="106">
        <f>IF(OR(C132="",D132="Gagné",D132="Perdu"),"",IF(AND(BP132&gt;0,BP132=BQ132),INDEX('Saisie'!$J$5:$J$2004,BP132-4),IF(OR(O132=0,AND(O132&gt;='Paramètres'!$B$21,P132=0)),"",Q132+IF(O132&lt;=1,'Paramètres'!$B$18,IF(O132=2,'Paramètres'!$B$19,'Paramètres'!$B$20)))))</f>
        <v/>
      </c>
      <c r="H132" s="107">
        <f>IF(OR(G132="",BP132&lt;&gt;BQ132),"",IF(INDEX('Saisie'!$K$5:$K$2004,BP132-4)="","",INDEX('Saisie'!$K$5:$K$2004,BP132-4)))</f>
        <v/>
      </c>
      <c r="I132" s="60">
        <f>IF(C132="","",IF(OR(D132="Gagné",D132="Perdu"),"",IFERROR(INDEX('Saisie'!$I$5:$I$2004,_xlfn.MAXIFS('Saisie'!$AS$5:$AS$2004,'Saisie'!$C$5:$C$2004,C132,'Saisie'!$I$5:$I$2004,"&lt;&gt;")-4),"")))</f>
        <v/>
      </c>
      <c r="J132" s="60">
        <f>IF(C132="","",IFERROR(INDEX('Saisie'!$U$5:$U$2004,_xlfn.MAXIFS('Saisie'!$AS$5:$AS$2004,'Saisie'!$C$5:$C$2004,C132,'Saisie'!$U$5:$U$2004,"&lt;&gt;")-4),""))</f>
        <v/>
      </c>
      <c r="K132" s="60">
        <f>IF(C132="","",IFERROR(INDEX('Saisie'!$W$5:$W$2004,_xlfn.MAXIFS('Saisie'!$AS$5:$AS$2004,'Saisie'!$C$5:$C$2004,C132,'Saisie'!$W$5:$W$2004,"&lt;&gt;")-4),""))</f>
        <v/>
      </c>
      <c r="L132" s="60">
        <f>IF(IF(BB132&lt;&gt;"",BB132,K132)="","",HYPERLINK("https://wa.me/"&amp;IF(LEFT(SUBSTITUTE(SUBSTITUTE(SUBSTITUTE(IF(BB132&lt;&gt;"",BB132,K132)," ",""),".",""),"+",""),1)="0",'Paramètres'!$B$35&amp;MID(SUBSTITUTE(SUBSTITUTE(SUBSTITUTE(IF(BB132&lt;&gt;"",BB132,K132)," ",""),".",""),"+",""),2,20),SUBSTITUTE(SUBSTITUTE(SUBSTITUTE(IF(BB132&lt;&gt;"",BB132,K132)," ",""),".",""),"+","")),"WhatsApp"))</f>
        <v/>
      </c>
      <c r="M132" s="60">
        <f>IF(BC132="","",HYPERLINK(IF(LEFT(BC132,4)="http",BC132,"https://www.instagram.com/"&amp;SUBSTITUTE(SUBSTITUTE(BC132,"@","")," ","")),BC132))</f>
        <v/>
      </c>
      <c r="N132" s="60">
        <f>IF(C132="","",IFERROR(INDEX('Saisie'!$D$5:$D$2004,_xlfn.MINIFS('Saisie'!$AS$5:$AS$2004,'Saisie'!$C$5:$C$2004,C132,'Saisie'!$AU$5:$AU$2004,1)-4),IFERROR(INDEX('Saisie'!$D$5:$D$2004,_xlfn.MINIFS('Saisie'!$AS$5:$AS$2004,'Saisie'!$C$5:$C$2004,C132,'Saisie'!$D$5:$D$2004,"&lt;&gt;")-4),"")))</f>
        <v/>
      </c>
      <c r="O132" s="60">
        <f>IF(C132="","",COUNTIFS('Saisie'!$C$5:$C$2004,C132,'Saisie'!$AU$5:$AU$2004,1))</f>
        <v/>
      </c>
      <c r="P132" s="60">
        <f>IF(C132="","",COUNTIFS('Saisie'!$C$5:$C$2004,C132,'Saisie'!$AV$5:$AV$2004,1))</f>
        <v/>
      </c>
      <c r="Q132" s="106">
        <f>IF(C132="","",IFERROR(1/(1/_xlfn.MAXIFS('Saisie'!$A$5:$A$2004,'Saisie'!$C$5:$C$2004,C132)),""))</f>
        <v/>
      </c>
      <c r="R132" s="61">
        <f>IF(C132="","",IF(Q132="","",TODAY()-Q132))</f>
        <v/>
      </c>
      <c r="S132" s="60">
        <f>IF(C132="","",IFERROR(INDEX('Saisie'!$R$5:$R$2004,_xlfn.MAXIFS('Saisie'!$AS$5:$AS$2004,'Saisie'!$C$5:$C$2004,C132,'Saisie'!$R$5:$R$2004,"&lt;&gt;")-4),""))</f>
        <v/>
      </c>
      <c r="T132" s="60">
        <f>IF(C132="","",IFERROR(INDEX('Saisie'!$S$5:$S$2004,_xlfn.MAXIFS('Saisie'!$AS$5:$AS$2004,'Saisie'!$C$5:$C$2004,C132,'Saisie'!$S$5:$S$2004,"&lt;&gt;")-4),""))</f>
        <v/>
      </c>
      <c r="U132" s="60">
        <f>IF(C132="","",IFERROR(INDEX('Saisie'!$T$5:$T$2004,_xlfn.MAXIFS('Saisie'!$AS$5:$AS$2004,'Saisie'!$C$5:$C$2004,C132,'Saisie'!$T$5:$T$2004,"&lt;&gt;")-4),""))</f>
        <v/>
      </c>
      <c r="V132" s="60">
        <f>IF(C132="","",IFERROR(INDEX('Saisie'!$V$5:$V$2004,_xlfn.MAXIFS('Saisie'!$AS$5:$AS$2004,'Saisie'!$C$5:$C$2004,C132,'Saisie'!$V$5:$V$2004,"&lt;&gt;")-4),""))</f>
        <v/>
      </c>
      <c r="W132" s="60">
        <f>IF(C132="","",IFERROR(INDEX('Saisie'!$Z$5:$Z$2004,_xlfn.MAXIFS('Saisie'!$AS$5:$AS$2004,'Saisie'!$C$5:$C$2004,C132,'Saisie'!$Z$5:$Z$2004,"&lt;&gt;")-4),""))</f>
        <v/>
      </c>
      <c r="X132" s="60">
        <f>IF(C132="","",IFERROR(INDEX('Saisie'!$AA$5:$AA$2004,_xlfn.MAXIFS('Saisie'!$AS$5:$AS$2004,'Saisie'!$C$5:$C$2004,C132,'Saisie'!$AA$5:$AA$2004,"&lt;&gt;")-4),""))</f>
        <v/>
      </c>
      <c r="Y132" s="60">
        <f>IF(C132="","",IFERROR(INDEX('Saisie'!$AB$5:$AB$2004,_xlfn.MAXIFS('Saisie'!$AS$5:$AS$2004,'Saisie'!$C$5:$C$2004,C132,'Saisie'!$AB$5:$AB$2004,"&lt;&gt;")-4),""))</f>
        <v/>
      </c>
      <c r="Z132" s="60">
        <f>IF(C132="","",IFERROR(INDEX('Saisie'!$AC$5:$AC$2004,_xlfn.MAXIFS('Saisie'!$AS$5:$AS$2004,'Saisie'!$C$5:$C$2004,C132,'Saisie'!$AC$5:$AC$2004,"&lt;&gt;")-4),""))</f>
        <v/>
      </c>
      <c r="AA132" s="106">
        <f>IF(C132="","",IFERROR(INDEX('Saisie'!$AD$5:$AD$2004,_xlfn.MAXIFS('Saisie'!$AS$5:$AS$2004,'Saisie'!$C$5:$C$2004,C132,'Saisie'!$AD$5:$AD$2004,"&lt;&gt;")-4),""))</f>
        <v/>
      </c>
      <c r="AB132" s="60">
        <f>IF(C132="","",IFERROR(INDEX('Saisie'!$AE$5:$AE$2004,_xlfn.MAXIFS('Saisie'!$AS$5:$AS$2004,'Saisie'!$C$5:$C$2004,C132,'Saisie'!$AE$5:$AE$2004,"&lt;&gt;")-4),""))</f>
        <v/>
      </c>
      <c r="AC132" s="60">
        <f>IF(C132="","",IFERROR(INDEX('Saisie'!$AF$5:$AF$2004,_xlfn.MAXIFS('Saisie'!$AS$5:$AS$2004,'Saisie'!$C$5:$C$2004,C132,'Saisie'!$AF$5:$AF$2004,"&lt;&gt;")-4),""))</f>
        <v/>
      </c>
      <c r="AD132" s="108">
        <f>IF(C132="","",IFERROR(INDEX('Saisie'!$AG$5:$AG$2004,_xlfn.MAXIFS('Saisie'!$AS$5:$AS$2004,'Saisie'!$C$5:$C$2004,C132,'Saisie'!$AG$5:$AG$2004,"&lt;&gt;")-4),""))</f>
        <v/>
      </c>
      <c r="AE132" s="60">
        <f>IF(C132="","",IFERROR(INDEX('Saisie'!$AH$5:$AH$2004,_xlfn.MAXIFS('Saisie'!$AS$5:$AS$2004,'Saisie'!$C$5:$C$2004,C132,'Saisie'!$AH$5:$AH$2004,"&lt;&gt;")-4),""))</f>
        <v/>
      </c>
      <c r="AF132" s="60">
        <f>IF(C132="","",IFERROR(INDEX('Saisie'!$AI$5:$AI$2004,_xlfn.MAXIFS('Saisie'!$AS$5:$AS$2004,'Saisie'!$C$5:$C$2004,C132,'Saisie'!$AI$5:$AI$2004,"&lt;&gt;")-4),""))</f>
        <v/>
      </c>
      <c r="AG132" s="60">
        <f>IF(C132="","",IFERROR(INDEX('Saisie'!$AJ$5:$AJ$2004,_xlfn.MAXIFS('Saisie'!$AS$5:$AS$2004,'Saisie'!$C$5:$C$2004,C132,'Saisie'!$AJ$5:$AJ$2004,"&lt;&gt;")-4),""))</f>
        <v/>
      </c>
      <c r="AH132" s="60">
        <f>IF(C132="","",IFERROR(INDEX('Saisie'!$AK$5:$AK$2004,_xlfn.MAXIFS('Saisie'!$AS$5:$AS$2004,'Saisie'!$C$5:$C$2004,C132,'Saisie'!$AK$5:$AK$2004,"&lt;&gt;")-4),""))</f>
        <v/>
      </c>
      <c r="AI132" s="60">
        <f>IF(C132="","",IFERROR(INDEX('Saisie'!$AN$5:$AN$2004,_xlfn.MAXIFS('Saisie'!$AS$5:$AS$2004,'Saisie'!$C$5:$C$2004,C132,'Saisie'!$AN$5:$AN$2004,"&lt;&gt;")-4),""))</f>
        <v/>
      </c>
      <c r="AJ132" s="60">
        <f>IF(C132="","",IFERROR(INDEX('Saisie'!$AO$5:$AO$2004,_xlfn.MAXIFS('Saisie'!$AS$5:$AS$2004,'Saisie'!$C$5:$C$2004,C132,'Saisie'!$AO$5:$AO$2004,"&lt;&gt;")-4),""))</f>
        <v/>
      </c>
      <c r="AK132" s="60">
        <f>IF(C132="","",IFERROR(INDEX('Saisie'!$AP$5:$AP$2004,_xlfn.MAXIFS('Saisie'!$AS$5:$AS$2004,'Saisie'!$C$5:$C$2004,C132,'Saisie'!$AP$5:$AP$2004,"&lt;&gt;")-4),""))</f>
        <v/>
      </c>
      <c r="AL132" s="60">
        <f>IF(C132="","",IFERROR(INDEX('Saisie'!$AQ$5:$AQ$2004,_xlfn.MAXIFS('Saisie'!$AS$5:$AS$2004,'Saisie'!$C$5:$C$2004,C132,'Saisie'!$AQ$5:$AQ$2004,"&lt;&gt;")-4),""))</f>
        <v/>
      </c>
      <c r="AM132" s="60">
        <f>IF(C132="","",((AI132="Oui")+(AJ132="Oui")+(AK132="Oui")+OR(AL132="Immédiat",AL132="&lt; 1 mois"))&amp;"/4")</f>
        <v/>
      </c>
      <c r="AN132" s="60">
        <f>IF(C132="","",IFERROR(INDEX('Saisie'!$AL$5:$AL$2004,_xlfn.MAXIFS('Saisie'!$AS$5:$AS$2004,'Saisie'!$C$5:$C$2004,C132,'Saisie'!$AL$5:$AL$2004,"&lt;&gt;")-4),""))</f>
        <v/>
      </c>
      <c r="AO132" s="62">
        <f>IF(C132="","",IF(IFERROR(INDEX('Saisie'!$AM$5:$AM$2004,_xlfn.MAXIFS('Saisie'!$AS$5:$AS$2004,'Saisie'!$C$5:$C$2004,C132,'Saisie'!$AM$5:$AM$2004,"&lt;&gt;")-4),"")&lt;&gt;"",IFERROR(INDEX('Saisie'!$AM$5:$AM$2004,_xlfn.MAXIFS('Saisie'!$AS$5:$AS$2004,'Saisie'!$C$5:$C$2004,C132,'Saisie'!$AM$5:$AM$2004,"&lt;&gt;")-4),""),IFERROR(INDEX('Paramètres'!$S$6:$S$15,MATCH(AN132,'Paramètres'!$Q$6:$Q$15,0)),"")))</f>
        <v/>
      </c>
      <c r="AP132" s="62">
        <f>IF(C132="","",IFERROR(INDEX('Saisie'!$AW$5:$AW$2004,_xlfn.MAXIFS('Saisie'!$AS$5:$AS$2004,'Saisie'!$C$5:$C$2004,C132,'Saisie'!$E$5:$E$2004,"Proposition envoyée")-4),""))</f>
        <v/>
      </c>
      <c r="AQ132" s="106">
        <f>IF(C132="","",IFERROR(1/(1/_xlfn.MAXIFS('Saisie'!$A$5:$A$2004,'Saisie'!$C$5:$C$2004,C132,'Saisie'!$E$5:$E$2004,"Proposition envoyée")),""))</f>
        <v/>
      </c>
      <c r="AR132" s="106">
        <f>IF(C132="","",IF(AQ132="","",AQ132+'Paramètres'!$B$26))</f>
        <v/>
      </c>
      <c r="AS132" s="62">
        <f>IF(OR(C132="",D132="Gagné",D132="Perdu"),0,N(AP132)*IFERROR(INDEX('Paramètres'!$G$6:$G$13,MATCH(D132,'Paramètres'!$F$6:$F$13,0)),0))</f>
        <v/>
      </c>
      <c r="AT132" s="106">
        <f>IF(C132="","",IFERROR(1/(1/_xlfn.MINIFS('Saisie'!$A$5:$A$2004,'Saisie'!$C$5:$C$2004,C132,'Saisie'!$E$5:$E$2004,"Signature")),""))</f>
        <v/>
      </c>
      <c r="AU132" s="60">
        <f>IF(C132="","",IF(OR(AT132="",B132=""),"",AT132-B132))</f>
        <v/>
      </c>
      <c r="AV132" s="60">
        <f>IF(C132="","",IFERROR(INDEX('Saisie'!$L$5:$L$2004,_xlfn.MAXIFS('Saisie'!$AS$5:$AS$2004,'Saisie'!$C$5:$C$2004,C132,'Saisie'!$L$5:$L$2004,"&lt;&gt;")-4),""))</f>
        <v/>
      </c>
      <c r="AW132" s="106">
        <f>IF(C132="","",IF(D132&lt;&gt;"Perdu","",IFERROR(1/(1/_xlfn.MAXIFS('Saisie'!$A$5:$A$2004,'Saisie'!$C$5:$C$2004,C132,'Saisie'!$E$5:$E$2004,"Perdu")),"")))</f>
        <v/>
      </c>
      <c r="AX132" s="106">
        <f>IF(C132="","",IF(AW132="","",AW132+'Paramètres'!$B$28))</f>
        <v/>
      </c>
      <c r="AY132" s="60">
        <f>IF(C132="","",SUMIFS('Saisie'!$H$5:$H$2004,'Saisie'!$C$5:$C$2004,C132))</f>
        <v/>
      </c>
      <c r="AZ132" s="60">
        <f>IF(C132="","",IFERROR(INDEX('Paramètres'!$W$6:$W$20,MATCH(S132,'Paramètres'!$V$6:$V$20,0))&amp;"",""))</f>
        <v/>
      </c>
      <c r="BA132" s="60">
        <f>IF(C132="","",MAX(1,_xlfn.MAXIFS('Saisie'!$AT$5:$AT$2004,'Saisie'!$C$5:$C$2004,C132)))</f>
        <v/>
      </c>
      <c r="BB132" s="60">
        <f>IF(C132="","",IFERROR(INDEX('Saisie'!$X$5:$X$2004,_xlfn.MAXIFS('Saisie'!$AS$5:$AS$2004,'Saisie'!$C$5:$C$2004,C132,'Saisie'!$X$5:$X$2004,"&lt;&gt;")-4),""))</f>
        <v/>
      </c>
      <c r="BC132" s="60">
        <f>IF(C132="","",IFERROR(INDEX('Saisie'!$Y$5:$Y$2004,_xlfn.MAXIFS('Saisie'!$AS$5:$AS$2004,'Saisie'!$C$5:$C$2004,C132,'Saisie'!$Y$5:$Y$2004,"&lt;&gt;")-4),""))</f>
        <v/>
      </c>
      <c r="BD132" s="106">
        <f>IF(C132="","",IFERROR(1/(1/_xlfn.MINIFS('Saisie'!$A$5:$A$2004,'Saisie'!$C$5:$C$2004,C132,'Saisie'!$AT$5:$AT$2004,"&gt;=2")),""))</f>
        <v/>
      </c>
      <c r="BE132" s="106">
        <f>IF(C132="","",IFERROR(1/(1/_xlfn.MINIFS('Saisie'!$A$5:$A$2004,'Saisie'!$C$5:$C$2004,C132,'Saisie'!$AT$5:$AT$2004,"&gt;=3")),""))</f>
        <v/>
      </c>
      <c r="BF132" s="106">
        <f>IF(C132="","",IFERROR(1/(1/_xlfn.MINIFS('Saisie'!$A$5:$A$2004,'Saisie'!$C$5:$C$2004,C132,'Saisie'!$AT$5:$AT$2004,"&gt;=4")),""))</f>
        <v/>
      </c>
      <c r="BG132" s="106">
        <f>IF(C132="","",IFERROR(1/(1/_xlfn.MINIFS('Saisie'!$A$5:$A$2004,'Saisie'!$C$5:$C$2004,C132,'Saisie'!$AT$5:$AT$2004,"&gt;=5")),""))</f>
        <v/>
      </c>
      <c r="BH132" s="106">
        <f>IF(C132="","",IFERROR(1/(1/_xlfn.MINIFS('Saisie'!$A$5:$A$2004,'Saisie'!$C$5:$C$2004,C132,'Saisie'!$AT$5:$AT$2004,"&gt;=6")),""))</f>
        <v/>
      </c>
      <c r="BI132" s="106">
        <f>IF(C132="","",IFERROR(1/(1/_xlfn.MINIFS('Saisie'!$A$5:$A$2004,'Saisie'!$C$5:$C$2004,C132,'Saisie'!$AT$5:$AT$2004,"&gt;=7")),""))</f>
        <v/>
      </c>
      <c r="BJ132" s="60">
        <f>IF(OR(BD132="",B132=""),"",BD132-B132)</f>
        <v/>
      </c>
      <c r="BK132" s="60">
        <f>IF(OR(BE132="",BD132=""),"",BE132-BD132)</f>
        <v/>
      </c>
      <c r="BL132" s="60">
        <f>IF(OR(BF132="",BE132=""),"",BF132-BE132)</f>
        <v/>
      </c>
      <c r="BM132" s="60">
        <f>IF(OR(BG132="",BF132=""),"",BG132-BF132)</f>
        <v/>
      </c>
      <c r="BN132" s="60">
        <f>IF(OR(BH132="",BG132=""),"",BH132-BG132)</f>
        <v/>
      </c>
      <c r="BO132" s="60">
        <f>IF(OR(BI132="",BH132=""),"",BI132-BH132)</f>
        <v/>
      </c>
      <c r="BP132" s="60">
        <f>IF(C132="","",_xlfn.MAXIFS('Saisie'!$AS$5:$AS$2004,'Saisie'!$C$5:$C$2004,C132,'Saisie'!$J$5:$J$2004,"&lt;&gt;"))</f>
        <v/>
      </c>
      <c r="BQ132" s="60">
        <f>IF(C132="","",_xlfn.MAXIFS('Saisie'!$AS$5:$AS$2004,'Saisie'!$C$5:$C$2004,C132))</f>
        <v/>
      </c>
      <c r="BR132" s="60">
        <f>IF(C132="","",_xlfn.MAXIFS('Saisie'!$AS$5:$AS$2004,'Saisie'!$C$5:$C$2004,C132,'Saisie'!$E$5:$E$2004,"Perdu"))</f>
        <v/>
      </c>
      <c r="BS132" s="60">
        <f>IF(C132="","",_xlfn.MAXIFS('Saisie'!$AS$5:$AS$2004,'Saisie'!$C$5:$C$2004,C132,'Saisie'!$AT$5:$AT$2004,"&gt;0"))</f>
        <v/>
      </c>
      <c r="BT132" s="109">
        <f>IF(AND(C132&lt;&gt;"",OR(D132="Nouveau",D132="Contacté",D132="Qualifié"),OR(G132="",N(G132)&lt;=TODAY()),NOT(AND(O132&gt;='Paramètres'!$B$21,P132=0))),E132+128/10000,"")</f>
        <v/>
      </c>
      <c r="BU132" s="60">
        <f>IF(AND(G132&lt;&gt;"",N(G132)&lt;=TODAY()),MAX($BU$4:BU131)+1,"")</f>
        <v/>
      </c>
      <c r="BV132" s="60">
        <f>IF(AND(F132&lt;&gt;"",F132&lt;&gt;"Relance en retard"),MAX($BV$4:BV131)+1,"")</f>
        <v/>
      </c>
      <c r="BW132" s="60">
        <f>IF(C132="","",IF(AND(B132&gt;='Tableau de bord'!$R$4,B132&lt;='Tableau de bord'!$S$4,OR('Tableau de bord'!$G$4="Tous",N132='Tableau de bord'!$G$4)),1,0))</f>
        <v/>
      </c>
      <c r="BX132" s="60">
        <f>IF(AND(C132&lt;&gt;"",N(BA132)=7),MAX($BX$4:BX131)+1,"")</f>
        <v/>
      </c>
    </row>
    <row r="133">
      <c r="A133" s="60">
        <f>IF(C133="","","P-"&amp;TEXT(129,"000"))</f>
        <v/>
      </c>
      <c r="B133" s="106">
        <f>IF(C133="","",IFERROR(1/(1/_xlfn.MINIFS('Saisie'!$A$5:$A$2004,'Saisie'!$C$5:$C$2004,C133)),""))</f>
        <v/>
      </c>
      <c r="C133" s="60">
        <f>IFERROR(INDEX('Saisie'!$C$5:$C$2004,MATCH(129,'Saisie'!$AX$5:$AX$2004,0)),"")</f>
        <v/>
      </c>
      <c r="D133" s="60">
        <f>IF(C133="","",IF(AND(BR133&gt;0,BR133&gt;BS133,BA133&lt;7),"Perdu",INDEX('Paramètres'!$F$6:$F$13,BA133)))</f>
        <v/>
      </c>
      <c r="E133" s="61">
        <f>IF(C133="","",MIN(100,(Z133="Oui")*'Paramètres'!$B$38+(AB133="Régulière")*'Paramètres'!$B$39+IF(AND(N(AA133)&gt;0,TODAY()-N(AA133)&lt;=30),'Paramètres'!$B$40,0)+(W133="")*'Paramètres'!$B$41+(AC133="Absente")*'Paramètres'!$B$42+(AC133="Faible")*'Paramètres'!$B$43+IF(AND(N(AD133)&gt;0,N(AD133)&lt;4),'Paramètres'!$B$44,0)+(AF133="Moyenne")*'Paramètres'!$B$45+(AF133="Grande")*'Paramètres'!$B$46+(Y133&lt;&gt;"")*'Paramètres'!$B$47))</f>
        <v/>
      </c>
      <c r="F133" s="60">
        <f>IF(C133="","",IF(D133="Gagné","",IF(D133="Perdu",IF(AND(AX133&lt;&gt;"",AX133&lt;=TODAY()),"À recontacter (perdu)",""),IF(AND(O133&gt;='Paramètres'!$B$21,P133=0),"Stop : "&amp;'Paramètres'!$B$21&amp;" tentatives sans réponse",IF(AND(D133="Proposition",AR133&lt;&gt;"",TODAY()&gt;N(AR133)),"Proposition expirée",IF(AND(D133="Proposition",N(R133)&gt;='Paramètres'!$B$25),"Proposition sans réponse",IF(AND(G133&lt;&gt;"",N(G133)&lt;TODAY()),"Relance en retard",IF(N(R133)&gt;='Paramètres'!$B$24,"Sans action depuis "&amp;R133&amp;" j",""))))))))</f>
        <v/>
      </c>
      <c r="G133" s="106">
        <f>IF(OR(C133="",D133="Gagné",D133="Perdu"),"",IF(AND(BP133&gt;0,BP133=BQ133),INDEX('Saisie'!$J$5:$J$2004,BP133-4),IF(OR(O133=0,AND(O133&gt;='Paramètres'!$B$21,P133=0)),"",Q133+IF(O133&lt;=1,'Paramètres'!$B$18,IF(O133=2,'Paramètres'!$B$19,'Paramètres'!$B$20)))))</f>
        <v/>
      </c>
      <c r="H133" s="107">
        <f>IF(OR(G133="",BP133&lt;&gt;BQ133),"",IF(INDEX('Saisie'!$K$5:$K$2004,BP133-4)="","",INDEX('Saisie'!$K$5:$K$2004,BP133-4)))</f>
        <v/>
      </c>
      <c r="I133" s="60">
        <f>IF(C133="","",IF(OR(D133="Gagné",D133="Perdu"),"",IFERROR(INDEX('Saisie'!$I$5:$I$2004,_xlfn.MAXIFS('Saisie'!$AS$5:$AS$2004,'Saisie'!$C$5:$C$2004,C133,'Saisie'!$I$5:$I$2004,"&lt;&gt;")-4),"")))</f>
        <v/>
      </c>
      <c r="J133" s="60">
        <f>IF(C133="","",IFERROR(INDEX('Saisie'!$U$5:$U$2004,_xlfn.MAXIFS('Saisie'!$AS$5:$AS$2004,'Saisie'!$C$5:$C$2004,C133,'Saisie'!$U$5:$U$2004,"&lt;&gt;")-4),""))</f>
        <v/>
      </c>
      <c r="K133" s="60">
        <f>IF(C133="","",IFERROR(INDEX('Saisie'!$W$5:$W$2004,_xlfn.MAXIFS('Saisie'!$AS$5:$AS$2004,'Saisie'!$C$5:$C$2004,C133,'Saisie'!$W$5:$W$2004,"&lt;&gt;")-4),""))</f>
        <v/>
      </c>
      <c r="L133" s="60">
        <f>IF(IF(BB133&lt;&gt;"",BB133,K133)="","",HYPERLINK("https://wa.me/"&amp;IF(LEFT(SUBSTITUTE(SUBSTITUTE(SUBSTITUTE(IF(BB133&lt;&gt;"",BB133,K133)," ",""),".",""),"+",""),1)="0",'Paramètres'!$B$35&amp;MID(SUBSTITUTE(SUBSTITUTE(SUBSTITUTE(IF(BB133&lt;&gt;"",BB133,K133)," ",""),".",""),"+",""),2,20),SUBSTITUTE(SUBSTITUTE(SUBSTITUTE(IF(BB133&lt;&gt;"",BB133,K133)," ",""),".",""),"+","")),"WhatsApp"))</f>
        <v/>
      </c>
      <c r="M133" s="60">
        <f>IF(BC133="","",HYPERLINK(IF(LEFT(BC133,4)="http",BC133,"https://www.instagram.com/"&amp;SUBSTITUTE(SUBSTITUTE(BC133,"@","")," ","")),BC133))</f>
        <v/>
      </c>
      <c r="N133" s="60">
        <f>IF(C133="","",IFERROR(INDEX('Saisie'!$D$5:$D$2004,_xlfn.MINIFS('Saisie'!$AS$5:$AS$2004,'Saisie'!$C$5:$C$2004,C133,'Saisie'!$AU$5:$AU$2004,1)-4),IFERROR(INDEX('Saisie'!$D$5:$D$2004,_xlfn.MINIFS('Saisie'!$AS$5:$AS$2004,'Saisie'!$C$5:$C$2004,C133,'Saisie'!$D$5:$D$2004,"&lt;&gt;")-4),"")))</f>
        <v/>
      </c>
      <c r="O133" s="60">
        <f>IF(C133="","",COUNTIFS('Saisie'!$C$5:$C$2004,C133,'Saisie'!$AU$5:$AU$2004,1))</f>
        <v/>
      </c>
      <c r="P133" s="60">
        <f>IF(C133="","",COUNTIFS('Saisie'!$C$5:$C$2004,C133,'Saisie'!$AV$5:$AV$2004,1))</f>
        <v/>
      </c>
      <c r="Q133" s="106">
        <f>IF(C133="","",IFERROR(1/(1/_xlfn.MAXIFS('Saisie'!$A$5:$A$2004,'Saisie'!$C$5:$C$2004,C133)),""))</f>
        <v/>
      </c>
      <c r="R133" s="61">
        <f>IF(C133="","",IF(Q133="","",TODAY()-Q133))</f>
        <v/>
      </c>
      <c r="S133" s="60">
        <f>IF(C133="","",IFERROR(INDEX('Saisie'!$R$5:$R$2004,_xlfn.MAXIFS('Saisie'!$AS$5:$AS$2004,'Saisie'!$C$5:$C$2004,C133,'Saisie'!$R$5:$R$2004,"&lt;&gt;")-4),""))</f>
        <v/>
      </c>
      <c r="T133" s="60">
        <f>IF(C133="","",IFERROR(INDEX('Saisie'!$S$5:$S$2004,_xlfn.MAXIFS('Saisie'!$AS$5:$AS$2004,'Saisie'!$C$5:$C$2004,C133,'Saisie'!$S$5:$S$2004,"&lt;&gt;")-4),""))</f>
        <v/>
      </c>
      <c r="U133" s="60">
        <f>IF(C133="","",IFERROR(INDEX('Saisie'!$T$5:$T$2004,_xlfn.MAXIFS('Saisie'!$AS$5:$AS$2004,'Saisie'!$C$5:$C$2004,C133,'Saisie'!$T$5:$T$2004,"&lt;&gt;")-4),""))</f>
        <v/>
      </c>
      <c r="V133" s="60">
        <f>IF(C133="","",IFERROR(INDEX('Saisie'!$V$5:$V$2004,_xlfn.MAXIFS('Saisie'!$AS$5:$AS$2004,'Saisie'!$C$5:$C$2004,C133,'Saisie'!$V$5:$V$2004,"&lt;&gt;")-4),""))</f>
        <v/>
      </c>
      <c r="W133" s="60">
        <f>IF(C133="","",IFERROR(INDEX('Saisie'!$Z$5:$Z$2004,_xlfn.MAXIFS('Saisie'!$AS$5:$AS$2004,'Saisie'!$C$5:$C$2004,C133,'Saisie'!$Z$5:$Z$2004,"&lt;&gt;")-4),""))</f>
        <v/>
      </c>
      <c r="X133" s="60">
        <f>IF(C133="","",IFERROR(INDEX('Saisie'!$AA$5:$AA$2004,_xlfn.MAXIFS('Saisie'!$AS$5:$AS$2004,'Saisie'!$C$5:$C$2004,C133,'Saisie'!$AA$5:$AA$2004,"&lt;&gt;")-4),""))</f>
        <v/>
      </c>
      <c r="Y133" s="60">
        <f>IF(C133="","",IFERROR(INDEX('Saisie'!$AB$5:$AB$2004,_xlfn.MAXIFS('Saisie'!$AS$5:$AS$2004,'Saisie'!$C$5:$C$2004,C133,'Saisie'!$AB$5:$AB$2004,"&lt;&gt;")-4),""))</f>
        <v/>
      </c>
      <c r="Z133" s="60">
        <f>IF(C133="","",IFERROR(INDEX('Saisie'!$AC$5:$AC$2004,_xlfn.MAXIFS('Saisie'!$AS$5:$AS$2004,'Saisie'!$C$5:$C$2004,C133,'Saisie'!$AC$5:$AC$2004,"&lt;&gt;")-4),""))</f>
        <v/>
      </c>
      <c r="AA133" s="106">
        <f>IF(C133="","",IFERROR(INDEX('Saisie'!$AD$5:$AD$2004,_xlfn.MAXIFS('Saisie'!$AS$5:$AS$2004,'Saisie'!$C$5:$C$2004,C133,'Saisie'!$AD$5:$AD$2004,"&lt;&gt;")-4),""))</f>
        <v/>
      </c>
      <c r="AB133" s="60">
        <f>IF(C133="","",IFERROR(INDEX('Saisie'!$AE$5:$AE$2004,_xlfn.MAXIFS('Saisie'!$AS$5:$AS$2004,'Saisie'!$C$5:$C$2004,C133,'Saisie'!$AE$5:$AE$2004,"&lt;&gt;")-4),""))</f>
        <v/>
      </c>
      <c r="AC133" s="60">
        <f>IF(C133="","",IFERROR(INDEX('Saisie'!$AF$5:$AF$2004,_xlfn.MAXIFS('Saisie'!$AS$5:$AS$2004,'Saisie'!$C$5:$C$2004,C133,'Saisie'!$AF$5:$AF$2004,"&lt;&gt;")-4),""))</f>
        <v/>
      </c>
      <c r="AD133" s="108">
        <f>IF(C133="","",IFERROR(INDEX('Saisie'!$AG$5:$AG$2004,_xlfn.MAXIFS('Saisie'!$AS$5:$AS$2004,'Saisie'!$C$5:$C$2004,C133,'Saisie'!$AG$5:$AG$2004,"&lt;&gt;")-4),""))</f>
        <v/>
      </c>
      <c r="AE133" s="60">
        <f>IF(C133="","",IFERROR(INDEX('Saisie'!$AH$5:$AH$2004,_xlfn.MAXIFS('Saisie'!$AS$5:$AS$2004,'Saisie'!$C$5:$C$2004,C133,'Saisie'!$AH$5:$AH$2004,"&lt;&gt;")-4),""))</f>
        <v/>
      </c>
      <c r="AF133" s="60">
        <f>IF(C133="","",IFERROR(INDEX('Saisie'!$AI$5:$AI$2004,_xlfn.MAXIFS('Saisie'!$AS$5:$AS$2004,'Saisie'!$C$5:$C$2004,C133,'Saisie'!$AI$5:$AI$2004,"&lt;&gt;")-4),""))</f>
        <v/>
      </c>
      <c r="AG133" s="60">
        <f>IF(C133="","",IFERROR(INDEX('Saisie'!$AJ$5:$AJ$2004,_xlfn.MAXIFS('Saisie'!$AS$5:$AS$2004,'Saisie'!$C$5:$C$2004,C133,'Saisie'!$AJ$5:$AJ$2004,"&lt;&gt;")-4),""))</f>
        <v/>
      </c>
      <c r="AH133" s="60">
        <f>IF(C133="","",IFERROR(INDEX('Saisie'!$AK$5:$AK$2004,_xlfn.MAXIFS('Saisie'!$AS$5:$AS$2004,'Saisie'!$C$5:$C$2004,C133,'Saisie'!$AK$5:$AK$2004,"&lt;&gt;")-4),""))</f>
        <v/>
      </c>
      <c r="AI133" s="60">
        <f>IF(C133="","",IFERROR(INDEX('Saisie'!$AN$5:$AN$2004,_xlfn.MAXIFS('Saisie'!$AS$5:$AS$2004,'Saisie'!$C$5:$C$2004,C133,'Saisie'!$AN$5:$AN$2004,"&lt;&gt;")-4),""))</f>
        <v/>
      </c>
      <c r="AJ133" s="60">
        <f>IF(C133="","",IFERROR(INDEX('Saisie'!$AO$5:$AO$2004,_xlfn.MAXIFS('Saisie'!$AS$5:$AS$2004,'Saisie'!$C$5:$C$2004,C133,'Saisie'!$AO$5:$AO$2004,"&lt;&gt;")-4),""))</f>
        <v/>
      </c>
      <c r="AK133" s="60">
        <f>IF(C133="","",IFERROR(INDEX('Saisie'!$AP$5:$AP$2004,_xlfn.MAXIFS('Saisie'!$AS$5:$AS$2004,'Saisie'!$C$5:$C$2004,C133,'Saisie'!$AP$5:$AP$2004,"&lt;&gt;")-4),""))</f>
        <v/>
      </c>
      <c r="AL133" s="60">
        <f>IF(C133="","",IFERROR(INDEX('Saisie'!$AQ$5:$AQ$2004,_xlfn.MAXIFS('Saisie'!$AS$5:$AS$2004,'Saisie'!$C$5:$C$2004,C133,'Saisie'!$AQ$5:$AQ$2004,"&lt;&gt;")-4),""))</f>
        <v/>
      </c>
      <c r="AM133" s="60">
        <f>IF(C133="","",((AI133="Oui")+(AJ133="Oui")+(AK133="Oui")+OR(AL133="Immédiat",AL133="&lt; 1 mois"))&amp;"/4")</f>
        <v/>
      </c>
      <c r="AN133" s="60">
        <f>IF(C133="","",IFERROR(INDEX('Saisie'!$AL$5:$AL$2004,_xlfn.MAXIFS('Saisie'!$AS$5:$AS$2004,'Saisie'!$C$5:$C$2004,C133,'Saisie'!$AL$5:$AL$2004,"&lt;&gt;")-4),""))</f>
        <v/>
      </c>
      <c r="AO133" s="62">
        <f>IF(C133="","",IF(IFERROR(INDEX('Saisie'!$AM$5:$AM$2004,_xlfn.MAXIFS('Saisie'!$AS$5:$AS$2004,'Saisie'!$C$5:$C$2004,C133,'Saisie'!$AM$5:$AM$2004,"&lt;&gt;")-4),"")&lt;&gt;"",IFERROR(INDEX('Saisie'!$AM$5:$AM$2004,_xlfn.MAXIFS('Saisie'!$AS$5:$AS$2004,'Saisie'!$C$5:$C$2004,C133,'Saisie'!$AM$5:$AM$2004,"&lt;&gt;")-4),""),IFERROR(INDEX('Paramètres'!$S$6:$S$15,MATCH(AN133,'Paramètres'!$Q$6:$Q$15,0)),"")))</f>
        <v/>
      </c>
      <c r="AP133" s="62">
        <f>IF(C133="","",IFERROR(INDEX('Saisie'!$AW$5:$AW$2004,_xlfn.MAXIFS('Saisie'!$AS$5:$AS$2004,'Saisie'!$C$5:$C$2004,C133,'Saisie'!$E$5:$E$2004,"Proposition envoyée")-4),""))</f>
        <v/>
      </c>
      <c r="AQ133" s="106">
        <f>IF(C133="","",IFERROR(1/(1/_xlfn.MAXIFS('Saisie'!$A$5:$A$2004,'Saisie'!$C$5:$C$2004,C133,'Saisie'!$E$5:$E$2004,"Proposition envoyée")),""))</f>
        <v/>
      </c>
      <c r="AR133" s="106">
        <f>IF(C133="","",IF(AQ133="","",AQ133+'Paramètres'!$B$26))</f>
        <v/>
      </c>
      <c r="AS133" s="62">
        <f>IF(OR(C133="",D133="Gagné",D133="Perdu"),0,N(AP133)*IFERROR(INDEX('Paramètres'!$G$6:$G$13,MATCH(D133,'Paramètres'!$F$6:$F$13,0)),0))</f>
        <v/>
      </c>
      <c r="AT133" s="106">
        <f>IF(C133="","",IFERROR(1/(1/_xlfn.MINIFS('Saisie'!$A$5:$A$2004,'Saisie'!$C$5:$C$2004,C133,'Saisie'!$E$5:$E$2004,"Signature")),""))</f>
        <v/>
      </c>
      <c r="AU133" s="60">
        <f>IF(C133="","",IF(OR(AT133="",B133=""),"",AT133-B133))</f>
        <v/>
      </c>
      <c r="AV133" s="60">
        <f>IF(C133="","",IFERROR(INDEX('Saisie'!$L$5:$L$2004,_xlfn.MAXIFS('Saisie'!$AS$5:$AS$2004,'Saisie'!$C$5:$C$2004,C133,'Saisie'!$L$5:$L$2004,"&lt;&gt;")-4),""))</f>
        <v/>
      </c>
      <c r="AW133" s="106">
        <f>IF(C133="","",IF(D133&lt;&gt;"Perdu","",IFERROR(1/(1/_xlfn.MAXIFS('Saisie'!$A$5:$A$2004,'Saisie'!$C$5:$C$2004,C133,'Saisie'!$E$5:$E$2004,"Perdu")),"")))</f>
        <v/>
      </c>
      <c r="AX133" s="106">
        <f>IF(C133="","",IF(AW133="","",AW133+'Paramètres'!$B$28))</f>
        <v/>
      </c>
      <c r="AY133" s="60">
        <f>IF(C133="","",SUMIFS('Saisie'!$H$5:$H$2004,'Saisie'!$C$5:$C$2004,C133))</f>
        <v/>
      </c>
      <c r="AZ133" s="60">
        <f>IF(C133="","",IFERROR(INDEX('Paramètres'!$W$6:$W$20,MATCH(S133,'Paramètres'!$V$6:$V$20,0))&amp;"",""))</f>
        <v/>
      </c>
      <c r="BA133" s="60">
        <f>IF(C133="","",MAX(1,_xlfn.MAXIFS('Saisie'!$AT$5:$AT$2004,'Saisie'!$C$5:$C$2004,C133)))</f>
        <v/>
      </c>
      <c r="BB133" s="60">
        <f>IF(C133="","",IFERROR(INDEX('Saisie'!$X$5:$X$2004,_xlfn.MAXIFS('Saisie'!$AS$5:$AS$2004,'Saisie'!$C$5:$C$2004,C133,'Saisie'!$X$5:$X$2004,"&lt;&gt;")-4),""))</f>
        <v/>
      </c>
      <c r="BC133" s="60">
        <f>IF(C133="","",IFERROR(INDEX('Saisie'!$Y$5:$Y$2004,_xlfn.MAXIFS('Saisie'!$AS$5:$AS$2004,'Saisie'!$C$5:$C$2004,C133,'Saisie'!$Y$5:$Y$2004,"&lt;&gt;")-4),""))</f>
        <v/>
      </c>
      <c r="BD133" s="106">
        <f>IF(C133="","",IFERROR(1/(1/_xlfn.MINIFS('Saisie'!$A$5:$A$2004,'Saisie'!$C$5:$C$2004,C133,'Saisie'!$AT$5:$AT$2004,"&gt;=2")),""))</f>
        <v/>
      </c>
      <c r="BE133" s="106">
        <f>IF(C133="","",IFERROR(1/(1/_xlfn.MINIFS('Saisie'!$A$5:$A$2004,'Saisie'!$C$5:$C$2004,C133,'Saisie'!$AT$5:$AT$2004,"&gt;=3")),""))</f>
        <v/>
      </c>
      <c r="BF133" s="106">
        <f>IF(C133="","",IFERROR(1/(1/_xlfn.MINIFS('Saisie'!$A$5:$A$2004,'Saisie'!$C$5:$C$2004,C133,'Saisie'!$AT$5:$AT$2004,"&gt;=4")),""))</f>
        <v/>
      </c>
      <c r="BG133" s="106">
        <f>IF(C133="","",IFERROR(1/(1/_xlfn.MINIFS('Saisie'!$A$5:$A$2004,'Saisie'!$C$5:$C$2004,C133,'Saisie'!$AT$5:$AT$2004,"&gt;=5")),""))</f>
        <v/>
      </c>
      <c r="BH133" s="106">
        <f>IF(C133="","",IFERROR(1/(1/_xlfn.MINIFS('Saisie'!$A$5:$A$2004,'Saisie'!$C$5:$C$2004,C133,'Saisie'!$AT$5:$AT$2004,"&gt;=6")),""))</f>
        <v/>
      </c>
      <c r="BI133" s="106">
        <f>IF(C133="","",IFERROR(1/(1/_xlfn.MINIFS('Saisie'!$A$5:$A$2004,'Saisie'!$C$5:$C$2004,C133,'Saisie'!$AT$5:$AT$2004,"&gt;=7")),""))</f>
        <v/>
      </c>
      <c r="BJ133" s="60">
        <f>IF(OR(BD133="",B133=""),"",BD133-B133)</f>
        <v/>
      </c>
      <c r="BK133" s="60">
        <f>IF(OR(BE133="",BD133=""),"",BE133-BD133)</f>
        <v/>
      </c>
      <c r="BL133" s="60">
        <f>IF(OR(BF133="",BE133=""),"",BF133-BE133)</f>
        <v/>
      </c>
      <c r="BM133" s="60">
        <f>IF(OR(BG133="",BF133=""),"",BG133-BF133)</f>
        <v/>
      </c>
      <c r="BN133" s="60">
        <f>IF(OR(BH133="",BG133=""),"",BH133-BG133)</f>
        <v/>
      </c>
      <c r="BO133" s="60">
        <f>IF(OR(BI133="",BH133=""),"",BI133-BH133)</f>
        <v/>
      </c>
      <c r="BP133" s="60">
        <f>IF(C133="","",_xlfn.MAXIFS('Saisie'!$AS$5:$AS$2004,'Saisie'!$C$5:$C$2004,C133,'Saisie'!$J$5:$J$2004,"&lt;&gt;"))</f>
        <v/>
      </c>
      <c r="BQ133" s="60">
        <f>IF(C133="","",_xlfn.MAXIFS('Saisie'!$AS$5:$AS$2004,'Saisie'!$C$5:$C$2004,C133))</f>
        <v/>
      </c>
      <c r="BR133" s="60">
        <f>IF(C133="","",_xlfn.MAXIFS('Saisie'!$AS$5:$AS$2004,'Saisie'!$C$5:$C$2004,C133,'Saisie'!$E$5:$E$2004,"Perdu"))</f>
        <v/>
      </c>
      <c r="BS133" s="60">
        <f>IF(C133="","",_xlfn.MAXIFS('Saisie'!$AS$5:$AS$2004,'Saisie'!$C$5:$C$2004,C133,'Saisie'!$AT$5:$AT$2004,"&gt;0"))</f>
        <v/>
      </c>
      <c r="BT133" s="109">
        <f>IF(AND(C133&lt;&gt;"",OR(D133="Nouveau",D133="Contacté",D133="Qualifié"),OR(G133="",N(G133)&lt;=TODAY()),NOT(AND(O133&gt;='Paramètres'!$B$21,P133=0))),E133+129/10000,"")</f>
        <v/>
      </c>
      <c r="BU133" s="60">
        <f>IF(AND(G133&lt;&gt;"",N(G133)&lt;=TODAY()),MAX($BU$4:BU132)+1,"")</f>
        <v/>
      </c>
      <c r="BV133" s="60">
        <f>IF(AND(F133&lt;&gt;"",F133&lt;&gt;"Relance en retard"),MAX($BV$4:BV132)+1,"")</f>
        <v/>
      </c>
      <c r="BW133" s="60">
        <f>IF(C133="","",IF(AND(B133&gt;='Tableau de bord'!$R$4,B133&lt;='Tableau de bord'!$S$4,OR('Tableau de bord'!$G$4="Tous",N133='Tableau de bord'!$G$4)),1,0))</f>
        <v/>
      </c>
      <c r="BX133" s="60">
        <f>IF(AND(C133&lt;&gt;"",N(BA133)=7),MAX($BX$4:BX132)+1,"")</f>
        <v/>
      </c>
    </row>
    <row r="134">
      <c r="A134" s="60">
        <f>IF(C134="","","P-"&amp;TEXT(130,"000"))</f>
        <v/>
      </c>
      <c r="B134" s="106">
        <f>IF(C134="","",IFERROR(1/(1/_xlfn.MINIFS('Saisie'!$A$5:$A$2004,'Saisie'!$C$5:$C$2004,C134)),""))</f>
        <v/>
      </c>
      <c r="C134" s="60">
        <f>IFERROR(INDEX('Saisie'!$C$5:$C$2004,MATCH(130,'Saisie'!$AX$5:$AX$2004,0)),"")</f>
        <v/>
      </c>
      <c r="D134" s="60">
        <f>IF(C134="","",IF(AND(BR134&gt;0,BR134&gt;BS134,BA134&lt;7),"Perdu",INDEX('Paramètres'!$F$6:$F$13,BA134)))</f>
        <v/>
      </c>
      <c r="E134" s="61">
        <f>IF(C134="","",MIN(100,(Z134="Oui")*'Paramètres'!$B$38+(AB134="Régulière")*'Paramètres'!$B$39+IF(AND(N(AA134)&gt;0,TODAY()-N(AA134)&lt;=30),'Paramètres'!$B$40,0)+(W134="")*'Paramètres'!$B$41+(AC134="Absente")*'Paramètres'!$B$42+(AC134="Faible")*'Paramètres'!$B$43+IF(AND(N(AD134)&gt;0,N(AD134)&lt;4),'Paramètres'!$B$44,0)+(AF134="Moyenne")*'Paramètres'!$B$45+(AF134="Grande")*'Paramètres'!$B$46+(Y134&lt;&gt;"")*'Paramètres'!$B$47))</f>
        <v/>
      </c>
      <c r="F134" s="60">
        <f>IF(C134="","",IF(D134="Gagné","",IF(D134="Perdu",IF(AND(AX134&lt;&gt;"",AX134&lt;=TODAY()),"À recontacter (perdu)",""),IF(AND(O134&gt;='Paramètres'!$B$21,P134=0),"Stop : "&amp;'Paramètres'!$B$21&amp;" tentatives sans réponse",IF(AND(D134="Proposition",AR134&lt;&gt;"",TODAY()&gt;N(AR134)),"Proposition expirée",IF(AND(D134="Proposition",N(R134)&gt;='Paramètres'!$B$25),"Proposition sans réponse",IF(AND(G134&lt;&gt;"",N(G134)&lt;TODAY()),"Relance en retard",IF(N(R134)&gt;='Paramètres'!$B$24,"Sans action depuis "&amp;R134&amp;" j",""))))))))</f>
        <v/>
      </c>
      <c r="G134" s="106">
        <f>IF(OR(C134="",D134="Gagné",D134="Perdu"),"",IF(AND(BP134&gt;0,BP134=BQ134),INDEX('Saisie'!$J$5:$J$2004,BP134-4),IF(OR(O134=0,AND(O134&gt;='Paramètres'!$B$21,P134=0)),"",Q134+IF(O134&lt;=1,'Paramètres'!$B$18,IF(O134=2,'Paramètres'!$B$19,'Paramètres'!$B$20)))))</f>
        <v/>
      </c>
      <c r="H134" s="107">
        <f>IF(OR(G134="",BP134&lt;&gt;BQ134),"",IF(INDEX('Saisie'!$K$5:$K$2004,BP134-4)="","",INDEX('Saisie'!$K$5:$K$2004,BP134-4)))</f>
        <v/>
      </c>
      <c r="I134" s="60">
        <f>IF(C134="","",IF(OR(D134="Gagné",D134="Perdu"),"",IFERROR(INDEX('Saisie'!$I$5:$I$2004,_xlfn.MAXIFS('Saisie'!$AS$5:$AS$2004,'Saisie'!$C$5:$C$2004,C134,'Saisie'!$I$5:$I$2004,"&lt;&gt;")-4),"")))</f>
        <v/>
      </c>
      <c r="J134" s="60">
        <f>IF(C134="","",IFERROR(INDEX('Saisie'!$U$5:$U$2004,_xlfn.MAXIFS('Saisie'!$AS$5:$AS$2004,'Saisie'!$C$5:$C$2004,C134,'Saisie'!$U$5:$U$2004,"&lt;&gt;")-4),""))</f>
        <v/>
      </c>
      <c r="K134" s="60">
        <f>IF(C134="","",IFERROR(INDEX('Saisie'!$W$5:$W$2004,_xlfn.MAXIFS('Saisie'!$AS$5:$AS$2004,'Saisie'!$C$5:$C$2004,C134,'Saisie'!$W$5:$W$2004,"&lt;&gt;")-4),""))</f>
        <v/>
      </c>
      <c r="L134" s="60">
        <f>IF(IF(BB134&lt;&gt;"",BB134,K134)="","",HYPERLINK("https://wa.me/"&amp;IF(LEFT(SUBSTITUTE(SUBSTITUTE(SUBSTITUTE(IF(BB134&lt;&gt;"",BB134,K134)," ",""),".",""),"+",""),1)="0",'Paramètres'!$B$35&amp;MID(SUBSTITUTE(SUBSTITUTE(SUBSTITUTE(IF(BB134&lt;&gt;"",BB134,K134)," ",""),".",""),"+",""),2,20),SUBSTITUTE(SUBSTITUTE(SUBSTITUTE(IF(BB134&lt;&gt;"",BB134,K134)," ",""),".",""),"+","")),"WhatsApp"))</f>
        <v/>
      </c>
      <c r="M134" s="60">
        <f>IF(BC134="","",HYPERLINK(IF(LEFT(BC134,4)="http",BC134,"https://www.instagram.com/"&amp;SUBSTITUTE(SUBSTITUTE(BC134,"@","")," ","")),BC134))</f>
        <v/>
      </c>
      <c r="N134" s="60">
        <f>IF(C134="","",IFERROR(INDEX('Saisie'!$D$5:$D$2004,_xlfn.MINIFS('Saisie'!$AS$5:$AS$2004,'Saisie'!$C$5:$C$2004,C134,'Saisie'!$AU$5:$AU$2004,1)-4),IFERROR(INDEX('Saisie'!$D$5:$D$2004,_xlfn.MINIFS('Saisie'!$AS$5:$AS$2004,'Saisie'!$C$5:$C$2004,C134,'Saisie'!$D$5:$D$2004,"&lt;&gt;")-4),"")))</f>
        <v/>
      </c>
      <c r="O134" s="60">
        <f>IF(C134="","",COUNTIFS('Saisie'!$C$5:$C$2004,C134,'Saisie'!$AU$5:$AU$2004,1))</f>
        <v/>
      </c>
      <c r="P134" s="60">
        <f>IF(C134="","",COUNTIFS('Saisie'!$C$5:$C$2004,C134,'Saisie'!$AV$5:$AV$2004,1))</f>
        <v/>
      </c>
      <c r="Q134" s="106">
        <f>IF(C134="","",IFERROR(1/(1/_xlfn.MAXIFS('Saisie'!$A$5:$A$2004,'Saisie'!$C$5:$C$2004,C134)),""))</f>
        <v/>
      </c>
      <c r="R134" s="61">
        <f>IF(C134="","",IF(Q134="","",TODAY()-Q134))</f>
        <v/>
      </c>
      <c r="S134" s="60">
        <f>IF(C134="","",IFERROR(INDEX('Saisie'!$R$5:$R$2004,_xlfn.MAXIFS('Saisie'!$AS$5:$AS$2004,'Saisie'!$C$5:$C$2004,C134,'Saisie'!$R$5:$R$2004,"&lt;&gt;")-4),""))</f>
        <v/>
      </c>
      <c r="T134" s="60">
        <f>IF(C134="","",IFERROR(INDEX('Saisie'!$S$5:$S$2004,_xlfn.MAXIFS('Saisie'!$AS$5:$AS$2004,'Saisie'!$C$5:$C$2004,C134,'Saisie'!$S$5:$S$2004,"&lt;&gt;")-4),""))</f>
        <v/>
      </c>
      <c r="U134" s="60">
        <f>IF(C134="","",IFERROR(INDEX('Saisie'!$T$5:$T$2004,_xlfn.MAXIFS('Saisie'!$AS$5:$AS$2004,'Saisie'!$C$5:$C$2004,C134,'Saisie'!$T$5:$T$2004,"&lt;&gt;")-4),""))</f>
        <v/>
      </c>
      <c r="V134" s="60">
        <f>IF(C134="","",IFERROR(INDEX('Saisie'!$V$5:$V$2004,_xlfn.MAXIFS('Saisie'!$AS$5:$AS$2004,'Saisie'!$C$5:$C$2004,C134,'Saisie'!$V$5:$V$2004,"&lt;&gt;")-4),""))</f>
        <v/>
      </c>
      <c r="W134" s="60">
        <f>IF(C134="","",IFERROR(INDEX('Saisie'!$Z$5:$Z$2004,_xlfn.MAXIFS('Saisie'!$AS$5:$AS$2004,'Saisie'!$C$5:$C$2004,C134,'Saisie'!$Z$5:$Z$2004,"&lt;&gt;")-4),""))</f>
        <v/>
      </c>
      <c r="X134" s="60">
        <f>IF(C134="","",IFERROR(INDEX('Saisie'!$AA$5:$AA$2004,_xlfn.MAXIFS('Saisie'!$AS$5:$AS$2004,'Saisie'!$C$5:$C$2004,C134,'Saisie'!$AA$5:$AA$2004,"&lt;&gt;")-4),""))</f>
        <v/>
      </c>
      <c r="Y134" s="60">
        <f>IF(C134="","",IFERROR(INDEX('Saisie'!$AB$5:$AB$2004,_xlfn.MAXIFS('Saisie'!$AS$5:$AS$2004,'Saisie'!$C$5:$C$2004,C134,'Saisie'!$AB$5:$AB$2004,"&lt;&gt;")-4),""))</f>
        <v/>
      </c>
      <c r="Z134" s="60">
        <f>IF(C134="","",IFERROR(INDEX('Saisie'!$AC$5:$AC$2004,_xlfn.MAXIFS('Saisie'!$AS$5:$AS$2004,'Saisie'!$C$5:$C$2004,C134,'Saisie'!$AC$5:$AC$2004,"&lt;&gt;")-4),""))</f>
        <v/>
      </c>
      <c r="AA134" s="106">
        <f>IF(C134="","",IFERROR(INDEX('Saisie'!$AD$5:$AD$2004,_xlfn.MAXIFS('Saisie'!$AS$5:$AS$2004,'Saisie'!$C$5:$C$2004,C134,'Saisie'!$AD$5:$AD$2004,"&lt;&gt;")-4),""))</f>
        <v/>
      </c>
      <c r="AB134" s="60">
        <f>IF(C134="","",IFERROR(INDEX('Saisie'!$AE$5:$AE$2004,_xlfn.MAXIFS('Saisie'!$AS$5:$AS$2004,'Saisie'!$C$5:$C$2004,C134,'Saisie'!$AE$5:$AE$2004,"&lt;&gt;")-4),""))</f>
        <v/>
      </c>
      <c r="AC134" s="60">
        <f>IF(C134="","",IFERROR(INDEX('Saisie'!$AF$5:$AF$2004,_xlfn.MAXIFS('Saisie'!$AS$5:$AS$2004,'Saisie'!$C$5:$C$2004,C134,'Saisie'!$AF$5:$AF$2004,"&lt;&gt;")-4),""))</f>
        <v/>
      </c>
      <c r="AD134" s="108">
        <f>IF(C134="","",IFERROR(INDEX('Saisie'!$AG$5:$AG$2004,_xlfn.MAXIFS('Saisie'!$AS$5:$AS$2004,'Saisie'!$C$5:$C$2004,C134,'Saisie'!$AG$5:$AG$2004,"&lt;&gt;")-4),""))</f>
        <v/>
      </c>
      <c r="AE134" s="60">
        <f>IF(C134="","",IFERROR(INDEX('Saisie'!$AH$5:$AH$2004,_xlfn.MAXIFS('Saisie'!$AS$5:$AS$2004,'Saisie'!$C$5:$C$2004,C134,'Saisie'!$AH$5:$AH$2004,"&lt;&gt;")-4),""))</f>
        <v/>
      </c>
      <c r="AF134" s="60">
        <f>IF(C134="","",IFERROR(INDEX('Saisie'!$AI$5:$AI$2004,_xlfn.MAXIFS('Saisie'!$AS$5:$AS$2004,'Saisie'!$C$5:$C$2004,C134,'Saisie'!$AI$5:$AI$2004,"&lt;&gt;")-4),""))</f>
        <v/>
      </c>
      <c r="AG134" s="60">
        <f>IF(C134="","",IFERROR(INDEX('Saisie'!$AJ$5:$AJ$2004,_xlfn.MAXIFS('Saisie'!$AS$5:$AS$2004,'Saisie'!$C$5:$C$2004,C134,'Saisie'!$AJ$5:$AJ$2004,"&lt;&gt;")-4),""))</f>
        <v/>
      </c>
      <c r="AH134" s="60">
        <f>IF(C134="","",IFERROR(INDEX('Saisie'!$AK$5:$AK$2004,_xlfn.MAXIFS('Saisie'!$AS$5:$AS$2004,'Saisie'!$C$5:$C$2004,C134,'Saisie'!$AK$5:$AK$2004,"&lt;&gt;")-4),""))</f>
        <v/>
      </c>
      <c r="AI134" s="60">
        <f>IF(C134="","",IFERROR(INDEX('Saisie'!$AN$5:$AN$2004,_xlfn.MAXIFS('Saisie'!$AS$5:$AS$2004,'Saisie'!$C$5:$C$2004,C134,'Saisie'!$AN$5:$AN$2004,"&lt;&gt;")-4),""))</f>
        <v/>
      </c>
      <c r="AJ134" s="60">
        <f>IF(C134="","",IFERROR(INDEX('Saisie'!$AO$5:$AO$2004,_xlfn.MAXIFS('Saisie'!$AS$5:$AS$2004,'Saisie'!$C$5:$C$2004,C134,'Saisie'!$AO$5:$AO$2004,"&lt;&gt;")-4),""))</f>
        <v/>
      </c>
      <c r="AK134" s="60">
        <f>IF(C134="","",IFERROR(INDEX('Saisie'!$AP$5:$AP$2004,_xlfn.MAXIFS('Saisie'!$AS$5:$AS$2004,'Saisie'!$C$5:$C$2004,C134,'Saisie'!$AP$5:$AP$2004,"&lt;&gt;")-4),""))</f>
        <v/>
      </c>
      <c r="AL134" s="60">
        <f>IF(C134="","",IFERROR(INDEX('Saisie'!$AQ$5:$AQ$2004,_xlfn.MAXIFS('Saisie'!$AS$5:$AS$2004,'Saisie'!$C$5:$C$2004,C134,'Saisie'!$AQ$5:$AQ$2004,"&lt;&gt;")-4),""))</f>
        <v/>
      </c>
      <c r="AM134" s="60">
        <f>IF(C134="","",((AI134="Oui")+(AJ134="Oui")+(AK134="Oui")+OR(AL134="Immédiat",AL134="&lt; 1 mois"))&amp;"/4")</f>
        <v/>
      </c>
      <c r="AN134" s="60">
        <f>IF(C134="","",IFERROR(INDEX('Saisie'!$AL$5:$AL$2004,_xlfn.MAXIFS('Saisie'!$AS$5:$AS$2004,'Saisie'!$C$5:$C$2004,C134,'Saisie'!$AL$5:$AL$2004,"&lt;&gt;")-4),""))</f>
        <v/>
      </c>
      <c r="AO134" s="62">
        <f>IF(C134="","",IF(IFERROR(INDEX('Saisie'!$AM$5:$AM$2004,_xlfn.MAXIFS('Saisie'!$AS$5:$AS$2004,'Saisie'!$C$5:$C$2004,C134,'Saisie'!$AM$5:$AM$2004,"&lt;&gt;")-4),"")&lt;&gt;"",IFERROR(INDEX('Saisie'!$AM$5:$AM$2004,_xlfn.MAXIFS('Saisie'!$AS$5:$AS$2004,'Saisie'!$C$5:$C$2004,C134,'Saisie'!$AM$5:$AM$2004,"&lt;&gt;")-4),""),IFERROR(INDEX('Paramètres'!$S$6:$S$15,MATCH(AN134,'Paramètres'!$Q$6:$Q$15,0)),"")))</f>
        <v/>
      </c>
      <c r="AP134" s="62">
        <f>IF(C134="","",IFERROR(INDEX('Saisie'!$AW$5:$AW$2004,_xlfn.MAXIFS('Saisie'!$AS$5:$AS$2004,'Saisie'!$C$5:$C$2004,C134,'Saisie'!$E$5:$E$2004,"Proposition envoyée")-4),""))</f>
        <v/>
      </c>
      <c r="AQ134" s="106">
        <f>IF(C134="","",IFERROR(1/(1/_xlfn.MAXIFS('Saisie'!$A$5:$A$2004,'Saisie'!$C$5:$C$2004,C134,'Saisie'!$E$5:$E$2004,"Proposition envoyée")),""))</f>
        <v/>
      </c>
      <c r="AR134" s="106">
        <f>IF(C134="","",IF(AQ134="","",AQ134+'Paramètres'!$B$26))</f>
        <v/>
      </c>
      <c r="AS134" s="62">
        <f>IF(OR(C134="",D134="Gagné",D134="Perdu"),0,N(AP134)*IFERROR(INDEX('Paramètres'!$G$6:$G$13,MATCH(D134,'Paramètres'!$F$6:$F$13,0)),0))</f>
        <v/>
      </c>
      <c r="AT134" s="106">
        <f>IF(C134="","",IFERROR(1/(1/_xlfn.MINIFS('Saisie'!$A$5:$A$2004,'Saisie'!$C$5:$C$2004,C134,'Saisie'!$E$5:$E$2004,"Signature")),""))</f>
        <v/>
      </c>
      <c r="AU134" s="60">
        <f>IF(C134="","",IF(OR(AT134="",B134=""),"",AT134-B134))</f>
        <v/>
      </c>
      <c r="AV134" s="60">
        <f>IF(C134="","",IFERROR(INDEX('Saisie'!$L$5:$L$2004,_xlfn.MAXIFS('Saisie'!$AS$5:$AS$2004,'Saisie'!$C$5:$C$2004,C134,'Saisie'!$L$5:$L$2004,"&lt;&gt;")-4),""))</f>
        <v/>
      </c>
      <c r="AW134" s="106">
        <f>IF(C134="","",IF(D134&lt;&gt;"Perdu","",IFERROR(1/(1/_xlfn.MAXIFS('Saisie'!$A$5:$A$2004,'Saisie'!$C$5:$C$2004,C134,'Saisie'!$E$5:$E$2004,"Perdu")),"")))</f>
        <v/>
      </c>
      <c r="AX134" s="106">
        <f>IF(C134="","",IF(AW134="","",AW134+'Paramètres'!$B$28))</f>
        <v/>
      </c>
      <c r="AY134" s="60">
        <f>IF(C134="","",SUMIFS('Saisie'!$H$5:$H$2004,'Saisie'!$C$5:$C$2004,C134))</f>
        <v/>
      </c>
      <c r="AZ134" s="60">
        <f>IF(C134="","",IFERROR(INDEX('Paramètres'!$W$6:$W$20,MATCH(S134,'Paramètres'!$V$6:$V$20,0))&amp;"",""))</f>
        <v/>
      </c>
      <c r="BA134" s="60">
        <f>IF(C134="","",MAX(1,_xlfn.MAXIFS('Saisie'!$AT$5:$AT$2004,'Saisie'!$C$5:$C$2004,C134)))</f>
        <v/>
      </c>
      <c r="BB134" s="60">
        <f>IF(C134="","",IFERROR(INDEX('Saisie'!$X$5:$X$2004,_xlfn.MAXIFS('Saisie'!$AS$5:$AS$2004,'Saisie'!$C$5:$C$2004,C134,'Saisie'!$X$5:$X$2004,"&lt;&gt;")-4),""))</f>
        <v/>
      </c>
      <c r="BC134" s="60">
        <f>IF(C134="","",IFERROR(INDEX('Saisie'!$Y$5:$Y$2004,_xlfn.MAXIFS('Saisie'!$AS$5:$AS$2004,'Saisie'!$C$5:$C$2004,C134,'Saisie'!$Y$5:$Y$2004,"&lt;&gt;")-4),""))</f>
        <v/>
      </c>
      <c r="BD134" s="106">
        <f>IF(C134="","",IFERROR(1/(1/_xlfn.MINIFS('Saisie'!$A$5:$A$2004,'Saisie'!$C$5:$C$2004,C134,'Saisie'!$AT$5:$AT$2004,"&gt;=2")),""))</f>
        <v/>
      </c>
      <c r="BE134" s="106">
        <f>IF(C134="","",IFERROR(1/(1/_xlfn.MINIFS('Saisie'!$A$5:$A$2004,'Saisie'!$C$5:$C$2004,C134,'Saisie'!$AT$5:$AT$2004,"&gt;=3")),""))</f>
        <v/>
      </c>
      <c r="BF134" s="106">
        <f>IF(C134="","",IFERROR(1/(1/_xlfn.MINIFS('Saisie'!$A$5:$A$2004,'Saisie'!$C$5:$C$2004,C134,'Saisie'!$AT$5:$AT$2004,"&gt;=4")),""))</f>
        <v/>
      </c>
      <c r="BG134" s="106">
        <f>IF(C134="","",IFERROR(1/(1/_xlfn.MINIFS('Saisie'!$A$5:$A$2004,'Saisie'!$C$5:$C$2004,C134,'Saisie'!$AT$5:$AT$2004,"&gt;=5")),""))</f>
        <v/>
      </c>
      <c r="BH134" s="106">
        <f>IF(C134="","",IFERROR(1/(1/_xlfn.MINIFS('Saisie'!$A$5:$A$2004,'Saisie'!$C$5:$C$2004,C134,'Saisie'!$AT$5:$AT$2004,"&gt;=6")),""))</f>
        <v/>
      </c>
      <c r="BI134" s="106">
        <f>IF(C134="","",IFERROR(1/(1/_xlfn.MINIFS('Saisie'!$A$5:$A$2004,'Saisie'!$C$5:$C$2004,C134,'Saisie'!$AT$5:$AT$2004,"&gt;=7")),""))</f>
        <v/>
      </c>
      <c r="BJ134" s="60">
        <f>IF(OR(BD134="",B134=""),"",BD134-B134)</f>
        <v/>
      </c>
      <c r="BK134" s="60">
        <f>IF(OR(BE134="",BD134=""),"",BE134-BD134)</f>
        <v/>
      </c>
      <c r="BL134" s="60">
        <f>IF(OR(BF134="",BE134=""),"",BF134-BE134)</f>
        <v/>
      </c>
      <c r="BM134" s="60">
        <f>IF(OR(BG134="",BF134=""),"",BG134-BF134)</f>
        <v/>
      </c>
      <c r="BN134" s="60">
        <f>IF(OR(BH134="",BG134=""),"",BH134-BG134)</f>
        <v/>
      </c>
      <c r="BO134" s="60">
        <f>IF(OR(BI134="",BH134=""),"",BI134-BH134)</f>
        <v/>
      </c>
      <c r="BP134" s="60">
        <f>IF(C134="","",_xlfn.MAXIFS('Saisie'!$AS$5:$AS$2004,'Saisie'!$C$5:$C$2004,C134,'Saisie'!$J$5:$J$2004,"&lt;&gt;"))</f>
        <v/>
      </c>
      <c r="BQ134" s="60">
        <f>IF(C134="","",_xlfn.MAXIFS('Saisie'!$AS$5:$AS$2004,'Saisie'!$C$5:$C$2004,C134))</f>
        <v/>
      </c>
      <c r="BR134" s="60">
        <f>IF(C134="","",_xlfn.MAXIFS('Saisie'!$AS$5:$AS$2004,'Saisie'!$C$5:$C$2004,C134,'Saisie'!$E$5:$E$2004,"Perdu"))</f>
        <v/>
      </c>
      <c r="BS134" s="60">
        <f>IF(C134="","",_xlfn.MAXIFS('Saisie'!$AS$5:$AS$2004,'Saisie'!$C$5:$C$2004,C134,'Saisie'!$AT$5:$AT$2004,"&gt;0"))</f>
        <v/>
      </c>
      <c r="BT134" s="109">
        <f>IF(AND(C134&lt;&gt;"",OR(D134="Nouveau",D134="Contacté",D134="Qualifié"),OR(G134="",N(G134)&lt;=TODAY()),NOT(AND(O134&gt;='Paramètres'!$B$21,P134=0))),E134+130/10000,"")</f>
        <v/>
      </c>
      <c r="BU134" s="60">
        <f>IF(AND(G134&lt;&gt;"",N(G134)&lt;=TODAY()),MAX($BU$4:BU133)+1,"")</f>
        <v/>
      </c>
      <c r="BV134" s="60">
        <f>IF(AND(F134&lt;&gt;"",F134&lt;&gt;"Relance en retard"),MAX($BV$4:BV133)+1,"")</f>
        <v/>
      </c>
      <c r="BW134" s="60">
        <f>IF(C134="","",IF(AND(B134&gt;='Tableau de bord'!$R$4,B134&lt;='Tableau de bord'!$S$4,OR('Tableau de bord'!$G$4="Tous",N134='Tableau de bord'!$G$4)),1,0))</f>
        <v/>
      </c>
      <c r="BX134" s="60">
        <f>IF(AND(C134&lt;&gt;"",N(BA134)=7),MAX($BX$4:BX133)+1,"")</f>
        <v/>
      </c>
    </row>
    <row r="135">
      <c r="A135" s="60">
        <f>IF(C135="","","P-"&amp;TEXT(131,"000"))</f>
        <v/>
      </c>
      <c r="B135" s="106">
        <f>IF(C135="","",IFERROR(1/(1/_xlfn.MINIFS('Saisie'!$A$5:$A$2004,'Saisie'!$C$5:$C$2004,C135)),""))</f>
        <v/>
      </c>
      <c r="C135" s="60">
        <f>IFERROR(INDEX('Saisie'!$C$5:$C$2004,MATCH(131,'Saisie'!$AX$5:$AX$2004,0)),"")</f>
        <v/>
      </c>
      <c r="D135" s="60">
        <f>IF(C135="","",IF(AND(BR135&gt;0,BR135&gt;BS135,BA135&lt;7),"Perdu",INDEX('Paramètres'!$F$6:$F$13,BA135)))</f>
        <v/>
      </c>
      <c r="E135" s="61">
        <f>IF(C135="","",MIN(100,(Z135="Oui")*'Paramètres'!$B$38+(AB135="Régulière")*'Paramètres'!$B$39+IF(AND(N(AA135)&gt;0,TODAY()-N(AA135)&lt;=30),'Paramètres'!$B$40,0)+(W135="")*'Paramètres'!$B$41+(AC135="Absente")*'Paramètres'!$B$42+(AC135="Faible")*'Paramètres'!$B$43+IF(AND(N(AD135)&gt;0,N(AD135)&lt;4),'Paramètres'!$B$44,0)+(AF135="Moyenne")*'Paramètres'!$B$45+(AF135="Grande")*'Paramètres'!$B$46+(Y135&lt;&gt;"")*'Paramètres'!$B$47))</f>
        <v/>
      </c>
      <c r="F135" s="60">
        <f>IF(C135="","",IF(D135="Gagné","",IF(D135="Perdu",IF(AND(AX135&lt;&gt;"",AX135&lt;=TODAY()),"À recontacter (perdu)",""),IF(AND(O135&gt;='Paramètres'!$B$21,P135=0),"Stop : "&amp;'Paramètres'!$B$21&amp;" tentatives sans réponse",IF(AND(D135="Proposition",AR135&lt;&gt;"",TODAY()&gt;N(AR135)),"Proposition expirée",IF(AND(D135="Proposition",N(R135)&gt;='Paramètres'!$B$25),"Proposition sans réponse",IF(AND(G135&lt;&gt;"",N(G135)&lt;TODAY()),"Relance en retard",IF(N(R135)&gt;='Paramètres'!$B$24,"Sans action depuis "&amp;R135&amp;" j",""))))))))</f>
        <v/>
      </c>
      <c r="G135" s="106">
        <f>IF(OR(C135="",D135="Gagné",D135="Perdu"),"",IF(AND(BP135&gt;0,BP135=BQ135),INDEX('Saisie'!$J$5:$J$2004,BP135-4),IF(OR(O135=0,AND(O135&gt;='Paramètres'!$B$21,P135=0)),"",Q135+IF(O135&lt;=1,'Paramètres'!$B$18,IF(O135=2,'Paramètres'!$B$19,'Paramètres'!$B$20)))))</f>
        <v/>
      </c>
      <c r="H135" s="107">
        <f>IF(OR(G135="",BP135&lt;&gt;BQ135),"",IF(INDEX('Saisie'!$K$5:$K$2004,BP135-4)="","",INDEX('Saisie'!$K$5:$K$2004,BP135-4)))</f>
        <v/>
      </c>
      <c r="I135" s="60">
        <f>IF(C135="","",IF(OR(D135="Gagné",D135="Perdu"),"",IFERROR(INDEX('Saisie'!$I$5:$I$2004,_xlfn.MAXIFS('Saisie'!$AS$5:$AS$2004,'Saisie'!$C$5:$C$2004,C135,'Saisie'!$I$5:$I$2004,"&lt;&gt;")-4),"")))</f>
        <v/>
      </c>
      <c r="J135" s="60">
        <f>IF(C135="","",IFERROR(INDEX('Saisie'!$U$5:$U$2004,_xlfn.MAXIFS('Saisie'!$AS$5:$AS$2004,'Saisie'!$C$5:$C$2004,C135,'Saisie'!$U$5:$U$2004,"&lt;&gt;")-4),""))</f>
        <v/>
      </c>
      <c r="K135" s="60">
        <f>IF(C135="","",IFERROR(INDEX('Saisie'!$W$5:$W$2004,_xlfn.MAXIFS('Saisie'!$AS$5:$AS$2004,'Saisie'!$C$5:$C$2004,C135,'Saisie'!$W$5:$W$2004,"&lt;&gt;")-4),""))</f>
        <v/>
      </c>
      <c r="L135" s="60">
        <f>IF(IF(BB135&lt;&gt;"",BB135,K135)="","",HYPERLINK("https://wa.me/"&amp;IF(LEFT(SUBSTITUTE(SUBSTITUTE(SUBSTITUTE(IF(BB135&lt;&gt;"",BB135,K135)," ",""),".",""),"+",""),1)="0",'Paramètres'!$B$35&amp;MID(SUBSTITUTE(SUBSTITUTE(SUBSTITUTE(IF(BB135&lt;&gt;"",BB135,K135)," ",""),".",""),"+",""),2,20),SUBSTITUTE(SUBSTITUTE(SUBSTITUTE(IF(BB135&lt;&gt;"",BB135,K135)," ",""),".",""),"+","")),"WhatsApp"))</f>
        <v/>
      </c>
      <c r="M135" s="60">
        <f>IF(BC135="","",HYPERLINK(IF(LEFT(BC135,4)="http",BC135,"https://www.instagram.com/"&amp;SUBSTITUTE(SUBSTITUTE(BC135,"@","")," ","")),BC135))</f>
        <v/>
      </c>
      <c r="N135" s="60">
        <f>IF(C135="","",IFERROR(INDEX('Saisie'!$D$5:$D$2004,_xlfn.MINIFS('Saisie'!$AS$5:$AS$2004,'Saisie'!$C$5:$C$2004,C135,'Saisie'!$AU$5:$AU$2004,1)-4),IFERROR(INDEX('Saisie'!$D$5:$D$2004,_xlfn.MINIFS('Saisie'!$AS$5:$AS$2004,'Saisie'!$C$5:$C$2004,C135,'Saisie'!$D$5:$D$2004,"&lt;&gt;")-4),"")))</f>
        <v/>
      </c>
      <c r="O135" s="60">
        <f>IF(C135="","",COUNTIFS('Saisie'!$C$5:$C$2004,C135,'Saisie'!$AU$5:$AU$2004,1))</f>
        <v/>
      </c>
      <c r="P135" s="60">
        <f>IF(C135="","",COUNTIFS('Saisie'!$C$5:$C$2004,C135,'Saisie'!$AV$5:$AV$2004,1))</f>
        <v/>
      </c>
      <c r="Q135" s="106">
        <f>IF(C135="","",IFERROR(1/(1/_xlfn.MAXIFS('Saisie'!$A$5:$A$2004,'Saisie'!$C$5:$C$2004,C135)),""))</f>
        <v/>
      </c>
      <c r="R135" s="61">
        <f>IF(C135="","",IF(Q135="","",TODAY()-Q135))</f>
        <v/>
      </c>
      <c r="S135" s="60">
        <f>IF(C135="","",IFERROR(INDEX('Saisie'!$R$5:$R$2004,_xlfn.MAXIFS('Saisie'!$AS$5:$AS$2004,'Saisie'!$C$5:$C$2004,C135,'Saisie'!$R$5:$R$2004,"&lt;&gt;")-4),""))</f>
        <v/>
      </c>
      <c r="T135" s="60">
        <f>IF(C135="","",IFERROR(INDEX('Saisie'!$S$5:$S$2004,_xlfn.MAXIFS('Saisie'!$AS$5:$AS$2004,'Saisie'!$C$5:$C$2004,C135,'Saisie'!$S$5:$S$2004,"&lt;&gt;")-4),""))</f>
        <v/>
      </c>
      <c r="U135" s="60">
        <f>IF(C135="","",IFERROR(INDEX('Saisie'!$T$5:$T$2004,_xlfn.MAXIFS('Saisie'!$AS$5:$AS$2004,'Saisie'!$C$5:$C$2004,C135,'Saisie'!$T$5:$T$2004,"&lt;&gt;")-4),""))</f>
        <v/>
      </c>
      <c r="V135" s="60">
        <f>IF(C135="","",IFERROR(INDEX('Saisie'!$V$5:$V$2004,_xlfn.MAXIFS('Saisie'!$AS$5:$AS$2004,'Saisie'!$C$5:$C$2004,C135,'Saisie'!$V$5:$V$2004,"&lt;&gt;")-4),""))</f>
        <v/>
      </c>
      <c r="W135" s="60">
        <f>IF(C135="","",IFERROR(INDEX('Saisie'!$Z$5:$Z$2004,_xlfn.MAXIFS('Saisie'!$AS$5:$AS$2004,'Saisie'!$C$5:$C$2004,C135,'Saisie'!$Z$5:$Z$2004,"&lt;&gt;")-4),""))</f>
        <v/>
      </c>
      <c r="X135" s="60">
        <f>IF(C135="","",IFERROR(INDEX('Saisie'!$AA$5:$AA$2004,_xlfn.MAXIFS('Saisie'!$AS$5:$AS$2004,'Saisie'!$C$5:$C$2004,C135,'Saisie'!$AA$5:$AA$2004,"&lt;&gt;")-4),""))</f>
        <v/>
      </c>
      <c r="Y135" s="60">
        <f>IF(C135="","",IFERROR(INDEX('Saisie'!$AB$5:$AB$2004,_xlfn.MAXIFS('Saisie'!$AS$5:$AS$2004,'Saisie'!$C$5:$C$2004,C135,'Saisie'!$AB$5:$AB$2004,"&lt;&gt;")-4),""))</f>
        <v/>
      </c>
      <c r="Z135" s="60">
        <f>IF(C135="","",IFERROR(INDEX('Saisie'!$AC$5:$AC$2004,_xlfn.MAXIFS('Saisie'!$AS$5:$AS$2004,'Saisie'!$C$5:$C$2004,C135,'Saisie'!$AC$5:$AC$2004,"&lt;&gt;")-4),""))</f>
        <v/>
      </c>
      <c r="AA135" s="106">
        <f>IF(C135="","",IFERROR(INDEX('Saisie'!$AD$5:$AD$2004,_xlfn.MAXIFS('Saisie'!$AS$5:$AS$2004,'Saisie'!$C$5:$C$2004,C135,'Saisie'!$AD$5:$AD$2004,"&lt;&gt;")-4),""))</f>
        <v/>
      </c>
      <c r="AB135" s="60">
        <f>IF(C135="","",IFERROR(INDEX('Saisie'!$AE$5:$AE$2004,_xlfn.MAXIFS('Saisie'!$AS$5:$AS$2004,'Saisie'!$C$5:$C$2004,C135,'Saisie'!$AE$5:$AE$2004,"&lt;&gt;")-4),""))</f>
        <v/>
      </c>
      <c r="AC135" s="60">
        <f>IF(C135="","",IFERROR(INDEX('Saisie'!$AF$5:$AF$2004,_xlfn.MAXIFS('Saisie'!$AS$5:$AS$2004,'Saisie'!$C$5:$C$2004,C135,'Saisie'!$AF$5:$AF$2004,"&lt;&gt;")-4),""))</f>
        <v/>
      </c>
      <c r="AD135" s="108">
        <f>IF(C135="","",IFERROR(INDEX('Saisie'!$AG$5:$AG$2004,_xlfn.MAXIFS('Saisie'!$AS$5:$AS$2004,'Saisie'!$C$5:$C$2004,C135,'Saisie'!$AG$5:$AG$2004,"&lt;&gt;")-4),""))</f>
        <v/>
      </c>
      <c r="AE135" s="60">
        <f>IF(C135="","",IFERROR(INDEX('Saisie'!$AH$5:$AH$2004,_xlfn.MAXIFS('Saisie'!$AS$5:$AS$2004,'Saisie'!$C$5:$C$2004,C135,'Saisie'!$AH$5:$AH$2004,"&lt;&gt;")-4),""))</f>
        <v/>
      </c>
      <c r="AF135" s="60">
        <f>IF(C135="","",IFERROR(INDEX('Saisie'!$AI$5:$AI$2004,_xlfn.MAXIFS('Saisie'!$AS$5:$AS$2004,'Saisie'!$C$5:$C$2004,C135,'Saisie'!$AI$5:$AI$2004,"&lt;&gt;")-4),""))</f>
        <v/>
      </c>
      <c r="AG135" s="60">
        <f>IF(C135="","",IFERROR(INDEX('Saisie'!$AJ$5:$AJ$2004,_xlfn.MAXIFS('Saisie'!$AS$5:$AS$2004,'Saisie'!$C$5:$C$2004,C135,'Saisie'!$AJ$5:$AJ$2004,"&lt;&gt;")-4),""))</f>
        <v/>
      </c>
      <c r="AH135" s="60">
        <f>IF(C135="","",IFERROR(INDEX('Saisie'!$AK$5:$AK$2004,_xlfn.MAXIFS('Saisie'!$AS$5:$AS$2004,'Saisie'!$C$5:$C$2004,C135,'Saisie'!$AK$5:$AK$2004,"&lt;&gt;")-4),""))</f>
        <v/>
      </c>
      <c r="AI135" s="60">
        <f>IF(C135="","",IFERROR(INDEX('Saisie'!$AN$5:$AN$2004,_xlfn.MAXIFS('Saisie'!$AS$5:$AS$2004,'Saisie'!$C$5:$C$2004,C135,'Saisie'!$AN$5:$AN$2004,"&lt;&gt;")-4),""))</f>
        <v/>
      </c>
      <c r="AJ135" s="60">
        <f>IF(C135="","",IFERROR(INDEX('Saisie'!$AO$5:$AO$2004,_xlfn.MAXIFS('Saisie'!$AS$5:$AS$2004,'Saisie'!$C$5:$C$2004,C135,'Saisie'!$AO$5:$AO$2004,"&lt;&gt;")-4),""))</f>
        <v/>
      </c>
      <c r="AK135" s="60">
        <f>IF(C135="","",IFERROR(INDEX('Saisie'!$AP$5:$AP$2004,_xlfn.MAXIFS('Saisie'!$AS$5:$AS$2004,'Saisie'!$C$5:$C$2004,C135,'Saisie'!$AP$5:$AP$2004,"&lt;&gt;")-4),""))</f>
        <v/>
      </c>
      <c r="AL135" s="60">
        <f>IF(C135="","",IFERROR(INDEX('Saisie'!$AQ$5:$AQ$2004,_xlfn.MAXIFS('Saisie'!$AS$5:$AS$2004,'Saisie'!$C$5:$C$2004,C135,'Saisie'!$AQ$5:$AQ$2004,"&lt;&gt;")-4),""))</f>
        <v/>
      </c>
      <c r="AM135" s="60">
        <f>IF(C135="","",((AI135="Oui")+(AJ135="Oui")+(AK135="Oui")+OR(AL135="Immédiat",AL135="&lt; 1 mois"))&amp;"/4")</f>
        <v/>
      </c>
      <c r="AN135" s="60">
        <f>IF(C135="","",IFERROR(INDEX('Saisie'!$AL$5:$AL$2004,_xlfn.MAXIFS('Saisie'!$AS$5:$AS$2004,'Saisie'!$C$5:$C$2004,C135,'Saisie'!$AL$5:$AL$2004,"&lt;&gt;")-4),""))</f>
        <v/>
      </c>
      <c r="AO135" s="62">
        <f>IF(C135="","",IF(IFERROR(INDEX('Saisie'!$AM$5:$AM$2004,_xlfn.MAXIFS('Saisie'!$AS$5:$AS$2004,'Saisie'!$C$5:$C$2004,C135,'Saisie'!$AM$5:$AM$2004,"&lt;&gt;")-4),"")&lt;&gt;"",IFERROR(INDEX('Saisie'!$AM$5:$AM$2004,_xlfn.MAXIFS('Saisie'!$AS$5:$AS$2004,'Saisie'!$C$5:$C$2004,C135,'Saisie'!$AM$5:$AM$2004,"&lt;&gt;")-4),""),IFERROR(INDEX('Paramètres'!$S$6:$S$15,MATCH(AN135,'Paramètres'!$Q$6:$Q$15,0)),"")))</f>
        <v/>
      </c>
      <c r="AP135" s="62">
        <f>IF(C135="","",IFERROR(INDEX('Saisie'!$AW$5:$AW$2004,_xlfn.MAXIFS('Saisie'!$AS$5:$AS$2004,'Saisie'!$C$5:$C$2004,C135,'Saisie'!$E$5:$E$2004,"Proposition envoyée")-4),""))</f>
        <v/>
      </c>
      <c r="AQ135" s="106">
        <f>IF(C135="","",IFERROR(1/(1/_xlfn.MAXIFS('Saisie'!$A$5:$A$2004,'Saisie'!$C$5:$C$2004,C135,'Saisie'!$E$5:$E$2004,"Proposition envoyée")),""))</f>
        <v/>
      </c>
      <c r="AR135" s="106">
        <f>IF(C135="","",IF(AQ135="","",AQ135+'Paramètres'!$B$26))</f>
        <v/>
      </c>
      <c r="AS135" s="62">
        <f>IF(OR(C135="",D135="Gagné",D135="Perdu"),0,N(AP135)*IFERROR(INDEX('Paramètres'!$G$6:$G$13,MATCH(D135,'Paramètres'!$F$6:$F$13,0)),0))</f>
        <v/>
      </c>
      <c r="AT135" s="106">
        <f>IF(C135="","",IFERROR(1/(1/_xlfn.MINIFS('Saisie'!$A$5:$A$2004,'Saisie'!$C$5:$C$2004,C135,'Saisie'!$E$5:$E$2004,"Signature")),""))</f>
        <v/>
      </c>
      <c r="AU135" s="60">
        <f>IF(C135="","",IF(OR(AT135="",B135=""),"",AT135-B135))</f>
        <v/>
      </c>
      <c r="AV135" s="60">
        <f>IF(C135="","",IFERROR(INDEX('Saisie'!$L$5:$L$2004,_xlfn.MAXIFS('Saisie'!$AS$5:$AS$2004,'Saisie'!$C$5:$C$2004,C135,'Saisie'!$L$5:$L$2004,"&lt;&gt;")-4),""))</f>
        <v/>
      </c>
      <c r="AW135" s="106">
        <f>IF(C135="","",IF(D135&lt;&gt;"Perdu","",IFERROR(1/(1/_xlfn.MAXIFS('Saisie'!$A$5:$A$2004,'Saisie'!$C$5:$C$2004,C135,'Saisie'!$E$5:$E$2004,"Perdu")),"")))</f>
        <v/>
      </c>
      <c r="AX135" s="106">
        <f>IF(C135="","",IF(AW135="","",AW135+'Paramètres'!$B$28))</f>
        <v/>
      </c>
      <c r="AY135" s="60">
        <f>IF(C135="","",SUMIFS('Saisie'!$H$5:$H$2004,'Saisie'!$C$5:$C$2004,C135))</f>
        <v/>
      </c>
      <c r="AZ135" s="60">
        <f>IF(C135="","",IFERROR(INDEX('Paramètres'!$W$6:$W$20,MATCH(S135,'Paramètres'!$V$6:$V$20,0))&amp;"",""))</f>
        <v/>
      </c>
      <c r="BA135" s="60">
        <f>IF(C135="","",MAX(1,_xlfn.MAXIFS('Saisie'!$AT$5:$AT$2004,'Saisie'!$C$5:$C$2004,C135)))</f>
        <v/>
      </c>
      <c r="BB135" s="60">
        <f>IF(C135="","",IFERROR(INDEX('Saisie'!$X$5:$X$2004,_xlfn.MAXIFS('Saisie'!$AS$5:$AS$2004,'Saisie'!$C$5:$C$2004,C135,'Saisie'!$X$5:$X$2004,"&lt;&gt;")-4),""))</f>
        <v/>
      </c>
      <c r="BC135" s="60">
        <f>IF(C135="","",IFERROR(INDEX('Saisie'!$Y$5:$Y$2004,_xlfn.MAXIFS('Saisie'!$AS$5:$AS$2004,'Saisie'!$C$5:$C$2004,C135,'Saisie'!$Y$5:$Y$2004,"&lt;&gt;")-4),""))</f>
        <v/>
      </c>
      <c r="BD135" s="106">
        <f>IF(C135="","",IFERROR(1/(1/_xlfn.MINIFS('Saisie'!$A$5:$A$2004,'Saisie'!$C$5:$C$2004,C135,'Saisie'!$AT$5:$AT$2004,"&gt;=2")),""))</f>
        <v/>
      </c>
      <c r="BE135" s="106">
        <f>IF(C135="","",IFERROR(1/(1/_xlfn.MINIFS('Saisie'!$A$5:$A$2004,'Saisie'!$C$5:$C$2004,C135,'Saisie'!$AT$5:$AT$2004,"&gt;=3")),""))</f>
        <v/>
      </c>
      <c r="BF135" s="106">
        <f>IF(C135="","",IFERROR(1/(1/_xlfn.MINIFS('Saisie'!$A$5:$A$2004,'Saisie'!$C$5:$C$2004,C135,'Saisie'!$AT$5:$AT$2004,"&gt;=4")),""))</f>
        <v/>
      </c>
      <c r="BG135" s="106">
        <f>IF(C135="","",IFERROR(1/(1/_xlfn.MINIFS('Saisie'!$A$5:$A$2004,'Saisie'!$C$5:$C$2004,C135,'Saisie'!$AT$5:$AT$2004,"&gt;=5")),""))</f>
        <v/>
      </c>
      <c r="BH135" s="106">
        <f>IF(C135="","",IFERROR(1/(1/_xlfn.MINIFS('Saisie'!$A$5:$A$2004,'Saisie'!$C$5:$C$2004,C135,'Saisie'!$AT$5:$AT$2004,"&gt;=6")),""))</f>
        <v/>
      </c>
      <c r="BI135" s="106">
        <f>IF(C135="","",IFERROR(1/(1/_xlfn.MINIFS('Saisie'!$A$5:$A$2004,'Saisie'!$C$5:$C$2004,C135,'Saisie'!$AT$5:$AT$2004,"&gt;=7")),""))</f>
        <v/>
      </c>
      <c r="BJ135" s="60">
        <f>IF(OR(BD135="",B135=""),"",BD135-B135)</f>
        <v/>
      </c>
      <c r="BK135" s="60">
        <f>IF(OR(BE135="",BD135=""),"",BE135-BD135)</f>
        <v/>
      </c>
      <c r="BL135" s="60">
        <f>IF(OR(BF135="",BE135=""),"",BF135-BE135)</f>
        <v/>
      </c>
      <c r="BM135" s="60">
        <f>IF(OR(BG135="",BF135=""),"",BG135-BF135)</f>
        <v/>
      </c>
      <c r="BN135" s="60">
        <f>IF(OR(BH135="",BG135=""),"",BH135-BG135)</f>
        <v/>
      </c>
      <c r="BO135" s="60">
        <f>IF(OR(BI135="",BH135=""),"",BI135-BH135)</f>
        <v/>
      </c>
      <c r="BP135" s="60">
        <f>IF(C135="","",_xlfn.MAXIFS('Saisie'!$AS$5:$AS$2004,'Saisie'!$C$5:$C$2004,C135,'Saisie'!$J$5:$J$2004,"&lt;&gt;"))</f>
        <v/>
      </c>
      <c r="BQ135" s="60">
        <f>IF(C135="","",_xlfn.MAXIFS('Saisie'!$AS$5:$AS$2004,'Saisie'!$C$5:$C$2004,C135))</f>
        <v/>
      </c>
      <c r="BR135" s="60">
        <f>IF(C135="","",_xlfn.MAXIFS('Saisie'!$AS$5:$AS$2004,'Saisie'!$C$5:$C$2004,C135,'Saisie'!$E$5:$E$2004,"Perdu"))</f>
        <v/>
      </c>
      <c r="BS135" s="60">
        <f>IF(C135="","",_xlfn.MAXIFS('Saisie'!$AS$5:$AS$2004,'Saisie'!$C$5:$C$2004,C135,'Saisie'!$AT$5:$AT$2004,"&gt;0"))</f>
        <v/>
      </c>
      <c r="BT135" s="109">
        <f>IF(AND(C135&lt;&gt;"",OR(D135="Nouveau",D135="Contacté",D135="Qualifié"),OR(G135="",N(G135)&lt;=TODAY()),NOT(AND(O135&gt;='Paramètres'!$B$21,P135=0))),E135+131/10000,"")</f>
        <v/>
      </c>
      <c r="BU135" s="60">
        <f>IF(AND(G135&lt;&gt;"",N(G135)&lt;=TODAY()),MAX($BU$4:BU134)+1,"")</f>
        <v/>
      </c>
      <c r="BV135" s="60">
        <f>IF(AND(F135&lt;&gt;"",F135&lt;&gt;"Relance en retard"),MAX($BV$4:BV134)+1,"")</f>
        <v/>
      </c>
      <c r="BW135" s="60">
        <f>IF(C135="","",IF(AND(B135&gt;='Tableau de bord'!$R$4,B135&lt;='Tableau de bord'!$S$4,OR('Tableau de bord'!$G$4="Tous",N135='Tableau de bord'!$G$4)),1,0))</f>
        <v/>
      </c>
      <c r="BX135" s="60">
        <f>IF(AND(C135&lt;&gt;"",N(BA135)=7),MAX($BX$4:BX134)+1,"")</f>
        <v/>
      </c>
    </row>
    <row r="136">
      <c r="A136" s="60">
        <f>IF(C136="","","P-"&amp;TEXT(132,"000"))</f>
        <v/>
      </c>
      <c r="B136" s="106">
        <f>IF(C136="","",IFERROR(1/(1/_xlfn.MINIFS('Saisie'!$A$5:$A$2004,'Saisie'!$C$5:$C$2004,C136)),""))</f>
        <v/>
      </c>
      <c r="C136" s="60">
        <f>IFERROR(INDEX('Saisie'!$C$5:$C$2004,MATCH(132,'Saisie'!$AX$5:$AX$2004,0)),"")</f>
        <v/>
      </c>
      <c r="D136" s="60">
        <f>IF(C136="","",IF(AND(BR136&gt;0,BR136&gt;BS136,BA136&lt;7),"Perdu",INDEX('Paramètres'!$F$6:$F$13,BA136)))</f>
        <v/>
      </c>
      <c r="E136" s="61">
        <f>IF(C136="","",MIN(100,(Z136="Oui")*'Paramètres'!$B$38+(AB136="Régulière")*'Paramètres'!$B$39+IF(AND(N(AA136)&gt;0,TODAY()-N(AA136)&lt;=30),'Paramètres'!$B$40,0)+(W136="")*'Paramètres'!$B$41+(AC136="Absente")*'Paramètres'!$B$42+(AC136="Faible")*'Paramètres'!$B$43+IF(AND(N(AD136)&gt;0,N(AD136)&lt;4),'Paramètres'!$B$44,0)+(AF136="Moyenne")*'Paramètres'!$B$45+(AF136="Grande")*'Paramètres'!$B$46+(Y136&lt;&gt;"")*'Paramètres'!$B$47))</f>
        <v/>
      </c>
      <c r="F136" s="60">
        <f>IF(C136="","",IF(D136="Gagné","",IF(D136="Perdu",IF(AND(AX136&lt;&gt;"",AX136&lt;=TODAY()),"À recontacter (perdu)",""),IF(AND(O136&gt;='Paramètres'!$B$21,P136=0),"Stop : "&amp;'Paramètres'!$B$21&amp;" tentatives sans réponse",IF(AND(D136="Proposition",AR136&lt;&gt;"",TODAY()&gt;N(AR136)),"Proposition expirée",IF(AND(D136="Proposition",N(R136)&gt;='Paramètres'!$B$25),"Proposition sans réponse",IF(AND(G136&lt;&gt;"",N(G136)&lt;TODAY()),"Relance en retard",IF(N(R136)&gt;='Paramètres'!$B$24,"Sans action depuis "&amp;R136&amp;" j",""))))))))</f>
        <v/>
      </c>
      <c r="G136" s="106">
        <f>IF(OR(C136="",D136="Gagné",D136="Perdu"),"",IF(AND(BP136&gt;0,BP136=BQ136),INDEX('Saisie'!$J$5:$J$2004,BP136-4),IF(OR(O136=0,AND(O136&gt;='Paramètres'!$B$21,P136=0)),"",Q136+IF(O136&lt;=1,'Paramètres'!$B$18,IF(O136=2,'Paramètres'!$B$19,'Paramètres'!$B$20)))))</f>
        <v/>
      </c>
      <c r="H136" s="107">
        <f>IF(OR(G136="",BP136&lt;&gt;BQ136),"",IF(INDEX('Saisie'!$K$5:$K$2004,BP136-4)="","",INDEX('Saisie'!$K$5:$K$2004,BP136-4)))</f>
        <v/>
      </c>
      <c r="I136" s="60">
        <f>IF(C136="","",IF(OR(D136="Gagné",D136="Perdu"),"",IFERROR(INDEX('Saisie'!$I$5:$I$2004,_xlfn.MAXIFS('Saisie'!$AS$5:$AS$2004,'Saisie'!$C$5:$C$2004,C136,'Saisie'!$I$5:$I$2004,"&lt;&gt;")-4),"")))</f>
        <v/>
      </c>
      <c r="J136" s="60">
        <f>IF(C136="","",IFERROR(INDEX('Saisie'!$U$5:$U$2004,_xlfn.MAXIFS('Saisie'!$AS$5:$AS$2004,'Saisie'!$C$5:$C$2004,C136,'Saisie'!$U$5:$U$2004,"&lt;&gt;")-4),""))</f>
        <v/>
      </c>
      <c r="K136" s="60">
        <f>IF(C136="","",IFERROR(INDEX('Saisie'!$W$5:$W$2004,_xlfn.MAXIFS('Saisie'!$AS$5:$AS$2004,'Saisie'!$C$5:$C$2004,C136,'Saisie'!$W$5:$W$2004,"&lt;&gt;")-4),""))</f>
        <v/>
      </c>
      <c r="L136" s="60">
        <f>IF(IF(BB136&lt;&gt;"",BB136,K136)="","",HYPERLINK("https://wa.me/"&amp;IF(LEFT(SUBSTITUTE(SUBSTITUTE(SUBSTITUTE(IF(BB136&lt;&gt;"",BB136,K136)," ",""),".",""),"+",""),1)="0",'Paramètres'!$B$35&amp;MID(SUBSTITUTE(SUBSTITUTE(SUBSTITUTE(IF(BB136&lt;&gt;"",BB136,K136)," ",""),".",""),"+",""),2,20),SUBSTITUTE(SUBSTITUTE(SUBSTITUTE(IF(BB136&lt;&gt;"",BB136,K136)," ",""),".",""),"+","")),"WhatsApp"))</f>
        <v/>
      </c>
      <c r="M136" s="60">
        <f>IF(BC136="","",HYPERLINK(IF(LEFT(BC136,4)="http",BC136,"https://www.instagram.com/"&amp;SUBSTITUTE(SUBSTITUTE(BC136,"@","")," ","")),BC136))</f>
        <v/>
      </c>
      <c r="N136" s="60">
        <f>IF(C136="","",IFERROR(INDEX('Saisie'!$D$5:$D$2004,_xlfn.MINIFS('Saisie'!$AS$5:$AS$2004,'Saisie'!$C$5:$C$2004,C136,'Saisie'!$AU$5:$AU$2004,1)-4),IFERROR(INDEX('Saisie'!$D$5:$D$2004,_xlfn.MINIFS('Saisie'!$AS$5:$AS$2004,'Saisie'!$C$5:$C$2004,C136,'Saisie'!$D$5:$D$2004,"&lt;&gt;")-4),"")))</f>
        <v/>
      </c>
      <c r="O136" s="60">
        <f>IF(C136="","",COUNTIFS('Saisie'!$C$5:$C$2004,C136,'Saisie'!$AU$5:$AU$2004,1))</f>
        <v/>
      </c>
      <c r="P136" s="60">
        <f>IF(C136="","",COUNTIFS('Saisie'!$C$5:$C$2004,C136,'Saisie'!$AV$5:$AV$2004,1))</f>
        <v/>
      </c>
      <c r="Q136" s="106">
        <f>IF(C136="","",IFERROR(1/(1/_xlfn.MAXIFS('Saisie'!$A$5:$A$2004,'Saisie'!$C$5:$C$2004,C136)),""))</f>
        <v/>
      </c>
      <c r="R136" s="61">
        <f>IF(C136="","",IF(Q136="","",TODAY()-Q136))</f>
        <v/>
      </c>
      <c r="S136" s="60">
        <f>IF(C136="","",IFERROR(INDEX('Saisie'!$R$5:$R$2004,_xlfn.MAXIFS('Saisie'!$AS$5:$AS$2004,'Saisie'!$C$5:$C$2004,C136,'Saisie'!$R$5:$R$2004,"&lt;&gt;")-4),""))</f>
        <v/>
      </c>
      <c r="T136" s="60">
        <f>IF(C136="","",IFERROR(INDEX('Saisie'!$S$5:$S$2004,_xlfn.MAXIFS('Saisie'!$AS$5:$AS$2004,'Saisie'!$C$5:$C$2004,C136,'Saisie'!$S$5:$S$2004,"&lt;&gt;")-4),""))</f>
        <v/>
      </c>
      <c r="U136" s="60">
        <f>IF(C136="","",IFERROR(INDEX('Saisie'!$T$5:$T$2004,_xlfn.MAXIFS('Saisie'!$AS$5:$AS$2004,'Saisie'!$C$5:$C$2004,C136,'Saisie'!$T$5:$T$2004,"&lt;&gt;")-4),""))</f>
        <v/>
      </c>
      <c r="V136" s="60">
        <f>IF(C136="","",IFERROR(INDEX('Saisie'!$V$5:$V$2004,_xlfn.MAXIFS('Saisie'!$AS$5:$AS$2004,'Saisie'!$C$5:$C$2004,C136,'Saisie'!$V$5:$V$2004,"&lt;&gt;")-4),""))</f>
        <v/>
      </c>
      <c r="W136" s="60">
        <f>IF(C136="","",IFERROR(INDEX('Saisie'!$Z$5:$Z$2004,_xlfn.MAXIFS('Saisie'!$AS$5:$AS$2004,'Saisie'!$C$5:$C$2004,C136,'Saisie'!$Z$5:$Z$2004,"&lt;&gt;")-4),""))</f>
        <v/>
      </c>
      <c r="X136" s="60">
        <f>IF(C136="","",IFERROR(INDEX('Saisie'!$AA$5:$AA$2004,_xlfn.MAXIFS('Saisie'!$AS$5:$AS$2004,'Saisie'!$C$5:$C$2004,C136,'Saisie'!$AA$5:$AA$2004,"&lt;&gt;")-4),""))</f>
        <v/>
      </c>
      <c r="Y136" s="60">
        <f>IF(C136="","",IFERROR(INDEX('Saisie'!$AB$5:$AB$2004,_xlfn.MAXIFS('Saisie'!$AS$5:$AS$2004,'Saisie'!$C$5:$C$2004,C136,'Saisie'!$AB$5:$AB$2004,"&lt;&gt;")-4),""))</f>
        <v/>
      </c>
      <c r="Z136" s="60">
        <f>IF(C136="","",IFERROR(INDEX('Saisie'!$AC$5:$AC$2004,_xlfn.MAXIFS('Saisie'!$AS$5:$AS$2004,'Saisie'!$C$5:$C$2004,C136,'Saisie'!$AC$5:$AC$2004,"&lt;&gt;")-4),""))</f>
        <v/>
      </c>
      <c r="AA136" s="106">
        <f>IF(C136="","",IFERROR(INDEX('Saisie'!$AD$5:$AD$2004,_xlfn.MAXIFS('Saisie'!$AS$5:$AS$2004,'Saisie'!$C$5:$C$2004,C136,'Saisie'!$AD$5:$AD$2004,"&lt;&gt;")-4),""))</f>
        <v/>
      </c>
      <c r="AB136" s="60">
        <f>IF(C136="","",IFERROR(INDEX('Saisie'!$AE$5:$AE$2004,_xlfn.MAXIFS('Saisie'!$AS$5:$AS$2004,'Saisie'!$C$5:$C$2004,C136,'Saisie'!$AE$5:$AE$2004,"&lt;&gt;")-4),""))</f>
        <v/>
      </c>
      <c r="AC136" s="60">
        <f>IF(C136="","",IFERROR(INDEX('Saisie'!$AF$5:$AF$2004,_xlfn.MAXIFS('Saisie'!$AS$5:$AS$2004,'Saisie'!$C$5:$C$2004,C136,'Saisie'!$AF$5:$AF$2004,"&lt;&gt;")-4),""))</f>
        <v/>
      </c>
      <c r="AD136" s="108">
        <f>IF(C136="","",IFERROR(INDEX('Saisie'!$AG$5:$AG$2004,_xlfn.MAXIFS('Saisie'!$AS$5:$AS$2004,'Saisie'!$C$5:$C$2004,C136,'Saisie'!$AG$5:$AG$2004,"&lt;&gt;")-4),""))</f>
        <v/>
      </c>
      <c r="AE136" s="60">
        <f>IF(C136="","",IFERROR(INDEX('Saisie'!$AH$5:$AH$2004,_xlfn.MAXIFS('Saisie'!$AS$5:$AS$2004,'Saisie'!$C$5:$C$2004,C136,'Saisie'!$AH$5:$AH$2004,"&lt;&gt;")-4),""))</f>
        <v/>
      </c>
      <c r="AF136" s="60">
        <f>IF(C136="","",IFERROR(INDEX('Saisie'!$AI$5:$AI$2004,_xlfn.MAXIFS('Saisie'!$AS$5:$AS$2004,'Saisie'!$C$5:$C$2004,C136,'Saisie'!$AI$5:$AI$2004,"&lt;&gt;")-4),""))</f>
        <v/>
      </c>
      <c r="AG136" s="60">
        <f>IF(C136="","",IFERROR(INDEX('Saisie'!$AJ$5:$AJ$2004,_xlfn.MAXIFS('Saisie'!$AS$5:$AS$2004,'Saisie'!$C$5:$C$2004,C136,'Saisie'!$AJ$5:$AJ$2004,"&lt;&gt;")-4),""))</f>
        <v/>
      </c>
      <c r="AH136" s="60">
        <f>IF(C136="","",IFERROR(INDEX('Saisie'!$AK$5:$AK$2004,_xlfn.MAXIFS('Saisie'!$AS$5:$AS$2004,'Saisie'!$C$5:$C$2004,C136,'Saisie'!$AK$5:$AK$2004,"&lt;&gt;")-4),""))</f>
        <v/>
      </c>
      <c r="AI136" s="60">
        <f>IF(C136="","",IFERROR(INDEX('Saisie'!$AN$5:$AN$2004,_xlfn.MAXIFS('Saisie'!$AS$5:$AS$2004,'Saisie'!$C$5:$C$2004,C136,'Saisie'!$AN$5:$AN$2004,"&lt;&gt;")-4),""))</f>
        <v/>
      </c>
      <c r="AJ136" s="60">
        <f>IF(C136="","",IFERROR(INDEX('Saisie'!$AO$5:$AO$2004,_xlfn.MAXIFS('Saisie'!$AS$5:$AS$2004,'Saisie'!$C$5:$C$2004,C136,'Saisie'!$AO$5:$AO$2004,"&lt;&gt;")-4),""))</f>
        <v/>
      </c>
      <c r="AK136" s="60">
        <f>IF(C136="","",IFERROR(INDEX('Saisie'!$AP$5:$AP$2004,_xlfn.MAXIFS('Saisie'!$AS$5:$AS$2004,'Saisie'!$C$5:$C$2004,C136,'Saisie'!$AP$5:$AP$2004,"&lt;&gt;")-4),""))</f>
        <v/>
      </c>
      <c r="AL136" s="60">
        <f>IF(C136="","",IFERROR(INDEX('Saisie'!$AQ$5:$AQ$2004,_xlfn.MAXIFS('Saisie'!$AS$5:$AS$2004,'Saisie'!$C$5:$C$2004,C136,'Saisie'!$AQ$5:$AQ$2004,"&lt;&gt;")-4),""))</f>
        <v/>
      </c>
      <c r="AM136" s="60">
        <f>IF(C136="","",((AI136="Oui")+(AJ136="Oui")+(AK136="Oui")+OR(AL136="Immédiat",AL136="&lt; 1 mois"))&amp;"/4")</f>
        <v/>
      </c>
      <c r="AN136" s="60">
        <f>IF(C136="","",IFERROR(INDEX('Saisie'!$AL$5:$AL$2004,_xlfn.MAXIFS('Saisie'!$AS$5:$AS$2004,'Saisie'!$C$5:$C$2004,C136,'Saisie'!$AL$5:$AL$2004,"&lt;&gt;")-4),""))</f>
        <v/>
      </c>
      <c r="AO136" s="62">
        <f>IF(C136="","",IF(IFERROR(INDEX('Saisie'!$AM$5:$AM$2004,_xlfn.MAXIFS('Saisie'!$AS$5:$AS$2004,'Saisie'!$C$5:$C$2004,C136,'Saisie'!$AM$5:$AM$2004,"&lt;&gt;")-4),"")&lt;&gt;"",IFERROR(INDEX('Saisie'!$AM$5:$AM$2004,_xlfn.MAXIFS('Saisie'!$AS$5:$AS$2004,'Saisie'!$C$5:$C$2004,C136,'Saisie'!$AM$5:$AM$2004,"&lt;&gt;")-4),""),IFERROR(INDEX('Paramètres'!$S$6:$S$15,MATCH(AN136,'Paramètres'!$Q$6:$Q$15,0)),"")))</f>
        <v/>
      </c>
      <c r="AP136" s="62">
        <f>IF(C136="","",IFERROR(INDEX('Saisie'!$AW$5:$AW$2004,_xlfn.MAXIFS('Saisie'!$AS$5:$AS$2004,'Saisie'!$C$5:$C$2004,C136,'Saisie'!$E$5:$E$2004,"Proposition envoyée")-4),""))</f>
        <v/>
      </c>
      <c r="AQ136" s="106">
        <f>IF(C136="","",IFERROR(1/(1/_xlfn.MAXIFS('Saisie'!$A$5:$A$2004,'Saisie'!$C$5:$C$2004,C136,'Saisie'!$E$5:$E$2004,"Proposition envoyée")),""))</f>
        <v/>
      </c>
      <c r="AR136" s="106">
        <f>IF(C136="","",IF(AQ136="","",AQ136+'Paramètres'!$B$26))</f>
        <v/>
      </c>
      <c r="AS136" s="62">
        <f>IF(OR(C136="",D136="Gagné",D136="Perdu"),0,N(AP136)*IFERROR(INDEX('Paramètres'!$G$6:$G$13,MATCH(D136,'Paramètres'!$F$6:$F$13,0)),0))</f>
        <v/>
      </c>
      <c r="AT136" s="106">
        <f>IF(C136="","",IFERROR(1/(1/_xlfn.MINIFS('Saisie'!$A$5:$A$2004,'Saisie'!$C$5:$C$2004,C136,'Saisie'!$E$5:$E$2004,"Signature")),""))</f>
        <v/>
      </c>
      <c r="AU136" s="60">
        <f>IF(C136="","",IF(OR(AT136="",B136=""),"",AT136-B136))</f>
        <v/>
      </c>
      <c r="AV136" s="60">
        <f>IF(C136="","",IFERROR(INDEX('Saisie'!$L$5:$L$2004,_xlfn.MAXIFS('Saisie'!$AS$5:$AS$2004,'Saisie'!$C$5:$C$2004,C136,'Saisie'!$L$5:$L$2004,"&lt;&gt;")-4),""))</f>
        <v/>
      </c>
      <c r="AW136" s="106">
        <f>IF(C136="","",IF(D136&lt;&gt;"Perdu","",IFERROR(1/(1/_xlfn.MAXIFS('Saisie'!$A$5:$A$2004,'Saisie'!$C$5:$C$2004,C136,'Saisie'!$E$5:$E$2004,"Perdu")),"")))</f>
        <v/>
      </c>
      <c r="AX136" s="106">
        <f>IF(C136="","",IF(AW136="","",AW136+'Paramètres'!$B$28))</f>
        <v/>
      </c>
      <c r="AY136" s="60">
        <f>IF(C136="","",SUMIFS('Saisie'!$H$5:$H$2004,'Saisie'!$C$5:$C$2004,C136))</f>
        <v/>
      </c>
      <c r="AZ136" s="60">
        <f>IF(C136="","",IFERROR(INDEX('Paramètres'!$W$6:$W$20,MATCH(S136,'Paramètres'!$V$6:$V$20,0))&amp;"",""))</f>
        <v/>
      </c>
      <c r="BA136" s="60">
        <f>IF(C136="","",MAX(1,_xlfn.MAXIFS('Saisie'!$AT$5:$AT$2004,'Saisie'!$C$5:$C$2004,C136)))</f>
        <v/>
      </c>
      <c r="BB136" s="60">
        <f>IF(C136="","",IFERROR(INDEX('Saisie'!$X$5:$X$2004,_xlfn.MAXIFS('Saisie'!$AS$5:$AS$2004,'Saisie'!$C$5:$C$2004,C136,'Saisie'!$X$5:$X$2004,"&lt;&gt;")-4),""))</f>
        <v/>
      </c>
      <c r="BC136" s="60">
        <f>IF(C136="","",IFERROR(INDEX('Saisie'!$Y$5:$Y$2004,_xlfn.MAXIFS('Saisie'!$AS$5:$AS$2004,'Saisie'!$C$5:$C$2004,C136,'Saisie'!$Y$5:$Y$2004,"&lt;&gt;")-4),""))</f>
        <v/>
      </c>
      <c r="BD136" s="106">
        <f>IF(C136="","",IFERROR(1/(1/_xlfn.MINIFS('Saisie'!$A$5:$A$2004,'Saisie'!$C$5:$C$2004,C136,'Saisie'!$AT$5:$AT$2004,"&gt;=2")),""))</f>
        <v/>
      </c>
      <c r="BE136" s="106">
        <f>IF(C136="","",IFERROR(1/(1/_xlfn.MINIFS('Saisie'!$A$5:$A$2004,'Saisie'!$C$5:$C$2004,C136,'Saisie'!$AT$5:$AT$2004,"&gt;=3")),""))</f>
        <v/>
      </c>
      <c r="BF136" s="106">
        <f>IF(C136="","",IFERROR(1/(1/_xlfn.MINIFS('Saisie'!$A$5:$A$2004,'Saisie'!$C$5:$C$2004,C136,'Saisie'!$AT$5:$AT$2004,"&gt;=4")),""))</f>
        <v/>
      </c>
      <c r="BG136" s="106">
        <f>IF(C136="","",IFERROR(1/(1/_xlfn.MINIFS('Saisie'!$A$5:$A$2004,'Saisie'!$C$5:$C$2004,C136,'Saisie'!$AT$5:$AT$2004,"&gt;=5")),""))</f>
        <v/>
      </c>
      <c r="BH136" s="106">
        <f>IF(C136="","",IFERROR(1/(1/_xlfn.MINIFS('Saisie'!$A$5:$A$2004,'Saisie'!$C$5:$C$2004,C136,'Saisie'!$AT$5:$AT$2004,"&gt;=6")),""))</f>
        <v/>
      </c>
      <c r="BI136" s="106">
        <f>IF(C136="","",IFERROR(1/(1/_xlfn.MINIFS('Saisie'!$A$5:$A$2004,'Saisie'!$C$5:$C$2004,C136,'Saisie'!$AT$5:$AT$2004,"&gt;=7")),""))</f>
        <v/>
      </c>
      <c r="BJ136" s="60">
        <f>IF(OR(BD136="",B136=""),"",BD136-B136)</f>
        <v/>
      </c>
      <c r="BK136" s="60">
        <f>IF(OR(BE136="",BD136=""),"",BE136-BD136)</f>
        <v/>
      </c>
      <c r="BL136" s="60">
        <f>IF(OR(BF136="",BE136=""),"",BF136-BE136)</f>
        <v/>
      </c>
      <c r="BM136" s="60">
        <f>IF(OR(BG136="",BF136=""),"",BG136-BF136)</f>
        <v/>
      </c>
      <c r="BN136" s="60">
        <f>IF(OR(BH136="",BG136=""),"",BH136-BG136)</f>
        <v/>
      </c>
      <c r="BO136" s="60">
        <f>IF(OR(BI136="",BH136=""),"",BI136-BH136)</f>
        <v/>
      </c>
      <c r="BP136" s="60">
        <f>IF(C136="","",_xlfn.MAXIFS('Saisie'!$AS$5:$AS$2004,'Saisie'!$C$5:$C$2004,C136,'Saisie'!$J$5:$J$2004,"&lt;&gt;"))</f>
        <v/>
      </c>
      <c r="BQ136" s="60">
        <f>IF(C136="","",_xlfn.MAXIFS('Saisie'!$AS$5:$AS$2004,'Saisie'!$C$5:$C$2004,C136))</f>
        <v/>
      </c>
      <c r="BR136" s="60">
        <f>IF(C136="","",_xlfn.MAXIFS('Saisie'!$AS$5:$AS$2004,'Saisie'!$C$5:$C$2004,C136,'Saisie'!$E$5:$E$2004,"Perdu"))</f>
        <v/>
      </c>
      <c r="BS136" s="60">
        <f>IF(C136="","",_xlfn.MAXIFS('Saisie'!$AS$5:$AS$2004,'Saisie'!$C$5:$C$2004,C136,'Saisie'!$AT$5:$AT$2004,"&gt;0"))</f>
        <v/>
      </c>
      <c r="BT136" s="109">
        <f>IF(AND(C136&lt;&gt;"",OR(D136="Nouveau",D136="Contacté",D136="Qualifié"),OR(G136="",N(G136)&lt;=TODAY()),NOT(AND(O136&gt;='Paramètres'!$B$21,P136=0))),E136+132/10000,"")</f>
        <v/>
      </c>
      <c r="BU136" s="60">
        <f>IF(AND(G136&lt;&gt;"",N(G136)&lt;=TODAY()),MAX($BU$4:BU135)+1,"")</f>
        <v/>
      </c>
      <c r="BV136" s="60">
        <f>IF(AND(F136&lt;&gt;"",F136&lt;&gt;"Relance en retard"),MAX($BV$4:BV135)+1,"")</f>
        <v/>
      </c>
      <c r="BW136" s="60">
        <f>IF(C136="","",IF(AND(B136&gt;='Tableau de bord'!$R$4,B136&lt;='Tableau de bord'!$S$4,OR('Tableau de bord'!$G$4="Tous",N136='Tableau de bord'!$G$4)),1,0))</f>
        <v/>
      </c>
      <c r="BX136" s="60">
        <f>IF(AND(C136&lt;&gt;"",N(BA136)=7),MAX($BX$4:BX135)+1,"")</f>
        <v/>
      </c>
    </row>
    <row r="137">
      <c r="A137" s="60">
        <f>IF(C137="","","P-"&amp;TEXT(133,"000"))</f>
        <v/>
      </c>
      <c r="B137" s="106">
        <f>IF(C137="","",IFERROR(1/(1/_xlfn.MINIFS('Saisie'!$A$5:$A$2004,'Saisie'!$C$5:$C$2004,C137)),""))</f>
        <v/>
      </c>
      <c r="C137" s="60">
        <f>IFERROR(INDEX('Saisie'!$C$5:$C$2004,MATCH(133,'Saisie'!$AX$5:$AX$2004,0)),"")</f>
        <v/>
      </c>
      <c r="D137" s="60">
        <f>IF(C137="","",IF(AND(BR137&gt;0,BR137&gt;BS137,BA137&lt;7),"Perdu",INDEX('Paramètres'!$F$6:$F$13,BA137)))</f>
        <v/>
      </c>
      <c r="E137" s="61">
        <f>IF(C137="","",MIN(100,(Z137="Oui")*'Paramètres'!$B$38+(AB137="Régulière")*'Paramètres'!$B$39+IF(AND(N(AA137)&gt;0,TODAY()-N(AA137)&lt;=30),'Paramètres'!$B$40,0)+(W137="")*'Paramètres'!$B$41+(AC137="Absente")*'Paramètres'!$B$42+(AC137="Faible")*'Paramètres'!$B$43+IF(AND(N(AD137)&gt;0,N(AD137)&lt;4),'Paramètres'!$B$44,0)+(AF137="Moyenne")*'Paramètres'!$B$45+(AF137="Grande")*'Paramètres'!$B$46+(Y137&lt;&gt;"")*'Paramètres'!$B$47))</f>
        <v/>
      </c>
      <c r="F137" s="60">
        <f>IF(C137="","",IF(D137="Gagné","",IF(D137="Perdu",IF(AND(AX137&lt;&gt;"",AX137&lt;=TODAY()),"À recontacter (perdu)",""),IF(AND(O137&gt;='Paramètres'!$B$21,P137=0),"Stop : "&amp;'Paramètres'!$B$21&amp;" tentatives sans réponse",IF(AND(D137="Proposition",AR137&lt;&gt;"",TODAY()&gt;N(AR137)),"Proposition expirée",IF(AND(D137="Proposition",N(R137)&gt;='Paramètres'!$B$25),"Proposition sans réponse",IF(AND(G137&lt;&gt;"",N(G137)&lt;TODAY()),"Relance en retard",IF(N(R137)&gt;='Paramètres'!$B$24,"Sans action depuis "&amp;R137&amp;" j",""))))))))</f>
        <v/>
      </c>
      <c r="G137" s="106">
        <f>IF(OR(C137="",D137="Gagné",D137="Perdu"),"",IF(AND(BP137&gt;0,BP137=BQ137),INDEX('Saisie'!$J$5:$J$2004,BP137-4),IF(OR(O137=0,AND(O137&gt;='Paramètres'!$B$21,P137=0)),"",Q137+IF(O137&lt;=1,'Paramètres'!$B$18,IF(O137=2,'Paramètres'!$B$19,'Paramètres'!$B$20)))))</f>
        <v/>
      </c>
      <c r="H137" s="107">
        <f>IF(OR(G137="",BP137&lt;&gt;BQ137),"",IF(INDEX('Saisie'!$K$5:$K$2004,BP137-4)="","",INDEX('Saisie'!$K$5:$K$2004,BP137-4)))</f>
        <v/>
      </c>
      <c r="I137" s="60">
        <f>IF(C137="","",IF(OR(D137="Gagné",D137="Perdu"),"",IFERROR(INDEX('Saisie'!$I$5:$I$2004,_xlfn.MAXIFS('Saisie'!$AS$5:$AS$2004,'Saisie'!$C$5:$C$2004,C137,'Saisie'!$I$5:$I$2004,"&lt;&gt;")-4),"")))</f>
        <v/>
      </c>
      <c r="J137" s="60">
        <f>IF(C137="","",IFERROR(INDEX('Saisie'!$U$5:$U$2004,_xlfn.MAXIFS('Saisie'!$AS$5:$AS$2004,'Saisie'!$C$5:$C$2004,C137,'Saisie'!$U$5:$U$2004,"&lt;&gt;")-4),""))</f>
        <v/>
      </c>
      <c r="K137" s="60">
        <f>IF(C137="","",IFERROR(INDEX('Saisie'!$W$5:$W$2004,_xlfn.MAXIFS('Saisie'!$AS$5:$AS$2004,'Saisie'!$C$5:$C$2004,C137,'Saisie'!$W$5:$W$2004,"&lt;&gt;")-4),""))</f>
        <v/>
      </c>
      <c r="L137" s="60">
        <f>IF(IF(BB137&lt;&gt;"",BB137,K137)="","",HYPERLINK("https://wa.me/"&amp;IF(LEFT(SUBSTITUTE(SUBSTITUTE(SUBSTITUTE(IF(BB137&lt;&gt;"",BB137,K137)," ",""),".",""),"+",""),1)="0",'Paramètres'!$B$35&amp;MID(SUBSTITUTE(SUBSTITUTE(SUBSTITUTE(IF(BB137&lt;&gt;"",BB137,K137)," ",""),".",""),"+",""),2,20),SUBSTITUTE(SUBSTITUTE(SUBSTITUTE(IF(BB137&lt;&gt;"",BB137,K137)," ",""),".",""),"+","")),"WhatsApp"))</f>
        <v/>
      </c>
      <c r="M137" s="60">
        <f>IF(BC137="","",HYPERLINK(IF(LEFT(BC137,4)="http",BC137,"https://www.instagram.com/"&amp;SUBSTITUTE(SUBSTITUTE(BC137,"@","")," ","")),BC137))</f>
        <v/>
      </c>
      <c r="N137" s="60">
        <f>IF(C137="","",IFERROR(INDEX('Saisie'!$D$5:$D$2004,_xlfn.MINIFS('Saisie'!$AS$5:$AS$2004,'Saisie'!$C$5:$C$2004,C137,'Saisie'!$AU$5:$AU$2004,1)-4),IFERROR(INDEX('Saisie'!$D$5:$D$2004,_xlfn.MINIFS('Saisie'!$AS$5:$AS$2004,'Saisie'!$C$5:$C$2004,C137,'Saisie'!$D$5:$D$2004,"&lt;&gt;")-4),"")))</f>
        <v/>
      </c>
      <c r="O137" s="60">
        <f>IF(C137="","",COUNTIFS('Saisie'!$C$5:$C$2004,C137,'Saisie'!$AU$5:$AU$2004,1))</f>
        <v/>
      </c>
      <c r="P137" s="60">
        <f>IF(C137="","",COUNTIFS('Saisie'!$C$5:$C$2004,C137,'Saisie'!$AV$5:$AV$2004,1))</f>
        <v/>
      </c>
      <c r="Q137" s="106">
        <f>IF(C137="","",IFERROR(1/(1/_xlfn.MAXIFS('Saisie'!$A$5:$A$2004,'Saisie'!$C$5:$C$2004,C137)),""))</f>
        <v/>
      </c>
      <c r="R137" s="61">
        <f>IF(C137="","",IF(Q137="","",TODAY()-Q137))</f>
        <v/>
      </c>
      <c r="S137" s="60">
        <f>IF(C137="","",IFERROR(INDEX('Saisie'!$R$5:$R$2004,_xlfn.MAXIFS('Saisie'!$AS$5:$AS$2004,'Saisie'!$C$5:$C$2004,C137,'Saisie'!$R$5:$R$2004,"&lt;&gt;")-4),""))</f>
        <v/>
      </c>
      <c r="T137" s="60">
        <f>IF(C137="","",IFERROR(INDEX('Saisie'!$S$5:$S$2004,_xlfn.MAXIFS('Saisie'!$AS$5:$AS$2004,'Saisie'!$C$5:$C$2004,C137,'Saisie'!$S$5:$S$2004,"&lt;&gt;")-4),""))</f>
        <v/>
      </c>
      <c r="U137" s="60">
        <f>IF(C137="","",IFERROR(INDEX('Saisie'!$T$5:$T$2004,_xlfn.MAXIFS('Saisie'!$AS$5:$AS$2004,'Saisie'!$C$5:$C$2004,C137,'Saisie'!$T$5:$T$2004,"&lt;&gt;")-4),""))</f>
        <v/>
      </c>
      <c r="V137" s="60">
        <f>IF(C137="","",IFERROR(INDEX('Saisie'!$V$5:$V$2004,_xlfn.MAXIFS('Saisie'!$AS$5:$AS$2004,'Saisie'!$C$5:$C$2004,C137,'Saisie'!$V$5:$V$2004,"&lt;&gt;")-4),""))</f>
        <v/>
      </c>
      <c r="W137" s="60">
        <f>IF(C137="","",IFERROR(INDEX('Saisie'!$Z$5:$Z$2004,_xlfn.MAXIFS('Saisie'!$AS$5:$AS$2004,'Saisie'!$C$5:$C$2004,C137,'Saisie'!$Z$5:$Z$2004,"&lt;&gt;")-4),""))</f>
        <v/>
      </c>
      <c r="X137" s="60">
        <f>IF(C137="","",IFERROR(INDEX('Saisie'!$AA$5:$AA$2004,_xlfn.MAXIFS('Saisie'!$AS$5:$AS$2004,'Saisie'!$C$5:$C$2004,C137,'Saisie'!$AA$5:$AA$2004,"&lt;&gt;")-4),""))</f>
        <v/>
      </c>
      <c r="Y137" s="60">
        <f>IF(C137="","",IFERROR(INDEX('Saisie'!$AB$5:$AB$2004,_xlfn.MAXIFS('Saisie'!$AS$5:$AS$2004,'Saisie'!$C$5:$C$2004,C137,'Saisie'!$AB$5:$AB$2004,"&lt;&gt;")-4),""))</f>
        <v/>
      </c>
      <c r="Z137" s="60">
        <f>IF(C137="","",IFERROR(INDEX('Saisie'!$AC$5:$AC$2004,_xlfn.MAXIFS('Saisie'!$AS$5:$AS$2004,'Saisie'!$C$5:$C$2004,C137,'Saisie'!$AC$5:$AC$2004,"&lt;&gt;")-4),""))</f>
        <v/>
      </c>
      <c r="AA137" s="106">
        <f>IF(C137="","",IFERROR(INDEX('Saisie'!$AD$5:$AD$2004,_xlfn.MAXIFS('Saisie'!$AS$5:$AS$2004,'Saisie'!$C$5:$C$2004,C137,'Saisie'!$AD$5:$AD$2004,"&lt;&gt;")-4),""))</f>
        <v/>
      </c>
      <c r="AB137" s="60">
        <f>IF(C137="","",IFERROR(INDEX('Saisie'!$AE$5:$AE$2004,_xlfn.MAXIFS('Saisie'!$AS$5:$AS$2004,'Saisie'!$C$5:$C$2004,C137,'Saisie'!$AE$5:$AE$2004,"&lt;&gt;")-4),""))</f>
        <v/>
      </c>
      <c r="AC137" s="60">
        <f>IF(C137="","",IFERROR(INDEX('Saisie'!$AF$5:$AF$2004,_xlfn.MAXIFS('Saisie'!$AS$5:$AS$2004,'Saisie'!$C$5:$C$2004,C137,'Saisie'!$AF$5:$AF$2004,"&lt;&gt;")-4),""))</f>
        <v/>
      </c>
      <c r="AD137" s="108">
        <f>IF(C137="","",IFERROR(INDEX('Saisie'!$AG$5:$AG$2004,_xlfn.MAXIFS('Saisie'!$AS$5:$AS$2004,'Saisie'!$C$5:$C$2004,C137,'Saisie'!$AG$5:$AG$2004,"&lt;&gt;")-4),""))</f>
        <v/>
      </c>
      <c r="AE137" s="60">
        <f>IF(C137="","",IFERROR(INDEX('Saisie'!$AH$5:$AH$2004,_xlfn.MAXIFS('Saisie'!$AS$5:$AS$2004,'Saisie'!$C$5:$C$2004,C137,'Saisie'!$AH$5:$AH$2004,"&lt;&gt;")-4),""))</f>
        <v/>
      </c>
      <c r="AF137" s="60">
        <f>IF(C137="","",IFERROR(INDEX('Saisie'!$AI$5:$AI$2004,_xlfn.MAXIFS('Saisie'!$AS$5:$AS$2004,'Saisie'!$C$5:$C$2004,C137,'Saisie'!$AI$5:$AI$2004,"&lt;&gt;")-4),""))</f>
        <v/>
      </c>
      <c r="AG137" s="60">
        <f>IF(C137="","",IFERROR(INDEX('Saisie'!$AJ$5:$AJ$2004,_xlfn.MAXIFS('Saisie'!$AS$5:$AS$2004,'Saisie'!$C$5:$C$2004,C137,'Saisie'!$AJ$5:$AJ$2004,"&lt;&gt;")-4),""))</f>
        <v/>
      </c>
      <c r="AH137" s="60">
        <f>IF(C137="","",IFERROR(INDEX('Saisie'!$AK$5:$AK$2004,_xlfn.MAXIFS('Saisie'!$AS$5:$AS$2004,'Saisie'!$C$5:$C$2004,C137,'Saisie'!$AK$5:$AK$2004,"&lt;&gt;")-4),""))</f>
        <v/>
      </c>
      <c r="AI137" s="60">
        <f>IF(C137="","",IFERROR(INDEX('Saisie'!$AN$5:$AN$2004,_xlfn.MAXIFS('Saisie'!$AS$5:$AS$2004,'Saisie'!$C$5:$C$2004,C137,'Saisie'!$AN$5:$AN$2004,"&lt;&gt;")-4),""))</f>
        <v/>
      </c>
      <c r="AJ137" s="60">
        <f>IF(C137="","",IFERROR(INDEX('Saisie'!$AO$5:$AO$2004,_xlfn.MAXIFS('Saisie'!$AS$5:$AS$2004,'Saisie'!$C$5:$C$2004,C137,'Saisie'!$AO$5:$AO$2004,"&lt;&gt;")-4),""))</f>
        <v/>
      </c>
      <c r="AK137" s="60">
        <f>IF(C137="","",IFERROR(INDEX('Saisie'!$AP$5:$AP$2004,_xlfn.MAXIFS('Saisie'!$AS$5:$AS$2004,'Saisie'!$C$5:$C$2004,C137,'Saisie'!$AP$5:$AP$2004,"&lt;&gt;")-4),""))</f>
        <v/>
      </c>
      <c r="AL137" s="60">
        <f>IF(C137="","",IFERROR(INDEX('Saisie'!$AQ$5:$AQ$2004,_xlfn.MAXIFS('Saisie'!$AS$5:$AS$2004,'Saisie'!$C$5:$C$2004,C137,'Saisie'!$AQ$5:$AQ$2004,"&lt;&gt;")-4),""))</f>
        <v/>
      </c>
      <c r="AM137" s="60">
        <f>IF(C137="","",((AI137="Oui")+(AJ137="Oui")+(AK137="Oui")+OR(AL137="Immédiat",AL137="&lt; 1 mois"))&amp;"/4")</f>
        <v/>
      </c>
      <c r="AN137" s="60">
        <f>IF(C137="","",IFERROR(INDEX('Saisie'!$AL$5:$AL$2004,_xlfn.MAXIFS('Saisie'!$AS$5:$AS$2004,'Saisie'!$C$5:$C$2004,C137,'Saisie'!$AL$5:$AL$2004,"&lt;&gt;")-4),""))</f>
        <v/>
      </c>
      <c r="AO137" s="62">
        <f>IF(C137="","",IF(IFERROR(INDEX('Saisie'!$AM$5:$AM$2004,_xlfn.MAXIFS('Saisie'!$AS$5:$AS$2004,'Saisie'!$C$5:$C$2004,C137,'Saisie'!$AM$5:$AM$2004,"&lt;&gt;")-4),"")&lt;&gt;"",IFERROR(INDEX('Saisie'!$AM$5:$AM$2004,_xlfn.MAXIFS('Saisie'!$AS$5:$AS$2004,'Saisie'!$C$5:$C$2004,C137,'Saisie'!$AM$5:$AM$2004,"&lt;&gt;")-4),""),IFERROR(INDEX('Paramètres'!$S$6:$S$15,MATCH(AN137,'Paramètres'!$Q$6:$Q$15,0)),"")))</f>
        <v/>
      </c>
      <c r="AP137" s="62">
        <f>IF(C137="","",IFERROR(INDEX('Saisie'!$AW$5:$AW$2004,_xlfn.MAXIFS('Saisie'!$AS$5:$AS$2004,'Saisie'!$C$5:$C$2004,C137,'Saisie'!$E$5:$E$2004,"Proposition envoyée")-4),""))</f>
        <v/>
      </c>
      <c r="AQ137" s="106">
        <f>IF(C137="","",IFERROR(1/(1/_xlfn.MAXIFS('Saisie'!$A$5:$A$2004,'Saisie'!$C$5:$C$2004,C137,'Saisie'!$E$5:$E$2004,"Proposition envoyée")),""))</f>
        <v/>
      </c>
      <c r="AR137" s="106">
        <f>IF(C137="","",IF(AQ137="","",AQ137+'Paramètres'!$B$26))</f>
        <v/>
      </c>
      <c r="AS137" s="62">
        <f>IF(OR(C137="",D137="Gagné",D137="Perdu"),0,N(AP137)*IFERROR(INDEX('Paramètres'!$G$6:$G$13,MATCH(D137,'Paramètres'!$F$6:$F$13,0)),0))</f>
        <v/>
      </c>
      <c r="AT137" s="106">
        <f>IF(C137="","",IFERROR(1/(1/_xlfn.MINIFS('Saisie'!$A$5:$A$2004,'Saisie'!$C$5:$C$2004,C137,'Saisie'!$E$5:$E$2004,"Signature")),""))</f>
        <v/>
      </c>
      <c r="AU137" s="60">
        <f>IF(C137="","",IF(OR(AT137="",B137=""),"",AT137-B137))</f>
        <v/>
      </c>
      <c r="AV137" s="60">
        <f>IF(C137="","",IFERROR(INDEX('Saisie'!$L$5:$L$2004,_xlfn.MAXIFS('Saisie'!$AS$5:$AS$2004,'Saisie'!$C$5:$C$2004,C137,'Saisie'!$L$5:$L$2004,"&lt;&gt;")-4),""))</f>
        <v/>
      </c>
      <c r="AW137" s="106">
        <f>IF(C137="","",IF(D137&lt;&gt;"Perdu","",IFERROR(1/(1/_xlfn.MAXIFS('Saisie'!$A$5:$A$2004,'Saisie'!$C$5:$C$2004,C137,'Saisie'!$E$5:$E$2004,"Perdu")),"")))</f>
        <v/>
      </c>
      <c r="AX137" s="106">
        <f>IF(C137="","",IF(AW137="","",AW137+'Paramètres'!$B$28))</f>
        <v/>
      </c>
      <c r="AY137" s="60">
        <f>IF(C137="","",SUMIFS('Saisie'!$H$5:$H$2004,'Saisie'!$C$5:$C$2004,C137))</f>
        <v/>
      </c>
      <c r="AZ137" s="60">
        <f>IF(C137="","",IFERROR(INDEX('Paramètres'!$W$6:$W$20,MATCH(S137,'Paramètres'!$V$6:$V$20,0))&amp;"",""))</f>
        <v/>
      </c>
      <c r="BA137" s="60">
        <f>IF(C137="","",MAX(1,_xlfn.MAXIFS('Saisie'!$AT$5:$AT$2004,'Saisie'!$C$5:$C$2004,C137)))</f>
        <v/>
      </c>
      <c r="BB137" s="60">
        <f>IF(C137="","",IFERROR(INDEX('Saisie'!$X$5:$X$2004,_xlfn.MAXIFS('Saisie'!$AS$5:$AS$2004,'Saisie'!$C$5:$C$2004,C137,'Saisie'!$X$5:$X$2004,"&lt;&gt;")-4),""))</f>
        <v/>
      </c>
      <c r="BC137" s="60">
        <f>IF(C137="","",IFERROR(INDEX('Saisie'!$Y$5:$Y$2004,_xlfn.MAXIFS('Saisie'!$AS$5:$AS$2004,'Saisie'!$C$5:$C$2004,C137,'Saisie'!$Y$5:$Y$2004,"&lt;&gt;")-4),""))</f>
        <v/>
      </c>
      <c r="BD137" s="106">
        <f>IF(C137="","",IFERROR(1/(1/_xlfn.MINIFS('Saisie'!$A$5:$A$2004,'Saisie'!$C$5:$C$2004,C137,'Saisie'!$AT$5:$AT$2004,"&gt;=2")),""))</f>
        <v/>
      </c>
      <c r="BE137" s="106">
        <f>IF(C137="","",IFERROR(1/(1/_xlfn.MINIFS('Saisie'!$A$5:$A$2004,'Saisie'!$C$5:$C$2004,C137,'Saisie'!$AT$5:$AT$2004,"&gt;=3")),""))</f>
        <v/>
      </c>
      <c r="BF137" s="106">
        <f>IF(C137="","",IFERROR(1/(1/_xlfn.MINIFS('Saisie'!$A$5:$A$2004,'Saisie'!$C$5:$C$2004,C137,'Saisie'!$AT$5:$AT$2004,"&gt;=4")),""))</f>
        <v/>
      </c>
      <c r="BG137" s="106">
        <f>IF(C137="","",IFERROR(1/(1/_xlfn.MINIFS('Saisie'!$A$5:$A$2004,'Saisie'!$C$5:$C$2004,C137,'Saisie'!$AT$5:$AT$2004,"&gt;=5")),""))</f>
        <v/>
      </c>
      <c r="BH137" s="106">
        <f>IF(C137="","",IFERROR(1/(1/_xlfn.MINIFS('Saisie'!$A$5:$A$2004,'Saisie'!$C$5:$C$2004,C137,'Saisie'!$AT$5:$AT$2004,"&gt;=6")),""))</f>
        <v/>
      </c>
      <c r="BI137" s="106">
        <f>IF(C137="","",IFERROR(1/(1/_xlfn.MINIFS('Saisie'!$A$5:$A$2004,'Saisie'!$C$5:$C$2004,C137,'Saisie'!$AT$5:$AT$2004,"&gt;=7")),""))</f>
        <v/>
      </c>
      <c r="BJ137" s="60">
        <f>IF(OR(BD137="",B137=""),"",BD137-B137)</f>
        <v/>
      </c>
      <c r="BK137" s="60">
        <f>IF(OR(BE137="",BD137=""),"",BE137-BD137)</f>
        <v/>
      </c>
      <c r="BL137" s="60">
        <f>IF(OR(BF137="",BE137=""),"",BF137-BE137)</f>
        <v/>
      </c>
      <c r="BM137" s="60">
        <f>IF(OR(BG137="",BF137=""),"",BG137-BF137)</f>
        <v/>
      </c>
      <c r="BN137" s="60">
        <f>IF(OR(BH137="",BG137=""),"",BH137-BG137)</f>
        <v/>
      </c>
      <c r="BO137" s="60">
        <f>IF(OR(BI137="",BH137=""),"",BI137-BH137)</f>
        <v/>
      </c>
      <c r="BP137" s="60">
        <f>IF(C137="","",_xlfn.MAXIFS('Saisie'!$AS$5:$AS$2004,'Saisie'!$C$5:$C$2004,C137,'Saisie'!$J$5:$J$2004,"&lt;&gt;"))</f>
        <v/>
      </c>
      <c r="BQ137" s="60">
        <f>IF(C137="","",_xlfn.MAXIFS('Saisie'!$AS$5:$AS$2004,'Saisie'!$C$5:$C$2004,C137))</f>
        <v/>
      </c>
      <c r="BR137" s="60">
        <f>IF(C137="","",_xlfn.MAXIFS('Saisie'!$AS$5:$AS$2004,'Saisie'!$C$5:$C$2004,C137,'Saisie'!$E$5:$E$2004,"Perdu"))</f>
        <v/>
      </c>
      <c r="BS137" s="60">
        <f>IF(C137="","",_xlfn.MAXIFS('Saisie'!$AS$5:$AS$2004,'Saisie'!$C$5:$C$2004,C137,'Saisie'!$AT$5:$AT$2004,"&gt;0"))</f>
        <v/>
      </c>
      <c r="BT137" s="109">
        <f>IF(AND(C137&lt;&gt;"",OR(D137="Nouveau",D137="Contacté",D137="Qualifié"),OR(G137="",N(G137)&lt;=TODAY()),NOT(AND(O137&gt;='Paramètres'!$B$21,P137=0))),E137+133/10000,"")</f>
        <v/>
      </c>
      <c r="BU137" s="60">
        <f>IF(AND(G137&lt;&gt;"",N(G137)&lt;=TODAY()),MAX($BU$4:BU136)+1,"")</f>
        <v/>
      </c>
      <c r="BV137" s="60">
        <f>IF(AND(F137&lt;&gt;"",F137&lt;&gt;"Relance en retard"),MAX($BV$4:BV136)+1,"")</f>
        <v/>
      </c>
      <c r="BW137" s="60">
        <f>IF(C137="","",IF(AND(B137&gt;='Tableau de bord'!$R$4,B137&lt;='Tableau de bord'!$S$4,OR('Tableau de bord'!$G$4="Tous",N137='Tableau de bord'!$G$4)),1,0))</f>
        <v/>
      </c>
      <c r="BX137" s="60">
        <f>IF(AND(C137&lt;&gt;"",N(BA137)=7),MAX($BX$4:BX136)+1,"")</f>
        <v/>
      </c>
    </row>
    <row r="138">
      <c r="A138" s="60">
        <f>IF(C138="","","P-"&amp;TEXT(134,"000"))</f>
        <v/>
      </c>
      <c r="B138" s="106">
        <f>IF(C138="","",IFERROR(1/(1/_xlfn.MINIFS('Saisie'!$A$5:$A$2004,'Saisie'!$C$5:$C$2004,C138)),""))</f>
        <v/>
      </c>
      <c r="C138" s="60">
        <f>IFERROR(INDEX('Saisie'!$C$5:$C$2004,MATCH(134,'Saisie'!$AX$5:$AX$2004,0)),"")</f>
        <v/>
      </c>
      <c r="D138" s="60">
        <f>IF(C138="","",IF(AND(BR138&gt;0,BR138&gt;BS138,BA138&lt;7),"Perdu",INDEX('Paramètres'!$F$6:$F$13,BA138)))</f>
        <v/>
      </c>
      <c r="E138" s="61">
        <f>IF(C138="","",MIN(100,(Z138="Oui")*'Paramètres'!$B$38+(AB138="Régulière")*'Paramètres'!$B$39+IF(AND(N(AA138)&gt;0,TODAY()-N(AA138)&lt;=30),'Paramètres'!$B$40,0)+(W138="")*'Paramètres'!$B$41+(AC138="Absente")*'Paramètres'!$B$42+(AC138="Faible")*'Paramètres'!$B$43+IF(AND(N(AD138)&gt;0,N(AD138)&lt;4),'Paramètres'!$B$44,0)+(AF138="Moyenne")*'Paramètres'!$B$45+(AF138="Grande")*'Paramètres'!$B$46+(Y138&lt;&gt;"")*'Paramètres'!$B$47))</f>
        <v/>
      </c>
      <c r="F138" s="60">
        <f>IF(C138="","",IF(D138="Gagné","",IF(D138="Perdu",IF(AND(AX138&lt;&gt;"",AX138&lt;=TODAY()),"À recontacter (perdu)",""),IF(AND(O138&gt;='Paramètres'!$B$21,P138=0),"Stop : "&amp;'Paramètres'!$B$21&amp;" tentatives sans réponse",IF(AND(D138="Proposition",AR138&lt;&gt;"",TODAY()&gt;N(AR138)),"Proposition expirée",IF(AND(D138="Proposition",N(R138)&gt;='Paramètres'!$B$25),"Proposition sans réponse",IF(AND(G138&lt;&gt;"",N(G138)&lt;TODAY()),"Relance en retard",IF(N(R138)&gt;='Paramètres'!$B$24,"Sans action depuis "&amp;R138&amp;" j",""))))))))</f>
        <v/>
      </c>
      <c r="G138" s="106">
        <f>IF(OR(C138="",D138="Gagné",D138="Perdu"),"",IF(AND(BP138&gt;0,BP138=BQ138),INDEX('Saisie'!$J$5:$J$2004,BP138-4),IF(OR(O138=0,AND(O138&gt;='Paramètres'!$B$21,P138=0)),"",Q138+IF(O138&lt;=1,'Paramètres'!$B$18,IF(O138=2,'Paramètres'!$B$19,'Paramètres'!$B$20)))))</f>
        <v/>
      </c>
      <c r="H138" s="107">
        <f>IF(OR(G138="",BP138&lt;&gt;BQ138),"",IF(INDEX('Saisie'!$K$5:$K$2004,BP138-4)="","",INDEX('Saisie'!$K$5:$K$2004,BP138-4)))</f>
        <v/>
      </c>
      <c r="I138" s="60">
        <f>IF(C138="","",IF(OR(D138="Gagné",D138="Perdu"),"",IFERROR(INDEX('Saisie'!$I$5:$I$2004,_xlfn.MAXIFS('Saisie'!$AS$5:$AS$2004,'Saisie'!$C$5:$C$2004,C138,'Saisie'!$I$5:$I$2004,"&lt;&gt;")-4),"")))</f>
        <v/>
      </c>
      <c r="J138" s="60">
        <f>IF(C138="","",IFERROR(INDEX('Saisie'!$U$5:$U$2004,_xlfn.MAXIFS('Saisie'!$AS$5:$AS$2004,'Saisie'!$C$5:$C$2004,C138,'Saisie'!$U$5:$U$2004,"&lt;&gt;")-4),""))</f>
        <v/>
      </c>
      <c r="K138" s="60">
        <f>IF(C138="","",IFERROR(INDEX('Saisie'!$W$5:$W$2004,_xlfn.MAXIFS('Saisie'!$AS$5:$AS$2004,'Saisie'!$C$5:$C$2004,C138,'Saisie'!$W$5:$W$2004,"&lt;&gt;")-4),""))</f>
        <v/>
      </c>
      <c r="L138" s="60">
        <f>IF(IF(BB138&lt;&gt;"",BB138,K138)="","",HYPERLINK("https://wa.me/"&amp;IF(LEFT(SUBSTITUTE(SUBSTITUTE(SUBSTITUTE(IF(BB138&lt;&gt;"",BB138,K138)," ",""),".",""),"+",""),1)="0",'Paramètres'!$B$35&amp;MID(SUBSTITUTE(SUBSTITUTE(SUBSTITUTE(IF(BB138&lt;&gt;"",BB138,K138)," ",""),".",""),"+",""),2,20),SUBSTITUTE(SUBSTITUTE(SUBSTITUTE(IF(BB138&lt;&gt;"",BB138,K138)," ",""),".",""),"+","")),"WhatsApp"))</f>
        <v/>
      </c>
      <c r="M138" s="60">
        <f>IF(BC138="","",HYPERLINK(IF(LEFT(BC138,4)="http",BC138,"https://www.instagram.com/"&amp;SUBSTITUTE(SUBSTITUTE(BC138,"@","")," ","")),BC138))</f>
        <v/>
      </c>
      <c r="N138" s="60">
        <f>IF(C138="","",IFERROR(INDEX('Saisie'!$D$5:$D$2004,_xlfn.MINIFS('Saisie'!$AS$5:$AS$2004,'Saisie'!$C$5:$C$2004,C138,'Saisie'!$AU$5:$AU$2004,1)-4),IFERROR(INDEX('Saisie'!$D$5:$D$2004,_xlfn.MINIFS('Saisie'!$AS$5:$AS$2004,'Saisie'!$C$5:$C$2004,C138,'Saisie'!$D$5:$D$2004,"&lt;&gt;")-4),"")))</f>
        <v/>
      </c>
      <c r="O138" s="60">
        <f>IF(C138="","",COUNTIFS('Saisie'!$C$5:$C$2004,C138,'Saisie'!$AU$5:$AU$2004,1))</f>
        <v/>
      </c>
      <c r="P138" s="60">
        <f>IF(C138="","",COUNTIFS('Saisie'!$C$5:$C$2004,C138,'Saisie'!$AV$5:$AV$2004,1))</f>
        <v/>
      </c>
      <c r="Q138" s="106">
        <f>IF(C138="","",IFERROR(1/(1/_xlfn.MAXIFS('Saisie'!$A$5:$A$2004,'Saisie'!$C$5:$C$2004,C138)),""))</f>
        <v/>
      </c>
      <c r="R138" s="61">
        <f>IF(C138="","",IF(Q138="","",TODAY()-Q138))</f>
        <v/>
      </c>
      <c r="S138" s="60">
        <f>IF(C138="","",IFERROR(INDEX('Saisie'!$R$5:$R$2004,_xlfn.MAXIFS('Saisie'!$AS$5:$AS$2004,'Saisie'!$C$5:$C$2004,C138,'Saisie'!$R$5:$R$2004,"&lt;&gt;")-4),""))</f>
        <v/>
      </c>
      <c r="T138" s="60">
        <f>IF(C138="","",IFERROR(INDEX('Saisie'!$S$5:$S$2004,_xlfn.MAXIFS('Saisie'!$AS$5:$AS$2004,'Saisie'!$C$5:$C$2004,C138,'Saisie'!$S$5:$S$2004,"&lt;&gt;")-4),""))</f>
        <v/>
      </c>
      <c r="U138" s="60">
        <f>IF(C138="","",IFERROR(INDEX('Saisie'!$T$5:$T$2004,_xlfn.MAXIFS('Saisie'!$AS$5:$AS$2004,'Saisie'!$C$5:$C$2004,C138,'Saisie'!$T$5:$T$2004,"&lt;&gt;")-4),""))</f>
        <v/>
      </c>
      <c r="V138" s="60">
        <f>IF(C138="","",IFERROR(INDEX('Saisie'!$V$5:$V$2004,_xlfn.MAXIFS('Saisie'!$AS$5:$AS$2004,'Saisie'!$C$5:$C$2004,C138,'Saisie'!$V$5:$V$2004,"&lt;&gt;")-4),""))</f>
        <v/>
      </c>
      <c r="W138" s="60">
        <f>IF(C138="","",IFERROR(INDEX('Saisie'!$Z$5:$Z$2004,_xlfn.MAXIFS('Saisie'!$AS$5:$AS$2004,'Saisie'!$C$5:$C$2004,C138,'Saisie'!$Z$5:$Z$2004,"&lt;&gt;")-4),""))</f>
        <v/>
      </c>
      <c r="X138" s="60">
        <f>IF(C138="","",IFERROR(INDEX('Saisie'!$AA$5:$AA$2004,_xlfn.MAXIFS('Saisie'!$AS$5:$AS$2004,'Saisie'!$C$5:$C$2004,C138,'Saisie'!$AA$5:$AA$2004,"&lt;&gt;")-4),""))</f>
        <v/>
      </c>
      <c r="Y138" s="60">
        <f>IF(C138="","",IFERROR(INDEX('Saisie'!$AB$5:$AB$2004,_xlfn.MAXIFS('Saisie'!$AS$5:$AS$2004,'Saisie'!$C$5:$C$2004,C138,'Saisie'!$AB$5:$AB$2004,"&lt;&gt;")-4),""))</f>
        <v/>
      </c>
      <c r="Z138" s="60">
        <f>IF(C138="","",IFERROR(INDEX('Saisie'!$AC$5:$AC$2004,_xlfn.MAXIFS('Saisie'!$AS$5:$AS$2004,'Saisie'!$C$5:$C$2004,C138,'Saisie'!$AC$5:$AC$2004,"&lt;&gt;")-4),""))</f>
        <v/>
      </c>
      <c r="AA138" s="106">
        <f>IF(C138="","",IFERROR(INDEX('Saisie'!$AD$5:$AD$2004,_xlfn.MAXIFS('Saisie'!$AS$5:$AS$2004,'Saisie'!$C$5:$C$2004,C138,'Saisie'!$AD$5:$AD$2004,"&lt;&gt;")-4),""))</f>
        <v/>
      </c>
      <c r="AB138" s="60">
        <f>IF(C138="","",IFERROR(INDEX('Saisie'!$AE$5:$AE$2004,_xlfn.MAXIFS('Saisie'!$AS$5:$AS$2004,'Saisie'!$C$5:$C$2004,C138,'Saisie'!$AE$5:$AE$2004,"&lt;&gt;")-4),""))</f>
        <v/>
      </c>
      <c r="AC138" s="60">
        <f>IF(C138="","",IFERROR(INDEX('Saisie'!$AF$5:$AF$2004,_xlfn.MAXIFS('Saisie'!$AS$5:$AS$2004,'Saisie'!$C$5:$C$2004,C138,'Saisie'!$AF$5:$AF$2004,"&lt;&gt;")-4),""))</f>
        <v/>
      </c>
      <c r="AD138" s="108">
        <f>IF(C138="","",IFERROR(INDEX('Saisie'!$AG$5:$AG$2004,_xlfn.MAXIFS('Saisie'!$AS$5:$AS$2004,'Saisie'!$C$5:$C$2004,C138,'Saisie'!$AG$5:$AG$2004,"&lt;&gt;")-4),""))</f>
        <v/>
      </c>
      <c r="AE138" s="60">
        <f>IF(C138="","",IFERROR(INDEX('Saisie'!$AH$5:$AH$2004,_xlfn.MAXIFS('Saisie'!$AS$5:$AS$2004,'Saisie'!$C$5:$C$2004,C138,'Saisie'!$AH$5:$AH$2004,"&lt;&gt;")-4),""))</f>
        <v/>
      </c>
      <c r="AF138" s="60">
        <f>IF(C138="","",IFERROR(INDEX('Saisie'!$AI$5:$AI$2004,_xlfn.MAXIFS('Saisie'!$AS$5:$AS$2004,'Saisie'!$C$5:$C$2004,C138,'Saisie'!$AI$5:$AI$2004,"&lt;&gt;")-4),""))</f>
        <v/>
      </c>
      <c r="AG138" s="60">
        <f>IF(C138="","",IFERROR(INDEX('Saisie'!$AJ$5:$AJ$2004,_xlfn.MAXIFS('Saisie'!$AS$5:$AS$2004,'Saisie'!$C$5:$C$2004,C138,'Saisie'!$AJ$5:$AJ$2004,"&lt;&gt;")-4),""))</f>
        <v/>
      </c>
      <c r="AH138" s="60">
        <f>IF(C138="","",IFERROR(INDEX('Saisie'!$AK$5:$AK$2004,_xlfn.MAXIFS('Saisie'!$AS$5:$AS$2004,'Saisie'!$C$5:$C$2004,C138,'Saisie'!$AK$5:$AK$2004,"&lt;&gt;")-4),""))</f>
        <v/>
      </c>
      <c r="AI138" s="60">
        <f>IF(C138="","",IFERROR(INDEX('Saisie'!$AN$5:$AN$2004,_xlfn.MAXIFS('Saisie'!$AS$5:$AS$2004,'Saisie'!$C$5:$C$2004,C138,'Saisie'!$AN$5:$AN$2004,"&lt;&gt;")-4),""))</f>
        <v/>
      </c>
      <c r="AJ138" s="60">
        <f>IF(C138="","",IFERROR(INDEX('Saisie'!$AO$5:$AO$2004,_xlfn.MAXIFS('Saisie'!$AS$5:$AS$2004,'Saisie'!$C$5:$C$2004,C138,'Saisie'!$AO$5:$AO$2004,"&lt;&gt;")-4),""))</f>
        <v/>
      </c>
      <c r="AK138" s="60">
        <f>IF(C138="","",IFERROR(INDEX('Saisie'!$AP$5:$AP$2004,_xlfn.MAXIFS('Saisie'!$AS$5:$AS$2004,'Saisie'!$C$5:$C$2004,C138,'Saisie'!$AP$5:$AP$2004,"&lt;&gt;")-4),""))</f>
        <v/>
      </c>
      <c r="AL138" s="60">
        <f>IF(C138="","",IFERROR(INDEX('Saisie'!$AQ$5:$AQ$2004,_xlfn.MAXIFS('Saisie'!$AS$5:$AS$2004,'Saisie'!$C$5:$C$2004,C138,'Saisie'!$AQ$5:$AQ$2004,"&lt;&gt;")-4),""))</f>
        <v/>
      </c>
      <c r="AM138" s="60">
        <f>IF(C138="","",((AI138="Oui")+(AJ138="Oui")+(AK138="Oui")+OR(AL138="Immédiat",AL138="&lt; 1 mois"))&amp;"/4")</f>
        <v/>
      </c>
      <c r="AN138" s="60">
        <f>IF(C138="","",IFERROR(INDEX('Saisie'!$AL$5:$AL$2004,_xlfn.MAXIFS('Saisie'!$AS$5:$AS$2004,'Saisie'!$C$5:$C$2004,C138,'Saisie'!$AL$5:$AL$2004,"&lt;&gt;")-4),""))</f>
        <v/>
      </c>
      <c r="AO138" s="62">
        <f>IF(C138="","",IF(IFERROR(INDEX('Saisie'!$AM$5:$AM$2004,_xlfn.MAXIFS('Saisie'!$AS$5:$AS$2004,'Saisie'!$C$5:$C$2004,C138,'Saisie'!$AM$5:$AM$2004,"&lt;&gt;")-4),"")&lt;&gt;"",IFERROR(INDEX('Saisie'!$AM$5:$AM$2004,_xlfn.MAXIFS('Saisie'!$AS$5:$AS$2004,'Saisie'!$C$5:$C$2004,C138,'Saisie'!$AM$5:$AM$2004,"&lt;&gt;")-4),""),IFERROR(INDEX('Paramètres'!$S$6:$S$15,MATCH(AN138,'Paramètres'!$Q$6:$Q$15,0)),"")))</f>
        <v/>
      </c>
      <c r="AP138" s="62">
        <f>IF(C138="","",IFERROR(INDEX('Saisie'!$AW$5:$AW$2004,_xlfn.MAXIFS('Saisie'!$AS$5:$AS$2004,'Saisie'!$C$5:$C$2004,C138,'Saisie'!$E$5:$E$2004,"Proposition envoyée")-4),""))</f>
        <v/>
      </c>
      <c r="AQ138" s="106">
        <f>IF(C138="","",IFERROR(1/(1/_xlfn.MAXIFS('Saisie'!$A$5:$A$2004,'Saisie'!$C$5:$C$2004,C138,'Saisie'!$E$5:$E$2004,"Proposition envoyée")),""))</f>
        <v/>
      </c>
      <c r="AR138" s="106">
        <f>IF(C138="","",IF(AQ138="","",AQ138+'Paramètres'!$B$26))</f>
        <v/>
      </c>
      <c r="AS138" s="62">
        <f>IF(OR(C138="",D138="Gagné",D138="Perdu"),0,N(AP138)*IFERROR(INDEX('Paramètres'!$G$6:$G$13,MATCH(D138,'Paramètres'!$F$6:$F$13,0)),0))</f>
        <v/>
      </c>
      <c r="AT138" s="106">
        <f>IF(C138="","",IFERROR(1/(1/_xlfn.MINIFS('Saisie'!$A$5:$A$2004,'Saisie'!$C$5:$C$2004,C138,'Saisie'!$E$5:$E$2004,"Signature")),""))</f>
        <v/>
      </c>
      <c r="AU138" s="60">
        <f>IF(C138="","",IF(OR(AT138="",B138=""),"",AT138-B138))</f>
        <v/>
      </c>
      <c r="AV138" s="60">
        <f>IF(C138="","",IFERROR(INDEX('Saisie'!$L$5:$L$2004,_xlfn.MAXIFS('Saisie'!$AS$5:$AS$2004,'Saisie'!$C$5:$C$2004,C138,'Saisie'!$L$5:$L$2004,"&lt;&gt;")-4),""))</f>
        <v/>
      </c>
      <c r="AW138" s="106">
        <f>IF(C138="","",IF(D138&lt;&gt;"Perdu","",IFERROR(1/(1/_xlfn.MAXIFS('Saisie'!$A$5:$A$2004,'Saisie'!$C$5:$C$2004,C138,'Saisie'!$E$5:$E$2004,"Perdu")),"")))</f>
        <v/>
      </c>
      <c r="AX138" s="106">
        <f>IF(C138="","",IF(AW138="","",AW138+'Paramètres'!$B$28))</f>
        <v/>
      </c>
      <c r="AY138" s="60">
        <f>IF(C138="","",SUMIFS('Saisie'!$H$5:$H$2004,'Saisie'!$C$5:$C$2004,C138))</f>
        <v/>
      </c>
      <c r="AZ138" s="60">
        <f>IF(C138="","",IFERROR(INDEX('Paramètres'!$W$6:$W$20,MATCH(S138,'Paramètres'!$V$6:$V$20,0))&amp;"",""))</f>
        <v/>
      </c>
      <c r="BA138" s="60">
        <f>IF(C138="","",MAX(1,_xlfn.MAXIFS('Saisie'!$AT$5:$AT$2004,'Saisie'!$C$5:$C$2004,C138)))</f>
        <v/>
      </c>
      <c r="BB138" s="60">
        <f>IF(C138="","",IFERROR(INDEX('Saisie'!$X$5:$X$2004,_xlfn.MAXIFS('Saisie'!$AS$5:$AS$2004,'Saisie'!$C$5:$C$2004,C138,'Saisie'!$X$5:$X$2004,"&lt;&gt;")-4),""))</f>
        <v/>
      </c>
      <c r="BC138" s="60">
        <f>IF(C138="","",IFERROR(INDEX('Saisie'!$Y$5:$Y$2004,_xlfn.MAXIFS('Saisie'!$AS$5:$AS$2004,'Saisie'!$C$5:$C$2004,C138,'Saisie'!$Y$5:$Y$2004,"&lt;&gt;")-4),""))</f>
        <v/>
      </c>
      <c r="BD138" s="106">
        <f>IF(C138="","",IFERROR(1/(1/_xlfn.MINIFS('Saisie'!$A$5:$A$2004,'Saisie'!$C$5:$C$2004,C138,'Saisie'!$AT$5:$AT$2004,"&gt;=2")),""))</f>
        <v/>
      </c>
      <c r="BE138" s="106">
        <f>IF(C138="","",IFERROR(1/(1/_xlfn.MINIFS('Saisie'!$A$5:$A$2004,'Saisie'!$C$5:$C$2004,C138,'Saisie'!$AT$5:$AT$2004,"&gt;=3")),""))</f>
        <v/>
      </c>
      <c r="BF138" s="106">
        <f>IF(C138="","",IFERROR(1/(1/_xlfn.MINIFS('Saisie'!$A$5:$A$2004,'Saisie'!$C$5:$C$2004,C138,'Saisie'!$AT$5:$AT$2004,"&gt;=4")),""))</f>
        <v/>
      </c>
      <c r="BG138" s="106">
        <f>IF(C138="","",IFERROR(1/(1/_xlfn.MINIFS('Saisie'!$A$5:$A$2004,'Saisie'!$C$5:$C$2004,C138,'Saisie'!$AT$5:$AT$2004,"&gt;=5")),""))</f>
        <v/>
      </c>
      <c r="BH138" s="106">
        <f>IF(C138="","",IFERROR(1/(1/_xlfn.MINIFS('Saisie'!$A$5:$A$2004,'Saisie'!$C$5:$C$2004,C138,'Saisie'!$AT$5:$AT$2004,"&gt;=6")),""))</f>
        <v/>
      </c>
      <c r="BI138" s="106">
        <f>IF(C138="","",IFERROR(1/(1/_xlfn.MINIFS('Saisie'!$A$5:$A$2004,'Saisie'!$C$5:$C$2004,C138,'Saisie'!$AT$5:$AT$2004,"&gt;=7")),""))</f>
        <v/>
      </c>
      <c r="BJ138" s="60">
        <f>IF(OR(BD138="",B138=""),"",BD138-B138)</f>
        <v/>
      </c>
      <c r="BK138" s="60">
        <f>IF(OR(BE138="",BD138=""),"",BE138-BD138)</f>
        <v/>
      </c>
      <c r="BL138" s="60">
        <f>IF(OR(BF138="",BE138=""),"",BF138-BE138)</f>
        <v/>
      </c>
      <c r="BM138" s="60">
        <f>IF(OR(BG138="",BF138=""),"",BG138-BF138)</f>
        <v/>
      </c>
      <c r="BN138" s="60">
        <f>IF(OR(BH138="",BG138=""),"",BH138-BG138)</f>
        <v/>
      </c>
      <c r="BO138" s="60">
        <f>IF(OR(BI138="",BH138=""),"",BI138-BH138)</f>
        <v/>
      </c>
      <c r="BP138" s="60">
        <f>IF(C138="","",_xlfn.MAXIFS('Saisie'!$AS$5:$AS$2004,'Saisie'!$C$5:$C$2004,C138,'Saisie'!$J$5:$J$2004,"&lt;&gt;"))</f>
        <v/>
      </c>
      <c r="BQ138" s="60">
        <f>IF(C138="","",_xlfn.MAXIFS('Saisie'!$AS$5:$AS$2004,'Saisie'!$C$5:$C$2004,C138))</f>
        <v/>
      </c>
      <c r="BR138" s="60">
        <f>IF(C138="","",_xlfn.MAXIFS('Saisie'!$AS$5:$AS$2004,'Saisie'!$C$5:$C$2004,C138,'Saisie'!$E$5:$E$2004,"Perdu"))</f>
        <v/>
      </c>
      <c r="BS138" s="60">
        <f>IF(C138="","",_xlfn.MAXIFS('Saisie'!$AS$5:$AS$2004,'Saisie'!$C$5:$C$2004,C138,'Saisie'!$AT$5:$AT$2004,"&gt;0"))</f>
        <v/>
      </c>
      <c r="BT138" s="109">
        <f>IF(AND(C138&lt;&gt;"",OR(D138="Nouveau",D138="Contacté",D138="Qualifié"),OR(G138="",N(G138)&lt;=TODAY()),NOT(AND(O138&gt;='Paramètres'!$B$21,P138=0))),E138+134/10000,"")</f>
        <v/>
      </c>
      <c r="BU138" s="60">
        <f>IF(AND(G138&lt;&gt;"",N(G138)&lt;=TODAY()),MAX($BU$4:BU137)+1,"")</f>
        <v/>
      </c>
      <c r="BV138" s="60">
        <f>IF(AND(F138&lt;&gt;"",F138&lt;&gt;"Relance en retard"),MAX($BV$4:BV137)+1,"")</f>
        <v/>
      </c>
      <c r="BW138" s="60">
        <f>IF(C138="","",IF(AND(B138&gt;='Tableau de bord'!$R$4,B138&lt;='Tableau de bord'!$S$4,OR('Tableau de bord'!$G$4="Tous",N138='Tableau de bord'!$G$4)),1,0))</f>
        <v/>
      </c>
      <c r="BX138" s="60">
        <f>IF(AND(C138&lt;&gt;"",N(BA138)=7),MAX($BX$4:BX137)+1,"")</f>
        <v/>
      </c>
    </row>
    <row r="139">
      <c r="A139" s="60">
        <f>IF(C139="","","P-"&amp;TEXT(135,"000"))</f>
        <v/>
      </c>
      <c r="B139" s="106">
        <f>IF(C139="","",IFERROR(1/(1/_xlfn.MINIFS('Saisie'!$A$5:$A$2004,'Saisie'!$C$5:$C$2004,C139)),""))</f>
        <v/>
      </c>
      <c r="C139" s="60">
        <f>IFERROR(INDEX('Saisie'!$C$5:$C$2004,MATCH(135,'Saisie'!$AX$5:$AX$2004,0)),"")</f>
        <v/>
      </c>
      <c r="D139" s="60">
        <f>IF(C139="","",IF(AND(BR139&gt;0,BR139&gt;BS139,BA139&lt;7),"Perdu",INDEX('Paramètres'!$F$6:$F$13,BA139)))</f>
        <v/>
      </c>
      <c r="E139" s="61">
        <f>IF(C139="","",MIN(100,(Z139="Oui")*'Paramètres'!$B$38+(AB139="Régulière")*'Paramètres'!$B$39+IF(AND(N(AA139)&gt;0,TODAY()-N(AA139)&lt;=30),'Paramètres'!$B$40,0)+(W139="")*'Paramètres'!$B$41+(AC139="Absente")*'Paramètres'!$B$42+(AC139="Faible")*'Paramètres'!$B$43+IF(AND(N(AD139)&gt;0,N(AD139)&lt;4),'Paramètres'!$B$44,0)+(AF139="Moyenne")*'Paramètres'!$B$45+(AF139="Grande")*'Paramètres'!$B$46+(Y139&lt;&gt;"")*'Paramètres'!$B$47))</f>
        <v/>
      </c>
      <c r="F139" s="60">
        <f>IF(C139="","",IF(D139="Gagné","",IF(D139="Perdu",IF(AND(AX139&lt;&gt;"",AX139&lt;=TODAY()),"À recontacter (perdu)",""),IF(AND(O139&gt;='Paramètres'!$B$21,P139=0),"Stop : "&amp;'Paramètres'!$B$21&amp;" tentatives sans réponse",IF(AND(D139="Proposition",AR139&lt;&gt;"",TODAY()&gt;N(AR139)),"Proposition expirée",IF(AND(D139="Proposition",N(R139)&gt;='Paramètres'!$B$25),"Proposition sans réponse",IF(AND(G139&lt;&gt;"",N(G139)&lt;TODAY()),"Relance en retard",IF(N(R139)&gt;='Paramètres'!$B$24,"Sans action depuis "&amp;R139&amp;" j",""))))))))</f>
        <v/>
      </c>
      <c r="G139" s="106">
        <f>IF(OR(C139="",D139="Gagné",D139="Perdu"),"",IF(AND(BP139&gt;0,BP139=BQ139),INDEX('Saisie'!$J$5:$J$2004,BP139-4),IF(OR(O139=0,AND(O139&gt;='Paramètres'!$B$21,P139=0)),"",Q139+IF(O139&lt;=1,'Paramètres'!$B$18,IF(O139=2,'Paramètres'!$B$19,'Paramètres'!$B$20)))))</f>
        <v/>
      </c>
      <c r="H139" s="107">
        <f>IF(OR(G139="",BP139&lt;&gt;BQ139),"",IF(INDEX('Saisie'!$K$5:$K$2004,BP139-4)="","",INDEX('Saisie'!$K$5:$K$2004,BP139-4)))</f>
        <v/>
      </c>
      <c r="I139" s="60">
        <f>IF(C139="","",IF(OR(D139="Gagné",D139="Perdu"),"",IFERROR(INDEX('Saisie'!$I$5:$I$2004,_xlfn.MAXIFS('Saisie'!$AS$5:$AS$2004,'Saisie'!$C$5:$C$2004,C139,'Saisie'!$I$5:$I$2004,"&lt;&gt;")-4),"")))</f>
        <v/>
      </c>
      <c r="J139" s="60">
        <f>IF(C139="","",IFERROR(INDEX('Saisie'!$U$5:$U$2004,_xlfn.MAXIFS('Saisie'!$AS$5:$AS$2004,'Saisie'!$C$5:$C$2004,C139,'Saisie'!$U$5:$U$2004,"&lt;&gt;")-4),""))</f>
        <v/>
      </c>
      <c r="K139" s="60">
        <f>IF(C139="","",IFERROR(INDEX('Saisie'!$W$5:$W$2004,_xlfn.MAXIFS('Saisie'!$AS$5:$AS$2004,'Saisie'!$C$5:$C$2004,C139,'Saisie'!$W$5:$W$2004,"&lt;&gt;")-4),""))</f>
        <v/>
      </c>
      <c r="L139" s="60">
        <f>IF(IF(BB139&lt;&gt;"",BB139,K139)="","",HYPERLINK("https://wa.me/"&amp;IF(LEFT(SUBSTITUTE(SUBSTITUTE(SUBSTITUTE(IF(BB139&lt;&gt;"",BB139,K139)," ",""),".",""),"+",""),1)="0",'Paramètres'!$B$35&amp;MID(SUBSTITUTE(SUBSTITUTE(SUBSTITUTE(IF(BB139&lt;&gt;"",BB139,K139)," ",""),".",""),"+",""),2,20),SUBSTITUTE(SUBSTITUTE(SUBSTITUTE(IF(BB139&lt;&gt;"",BB139,K139)," ",""),".",""),"+","")),"WhatsApp"))</f>
        <v/>
      </c>
      <c r="M139" s="60">
        <f>IF(BC139="","",HYPERLINK(IF(LEFT(BC139,4)="http",BC139,"https://www.instagram.com/"&amp;SUBSTITUTE(SUBSTITUTE(BC139,"@","")," ","")),BC139))</f>
        <v/>
      </c>
      <c r="N139" s="60">
        <f>IF(C139="","",IFERROR(INDEX('Saisie'!$D$5:$D$2004,_xlfn.MINIFS('Saisie'!$AS$5:$AS$2004,'Saisie'!$C$5:$C$2004,C139,'Saisie'!$AU$5:$AU$2004,1)-4),IFERROR(INDEX('Saisie'!$D$5:$D$2004,_xlfn.MINIFS('Saisie'!$AS$5:$AS$2004,'Saisie'!$C$5:$C$2004,C139,'Saisie'!$D$5:$D$2004,"&lt;&gt;")-4),"")))</f>
        <v/>
      </c>
      <c r="O139" s="60">
        <f>IF(C139="","",COUNTIFS('Saisie'!$C$5:$C$2004,C139,'Saisie'!$AU$5:$AU$2004,1))</f>
        <v/>
      </c>
      <c r="P139" s="60">
        <f>IF(C139="","",COUNTIFS('Saisie'!$C$5:$C$2004,C139,'Saisie'!$AV$5:$AV$2004,1))</f>
        <v/>
      </c>
      <c r="Q139" s="106">
        <f>IF(C139="","",IFERROR(1/(1/_xlfn.MAXIFS('Saisie'!$A$5:$A$2004,'Saisie'!$C$5:$C$2004,C139)),""))</f>
        <v/>
      </c>
      <c r="R139" s="61">
        <f>IF(C139="","",IF(Q139="","",TODAY()-Q139))</f>
        <v/>
      </c>
      <c r="S139" s="60">
        <f>IF(C139="","",IFERROR(INDEX('Saisie'!$R$5:$R$2004,_xlfn.MAXIFS('Saisie'!$AS$5:$AS$2004,'Saisie'!$C$5:$C$2004,C139,'Saisie'!$R$5:$R$2004,"&lt;&gt;")-4),""))</f>
        <v/>
      </c>
      <c r="T139" s="60">
        <f>IF(C139="","",IFERROR(INDEX('Saisie'!$S$5:$S$2004,_xlfn.MAXIFS('Saisie'!$AS$5:$AS$2004,'Saisie'!$C$5:$C$2004,C139,'Saisie'!$S$5:$S$2004,"&lt;&gt;")-4),""))</f>
        <v/>
      </c>
      <c r="U139" s="60">
        <f>IF(C139="","",IFERROR(INDEX('Saisie'!$T$5:$T$2004,_xlfn.MAXIFS('Saisie'!$AS$5:$AS$2004,'Saisie'!$C$5:$C$2004,C139,'Saisie'!$T$5:$T$2004,"&lt;&gt;")-4),""))</f>
        <v/>
      </c>
      <c r="V139" s="60">
        <f>IF(C139="","",IFERROR(INDEX('Saisie'!$V$5:$V$2004,_xlfn.MAXIFS('Saisie'!$AS$5:$AS$2004,'Saisie'!$C$5:$C$2004,C139,'Saisie'!$V$5:$V$2004,"&lt;&gt;")-4),""))</f>
        <v/>
      </c>
      <c r="W139" s="60">
        <f>IF(C139="","",IFERROR(INDEX('Saisie'!$Z$5:$Z$2004,_xlfn.MAXIFS('Saisie'!$AS$5:$AS$2004,'Saisie'!$C$5:$C$2004,C139,'Saisie'!$Z$5:$Z$2004,"&lt;&gt;")-4),""))</f>
        <v/>
      </c>
      <c r="X139" s="60">
        <f>IF(C139="","",IFERROR(INDEX('Saisie'!$AA$5:$AA$2004,_xlfn.MAXIFS('Saisie'!$AS$5:$AS$2004,'Saisie'!$C$5:$C$2004,C139,'Saisie'!$AA$5:$AA$2004,"&lt;&gt;")-4),""))</f>
        <v/>
      </c>
      <c r="Y139" s="60">
        <f>IF(C139="","",IFERROR(INDEX('Saisie'!$AB$5:$AB$2004,_xlfn.MAXIFS('Saisie'!$AS$5:$AS$2004,'Saisie'!$C$5:$C$2004,C139,'Saisie'!$AB$5:$AB$2004,"&lt;&gt;")-4),""))</f>
        <v/>
      </c>
      <c r="Z139" s="60">
        <f>IF(C139="","",IFERROR(INDEX('Saisie'!$AC$5:$AC$2004,_xlfn.MAXIFS('Saisie'!$AS$5:$AS$2004,'Saisie'!$C$5:$C$2004,C139,'Saisie'!$AC$5:$AC$2004,"&lt;&gt;")-4),""))</f>
        <v/>
      </c>
      <c r="AA139" s="106">
        <f>IF(C139="","",IFERROR(INDEX('Saisie'!$AD$5:$AD$2004,_xlfn.MAXIFS('Saisie'!$AS$5:$AS$2004,'Saisie'!$C$5:$C$2004,C139,'Saisie'!$AD$5:$AD$2004,"&lt;&gt;")-4),""))</f>
        <v/>
      </c>
      <c r="AB139" s="60">
        <f>IF(C139="","",IFERROR(INDEX('Saisie'!$AE$5:$AE$2004,_xlfn.MAXIFS('Saisie'!$AS$5:$AS$2004,'Saisie'!$C$5:$C$2004,C139,'Saisie'!$AE$5:$AE$2004,"&lt;&gt;")-4),""))</f>
        <v/>
      </c>
      <c r="AC139" s="60">
        <f>IF(C139="","",IFERROR(INDEX('Saisie'!$AF$5:$AF$2004,_xlfn.MAXIFS('Saisie'!$AS$5:$AS$2004,'Saisie'!$C$5:$C$2004,C139,'Saisie'!$AF$5:$AF$2004,"&lt;&gt;")-4),""))</f>
        <v/>
      </c>
      <c r="AD139" s="108">
        <f>IF(C139="","",IFERROR(INDEX('Saisie'!$AG$5:$AG$2004,_xlfn.MAXIFS('Saisie'!$AS$5:$AS$2004,'Saisie'!$C$5:$C$2004,C139,'Saisie'!$AG$5:$AG$2004,"&lt;&gt;")-4),""))</f>
        <v/>
      </c>
      <c r="AE139" s="60">
        <f>IF(C139="","",IFERROR(INDEX('Saisie'!$AH$5:$AH$2004,_xlfn.MAXIFS('Saisie'!$AS$5:$AS$2004,'Saisie'!$C$5:$C$2004,C139,'Saisie'!$AH$5:$AH$2004,"&lt;&gt;")-4),""))</f>
        <v/>
      </c>
      <c r="AF139" s="60">
        <f>IF(C139="","",IFERROR(INDEX('Saisie'!$AI$5:$AI$2004,_xlfn.MAXIFS('Saisie'!$AS$5:$AS$2004,'Saisie'!$C$5:$C$2004,C139,'Saisie'!$AI$5:$AI$2004,"&lt;&gt;")-4),""))</f>
        <v/>
      </c>
      <c r="AG139" s="60">
        <f>IF(C139="","",IFERROR(INDEX('Saisie'!$AJ$5:$AJ$2004,_xlfn.MAXIFS('Saisie'!$AS$5:$AS$2004,'Saisie'!$C$5:$C$2004,C139,'Saisie'!$AJ$5:$AJ$2004,"&lt;&gt;")-4),""))</f>
        <v/>
      </c>
      <c r="AH139" s="60">
        <f>IF(C139="","",IFERROR(INDEX('Saisie'!$AK$5:$AK$2004,_xlfn.MAXIFS('Saisie'!$AS$5:$AS$2004,'Saisie'!$C$5:$C$2004,C139,'Saisie'!$AK$5:$AK$2004,"&lt;&gt;")-4),""))</f>
        <v/>
      </c>
      <c r="AI139" s="60">
        <f>IF(C139="","",IFERROR(INDEX('Saisie'!$AN$5:$AN$2004,_xlfn.MAXIFS('Saisie'!$AS$5:$AS$2004,'Saisie'!$C$5:$C$2004,C139,'Saisie'!$AN$5:$AN$2004,"&lt;&gt;")-4),""))</f>
        <v/>
      </c>
      <c r="AJ139" s="60">
        <f>IF(C139="","",IFERROR(INDEX('Saisie'!$AO$5:$AO$2004,_xlfn.MAXIFS('Saisie'!$AS$5:$AS$2004,'Saisie'!$C$5:$C$2004,C139,'Saisie'!$AO$5:$AO$2004,"&lt;&gt;")-4),""))</f>
        <v/>
      </c>
      <c r="AK139" s="60">
        <f>IF(C139="","",IFERROR(INDEX('Saisie'!$AP$5:$AP$2004,_xlfn.MAXIFS('Saisie'!$AS$5:$AS$2004,'Saisie'!$C$5:$C$2004,C139,'Saisie'!$AP$5:$AP$2004,"&lt;&gt;")-4),""))</f>
        <v/>
      </c>
      <c r="AL139" s="60">
        <f>IF(C139="","",IFERROR(INDEX('Saisie'!$AQ$5:$AQ$2004,_xlfn.MAXIFS('Saisie'!$AS$5:$AS$2004,'Saisie'!$C$5:$C$2004,C139,'Saisie'!$AQ$5:$AQ$2004,"&lt;&gt;")-4),""))</f>
        <v/>
      </c>
      <c r="AM139" s="60">
        <f>IF(C139="","",((AI139="Oui")+(AJ139="Oui")+(AK139="Oui")+OR(AL139="Immédiat",AL139="&lt; 1 mois"))&amp;"/4")</f>
        <v/>
      </c>
      <c r="AN139" s="60">
        <f>IF(C139="","",IFERROR(INDEX('Saisie'!$AL$5:$AL$2004,_xlfn.MAXIFS('Saisie'!$AS$5:$AS$2004,'Saisie'!$C$5:$C$2004,C139,'Saisie'!$AL$5:$AL$2004,"&lt;&gt;")-4),""))</f>
        <v/>
      </c>
      <c r="AO139" s="62">
        <f>IF(C139="","",IF(IFERROR(INDEX('Saisie'!$AM$5:$AM$2004,_xlfn.MAXIFS('Saisie'!$AS$5:$AS$2004,'Saisie'!$C$5:$C$2004,C139,'Saisie'!$AM$5:$AM$2004,"&lt;&gt;")-4),"")&lt;&gt;"",IFERROR(INDEX('Saisie'!$AM$5:$AM$2004,_xlfn.MAXIFS('Saisie'!$AS$5:$AS$2004,'Saisie'!$C$5:$C$2004,C139,'Saisie'!$AM$5:$AM$2004,"&lt;&gt;")-4),""),IFERROR(INDEX('Paramètres'!$S$6:$S$15,MATCH(AN139,'Paramètres'!$Q$6:$Q$15,0)),"")))</f>
        <v/>
      </c>
      <c r="AP139" s="62">
        <f>IF(C139="","",IFERROR(INDEX('Saisie'!$AW$5:$AW$2004,_xlfn.MAXIFS('Saisie'!$AS$5:$AS$2004,'Saisie'!$C$5:$C$2004,C139,'Saisie'!$E$5:$E$2004,"Proposition envoyée")-4),""))</f>
        <v/>
      </c>
      <c r="AQ139" s="106">
        <f>IF(C139="","",IFERROR(1/(1/_xlfn.MAXIFS('Saisie'!$A$5:$A$2004,'Saisie'!$C$5:$C$2004,C139,'Saisie'!$E$5:$E$2004,"Proposition envoyée")),""))</f>
        <v/>
      </c>
      <c r="AR139" s="106">
        <f>IF(C139="","",IF(AQ139="","",AQ139+'Paramètres'!$B$26))</f>
        <v/>
      </c>
      <c r="AS139" s="62">
        <f>IF(OR(C139="",D139="Gagné",D139="Perdu"),0,N(AP139)*IFERROR(INDEX('Paramètres'!$G$6:$G$13,MATCH(D139,'Paramètres'!$F$6:$F$13,0)),0))</f>
        <v/>
      </c>
      <c r="AT139" s="106">
        <f>IF(C139="","",IFERROR(1/(1/_xlfn.MINIFS('Saisie'!$A$5:$A$2004,'Saisie'!$C$5:$C$2004,C139,'Saisie'!$E$5:$E$2004,"Signature")),""))</f>
        <v/>
      </c>
      <c r="AU139" s="60">
        <f>IF(C139="","",IF(OR(AT139="",B139=""),"",AT139-B139))</f>
        <v/>
      </c>
      <c r="AV139" s="60">
        <f>IF(C139="","",IFERROR(INDEX('Saisie'!$L$5:$L$2004,_xlfn.MAXIFS('Saisie'!$AS$5:$AS$2004,'Saisie'!$C$5:$C$2004,C139,'Saisie'!$L$5:$L$2004,"&lt;&gt;")-4),""))</f>
        <v/>
      </c>
      <c r="AW139" s="106">
        <f>IF(C139="","",IF(D139&lt;&gt;"Perdu","",IFERROR(1/(1/_xlfn.MAXIFS('Saisie'!$A$5:$A$2004,'Saisie'!$C$5:$C$2004,C139,'Saisie'!$E$5:$E$2004,"Perdu")),"")))</f>
        <v/>
      </c>
      <c r="AX139" s="106">
        <f>IF(C139="","",IF(AW139="","",AW139+'Paramètres'!$B$28))</f>
        <v/>
      </c>
      <c r="AY139" s="60">
        <f>IF(C139="","",SUMIFS('Saisie'!$H$5:$H$2004,'Saisie'!$C$5:$C$2004,C139))</f>
        <v/>
      </c>
      <c r="AZ139" s="60">
        <f>IF(C139="","",IFERROR(INDEX('Paramètres'!$W$6:$W$20,MATCH(S139,'Paramètres'!$V$6:$V$20,0))&amp;"",""))</f>
        <v/>
      </c>
      <c r="BA139" s="60">
        <f>IF(C139="","",MAX(1,_xlfn.MAXIFS('Saisie'!$AT$5:$AT$2004,'Saisie'!$C$5:$C$2004,C139)))</f>
        <v/>
      </c>
      <c r="BB139" s="60">
        <f>IF(C139="","",IFERROR(INDEX('Saisie'!$X$5:$X$2004,_xlfn.MAXIFS('Saisie'!$AS$5:$AS$2004,'Saisie'!$C$5:$C$2004,C139,'Saisie'!$X$5:$X$2004,"&lt;&gt;")-4),""))</f>
        <v/>
      </c>
      <c r="BC139" s="60">
        <f>IF(C139="","",IFERROR(INDEX('Saisie'!$Y$5:$Y$2004,_xlfn.MAXIFS('Saisie'!$AS$5:$AS$2004,'Saisie'!$C$5:$C$2004,C139,'Saisie'!$Y$5:$Y$2004,"&lt;&gt;")-4),""))</f>
        <v/>
      </c>
      <c r="BD139" s="106">
        <f>IF(C139="","",IFERROR(1/(1/_xlfn.MINIFS('Saisie'!$A$5:$A$2004,'Saisie'!$C$5:$C$2004,C139,'Saisie'!$AT$5:$AT$2004,"&gt;=2")),""))</f>
        <v/>
      </c>
      <c r="BE139" s="106">
        <f>IF(C139="","",IFERROR(1/(1/_xlfn.MINIFS('Saisie'!$A$5:$A$2004,'Saisie'!$C$5:$C$2004,C139,'Saisie'!$AT$5:$AT$2004,"&gt;=3")),""))</f>
        <v/>
      </c>
      <c r="BF139" s="106">
        <f>IF(C139="","",IFERROR(1/(1/_xlfn.MINIFS('Saisie'!$A$5:$A$2004,'Saisie'!$C$5:$C$2004,C139,'Saisie'!$AT$5:$AT$2004,"&gt;=4")),""))</f>
        <v/>
      </c>
      <c r="BG139" s="106">
        <f>IF(C139="","",IFERROR(1/(1/_xlfn.MINIFS('Saisie'!$A$5:$A$2004,'Saisie'!$C$5:$C$2004,C139,'Saisie'!$AT$5:$AT$2004,"&gt;=5")),""))</f>
        <v/>
      </c>
      <c r="BH139" s="106">
        <f>IF(C139="","",IFERROR(1/(1/_xlfn.MINIFS('Saisie'!$A$5:$A$2004,'Saisie'!$C$5:$C$2004,C139,'Saisie'!$AT$5:$AT$2004,"&gt;=6")),""))</f>
        <v/>
      </c>
      <c r="BI139" s="106">
        <f>IF(C139="","",IFERROR(1/(1/_xlfn.MINIFS('Saisie'!$A$5:$A$2004,'Saisie'!$C$5:$C$2004,C139,'Saisie'!$AT$5:$AT$2004,"&gt;=7")),""))</f>
        <v/>
      </c>
      <c r="BJ139" s="60">
        <f>IF(OR(BD139="",B139=""),"",BD139-B139)</f>
        <v/>
      </c>
      <c r="BK139" s="60">
        <f>IF(OR(BE139="",BD139=""),"",BE139-BD139)</f>
        <v/>
      </c>
      <c r="BL139" s="60">
        <f>IF(OR(BF139="",BE139=""),"",BF139-BE139)</f>
        <v/>
      </c>
      <c r="BM139" s="60">
        <f>IF(OR(BG139="",BF139=""),"",BG139-BF139)</f>
        <v/>
      </c>
      <c r="BN139" s="60">
        <f>IF(OR(BH139="",BG139=""),"",BH139-BG139)</f>
        <v/>
      </c>
      <c r="BO139" s="60">
        <f>IF(OR(BI139="",BH139=""),"",BI139-BH139)</f>
        <v/>
      </c>
      <c r="BP139" s="60">
        <f>IF(C139="","",_xlfn.MAXIFS('Saisie'!$AS$5:$AS$2004,'Saisie'!$C$5:$C$2004,C139,'Saisie'!$J$5:$J$2004,"&lt;&gt;"))</f>
        <v/>
      </c>
      <c r="BQ139" s="60">
        <f>IF(C139="","",_xlfn.MAXIFS('Saisie'!$AS$5:$AS$2004,'Saisie'!$C$5:$C$2004,C139))</f>
        <v/>
      </c>
      <c r="BR139" s="60">
        <f>IF(C139="","",_xlfn.MAXIFS('Saisie'!$AS$5:$AS$2004,'Saisie'!$C$5:$C$2004,C139,'Saisie'!$E$5:$E$2004,"Perdu"))</f>
        <v/>
      </c>
      <c r="BS139" s="60">
        <f>IF(C139="","",_xlfn.MAXIFS('Saisie'!$AS$5:$AS$2004,'Saisie'!$C$5:$C$2004,C139,'Saisie'!$AT$5:$AT$2004,"&gt;0"))</f>
        <v/>
      </c>
      <c r="BT139" s="109">
        <f>IF(AND(C139&lt;&gt;"",OR(D139="Nouveau",D139="Contacté",D139="Qualifié"),OR(G139="",N(G139)&lt;=TODAY()),NOT(AND(O139&gt;='Paramètres'!$B$21,P139=0))),E139+135/10000,"")</f>
        <v/>
      </c>
      <c r="BU139" s="60">
        <f>IF(AND(G139&lt;&gt;"",N(G139)&lt;=TODAY()),MAX($BU$4:BU138)+1,"")</f>
        <v/>
      </c>
      <c r="BV139" s="60">
        <f>IF(AND(F139&lt;&gt;"",F139&lt;&gt;"Relance en retard"),MAX($BV$4:BV138)+1,"")</f>
        <v/>
      </c>
      <c r="BW139" s="60">
        <f>IF(C139="","",IF(AND(B139&gt;='Tableau de bord'!$R$4,B139&lt;='Tableau de bord'!$S$4,OR('Tableau de bord'!$G$4="Tous",N139='Tableau de bord'!$G$4)),1,0))</f>
        <v/>
      </c>
      <c r="BX139" s="60">
        <f>IF(AND(C139&lt;&gt;"",N(BA139)=7),MAX($BX$4:BX138)+1,"")</f>
        <v/>
      </c>
    </row>
    <row r="140">
      <c r="A140" s="60">
        <f>IF(C140="","","P-"&amp;TEXT(136,"000"))</f>
        <v/>
      </c>
      <c r="B140" s="106">
        <f>IF(C140="","",IFERROR(1/(1/_xlfn.MINIFS('Saisie'!$A$5:$A$2004,'Saisie'!$C$5:$C$2004,C140)),""))</f>
        <v/>
      </c>
      <c r="C140" s="60">
        <f>IFERROR(INDEX('Saisie'!$C$5:$C$2004,MATCH(136,'Saisie'!$AX$5:$AX$2004,0)),"")</f>
        <v/>
      </c>
      <c r="D140" s="60">
        <f>IF(C140="","",IF(AND(BR140&gt;0,BR140&gt;BS140,BA140&lt;7),"Perdu",INDEX('Paramètres'!$F$6:$F$13,BA140)))</f>
        <v/>
      </c>
      <c r="E140" s="61">
        <f>IF(C140="","",MIN(100,(Z140="Oui")*'Paramètres'!$B$38+(AB140="Régulière")*'Paramètres'!$B$39+IF(AND(N(AA140)&gt;0,TODAY()-N(AA140)&lt;=30),'Paramètres'!$B$40,0)+(W140="")*'Paramètres'!$B$41+(AC140="Absente")*'Paramètres'!$B$42+(AC140="Faible")*'Paramètres'!$B$43+IF(AND(N(AD140)&gt;0,N(AD140)&lt;4),'Paramètres'!$B$44,0)+(AF140="Moyenne")*'Paramètres'!$B$45+(AF140="Grande")*'Paramètres'!$B$46+(Y140&lt;&gt;"")*'Paramètres'!$B$47))</f>
        <v/>
      </c>
      <c r="F140" s="60">
        <f>IF(C140="","",IF(D140="Gagné","",IF(D140="Perdu",IF(AND(AX140&lt;&gt;"",AX140&lt;=TODAY()),"À recontacter (perdu)",""),IF(AND(O140&gt;='Paramètres'!$B$21,P140=0),"Stop : "&amp;'Paramètres'!$B$21&amp;" tentatives sans réponse",IF(AND(D140="Proposition",AR140&lt;&gt;"",TODAY()&gt;N(AR140)),"Proposition expirée",IF(AND(D140="Proposition",N(R140)&gt;='Paramètres'!$B$25),"Proposition sans réponse",IF(AND(G140&lt;&gt;"",N(G140)&lt;TODAY()),"Relance en retard",IF(N(R140)&gt;='Paramètres'!$B$24,"Sans action depuis "&amp;R140&amp;" j",""))))))))</f>
        <v/>
      </c>
      <c r="G140" s="106">
        <f>IF(OR(C140="",D140="Gagné",D140="Perdu"),"",IF(AND(BP140&gt;0,BP140=BQ140),INDEX('Saisie'!$J$5:$J$2004,BP140-4),IF(OR(O140=0,AND(O140&gt;='Paramètres'!$B$21,P140=0)),"",Q140+IF(O140&lt;=1,'Paramètres'!$B$18,IF(O140=2,'Paramètres'!$B$19,'Paramètres'!$B$20)))))</f>
        <v/>
      </c>
      <c r="H140" s="107">
        <f>IF(OR(G140="",BP140&lt;&gt;BQ140),"",IF(INDEX('Saisie'!$K$5:$K$2004,BP140-4)="","",INDEX('Saisie'!$K$5:$K$2004,BP140-4)))</f>
        <v/>
      </c>
      <c r="I140" s="60">
        <f>IF(C140="","",IF(OR(D140="Gagné",D140="Perdu"),"",IFERROR(INDEX('Saisie'!$I$5:$I$2004,_xlfn.MAXIFS('Saisie'!$AS$5:$AS$2004,'Saisie'!$C$5:$C$2004,C140,'Saisie'!$I$5:$I$2004,"&lt;&gt;")-4),"")))</f>
        <v/>
      </c>
      <c r="J140" s="60">
        <f>IF(C140="","",IFERROR(INDEX('Saisie'!$U$5:$U$2004,_xlfn.MAXIFS('Saisie'!$AS$5:$AS$2004,'Saisie'!$C$5:$C$2004,C140,'Saisie'!$U$5:$U$2004,"&lt;&gt;")-4),""))</f>
        <v/>
      </c>
      <c r="K140" s="60">
        <f>IF(C140="","",IFERROR(INDEX('Saisie'!$W$5:$W$2004,_xlfn.MAXIFS('Saisie'!$AS$5:$AS$2004,'Saisie'!$C$5:$C$2004,C140,'Saisie'!$W$5:$W$2004,"&lt;&gt;")-4),""))</f>
        <v/>
      </c>
      <c r="L140" s="60">
        <f>IF(IF(BB140&lt;&gt;"",BB140,K140)="","",HYPERLINK("https://wa.me/"&amp;IF(LEFT(SUBSTITUTE(SUBSTITUTE(SUBSTITUTE(IF(BB140&lt;&gt;"",BB140,K140)," ",""),".",""),"+",""),1)="0",'Paramètres'!$B$35&amp;MID(SUBSTITUTE(SUBSTITUTE(SUBSTITUTE(IF(BB140&lt;&gt;"",BB140,K140)," ",""),".",""),"+",""),2,20),SUBSTITUTE(SUBSTITUTE(SUBSTITUTE(IF(BB140&lt;&gt;"",BB140,K140)," ",""),".",""),"+","")),"WhatsApp"))</f>
        <v/>
      </c>
      <c r="M140" s="60">
        <f>IF(BC140="","",HYPERLINK(IF(LEFT(BC140,4)="http",BC140,"https://www.instagram.com/"&amp;SUBSTITUTE(SUBSTITUTE(BC140,"@","")," ","")),BC140))</f>
        <v/>
      </c>
      <c r="N140" s="60">
        <f>IF(C140="","",IFERROR(INDEX('Saisie'!$D$5:$D$2004,_xlfn.MINIFS('Saisie'!$AS$5:$AS$2004,'Saisie'!$C$5:$C$2004,C140,'Saisie'!$AU$5:$AU$2004,1)-4),IFERROR(INDEX('Saisie'!$D$5:$D$2004,_xlfn.MINIFS('Saisie'!$AS$5:$AS$2004,'Saisie'!$C$5:$C$2004,C140,'Saisie'!$D$5:$D$2004,"&lt;&gt;")-4),"")))</f>
        <v/>
      </c>
      <c r="O140" s="60">
        <f>IF(C140="","",COUNTIFS('Saisie'!$C$5:$C$2004,C140,'Saisie'!$AU$5:$AU$2004,1))</f>
        <v/>
      </c>
      <c r="P140" s="60">
        <f>IF(C140="","",COUNTIFS('Saisie'!$C$5:$C$2004,C140,'Saisie'!$AV$5:$AV$2004,1))</f>
        <v/>
      </c>
      <c r="Q140" s="106">
        <f>IF(C140="","",IFERROR(1/(1/_xlfn.MAXIFS('Saisie'!$A$5:$A$2004,'Saisie'!$C$5:$C$2004,C140)),""))</f>
        <v/>
      </c>
      <c r="R140" s="61">
        <f>IF(C140="","",IF(Q140="","",TODAY()-Q140))</f>
        <v/>
      </c>
      <c r="S140" s="60">
        <f>IF(C140="","",IFERROR(INDEX('Saisie'!$R$5:$R$2004,_xlfn.MAXIFS('Saisie'!$AS$5:$AS$2004,'Saisie'!$C$5:$C$2004,C140,'Saisie'!$R$5:$R$2004,"&lt;&gt;")-4),""))</f>
        <v/>
      </c>
      <c r="T140" s="60">
        <f>IF(C140="","",IFERROR(INDEX('Saisie'!$S$5:$S$2004,_xlfn.MAXIFS('Saisie'!$AS$5:$AS$2004,'Saisie'!$C$5:$C$2004,C140,'Saisie'!$S$5:$S$2004,"&lt;&gt;")-4),""))</f>
        <v/>
      </c>
      <c r="U140" s="60">
        <f>IF(C140="","",IFERROR(INDEX('Saisie'!$T$5:$T$2004,_xlfn.MAXIFS('Saisie'!$AS$5:$AS$2004,'Saisie'!$C$5:$C$2004,C140,'Saisie'!$T$5:$T$2004,"&lt;&gt;")-4),""))</f>
        <v/>
      </c>
      <c r="V140" s="60">
        <f>IF(C140="","",IFERROR(INDEX('Saisie'!$V$5:$V$2004,_xlfn.MAXIFS('Saisie'!$AS$5:$AS$2004,'Saisie'!$C$5:$C$2004,C140,'Saisie'!$V$5:$V$2004,"&lt;&gt;")-4),""))</f>
        <v/>
      </c>
      <c r="W140" s="60">
        <f>IF(C140="","",IFERROR(INDEX('Saisie'!$Z$5:$Z$2004,_xlfn.MAXIFS('Saisie'!$AS$5:$AS$2004,'Saisie'!$C$5:$C$2004,C140,'Saisie'!$Z$5:$Z$2004,"&lt;&gt;")-4),""))</f>
        <v/>
      </c>
      <c r="X140" s="60">
        <f>IF(C140="","",IFERROR(INDEX('Saisie'!$AA$5:$AA$2004,_xlfn.MAXIFS('Saisie'!$AS$5:$AS$2004,'Saisie'!$C$5:$C$2004,C140,'Saisie'!$AA$5:$AA$2004,"&lt;&gt;")-4),""))</f>
        <v/>
      </c>
      <c r="Y140" s="60">
        <f>IF(C140="","",IFERROR(INDEX('Saisie'!$AB$5:$AB$2004,_xlfn.MAXIFS('Saisie'!$AS$5:$AS$2004,'Saisie'!$C$5:$C$2004,C140,'Saisie'!$AB$5:$AB$2004,"&lt;&gt;")-4),""))</f>
        <v/>
      </c>
      <c r="Z140" s="60">
        <f>IF(C140="","",IFERROR(INDEX('Saisie'!$AC$5:$AC$2004,_xlfn.MAXIFS('Saisie'!$AS$5:$AS$2004,'Saisie'!$C$5:$C$2004,C140,'Saisie'!$AC$5:$AC$2004,"&lt;&gt;")-4),""))</f>
        <v/>
      </c>
      <c r="AA140" s="106">
        <f>IF(C140="","",IFERROR(INDEX('Saisie'!$AD$5:$AD$2004,_xlfn.MAXIFS('Saisie'!$AS$5:$AS$2004,'Saisie'!$C$5:$C$2004,C140,'Saisie'!$AD$5:$AD$2004,"&lt;&gt;")-4),""))</f>
        <v/>
      </c>
      <c r="AB140" s="60">
        <f>IF(C140="","",IFERROR(INDEX('Saisie'!$AE$5:$AE$2004,_xlfn.MAXIFS('Saisie'!$AS$5:$AS$2004,'Saisie'!$C$5:$C$2004,C140,'Saisie'!$AE$5:$AE$2004,"&lt;&gt;")-4),""))</f>
        <v/>
      </c>
      <c r="AC140" s="60">
        <f>IF(C140="","",IFERROR(INDEX('Saisie'!$AF$5:$AF$2004,_xlfn.MAXIFS('Saisie'!$AS$5:$AS$2004,'Saisie'!$C$5:$C$2004,C140,'Saisie'!$AF$5:$AF$2004,"&lt;&gt;")-4),""))</f>
        <v/>
      </c>
      <c r="AD140" s="108">
        <f>IF(C140="","",IFERROR(INDEX('Saisie'!$AG$5:$AG$2004,_xlfn.MAXIFS('Saisie'!$AS$5:$AS$2004,'Saisie'!$C$5:$C$2004,C140,'Saisie'!$AG$5:$AG$2004,"&lt;&gt;")-4),""))</f>
        <v/>
      </c>
      <c r="AE140" s="60">
        <f>IF(C140="","",IFERROR(INDEX('Saisie'!$AH$5:$AH$2004,_xlfn.MAXIFS('Saisie'!$AS$5:$AS$2004,'Saisie'!$C$5:$C$2004,C140,'Saisie'!$AH$5:$AH$2004,"&lt;&gt;")-4),""))</f>
        <v/>
      </c>
      <c r="AF140" s="60">
        <f>IF(C140="","",IFERROR(INDEX('Saisie'!$AI$5:$AI$2004,_xlfn.MAXIFS('Saisie'!$AS$5:$AS$2004,'Saisie'!$C$5:$C$2004,C140,'Saisie'!$AI$5:$AI$2004,"&lt;&gt;")-4),""))</f>
        <v/>
      </c>
      <c r="AG140" s="60">
        <f>IF(C140="","",IFERROR(INDEX('Saisie'!$AJ$5:$AJ$2004,_xlfn.MAXIFS('Saisie'!$AS$5:$AS$2004,'Saisie'!$C$5:$C$2004,C140,'Saisie'!$AJ$5:$AJ$2004,"&lt;&gt;")-4),""))</f>
        <v/>
      </c>
      <c r="AH140" s="60">
        <f>IF(C140="","",IFERROR(INDEX('Saisie'!$AK$5:$AK$2004,_xlfn.MAXIFS('Saisie'!$AS$5:$AS$2004,'Saisie'!$C$5:$C$2004,C140,'Saisie'!$AK$5:$AK$2004,"&lt;&gt;")-4),""))</f>
        <v/>
      </c>
      <c r="AI140" s="60">
        <f>IF(C140="","",IFERROR(INDEX('Saisie'!$AN$5:$AN$2004,_xlfn.MAXIFS('Saisie'!$AS$5:$AS$2004,'Saisie'!$C$5:$C$2004,C140,'Saisie'!$AN$5:$AN$2004,"&lt;&gt;")-4),""))</f>
        <v/>
      </c>
      <c r="AJ140" s="60">
        <f>IF(C140="","",IFERROR(INDEX('Saisie'!$AO$5:$AO$2004,_xlfn.MAXIFS('Saisie'!$AS$5:$AS$2004,'Saisie'!$C$5:$C$2004,C140,'Saisie'!$AO$5:$AO$2004,"&lt;&gt;")-4),""))</f>
        <v/>
      </c>
      <c r="AK140" s="60">
        <f>IF(C140="","",IFERROR(INDEX('Saisie'!$AP$5:$AP$2004,_xlfn.MAXIFS('Saisie'!$AS$5:$AS$2004,'Saisie'!$C$5:$C$2004,C140,'Saisie'!$AP$5:$AP$2004,"&lt;&gt;")-4),""))</f>
        <v/>
      </c>
      <c r="AL140" s="60">
        <f>IF(C140="","",IFERROR(INDEX('Saisie'!$AQ$5:$AQ$2004,_xlfn.MAXIFS('Saisie'!$AS$5:$AS$2004,'Saisie'!$C$5:$C$2004,C140,'Saisie'!$AQ$5:$AQ$2004,"&lt;&gt;")-4),""))</f>
        <v/>
      </c>
      <c r="AM140" s="60">
        <f>IF(C140="","",((AI140="Oui")+(AJ140="Oui")+(AK140="Oui")+OR(AL140="Immédiat",AL140="&lt; 1 mois"))&amp;"/4")</f>
        <v/>
      </c>
      <c r="AN140" s="60">
        <f>IF(C140="","",IFERROR(INDEX('Saisie'!$AL$5:$AL$2004,_xlfn.MAXIFS('Saisie'!$AS$5:$AS$2004,'Saisie'!$C$5:$C$2004,C140,'Saisie'!$AL$5:$AL$2004,"&lt;&gt;")-4),""))</f>
        <v/>
      </c>
      <c r="AO140" s="62">
        <f>IF(C140="","",IF(IFERROR(INDEX('Saisie'!$AM$5:$AM$2004,_xlfn.MAXIFS('Saisie'!$AS$5:$AS$2004,'Saisie'!$C$5:$C$2004,C140,'Saisie'!$AM$5:$AM$2004,"&lt;&gt;")-4),"")&lt;&gt;"",IFERROR(INDEX('Saisie'!$AM$5:$AM$2004,_xlfn.MAXIFS('Saisie'!$AS$5:$AS$2004,'Saisie'!$C$5:$C$2004,C140,'Saisie'!$AM$5:$AM$2004,"&lt;&gt;")-4),""),IFERROR(INDEX('Paramètres'!$S$6:$S$15,MATCH(AN140,'Paramètres'!$Q$6:$Q$15,0)),"")))</f>
        <v/>
      </c>
      <c r="AP140" s="62">
        <f>IF(C140="","",IFERROR(INDEX('Saisie'!$AW$5:$AW$2004,_xlfn.MAXIFS('Saisie'!$AS$5:$AS$2004,'Saisie'!$C$5:$C$2004,C140,'Saisie'!$E$5:$E$2004,"Proposition envoyée")-4),""))</f>
        <v/>
      </c>
      <c r="AQ140" s="106">
        <f>IF(C140="","",IFERROR(1/(1/_xlfn.MAXIFS('Saisie'!$A$5:$A$2004,'Saisie'!$C$5:$C$2004,C140,'Saisie'!$E$5:$E$2004,"Proposition envoyée")),""))</f>
        <v/>
      </c>
      <c r="AR140" s="106">
        <f>IF(C140="","",IF(AQ140="","",AQ140+'Paramètres'!$B$26))</f>
        <v/>
      </c>
      <c r="AS140" s="62">
        <f>IF(OR(C140="",D140="Gagné",D140="Perdu"),0,N(AP140)*IFERROR(INDEX('Paramètres'!$G$6:$G$13,MATCH(D140,'Paramètres'!$F$6:$F$13,0)),0))</f>
        <v/>
      </c>
      <c r="AT140" s="106">
        <f>IF(C140="","",IFERROR(1/(1/_xlfn.MINIFS('Saisie'!$A$5:$A$2004,'Saisie'!$C$5:$C$2004,C140,'Saisie'!$E$5:$E$2004,"Signature")),""))</f>
        <v/>
      </c>
      <c r="AU140" s="60">
        <f>IF(C140="","",IF(OR(AT140="",B140=""),"",AT140-B140))</f>
        <v/>
      </c>
      <c r="AV140" s="60">
        <f>IF(C140="","",IFERROR(INDEX('Saisie'!$L$5:$L$2004,_xlfn.MAXIFS('Saisie'!$AS$5:$AS$2004,'Saisie'!$C$5:$C$2004,C140,'Saisie'!$L$5:$L$2004,"&lt;&gt;")-4),""))</f>
        <v/>
      </c>
      <c r="AW140" s="106">
        <f>IF(C140="","",IF(D140&lt;&gt;"Perdu","",IFERROR(1/(1/_xlfn.MAXIFS('Saisie'!$A$5:$A$2004,'Saisie'!$C$5:$C$2004,C140,'Saisie'!$E$5:$E$2004,"Perdu")),"")))</f>
        <v/>
      </c>
      <c r="AX140" s="106">
        <f>IF(C140="","",IF(AW140="","",AW140+'Paramètres'!$B$28))</f>
        <v/>
      </c>
      <c r="AY140" s="60">
        <f>IF(C140="","",SUMIFS('Saisie'!$H$5:$H$2004,'Saisie'!$C$5:$C$2004,C140))</f>
        <v/>
      </c>
      <c r="AZ140" s="60">
        <f>IF(C140="","",IFERROR(INDEX('Paramètres'!$W$6:$W$20,MATCH(S140,'Paramètres'!$V$6:$V$20,0))&amp;"",""))</f>
        <v/>
      </c>
      <c r="BA140" s="60">
        <f>IF(C140="","",MAX(1,_xlfn.MAXIFS('Saisie'!$AT$5:$AT$2004,'Saisie'!$C$5:$C$2004,C140)))</f>
        <v/>
      </c>
      <c r="BB140" s="60">
        <f>IF(C140="","",IFERROR(INDEX('Saisie'!$X$5:$X$2004,_xlfn.MAXIFS('Saisie'!$AS$5:$AS$2004,'Saisie'!$C$5:$C$2004,C140,'Saisie'!$X$5:$X$2004,"&lt;&gt;")-4),""))</f>
        <v/>
      </c>
      <c r="BC140" s="60">
        <f>IF(C140="","",IFERROR(INDEX('Saisie'!$Y$5:$Y$2004,_xlfn.MAXIFS('Saisie'!$AS$5:$AS$2004,'Saisie'!$C$5:$C$2004,C140,'Saisie'!$Y$5:$Y$2004,"&lt;&gt;")-4),""))</f>
        <v/>
      </c>
      <c r="BD140" s="106">
        <f>IF(C140="","",IFERROR(1/(1/_xlfn.MINIFS('Saisie'!$A$5:$A$2004,'Saisie'!$C$5:$C$2004,C140,'Saisie'!$AT$5:$AT$2004,"&gt;=2")),""))</f>
        <v/>
      </c>
      <c r="BE140" s="106">
        <f>IF(C140="","",IFERROR(1/(1/_xlfn.MINIFS('Saisie'!$A$5:$A$2004,'Saisie'!$C$5:$C$2004,C140,'Saisie'!$AT$5:$AT$2004,"&gt;=3")),""))</f>
        <v/>
      </c>
      <c r="BF140" s="106">
        <f>IF(C140="","",IFERROR(1/(1/_xlfn.MINIFS('Saisie'!$A$5:$A$2004,'Saisie'!$C$5:$C$2004,C140,'Saisie'!$AT$5:$AT$2004,"&gt;=4")),""))</f>
        <v/>
      </c>
      <c r="BG140" s="106">
        <f>IF(C140="","",IFERROR(1/(1/_xlfn.MINIFS('Saisie'!$A$5:$A$2004,'Saisie'!$C$5:$C$2004,C140,'Saisie'!$AT$5:$AT$2004,"&gt;=5")),""))</f>
        <v/>
      </c>
      <c r="BH140" s="106">
        <f>IF(C140="","",IFERROR(1/(1/_xlfn.MINIFS('Saisie'!$A$5:$A$2004,'Saisie'!$C$5:$C$2004,C140,'Saisie'!$AT$5:$AT$2004,"&gt;=6")),""))</f>
        <v/>
      </c>
      <c r="BI140" s="106">
        <f>IF(C140="","",IFERROR(1/(1/_xlfn.MINIFS('Saisie'!$A$5:$A$2004,'Saisie'!$C$5:$C$2004,C140,'Saisie'!$AT$5:$AT$2004,"&gt;=7")),""))</f>
        <v/>
      </c>
      <c r="BJ140" s="60">
        <f>IF(OR(BD140="",B140=""),"",BD140-B140)</f>
        <v/>
      </c>
      <c r="BK140" s="60">
        <f>IF(OR(BE140="",BD140=""),"",BE140-BD140)</f>
        <v/>
      </c>
      <c r="BL140" s="60">
        <f>IF(OR(BF140="",BE140=""),"",BF140-BE140)</f>
        <v/>
      </c>
      <c r="BM140" s="60">
        <f>IF(OR(BG140="",BF140=""),"",BG140-BF140)</f>
        <v/>
      </c>
      <c r="BN140" s="60">
        <f>IF(OR(BH140="",BG140=""),"",BH140-BG140)</f>
        <v/>
      </c>
      <c r="BO140" s="60">
        <f>IF(OR(BI140="",BH140=""),"",BI140-BH140)</f>
        <v/>
      </c>
      <c r="BP140" s="60">
        <f>IF(C140="","",_xlfn.MAXIFS('Saisie'!$AS$5:$AS$2004,'Saisie'!$C$5:$C$2004,C140,'Saisie'!$J$5:$J$2004,"&lt;&gt;"))</f>
        <v/>
      </c>
      <c r="BQ140" s="60">
        <f>IF(C140="","",_xlfn.MAXIFS('Saisie'!$AS$5:$AS$2004,'Saisie'!$C$5:$C$2004,C140))</f>
        <v/>
      </c>
      <c r="BR140" s="60">
        <f>IF(C140="","",_xlfn.MAXIFS('Saisie'!$AS$5:$AS$2004,'Saisie'!$C$5:$C$2004,C140,'Saisie'!$E$5:$E$2004,"Perdu"))</f>
        <v/>
      </c>
      <c r="BS140" s="60">
        <f>IF(C140="","",_xlfn.MAXIFS('Saisie'!$AS$5:$AS$2004,'Saisie'!$C$5:$C$2004,C140,'Saisie'!$AT$5:$AT$2004,"&gt;0"))</f>
        <v/>
      </c>
      <c r="BT140" s="109">
        <f>IF(AND(C140&lt;&gt;"",OR(D140="Nouveau",D140="Contacté",D140="Qualifié"),OR(G140="",N(G140)&lt;=TODAY()),NOT(AND(O140&gt;='Paramètres'!$B$21,P140=0))),E140+136/10000,"")</f>
        <v/>
      </c>
      <c r="BU140" s="60">
        <f>IF(AND(G140&lt;&gt;"",N(G140)&lt;=TODAY()),MAX($BU$4:BU139)+1,"")</f>
        <v/>
      </c>
      <c r="BV140" s="60">
        <f>IF(AND(F140&lt;&gt;"",F140&lt;&gt;"Relance en retard"),MAX($BV$4:BV139)+1,"")</f>
        <v/>
      </c>
      <c r="BW140" s="60">
        <f>IF(C140="","",IF(AND(B140&gt;='Tableau de bord'!$R$4,B140&lt;='Tableau de bord'!$S$4,OR('Tableau de bord'!$G$4="Tous",N140='Tableau de bord'!$G$4)),1,0))</f>
        <v/>
      </c>
      <c r="BX140" s="60">
        <f>IF(AND(C140&lt;&gt;"",N(BA140)=7),MAX($BX$4:BX139)+1,"")</f>
        <v/>
      </c>
    </row>
    <row r="141">
      <c r="A141" s="60">
        <f>IF(C141="","","P-"&amp;TEXT(137,"000"))</f>
        <v/>
      </c>
      <c r="B141" s="106">
        <f>IF(C141="","",IFERROR(1/(1/_xlfn.MINIFS('Saisie'!$A$5:$A$2004,'Saisie'!$C$5:$C$2004,C141)),""))</f>
        <v/>
      </c>
      <c r="C141" s="60">
        <f>IFERROR(INDEX('Saisie'!$C$5:$C$2004,MATCH(137,'Saisie'!$AX$5:$AX$2004,0)),"")</f>
        <v/>
      </c>
      <c r="D141" s="60">
        <f>IF(C141="","",IF(AND(BR141&gt;0,BR141&gt;BS141,BA141&lt;7),"Perdu",INDEX('Paramètres'!$F$6:$F$13,BA141)))</f>
        <v/>
      </c>
      <c r="E141" s="61">
        <f>IF(C141="","",MIN(100,(Z141="Oui")*'Paramètres'!$B$38+(AB141="Régulière")*'Paramètres'!$B$39+IF(AND(N(AA141)&gt;0,TODAY()-N(AA141)&lt;=30),'Paramètres'!$B$40,0)+(W141="")*'Paramètres'!$B$41+(AC141="Absente")*'Paramètres'!$B$42+(AC141="Faible")*'Paramètres'!$B$43+IF(AND(N(AD141)&gt;0,N(AD141)&lt;4),'Paramètres'!$B$44,0)+(AF141="Moyenne")*'Paramètres'!$B$45+(AF141="Grande")*'Paramètres'!$B$46+(Y141&lt;&gt;"")*'Paramètres'!$B$47))</f>
        <v/>
      </c>
      <c r="F141" s="60">
        <f>IF(C141="","",IF(D141="Gagné","",IF(D141="Perdu",IF(AND(AX141&lt;&gt;"",AX141&lt;=TODAY()),"À recontacter (perdu)",""),IF(AND(O141&gt;='Paramètres'!$B$21,P141=0),"Stop : "&amp;'Paramètres'!$B$21&amp;" tentatives sans réponse",IF(AND(D141="Proposition",AR141&lt;&gt;"",TODAY()&gt;N(AR141)),"Proposition expirée",IF(AND(D141="Proposition",N(R141)&gt;='Paramètres'!$B$25),"Proposition sans réponse",IF(AND(G141&lt;&gt;"",N(G141)&lt;TODAY()),"Relance en retard",IF(N(R141)&gt;='Paramètres'!$B$24,"Sans action depuis "&amp;R141&amp;" j",""))))))))</f>
        <v/>
      </c>
      <c r="G141" s="106">
        <f>IF(OR(C141="",D141="Gagné",D141="Perdu"),"",IF(AND(BP141&gt;0,BP141=BQ141),INDEX('Saisie'!$J$5:$J$2004,BP141-4),IF(OR(O141=0,AND(O141&gt;='Paramètres'!$B$21,P141=0)),"",Q141+IF(O141&lt;=1,'Paramètres'!$B$18,IF(O141=2,'Paramètres'!$B$19,'Paramètres'!$B$20)))))</f>
        <v/>
      </c>
      <c r="H141" s="107">
        <f>IF(OR(G141="",BP141&lt;&gt;BQ141),"",IF(INDEX('Saisie'!$K$5:$K$2004,BP141-4)="","",INDEX('Saisie'!$K$5:$K$2004,BP141-4)))</f>
        <v/>
      </c>
      <c r="I141" s="60">
        <f>IF(C141="","",IF(OR(D141="Gagné",D141="Perdu"),"",IFERROR(INDEX('Saisie'!$I$5:$I$2004,_xlfn.MAXIFS('Saisie'!$AS$5:$AS$2004,'Saisie'!$C$5:$C$2004,C141,'Saisie'!$I$5:$I$2004,"&lt;&gt;")-4),"")))</f>
        <v/>
      </c>
      <c r="J141" s="60">
        <f>IF(C141="","",IFERROR(INDEX('Saisie'!$U$5:$U$2004,_xlfn.MAXIFS('Saisie'!$AS$5:$AS$2004,'Saisie'!$C$5:$C$2004,C141,'Saisie'!$U$5:$U$2004,"&lt;&gt;")-4),""))</f>
        <v/>
      </c>
      <c r="K141" s="60">
        <f>IF(C141="","",IFERROR(INDEX('Saisie'!$W$5:$W$2004,_xlfn.MAXIFS('Saisie'!$AS$5:$AS$2004,'Saisie'!$C$5:$C$2004,C141,'Saisie'!$W$5:$W$2004,"&lt;&gt;")-4),""))</f>
        <v/>
      </c>
      <c r="L141" s="60">
        <f>IF(IF(BB141&lt;&gt;"",BB141,K141)="","",HYPERLINK("https://wa.me/"&amp;IF(LEFT(SUBSTITUTE(SUBSTITUTE(SUBSTITUTE(IF(BB141&lt;&gt;"",BB141,K141)," ",""),".",""),"+",""),1)="0",'Paramètres'!$B$35&amp;MID(SUBSTITUTE(SUBSTITUTE(SUBSTITUTE(IF(BB141&lt;&gt;"",BB141,K141)," ",""),".",""),"+",""),2,20),SUBSTITUTE(SUBSTITUTE(SUBSTITUTE(IF(BB141&lt;&gt;"",BB141,K141)," ",""),".",""),"+","")),"WhatsApp"))</f>
        <v/>
      </c>
      <c r="M141" s="60">
        <f>IF(BC141="","",HYPERLINK(IF(LEFT(BC141,4)="http",BC141,"https://www.instagram.com/"&amp;SUBSTITUTE(SUBSTITUTE(BC141,"@","")," ","")),BC141))</f>
        <v/>
      </c>
      <c r="N141" s="60">
        <f>IF(C141="","",IFERROR(INDEX('Saisie'!$D$5:$D$2004,_xlfn.MINIFS('Saisie'!$AS$5:$AS$2004,'Saisie'!$C$5:$C$2004,C141,'Saisie'!$AU$5:$AU$2004,1)-4),IFERROR(INDEX('Saisie'!$D$5:$D$2004,_xlfn.MINIFS('Saisie'!$AS$5:$AS$2004,'Saisie'!$C$5:$C$2004,C141,'Saisie'!$D$5:$D$2004,"&lt;&gt;")-4),"")))</f>
        <v/>
      </c>
      <c r="O141" s="60">
        <f>IF(C141="","",COUNTIFS('Saisie'!$C$5:$C$2004,C141,'Saisie'!$AU$5:$AU$2004,1))</f>
        <v/>
      </c>
      <c r="P141" s="60">
        <f>IF(C141="","",COUNTIFS('Saisie'!$C$5:$C$2004,C141,'Saisie'!$AV$5:$AV$2004,1))</f>
        <v/>
      </c>
      <c r="Q141" s="106">
        <f>IF(C141="","",IFERROR(1/(1/_xlfn.MAXIFS('Saisie'!$A$5:$A$2004,'Saisie'!$C$5:$C$2004,C141)),""))</f>
        <v/>
      </c>
      <c r="R141" s="61">
        <f>IF(C141="","",IF(Q141="","",TODAY()-Q141))</f>
        <v/>
      </c>
      <c r="S141" s="60">
        <f>IF(C141="","",IFERROR(INDEX('Saisie'!$R$5:$R$2004,_xlfn.MAXIFS('Saisie'!$AS$5:$AS$2004,'Saisie'!$C$5:$C$2004,C141,'Saisie'!$R$5:$R$2004,"&lt;&gt;")-4),""))</f>
        <v/>
      </c>
      <c r="T141" s="60">
        <f>IF(C141="","",IFERROR(INDEX('Saisie'!$S$5:$S$2004,_xlfn.MAXIFS('Saisie'!$AS$5:$AS$2004,'Saisie'!$C$5:$C$2004,C141,'Saisie'!$S$5:$S$2004,"&lt;&gt;")-4),""))</f>
        <v/>
      </c>
      <c r="U141" s="60">
        <f>IF(C141="","",IFERROR(INDEX('Saisie'!$T$5:$T$2004,_xlfn.MAXIFS('Saisie'!$AS$5:$AS$2004,'Saisie'!$C$5:$C$2004,C141,'Saisie'!$T$5:$T$2004,"&lt;&gt;")-4),""))</f>
        <v/>
      </c>
      <c r="V141" s="60">
        <f>IF(C141="","",IFERROR(INDEX('Saisie'!$V$5:$V$2004,_xlfn.MAXIFS('Saisie'!$AS$5:$AS$2004,'Saisie'!$C$5:$C$2004,C141,'Saisie'!$V$5:$V$2004,"&lt;&gt;")-4),""))</f>
        <v/>
      </c>
      <c r="W141" s="60">
        <f>IF(C141="","",IFERROR(INDEX('Saisie'!$Z$5:$Z$2004,_xlfn.MAXIFS('Saisie'!$AS$5:$AS$2004,'Saisie'!$C$5:$C$2004,C141,'Saisie'!$Z$5:$Z$2004,"&lt;&gt;")-4),""))</f>
        <v/>
      </c>
      <c r="X141" s="60">
        <f>IF(C141="","",IFERROR(INDEX('Saisie'!$AA$5:$AA$2004,_xlfn.MAXIFS('Saisie'!$AS$5:$AS$2004,'Saisie'!$C$5:$C$2004,C141,'Saisie'!$AA$5:$AA$2004,"&lt;&gt;")-4),""))</f>
        <v/>
      </c>
      <c r="Y141" s="60">
        <f>IF(C141="","",IFERROR(INDEX('Saisie'!$AB$5:$AB$2004,_xlfn.MAXIFS('Saisie'!$AS$5:$AS$2004,'Saisie'!$C$5:$C$2004,C141,'Saisie'!$AB$5:$AB$2004,"&lt;&gt;")-4),""))</f>
        <v/>
      </c>
      <c r="Z141" s="60">
        <f>IF(C141="","",IFERROR(INDEX('Saisie'!$AC$5:$AC$2004,_xlfn.MAXIFS('Saisie'!$AS$5:$AS$2004,'Saisie'!$C$5:$C$2004,C141,'Saisie'!$AC$5:$AC$2004,"&lt;&gt;")-4),""))</f>
        <v/>
      </c>
      <c r="AA141" s="106">
        <f>IF(C141="","",IFERROR(INDEX('Saisie'!$AD$5:$AD$2004,_xlfn.MAXIFS('Saisie'!$AS$5:$AS$2004,'Saisie'!$C$5:$C$2004,C141,'Saisie'!$AD$5:$AD$2004,"&lt;&gt;")-4),""))</f>
        <v/>
      </c>
      <c r="AB141" s="60">
        <f>IF(C141="","",IFERROR(INDEX('Saisie'!$AE$5:$AE$2004,_xlfn.MAXIFS('Saisie'!$AS$5:$AS$2004,'Saisie'!$C$5:$C$2004,C141,'Saisie'!$AE$5:$AE$2004,"&lt;&gt;")-4),""))</f>
        <v/>
      </c>
      <c r="AC141" s="60">
        <f>IF(C141="","",IFERROR(INDEX('Saisie'!$AF$5:$AF$2004,_xlfn.MAXIFS('Saisie'!$AS$5:$AS$2004,'Saisie'!$C$5:$C$2004,C141,'Saisie'!$AF$5:$AF$2004,"&lt;&gt;")-4),""))</f>
        <v/>
      </c>
      <c r="AD141" s="108">
        <f>IF(C141="","",IFERROR(INDEX('Saisie'!$AG$5:$AG$2004,_xlfn.MAXIFS('Saisie'!$AS$5:$AS$2004,'Saisie'!$C$5:$C$2004,C141,'Saisie'!$AG$5:$AG$2004,"&lt;&gt;")-4),""))</f>
        <v/>
      </c>
      <c r="AE141" s="60">
        <f>IF(C141="","",IFERROR(INDEX('Saisie'!$AH$5:$AH$2004,_xlfn.MAXIFS('Saisie'!$AS$5:$AS$2004,'Saisie'!$C$5:$C$2004,C141,'Saisie'!$AH$5:$AH$2004,"&lt;&gt;")-4),""))</f>
        <v/>
      </c>
      <c r="AF141" s="60">
        <f>IF(C141="","",IFERROR(INDEX('Saisie'!$AI$5:$AI$2004,_xlfn.MAXIFS('Saisie'!$AS$5:$AS$2004,'Saisie'!$C$5:$C$2004,C141,'Saisie'!$AI$5:$AI$2004,"&lt;&gt;")-4),""))</f>
        <v/>
      </c>
      <c r="AG141" s="60">
        <f>IF(C141="","",IFERROR(INDEX('Saisie'!$AJ$5:$AJ$2004,_xlfn.MAXIFS('Saisie'!$AS$5:$AS$2004,'Saisie'!$C$5:$C$2004,C141,'Saisie'!$AJ$5:$AJ$2004,"&lt;&gt;")-4),""))</f>
        <v/>
      </c>
      <c r="AH141" s="60">
        <f>IF(C141="","",IFERROR(INDEX('Saisie'!$AK$5:$AK$2004,_xlfn.MAXIFS('Saisie'!$AS$5:$AS$2004,'Saisie'!$C$5:$C$2004,C141,'Saisie'!$AK$5:$AK$2004,"&lt;&gt;")-4),""))</f>
        <v/>
      </c>
      <c r="AI141" s="60">
        <f>IF(C141="","",IFERROR(INDEX('Saisie'!$AN$5:$AN$2004,_xlfn.MAXIFS('Saisie'!$AS$5:$AS$2004,'Saisie'!$C$5:$C$2004,C141,'Saisie'!$AN$5:$AN$2004,"&lt;&gt;")-4),""))</f>
        <v/>
      </c>
      <c r="AJ141" s="60">
        <f>IF(C141="","",IFERROR(INDEX('Saisie'!$AO$5:$AO$2004,_xlfn.MAXIFS('Saisie'!$AS$5:$AS$2004,'Saisie'!$C$5:$C$2004,C141,'Saisie'!$AO$5:$AO$2004,"&lt;&gt;")-4),""))</f>
        <v/>
      </c>
      <c r="AK141" s="60">
        <f>IF(C141="","",IFERROR(INDEX('Saisie'!$AP$5:$AP$2004,_xlfn.MAXIFS('Saisie'!$AS$5:$AS$2004,'Saisie'!$C$5:$C$2004,C141,'Saisie'!$AP$5:$AP$2004,"&lt;&gt;")-4),""))</f>
        <v/>
      </c>
      <c r="AL141" s="60">
        <f>IF(C141="","",IFERROR(INDEX('Saisie'!$AQ$5:$AQ$2004,_xlfn.MAXIFS('Saisie'!$AS$5:$AS$2004,'Saisie'!$C$5:$C$2004,C141,'Saisie'!$AQ$5:$AQ$2004,"&lt;&gt;")-4),""))</f>
        <v/>
      </c>
      <c r="AM141" s="60">
        <f>IF(C141="","",((AI141="Oui")+(AJ141="Oui")+(AK141="Oui")+OR(AL141="Immédiat",AL141="&lt; 1 mois"))&amp;"/4")</f>
        <v/>
      </c>
      <c r="AN141" s="60">
        <f>IF(C141="","",IFERROR(INDEX('Saisie'!$AL$5:$AL$2004,_xlfn.MAXIFS('Saisie'!$AS$5:$AS$2004,'Saisie'!$C$5:$C$2004,C141,'Saisie'!$AL$5:$AL$2004,"&lt;&gt;")-4),""))</f>
        <v/>
      </c>
      <c r="AO141" s="62">
        <f>IF(C141="","",IF(IFERROR(INDEX('Saisie'!$AM$5:$AM$2004,_xlfn.MAXIFS('Saisie'!$AS$5:$AS$2004,'Saisie'!$C$5:$C$2004,C141,'Saisie'!$AM$5:$AM$2004,"&lt;&gt;")-4),"")&lt;&gt;"",IFERROR(INDEX('Saisie'!$AM$5:$AM$2004,_xlfn.MAXIFS('Saisie'!$AS$5:$AS$2004,'Saisie'!$C$5:$C$2004,C141,'Saisie'!$AM$5:$AM$2004,"&lt;&gt;")-4),""),IFERROR(INDEX('Paramètres'!$S$6:$S$15,MATCH(AN141,'Paramètres'!$Q$6:$Q$15,0)),"")))</f>
        <v/>
      </c>
      <c r="AP141" s="62">
        <f>IF(C141="","",IFERROR(INDEX('Saisie'!$AW$5:$AW$2004,_xlfn.MAXIFS('Saisie'!$AS$5:$AS$2004,'Saisie'!$C$5:$C$2004,C141,'Saisie'!$E$5:$E$2004,"Proposition envoyée")-4),""))</f>
        <v/>
      </c>
      <c r="AQ141" s="106">
        <f>IF(C141="","",IFERROR(1/(1/_xlfn.MAXIFS('Saisie'!$A$5:$A$2004,'Saisie'!$C$5:$C$2004,C141,'Saisie'!$E$5:$E$2004,"Proposition envoyée")),""))</f>
        <v/>
      </c>
      <c r="AR141" s="106">
        <f>IF(C141="","",IF(AQ141="","",AQ141+'Paramètres'!$B$26))</f>
        <v/>
      </c>
      <c r="AS141" s="62">
        <f>IF(OR(C141="",D141="Gagné",D141="Perdu"),0,N(AP141)*IFERROR(INDEX('Paramètres'!$G$6:$G$13,MATCH(D141,'Paramètres'!$F$6:$F$13,0)),0))</f>
        <v/>
      </c>
      <c r="AT141" s="106">
        <f>IF(C141="","",IFERROR(1/(1/_xlfn.MINIFS('Saisie'!$A$5:$A$2004,'Saisie'!$C$5:$C$2004,C141,'Saisie'!$E$5:$E$2004,"Signature")),""))</f>
        <v/>
      </c>
      <c r="AU141" s="60">
        <f>IF(C141="","",IF(OR(AT141="",B141=""),"",AT141-B141))</f>
        <v/>
      </c>
      <c r="AV141" s="60">
        <f>IF(C141="","",IFERROR(INDEX('Saisie'!$L$5:$L$2004,_xlfn.MAXIFS('Saisie'!$AS$5:$AS$2004,'Saisie'!$C$5:$C$2004,C141,'Saisie'!$L$5:$L$2004,"&lt;&gt;")-4),""))</f>
        <v/>
      </c>
      <c r="AW141" s="106">
        <f>IF(C141="","",IF(D141&lt;&gt;"Perdu","",IFERROR(1/(1/_xlfn.MAXIFS('Saisie'!$A$5:$A$2004,'Saisie'!$C$5:$C$2004,C141,'Saisie'!$E$5:$E$2004,"Perdu")),"")))</f>
        <v/>
      </c>
      <c r="AX141" s="106">
        <f>IF(C141="","",IF(AW141="","",AW141+'Paramètres'!$B$28))</f>
        <v/>
      </c>
      <c r="AY141" s="60">
        <f>IF(C141="","",SUMIFS('Saisie'!$H$5:$H$2004,'Saisie'!$C$5:$C$2004,C141))</f>
        <v/>
      </c>
      <c r="AZ141" s="60">
        <f>IF(C141="","",IFERROR(INDEX('Paramètres'!$W$6:$W$20,MATCH(S141,'Paramètres'!$V$6:$V$20,0))&amp;"",""))</f>
        <v/>
      </c>
      <c r="BA141" s="60">
        <f>IF(C141="","",MAX(1,_xlfn.MAXIFS('Saisie'!$AT$5:$AT$2004,'Saisie'!$C$5:$C$2004,C141)))</f>
        <v/>
      </c>
      <c r="BB141" s="60">
        <f>IF(C141="","",IFERROR(INDEX('Saisie'!$X$5:$X$2004,_xlfn.MAXIFS('Saisie'!$AS$5:$AS$2004,'Saisie'!$C$5:$C$2004,C141,'Saisie'!$X$5:$X$2004,"&lt;&gt;")-4),""))</f>
        <v/>
      </c>
      <c r="BC141" s="60">
        <f>IF(C141="","",IFERROR(INDEX('Saisie'!$Y$5:$Y$2004,_xlfn.MAXIFS('Saisie'!$AS$5:$AS$2004,'Saisie'!$C$5:$C$2004,C141,'Saisie'!$Y$5:$Y$2004,"&lt;&gt;")-4),""))</f>
        <v/>
      </c>
      <c r="BD141" s="106">
        <f>IF(C141="","",IFERROR(1/(1/_xlfn.MINIFS('Saisie'!$A$5:$A$2004,'Saisie'!$C$5:$C$2004,C141,'Saisie'!$AT$5:$AT$2004,"&gt;=2")),""))</f>
        <v/>
      </c>
      <c r="BE141" s="106">
        <f>IF(C141="","",IFERROR(1/(1/_xlfn.MINIFS('Saisie'!$A$5:$A$2004,'Saisie'!$C$5:$C$2004,C141,'Saisie'!$AT$5:$AT$2004,"&gt;=3")),""))</f>
        <v/>
      </c>
      <c r="BF141" s="106">
        <f>IF(C141="","",IFERROR(1/(1/_xlfn.MINIFS('Saisie'!$A$5:$A$2004,'Saisie'!$C$5:$C$2004,C141,'Saisie'!$AT$5:$AT$2004,"&gt;=4")),""))</f>
        <v/>
      </c>
      <c r="BG141" s="106">
        <f>IF(C141="","",IFERROR(1/(1/_xlfn.MINIFS('Saisie'!$A$5:$A$2004,'Saisie'!$C$5:$C$2004,C141,'Saisie'!$AT$5:$AT$2004,"&gt;=5")),""))</f>
        <v/>
      </c>
      <c r="BH141" s="106">
        <f>IF(C141="","",IFERROR(1/(1/_xlfn.MINIFS('Saisie'!$A$5:$A$2004,'Saisie'!$C$5:$C$2004,C141,'Saisie'!$AT$5:$AT$2004,"&gt;=6")),""))</f>
        <v/>
      </c>
      <c r="BI141" s="106">
        <f>IF(C141="","",IFERROR(1/(1/_xlfn.MINIFS('Saisie'!$A$5:$A$2004,'Saisie'!$C$5:$C$2004,C141,'Saisie'!$AT$5:$AT$2004,"&gt;=7")),""))</f>
        <v/>
      </c>
      <c r="BJ141" s="60">
        <f>IF(OR(BD141="",B141=""),"",BD141-B141)</f>
        <v/>
      </c>
      <c r="BK141" s="60">
        <f>IF(OR(BE141="",BD141=""),"",BE141-BD141)</f>
        <v/>
      </c>
      <c r="BL141" s="60">
        <f>IF(OR(BF141="",BE141=""),"",BF141-BE141)</f>
        <v/>
      </c>
      <c r="BM141" s="60">
        <f>IF(OR(BG141="",BF141=""),"",BG141-BF141)</f>
        <v/>
      </c>
      <c r="BN141" s="60">
        <f>IF(OR(BH141="",BG141=""),"",BH141-BG141)</f>
        <v/>
      </c>
      <c r="BO141" s="60">
        <f>IF(OR(BI141="",BH141=""),"",BI141-BH141)</f>
        <v/>
      </c>
      <c r="BP141" s="60">
        <f>IF(C141="","",_xlfn.MAXIFS('Saisie'!$AS$5:$AS$2004,'Saisie'!$C$5:$C$2004,C141,'Saisie'!$J$5:$J$2004,"&lt;&gt;"))</f>
        <v/>
      </c>
      <c r="BQ141" s="60">
        <f>IF(C141="","",_xlfn.MAXIFS('Saisie'!$AS$5:$AS$2004,'Saisie'!$C$5:$C$2004,C141))</f>
        <v/>
      </c>
      <c r="BR141" s="60">
        <f>IF(C141="","",_xlfn.MAXIFS('Saisie'!$AS$5:$AS$2004,'Saisie'!$C$5:$C$2004,C141,'Saisie'!$E$5:$E$2004,"Perdu"))</f>
        <v/>
      </c>
      <c r="BS141" s="60">
        <f>IF(C141="","",_xlfn.MAXIFS('Saisie'!$AS$5:$AS$2004,'Saisie'!$C$5:$C$2004,C141,'Saisie'!$AT$5:$AT$2004,"&gt;0"))</f>
        <v/>
      </c>
      <c r="BT141" s="109">
        <f>IF(AND(C141&lt;&gt;"",OR(D141="Nouveau",D141="Contacté",D141="Qualifié"),OR(G141="",N(G141)&lt;=TODAY()),NOT(AND(O141&gt;='Paramètres'!$B$21,P141=0))),E141+137/10000,"")</f>
        <v/>
      </c>
      <c r="BU141" s="60">
        <f>IF(AND(G141&lt;&gt;"",N(G141)&lt;=TODAY()),MAX($BU$4:BU140)+1,"")</f>
        <v/>
      </c>
      <c r="BV141" s="60">
        <f>IF(AND(F141&lt;&gt;"",F141&lt;&gt;"Relance en retard"),MAX($BV$4:BV140)+1,"")</f>
        <v/>
      </c>
      <c r="BW141" s="60">
        <f>IF(C141="","",IF(AND(B141&gt;='Tableau de bord'!$R$4,B141&lt;='Tableau de bord'!$S$4,OR('Tableau de bord'!$G$4="Tous",N141='Tableau de bord'!$G$4)),1,0))</f>
        <v/>
      </c>
      <c r="BX141" s="60">
        <f>IF(AND(C141&lt;&gt;"",N(BA141)=7),MAX($BX$4:BX140)+1,"")</f>
        <v/>
      </c>
    </row>
    <row r="142">
      <c r="A142" s="60">
        <f>IF(C142="","","P-"&amp;TEXT(138,"000"))</f>
        <v/>
      </c>
      <c r="B142" s="106">
        <f>IF(C142="","",IFERROR(1/(1/_xlfn.MINIFS('Saisie'!$A$5:$A$2004,'Saisie'!$C$5:$C$2004,C142)),""))</f>
        <v/>
      </c>
      <c r="C142" s="60">
        <f>IFERROR(INDEX('Saisie'!$C$5:$C$2004,MATCH(138,'Saisie'!$AX$5:$AX$2004,0)),"")</f>
        <v/>
      </c>
      <c r="D142" s="60">
        <f>IF(C142="","",IF(AND(BR142&gt;0,BR142&gt;BS142,BA142&lt;7),"Perdu",INDEX('Paramètres'!$F$6:$F$13,BA142)))</f>
        <v/>
      </c>
      <c r="E142" s="61">
        <f>IF(C142="","",MIN(100,(Z142="Oui")*'Paramètres'!$B$38+(AB142="Régulière")*'Paramètres'!$B$39+IF(AND(N(AA142)&gt;0,TODAY()-N(AA142)&lt;=30),'Paramètres'!$B$40,0)+(W142="")*'Paramètres'!$B$41+(AC142="Absente")*'Paramètres'!$B$42+(AC142="Faible")*'Paramètres'!$B$43+IF(AND(N(AD142)&gt;0,N(AD142)&lt;4),'Paramètres'!$B$44,0)+(AF142="Moyenne")*'Paramètres'!$B$45+(AF142="Grande")*'Paramètres'!$B$46+(Y142&lt;&gt;"")*'Paramètres'!$B$47))</f>
        <v/>
      </c>
      <c r="F142" s="60">
        <f>IF(C142="","",IF(D142="Gagné","",IF(D142="Perdu",IF(AND(AX142&lt;&gt;"",AX142&lt;=TODAY()),"À recontacter (perdu)",""),IF(AND(O142&gt;='Paramètres'!$B$21,P142=0),"Stop : "&amp;'Paramètres'!$B$21&amp;" tentatives sans réponse",IF(AND(D142="Proposition",AR142&lt;&gt;"",TODAY()&gt;N(AR142)),"Proposition expirée",IF(AND(D142="Proposition",N(R142)&gt;='Paramètres'!$B$25),"Proposition sans réponse",IF(AND(G142&lt;&gt;"",N(G142)&lt;TODAY()),"Relance en retard",IF(N(R142)&gt;='Paramètres'!$B$24,"Sans action depuis "&amp;R142&amp;" j",""))))))))</f>
        <v/>
      </c>
      <c r="G142" s="106">
        <f>IF(OR(C142="",D142="Gagné",D142="Perdu"),"",IF(AND(BP142&gt;0,BP142=BQ142),INDEX('Saisie'!$J$5:$J$2004,BP142-4),IF(OR(O142=0,AND(O142&gt;='Paramètres'!$B$21,P142=0)),"",Q142+IF(O142&lt;=1,'Paramètres'!$B$18,IF(O142=2,'Paramètres'!$B$19,'Paramètres'!$B$20)))))</f>
        <v/>
      </c>
      <c r="H142" s="107">
        <f>IF(OR(G142="",BP142&lt;&gt;BQ142),"",IF(INDEX('Saisie'!$K$5:$K$2004,BP142-4)="","",INDEX('Saisie'!$K$5:$K$2004,BP142-4)))</f>
        <v/>
      </c>
      <c r="I142" s="60">
        <f>IF(C142="","",IF(OR(D142="Gagné",D142="Perdu"),"",IFERROR(INDEX('Saisie'!$I$5:$I$2004,_xlfn.MAXIFS('Saisie'!$AS$5:$AS$2004,'Saisie'!$C$5:$C$2004,C142,'Saisie'!$I$5:$I$2004,"&lt;&gt;")-4),"")))</f>
        <v/>
      </c>
      <c r="J142" s="60">
        <f>IF(C142="","",IFERROR(INDEX('Saisie'!$U$5:$U$2004,_xlfn.MAXIFS('Saisie'!$AS$5:$AS$2004,'Saisie'!$C$5:$C$2004,C142,'Saisie'!$U$5:$U$2004,"&lt;&gt;")-4),""))</f>
        <v/>
      </c>
      <c r="K142" s="60">
        <f>IF(C142="","",IFERROR(INDEX('Saisie'!$W$5:$W$2004,_xlfn.MAXIFS('Saisie'!$AS$5:$AS$2004,'Saisie'!$C$5:$C$2004,C142,'Saisie'!$W$5:$W$2004,"&lt;&gt;")-4),""))</f>
        <v/>
      </c>
      <c r="L142" s="60">
        <f>IF(IF(BB142&lt;&gt;"",BB142,K142)="","",HYPERLINK("https://wa.me/"&amp;IF(LEFT(SUBSTITUTE(SUBSTITUTE(SUBSTITUTE(IF(BB142&lt;&gt;"",BB142,K142)," ",""),".",""),"+",""),1)="0",'Paramètres'!$B$35&amp;MID(SUBSTITUTE(SUBSTITUTE(SUBSTITUTE(IF(BB142&lt;&gt;"",BB142,K142)," ",""),".",""),"+",""),2,20),SUBSTITUTE(SUBSTITUTE(SUBSTITUTE(IF(BB142&lt;&gt;"",BB142,K142)," ",""),".",""),"+","")),"WhatsApp"))</f>
        <v/>
      </c>
      <c r="M142" s="60">
        <f>IF(BC142="","",HYPERLINK(IF(LEFT(BC142,4)="http",BC142,"https://www.instagram.com/"&amp;SUBSTITUTE(SUBSTITUTE(BC142,"@","")," ","")),BC142))</f>
        <v/>
      </c>
      <c r="N142" s="60">
        <f>IF(C142="","",IFERROR(INDEX('Saisie'!$D$5:$D$2004,_xlfn.MINIFS('Saisie'!$AS$5:$AS$2004,'Saisie'!$C$5:$C$2004,C142,'Saisie'!$AU$5:$AU$2004,1)-4),IFERROR(INDEX('Saisie'!$D$5:$D$2004,_xlfn.MINIFS('Saisie'!$AS$5:$AS$2004,'Saisie'!$C$5:$C$2004,C142,'Saisie'!$D$5:$D$2004,"&lt;&gt;")-4),"")))</f>
        <v/>
      </c>
      <c r="O142" s="60">
        <f>IF(C142="","",COUNTIFS('Saisie'!$C$5:$C$2004,C142,'Saisie'!$AU$5:$AU$2004,1))</f>
        <v/>
      </c>
      <c r="P142" s="60">
        <f>IF(C142="","",COUNTIFS('Saisie'!$C$5:$C$2004,C142,'Saisie'!$AV$5:$AV$2004,1))</f>
        <v/>
      </c>
      <c r="Q142" s="106">
        <f>IF(C142="","",IFERROR(1/(1/_xlfn.MAXIFS('Saisie'!$A$5:$A$2004,'Saisie'!$C$5:$C$2004,C142)),""))</f>
        <v/>
      </c>
      <c r="R142" s="61">
        <f>IF(C142="","",IF(Q142="","",TODAY()-Q142))</f>
        <v/>
      </c>
      <c r="S142" s="60">
        <f>IF(C142="","",IFERROR(INDEX('Saisie'!$R$5:$R$2004,_xlfn.MAXIFS('Saisie'!$AS$5:$AS$2004,'Saisie'!$C$5:$C$2004,C142,'Saisie'!$R$5:$R$2004,"&lt;&gt;")-4),""))</f>
        <v/>
      </c>
      <c r="T142" s="60">
        <f>IF(C142="","",IFERROR(INDEX('Saisie'!$S$5:$S$2004,_xlfn.MAXIFS('Saisie'!$AS$5:$AS$2004,'Saisie'!$C$5:$C$2004,C142,'Saisie'!$S$5:$S$2004,"&lt;&gt;")-4),""))</f>
        <v/>
      </c>
      <c r="U142" s="60">
        <f>IF(C142="","",IFERROR(INDEX('Saisie'!$T$5:$T$2004,_xlfn.MAXIFS('Saisie'!$AS$5:$AS$2004,'Saisie'!$C$5:$C$2004,C142,'Saisie'!$T$5:$T$2004,"&lt;&gt;")-4),""))</f>
        <v/>
      </c>
      <c r="V142" s="60">
        <f>IF(C142="","",IFERROR(INDEX('Saisie'!$V$5:$V$2004,_xlfn.MAXIFS('Saisie'!$AS$5:$AS$2004,'Saisie'!$C$5:$C$2004,C142,'Saisie'!$V$5:$V$2004,"&lt;&gt;")-4),""))</f>
        <v/>
      </c>
      <c r="W142" s="60">
        <f>IF(C142="","",IFERROR(INDEX('Saisie'!$Z$5:$Z$2004,_xlfn.MAXIFS('Saisie'!$AS$5:$AS$2004,'Saisie'!$C$5:$C$2004,C142,'Saisie'!$Z$5:$Z$2004,"&lt;&gt;")-4),""))</f>
        <v/>
      </c>
      <c r="X142" s="60">
        <f>IF(C142="","",IFERROR(INDEX('Saisie'!$AA$5:$AA$2004,_xlfn.MAXIFS('Saisie'!$AS$5:$AS$2004,'Saisie'!$C$5:$C$2004,C142,'Saisie'!$AA$5:$AA$2004,"&lt;&gt;")-4),""))</f>
        <v/>
      </c>
      <c r="Y142" s="60">
        <f>IF(C142="","",IFERROR(INDEX('Saisie'!$AB$5:$AB$2004,_xlfn.MAXIFS('Saisie'!$AS$5:$AS$2004,'Saisie'!$C$5:$C$2004,C142,'Saisie'!$AB$5:$AB$2004,"&lt;&gt;")-4),""))</f>
        <v/>
      </c>
      <c r="Z142" s="60">
        <f>IF(C142="","",IFERROR(INDEX('Saisie'!$AC$5:$AC$2004,_xlfn.MAXIFS('Saisie'!$AS$5:$AS$2004,'Saisie'!$C$5:$C$2004,C142,'Saisie'!$AC$5:$AC$2004,"&lt;&gt;")-4),""))</f>
        <v/>
      </c>
      <c r="AA142" s="106">
        <f>IF(C142="","",IFERROR(INDEX('Saisie'!$AD$5:$AD$2004,_xlfn.MAXIFS('Saisie'!$AS$5:$AS$2004,'Saisie'!$C$5:$C$2004,C142,'Saisie'!$AD$5:$AD$2004,"&lt;&gt;")-4),""))</f>
        <v/>
      </c>
      <c r="AB142" s="60">
        <f>IF(C142="","",IFERROR(INDEX('Saisie'!$AE$5:$AE$2004,_xlfn.MAXIFS('Saisie'!$AS$5:$AS$2004,'Saisie'!$C$5:$C$2004,C142,'Saisie'!$AE$5:$AE$2004,"&lt;&gt;")-4),""))</f>
        <v/>
      </c>
      <c r="AC142" s="60">
        <f>IF(C142="","",IFERROR(INDEX('Saisie'!$AF$5:$AF$2004,_xlfn.MAXIFS('Saisie'!$AS$5:$AS$2004,'Saisie'!$C$5:$C$2004,C142,'Saisie'!$AF$5:$AF$2004,"&lt;&gt;")-4),""))</f>
        <v/>
      </c>
      <c r="AD142" s="108">
        <f>IF(C142="","",IFERROR(INDEX('Saisie'!$AG$5:$AG$2004,_xlfn.MAXIFS('Saisie'!$AS$5:$AS$2004,'Saisie'!$C$5:$C$2004,C142,'Saisie'!$AG$5:$AG$2004,"&lt;&gt;")-4),""))</f>
        <v/>
      </c>
      <c r="AE142" s="60">
        <f>IF(C142="","",IFERROR(INDEX('Saisie'!$AH$5:$AH$2004,_xlfn.MAXIFS('Saisie'!$AS$5:$AS$2004,'Saisie'!$C$5:$C$2004,C142,'Saisie'!$AH$5:$AH$2004,"&lt;&gt;")-4),""))</f>
        <v/>
      </c>
      <c r="AF142" s="60">
        <f>IF(C142="","",IFERROR(INDEX('Saisie'!$AI$5:$AI$2004,_xlfn.MAXIFS('Saisie'!$AS$5:$AS$2004,'Saisie'!$C$5:$C$2004,C142,'Saisie'!$AI$5:$AI$2004,"&lt;&gt;")-4),""))</f>
        <v/>
      </c>
      <c r="AG142" s="60">
        <f>IF(C142="","",IFERROR(INDEX('Saisie'!$AJ$5:$AJ$2004,_xlfn.MAXIFS('Saisie'!$AS$5:$AS$2004,'Saisie'!$C$5:$C$2004,C142,'Saisie'!$AJ$5:$AJ$2004,"&lt;&gt;")-4),""))</f>
        <v/>
      </c>
      <c r="AH142" s="60">
        <f>IF(C142="","",IFERROR(INDEX('Saisie'!$AK$5:$AK$2004,_xlfn.MAXIFS('Saisie'!$AS$5:$AS$2004,'Saisie'!$C$5:$C$2004,C142,'Saisie'!$AK$5:$AK$2004,"&lt;&gt;")-4),""))</f>
        <v/>
      </c>
      <c r="AI142" s="60">
        <f>IF(C142="","",IFERROR(INDEX('Saisie'!$AN$5:$AN$2004,_xlfn.MAXIFS('Saisie'!$AS$5:$AS$2004,'Saisie'!$C$5:$C$2004,C142,'Saisie'!$AN$5:$AN$2004,"&lt;&gt;")-4),""))</f>
        <v/>
      </c>
      <c r="AJ142" s="60">
        <f>IF(C142="","",IFERROR(INDEX('Saisie'!$AO$5:$AO$2004,_xlfn.MAXIFS('Saisie'!$AS$5:$AS$2004,'Saisie'!$C$5:$C$2004,C142,'Saisie'!$AO$5:$AO$2004,"&lt;&gt;")-4),""))</f>
        <v/>
      </c>
      <c r="AK142" s="60">
        <f>IF(C142="","",IFERROR(INDEX('Saisie'!$AP$5:$AP$2004,_xlfn.MAXIFS('Saisie'!$AS$5:$AS$2004,'Saisie'!$C$5:$C$2004,C142,'Saisie'!$AP$5:$AP$2004,"&lt;&gt;")-4),""))</f>
        <v/>
      </c>
      <c r="AL142" s="60">
        <f>IF(C142="","",IFERROR(INDEX('Saisie'!$AQ$5:$AQ$2004,_xlfn.MAXIFS('Saisie'!$AS$5:$AS$2004,'Saisie'!$C$5:$C$2004,C142,'Saisie'!$AQ$5:$AQ$2004,"&lt;&gt;")-4),""))</f>
        <v/>
      </c>
      <c r="AM142" s="60">
        <f>IF(C142="","",((AI142="Oui")+(AJ142="Oui")+(AK142="Oui")+OR(AL142="Immédiat",AL142="&lt; 1 mois"))&amp;"/4")</f>
        <v/>
      </c>
      <c r="AN142" s="60">
        <f>IF(C142="","",IFERROR(INDEX('Saisie'!$AL$5:$AL$2004,_xlfn.MAXIFS('Saisie'!$AS$5:$AS$2004,'Saisie'!$C$5:$C$2004,C142,'Saisie'!$AL$5:$AL$2004,"&lt;&gt;")-4),""))</f>
        <v/>
      </c>
      <c r="AO142" s="62">
        <f>IF(C142="","",IF(IFERROR(INDEX('Saisie'!$AM$5:$AM$2004,_xlfn.MAXIFS('Saisie'!$AS$5:$AS$2004,'Saisie'!$C$5:$C$2004,C142,'Saisie'!$AM$5:$AM$2004,"&lt;&gt;")-4),"")&lt;&gt;"",IFERROR(INDEX('Saisie'!$AM$5:$AM$2004,_xlfn.MAXIFS('Saisie'!$AS$5:$AS$2004,'Saisie'!$C$5:$C$2004,C142,'Saisie'!$AM$5:$AM$2004,"&lt;&gt;")-4),""),IFERROR(INDEX('Paramètres'!$S$6:$S$15,MATCH(AN142,'Paramètres'!$Q$6:$Q$15,0)),"")))</f>
        <v/>
      </c>
      <c r="AP142" s="62">
        <f>IF(C142="","",IFERROR(INDEX('Saisie'!$AW$5:$AW$2004,_xlfn.MAXIFS('Saisie'!$AS$5:$AS$2004,'Saisie'!$C$5:$C$2004,C142,'Saisie'!$E$5:$E$2004,"Proposition envoyée")-4),""))</f>
        <v/>
      </c>
      <c r="AQ142" s="106">
        <f>IF(C142="","",IFERROR(1/(1/_xlfn.MAXIFS('Saisie'!$A$5:$A$2004,'Saisie'!$C$5:$C$2004,C142,'Saisie'!$E$5:$E$2004,"Proposition envoyée")),""))</f>
        <v/>
      </c>
      <c r="AR142" s="106">
        <f>IF(C142="","",IF(AQ142="","",AQ142+'Paramètres'!$B$26))</f>
        <v/>
      </c>
      <c r="AS142" s="62">
        <f>IF(OR(C142="",D142="Gagné",D142="Perdu"),0,N(AP142)*IFERROR(INDEX('Paramètres'!$G$6:$G$13,MATCH(D142,'Paramètres'!$F$6:$F$13,0)),0))</f>
        <v/>
      </c>
      <c r="AT142" s="106">
        <f>IF(C142="","",IFERROR(1/(1/_xlfn.MINIFS('Saisie'!$A$5:$A$2004,'Saisie'!$C$5:$C$2004,C142,'Saisie'!$E$5:$E$2004,"Signature")),""))</f>
        <v/>
      </c>
      <c r="AU142" s="60">
        <f>IF(C142="","",IF(OR(AT142="",B142=""),"",AT142-B142))</f>
        <v/>
      </c>
      <c r="AV142" s="60">
        <f>IF(C142="","",IFERROR(INDEX('Saisie'!$L$5:$L$2004,_xlfn.MAXIFS('Saisie'!$AS$5:$AS$2004,'Saisie'!$C$5:$C$2004,C142,'Saisie'!$L$5:$L$2004,"&lt;&gt;")-4),""))</f>
        <v/>
      </c>
      <c r="AW142" s="106">
        <f>IF(C142="","",IF(D142&lt;&gt;"Perdu","",IFERROR(1/(1/_xlfn.MAXIFS('Saisie'!$A$5:$A$2004,'Saisie'!$C$5:$C$2004,C142,'Saisie'!$E$5:$E$2004,"Perdu")),"")))</f>
        <v/>
      </c>
      <c r="AX142" s="106">
        <f>IF(C142="","",IF(AW142="","",AW142+'Paramètres'!$B$28))</f>
        <v/>
      </c>
      <c r="AY142" s="60">
        <f>IF(C142="","",SUMIFS('Saisie'!$H$5:$H$2004,'Saisie'!$C$5:$C$2004,C142))</f>
        <v/>
      </c>
      <c r="AZ142" s="60">
        <f>IF(C142="","",IFERROR(INDEX('Paramètres'!$W$6:$W$20,MATCH(S142,'Paramètres'!$V$6:$V$20,0))&amp;"",""))</f>
        <v/>
      </c>
      <c r="BA142" s="60">
        <f>IF(C142="","",MAX(1,_xlfn.MAXIFS('Saisie'!$AT$5:$AT$2004,'Saisie'!$C$5:$C$2004,C142)))</f>
        <v/>
      </c>
      <c r="BB142" s="60">
        <f>IF(C142="","",IFERROR(INDEX('Saisie'!$X$5:$X$2004,_xlfn.MAXIFS('Saisie'!$AS$5:$AS$2004,'Saisie'!$C$5:$C$2004,C142,'Saisie'!$X$5:$X$2004,"&lt;&gt;")-4),""))</f>
        <v/>
      </c>
      <c r="BC142" s="60">
        <f>IF(C142="","",IFERROR(INDEX('Saisie'!$Y$5:$Y$2004,_xlfn.MAXIFS('Saisie'!$AS$5:$AS$2004,'Saisie'!$C$5:$C$2004,C142,'Saisie'!$Y$5:$Y$2004,"&lt;&gt;")-4),""))</f>
        <v/>
      </c>
      <c r="BD142" s="106">
        <f>IF(C142="","",IFERROR(1/(1/_xlfn.MINIFS('Saisie'!$A$5:$A$2004,'Saisie'!$C$5:$C$2004,C142,'Saisie'!$AT$5:$AT$2004,"&gt;=2")),""))</f>
        <v/>
      </c>
      <c r="BE142" s="106">
        <f>IF(C142="","",IFERROR(1/(1/_xlfn.MINIFS('Saisie'!$A$5:$A$2004,'Saisie'!$C$5:$C$2004,C142,'Saisie'!$AT$5:$AT$2004,"&gt;=3")),""))</f>
        <v/>
      </c>
      <c r="BF142" s="106">
        <f>IF(C142="","",IFERROR(1/(1/_xlfn.MINIFS('Saisie'!$A$5:$A$2004,'Saisie'!$C$5:$C$2004,C142,'Saisie'!$AT$5:$AT$2004,"&gt;=4")),""))</f>
        <v/>
      </c>
      <c r="BG142" s="106">
        <f>IF(C142="","",IFERROR(1/(1/_xlfn.MINIFS('Saisie'!$A$5:$A$2004,'Saisie'!$C$5:$C$2004,C142,'Saisie'!$AT$5:$AT$2004,"&gt;=5")),""))</f>
        <v/>
      </c>
      <c r="BH142" s="106">
        <f>IF(C142="","",IFERROR(1/(1/_xlfn.MINIFS('Saisie'!$A$5:$A$2004,'Saisie'!$C$5:$C$2004,C142,'Saisie'!$AT$5:$AT$2004,"&gt;=6")),""))</f>
        <v/>
      </c>
      <c r="BI142" s="106">
        <f>IF(C142="","",IFERROR(1/(1/_xlfn.MINIFS('Saisie'!$A$5:$A$2004,'Saisie'!$C$5:$C$2004,C142,'Saisie'!$AT$5:$AT$2004,"&gt;=7")),""))</f>
        <v/>
      </c>
      <c r="BJ142" s="60">
        <f>IF(OR(BD142="",B142=""),"",BD142-B142)</f>
        <v/>
      </c>
      <c r="BK142" s="60">
        <f>IF(OR(BE142="",BD142=""),"",BE142-BD142)</f>
        <v/>
      </c>
      <c r="BL142" s="60">
        <f>IF(OR(BF142="",BE142=""),"",BF142-BE142)</f>
        <v/>
      </c>
      <c r="BM142" s="60">
        <f>IF(OR(BG142="",BF142=""),"",BG142-BF142)</f>
        <v/>
      </c>
      <c r="BN142" s="60">
        <f>IF(OR(BH142="",BG142=""),"",BH142-BG142)</f>
        <v/>
      </c>
      <c r="BO142" s="60">
        <f>IF(OR(BI142="",BH142=""),"",BI142-BH142)</f>
        <v/>
      </c>
      <c r="BP142" s="60">
        <f>IF(C142="","",_xlfn.MAXIFS('Saisie'!$AS$5:$AS$2004,'Saisie'!$C$5:$C$2004,C142,'Saisie'!$J$5:$J$2004,"&lt;&gt;"))</f>
        <v/>
      </c>
      <c r="BQ142" s="60">
        <f>IF(C142="","",_xlfn.MAXIFS('Saisie'!$AS$5:$AS$2004,'Saisie'!$C$5:$C$2004,C142))</f>
        <v/>
      </c>
      <c r="BR142" s="60">
        <f>IF(C142="","",_xlfn.MAXIFS('Saisie'!$AS$5:$AS$2004,'Saisie'!$C$5:$C$2004,C142,'Saisie'!$E$5:$E$2004,"Perdu"))</f>
        <v/>
      </c>
      <c r="BS142" s="60">
        <f>IF(C142="","",_xlfn.MAXIFS('Saisie'!$AS$5:$AS$2004,'Saisie'!$C$5:$C$2004,C142,'Saisie'!$AT$5:$AT$2004,"&gt;0"))</f>
        <v/>
      </c>
      <c r="BT142" s="109">
        <f>IF(AND(C142&lt;&gt;"",OR(D142="Nouveau",D142="Contacté",D142="Qualifié"),OR(G142="",N(G142)&lt;=TODAY()),NOT(AND(O142&gt;='Paramètres'!$B$21,P142=0))),E142+138/10000,"")</f>
        <v/>
      </c>
      <c r="BU142" s="60">
        <f>IF(AND(G142&lt;&gt;"",N(G142)&lt;=TODAY()),MAX($BU$4:BU141)+1,"")</f>
        <v/>
      </c>
      <c r="BV142" s="60">
        <f>IF(AND(F142&lt;&gt;"",F142&lt;&gt;"Relance en retard"),MAX($BV$4:BV141)+1,"")</f>
        <v/>
      </c>
      <c r="BW142" s="60">
        <f>IF(C142="","",IF(AND(B142&gt;='Tableau de bord'!$R$4,B142&lt;='Tableau de bord'!$S$4,OR('Tableau de bord'!$G$4="Tous",N142='Tableau de bord'!$G$4)),1,0))</f>
        <v/>
      </c>
      <c r="BX142" s="60">
        <f>IF(AND(C142&lt;&gt;"",N(BA142)=7),MAX($BX$4:BX141)+1,"")</f>
        <v/>
      </c>
    </row>
    <row r="143">
      <c r="A143" s="60">
        <f>IF(C143="","","P-"&amp;TEXT(139,"000"))</f>
        <v/>
      </c>
      <c r="B143" s="106">
        <f>IF(C143="","",IFERROR(1/(1/_xlfn.MINIFS('Saisie'!$A$5:$A$2004,'Saisie'!$C$5:$C$2004,C143)),""))</f>
        <v/>
      </c>
      <c r="C143" s="60">
        <f>IFERROR(INDEX('Saisie'!$C$5:$C$2004,MATCH(139,'Saisie'!$AX$5:$AX$2004,0)),"")</f>
        <v/>
      </c>
      <c r="D143" s="60">
        <f>IF(C143="","",IF(AND(BR143&gt;0,BR143&gt;BS143,BA143&lt;7),"Perdu",INDEX('Paramètres'!$F$6:$F$13,BA143)))</f>
        <v/>
      </c>
      <c r="E143" s="61">
        <f>IF(C143="","",MIN(100,(Z143="Oui")*'Paramètres'!$B$38+(AB143="Régulière")*'Paramètres'!$B$39+IF(AND(N(AA143)&gt;0,TODAY()-N(AA143)&lt;=30),'Paramètres'!$B$40,0)+(W143="")*'Paramètres'!$B$41+(AC143="Absente")*'Paramètres'!$B$42+(AC143="Faible")*'Paramètres'!$B$43+IF(AND(N(AD143)&gt;0,N(AD143)&lt;4),'Paramètres'!$B$44,0)+(AF143="Moyenne")*'Paramètres'!$B$45+(AF143="Grande")*'Paramètres'!$B$46+(Y143&lt;&gt;"")*'Paramètres'!$B$47))</f>
        <v/>
      </c>
      <c r="F143" s="60">
        <f>IF(C143="","",IF(D143="Gagné","",IF(D143="Perdu",IF(AND(AX143&lt;&gt;"",AX143&lt;=TODAY()),"À recontacter (perdu)",""),IF(AND(O143&gt;='Paramètres'!$B$21,P143=0),"Stop : "&amp;'Paramètres'!$B$21&amp;" tentatives sans réponse",IF(AND(D143="Proposition",AR143&lt;&gt;"",TODAY()&gt;N(AR143)),"Proposition expirée",IF(AND(D143="Proposition",N(R143)&gt;='Paramètres'!$B$25),"Proposition sans réponse",IF(AND(G143&lt;&gt;"",N(G143)&lt;TODAY()),"Relance en retard",IF(N(R143)&gt;='Paramètres'!$B$24,"Sans action depuis "&amp;R143&amp;" j",""))))))))</f>
        <v/>
      </c>
      <c r="G143" s="106">
        <f>IF(OR(C143="",D143="Gagné",D143="Perdu"),"",IF(AND(BP143&gt;0,BP143=BQ143),INDEX('Saisie'!$J$5:$J$2004,BP143-4),IF(OR(O143=0,AND(O143&gt;='Paramètres'!$B$21,P143=0)),"",Q143+IF(O143&lt;=1,'Paramètres'!$B$18,IF(O143=2,'Paramètres'!$B$19,'Paramètres'!$B$20)))))</f>
        <v/>
      </c>
      <c r="H143" s="107">
        <f>IF(OR(G143="",BP143&lt;&gt;BQ143),"",IF(INDEX('Saisie'!$K$5:$K$2004,BP143-4)="","",INDEX('Saisie'!$K$5:$K$2004,BP143-4)))</f>
        <v/>
      </c>
      <c r="I143" s="60">
        <f>IF(C143="","",IF(OR(D143="Gagné",D143="Perdu"),"",IFERROR(INDEX('Saisie'!$I$5:$I$2004,_xlfn.MAXIFS('Saisie'!$AS$5:$AS$2004,'Saisie'!$C$5:$C$2004,C143,'Saisie'!$I$5:$I$2004,"&lt;&gt;")-4),"")))</f>
        <v/>
      </c>
      <c r="J143" s="60">
        <f>IF(C143="","",IFERROR(INDEX('Saisie'!$U$5:$U$2004,_xlfn.MAXIFS('Saisie'!$AS$5:$AS$2004,'Saisie'!$C$5:$C$2004,C143,'Saisie'!$U$5:$U$2004,"&lt;&gt;")-4),""))</f>
        <v/>
      </c>
      <c r="K143" s="60">
        <f>IF(C143="","",IFERROR(INDEX('Saisie'!$W$5:$W$2004,_xlfn.MAXIFS('Saisie'!$AS$5:$AS$2004,'Saisie'!$C$5:$C$2004,C143,'Saisie'!$W$5:$W$2004,"&lt;&gt;")-4),""))</f>
        <v/>
      </c>
      <c r="L143" s="60">
        <f>IF(IF(BB143&lt;&gt;"",BB143,K143)="","",HYPERLINK("https://wa.me/"&amp;IF(LEFT(SUBSTITUTE(SUBSTITUTE(SUBSTITUTE(IF(BB143&lt;&gt;"",BB143,K143)," ",""),".",""),"+",""),1)="0",'Paramètres'!$B$35&amp;MID(SUBSTITUTE(SUBSTITUTE(SUBSTITUTE(IF(BB143&lt;&gt;"",BB143,K143)," ",""),".",""),"+",""),2,20),SUBSTITUTE(SUBSTITUTE(SUBSTITUTE(IF(BB143&lt;&gt;"",BB143,K143)," ",""),".",""),"+","")),"WhatsApp"))</f>
        <v/>
      </c>
      <c r="M143" s="60">
        <f>IF(BC143="","",HYPERLINK(IF(LEFT(BC143,4)="http",BC143,"https://www.instagram.com/"&amp;SUBSTITUTE(SUBSTITUTE(BC143,"@","")," ","")),BC143))</f>
        <v/>
      </c>
      <c r="N143" s="60">
        <f>IF(C143="","",IFERROR(INDEX('Saisie'!$D$5:$D$2004,_xlfn.MINIFS('Saisie'!$AS$5:$AS$2004,'Saisie'!$C$5:$C$2004,C143,'Saisie'!$AU$5:$AU$2004,1)-4),IFERROR(INDEX('Saisie'!$D$5:$D$2004,_xlfn.MINIFS('Saisie'!$AS$5:$AS$2004,'Saisie'!$C$5:$C$2004,C143,'Saisie'!$D$5:$D$2004,"&lt;&gt;")-4),"")))</f>
        <v/>
      </c>
      <c r="O143" s="60">
        <f>IF(C143="","",COUNTIFS('Saisie'!$C$5:$C$2004,C143,'Saisie'!$AU$5:$AU$2004,1))</f>
        <v/>
      </c>
      <c r="P143" s="60">
        <f>IF(C143="","",COUNTIFS('Saisie'!$C$5:$C$2004,C143,'Saisie'!$AV$5:$AV$2004,1))</f>
        <v/>
      </c>
      <c r="Q143" s="106">
        <f>IF(C143="","",IFERROR(1/(1/_xlfn.MAXIFS('Saisie'!$A$5:$A$2004,'Saisie'!$C$5:$C$2004,C143)),""))</f>
        <v/>
      </c>
      <c r="R143" s="61">
        <f>IF(C143="","",IF(Q143="","",TODAY()-Q143))</f>
        <v/>
      </c>
      <c r="S143" s="60">
        <f>IF(C143="","",IFERROR(INDEX('Saisie'!$R$5:$R$2004,_xlfn.MAXIFS('Saisie'!$AS$5:$AS$2004,'Saisie'!$C$5:$C$2004,C143,'Saisie'!$R$5:$R$2004,"&lt;&gt;")-4),""))</f>
        <v/>
      </c>
      <c r="T143" s="60">
        <f>IF(C143="","",IFERROR(INDEX('Saisie'!$S$5:$S$2004,_xlfn.MAXIFS('Saisie'!$AS$5:$AS$2004,'Saisie'!$C$5:$C$2004,C143,'Saisie'!$S$5:$S$2004,"&lt;&gt;")-4),""))</f>
        <v/>
      </c>
      <c r="U143" s="60">
        <f>IF(C143="","",IFERROR(INDEX('Saisie'!$T$5:$T$2004,_xlfn.MAXIFS('Saisie'!$AS$5:$AS$2004,'Saisie'!$C$5:$C$2004,C143,'Saisie'!$T$5:$T$2004,"&lt;&gt;")-4),""))</f>
        <v/>
      </c>
      <c r="V143" s="60">
        <f>IF(C143="","",IFERROR(INDEX('Saisie'!$V$5:$V$2004,_xlfn.MAXIFS('Saisie'!$AS$5:$AS$2004,'Saisie'!$C$5:$C$2004,C143,'Saisie'!$V$5:$V$2004,"&lt;&gt;")-4),""))</f>
        <v/>
      </c>
      <c r="W143" s="60">
        <f>IF(C143="","",IFERROR(INDEX('Saisie'!$Z$5:$Z$2004,_xlfn.MAXIFS('Saisie'!$AS$5:$AS$2004,'Saisie'!$C$5:$C$2004,C143,'Saisie'!$Z$5:$Z$2004,"&lt;&gt;")-4),""))</f>
        <v/>
      </c>
      <c r="X143" s="60">
        <f>IF(C143="","",IFERROR(INDEX('Saisie'!$AA$5:$AA$2004,_xlfn.MAXIFS('Saisie'!$AS$5:$AS$2004,'Saisie'!$C$5:$C$2004,C143,'Saisie'!$AA$5:$AA$2004,"&lt;&gt;")-4),""))</f>
        <v/>
      </c>
      <c r="Y143" s="60">
        <f>IF(C143="","",IFERROR(INDEX('Saisie'!$AB$5:$AB$2004,_xlfn.MAXIFS('Saisie'!$AS$5:$AS$2004,'Saisie'!$C$5:$C$2004,C143,'Saisie'!$AB$5:$AB$2004,"&lt;&gt;")-4),""))</f>
        <v/>
      </c>
      <c r="Z143" s="60">
        <f>IF(C143="","",IFERROR(INDEX('Saisie'!$AC$5:$AC$2004,_xlfn.MAXIFS('Saisie'!$AS$5:$AS$2004,'Saisie'!$C$5:$C$2004,C143,'Saisie'!$AC$5:$AC$2004,"&lt;&gt;")-4),""))</f>
        <v/>
      </c>
      <c r="AA143" s="106">
        <f>IF(C143="","",IFERROR(INDEX('Saisie'!$AD$5:$AD$2004,_xlfn.MAXIFS('Saisie'!$AS$5:$AS$2004,'Saisie'!$C$5:$C$2004,C143,'Saisie'!$AD$5:$AD$2004,"&lt;&gt;")-4),""))</f>
        <v/>
      </c>
      <c r="AB143" s="60">
        <f>IF(C143="","",IFERROR(INDEX('Saisie'!$AE$5:$AE$2004,_xlfn.MAXIFS('Saisie'!$AS$5:$AS$2004,'Saisie'!$C$5:$C$2004,C143,'Saisie'!$AE$5:$AE$2004,"&lt;&gt;")-4),""))</f>
        <v/>
      </c>
      <c r="AC143" s="60">
        <f>IF(C143="","",IFERROR(INDEX('Saisie'!$AF$5:$AF$2004,_xlfn.MAXIFS('Saisie'!$AS$5:$AS$2004,'Saisie'!$C$5:$C$2004,C143,'Saisie'!$AF$5:$AF$2004,"&lt;&gt;")-4),""))</f>
        <v/>
      </c>
      <c r="AD143" s="108">
        <f>IF(C143="","",IFERROR(INDEX('Saisie'!$AG$5:$AG$2004,_xlfn.MAXIFS('Saisie'!$AS$5:$AS$2004,'Saisie'!$C$5:$C$2004,C143,'Saisie'!$AG$5:$AG$2004,"&lt;&gt;")-4),""))</f>
        <v/>
      </c>
      <c r="AE143" s="60">
        <f>IF(C143="","",IFERROR(INDEX('Saisie'!$AH$5:$AH$2004,_xlfn.MAXIFS('Saisie'!$AS$5:$AS$2004,'Saisie'!$C$5:$C$2004,C143,'Saisie'!$AH$5:$AH$2004,"&lt;&gt;")-4),""))</f>
        <v/>
      </c>
      <c r="AF143" s="60">
        <f>IF(C143="","",IFERROR(INDEX('Saisie'!$AI$5:$AI$2004,_xlfn.MAXIFS('Saisie'!$AS$5:$AS$2004,'Saisie'!$C$5:$C$2004,C143,'Saisie'!$AI$5:$AI$2004,"&lt;&gt;")-4),""))</f>
        <v/>
      </c>
      <c r="AG143" s="60">
        <f>IF(C143="","",IFERROR(INDEX('Saisie'!$AJ$5:$AJ$2004,_xlfn.MAXIFS('Saisie'!$AS$5:$AS$2004,'Saisie'!$C$5:$C$2004,C143,'Saisie'!$AJ$5:$AJ$2004,"&lt;&gt;")-4),""))</f>
        <v/>
      </c>
      <c r="AH143" s="60">
        <f>IF(C143="","",IFERROR(INDEX('Saisie'!$AK$5:$AK$2004,_xlfn.MAXIFS('Saisie'!$AS$5:$AS$2004,'Saisie'!$C$5:$C$2004,C143,'Saisie'!$AK$5:$AK$2004,"&lt;&gt;")-4),""))</f>
        <v/>
      </c>
      <c r="AI143" s="60">
        <f>IF(C143="","",IFERROR(INDEX('Saisie'!$AN$5:$AN$2004,_xlfn.MAXIFS('Saisie'!$AS$5:$AS$2004,'Saisie'!$C$5:$C$2004,C143,'Saisie'!$AN$5:$AN$2004,"&lt;&gt;")-4),""))</f>
        <v/>
      </c>
      <c r="AJ143" s="60">
        <f>IF(C143="","",IFERROR(INDEX('Saisie'!$AO$5:$AO$2004,_xlfn.MAXIFS('Saisie'!$AS$5:$AS$2004,'Saisie'!$C$5:$C$2004,C143,'Saisie'!$AO$5:$AO$2004,"&lt;&gt;")-4),""))</f>
        <v/>
      </c>
      <c r="AK143" s="60">
        <f>IF(C143="","",IFERROR(INDEX('Saisie'!$AP$5:$AP$2004,_xlfn.MAXIFS('Saisie'!$AS$5:$AS$2004,'Saisie'!$C$5:$C$2004,C143,'Saisie'!$AP$5:$AP$2004,"&lt;&gt;")-4),""))</f>
        <v/>
      </c>
      <c r="AL143" s="60">
        <f>IF(C143="","",IFERROR(INDEX('Saisie'!$AQ$5:$AQ$2004,_xlfn.MAXIFS('Saisie'!$AS$5:$AS$2004,'Saisie'!$C$5:$C$2004,C143,'Saisie'!$AQ$5:$AQ$2004,"&lt;&gt;")-4),""))</f>
        <v/>
      </c>
      <c r="AM143" s="60">
        <f>IF(C143="","",((AI143="Oui")+(AJ143="Oui")+(AK143="Oui")+OR(AL143="Immédiat",AL143="&lt; 1 mois"))&amp;"/4")</f>
        <v/>
      </c>
      <c r="AN143" s="60">
        <f>IF(C143="","",IFERROR(INDEX('Saisie'!$AL$5:$AL$2004,_xlfn.MAXIFS('Saisie'!$AS$5:$AS$2004,'Saisie'!$C$5:$C$2004,C143,'Saisie'!$AL$5:$AL$2004,"&lt;&gt;")-4),""))</f>
        <v/>
      </c>
      <c r="AO143" s="62">
        <f>IF(C143="","",IF(IFERROR(INDEX('Saisie'!$AM$5:$AM$2004,_xlfn.MAXIFS('Saisie'!$AS$5:$AS$2004,'Saisie'!$C$5:$C$2004,C143,'Saisie'!$AM$5:$AM$2004,"&lt;&gt;")-4),"")&lt;&gt;"",IFERROR(INDEX('Saisie'!$AM$5:$AM$2004,_xlfn.MAXIFS('Saisie'!$AS$5:$AS$2004,'Saisie'!$C$5:$C$2004,C143,'Saisie'!$AM$5:$AM$2004,"&lt;&gt;")-4),""),IFERROR(INDEX('Paramètres'!$S$6:$S$15,MATCH(AN143,'Paramètres'!$Q$6:$Q$15,0)),"")))</f>
        <v/>
      </c>
      <c r="AP143" s="62">
        <f>IF(C143="","",IFERROR(INDEX('Saisie'!$AW$5:$AW$2004,_xlfn.MAXIFS('Saisie'!$AS$5:$AS$2004,'Saisie'!$C$5:$C$2004,C143,'Saisie'!$E$5:$E$2004,"Proposition envoyée")-4),""))</f>
        <v/>
      </c>
      <c r="AQ143" s="106">
        <f>IF(C143="","",IFERROR(1/(1/_xlfn.MAXIFS('Saisie'!$A$5:$A$2004,'Saisie'!$C$5:$C$2004,C143,'Saisie'!$E$5:$E$2004,"Proposition envoyée")),""))</f>
        <v/>
      </c>
      <c r="AR143" s="106">
        <f>IF(C143="","",IF(AQ143="","",AQ143+'Paramètres'!$B$26))</f>
        <v/>
      </c>
      <c r="AS143" s="62">
        <f>IF(OR(C143="",D143="Gagné",D143="Perdu"),0,N(AP143)*IFERROR(INDEX('Paramètres'!$G$6:$G$13,MATCH(D143,'Paramètres'!$F$6:$F$13,0)),0))</f>
        <v/>
      </c>
      <c r="AT143" s="106">
        <f>IF(C143="","",IFERROR(1/(1/_xlfn.MINIFS('Saisie'!$A$5:$A$2004,'Saisie'!$C$5:$C$2004,C143,'Saisie'!$E$5:$E$2004,"Signature")),""))</f>
        <v/>
      </c>
      <c r="AU143" s="60">
        <f>IF(C143="","",IF(OR(AT143="",B143=""),"",AT143-B143))</f>
        <v/>
      </c>
      <c r="AV143" s="60">
        <f>IF(C143="","",IFERROR(INDEX('Saisie'!$L$5:$L$2004,_xlfn.MAXIFS('Saisie'!$AS$5:$AS$2004,'Saisie'!$C$5:$C$2004,C143,'Saisie'!$L$5:$L$2004,"&lt;&gt;")-4),""))</f>
        <v/>
      </c>
      <c r="AW143" s="106">
        <f>IF(C143="","",IF(D143&lt;&gt;"Perdu","",IFERROR(1/(1/_xlfn.MAXIFS('Saisie'!$A$5:$A$2004,'Saisie'!$C$5:$C$2004,C143,'Saisie'!$E$5:$E$2004,"Perdu")),"")))</f>
        <v/>
      </c>
      <c r="AX143" s="106">
        <f>IF(C143="","",IF(AW143="","",AW143+'Paramètres'!$B$28))</f>
        <v/>
      </c>
      <c r="AY143" s="60">
        <f>IF(C143="","",SUMIFS('Saisie'!$H$5:$H$2004,'Saisie'!$C$5:$C$2004,C143))</f>
        <v/>
      </c>
      <c r="AZ143" s="60">
        <f>IF(C143="","",IFERROR(INDEX('Paramètres'!$W$6:$W$20,MATCH(S143,'Paramètres'!$V$6:$V$20,0))&amp;"",""))</f>
        <v/>
      </c>
      <c r="BA143" s="60">
        <f>IF(C143="","",MAX(1,_xlfn.MAXIFS('Saisie'!$AT$5:$AT$2004,'Saisie'!$C$5:$C$2004,C143)))</f>
        <v/>
      </c>
      <c r="BB143" s="60">
        <f>IF(C143="","",IFERROR(INDEX('Saisie'!$X$5:$X$2004,_xlfn.MAXIFS('Saisie'!$AS$5:$AS$2004,'Saisie'!$C$5:$C$2004,C143,'Saisie'!$X$5:$X$2004,"&lt;&gt;")-4),""))</f>
        <v/>
      </c>
      <c r="BC143" s="60">
        <f>IF(C143="","",IFERROR(INDEX('Saisie'!$Y$5:$Y$2004,_xlfn.MAXIFS('Saisie'!$AS$5:$AS$2004,'Saisie'!$C$5:$C$2004,C143,'Saisie'!$Y$5:$Y$2004,"&lt;&gt;")-4),""))</f>
        <v/>
      </c>
      <c r="BD143" s="106">
        <f>IF(C143="","",IFERROR(1/(1/_xlfn.MINIFS('Saisie'!$A$5:$A$2004,'Saisie'!$C$5:$C$2004,C143,'Saisie'!$AT$5:$AT$2004,"&gt;=2")),""))</f>
        <v/>
      </c>
      <c r="BE143" s="106">
        <f>IF(C143="","",IFERROR(1/(1/_xlfn.MINIFS('Saisie'!$A$5:$A$2004,'Saisie'!$C$5:$C$2004,C143,'Saisie'!$AT$5:$AT$2004,"&gt;=3")),""))</f>
        <v/>
      </c>
      <c r="BF143" s="106">
        <f>IF(C143="","",IFERROR(1/(1/_xlfn.MINIFS('Saisie'!$A$5:$A$2004,'Saisie'!$C$5:$C$2004,C143,'Saisie'!$AT$5:$AT$2004,"&gt;=4")),""))</f>
        <v/>
      </c>
      <c r="BG143" s="106">
        <f>IF(C143="","",IFERROR(1/(1/_xlfn.MINIFS('Saisie'!$A$5:$A$2004,'Saisie'!$C$5:$C$2004,C143,'Saisie'!$AT$5:$AT$2004,"&gt;=5")),""))</f>
        <v/>
      </c>
      <c r="BH143" s="106">
        <f>IF(C143="","",IFERROR(1/(1/_xlfn.MINIFS('Saisie'!$A$5:$A$2004,'Saisie'!$C$5:$C$2004,C143,'Saisie'!$AT$5:$AT$2004,"&gt;=6")),""))</f>
        <v/>
      </c>
      <c r="BI143" s="106">
        <f>IF(C143="","",IFERROR(1/(1/_xlfn.MINIFS('Saisie'!$A$5:$A$2004,'Saisie'!$C$5:$C$2004,C143,'Saisie'!$AT$5:$AT$2004,"&gt;=7")),""))</f>
        <v/>
      </c>
      <c r="BJ143" s="60">
        <f>IF(OR(BD143="",B143=""),"",BD143-B143)</f>
        <v/>
      </c>
      <c r="BK143" s="60">
        <f>IF(OR(BE143="",BD143=""),"",BE143-BD143)</f>
        <v/>
      </c>
      <c r="BL143" s="60">
        <f>IF(OR(BF143="",BE143=""),"",BF143-BE143)</f>
        <v/>
      </c>
      <c r="BM143" s="60">
        <f>IF(OR(BG143="",BF143=""),"",BG143-BF143)</f>
        <v/>
      </c>
      <c r="BN143" s="60">
        <f>IF(OR(BH143="",BG143=""),"",BH143-BG143)</f>
        <v/>
      </c>
      <c r="BO143" s="60">
        <f>IF(OR(BI143="",BH143=""),"",BI143-BH143)</f>
        <v/>
      </c>
      <c r="BP143" s="60">
        <f>IF(C143="","",_xlfn.MAXIFS('Saisie'!$AS$5:$AS$2004,'Saisie'!$C$5:$C$2004,C143,'Saisie'!$J$5:$J$2004,"&lt;&gt;"))</f>
        <v/>
      </c>
      <c r="BQ143" s="60">
        <f>IF(C143="","",_xlfn.MAXIFS('Saisie'!$AS$5:$AS$2004,'Saisie'!$C$5:$C$2004,C143))</f>
        <v/>
      </c>
      <c r="BR143" s="60">
        <f>IF(C143="","",_xlfn.MAXIFS('Saisie'!$AS$5:$AS$2004,'Saisie'!$C$5:$C$2004,C143,'Saisie'!$E$5:$E$2004,"Perdu"))</f>
        <v/>
      </c>
      <c r="BS143" s="60">
        <f>IF(C143="","",_xlfn.MAXIFS('Saisie'!$AS$5:$AS$2004,'Saisie'!$C$5:$C$2004,C143,'Saisie'!$AT$5:$AT$2004,"&gt;0"))</f>
        <v/>
      </c>
      <c r="BT143" s="109">
        <f>IF(AND(C143&lt;&gt;"",OR(D143="Nouveau",D143="Contacté",D143="Qualifié"),OR(G143="",N(G143)&lt;=TODAY()),NOT(AND(O143&gt;='Paramètres'!$B$21,P143=0))),E143+139/10000,"")</f>
        <v/>
      </c>
      <c r="BU143" s="60">
        <f>IF(AND(G143&lt;&gt;"",N(G143)&lt;=TODAY()),MAX($BU$4:BU142)+1,"")</f>
        <v/>
      </c>
      <c r="BV143" s="60">
        <f>IF(AND(F143&lt;&gt;"",F143&lt;&gt;"Relance en retard"),MAX($BV$4:BV142)+1,"")</f>
        <v/>
      </c>
      <c r="BW143" s="60">
        <f>IF(C143="","",IF(AND(B143&gt;='Tableau de bord'!$R$4,B143&lt;='Tableau de bord'!$S$4,OR('Tableau de bord'!$G$4="Tous",N143='Tableau de bord'!$G$4)),1,0))</f>
        <v/>
      </c>
      <c r="BX143" s="60">
        <f>IF(AND(C143&lt;&gt;"",N(BA143)=7),MAX($BX$4:BX142)+1,"")</f>
        <v/>
      </c>
    </row>
    <row r="144">
      <c r="A144" s="60">
        <f>IF(C144="","","P-"&amp;TEXT(140,"000"))</f>
        <v/>
      </c>
      <c r="B144" s="106">
        <f>IF(C144="","",IFERROR(1/(1/_xlfn.MINIFS('Saisie'!$A$5:$A$2004,'Saisie'!$C$5:$C$2004,C144)),""))</f>
        <v/>
      </c>
      <c r="C144" s="60">
        <f>IFERROR(INDEX('Saisie'!$C$5:$C$2004,MATCH(140,'Saisie'!$AX$5:$AX$2004,0)),"")</f>
        <v/>
      </c>
      <c r="D144" s="60">
        <f>IF(C144="","",IF(AND(BR144&gt;0,BR144&gt;BS144,BA144&lt;7),"Perdu",INDEX('Paramètres'!$F$6:$F$13,BA144)))</f>
        <v/>
      </c>
      <c r="E144" s="61">
        <f>IF(C144="","",MIN(100,(Z144="Oui")*'Paramètres'!$B$38+(AB144="Régulière")*'Paramètres'!$B$39+IF(AND(N(AA144)&gt;0,TODAY()-N(AA144)&lt;=30),'Paramètres'!$B$40,0)+(W144="")*'Paramètres'!$B$41+(AC144="Absente")*'Paramètres'!$B$42+(AC144="Faible")*'Paramètres'!$B$43+IF(AND(N(AD144)&gt;0,N(AD144)&lt;4),'Paramètres'!$B$44,0)+(AF144="Moyenne")*'Paramètres'!$B$45+(AF144="Grande")*'Paramètres'!$B$46+(Y144&lt;&gt;"")*'Paramètres'!$B$47))</f>
        <v/>
      </c>
      <c r="F144" s="60">
        <f>IF(C144="","",IF(D144="Gagné","",IF(D144="Perdu",IF(AND(AX144&lt;&gt;"",AX144&lt;=TODAY()),"À recontacter (perdu)",""),IF(AND(O144&gt;='Paramètres'!$B$21,P144=0),"Stop : "&amp;'Paramètres'!$B$21&amp;" tentatives sans réponse",IF(AND(D144="Proposition",AR144&lt;&gt;"",TODAY()&gt;N(AR144)),"Proposition expirée",IF(AND(D144="Proposition",N(R144)&gt;='Paramètres'!$B$25),"Proposition sans réponse",IF(AND(G144&lt;&gt;"",N(G144)&lt;TODAY()),"Relance en retard",IF(N(R144)&gt;='Paramètres'!$B$24,"Sans action depuis "&amp;R144&amp;" j",""))))))))</f>
        <v/>
      </c>
      <c r="G144" s="106">
        <f>IF(OR(C144="",D144="Gagné",D144="Perdu"),"",IF(AND(BP144&gt;0,BP144=BQ144),INDEX('Saisie'!$J$5:$J$2004,BP144-4),IF(OR(O144=0,AND(O144&gt;='Paramètres'!$B$21,P144=0)),"",Q144+IF(O144&lt;=1,'Paramètres'!$B$18,IF(O144=2,'Paramètres'!$B$19,'Paramètres'!$B$20)))))</f>
        <v/>
      </c>
      <c r="H144" s="107">
        <f>IF(OR(G144="",BP144&lt;&gt;BQ144),"",IF(INDEX('Saisie'!$K$5:$K$2004,BP144-4)="","",INDEX('Saisie'!$K$5:$K$2004,BP144-4)))</f>
        <v/>
      </c>
      <c r="I144" s="60">
        <f>IF(C144="","",IF(OR(D144="Gagné",D144="Perdu"),"",IFERROR(INDEX('Saisie'!$I$5:$I$2004,_xlfn.MAXIFS('Saisie'!$AS$5:$AS$2004,'Saisie'!$C$5:$C$2004,C144,'Saisie'!$I$5:$I$2004,"&lt;&gt;")-4),"")))</f>
        <v/>
      </c>
      <c r="J144" s="60">
        <f>IF(C144="","",IFERROR(INDEX('Saisie'!$U$5:$U$2004,_xlfn.MAXIFS('Saisie'!$AS$5:$AS$2004,'Saisie'!$C$5:$C$2004,C144,'Saisie'!$U$5:$U$2004,"&lt;&gt;")-4),""))</f>
        <v/>
      </c>
      <c r="K144" s="60">
        <f>IF(C144="","",IFERROR(INDEX('Saisie'!$W$5:$W$2004,_xlfn.MAXIFS('Saisie'!$AS$5:$AS$2004,'Saisie'!$C$5:$C$2004,C144,'Saisie'!$W$5:$W$2004,"&lt;&gt;")-4),""))</f>
        <v/>
      </c>
      <c r="L144" s="60">
        <f>IF(IF(BB144&lt;&gt;"",BB144,K144)="","",HYPERLINK("https://wa.me/"&amp;IF(LEFT(SUBSTITUTE(SUBSTITUTE(SUBSTITUTE(IF(BB144&lt;&gt;"",BB144,K144)," ",""),".",""),"+",""),1)="0",'Paramètres'!$B$35&amp;MID(SUBSTITUTE(SUBSTITUTE(SUBSTITUTE(IF(BB144&lt;&gt;"",BB144,K144)," ",""),".",""),"+",""),2,20),SUBSTITUTE(SUBSTITUTE(SUBSTITUTE(IF(BB144&lt;&gt;"",BB144,K144)," ",""),".",""),"+","")),"WhatsApp"))</f>
        <v/>
      </c>
      <c r="M144" s="60">
        <f>IF(BC144="","",HYPERLINK(IF(LEFT(BC144,4)="http",BC144,"https://www.instagram.com/"&amp;SUBSTITUTE(SUBSTITUTE(BC144,"@","")," ","")),BC144))</f>
        <v/>
      </c>
      <c r="N144" s="60">
        <f>IF(C144="","",IFERROR(INDEX('Saisie'!$D$5:$D$2004,_xlfn.MINIFS('Saisie'!$AS$5:$AS$2004,'Saisie'!$C$5:$C$2004,C144,'Saisie'!$AU$5:$AU$2004,1)-4),IFERROR(INDEX('Saisie'!$D$5:$D$2004,_xlfn.MINIFS('Saisie'!$AS$5:$AS$2004,'Saisie'!$C$5:$C$2004,C144,'Saisie'!$D$5:$D$2004,"&lt;&gt;")-4),"")))</f>
        <v/>
      </c>
      <c r="O144" s="60">
        <f>IF(C144="","",COUNTIFS('Saisie'!$C$5:$C$2004,C144,'Saisie'!$AU$5:$AU$2004,1))</f>
        <v/>
      </c>
      <c r="P144" s="60">
        <f>IF(C144="","",COUNTIFS('Saisie'!$C$5:$C$2004,C144,'Saisie'!$AV$5:$AV$2004,1))</f>
        <v/>
      </c>
      <c r="Q144" s="106">
        <f>IF(C144="","",IFERROR(1/(1/_xlfn.MAXIFS('Saisie'!$A$5:$A$2004,'Saisie'!$C$5:$C$2004,C144)),""))</f>
        <v/>
      </c>
      <c r="R144" s="61">
        <f>IF(C144="","",IF(Q144="","",TODAY()-Q144))</f>
        <v/>
      </c>
      <c r="S144" s="60">
        <f>IF(C144="","",IFERROR(INDEX('Saisie'!$R$5:$R$2004,_xlfn.MAXIFS('Saisie'!$AS$5:$AS$2004,'Saisie'!$C$5:$C$2004,C144,'Saisie'!$R$5:$R$2004,"&lt;&gt;")-4),""))</f>
        <v/>
      </c>
      <c r="T144" s="60">
        <f>IF(C144="","",IFERROR(INDEX('Saisie'!$S$5:$S$2004,_xlfn.MAXIFS('Saisie'!$AS$5:$AS$2004,'Saisie'!$C$5:$C$2004,C144,'Saisie'!$S$5:$S$2004,"&lt;&gt;")-4),""))</f>
        <v/>
      </c>
      <c r="U144" s="60">
        <f>IF(C144="","",IFERROR(INDEX('Saisie'!$T$5:$T$2004,_xlfn.MAXIFS('Saisie'!$AS$5:$AS$2004,'Saisie'!$C$5:$C$2004,C144,'Saisie'!$T$5:$T$2004,"&lt;&gt;")-4),""))</f>
        <v/>
      </c>
      <c r="V144" s="60">
        <f>IF(C144="","",IFERROR(INDEX('Saisie'!$V$5:$V$2004,_xlfn.MAXIFS('Saisie'!$AS$5:$AS$2004,'Saisie'!$C$5:$C$2004,C144,'Saisie'!$V$5:$V$2004,"&lt;&gt;")-4),""))</f>
        <v/>
      </c>
      <c r="W144" s="60">
        <f>IF(C144="","",IFERROR(INDEX('Saisie'!$Z$5:$Z$2004,_xlfn.MAXIFS('Saisie'!$AS$5:$AS$2004,'Saisie'!$C$5:$C$2004,C144,'Saisie'!$Z$5:$Z$2004,"&lt;&gt;")-4),""))</f>
        <v/>
      </c>
      <c r="X144" s="60">
        <f>IF(C144="","",IFERROR(INDEX('Saisie'!$AA$5:$AA$2004,_xlfn.MAXIFS('Saisie'!$AS$5:$AS$2004,'Saisie'!$C$5:$C$2004,C144,'Saisie'!$AA$5:$AA$2004,"&lt;&gt;")-4),""))</f>
        <v/>
      </c>
      <c r="Y144" s="60">
        <f>IF(C144="","",IFERROR(INDEX('Saisie'!$AB$5:$AB$2004,_xlfn.MAXIFS('Saisie'!$AS$5:$AS$2004,'Saisie'!$C$5:$C$2004,C144,'Saisie'!$AB$5:$AB$2004,"&lt;&gt;")-4),""))</f>
        <v/>
      </c>
      <c r="Z144" s="60">
        <f>IF(C144="","",IFERROR(INDEX('Saisie'!$AC$5:$AC$2004,_xlfn.MAXIFS('Saisie'!$AS$5:$AS$2004,'Saisie'!$C$5:$C$2004,C144,'Saisie'!$AC$5:$AC$2004,"&lt;&gt;")-4),""))</f>
        <v/>
      </c>
      <c r="AA144" s="106">
        <f>IF(C144="","",IFERROR(INDEX('Saisie'!$AD$5:$AD$2004,_xlfn.MAXIFS('Saisie'!$AS$5:$AS$2004,'Saisie'!$C$5:$C$2004,C144,'Saisie'!$AD$5:$AD$2004,"&lt;&gt;")-4),""))</f>
        <v/>
      </c>
      <c r="AB144" s="60">
        <f>IF(C144="","",IFERROR(INDEX('Saisie'!$AE$5:$AE$2004,_xlfn.MAXIFS('Saisie'!$AS$5:$AS$2004,'Saisie'!$C$5:$C$2004,C144,'Saisie'!$AE$5:$AE$2004,"&lt;&gt;")-4),""))</f>
        <v/>
      </c>
      <c r="AC144" s="60">
        <f>IF(C144="","",IFERROR(INDEX('Saisie'!$AF$5:$AF$2004,_xlfn.MAXIFS('Saisie'!$AS$5:$AS$2004,'Saisie'!$C$5:$C$2004,C144,'Saisie'!$AF$5:$AF$2004,"&lt;&gt;")-4),""))</f>
        <v/>
      </c>
      <c r="AD144" s="108">
        <f>IF(C144="","",IFERROR(INDEX('Saisie'!$AG$5:$AG$2004,_xlfn.MAXIFS('Saisie'!$AS$5:$AS$2004,'Saisie'!$C$5:$C$2004,C144,'Saisie'!$AG$5:$AG$2004,"&lt;&gt;")-4),""))</f>
        <v/>
      </c>
      <c r="AE144" s="60">
        <f>IF(C144="","",IFERROR(INDEX('Saisie'!$AH$5:$AH$2004,_xlfn.MAXIFS('Saisie'!$AS$5:$AS$2004,'Saisie'!$C$5:$C$2004,C144,'Saisie'!$AH$5:$AH$2004,"&lt;&gt;")-4),""))</f>
        <v/>
      </c>
      <c r="AF144" s="60">
        <f>IF(C144="","",IFERROR(INDEX('Saisie'!$AI$5:$AI$2004,_xlfn.MAXIFS('Saisie'!$AS$5:$AS$2004,'Saisie'!$C$5:$C$2004,C144,'Saisie'!$AI$5:$AI$2004,"&lt;&gt;")-4),""))</f>
        <v/>
      </c>
      <c r="AG144" s="60">
        <f>IF(C144="","",IFERROR(INDEX('Saisie'!$AJ$5:$AJ$2004,_xlfn.MAXIFS('Saisie'!$AS$5:$AS$2004,'Saisie'!$C$5:$C$2004,C144,'Saisie'!$AJ$5:$AJ$2004,"&lt;&gt;")-4),""))</f>
        <v/>
      </c>
      <c r="AH144" s="60">
        <f>IF(C144="","",IFERROR(INDEX('Saisie'!$AK$5:$AK$2004,_xlfn.MAXIFS('Saisie'!$AS$5:$AS$2004,'Saisie'!$C$5:$C$2004,C144,'Saisie'!$AK$5:$AK$2004,"&lt;&gt;")-4),""))</f>
        <v/>
      </c>
      <c r="AI144" s="60">
        <f>IF(C144="","",IFERROR(INDEX('Saisie'!$AN$5:$AN$2004,_xlfn.MAXIFS('Saisie'!$AS$5:$AS$2004,'Saisie'!$C$5:$C$2004,C144,'Saisie'!$AN$5:$AN$2004,"&lt;&gt;")-4),""))</f>
        <v/>
      </c>
      <c r="AJ144" s="60">
        <f>IF(C144="","",IFERROR(INDEX('Saisie'!$AO$5:$AO$2004,_xlfn.MAXIFS('Saisie'!$AS$5:$AS$2004,'Saisie'!$C$5:$C$2004,C144,'Saisie'!$AO$5:$AO$2004,"&lt;&gt;")-4),""))</f>
        <v/>
      </c>
      <c r="AK144" s="60">
        <f>IF(C144="","",IFERROR(INDEX('Saisie'!$AP$5:$AP$2004,_xlfn.MAXIFS('Saisie'!$AS$5:$AS$2004,'Saisie'!$C$5:$C$2004,C144,'Saisie'!$AP$5:$AP$2004,"&lt;&gt;")-4),""))</f>
        <v/>
      </c>
      <c r="AL144" s="60">
        <f>IF(C144="","",IFERROR(INDEX('Saisie'!$AQ$5:$AQ$2004,_xlfn.MAXIFS('Saisie'!$AS$5:$AS$2004,'Saisie'!$C$5:$C$2004,C144,'Saisie'!$AQ$5:$AQ$2004,"&lt;&gt;")-4),""))</f>
        <v/>
      </c>
      <c r="AM144" s="60">
        <f>IF(C144="","",((AI144="Oui")+(AJ144="Oui")+(AK144="Oui")+OR(AL144="Immédiat",AL144="&lt; 1 mois"))&amp;"/4")</f>
        <v/>
      </c>
      <c r="AN144" s="60">
        <f>IF(C144="","",IFERROR(INDEX('Saisie'!$AL$5:$AL$2004,_xlfn.MAXIFS('Saisie'!$AS$5:$AS$2004,'Saisie'!$C$5:$C$2004,C144,'Saisie'!$AL$5:$AL$2004,"&lt;&gt;")-4),""))</f>
        <v/>
      </c>
      <c r="AO144" s="62">
        <f>IF(C144="","",IF(IFERROR(INDEX('Saisie'!$AM$5:$AM$2004,_xlfn.MAXIFS('Saisie'!$AS$5:$AS$2004,'Saisie'!$C$5:$C$2004,C144,'Saisie'!$AM$5:$AM$2004,"&lt;&gt;")-4),"")&lt;&gt;"",IFERROR(INDEX('Saisie'!$AM$5:$AM$2004,_xlfn.MAXIFS('Saisie'!$AS$5:$AS$2004,'Saisie'!$C$5:$C$2004,C144,'Saisie'!$AM$5:$AM$2004,"&lt;&gt;")-4),""),IFERROR(INDEX('Paramètres'!$S$6:$S$15,MATCH(AN144,'Paramètres'!$Q$6:$Q$15,0)),"")))</f>
        <v/>
      </c>
      <c r="AP144" s="62">
        <f>IF(C144="","",IFERROR(INDEX('Saisie'!$AW$5:$AW$2004,_xlfn.MAXIFS('Saisie'!$AS$5:$AS$2004,'Saisie'!$C$5:$C$2004,C144,'Saisie'!$E$5:$E$2004,"Proposition envoyée")-4),""))</f>
        <v/>
      </c>
      <c r="AQ144" s="106">
        <f>IF(C144="","",IFERROR(1/(1/_xlfn.MAXIFS('Saisie'!$A$5:$A$2004,'Saisie'!$C$5:$C$2004,C144,'Saisie'!$E$5:$E$2004,"Proposition envoyée")),""))</f>
        <v/>
      </c>
      <c r="AR144" s="106">
        <f>IF(C144="","",IF(AQ144="","",AQ144+'Paramètres'!$B$26))</f>
        <v/>
      </c>
      <c r="AS144" s="62">
        <f>IF(OR(C144="",D144="Gagné",D144="Perdu"),0,N(AP144)*IFERROR(INDEX('Paramètres'!$G$6:$G$13,MATCH(D144,'Paramètres'!$F$6:$F$13,0)),0))</f>
        <v/>
      </c>
      <c r="AT144" s="106">
        <f>IF(C144="","",IFERROR(1/(1/_xlfn.MINIFS('Saisie'!$A$5:$A$2004,'Saisie'!$C$5:$C$2004,C144,'Saisie'!$E$5:$E$2004,"Signature")),""))</f>
        <v/>
      </c>
      <c r="AU144" s="60">
        <f>IF(C144="","",IF(OR(AT144="",B144=""),"",AT144-B144))</f>
        <v/>
      </c>
      <c r="AV144" s="60">
        <f>IF(C144="","",IFERROR(INDEX('Saisie'!$L$5:$L$2004,_xlfn.MAXIFS('Saisie'!$AS$5:$AS$2004,'Saisie'!$C$5:$C$2004,C144,'Saisie'!$L$5:$L$2004,"&lt;&gt;")-4),""))</f>
        <v/>
      </c>
      <c r="AW144" s="106">
        <f>IF(C144="","",IF(D144&lt;&gt;"Perdu","",IFERROR(1/(1/_xlfn.MAXIFS('Saisie'!$A$5:$A$2004,'Saisie'!$C$5:$C$2004,C144,'Saisie'!$E$5:$E$2004,"Perdu")),"")))</f>
        <v/>
      </c>
      <c r="AX144" s="106">
        <f>IF(C144="","",IF(AW144="","",AW144+'Paramètres'!$B$28))</f>
        <v/>
      </c>
      <c r="AY144" s="60">
        <f>IF(C144="","",SUMIFS('Saisie'!$H$5:$H$2004,'Saisie'!$C$5:$C$2004,C144))</f>
        <v/>
      </c>
      <c r="AZ144" s="60">
        <f>IF(C144="","",IFERROR(INDEX('Paramètres'!$W$6:$W$20,MATCH(S144,'Paramètres'!$V$6:$V$20,0))&amp;"",""))</f>
        <v/>
      </c>
      <c r="BA144" s="60">
        <f>IF(C144="","",MAX(1,_xlfn.MAXIFS('Saisie'!$AT$5:$AT$2004,'Saisie'!$C$5:$C$2004,C144)))</f>
        <v/>
      </c>
      <c r="BB144" s="60">
        <f>IF(C144="","",IFERROR(INDEX('Saisie'!$X$5:$X$2004,_xlfn.MAXIFS('Saisie'!$AS$5:$AS$2004,'Saisie'!$C$5:$C$2004,C144,'Saisie'!$X$5:$X$2004,"&lt;&gt;")-4),""))</f>
        <v/>
      </c>
      <c r="BC144" s="60">
        <f>IF(C144="","",IFERROR(INDEX('Saisie'!$Y$5:$Y$2004,_xlfn.MAXIFS('Saisie'!$AS$5:$AS$2004,'Saisie'!$C$5:$C$2004,C144,'Saisie'!$Y$5:$Y$2004,"&lt;&gt;")-4),""))</f>
        <v/>
      </c>
      <c r="BD144" s="106">
        <f>IF(C144="","",IFERROR(1/(1/_xlfn.MINIFS('Saisie'!$A$5:$A$2004,'Saisie'!$C$5:$C$2004,C144,'Saisie'!$AT$5:$AT$2004,"&gt;=2")),""))</f>
        <v/>
      </c>
      <c r="BE144" s="106">
        <f>IF(C144="","",IFERROR(1/(1/_xlfn.MINIFS('Saisie'!$A$5:$A$2004,'Saisie'!$C$5:$C$2004,C144,'Saisie'!$AT$5:$AT$2004,"&gt;=3")),""))</f>
        <v/>
      </c>
      <c r="BF144" s="106">
        <f>IF(C144="","",IFERROR(1/(1/_xlfn.MINIFS('Saisie'!$A$5:$A$2004,'Saisie'!$C$5:$C$2004,C144,'Saisie'!$AT$5:$AT$2004,"&gt;=4")),""))</f>
        <v/>
      </c>
      <c r="BG144" s="106">
        <f>IF(C144="","",IFERROR(1/(1/_xlfn.MINIFS('Saisie'!$A$5:$A$2004,'Saisie'!$C$5:$C$2004,C144,'Saisie'!$AT$5:$AT$2004,"&gt;=5")),""))</f>
        <v/>
      </c>
      <c r="BH144" s="106">
        <f>IF(C144="","",IFERROR(1/(1/_xlfn.MINIFS('Saisie'!$A$5:$A$2004,'Saisie'!$C$5:$C$2004,C144,'Saisie'!$AT$5:$AT$2004,"&gt;=6")),""))</f>
        <v/>
      </c>
      <c r="BI144" s="106">
        <f>IF(C144="","",IFERROR(1/(1/_xlfn.MINIFS('Saisie'!$A$5:$A$2004,'Saisie'!$C$5:$C$2004,C144,'Saisie'!$AT$5:$AT$2004,"&gt;=7")),""))</f>
        <v/>
      </c>
      <c r="BJ144" s="60">
        <f>IF(OR(BD144="",B144=""),"",BD144-B144)</f>
        <v/>
      </c>
      <c r="BK144" s="60">
        <f>IF(OR(BE144="",BD144=""),"",BE144-BD144)</f>
        <v/>
      </c>
      <c r="BL144" s="60">
        <f>IF(OR(BF144="",BE144=""),"",BF144-BE144)</f>
        <v/>
      </c>
      <c r="BM144" s="60">
        <f>IF(OR(BG144="",BF144=""),"",BG144-BF144)</f>
        <v/>
      </c>
      <c r="BN144" s="60">
        <f>IF(OR(BH144="",BG144=""),"",BH144-BG144)</f>
        <v/>
      </c>
      <c r="BO144" s="60">
        <f>IF(OR(BI144="",BH144=""),"",BI144-BH144)</f>
        <v/>
      </c>
      <c r="BP144" s="60">
        <f>IF(C144="","",_xlfn.MAXIFS('Saisie'!$AS$5:$AS$2004,'Saisie'!$C$5:$C$2004,C144,'Saisie'!$J$5:$J$2004,"&lt;&gt;"))</f>
        <v/>
      </c>
      <c r="BQ144" s="60">
        <f>IF(C144="","",_xlfn.MAXIFS('Saisie'!$AS$5:$AS$2004,'Saisie'!$C$5:$C$2004,C144))</f>
        <v/>
      </c>
      <c r="BR144" s="60">
        <f>IF(C144="","",_xlfn.MAXIFS('Saisie'!$AS$5:$AS$2004,'Saisie'!$C$5:$C$2004,C144,'Saisie'!$E$5:$E$2004,"Perdu"))</f>
        <v/>
      </c>
      <c r="BS144" s="60">
        <f>IF(C144="","",_xlfn.MAXIFS('Saisie'!$AS$5:$AS$2004,'Saisie'!$C$5:$C$2004,C144,'Saisie'!$AT$5:$AT$2004,"&gt;0"))</f>
        <v/>
      </c>
      <c r="BT144" s="109">
        <f>IF(AND(C144&lt;&gt;"",OR(D144="Nouveau",D144="Contacté",D144="Qualifié"),OR(G144="",N(G144)&lt;=TODAY()),NOT(AND(O144&gt;='Paramètres'!$B$21,P144=0))),E144+140/10000,"")</f>
        <v/>
      </c>
      <c r="BU144" s="60">
        <f>IF(AND(G144&lt;&gt;"",N(G144)&lt;=TODAY()),MAX($BU$4:BU143)+1,"")</f>
        <v/>
      </c>
      <c r="BV144" s="60">
        <f>IF(AND(F144&lt;&gt;"",F144&lt;&gt;"Relance en retard"),MAX($BV$4:BV143)+1,"")</f>
        <v/>
      </c>
      <c r="BW144" s="60">
        <f>IF(C144="","",IF(AND(B144&gt;='Tableau de bord'!$R$4,B144&lt;='Tableau de bord'!$S$4,OR('Tableau de bord'!$G$4="Tous",N144='Tableau de bord'!$G$4)),1,0))</f>
        <v/>
      </c>
      <c r="BX144" s="60">
        <f>IF(AND(C144&lt;&gt;"",N(BA144)=7),MAX($BX$4:BX143)+1,"")</f>
        <v/>
      </c>
    </row>
    <row r="145">
      <c r="A145" s="60">
        <f>IF(C145="","","P-"&amp;TEXT(141,"000"))</f>
        <v/>
      </c>
      <c r="B145" s="106">
        <f>IF(C145="","",IFERROR(1/(1/_xlfn.MINIFS('Saisie'!$A$5:$A$2004,'Saisie'!$C$5:$C$2004,C145)),""))</f>
        <v/>
      </c>
      <c r="C145" s="60">
        <f>IFERROR(INDEX('Saisie'!$C$5:$C$2004,MATCH(141,'Saisie'!$AX$5:$AX$2004,0)),"")</f>
        <v/>
      </c>
      <c r="D145" s="60">
        <f>IF(C145="","",IF(AND(BR145&gt;0,BR145&gt;BS145,BA145&lt;7),"Perdu",INDEX('Paramètres'!$F$6:$F$13,BA145)))</f>
        <v/>
      </c>
      <c r="E145" s="61">
        <f>IF(C145="","",MIN(100,(Z145="Oui")*'Paramètres'!$B$38+(AB145="Régulière")*'Paramètres'!$B$39+IF(AND(N(AA145)&gt;0,TODAY()-N(AA145)&lt;=30),'Paramètres'!$B$40,0)+(W145="")*'Paramètres'!$B$41+(AC145="Absente")*'Paramètres'!$B$42+(AC145="Faible")*'Paramètres'!$B$43+IF(AND(N(AD145)&gt;0,N(AD145)&lt;4),'Paramètres'!$B$44,0)+(AF145="Moyenne")*'Paramètres'!$B$45+(AF145="Grande")*'Paramètres'!$B$46+(Y145&lt;&gt;"")*'Paramètres'!$B$47))</f>
        <v/>
      </c>
      <c r="F145" s="60">
        <f>IF(C145="","",IF(D145="Gagné","",IF(D145="Perdu",IF(AND(AX145&lt;&gt;"",AX145&lt;=TODAY()),"À recontacter (perdu)",""),IF(AND(O145&gt;='Paramètres'!$B$21,P145=0),"Stop : "&amp;'Paramètres'!$B$21&amp;" tentatives sans réponse",IF(AND(D145="Proposition",AR145&lt;&gt;"",TODAY()&gt;N(AR145)),"Proposition expirée",IF(AND(D145="Proposition",N(R145)&gt;='Paramètres'!$B$25),"Proposition sans réponse",IF(AND(G145&lt;&gt;"",N(G145)&lt;TODAY()),"Relance en retard",IF(N(R145)&gt;='Paramètres'!$B$24,"Sans action depuis "&amp;R145&amp;" j",""))))))))</f>
        <v/>
      </c>
      <c r="G145" s="106">
        <f>IF(OR(C145="",D145="Gagné",D145="Perdu"),"",IF(AND(BP145&gt;0,BP145=BQ145),INDEX('Saisie'!$J$5:$J$2004,BP145-4),IF(OR(O145=0,AND(O145&gt;='Paramètres'!$B$21,P145=0)),"",Q145+IF(O145&lt;=1,'Paramètres'!$B$18,IF(O145=2,'Paramètres'!$B$19,'Paramètres'!$B$20)))))</f>
        <v/>
      </c>
      <c r="H145" s="107">
        <f>IF(OR(G145="",BP145&lt;&gt;BQ145),"",IF(INDEX('Saisie'!$K$5:$K$2004,BP145-4)="","",INDEX('Saisie'!$K$5:$K$2004,BP145-4)))</f>
        <v/>
      </c>
      <c r="I145" s="60">
        <f>IF(C145="","",IF(OR(D145="Gagné",D145="Perdu"),"",IFERROR(INDEX('Saisie'!$I$5:$I$2004,_xlfn.MAXIFS('Saisie'!$AS$5:$AS$2004,'Saisie'!$C$5:$C$2004,C145,'Saisie'!$I$5:$I$2004,"&lt;&gt;")-4),"")))</f>
        <v/>
      </c>
      <c r="J145" s="60">
        <f>IF(C145="","",IFERROR(INDEX('Saisie'!$U$5:$U$2004,_xlfn.MAXIFS('Saisie'!$AS$5:$AS$2004,'Saisie'!$C$5:$C$2004,C145,'Saisie'!$U$5:$U$2004,"&lt;&gt;")-4),""))</f>
        <v/>
      </c>
      <c r="K145" s="60">
        <f>IF(C145="","",IFERROR(INDEX('Saisie'!$W$5:$W$2004,_xlfn.MAXIFS('Saisie'!$AS$5:$AS$2004,'Saisie'!$C$5:$C$2004,C145,'Saisie'!$W$5:$W$2004,"&lt;&gt;")-4),""))</f>
        <v/>
      </c>
      <c r="L145" s="60">
        <f>IF(IF(BB145&lt;&gt;"",BB145,K145)="","",HYPERLINK("https://wa.me/"&amp;IF(LEFT(SUBSTITUTE(SUBSTITUTE(SUBSTITUTE(IF(BB145&lt;&gt;"",BB145,K145)," ",""),".",""),"+",""),1)="0",'Paramètres'!$B$35&amp;MID(SUBSTITUTE(SUBSTITUTE(SUBSTITUTE(IF(BB145&lt;&gt;"",BB145,K145)," ",""),".",""),"+",""),2,20),SUBSTITUTE(SUBSTITUTE(SUBSTITUTE(IF(BB145&lt;&gt;"",BB145,K145)," ",""),".",""),"+","")),"WhatsApp"))</f>
        <v/>
      </c>
      <c r="M145" s="60">
        <f>IF(BC145="","",HYPERLINK(IF(LEFT(BC145,4)="http",BC145,"https://www.instagram.com/"&amp;SUBSTITUTE(SUBSTITUTE(BC145,"@","")," ","")),BC145))</f>
        <v/>
      </c>
      <c r="N145" s="60">
        <f>IF(C145="","",IFERROR(INDEX('Saisie'!$D$5:$D$2004,_xlfn.MINIFS('Saisie'!$AS$5:$AS$2004,'Saisie'!$C$5:$C$2004,C145,'Saisie'!$AU$5:$AU$2004,1)-4),IFERROR(INDEX('Saisie'!$D$5:$D$2004,_xlfn.MINIFS('Saisie'!$AS$5:$AS$2004,'Saisie'!$C$5:$C$2004,C145,'Saisie'!$D$5:$D$2004,"&lt;&gt;")-4),"")))</f>
        <v/>
      </c>
      <c r="O145" s="60">
        <f>IF(C145="","",COUNTIFS('Saisie'!$C$5:$C$2004,C145,'Saisie'!$AU$5:$AU$2004,1))</f>
        <v/>
      </c>
      <c r="P145" s="60">
        <f>IF(C145="","",COUNTIFS('Saisie'!$C$5:$C$2004,C145,'Saisie'!$AV$5:$AV$2004,1))</f>
        <v/>
      </c>
      <c r="Q145" s="106">
        <f>IF(C145="","",IFERROR(1/(1/_xlfn.MAXIFS('Saisie'!$A$5:$A$2004,'Saisie'!$C$5:$C$2004,C145)),""))</f>
        <v/>
      </c>
      <c r="R145" s="61">
        <f>IF(C145="","",IF(Q145="","",TODAY()-Q145))</f>
        <v/>
      </c>
      <c r="S145" s="60">
        <f>IF(C145="","",IFERROR(INDEX('Saisie'!$R$5:$R$2004,_xlfn.MAXIFS('Saisie'!$AS$5:$AS$2004,'Saisie'!$C$5:$C$2004,C145,'Saisie'!$R$5:$R$2004,"&lt;&gt;")-4),""))</f>
        <v/>
      </c>
      <c r="T145" s="60">
        <f>IF(C145="","",IFERROR(INDEX('Saisie'!$S$5:$S$2004,_xlfn.MAXIFS('Saisie'!$AS$5:$AS$2004,'Saisie'!$C$5:$C$2004,C145,'Saisie'!$S$5:$S$2004,"&lt;&gt;")-4),""))</f>
        <v/>
      </c>
      <c r="U145" s="60">
        <f>IF(C145="","",IFERROR(INDEX('Saisie'!$T$5:$T$2004,_xlfn.MAXIFS('Saisie'!$AS$5:$AS$2004,'Saisie'!$C$5:$C$2004,C145,'Saisie'!$T$5:$T$2004,"&lt;&gt;")-4),""))</f>
        <v/>
      </c>
      <c r="V145" s="60">
        <f>IF(C145="","",IFERROR(INDEX('Saisie'!$V$5:$V$2004,_xlfn.MAXIFS('Saisie'!$AS$5:$AS$2004,'Saisie'!$C$5:$C$2004,C145,'Saisie'!$V$5:$V$2004,"&lt;&gt;")-4),""))</f>
        <v/>
      </c>
      <c r="W145" s="60">
        <f>IF(C145="","",IFERROR(INDEX('Saisie'!$Z$5:$Z$2004,_xlfn.MAXIFS('Saisie'!$AS$5:$AS$2004,'Saisie'!$C$5:$C$2004,C145,'Saisie'!$Z$5:$Z$2004,"&lt;&gt;")-4),""))</f>
        <v/>
      </c>
      <c r="X145" s="60">
        <f>IF(C145="","",IFERROR(INDEX('Saisie'!$AA$5:$AA$2004,_xlfn.MAXIFS('Saisie'!$AS$5:$AS$2004,'Saisie'!$C$5:$C$2004,C145,'Saisie'!$AA$5:$AA$2004,"&lt;&gt;")-4),""))</f>
        <v/>
      </c>
      <c r="Y145" s="60">
        <f>IF(C145="","",IFERROR(INDEX('Saisie'!$AB$5:$AB$2004,_xlfn.MAXIFS('Saisie'!$AS$5:$AS$2004,'Saisie'!$C$5:$C$2004,C145,'Saisie'!$AB$5:$AB$2004,"&lt;&gt;")-4),""))</f>
        <v/>
      </c>
      <c r="Z145" s="60">
        <f>IF(C145="","",IFERROR(INDEX('Saisie'!$AC$5:$AC$2004,_xlfn.MAXIFS('Saisie'!$AS$5:$AS$2004,'Saisie'!$C$5:$C$2004,C145,'Saisie'!$AC$5:$AC$2004,"&lt;&gt;")-4),""))</f>
        <v/>
      </c>
      <c r="AA145" s="106">
        <f>IF(C145="","",IFERROR(INDEX('Saisie'!$AD$5:$AD$2004,_xlfn.MAXIFS('Saisie'!$AS$5:$AS$2004,'Saisie'!$C$5:$C$2004,C145,'Saisie'!$AD$5:$AD$2004,"&lt;&gt;")-4),""))</f>
        <v/>
      </c>
      <c r="AB145" s="60">
        <f>IF(C145="","",IFERROR(INDEX('Saisie'!$AE$5:$AE$2004,_xlfn.MAXIFS('Saisie'!$AS$5:$AS$2004,'Saisie'!$C$5:$C$2004,C145,'Saisie'!$AE$5:$AE$2004,"&lt;&gt;")-4),""))</f>
        <v/>
      </c>
      <c r="AC145" s="60">
        <f>IF(C145="","",IFERROR(INDEX('Saisie'!$AF$5:$AF$2004,_xlfn.MAXIFS('Saisie'!$AS$5:$AS$2004,'Saisie'!$C$5:$C$2004,C145,'Saisie'!$AF$5:$AF$2004,"&lt;&gt;")-4),""))</f>
        <v/>
      </c>
      <c r="AD145" s="108">
        <f>IF(C145="","",IFERROR(INDEX('Saisie'!$AG$5:$AG$2004,_xlfn.MAXIFS('Saisie'!$AS$5:$AS$2004,'Saisie'!$C$5:$C$2004,C145,'Saisie'!$AG$5:$AG$2004,"&lt;&gt;")-4),""))</f>
        <v/>
      </c>
      <c r="AE145" s="60">
        <f>IF(C145="","",IFERROR(INDEX('Saisie'!$AH$5:$AH$2004,_xlfn.MAXIFS('Saisie'!$AS$5:$AS$2004,'Saisie'!$C$5:$C$2004,C145,'Saisie'!$AH$5:$AH$2004,"&lt;&gt;")-4),""))</f>
        <v/>
      </c>
      <c r="AF145" s="60">
        <f>IF(C145="","",IFERROR(INDEX('Saisie'!$AI$5:$AI$2004,_xlfn.MAXIFS('Saisie'!$AS$5:$AS$2004,'Saisie'!$C$5:$C$2004,C145,'Saisie'!$AI$5:$AI$2004,"&lt;&gt;")-4),""))</f>
        <v/>
      </c>
      <c r="AG145" s="60">
        <f>IF(C145="","",IFERROR(INDEX('Saisie'!$AJ$5:$AJ$2004,_xlfn.MAXIFS('Saisie'!$AS$5:$AS$2004,'Saisie'!$C$5:$C$2004,C145,'Saisie'!$AJ$5:$AJ$2004,"&lt;&gt;")-4),""))</f>
        <v/>
      </c>
      <c r="AH145" s="60">
        <f>IF(C145="","",IFERROR(INDEX('Saisie'!$AK$5:$AK$2004,_xlfn.MAXIFS('Saisie'!$AS$5:$AS$2004,'Saisie'!$C$5:$C$2004,C145,'Saisie'!$AK$5:$AK$2004,"&lt;&gt;")-4),""))</f>
        <v/>
      </c>
      <c r="AI145" s="60">
        <f>IF(C145="","",IFERROR(INDEX('Saisie'!$AN$5:$AN$2004,_xlfn.MAXIFS('Saisie'!$AS$5:$AS$2004,'Saisie'!$C$5:$C$2004,C145,'Saisie'!$AN$5:$AN$2004,"&lt;&gt;")-4),""))</f>
        <v/>
      </c>
      <c r="AJ145" s="60">
        <f>IF(C145="","",IFERROR(INDEX('Saisie'!$AO$5:$AO$2004,_xlfn.MAXIFS('Saisie'!$AS$5:$AS$2004,'Saisie'!$C$5:$C$2004,C145,'Saisie'!$AO$5:$AO$2004,"&lt;&gt;")-4),""))</f>
        <v/>
      </c>
      <c r="AK145" s="60">
        <f>IF(C145="","",IFERROR(INDEX('Saisie'!$AP$5:$AP$2004,_xlfn.MAXIFS('Saisie'!$AS$5:$AS$2004,'Saisie'!$C$5:$C$2004,C145,'Saisie'!$AP$5:$AP$2004,"&lt;&gt;")-4),""))</f>
        <v/>
      </c>
      <c r="AL145" s="60">
        <f>IF(C145="","",IFERROR(INDEX('Saisie'!$AQ$5:$AQ$2004,_xlfn.MAXIFS('Saisie'!$AS$5:$AS$2004,'Saisie'!$C$5:$C$2004,C145,'Saisie'!$AQ$5:$AQ$2004,"&lt;&gt;")-4),""))</f>
        <v/>
      </c>
      <c r="AM145" s="60">
        <f>IF(C145="","",((AI145="Oui")+(AJ145="Oui")+(AK145="Oui")+OR(AL145="Immédiat",AL145="&lt; 1 mois"))&amp;"/4")</f>
        <v/>
      </c>
      <c r="AN145" s="60">
        <f>IF(C145="","",IFERROR(INDEX('Saisie'!$AL$5:$AL$2004,_xlfn.MAXIFS('Saisie'!$AS$5:$AS$2004,'Saisie'!$C$5:$C$2004,C145,'Saisie'!$AL$5:$AL$2004,"&lt;&gt;")-4),""))</f>
        <v/>
      </c>
      <c r="AO145" s="62">
        <f>IF(C145="","",IF(IFERROR(INDEX('Saisie'!$AM$5:$AM$2004,_xlfn.MAXIFS('Saisie'!$AS$5:$AS$2004,'Saisie'!$C$5:$C$2004,C145,'Saisie'!$AM$5:$AM$2004,"&lt;&gt;")-4),"")&lt;&gt;"",IFERROR(INDEX('Saisie'!$AM$5:$AM$2004,_xlfn.MAXIFS('Saisie'!$AS$5:$AS$2004,'Saisie'!$C$5:$C$2004,C145,'Saisie'!$AM$5:$AM$2004,"&lt;&gt;")-4),""),IFERROR(INDEX('Paramètres'!$S$6:$S$15,MATCH(AN145,'Paramètres'!$Q$6:$Q$15,0)),"")))</f>
        <v/>
      </c>
      <c r="AP145" s="62">
        <f>IF(C145="","",IFERROR(INDEX('Saisie'!$AW$5:$AW$2004,_xlfn.MAXIFS('Saisie'!$AS$5:$AS$2004,'Saisie'!$C$5:$C$2004,C145,'Saisie'!$E$5:$E$2004,"Proposition envoyée")-4),""))</f>
        <v/>
      </c>
      <c r="AQ145" s="106">
        <f>IF(C145="","",IFERROR(1/(1/_xlfn.MAXIFS('Saisie'!$A$5:$A$2004,'Saisie'!$C$5:$C$2004,C145,'Saisie'!$E$5:$E$2004,"Proposition envoyée")),""))</f>
        <v/>
      </c>
      <c r="AR145" s="106">
        <f>IF(C145="","",IF(AQ145="","",AQ145+'Paramètres'!$B$26))</f>
        <v/>
      </c>
      <c r="AS145" s="62">
        <f>IF(OR(C145="",D145="Gagné",D145="Perdu"),0,N(AP145)*IFERROR(INDEX('Paramètres'!$G$6:$G$13,MATCH(D145,'Paramètres'!$F$6:$F$13,0)),0))</f>
        <v/>
      </c>
      <c r="AT145" s="106">
        <f>IF(C145="","",IFERROR(1/(1/_xlfn.MINIFS('Saisie'!$A$5:$A$2004,'Saisie'!$C$5:$C$2004,C145,'Saisie'!$E$5:$E$2004,"Signature")),""))</f>
        <v/>
      </c>
      <c r="AU145" s="60">
        <f>IF(C145="","",IF(OR(AT145="",B145=""),"",AT145-B145))</f>
        <v/>
      </c>
      <c r="AV145" s="60">
        <f>IF(C145="","",IFERROR(INDEX('Saisie'!$L$5:$L$2004,_xlfn.MAXIFS('Saisie'!$AS$5:$AS$2004,'Saisie'!$C$5:$C$2004,C145,'Saisie'!$L$5:$L$2004,"&lt;&gt;")-4),""))</f>
        <v/>
      </c>
      <c r="AW145" s="106">
        <f>IF(C145="","",IF(D145&lt;&gt;"Perdu","",IFERROR(1/(1/_xlfn.MAXIFS('Saisie'!$A$5:$A$2004,'Saisie'!$C$5:$C$2004,C145,'Saisie'!$E$5:$E$2004,"Perdu")),"")))</f>
        <v/>
      </c>
      <c r="AX145" s="106">
        <f>IF(C145="","",IF(AW145="","",AW145+'Paramètres'!$B$28))</f>
        <v/>
      </c>
      <c r="AY145" s="60">
        <f>IF(C145="","",SUMIFS('Saisie'!$H$5:$H$2004,'Saisie'!$C$5:$C$2004,C145))</f>
        <v/>
      </c>
      <c r="AZ145" s="60">
        <f>IF(C145="","",IFERROR(INDEX('Paramètres'!$W$6:$W$20,MATCH(S145,'Paramètres'!$V$6:$V$20,0))&amp;"",""))</f>
        <v/>
      </c>
      <c r="BA145" s="60">
        <f>IF(C145="","",MAX(1,_xlfn.MAXIFS('Saisie'!$AT$5:$AT$2004,'Saisie'!$C$5:$C$2004,C145)))</f>
        <v/>
      </c>
      <c r="BB145" s="60">
        <f>IF(C145="","",IFERROR(INDEX('Saisie'!$X$5:$X$2004,_xlfn.MAXIFS('Saisie'!$AS$5:$AS$2004,'Saisie'!$C$5:$C$2004,C145,'Saisie'!$X$5:$X$2004,"&lt;&gt;")-4),""))</f>
        <v/>
      </c>
      <c r="BC145" s="60">
        <f>IF(C145="","",IFERROR(INDEX('Saisie'!$Y$5:$Y$2004,_xlfn.MAXIFS('Saisie'!$AS$5:$AS$2004,'Saisie'!$C$5:$C$2004,C145,'Saisie'!$Y$5:$Y$2004,"&lt;&gt;")-4),""))</f>
        <v/>
      </c>
      <c r="BD145" s="106">
        <f>IF(C145="","",IFERROR(1/(1/_xlfn.MINIFS('Saisie'!$A$5:$A$2004,'Saisie'!$C$5:$C$2004,C145,'Saisie'!$AT$5:$AT$2004,"&gt;=2")),""))</f>
        <v/>
      </c>
      <c r="BE145" s="106">
        <f>IF(C145="","",IFERROR(1/(1/_xlfn.MINIFS('Saisie'!$A$5:$A$2004,'Saisie'!$C$5:$C$2004,C145,'Saisie'!$AT$5:$AT$2004,"&gt;=3")),""))</f>
        <v/>
      </c>
      <c r="BF145" s="106">
        <f>IF(C145="","",IFERROR(1/(1/_xlfn.MINIFS('Saisie'!$A$5:$A$2004,'Saisie'!$C$5:$C$2004,C145,'Saisie'!$AT$5:$AT$2004,"&gt;=4")),""))</f>
        <v/>
      </c>
      <c r="BG145" s="106">
        <f>IF(C145="","",IFERROR(1/(1/_xlfn.MINIFS('Saisie'!$A$5:$A$2004,'Saisie'!$C$5:$C$2004,C145,'Saisie'!$AT$5:$AT$2004,"&gt;=5")),""))</f>
        <v/>
      </c>
      <c r="BH145" s="106">
        <f>IF(C145="","",IFERROR(1/(1/_xlfn.MINIFS('Saisie'!$A$5:$A$2004,'Saisie'!$C$5:$C$2004,C145,'Saisie'!$AT$5:$AT$2004,"&gt;=6")),""))</f>
        <v/>
      </c>
      <c r="BI145" s="106">
        <f>IF(C145="","",IFERROR(1/(1/_xlfn.MINIFS('Saisie'!$A$5:$A$2004,'Saisie'!$C$5:$C$2004,C145,'Saisie'!$AT$5:$AT$2004,"&gt;=7")),""))</f>
        <v/>
      </c>
      <c r="BJ145" s="60">
        <f>IF(OR(BD145="",B145=""),"",BD145-B145)</f>
        <v/>
      </c>
      <c r="BK145" s="60">
        <f>IF(OR(BE145="",BD145=""),"",BE145-BD145)</f>
        <v/>
      </c>
      <c r="BL145" s="60">
        <f>IF(OR(BF145="",BE145=""),"",BF145-BE145)</f>
        <v/>
      </c>
      <c r="BM145" s="60">
        <f>IF(OR(BG145="",BF145=""),"",BG145-BF145)</f>
        <v/>
      </c>
      <c r="BN145" s="60">
        <f>IF(OR(BH145="",BG145=""),"",BH145-BG145)</f>
        <v/>
      </c>
      <c r="BO145" s="60">
        <f>IF(OR(BI145="",BH145=""),"",BI145-BH145)</f>
        <v/>
      </c>
      <c r="BP145" s="60">
        <f>IF(C145="","",_xlfn.MAXIFS('Saisie'!$AS$5:$AS$2004,'Saisie'!$C$5:$C$2004,C145,'Saisie'!$J$5:$J$2004,"&lt;&gt;"))</f>
        <v/>
      </c>
      <c r="BQ145" s="60">
        <f>IF(C145="","",_xlfn.MAXIFS('Saisie'!$AS$5:$AS$2004,'Saisie'!$C$5:$C$2004,C145))</f>
        <v/>
      </c>
      <c r="BR145" s="60">
        <f>IF(C145="","",_xlfn.MAXIFS('Saisie'!$AS$5:$AS$2004,'Saisie'!$C$5:$C$2004,C145,'Saisie'!$E$5:$E$2004,"Perdu"))</f>
        <v/>
      </c>
      <c r="BS145" s="60">
        <f>IF(C145="","",_xlfn.MAXIFS('Saisie'!$AS$5:$AS$2004,'Saisie'!$C$5:$C$2004,C145,'Saisie'!$AT$5:$AT$2004,"&gt;0"))</f>
        <v/>
      </c>
      <c r="BT145" s="109">
        <f>IF(AND(C145&lt;&gt;"",OR(D145="Nouveau",D145="Contacté",D145="Qualifié"),OR(G145="",N(G145)&lt;=TODAY()),NOT(AND(O145&gt;='Paramètres'!$B$21,P145=0))),E145+141/10000,"")</f>
        <v/>
      </c>
      <c r="BU145" s="60">
        <f>IF(AND(G145&lt;&gt;"",N(G145)&lt;=TODAY()),MAX($BU$4:BU144)+1,"")</f>
        <v/>
      </c>
      <c r="BV145" s="60">
        <f>IF(AND(F145&lt;&gt;"",F145&lt;&gt;"Relance en retard"),MAX($BV$4:BV144)+1,"")</f>
        <v/>
      </c>
      <c r="BW145" s="60">
        <f>IF(C145="","",IF(AND(B145&gt;='Tableau de bord'!$R$4,B145&lt;='Tableau de bord'!$S$4,OR('Tableau de bord'!$G$4="Tous",N145='Tableau de bord'!$G$4)),1,0))</f>
        <v/>
      </c>
      <c r="BX145" s="60">
        <f>IF(AND(C145&lt;&gt;"",N(BA145)=7),MAX($BX$4:BX144)+1,"")</f>
        <v/>
      </c>
    </row>
    <row r="146">
      <c r="A146" s="60">
        <f>IF(C146="","","P-"&amp;TEXT(142,"000"))</f>
        <v/>
      </c>
      <c r="B146" s="106">
        <f>IF(C146="","",IFERROR(1/(1/_xlfn.MINIFS('Saisie'!$A$5:$A$2004,'Saisie'!$C$5:$C$2004,C146)),""))</f>
        <v/>
      </c>
      <c r="C146" s="60">
        <f>IFERROR(INDEX('Saisie'!$C$5:$C$2004,MATCH(142,'Saisie'!$AX$5:$AX$2004,0)),"")</f>
        <v/>
      </c>
      <c r="D146" s="60">
        <f>IF(C146="","",IF(AND(BR146&gt;0,BR146&gt;BS146,BA146&lt;7),"Perdu",INDEX('Paramètres'!$F$6:$F$13,BA146)))</f>
        <v/>
      </c>
      <c r="E146" s="61">
        <f>IF(C146="","",MIN(100,(Z146="Oui")*'Paramètres'!$B$38+(AB146="Régulière")*'Paramètres'!$B$39+IF(AND(N(AA146)&gt;0,TODAY()-N(AA146)&lt;=30),'Paramètres'!$B$40,0)+(W146="")*'Paramètres'!$B$41+(AC146="Absente")*'Paramètres'!$B$42+(AC146="Faible")*'Paramètres'!$B$43+IF(AND(N(AD146)&gt;0,N(AD146)&lt;4),'Paramètres'!$B$44,0)+(AF146="Moyenne")*'Paramètres'!$B$45+(AF146="Grande")*'Paramètres'!$B$46+(Y146&lt;&gt;"")*'Paramètres'!$B$47))</f>
        <v/>
      </c>
      <c r="F146" s="60">
        <f>IF(C146="","",IF(D146="Gagné","",IF(D146="Perdu",IF(AND(AX146&lt;&gt;"",AX146&lt;=TODAY()),"À recontacter (perdu)",""),IF(AND(O146&gt;='Paramètres'!$B$21,P146=0),"Stop : "&amp;'Paramètres'!$B$21&amp;" tentatives sans réponse",IF(AND(D146="Proposition",AR146&lt;&gt;"",TODAY()&gt;N(AR146)),"Proposition expirée",IF(AND(D146="Proposition",N(R146)&gt;='Paramètres'!$B$25),"Proposition sans réponse",IF(AND(G146&lt;&gt;"",N(G146)&lt;TODAY()),"Relance en retard",IF(N(R146)&gt;='Paramètres'!$B$24,"Sans action depuis "&amp;R146&amp;" j",""))))))))</f>
        <v/>
      </c>
      <c r="G146" s="106">
        <f>IF(OR(C146="",D146="Gagné",D146="Perdu"),"",IF(AND(BP146&gt;0,BP146=BQ146),INDEX('Saisie'!$J$5:$J$2004,BP146-4),IF(OR(O146=0,AND(O146&gt;='Paramètres'!$B$21,P146=0)),"",Q146+IF(O146&lt;=1,'Paramètres'!$B$18,IF(O146=2,'Paramètres'!$B$19,'Paramètres'!$B$20)))))</f>
        <v/>
      </c>
      <c r="H146" s="107">
        <f>IF(OR(G146="",BP146&lt;&gt;BQ146),"",IF(INDEX('Saisie'!$K$5:$K$2004,BP146-4)="","",INDEX('Saisie'!$K$5:$K$2004,BP146-4)))</f>
        <v/>
      </c>
      <c r="I146" s="60">
        <f>IF(C146="","",IF(OR(D146="Gagné",D146="Perdu"),"",IFERROR(INDEX('Saisie'!$I$5:$I$2004,_xlfn.MAXIFS('Saisie'!$AS$5:$AS$2004,'Saisie'!$C$5:$C$2004,C146,'Saisie'!$I$5:$I$2004,"&lt;&gt;")-4),"")))</f>
        <v/>
      </c>
      <c r="J146" s="60">
        <f>IF(C146="","",IFERROR(INDEX('Saisie'!$U$5:$U$2004,_xlfn.MAXIFS('Saisie'!$AS$5:$AS$2004,'Saisie'!$C$5:$C$2004,C146,'Saisie'!$U$5:$U$2004,"&lt;&gt;")-4),""))</f>
        <v/>
      </c>
      <c r="K146" s="60">
        <f>IF(C146="","",IFERROR(INDEX('Saisie'!$W$5:$W$2004,_xlfn.MAXIFS('Saisie'!$AS$5:$AS$2004,'Saisie'!$C$5:$C$2004,C146,'Saisie'!$W$5:$W$2004,"&lt;&gt;")-4),""))</f>
        <v/>
      </c>
      <c r="L146" s="60">
        <f>IF(IF(BB146&lt;&gt;"",BB146,K146)="","",HYPERLINK("https://wa.me/"&amp;IF(LEFT(SUBSTITUTE(SUBSTITUTE(SUBSTITUTE(IF(BB146&lt;&gt;"",BB146,K146)," ",""),".",""),"+",""),1)="0",'Paramètres'!$B$35&amp;MID(SUBSTITUTE(SUBSTITUTE(SUBSTITUTE(IF(BB146&lt;&gt;"",BB146,K146)," ",""),".",""),"+",""),2,20),SUBSTITUTE(SUBSTITUTE(SUBSTITUTE(IF(BB146&lt;&gt;"",BB146,K146)," ",""),".",""),"+","")),"WhatsApp"))</f>
        <v/>
      </c>
      <c r="M146" s="60">
        <f>IF(BC146="","",HYPERLINK(IF(LEFT(BC146,4)="http",BC146,"https://www.instagram.com/"&amp;SUBSTITUTE(SUBSTITUTE(BC146,"@","")," ","")),BC146))</f>
        <v/>
      </c>
      <c r="N146" s="60">
        <f>IF(C146="","",IFERROR(INDEX('Saisie'!$D$5:$D$2004,_xlfn.MINIFS('Saisie'!$AS$5:$AS$2004,'Saisie'!$C$5:$C$2004,C146,'Saisie'!$AU$5:$AU$2004,1)-4),IFERROR(INDEX('Saisie'!$D$5:$D$2004,_xlfn.MINIFS('Saisie'!$AS$5:$AS$2004,'Saisie'!$C$5:$C$2004,C146,'Saisie'!$D$5:$D$2004,"&lt;&gt;")-4),"")))</f>
        <v/>
      </c>
      <c r="O146" s="60">
        <f>IF(C146="","",COUNTIFS('Saisie'!$C$5:$C$2004,C146,'Saisie'!$AU$5:$AU$2004,1))</f>
        <v/>
      </c>
      <c r="P146" s="60">
        <f>IF(C146="","",COUNTIFS('Saisie'!$C$5:$C$2004,C146,'Saisie'!$AV$5:$AV$2004,1))</f>
        <v/>
      </c>
      <c r="Q146" s="106">
        <f>IF(C146="","",IFERROR(1/(1/_xlfn.MAXIFS('Saisie'!$A$5:$A$2004,'Saisie'!$C$5:$C$2004,C146)),""))</f>
        <v/>
      </c>
      <c r="R146" s="61">
        <f>IF(C146="","",IF(Q146="","",TODAY()-Q146))</f>
        <v/>
      </c>
      <c r="S146" s="60">
        <f>IF(C146="","",IFERROR(INDEX('Saisie'!$R$5:$R$2004,_xlfn.MAXIFS('Saisie'!$AS$5:$AS$2004,'Saisie'!$C$5:$C$2004,C146,'Saisie'!$R$5:$R$2004,"&lt;&gt;")-4),""))</f>
        <v/>
      </c>
      <c r="T146" s="60">
        <f>IF(C146="","",IFERROR(INDEX('Saisie'!$S$5:$S$2004,_xlfn.MAXIFS('Saisie'!$AS$5:$AS$2004,'Saisie'!$C$5:$C$2004,C146,'Saisie'!$S$5:$S$2004,"&lt;&gt;")-4),""))</f>
        <v/>
      </c>
      <c r="U146" s="60">
        <f>IF(C146="","",IFERROR(INDEX('Saisie'!$T$5:$T$2004,_xlfn.MAXIFS('Saisie'!$AS$5:$AS$2004,'Saisie'!$C$5:$C$2004,C146,'Saisie'!$T$5:$T$2004,"&lt;&gt;")-4),""))</f>
        <v/>
      </c>
      <c r="V146" s="60">
        <f>IF(C146="","",IFERROR(INDEX('Saisie'!$V$5:$V$2004,_xlfn.MAXIFS('Saisie'!$AS$5:$AS$2004,'Saisie'!$C$5:$C$2004,C146,'Saisie'!$V$5:$V$2004,"&lt;&gt;")-4),""))</f>
        <v/>
      </c>
      <c r="W146" s="60">
        <f>IF(C146="","",IFERROR(INDEX('Saisie'!$Z$5:$Z$2004,_xlfn.MAXIFS('Saisie'!$AS$5:$AS$2004,'Saisie'!$C$5:$C$2004,C146,'Saisie'!$Z$5:$Z$2004,"&lt;&gt;")-4),""))</f>
        <v/>
      </c>
      <c r="X146" s="60">
        <f>IF(C146="","",IFERROR(INDEX('Saisie'!$AA$5:$AA$2004,_xlfn.MAXIFS('Saisie'!$AS$5:$AS$2004,'Saisie'!$C$5:$C$2004,C146,'Saisie'!$AA$5:$AA$2004,"&lt;&gt;")-4),""))</f>
        <v/>
      </c>
      <c r="Y146" s="60">
        <f>IF(C146="","",IFERROR(INDEX('Saisie'!$AB$5:$AB$2004,_xlfn.MAXIFS('Saisie'!$AS$5:$AS$2004,'Saisie'!$C$5:$C$2004,C146,'Saisie'!$AB$5:$AB$2004,"&lt;&gt;")-4),""))</f>
        <v/>
      </c>
      <c r="Z146" s="60">
        <f>IF(C146="","",IFERROR(INDEX('Saisie'!$AC$5:$AC$2004,_xlfn.MAXIFS('Saisie'!$AS$5:$AS$2004,'Saisie'!$C$5:$C$2004,C146,'Saisie'!$AC$5:$AC$2004,"&lt;&gt;")-4),""))</f>
        <v/>
      </c>
      <c r="AA146" s="106">
        <f>IF(C146="","",IFERROR(INDEX('Saisie'!$AD$5:$AD$2004,_xlfn.MAXIFS('Saisie'!$AS$5:$AS$2004,'Saisie'!$C$5:$C$2004,C146,'Saisie'!$AD$5:$AD$2004,"&lt;&gt;")-4),""))</f>
        <v/>
      </c>
      <c r="AB146" s="60">
        <f>IF(C146="","",IFERROR(INDEX('Saisie'!$AE$5:$AE$2004,_xlfn.MAXIFS('Saisie'!$AS$5:$AS$2004,'Saisie'!$C$5:$C$2004,C146,'Saisie'!$AE$5:$AE$2004,"&lt;&gt;")-4),""))</f>
        <v/>
      </c>
      <c r="AC146" s="60">
        <f>IF(C146="","",IFERROR(INDEX('Saisie'!$AF$5:$AF$2004,_xlfn.MAXIFS('Saisie'!$AS$5:$AS$2004,'Saisie'!$C$5:$C$2004,C146,'Saisie'!$AF$5:$AF$2004,"&lt;&gt;")-4),""))</f>
        <v/>
      </c>
      <c r="AD146" s="108">
        <f>IF(C146="","",IFERROR(INDEX('Saisie'!$AG$5:$AG$2004,_xlfn.MAXIFS('Saisie'!$AS$5:$AS$2004,'Saisie'!$C$5:$C$2004,C146,'Saisie'!$AG$5:$AG$2004,"&lt;&gt;")-4),""))</f>
        <v/>
      </c>
      <c r="AE146" s="60">
        <f>IF(C146="","",IFERROR(INDEX('Saisie'!$AH$5:$AH$2004,_xlfn.MAXIFS('Saisie'!$AS$5:$AS$2004,'Saisie'!$C$5:$C$2004,C146,'Saisie'!$AH$5:$AH$2004,"&lt;&gt;")-4),""))</f>
        <v/>
      </c>
      <c r="AF146" s="60">
        <f>IF(C146="","",IFERROR(INDEX('Saisie'!$AI$5:$AI$2004,_xlfn.MAXIFS('Saisie'!$AS$5:$AS$2004,'Saisie'!$C$5:$C$2004,C146,'Saisie'!$AI$5:$AI$2004,"&lt;&gt;")-4),""))</f>
        <v/>
      </c>
      <c r="AG146" s="60">
        <f>IF(C146="","",IFERROR(INDEX('Saisie'!$AJ$5:$AJ$2004,_xlfn.MAXIFS('Saisie'!$AS$5:$AS$2004,'Saisie'!$C$5:$C$2004,C146,'Saisie'!$AJ$5:$AJ$2004,"&lt;&gt;")-4),""))</f>
        <v/>
      </c>
      <c r="AH146" s="60">
        <f>IF(C146="","",IFERROR(INDEX('Saisie'!$AK$5:$AK$2004,_xlfn.MAXIFS('Saisie'!$AS$5:$AS$2004,'Saisie'!$C$5:$C$2004,C146,'Saisie'!$AK$5:$AK$2004,"&lt;&gt;")-4),""))</f>
        <v/>
      </c>
      <c r="AI146" s="60">
        <f>IF(C146="","",IFERROR(INDEX('Saisie'!$AN$5:$AN$2004,_xlfn.MAXIFS('Saisie'!$AS$5:$AS$2004,'Saisie'!$C$5:$C$2004,C146,'Saisie'!$AN$5:$AN$2004,"&lt;&gt;")-4),""))</f>
        <v/>
      </c>
      <c r="AJ146" s="60">
        <f>IF(C146="","",IFERROR(INDEX('Saisie'!$AO$5:$AO$2004,_xlfn.MAXIFS('Saisie'!$AS$5:$AS$2004,'Saisie'!$C$5:$C$2004,C146,'Saisie'!$AO$5:$AO$2004,"&lt;&gt;")-4),""))</f>
        <v/>
      </c>
      <c r="AK146" s="60">
        <f>IF(C146="","",IFERROR(INDEX('Saisie'!$AP$5:$AP$2004,_xlfn.MAXIFS('Saisie'!$AS$5:$AS$2004,'Saisie'!$C$5:$C$2004,C146,'Saisie'!$AP$5:$AP$2004,"&lt;&gt;")-4),""))</f>
        <v/>
      </c>
      <c r="AL146" s="60">
        <f>IF(C146="","",IFERROR(INDEX('Saisie'!$AQ$5:$AQ$2004,_xlfn.MAXIFS('Saisie'!$AS$5:$AS$2004,'Saisie'!$C$5:$C$2004,C146,'Saisie'!$AQ$5:$AQ$2004,"&lt;&gt;")-4),""))</f>
        <v/>
      </c>
      <c r="AM146" s="60">
        <f>IF(C146="","",((AI146="Oui")+(AJ146="Oui")+(AK146="Oui")+OR(AL146="Immédiat",AL146="&lt; 1 mois"))&amp;"/4")</f>
        <v/>
      </c>
      <c r="AN146" s="60">
        <f>IF(C146="","",IFERROR(INDEX('Saisie'!$AL$5:$AL$2004,_xlfn.MAXIFS('Saisie'!$AS$5:$AS$2004,'Saisie'!$C$5:$C$2004,C146,'Saisie'!$AL$5:$AL$2004,"&lt;&gt;")-4),""))</f>
        <v/>
      </c>
      <c r="AO146" s="62">
        <f>IF(C146="","",IF(IFERROR(INDEX('Saisie'!$AM$5:$AM$2004,_xlfn.MAXIFS('Saisie'!$AS$5:$AS$2004,'Saisie'!$C$5:$C$2004,C146,'Saisie'!$AM$5:$AM$2004,"&lt;&gt;")-4),"")&lt;&gt;"",IFERROR(INDEX('Saisie'!$AM$5:$AM$2004,_xlfn.MAXIFS('Saisie'!$AS$5:$AS$2004,'Saisie'!$C$5:$C$2004,C146,'Saisie'!$AM$5:$AM$2004,"&lt;&gt;")-4),""),IFERROR(INDEX('Paramètres'!$S$6:$S$15,MATCH(AN146,'Paramètres'!$Q$6:$Q$15,0)),"")))</f>
        <v/>
      </c>
      <c r="AP146" s="62">
        <f>IF(C146="","",IFERROR(INDEX('Saisie'!$AW$5:$AW$2004,_xlfn.MAXIFS('Saisie'!$AS$5:$AS$2004,'Saisie'!$C$5:$C$2004,C146,'Saisie'!$E$5:$E$2004,"Proposition envoyée")-4),""))</f>
        <v/>
      </c>
      <c r="AQ146" s="106">
        <f>IF(C146="","",IFERROR(1/(1/_xlfn.MAXIFS('Saisie'!$A$5:$A$2004,'Saisie'!$C$5:$C$2004,C146,'Saisie'!$E$5:$E$2004,"Proposition envoyée")),""))</f>
        <v/>
      </c>
      <c r="AR146" s="106">
        <f>IF(C146="","",IF(AQ146="","",AQ146+'Paramètres'!$B$26))</f>
        <v/>
      </c>
      <c r="AS146" s="62">
        <f>IF(OR(C146="",D146="Gagné",D146="Perdu"),0,N(AP146)*IFERROR(INDEX('Paramètres'!$G$6:$G$13,MATCH(D146,'Paramètres'!$F$6:$F$13,0)),0))</f>
        <v/>
      </c>
      <c r="AT146" s="106">
        <f>IF(C146="","",IFERROR(1/(1/_xlfn.MINIFS('Saisie'!$A$5:$A$2004,'Saisie'!$C$5:$C$2004,C146,'Saisie'!$E$5:$E$2004,"Signature")),""))</f>
        <v/>
      </c>
      <c r="AU146" s="60">
        <f>IF(C146="","",IF(OR(AT146="",B146=""),"",AT146-B146))</f>
        <v/>
      </c>
      <c r="AV146" s="60">
        <f>IF(C146="","",IFERROR(INDEX('Saisie'!$L$5:$L$2004,_xlfn.MAXIFS('Saisie'!$AS$5:$AS$2004,'Saisie'!$C$5:$C$2004,C146,'Saisie'!$L$5:$L$2004,"&lt;&gt;")-4),""))</f>
        <v/>
      </c>
      <c r="AW146" s="106">
        <f>IF(C146="","",IF(D146&lt;&gt;"Perdu","",IFERROR(1/(1/_xlfn.MAXIFS('Saisie'!$A$5:$A$2004,'Saisie'!$C$5:$C$2004,C146,'Saisie'!$E$5:$E$2004,"Perdu")),"")))</f>
        <v/>
      </c>
      <c r="AX146" s="106">
        <f>IF(C146="","",IF(AW146="","",AW146+'Paramètres'!$B$28))</f>
        <v/>
      </c>
      <c r="AY146" s="60">
        <f>IF(C146="","",SUMIFS('Saisie'!$H$5:$H$2004,'Saisie'!$C$5:$C$2004,C146))</f>
        <v/>
      </c>
      <c r="AZ146" s="60">
        <f>IF(C146="","",IFERROR(INDEX('Paramètres'!$W$6:$W$20,MATCH(S146,'Paramètres'!$V$6:$V$20,0))&amp;"",""))</f>
        <v/>
      </c>
      <c r="BA146" s="60">
        <f>IF(C146="","",MAX(1,_xlfn.MAXIFS('Saisie'!$AT$5:$AT$2004,'Saisie'!$C$5:$C$2004,C146)))</f>
        <v/>
      </c>
      <c r="BB146" s="60">
        <f>IF(C146="","",IFERROR(INDEX('Saisie'!$X$5:$X$2004,_xlfn.MAXIFS('Saisie'!$AS$5:$AS$2004,'Saisie'!$C$5:$C$2004,C146,'Saisie'!$X$5:$X$2004,"&lt;&gt;")-4),""))</f>
        <v/>
      </c>
      <c r="BC146" s="60">
        <f>IF(C146="","",IFERROR(INDEX('Saisie'!$Y$5:$Y$2004,_xlfn.MAXIFS('Saisie'!$AS$5:$AS$2004,'Saisie'!$C$5:$C$2004,C146,'Saisie'!$Y$5:$Y$2004,"&lt;&gt;")-4),""))</f>
        <v/>
      </c>
      <c r="BD146" s="106">
        <f>IF(C146="","",IFERROR(1/(1/_xlfn.MINIFS('Saisie'!$A$5:$A$2004,'Saisie'!$C$5:$C$2004,C146,'Saisie'!$AT$5:$AT$2004,"&gt;=2")),""))</f>
        <v/>
      </c>
      <c r="BE146" s="106">
        <f>IF(C146="","",IFERROR(1/(1/_xlfn.MINIFS('Saisie'!$A$5:$A$2004,'Saisie'!$C$5:$C$2004,C146,'Saisie'!$AT$5:$AT$2004,"&gt;=3")),""))</f>
        <v/>
      </c>
      <c r="BF146" s="106">
        <f>IF(C146="","",IFERROR(1/(1/_xlfn.MINIFS('Saisie'!$A$5:$A$2004,'Saisie'!$C$5:$C$2004,C146,'Saisie'!$AT$5:$AT$2004,"&gt;=4")),""))</f>
        <v/>
      </c>
      <c r="BG146" s="106">
        <f>IF(C146="","",IFERROR(1/(1/_xlfn.MINIFS('Saisie'!$A$5:$A$2004,'Saisie'!$C$5:$C$2004,C146,'Saisie'!$AT$5:$AT$2004,"&gt;=5")),""))</f>
        <v/>
      </c>
      <c r="BH146" s="106">
        <f>IF(C146="","",IFERROR(1/(1/_xlfn.MINIFS('Saisie'!$A$5:$A$2004,'Saisie'!$C$5:$C$2004,C146,'Saisie'!$AT$5:$AT$2004,"&gt;=6")),""))</f>
        <v/>
      </c>
      <c r="BI146" s="106">
        <f>IF(C146="","",IFERROR(1/(1/_xlfn.MINIFS('Saisie'!$A$5:$A$2004,'Saisie'!$C$5:$C$2004,C146,'Saisie'!$AT$5:$AT$2004,"&gt;=7")),""))</f>
        <v/>
      </c>
      <c r="BJ146" s="60">
        <f>IF(OR(BD146="",B146=""),"",BD146-B146)</f>
        <v/>
      </c>
      <c r="BK146" s="60">
        <f>IF(OR(BE146="",BD146=""),"",BE146-BD146)</f>
        <v/>
      </c>
      <c r="BL146" s="60">
        <f>IF(OR(BF146="",BE146=""),"",BF146-BE146)</f>
        <v/>
      </c>
      <c r="BM146" s="60">
        <f>IF(OR(BG146="",BF146=""),"",BG146-BF146)</f>
        <v/>
      </c>
      <c r="BN146" s="60">
        <f>IF(OR(BH146="",BG146=""),"",BH146-BG146)</f>
        <v/>
      </c>
      <c r="BO146" s="60">
        <f>IF(OR(BI146="",BH146=""),"",BI146-BH146)</f>
        <v/>
      </c>
      <c r="BP146" s="60">
        <f>IF(C146="","",_xlfn.MAXIFS('Saisie'!$AS$5:$AS$2004,'Saisie'!$C$5:$C$2004,C146,'Saisie'!$J$5:$J$2004,"&lt;&gt;"))</f>
        <v/>
      </c>
      <c r="BQ146" s="60">
        <f>IF(C146="","",_xlfn.MAXIFS('Saisie'!$AS$5:$AS$2004,'Saisie'!$C$5:$C$2004,C146))</f>
        <v/>
      </c>
      <c r="BR146" s="60">
        <f>IF(C146="","",_xlfn.MAXIFS('Saisie'!$AS$5:$AS$2004,'Saisie'!$C$5:$C$2004,C146,'Saisie'!$E$5:$E$2004,"Perdu"))</f>
        <v/>
      </c>
      <c r="BS146" s="60">
        <f>IF(C146="","",_xlfn.MAXIFS('Saisie'!$AS$5:$AS$2004,'Saisie'!$C$5:$C$2004,C146,'Saisie'!$AT$5:$AT$2004,"&gt;0"))</f>
        <v/>
      </c>
      <c r="BT146" s="109">
        <f>IF(AND(C146&lt;&gt;"",OR(D146="Nouveau",D146="Contacté",D146="Qualifié"),OR(G146="",N(G146)&lt;=TODAY()),NOT(AND(O146&gt;='Paramètres'!$B$21,P146=0))),E146+142/10000,"")</f>
        <v/>
      </c>
      <c r="BU146" s="60">
        <f>IF(AND(G146&lt;&gt;"",N(G146)&lt;=TODAY()),MAX($BU$4:BU145)+1,"")</f>
        <v/>
      </c>
      <c r="BV146" s="60">
        <f>IF(AND(F146&lt;&gt;"",F146&lt;&gt;"Relance en retard"),MAX($BV$4:BV145)+1,"")</f>
        <v/>
      </c>
      <c r="BW146" s="60">
        <f>IF(C146="","",IF(AND(B146&gt;='Tableau de bord'!$R$4,B146&lt;='Tableau de bord'!$S$4,OR('Tableau de bord'!$G$4="Tous",N146='Tableau de bord'!$G$4)),1,0))</f>
        <v/>
      </c>
      <c r="BX146" s="60">
        <f>IF(AND(C146&lt;&gt;"",N(BA146)=7),MAX($BX$4:BX145)+1,"")</f>
        <v/>
      </c>
    </row>
    <row r="147">
      <c r="A147" s="60">
        <f>IF(C147="","","P-"&amp;TEXT(143,"000"))</f>
        <v/>
      </c>
      <c r="B147" s="106">
        <f>IF(C147="","",IFERROR(1/(1/_xlfn.MINIFS('Saisie'!$A$5:$A$2004,'Saisie'!$C$5:$C$2004,C147)),""))</f>
        <v/>
      </c>
      <c r="C147" s="60">
        <f>IFERROR(INDEX('Saisie'!$C$5:$C$2004,MATCH(143,'Saisie'!$AX$5:$AX$2004,0)),"")</f>
        <v/>
      </c>
      <c r="D147" s="60">
        <f>IF(C147="","",IF(AND(BR147&gt;0,BR147&gt;BS147,BA147&lt;7),"Perdu",INDEX('Paramètres'!$F$6:$F$13,BA147)))</f>
        <v/>
      </c>
      <c r="E147" s="61">
        <f>IF(C147="","",MIN(100,(Z147="Oui")*'Paramètres'!$B$38+(AB147="Régulière")*'Paramètres'!$B$39+IF(AND(N(AA147)&gt;0,TODAY()-N(AA147)&lt;=30),'Paramètres'!$B$40,0)+(W147="")*'Paramètres'!$B$41+(AC147="Absente")*'Paramètres'!$B$42+(AC147="Faible")*'Paramètres'!$B$43+IF(AND(N(AD147)&gt;0,N(AD147)&lt;4),'Paramètres'!$B$44,0)+(AF147="Moyenne")*'Paramètres'!$B$45+(AF147="Grande")*'Paramètres'!$B$46+(Y147&lt;&gt;"")*'Paramètres'!$B$47))</f>
        <v/>
      </c>
      <c r="F147" s="60">
        <f>IF(C147="","",IF(D147="Gagné","",IF(D147="Perdu",IF(AND(AX147&lt;&gt;"",AX147&lt;=TODAY()),"À recontacter (perdu)",""),IF(AND(O147&gt;='Paramètres'!$B$21,P147=0),"Stop : "&amp;'Paramètres'!$B$21&amp;" tentatives sans réponse",IF(AND(D147="Proposition",AR147&lt;&gt;"",TODAY()&gt;N(AR147)),"Proposition expirée",IF(AND(D147="Proposition",N(R147)&gt;='Paramètres'!$B$25),"Proposition sans réponse",IF(AND(G147&lt;&gt;"",N(G147)&lt;TODAY()),"Relance en retard",IF(N(R147)&gt;='Paramètres'!$B$24,"Sans action depuis "&amp;R147&amp;" j",""))))))))</f>
        <v/>
      </c>
      <c r="G147" s="106">
        <f>IF(OR(C147="",D147="Gagné",D147="Perdu"),"",IF(AND(BP147&gt;0,BP147=BQ147),INDEX('Saisie'!$J$5:$J$2004,BP147-4),IF(OR(O147=0,AND(O147&gt;='Paramètres'!$B$21,P147=0)),"",Q147+IF(O147&lt;=1,'Paramètres'!$B$18,IF(O147=2,'Paramètres'!$B$19,'Paramètres'!$B$20)))))</f>
        <v/>
      </c>
      <c r="H147" s="107">
        <f>IF(OR(G147="",BP147&lt;&gt;BQ147),"",IF(INDEX('Saisie'!$K$5:$K$2004,BP147-4)="","",INDEX('Saisie'!$K$5:$K$2004,BP147-4)))</f>
        <v/>
      </c>
      <c r="I147" s="60">
        <f>IF(C147="","",IF(OR(D147="Gagné",D147="Perdu"),"",IFERROR(INDEX('Saisie'!$I$5:$I$2004,_xlfn.MAXIFS('Saisie'!$AS$5:$AS$2004,'Saisie'!$C$5:$C$2004,C147,'Saisie'!$I$5:$I$2004,"&lt;&gt;")-4),"")))</f>
        <v/>
      </c>
      <c r="J147" s="60">
        <f>IF(C147="","",IFERROR(INDEX('Saisie'!$U$5:$U$2004,_xlfn.MAXIFS('Saisie'!$AS$5:$AS$2004,'Saisie'!$C$5:$C$2004,C147,'Saisie'!$U$5:$U$2004,"&lt;&gt;")-4),""))</f>
        <v/>
      </c>
      <c r="K147" s="60">
        <f>IF(C147="","",IFERROR(INDEX('Saisie'!$W$5:$W$2004,_xlfn.MAXIFS('Saisie'!$AS$5:$AS$2004,'Saisie'!$C$5:$C$2004,C147,'Saisie'!$W$5:$W$2004,"&lt;&gt;")-4),""))</f>
        <v/>
      </c>
      <c r="L147" s="60">
        <f>IF(IF(BB147&lt;&gt;"",BB147,K147)="","",HYPERLINK("https://wa.me/"&amp;IF(LEFT(SUBSTITUTE(SUBSTITUTE(SUBSTITUTE(IF(BB147&lt;&gt;"",BB147,K147)," ",""),".",""),"+",""),1)="0",'Paramètres'!$B$35&amp;MID(SUBSTITUTE(SUBSTITUTE(SUBSTITUTE(IF(BB147&lt;&gt;"",BB147,K147)," ",""),".",""),"+",""),2,20),SUBSTITUTE(SUBSTITUTE(SUBSTITUTE(IF(BB147&lt;&gt;"",BB147,K147)," ",""),".",""),"+","")),"WhatsApp"))</f>
        <v/>
      </c>
      <c r="M147" s="60">
        <f>IF(BC147="","",HYPERLINK(IF(LEFT(BC147,4)="http",BC147,"https://www.instagram.com/"&amp;SUBSTITUTE(SUBSTITUTE(BC147,"@","")," ","")),BC147))</f>
        <v/>
      </c>
      <c r="N147" s="60">
        <f>IF(C147="","",IFERROR(INDEX('Saisie'!$D$5:$D$2004,_xlfn.MINIFS('Saisie'!$AS$5:$AS$2004,'Saisie'!$C$5:$C$2004,C147,'Saisie'!$AU$5:$AU$2004,1)-4),IFERROR(INDEX('Saisie'!$D$5:$D$2004,_xlfn.MINIFS('Saisie'!$AS$5:$AS$2004,'Saisie'!$C$5:$C$2004,C147,'Saisie'!$D$5:$D$2004,"&lt;&gt;")-4),"")))</f>
        <v/>
      </c>
      <c r="O147" s="60">
        <f>IF(C147="","",COUNTIFS('Saisie'!$C$5:$C$2004,C147,'Saisie'!$AU$5:$AU$2004,1))</f>
        <v/>
      </c>
      <c r="P147" s="60">
        <f>IF(C147="","",COUNTIFS('Saisie'!$C$5:$C$2004,C147,'Saisie'!$AV$5:$AV$2004,1))</f>
        <v/>
      </c>
      <c r="Q147" s="106">
        <f>IF(C147="","",IFERROR(1/(1/_xlfn.MAXIFS('Saisie'!$A$5:$A$2004,'Saisie'!$C$5:$C$2004,C147)),""))</f>
        <v/>
      </c>
      <c r="R147" s="61">
        <f>IF(C147="","",IF(Q147="","",TODAY()-Q147))</f>
        <v/>
      </c>
      <c r="S147" s="60">
        <f>IF(C147="","",IFERROR(INDEX('Saisie'!$R$5:$R$2004,_xlfn.MAXIFS('Saisie'!$AS$5:$AS$2004,'Saisie'!$C$5:$C$2004,C147,'Saisie'!$R$5:$R$2004,"&lt;&gt;")-4),""))</f>
        <v/>
      </c>
      <c r="T147" s="60">
        <f>IF(C147="","",IFERROR(INDEX('Saisie'!$S$5:$S$2004,_xlfn.MAXIFS('Saisie'!$AS$5:$AS$2004,'Saisie'!$C$5:$C$2004,C147,'Saisie'!$S$5:$S$2004,"&lt;&gt;")-4),""))</f>
        <v/>
      </c>
      <c r="U147" s="60">
        <f>IF(C147="","",IFERROR(INDEX('Saisie'!$T$5:$T$2004,_xlfn.MAXIFS('Saisie'!$AS$5:$AS$2004,'Saisie'!$C$5:$C$2004,C147,'Saisie'!$T$5:$T$2004,"&lt;&gt;")-4),""))</f>
        <v/>
      </c>
      <c r="V147" s="60">
        <f>IF(C147="","",IFERROR(INDEX('Saisie'!$V$5:$V$2004,_xlfn.MAXIFS('Saisie'!$AS$5:$AS$2004,'Saisie'!$C$5:$C$2004,C147,'Saisie'!$V$5:$V$2004,"&lt;&gt;")-4),""))</f>
        <v/>
      </c>
      <c r="W147" s="60">
        <f>IF(C147="","",IFERROR(INDEX('Saisie'!$Z$5:$Z$2004,_xlfn.MAXIFS('Saisie'!$AS$5:$AS$2004,'Saisie'!$C$5:$C$2004,C147,'Saisie'!$Z$5:$Z$2004,"&lt;&gt;")-4),""))</f>
        <v/>
      </c>
      <c r="X147" s="60">
        <f>IF(C147="","",IFERROR(INDEX('Saisie'!$AA$5:$AA$2004,_xlfn.MAXIFS('Saisie'!$AS$5:$AS$2004,'Saisie'!$C$5:$C$2004,C147,'Saisie'!$AA$5:$AA$2004,"&lt;&gt;")-4),""))</f>
        <v/>
      </c>
      <c r="Y147" s="60">
        <f>IF(C147="","",IFERROR(INDEX('Saisie'!$AB$5:$AB$2004,_xlfn.MAXIFS('Saisie'!$AS$5:$AS$2004,'Saisie'!$C$5:$C$2004,C147,'Saisie'!$AB$5:$AB$2004,"&lt;&gt;")-4),""))</f>
        <v/>
      </c>
      <c r="Z147" s="60">
        <f>IF(C147="","",IFERROR(INDEX('Saisie'!$AC$5:$AC$2004,_xlfn.MAXIFS('Saisie'!$AS$5:$AS$2004,'Saisie'!$C$5:$C$2004,C147,'Saisie'!$AC$5:$AC$2004,"&lt;&gt;")-4),""))</f>
        <v/>
      </c>
      <c r="AA147" s="106">
        <f>IF(C147="","",IFERROR(INDEX('Saisie'!$AD$5:$AD$2004,_xlfn.MAXIFS('Saisie'!$AS$5:$AS$2004,'Saisie'!$C$5:$C$2004,C147,'Saisie'!$AD$5:$AD$2004,"&lt;&gt;")-4),""))</f>
        <v/>
      </c>
      <c r="AB147" s="60">
        <f>IF(C147="","",IFERROR(INDEX('Saisie'!$AE$5:$AE$2004,_xlfn.MAXIFS('Saisie'!$AS$5:$AS$2004,'Saisie'!$C$5:$C$2004,C147,'Saisie'!$AE$5:$AE$2004,"&lt;&gt;")-4),""))</f>
        <v/>
      </c>
      <c r="AC147" s="60">
        <f>IF(C147="","",IFERROR(INDEX('Saisie'!$AF$5:$AF$2004,_xlfn.MAXIFS('Saisie'!$AS$5:$AS$2004,'Saisie'!$C$5:$C$2004,C147,'Saisie'!$AF$5:$AF$2004,"&lt;&gt;")-4),""))</f>
        <v/>
      </c>
      <c r="AD147" s="108">
        <f>IF(C147="","",IFERROR(INDEX('Saisie'!$AG$5:$AG$2004,_xlfn.MAXIFS('Saisie'!$AS$5:$AS$2004,'Saisie'!$C$5:$C$2004,C147,'Saisie'!$AG$5:$AG$2004,"&lt;&gt;")-4),""))</f>
        <v/>
      </c>
      <c r="AE147" s="60">
        <f>IF(C147="","",IFERROR(INDEX('Saisie'!$AH$5:$AH$2004,_xlfn.MAXIFS('Saisie'!$AS$5:$AS$2004,'Saisie'!$C$5:$C$2004,C147,'Saisie'!$AH$5:$AH$2004,"&lt;&gt;")-4),""))</f>
        <v/>
      </c>
      <c r="AF147" s="60">
        <f>IF(C147="","",IFERROR(INDEX('Saisie'!$AI$5:$AI$2004,_xlfn.MAXIFS('Saisie'!$AS$5:$AS$2004,'Saisie'!$C$5:$C$2004,C147,'Saisie'!$AI$5:$AI$2004,"&lt;&gt;")-4),""))</f>
        <v/>
      </c>
      <c r="AG147" s="60">
        <f>IF(C147="","",IFERROR(INDEX('Saisie'!$AJ$5:$AJ$2004,_xlfn.MAXIFS('Saisie'!$AS$5:$AS$2004,'Saisie'!$C$5:$C$2004,C147,'Saisie'!$AJ$5:$AJ$2004,"&lt;&gt;")-4),""))</f>
        <v/>
      </c>
      <c r="AH147" s="60">
        <f>IF(C147="","",IFERROR(INDEX('Saisie'!$AK$5:$AK$2004,_xlfn.MAXIFS('Saisie'!$AS$5:$AS$2004,'Saisie'!$C$5:$C$2004,C147,'Saisie'!$AK$5:$AK$2004,"&lt;&gt;")-4),""))</f>
        <v/>
      </c>
      <c r="AI147" s="60">
        <f>IF(C147="","",IFERROR(INDEX('Saisie'!$AN$5:$AN$2004,_xlfn.MAXIFS('Saisie'!$AS$5:$AS$2004,'Saisie'!$C$5:$C$2004,C147,'Saisie'!$AN$5:$AN$2004,"&lt;&gt;")-4),""))</f>
        <v/>
      </c>
      <c r="AJ147" s="60">
        <f>IF(C147="","",IFERROR(INDEX('Saisie'!$AO$5:$AO$2004,_xlfn.MAXIFS('Saisie'!$AS$5:$AS$2004,'Saisie'!$C$5:$C$2004,C147,'Saisie'!$AO$5:$AO$2004,"&lt;&gt;")-4),""))</f>
        <v/>
      </c>
      <c r="AK147" s="60">
        <f>IF(C147="","",IFERROR(INDEX('Saisie'!$AP$5:$AP$2004,_xlfn.MAXIFS('Saisie'!$AS$5:$AS$2004,'Saisie'!$C$5:$C$2004,C147,'Saisie'!$AP$5:$AP$2004,"&lt;&gt;")-4),""))</f>
        <v/>
      </c>
      <c r="AL147" s="60">
        <f>IF(C147="","",IFERROR(INDEX('Saisie'!$AQ$5:$AQ$2004,_xlfn.MAXIFS('Saisie'!$AS$5:$AS$2004,'Saisie'!$C$5:$C$2004,C147,'Saisie'!$AQ$5:$AQ$2004,"&lt;&gt;")-4),""))</f>
        <v/>
      </c>
      <c r="AM147" s="60">
        <f>IF(C147="","",((AI147="Oui")+(AJ147="Oui")+(AK147="Oui")+OR(AL147="Immédiat",AL147="&lt; 1 mois"))&amp;"/4")</f>
        <v/>
      </c>
      <c r="AN147" s="60">
        <f>IF(C147="","",IFERROR(INDEX('Saisie'!$AL$5:$AL$2004,_xlfn.MAXIFS('Saisie'!$AS$5:$AS$2004,'Saisie'!$C$5:$C$2004,C147,'Saisie'!$AL$5:$AL$2004,"&lt;&gt;")-4),""))</f>
        <v/>
      </c>
      <c r="AO147" s="62">
        <f>IF(C147="","",IF(IFERROR(INDEX('Saisie'!$AM$5:$AM$2004,_xlfn.MAXIFS('Saisie'!$AS$5:$AS$2004,'Saisie'!$C$5:$C$2004,C147,'Saisie'!$AM$5:$AM$2004,"&lt;&gt;")-4),"")&lt;&gt;"",IFERROR(INDEX('Saisie'!$AM$5:$AM$2004,_xlfn.MAXIFS('Saisie'!$AS$5:$AS$2004,'Saisie'!$C$5:$C$2004,C147,'Saisie'!$AM$5:$AM$2004,"&lt;&gt;")-4),""),IFERROR(INDEX('Paramètres'!$S$6:$S$15,MATCH(AN147,'Paramètres'!$Q$6:$Q$15,0)),"")))</f>
        <v/>
      </c>
      <c r="AP147" s="62">
        <f>IF(C147="","",IFERROR(INDEX('Saisie'!$AW$5:$AW$2004,_xlfn.MAXIFS('Saisie'!$AS$5:$AS$2004,'Saisie'!$C$5:$C$2004,C147,'Saisie'!$E$5:$E$2004,"Proposition envoyée")-4),""))</f>
        <v/>
      </c>
      <c r="AQ147" s="106">
        <f>IF(C147="","",IFERROR(1/(1/_xlfn.MAXIFS('Saisie'!$A$5:$A$2004,'Saisie'!$C$5:$C$2004,C147,'Saisie'!$E$5:$E$2004,"Proposition envoyée")),""))</f>
        <v/>
      </c>
      <c r="AR147" s="106">
        <f>IF(C147="","",IF(AQ147="","",AQ147+'Paramètres'!$B$26))</f>
        <v/>
      </c>
      <c r="AS147" s="62">
        <f>IF(OR(C147="",D147="Gagné",D147="Perdu"),0,N(AP147)*IFERROR(INDEX('Paramètres'!$G$6:$G$13,MATCH(D147,'Paramètres'!$F$6:$F$13,0)),0))</f>
        <v/>
      </c>
      <c r="AT147" s="106">
        <f>IF(C147="","",IFERROR(1/(1/_xlfn.MINIFS('Saisie'!$A$5:$A$2004,'Saisie'!$C$5:$C$2004,C147,'Saisie'!$E$5:$E$2004,"Signature")),""))</f>
        <v/>
      </c>
      <c r="AU147" s="60">
        <f>IF(C147="","",IF(OR(AT147="",B147=""),"",AT147-B147))</f>
        <v/>
      </c>
      <c r="AV147" s="60">
        <f>IF(C147="","",IFERROR(INDEX('Saisie'!$L$5:$L$2004,_xlfn.MAXIFS('Saisie'!$AS$5:$AS$2004,'Saisie'!$C$5:$C$2004,C147,'Saisie'!$L$5:$L$2004,"&lt;&gt;")-4),""))</f>
        <v/>
      </c>
      <c r="AW147" s="106">
        <f>IF(C147="","",IF(D147&lt;&gt;"Perdu","",IFERROR(1/(1/_xlfn.MAXIFS('Saisie'!$A$5:$A$2004,'Saisie'!$C$5:$C$2004,C147,'Saisie'!$E$5:$E$2004,"Perdu")),"")))</f>
        <v/>
      </c>
      <c r="AX147" s="106">
        <f>IF(C147="","",IF(AW147="","",AW147+'Paramètres'!$B$28))</f>
        <v/>
      </c>
      <c r="AY147" s="60">
        <f>IF(C147="","",SUMIFS('Saisie'!$H$5:$H$2004,'Saisie'!$C$5:$C$2004,C147))</f>
        <v/>
      </c>
      <c r="AZ147" s="60">
        <f>IF(C147="","",IFERROR(INDEX('Paramètres'!$W$6:$W$20,MATCH(S147,'Paramètres'!$V$6:$V$20,0))&amp;"",""))</f>
        <v/>
      </c>
      <c r="BA147" s="60">
        <f>IF(C147="","",MAX(1,_xlfn.MAXIFS('Saisie'!$AT$5:$AT$2004,'Saisie'!$C$5:$C$2004,C147)))</f>
        <v/>
      </c>
      <c r="BB147" s="60">
        <f>IF(C147="","",IFERROR(INDEX('Saisie'!$X$5:$X$2004,_xlfn.MAXIFS('Saisie'!$AS$5:$AS$2004,'Saisie'!$C$5:$C$2004,C147,'Saisie'!$X$5:$X$2004,"&lt;&gt;")-4),""))</f>
        <v/>
      </c>
      <c r="BC147" s="60">
        <f>IF(C147="","",IFERROR(INDEX('Saisie'!$Y$5:$Y$2004,_xlfn.MAXIFS('Saisie'!$AS$5:$AS$2004,'Saisie'!$C$5:$C$2004,C147,'Saisie'!$Y$5:$Y$2004,"&lt;&gt;")-4),""))</f>
        <v/>
      </c>
      <c r="BD147" s="106">
        <f>IF(C147="","",IFERROR(1/(1/_xlfn.MINIFS('Saisie'!$A$5:$A$2004,'Saisie'!$C$5:$C$2004,C147,'Saisie'!$AT$5:$AT$2004,"&gt;=2")),""))</f>
        <v/>
      </c>
      <c r="BE147" s="106">
        <f>IF(C147="","",IFERROR(1/(1/_xlfn.MINIFS('Saisie'!$A$5:$A$2004,'Saisie'!$C$5:$C$2004,C147,'Saisie'!$AT$5:$AT$2004,"&gt;=3")),""))</f>
        <v/>
      </c>
      <c r="BF147" s="106">
        <f>IF(C147="","",IFERROR(1/(1/_xlfn.MINIFS('Saisie'!$A$5:$A$2004,'Saisie'!$C$5:$C$2004,C147,'Saisie'!$AT$5:$AT$2004,"&gt;=4")),""))</f>
        <v/>
      </c>
      <c r="BG147" s="106">
        <f>IF(C147="","",IFERROR(1/(1/_xlfn.MINIFS('Saisie'!$A$5:$A$2004,'Saisie'!$C$5:$C$2004,C147,'Saisie'!$AT$5:$AT$2004,"&gt;=5")),""))</f>
        <v/>
      </c>
      <c r="BH147" s="106">
        <f>IF(C147="","",IFERROR(1/(1/_xlfn.MINIFS('Saisie'!$A$5:$A$2004,'Saisie'!$C$5:$C$2004,C147,'Saisie'!$AT$5:$AT$2004,"&gt;=6")),""))</f>
        <v/>
      </c>
      <c r="BI147" s="106">
        <f>IF(C147="","",IFERROR(1/(1/_xlfn.MINIFS('Saisie'!$A$5:$A$2004,'Saisie'!$C$5:$C$2004,C147,'Saisie'!$AT$5:$AT$2004,"&gt;=7")),""))</f>
        <v/>
      </c>
      <c r="BJ147" s="60">
        <f>IF(OR(BD147="",B147=""),"",BD147-B147)</f>
        <v/>
      </c>
      <c r="BK147" s="60">
        <f>IF(OR(BE147="",BD147=""),"",BE147-BD147)</f>
        <v/>
      </c>
      <c r="BL147" s="60">
        <f>IF(OR(BF147="",BE147=""),"",BF147-BE147)</f>
        <v/>
      </c>
      <c r="BM147" s="60">
        <f>IF(OR(BG147="",BF147=""),"",BG147-BF147)</f>
        <v/>
      </c>
      <c r="BN147" s="60">
        <f>IF(OR(BH147="",BG147=""),"",BH147-BG147)</f>
        <v/>
      </c>
      <c r="BO147" s="60">
        <f>IF(OR(BI147="",BH147=""),"",BI147-BH147)</f>
        <v/>
      </c>
      <c r="BP147" s="60">
        <f>IF(C147="","",_xlfn.MAXIFS('Saisie'!$AS$5:$AS$2004,'Saisie'!$C$5:$C$2004,C147,'Saisie'!$J$5:$J$2004,"&lt;&gt;"))</f>
        <v/>
      </c>
      <c r="BQ147" s="60">
        <f>IF(C147="","",_xlfn.MAXIFS('Saisie'!$AS$5:$AS$2004,'Saisie'!$C$5:$C$2004,C147))</f>
        <v/>
      </c>
      <c r="BR147" s="60">
        <f>IF(C147="","",_xlfn.MAXIFS('Saisie'!$AS$5:$AS$2004,'Saisie'!$C$5:$C$2004,C147,'Saisie'!$E$5:$E$2004,"Perdu"))</f>
        <v/>
      </c>
      <c r="BS147" s="60">
        <f>IF(C147="","",_xlfn.MAXIFS('Saisie'!$AS$5:$AS$2004,'Saisie'!$C$5:$C$2004,C147,'Saisie'!$AT$5:$AT$2004,"&gt;0"))</f>
        <v/>
      </c>
      <c r="BT147" s="109">
        <f>IF(AND(C147&lt;&gt;"",OR(D147="Nouveau",D147="Contacté",D147="Qualifié"),OR(G147="",N(G147)&lt;=TODAY()),NOT(AND(O147&gt;='Paramètres'!$B$21,P147=0))),E147+143/10000,"")</f>
        <v/>
      </c>
      <c r="BU147" s="60">
        <f>IF(AND(G147&lt;&gt;"",N(G147)&lt;=TODAY()),MAX($BU$4:BU146)+1,"")</f>
        <v/>
      </c>
      <c r="BV147" s="60">
        <f>IF(AND(F147&lt;&gt;"",F147&lt;&gt;"Relance en retard"),MAX($BV$4:BV146)+1,"")</f>
        <v/>
      </c>
      <c r="BW147" s="60">
        <f>IF(C147="","",IF(AND(B147&gt;='Tableau de bord'!$R$4,B147&lt;='Tableau de bord'!$S$4,OR('Tableau de bord'!$G$4="Tous",N147='Tableau de bord'!$G$4)),1,0))</f>
        <v/>
      </c>
      <c r="BX147" s="60">
        <f>IF(AND(C147&lt;&gt;"",N(BA147)=7),MAX($BX$4:BX146)+1,"")</f>
        <v/>
      </c>
    </row>
    <row r="148">
      <c r="A148" s="60">
        <f>IF(C148="","","P-"&amp;TEXT(144,"000"))</f>
        <v/>
      </c>
      <c r="B148" s="106">
        <f>IF(C148="","",IFERROR(1/(1/_xlfn.MINIFS('Saisie'!$A$5:$A$2004,'Saisie'!$C$5:$C$2004,C148)),""))</f>
        <v/>
      </c>
      <c r="C148" s="60">
        <f>IFERROR(INDEX('Saisie'!$C$5:$C$2004,MATCH(144,'Saisie'!$AX$5:$AX$2004,0)),"")</f>
        <v/>
      </c>
      <c r="D148" s="60">
        <f>IF(C148="","",IF(AND(BR148&gt;0,BR148&gt;BS148,BA148&lt;7),"Perdu",INDEX('Paramètres'!$F$6:$F$13,BA148)))</f>
        <v/>
      </c>
      <c r="E148" s="61">
        <f>IF(C148="","",MIN(100,(Z148="Oui")*'Paramètres'!$B$38+(AB148="Régulière")*'Paramètres'!$B$39+IF(AND(N(AA148)&gt;0,TODAY()-N(AA148)&lt;=30),'Paramètres'!$B$40,0)+(W148="")*'Paramètres'!$B$41+(AC148="Absente")*'Paramètres'!$B$42+(AC148="Faible")*'Paramètres'!$B$43+IF(AND(N(AD148)&gt;0,N(AD148)&lt;4),'Paramètres'!$B$44,0)+(AF148="Moyenne")*'Paramètres'!$B$45+(AF148="Grande")*'Paramètres'!$B$46+(Y148&lt;&gt;"")*'Paramètres'!$B$47))</f>
        <v/>
      </c>
      <c r="F148" s="60">
        <f>IF(C148="","",IF(D148="Gagné","",IF(D148="Perdu",IF(AND(AX148&lt;&gt;"",AX148&lt;=TODAY()),"À recontacter (perdu)",""),IF(AND(O148&gt;='Paramètres'!$B$21,P148=0),"Stop : "&amp;'Paramètres'!$B$21&amp;" tentatives sans réponse",IF(AND(D148="Proposition",AR148&lt;&gt;"",TODAY()&gt;N(AR148)),"Proposition expirée",IF(AND(D148="Proposition",N(R148)&gt;='Paramètres'!$B$25),"Proposition sans réponse",IF(AND(G148&lt;&gt;"",N(G148)&lt;TODAY()),"Relance en retard",IF(N(R148)&gt;='Paramètres'!$B$24,"Sans action depuis "&amp;R148&amp;" j",""))))))))</f>
        <v/>
      </c>
      <c r="G148" s="106">
        <f>IF(OR(C148="",D148="Gagné",D148="Perdu"),"",IF(AND(BP148&gt;0,BP148=BQ148),INDEX('Saisie'!$J$5:$J$2004,BP148-4),IF(OR(O148=0,AND(O148&gt;='Paramètres'!$B$21,P148=0)),"",Q148+IF(O148&lt;=1,'Paramètres'!$B$18,IF(O148=2,'Paramètres'!$B$19,'Paramètres'!$B$20)))))</f>
        <v/>
      </c>
      <c r="H148" s="107">
        <f>IF(OR(G148="",BP148&lt;&gt;BQ148),"",IF(INDEX('Saisie'!$K$5:$K$2004,BP148-4)="","",INDEX('Saisie'!$K$5:$K$2004,BP148-4)))</f>
        <v/>
      </c>
      <c r="I148" s="60">
        <f>IF(C148="","",IF(OR(D148="Gagné",D148="Perdu"),"",IFERROR(INDEX('Saisie'!$I$5:$I$2004,_xlfn.MAXIFS('Saisie'!$AS$5:$AS$2004,'Saisie'!$C$5:$C$2004,C148,'Saisie'!$I$5:$I$2004,"&lt;&gt;")-4),"")))</f>
        <v/>
      </c>
      <c r="J148" s="60">
        <f>IF(C148="","",IFERROR(INDEX('Saisie'!$U$5:$U$2004,_xlfn.MAXIFS('Saisie'!$AS$5:$AS$2004,'Saisie'!$C$5:$C$2004,C148,'Saisie'!$U$5:$U$2004,"&lt;&gt;")-4),""))</f>
        <v/>
      </c>
      <c r="K148" s="60">
        <f>IF(C148="","",IFERROR(INDEX('Saisie'!$W$5:$W$2004,_xlfn.MAXIFS('Saisie'!$AS$5:$AS$2004,'Saisie'!$C$5:$C$2004,C148,'Saisie'!$W$5:$W$2004,"&lt;&gt;")-4),""))</f>
        <v/>
      </c>
      <c r="L148" s="60">
        <f>IF(IF(BB148&lt;&gt;"",BB148,K148)="","",HYPERLINK("https://wa.me/"&amp;IF(LEFT(SUBSTITUTE(SUBSTITUTE(SUBSTITUTE(IF(BB148&lt;&gt;"",BB148,K148)," ",""),".",""),"+",""),1)="0",'Paramètres'!$B$35&amp;MID(SUBSTITUTE(SUBSTITUTE(SUBSTITUTE(IF(BB148&lt;&gt;"",BB148,K148)," ",""),".",""),"+",""),2,20),SUBSTITUTE(SUBSTITUTE(SUBSTITUTE(IF(BB148&lt;&gt;"",BB148,K148)," ",""),".",""),"+","")),"WhatsApp"))</f>
        <v/>
      </c>
      <c r="M148" s="60">
        <f>IF(BC148="","",HYPERLINK(IF(LEFT(BC148,4)="http",BC148,"https://www.instagram.com/"&amp;SUBSTITUTE(SUBSTITUTE(BC148,"@","")," ","")),BC148))</f>
        <v/>
      </c>
      <c r="N148" s="60">
        <f>IF(C148="","",IFERROR(INDEX('Saisie'!$D$5:$D$2004,_xlfn.MINIFS('Saisie'!$AS$5:$AS$2004,'Saisie'!$C$5:$C$2004,C148,'Saisie'!$AU$5:$AU$2004,1)-4),IFERROR(INDEX('Saisie'!$D$5:$D$2004,_xlfn.MINIFS('Saisie'!$AS$5:$AS$2004,'Saisie'!$C$5:$C$2004,C148,'Saisie'!$D$5:$D$2004,"&lt;&gt;")-4),"")))</f>
        <v/>
      </c>
      <c r="O148" s="60">
        <f>IF(C148="","",COUNTIFS('Saisie'!$C$5:$C$2004,C148,'Saisie'!$AU$5:$AU$2004,1))</f>
        <v/>
      </c>
      <c r="P148" s="60">
        <f>IF(C148="","",COUNTIFS('Saisie'!$C$5:$C$2004,C148,'Saisie'!$AV$5:$AV$2004,1))</f>
        <v/>
      </c>
      <c r="Q148" s="106">
        <f>IF(C148="","",IFERROR(1/(1/_xlfn.MAXIFS('Saisie'!$A$5:$A$2004,'Saisie'!$C$5:$C$2004,C148)),""))</f>
        <v/>
      </c>
      <c r="R148" s="61">
        <f>IF(C148="","",IF(Q148="","",TODAY()-Q148))</f>
        <v/>
      </c>
      <c r="S148" s="60">
        <f>IF(C148="","",IFERROR(INDEX('Saisie'!$R$5:$R$2004,_xlfn.MAXIFS('Saisie'!$AS$5:$AS$2004,'Saisie'!$C$5:$C$2004,C148,'Saisie'!$R$5:$R$2004,"&lt;&gt;")-4),""))</f>
        <v/>
      </c>
      <c r="T148" s="60">
        <f>IF(C148="","",IFERROR(INDEX('Saisie'!$S$5:$S$2004,_xlfn.MAXIFS('Saisie'!$AS$5:$AS$2004,'Saisie'!$C$5:$C$2004,C148,'Saisie'!$S$5:$S$2004,"&lt;&gt;")-4),""))</f>
        <v/>
      </c>
      <c r="U148" s="60">
        <f>IF(C148="","",IFERROR(INDEX('Saisie'!$T$5:$T$2004,_xlfn.MAXIFS('Saisie'!$AS$5:$AS$2004,'Saisie'!$C$5:$C$2004,C148,'Saisie'!$T$5:$T$2004,"&lt;&gt;")-4),""))</f>
        <v/>
      </c>
      <c r="V148" s="60">
        <f>IF(C148="","",IFERROR(INDEX('Saisie'!$V$5:$V$2004,_xlfn.MAXIFS('Saisie'!$AS$5:$AS$2004,'Saisie'!$C$5:$C$2004,C148,'Saisie'!$V$5:$V$2004,"&lt;&gt;")-4),""))</f>
        <v/>
      </c>
      <c r="W148" s="60">
        <f>IF(C148="","",IFERROR(INDEX('Saisie'!$Z$5:$Z$2004,_xlfn.MAXIFS('Saisie'!$AS$5:$AS$2004,'Saisie'!$C$5:$C$2004,C148,'Saisie'!$Z$5:$Z$2004,"&lt;&gt;")-4),""))</f>
        <v/>
      </c>
      <c r="X148" s="60">
        <f>IF(C148="","",IFERROR(INDEX('Saisie'!$AA$5:$AA$2004,_xlfn.MAXIFS('Saisie'!$AS$5:$AS$2004,'Saisie'!$C$5:$C$2004,C148,'Saisie'!$AA$5:$AA$2004,"&lt;&gt;")-4),""))</f>
        <v/>
      </c>
      <c r="Y148" s="60">
        <f>IF(C148="","",IFERROR(INDEX('Saisie'!$AB$5:$AB$2004,_xlfn.MAXIFS('Saisie'!$AS$5:$AS$2004,'Saisie'!$C$5:$C$2004,C148,'Saisie'!$AB$5:$AB$2004,"&lt;&gt;")-4),""))</f>
        <v/>
      </c>
      <c r="Z148" s="60">
        <f>IF(C148="","",IFERROR(INDEX('Saisie'!$AC$5:$AC$2004,_xlfn.MAXIFS('Saisie'!$AS$5:$AS$2004,'Saisie'!$C$5:$C$2004,C148,'Saisie'!$AC$5:$AC$2004,"&lt;&gt;")-4),""))</f>
        <v/>
      </c>
      <c r="AA148" s="106">
        <f>IF(C148="","",IFERROR(INDEX('Saisie'!$AD$5:$AD$2004,_xlfn.MAXIFS('Saisie'!$AS$5:$AS$2004,'Saisie'!$C$5:$C$2004,C148,'Saisie'!$AD$5:$AD$2004,"&lt;&gt;")-4),""))</f>
        <v/>
      </c>
      <c r="AB148" s="60">
        <f>IF(C148="","",IFERROR(INDEX('Saisie'!$AE$5:$AE$2004,_xlfn.MAXIFS('Saisie'!$AS$5:$AS$2004,'Saisie'!$C$5:$C$2004,C148,'Saisie'!$AE$5:$AE$2004,"&lt;&gt;")-4),""))</f>
        <v/>
      </c>
      <c r="AC148" s="60">
        <f>IF(C148="","",IFERROR(INDEX('Saisie'!$AF$5:$AF$2004,_xlfn.MAXIFS('Saisie'!$AS$5:$AS$2004,'Saisie'!$C$5:$C$2004,C148,'Saisie'!$AF$5:$AF$2004,"&lt;&gt;")-4),""))</f>
        <v/>
      </c>
      <c r="AD148" s="108">
        <f>IF(C148="","",IFERROR(INDEX('Saisie'!$AG$5:$AG$2004,_xlfn.MAXIFS('Saisie'!$AS$5:$AS$2004,'Saisie'!$C$5:$C$2004,C148,'Saisie'!$AG$5:$AG$2004,"&lt;&gt;")-4),""))</f>
        <v/>
      </c>
      <c r="AE148" s="60">
        <f>IF(C148="","",IFERROR(INDEX('Saisie'!$AH$5:$AH$2004,_xlfn.MAXIFS('Saisie'!$AS$5:$AS$2004,'Saisie'!$C$5:$C$2004,C148,'Saisie'!$AH$5:$AH$2004,"&lt;&gt;")-4),""))</f>
        <v/>
      </c>
      <c r="AF148" s="60">
        <f>IF(C148="","",IFERROR(INDEX('Saisie'!$AI$5:$AI$2004,_xlfn.MAXIFS('Saisie'!$AS$5:$AS$2004,'Saisie'!$C$5:$C$2004,C148,'Saisie'!$AI$5:$AI$2004,"&lt;&gt;")-4),""))</f>
        <v/>
      </c>
      <c r="AG148" s="60">
        <f>IF(C148="","",IFERROR(INDEX('Saisie'!$AJ$5:$AJ$2004,_xlfn.MAXIFS('Saisie'!$AS$5:$AS$2004,'Saisie'!$C$5:$C$2004,C148,'Saisie'!$AJ$5:$AJ$2004,"&lt;&gt;")-4),""))</f>
        <v/>
      </c>
      <c r="AH148" s="60">
        <f>IF(C148="","",IFERROR(INDEX('Saisie'!$AK$5:$AK$2004,_xlfn.MAXIFS('Saisie'!$AS$5:$AS$2004,'Saisie'!$C$5:$C$2004,C148,'Saisie'!$AK$5:$AK$2004,"&lt;&gt;")-4),""))</f>
        <v/>
      </c>
      <c r="AI148" s="60">
        <f>IF(C148="","",IFERROR(INDEX('Saisie'!$AN$5:$AN$2004,_xlfn.MAXIFS('Saisie'!$AS$5:$AS$2004,'Saisie'!$C$5:$C$2004,C148,'Saisie'!$AN$5:$AN$2004,"&lt;&gt;")-4),""))</f>
        <v/>
      </c>
      <c r="AJ148" s="60">
        <f>IF(C148="","",IFERROR(INDEX('Saisie'!$AO$5:$AO$2004,_xlfn.MAXIFS('Saisie'!$AS$5:$AS$2004,'Saisie'!$C$5:$C$2004,C148,'Saisie'!$AO$5:$AO$2004,"&lt;&gt;")-4),""))</f>
        <v/>
      </c>
      <c r="AK148" s="60">
        <f>IF(C148="","",IFERROR(INDEX('Saisie'!$AP$5:$AP$2004,_xlfn.MAXIFS('Saisie'!$AS$5:$AS$2004,'Saisie'!$C$5:$C$2004,C148,'Saisie'!$AP$5:$AP$2004,"&lt;&gt;")-4),""))</f>
        <v/>
      </c>
      <c r="AL148" s="60">
        <f>IF(C148="","",IFERROR(INDEX('Saisie'!$AQ$5:$AQ$2004,_xlfn.MAXIFS('Saisie'!$AS$5:$AS$2004,'Saisie'!$C$5:$C$2004,C148,'Saisie'!$AQ$5:$AQ$2004,"&lt;&gt;")-4),""))</f>
        <v/>
      </c>
      <c r="AM148" s="60">
        <f>IF(C148="","",((AI148="Oui")+(AJ148="Oui")+(AK148="Oui")+OR(AL148="Immédiat",AL148="&lt; 1 mois"))&amp;"/4")</f>
        <v/>
      </c>
      <c r="AN148" s="60">
        <f>IF(C148="","",IFERROR(INDEX('Saisie'!$AL$5:$AL$2004,_xlfn.MAXIFS('Saisie'!$AS$5:$AS$2004,'Saisie'!$C$5:$C$2004,C148,'Saisie'!$AL$5:$AL$2004,"&lt;&gt;")-4),""))</f>
        <v/>
      </c>
      <c r="AO148" s="62">
        <f>IF(C148="","",IF(IFERROR(INDEX('Saisie'!$AM$5:$AM$2004,_xlfn.MAXIFS('Saisie'!$AS$5:$AS$2004,'Saisie'!$C$5:$C$2004,C148,'Saisie'!$AM$5:$AM$2004,"&lt;&gt;")-4),"")&lt;&gt;"",IFERROR(INDEX('Saisie'!$AM$5:$AM$2004,_xlfn.MAXIFS('Saisie'!$AS$5:$AS$2004,'Saisie'!$C$5:$C$2004,C148,'Saisie'!$AM$5:$AM$2004,"&lt;&gt;")-4),""),IFERROR(INDEX('Paramètres'!$S$6:$S$15,MATCH(AN148,'Paramètres'!$Q$6:$Q$15,0)),"")))</f>
        <v/>
      </c>
      <c r="AP148" s="62">
        <f>IF(C148="","",IFERROR(INDEX('Saisie'!$AW$5:$AW$2004,_xlfn.MAXIFS('Saisie'!$AS$5:$AS$2004,'Saisie'!$C$5:$C$2004,C148,'Saisie'!$E$5:$E$2004,"Proposition envoyée")-4),""))</f>
        <v/>
      </c>
      <c r="AQ148" s="106">
        <f>IF(C148="","",IFERROR(1/(1/_xlfn.MAXIFS('Saisie'!$A$5:$A$2004,'Saisie'!$C$5:$C$2004,C148,'Saisie'!$E$5:$E$2004,"Proposition envoyée")),""))</f>
        <v/>
      </c>
      <c r="AR148" s="106">
        <f>IF(C148="","",IF(AQ148="","",AQ148+'Paramètres'!$B$26))</f>
        <v/>
      </c>
      <c r="AS148" s="62">
        <f>IF(OR(C148="",D148="Gagné",D148="Perdu"),0,N(AP148)*IFERROR(INDEX('Paramètres'!$G$6:$G$13,MATCH(D148,'Paramètres'!$F$6:$F$13,0)),0))</f>
        <v/>
      </c>
      <c r="AT148" s="106">
        <f>IF(C148="","",IFERROR(1/(1/_xlfn.MINIFS('Saisie'!$A$5:$A$2004,'Saisie'!$C$5:$C$2004,C148,'Saisie'!$E$5:$E$2004,"Signature")),""))</f>
        <v/>
      </c>
      <c r="AU148" s="60">
        <f>IF(C148="","",IF(OR(AT148="",B148=""),"",AT148-B148))</f>
        <v/>
      </c>
      <c r="AV148" s="60">
        <f>IF(C148="","",IFERROR(INDEX('Saisie'!$L$5:$L$2004,_xlfn.MAXIFS('Saisie'!$AS$5:$AS$2004,'Saisie'!$C$5:$C$2004,C148,'Saisie'!$L$5:$L$2004,"&lt;&gt;")-4),""))</f>
        <v/>
      </c>
      <c r="AW148" s="106">
        <f>IF(C148="","",IF(D148&lt;&gt;"Perdu","",IFERROR(1/(1/_xlfn.MAXIFS('Saisie'!$A$5:$A$2004,'Saisie'!$C$5:$C$2004,C148,'Saisie'!$E$5:$E$2004,"Perdu")),"")))</f>
        <v/>
      </c>
      <c r="AX148" s="106">
        <f>IF(C148="","",IF(AW148="","",AW148+'Paramètres'!$B$28))</f>
        <v/>
      </c>
      <c r="AY148" s="60">
        <f>IF(C148="","",SUMIFS('Saisie'!$H$5:$H$2004,'Saisie'!$C$5:$C$2004,C148))</f>
        <v/>
      </c>
      <c r="AZ148" s="60">
        <f>IF(C148="","",IFERROR(INDEX('Paramètres'!$W$6:$W$20,MATCH(S148,'Paramètres'!$V$6:$V$20,0))&amp;"",""))</f>
        <v/>
      </c>
      <c r="BA148" s="60">
        <f>IF(C148="","",MAX(1,_xlfn.MAXIFS('Saisie'!$AT$5:$AT$2004,'Saisie'!$C$5:$C$2004,C148)))</f>
        <v/>
      </c>
      <c r="BB148" s="60">
        <f>IF(C148="","",IFERROR(INDEX('Saisie'!$X$5:$X$2004,_xlfn.MAXIFS('Saisie'!$AS$5:$AS$2004,'Saisie'!$C$5:$C$2004,C148,'Saisie'!$X$5:$X$2004,"&lt;&gt;")-4),""))</f>
        <v/>
      </c>
      <c r="BC148" s="60">
        <f>IF(C148="","",IFERROR(INDEX('Saisie'!$Y$5:$Y$2004,_xlfn.MAXIFS('Saisie'!$AS$5:$AS$2004,'Saisie'!$C$5:$C$2004,C148,'Saisie'!$Y$5:$Y$2004,"&lt;&gt;")-4),""))</f>
        <v/>
      </c>
      <c r="BD148" s="106">
        <f>IF(C148="","",IFERROR(1/(1/_xlfn.MINIFS('Saisie'!$A$5:$A$2004,'Saisie'!$C$5:$C$2004,C148,'Saisie'!$AT$5:$AT$2004,"&gt;=2")),""))</f>
        <v/>
      </c>
      <c r="BE148" s="106">
        <f>IF(C148="","",IFERROR(1/(1/_xlfn.MINIFS('Saisie'!$A$5:$A$2004,'Saisie'!$C$5:$C$2004,C148,'Saisie'!$AT$5:$AT$2004,"&gt;=3")),""))</f>
        <v/>
      </c>
      <c r="BF148" s="106">
        <f>IF(C148="","",IFERROR(1/(1/_xlfn.MINIFS('Saisie'!$A$5:$A$2004,'Saisie'!$C$5:$C$2004,C148,'Saisie'!$AT$5:$AT$2004,"&gt;=4")),""))</f>
        <v/>
      </c>
      <c r="BG148" s="106">
        <f>IF(C148="","",IFERROR(1/(1/_xlfn.MINIFS('Saisie'!$A$5:$A$2004,'Saisie'!$C$5:$C$2004,C148,'Saisie'!$AT$5:$AT$2004,"&gt;=5")),""))</f>
        <v/>
      </c>
      <c r="BH148" s="106">
        <f>IF(C148="","",IFERROR(1/(1/_xlfn.MINIFS('Saisie'!$A$5:$A$2004,'Saisie'!$C$5:$C$2004,C148,'Saisie'!$AT$5:$AT$2004,"&gt;=6")),""))</f>
        <v/>
      </c>
      <c r="BI148" s="106">
        <f>IF(C148="","",IFERROR(1/(1/_xlfn.MINIFS('Saisie'!$A$5:$A$2004,'Saisie'!$C$5:$C$2004,C148,'Saisie'!$AT$5:$AT$2004,"&gt;=7")),""))</f>
        <v/>
      </c>
      <c r="BJ148" s="60">
        <f>IF(OR(BD148="",B148=""),"",BD148-B148)</f>
        <v/>
      </c>
      <c r="BK148" s="60">
        <f>IF(OR(BE148="",BD148=""),"",BE148-BD148)</f>
        <v/>
      </c>
      <c r="BL148" s="60">
        <f>IF(OR(BF148="",BE148=""),"",BF148-BE148)</f>
        <v/>
      </c>
      <c r="BM148" s="60">
        <f>IF(OR(BG148="",BF148=""),"",BG148-BF148)</f>
        <v/>
      </c>
      <c r="BN148" s="60">
        <f>IF(OR(BH148="",BG148=""),"",BH148-BG148)</f>
        <v/>
      </c>
      <c r="BO148" s="60">
        <f>IF(OR(BI148="",BH148=""),"",BI148-BH148)</f>
        <v/>
      </c>
      <c r="BP148" s="60">
        <f>IF(C148="","",_xlfn.MAXIFS('Saisie'!$AS$5:$AS$2004,'Saisie'!$C$5:$C$2004,C148,'Saisie'!$J$5:$J$2004,"&lt;&gt;"))</f>
        <v/>
      </c>
      <c r="BQ148" s="60">
        <f>IF(C148="","",_xlfn.MAXIFS('Saisie'!$AS$5:$AS$2004,'Saisie'!$C$5:$C$2004,C148))</f>
        <v/>
      </c>
      <c r="BR148" s="60">
        <f>IF(C148="","",_xlfn.MAXIFS('Saisie'!$AS$5:$AS$2004,'Saisie'!$C$5:$C$2004,C148,'Saisie'!$E$5:$E$2004,"Perdu"))</f>
        <v/>
      </c>
      <c r="BS148" s="60">
        <f>IF(C148="","",_xlfn.MAXIFS('Saisie'!$AS$5:$AS$2004,'Saisie'!$C$5:$C$2004,C148,'Saisie'!$AT$5:$AT$2004,"&gt;0"))</f>
        <v/>
      </c>
      <c r="BT148" s="109">
        <f>IF(AND(C148&lt;&gt;"",OR(D148="Nouveau",D148="Contacté",D148="Qualifié"),OR(G148="",N(G148)&lt;=TODAY()),NOT(AND(O148&gt;='Paramètres'!$B$21,P148=0))),E148+144/10000,"")</f>
        <v/>
      </c>
      <c r="BU148" s="60">
        <f>IF(AND(G148&lt;&gt;"",N(G148)&lt;=TODAY()),MAX($BU$4:BU147)+1,"")</f>
        <v/>
      </c>
      <c r="BV148" s="60">
        <f>IF(AND(F148&lt;&gt;"",F148&lt;&gt;"Relance en retard"),MAX($BV$4:BV147)+1,"")</f>
        <v/>
      </c>
      <c r="BW148" s="60">
        <f>IF(C148="","",IF(AND(B148&gt;='Tableau de bord'!$R$4,B148&lt;='Tableau de bord'!$S$4,OR('Tableau de bord'!$G$4="Tous",N148='Tableau de bord'!$G$4)),1,0))</f>
        <v/>
      </c>
      <c r="BX148" s="60">
        <f>IF(AND(C148&lt;&gt;"",N(BA148)=7),MAX($BX$4:BX147)+1,"")</f>
        <v/>
      </c>
    </row>
    <row r="149">
      <c r="A149" s="60">
        <f>IF(C149="","","P-"&amp;TEXT(145,"000"))</f>
        <v/>
      </c>
      <c r="B149" s="106">
        <f>IF(C149="","",IFERROR(1/(1/_xlfn.MINIFS('Saisie'!$A$5:$A$2004,'Saisie'!$C$5:$C$2004,C149)),""))</f>
        <v/>
      </c>
      <c r="C149" s="60">
        <f>IFERROR(INDEX('Saisie'!$C$5:$C$2004,MATCH(145,'Saisie'!$AX$5:$AX$2004,0)),"")</f>
        <v/>
      </c>
      <c r="D149" s="60">
        <f>IF(C149="","",IF(AND(BR149&gt;0,BR149&gt;BS149,BA149&lt;7),"Perdu",INDEX('Paramètres'!$F$6:$F$13,BA149)))</f>
        <v/>
      </c>
      <c r="E149" s="61">
        <f>IF(C149="","",MIN(100,(Z149="Oui")*'Paramètres'!$B$38+(AB149="Régulière")*'Paramètres'!$B$39+IF(AND(N(AA149)&gt;0,TODAY()-N(AA149)&lt;=30),'Paramètres'!$B$40,0)+(W149="")*'Paramètres'!$B$41+(AC149="Absente")*'Paramètres'!$B$42+(AC149="Faible")*'Paramètres'!$B$43+IF(AND(N(AD149)&gt;0,N(AD149)&lt;4),'Paramètres'!$B$44,0)+(AF149="Moyenne")*'Paramètres'!$B$45+(AF149="Grande")*'Paramètres'!$B$46+(Y149&lt;&gt;"")*'Paramètres'!$B$47))</f>
        <v/>
      </c>
      <c r="F149" s="60">
        <f>IF(C149="","",IF(D149="Gagné","",IF(D149="Perdu",IF(AND(AX149&lt;&gt;"",AX149&lt;=TODAY()),"À recontacter (perdu)",""),IF(AND(O149&gt;='Paramètres'!$B$21,P149=0),"Stop : "&amp;'Paramètres'!$B$21&amp;" tentatives sans réponse",IF(AND(D149="Proposition",AR149&lt;&gt;"",TODAY()&gt;N(AR149)),"Proposition expirée",IF(AND(D149="Proposition",N(R149)&gt;='Paramètres'!$B$25),"Proposition sans réponse",IF(AND(G149&lt;&gt;"",N(G149)&lt;TODAY()),"Relance en retard",IF(N(R149)&gt;='Paramètres'!$B$24,"Sans action depuis "&amp;R149&amp;" j",""))))))))</f>
        <v/>
      </c>
      <c r="G149" s="106">
        <f>IF(OR(C149="",D149="Gagné",D149="Perdu"),"",IF(AND(BP149&gt;0,BP149=BQ149),INDEX('Saisie'!$J$5:$J$2004,BP149-4),IF(OR(O149=0,AND(O149&gt;='Paramètres'!$B$21,P149=0)),"",Q149+IF(O149&lt;=1,'Paramètres'!$B$18,IF(O149=2,'Paramètres'!$B$19,'Paramètres'!$B$20)))))</f>
        <v/>
      </c>
      <c r="H149" s="107">
        <f>IF(OR(G149="",BP149&lt;&gt;BQ149),"",IF(INDEX('Saisie'!$K$5:$K$2004,BP149-4)="","",INDEX('Saisie'!$K$5:$K$2004,BP149-4)))</f>
        <v/>
      </c>
      <c r="I149" s="60">
        <f>IF(C149="","",IF(OR(D149="Gagné",D149="Perdu"),"",IFERROR(INDEX('Saisie'!$I$5:$I$2004,_xlfn.MAXIFS('Saisie'!$AS$5:$AS$2004,'Saisie'!$C$5:$C$2004,C149,'Saisie'!$I$5:$I$2004,"&lt;&gt;")-4),"")))</f>
        <v/>
      </c>
      <c r="J149" s="60">
        <f>IF(C149="","",IFERROR(INDEX('Saisie'!$U$5:$U$2004,_xlfn.MAXIFS('Saisie'!$AS$5:$AS$2004,'Saisie'!$C$5:$C$2004,C149,'Saisie'!$U$5:$U$2004,"&lt;&gt;")-4),""))</f>
        <v/>
      </c>
      <c r="K149" s="60">
        <f>IF(C149="","",IFERROR(INDEX('Saisie'!$W$5:$W$2004,_xlfn.MAXIFS('Saisie'!$AS$5:$AS$2004,'Saisie'!$C$5:$C$2004,C149,'Saisie'!$W$5:$W$2004,"&lt;&gt;")-4),""))</f>
        <v/>
      </c>
      <c r="L149" s="60">
        <f>IF(IF(BB149&lt;&gt;"",BB149,K149)="","",HYPERLINK("https://wa.me/"&amp;IF(LEFT(SUBSTITUTE(SUBSTITUTE(SUBSTITUTE(IF(BB149&lt;&gt;"",BB149,K149)," ",""),".",""),"+",""),1)="0",'Paramètres'!$B$35&amp;MID(SUBSTITUTE(SUBSTITUTE(SUBSTITUTE(IF(BB149&lt;&gt;"",BB149,K149)," ",""),".",""),"+",""),2,20),SUBSTITUTE(SUBSTITUTE(SUBSTITUTE(IF(BB149&lt;&gt;"",BB149,K149)," ",""),".",""),"+","")),"WhatsApp"))</f>
        <v/>
      </c>
      <c r="M149" s="60">
        <f>IF(BC149="","",HYPERLINK(IF(LEFT(BC149,4)="http",BC149,"https://www.instagram.com/"&amp;SUBSTITUTE(SUBSTITUTE(BC149,"@","")," ","")),BC149))</f>
        <v/>
      </c>
      <c r="N149" s="60">
        <f>IF(C149="","",IFERROR(INDEX('Saisie'!$D$5:$D$2004,_xlfn.MINIFS('Saisie'!$AS$5:$AS$2004,'Saisie'!$C$5:$C$2004,C149,'Saisie'!$AU$5:$AU$2004,1)-4),IFERROR(INDEX('Saisie'!$D$5:$D$2004,_xlfn.MINIFS('Saisie'!$AS$5:$AS$2004,'Saisie'!$C$5:$C$2004,C149,'Saisie'!$D$5:$D$2004,"&lt;&gt;")-4),"")))</f>
        <v/>
      </c>
      <c r="O149" s="60">
        <f>IF(C149="","",COUNTIFS('Saisie'!$C$5:$C$2004,C149,'Saisie'!$AU$5:$AU$2004,1))</f>
        <v/>
      </c>
      <c r="P149" s="60">
        <f>IF(C149="","",COUNTIFS('Saisie'!$C$5:$C$2004,C149,'Saisie'!$AV$5:$AV$2004,1))</f>
        <v/>
      </c>
      <c r="Q149" s="106">
        <f>IF(C149="","",IFERROR(1/(1/_xlfn.MAXIFS('Saisie'!$A$5:$A$2004,'Saisie'!$C$5:$C$2004,C149)),""))</f>
        <v/>
      </c>
      <c r="R149" s="61">
        <f>IF(C149="","",IF(Q149="","",TODAY()-Q149))</f>
        <v/>
      </c>
      <c r="S149" s="60">
        <f>IF(C149="","",IFERROR(INDEX('Saisie'!$R$5:$R$2004,_xlfn.MAXIFS('Saisie'!$AS$5:$AS$2004,'Saisie'!$C$5:$C$2004,C149,'Saisie'!$R$5:$R$2004,"&lt;&gt;")-4),""))</f>
        <v/>
      </c>
      <c r="T149" s="60">
        <f>IF(C149="","",IFERROR(INDEX('Saisie'!$S$5:$S$2004,_xlfn.MAXIFS('Saisie'!$AS$5:$AS$2004,'Saisie'!$C$5:$C$2004,C149,'Saisie'!$S$5:$S$2004,"&lt;&gt;")-4),""))</f>
        <v/>
      </c>
      <c r="U149" s="60">
        <f>IF(C149="","",IFERROR(INDEX('Saisie'!$T$5:$T$2004,_xlfn.MAXIFS('Saisie'!$AS$5:$AS$2004,'Saisie'!$C$5:$C$2004,C149,'Saisie'!$T$5:$T$2004,"&lt;&gt;")-4),""))</f>
        <v/>
      </c>
      <c r="V149" s="60">
        <f>IF(C149="","",IFERROR(INDEX('Saisie'!$V$5:$V$2004,_xlfn.MAXIFS('Saisie'!$AS$5:$AS$2004,'Saisie'!$C$5:$C$2004,C149,'Saisie'!$V$5:$V$2004,"&lt;&gt;")-4),""))</f>
        <v/>
      </c>
      <c r="W149" s="60">
        <f>IF(C149="","",IFERROR(INDEX('Saisie'!$Z$5:$Z$2004,_xlfn.MAXIFS('Saisie'!$AS$5:$AS$2004,'Saisie'!$C$5:$C$2004,C149,'Saisie'!$Z$5:$Z$2004,"&lt;&gt;")-4),""))</f>
        <v/>
      </c>
      <c r="X149" s="60">
        <f>IF(C149="","",IFERROR(INDEX('Saisie'!$AA$5:$AA$2004,_xlfn.MAXIFS('Saisie'!$AS$5:$AS$2004,'Saisie'!$C$5:$C$2004,C149,'Saisie'!$AA$5:$AA$2004,"&lt;&gt;")-4),""))</f>
        <v/>
      </c>
      <c r="Y149" s="60">
        <f>IF(C149="","",IFERROR(INDEX('Saisie'!$AB$5:$AB$2004,_xlfn.MAXIFS('Saisie'!$AS$5:$AS$2004,'Saisie'!$C$5:$C$2004,C149,'Saisie'!$AB$5:$AB$2004,"&lt;&gt;")-4),""))</f>
        <v/>
      </c>
      <c r="Z149" s="60">
        <f>IF(C149="","",IFERROR(INDEX('Saisie'!$AC$5:$AC$2004,_xlfn.MAXIFS('Saisie'!$AS$5:$AS$2004,'Saisie'!$C$5:$C$2004,C149,'Saisie'!$AC$5:$AC$2004,"&lt;&gt;")-4),""))</f>
        <v/>
      </c>
      <c r="AA149" s="106">
        <f>IF(C149="","",IFERROR(INDEX('Saisie'!$AD$5:$AD$2004,_xlfn.MAXIFS('Saisie'!$AS$5:$AS$2004,'Saisie'!$C$5:$C$2004,C149,'Saisie'!$AD$5:$AD$2004,"&lt;&gt;")-4),""))</f>
        <v/>
      </c>
      <c r="AB149" s="60">
        <f>IF(C149="","",IFERROR(INDEX('Saisie'!$AE$5:$AE$2004,_xlfn.MAXIFS('Saisie'!$AS$5:$AS$2004,'Saisie'!$C$5:$C$2004,C149,'Saisie'!$AE$5:$AE$2004,"&lt;&gt;")-4),""))</f>
        <v/>
      </c>
      <c r="AC149" s="60">
        <f>IF(C149="","",IFERROR(INDEX('Saisie'!$AF$5:$AF$2004,_xlfn.MAXIFS('Saisie'!$AS$5:$AS$2004,'Saisie'!$C$5:$C$2004,C149,'Saisie'!$AF$5:$AF$2004,"&lt;&gt;")-4),""))</f>
        <v/>
      </c>
      <c r="AD149" s="108">
        <f>IF(C149="","",IFERROR(INDEX('Saisie'!$AG$5:$AG$2004,_xlfn.MAXIFS('Saisie'!$AS$5:$AS$2004,'Saisie'!$C$5:$C$2004,C149,'Saisie'!$AG$5:$AG$2004,"&lt;&gt;")-4),""))</f>
        <v/>
      </c>
      <c r="AE149" s="60">
        <f>IF(C149="","",IFERROR(INDEX('Saisie'!$AH$5:$AH$2004,_xlfn.MAXIFS('Saisie'!$AS$5:$AS$2004,'Saisie'!$C$5:$C$2004,C149,'Saisie'!$AH$5:$AH$2004,"&lt;&gt;")-4),""))</f>
        <v/>
      </c>
      <c r="AF149" s="60">
        <f>IF(C149="","",IFERROR(INDEX('Saisie'!$AI$5:$AI$2004,_xlfn.MAXIFS('Saisie'!$AS$5:$AS$2004,'Saisie'!$C$5:$C$2004,C149,'Saisie'!$AI$5:$AI$2004,"&lt;&gt;")-4),""))</f>
        <v/>
      </c>
      <c r="AG149" s="60">
        <f>IF(C149="","",IFERROR(INDEX('Saisie'!$AJ$5:$AJ$2004,_xlfn.MAXIFS('Saisie'!$AS$5:$AS$2004,'Saisie'!$C$5:$C$2004,C149,'Saisie'!$AJ$5:$AJ$2004,"&lt;&gt;")-4),""))</f>
        <v/>
      </c>
      <c r="AH149" s="60">
        <f>IF(C149="","",IFERROR(INDEX('Saisie'!$AK$5:$AK$2004,_xlfn.MAXIFS('Saisie'!$AS$5:$AS$2004,'Saisie'!$C$5:$C$2004,C149,'Saisie'!$AK$5:$AK$2004,"&lt;&gt;")-4),""))</f>
        <v/>
      </c>
      <c r="AI149" s="60">
        <f>IF(C149="","",IFERROR(INDEX('Saisie'!$AN$5:$AN$2004,_xlfn.MAXIFS('Saisie'!$AS$5:$AS$2004,'Saisie'!$C$5:$C$2004,C149,'Saisie'!$AN$5:$AN$2004,"&lt;&gt;")-4),""))</f>
        <v/>
      </c>
      <c r="AJ149" s="60">
        <f>IF(C149="","",IFERROR(INDEX('Saisie'!$AO$5:$AO$2004,_xlfn.MAXIFS('Saisie'!$AS$5:$AS$2004,'Saisie'!$C$5:$C$2004,C149,'Saisie'!$AO$5:$AO$2004,"&lt;&gt;")-4),""))</f>
        <v/>
      </c>
      <c r="AK149" s="60">
        <f>IF(C149="","",IFERROR(INDEX('Saisie'!$AP$5:$AP$2004,_xlfn.MAXIFS('Saisie'!$AS$5:$AS$2004,'Saisie'!$C$5:$C$2004,C149,'Saisie'!$AP$5:$AP$2004,"&lt;&gt;")-4),""))</f>
        <v/>
      </c>
      <c r="AL149" s="60">
        <f>IF(C149="","",IFERROR(INDEX('Saisie'!$AQ$5:$AQ$2004,_xlfn.MAXIFS('Saisie'!$AS$5:$AS$2004,'Saisie'!$C$5:$C$2004,C149,'Saisie'!$AQ$5:$AQ$2004,"&lt;&gt;")-4),""))</f>
        <v/>
      </c>
      <c r="AM149" s="60">
        <f>IF(C149="","",((AI149="Oui")+(AJ149="Oui")+(AK149="Oui")+OR(AL149="Immédiat",AL149="&lt; 1 mois"))&amp;"/4")</f>
        <v/>
      </c>
      <c r="AN149" s="60">
        <f>IF(C149="","",IFERROR(INDEX('Saisie'!$AL$5:$AL$2004,_xlfn.MAXIFS('Saisie'!$AS$5:$AS$2004,'Saisie'!$C$5:$C$2004,C149,'Saisie'!$AL$5:$AL$2004,"&lt;&gt;")-4),""))</f>
        <v/>
      </c>
      <c r="AO149" s="62">
        <f>IF(C149="","",IF(IFERROR(INDEX('Saisie'!$AM$5:$AM$2004,_xlfn.MAXIFS('Saisie'!$AS$5:$AS$2004,'Saisie'!$C$5:$C$2004,C149,'Saisie'!$AM$5:$AM$2004,"&lt;&gt;")-4),"")&lt;&gt;"",IFERROR(INDEX('Saisie'!$AM$5:$AM$2004,_xlfn.MAXIFS('Saisie'!$AS$5:$AS$2004,'Saisie'!$C$5:$C$2004,C149,'Saisie'!$AM$5:$AM$2004,"&lt;&gt;")-4),""),IFERROR(INDEX('Paramètres'!$S$6:$S$15,MATCH(AN149,'Paramètres'!$Q$6:$Q$15,0)),"")))</f>
        <v/>
      </c>
      <c r="AP149" s="62">
        <f>IF(C149="","",IFERROR(INDEX('Saisie'!$AW$5:$AW$2004,_xlfn.MAXIFS('Saisie'!$AS$5:$AS$2004,'Saisie'!$C$5:$C$2004,C149,'Saisie'!$E$5:$E$2004,"Proposition envoyée")-4),""))</f>
        <v/>
      </c>
      <c r="AQ149" s="106">
        <f>IF(C149="","",IFERROR(1/(1/_xlfn.MAXIFS('Saisie'!$A$5:$A$2004,'Saisie'!$C$5:$C$2004,C149,'Saisie'!$E$5:$E$2004,"Proposition envoyée")),""))</f>
        <v/>
      </c>
      <c r="AR149" s="106">
        <f>IF(C149="","",IF(AQ149="","",AQ149+'Paramètres'!$B$26))</f>
        <v/>
      </c>
      <c r="AS149" s="62">
        <f>IF(OR(C149="",D149="Gagné",D149="Perdu"),0,N(AP149)*IFERROR(INDEX('Paramètres'!$G$6:$G$13,MATCH(D149,'Paramètres'!$F$6:$F$13,0)),0))</f>
        <v/>
      </c>
      <c r="AT149" s="106">
        <f>IF(C149="","",IFERROR(1/(1/_xlfn.MINIFS('Saisie'!$A$5:$A$2004,'Saisie'!$C$5:$C$2004,C149,'Saisie'!$E$5:$E$2004,"Signature")),""))</f>
        <v/>
      </c>
      <c r="AU149" s="60">
        <f>IF(C149="","",IF(OR(AT149="",B149=""),"",AT149-B149))</f>
        <v/>
      </c>
      <c r="AV149" s="60">
        <f>IF(C149="","",IFERROR(INDEX('Saisie'!$L$5:$L$2004,_xlfn.MAXIFS('Saisie'!$AS$5:$AS$2004,'Saisie'!$C$5:$C$2004,C149,'Saisie'!$L$5:$L$2004,"&lt;&gt;")-4),""))</f>
        <v/>
      </c>
      <c r="AW149" s="106">
        <f>IF(C149="","",IF(D149&lt;&gt;"Perdu","",IFERROR(1/(1/_xlfn.MAXIFS('Saisie'!$A$5:$A$2004,'Saisie'!$C$5:$C$2004,C149,'Saisie'!$E$5:$E$2004,"Perdu")),"")))</f>
        <v/>
      </c>
      <c r="AX149" s="106">
        <f>IF(C149="","",IF(AW149="","",AW149+'Paramètres'!$B$28))</f>
        <v/>
      </c>
      <c r="AY149" s="60">
        <f>IF(C149="","",SUMIFS('Saisie'!$H$5:$H$2004,'Saisie'!$C$5:$C$2004,C149))</f>
        <v/>
      </c>
      <c r="AZ149" s="60">
        <f>IF(C149="","",IFERROR(INDEX('Paramètres'!$W$6:$W$20,MATCH(S149,'Paramètres'!$V$6:$V$20,0))&amp;"",""))</f>
        <v/>
      </c>
      <c r="BA149" s="60">
        <f>IF(C149="","",MAX(1,_xlfn.MAXIFS('Saisie'!$AT$5:$AT$2004,'Saisie'!$C$5:$C$2004,C149)))</f>
        <v/>
      </c>
      <c r="BB149" s="60">
        <f>IF(C149="","",IFERROR(INDEX('Saisie'!$X$5:$X$2004,_xlfn.MAXIFS('Saisie'!$AS$5:$AS$2004,'Saisie'!$C$5:$C$2004,C149,'Saisie'!$X$5:$X$2004,"&lt;&gt;")-4),""))</f>
        <v/>
      </c>
      <c r="BC149" s="60">
        <f>IF(C149="","",IFERROR(INDEX('Saisie'!$Y$5:$Y$2004,_xlfn.MAXIFS('Saisie'!$AS$5:$AS$2004,'Saisie'!$C$5:$C$2004,C149,'Saisie'!$Y$5:$Y$2004,"&lt;&gt;")-4),""))</f>
        <v/>
      </c>
      <c r="BD149" s="106">
        <f>IF(C149="","",IFERROR(1/(1/_xlfn.MINIFS('Saisie'!$A$5:$A$2004,'Saisie'!$C$5:$C$2004,C149,'Saisie'!$AT$5:$AT$2004,"&gt;=2")),""))</f>
        <v/>
      </c>
      <c r="BE149" s="106">
        <f>IF(C149="","",IFERROR(1/(1/_xlfn.MINIFS('Saisie'!$A$5:$A$2004,'Saisie'!$C$5:$C$2004,C149,'Saisie'!$AT$5:$AT$2004,"&gt;=3")),""))</f>
        <v/>
      </c>
      <c r="BF149" s="106">
        <f>IF(C149="","",IFERROR(1/(1/_xlfn.MINIFS('Saisie'!$A$5:$A$2004,'Saisie'!$C$5:$C$2004,C149,'Saisie'!$AT$5:$AT$2004,"&gt;=4")),""))</f>
        <v/>
      </c>
      <c r="BG149" s="106">
        <f>IF(C149="","",IFERROR(1/(1/_xlfn.MINIFS('Saisie'!$A$5:$A$2004,'Saisie'!$C$5:$C$2004,C149,'Saisie'!$AT$5:$AT$2004,"&gt;=5")),""))</f>
        <v/>
      </c>
      <c r="BH149" s="106">
        <f>IF(C149="","",IFERROR(1/(1/_xlfn.MINIFS('Saisie'!$A$5:$A$2004,'Saisie'!$C$5:$C$2004,C149,'Saisie'!$AT$5:$AT$2004,"&gt;=6")),""))</f>
        <v/>
      </c>
      <c r="BI149" s="106">
        <f>IF(C149="","",IFERROR(1/(1/_xlfn.MINIFS('Saisie'!$A$5:$A$2004,'Saisie'!$C$5:$C$2004,C149,'Saisie'!$AT$5:$AT$2004,"&gt;=7")),""))</f>
        <v/>
      </c>
      <c r="BJ149" s="60">
        <f>IF(OR(BD149="",B149=""),"",BD149-B149)</f>
        <v/>
      </c>
      <c r="BK149" s="60">
        <f>IF(OR(BE149="",BD149=""),"",BE149-BD149)</f>
        <v/>
      </c>
      <c r="BL149" s="60">
        <f>IF(OR(BF149="",BE149=""),"",BF149-BE149)</f>
        <v/>
      </c>
      <c r="BM149" s="60">
        <f>IF(OR(BG149="",BF149=""),"",BG149-BF149)</f>
        <v/>
      </c>
      <c r="BN149" s="60">
        <f>IF(OR(BH149="",BG149=""),"",BH149-BG149)</f>
        <v/>
      </c>
      <c r="BO149" s="60">
        <f>IF(OR(BI149="",BH149=""),"",BI149-BH149)</f>
        <v/>
      </c>
      <c r="BP149" s="60">
        <f>IF(C149="","",_xlfn.MAXIFS('Saisie'!$AS$5:$AS$2004,'Saisie'!$C$5:$C$2004,C149,'Saisie'!$J$5:$J$2004,"&lt;&gt;"))</f>
        <v/>
      </c>
      <c r="BQ149" s="60">
        <f>IF(C149="","",_xlfn.MAXIFS('Saisie'!$AS$5:$AS$2004,'Saisie'!$C$5:$C$2004,C149))</f>
        <v/>
      </c>
      <c r="BR149" s="60">
        <f>IF(C149="","",_xlfn.MAXIFS('Saisie'!$AS$5:$AS$2004,'Saisie'!$C$5:$C$2004,C149,'Saisie'!$E$5:$E$2004,"Perdu"))</f>
        <v/>
      </c>
      <c r="BS149" s="60">
        <f>IF(C149="","",_xlfn.MAXIFS('Saisie'!$AS$5:$AS$2004,'Saisie'!$C$5:$C$2004,C149,'Saisie'!$AT$5:$AT$2004,"&gt;0"))</f>
        <v/>
      </c>
      <c r="BT149" s="109">
        <f>IF(AND(C149&lt;&gt;"",OR(D149="Nouveau",D149="Contacté",D149="Qualifié"),OR(G149="",N(G149)&lt;=TODAY()),NOT(AND(O149&gt;='Paramètres'!$B$21,P149=0))),E149+145/10000,"")</f>
        <v/>
      </c>
      <c r="BU149" s="60">
        <f>IF(AND(G149&lt;&gt;"",N(G149)&lt;=TODAY()),MAX($BU$4:BU148)+1,"")</f>
        <v/>
      </c>
      <c r="BV149" s="60">
        <f>IF(AND(F149&lt;&gt;"",F149&lt;&gt;"Relance en retard"),MAX($BV$4:BV148)+1,"")</f>
        <v/>
      </c>
      <c r="BW149" s="60">
        <f>IF(C149="","",IF(AND(B149&gt;='Tableau de bord'!$R$4,B149&lt;='Tableau de bord'!$S$4,OR('Tableau de bord'!$G$4="Tous",N149='Tableau de bord'!$G$4)),1,0))</f>
        <v/>
      </c>
      <c r="BX149" s="60">
        <f>IF(AND(C149&lt;&gt;"",N(BA149)=7),MAX($BX$4:BX148)+1,"")</f>
        <v/>
      </c>
    </row>
    <row r="150">
      <c r="A150" s="60">
        <f>IF(C150="","","P-"&amp;TEXT(146,"000"))</f>
        <v/>
      </c>
      <c r="B150" s="106">
        <f>IF(C150="","",IFERROR(1/(1/_xlfn.MINIFS('Saisie'!$A$5:$A$2004,'Saisie'!$C$5:$C$2004,C150)),""))</f>
        <v/>
      </c>
      <c r="C150" s="60">
        <f>IFERROR(INDEX('Saisie'!$C$5:$C$2004,MATCH(146,'Saisie'!$AX$5:$AX$2004,0)),"")</f>
        <v/>
      </c>
      <c r="D150" s="60">
        <f>IF(C150="","",IF(AND(BR150&gt;0,BR150&gt;BS150,BA150&lt;7),"Perdu",INDEX('Paramètres'!$F$6:$F$13,BA150)))</f>
        <v/>
      </c>
      <c r="E150" s="61">
        <f>IF(C150="","",MIN(100,(Z150="Oui")*'Paramètres'!$B$38+(AB150="Régulière")*'Paramètres'!$B$39+IF(AND(N(AA150)&gt;0,TODAY()-N(AA150)&lt;=30),'Paramètres'!$B$40,0)+(W150="")*'Paramètres'!$B$41+(AC150="Absente")*'Paramètres'!$B$42+(AC150="Faible")*'Paramètres'!$B$43+IF(AND(N(AD150)&gt;0,N(AD150)&lt;4),'Paramètres'!$B$44,0)+(AF150="Moyenne")*'Paramètres'!$B$45+(AF150="Grande")*'Paramètres'!$B$46+(Y150&lt;&gt;"")*'Paramètres'!$B$47))</f>
        <v/>
      </c>
      <c r="F150" s="60">
        <f>IF(C150="","",IF(D150="Gagné","",IF(D150="Perdu",IF(AND(AX150&lt;&gt;"",AX150&lt;=TODAY()),"À recontacter (perdu)",""),IF(AND(O150&gt;='Paramètres'!$B$21,P150=0),"Stop : "&amp;'Paramètres'!$B$21&amp;" tentatives sans réponse",IF(AND(D150="Proposition",AR150&lt;&gt;"",TODAY()&gt;N(AR150)),"Proposition expirée",IF(AND(D150="Proposition",N(R150)&gt;='Paramètres'!$B$25),"Proposition sans réponse",IF(AND(G150&lt;&gt;"",N(G150)&lt;TODAY()),"Relance en retard",IF(N(R150)&gt;='Paramètres'!$B$24,"Sans action depuis "&amp;R150&amp;" j",""))))))))</f>
        <v/>
      </c>
      <c r="G150" s="106">
        <f>IF(OR(C150="",D150="Gagné",D150="Perdu"),"",IF(AND(BP150&gt;0,BP150=BQ150),INDEX('Saisie'!$J$5:$J$2004,BP150-4),IF(OR(O150=0,AND(O150&gt;='Paramètres'!$B$21,P150=0)),"",Q150+IF(O150&lt;=1,'Paramètres'!$B$18,IF(O150=2,'Paramètres'!$B$19,'Paramètres'!$B$20)))))</f>
        <v/>
      </c>
      <c r="H150" s="107">
        <f>IF(OR(G150="",BP150&lt;&gt;BQ150),"",IF(INDEX('Saisie'!$K$5:$K$2004,BP150-4)="","",INDEX('Saisie'!$K$5:$K$2004,BP150-4)))</f>
        <v/>
      </c>
      <c r="I150" s="60">
        <f>IF(C150="","",IF(OR(D150="Gagné",D150="Perdu"),"",IFERROR(INDEX('Saisie'!$I$5:$I$2004,_xlfn.MAXIFS('Saisie'!$AS$5:$AS$2004,'Saisie'!$C$5:$C$2004,C150,'Saisie'!$I$5:$I$2004,"&lt;&gt;")-4),"")))</f>
        <v/>
      </c>
      <c r="J150" s="60">
        <f>IF(C150="","",IFERROR(INDEX('Saisie'!$U$5:$U$2004,_xlfn.MAXIFS('Saisie'!$AS$5:$AS$2004,'Saisie'!$C$5:$C$2004,C150,'Saisie'!$U$5:$U$2004,"&lt;&gt;")-4),""))</f>
        <v/>
      </c>
      <c r="K150" s="60">
        <f>IF(C150="","",IFERROR(INDEX('Saisie'!$W$5:$W$2004,_xlfn.MAXIFS('Saisie'!$AS$5:$AS$2004,'Saisie'!$C$5:$C$2004,C150,'Saisie'!$W$5:$W$2004,"&lt;&gt;")-4),""))</f>
        <v/>
      </c>
      <c r="L150" s="60">
        <f>IF(IF(BB150&lt;&gt;"",BB150,K150)="","",HYPERLINK("https://wa.me/"&amp;IF(LEFT(SUBSTITUTE(SUBSTITUTE(SUBSTITUTE(IF(BB150&lt;&gt;"",BB150,K150)," ",""),".",""),"+",""),1)="0",'Paramètres'!$B$35&amp;MID(SUBSTITUTE(SUBSTITUTE(SUBSTITUTE(IF(BB150&lt;&gt;"",BB150,K150)," ",""),".",""),"+",""),2,20),SUBSTITUTE(SUBSTITUTE(SUBSTITUTE(IF(BB150&lt;&gt;"",BB150,K150)," ",""),".",""),"+","")),"WhatsApp"))</f>
        <v/>
      </c>
      <c r="M150" s="60">
        <f>IF(BC150="","",HYPERLINK(IF(LEFT(BC150,4)="http",BC150,"https://www.instagram.com/"&amp;SUBSTITUTE(SUBSTITUTE(BC150,"@","")," ","")),BC150))</f>
        <v/>
      </c>
      <c r="N150" s="60">
        <f>IF(C150="","",IFERROR(INDEX('Saisie'!$D$5:$D$2004,_xlfn.MINIFS('Saisie'!$AS$5:$AS$2004,'Saisie'!$C$5:$C$2004,C150,'Saisie'!$AU$5:$AU$2004,1)-4),IFERROR(INDEX('Saisie'!$D$5:$D$2004,_xlfn.MINIFS('Saisie'!$AS$5:$AS$2004,'Saisie'!$C$5:$C$2004,C150,'Saisie'!$D$5:$D$2004,"&lt;&gt;")-4),"")))</f>
        <v/>
      </c>
      <c r="O150" s="60">
        <f>IF(C150="","",COUNTIFS('Saisie'!$C$5:$C$2004,C150,'Saisie'!$AU$5:$AU$2004,1))</f>
        <v/>
      </c>
      <c r="P150" s="60">
        <f>IF(C150="","",COUNTIFS('Saisie'!$C$5:$C$2004,C150,'Saisie'!$AV$5:$AV$2004,1))</f>
        <v/>
      </c>
      <c r="Q150" s="106">
        <f>IF(C150="","",IFERROR(1/(1/_xlfn.MAXIFS('Saisie'!$A$5:$A$2004,'Saisie'!$C$5:$C$2004,C150)),""))</f>
        <v/>
      </c>
      <c r="R150" s="61">
        <f>IF(C150="","",IF(Q150="","",TODAY()-Q150))</f>
        <v/>
      </c>
      <c r="S150" s="60">
        <f>IF(C150="","",IFERROR(INDEX('Saisie'!$R$5:$R$2004,_xlfn.MAXIFS('Saisie'!$AS$5:$AS$2004,'Saisie'!$C$5:$C$2004,C150,'Saisie'!$R$5:$R$2004,"&lt;&gt;")-4),""))</f>
        <v/>
      </c>
      <c r="T150" s="60">
        <f>IF(C150="","",IFERROR(INDEX('Saisie'!$S$5:$S$2004,_xlfn.MAXIFS('Saisie'!$AS$5:$AS$2004,'Saisie'!$C$5:$C$2004,C150,'Saisie'!$S$5:$S$2004,"&lt;&gt;")-4),""))</f>
        <v/>
      </c>
      <c r="U150" s="60">
        <f>IF(C150="","",IFERROR(INDEX('Saisie'!$T$5:$T$2004,_xlfn.MAXIFS('Saisie'!$AS$5:$AS$2004,'Saisie'!$C$5:$C$2004,C150,'Saisie'!$T$5:$T$2004,"&lt;&gt;")-4),""))</f>
        <v/>
      </c>
      <c r="V150" s="60">
        <f>IF(C150="","",IFERROR(INDEX('Saisie'!$V$5:$V$2004,_xlfn.MAXIFS('Saisie'!$AS$5:$AS$2004,'Saisie'!$C$5:$C$2004,C150,'Saisie'!$V$5:$V$2004,"&lt;&gt;")-4),""))</f>
        <v/>
      </c>
      <c r="W150" s="60">
        <f>IF(C150="","",IFERROR(INDEX('Saisie'!$Z$5:$Z$2004,_xlfn.MAXIFS('Saisie'!$AS$5:$AS$2004,'Saisie'!$C$5:$C$2004,C150,'Saisie'!$Z$5:$Z$2004,"&lt;&gt;")-4),""))</f>
        <v/>
      </c>
      <c r="X150" s="60">
        <f>IF(C150="","",IFERROR(INDEX('Saisie'!$AA$5:$AA$2004,_xlfn.MAXIFS('Saisie'!$AS$5:$AS$2004,'Saisie'!$C$5:$C$2004,C150,'Saisie'!$AA$5:$AA$2004,"&lt;&gt;")-4),""))</f>
        <v/>
      </c>
      <c r="Y150" s="60">
        <f>IF(C150="","",IFERROR(INDEX('Saisie'!$AB$5:$AB$2004,_xlfn.MAXIFS('Saisie'!$AS$5:$AS$2004,'Saisie'!$C$5:$C$2004,C150,'Saisie'!$AB$5:$AB$2004,"&lt;&gt;")-4),""))</f>
        <v/>
      </c>
      <c r="Z150" s="60">
        <f>IF(C150="","",IFERROR(INDEX('Saisie'!$AC$5:$AC$2004,_xlfn.MAXIFS('Saisie'!$AS$5:$AS$2004,'Saisie'!$C$5:$C$2004,C150,'Saisie'!$AC$5:$AC$2004,"&lt;&gt;")-4),""))</f>
        <v/>
      </c>
      <c r="AA150" s="106">
        <f>IF(C150="","",IFERROR(INDEX('Saisie'!$AD$5:$AD$2004,_xlfn.MAXIFS('Saisie'!$AS$5:$AS$2004,'Saisie'!$C$5:$C$2004,C150,'Saisie'!$AD$5:$AD$2004,"&lt;&gt;")-4),""))</f>
        <v/>
      </c>
      <c r="AB150" s="60">
        <f>IF(C150="","",IFERROR(INDEX('Saisie'!$AE$5:$AE$2004,_xlfn.MAXIFS('Saisie'!$AS$5:$AS$2004,'Saisie'!$C$5:$C$2004,C150,'Saisie'!$AE$5:$AE$2004,"&lt;&gt;")-4),""))</f>
        <v/>
      </c>
      <c r="AC150" s="60">
        <f>IF(C150="","",IFERROR(INDEX('Saisie'!$AF$5:$AF$2004,_xlfn.MAXIFS('Saisie'!$AS$5:$AS$2004,'Saisie'!$C$5:$C$2004,C150,'Saisie'!$AF$5:$AF$2004,"&lt;&gt;")-4),""))</f>
        <v/>
      </c>
      <c r="AD150" s="108">
        <f>IF(C150="","",IFERROR(INDEX('Saisie'!$AG$5:$AG$2004,_xlfn.MAXIFS('Saisie'!$AS$5:$AS$2004,'Saisie'!$C$5:$C$2004,C150,'Saisie'!$AG$5:$AG$2004,"&lt;&gt;")-4),""))</f>
        <v/>
      </c>
      <c r="AE150" s="60">
        <f>IF(C150="","",IFERROR(INDEX('Saisie'!$AH$5:$AH$2004,_xlfn.MAXIFS('Saisie'!$AS$5:$AS$2004,'Saisie'!$C$5:$C$2004,C150,'Saisie'!$AH$5:$AH$2004,"&lt;&gt;")-4),""))</f>
        <v/>
      </c>
      <c r="AF150" s="60">
        <f>IF(C150="","",IFERROR(INDEX('Saisie'!$AI$5:$AI$2004,_xlfn.MAXIFS('Saisie'!$AS$5:$AS$2004,'Saisie'!$C$5:$C$2004,C150,'Saisie'!$AI$5:$AI$2004,"&lt;&gt;")-4),""))</f>
        <v/>
      </c>
      <c r="AG150" s="60">
        <f>IF(C150="","",IFERROR(INDEX('Saisie'!$AJ$5:$AJ$2004,_xlfn.MAXIFS('Saisie'!$AS$5:$AS$2004,'Saisie'!$C$5:$C$2004,C150,'Saisie'!$AJ$5:$AJ$2004,"&lt;&gt;")-4),""))</f>
        <v/>
      </c>
      <c r="AH150" s="60">
        <f>IF(C150="","",IFERROR(INDEX('Saisie'!$AK$5:$AK$2004,_xlfn.MAXIFS('Saisie'!$AS$5:$AS$2004,'Saisie'!$C$5:$C$2004,C150,'Saisie'!$AK$5:$AK$2004,"&lt;&gt;")-4),""))</f>
        <v/>
      </c>
      <c r="AI150" s="60">
        <f>IF(C150="","",IFERROR(INDEX('Saisie'!$AN$5:$AN$2004,_xlfn.MAXIFS('Saisie'!$AS$5:$AS$2004,'Saisie'!$C$5:$C$2004,C150,'Saisie'!$AN$5:$AN$2004,"&lt;&gt;")-4),""))</f>
        <v/>
      </c>
      <c r="AJ150" s="60">
        <f>IF(C150="","",IFERROR(INDEX('Saisie'!$AO$5:$AO$2004,_xlfn.MAXIFS('Saisie'!$AS$5:$AS$2004,'Saisie'!$C$5:$C$2004,C150,'Saisie'!$AO$5:$AO$2004,"&lt;&gt;")-4),""))</f>
        <v/>
      </c>
      <c r="AK150" s="60">
        <f>IF(C150="","",IFERROR(INDEX('Saisie'!$AP$5:$AP$2004,_xlfn.MAXIFS('Saisie'!$AS$5:$AS$2004,'Saisie'!$C$5:$C$2004,C150,'Saisie'!$AP$5:$AP$2004,"&lt;&gt;")-4),""))</f>
        <v/>
      </c>
      <c r="AL150" s="60">
        <f>IF(C150="","",IFERROR(INDEX('Saisie'!$AQ$5:$AQ$2004,_xlfn.MAXIFS('Saisie'!$AS$5:$AS$2004,'Saisie'!$C$5:$C$2004,C150,'Saisie'!$AQ$5:$AQ$2004,"&lt;&gt;")-4),""))</f>
        <v/>
      </c>
      <c r="AM150" s="60">
        <f>IF(C150="","",((AI150="Oui")+(AJ150="Oui")+(AK150="Oui")+OR(AL150="Immédiat",AL150="&lt; 1 mois"))&amp;"/4")</f>
        <v/>
      </c>
      <c r="AN150" s="60">
        <f>IF(C150="","",IFERROR(INDEX('Saisie'!$AL$5:$AL$2004,_xlfn.MAXIFS('Saisie'!$AS$5:$AS$2004,'Saisie'!$C$5:$C$2004,C150,'Saisie'!$AL$5:$AL$2004,"&lt;&gt;")-4),""))</f>
        <v/>
      </c>
      <c r="AO150" s="62">
        <f>IF(C150="","",IF(IFERROR(INDEX('Saisie'!$AM$5:$AM$2004,_xlfn.MAXIFS('Saisie'!$AS$5:$AS$2004,'Saisie'!$C$5:$C$2004,C150,'Saisie'!$AM$5:$AM$2004,"&lt;&gt;")-4),"")&lt;&gt;"",IFERROR(INDEX('Saisie'!$AM$5:$AM$2004,_xlfn.MAXIFS('Saisie'!$AS$5:$AS$2004,'Saisie'!$C$5:$C$2004,C150,'Saisie'!$AM$5:$AM$2004,"&lt;&gt;")-4),""),IFERROR(INDEX('Paramètres'!$S$6:$S$15,MATCH(AN150,'Paramètres'!$Q$6:$Q$15,0)),"")))</f>
        <v/>
      </c>
      <c r="AP150" s="62">
        <f>IF(C150="","",IFERROR(INDEX('Saisie'!$AW$5:$AW$2004,_xlfn.MAXIFS('Saisie'!$AS$5:$AS$2004,'Saisie'!$C$5:$C$2004,C150,'Saisie'!$E$5:$E$2004,"Proposition envoyée")-4),""))</f>
        <v/>
      </c>
      <c r="AQ150" s="106">
        <f>IF(C150="","",IFERROR(1/(1/_xlfn.MAXIFS('Saisie'!$A$5:$A$2004,'Saisie'!$C$5:$C$2004,C150,'Saisie'!$E$5:$E$2004,"Proposition envoyée")),""))</f>
        <v/>
      </c>
      <c r="AR150" s="106">
        <f>IF(C150="","",IF(AQ150="","",AQ150+'Paramètres'!$B$26))</f>
        <v/>
      </c>
      <c r="AS150" s="62">
        <f>IF(OR(C150="",D150="Gagné",D150="Perdu"),0,N(AP150)*IFERROR(INDEX('Paramètres'!$G$6:$G$13,MATCH(D150,'Paramètres'!$F$6:$F$13,0)),0))</f>
        <v/>
      </c>
      <c r="AT150" s="106">
        <f>IF(C150="","",IFERROR(1/(1/_xlfn.MINIFS('Saisie'!$A$5:$A$2004,'Saisie'!$C$5:$C$2004,C150,'Saisie'!$E$5:$E$2004,"Signature")),""))</f>
        <v/>
      </c>
      <c r="AU150" s="60">
        <f>IF(C150="","",IF(OR(AT150="",B150=""),"",AT150-B150))</f>
        <v/>
      </c>
      <c r="AV150" s="60">
        <f>IF(C150="","",IFERROR(INDEX('Saisie'!$L$5:$L$2004,_xlfn.MAXIFS('Saisie'!$AS$5:$AS$2004,'Saisie'!$C$5:$C$2004,C150,'Saisie'!$L$5:$L$2004,"&lt;&gt;")-4),""))</f>
        <v/>
      </c>
      <c r="AW150" s="106">
        <f>IF(C150="","",IF(D150&lt;&gt;"Perdu","",IFERROR(1/(1/_xlfn.MAXIFS('Saisie'!$A$5:$A$2004,'Saisie'!$C$5:$C$2004,C150,'Saisie'!$E$5:$E$2004,"Perdu")),"")))</f>
        <v/>
      </c>
      <c r="AX150" s="106">
        <f>IF(C150="","",IF(AW150="","",AW150+'Paramètres'!$B$28))</f>
        <v/>
      </c>
      <c r="AY150" s="60">
        <f>IF(C150="","",SUMIFS('Saisie'!$H$5:$H$2004,'Saisie'!$C$5:$C$2004,C150))</f>
        <v/>
      </c>
      <c r="AZ150" s="60">
        <f>IF(C150="","",IFERROR(INDEX('Paramètres'!$W$6:$W$20,MATCH(S150,'Paramètres'!$V$6:$V$20,0))&amp;"",""))</f>
        <v/>
      </c>
      <c r="BA150" s="60">
        <f>IF(C150="","",MAX(1,_xlfn.MAXIFS('Saisie'!$AT$5:$AT$2004,'Saisie'!$C$5:$C$2004,C150)))</f>
        <v/>
      </c>
      <c r="BB150" s="60">
        <f>IF(C150="","",IFERROR(INDEX('Saisie'!$X$5:$X$2004,_xlfn.MAXIFS('Saisie'!$AS$5:$AS$2004,'Saisie'!$C$5:$C$2004,C150,'Saisie'!$X$5:$X$2004,"&lt;&gt;")-4),""))</f>
        <v/>
      </c>
      <c r="BC150" s="60">
        <f>IF(C150="","",IFERROR(INDEX('Saisie'!$Y$5:$Y$2004,_xlfn.MAXIFS('Saisie'!$AS$5:$AS$2004,'Saisie'!$C$5:$C$2004,C150,'Saisie'!$Y$5:$Y$2004,"&lt;&gt;")-4),""))</f>
        <v/>
      </c>
      <c r="BD150" s="106">
        <f>IF(C150="","",IFERROR(1/(1/_xlfn.MINIFS('Saisie'!$A$5:$A$2004,'Saisie'!$C$5:$C$2004,C150,'Saisie'!$AT$5:$AT$2004,"&gt;=2")),""))</f>
        <v/>
      </c>
      <c r="BE150" s="106">
        <f>IF(C150="","",IFERROR(1/(1/_xlfn.MINIFS('Saisie'!$A$5:$A$2004,'Saisie'!$C$5:$C$2004,C150,'Saisie'!$AT$5:$AT$2004,"&gt;=3")),""))</f>
        <v/>
      </c>
      <c r="BF150" s="106">
        <f>IF(C150="","",IFERROR(1/(1/_xlfn.MINIFS('Saisie'!$A$5:$A$2004,'Saisie'!$C$5:$C$2004,C150,'Saisie'!$AT$5:$AT$2004,"&gt;=4")),""))</f>
        <v/>
      </c>
      <c r="BG150" s="106">
        <f>IF(C150="","",IFERROR(1/(1/_xlfn.MINIFS('Saisie'!$A$5:$A$2004,'Saisie'!$C$5:$C$2004,C150,'Saisie'!$AT$5:$AT$2004,"&gt;=5")),""))</f>
        <v/>
      </c>
      <c r="BH150" s="106">
        <f>IF(C150="","",IFERROR(1/(1/_xlfn.MINIFS('Saisie'!$A$5:$A$2004,'Saisie'!$C$5:$C$2004,C150,'Saisie'!$AT$5:$AT$2004,"&gt;=6")),""))</f>
        <v/>
      </c>
      <c r="BI150" s="106">
        <f>IF(C150="","",IFERROR(1/(1/_xlfn.MINIFS('Saisie'!$A$5:$A$2004,'Saisie'!$C$5:$C$2004,C150,'Saisie'!$AT$5:$AT$2004,"&gt;=7")),""))</f>
        <v/>
      </c>
      <c r="BJ150" s="60">
        <f>IF(OR(BD150="",B150=""),"",BD150-B150)</f>
        <v/>
      </c>
      <c r="BK150" s="60">
        <f>IF(OR(BE150="",BD150=""),"",BE150-BD150)</f>
        <v/>
      </c>
      <c r="BL150" s="60">
        <f>IF(OR(BF150="",BE150=""),"",BF150-BE150)</f>
        <v/>
      </c>
      <c r="BM150" s="60">
        <f>IF(OR(BG150="",BF150=""),"",BG150-BF150)</f>
        <v/>
      </c>
      <c r="BN150" s="60">
        <f>IF(OR(BH150="",BG150=""),"",BH150-BG150)</f>
        <v/>
      </c>
      <c r="BO150" s="60">
        <f>IF(OR(BI150="",BH150=""),"",BI150-BH150)</f>
        <v/>
      </c>
      <c r="BP150" s="60">
        <f>IF(C150="","",_xlfn.MAXIFS('Saisie'!$AS$5:$AS$2004,'Saisie'!$C$5:$C$2004,C150,'Saisie'!$J$5:$J$2004,"&lt;&gt;"))</f>
        <v/>
      </c>
      <c r="BQ150" s="60">
        <f>IF(C150="","",_xlfn.MAXIFS('Saisie'!$AS$5:$AS$2004,'Saisie'!$C$5:$C$2004,C150))</f>
        <v/>
      </c>
      <c r="BR150" s="60">
        <f>IF(C150="","",_xlfn.MAXIFS('Saisie'!$AS$5:$AS$2004,'Saisie'!$C$5:$C$2004,C150,'Saisie'!$E$5:$E$2004,"Perdu"))</f>
        <v/>
      </c>
      <c r="BS150" s="60">
        <f>IF(C150="","",_xlfn.MAXIFS('Saisie'!$AS$5:$AS$2004,'Saisie'!$C$5:$C$2004,C150,'Saisie'!$AT$5:$AT$2004,"&gt;0"))</f>
        <v/>
      </c>
      <c r="BT150" s="109">
        <f>IF(AND(C150&lt;&gt;"",OR(D150="Nouveau",D150="Contacté",D150="Qualifié"),OR(G150="",N(G150)&lt;=TODAY()),NOT(AND(O150&gt;='Paramètres'!$B$21,P150=0))),E150+146/10000,"")</f>
        <v/>
      </c>
      <c r="BU150" s="60">
        <f>IF(AND(G150&lt;&gt;"",N(G150)&lt;=TODAY()),MAX($BU$4:BU149)+1,"")</f>
        <v/>
      </c>
      <c r="BV150" s="60">
        <f>IF(AND(F150&lt;&gt;"",F150&lt;&gt;"Relance en retard"),MAX($BV$4:BV149)+1,"")</f>
        <v/>
      </c>
      <c r="BW150" s="60">
        <f>IF(C150="","",IF(AND(B150&gt;='Tableau de bord'!$R$4,B150&lt;='Tableau de bord'!$S$4,OR('Tableau de bord'!$G$4="Tous",N150='Tableau de bord'!$G$4)),1,0))</f>
        <v/>
      </c>
      <c r="BX150" s="60">
        <f>IF(AND(C150&lt;&gt;"",N(BA150)=7),MAX($BX$4:BX149)+1,"")</f>
        <v/>
      </c>
    </row>
    <row r="151">
      <c r="A151" s="60">
        <f>IF(C151="","","P-"&amp;TEXT(147,"000"))</f>
        <v/>
      </c>
      <c r="B151" s="106">
        <f>IF(C151="","",IFERROR(1/(1/_xlfn.MINIFS('Saisie'!$A$5:$A$2004,'Saisie'!$C$5:$C$2004,C151)),""))</f>
        <v/>
      </c>
      <c r="C151" s="60">
        <f>IFERROR(INDEX('Saisie'!$C$5:$C$2004,MATCH(147,'Saisie'!$AX$5:$AX$2004,0)),"")</f>
        <v/>
      </c>
      <c r="D151" s="60">
        <f>IF(C151="","",IF(AND(BR151&gt;0,BR151&gt;BS151,BA151&lt;7),"Perdu",INDEX('Paramètres'!$F$6:$F$13,BA151)))</f>
        <v/>
      </c>
      <c r="E151" s="61">
        <f>IF(C151="","",MIN(100,(Z151="Oui")*'Paramètres'!$B$38+(AB151="Régulière")*'Paramètres'!$B$39+IF(AND(N(AA151)&gt;0,TODAY()-N(AA151)&lt;=30),'Paramètres'!$B$40,0)+(W151="")*'Paramètres'!$B$41+(AC151="Absente")*'Paramètres'!$B$42+(AC151="Faible")*'Paramètres'!$B$43+IF(AND(N(AD151)&gt;0,N(AD151)&lt;4),'Paramètres'!$B$44,0)+(AF151="Moyenne")*'Paramètres'!$B$45+(AF151="Grande")*'Paramètres'!$B$46+(Y151&lt;&gt;"")*'Paramètres'!$B$47))</f>
        <v/>
      </c>
      <c r="F151" s="60">
        <f>IF(C151="","",IF(D151="Gagné","",IF(D151="Perdu",IF(AND(AX151&lt;&gt;"",AX151&lt;=TODAY()),"À recontacter (perdu)",""),IF(AND(O151&gt;='Paramètres'!$B$21,P151=0),"Stop : "&amp;'Paramètres'!$B$21&amp;" tentatives sans réponse",IF(AND(D151="Proposition",AR151&lt;&gt;"",TODAY()&gt;N(AR151)),"Proposition expirée",IF(AND(D151="Proposition",N(R151)&gt;='Paramètres'!$B$25),"Proposition sans réponse",IF(AND(G151&lt;&gt;"",N(G151)&lt;TODAY()),"Relance en retard",IF(N(R151)&gt;='Paramètres'!$B$24,"Sans action depuis "&amp;R151&amp;" j",""))))))))</f>
        <v/>
      </c>
      <c r="G151" s="106">
        <f>IF(OR(C151="",D151="Gagné",D151="Perdu"),"",IF(AND(BP151&gt;0,BP151=BQ151),INDEX('Saisie'!$J$5:$J$2004,BP151-4),IF(OR(O151=0,AND(O151&gt;='Paramètres'!$B$21,P151=0)),"",Q151+IF(O151&lt;=1,'Paramètres'!$B$18,IF(O151=2,'Paramètres'!$B$19,'Paramètres'!$B$20)))))</f>
        <v/>
      </c>
      <c r="H151" s="107">
        <f>IF(OR(G151="",BP151&lt;&gt;BQ151),"",IF(INDEX('Saisie'!$K$5:$K$2004,BP151-4)="","",INDEX('Saisie'!$K$5:$K$2004,BP151-4)))</f>
        <v/>
      </c>
      <c r="I151" s="60">
        <f>IF(C151="","",IF(OR(D151="Gagné",D151="Perdu"),"",IFERROR(INDEX('Saisie'!$I$5:$I$2004,_xlfn.MAXIFS('Saisie'!$AS$5:$AS$2004,'Saisie'!$C$5:$C$2004,C151,'Saisie'!$I$5:$I$2004,"&lt;&gt;")-4),"")))</f>
        <v/>
      </c>
      <c r="J151" s="60">
        <f>IF(C151="","",IFERROR(INDEX('Saisie'!$U$5:$U$2004,_xlfn.MAXIFS('Saisie'!$AS$5:$AS$2004,'Saisie'!$C$5:$C$2004,C151,'Saisie'!$U$5:$U$2004,"&lt;&gt;")-4),""))</f>
        <v/>
      </c>
      <c r="K151" s="60">
        <f>IF(C151="","",IFERROR(INDEX('Saisie'!$W$5:$W$2004,_xlfn.MAXIFS('Saisie'!$AS$5:$AS$2004,'Saisie'!$C$5:$C$2004,C151,'Saisie'!$W$5:$W$2004,"&lt;&gt;")-4),""))</f>
        <v/>
      </c>
      <c r="L151" s="60">
        <f>IF(IF(BB151&lt;&gt;"",BB151,K151)="","",HYPERLINK("https://wa.me/"&amp;IF(LEFT(SUBSTITUTE(SUBSTITUTE(SUBSTITUTE(IF(BB151&lt;&gt;"",BB151,K151)," ",""),".",""),"+",""),1)="0",'Paramètres'!$B$35&amp;MID(SUBSTITUTE(SUBSTITUTE(SUBSTITUTE(IF(BB151&lt;&gt;"",BB151,K151)," ",""),".",""),"+",""),2,20),SUBSTITUTE(SUBSTITUTE(SUBSTITUTE(IF(BB151&lt;&gt;"",BB151,K151)," ",""),".",""),"+","")),"WhatsApp"))</f>
        <v/>
      </c>
      <c r="M151" s="60">
        <f>IF(BC151="","",HYPERLINK(IF(LEFT(BC151,4)="http",BC151,"https://www.instagram.com/"&amp;SUBSTITUTE(SUBSTITUTE(BC151,"@","")," ","")),BC151))</f>
        <v/>
      </c>
      <c r="N151" s="60">
        <f>IF(C151="","",IFERROR(INDEX('Saisie'!$D$5:$D$2004,_xlfn.MINIFS('Saisie'!$AS$5:$AS$2004,'Saisie'!$C$5:$C$2004,C151,'Saisie'!$AU$5:$AU$2004,1)-4),IFERROR(INDEX('Saisie'!$D$5:$D$2004,_xlfn.MINIFS('Saisie'!$AS$5:$AS$2004,'Saisie'!$C$5:$C$2004,C151,'Saisie'!$D$5:$D$2004,"&lt;&gt;")-4),"")))</f>
        <v/>
      </c>
      <c r="O151" s="60">
        <f>IF(C151="","",COUNTIFS('Saisie'!$C$5:$C$2004,C151,'Saisie'!$AU$5:$AU$2004,1))</f>
        <v/>
      </c>
      <c r="P151" s="60">
        <f>IF(C151="","",COUNTIFS('Saisie'!$C$5:$C$2004,C151,'Saisie'!$AV$5:$AV$2004,1))</f>
        <v/>
      </c>
      <c r="Q151" s="106">
        <f>IF(C151="","",IFERROR(1/(1/_xlfn.MAXIFS('Saisie'!$A$5:$A$2004,'Saisie'!$C$5:$C$2004,C151)),""))</f>
        <v/>
      </c>
      <c r="R151" s="61">
        <f>IF(C151="","",IF(Q151="","",TODAY()-Q151))</f>
        <v/>
      </c>
      <c r="S151" s="60">
        <f>IF(C151="","",IFERROR(INDEX('Saisie'!$R$5:$R$2004,_xlfn.MAXIFS('Saisie'!$AS$5:$AS$2004,'Saisie'!$C$5:$C$2004,C151,'Saisie'!$R$5:$R$2004,"&lt;&gt;")-4),""))</f>
        <v/>
      </c>
      <c r="T151" s="60">
        <f>IF(C151="","",IFERROR(INDEX('Saisie'!$S$5:$S$2004,_xlfn.MAXIFS('Saisie'!$AS$5:$AS$2004,'Saisie'!$C$5:$C$2004,C151,'Saisie'!$S$5:$S$2004,"&lt;&gt;")-4),""))</f>
        <v/>
      </c>
      <c r="U151" s="60">
        <f>IF(C151="","",IFERROR(INDEX('Saisie'!$T$5:$T$2004,_xlfn.MAXIFS('Saisie'!$AS$5:$AS$2004,'Saisie'!$C$5:$C$2004,C151,'Saisie'!$T$5:$T$2004,"&lt;&gt;")-4),""))</f>
        <v/>
      </c>
      <c r="V151" s="60">
        <f>IF(C151="","",IFERROR(INDEX('Saisie'!$V$5:$V$2004,_xlfn.MAXIFS('Saisie'!$AS$5:$AS$2004,'Saisie'!$C$5:$C$2004,C151,'Saisie'!$V$5:$V$2004,"&lt;&gt;")-4),""))</f>
        <v/>
      </c>
      <c r="W151" s="60">
        <f>IF(C151="","",IFERROR(INDEX('Saisie'!$Z$5:$Z$2004,_xlfn.MAXIFS('Saisie'!$AS$5:$AS$2004,'Saisie'!$C$5:$C$2004,C151,'Saisie'!$Z$5:$Z$2004,"&lt;&gt;")-4),""))</f>
        <v/>
      </c>
      <c r="X151" s="60">
        <f>IF(C151="","",IFERROR(INDEX('Saisie'!$AA$5:$AA$2004,_xlfn.MAXIFS('Saisie'!$AS$5:$AS$2004,'Saisie'!$C$5:$C$2004,C151,'Saisie'!$AA$5:$AA$2004,"&lt;&gt;")-4),""))</f>
        <v/>
      </c>
      <c r="Y151" s="60">
        <f>IF(C151="","",IFERROR(INDEX('Saisie'!$AB$5:$AB$2004,_xlfn.MAXIFS('Saisie'!$AS$5:$AS$2004,'Saisie'!$C$5:$C$2004,C151,'Saisie'!$AB$5:$AB$2004,"&lt;&gt;")-4),""))</f>
        <v/>
      </c>
      <c r="Z151" s="60">
        <f>IF(C151="","",IFERROR(INDEX('Saisie'!$AC$5:$AC$2004,_xlfn.MAXIFS('Saisie'!$AS$5:$AS$2004,'Saisie'!$C$5:$C$2004,C151,'Saisie'!$AC$5:$AC$2004,"&lt;&gt;")-4),""))</f>
        <v/>
      </c>
      <c r="AA151" s="106">
        <f>IF(C151="","",IFERROR(INDEX('Saisie'!$AD$5:$AD$2004,_xlfn.MAXIFS('Saisie'!$AS$5:$AS$2004,'Saisie'!$C$5:$C$2004,C151,'Saisie'!$AD$5:$AD$2004,"&lt;&gt;")-4),""))</f>
        <v/>
      </c>
      <c r="AB151" s="60">
        <f>IF(C151="","",IFERROR(INDEX('Saisie'!$AE$5:$AE$2004,_xlfn.MAXIFS('Saisie'!$AS$5:$AS$2004,'Saisie'!$C$5:$C$2004,C151,'Saisie'!$AE$5:$AE$2004,"&lt;&gt;")-4),""))</f>
        <v/>
      </c>
      <c r="AC151" s="60">
        <f>IF(C151="","",IFERROR(INDEX('Saisie'!$AF$5:$AF$2004,_xlfn.MAXIFS('Saisie'!$AS$5:$AS$2004,'Saisie'!$C$5:$C$2004,C151,'Saisie'!$AF$5:$AF$2004,"&lt;&gt;")-4),""))</f>
        <v/>
      </c>
      <c r="AD151" s="108">
        <f>IF(C151="","",IFERROR(INDEX('Saisie'!$AG$5:$AG$2004,_xlfn.MAXIFS('Saisie'!$AS$5:$AS$2004,'Saisie'!$C$5:$C$2004,C151,'Saisie'!$AG$5:$AG$2004,"&lt;&gt;")-4),""))</f>
        <v/>
      </c>
      <c r="AE151" s="60">
        <f>IF(C151="","",IFERROR(INDEX('Saisie'!$AH$5:$AH$2004,_xlfn.MAXIFS('Saisie'!$AS$5:$AS$2004,'Saisie'!$C$5:$C$2004,C151,'Saisie'!$AH$5:$AH$2004,"&lt;&gt;")-4),""))</f>
        <v/>
      </c>
      <c r="AF151" s="60">
        <f>IF(C151="","",IFERROR(INDEX('Saisie'!$AI$5:$AI$2004,_xlfn.MAXIFS('Saisie'!$AS$5:$AS$2004,'Saisie'!$C$5:$C$2004,C151,'Saisie'!$AI$5:$AI$2004,"&lt;&gt;")-4),""))</f>
        <v/>
      </c>
      <c r="AG151" s="60">
        <f>IF(C151="","",IFERROR(INDEX('Saisie'!$AJ$5:$AJ$2004,_xlfn.MAXIFS('Saisie'!$AS$5:$AS$2004,'Saisie'!$C$5:$C$2004,C151,'Saisie'!$AJ$5:$AJ$2004,"&lt;&gt;")-4),""))</f>
        <v/>
      </c>
      <c r="AH151" s="60">
        <f>IF(C151="","",IFERROR(INDEX('Saisie'!$AK$5:$AK$2004,_xlfn.MAXIFS('Saisie'!$AS$5:$AS$2004,'Saisie'!$C$5:$C$2004,C151,'Saisie'!$AK$5:$AK$2004,"&lt;&gt;")-4),""))</f>
        <v/>
      </c>
      <c r="AI151" s="60">
        <f>IF(C151="","",IFERROR(INDEX('Saisie'!$AN$5:$AN$2004,_xlfn.MAXIFS('Saisie'!$AS$5:$AS$2004,'Saisie'!$C$5:$C$2004,C151,'Saisie'!$AN$5:$AN$2004,"&lt;&gt;")-4),""))</f>
        <v/>
      </c>
      <c r="AJ151" s="60">
        <f>IF(C151="","",IFERROR(INDEX('Saisie'!$AO$5:$AO$2004,_xlfn.MAXIFS('Saisie'!$AS$5:$AS$2004,'Saisie'!$C$5:$C$2004,C151,'Saisie'!$AO$5:$AO$2004,"&lt;&gt;")-4),""))</f>
        <v/>
      </c>
      <c r="AK151" s="60">
        <f>IF(C151="","",IFERROR(INDEX('Saisie'!$AP$5:$AP$2004,_xlfn.MAXIFS('Saisie'!$AS$5:$AS$2004,'Saisie'!$C$5:$C$2004,C151,'Saisie'!$AP$5:$AP$2004,"&lt;&gt;")-4),""))</f>
        <v/>
      </c>
      <c r="AL151" s="60">
        <f>IF(C151="","",IFERROR(INDEX('Saisie'!$AQ$5:$AQ$2004,_xlfn.MAXIFS('Saisie'!$AS$5:$AS$2004,'Saisie'!$C$5:$C$2004,C151,'Saisie'!$AQ$5:$AQ$2004,"&lt;&gt;")-4),""))</f>
        <v/>
      </c>
      <c r="AM151" s="60">
        <f>IF(C151="","",((AI151="Oui")+(AJ151="Oui")+(AK151="Oui")+OR(AL151="Immédiat",AL151="&lt; 1 mois"))&amp;"/4")</f>
        <v/>
      </c>
      <c r="AN151" s="60">
        <f>IF(C151="","",IFERROR(INDEX('Saisie'!$AL$5:$AL$2004,_xlfn.MAXIFS('Saisie'!$AS$5:$AS$2004,'Saisie'!$C$5:$C$2004,C151,'Saisie'!$AL$5:$AL$2004,"&lt;&gt;")-4),""))</f>
        <v/>
      </c>
      <c r="AO151" s="62">
        <f>IF(C151="","",IF(IFERROR(INDEX('Saisie'!$AM$5:$AM$2004,_xlfn.MAXIFS('Saisie'!$AS$5:$AS$2004,'Saisie'!$C$5:$C$2004,C151,'Saisie'!$AM$5:$AM$2004,"&lt;&gt;")-4),"")&lt;&gt;"",IFERROR(INDEX('Saisie'!$AM$5:$AM$2004,_xlfn.MAXIFS('Saisie'!$AS$5:$AS$2004,'Saisie'!$C$5:$C$2004,C151,'Saisie'!$AM$5:$AM$2004,"&lt;&gt;")-4),""),IFERROR(INDEX('Paramètres'!$S$6:$S$15,MATCH(AN151,'Paramètres'!$Q$6:$Q$15,0)),"")))</f>
        <v/>
      </c>
      <c r="AP151" s="62">
        <f>IF(C151="","",IFERROR(INDEX('Saisie'!$AW$5:$AW$2004,_xlfn.MAXIFS('Saisie'!$AS$5:$AS$2004,'Saisie'!$C$5:$C$2004,C151,'Saisie'!$E$5:$E$2004,"Proposition envoyée")-4),""))</f>
        <v/>
      </c>
      <c r="AQ151" s="106">
        <f>IF(C151="","",IFERROR(1/(1/_xlfn.MAXIFS('Saisie'!$A$5:$A$2004,'Saisie'!$C$5:$C$2004,C151,'Saisie'!$E$5:$E$2004,"Proposition envoyée")),""))</f>
        <v/>
      </c>
      <c r="AR151" s="106">
        <f>IF(C151="","",IF(AQ151="","",AQ151+'Paramètres'!$B$26))</f>
        <v/>
      </c>
      <c r="AS151" s="62">
        <f>IF(OR(C151="",D151="Gagné",D151="Perdu"),0,N(AP151)*IFERROR(INDEX('Paramètres'!$G$6:$G$13,MATCH(D151,'Paramètres'!$F$6:$F$13,0)),0))</f>
        <v/>
      </c>
      <c r="AT151" s="106">
        <f>IF(C151="","",IFERROR(1/(1/_xlfn.MINIFS('Saisie'!$A$5:$A$2004,'Saisie'!$C$5:$C$2004,C151,'Saisie'!$E$5:$E$2004,"Signature")),""))</f>
        <v/>
      </c>
      <c r="AU151" s="60">
        <f>IF(C151="","",IF(OR(AT151="",B151=""),"",AT151-B151))</f>
        <v/>
      </c>
      <c r="AV151" s="60">
        <f>IF(C151="","",IFERROR(INDEX('Saisie'!$L$5:$L$2004,_xlfn.MAXIFS('Saisie'!$AS$5:$AS$2004,'Saisie'!$C$5:$C$2004,C151,'Saisie'!$L$5:$L$2004,"&lt;&gt;")-4),""))</f>
        <v/>
      </c>
      <c r="AW151" s="106">
        <f>IF(C151="","",IF(D151&lt;&gt;"Perdu","",IFERROR(1/(1/_xlfn.MAXIFS('Saisie'!$A$5:$A$2004,'Saisie'!$C$5:$C$2004,C151,'Saisie'!$E$5:$E$2004,"Perdu")),"")))</f>
        <v/>
      </c>
      <c r="AX151" s="106">
        <f>IF(C151="","",IF(AW151="","",AW151+'Paramètres'!$B$28))</f>
        <v/>
      </c>
      <c r="AY151" s="60">
        <f>IF(C151="","",SUMIFS('Saisie'!$H$5:$H$2004,'Saisie'!$C$5:$C$2004,C151))</f>
        <v/>
      </c>
      <c r="AZ151" s="60">
        <f>IF(C151="","",IFERROR(INDEX('Paramètres'!$W$6:$W$20,MATCH(S151,'Paramètres'!$V$6:$V$20,0))&amp;"",""))</f>
        <v/>
      </c>
      <c r="BA151" s="60">
        <f>IF(C151="","",MAX(1,_xlfn.MAXIFS('Saisie'!$AT$5:$AT$2004,'Saisie'!$C$5:$C$2004,C151)))</f>
        <v/>
      </c>
      <c r="BB151" s="60">
        <f>IF(C151="","",IFERROR(INDEX('Saisie'!$X$5:$X$2004,_xlfn.MAXIFS('Saisie'!$AS$5:$AS$2004,'Saisie'!$C$5:$C$2004,C151,'Saisie'!$X$5:$X$2004,"&lt;&gt;")-4),""))</f>
        <v/>
      </c>
      <c r="BC151" s="60">
        <f>IF(C151="","",IFERROR(INDEX('Saisie'!$Y$5:$Y$2004,_xlfn.MAXIFS('Saisie'!$AS$5:$AS$2004,'Saisie'!$C$5:$C$2004,C151,'Saisie'!$Y$5:$Y$2004,"&lt;&gt;")-4),""))</f>
        <v/>
      </c>
      <c r="BD151" s="106">
        <f>IF(C151="","",IFERROR(1/(1/_xlfn.MINIFS('Saisie'!$A$5:$A$2004,'Saisie'!$C$5:$C$2004,C151,'Saisie'!$AT$5:$AT$2004,"&gt;=2")),""))</f>
        <v/>
      </c>
      <c r="BE151" s="106">
        <f>IF(C151="","",IFERROR(1/(1/_xlfn.MINIFS('Saisie'!$A$5:$A$2004,'Saisie'!$C$5:$C$2004,C151,'Saisie'!$AT$5:$AT$2004,"&gt;=3")),""))</f>
        <v/>
      </c>
      <c r="BF151" s="106">
        <f>IF(C151="","",IFERROR(1/(1/_xlfn.MINIFS('Saisie'!$A$5:$A$2004,'Saisie'!$C$5:$C$2004,C151,'Saisie'!$AT$5:$AT$2004,"&gt;=4")),""))</f>
        <v/>
      </c>
      <c r="BG151" s="106">
        <f>IF(C151="","",IFERROR(1/(1/_xlfn.MINIFS('Saisie'!$A$5:$A$2004,'Saisie'!$C$5:$C$2004,C151,'Saisie'!$AT$5:$AT$2004,"&gt;=5")),""))</f>
        <v/>
      </c>
      <c r="BH151" s="106">
        <f>IF(C151="","",IFERROR(1/(1/_xlfn.MINIFS('Saisie'!$A$5:$A$2004,'Saisie'!$C$5:$C$2004,C151,'Saisie'!$AT$5:$AT$2004,"&gt;=6")),""))</f>
        <v/>
      </c>
      <c r="BI151" s="106">
        <f>IF(C151="","",IFERROR(1/(1/_xlfn.MINIFS('Saisie'!$A$5:$A$2004,'Saisie'!$C$5:$C$2004,C151,'Saisie'!$AT$5:$AT$2004,"&gt;=7")),""))</f>
        <v/>
      </c>
      <c r="BJ151" s="60">
        <f>IF(OR(BD151="",B151=""),"",BD151-B151)</f>
        <v/>
      </c>
      <c r="BK151" s="60">
        <f>IF(OR(BE151="",BD151=""),"",BE151-BD151)</f>
        <v/>
      </c>
      <c r="BL151" s="60">
        <f>IF(OR(BF151="",BE151=""),"",BF151-BE151)</f>
        <v/>
      </c>
      <c r="BM151" s="60">
        <f>IF(OR(BG151="",BF151=""),"",BG151-BF151)</f>
        <v/>
      </c>
      <c r="BN151" s="60">
        <f>IF(OR(BH151="",BG151=""),"",BH151-BG151)</f>
        <v/>
      </c>
      <c r="BO151" s="60">
        <f>IF(OR(BI151="",BH151=""),"",BI151-BH151)</f>
        <v/>
      </c>
      <c r="BP151" s="60">
        <f>IF(C151="","",_xlfn.MAXIFS('Saisie'!$AS$5:$AS$2004,'Saisie'!$C$5:$C$2004,C151,'Saisie'!$J$5:$J$2004,"&lt;&gt;"))</f>
        <v/>
      </c>
      <c r="BQ151" s="60">
        <f>IF(C151="","",_xlfn.MAXIFS('Saisie'!$AS$5:$AS$2004,'Saisie'!$C$5:$C$2004,C151))</f>
        <v/>
      </c>
      <c r="BR151" s="60">
        <f>IF(C151="","",_xlfn.MAXIFS('Saisie'!$AS$5:$AS$2004,'Saisie'!$C$5:$C$2004,C151,'Saisie'!$E$5:$E$2004,"Perdu"))</f>
        <v/>
      </c>
      <c r="BS151" s="60">
        <f>IF(C151="","",_xlfn.MAXIFS('Saisie'!$AS$5:$AS$2004,'Saisie'!$C$5:$C$2004,C151,'Saisie'!$AT$5:$AT$2004,"&gt;0"))</f>
        <v/>
      </c>
      <c r="BT151" s="109">
        <f>IF(AND(C151&lt;&gt;"",OR(D151="Nouveau",D151="Contacté",D151="Qualifié"),OR(G151="",N(G151)&lt;=TODAY()),NOT(AND(O151&gt;='Paramètres'!$B$21,P151=0))),E151+147/10000,"")</f>
        <v/>
      </c>
      <c r="BU151" s="60">
        <f>IF(AND(G151&lt;&gt;"",N(G151)&lt;=TODAY()),MAX($BU$4:BU150)+1,"")</f>
        <v/>
      </c>
      <c r="BV151" s="60">
        <f>IF(AND(F151&lt;&gt;"",F151&lt;&gt;"Relance en retard"),MAX($BV$4:BV150)+1,"")</f>
        <v/>
      </c>
      <c r="BW151" s="60">
        <f>IF(C151="","",IF(AND(B151&gt;='Tableau de bord'!$R$4,B151&lt;='Tableau de bord'!$S$4,OR('Tableau de bord'!$G$4="Tous",N151='Tableau de bord'!$G$4)),1,0))</f>
        <v/>
      </c>
      <c r="BX151" s="60">
        <f>IF(AND(C151&lt;&gt;"",N(BA151)=7),MAX($BX$4:BX150)+1,"")</f>
        <v/>
      </c>
    </row>
    <row r="152">
      <c r="A152" s="60">
        <f>IF(C152="","","P-"&amp;TEXT(148,"000"))</f>
        <v/>
      </c>
      <c r="B152" s="106">
        <f>IF(C152="","",IFERROR(1/(1/_xlfn.MINIFS('Saisie'!$A$5:$A$2004,'Saisie'!$C$5:$C$2004,C152)),""))</f>
        <v/>
      </c>
      <c r="C152" s="60">
        <f>IFERROR(INDEX('Saisie'!$C$5:$C$2004,MATCH(148,'Saisie'!$AX$5:$AX$2004,0)),"")</f>
        <v/>
      </c>
      <c r="D152" s="60">
        <f>IF(C152="","",IF(AND(BR152&gt;0,BR152&gt;BS152,BA152&lt;7),"Perdu",INDEX('Paramètres'!$F$6:$F$13,BA152)))</f>
        <v/>
      </c>
      <c r="E152" s="61">
        <f>IF(C152="","",MIN(100,(Z152="Oui")*'Paramètres'!$B$38+(AB152="Régulière")*'Paramètres'!$B$39+IF(AND(N(AA152)&gt;0,TODAY()-N(AA152)&lt;=30),'Paramètres'!$B$40,0)+(W152="")*'Paramètres'!$B$41+(AC152="Absente")*'Paramètres'!$B$42+(AC152="Faible")*'Paramètres'!$B$43+IF(AND(N(AD152)&gt;0,N(AD152)&lt;4),'Paramètres'!$B$44,0)+(AF152="Moyenne")*'Paramètres'!$B$45+(AF152="Grande")*'Paramètres'!$B$46+(Y152&lt;&gt;"")*'Paramètres'!$B$47))</f>
        <v/>
      </c>
      <c r="F152" s="60">
        <f>IF(C152="","",IF(D152="Gagné","",IF(D152="Perdu",IF(AND(AX152&lt;&gt;"",AX152&lt;=TODAY()),"À recontacter (perdu)",""),IF(AND(O152&gt;='Paramètres'!$B$21,P152=0),"Stop : "&amp;'Paramètres'!$B$21&amp;" tentatives sans réponse",IF(AND(D152="Proposition",AR152&lt;&gt;"",TODAY()&gt;N(AR152)),"Proposition expirée",IF(AND(D152="Proposition",N(R152)&gt;='Paramètres'!$B$25),"Proposition sans réponse",IF(AND(G152&lt;&gt;"",N(G152)&lt;TODAY()),"Relance en retard",IF(N(R152)&gt;='Paramètres'!$B$24,"Sans action depuis "&amp;R152&amp;" j",""))))))))</f>
        <v/>
      </c>
      <c r="G152" s="106">
        <f>IF(OR(C152="",D152="Gagné",D152="Perdu"),"",IF(AND(BP152&gt;0,BP152=BQ152),INDEX('Saisie'!$J$5:$J$2004,BP152-4),IF(OR(O152=0,AND(O152&gt;='Paramètres'!$B$21,P152=0)),"",Q152+IF(O152&lt;=1,'Paramètres'!$B$18,IF(O152=2,'Paramètres'!$B$19,'Paramètres'!$B$20)))))</f>
        <v/>
      </c>
      <c r="H152" s="107">
        <f>IF(OR(G152="",BP152&lt;&gt;BQ152),"",IF(INDEX('Saisie'!$K$5:$K$2004,BP152-4)="","",INDEX('Saisie'!$K$5:$K$2004,BP152-4)))</f>
        <v/>
      </c>
      <c r="I152" s="60">
        <f>IF(C152="","",IF(OR(D152="Gagné",D152="Perdu"),"",IFERROR(INDEX('Saisie'!$I$5:$I$2004,_xlfn.MAXIFS('Saisie'!$AS$5:$AS$2004,'Saisie'!$C$5:$C$2004,C152,'Saisie'!$I$5:$I$2004,"&lt;&gt;")-4),"")))</f>
        <v/>
      </c>
      <c r="J152" s="60">
        <f>IF(C152="","",IFERROR(INDEX('Saisie'!$U$5:$U$2004,_xlfn.MAXIFS('Saisie'!$AS$5:$AS$2004,'Saisie'!$C$5:$C$2004,C152,'Saisie'!$U$5:$U$2004,"&lt;&gt;")-4),""))</f>
        <v/>
      </c>
      <c r="K152" s="60">
        <f>IF(C152="","",IFERROR(INDEX('Saisie'!$W$5:$W$2004,_xlfn.MAXIFS('Saisie'!$AS$5:$AS$2004,'Saisie'!$C$5:$C$2004,C152,'Saisie'!$W$5:$W$2004,"&lt;&gt;")-4),""))</f>
        <v/>
      </c>
      <c r="L152" s="60">
        <f>IF(IF(BB152&lt;&gt;"",BB152,K152)="","",HYPERLINK("https://wa.me/"&amp;IF(LEFT(SUBSTITUTE(SUBSTITUTE(SUBSTITUTE(IF(BB152&lt;&gt;"",BB152,K152)," ",""),".",""),"+",""),1)="0",'Paramètres'!$B$35&amp;MID(SUBSTITUTE(SUBSTITUTE(SUBSTITUTE(IF(BB152&lt;&gt;"",BB152,K152)," ",""),".",""),"+",""),2,20),SUBSTITUTE(SUBSTITUTE(SUBSTITUTE(IF(BB152&lt;&gt;"",BB152,K152)," ",""),".",""),"+","")),"WhatsApp"))</f>
        <v/>
      </c>
      <c r="M152" s="60">
        <f>IF(BC152="","",HYPERLINK(IF(LEFT(BC152,4)="http",BC152,"https://www.instagram.com/"&amp;SUBSTITUTE(SUBSTITUTE(BC152,"@","")," ","")),BC152))</f>
        <v/>
      </c>
      <c r="N152" s="60">
        <f>IF(C152="","",IFERROR(INDEX('Saisie'!$D$5:$D$2004,_xlfn.MINIFS('Saisie'!$AS$5:$AS$2004,'Saisie'!$C$5:$C$2004,C152,'Saisie'!$AU$5:$AU$2004,1)-4),IFERROR(INDEX('Saisie'!$D$5:$D$2004,_xlfn.MINIFS('Saisie'!$AS$5:$AS$2004,'Saisie'!$C$5:$C$2004,C152,'Saisie'!$D$5:$D$2004,"&lt;&gt;")-4),"")))</f>
        <v/>
      </c>
      <c r="O152" s="60">
        <f>IF(C152="","",COUNTIFS('Saisie'!$C$5:$C$2004,C152,'Saisie'!$AU$5:$AU$2004,1))</f>
        <v/>
      </c>
      <c r="P152" s="60">
        <f>IF(C152="","",COUNTIFS('Saisie'!$C$5:$C$2004,C152,'Saisie'!$AV$5:$AV$2004,1))</f>
        <v/>
      </c>
      <c r="Q152" s="106">
        <f>IF(C152="","",IFERROR(1/(1/_xlfn.MAXIFS('Saisie'!$A$5:$A$2004,'Saisie'!$C$5:$C$2004,C152)),""))</f>
        <v/>
      </c>
      <c r="R152" s="61">
        <f>IF(C152="","",IF(Q152="","",TODAY()-Q152))</f>
        <v/>
      </c>
      <c r="S152" s="60">
        <f>IF(C152="","",IFERROR(INDEX('Saisie'!$R$5:$R$2004,_xlfn.MAXIFS('Saisie'!$AS$5:$AS$2004,'Saisie'!$C$5:$C$2004,C152,'Saisie'!$R$5:$R$2004,"&lt;&gt;")-4),""))</f>
        <v/>
      </c>
      <c r="T152" s="60">
        <f>IF(C152="","",IFERROR(INDEX('Saisie'!$S$5:$S$2004,_xlfn.MAXIFS('Saisie'!$AS$5:$AS$2004,'Saisie'!$C$5:$C$2004,C152,'Saisie'!$S$5:$S$2004,"&lt;&gt;")-4),""))</f>
        <v/>
      </c>
      <c r="U152" s="60">
        <f>IF(C152="","",IFERROR(INDEX('Saisie'!$T$5:$T$2004,_xlfn.MAXIFS('Saisie'!$AS$5:$AS$2004,'Saisie'!$C$5:$C$2004,C152,'Saisie'!$T$5:$T$2004,"&lt;&gt;")-4),""))</f>
        <v/>
      </c>
      <c r="V152" s="60">
        <f>IF(C152="","",IFERROR(INDEX('Saisie'!$V$5:$V$2004,_xlfn.MAXIFS('Saisie'!$AS$5:$AS$2004,'Saisie'!$C$5:$C$2004,C152,'Saisie'!$V$5:$V$2004,"&lt;&gt;")-4),""))</f>
        <v/>
      </c>
      <c r="W152" s="60">
        <f>IF(C152="","",IFERROR(INDEX('Saisie'!$Z$5:$Z$2004,_xlfn.MAXIFS('Saisie'!$AS$5:$AS$2004,'Saisie'!$C$5:$C$2004,C152,'Saisie'!$Z$5:$Z$2004,"&lt;&gt;")-4),""))</f>
        <v/>
      </c>
      <c r="X152" s="60">
        <f>IF(C152="","",IFERROR(INDEX('Saisie'!$AA$5:$AA$2004,_xlfn.MAXIFS('Saisie'!$AS$5:$AS$2004,'Saisie'!$C$5:$C$2004,C152,'Saisie'!$AA$5:$AA$2004,"&lt;&gt;")-4),""))</f>
        <v/>
      </c>
      <c r="Y152" s="60">
        <f>IF(C152="","",IFERROR(INDEX('Saisie'!$AB$5:$AB$2004,_xlfn.MAXIFS('Saisie'!$AS$5:$AS$2004,'Saisie'!$C$5:$C$2004,C152,'Saisie'!$AB$5:$AB$2004,"&lt;&gt;")-4),""))</f>
        <v/>
      </c>
      <c r="Z152" s="60">
        <f>IF(C152="","",IFERROR(INDEX('Saisie'!$AC$5:$AC$2004,_xlfn.MAXIFS('Saisie'!$AS$5:$AS$2004,'Saisie'!$C$5:$C$2004,C152,'Saisie'!$AC$5:$AC$2004,"&lt;&gt;")-4),""))</f>
        <v/>
      </c>
      <c r="AA152" s="106">
        <f>IF(C152="","",IFERROR(INDEX('Saisie'!$AD$5:$AD$2004,_xlfn.MAXIFS('Saisie'!$AS$5:$AS$2004,'Saisie'!$C$5:$C$2004,C152,'Saisie'!$AD$5:$AD$2004,"&lt;&gt;")-4),""))</f>
        <v/>
      </c>
      <c r="AB152" s="60">
        <f>IF(C152="","",IFERROR(INDEX('Saisie'!$AE$5:$AE$2004,_xlfn.MAXIFS('Saisie'!$AS$5:$AS$2004,'Saisie'!$C$5:$C$2004,C152,'Saisie'!$AE$5:$AE$2004,"&lt;&gt;")-4),""))</f>
        <v/>
      </c>
      <c r="AC152" s="60">
        <f>IF(C152="","",IFERROR(INDEX('Saisie'!$AF$5:$AF$2004,_xlfn.MAXIFS('Saisie'!$AS$5:$AS$2004,'Saisie'!$C$5:$C$2004,C152,'Saisie'!$AF$5:$AF$2004,"&lt;&gt;")-4),""))</f>
        <v/>
      </c>
      <c r="AD152" s="108">
        <f>IF(C152="","",IFERROR(INDEX('Saisie'!$AG$5:$AG$2004,_xlfn.MAXIFS('Saisie'!$AS$5:$AS$2004,'Saisie'!$C$5:$C$2004,C152,'Saisie'!$AG$5:$AG$2004,"&lt;&gt;")-4),""))</f>
        <v/>
      </c>
      <c r="AE152" s="60">
        <f>IF(C152="","",IFERROR(INDEX('Saisie'!$AH$5:$AH$2004,_xlfn.MAXIFS('Saisie'!$AS$5:$AS$2004,'Saisie'!$C$5:$C$2004,C152,'Saisie'!$AH$5:$AH$2004,"&lt;&gt;")-4),""))</f>
        <v/>
      </c>
      <c r="AF152" s="60">
        <f>IF(C152="","",IFERROR(INDEX('Saisie'!$AI$5:$AI$2004,_xlfn.MAXIFS('Saisie'!$AS$5:$AS$2004,'Saisie'!$C$5:$C$2004,C152,'Saisie'!$AI$5:$AI$2004,"&lt;&gt;")-4),""))</f>
        <v/>
      </c>
      <c r="AG152" s="60">
        <f>IF(C152="","",IFERROR(INDEX('Saisie'!$AJ$5:$AJ$2004,_xlfn.MAXIFS('Saisie'!$AS$5:$AS$2004,'Saisie'!$C$5:$C$2004,C152,'Saisie'!$AJ$5:$AJ$2004,"&lt;&gt;")-4),""))</f>
        <v/>
      </c>
      <c r="AH152" s="60">
        <f>IF(C152="","",IFERROR(INDEX('Saisie'!$AK$5:$AK$2004,_xlfn.MAXIFS('Saisie'!$AS$5:$AS$2004,'Saisie'!$C$5:$C$2004,C152,'Saisie'!$AK$5:$AK$2004,"&lt;&gt;")-4),""))</f>
        <v/>
      </c>
      <c r="AI152" s="60">
        <f>IF(C152="","",IFERROR(INDEX('Saisie'!$AN$5:$AN$2004,_xlfn.MAXIFS('Saisie'!$AS$5:$AS$2004,'Saisie'!$C$5:$C$2004,C152,'Saisie'!$AN$5:$AN$2004,"&lt;&gt;")-4),""))</f>
        <v/>
      </c>
      <c r="AJ152" s="60">
        <f>IF(C152="","",IFERROR(INDEX('Saisie'!$AO$5:$AO$2004,_xlfn.MAXIFS('Saisie'!$AS$5:$AS$2004,'Saisie'!$C$5:$C$2004,C152,'Saisie'!$AO$5:$AO$2004,"&lt;&gt;")-4),""))</f>
        <v/>
      </c>
      <c r="AK152" s="60">
        <f>IF(C152="","",IFERROR(INDEX('Saisie'!$AP$5:$AP$2004,_xlfn.MAXIFS('Saisie'!$AS$5:$AS$2004,'Saisie'!$C$5:$C$2004,C152,'Saisie'!$AP$5:$AP$2004,"&lt;&gt;")-4),""))</f>
        <v/>
      </c>
      <c r="AL152" s="60">
        <f>IF(C152="","",IFERROR(INDEX('Saisie'!$AQ$5:$AQ$2004,_xlfn.MAXIFS('Saisie'!$AS$5:$AS$2004,'Saisie'!$C$5:$C$2004,C152,'Saisie'!$AQ$5:$AQ$2004,"&lt;&gt;")-4),""))</f>
        <v/>
      </c>
      <c r="AM152" s="60">
        <f>IF(C152="","",((AI152="Oui")+(AJ152="Oui")+(AK152="Oui")+OR(AL152="Immédiat",AL152="&lt; 1 mois"))&amp;"/4")</f>
        <v/>
      </c>
      <c r="AN152" s="60">
        <f>IF(C152="","",IFERROR(INDEX('Saisie'!$AL$5:$AL$2004,_xlfn.MAXIFS('Saisie'!$AS$5:$AS$2004,'Saisie'!$C$5:$C$2004,C152,'Saisie'!$AL$5:$AL$2004,"&lt;&gt;")-4),""))</f>
        <v/>
      </c>
      <c r="AO152" s="62">
        <f>IF(C152="","",IF(IFERROR(INDEX('Saisie'!$AM$5:$AM$2004,_xlfn.MAXIFS('Saisie'!$AS$5:$AS$2004,'Saisie'!$C$5:$C$2004,C152,'Saisie'!$AM$5:$AM$2004,"&lt;&gt;")-4),"")&lt;&gt;"",IFERROR(INDEX('Saisie'!$AM$5:$AM$2004,_xlfn.MAXIFS('Saisie'!$AS$5:$AS$2004,'Saisie'!$C$5:$C$2004,C152,'Saisie'!$AM$5:$AM$2004,"&lt;&gt;")-4),""),IFERROR(INDEX('Paramètres'!$S$6:$S$15,MATCH(AN152,'Paramètres'!$Q$6:$Q$15,0)),"")))</f>
        <v/>
      </c>
      <c r="AP152" s="62">
        <f>IF(C152="","",IFERROR(INDEX('Saisie'!$AW$5:$AW$2004,_xlfn.MAXIFS('Saisie'!$AS$5:$AS$2004,'Saisie'!$C$5:$C$2004,C152,'Saisie'!$E$5:$E$2004,"Proposition envoyée")-4),""))</f>
        <v/>
      </c>
      <c r="AQ152" s="106">
        <f>IF(C152="","",IFERROR(1/(1/_xlfn.MAXIFS('Saisie'!$A$5:$A$2004,'Saisie'!$C$5:$C$2004,C152,'Saisie'!$E$5:$E$2004,"Proposition envoyée")),""))</f>
        <v/>
      </c>
      <c r="AR152" s="106">
        <f>IF(C152="","",IF(AQ152="","",AQ152+'Paramètres'!$B$26))</f>
        <v/>
      </c>
      <c r="AS152" s="62">
        <f>IF(OR(C152="",D152="Gagné",D152="Perdu"),0,N(AP152)*IFERROR(INDEX('Paramètres'!$G$6:$G$13,MATCH(D152,'Paramètres'!$F$6:$F$13,0)),0))</f>
        <v/>
      </c>
      <c r="AT152" s="106">
        <f>IF(C152="","",IFERROR(1/(1/_xlfn.MINIFS('Saisie'!$A$5:$A$2004,'Saisie'!$C$5:$C$2004,C152,'Saisie'!$E$5:$E$2004,"Signature")),""))</f>
        <v/>
      </c>
      <c r="AU152" s="60">
        <f>IF(C152="","",IF(OR(AT152="",B152=""),"",AT152-B152))</f>
        <v/>
      </c>
      <c r="AV152" s="60">
        <f>IF(C152="","",IFERROR(INDEX('Saisie'!$L$5:$L$2004,_xlfn.MAXIFS('Saisie'!$AS$5:$AS$2004,'Saisie'!$C$5:$C$2004,C152,'Saisie'!$L$5:$L$2004,"&lt;&gt;")-4),""))</f>
        <v/>
      </c>
      <c r="AW152" s="106">
        <f>IF(C152="","",IF(D152&lt;&gt;"Perdu","",IFERROR(1/(1/_xlfn.MAXIFS('Saisie'!$A$5:$A$2004,'Saisie'!$C$5:$C$2004,C152,'Saisie'!$E$5:$E$2004,"Perdu")),"")))</f>
        <v/>
      </c>
      <c r="AX152" s="106">
        <f>IF(C152="","",IF(AW152="","",AW152+'Paramètres'!$B$28))</f>
        <v/>
      </c>
      <c r="AY152" s="60">
        <f>IF(C152="","",SUMIFS('Saisie'!$H$5:$H$2004,'Saisie'!$C$5:$C$2004,C152))</f>
        <v/>
      </c>
      <c r="AZ152" s="60">
        <f>IF(C152="","",IFERROR(INDEX('Paramètres'!$W$6:$W$20,MATCH(S152,'Paramètres'!$V$6:$V$20,0))&amp;"",""))</f>
        <v/>
      </c>
      <c r="BA152" s="60">
        <f>IF(C152="","",MAX(1,_xlfn.MAXIFS('Saisie'!$AT$5:$AT$2004,'Saisie'!$C$5:$C$2004,C152)))</f>
        <v/>
      </c>
      <c r="BB152" s="60">
        <f>IF(C152="","",IFERROR(INDEX('Saisie'!$X$5:$X$2004,_xlfn.MAXIFS('Saisie'!$AS$5:$AS$2004,'Saisie'!$C$5:$C$2004,C152,'Saisie'!$X$5:$X$2004,"&lt;&gt;")-4),""))</f>
        <v/>
      </c>
      <c r="BC152" s="60">
        <f>IF(C152="","",IFERROR(INDEX('Saisie'!$Y$5:$Y$2004,_xlfn.MAXIFS('Saisie'!$AS$5:$AS$2004,'Saisie'!$C$5:$C$2004,C152,'Saisie'!$Y$5:$Y$2004,"&lt;&gt;")-4),""))</f>
        <v/>
      </c>
      <c r="BD152" s="106">
        <f>IF(C152="","",IFERROR(1/(1/_xlfn.MINIFS('Saisie'!$A$5:$A$2004,'Saisie'!$C$5:$C$2004,C152,'Saisie'!$AT$5:$AT$2004,"&gt;=2")),""))</f>
        <v/>
      </c>
      <c r="BE152" s="106">
        <f>IF(C152="","",IFERROR(1/(1/_xlfn.MINIFS('Saisie'!$A$5:$A$2004,'Saisie'!$C$5:$C$2004,C152,'Saisie'!$AT$5:$AT$2004,"&gt;=3")),""))</f>
        <v/>
      </c>
      <c r="BF152" s="106">
        <f>IF(C152="","",IFERROR(1/(1/_xlfn.MINIFS('Saisie'!$A$5:$A$2004,'Saisie'!$C$5:$C$2004,C152,'Saisie'!$AT$5:$AT$2004,"&gt;=4")),""))</f>
        <v/>
      </c>
      <c r="BG152" s="106">
        <f>IF(C152="","",IFERROR(1/(1/_xlfn.MINIFS('Saisie'!$A$5:$A$2004,'Saisie'!$C$5:$C$2004,C152,'Saisie'!$AT$5:$AT$2004,"&gt;=5")),""))</f>
        <v/>
      </c>
      <c r="BH152" s="106">
        <f>IF(C152="","",IFERROR(1/(1/_xlfn.MINIFS('Saisie'!$A$5:$A$2004,'Saisie'!$C$5:$C$2004,C152,'Saisie'!$AT$5:$AT$2004,"&gt;=6")),""))</f>
        <v/>
      </c>
      <c r="BI152" s="106">
        <f>IF(C152="","",IFERROR(1/(1/_xlfn.MINIFS('Saisie'!$A$5:$A$2004,'Saisie'!$C$5:$C$2004,C152,'Saisie'!$AT$5:$AT$2004,"&gt;=7")),""))</f>
        <v/>
      </c>
      <c r="BJ152" s="60">
        <f>IF(OR(BD152="",B152=""),"",BD152-B152)</f>
        <v/>
      </c>
      <c r="BK152" s="60">
        <f>IF(OR(BE152="",BD152=""),"",BE152-BD152)</f>
        <v/>
      </c>
      <c r="BL152" s="60">
        <f>IF(OR(BF152="",BE152=""),"",BF152-BE152)</f>
        <v/>
      </c>
      <c r="BM152" s="60">
        <f>IF(OR(BG152="",BF152=""),"",BG152-BF152)</f>
        <v/>
      </c>
      <c r="BN152" s="60">
        <f>IF(OR(BH152="",BG152=""),"",BH152-BG152)</f>
        <v/>
      </c>
      <c r="BO152" s="60">
        <f>IF(OR(BI152="",BH152=""),"",BI152-BH152)</f>
        <v/>
      </c>
      <c r="BP152" s="60">
        <f>IF(C152="","",_xlfn.MAXIFS('Saisie'!$AS$5:$AS$2004,'Saisie'!$C$5:$C$2004,C152,'Saisie'!$J$5:$J$2004,"&lt;&gt;"))</f>
        <v/>
      </c>
      <c r="BQ152" s="60">
        <f>IF(C152="","",_xlfn.MAXIFS('Saisie'!$AS$5:$AS$2004,'Saisie'!$C$5:$C$2004,C152))</f>
        <v/>
      </c>
      <c r="BR152" s="60">
        <f>IF(C152="","",_xlfn.MAXIFS('Saisie'!$AS$5:$AS$2004,'Saisie'!$C$5:$C$2004,C152,'Saisie'!$E$5:$E$2004,"Perdu"))</f>
        <v/>
      </c>
      <c r="BS152" s="60">
        <f>IF(C152="","",_xlfn.MAXIFS('Saisie'!$AS$5:$AS$2004,'Saisie'!$C$5:$C$2004,C152,'Saisie'!$AT$5:$AT$2004,"&gt;0"))</f>
        <v/>
      </c>
      <c r="BT152" s="109">
        <f>IF(AND(C152&lt;&gt;"",OR(D152="Nouveau",D152="Contacté",D152="Qualifié"),OR(G152="",N(G152)&lt;=TODAY()),NOT(AND(O152&gt;='Paramètres'!$B$21,P152=0))),E152+148/10000,"")</f>
        <v/>
      </c>
      <c r="BU152" s="60">
        <f>IF(AND(G152&lt;&gt;"",N(G152)&lt;=TODAY()),MAX($BU$4:BU151)+1,"")</f>
        <v/>
      </c>
      <c r="BV152" s="60">
        <f>IF(AND(F152&lt;&gt;"",F152&lt;&gt;"Relance en retard"),MAX($BV$4:BV151)+1,"")</f>
        <v/>
      </c>
      <c r="BW152" s="60">
        <f>IF(C152="","",IF(AND(B152&gt;='Tableau de bord'!$R$4,B152&lt;='Tableau de bord'!$S$4,OR('Tableau de bord'!$G$4="Tous",N152='Tableau de bord'!$G$4)),1,0))</f>
        <v/>
      </c>
      <c r="BX152" s="60">
        <f>IF(AND(C152&lt;&gt;"",N(BA152)=7),MAX($BX$4:BX151)+1,"")</f>
        <v/>
      </c>
    </row>
    <row r="153">
      <c r="A153" s="60">
        <f>IF(C153="","","P-"&amp;TEXT(149,"000"))</f>
        <v/>
      </c>
      <c r="B153" s="106">
        <f>IF(C153="","",IFERROR(1/(1/_xlfn.MINIFS('Saisie'!$A$5:$A$2004,'Saisie'!$C$5:$C$2004,C153)),""))</f>
        <v/>
      </c>
      <c r="C153" s="60">
        <f>IFERROR(INDEX('Saisie'!$C$5:$C$2004,MATCH(149,'Saisie'!$AX$5:$AX$2004,0)),"")</f>
        <v/>
      </c>
      <c r="D153" s="60">
        <f>IF(C153="","",IF(AND(BR153&gt;0,BR153&gt;BS153,BA153&lt;7),"Perdu",INDEX('Paramètres'!$F$6:$F$13,BA153)))</f>
        <v/>
      </c>
      <c r="E153" s="61">
        <f>IF(C153="","",MIN(100,(Z153="Oui")*'Paramètres'!$B$38+(AB153="Régulière")*'Paramètres'!$B$39+IF(AND(N(AA153)&gt;0,TODAY()-N(AA153)&lt;=30),'Paramètres'!$B$40,0)+(W153="")*'Paramètres'!$B$41+(AC153="Absente")*'Paramètres'!$B$42+(AC153="Faible")*'Paramètres'!$B$43+IF(AND(N(AD153)&gt;0,N(AD153)&lt;4),'Paramètres'!$B$44,0)+(AF153="Moyenne")*'Paramètres'!$B$45+(AF153="Grande")*'Paramètres'!$B$46+(Y153&lt;&gt;"")*'Paramètres'!$B$47))</f>
        <v/>
      </c>
      <c r="F153" s="60">
        <f>IF(C153="","",IF(D153="Gagné","",IF(D153="Perdu",IF(AND(AX153&lt;&gt;"",AX153&lt;=TODAY()),"À recontacter (perdu)",""),IF(AND(O153&gt;='Paramètres'!$B$21,P153=0),"Stop : "&amp;'Paramètres'!$B$21&amp;" tentatives sans réponse",IF(AND(D153="Proposition",AR153&lt;&gt;"",TODAY()&gt;N(AR153)),"Proposition expirée",IF(AND(D153="Proposition",N(R153)&gt;='Paramètres'!$B$25),"Proposition sans réponse",IF(AND(G153&lt;&gt;"",N(G153)&lt;TODAY()),"Relance en retard",IF(N(R153)&gt;='Paramètres'!$B$24,"Sans action depuis "&amp;R153&amp;" j",""))))))))</f>
        <v/>
      </c>
      <c r="G153" s="106">
        <f>IF(OR(C153="",D153="Gagné",D153="Perdu"),"",IF(AND(BP153&gt;0,BP153=BQ153),INDEX('Saisie'!$J$5:$J$2004,BP153-4),IF(OR(O153=0,AND(O153&gt;='Paramètres'!$B$21,P153=0)),"",Q153+IF(O153&lt;=1,'Paramètres'!$B$18,IF(O153=2,'Paramètres'!$B$19,'Paramètres'!$B$20)))))</f>
        <v/>
      </c>
      <c r="H153" s="107">
        <f>IF(OR(G153="",BP153&lt;&gt;BQ153),"",IF(INDEX('Saisie'!$K$5:$K$2004,BP153-4)="","",INDEX('Saisie'!$K$5:$K$2004,BP153-4)))</f>
        <v/>
      </c>
      <c r="I153" s="60">
        <f>IF(C153="","",IF(OR(D153="Gagné",D153="Perdu"),"",IFERROR(INDEX('Saisie'!$I$5:$I$2004,_xlfn.MAXIFS('Saisie'!$AS$5:$AS$2004,'Saisie'!$C$5:$C$2004,C153,'Saisie'!$I$5:$I$2004,"&lt;&gt;")-4),"")))</f>
        <v/>
      </c>
      <c r="J153" s="60">
        <f>IF(C153="","",IFERROR(INDEX('Saisie'!$U$5:$U$2004,_xlfn.MAXIFS('Saisie'!$AS$5:$AS$2004,'Saisie'!$C$5:$C$2004,C153,'Saisie'!$U$5:$U$2004,"&lt;&gt;")-4),""))</f>
        <v/>
      </c>
      <c r="K153" s="60">
        <f>IF(C153="","",IFERROR(INDEX('Saisie'!$W$5:$W$2004,_xlfn.MAXIFS('Saisie'!$AS$5:$AS$2004,'Saisie'!$C$5:$C$2004,C153,'Saisie'!$W$5:$W$2004,"&lt;&gt;")-4),""))</f>
        <v/>
      </c>
      <c r="L153" s="60">
        <f>IF(IF(BB153&lt;&gt;"",BB153,K153)="","",HYPERLINK("https://wa.me/"&amp;IF(LEFT(SUBSTITUTE(SUBSTITUTE(SUBSTITUTE(IF(BB153&lt;&gt;"",BB153,K153)," ",""),".",""),"+",""),1)="0",'Paramètres'!$B$35&amp;MID(SUBSTITUTE(SUBSTITUTE(SUBSTITUTE(IF(BB153&lt;&gt;"",BB153,K153)," ",""),".",""),"+",""),2,20),SUBSTITUTE(SUBSTITUTE(SUBSTITUTE(IF(BB153&lt;&gt;"",BB153,K153)," ",""),".",""),"+","")),"WhatsApp"))</f>
        <v/>
      </c>
      <c r="M153" s="60">
        <f>IF(BC153="","",HYPERLINK(IF(LEFT(BC153,4)="http",BC153,"https://www.instagram.com/"&amp;SUBSTITUTE(SUBSTITUTE(BC153,"@","")," ","")),BC153))</f>
        <v/>
      </c>
      <c r="N153" s="60">
        <f>IF(C153="","",IFERROR(INDEX('Saisie'!$D$5:$D$2004,_xlfn.MINIFS('Saisie'!$AS$5:$AS$2004,'Saisie'!$C$5:$C$2004,C153,'Saisie'!$AU$5:$AU$2004,1)-4),IFERROR(INDEX('Saisie'!$D$5:$D$2004,_xlfn.MINIFS('Saisie'!$AS$5:$AS$2004,'Saisie'!$C$5:$C$2004,C153,'Saisie'!$D$5:$D$2004,"&lt;&gt;")-4),"")))</f>
        <v/>
      </c>
      <c r="O153" s="60">
        <f>IF(C153="","",COUNTIFS('Saisie'!$C$5:$C$2004,C153,'Saisie'!$AU$5:$AU$2004,1))</f>
        <v/>
      </c>
      <c r="P153" s="60">
        <f>IF(C153="","",COUNTIFS('Saisie'!$C$5:$C$2004,C153,'Saisie'!$AV$5:$AV$2004,1))</f>
        <v/>
      </c>
      <c r="Q153" s="106">
        <f>IF(C153="","",IFERROR(1/(1/_xlfn.MAXIFS('Saisie'!$A$5:$A$2004,'Saisie'!$C$5:$C$2004,C153)),""))</f>
        <v/>
      </c>
      <c r="R153" s="61">
        <f>IF(C153="","",IF(Q153="","",TODAY()-Q153))</f>
        <v/>
      </c>
      <c r="S153" s="60">
        <f>IF(C153="","",IFERROR(INDEX('Saisie'!$R$5:$R$2004,_xlfn.MAXIFS('Saisie'!$AS$5:$AS$2004,'Saisie'!$C$5:$C$2004,C153,'Saisie'!$R$5:$R$2004,"&lt;&gt;")-4),""))</f>
        <v/>
      </c>
      <c r="T153" s="60">
        <f>IF(C153="","",IFERROR(INDEX('Saisie'!$S$5:$S$2004,_xlfn.MAXIFS('Saisie'!$AS$5:$AS$2004,'Saisie'!$C$5:$C$2004,C153,'Saisie'!$S$5:$S$2004,"&lt;&gt;")-4),""))</f>
        <v/>
      </c>
      <c r="U153" s="60">
        <f>IF(C153="","",IFERROR(INDEX('Saisie'!$T$5:$T$2004,_xlfn.MAXIFS('Saisie'!$AS$5:$AS$2004,'Saisie'!$C$5:$C$2004,C153,'Saisie'!$T$5:$T$2004,"&lt;&gt;")-4),""))</f>
        <v/>
      </c>
      <c r="V153" s="60">
        <f>IF(C153="","",IFERROR(INDEX('Saisie'!$V$5:$V$2004,_xlfn.MAXIFS('Saisie'!$AS$5:$AS$2004,'Saisie'!$C$5:$C$2004,C153,'Saisie'!$V$5:$V$2004,"&lt;&gt;")-4),""))</f>
        <v/>
      </c>
      <c r="W153" s="60">
        <f>IF(C153="","",IFERROR(INDEX('Saisie'!$Z$5:$Z$2004,_xlfn.MAXIFS('Saisie'!$AS$5:$AS$2004,'Saisie'!$C$5:$C$2004,C153,'Saisie'!$Z$5:$Z$2004,"&lt;&gt;")-4),""))</f>
        <v/>
      </c>
      <c r="X153" s="60">
        <f>IF(C153="","",IFERROR(INDEX('Saisie'!$AA$5:$AA$2004,_xlfn.MAXIFS('Saisie'!$AS$5:$AS$2004,'Saisie'!$C$5:$C$2004,C153,'Saisie'!$AA$5:$AA$2004,"&lt;&gt;")-4),""))</f>
        <v/>
      </c>
      <c r="Y153" s="60">
        <f>IF(C153="","",IFERROR(INDEX('Saisie'!$AB$5:$AB$2004,_xlfn.MAXIFS('Saisie'!$AS$5:$AS$2004,'Saisie'!$C$5:$C$2004,C153,'Saisie'!$AB$5:$AB$2004,"&lt;&gt;")-4),""))</f>
        <v/>
      </c>
      <c r="Z153" s="60">
        <f>IF(C153="","",IFERROR(INDEX('Saisie'!$AC$5:$AC$2004,_xlfn.MAXIFS('Saisie'!$AS$5:$AS$2004,'Saisie'!$C$5:$C$2004,C153,'Saisie'!$AC$5:$AC$2004,"&lt;&gt;")-4),""))</f>
        <v/>
      </c>
      <c r="AA153" s="106">
        <f>IF(C153="","",IFERROR(INDEX('Saisie'!$AD$5:$AD$2004,_xlfn.MAXIFS('Saisie'!$AS$5:$AS$2004,'Saisie'!$C$5:$C$2004,C153,'Saisie'!$AD$5:$AD$2004,"&lt;&gt;")-4),""))</f>
        <v/>
      </c>
      <c r="AB153" s="60">
        <f>IF(C153="","",IFERROR(INDEX('Saisie'!$AE$5:$AE$2004,_xlfn.MAXIFS('Saisie'!$AS$5:$AS$2004,'Saisie'!$C$5:$C$2004,C153,'Saisie'!$AE$5:$AE$2004,"&lt;&gt;")-4),""))</f>
        <v/>
      </c>
      <c r="AC153" s="60">
        <f>IF(C153="","",IFERROR(INDEX('Saisie'!$AF$5:$AF$2004,_xlfn.MAXIFS('Saisie'!$AS$5:$AS$2004,'Saisie'!$C$5:$C$2004,C153,'Saisie'!$AF$5:$AF$2004,"&lt;&gt;")-4),""))</f>
        <v/>
      </c>
      <c r="AD153" s="108">
        <f>IF(C153="","",IFERROR(INDEX('Saisie'!$AG$5:$AG$2004,_xlfn.MAXIFS('Saisie'!$AS$5:$AS$2004,'Saisie'!$C$5:$C$2004,C153,'Saisie'!$AG$5:$AG$2004,"&lt;&gt;")-4),""))</f>
        <v/>
      </c>
      <c r="AE153" s="60">
        <f>IF(C153="","",IFERROR(INDEX('Saisie'!$AH$5:$AH$2004,_xlfn.MAXIFS('Saisie'!$AS$5:$AS$2004,'Saisie'!$C$5:$C$2004,C153,'Saisie'!$AH$5:$AH$2004,"&lt;&gt;")-4),""))</f>
        <v/>
      </c>
      <c r="AF153" s="60">
        <f>IF(C153="","",IFERROR(INDEX('Saisie'!$AI$5:$AI$2004,_xlfn.MAXIFS('Saisie'!$AS$5:$AS$2004,'Saisie'!$C$5:$C$2004,C153,'Saisie'!$AI$5:$AI$2004,"&lt;&gt;")-4),""))</f>
        <v/>
      </c>
      <c r="AG153" s="60">
        <f>IF(C153="","",IFERROR(INDEX('Saisie'!$AJ$5:$AJ$2004,_xlfn.MAXIFS('Saisie'!$AS$5:$AS$2004,'Saisie'!$C$5:$C$2004,C153,'Saisie'!$AJ$5:$AJ$2004,"&lt;&gt;")-4),""))</f>
        <v/>
      </c>
      <c r="AH153" s="60">
        <f>IF(C153="","",IFERROR(INDEX('Saisie'!$AK$5:$AK$2004,_xlfn.MAXIFS('Saisie'!$AS$5:$AS$2004,'Saisie'!$C$5:$C$2004,C153,'Saisie'!$AK$5:$AK$2004,"&lt;&gt;")-4),""))</f>
        <v/>
      </c>
      <c r="AI153" s="60">
        <f>IF(C153="","",IFERROR(INDEX('Saisie'!$AN$5:$AN$2004,_xlfn.MAXIFS('Saisie'!$AS$5:$AS$2004,'Saisie'!$C$5:$C$2004,C153,'Saisie'!$AN$5:$AN$2004,"&lt;&gt;")-4),""))</f>
        <v/>
      </c>
      <c r="AJ153" s="60">
        <f>IF(C153="","",IFERROR(INDEX('Saisie'!$AO$5:$AO$2004,_xlfn.MAXIFS('Saisie'!$AS$5:$AS$2004,'Saisie'!$C$5:$C$2004,C153,'Saisie'!$AO$5:$AO$2004,"&lt;&gt;")-4),""))</f>
        <v/>
      </c>
      <c r="AK153" s="60">
        <f>IF(C153="","",IFERROR(INDEX('Saisie'!$AP$5:$AP$2004,_xlfn.MAXIFS('Saisie'!$AS$5:$AS$2004,'Saisie'!$C$5:$C$2004,C153,'Saisie'!$AP$5:$AP$2004,"&lt;&gt;")-4),""))</f>
        <v/>
      </c>
      <c r="AL153" s="60">
        <f>IF(C153="","",IFERROR(INDEX('Saisie'!$AQ$5:$AQ$2004,_xlfn.MAXIFS('Saisie'!$AS$5:$AS$2004,'Saisie'!$C$5:$C$2004,C153,'Saisie'!$AQ$5:$AQ$2004,"&lt;&gt;")-4),""))</f>
        <v/>
      </c>
      <c r="AM153" s="60">
        <f>IF(C153="","",((AI153="Oui")+(AJ153="Oui")+(AK153="Oui")+OR(AL153="Immédiat",AL153="&lt; 1 mois"))&amp;"/4")</f>
        <v/>
      </c>
      <c r="AN153" s="60">
        <f>IF(C153="","",IFERROR(INDEX('Saisie'!$AL$5:$AL$2004,_xlfn.MAXIFS('Saisie'!$AS$5:$AS$2004,'Saisie'!$C$5:$C$2004,C153,'Saisie'!$AL$5:$AL$2004,"&lt;&gt;")-4),""))</f>
        <v/>
      </c>
      <c r="AO153" s="62">
        <f>IF(C153="","",IF(IFERROR(INDEX('Saisie'!$AM$5:$AM$2004,_xlfn.MAXIFS('Saisie'!$AS$5:$AS$2004,'Saisie'!$C$5:$C$2004,C153,'Saisie'!$AM$5:$AM$2004,"&lt;&gt;")-4),"")&lt;&gt;"",IFERROR(INDEX('Saisie'!$AM$5:$AM$2004,_xlfn.MAXIFS('Saisie'!$AS$5:$AS$2004,'Saisie'!$C$5:$C$2004,C153,'Saisie'!$AM$5:$AM$2004,"&lt;&gt;")-4),""),IFERROR(INDEX('Paramètres'!$S$6:$S$15,MATCH(AN153,'Paramètres'!$Q$6:$Q$15,0)),"")))</f>
        <v/>
      </c>
      <c r="AP153" s="62">
        <f>IF(C153="","",IFERROR(INDEX('Saisie'!$AW$5:$AW$2004,_xlfn.MAXIFS('Saisie'!$AS$5:$AS$2004,'Saisie'!$C$5:$C$2004,C153,'Saisie'!$E$5:$E$2004,"Proposition envoyée")-4),""))</f>
        <v/>
      </c>
      <c r="AQ153" s="106">
        <f>IF(C153="","",IFERROR(1/(1/_xlfn.MAXIFS('Saisie'!$A$5:$A$2004,'Saisie'!$C$5:$C$2004,C153,'Saisie'!$E$5:$E$2004,"Proposition envoyée")),""))</f>
        <v/>
      </c>
      <c r="AR153" s="106">
        <f>IF(C153="","",IF(AQ153="","",AQ153+'Paramètres'!$B$26))</f>
        <v/>
      </c>
      <c r="AS153" s="62">
        <f>IF(OR(C153="",D153="Gagné",D153="Perdu"),0,N(AP153)*IFERROR(INDEX('Paramètres'!$G$6:$G$13,MATCH(D153,'Paramètres'!$F$6:$F$13,0)),0))</f>
        <v/>
      </c>
      <c r="AT153" s="106">
        <f>IF(C153="","",IFERROR(1/(1/_xlfn.MINIFS('Saisie'!$A$5:$A$2004,'Saisie'!$C$5:$C$2004,C153,'Saisie'!$E$5:$E$2004,"Signature")),""))</f>
        <v/>
      </c>
      <c r="AU153" s="60">
        <f>IF(C153="","",IF(OR(AT153="",B153=""),"",AT153-B153))</f>
        <v/>
      </c>
      <c r="AV153" s="60">
        <f>IF(C153="","",IFERROR(INDEX('Saisie'!$L$5:$L$2004,_xlfn.MAXIFS('Saisie'!$AS$5:$AS$2004,'Saisie'!$C$5:$C$2004,C153,'Saisie'!$L$5:$L$2004,"&lt;&gt;")-4),""))</f>
        <v/>
      </c>
      <c r="AW153" s="106">
        <f>IF(C153="","",IF(D153&lt;&gt;"Perdu","",IFERROR(1/(1/_xlfn.MAXIFS('Saisie'!$A$5:$A$2004,'Saisie'!$C$5:$C$2004,C153,'Saisie'!$E$5:$E$2004,"Perdu")),"")))</f>
        <v/>
      </c>
      <c r="AX153" s="106">
        <f>IF(C153="","",IF(AW153="","",AW153+'Paramètres'!$B$28))</f>
        <v/>
      </c>
      <c r="AY153" s="60">
        <f>IF(C153="","",SUMIFS('Saisie'!$H$5:$H$2004,'Saisie'!$C$5:$C$2004,C153))</f>
        <v/>
      </c>
      <c r="AZ153" s="60">
        <f>IF(C153="","",IFERROR(INDEX('Paramètres'!$W$6:$W$20,MATCH(S153,'Paramètres'!$V$6:$V$20,0))&amp;"",""))</f>
        <v/>
      </c>
      <c r="BA153" s="60">
        <f>IF(C153="","",MAX(1,_xlfn.MAXIFS('Saisie'!$AT$5:$AT$2004,'Saisie'!$C$5:$C$2004,C153)))</f>
        <v/>
      </c>
      <c r="BB153" s="60">
        <f>IF(C153="","",IFERROR(INDEX('Saisie'!$X$5:$X$2004,_xlfn.MAXIFS('Saisie'!$AS$5:$AS$2004,'Saisie'!$C$5:$C$2004,C153,'Saisie'!$X$5:$X$2004,"&lt;&gt;")-4),""))</f>
        <v/>
      </c>
      <c r="BC153" s="60">
        <f>IF(C153="","",IFERROR(INDEX('Saisie'!$Y$5:$Y$2004,_xlfn.MAXIFS('Saisie'!$AS$5:$AS$2004,'Saisie'!$C$5:$C$2004,C153,'Saisie'!$Y$5:$Y$2004,"&lt;&gt;")-4),""))</f>
        <v/>
      </c>
      <c r="BD153" s="106">
        <f>IF(C153="","",IFERROR(1/(1/_xlfn.MINIFS('Saisie'!$A$5:$A$2004,'Saisie'!$C$5:$C$2004,C153,'Saisie'!$AT$5:$AT$2004,"&gt;=2")),""))</f>
        <v/>
      </c>
      <c r="BE153" s="106">
        <f>IF(C153="","",IFERROR(1/(1/_xlfn.MINIFS('Saisie'!$A$5:$A$2004,'Saisie'!$C$5:$C$2004,C153,'Saisie'!$AT$5:$AT$2004,"&gt;=3")),""))</f>
        <v/>
      </c>
      <c r="BF153" s="106">
        <f>IF(C153="","",IFERROR(1/(1/_xlfn.MINIFS('Saisie'!$A$5:$A$2004,'Saisie'!$C$5:$C$2004,C153,'Saisie'!$AT$5:$AT$2004,"&gt;=4")),""))</f>
        <v/>
      </c>
      <c r="BG153" s="106">
        <f>IF(C153="","",IFERROR(1/(1/_xlfn.MINIFS('Saisie'!$A$5:$A$2004,'Saisie'!$C$5:$C$2004,C153,'Saisie'!$AT$5:$AT$2004,"&gt;=5")),""))</f>
        <v/>
      </c>
      <c r="BH153" s="106">
        <f>IF(C153="","",IFERROR(1/(1/_xlfn.MINIFS('Saisie'!$A$5:$A$2004,'Saisie'!$C$5:$C$2004,C153,'Saisie'!$AT$5:$AT$2004,"&gt;=6")),""))</f>
        <v/>
      </c>
      <c r="BI153" s="106">
        <f>IF(C153="","",IFERROR(1/(1/_xlfn.MINIFS('Saisie'!$A$5:$A$2004,'Saisie'!$C$5:$C$2004,C153,'Saisie'!$AT$5:$AT$2004,"&gt;=7")),""))</f>
        <v/>
      </c>
      <c r="BJ153" s="60">
        <f>IF(OR(BD153="",B153=""),"",BD153-B153)</f>
        <v/>
      </c>
      <c r="BK153" s="60">
        <f>IF(OR(BE153="",BD153=""),"",BE153-BD153)</f>
        <v/>
      </c>
      <c r="BL153" s="60">
        <f>IF(OR(BF153="",BE153=""),"",BF153-BE153)</f>
        <v/>
      </c>
      <c r="BM153" s="60">
        <f>IF(OR(BG153="",BF153=""),"",BG153-BF153)</f>
        <v/>
      </c>
      <c r="BN153" s="60">
        <f>IF(OR(BH153="",BG153=""),"",BH153-BG153)</f>
        <v/>
      </c>
      <c r="BO153" s="60">
        <f>IF(OR(BI153="",BH153=""),"",BI153-BH153)</f>
        <v/>
      </c>
      <c r="BP153" s="60">
        <f>IF(C153="","",_xlfn.MAXIFS('Saisie'!$AS$5:$AS$2004,'Saisie'!$C$5:$C$2004,C153,'Saisie'!$J$5:$J$2004,"&lt;&gt;"))</f>
        <v/>
      </c>
      <c r="BQ153" s="60">
        <f>IF(C153="","",_xlfn.MAXIFS('Saisie'!$AS$5:$AS$2004,'Saisie'!$C$5:$C$2004,C153))</f>
        <v/>
      </c>
      <c r="BR153" s="60">
        <f>IF(C153="","",_xlfn.MAXIFS('Saisie'!$AS$5:$AS$2004,'Saisie'!$C$5:$C$2004,C153,'Saisie'!$E$5:$E$2004,"Perdu"))</f>
        <v/>
      </c>
      <c r="BS153" s="60">
        <f>IF(C153="","",_xlfn.MAXIFS('Saisie'!$AS$5:$AS$2004,'Saisie'!$C$5:$C$2004,C153,'Saisie'!$AT$5:$AT$2004,"&gt;0"))</f>
        <v/>
      </c>
      <c r="BT153" s="109">
        <f>IF(AND(C153&lt;&gt;"",OR(D153="Nouveau",D153="Contacté",D153="Qualifié"),OR(G153="",N(G153)&lt;=TODAY()),NOT(AND(O153&gt;='Paramètres'!$B$21,P153=0))),E153+149/10000,"")</f>
        <v/>
      </c>
      <c r="BU153" s="60">
        <f>IF(AND(G153&lt;&gt;"",N(G153)&lt;=TODAY()),MAX($BU$4:BU152)+1,"")</f>
        <v/>
      </c>
      <c r="BV153" s="60">
        <f>IF(AND(F153&lt;&gt;"",F153&lt;&gt;"Relance en retard"),MAX($BV$4:BV152)+1,"")</f>
        <v/>
      </c>
      <c r="BW153" s="60">
        <f>IF(C153="","",IF(AND(B153&gt;='Tableau de bord'!$R$4,B153&lt;='Tableau de bord'!$S$4,OR('Tableau de bord'!$G$4="Tous",N153='Tableau de bord'!$G$4)),1,0))</f>
        <v/>
      </c>
      <c r="BX153" s="60">
        <f>IF(AND(C153&lt;&gt;"",N(BA153)=7),MAX($BX$4:BX152)+1,"")</f>
        <v/>
      </c>
    </row>
    <row r="154">
      <c r="A154" s="60">
        <f>IF(C154="","","P-"&amp;TEXT(150,"000"))</f>
        <v/>
      </c>
      <c r="B154" s="106">
        <f>IF(C154="","",IFERROR(1/(1/_xlfn.MINIFS('Saisie'!$A$5:$A$2004,'Saisie'!$C$5:$C$2004,C154)),""))</f>
        <v/>
      </c>
      <c r="C154" s="60">
        <f>IFERROR(INDEX('Saisie'!$C$5:$C$2004,MATCH(150,'Saisie'!$AX$5:$AX$2004,0)),"")</f>
        <v/>
      </c>
      <c r="D154" s="60">
        <f>IF(C154="","",IF(AND(BR154&gt;0,BR154&gt;BS154,BA154&lt;7),"Perdu",INDEX('Paramètres'!$F$6:$F$13,BA154)))</f>
        <v/>
      </c>
      <c r="E154" s="61">
        <f>IF(C154="","",MIN(100,(Z154="Oui")*'Paramètres'!$B$38+(AB154="Régulière")*'Paramètres'!$B$39+IF(AND(N(AA154)&gt;0,TODAY()-N(AA154)&lt;=30),'Paramètres'!$B$40,0)+(W154="")*'Paramètres'!$B$41+(AC154="Absente")*'Paramètres'!$B$42+(AC154="Faible")*'Paramètres'!$B$43+IF(AND(N(AD154)&gt;0,N(AD154)&lt;4),'Paramètres'!$B$44,0)+(AF154="Moyenne")*'Paramètres'!$B$45+(AF154="Grande")*'Paramètres'!$B$46+(Y154&lt;&gt;"")*'Paramètres'!$B$47))</f>
        <v/>
      </c>
      <c r="F154" s="60">
        <f>IF(C154="","",IF(D154="Gagné","",IF(D154="Perdu",IF(AND(AX154&lt;&gt;"",AX154&lt;=TODAY()),"À recontacter (perdu)",""),IF(AND(O154&gt;='Paramètres'!$B$21,P154=0),"Stop : "&amp;'Paramètres'!$B$21&amp;" tentatives sans réponse",IF(AND(D154="Proposition",AR154&lt;&gt;"",TODAY()&gt;N(AR154)),"Proposition expirée",IF(AND(D154="Proposition",N(R154)&gt;='Paramètres'!$B$25),"Proposition sans réponse",IF(AND(G154&lt;&gt;"",N(G154)&lt;TODAY()),"Relance en retard",IF(N(R154)&gt;='Paramètres'!$B$24,"Sans action depuis "&amp;R154&amp;" j",""))))))))</f>
        <v/>
      </c>
      <c r="G154" s="106">
        <f>IF(OR(C154="",D154="Gagné",D154="Perdu"),"",IF(AND(BP154&gt;0,BP154=BQ154),INDEX('Saisie'!$J$5:$J$2004,BP154-4),IF(OR(O154=0,AND(O154&gt;='Paramètres'!$B$21,P154=0)),"",Q154+IF(O154&lt;=1,'Paramètres'!$B$18,IF(O154=2,'Paramètres'!$B$19,'Paramètres'!$B$20)))))</f>
        <v/>
      </c>
      <c r="H154" s="107">
        <f>IF(OR(G154="",BP154&lt;&gt;BQ154),"",IF(INDEX('Saisie'!$K$5:$K$2004,BP154-4)="","",INDEX('Saisie'!$K$5:$K$2004,BP154-4)))</f>
        <v/>
      </c>
      <c r="I154" s="60">
        <f>IF(C154="","",IF(OR(D154="Gagné",D154="Perdu"),"",IFERROR(INDEX('Saisie'!$I$5:$I$2004,_xlfn.MAXIFS('Saisie'!$AS$5:$AS$2004,'Saisie'!$C$5:$C$2004,C154,'Saisie'!$I$5:$I$2004,"&lt;&gt;")-4),"")))</f>
        <v/>
      </c>
      <c r="J154" s="60">
        <f>IF(C154="","",IFERROR(INDEX('Saisie'!$U$5:$U$2004,_xlfn.MAXIFS('Saisie'!$AS$5:$AS$2004,'Saisie'!$C$5:$C$2004,C154,'Saisie'!$U$5:$U$2004,"&lt;&gt;")-4),""))</f>
        <v/>
      </c>
      <c r="K154" s="60">
        <f>IF(C154="","",IFERROR(INDEX('Saisie'!$W$5:$W$2004,_xlfn.MAXIFS('Saisie'!$AS$5:$AS$2004,'Saisie'!$C$5:$C$2004,C154,'Saisie'!$W$5:$W$2004,"&lt;&gt;")-4),""))</f>
        <v/>
      </c>
      <c r="L154" s="60">
        <f>IF(IF(BB154&lt;&gt;"",BB154,K154)="","",HYPERLINK("https://wa.me/"&amp;IF(LEFT(SUBSTITUTE(SUBSTITUTE(SUBSTITUTE(IF(BB154&lt;&gt;"",BB154,K154)," ",""),".",""),"+",""),1)="0",'Paramètres'!$B$35&amp;MID(SUBSTITUTE(SUBSTITUTE(SUBSTITUTE(IF(BB154&lt;&gt;"",BB154,K154)," ",""),".",""),"+",""),2,20),SUBSTITUTE(SUBSTITUTE(SUBSTITUTE(IF(BB154&lt;&gt;"",BB154,K154)," ",""),".",""),"+","")),"WhatsApp"))</f>
        <v/>
      </c>
      <c r="M154" s="60">
        <f>IF(BC154="","",HYPERLINK(IF(LEFT(BC154,4)="http",BC154,"https://www.instagram.com/"&amp;SUBSTITUTE(SUBSTITUTE(BC154,"@","")," ","")),BC154))</f>
        <v/>
      </c>
      <c r="N154" s="60">
        <f>IF(C154="","",IFERROR(INDEX('Saisie'!$D$5:$D$2004,_xlfn.MINIFS('Saisie'!$AS$5:$AS$2004,'Saisie'!$C$5:$C$2004,C154,'Saisie'!$AU$5:$AU$2004,1)-4),IFERROR(INDEX('Saisie'!$D$5:$D$2004,_xlfn.MINIFS('Saisie'!$AS$5:$AS$2004,'Saisie'!$C$5:$C$2004,C154,'Saisie'!$D$5:$D$2004,"&lt;&gt;")-4),"")))</f>
        <v/>
      </c>
      <c r="O154" s="60">
        <f>IF(C154="","",COUNTIFS('Saisie'!$C$5:$C$2004,C154,'Saisie'!$AU$5:$AU$2004,1))</f>
        <v/>
      </c>
      <c r="P154" s="60">
        <f>IF(C154="","",COUNTIFS('Saisie'!$C$5:$C$2004,C154,'Saisie'!$AV$5:$AV$2004,1))</f>
        <v/>
      </c>
      <c r="Q154" s="106">
        <f>IF(C154="","",IFERROR(1/(1/_xlfn.MAXIFS('Saisie'!$A$5:$A$2004,'Saisie'!$C$5:$C$2004,C154)),""))</f>
        <v/>
      </c>
      <c r="R154" s="61">
        <f>IF(C154="","",IF(Q154="","",TODAY()-Q154))</f>
        <v/>
      </c>
      <c r="S154" s="60">
        <f>IF(C154="","",IFERROR(INDEX('Saisie'!$R$5:$R$2004,_xlfn.MAXIFS('Saisie'!$AS$5:$AS$2004,'Saisie'!$C$5:$C$2004,C154,'Saisie'!$R$5:$R$2004,"&lt;&gt;")-4),""))</f>
        <v/>
      </c>
      <c r="T154" s="60">
        <f>IF(C154="","",IFERROR(INDEX('Saisie'!$S$5:$S$2004,_xlfn.MAXIFS('Saisie'!$AS$5:$AS$2004,'Saisie'!$C$5:$C$2004,C154,'Saisie'!$S$5:$S$2004,"&lt;&gt;")-4),""))</f>
        <v/>
      </c>
      <c r="U154" s="60">
        <f>IF(C154="","",IFERROR(INDEX('Saisie'!$T$5:$T$2004,_xlfn.MAXIFS('Saisie'!$AS$5:$AS$2004,'Saisie'!$C$5:$C$2004,C154,'Saisie'!$T$5:$T$2004,"&lt;&gt;")-4),""))</f>
        <v/>
      </c>
      <c r="V154" s="60">
        <f>IF(C154="","",IFERROR(INDEX('Saisie'!$V$5:$V$2004,_xlfn.MAXIFS('Saisie'!$AS$5:$AS$2004,'Saisie'!$C$5:$C$2004,C154,'Saisie'!$V$5:$V$2004,"&lt;&gt;")-4),""))</f>
        <v/>
      </c>
      <c r="W154" s="60">
        <f>IF(C154="","",IFERROR(INDEX('Saisie'!$Z$5:$Z$2004,_xlfn.MAXIFS('Saisie'!$AS$5:$AS$2004,'Saisie'!$C$5:$C$2004,C154,'Saisie'!$Z$5:$Z$2004,"&lt;&gt;")-4),""))</f>
        <v/>
      </c>
      <c r="X154" s="60">
        <f>IF(C154="","",IFERROR(INDEX('Saisie'!$AA$5:$AA$2004,_xlfn.MAXIFS('Saisie'!$AS$5:$AS$2004,'Saisie'!$C$5:$C$2004,C154,'Saisie'!$AA$5:$AA$2004,"&lt;&gt;")-4),""))</f>
        <v/>
      </c>
      <c r="Y154" s="60">
        <f>IF(C154="","",IFERROR(INDEX('Saisie'!$AB$5:$AB$2004,_xlfn.MAXIFS('Saisie'!$AS$5:$AS$2004,'Saisie'!$C$5:$C$2004,C154,'Saisie'!$AB$5:$AB$2004,"&lt;&gt;")-4),""))</f>
        <v/>
      </c>
      <c r="Z154" s="60">
        <f>IF(C154="","",IFERROR(INDEX('Saisie'!$AC$5:$AC$2004,_xlfn.MAXIFS('Saisie'!$AS$5:$AS$2004,'Saisie'!$C$5:$C$2004,C154,'Saisie'!$AC$5:$AC$2004,"&lt;&gt;")-4),""))</f>
        <v/>
      </c>
      <c r="AA154" s="106">
        <f>IF(C154="","",IFERROR(INDEX('Saisie'!$AD$5:$AD$2004,_xlfn.MAXIFS('Saisie'!$AS$5:$AS$2004,'Saisie'!$C$5:$C$2004,C154,'Saisie'!$AD$5:$AD$2004,"&lt;&gt;")-4),""))</f>
        <v/>
      </c>
      <c r="AB154" s="60">
        <f>IF(C154="","",IFERROR(INDEX('Saisie'!$AE$5:$AE$2004,_xlfn.MAXIFS('Saisie'!$AS$5:$AS$2004,'Saisie'!$C$5:$C$2004,C154,'Saisie'!$AE$5:$AE$2004,"&lt;&gt;")-4),""))</f>
        <v/>
      </c>
      <c r="AC154" s="60">
        <f>IF(C154="","",IFERROR(INDEX('Saisie'!$AF$5:$AF$2004,_xlfn.MAXIFS('Saisie'!$AS$5:$AS$2004,'Saisie'!$C$5:$C$2004,C154,'Saisie'!$AF$5:$AF$2004,"&lt;&gt;")-4),""))</f>
        <v/>
      </c>
      <c r="AD154" s="108">
        <f>IF(C154="","",IFERROR(INDEX('Saisie'!$AG$5:$AG$2004,_xlfn.MAXIFS('Saisie'!$AS$5:$AS$2004,'Saisie'!$C$5:$C$2004,C154,'Saisie'!$AG$5:$AG$2004,"&lt;&gt;")-4),""))</f>
        <v/>
      </c>
      <c r="AE154" s="60">
        <f>IF(C154="","",IFERROR(INDEX('Saisie'!$AH$5:$AH$2004,_xlfn.MAXIFS('Saisie'!$AS$5:$AS$2004,'Saisie'!$C$5:$C$2004,C154,'Saisie'!$AH$5:$AH$2004,"&lt;&gt;")-4),""))</f>
        <v/>
      </c>
      <c r="AF154" s="60">
        <f>IF(C154="","",IFERROR(INDEX('Saisie'!$AI$5:$AI$2004,_xlfn.MAXIFS('Saisie'!$AS$5:$AS$2004,'Saisie'!$C$5:$C$2004,C154,'Saisie'!$AI$5:$AI$2004,"&lt;&gt;")-4),""))</f>
        <v/>
      </c>
      <c r="AG154" s="60">
        <f>IF(C154="","",IFERROR(INDEX('Saisie'!$AJ$5:$AJ$2004,_xlfn.MAXIFS('Saisie'!$AS$5:$AS$2004,'Saisie'!$C$5:$C$2004,C154,'Saisie'!$AJ$5:$AJ$2004,"&lt;&gt;")-4),""))</f>
        <v/>
      </c>
      <c r="AH154" s="60">
        <f>IF(C154="","",IFERROR(INDEX('Saisie'!$AK$5:$AK$2004,_xlfn.MAXIFS('Saisie'!$AS$5:$AS$2004,'Saisie'!$C$5:$C$2004,C154,'Saisie'!$AK$5:$AK$2004,"&lt;&gt;")-4),""))</f>
        <v/>
      </c>
      <c r="AI154" s="60">
        <f>IF(C154="","",IFERROR(INDEX('Saisie'!$AN$5:$AN$2004,_xlfn.MAXIFS('Saisie'!$AS$5:$AS$2004,'Saisie'!$C$5:$C$2004,C154,'Saisie'!$AN$5:$AN$2004,"&lt;&gt;")-4),""))</f>
        <v/>
      </c>
      <c r="AJ154" s="60">
        <f>IF(C154="","",IFERROR(INDEX('Saisie'!$AO$5:$AO$2004,_xlfn.MAXIFS('Saisie'!$AS$5:$AS$2004,'Saisie'!$C$5:$C$2004,C154,'Saisie'!$AO$5:$AO$2004,"&lt;&gt;")-4),""))</f>
        <v/>
      </c>
      <c r="AK154" s="60">
        <f>IF(C154="","",IFERROR(INDEX('Saisie'!$AP$5:$AP$2004,_xlfn.MAXIFS('Saisie'!$AS$5:$AS$2004,'Saisie'!$C$5:$C$2004,C154,'Saisie'!$AP$5:$AP$2004,"&lt;&gt;")-4),""))</f>
        <v/>
      </c>
      <c r="AL154" s="60">
        <f>IF(C154="","",IFERROR(INDEX('Saisie'!$AQ$5:$AQ$2004,_xlfn.MAXIFS('Saisie'!$AS$5:$AS$2004,'Saisie'!$C$5:$C$2004,C154,'Saisie'!$AQ$5:$AQ$2004,"&lt;&gt;")-4),""))</f>
        <v/>
      </c>
      <c r="AM154" s="60">
        <f>IF(C154="","",((AI154="Oui")+(AJ154="Oui")+(AK154="Oui")+OR(AL154="Immédiat",AL154="&lt; 1 mois"))&amp;"/4")</f>
        <v/>
      </c>
      <c r="AN154" s="60">
        <f>IF(C154="","",IFERROR(INDEX('Saisie'!$AL$5:$AL$2004,_xlfn.MAXIFS('Saisie'!$AS$5:$AS$2004,'Saisie'!$C$5:$C$2004,C154,'Saisie'!$AL$5:$AL$2004,"&lt;&gt;")-4),""))</f>
        <v/>
      </c>
      <c r="AO154" s="62">
        <f>IF(C154="","",IF(IFERROR(INDEX('Saisie'!$AM$5:$AM$2004,_xlfn.MAXIFS('Saisie'!$AS$5:$AS$2004,'Saisie'!$C$5:$C$2004,C154,'Saisie'!$AM$5:$AM$2004,"&lt;&gt;")-4),"")&lt;&gt;"",IFERROR(INDEX('Saisie'!$AM$5:$AM$2004,_xlfn.MAXIFS('Saisie'!$AS$5:$AS$2004,'Saisie'!$C$5:$C$2004,C154,'Saisie'!$AM$5:$AM$2004,"&lt;&gt;")-4),""),IFERROR(INDEX('Paramètres'!$S$6:$S$15,MATCH(AN154,'Paramètres'!$Q$6:$Q$15,0)),"")))</f>
        <v/>
      </c>
      <c r="AP154" s="62">
        <f>IF(C154="","",IFERROR(INDEX('Saisie'!$AW$5:$AW$2004,_xlfn.MAXIFS('Saisie'!$AS$5:$AS$2004,'Saisie'!$C$5:$C$2004,C154,'Saisie'!$E$5:$E$2004,"Proposition envoyée")-4),""))</f>
        <v/>
      </c>
      <c r="AQ154" s="106">
        <f>IF(C154="","",IFERROR(1/(1/_xlfn.MAXIFS('Saisie'!$A$5:$A$2004,'Saisie'!$C$5:$C$2004,C154,'Saisie'!$E$5:$E$2004,"Proposition envoyée")),""))</f>
        <v/>
      </c>
      <c r="AR154" s="106">
        <f>IF(C154="","",IF(AQ154="","",AQ154+'Paramètres'!$B$26))</f>
        <v/>
      </c>
      <c r="AS154" s="62">
        <f>IF(OR(C154="",D154="Gagné",D154="Perdu"),0,N(AP154)*IFERROR(INDEX('Paramètres'!$G$6:$G$13,MATCH(D154,'Paramètres'!$F$6:$F$13,0)),0))</f>
        <v/>
      </c>
      <c r="AT154" s="106">
        <f>IF(C154="","",IFERROR(1/(1/_xlfn.MINIFS('Saisie'!$A$5:$A$2004,'Saisie'!$C$5:$C$2004,C154,'Saisie'!$E$5:$E$2004,"Signature")),""))</f>
        <v/>
      </c>
      <c r="AU154" s="60">
        <f>IF(C154="","",IF(OR(AT154="",B154=""),"",AT154-B154))</f>
        <v/>
      </c>
      <c r="AV154" s="60">
        <f>IF(C154="","",IFERROR(INDEX('Saisie'!$L$5:$L$2004,_xlfn.MAXIFS('Saisie'!$AS$5:$AS$2004,'Saisie'!$C$5:$C$2004,C154,'Saisie'!$L$5:$L$2004,"&lt;&gt;")-4),""))</f>
        <v/>
      </c>
      <c r="AW154" s="106">
        <f>IF(C154="","",IF(D154&lt;&gt;"Perdu","",IFERROR(1/(1/_xlfn.MAXIFS('Saisie'!$A$5:$A$2004,'Saisie'!$C$5:$C$2004,C154,'Saisie'!$E$5:$E$2004,"Perdu")),"")))</f>
        <v/>
      </c>
      <c r="AX154" s="106">
        <f>IF(C154="","",IF(AW154="","",AW154+'Paramètres'!$B$28))</f>
        <v/>
      </c>
      <c r="AY154" s="60">
        <f>IF(C154="","",SUMIFS('Saisie'!$H$5:$H$2004,'Saisie'!$C$5:$C$2004,C154))</f>
        <v/>
      </c>
      <c r="AZ154" s="60">
        <f>IF(C154="","",IFERROR(INDEX('Paramètres'!$W$6:$W$20,MATCH(S154,'Paramètres'!$V$6:$V$20,0))&amp;"",""))</f>
        <v/>
      </c>
      <c r="BA154" s="60">
        <f>IF(C154="","",MAX(1,_xlfn.MAXIFS('Saisie'!$AT$5:$AT$2004,'Saisie'!$C$5:$C$2004,C154)))</f>
        <v/>
      </c>
      <c r="BB154" s="60">
        <f>IF(C154="","",IFERROR(INDEX('Saisie'!$X$5:$X$2004,_xlfn.MAXIFS('Saisie'!$AS$5:$AS$2004,'Saisie'!$C$5:$C$2004,C154,'Saisie'!$X$5:$X$2004,"&lt;&gt;")-4),""))</f>
        <v/>
      </c>
      <c r="BC154" s="60">
        <f>IF(C154="","",IFERROR(INDEX('Saisie'!$Y$5:$Y$2004,_xlfn.MAXIFS('Saisie'!$AS$5:$AS$2004,'Saisie'!$C$5:$C$2004,C154,'Saisie'!$Y$5:$Y$2004,"&lt;&gt;")-4),""))</f>
        <v/>
      </c>
      <c r="BD154" s="106">
        <f>IF(C154="","",IFERROR(1/(1/_xlfn.MINIFS('Saisie'!$A$5:$A$2004,'Saisie'!$C$5:$C$2004,C154,'Saisie'!$AT$5:$AT$2004,"&gt;=2")),""))</f>
        <v/>
      </c>
      <c r="BE154" s="106">
        <f>IF(C154="","",IFERROR(1/(1/_xlfn.MINIFS('Saisie'!$A$5:$A$2004,'Saisie'!$C$5:$C$2004,C154,'Saisie'!$AT$5:$AT$2004,"&gt;=3")),""))</f>
        <v/>
      </c>
      <c r="BF154" s="106">
        <f>IF(C154="","",IFERROR(1/(1/_xlfn.MINIFS('Saisie'!$A$5:$A$2004,'Saisie'!$C$5:$C$2004,C154,'Saisie'!$AT$5:$AT$2004,"&gt;=4")),""))</f>
        <v/>
      </c>
      <c r="BG154" s="106">
        <f>IF(C154="","",IFERROR(1/(1/_xlfn.MINIFS('Saisie'!$A$5:$A$2004,'Saisie'!$C$5:$C$2004,C154,'Saisie'!$AT$5:$AT$2004,"&gt;=5")),""))</f>
        <v/>
      </c>
      <c r="BH154" s="106">
        <f>IF(C154="","",IFERROR(1/(1/_xlfn.MINIFS('Saisie'!$A$5:$A$2004,'Saisie'!$C$5:$C$2004,C154,'Saisie'!$AT$5:$AT$2004,"&gt;=6")),""))</f>
        <v/>
      </c>
      <c r="BI154" s="106">
        <f>IF(C154="","",IFERROR(1/(1/_xlfn.MINIFS('Saisie'!$A$5:$A$2004,'Saisie'!$C$5:$C$2004,C154,'Saisie'!$AT$5:$AT$2004,"&gt;=7")),""))</f>
        <v/>
      </c>
      <c r="BJ154" s="60">
        <f>IF(OR(BD154="",B154=""),"",BD154-B154)</f>
        <v/>
      </c>
      <c r="BK154" s="60">
        <f>IF(OR(BE154="",BD154=""),"",BE154-BD154)</f>
        <v/>
      </c>
      <c r="BL154" s="60">
        <f>IF(OR(BF154="",BE154=""),"",BF154-BE154)</f>
        <v/>
      </c>
      <c r="BM154" s="60">
        <f>IF(OR(BG154="",BF154=""),"",BG154-BF154)</f>
        <v/>
      </c>
      <c r="BN154" s="60">
        <f>IF(OR(BH154="",BG154=""),"",BH154-BG154)</f>
        <v/>
      </c>
      <c r="BO154" s="60">
        <f>IF(OR(BI154="",BH154=""),"",BI154-BH154)</f>
        <v/>
      </c>
      <c r="BP154" s="60">
        <f>IF(C154="","",_xlfn.MAXIFS('Saisie'!$AS$5:$AS$2004,'Saisie'!$C$5:$C$2004,C154,'Saisie'!$J$5:$J$2004,"&lt;&gt;"))</f>
        <v/>
      </c>
      <c r="BQ154" s="60">
        <f>IF(C154="","",_xlfn.MAXIFS('Saisie'!$AS$5:$AS$2004,'Saisie'!$C$5:$C$2004,C154))</f>
        <v/>
      </c>
      <c r="BR154" s="60">
        <f>IF(C154="","",_xlfn.MAXIFS('Saisie'!$AS$5:$AS$2004,'Saisie'!$C$5:$C$2004,C154,'Saisie'!$E$5:$E$2004,"Perdu"))</f>
        <v/>
      </c>
      <c r="BS154" s="60">
        <f>IF(C154="","",_xlfn.MAXIFS('Saisie'!$AS$5:$AS$2004,'Saisie'!$C$5:$C$2004,C154,'Saisie'!$AT$5:$AT$2004,"&gt;0"))</f>
        <v/>
      </c>
      <c r="BT154" s="109">
        <f>IF(AND(C154&lt;&gt;"",OR(D154="Nouveau",D154="Contacté",D154="Qualifié"),OR(G154="",N(G154)&lt;=TODAY()),NOT(AND(O154&gt;='Paramètres'!$B$21,P154=0))),E154+150/10000,"")</f>
        <v/>
      </c>
      <c r="BU154" s="60">
        <f>IF(AND(G154&lt;&gt;"",N(G154)&lt;=TODAY()),MAX($BU$4:BU153)+1,"")</f>
        <v/>
      </c>
      <c r="BV154" s="60">
        <f>IF(AND(F154&lt;&gt;"",F154&lt;&gt;"Relance en retard"),MAX($BV$4:BV153)+1,"")</f>
        <v/>
      </c>
      <c r="BW154" s="60">
        <f>IF(C154="","",IF(AND(B154&gt;='Tableau de bord'!$R$4,B154&lt;='Tableau de bord'!$S$4,OR('Tableau de bord'!$G$4="Tous",N154='Tableau de bord'!$G$4)),1,0))</f>
        <v/>
      </c>
      <c r="BX154" s="60">
        <f>IF(AND(C154&lt;&gt;"",N(BA154)=7),MAX($BX$4:BX153)+1,"")</f>
        <v/>
      </c>
    </row>
    <row r="155">
      <c r="A155" s="60">
        <f>IF(C155="","","P-"&amp;TEXT(151,"000"))</f>
        <v/>
      </c>
      <c r="B155" s="106">
        <f>IF(C155="","",IFERROR(1/(1/_xlfn.MINIFS('Saisie'!$A$5:$A$2004,'Saisie'!$C$5:$C$2004,C155)),""))</f>
        <v/>
      </c>
      <c r="C155" s="60">
        <f>IFERROR(INDEX('Saisie'!$C$5:$C$2004,MATCH(151,'Saisie'!$AX$5:$AX$2004,0)),"")</f>
        <v/>
      </c>
      <c r="D155" s="60">
        <f>IF(C155="","",IF(AND(BR155&gt;0,BR155&gt;BS155,BA155&lt;7),"Perdu",INDEX('Paramètres'!$F$6:$F$13,BA155)))</f>
        <v/>
      </c>
      <c r="E155" s="61">
        <f>IF(C155="","",MIN(100,(Z155="Oui")*'Paramètres'!$B$38+(AB155="Régulière")*'Paramètres'!$B$39+IF(AND(N(AA155)&gt;0,TODAY()-N(AA155)&lt;=30),'Paramètres'!$B$40,0)+(W155="")*'Paramètres'!$B$41+(AC155="Absente")*'Paramètres'!$B$42+(AC155="Faible")*'Paramètres'!$B$43+IF(AND(N(AD155)&gt;0,N(AD155)&lt;4),'Paramètres'!$B$44,0)+(AF155="Moyenne")*'Paramètres'!$B$45+(AF155="Grande")*'Paramètres'!$B$46+(Y155&lt;&gt;"")*'Paramètres'!$B$47))</f>
        <v/>
      </c>
      <c r="F155" s="60">
        <f>IF(C155="","",IF(D155="Gagné","",IF(D155="Perdu",IF(AND(AX155&lt;&gt;"",AX155&lt;=TODAY()),"À recontacter (perdu)",""),IF(AND(O155&gt;='Paramètres'!$B$21,P155=0),"Stop : "&amp;'Paramètres'!$B$21&amp;" tentatives sans réponse",IF(AND(D155="Proposition",AR155&lt;&gt;"",TODAY()&gt;N(AR155)),"Proposition expirée",IF(AND(D155="Proposition",N(R155)&gt;='Paramètres'!$B$25),"Proposition sans réponse",IF(AND(G155&lt;&gt;"",N(G155)&lt;TODAY()),"Relance en retard",IF(N(R155)&gt;='Paramètres'!$B$24,"Sans action depuis "&amp;R155&amp;" j",""))))))))</f>
        <v/>
      </c>
      <c r="G155" s="106">
        <f>IF(OR(C155="",D155="Gagné",D155="Perdu"),"",IF(AND(BP155&gt;0,BP155=BQ155),INDEX('Saisie'!$J$5:$J$2004,BP155-4),IF(OR(O155=0,AND(O155&gt;='Paramètres'!$B$21,P155=0)),"",Q155+IF(O155&lt;=1,'Paramètres'!$B$18,IF(O155=2,'Paramètres'!$B$19,'Paramètres'!$B$20)))))</f>
        <v/>
      </c>
      <c r="H155" s="107">
        <f>IF(OR(G155="",BP155&lt;&gt;BQ155),"",IF(INDEX('Saisie'!$K$5:$K$2004,BP155-4)="","",INDEX('Saisie'!$K$5:$K$2004,BP155-4)))</f>
        <v/>
      </c>
      <c r="I155" s="60">
        <f>IF(C155="","",IF(OR(D155="Gagné",D155="Perdu"),"",IFERROR(INDEX('Saisie'!$I$5:$I$2004,_xlfn.MAXIFS('Saisie'!$AS$5:$AS$2004,'Saisie'!$C$5:$C$2004,C155,'Saisie'!$I$5:$I$2004,"&lt;&gt;")-4),"")))</f>
        <v/>
      </c>
      <c r="J155" s="60">
        <f>IF(C155="","",IFERROR(INDEX('Saisie'!$U$5:$U$2004,_xlfn.MAXIFS('Saisie'!$AS$5:$AS$2004,'Saisie'!$C$5:$C$2004,C155,'Saisie'!$U$5:$U$2004,"&lt;&gt;")-4),""))</f>
        <v/>
      </c>
      <c r="K155" s="60">
        <f>IF(C155="","",IFERROR(INDEX('Saisie'!$W$5:$W$2004,_xlfn.MAXIFS('Saisie'!$AS$5:$AS$2004,'Saisie'!$C$5:$C$2004,C155,'Saisie'!$W$5:$W$2004,"&lt;&gt;")-4),""))</f>
        <v/>
      </c>
      <c r="L155" s="60">
        <f>IF(IF(BB155&lt;&gt;"",BB155,K155)="","",HYPERLINK("https://wa.me/"&amp;IF(LEFT(SUBSTITUTE(SUBSTITUTE(SUBSTITUTE(IF(BB155&lt;&gt;"",BB155,K155)," ",""),".",""),"+",""),1)="0",'Paramètres'!$B$35&amp;MID(SUBSTITUTE(SUBSTITUTE(SUBSTITUTE(IF(BB155&lt;&gt;"",BB155,K155)," ",""),".",""),"+",""),2,20),SUBSTITUTE(SUBSTITUTE(SUBSTITUTE(IF(BB155&lt;&gt;"",BB155,K155)," ",""),".",""),"+","")),"WhatsApp"))</f>
        <v/>
      </c>
      <c r="M155" s="60">
        <f>IF(BC155="","",HYPERLINK(IF(LEFT(BC155,4)="http",BC155,"https://www.instagram.com/"&amp;SUBSTITUTE(SUBSTITUTE(BC155,"@","")," ","")),BC155))</f>
        <v/>
      </c>
      <c r="N155" s="60">
        <f>IF(C155="","",IFERROR(INDEX('Saisie'!$D$5:$D$2004,_xlfn.MINIFS('Saisie'!$AS$5:$AS$2004,'Saisie'!$C$5:$C$2004,C155,'Saisie'!$AU$5:$AU$2004,1)-4),IFERROR(INDEX('Saisie'!$D$5:$D$2004,_xlfn.MINIFS('Saisie'!$AS$5:$AS$2004,'Saisie'!$C$5:$C$2004,C155,'Saisie'!$D$5:$D$2004,"&lt;&gt;")-4),"")))</f>
        <v/>
      </c>
      <c r="O155" s="60">
        <f>IF(C155="","",COUNTIFS('Saisie'!$C$5:$C$2004,C155,'Saisie'!$AU$5:$AU$2004,1))</f>
        <v/>
      </c>
      <c r="P155" s="60">
        <f>IF(C155="","",COUNTIFS('Saisie'!$C$5:$C$2004,C155,'Saisie'!$AV$5:$AV$2004,1))</f>
        <v/>
      </c>
      <c r="Q155" s="106">
        <f>IF(C155="","",IFERROR(1/(1/_xlfn.MAXIFS('Saisie'!$A$5:$A$2004,'Saisie'!$C$5:$C$2004,C155)),""))</f>
        <v/>
      </c>
      <c r="R155" s="61">
        <f>IF(C155="","",IF(Q155="","",TODAY()-Q155))</f>
        <v/>
      </c>
      <c r="S155" s="60">
        <f>IF(C155="","",IFERROR(INDEX('Saisie'!$R$5:$R$2004,_xlfn.MAXIFS('Saisie'!$AS$5:$AS$2004,'Saisie'!$C$5:$C$2004,C155,'Saisie'!$R$5:$R$2004,"&lt;&gt;")-4),""))</f>
        <v/>
      </c>
      <c r="T155" s="60">
        <f>IF(C155="","",IFERROR(INDEX('Saisie'!$S$5:$S$2004,_xlfn.MAXIFS('Saisie'!$AS$5:$AS$2004,'Saisie'!$C$5:$C$2004,C155,'Saisie'!$S$5:$S$2004,"&lt;&gt;")-4),""))</f>
        <v/>
      </c>
      <c r="U155" s="60">
        <f>IF(C155="","",IFERROR(INDEX('Saisie'!$T$5:$T$2004,_xlfn.MAXIFS('Saisie'!$AS$5:$AS$2004,'Saisie'!$C$5:$C$2004,C155,'Saisie'!$T$5:$T$2004,"&lt;&gt;")-4),""))</f>
        <v/>
      </c>
      <c r="V155" s="60">
        <f>IF(C155="","",IFERROR(INDEX('Saisie'!$V$5:$V$2004,_xlfn.MAXIFS('Saisie'!$AS$5:$AS$2004,'Saisie'!$C$5:$C$2004,C155,'Saisie'!$V$5:$V$2004,"&lt;&gt;")-4),""))</f>
        <v/>
      </c>
      <c r="W155" s="60">
        <f>IF(C155="","",IFERROR(INDEX('Saisie'!$Z$5:$Z$2004,_xlfn.MAXIFS('Saisie'!$AS$5:$AS$2004,'Saisie'!$C$5:$C$2004,C155,'Saisie'!$Z$5:$Z$2004,"&lt;&gt;")-4),""))</f>
        <v/>
      </c>
      <c r="X155" s="60">
        <f>IF(C155="","",IFERROR(INDEX('Saisie'!$AA$5:$AA$2004,_xlfn.MAXIFS('Saisie'!$AS$5:$AS$2004,'Saisie'!$C$5:$C$2004,C155,'Saisie'!$AA$5:$AA$2004,"&lt;&gt;")-4),""))</f>
        <v/>
      </c>
      <c r="Y155" s="60">
        <f>IF(C155="","",IFERROR(INDEX('Saisie'!$AB$5:$AB$2004,_xlfn.MAXIFS('Saisie'!$AS$5:$AS$2004,'Saisie'!$C$5:$C$2004,C155,'Saisie'!$AB$5:$AB$2004,"&lt;&gt;")-4),""))</f>
        <v/>
      </c>
      <c r="Z155" s="60">
        <f>IF(C155="","",IFERROR(INDEX('Saisie'!$AC$5:$AC$2004,_xlfn.MAXIFS('Saisie'!$AS$5:$AS$2004,'Saisie'!$C$5:$C$2004,C155,'Saisie'!$AC$5:$AC$2004,"&lt;&gt;")-4),""))</f>
        <v/>
      </c>
      <c r="AA155" s="106">
        <f>IF(C155="","",IFERROR(INDEX('Saisie'!$AD$5:$AD$2004,_xlfn.MAXIFS('Saisie'!$AS$5:$AS$2004,'Saisie'!$C$5:$C$2004,C155,'Saisie'!$AD$5:$AD$2004,"&lt;&gt;")-4),""))</f>
        <v/>
      </c>
      <c r="AB155" s="60">
        <f>IF(C155="","",IFERROR(INDEX('Saisie'!$AE$5:$AE$2004,_xlfn.MAXIFS('Saisie'!$AS$5:$AS$2004,'Saisie'!$C$5:$C$2004,C155,'Saisie'!$AE$5:$AE$2004,"&lt;&gt;")-4),""))</f>
        <v/>
      </c>
      <c r="AC155" s="60">
        <f>IF(C155="","",IFERROR(INDEX('Saisie'!$AF$5:$AF$2004,_xlfn.MAXIFS('Saisie'!$AS$5:$AS$2004,'Saisie'!$C$5:$C$2004,C155,'Saisie'!$AF$5:$AF$2004,"&lt;&gt;")-4),""))</f>
        <v/>
      </c>
      <c r="AD155" s="108">
        <f>IF(C155="","",IFERROR(INDEX('Saisie'!$AG$5:$AG$2004,_xlfn.MAXIFS('Saisie'!$AS$5:$AS$2004,'Saisie'!$C$5:$C$2004,C155,'Saisie'!$AG$5:$AG$2004,"&lt;&gt;")-4),""))</f>
        <v/>
      </c>
      <c r="AE155" s="60">
        <f>IF(C155="","",IFERROR(INDEX('Saisie'!$AH$5:$AH$2004,_xlfn.MAXIFS('Saisie'!$AS$5:$AS$2004,'Saisie'!$C$5:$C$2004,C155,'Saisie'!$AH$5:$AH$2004,"&lt;&gt;")-4),""))</f>
        <v/>
      </c>
      <c r="AF155" s="60">
        <f>IF(C155="","",IFERROR(INDEX('Saisie'!$AI$5:$AI$2004,_xlfn.MAXIFS('Saisie'!$AS$5:$AS$2004,'Saisie'!$C$5:$C$2004,C155,'Saisie'!$AI$5:$AI$2004,"&lt;&gt;")-4),""))</f>
        <v/>
      </c>
      <c r="AG155" s="60">
        <f>IF(C155="","",IFERROR(INDEX('Saisie'!$AJ$5:$AJ$2004,_xlfn.MAXIFS('Saisie'!$AS$5:$AS$2004,'Saisie'!$C$5:$C$2004,C155,'Saisie'!$AJ$5:$AJ$2004,"&lt;&gt;")-4),""))</f>
        <v/>
      </c>
      <c r="AH155" s="60">
        <f>IF(C155="","",IFERROR(INDEX('Saisie'!$AK$5:$AK$2004,_xlfn.MAXIFS('Saisie'!$AS$5:$AS$2004,'Saisie'!$C$5:$C$2004,C155,'Saisie'!$AK$5:$AK$2004,"&lt;&gt;")-4),""))</f>
        <v/>
      </c>
      <c r="AI155" s="60">
        <f>IF(C155="","",IFERROR(INDEX('Saisie'!$AN$5:$AN$2004,_xlfn.MAXIFS('Saisie'!$AS$5:$AS$2004,'Saisie'!$C$5:$C$2004,C155,'Saisie'!$AN$5:$AN$2004,"&lt;&gt;")-4),""))</f>
        <v/>
      </c>
      <c r="AJ155" s="60">
        <f>IF(C155="","",IFERROR(INDEX('Saisie'!$AO$5:$AO$2004,_xlfn.MAXIFS('Saisie'!$AS$5:$AS$2004,'Saisie'!$C$5:$C$2004,C155,'Saisie'!$AO$5:$AO$2004,"&lt;&gt;")-4),""))</f>
        <v/>
      </c>
      <c r="AK155" s="60">
        <f>IF(C155="","",IFERROR(INDEX('Saisie'!$AP$5:$AP$2004,_xlfn.MAXIFS('Saisie'!$AS$5:$AS$2004,'Saisie'!$C$5:$C$2004,C155,'Saisie'!$AP$5:$AP$2004,"&lt;&gt;")-4),""))</f>
        <v/>
      </c>
      <c r="AL155" s="60">
        <f>IF(C155="","",IFERROR(INDEX('Saisie'!$AQ$5:$AQ$2004,_xlfn.MAXIFS('Saisie'!$AS$5:$AS$2004,'Saisie'!$C$5:$C$2004,C155,'Saisie'!$AQ$5:$AQ$2004,"&lt;&gt;")-4),""))</f>
        <v/>
      </c>
      <c r="AM155" s="60">
        <f>IF(C155="","",((AI155="Oui")+(AJ155="Oui")+(AK155="Oui")+OR(AL155="Immédiat",AL155="&lt; 1 mois"))&amp;"/4")</f>
        <v/>
      </c>
      <c r="AN155" s="60">
        <f>IF(C155="","",IFERROR(INDEX('Saisie'!$AL$5:$AL$2004,_xlfn.MAXIFS('Saisie'!$AS$5:$AS$2004,'Saisie'!$C$5:$C$2004,C155,'Saisie'!$AL$5:$AL$2004,"&lt;&gt;")-4),""))</f>
        <v/>
      </c>
      <c r="AO155" s="62">
        <f>IF(C155="","",IF(IFERROR(INDEX('Saisie'!$AM$5:$AM$2004,_xlfn.MAXIFS('Saisie'!$AS$5:$AS$2004,'Saisie'!$C$5:$C$2004,C155,'Saisie'!$AM$5:$AM$2004,"&lt;&gt;")-4),"")&lt;&gt;"",IFERROR(INDEX('Saisie'!$AM$5:$AM$2004,_xlfn.MAXIFS('Saisie'!$AS$5:$AS$2004,'Saisie'!$C$5:$C$2004,C155,'Saisie'!$AM$5:$AM$2004,"&lt;&gt;")-4),""),IFERROR(INDEX('Paramètres'!$S$6:$S$15,MATCH(AN155,'Paramètres'!$Q$6:$Q$15,0)),"")))</f>
        <v/>
      </c>
      <c r="AP155" s="62">
        <f>IF(C155="","",IFERROR(INDEX('Saisie'!$AW$5:$AW$2004,_xlfn.MAXIFS('Saisie'!$AS$5:$AS$2004,'Saisie'!$C$5:$C$2004,C155,'Saisie'!$E$5:$E$2004,"Proposition envoyée")-4),""))</f>
        <v/>
      </c>
      <c r="AQ155" s="106">
        <f>IF(C155="","",IFERROR(1/(1/_xlfn.MAXIFS('Saisie'!$A$5:$A$2004,'Saisie'!$C$5:$C$2004,C155,'Saisie'!$E$5:$E$2004,"Proposition envoyée")),""))</f>
        <v/>
      </c>
      <c r="AR155" s="106">
        <f>IF(C155="","",IF(AQ155="","",AQ155+'Paramètres'!$B$26))</f>
        <v/>
      </c>
      <c r="AS155" s="62">
        <f>IF(OR(C155="",D155="Gagné",D155="Perdu"),0,N(AP155)*IFERROR(INDEX('Paramètres'!$G$6:$G$13,MATCH(D155,'Paramètres'!$F$6:$F$13,0)),0))</f>
        <v/>
      </c>
      <c r="AT155" s="106">
        <f>IF(C155="","",IFERROR(1/(1/_xlfn.MINIFS('Saisie'!$A$5:$A$2004,'Saisie'!$C$5:$C$2004,C155,'Saisie'!$E$5:$E$2004,"Signature")),""))</f>
        <v/>
      </c>
      <c r="AU155" s="60">
        <f>IF(C155="","",IF(OR(AT155="",B155=""),"",AT155-B155))</f>
        <v/>
      </c>
      <c r="AV155" s="60">
        <f>IF(C155="","",IFERROR(INDEX('Saisie'!$L$5:$L$2004,_xlfn.MAXIFS('Saisie'!$AS$5:$AS$2004,'Saisie'!$C$5:$C$2004,C155,'Saisie'!$L$5:$L$2004,"&lt;&gt;")-4),""))</f>
        <v/>
      </c>
      <c r="AW155" s="106">
        <f>IF(C155="","",IF(D155&lt;&gt;"Perdu","",IFERROR(1/(1/_xlfn.MAXIFS('Saisie'!$A$5:$A$2004,'Saisie'!$C$5:$C$2004,C155,'Saisie'!$E$5:$E$2004,"Perdu")),"")))</f>
        <v/>
      </c>
      <c r="AX155" s="106">
        <f>IF(C155="","",IF(AW155="","",AW155+'Paramètres'!$B$28))</f>
        <v/>
      </c>
      <c r="AY155" s="60">
        <f>IF(C155="","",SUMIFS('Saisie'!$H$5:$H$2004,'Saisie'!$C$5:$C$2004,C155))</f>
        <v/>
      </c>
      <c r="AZ155" s="60">
        <f>IF(C155="","",IFERROR(INDEX('Paramètres'!$W$6:$W$20,MATCH(S155,'Paramètres'!$V$6:$V$20,0))&amp;"",""))</f>
        <v/>
      </c>
      <c r="BA155" s="60">
        <f>IF(C155="","",MAX(1,_xlfn.MAXIFS('Saisie'!$AT$5:$AT$2004,'Saisie'!$C$5:$C$2004,C155)))</f>
        <v/>
      </c>
      <c r="BB155" s="60">
        <f>IF(C155="","",IFERROR(INDEX('Saisie'!$X$5:$X$2004,_xlfn.MAXIFS('Saisie'!$AS$5:$AS$2004,'Saisie'!$C$5:$C$2004,C155,'Saisie'!$X$5:$X$2004,"&lt;&gt;")-4),""))</f>
        <v/>
      </c>
      <c r="BC155" s="60">
        <f>IF(C155="","",IFERROR(INDEX('Saisie'!$Y$5:$Y$2004,_xlfn.MAXIFS('Saisie'!$AS$5:$AS$2004,'Saisie'!$C$5:$C$2004,C155,'Saisie'!$Y$5:$Y$2004,"&lt;&gt;")-4),""))</f>
        <v/>
      </c>
      <c r="BD155" s="106">
        <f>IF(C155="","",IFERROR(1/(1/_xlfn.MINIFS('Saisie'!$A$5:$A$2004,'Saisie'!$C$5:$C$2004,C155,'Saisie'!$AT$5:$AT$2004,"&gt;=2")),""))</f>
        <v/>
      </c>
      <c r="BE155" s="106">
        <f>IF(C155="","",IFERROR(1/(1/_xlfn.MINIFS('Saisie'!$A$5:$A$2004,'Saisie'!$C$5:$C$2004,C155,'Saisie'!$AT$5:$AT$2004,"&gt;=3")),""))</f>
        <v/>
      </c>
      <c r="BF155" s="106">
        <f>IF(C155="","",IFERROR(1/(1/_xlfn.MINIFS('Saisie'!$A$5:$A$2004,'Saisie'!$C$5:$C$2004,C155,'Saisie'!$AT$5:$AT$2004,"&gt;=4")),""))</f>
        <v/>
      </c>
      <c r="BG155" s="106">
        <f>IF(C155="","",IFERROR(1/(1/_xlfn.MINIFS('Saisie'!$A$5:$A$2004,'Saisie'!$C$5:$C$2004,C155,'Saisie'!$AT$5:$AT$2004,"&gt;=5")),""))</f>
        <v/>
      </c>
      <c r="BH155" s="106">
        <f>IF(C155="","",IFERROR(1/(1/_xlfn.MINIFS('Saisie'!$A$5:$A$2004,'Saisie'!$C$5:$C$2004,C155,'Saisie'!$AT$5:$AT$2004,"&gt;=6")),""))</f>
        <v/>
      </c>
      <c r="BI155" s="106">
        <f>IF(C155="","",IFERROR(1/(1/_xlfn.MINIFS('Saisie'!$A$5:$A$2004,'Saisie'!$C$5:$C$2004,C155,'Saisie'!$AT$5:$AT$2004,"&gt;=7")),""))</f>
        <v/>
      </c>
      <c r="BJ155" s="60">
        <f>IF(OR(BD155="",B155=""),"",BD155-B155)</f>
        <v/>
      </c>
      <c r="BK155" s="60">
        <f>IF(OR(BE155="",BD155=""),"",BE155-BD155)</f>
        <v/>
      </c>
      <c r="BL155" s="60">
        <f>IF(OR(BF155="",BE155=""),"",BF155-BE155)</f>
        <v/>
      </c>
      <c r="BM155" s="60">
        <f>IF(OR(BG155="",BF155=""),"",BG155-BF155)</f>
        <v/>
      </c>
      <c r="BN155" s="60">
        <f>IF(OR(BH155="",BG155=""),"",BH155-BG155)</f>
        <v/>
      </c>
      <c r="BO155" s="60">
        <f>IF(OR(BI155="",BH155=""),"",BI155-BH155)</f>
        <v/>
      </c>
      <c r="BP155" s="60">
        <f>IF(C155="","",_xlfn.MAXIFS('Saisie'!$AS$5:$AS$2004,'Saisie'!$C$5:$C$2004,C155,'Saisie'!$J$5:$J$2004,"&lt;&gt;"))</f>
        <v/>
      </c>
      <c r="BQ155" s="60">
        <f>IF(C155="","",_xlfn.MAXIFS('Saisie'!$AS$5:$AS$2004,'Saisie'!$C$5:$C$2004,C155))</f>
        <v/>
      </c>
      <c r="BR155" s="60">
        <f>IF(C155="","",_xlfn.MAXIFS('Saisie'!$AS$5:$AS$2004,'Saisie'!$C$5:$C$2004,C155,'Saisie'!$E$5:$E$2004,"Perdu"))</f>
        <v/>
      </c>
      <c r="BS155" s="60">
        <f>IF(C155="","",_xlfn.MAXIFS('Saisie'!$AS$5:$AS$2004,'Saisie'!$C$5:$C$2004,C155,'Saisie'!$AT$5:$AT$2004,"&gt;0"))</f>
        <v/>
      </c>
      <c r="BT155" s="109">
        <f>IF(AND(C155&lt;&gt;"",OR(D155="Nouveau",D155="Contacté",D155="Qualifié"),OR(G155="",N(G155)&lt;=TODAY()),NOT(AND(O155&gt;='Paramètres'!$B$21,P155=0))),E155+151/10000,"")</f>
        <v/>
      </c>
      <c r="BU155" s="60">
        <f>IF(AND(G155&lt;&gt;"",N(G155)&lt;=TODAY()),MAX($BU$4:BU154)+1,"")</f>
        <v/>
      </c>
      <c r="BV155" s="60">
        <f>IF(AND(F155&lt;&gt;"",F155&lt;&gt;"Relance en retard"),MAX($BV$4:BV154)+1,"")</f>
        <v/>
      </c>
      <c r="BW155" s="60">
        <f>IF(C155="","",IF(AND(B155&gt;='Tableau de bord'!$R$4,B155&lt;='Tableau de bord'!$S$4,OR('Tableau de bord'!$G$4="Tous",N155='Tableau de bord'!$G$4)),1,0))</f>
        <v/>
      </c>
      <c r="BX155" s="60">
        <f>IF(AND(C155&lt;&gt;"",N(BA155)=7),MAX($BX$4:BX154)+1,"")</f>
        <v/>
      </c>
    </row>
    <row r="156">
      <c r="A156" s="60">
        <f>IF(C156="","","P-"&amp;TEXT(152,"000"))</f>
        <v/>
      </c>
      <c r="B156" s="106">
        <f>IF(C156="","",IFERROR(1/(1/_xlfn.MINIFS('Saisie'!$A$5:$A$2004,'Saisie'!$C$5:$C$2004,C156)),""))</f>
        <v/>
      </c>
      <c r="C156" s="60">
        <f>IFERROR(INDEX('Saisie'!$C$5:$C$2004,MATCH(152,'Saisie'!$AX$5:$AX$2004,0)),"")</f>
        <v/>
      </c>
      <c r="D156" s="60">
        <f>IF(C156="","",IF(AND(BR156&gt;0,BR156&gt;BS156,BA156&lt;7),"Perdu",INDEX('Paramètres'!$F$6:$F$13,BA156)))</f>
        <v/>
      </c>
      <c r="E156" s="61">
        <f>IF(C156="","",MIN(100,(Z156="Oui")*'Paramètres'!$B$38+(AB156="Régulière")*'Paramètres'!$B$39+IF(AND(N(AA156)&gt;0,TODAY()-N(AA156)&lt;=30),'Paramètres'!$B$40,0)+(W156="")*'Paramètres'!$B$41+(AC156="Absente")*'Paramètres'!$B$42+(AC156="Faible")*'Paramètres'!$B$43+IF(AND(N(AD156)&gt;0,N(AD156)&lt;4),'Paramètres'!$B$44,0)+(AF156="Moyenne")*'Paramètres'!$B$45+(AF156="Grande")*'Paramètres'!$B$46+(Y156&lt;&gt;"")*'Paramètres'!$B$47))</f>
        <v/>
      </c>
      <c r="F156" s="60">
        <f>IF(C156="","",IF(D156="Gagné","",IF(D156="Perdu",IF(AND(AX156&lt;&gt;"",AX156&lt;=TODAY()),"À recontacter (perdu)",""),IF(AND(O156&gt;='Paramètres'!$B$21,P156=0),"Stop : "&amp;'Paramètres'!$B$21&amp;" tentatives sans réponse",IF(AND(D156="Proposition",AR156&lt;&gt;"",TODAY()&gt;N(AR156)),"Proposition expirée",IF(AND(D156="Proposition",N(R156)&gt;='Paramètres'!$B$25),"Proposition sans réponse",IF(AND(G156&lt;&gt;"",N(G156)&lt;TODAY()),"Relance en retard",IF(N(R156)&gt;='Paramètres'!$B$24,"Sans action depuis "&amp;R156&amp;" j",""))))))))</f>
        <v/>
      </c>
      <c r="G156" s="106">
        <f>IF(OR(C156="",D156="Gagné",D156="Perdu"),"",IF(AND(BP156&gt;0,BP156=BQ156),INDEX('Saisie'!$J$5:$J$2004,BP156-4),IF(OR(O156=0,AND(O156&gt;='Paramètres'!$B$21,P156=0)),"",Q156+IF(O156&lt;=1,'Paramètres'!$B$18,IF(O156=2,'Paramètres'!$B$19,'Paramètres'!$B$20)))))</f>
        <v/>
      </c>
      <c r="H156" s="107">
        <f>IF(OR(G156="",BP156&lt;&gt;BQ156),"",IF(INDEX('Saisie'!$K$5:$K$2004,BP156-4)="","",INDEX('Saisie'!$K$5:$K$2004,BP156-4)))</f>
        <v/>
      </c>
      <c r="I156" s="60">
        <f>IF(C156="","",IF(OR(D156="Gagné",D156="Perdu"),"",IFERROR(INDEX('Saisie'!$I$5:$I$2004,_xlfn.MAXIFS('Saisie'!$AS$5:$AS$2004,'Saisie'!$C$5:$C$2004,C156,'Saisie'!$I$5:$I$2004,"&lt;&gt;")-4),"")))</f>
        <v/>
      </c>
      <c r="J156" s="60">
        <f>IF(C156="","",IFERROR(INDEX('Saisie'!$U$5:$U$2004,_xlfn.MAXIFS('Saisie'!$AS$5:$AS$2004,'Saisie'!$C$5:$C$2004,C156,'Saisie'!$U$5:$U$2004,"&lt;&gt;")-4),""))</f>
        <v/>
      </c>
      <c r="K156" s="60">
        <f>IF(C156="","",IFERROR(INDEX('Saisie'!$W$5:$W$2004,_xlfn.MAXIFS('Saisie'!$AS$5:$AS$2004,'Saisie'!$C$5:$C$2004,C156,'Saisie'!$W$5:$W$2004,"&lt;&gt;")-4),""))</f>
        <v/>
      </c>
      <c r="L156" s="60">
        <f>IF(IF(BB156&lt;&gt;"",BB156,K156)="","",HYPERLINK("https://wa.me/"&amp;IF(LEFT(SUBSTITUTE(SUBSTITUTE(SUBSTITUTE(IF(BB156&lt;&gt;"",BB156,K156)," ",""),".",""),"+",""),1)="0",'Paramètres'!$B$35&amp;MID(SUBSTITUTE(SUBSTITUTE(SUBSTITUTE(IF(BB156&lt;&gt;"",BB156,K156)," ",""),".",""),"+",""),2,20),SUBSTITUTE(SUBSTITUTE(SUBSTITUTE(IF(BB156&lt;&gt;"",BB156,K156)," ",""),".",""),"+","")),"WhatsApp"))</f>
        <v/>
      </c>
      <c r="M156" s="60">
        <f>IF(BC156="","",HYPERLINK(IF(LEFT(BC156,4)="http",BC156,"https://www.instagram.com/"&amp;SUBSTITUTE(SUBSTITUTE(BC156,"@","")," ","")),BC156))</f>
        <v/>
      </c>
      <c r="N156" s="60">
        <f>IF(C156="","",IFERROR(INDEX('Saisie'!$D$5:$D$2004,_xlfn.MINIFS('Saisie'!$AS$5:$AS$2004,'Saisie'!$C$5:$C$2004,C156,'Saisie'!$AU$5:$AU$2004,1)-4),IFERROR(INDEX('Saisie'!$D$5:$D$2004,_xlfn.MINIFS('Saisie'!$AS$5:$AS$2004,'Saisie'!$C$5:$C$2004,C156,'Saisie'!$D$5:$D$2004,"&lt;&gt;")-4),"")))</f>
        <v/>
      </c>
      <c r="O156" s="60">
        <f>IF(C156="","",COUNTIFS('Saisie'!$C$5:$C$2004,C156,'Saisie'!$AU$5:$AU$2004,1))</f>
        <v/>
      </c>
      <c r="P156" s="60">
        <f>IF(C156="","",COUNTIFS('Saisie'!$C$5:$C$2004,C156,'Saisie'!$AV$5:$AV$2004,1))</f>
        <v/>
      </c>
      <c r="Q156" s="106">
        <f>IF(C156="","",IFERROR(1/(1/_xlfn.MAXIFS('Saisie'!$A$5:$A$2004,'Saisie'!$C$5:$C$2004,C156)),""))</f>
        <v/>
      </c>
      <c r="R156" s="61">
        <f>IF(C156="","",IF(Q156="","",TODAY()-Q156))</f>
        <v/>
      </c>
      <c r="S156" s="60">
        <f>IF(C156="","",IFERROR(INDEX('Saisie'!$R$5:$R$2004,_xlfn.MAXIFS('Saisie'!$AS$5:$AS$2004,'Saisie'!$C$5:$C$2004,C156,'Saisie'!$R$5:$R$2004,"&lt;&gt;")-4),""))</f>
        <v/>
      </c>
      <c r="T156" s="60">
        <f>IF(C156="","",IFERROR(INDEX('Saisie'!$S$5:$S$2004,_xlfn.MAXIFS('Saisie'!$AS$5:$AS$2004,'Saisie'!$C$5:$C$2004,C156,'Saisie'!$S$5:$S$2004,"&lt;&gt;")-4),""))</f>
        <v/>
      </c>
      <c r="U156" s="60">
        <f>IF(C156="","",IFERROR(INDEX('Saisie'!$T$5:$T$2004,_xlfn.MAXIFS('Saisie'!$AS$5:$AS$2004,'Saisie'!$C$5:$C$2004,C156,'Saisie'!$T$5:$T$2004,"&lt;&gt;")-4),""))</f>
        <v/>
      </c>
      <c r="V156" s="60">
        <f>IF(C156="","",IFERROR(INDEX('Saisie'!$V$5:$V$2004,_xlfn.MAXIFS('Saisie'!$AS$5:$AS$2004,'Saisie'!$C$5:$C$2004,C156,'Saisie'!$V$5:$V$2004,"&lt;&gt;")-4),""))</f>
        <v/>
      </c>
      <c r="W156" s="60">
        <f>IF(C156="","",IFERROR(INDEX('Saisie'!$Z$5:$Z$2004,_xlfn.MAXIFS('Saisie'!$AS$5:$AS$2004,'Saisie'!$C$5:$C$2004,C156,'Saisie'!$Z$5:$Z$2004,"&lt;&gt;")-4),""))</f>
        <v/>
      </c>
      <c r="X156" s="60">
        <f>IF(C156="","",IFERROR(INDEX('Saisie'!$AA$5:$AA$2004,_xlfn.MAXIFS('Saisie'!$AS$5:$AS$2004,'Saisie'!$C$5:$C$2004,C156,'Saisie'!$AA$5:$AA$2004,"&lt;&gt;")-4),""))</f>
        <v/>
      </c>
      <c r="Y156" s="60">
        <f>IF(C156="","",IFERROR(INDEX('Saisie'!$AB$5:$AB$2004,_xlfn.MAXIFS('Saisie'!$AS$5:$AS$2004,'Saisie'!$C$5:$C$2004,C156,'Saisie'!$AB$5:$AB$2004,"&lt;&gt;")-4),""))</f>
        <v/>
      </c>
      <c r="Z156" s="60">
        <f>IF(C156="","",IFERROR(INDEX('Saisie'!$AC$5:$AC$2004,_xlfn.MAXIFS('Saisie'!$AS$5:$AS$2004,'Saisie'!$C$5:$C$2004,C156,'Saisie'!$AC$5:$AC$2004,"&lt;&gt;")-4),""))</f>
        <v/>
      </c>
      <c r="AA156" s="106">
        <f>IF(C156="","",IFERROR(INDEX('Saisie'!$AD$5:$AD$2004,_xlfn.MAXIFS('Saisie'!$AS$5:$AS$2004,'Saisie'!$C$5:$C$2004,C156,'Saisie'!$AD$5:$AD$2004,"&lt;&gt;")-4),""))</f>
        <v/>
      </c>
      <c r="AB156" s="60">
        <f>IF(C156="","",IFERROR(INDEX('Saisie'!$AE$5:$AE$2004,_xlfn.MAXIFS('Saisie'!$AS$5:$AS$2004,'Saisie'!$C$5:$C$2004,C156,'Saisie'!$AE$5:$AE$2004,"&lt;&gt;")-4),""))</f>
        <v/>
      </c>
      <c r="AC156" s="60">
        <f>IF(C156="","",IFERROR(INDEX('Saisie'!$AF$5:$AF$2004,_xlfn.MAXIFS('Saisie'!$AS$5:$AS$2004,'Saisie'!$C$5:$C$2004,C156,'Saisie'!$AF$5:$AF$2004,"&lt;&gt;")-4),""))</f>
        <v/>
      </c>
      <c r="AD156" s="108">
        <f>IF(C156="","",IFERROR(INDEX('Saisie'!$AG$5:$AG$2004,_xlfn.MAXIFS('Saisie'!$AS$5:$AS$2004,'Saisie'!$C$5:$C$2004,C156,'Saisie'!$AG$5:$AG$2004,"&lt;&gt;")-4),""))</f>
        <v/>
      </c>
      <c r="AE156" s="60">
        <f>IF(C156="","",IFERROR(INDEX('Saisie'!$AH$5:$AH$2004,_xlfn.MAXIFS('Saisie'!$AS$5:$AS$2004,'Saisie'!$C$5:$C$2004,C156,'Saisie'!$AH$5:$AH$2004,"&lt;&gt;")-4),""))</f>
        <v/>
      </c>
      <c r="AF156" s="60">
        <f>IF(C156="","",IFERROR(INDEX('Saisie'!$AI$5:$AI$2004,_xlfn.MAXIFS('Saisie'!$AS$5:$AS$2004,'Saisie'!$C$5:$C$2004,C156,'Saisie'!$AI$5:$AI$2004,"&lt;&gt;")-4),""))</f>
        <v/>
      </c>
      <c r="AG156" s="60">
        <f>IF(C156="","",IFERROR(INDEX('Saisie'!$AJ$5:$AJ$2004,_xlfn.MAXIFS('Saisie'!$AS$5:$AS$2004,'Saisie'!$C$5:$C$2004,C156,'Saisie'!$AJ$5:$AJ$2004,"&lt;&gt;")-4),""))</f>
        <v/>
      </c>
      <c r="AH156" s="60">
        <f>IF(C156="","",IFERROR(INDEX('Saisie'!$AK$5:$AK$2004,_xlfn.MAXIFS('Saisie'!$AS$5:$AS$2004,'Saisie'!$C$5:$C$2004,C156,'Saisie'!$AK$5:$AK$2004,"&lt;&gt;")-4),""))</f>
        <v/>
      </c>
      <c r="AI156" s="60">
        <f>IF(C156="","",IFERROR(INDEX('Saisie'!$AN$5:$AN$2004,_xlfn.MAXIFS('Saisie'!$AS$5:$AS$2004,'Saisie'!$C$5:$C$2004,C156,'Saisie'!$AN$5:$AN$2004,"&lt;&gt;")-4),""))</f>
        <v/>
      </c>
      <c r="AJ156" s="60">
        <f>IF(C156="","",IFERROR(INDEX('Saisie'!$AO$5:$AO$2004,_xlfn.MAXIFS('Saisie'!$AS$5:$AS$2004,'Saisie'!$C$5:$C$2004,C156,'Saisie'!$AO$5:$AO$2004,"&lt;&gt;")-4),""))</f>
        <v/>
      </c>
      <c r="AK156" s="60">
        <f>IF(C156="","",IFERROR(INDEX('Saisie'!$AP$5:$AP$2004,_xlfn.MAXIFS('Saisie'!$AS$5:$AS$2004,'Saisie'!$C$5:$C$2004,C156,'Saisie'!$AP$5:$AP$2004,"&lt;&gt;")-4),""))</f>
        <v/>
      </c>
      <c r="AL156" s="60">
        <f>IF(C156="","",IFERROR(INDEX('Saisie'!$AQ$5:$AQ$2004,_xlfn.MAXIFS('Saisie'!$AS$5:$AS$2004,'Saisie'!$C$5:$C$2004,C156,'Saisie'!$AQ$5:$AQ$2004,"&lt;&gt;")-4),""))</f>
        <v/>
      </c>
      <c r="AM156" s="60">
        <f>IF(C156="","",((AI156="Oui")+(AJ156="Oui")+(AK156="Oui")+OR(AL156="Immédiat",AL156="&lt; 1 mois"))&amp;"/4")</f>
        <v/>
      </c>
      <c r="AN156" s="60">
        <f>IF(C156="","",IFERROR(INDEX('Saisie'!$AL$5:$AL$2004,_xlfn.MAXIFS('Saisie'!$AS$5:$AS$2004,'Saisie'!$C$5:$C$2004,C156,'Saisie'!$AL$5:$AL$2004,"&lt;&gt;")-4),""))</f>
        <v/>
      </c>
      <c r="AO156" s="62">
        <f>IF(C156="","",IF(IFERROR(INDEX('Saisie'!$AM$5:$AM$2004,_xlfn.MAXIFS('Saisie'!$AS$5:$AS$2004,'Saisie'!$C$5:$C$2004,C156,'Saisie'!$AM$5:$AM$2004,"&lt;&gt;")-4),"")&lt;&gt;"",IFERROR(INDEX('Saisie'!$AM$5:$AM$2004,_xlfn.MAXIFS('Saisie'!$AS$5:$AS$2004,'Saisie'!$C$5:$C$2004,C156,'Saisie'!$AM$5:$AM$2004,"&lt;&gt;")-4),""),IFERROR(INDEX('Paramètres'!$S$6:$S$15,MATCH(AN156,'Paramètres'!$Q$6:$Q$15,0)),"")))</f>
        <v/>
      </c>
      <c r="AP156" s="62">
        <f>IF(C156="","",IFERROR(INDEX('Saisie'!$AW$5:$AW$2004,_xlfn.MAXIFS('Saisie'!$AS$5:$AS$2004,'Saisie'!$C$5:$C$2004,C156,'Saisie'!$E$5:$E$2004,"Proposition envoyée")-4),""))</f>
        <v/>
      </c>
      <c r="AQ156" s="106">
        <f>IF(C156="","",IFERROR(1/(1/_xlfn.MAXIFS('Saisie'!$A$5:$A$2004,'Saisie'!$C$5:$C$2004,C156,'Saisie'!$E$5:$E$2004,"Proposition envoyée")),""))</f>
        <v/>
      </c>
      <c r="AR156" s="106">
        <f>IF(C156="","",IF(AQ156="","",AQ156+'Paramètres'!$B$26))</f>
        <v/>
      </c>
      <c r="AS156" s="62">
        <f>IF(OR(C156="",D156="Gagné",D156="Perdu"),0,N(AP156)*IFERROR(INDEX('Paramètres'!$G$6:$G$13,MATCH(D156,'Paramètres'!$F$6:$F$13,0)),0))</f>
        <v/>
      </c>
      <c r="AT156" s="106">
        <f>IF(C156="","",IFERROR(1/(1/_xlfn.MINIFS('Saisie'!$A$5:$A$2004,'Saisie'!$C$5:$C$2004,C156,'Saisie'!$E$5:$E$2004,"Signature")),""))</f>
        <v/>
      </c>
      <c r="AU156" s="60">
        <f>IF(C156="","",IF(OR(AT156="",B156=""),"",AT156-B156))</f>
        <v/>
      </c>
      <c r="AV156" s="60">
        <f>IF(C156="","",IFERROR(INDEX('Saisie'!$L$5:$L$2004,_xlfn.MAXIFS('Saisie'!$AS$5:$AS$2004,'Saisie'!$C$5:$C$2004,C156,'Saisie'!$L$5:$L$2004,"&lt;&gt;")-4),""))</f>
        <v/>
      </c>
      <c r="AW156" s="106">
        <f>IF(C156="","",IF(D156&lt;&gt;"Perdu","",IFERROR(1/(1/_xlfn.MAXIFS('Saisie'!$A$5:$A$2004,'Saisie'!$C$5:$C$2004,C156,'Saisie'!$E$5:$E$2004,"Perdu")),"")))</f>
        <v/>
      </c>
      <c r="AX156" s="106">
        <f>IF(C156="","",IF(AW156="","",AW156+'Paramètres'!$B$28))</f>
        <v/>
      </c>
      <c r="AY156" s="60">
        <f>IF(C156="","",SUMIFS('Saisie'!$H$5:$H$2004,'Saisie'!$C$5:$C$2004,C156))</f>
        <v/>
      </c>
      <c r="AZ156" s="60">
        <f>IF(C156="","",IFERROR(INDEX('Paramètres'!$W$6:$W$20,MATCH(S156,'Paramètres'!$V$6:$V$20,0))&amp;"",""))</f>
        <v/>
      </c>
      <c r="BA156" s="60">
        <f>IF(C156="","",MAX(1,_xlfn.MAXIFS('Saisie'!$AT$5:$AT$2004,'Saisie'!$C$5:$C$2004,C156)))</f>
        <v/>
      </c>
      <c r="BB156" s="60">
        <f>IF(C156="","",IFERROR(INDEX('Saisie'!$X$5:$X$2004,_xlfn.MAXIFS('Saisie'!$AS$5:$AS$2004,'Saisie'!$C$5:$C$2004,C156,'Saisie'!$X$5:$X$2004,"&lt;&gt;")-4),""))</f>
        <v/>
      </c>
      <c r="BC156" s="60">
        <f>IF(C156="","",IFERROR(INDEX('Saisie'!$Y$5:$Y$2004,_xlfn.MAXIFS('Saisie'!$AS$5:$AS$2004,'Saisie'!$C$5:$C$2004,C156,'Saisie'!$Y$5:$Y$2004,"&lt;&gt;")-4),""))</f>
        <v/>
      </c>
      <c r="BD156" s="106">
        <f>IF(C156="","",IFERROR(1/(1/_xlfn.MINIFS('Saisie'!$A$5:$A$2004,'Saisie'!$C$5:$C$2004,C156,'Saisie'!$AT$5:$AT$2004,"&gt;=2")),""))</f>
        <v/>
      </c>
      <c r="BE156" s="106">
        <f>IF(C156="","",IFERROR(1/(1/_xlfn.MINIFS('Saisie'!$A$5:$A$2004,'Saisie'!$C$5:$C$2004,C156,'Saisie'!$AT$5:$AT$2004,"&gt;=3")),""))</f>
        <v/>
      </c>
      <c r="BF156" s="106">
        <f>IF(C156="","",IFERROR(1/(1/_xlfn.MINIFS('Saisie'!$A$5:$A$2004,'Saisie'!$C$5:$C$2004,C156,'Saisie'!$AT$5:$AT$2004,"&gt;=4")),""))</f>
        <v/>
      </c>
      <c r="BG156" s="106">
        <f>IF(C156="","",IFERROR(1/(1/_xlfn.MINIFS('Saisie'!$A$5:$A$2004,'Saisie'!$C$5:$C$2004,C156,'Saisie'!$AT$5:$AT$2004,"&gt;=5")),""))</f>
        <v/>
      </c>
      <c r="BH156" s="106">
        <f>IF(C156="","",IFERROR(1/(1/_xlfn.MINIFS('Saisie'!$A$5:$A$2004,'Saisie'!$C$5:$C$2004,C156,'Saisie'!$AT$5:$AT$2004,"&gt;=6")),""))</f>
        <v/>
      </c>
      <c r="BI156" s="106">
        <f>IF(C156="","",IFERROR(1/(1/_xlfn.MINIFS('Saisie'!$A$5:$A$2004,'Saisie'!$C$5:$C$2004,C156,'Saisie'!$AT$5:$AT$2004,"&gt;=7")),""))</f>
        <v/>
      </c>
      <c r="BJ156" s="60">
        <f>IF(OR(BD156="",B156=""),"",BD156-B156)</f>
        <v/>
      </c>
      <c r="BK156" s="60">
        <f>IF(OR(BE156="",BD156=""),"",BE156-BD156)</f>
        <v/>
      </c>
      <c r="BL156" s="60">
        <f>IF(OR(BF156="",BE156=""),"",BF156-BE156)</f>
        <v/>
      </c>
      <c r="BM156" s="60">
        <f>IF(OR(BG156="",BF156=""),"",BG156-BF156)</f>
        <v/>
      </c>
      <c r="BN156" s="60">
        <f>IF(OR(BH156="",BG156=""),"",BH156-BG156)</f>
        <v/>
      </c>
      <c r="BO156" s="60">
        <f>IF(OR(BI156="",BH156=""),"",BI156-BH156)</f>
        <v/>
      </c>
      <c r="BP156" s="60">
        <f>IF(C156="","",_xlfn.MAXIFS('Saisie'!$AS$5:$AS$2004,'Saisie'!$C$5:$C$2004,C156,'Saisie'!$J$5:$J$2004,"&lt;&gt;"))</f>
        <v/>
      </c>
      <c r="BQ156" s="60">
        <f>IF(C156="","",_xlfn.MAXIFS('Saisie'!$AS$5:$AS$2004,'Saisie'!$C$5:$C$2004,C156))</f>
        <v/>
      </c>
      <c r="BR156" s="60">
        <f>IF(C156="","",_xlfn.MAXIFS('Saisie'!$AS$5:$AS$2004,'Saisie'!$C$5:$C$2004,C156,'Saisie'!$E$5:$E$2004,"Perdu"))</f>
        <v/>
      </c>
      <c r="BS156" s="60">
        <f>IF(C156="","",_xlfn.MAXIFS('Saisie'!$AS$5:$AS$2004,'Saisie'!$C$5:$C$2004,C156,'Saisie'!$AT$5:$AT$2004,"&gt;0"))</f>
        <v/>
      </c>
      <c r="BT156" s="109">
        <f>IF(AND(C156&lt;&gt;"",OR(D156="Nouveau",D156="Contacté",D156="Qualifié"),OR(G156="",N(G156)&lt;=TODAY()),NOT(AND(O156&gt;='Paramètres'!$B$21,P156=0))),E156+152/10000,"")</f>
        <v/>
      </c>
      <c r="BU156" s="60">
        <f>IF(AND(G156&lt;&gt;"",N(G156)&lt;=TODAY()),MAX($BU$4:BU155)+1,"")</f>
        <v/>
      </c>
      <c r="BV156" s="60">
        <f>IF(AND(F156&lt;&gt;"",F156&lt;&gt;"Relance en retard"),MAX($BV$4:BV155)+1,"")</f>
        <v/>
      </c>
      <c r="BW156" s="60">
        <f>IF(C156="","",IF(AND(B156&gt;='Tableau de bord'!$R$4,B156&lt;='Tableau de bord'!$S$4,OR('Tableau de bord'!$G$4="Tous",N156='Tableau de bord'!$G$4)),1,0))</f>
        <v/>
      </c>
      <c r="BX156" s="60">
        <f>IF(AND(C156&lt;&gt;"",N(BA156)=7),MAX($BX$4:BX155)+1,"")</f>
        <v/>
      </c>
    </row>
    <row r="157">
      <c r="A157" s="60">
        <f>IF(C157="","","P-"&amp;TEXT(153,"000"))</f>
        <v/>
      </c>
      <c r="B157" s="106">
        <f>IF(C157="","",IFERROR(1/(1/_xlfn.MINIFS('Saisie'!$A$5:$A$2004,'Saisie'!$C$5:$C$2004,C157)),""))</f>
        <v/>
      </c>
      <c r="C157" s="60">
        <f>IFERROR(INDEX('Saisie'!$C$5:$C$2004,MATCH(153,'Saisie'!$AX$5:$AX$2004,0)),"")</f>
        <v/>
      </c>
      <c r="D157" s="60">
        <f>IF(C157="","",IF(AND(BR157&gt;0,BR157&gt;BS157,BA157&lt;7),"Perdu",INDEX('Paramètres'!$F$6:$F$13,BA157)))</f>
        <v/>
      </c>
      <c r="E157" s="61">
        <f>IF(C157="","",MIN(100,(Z157="Oui")*'Paramètres'!$B$38+(AB157="Régulière")*'Paramètres'!$B$39+IF(AND(N(AA157)&gt;0,TODAY()-N(AA157)&lt;=30),'Paramètres'!$B$40,0)+(W157="")*'Paramètres'!$B$41+(AC157="Absente")*'Paramètres'!$B$42+(AC157="Faible")*'Paramètres'!$B$43+IF(AND(N(AD157)&gt;0,N(AD157)&lt;4),'Paramètres'!$B$44,0)+(AF157="Moyenne")*'Paramètres'!$B$45+(AF157="Grande")*'Paramètres'!$B$46+(Y157&lt;&gt;"")*'Paramètres'!$B$47))</f>
        <v/>
      </c>
      <c r="F157" s="60">
        <f>IF(C157="","",IF(D157="Gagné","",IF(D157="Perdu",IF(AND(AX157&lt;&gt;"",AX157&lt;=TODAY()),"À recontacter (perdu)",""),IF(AND(O157&gt;='Paramètres'!$B$21,P157=0),"Stop : "&amp;'Paramètres'!$B$21&amp;" tentatives sans réponse",IF(AND(D157="Proposition",AR157&lt;&gt;"",TODAY()&gt;N(AR157)),"Proposition expirée",IF(AND(D157="Proposition",N(R157)&gt;='Paramètres'!$B$25),"Proposition sans réponse",IF(AND(G157&lt;&gt;"",N(G157)&lt;TODAY()),"Relance en retard",IF(N(R157)&gt;='Paramètres'!$B$24,"Sans action depuis "&amp;R157&amp;" j",""))))))))</f>
        <v/>
      </c>
      <c r="G157" s="106">
        <f>IF(OR(C157="",D157="Gagné",D157="Perdu"),"",IF(AND(BP157&gt;0,BP157=BQ157),INDEX('Saisie'!$J$5:$J$2004,BP157-4),IF(OR(O157=0,AND(O157&gt;='Paramètres'!$B$21,P157=0)),"",Q157+IF(O157&lt;=1,'Paramètres'!$B$18,IF(O157=2,'Paramètres'!$B$19,'Paramètres'!$B$20)))))</f>
        <v/>
      </c>
      <c r="H157" s="107">
        <f>IF(OR(G157="",BP157&lt;&gt;BQ157),"",IF(INDEX('Saisie'!$K$5:$K$2004,BP157-4)="","",INDEX('Saisie'!$K$5:$K$2004,BP157-4)))</f>
        <v/>
      </c>
      <c r="I157" s="60">
        <f>IF(C157="","",IF(OR(D157="Gagné",D157="Perdu"),"",IFERROR(INDEX('Saisie'!$I$5:$I$2004,_xlfn.MAXIFS('Saisie'!$AS$5:$AS$2004,'Saisie'!$C$5:$C$2004,C157,'Saisie'!$I$5:$I$2004,"&lt;&gt;")-4),"")))</f>
        <v/>
      </c>
      <c r="J157" s="60">
        <f>IF(C157="","",IFERROR(INDEX('Saisie'!$U$5:$U$2004,_xlfn.MAXIFS('Saisie'!$AS$5:$AS$2004,'Saisie'!$C$5:$C$2004,C157,'Saisie'!$U$5:$U$2004,"&lt;&gt;")-4),""))</f>
        <v/>
      </c>
      <c r="K157" s="60">
        <f>IF(C157="","",IFERROR(INDEX('Saisie'!$W$5:$W$2004,_xlfn.MAXIFS('Saisie'!$AS$5:$AS$2004,'Saisie'!$C$5:$C$2004,C157,'Saisie'!$W$5:$W$2004,"&lt;&gt;")-4),""))</f>
        <v/>
      </c>
      <c r="L157" s="60">
        <f>IF(IF(BB157&lt;&gt;"",BB157,K157)="","",HYPERLINK("https://wa.me/"&amp;IF(LEFT(SUBSTITUTE(SUBSTITUTE(SUBSTITUTE(IF(BB157&lt;&gt;"",BB157,K157)," ",""),".",""),"+",""),1)="0",'Paramètres'!$B$35&amp;MID(SUBSTITUTE(SUBSTITUTE(SUBSTITUTE(IF(BB157&lt;&gt;"",BB157,K157)," ",""),".",""),"+",""),2,20),SUBSTITUTE(SUBSTITUTE(SUBSTITUTE(IF(BB157&lt;&gt;"",BB157,K157)," ",""),".",""),"+","")),"WhatsApp"))</f>
        <v/>
      </c>
      <c r="M157" s="60">
        <f>IF(BC157="","",HYPERLINK(IF(LEFT(BC157,4)="http",BC157,"https://www.instagram.com/"&amp;SUBSTITUTE(SUBSTITUTE(BC157,"@","")," ","")),BC157))</f>
        <v/>
      </c>
      <c r="N157" s="60">
        <f>IF(C157="","",IFERROR(INDEX('Saisie'!$D$5:$D$2004,_xlfn.MINIFS('Saisie'!$AS$5:$AS$2004,'Saisie'!$C$5:$C$2004,C157,'Saisie'!$AU$5:$AU$2004,1)-4),IFERROR(INDEX('Saisie'!$D$5:$D$2004,_xlfn.MINIFS('Saisie'!$AS$5:$AS$2004,'Saisie'!$C$5:$C$2004,C157,'Saisie'!$D$5:$D$2004,"&lt;&gt;")-4),"")))</f>
        <v/>
      </c>
      <c r="O157" s="60">
        <f>IF(C157="","",COUNTIFS('Saisie'!$C$5:$C$2004,C157,'Saisie'!$AU$5:$AU$2004,1))</f>
        <v/>
      </c>
      <c r="P157" s="60">
        <f>IF(C157="","",COUNTIFS('Saisie'!$C$5:$C$2004,C157,'Saisie'!$AV$5:$AV$2004,1))</f>
        <v/>
      </c>
      <c r="Q157" s="106">
        <f>IF(C157="","",IFERROR(1/(1/_xlfn.MAXIFS('Saisie'!$A$5:$A$2004,'Saisie'!$C$5:$C$2004,C157)),""))</f>
        <v/>
      </c>
      <c r="R157" s="61">
        <f>IF(C157="","",IF(Q157="","",TODAY()-Q157))</f>
        <v/>
      </c>
      <c r="S157" s="60">
        <f>IF(C157="","",IFERROR(INDEX('Saisie'!$R$5:$R$2004,_xlfn.MAXIFS('Saisie'!$AS$5:$AS$2004,'Saisie'!$C$5:$C$2004,C157,'Saisie'!$R$5:$R$2004,"&lt;&gt;")-4),""))</f>
        <v/>
      </c>
      <c r="T157" s="60">
        <f>IF(C157="","",IFERROR(INDEX('Saisie'!$S$5:$S$2004,_xlfn.MAXIFS('Saisie'!$AS$5:$AS$2004,'Saisie'!$C$5:$C$2004,C157,'Saisie'!$S$5:$S$2004,"&lt;&gt;")-4),""))</f>
        <v/>
      </c>
      <c r="U157" s="60">
        <f>IF(C157="","",IFERROR(INDEX('Saisie'!$T$5:$T$2004,_xlfn.MAXIFS('Saisie'!$AS$5:$AS$2004,'Saisie'!$C$5:$C$2004,C157,'Saisie'!$T$5:$T$2004,"&lt;&gt;")-4),""))</f>
        <v/>
      </c>
      <c r="V157" s="60">
        <f>IF(C157="","",IFERROR(INDEX('Saisie'!$V$5:$V$2004,_xlfn.MAXIFS('Saisie'!$AS$5:$AS$2004,'Saisie'!$C$5:$C$2004,C157,'Saisie'!$V$5:$V$2004,"&lt;&gt;")-4),""))</f>
        <v/>
      </c>
      <c r="W157" s="60">
        <f>IF(C157="","",IFERROR(INDEX('Saisie'!$Z$5:$Z$2004,_xlfn.MAXIFS('Saisie'!$AS$5:$AS$2004,'Saisie'!$C$5:$C$2004,C157,'Saisie'!$Z$5:$Z$2004,"&lt;&gt;")-4),""))</f>
        <v/>
      </c>
      <c r="X157" s="60">
        <f>IF(C157="","",IFERROR(INDEX('Saisie'!$AA$5:$AA$2004,_xlfn.MAXIFS('Saisie'!$AS$5:$AS$2004,'Saisie'!$C$5:$C$2004,C157,'Saisie'!$AA$5:$AA$2004,"&lt;&gt;")-4),""))</f>
        <v/>
      </c>
      <c r="Y157" s="60">
        <f>IF(C157="","",IFERROR(INDEX('Saisie'!$AB$5:$AB$2004,_xlfn.MAXIFS('Saisie'!$AS$5:$AS$2004,'Saisie'!$C$5:$C$2004,C157,'Saisie'!$AB$5:$AB$2004,"&lt;&gt;")-4),""))</f>
        <v/>
      </c>
      <c r="Z157" s="60">
        <f>IF(C157="","",IFERROR(INDEX('Saisie'!$AC$5:$AC$2004,_xlfn.MAXIFS('Saisie'!$AS$5:$AS$2004,'Saisie'!$C$5:$C$2004,C157,'Saisie'!$AC$5:$AC$2004,"&lt;&gt;")-4),""))</f>
        <v/>
      </c>
      <c r="AA157" s="106">
        <f>IF(C157="","",IFERROR(INDEX('Saisie'!$AD$5:$AD$2004,_xlfn.MAXIFS('Saisie'!$AS$5:$AS$2004,'Saisie'!$C$5:$C$2004,C157,'Saisie'!$AD$5:$AD$2004,"&lt;&gt;")-4),""))</f>
        <v/>
      </c>
      <c r="AB157" s="60">
        <f>IF(C157="","",IFERROR(INDEX('Saisie'!$AE$5:$AE$2004,_xlfn.MAXIFS('Saisie'!$AS$5:$AS$2004,'Saisie'!$C$5:$C$2004,C157,'Saisie'!$AE$5:$AE$2004,"&lt;&gt;")-4),""))</f>
        <v/>
      </c>
      <c r="AC157" s="60">
        <f>IF(C157="","",IFERROR(INDEX('Saisie'!$AF$5:$AF$2004,_xlfn.MAXIFS('Saisie'!$AS$5:$AS$2004,'Saisie'!$C$5:$C$2004,C157,'Saisie'!$AF$5:$AF$2004,"&lt;&gt;")-4),""))</f>
        <v/>
      </c>
      <c r="AD157" s="108">
        <f>IF(C157="","",IFERROR(INDEX('Saisie'!$AG$5:$AG$2004,_xlfn.MAXIFS('Saisie'!$AS$5:$AS$2004,'Saisie'!$C$5:$C$2004,C157,'Saisie'!$AG$5:$AG$2004,"&lt;&gt;")-4),""))</f>
        <v/>
      </c>
      <c r="AE157" s="60">
        <f>IF(C157="","",IFERROR(INDEX('Saisie'!$AH$5:$AH$2004,_xlfn.MAXIFS('Saisie'!$AS$5:$AS$2004,'Saisie'!$C$5:$C$2004,C157,'Saisie'!$AH$5:$AH$2004,"&lt;&gt;")-4),""))</f>
        <v/>
      </c>
      <c r="AF157" s="60">
        <f>IF(C157="","",IFERROR(INDEX('Saisie'!$AI$5:$AI$2004,_xlfn.MAXIFS('Saisie'!$AS$5:$AS$2004,'Saisie'!$C$5:$C$2004,C157,'Saisie'!$AI$5:$AI$2004,"&lt;&gt;")-4),""))</f>
        <v/>
      </c>
      <c r="AG157" s="60">
        <f>IF(C157="","",IFERROR(INDEX('Saisie'!$AJ$5:$AJ$2004,_xlfn.MAXIFS('Saisie'!$AS$5:$AS$2004,'Saisie'!$C$5:$C$2004,C157,'Saisie'!$AJ$5:$AJ$2004,"&lt;&gt;")-4),""))</f>
        <v/>
      </c>
      <c r="AH157" s="60">
        <f>IF(C157="","",IFERROR(INDEX('Saisie'!$AK$5:$AK$2004,_xlfn.MAXIFS('Saisie'!$AS$5:$AS$2004,'Saisie'!$C$5:$C$2004,C157,'Saisie'!$AK$5:$AK$2004,"&lt;&gt;")-4),""))</f>
        <v/>
      </c>
      <c r="AI157" s="60">
        <f>IF(C157="","",IFERROR(INDEX('Saisie'!$AN$5:$AN$2004,_xlfn.MAXIFS('Saisie'!$AS$5:$AS$2004,'Saisie'!$C$5:$C$2004,C157,'Saisie'!$AN$5:$AN$2004,"&lt;&gt;")-4),""))</f>
        <v/>
      </c>
      <c r="AJ157" s="60">
        <f>IF(C157="","",IFERROR(INDEX('Saisie'!$AO$5:$AO$2004,_xlfn.MAXIFS('Saisie'!$AS$5:$AS$2004,'Saisie'!$C$5:$C$2004,C157,'Saisie'!$AO$5:$AO$2004,"&lt;&gt;")-4),""))</f>
        <v/>
      </c>
      <c r="AK157" s="60">
        <f>IF(C157="","",IFERROR(INDEX('Saisie'!$AP$5:$AP$2004,_xlfn.MAXIFS('Saisie'!$AS$5:$AS$2004,'Saisie'!$C$5:$C$2004,C157,'Saisie'!$AP$5:$AP$2004,"&lt;&gt;")-4),""))</f>
        <v/>
      </c>
      <c r="AL157" s="60">
        <f>IF(C157="","",IFERROR(INDEX('Saisie'!$AQ$5:$AQ$2004,_xlfn.MAXIFS('Saisie'!$AS$5:$AS$2004,'Saisie'!$C$5:$C$2004,C157,'Saisie'!$AQ$5:$AQ$2004,"&lt;&gt;")-4),""))</f>
        <v/>
      </c>
      <c r="AM157" s="60">
        <f>IF(C157="","",((AI157="Oui")+(AJ157="Oui")+(AK157="Oui")+OR(AL157="Immédiat",AL157="&lt; 1 mois"))&amp;"/4")</f>
        <v/>
      </c>
      <c r="AN157" s="60">
        <f>IF(C157="","",IFERROR(INDEX('Saisie'!$AL$5:$AL$2004,_xlfn.MAXIFS('Saisie'!$AS$5:$AS$2004,'Saisie'!$C$5:$C$2004,C157,'Saisie'!$AL$5:$AL$2004,"&lt;&gt;")-4),""))</f>
        <v/>
      </c>
      <c r="AO157" s="62">
        <f>IF(C157="","",IF(IFERROR(INDEX('Saisie'!$AM$5:$AM$2004,_xlfn.MAXIFS('Saisie'!$AS$5:$AS$2004,'Saisie'!$C$5:$C$2004,C157,'Saisie'!$AM$5:$AM$2004,"&lt;&gt;")-4),"")&lt;&gt;"",IFERROR(INDEX('Saisie'!$AM$5:$AM$2004,_xlfn.MAXIFS('Saisie'!$AS$5:$AS$2004,'Saisie'!$C$5:$C$2004,C157,'Saisie'!$AM$5:$AM$2004,"&lt;&gt;")-4),""),IFERROR(INDEX('Paramètres'!$S$6:$S$15,MATCH(AN157,'Paramètres'!$Q$6:$Q$15,0)),"")))</f>
        <v/>
      </c>
      <c r="AP157" s="62">
        <f>IF(C157="","",IFERROR(INDEX('Saisie'!$AW$5:$AW$2004,_xlfn.MAXIFS('Saisie'!$AS$5:$AS$2004,'Saisie'!$C$5:$C$2004,C157,'Saisie'!$E$5:$E$2004,"Proposition envoyée")-4),""))</f>
        <v/>
      </c>
      <c r="AQ157" s="106">
        <f>IF(C157="","",IFERROR(1/(1/_xlfn.MAXIFS('Saisie'!$A$5:$A$2004,'Saisie'!$C$5:$C$2004,C157,'Saisie'!$E$5:$E$2004,"Proposition envoyée")),""))</f>
        <v/>
      </c>
      <c r="AR157" s="106">
        <f>IF(C157="","",IF(AQ157="","",AQ157+'Paramètres'!$B$26))</f>
        <v/>
      </c>
      <c r="AS157" s="62">
        <f>IF(OR(C157="",D157="Gagné",D157="Perdu"),0,N(AP157)*IFERROR(INDEX('Paramètres'!$G$6:$G$13,MATCH(D157,'Paramètres'!$F$6:$F$13,0)),0))</f>
        <v/>
      </c>
      <c r="AT157" s="106">
        <f>IF(C157="","",IFERROR(1/(1/_xlfn.MINIFS('Saisie'!$A$5:$A$2004,'Saisie'!$C$5:$C$2004,C157,'Saisie'!$E$5:$E$2004,"Signature")),""))</f>
        <v/>
      </c>
      <c r="AU157" s="60">
        <f>IF(C157="","",IF(OR(AT157="",B157=""),"",AT157-B157))</f>
        <v/>
      </c>
      <c r="AV157" s="60">
        <f>IF(C157="","",IFERROR(INDEX('Saisie'!$L$5:$L$2004,_xlfn.MAXIFS('Saisie'!$AS$5:$AS$2004,'Saisie'!$C$5:$C$2004,C157,'Saisie'!$L$5:$L$2004,"&lt;&gt;")-4),""))</f>
        <v/>
      </c>
      <c r="AW157" s="106">
        <f>IF(C157="","",IF(D157&lt;&gt;"Perdu","",IFERROR(1/(1/_xlfn.MAXIFS('Saisie'!$A$5:$A$2004,'Saisie'!$C$5:$C$2004,C157,'Saisie'!$E$5:$E$2004,"Perdu")),"")))</f>
        <v/>
      </c>
      <c r="AX157" s="106">
        <f>IF(C157="","",IF(AW157="","",AW157+'Paramètres'!$B$28))</f>
        <v/>
      </c>
      <c r="AY157" s="60">
        <f>IF(C157="","",SUMIFS('Saisie'!$H$5:$H$2004,'Saisie'!$C$5:$C$2004,C157))</f>
        <v/>
      </c>
      <c r="AZ157" s="60">
        <f>IF(C157="","",IFERROR(INDEX('Paramètres'!$W$6:$W$20,MATCH(S157,'Paramètres'!$V$6:$V$20,0))&amp;"",""))</f>
        <v/>
      </c>
      <c r="BA157" s="60">
        <f>IF(C157="","",MAX(1,_xlfn.MAXIFS('Saisie'!$AT$5:$AT$2004,'Saisie'!$C$5:$C$2004,C157)))</f>
        <v/>
      </c>
      <c r="BB157" s="60">
        <f>IF(C157="","",IFERROR(INDEX('Saisie'!$X$5:$X$2004,_xlfn.MAXIFS('Saisie'!$AS$5:$AS$2004,'Saisie'!$C$5:$C$2004,C157,'Saisie'!$X$5:$X$2004,"&lt;&gt;")-4),""))</f>
        <v/>
      </c>
      <c r="BC157" s="60">
        <f>IF(C157="","",IFERROR(INDEX('Saisie'!$Y$5:$Y$2004,_xlfn.MAXIFS('Saisie'!$AS$5:$AS$2004,'Saisie'!$C$5:$C$2004,C157,'Saisie'!$Y$5:$Y$2004,"&lt;&gt;")-4),""))</f>
        <v/>
      </c>
      <c r="BD157" s="106">
        <f>IF(C157="","",IFERROR(1/(1/_xlfn.MINIFS('Saisie'!$A$5:$A$2004,'Saisie'!$C$5:$C$2004,C157,'Saisie'!$AT$5:$AT$2004,"&gt;=2")),""))</f>
        <v/>
      </c>
      <c r="BE157" s="106">
        <f>IF(C157="","",IFERROR(1/(1/_xlfn.MINIFS('Saisie'!$A$5:$A$2004,'Saisie'!$C$5:$C$2004,C157,'Saisie'!$AT$5:$AT$2004,"&gt;=3")),""))</f>
        <v/>
      </c>
      <c r="BF157" s="106">
        <f>IF(C157="","",IFERROR(1/(1/_xlfn.MINIFS('Saisie'!$A$5:$A$2004,'Saisie'!$C$5:$C$2004,C157,'Saisie'!$AT$5:$AT$2004,"&gt;=4")),""))</f>
        <v/>
      </c>
      <c r="BG157" s="106">
        <f>IF(C157="","",IFERROR(1/(1/_xlfn.MINIFS('Saisie'!$A$5:$A$2004,'Saisie'!$C$5:$C$2004,C157,'Saisie'!$AT$5:$AT$2004,"&gt;=5")),""))</f>
        <v/>
      </c>
      <c r="BH157" s="106">
        <f>IF(C157="","",IFERROR(1/(1/_xlfn.MINIFS('Saisie'!$A$5:$A$2004,'Saisie'!$C$5:$C$2004,C157,'Saisie'!$AT$5:$AT$2004,"&gt;=6")),""))</f>
        <v/>
      </c>
      <c r="BI157" s="106">
        <f>IF(C157="","",IFERROR(1/(1/_xlfn.MINIFS('Saisie'!$A$5:$A$2004,'Saisie'!$C$5:$C$2004,C157,'Saisie'!$AT$5:$AT$2004,"&gt;=7")),""))</f>
        <v/>
      </c>
      <c r="BJ157" s="60">
        <f>IF(OR(BD157="",B157=""),"",BD157-B157)</f>
        <v/>
      </c>
      <c r="BK157" s="60">
        <f>IF(OR(BE157="",BD157=""),"",BE157-BD157)</f>
        <v/>
      </c>
      <c r="BL157" s="60">
        <f>IF(OR(BF157="",BE157=""),"",BF157-BE157)</f>
        <v/>
      </c>
      <c r="BM157" s="60">
        <f>IF(OR(BG157="",BF157=""),"",BG157-BF157)</f>
        <v/>
      </c>
      <c r="BN157" s="60">
        <f>IF(OR(BH157="",BG157=""),"",BH157-BG157)</f>
        <v/>
      </c>
      <c r="BO157" s="60">
        <f>IF(OR(BI157="",BH157=""),"",BI157-BH157)</f>
        <v/>
      </c>
      <c r="BP157" s="60">
        <f>IF(C157="","",_xlfn.MAXIFS('Saisie'!$AS$5:$AS$2004,'Saisie'!$C$5:$C$2004,C157,'Saisie'!$J$5:$J$2004,"&lt;&gt;"))</f>
        <v/>
      </c>
      <c r="BQ157" s="60">
        <f>IF(C157="","",_xlfn.MAXIFS('Saisie'!$AS$5:$AS$2004,'Saisie'!$C$5:$C$2004,C157))</f>
        <v/>
      </c>
      <c r="BR157" s="60">
        <f>IF(C157="","",_xlfn.MAXIFS('Saisie'!$AS$5:$AS$2004,'Saisie'!$C$5:$C$2004,C157,'Saisie'!$E$5:$E$2004,"Perdu"))</f>
        <v/>
      </c>
      <c r="BS157" s="60">
        <f>IF(C157="","",_xlfn.MAXIFS('Saisie'!$AS$5:$AS$2004,'Saisie'!$C$5:$C$2004,C157,'Saisie'!$AT$5:$AT$2004,"&gt;0"))</f>
        <v/>
      </c>
      <c r="BT157" s="109">
        <f>IF(AND(C157&lt;&gt;"",OR(D157="Nouveau",D157="Contacté",D157="Qualifié"),OR(G157="",N(G157)&lt;=TODAY()),NOT(AND(O157&gt;='Paramètres'!$B$21,P157=0))),E157+153/10000,"")</f>
        <v/>
      </c>
      <c r="BU157" s="60">
        <f>IF(AND(G157&lt;&gt;"",N(G157)&lt;=TODAY()),MAX($BU$4:BU156)+1,"")</f>
        <v/>
      </c>
      <c r="BV157" s="60">
        <f>IF(AND(F157&lt;&gt;"",F157&lt;&gt;"Relance en retard"),MAX($BV$4:BV156)+1,"")</f>
        <v/>
      </c>
      <c r="BW157" s="60">
        <f>IF(C157="","",IF(AND(B157&gt;='Tableau de bord'!$R$4,B157&lt;='Tableau de bord'!$S$4,OR('Tableau de bord'!$G$4="Tous",N157='Tableau de bord'!$G$4)),1,0))</f>
        <v/>
      </c>
      <c r="BX157" s="60">
        <f>IF(AND(C157&lt;&gt;"",N(BA157)=7),MAX($BX$4:BX156)+1,"")</f>
        <v/>
      </c>
    </row>
    <row r="158">
      <c r="A158" s="60">
        <f>IF(C158="","","P-"&amp;TEXT(154,"000"))</f>
        <v/>
      </c>
      <c r="B158" s="106">
        <f>IF(C158="","",IFERROR(1/(1/_xlfn.MINIFS('Saisie'!$A$5:$A$2004,'Saisie'!$C$5:$C$2004,C158)),""))</f>
        <v/>
      </c>
      <c r="C158" s="60">
        <f>IFERROR(INDEX('Saisie'!$C$5:$C$2004,MATCH(154,'Saisie'!$AX$5:$AX$2004,0)),"")</f>
        <v/>
      </c>
      <c r="D158" s="60">
        <f>IF(C158="","",IF(AND(BR158&gt;0,BR158&gt;BS158,BA158&lt;7),"Perdu",INDEX('Paramètres'!$F$6:$F$13,BA158)))</f>
        <v/>
      </c>
      <c r="E158" s="61">
        <f>IF(C158="","",MIN(100,(Z158="Oui")*'Paramètres'!$B$38+(AB158="Régulière")*'Paramètres'!$B$39+IF(AND(N(AA158)&gt;0,TODAY()-N(AA158)&lt;=30),'Paramètres'!$B$40,0)+(W158="")*'Paramètres'!$B$41+(AC158="Absente")*'Paramètres'!$B$42+(AC158="Faible")*'Paramètres'!$B$43+IF(AND(N(AD158)&gt;0,N(AD158)&lt;4),'Paramètres'!$B$44,0)+(AF158="Moyenne")*'Paramètres'!$B$45+(AF158="Grande")*'Paramètres'!$B$46+(Y158&lt;&gt;"")*'Paramètres'!$B$47))</f>
        <v/>
      </c>
      <c r="F158" s="60">
        <f>IF(C158="","",IF(D158="Gagné","",IF(D158="Perdu",IF(AND(AX158&lt;&gt;"",AX158&lt;=TODAY()),"À recontacter (perdu)",""),IF(AND(O158&gt;='Paramètres'!$B$21,P158=0),"Stop : "&amp;'Paramètres'!$B$21&amp;" tentatives sans réponse",IF(AND(D158="Proposition",AR158&lt;&gt;"",TODAY()&gt;N(AR158)),"Proposition expirée",IF(AND(D158="Proposition",N(R158)&gt;='Paramètres'!$B$25),"Proposition sans réponse",IF(AND(G158&lt;&gt;"",N(G158)&lt;TODAY()),"Relance en retard",IF(N(R158)&gt;='Paramètres'!$B$24,"Sans action depuis "&amp;R158&amp;" j",""))))))))</f>
        <v/>
      </c>
      <c r="G158" s="106">
        <f>IF(OR(C158="",D158="Gagné",D158="Perdu"),"",IF(AND(BP158&gt;0,BP158=BQ158),INDEX('Saisie'!$J$5:$J$2004,BP158-4),IF(OR(O158=0,AND(O158&gt;='Paramètres'!$B$21,P158=0)),"",Q158+IF(O158&lt;=1,'Paramètres'!$B$18,IF(O158=2,'Paramètres'!$B$19,'Paramètres'!$B$20)))))</f>
        <v/>
      </c>
      <c r="H158" s="107">
        <f>IF(OR(G158="",BP158&lt;&gt;BQ158),"",IF(INDEX('Saisie'!$K$5:$K$2004,BP158-4)="","",INDEX('Saisie'!$K$5:$K$2004,BP158-4)))</f>
        <v/>
      </c>
      <c r="I158" s="60">
        <f>IF(C158="","",IF(OR(D158="Gagné",D158="Perdu"),"",IFERROR(INDEX('Saisie'!$I$5:$I$2004,_xlfn.MAXIFS('Saisie'!$AS$5:$AS$2004,'Saisie'!$C$5:$C$2004,C158,'Saisie'!$I$5:$I$2004,"&lt;&gt;")-4),"")))</f>
        <v/>
      </c>
      <c r="J158" s="60">
        <f>IF(C158="","",IFERROR(INDEX('Saisie'!$U$5:$U$2004,_xlfn.MAXIFS('Saisie'!$AS$5:$AS$2004,'Saisie'!$C$5:$C$2004,C158,'Saisie'!$U$5:$U$2004,"&lt;&gt;")-4),""))</f>
        <v/>
      </c>
      <c r="K158" s="60">
        <f>IF(C158="","",IFERROR(INDEX('Saisie'!$W$5:$W$2004,_xlfn.MAXIFS('Saisie'!$AS$5:$AS$2004,'Saisie'!$C$5:$C$2004,C158,'Saisie'!$W$5:$W$2004,"&lt;&gt;")-4),""))</f>
        <v/>
      </c>
      <c r="L158" s="60">
        <f>IF(IF(BB158&lt;&gt;"",BB158,K158)="","",HYPERLINK("https://wa.me/"&amp;IF(LEFT(SUBSTITUTE(SUBSTITUTE(SUBSTITUTE(IF(BB158&lt;&gt;"",BB158,K158)," ",""),".",""),"+",""),1)="0",'Paramètres'!$B$35&amp;MID(SUBSTITUTE(SUBSTITUTE(SUBSTITUTE(IF(BB158&lt;&gt;"",BB158,K158)," ",""),".",""),"+",""),2,20),SUBSTITUTE(SUBSTITUTE(SUBSTITUTE(IF(BB158&lt;&gt;"",BB158,K158)," ",""),".",""),"+","")),"WhatsApp"))</f>
        <v/>
      </c>
      <c r="M158" s="60">
        <f>IF(BC158="","",HYPERLINK(IF(LEFT(BC158,4)="http",BC158,"https://www.instagram.com/"&amp;SUBSTITUTE(SUBSTITUTE(BC158,"@","")," ","")),BC158))</f>
        <v/>
      </c>
      <c r="N158" s="60">
        <f>IF(C158="","",IFERROR(INDEX('Saisie'!$D$5:$D$2004,_xlfn.MINIFS('Saisie'!$AS$5:$AS$2004,'Saisie'!$C$5:$C$2004,C158,'Saisie'!$AU$5:$AU$2004,1)-4),IFERROR(INDEX('Saisie'!$D$5:$D$2004,_xlfn.MINIFS('Saisie'!$AS$5:$AS$2004,'Saisie'!$C$5:$C$2004,C158,'Saisie'!$D$5:$D$2004,"&lt;&gt;")-4),"")))</f>
        <v/>
      </c>
      <c r="O158" s="60">
        <f>IF(C158="","",COUNTIFS('Saisie'!$C$5:$C$2004,C158,'Saisie'!$AU$5:$AU$2004,1))</f>
        <v/>
      </c>
      <c r="P158" s="60">
        <f>IF(C158="","",COUNTIFS('Saisie'!$C$5:$C$2004,C158,'Saisie'!$AV$5:$AV$2004,1))</f>
        <v/>
      </c>
      <c r="Q158" s="106">
        <f>IF(C158="","",IFERROR(1/(1/_xlfn.MAXIFS('Saisie'!$A$5:$A$2004,'Saisie'!$C$5:$C$2004,C158)),""))</f>
        <v/>
      </c>
      <c r="R158" s="61">
        <f>IF(C158="","",IF(Q158="","",TODAY()-Q158))</f>
        <v/>
      </c>
      <c r="S158" s="60">
        <f>IF(C158="","",IFERROR(INDEX('Saisie'!$R$5:$R$2004,_xlfn.MAXIFS('Saisie'!$AS$5:$AS$2004,'Saisie'!$C$5:$C$2004,C158,'Saisie'!$R$5:$R$2004,"&lt;&gt;")-4),""))</f>
        <v/>
      </c>
      <c r="T158" s="60">
        <f>IF(C158="","",IFERROR(INDEX('Saisie'!$S$5:$S$2004,_xlfn.MAXIFS('Saisie'!$AS$5:$AS$2004,'Saisie'!$C$5:$C$2004,C158,'Saisie'!$S$5:$S$2004,"&lt;&gt;")-4),""))</f>
        <v/>
      </c>
      <c r="U158" s="60">
        <f>IF(C158="","",IFERROR(INDEX('Saisie'!$T$5:$T$2004,_xlfn.MAXIFS('Saisie'!$AS$5:$AS$2004,'Saisie'!$C$5:$C$2004,C158,'Saisie'!$T$5:$T$2004,"&lt;&gt;")-4),""))</f>
        <v/>
      </c>
      <c r="V158" s="60">
        <f>IF(C158="","",IFERROR(INDEX('Saisie'!$V$5:$V$2004,_xlfn.MAXIFS('Saisie'!$AS$5:$AS$2004,'Saisie'!$C$5:$C$2004,C158,'Saisie'!$V$5:$V$2004,"&lt;&gt;")-4),""))</f>
        <v/>
      </c>
      <c r="W158" s="60">
        <f>IF(C158="","",IFERROR(INDEX('Saisie'!$Z$5:$Z$2004,_xlfn.MAXIFS('Saisie'!$AS$5:$AS$2004,'Saisie'!$C$5:$C$2004,C158,'Saisie'!$Z$5:$Z$2004,"&lt;&gt;")-4),""))</f>
        <v/>
      </c>
      <c r="X158" s="60">
        <f>IF(C158="","",IFERROR(INDEX('Saisie'!$AA$5:$AA$2004,_xlfn.MAXIFS('Saisie'!$AS$5:$AS$2004,'Saisie'!$C$5:$C$2004,C158,'Saisie'!$AA$5:$AA$2004,"&lt;&gt;")-4),""))</f>
        <v/>
      </c>
      <c r="Y158" s="60">
        <f>IF(C158="","",IFERROR(INDEX('Saisie'!$AB$5:$AB$2004,_xlfn.MAXIFS('Saisie'!$AS$5:$AS$2004,'Saisie'!$C$5:$C$2004,C158,'Saisie'!$AB$5:$AB$2004,"&lt;&gt;")-4),""))</f>
        <v/>
      </c>
      <c r="Z158" s="60">
        <f>IF(C158="","",IFERROR(INDEX('Saisie'!$AC$5:$AC$2004,_xlfn.MAXIFS('Saisie'!$AS$5:$AS$2004,'Saisie'!$C$5:$C$2004,C158,'Saisie'!$AC$5:$AC$2004,"&lt;&gt;")-4),""))</f>
        <v/>
      </c>
      <c r="AA158" s="106">
        <f>IF(C158="","",IFERROR(INDEX('Saisie'!$AD$5:$AD$2004,_xlfn.MAXIFS('Saisie'!$AS$5:$AS$2004,'Saisie'!$C$5:$C$2004,C158,'Saisie'!$AD$5:$AD$2004,"&lt;&gt;")-4),""))</f>
        <v/>
      </c>
      <c r="AB158" s="60">
        <f>IF(C158="","",IFERROR(INDEX('Saisie'!$AE$5:$AE$2004,_xlfn.MAXIFS('Saisie'!$AS$5:$AS$2004,'Saisie'!$C$5:$C$2004,C158,'Saisie'!$AE$5:$AE$2004,"&lt;&gt;")-4),""))</f>
        <v/>
      </c>
      <c r="AC158" s="60">
        <f>IF(C158="","",IFERROR(INDEX('Saisie'!$AF$5:$AF$2004,_xlfn.MAXIFS('Saisie'!$AS$5:$AS$2004,'Saisie'!$C$5:$C$2004,C158,'Saisie'!$AF$5:$AF$2004,"&lt;&gt;")-4),""))</f>
        <v/>
      </c>
      <c r="AD158" s="108">
        <f>IF(C158="","",IFERROR(INDEX('Saisie'!$AG$5:$AG$2004,_xlfn.MAXIFS('Saisie'!$AS$5:$AS$2004,'Saisie'!$C$5:$C$2004,C158,'Saisie'!$AG$5:$AG$2004,"&lt;&gt;")-4),""))</f>
        <v/>
      </c>
      <c r="AE158" s="60">
        <f>IF(C158="","",IFERROR(INDEX('Saisie'!$AH$5:$AH$2004,_xlfn.MAXIFS('Saisie'!$AS$5:$AS$2004,'Saisie'!$C$5:$C$2004,C158,'Saisie'!$AH$5:$AH$2004,"&lt;&gt;")-4),""))</f>
        <v/>
      </c>
      <c r="AF158" s="60">
        <f>IF(C158="","",IFERROR(INDEX('Saisie'!$AI$5:$AI$2004,_xlfn.MAXIFS('Saisie'!$AS$5:$AS$2004,'Saisie'!$C$5:$C$2004,C158,'Saisie'!$AI$5:$AI$2004,"&lt;&gt;")-4),""))</f>
        <v/>
      </c>
      <c r="AG158" s="60">
        <f>IF(C158="","",IFERROR(INDEX('Saisie'!$AJ$5:$AJ$2004,_xlfn.MAXIFS('Saisie'!$AS$5:$AS$2004,'Saisie'!$C$5:$C$2004,C158,'Saisie'!$AJ$5:$AJ$2004,"&lt;&gt;")-4),""))</f>
        <v/>
      </c>
      <c r="AH158" s="60">
        <f>IF(C158="","",IFERROR(INDEX('Saisie'!$AK$5:$AK$2004,_xlfn.MAXIFS('Saisie'!$AS$5:$AS$2004,'Saisie'!$C$5:$C$2004,C158,'Saisie'!$AK$5:$AK$2004,"&lt;&gt;")-4),""))</f>
        <v/>
      </c>
      <c r="AI158" s="60">
        <f>IF(C158="","",IFERROR(INDEX('Saisie'!$AN$5:$AN$2004,_xlfn.MAXIFS('Saisie'!$AS$5:$AS$2004,'Saisie'!$C$5:$C$2004,C158,'Saisie'!$AN$5:$AN$2004,"&lt;&gt;")-4),""))</f>
        <v/>
      </c>
      <c r="AJ158" s="60">
        <f>IF(C158="","",IFERROR(INDEX('Saisie'!$AO$5:$AO$2004,_xlfn.MAXIFS('Saisie'!$AS$5:$AS$2004,'Saisie'!$C$5:$C$2004,C158,'Saisie'!$AO$5:$AO$2004,"&lt;&gt;")-4),""))</f>
        <v/>
      </c>
      <c r="AK158" s="60">
        <f>IF(C158="","",IFERROR(INDEX('Saisie'!$AP$5:$AP$2004,_xlfn.MAXIFS('Saisie'!$AS$5:$AS$2004,'Saisie'!$C$5:$C$2004,C158,'Saisie'!$AP$5:$AP$2004,"&lt;&gt;")-4),""))</f>
        <v/>
      </c>
      <c r="AL158" s="60">
        <f>IF(C158="","",IFERROR(INDEX('Saisie'!$AQ$5:$AQ$2004,_xlfn.MAXIFS('Saisie'!$AS$5:$AS$2004,'Saisie'!$C$5:$C$2004,C158,'Saisie'!$AQ$5:$AQ$2004,"&lt;&gt;")-4),""))</f>
        <v/>
      </c>
      <c r="AM158" s="60">
        <f>IF(C158="","",((AI158="Oui")+(AJ158="Oui")+(AK158="Oui")+OR(AL158="Immédiat",AL158="&lt; 1 mois"))&amp;"/4")</f>
        <v/>
      </c>
      <c r="AN158" s="60">
        <f>IF(C158="","",IFERROR(INDEX('Saisie'!$AL$5:$AL$2004,_xlfn.MAXIFS('Saisie'!$AS$5:$AS$2004,'Saisie'!$C$5:$C$2004,C158,'Saisie'!$AL$5:$AL$2004,"&lt;&gt;")-4),""))</f>
        <v/>
      </c>
      <c r="AO158" s="62">
        <f>IF(C158="","",IF(IFERROR(INDEX('Saisie'!$AM$5:$AM$2004,_xlfn.MAXIFS('Saisie'!$AS$5:$AS$2004,'Saisie'!$C$5:$C$2004,C158,'Saisie'!$AM$5:$AM$2004,"&lt;&gt;")-4),"")&lt;&gt;"",IFERROR(INDEX('Saisie'!$AM$5:$AM$2004,_xlfn.MAXIFS('Saisie'!$AS$5:$AS$2004,'Saisie'!$C$5:$C$2004,C158,'Saisie'!$AM$5:$AM$2004,"&lt;&gt;")-4),""),IFERROR(INDEX('Paramètres'!$S$6:$S$15,MATCH(AN158,'Paramètres'!$Q$6:$Q$15,0)),"")))</f>
        <v/>
      </c>
      <c r="AP158" s="62">
        <f>IF(C158="","",IFERROR(INDEX('Saisie'!$AW$5:$AW$2004,_xlfn.MAXIFS('Saisie'!$AS$5:$AS$2004,'Saisie'!$C$5:$C$2004,C158,'Saisie'!$E$5:$E$2004,"Proposition envoyée")-4),""))</f>
        <v/>
      </c>
      <c r="AQ158" s="106">
        <f>IF(C158="","",IFERROR(1/(1/_xlfn.MAXIFS('Saisie'!$A$5:$A$2004,'Saisie'!$C$5:$C$2004,C158,'Saisie'!$E$5:$E$2004,"Proposition envoyée")),""))</f>
        <v/>
      </c>
      <c r="AR158" s="106">
        <f>IF(C158="","",IF(AQ158="","",AQ158+'Paramètres'!$B$26))</f>
        <v/>
      </c>
      <c r="AS158" s="62">
        <f>IF(OR(C158="",D158="Gagné",D158="Perdu"),0,N(AP158)*IFERROR(INDEX('Paramètres'!$G$6:$G$13,MATCH(D158,'Paramètres'!$F$6:$F$13,0)),0))</f>
        <v/>
      </c>
      <c r="AT158" s="106">
        <f>IF(C158="","",IFERROR(1/(1/_xlfn.MINIFS('Saisie'!$A$5:$A$2004,'Saisie'!$C$5:$C$2004,C158,'Saisie'!$E$5:$E$2004,"Signature")),""))</f>
        <v/>
      </c>
      <c r="AU158" s="60">
        <f>IF(C158="","",IF(OR(AT158="",B158=""),"",AT158-B158))</f>
        <v/>
      </c>
      <c r="AV158" s="60">
        <f>IF(C158="","",IFERROR(INDEX('Saisie'!$L$5:$L$2004,_xlfn.MAXIFS('Saisie'!$AS$5:$AS$2004,'Saisie'!$C$5:$C$2004,C158,'Saisie'!$L$5:$L$2004,"&lt;&gt;")-4),""))</f>
        <v/>
      </c>
      <c r="AW158" s="106">
        <f>IF(C158="","",IF(D158&lt;&gt;"Perdu","",IFERROR(1/(1/_xlfn.MAXIFS('Saisie'!$A$5:$A$2004,'Saisie'!$C$5:$C$2004,C158,'Saisie'!$E$5:$E$2004,"Perdu")),"")))</f>
        <v/>
      </c>
      <c r="AX158" s="106">
        <f>IF(C158="","",IF(AW158="","",AW158+'Paramètres'!$B$28))</f>
        <v/>
      </c>
      <c r="AY158" s="60">
        <f>IF(C158="","",SUMIFS('Saisie'!$H$5:$H$2004,'Saisie'!$C$5:$C$2004,C158))</f>
        <v/>
      </c>
      <c r="AZ158" s="60">
        <f>IF(C158="","",IFERROR(INDEX('Paramètres'!$W$6:$W$20,MATCH(S158,'Paramètres'!$V$6:$V$20,0))&amp;"",""))</f>
        <v/>
      </c>
      <c r="BA158" s="60">
        <f>IF(C158="","",MAX(1,_xlfn.MAXIFS('Saisie'!$AT$5:$AT$2004,'Saisie'!$C$5:$C$2004,C158)))</f>
        <v/>
      </c>
      <c r="BB158" s="60">
        <f>IF(C158="","",IFERROR(INDEX('Saisie'!$X$5:$X$2004,_xlfn.MAXIFS('Saisie'!$AS$5:$AS$2004,'Saisie'!$C$5:$C$2004,C158,'Saisie'!$X$5:$X$2004,"&lt;&gt;")-4),""))</f>
        <v/>
      </c>
      <c r="BC158" s="60">
        <f>IF(C158="","",IFERROR(INDEX('Saisie'!$Y$5:$Y$2004,_xlfn.MAXIFS('Saisie'!$AS$5:$AS$2004,'Saisie'!$C$5:$C$2004,C158,'Saisie'!$Y$5:$Y$2004,"&lt;&gt;")-4),""))</f>
        <v/>
      </c>
      <c r="BD158" s="106">
        <f>IF(C158="","",IFERROR(1/(1/_xlfn.MINIFS('Saisie'!$A$5:$A$2004,'Saisie'!$C$5:$C$2004,C158,'Saisie'!$AT$5:$AT$2004,"&gt;=2")),""))</f>
        <v/>
      </c>
      <c r="BE158" s="106">
        <f>IF(C158="","",IFERROR(1/(1/_xlfn.MINIFS('Saisie'!$A$5:$A$2004,'Saisie'!$C$5:$C$2004,C158,'Saisie'!$AT$5:$AT$2004,"&gt;=3")),""))</f>
        <v/>
      </c>
      <c r="BF158" s="106">
        <f>IF(C158="","",IFERROR(1/(1/_xlfn.MINIFS('Saisie'!$A$5:$A$2004,'Saisie'!$C$5:$C$2004,C158,'Saisie'!$AT$5:$AT$2004,"&gt;=4")),""))</f>
        <v/>
      </c>
      <c r="BG158" s="106">
        <f>IF(C158="","",IFERROR(1/(1/_xlfn.MINIFS('Saisie'!$A$5:$A$2004,'Saisie'!$C$5:$C$2004,C158,'Saisie'!$AT$5:$AT$2004,"&gt;=5")),""))</f>
        <v/>
      </c>
      <c r="BH158" s="106">
        <f>IF(C158="","",IFERROR(1/(1/_xlfn.MINIFS('Saisie'!$A$5:$A$2004,'Saisie'!$C$5:$C$2004,C158,'Saisie'!$AT$5:$AT$2004,"&gt;=6")),""))</f>
        <v/>
      </c>
      <c r="BI158" s="106">
        <f>IF(C158="","",IFERROR(1/(1/_xlfn.MINIFS('Saisie'!$A$5:$A$2004,'Saisie'!$C$5:$C$2004,C158,'Saisie'!$AT$5:$AT$2004,"&gt;=7")),""))</f>
        <v/>
      </c>
      <c r="BJ158" s="60">
        <f>IF(OR(BD158="",B158=""),"",BD158-B158)</f>
        <v/>
      </c>
      <c r="BK158" s="60">
        <f>IF(OR(BE158="",BD158=""),"",BE158-BD158)</f>
        <v/>
      </c>
      <c r="BL158" s="60">
        <f>IF(OR(BF158="",BE158=""),"",BF158-BE158)</f>
        <v/>
      </c>
      <c r="BM158" s="60">
        <f>IF(OR(BG158="",BF158=""),"",BG158-BF158)</f>
        <v/>
      </c>
      <c r="BN158" s="60">
        <f>IF(OR(BH158="",BG158=""),"",BH158-BG158)</f>
        <v/>
      </c>
      <c r="BO158" s="60">
        <f>IF(OR(BI158="",BH158=""),"",BI158-BH158)</f>
        <v/>
      </c>
      <c r="BP158" s="60">
        <f>IF(C158="","",_xlfn.MAXIFS('Saisie'!$AS$5:$AS$2004,'Saisie'!$C$5:$C$2004,C158,'Saisie'!$J$5:$J$2004,"&lt;&gt;"))</f>
        <v/>
      </c>
      <c r="BQ158" s="60">
        <f>IF(C158="","",_xlfn.MAXIFS('Saisie'!$AS$5:$AS$2004,'Saisie'!$C$5:$C$2004,C158))</f>
        <v/>
      </c>
      <c r="BR158" s="60">
        <f>IF(C158="","",_xlfn.MAXIFS('Saisie'!$AS$5:$AS$2004,'Saisie'!$C$5:$C$2004,C158,'Saisie'!$E$5:$E$2004,"Perdu"))</f>
        <v/>
      </c>
      <c r="BS158" s="60">
        <f>IF(C158="","",_xlfn.MAXIFS('Saisie'!$AS$5:$AS$2004,'Saisie'!$C$5:$C$2004,C158,'Saisie'!$AT$5:$AT$2004,"&gt;0"))</f>
        <v/>
      </c>
      <c r="BT158" s="109">
        <f>IF(AND(C158&lt;&gt;"",OR(D158="Nouveau",D158="Contacté",D158="Qualifié"),OR(G158="",N(G158)&lt;=TODAY()),NOT(AND(O158&gt;='Paramètres'!$B$21,P158=0))),E158+154/10000,"")</f>
        <v/>
      </c>
      <c r="BU158" s="60">
        <f>IF(AND(G158&lt;&gt;"",N(G158)&lt;=TODAY()),MAX($BU$4:BU157)+1,"")</f>
        <v/>
      </c>
      <c r="BV158" s="60">
        <f>IF(AND(F158&lt;&gt;"",F158&lt;&gt;"Relance en retard"),MAX($BV$4:BV157)+1,"")</f>
        <v/>
      </c>
      <c r="BW158" s="60">
        <f>IF(C158="","",IF(AND(B158&gt;='Tableau de bord'!$R$4,B158&lt;='Tableau de bord'!$S$4,OR('Tableau de bord'!$G$4="Tous",N158='Tableau de bord'!$G$4)),1,0))</f>
        <v/>
      </c>
      <c r="BX158" s="60">
        <f>IF(AND(C158&lt;&gt;"",N(BA158)=7),MAX($BX$4:BX157)+1,"")</f>
        <v/>
      </c>
    </row>
    <row r="159">
      <c r="A159" s="60">
        <f>IF(C159="","","P-"&amp;TEXT(155,"000"))</f>
        <v/>
      </c>
      <c r="B159" s="106">
        <f>IF(C159="","",IFERROR(1/(1/_xlfn.MINIFS('Saisie'!$A$5:$A$2004,'Saisie'!$C$5:$C$2004,C159)),""))</f>
        <v/>
      </c>
      <c r="C159" s="60">
        <f>IFERROR(INDEX('Saisie'!$C$5:$C$2004,MATCH(155,'Saisie'!$AX$5:$AX$2004,0)),"")</f>
        <v/>
      </c>
      <c r="D159" s="60">
        <f>IF(C159="","",IF(AND(BR159&gt;0,BR159&gt;BS159,BA159&lt;7),"Perdu",INDEX('Paramètres'!$F$6:$F$13,BA159)))</f>
        <v/>
      </c>
      <c r="E159" s="61">
        <f>IF(C159="","",MIN(100,(Z159="Oui")*'Paramètres'!$B$38+(AB159="Régulière")*'Paramètres'!$B$39+IF(AND(N(AA159)&gt;0,TODAY()-N(AA159)&lt;=30),'Paramètres'!$B$40,0)+(W159="")*'Paramètres'!$B$41+(AC159="Absente")*'Paramètres'!$B$42+(AC159="Faible")*'Paramètres'!$B$43+IF(AND(N(AD159)&gt;0,N(AD159)&lt;4),'Paramètres'!$B$44,0)+(AF159="Moyenne")*'Paramètres'!$B$45+(AF159="Grande")*'Paramètres'!$B$46+(Y159&lt;&gt;"")*'Paramètres'!$B$47))</f>
        <v/>
      </c>
      <c r="F159" s="60">
        <f>IF(C159="","",IF(D159="Gagné","",IF(D159="Perdu",IF(AND(AX159&lt;&gt;"",AX159&lt;=TODAY()),"À recontacter (perdu)",""),IF(AND(O159&gt;='Paramètres'!$B$21,P159=0),"Stop : "&amp;'Paramètres'!$B$21&amp;" tentatives sans réponse",IF(AND(D159="Proposition",AR159&lt;&gt;"",TODAY()&gt;N(AR159)),"Proposition expirée",IF(AND(D159="Proposition",N(R159)&gt;='Paramètres'!$B$25),"Proposition sans réponse",IF(AND(G159&lt;&gt;"",N(G159)&lt;TODAY()),"Relance en retard",IF(N(R159)&gt;='Paramètres'!$B$24,"Sans action depuis "&amp;R159&amp;" j",""))))))))</f>
        <v/>
      </c>
      <c r="G159" s="106">
        <f>IF(OR(C159="",D159="Gagné",D159="Perdu"),"",IF(AND(BP159&gt;0,BP159=BQ159),INDEX('Saisie'!$J$5:$J$2004,BP159-4),IF(OR(O159=0,AND(O159&gt;='Paramètres'!$B$21,P159=0)),"",Q159+IF(O159&lt;=1,'Paramètres'!$B$18,IF(O159=2,'Paramètres'!$B$19,'Paramètres'!$B$20)))))</f>
        <v/>
      </c>
      <c r="H159" s="107">
        <f>IF(OR(G159="",BP159&lt;&gt;BQ159),"",IF(INDEX('Saisie'!$K$5:$K$2004,BP159-4)="","",INDEX('Saisie'!$K$5:$K$2004,BP159-4)))</f>
        <v/>
      </c>
      <c r="I159" s="60">
        <f>IF(C159="","",IF(OR(D159="Gagné",D159="Perdu"),"",IFERROR(INDEX('Saisie'!$I$5:$I$2004,_xlfn.MAXIFS('Saisie'!$AS$5:$AS$2004,'Saisie'!$C$5:$C$2004,C159,'Saisie'!$I$5:$I$2004,"&lt;&gt;")-4),"")))</f>
        <v/>
      </c>
      <c r="J159" s="60">
        <f>IF(C159="","",IFERROR(INDEX('Saisie'!$U$5:$U$2004,_xlfn.MAXIFS('Saisie'!$AS$5:$AS$2004,'Saisie'!$C$5:$C$2004,C159,'Saisie'!$U$5:$U$2004,"&lt;&gt;")-4),""))</f>
        <v/>
      </c>
      <c r="K159" s="60">
        <f>IF(C159="","",IFERROR(INDEX('Saisie'!$W$5:$W$2004,_xlfn.MAXIFS('Saisie'!$AS$5:$AS$2004,'Saisie'!$C$5:$C$2004,C159,'Saisie'!$W$5:$W$2004,"&lt;&gt;")-4),""))</f>
        <v/>
      </c>
      <c r="L159" s="60">
        <f>IF(IF(BB159&lt;&gt;"",BB159,K159)="","",HYPERLINK("https://wa.me/"&amp;IF(LEFT(SUBSTITUTE(SUBSTITUTE(SUBSTITUTE(IF(BB159&lt;&gt;"",BB159,K159)," ",""),".",""),"+",""),1)="0",'Paramètres'!$B$35&amp;MID(SUBSTITUTE(SUBSTITUTE(SUBSTITUTE(IF(BB159&lt;&gt;"",BB159,K159)," ",""),".",""),"+",""),2,20),SUBSTITUTE(SUBSTITUTE(SUBSTITUTE(IF(BB159&lt;&gt;"",BB159,K159)," ",""),".",""),"+","")),"WhatsApp"))</f>
        <v/>
      </c>
      <c r="M159" s="60">
        <f>IF(BC159="","",HYPERLINK(IF(LEFT(BC159,4)="http",BC159,"https://www.instagram.com/"&amp;SUBSTITUTE(SUBSTITUTE(BC159,"@","")," ","")),BC159))</f>
        <v/>
      </c>
      <c r="N159" s="60">
        <f>IF(C159="","",IFERROR(INDEX('Saisie'!$D$5:$D$2004,_xlfn.MINIFS('Saisie'!$AS$5:$AS$2004,'Saisie'!$C$5:$C$2004,C159,'Saisie'!$AU$5:$AU$2004,1)-4),IFERROR(INDEX('Saisie'!$D$5:$D$2004,_xlfn.MINIFS('Saisie'!$AS$5:$AS$2004,'Saisie'!$C$5:$C$2004,C159,'Saisie'!$D$5:$D$2004,"&lt;&gt;")-4),"")))</f>
        <v/>
      </c>
      <c r="O159" s="60">
        <f>IF(C159="","",COUNTIFS('Saisie'!$C$5:$C$2004,C159,'Saisie'!$AU$5:$AU$2004,1))</f>
        <v/>
      </c>
      <c r="P159" s="60">
        <f>IF(C159="","",COUNTIFS('Saisie'!$C$5:$C$2004,C159,'Saisie'!$AV$5:$AV$2004,1))</f>
        <v/>
      </c>
      <c r="Q159" s="106">
        <f>IF(C159="","",IFERROR(1/(1/_xlfn.MAXIFS('Saisie'!$A$5:$A$2004,'Saisie'!$C$5:$C$2004,C159)),""))</f>
        <v/>
      </c>
      <c r="R159" s="61">
        <f>IF(C159="","",IF(Q159="","",TODAY()-Q159))</f>
        <v/>
      </c>
      <c r="S159" s="60">
        <f>IF(C159="","",IFERROR(INDEX('Saisie'!$R$5:$R$2004,_xlfn.MAXIFS('Saisie'!$AS$5:$AS$2004,'Saisie'!$C$5:$C$2004,C159,'Saisie'!$R$5:$R$2004,"&lt;&gt;")-4),""))</f>
        <v/>
      </c>
      <c r="T159" s="60">
        <f>IF(C159="","",IFERROR(INDEX('Saisie'!$S$5:$S$2004,_xlfn.MAXIFS('Saisie'!$AS$5:$AS$2004,'Saisie'!$C$5:$C$2004,C159,'Saisie'!$S$5:$S$2004,"&lt;&gt;")-4),""))</f>
        <v/>
      </c>
      <c r="U159" s="60">
        <f>IF(C159="","",IFERROR(INDEX('Saisie'!$T$5:$T$2004,_xlfn.MAXIFS('Saisie'!$AS$5:$AS$2004,'Saisie'!$C$5:$C$2004,C159,'Saisie'!$T$5:$T$2004,"&lt;&gt;")-4),""))</f>
        <v/>
      </c>
      <c r="V159" s="60">
        <f>IF(C159="","",IFERROR(INDEX('Saisie'!$V$5:$V$2004,_xlfn.MAXIFS('Saisie'!$AS$5:$AS$2004,'Saisie'!$C$5:$C$2004,C159,'Saisie'!$V$5:$V$2004,"&lt;&gt;")-4),""))</f>
        <v/>
      </c>
      <c r="W159" s="60">
        <f>IF(C159="","",IFERROR(INDEX('Saisie'!$Z$5:$Z$2004,_xlfn.MAXIFS('Saisie'!$AS$5:$AS$2004,'Saisie'!$C$5:$C$2004,C159,'Saisie'!$Z$5:$Z$2004,"&lt;&gt;")-4),""))</f>
        <v/>
      </c>
      <c r="X159" s="60">
        <f>IF(C159="","",IFERROR(INDEX('Saisie'!$AA$5:$AA$2004,_xlfn.MAXIFS('Saisie'!$AS$5:$AS$2004,'Saisie'!$C$5:$C$2004,C159,'Saisie'!$AA$5:$AA$2004,"&lt;&gt;")-4),""))</f>
        <v/>
      </c>
      <c r="Y159" s="60">
        <f>IF(C159="","",IFERROR(INDEX('Saisie'!$AB$5:$AB$2004,_xlfn.MAXIFS('Saisie'!$AS$5:$AS$2004,'Saisie'!$C$5:$C$2004,C159,'Saisie'!$AB$5:$AB$2004,"&lt;&gt;")-4),""))</f>
        <v/>
      </c>
      <c r="Z159" s="60">
        <f>IF(C159="","",IFERROR(INDEX('Saisie'!$AC$5:$AC$2004,_xlfn.MAXIFS('Saisie'!$AS$5:$AS$2004,'Saisie'!$C$5:$C$2004,C159,'Saisie'!$AC$5:$AC$2004,"&lt;&gt;")-4),""))</f>
        <v/>
      </c>
      <c r="AA159" s="106">
        <f>IF(C159="","",IFERROR(INDEX('Saisie'!$AD$5:$AD$2004,_xlfn.MAXIFS('Saisie'!$AS$5:$AS$2004,'Saisie'!$C$5:$C$2004,C159,'Saisie'!$AD$5:$AD$2004,"&lt;&gt;")-4),""))</f>
        <v/>
      </c>
      <c r="AB159" s="60">
        <f>IF(C159="","",IFERROR(INDEX('Saisie'!$AE$5:$AE$2004,_xlfn.MAXIFS('Saisie'!$AS$5:$AS$2004,'Saisie'!$C$5:$C$2004,C159,'Saisie'!$AE$5:$AE$2004,"&lt;&gt;")-4),""))</f>
        <v/>
      </c>
      <c r="AC159" s="60">
        <f>IF(C159="","",IFERROR(INDEX('Saisie'!$AF$5:$AF$2004,_xlfn.MAXIFS('Saisie'!$AS$5:$AS$2004,'Saisie'!$C$5:$C$2004,C159,'Saisie'!$AF$5:$AF$2004,"&lt;&gt;")-4),""))</f>
        <v/>
      </c>
      <c r="AD159" s="108">
        <f>IF(C159="","",IFERROR(INDEX('Saisie'!$AG$5:$AG$2004,_xlfn.MAXIFS('Saisie'!$AS$5:$AS$2004,'Saisie'!$C$5:$C$2004,C159,'Saisie'!$AG$5:$AG$2004,"&lt;&gt;")-4),""))</f>
        <v/>
      </c>
      <c r="AE159" s="60">
        <f>IF(C159="","",IFERROR(INDEX('Saisie'!$AH$5:$AH$2004,_xlfn.MAXIFS('Saisie'!$AS$5:$AS$2004,'Saisie'!$C$5:$C$2004,C159,'Saisie'!$AH$5:$AH$2004,"&lt;&gt;")-4),""))</f>
        <v/>
      </c>
      <c r="AF159" s="60">
        <f>IF(C159="","",IFERROR(INDEX('Saisie'!$AI$5:$AI$2004,_xlfn.MAXIFS('Saisie'!$AS$5:$AS$2004,'Saisie'!$C$5:$C$2004,C159,'Saisie'!$AI$5:$AI$2004,"&lt;&gt;")-4),""))</f>
        <v/>
      </c>
      <c r="AG159" s="60">
        <f>IF(C159="","",IFERROR(INDEX('Saisie'!$AJ$5:$AJ$2004,_xlfn.MAXIFS('Saisie'!$AS$5:$AS$2004,'Saisie'!$C$5:$C$2004,C159,'Saisie'!$AJ$5:$AJ$2004,"&lt;&gt;")-4),""))</f>
        <v/>
      </c>
      <c r="AH159" s="60">
        <f>IF(C159="","",IFERROR(INDEX('Saisie'!$AK$5:$AK$2004,_xlfn.MAXIFS('Saisie'!$AS$5:$AS$2004,'Saisie'!$C$5:$C$2004,C159,'Saisie'!$AK$5:$AK$2004,"&lt;&gt;")-4),""))</f>
        <v/>
      </c>
      <c r="AI159" s="60">
        <f>IF(C159="","",IFERROR(INDEX('Saisie'!$AN$5:$AN$2004,_xlfn.MAXIFS('Saisie'!$AS$5:$AS$2004,'Saisie'!$C$5:$C$2004,C159,'Saisie'!$AN$5:$AN$2004,"&lt;&gt;")-4),""))</f>
        <v/>
      </c>
      <c r="AJ159" s="60">
        <f>IF(C159="","",IFERROR(INDEX('Saisie'!$AO$5:$AO$2004,_xlfn.MAXIFS('Saisie'!$AS$5:$AS$2004,'Saisie'!$C$5:$C$2004,C159,'Saisie'!$AO$5:$AO$2004,"&lt;&gt;")-4),""))</f>
        <v/>
      </c>
      <c r="AK159" s="60">
        <f>IF(C159="","",IFERROR(INDEX('Saisie'!$AP$5:$AP$2004,_xlfn.MAXIFS('Saisie'!$AS$5:$AS$2004,'Saisie'!$C$5:$C$2004,C159,'Saisie'!$AP$5:$AP$2004,"&lt;&gt;")-4),""))</f>
        <v/>
      </c>
      <c r="AL159" s="60">
        <f>IF(C159="","",IFERROR(INDEX('Saisie'!$AQ$5:$AQ$2004,_xlfn.MAXIFS('Saisie'!$AS$5:$AS$2004,'Saisie'!$C$5:$C$2004,C159,'Saisie'!$AQ$5:$AQ$2004,"&lt;&gt;")-4),""))</f>
        <v/>
      </c>
      <c r="AM159" s="60">
        <f>IF(C159="","",((AI159="Oui")+(AJ159="Oui")+(AK159="Oui")+OR(AL159="Immédiat",AL159="&lt; 1 mois"))&amp;"/4")</f>
        <v/>
      </c>
      <c r="AN159" s="60">
        <f>IF(C159="","",IFERROR(INDEX('Saisie'!$AL$5:$AL$2004,_xlfn.MAXIFS('Saisie'!$AS$5:$AS$2004,'Saisie'!$C$5:$C$2004,C159,'Saisie'!$AL$5:$AL$2004,"&lt;&gt;")-4),""))</f>
        <v/>
      </c>
      <c r="AO159" s="62">
        <f>IF(C159="","",IF(IFERROR(INDEX('Saisie'!$AM$5:$AM$2004,_xlfn.MAXIFS('Saisie'!$AS$5:$AS$2004,'Saisie'!$C$5:$C$2004,C159,'Saisie'!$AM$5:$AM$2004,"&lt;&gt;")-4),"")&lt;&gt;"",IFERROR(INDEX('Saisie'!$AM$5:$AM$2004,_xlfn.MAXIFS('Saisie'!$AS$5:$AS$2004,'Saisie'!$C$5:$C$2004,C159,'Saisie'!$AM$5:$AM$2004,"&lt;&gt;")-4),""),IFERROR(INDEX('Paramètres'!$S$6:$S$15,MATCH(AN159,'Paramètres'!$Q$6:$Q$15,0)),"")))</f>
        <v/>
      </c>
      <c r="AP159" s="62">
        <f>IF(C159="","",IFERROR(INDEX('Saisie'!$AW$5:$AW$2004,_xlfn.MAXIFS('Saisie'!$AS$5:$AS$2004,'Saisie'!$C$5:$C$2004,C159,'Saisie'!$E$5:$E$2004,"Proposition envoyée")-4),""))</f>
        <v/>
      </c>
      <c r="AQ159" s="106">
        <f>IF(C159="","",IFERROR(1/(1/_xlfn.MAXIFS('Saisie'!$A$5:$A$2004,'Saisie'!$C$5:$C$2004,C159,'Saisie'!$E$5:$E$2004,"Proposition envoyée")),""))</f>
        <v/>
      </c>
      <c r="AR159" s="106">
        <f>IF(C159="","",IF(AQ159="","",AQ159+'Paramètres'!$B$26))</f>
        <v/>
      </c>
      <c r="AS159" s="62">
        <f>IF(OR(C159="",D159="Gagné",D159="Perdu"),0,N(AP159)*IFERROR(INDEX('Paramètres'!$G$6:$G$13,MATCH(D159,'Paramètres'!$F$6:$F$13,0)),0))</f>
        <v/>
      </c>
      <c r="AT159" s="106">
        <f>IF(C159="","",IFERROR(1/(1/_xlfn.MINIFS('Saisie'!$A$5:$A$2004,'Saisie'!$C$5:$C$2004,C159,'Saisie'!$E$5:$E$2004,"Signature")),""))</f>
        <v/>
      </c>
      <c r="AU159" s="60">
        <f>IF(C159="","",IF(OR(AT159="",B159=""),"",AT159-B159))</f>
        <v/>
      </c>
      <c r="AV159" s="60">
        <f>IF(C159="","",IFERROR(INDEX('Saisie'!$L$5:$L$2004,_xlfn.MAXIFS('Saisie'!$AS$5:$AS$2004,'Saisie'!$C$5:$C$2004,C159,'Saisie'!$L$5:$L$2004,"&lt;&gt;")-4),""))</f>
        <v/>
      </c>
      <c r="AW159" s="106">
        <f>IF(C159="","",IF(D159&lt;&gt;"Perdu","",IFERROR(1/(1/_xlfn.MAXIFS('Saisie'!$A$5:$A$2004,'Saisie'!$C$5:$C$2004,C159,'Saisie'!$E$5:$E$2004,"Perdu")),"")))</f>
        <v/>
      </c>
      <c r="AX159" s="106">
        <f>IF(C159="","",IF(AW159="","",AW159+'Paramètres'!$B$28))</f>
        <v/>
      </c>
      <c r="AY159" s="60">
        <f>IF(C159="","",SUMIFS('Saisie'!$H$5:$H$2004,'Saisie'!$C$5:$C$2004,C159))</f>
        <v/>
      </c>
      <c r="AZ159" s="60">
        <f>IF(C159="","",IFERROR(INDEX('Paramètres'!$W$6:$W$20,MATCH(S159,'Paramètres'!$V$6:$V$20,0))&amp;"",""))</f>
        <v/>
      </c>
      <c r="BA159" s="60">
        <f>IF(C159="","",MAX(1,_xlfn.MAXIFS('Saisie'!$AT$5:$AT$2004,'Saisie'!$C$5:$C$2004,C159)))</f>
        <v/>
      </c>
      <c r="BB159" s="60">
        <f>IF(C159="","",IFERROR(INDEX('Saisie'!$X$5:$X$2004,_xlfn.MAXIFS('Saisie'!$AS$5:$AS$2004,'Saisie'!$C$5:$C$2004,C159,'Saisie'!$X$5:$X$2004,"&lt;&gt;")-4),""))</f>
        <v/>
      </c>
      <c r="BC159" s="60">
        <f>IF(C159="","",IFERROR(INDEX('Saisie'!$Y$5:$Y$2004,_xlfn.MAXIFS('Saisie'!$AS$5:$AS$2004,'Saisie'!$C$5:$C$2004,C159,'Saisie'!$Y$5:$Y$2004,"&lt;&gt;")-4),""))</f>
        <v/>
      </c>
      <c r="BD159" s="106">
        <f>IF(C159="","",IFERROR(1/(1/_xlfn.MINIFS('Saisie'!$A$5:$A$2004,'Saisie'!$C$5:$C$2004,C159,'Saisie'!$AT$5:$AT$2004,"&gt;=2")),""))</f>
        <v/>
      </c>
      <c r="BE159" s="106">
        <f>IF(C159="","",IFERROR(1/(1/_xlfn.MINIFS('Saisie'!$A$5:$A$2004,'Saisie'!$C$5:$C$2004,C159,'Saisie'!$AT$5:$AT$2004,"&gt;=3")),""))</f>
        <v/>
      </c>
      <c r="BF159" s="106">
        <f>IF(C159="","",IFERROR(1/(1/_xlfn.MINIFS('Saisie'!$A$5:$A$2004,'Saisie'!$C$5:$C$2004,C159,'Saisie'!$AT$5:$AT$2004,"&gt;=4")),""))</f>
        <v/>
      </c>
      <c r="BG159" s="106">
        <f>IF(C159="","",IFERROR(1/(1/_xlfn.MINIFS('Saisie'!$A$5:$A$2004,'Saisie'!$C$5:$C$2004,C159,'Saisie'!$AT$5:$AT$2004,"&gt;=5")),""))</f>
        <v/>
      </c>
      <c r="BH159" s="106">
        <f>IF(C159="","",IFERROR(1/(1/_xlfn.MINIFS('Saisie'!$A$5:$A$2004,'Saisie'!$C$5:$C$2004,C159,'Saisie'!$AT$5:$AT$2004,"&gt;=6")),""))</f>
        <v/>
      </c>
      <c r="BI159" s="106">
        <f>IF(C159="","",IFERROR(1/(1/_xlfn.MINIFS('Saisie'!$A$5:$A$2004,'Saisie'!$C$5:$C$2004,C159,'Saisie'!$AT$5:$AT$2004,"&gt;=7")),""))</f>
        <v/>
      </c>
      <c r="BJ159" s="60">
        <f>IF(OR(BD159="",B159=""),"",BD159-B159)</f>
        <v/>
      </c>
      <c r="BK159" s="60">
        <f>IF(OR(BE159="",BD159=""),"",BE159-BD159)</f>
        <v/>
      </c>
      <c r="BL159" s="60">
        <f>IF(OR(BF159="",BE159=""),"",BF159-BE159)</f>
        <v/>
      </c>
      <c r="BM159" s="60">
        <f>IF(OR(BG159="",BF159=""),"",BG159-BF159)</f>
        <v/>
      </c>
      <c r="BN159" s="60">
        <f>IF(OR(BH159="",BG159=""),"",BH159-BG159)</f>
        <v/>
      </c>
      <c r="BO159" s="60">
        <f>IF(OR(BI159="",BH159=""),"",BI159-BH159)</f>
        <v/>
      </c>
      <c r="BP159" s="60">
        <f>IF(C159="","",_xlfn.MAXIFS('Saisie'!$AS$5:$AS$2004,'Saisie'!$C$5:$C$2004,C159,'Saisie'!$J$5:$J$2004,"&lt;&gt;"))</f>
        <v/>
      </c>
      <c r="BQ159" s="60">
        <f>IF(C159="","",_xlfn.MAXIFS('Saisie'!$AS$5:$AS$2004,'Saisie'!$C$5:$C$2004,C159))</f>
        <v/>
      </c>
      <c r="BR159" s="60">
        <f>IF(C159="","",_xlfn.MAXIFS('Saisie'!$AS$5:$AS$2004,'Saisie'!$C$5:$C$2004,C159,'Saisie'!$E$5:$E$2004,"Perdu"))</f>
        <v/>
      </c>
      <c r="BS159" s="60">
        <f>IF(C159="","",_xlfn.MAXIFS('Saisie'!$AS$5:$AS$2004,'Saisie'!$C$5:$C$2004,C159,'Saisie'!$AT$5:$AT$2004,"&gt;0"))</f>
        <v/>
      </c>
      <c r="BT159" s="109">
        <f>IF(AND(C159&lt;&gt;"",OR(D159="Nouveau",D159="Contacté",D159="Qualifié"),OR(G159="",N(G159)&lt;=TODAY()),NOT(AND(O159&gt;='Paramètres'!$B$21,P159=0))),E159+155/10000,"")</f>
        <v/>
      </c>
      <c r="BU159" s="60">
        <f>IF(AND(G159&lt;&gt;"",N(G159)&lt;=TODAY()),MAX($BU$4:BU158)+1,"")</f>
        <v/>
      </c>
      <c r="BV159" s="60">
        <f>IF(AND(F159&lt;&gt;"",F159&lt;&gt;"Relance en retard"),MAX($BV$4:BV158)+1,"")</f>
        <v/>
      </c>
      <c r="BW159" s="60">
        <f>IF(C159="","",IF(AND(B159&gt;='Tableau de bord'!$R$4,B159&lt;='Tableau de bord'!$S$4,OR('Tableau de bord'!$G$4="Tous",N159='Tableau de bord'!$G$4)),1,0))</f>
        <v/>
      </c>
      <c r="BX159" s="60">
        <f>IF(AND(C159&lt;&gt;"",N(BA159)=7),MAX($BX$4:BX158)+1,"")</f>
        <v/>
      </c>
    </row>
    <row r="160">
      <c r="A160" s="60">
        <f>IF(C160="","","P-"&amp;TEXT(156,"000"))</f>
        <v/>
      </c>
      <c r="B160" s="106">
        <f>IF(C160="","",IFERROR(1/(1/_xlfn.MINIFS('Saisie'!$A$5:$A$2004,'Saisie'!$C$5:$C$2004,C160)),""))</f>
        <v/>
      </c>
      <c r="C160" s="60">
        <f>IFERROR(INDEX('Saisie'!$C$5:$C$2004,MATCH(156,'Saisie'!$AX$5:$AX$2004,0)),"")</f>
        <v/>
      </c>
      <c r="D160" s="60">
        <f>IF(C160="","",IF(AND(BR160&gt;0,BR160&gt;BS160,BA160&lt;7),"Perdu",INDEX('Paramètres'!$F$6:$F$13,BA160)))</f>
        <v/>
      </c>
      <c r="E160" s="61">
        <f>IF(C160="","",MIN(100,(Z160="Oui")*'Paramètres'!$B$38+(AB160="Régulière")*'Paramètres'!$B$39+IF(AND(N(AA160)&gt;0,TODAY()-N(AA160)&lt;=30),'Paramètres'!$B$40,0)+(W160="")*'Paramètres'!$B$41+(AC160="Absente")*'Paramètres'!$B$42+(AC160="Faible")*'Paramètres'!$B$43+IF(AND(N(AD160)&gt;0,N(AD160)&lt;4),'Paramètres'!$B$44,0)+(AF160="Moyenne")*'Paramètres'!$B$45+(AF160="Grande")*'Paramètres'!$B$46+(Y160&lt;&gt;"")*'Paramètres'!$B$47))</f>
        <v/>
      </c>
      <c r="F160" s="60">
        <f>IF(C160="","",IF(D160="Gagné","",IF(D160="Perdu",IF(AND(AX160&lt;&gt;"",AX160&lt;=TODAY()),"À recontacter (perdu)",""),IF(AND(O160&gt;='Paramètres'!$B$21,P160=0),"Stop : "&amp;'Paramètres'!$B$21&amp;" tentatives sans réponse",IF(AND(D160="Proposition",AR160&lt;&gt;"",TODAY()&gt;N(AR160)),"Proposition expirée",IF(AND(D160="Proposition",N(R160)&gt;='Paramètres'!$B$25),"Proposition sans réponse",IF(AND(G160&lt;&gt;"",N(G160)&lt;TODAY()),"Relance en retard",IF(N(R160)&gt;='Paramètres'!$B$24,"Sans action depuis "&amp;R160&amp;" j",""))))))))</f>
        <v/>
      </c>
      <c r="G160" s="106">
        <f>IF(OR(C160="",D160="Gagné",D160="Perdu"),"",IF(AND(BP160&gt;0,BP160=BQ160),INDEX('Saisie'!$J$5:$J$2004,BP160-4),IF(OR(O160=0,AND(O160&gt;='Paramètres'!$B$21,P160=0)),"",Q160+IF(O160&lt;=1,'Paramètres'!$B$18,IF(O160=2,'Paramètres'!$B$19,'Paramètres'!$B$20)))))</f>
        <v/>
      </c>
      <c r="H160" s="107">
        <f>IF(OR(G160="",BP160&lt;&gt;BQ160),"",IF(INDEX('Saisie'!$K$5:$K$2004,BP160-4)="","",INDEX('Saisie'!$K$5:$K$2004,BP160-4)))</f>
        <v/>
      </c>
      <c r="I160" s="60">
        <f>IF(C160="","",IF(OR(D160="Gagné",D160="Perdu"),"",IFERROR(INDEX('Saisie'!$I$5:$I$2004,_xlfn.MAXIFS('Saisie'!$AS$5:$AS$2004,'Saisie'!$C$5:$C$2004,C160,'Saisie'!$I$5:$I$2004,"&lt;&gt;")-4),"")))</f>
        <v/>
      </c>
      <c r="J160" s="60">
        <f>IF(C160="","",IFERROR(INDEX('Saisie'!$U$5:$U$2004,_xlfn.MAXIFS('Saisie'!$AS$5:$AS$2004,'Saisie'!$C$5:$C$2004,C160,'Saisie'!$U$5:$U$2004,"&lt;&gt;")-4),""))</f>
        <v/>
      </c>
      <c r="K160" s="60">
        <f>IF(C160="","",IFERROR(INDEX('Saisie'!$W$5:$W$2004,_xlfn.MAXIFS('Saisie'!$AS$5:$AS$2004,'Saisie'!$C$5:$C$2004,C160,'Saisie'!$W$5:$W$2004,"&lt;&gt;")-4),""))</f>
        <v/>
      </c>
      <c r="L160" s="60">
        <f>IF(IF(BB160&lt;&gt;"",BB160,K160)="","",HYPERLINK("https://wa.me/"&amp;IF(LEFT(SUBSTITUTE(SUBSTITUTE(SUBSTITUTE(IF(BB160&lt;&gt;"",BB160,K160)," ",""),".",""),"+",""),1)="0",'Paramètres'!$B$35&amp;MID(SUBSTITUTE(SUBSTITUTE(SUBSTITUTE(IF(BB160&lt;&gt;"",BB160,K160)," ",""),".",""),"+",""),2,20),SUBSTITUTE(SUBSTITUTE(SUBSTITUTE(IF(BB160&lt;&gt;"",BB160,K160)," ",""),".",""),"+","")),"WhatsApp"))</f>
        <v/>
      </c>
      <c r="M160" s="60">
        <f>IF(BC160="","",HYPERLINK(IF(LEFT(BC160,4)="http",BC160,"https://www.instagram.com/"&amp;SUBSTITUTE(SUBSTITUTE(BC160,"@","")," ","")),BC160))</f>
        <v/>
      </c>
      <c r="N160" s="60">
        <f>IF(C160="","",IFERROR(INDEX('Saisie'!$D$5:$D$2004,_xlfn.MINIFS('Saisie'!$AS$5:$AS$2004,'Saisie'!$C$5:$C$2004,C160,'Saisie'!$AU$5:$AU$2004,1)-4),IFERROR(INDEX('Saisie'!$D$5:$D$2004,_xlfn.MINIFS('Saisie'!$AS$5:$AS$2004,'Saisie'!$C$5:$C$2004,C160,'Saisie'!$D$5:$D$2004,"&lt;&gt;")-4),"")))</f>
        <v/>
      </c>
      <c r="O160" s="60">
        <f>IF(C160="","",COUNTIFS('Saisie'!$C$5:$C$2004,C160,'Saisie'!$AU$5:$AU$2004,1))</f>
        <v/>
      </c>
      <c r="P160" s="60">
        <f>IF(C160="","",COUNTIFS('Saisie'!$C$5:$C$2004,C160,'Saisie'!$AV$5:$AV$2004,1))</f>
        <v/>
      </c>
      <c r="Q160" s="106">
        <f>IF(C160="","",IFERROR(1/(1/_xlfn.MAXIFS('Saisie'!$A$5:$A$2004,'Saisie'!$C$5:$C$2004,C160)),""))</f>
        <v/>
      </c>
      <c r="R160" s="61">
        <f>IF(C160="","",IF(Q160="","",TODAY()-Q160))</f>
        <v/>
      </c>
      <c r="S160" s="60">
        <f>IF(C160="","",IFERROR(INDEX('Saisie'!$R$5:$R$2004,_xlfn.MAXIFS('Saisie'!$AS$5:$AS$2004,'Saisie'!$C$5:$C$2004,C160,'Saisie'!$R$5:$R$2004,"&lt;&gt;")-4),""))</f>
        <v/>
      </c>
      <c r="T160" s="60">
        <f>IF(C160="","",IFERROR(INDEX('Saisie'!$S$5:$S$2004,_xlfn.MAXIFS('Saisie'!$AS$5:$AS$2004,'Saisie'!$C$5:$C$2004,C160,'Saisie'!$S$5:$S$2004,"&lt;&gt;")-4),""))</f>
        <v/>
      </c>
      <c r="U160" s="60">
        <f>IF(C160="","",IFERROR(INDEX('Saisie'!$T$5:$T$2004,_xlfn.MAXIFS('Saisie'!$AS$5:$AS$2004,'Saisie'!$C$5:$C$2004,C160,'Saisie'!$T$5:$T$2004,"&lt;&gt;")-4),""))</f>
        <v/>
      </c>
      <c r="V160" s="60">
        <f>IF(C160="","",IFERROR(INDEX('Saisie'!$V$5:$V$2004,_xlfn.MAXIFS('Saisie'!$AS$5:$AS$2004,'Saisie'!$C$5:$C$2004,C160,'Saisie'!$V$5:$V$2004,"&lt;&gt;")-4),""))</f>
        <v/>
      </c>
      <c r="W160" s="60">
        <f>IF(C160="","",IFERROR(INDEX('Saisie'!$Z$5:$Z$2004,_xlfn.MAXIFS('Saisie'!$AS$5:$AS$2004,'Saisie'!$C$5:$C$2004,C160,'Saisie'!$Z$5:$Z$2004,"&lt;&gt;")-4),""))</f>
        <v/>
      </c>
      <c r="X160" s="60">
        <f>IF(C160="","",IFERROR(INDEX('Saisie'!$AA$5:$AA$2004,_xlfn.MAXIFS('Saisie'!$AS$5:$AS$2004,'Saisie'!$C$5:$C$2004,C160,'Saisie'!$AA$5:$AA$2004,"&lt;&gt;")-4),""))</f>
        <v/>
      </c>
      <c r="Y160" s="60">
        <f>IF(C160="","",IFERROR(INDEX('Saisie'!$AB$5:$AB$2004,_xlfn.MAXIFS('Saisie'!$AS$5:$AS$2004,'Saisie'!$C$5:$C$2004,C160,'Saisie'!$AB$5:$AB$2004,"&lt;&gt;")-4),""))</f>
        <v/>
      </c>
      <c r="Z160" s="60">
        <f>IF(C160="","",IFERROR(INDEX('Saisie'!$AC$5:$AC$2004,_xlfn.MAXIFS('Saisie'!$AS$5:$AS$2004,'Saisie'!$C$5:$C$2004,C160,'Saisie'!$AC$5:$AC$2004,"&lt;&gt;")-4),""))</f>
        <v/>
      </c>
      <c r="AA160" s="106">
        <f>IF(C160="","",IFERROR(INDEX('Saisie'!$AD$5:$AD$2004,_xlfn.MAXIFS('Saisie'!$AS$5:$AS$2004,'Saisie'!$C$5:$C$2004,C160,'Saisie'!$AD$5:$AD$2004,"&lt;&gt;")-4),""))</f>
        <v/>
      </c>
      <c r="AB160" s="60">
        <f>IF(C160="","",IFERROR(INDEX('Saisie'!$AE$5:$AE$2004,_xlfn.MAXIFS('Saisie'!$AS$5:$AS$2004,'Saisie'!$C$5:$C$2004,C160,'Saisie'!$AE$5:$AE$2004,"&lt;&gt;")-4),""))</f>
        <v/>
      </c>
      <c r="AC160" s="60">
        <f>IF(C160="","",IFERROR(INDEX('Saisie'!$AF$5:$AF$2004,_xlfn.MAXIFS('Saisie'!$AS$5:$AS$2004,'Saisie'!$C$5:$C$2004,C160,'Saisie'!$AF$5:$AF$2004,"&lt;&gt;")-4),""))</f>
        <v/>
      </c>
      <c r="AD160" s="108">
        <f>IF(C160="","",IFERROR(INDEX('Saisie'!$AG$5:$AG$2004,_xlfn.MAXIFS('Saisie'!$AS$5:$AS$2004,'Saisie'!$C$5:$C$2004,C160,'Saisie'!$AG$5:$AG$2004,"&lt;&gt;")-4),""))</f>
        <v/>
      </c>
      <c r="AE160" s="60">
        <f>IF(C160="","",IFERROR(INDEX('Saisie'!$AH$5:$AH$2004,_xlfn.MAXIFS('Saisie'!$AS$5:$AS$2004,'Saisie'!$C$5:$C$2004,C160,'Saisie'!$AH$5:$AH$2004,"&lt;&gt;")-4),""))</f>
        <v/>
      </c>
      <c r="AF160" s="60">
        <f>IF(C160="","",IFERROR(INDEX('Saisie'!$AI$5:$AI$2004,_xlfn.MAXIFS('Saisie'!$AS$5:$AS$2004,'Saisie'!$C$5:$C$2004,C160,'Saisie'!$AI$5:$AI$2004,"&lt;&gt;")-4),""))</f>
        <v/>
      </c>
      <c r="AG160" s="60">
        <f>IF(C160="","",IFERROR(INDEX('Saisie'!$AJ$5:$AJ$2004,_xlfn.MAXIFS('Saisie'!$AS$5:$AS$2004,'Saisie'!$C$5:$C$2004,C160,'Saisie'!$AJ$5:$AJ$2004,"&lt;&gt;")-4),""))</f>
        <v/>
      </c>
      <c r="AH160" s="60">
        <f>IF(C160="","",IFERROR(INDEX('Saisie'!$AK$5:$AK$2004,_xlfn.MAXIFS('Saisie'!$AS$5:$AS$2004,'Saisie'!$C$5:$C$2004,C160,'Saisie'!$AK$5:$AK$2004,"&lt;&gt;")-4),""))</f>
        <v/>
      </c>
      <c r="AI160" s="60">
        <f>IF(C160="","",IFERROR(INDEX('Saisie'!$AN$5:$AN$2004,_xlfn.MAXIFS('Saisie'!$AS$5:$AS$2004,'Saisie'!$C$5:$C$2004,C160,'Saisie'!$AN$5:$AN$2004,"&lt;&gt;")-4),""))</f>
        <v/>
      </c>
      <c r="AJ160" s="60">
        <f>IF(C160="","",IFERROR(INDEX('Saisie'!$AO$5:$AO$2004,_xlfn.MAXIFS('Saisie'!$AS$5:$AS$2004,'Saisie'!$C$5:$C$2004,C160,'Saisie'!$AO$5:$AO$2004,"&lt;&gt;")-4),""))</f>
        <v/>
      </c>
      <c r="AK160" s="60">
        <f>IF(C160="","",IFERROR(INDEX('Saisie'!$AP$5:$AP$2004,_xlfn.MAXIFS('Saisie'!$AS$5:$AS$2004,'Saisie'!$C$5:$C$2004,C160,'Saisie'!$AP$5:$AP$2004,"&lt;&gt;")-4),""))</f>
        <v/>
      </c>
      <c r="AL160" s="60">
        <f>IF(C160="","",IFERROR(INDEX('Saisie'!$AQ$5:$AQ$2004,_xlfn.MAXIFS('Saisie'!$AS$5:$AS$2004,'Saisie'!$C$5:$C$2004,C160,'Saisie'!$AQ$5:$AQ$2004,"&lt;&gt;")-4),""))</f>
        <v/>
      </c>
      <c r="AM160" s="60">
        <f>IF(C160="","",((AI160="Oui")+(AJ160="Oui")+(AK160="Oui")+OR(AL160="Immédiat",AL160="&lt; 1 mois"))&amp;"/4")</f>
        <v/>
      </c>
      <c r="AN160" s="60">
        <f>IF(C160="","",IFERROR(INDEX('Saisie'!$AL$5:$AL$2004,_xlfn.MAXIFS('Saisie'!$AS$5:$AS$2004,'Saisie'!$C$5:$C$2004,C160,'Saisie'!$AL$5:$AL$2004,"&lt;&gt;")-4),""))</f>
        <v/>
      </c>
      <c r="AO160" s="62">
        <f>IF(C160="","",IF(IFERROR(INDEX('Saisie'!$AM$5:$AM$2004,_xlfn.MAXIFS('Saisie'!$AS$5:$AS$2004,'Saisie'!$C$5:$C$2004,C160,'Saisie'!$AM$5:$AM$2004,"&lt;&gt;")-4),"")&lt;&gt;"",IFERROR(INDEX('Saisie'!$AM$5:$AM$2004,_xlfn.MAXIFS('Saisie'!$AS$5:$AS$2004,'Saisie'!$C$5:$C$2004,C160,'Saisie'!$AM$5:$AM$2004,"&lt;&gt;")-4),""),IFERROR(INDEX('Paramètres'!$S$6:$S$15,MATCH(AN160,'Paramètres'!$Q$6:$Q$15,0)),"")))</f>
        <v/>
      </c>
      <c r="AP160" s="62">
        <f>IF(C160="","",IFERROR(INDEX('Saisie'!$AW$5:$AW$2004,_xlfn.MAXIFS('Saisie'!$AS$5:$AS$2004,'Saisie'!$C$5:$C$2004,C160,'Saisie'!$E$5:$E$2004,"Proposition envoyée")-4),""))</f>
        <v/>
      </c>
      <c r="AQ160" s="106">
        <f>IF(C160="","",IFERROR(1/(1/_xlfn.MAXIFS('Saisie'!$A$5:$A$2004,'Saisie'!$C$5:$C$2004,C160,'Saisie'!$E$5:$E$2004,"Proposition envoyée")),""))</f>
        <v/>
      </c>
      <c r="AR160" s="106">
        <f>IF(C160="","",IF(AQ160="","",AQ160+'Paramètres'!$B$26))</f>
        <v/>
      </c>
      <c r="AS160" s="62">
        <f>IF(OR(C160="",D160="Gagné",D160="Perdu"),0,N(AP160)*IFERROR(INDEX('Paramètres'!$G$6:$G$13,MATCH(D160,'Paramètres'!$F$6:$F$13,0)),0))</f>
        <v/>
      </c>
      <c r="AT160" s="106">
        <f>IF(C160="","",IFERROR(1/(1/_xlfn.MINIFS('Saisie'!$A$5:$A$2004,'Saisie'!$C$5:$C$2004,C160,'Saisie'!$E$5:$E$2004,"Signature")),""))</f>
        <v/>
      </c>
      <c r="AU160" s="60">
        <f>IF(C160="","",IF(OR(AT160="",B160=""),"",AT160-B160))</f>
        <v/>
      </c>
      <c r="AV160" s="60">
        <f>IF(C160="","",IFERROR(INDEX('Saisie'!$L$5:$L$2004,_xlfn.MAXIFS('Saisie'!$AS$5:$AS$2004,'Saisie'!$C$5:$C$2004,C160,'Saisie'!$L$5:$L$2004,"&lt;&gt;")-4),""))</f>
        <v/>
      </c>
      <c r="AW160" s="106">
        <f>IF(C160="","",IF(D160&lt;&gt;"Perdu","",IFERROR(1/(1/_xlfn.MAXIFS('Saisie'!$A$5:$A$2004,'Saisie'!$C$5:$C$2004,C160,'Saisie'!$E$5:$E$2004,"Perdu")),"")))</f>
        <v/>
      </c>
      <c r="AX160" s="106">
        <f>IF(C160="","",IF(AW160="","",AW160+'Paramètres'!$B$28))</f>
        <v/>
      </c>
      <c r="AY160" s="60">
        <f>IF(C160="","",SUMIFS('Saisie'!$H$5:$H$2004,'Saisie'!$C$5:$C$2004,C160))</f>
        <v/>
      </c>
      <c r="AZ160" s="60">
        <f>IF(C160="","",IFERROR(INDEX('Paramètres'!$W$6:$W$20,MATCH(S160,'Paramètres'!$V$6:$V$20,0))&amp;"",""))</f>
        <v/>
      </c>
      <c r="BA160" s="60">
        <f>IF(C160="","",MAX(1,_xlfn.MAXIFS('Saisie'!$AT$5:$AT$2004,'Saisie'!$C$5:$C$2004,C160)))</f>
        <v/>
      </c>
      <c r="BB160" s="60">
        <f>IF(C160="","",IFERROR(INDEX('Saisie'!$X$5:$X$2004,_xlfn.MAXIFS('Saisie'!$AS$5:$AS$2004,'Saisie'!$C$5:$C$2004,C160,'Saisie'!$X$5:$X$2004,"&lt;&gt;")-4),""))</f>
        <v/>
      </c>
      <c r="BC160" s="60">
        <f>IF(C160="","",IFERROR(INDEX('Saisie'!$Y$5:$Y$2004,_xlfn.MAXIFS('Saisie'!$AS$5:$AS$2004,'Saisie'!$C$5:$C$2004,C160,'Saisie'!$Y$5:$Y$2004,"&lt;&gt;")-4),""))</f>
        <v/>
      </c>
      <c r="BD160" s="106">
        <f>IF(C160="","",IFERROR(1/(1/_xlfn.MINIFS('Saisie'!$A$5:$A$2004,'Saisie'!$C$5:$C$2004,C160,'Saisie'!$AT$5:$AT$2004,"&gt;=2")),""))</f>
        <v/>
      </c>
      <c r="BE160" s="106">
        <f>IF(C160="","",IFERROR(1/(1/_xlfn.MINIFS('Saisie'!$A$5:$A$2004,'Saisie'!$C$5:$C$2004,C160,'Saisie'!$AT$5:$AT$2004,"&gt;=3")),""))</f>
        <v/>
      </c>
      <c r="BF160" s="106">
        <f>IF(C160="","",IFERROR(1/(1/_xlfn.MINIFS('Saisie'!$A$5:$A$2004,'Saisie'!$C$5:$C$2004,C160,'Saisie'!$AT$5:$AT$2004,"&gt;=4")),""))</f>
        <v/>
      </c>
      <c r="BG160" s="106">
        <f>IF(C160="","",IFERROR(1/(1/_xlfn.MINIFS('Saisie'!$A$5:$A$2004,'Saisie'!$C$5:$C$2004,C160,'Saisie'!$AT$5:$AT$2004,"&gt;=5")),""))</f>
        <v/>
      </c>
      <c r="BH160" s="106">
        <f>IF(C160="","",IFERROR(1/(1/_xlfn.MINIFS('Saisie'!$A$5:$A$2004,'Saisie'!$C$5:$C$2004,C160,'Saisie'!$AT$5:$AT$2004,"&gt;=6")),""))</f>
        <v/>
      </c>
      <c r="BI160" s="106">
        <f>IF(C160="","",IFERROR(1/(1/_xlfn.MINIFS('Saisie'!$A$5:$A$2004,'Saisie'!$C$5:$C$2004,C160,'Saisie'!$AT$5:$AT$2004,"&gt;=7")),""))</f>
        <v/>
      </c>
      <c r="BJ160" s="60">
        <f>IF(OR(BD160="",B160=""),"",BD160-B160)</f>
        <v/>
      </c>
      <c r="BK160" s="60">
        <f>IF(OR(BE160="",BD160=""),"",BE160-BD160)</f>
        <v/>
      </c>
      <c r="BL160" s="60">
        <f>IF(OR(BF160="",BE160=""),"",BF160-BE160)</f>
        <v/>
      </c>
      <c r="BM160" s="60">
        <f>IF(OR(BG160="",BF160=""),"",BG160-BF160)</f>
        <v/>
      </c>
      <c r="BN160" s="60">
        <f>IF(OR(BH160="",BG160=""),"",BH160-BG160)</f>
        <v/>
      </c>
      <c r="BO160" s="60">
        <f>IF(OR(BI160="",BH160=""),"",BI160-BH160)</f>
        <v/>
      </c>
      <c r="BP160" s="60">
        <f>IF(C160="","",_xlfn.MAXIFS('Saisie'!$AS$5:$AS$2004,'Saisie'!$C$5:$C$2004,C160,'Saisie'!$J$5:$J$2004,"&lt;&gt;"))</f>
        <v/>
      </c>
      <c r="BQ160" s="60">
        <f>IF(C160="","",_xlfn.MAXIFS('Saisie'!$AS$5:$AS$2004,'Saisie'!$C$5:$C$2004,C160))</f>
        <v/>
      </c>
      <c r="BR160" s="60">
        <f>IF(C160="","",_xlfn.MAXIFS('Saisie'!$AS$5:$AS$2004,'Saisie'!$C$5:$C$2004,C160,'Saisie'!$E$5:$E$2004,"Perdu"))</f>
        <v/>
      </c>
      <c r="BS160" s="60">
        <f>IF(C160="","",_xlfn.MAXIFS('Saisie'!$AS$5:$AS$2004,'Saisie'!$C$5:$C$2004,C160,'Saisie'!$AT$5:$AT$2004,"&gt;0"))</f>
        <v/>
      </c>
      <c r="BT160" s="109">
        <f>IF(AND(C160&lt;&gt;"",OR(D160="Nouveau",D160="Contacté",D160="Qualifié"),OR(G160="",N(G160)&lt;=TODAY()),NOT(AND(O160&gt;='Paramètres'!$B$21,P160=0))),E160+156/10000,"")</f>
        <v/>
      </c>
      <c r="BU160" s="60">
        <f>IF(AND(G160&lt;&gt;"",N(G160)&lt;=TODAY()),MAX($BU$4:BU159)+1,"")</f>
        <v/>
      </c>
      <c r="BV160" s="60">
        <f>IF(AND(F160&lt;&gt;"",F160&lt;&gt;"Relance en retard"),MAX($BV$4:BV159)+1,"")</f>
        <v/>
      </c>
      <c r="BW160" s="60">
        <f>IF(C160="","",IF(AND(B160&gt;='Tableau de bord'!$R$4,B160&lt;='Tableau de bord'!$S$4,OR('Tableau de bord'!$G$4="Tous",N160='Tableau de bord'!$G$4)),1,0))</f>
        <v/>
      </c>
      <c r="BX160" s="60">
        <f>IF(AND(C160&lt;&gt;"",N(BA160)=7),MAX($BX$4:BX159)+1,"")</f>
        <v/>
      </c>
    </row>
    <row r="161">
      <c r="A161" s="60">
        <f>IF(C161="","","P-"&amp;TEXT(157,"000"))</f>
        <v/>
      </c>
      <c r="B161" s="106">
        <f>IF(C161="","",IFERROR(1/(1/_xlfn.MINIFS('Saisie'!$A$5:$A$2004,'Saisie'!$C$5:$C$2004,C161)),""))</f>
        <v/>
      </c>
      <c r="C161" s="60">
        <f>IFERROR(INDEX('Saisie'!$C$5:$C$2004,MATCH(157,'Saisie'!$AX$5:$AX$2004,0)),"")</f>
        <v/>
      </c>
      <c r="D161" s="60">
        <f>IF(C161="","",IF(AND(BR161&gt;0,BR161&gt;BS161,BA161&lt;7),"Perdu",INDEX('Paramètres'!$F$6:$F$13,BA161)))</f>
        <v/>
      </c>
      <c r="E161" s="61">
        <f>IF(C161="","",MIN(100,(Z161="Oui")*'Paramètres'!$B$38+(AB161="Régulière")*'Paramètres'!$B$39+IF(AND(N(AA161)&gt;0,TODAY()-N(AA161)&lt;=30),'Paramètres'!$B$40,0)+(W161="")*'Paramètres'!$B$41+(AC161="Absente")*'Paramètres'!$B$42+(AC161="Faible")*'Paramètres'!$B$43+IF(AND(N(AD161)&gt;0,N(AD161)&lt;4),'Paramètres'!$B$44,0)+(AF161="Moyenne")*'Paramètres'!$B$45+(AF161="Grande")*'Paramètres'!$B$46+(Y161&lt;&gt;"")*'Paramètres'!$B$47))</f>
        <v/>
      </c>
      <c r="F161" s="60">
        <f>IF(C161="","",IF(D161="Gagné","",IF(D161="Perdu",IF(AND(AX161&lt;&gt;"",AX161&lt;=TODAY()),"À recontacter (perdu)",""),IF(AND(O161&gt;='Paramètres'!$B$21,P161=0),"Stop : "&amp;'Paramètres'!$B$21&amp;" tentatives sans réponse",IF(AND(D161="Proposition",AR161&lt;&gt;"",TODAY()&gt;N(AR161)),"Proposition expirée",IF(AND(D161="Proposition",N(R161)&gt;='Paramètres'!$B$25),"Proposition sans réponse",IF(AND(G161&lt;&gt;"",N(G161)&lt;TODAY()),"Relance en retard",IF(N(R161)&gt;='Paramètres'!$B$24,"Sans action depuis "&amp;R161&amp;" j",""))))))))</f>
        <v/>
      </c>
      <c r="G161" s="106">
        <f>IF(OR(C161="",D161="Gagné",D161="Perdu"),"",IF(AND(BP161&gt;0,BP161=BQ161),INDEX('Saisie'!$J$5:$J$2004,BP161-4),IF(OR(O161=0,AND(O161&gt;='Paramètres'!$B$21,P161=0)),"",Q161+IF(O161&lt;=1,'Paramètres'!$B$18,IF(O161=2,'Paramètres'!$B$19,'Paramètres'!$B$20)))))</f>
        <v/>
      </c>
      <c r="H161" s="107">
        <f>IF(OR(G161="",BP161&lt;&gt;BQ161),"",IF(INDEX('Saisie'!$K$5:$K$2004,BP161-4)="","",INDEX('Saisie'!$K$5:$K$2004,BP161-4)))</f>
        <v/>
      </c>
      <c r="I161" s="60">
        <f>IF(C161="","",IF(OR(D161="Gagné",D161="Perdu"),"",IFERROR(INDEX('Saisie'!$I$5:$I$2004,_xlfn.MAXIFS('Saisie'!$AS$5:$AS$2004,'Saisie'!$C$5:$C$2004,C161,'Saisie'!$I$5:$I$2004,"&lt;&gt;")-4),"")))</f>
        <v/>
      </c>
      <c r="J161" s="60">
        <f>IF(C161="","",IFERROR(INDEX('Saisie'!$U$5:$U$2004,_xlfn.MAXIFS('Saisie'!$AS$5:$AS$2004,'Saisie'!$C$5:$C$2004,C161,'Saisie'!$U$5:$U$2004,"&lt;&gt;")-4),""))</f>
        <v/>
      </c>
      <c r="K161" s="60">
        <f>IF(C161="","",IFERROR(INDEX('Saisie'!$W$5:$W$2004,_xlfn.MAXIFS('Saisie'!$AS$5:$AS$2004,'Saisie'!$C$5:$C$2004,C161,'Saisie'!$W$5:$W$2004,"&lt;&gt;")-4),""))</f>
        <v/>
      </c>
      <c r="L161" s="60">
        <f>IF(IF(BB161&lt;&gt;"",BB161,K161)="","",HYPERLINK("https://wa.me/"&amp;IF(LEFT(SUBSTITUTE(SUBSTITUTE(SUBSTITUTE(IF(BB161&lt;&gt;"",BB161,K161)," ",""),".",""),"+",""),1)="0",'Paramètres'!$B$35&amp;MID(SUBSTITUTE(SUBSTITUTE(SUBSTITUTE(IF(BB161&lt;&gt;"",BB161,K161)," ",""),".",""),"+",""),2,20),SUBSTITUTE(SUBSTITUTE(SUBSTITUTE(IF(BB161&lt;&gt;"",BB161,K161)," ",""),".",""),"+","")),"WhatsApp"))</f>
        <v/>
      </c>
      <c r="M161" s="60">
        <f>IF(BC161="","",HYPERLINK(IF(LEFT(BC161,4)="http",BC161,"https://www.instagram.com/"&amp;SUBSTITUTE(SUBSTITUTE(BC161,"@","")," ","")),BC161))</f>
        <v/>
      </c>
      <c r="N161" s="60">
        <f>IF(C161="","",IFERROR(INDEX('Saisie'!$D$5:$D$2004,_xlfn.MINIFS('Saisie'!$AS$5:$AS$2004,'Saisie'!$C$5:$C$2004,C161,'Saisie'!$AU$5:$AU$2004,1)-4),IFERROR(INDEX('Saisie'!$D$5:$D$2004,_xlfn.MINIFS('Saisie'!$AS$5:$AS$2004,'Saisie'!$C$5:$C$2004,C161,'Saisie'!$D$5:$D$2004,"&lt;&gt;")-4),"")))</f>
        <v/>
      </c>
      <c r="O161" s="60">
        <f>IF(C161="","",COUNTIFS('Saisie'!$C$5:$C$2004,C161,'Saisie'!$AU$5:$AU$2004,1))</f>
        <v/>
      </c>
      <c r="P161" s="60">
        <f>IF(C161="","",COUNTIFS('Saisie'!$C$5:$C$2004,C161,'Saisie'!$AV$5:$AV$2004,1))</f>
        <v/>
      </c>
      <c r="Q161" s="106">
        <f>IF(C161="","",IFERROR(1/(1/_xlfn.MAXIFS('Saisie'!$A$5:$A$2004,'Saisie'!$C$5:$C$2004,C161)),""))</f>
        <v/>
      </c>
      <c r="R161" s="61">
        <f>IF(C161="","",IF(Q161="","",TODAY()-Q161))</f>
        <v/>
      </c>
      <c r="S161" s="60">
        <f>IF(C161="","",IFERROR(INDEX('Saisie'!$R$5:$R$2004,_xlfn.MAXIFS('Saisie'!$AS$5:$AS$2004,'Saisie'!$C$5:$C$2004,C161,'Saisie'!$R$5:$R$2004,"&lt;&gt;")-4),""))</f>
        <v/>
      </c>
      <c r="T161" s="60">
        <f>IF(C161="","",IFERROR(INDEX('Saisie'!$S$5:$S$2004,_xlfn.MAXIFS('Saisie'!$AS$5:$AS$2004,'Saisie'!$C$5:$C$2004,C161,'Saisie'!$S$5:$S$2004,"&lt;&gt;")-4),""))</f>
        <v/>
      </c>
      <c r="U161" s="60">
        <f>IF(C161="","",IFERROR(INDEX('Saisie'!$T$5:$T$2004,_xlfn.MAXIFS('Saisie'!$AS$5:$AS$2004,'Saisie'!$C$5:$C$2004,C161,'Saisie'!$T$5:$T$2004,"&lt;&gt;")-4),""))</f>
        <v/>
      </c>
      <c r="V161" s="60">
        <f>IF(C161="","",IFERROR(INDEX('Saisie'!$V$5:$V$2004,_xlfn.MAXIFS('Saisie'!$AS$5:$AS$2004,'Saisie'!$C$5:$C$2004,C161,'Saisie'!$V$5:$V$2004,"&lt;&gt;")-4),""))</f>
        <v/>
      </c>
      <c r="W161" s="60">
        <f>IF(C161="","",IFERROR(INDEX('Saisie'!$Z$5:$Z$2004,_xlfn.MAXIFS('Saisie'!$AS$5:$AS$2004,'Saisie'!$C$5:$C$2004,C161,'Saisie'!$Z$5:$Z$2004,"&lt;&gt;")-4),""))</f>
        <v/>
      </c>
      <c r="X161" s="60">
        <f>IF(C161="","",IFERROR(INDEX('Saisie'!$AA$5:$AA$2004,_xlfn.MAXIFS('Saisie'!$AS$5:$AS$2004,'Saisie'!$C$5:$C$2004,C161,'Saisie'!$AA$5:$AA$2004,"&lt;&gt;")-4),""))</f>
        <v/>
      </c>
      <c r="Y161" s="60">
        <f>IF(C161="","",IFERROR(INDEX('Saisie'!$AB$5:$AB$2004,_xlfn.MAXIFS('Saisie'!$AS$5:$AS$2004,'Saisie'!$C$5:$C$2004,C161,'Saisie'!$AB$5:$AB$2004,"&lt;&gt;")-4),""))</f>
        <v/>
      </c>
      <c r="Z161" s="60">
        <f>IF(C161="","",IFERROR(INDEX('Saisie'!$AC$5:$AC$2004,_xlfn.MAXIFS('Saisie'!$AS$5:$AS$2004,'Saisie'!$C$5:$C$2004,C161,'Saisie'!$AC$5:$AC$2004,"&lt;&gt;")-4),""))</f>
        <v/>
      </c>
      <c r="AA161" s="106">
        <f>IF(C161="","",IFERROR(INDEX('Saisie'!$AD$5:$AD$2004,_xlfn.MAXIFS('Saisie'!$AS$5:$AS$2004,'Saisie'!$C$5:$C$2004,C161,'Saisie'!$AD$5:$AD$2004,"&lt;&gt;")-4),""))</f>
        <v/>
      </c>
      <c r="AB161" s="60">
        <f>IF(C161="","",IFERROR(INDEX('Saisie'!$AE$5:$AE$2004,_xlfn.MAXIFS('Saisie'!$AS$5:$AS$2004,'Saisie'!$C$5:$C$2004,C161,'Saisie'!$AE$5:$AE$2004,"&lt;&gt;")-4),""))</f>
        <v/>
      </c>
      <c r="AC161" s="60">
        <f>IF(C161="","",IFERROR(INDEX('Saisie'!$AF$5:$AF$2004,_xlfn.MAXIFS('Saisie'!$AS$5:$AS$2004,'Saisie'!$C$5:$C$2004,C161,'Saisie'!$AF$5:$AF$2004,"&lt;&gt;")-4),""))</f>
        <v/>
      </c>
      <c r="AD161" s="108">
        <f>IF(C161="","",IFERROR(INDEX('Saisie'!$AG$5:$AG$2004,_xlfn.MAXIFS('Saisie'!$AS$5:$AS$2004,'Saisie'!$C$5:$C$2004,C161,'Saisie'!$AG$5:$AG$2004,"&lt;&gt;")-4),""))</f>
        <v/>
      </c>
      <c r="AE161" s="60">
        <f>IF(C161="","",IFERROR(INDEX('Saisie'!$AH$5:$AH$2004,_xlfn.MAXIFS('Saisie'!$AS$5:$AS$2004,'Saisie'!$C$5:$C$2004,C161,'Saisie'!$AH$5:$AH$2004,"&lt;&gt;")-4),""))</f>
        <v/>
      </c>
      <c r="AF161" s="60">
        <f>IF(C161="","",IFERROR(INDEX('Saisie'!$AI$5:$AI$2004,_xlfn.MAXIFS('Saisie'!$AS$5:$AS$2004,'Saisie'!$C$5:$C$2004,C161,'Saisie'!$AI$5:$AI$2004,"&lt;&gt;")-4),""))</f>
        <v/>
      </c>
      <c r="AG161" s="60">
        <f>IF(C161="","",IFERROR(INDEX('Saisie'!$AJ$5:$AJ$2004,_xlfn.MAXIFS('Saisie'!$AS$5:$AS$2004,'Saisie'!$C$5:$C$2004,C161,'Saisie'!$AJ$5:$AJ$2004,"&lt;&gt;")-4),""))</f>
        <v/>
      </c>
      <c r="AH161" s="60">
        <f>IF(C161="","",IFERROR(INDEX('Saisie'!$AK$5:$AK$2004,_xlfn.MAXIFS('Saisie'!$AS$5:$AS$2004,'Saisie'!$C$5:$C$2004,C161,'Saisie'!$AK$5:$AK$2004,"&lt;&gt;")-4),""))</f>
        <v/>
      </c>
      <c r="AI161" s="60">
        <f>IF(C161="","",IFERROR(INDEX('Saisie'!$AN$5:$AN$2004,_xlfn.MAXIFS('Saisie'!$AS$5:$AS$2004,'Saisie'!$C$5:$C$2004,C161,'Saisie'!$AN$5:$AN$2004,"&lt;&gt;")-4),""))</f>
        <v/>
      </c>
      <c r="AJ161" s="60">
        <f>IF(C161="","",IFERROR(INDEX('Saisie'!$AO$5:$AO$2004,_xlfn.MAXIFS('Saisie'!$AS$5:$AS$2004,'Saisie'!$C$5:$C$2004,C161,'Saisie'!$AO$5:$AO$2004,"&lt;&gt;")-4),""))</f>
        <v/>
      </c>
      <c r="AK161" s="60">
        <f>IF(C161="","",IFERROR(INDEX('Saisie'!$AP$5:$AP$2004,_xlfn.MAXIFS('Saisie'!$AS$5:$AS$2004,'Saisie'!$C$5:$C$2004,C161,'Saisie'!$AP$5:$AP$2004,"&lt;&gt;")-4),""))</f>
        <v/>
      </c>
      <c r="AL161" s="60">
        <f>IF(C161="","",IFERROR(INDEX('Saisie'!$AQ$5:$AQ$2004,_xlfn.MAXIFS('Saisie'!$AS$5:$AS$2004,'Saisie'!$C$5:$C$2004,C161,'Saisie'!$AQ$5:$AQ$2004,"&lt;&gt;")-4),""))</f>
        <v/>
      </c>
      <c r="AM161" s="60">
        <f>IF(C161="","",((AI161="Oui")+(AJ161="Oui")+(AK161="Oui")+OR(AL161="Immédiat",AL161="&lt; 1 mois"))&amp;"/4")</f>
        <v/>
      </c>
      <c r="AN161" s="60">
        <f>IF(C161="","",IFERROR(INDEX('Saisie'!$AL$5:$AL$2004,_xlfn.MAXIFS('Saisie'!$AS$5:$AS$2004,'Saisie'!$C$5:$C$2004,C161,'Saisie'!$AL$5:$AL$2004,"&lt;&gt;")-4),""))</f>
        <v/>
      </c>
      <c r="AO161" s="62">
        <f>IF(C161="","",IF(IFERROR(INDEX('Saisie'!$AM$5:$AM$2004,_xlfn.MAXIFS('Saisie'!$AS$5:$AS$2004,'Saisie'!$C$5:$C$2004,C161,'Saisie'!$AM$5:$AM$2004,"&lt;&gt;")-4),"")&lt;&gt;"",IFERROR(INDEX('Saisie'!$AM$5:$AM$2004,_xlfn.MAXIFS('Saisie'!$AS$5:$AS$2004,'Saisie'!$C$5:$C$2004,C161,'Saisie'!$AM$5:$AM$2004,"&lt;&gt;")-4),""),IFERROR(INDEX('Paramètres'!$S$6:$S$15,MATCH(AN161,'Paramètres'!$Q$6:$Q$15,0)),"")))</f>
        <v/>
      </c>
      <c r="AP161" s="62">
        <f>IF(C161="","",IFERROR(INDEX('Saisie'!$AW$5:$AW$2004,_xlfn.MAXIFS('Saisie'!$AS$5:$AS$2004,'Saisie'!$C$5:$C$2004,C161,'Saisie'!$E$5:$E$2004,"Proposition envoyée")-4),""))</f>
        <v/>
      </c>
      <c r="AQ161" s="106">
        <f>IF(C161="","",IFERROR(1/(1/_xlfn.MAXIFS('Saisie'!$A$5:$A$2004,'Saisie'!$C$5:$C$2004,C161,'Saisie'!$E$5:$E$2004,"Proposition envoyée")),""))</f>
        <v/>
      </c>
      <c r="AR161" s="106">
        <f>IF(C161="","",IF(AQ161="","",AQ161+'Paramètres'!$B$26))</f>
        <v/>
      </c>
      <c r="AS161" s="62">
        <f>IF(OR(C161="",D161="Gagné",D161="Perdu"),0,N(AP161)*IFERROR(INDEX('Paramètres'!$G$6:$G$13,MATCH(D161,'Paramètres'!$F$6:$F$13,0)),0))</f>
        <v/>
      </c>
      <c r="AT161" s="106">
        <f>IF(C161="","",IFERROR(1/(1/_xlfn.MINIFS('Saisie'!$A$5:$A$2004,'Saisie'!$C$5:$C$2004,C161,'Saisie'!$E$5:$E$2004,"Signature")),""))</f>
        <v/>
      </c>
      <c r="AU161" s="60">
        <f>IF(C161="","",IF(OR(AT161="",B161=""),"",AT161-B161))</f>
        <v/>
      </c>
      <c r="AV161" s="60">
        <f>IF(C161="","",IFERROR(INDEX('Saisie'!$L$5:$L$2004,_xlfn.MAXIFS('Saisie'!$AS$5:$AS$2004,'Saisie'!$C$5:$C$2004,C161,'Saisie'!$L$5:$L$2004,"&lt;&gt;")-4),""))</f>
        <v/>
      </c>
      <c r="AW161" s="106">
        <f>IF(C161="","",IF(D161&lt;&gt;"Perdu","",IFERROR(1/(1/_xlfn.MAXIFS('Saisie'!$A$5:$A$2004,'Saisie'!$C$5:$C$2004,C161,'Saisie'!$E$5:$E$2004,"Perdu")),"")))</f>
        <v/>
      </c>
      <c r="AX161" s="106">
        <f>IF(C161="","",IF(AW161="","",AW161+'Paramètres'!$B$28))</f>
        <v/>
      </c>
      <c r="AY161" s="60">
        <f>IF(C161="","",SUMIFS('Saisie'!$H$5:$H$2004,'Saisie'!$C$5:$C$2004,C161))</f>
        <v/>
      </c>
      <c r="AZ161" s="60">
        <f>IF(C161="","",IFERROR(INDEX('Paramètres'!$W$6:$W$20,MATCH(S161,'Paramètres'!$V$6:$V$20,0))&amp;"",""))</f>
        <v/>
      </c>
      <c r="BA161" s="60">
        <f>IF(C161="","",MAX(1,_xlfn.MAXIFS('Saisie'!$AT$5:$AT$2004,'Saisie'!$C$5:$C$2004,C161)))</f>
        <v/>
      </c>
      <c r="BB161" s="60">
        <f>IF(C161="","",IFERROR(INDEX('Saisie'!$X$5:$X$2004,_xlfn.MAXIFS('Saisie'!$AS$5:$AS$2004,'Saisie'!$C$5:$C$2004,C161,'Saisie'!$X$5:$X$2004,"&lt;&gt;")-4),""))</f>
        <v/>
      </c>
      <c r="BC161" s="60">
        <f>IF(C161="","",IFERROR(INDEX('Saisie'!$Y$5:$Y$2004,_xlfn.MAXIFS('Saisie'!$AS$5:$AS$2004,'Saisie'!$C$5:$C$2004,C161,'Saisie'!$Y$5:$Y$2004,"&lt;&gt;")-4),""))</f>
        <v/>
      </c>
      <c r="BD161" s="106">
        <f>IF(C161="","",IFERROR(1/(1/_xlfn.MINIFS('Saisie'!$A$5:$A$2004,'Saisie'!$C$5:$C$2004,C161,'Saisie'!$AT$5:$AT$2004,"&gt;=2")),""))</f>
        <v/>
      </c>
      <c r="BE161" s="106">
        <f>IF(C161="","",IFERROR(1/(1/_xlfn.MINIFS('Saisie'!$A$5:$A$2004,'Saisie'!$C$5:$C$2004,C161,'Saisie'!$AT$5:$AT$2004,"&gt;=3")),""))</f>
        <v/>
      </c>
      <c r="BF161" s="106">
        <f>IF(C161="","",IFERROR(1/(1/_xlfn.MINIFS('Saisie'!$A$5:$A$2004,'Saisie'!$C$5:$C$2004,C161,'Saisie'!$AT$5:$AT$2004,"&gt;=4")),""))</f>
        <v/>
      </c>
      <c r="BG161" s="106">
        <f>IF(C161="","",IFERROR(1/(1/_xlfn.MINIFS('Saisie'!$A$5:$A$2004,'Saisie'!$C$5:$C$2004,C161,'Saisie'!$AT$5:$AT$2004,"&gt;=5")),""))</f>
        <v/>
      </c>
      <c r="BH161" s="106">
        <f>IF(C161="","",IFERROR(1/(1/_xlfn.MINIFS('Saisie'!$A$5:$A$2004,'Saisie'!$C$5:$C$2004,C161,'Saisie'!$AT$5:$AT$2004,"&gt;=6")),""))</f>
        <v/>
      </c>
      <c r="BI161" s="106">
        <f>IF(C161="","",IFERROR(1/(1/_xlfn.MINIFS('Saisie'!$A$5:$A$2004,'Saisie'!$C$5:$C$2004,C161,'Saisie'!$AT$5:$AT$2004,"&gt;=7")),""))</f>
        <v/>
      </c>
      <c r="BJ161" s="60">
        <f>IF(OR(BD161="",B161=""),"",BD161-B161)</f>
        <v/>
      </c>
      <c r="BK161" s="60">
        <f>IF(OR(BE161="",BD161=""),"",BE161-BD161)</f>
        <v/>
      </c>
      <c r="BL161" s="60">
        <f>IF(OR(BF161="",BE161=""),"",BF161-BE161)</f>
        <v/>
      </c>
      <c r="BM161" s="60">
        <f>IF(OR(BG161="",BF161=""),"",BG161-BF161)</f>
        <v/>
      </c>
      <c r="BN161" s="60">
        <f>IF(OR(BH161="",BG161=""),"",BH161-BG161)</f>
        <v/>
      </c>
      <c r="BO161" s="60">
        <f>IF(OR(BI161="",BH161=""),"",BI161-BH161)</f>
        <v/>
      </c>
      <c r="BP161" s="60">
        <f>IF(C161="","",_xlfn.MAXIFS('Saisie'!$AS$5:$AS$2004,'Saisie'!$C$5:$C$2004,C161,'Saisie'!$J$5:$J$2004,"&lt;&gt;"))</f>
        <v/>
      </c>
      <c r="BQ161" s="60">
        <f>IF(C161="","",_xlfn.MAXIFS('Saisie'!$AS$5:$AS$2004,'Saisie'!$C$5:$C$2004,C161))</f>
        <v/>
      </c>
      <c r="BR161" s="60">
        <f>IF(C161="","",_xlfn.MAXIFS('Saisie'!$AS$5:$AS$2004,'Saisie'!$C$5:$C$2004,C161,'Saisie'!$E$5:$E$2004,"Perdu"))</f>
        <v/>
      </c>
      <c r="BS161" s="60">
        <f>IF(C161="","",_xlfn.MAXIFS('Saisie'!$AS$5:$AS$2004,'Saisie'!$C$5:$C$2004,C161,'Saisie'!$AT$5:$AT$2004,"&gt;0"))</f>
        <v/>
      </c>
      <c r="BT161" s="109">
        <f>IF(AND(C161&lt;&gt;"",OR(D161="Nouveau",D161="Contacté",D161="Qualifié"),OR(G161="",N(G161)&lt;=TODAY()),NOT(AND(O161&gt;='Paramètres'!$B$21,P161=0))),E161+157/10000,"")</f>
        <v/>
      </c>
      <c r="BU161" s="60">
        <f>IF(AND(G161&lt;&gt;"",N(G161)&lt;=TODAY()),MAX($BU$4:BU160)+1,"")</f>
        <v/>
      </c>
      <c r="BV161" s="60">
        <f>IF(AND(F161&lt;&gt;"",F161&lt;&gt;"Relance en retard"),MAX($BV$4:BV160)+1,"")</f>
        <v/>
      </c>
      <c r="BW161" s="60">
        <f>IF(C161="","",IF(AND(B161&gt;='Tableau de bord'!$R$4,B161&lt;='Tableau de bord'!$S$4,OR('Tableau de bord'!$G$4="Tous",N161='Tableau de bord'!$G$4)),1,0))</f>
        <v/>
      </c>
      <c r="BX161" s="60">
        <f>IF(AND(C161&lt;&gt;"",N(BA161)=7),MAX($BX$4:BX160)+1,"")</f>
        <v/>
      </c>
    </row>
    <row r="162">
      <c r="A162" s="60">
        <f>IF(C162="","","P-"&amp;TEXT(158,"000"))</f>
        <v/>
      </c>
      <c r="B162" s="106">
        <f>IF(C162="","",IFERROR(1/(1/_xlfn.MINIFS('Saisie'!$A$5:$A$2004,'Saisie'!$C$5:$C$2004,C162)),""))</f>
        <v/>
      </c>
      <c r="C162" s="60">
        <f>IFERROR(INDEX('Saisie'!$C$5:$C$2004,MATCH(158,'Saisie'!$AX$5:$AX$2004,0)),"")</f>
        <v/>
      </c>
      <c r="D162" s="60">
        <f>IF(C162="","",IF(AND(BR162&gt;0,BR162&gt;BS162,BA162&lt;7),"Perdu",INDEX('Paramètres'!$F$6:$F$13,BA162)))</f>
        <v/>
      </c>
      <c r="E162" s="61">
        <f>IF(C162="","",MIN(100,(Z162="Oui")*'Paramètres'!$B$38+(AB162="Régulière")*'Paramètres'!$B$39+IF(AND(N(AA162)&gt;0,TODAY()-N(AA162)&lt;=30),'Paramètres'!$B$40,0)+(W162="")*'Paramètres'!$B$41+(AC162="Absente")*'Paramètres'!$B$42+(AC162="Faible")*'Paramètres'!$B$43+IF(AND(N(AD162)&gt;0,N(AD162)&lt;4),'Paramètres'!$B$44,0)+(AF162="Moyenne")*'Paramètres'!$B$45+(AF162="Grande")*'Paramètres'!$B$46+(Y162&lt;&gt;"")*'Paramètres'!$B$47))</f>
        <v/>
      </c>
      <c r="F162" s="60">
        <f>IF(C162="","",IF(D162="Gagné","",IF(D162="Perdu",IF(AND(AX162&lt;&gt;"",AX162&lt;=TODAY()),"À recontacter (perdu)",""),IF(AND(O162&gt;='Paramètres'!$B$21,P162=0),"Stop : "&amp;'Paramètres'!$B$21&amp;" tentatives sans réponse",IF(AND(D162="Proposition",AR162&lt;&gt;"",TODAY()&gt;N(AR162)),"Proposition expirée",IF(AND(D162="Proposition",N(R162)&gt;='Paramètres'!$B$25),"Proposition sans réponse",IF(AND(G162&lt;&gt;"",N(G162)&lt;TODAY()),"Relance en retard",IF(N(R162)&gt;='Paramètres'!$B$24,"Sans action depuis "&amp;R162&amp;" j",""))))))))</f>
        <v/>
      </c>
      <c r="G162" s="106">
        <f>IF(OR(C162="",D162="Gagné",D162="Perdu"),"",IF(AND(BP162&gt;0,BP162=BQ162),INDEX('Saisie'!$J$5:$J$2004,BP162-4),IF(OR(O162=0,AND(O162&gt;='Paramètres'!$B$21,P162=0)),"",Q162+IF(O162&lt;=1,'Paramètres'!$B$18,IF(O162=2,'Paramètres'!$B$19,'Paramètres'!$B$20)))))</f>
        <v/>
      </c>
      <c r="H162" s="107">
        <f>IF(OR(G162="",BP162&lt;&gt;BQ162),"",IF(INDEX('Saisie'!$K$5:$K$2004,BP162-4)="","",INDEX('Saisie'!$K$5:$K$2004,BP162-4)))</f>
        <v/>
      </c>
      <c r="I162" s="60">
        <f>IF(C162="","",IF(OR(D162="Gagné",D162="Perdu"),"",IFERROR(INDEX('Saisie'!$I$5:$I$2004,_xlfn.MAXIFS('Saisie'!$AS$5:$AS$2004,'Saisie'!$C$5:$C$2004,C162,'Saisie'!$I$5:$I$2004,"&lt;&gt;")-4),"")))</f>
        <v/>
      </c>
      <c r="J162" s="60">
        <f>IF(C162="","",IFERROR(INDEX('Saisie'!$U$5:$U$2004,_xlfn.MAXIFS('Saisie'!$AS$5:$AS$2004,'Saisie'!$C$5:$C$2004,C162,'Saisie'!$U$5:$U$2004,"&lt;&gt;")-4),""))</f>
        <v/>
      </c>
      <c r="K162" s="60">
        <f>IF(C162="","",IFERROR(INDEX('Saisie'!$W$5:$W$2004,_xlfn.MAXIFS('Saisie'!$AS$5:$AS$2004,'Saisie'!$C$5:$C$2004,C162,'Saisie'!$W$5:$W$2004,"&lt;&gt;")-4),""))</f>
        <v/>
      </c>
      <c r="L162" s="60">
        <f>IF(IF(BB162&lt;&gt;"",BB162,K162)="","",HYPERLINK("https://wa.me/"&amp;IF(LEFT(SUBSTITUTE(SUBSTITUTE(SUBSTITUTE(IF(BB162&lt;&gt;"",BB162,K162)," ",""),".",""),"+",""),1)="0",'Paramètres'!$B$35&amp;MID(SUBSTITUTE(SUBSTITUTE(SUBSTITUTE(IF(BB162&lt;&gt;"",BB162,K162)," ",""),".",""),"+",""),2,20),SUBSTITUTE(SUBSTITUTE(SUBSTITUTE(IF(BB162&lt;&gt;"",BB162,K162)," ",""),".",""),"+","")),"WhatsApp"))</f>
        <v/>
      </c>
      <c r="M162" s="60">
        <f>IF(BC162="","",HYPERLINK(IF(LEFT(BC162,4)="http",BC162,"https://www.instagram.com/"&amp;SUBSTITUTE(SUBSTITUTE(BC162,"@","")," ","")),BC162))</f>
        <v/>
      </c>
      <c r="N162" s="60">
        <f>IF(C162="","",IFERROR(INDEX('Saisie'!$D$5:$D$2004,_xlfn.MINIFS('Saisie'!$AS$5:$AS$2004,'Saisie'!$C$5:$C$2004,C162,'Saisie'!$AU$5:$AU$2004,1)-4),IFERROR(INDEX('Saisie'!$D$5:$D$2004,_xlfn.MINIFS('Saisie'!$AS$5:$AS$2004,'Saisie'!$C$5:$C$2004,C162,'Saisie'!$D$5:$D$2004,"&lt;&gt;")-4),"")))</f>
        <v/>
      </c>
      <c r="O162" s="60">
        <f>IF(C162="","",COUNTIFS('Saisie'!$C$5:$C$2004,C162,'Saisie'!$AU$5:$AU$2004,1))</f>
        <v/>
      </c>
      <c r="P162" s="60">
        <f>IF(C162="","",COUNTIFS('Saisie'!$C$5:$C$2004,C162,'Saisie'!$AV$5:$AV$2004,1))</f>
        <v/>
      </c>
      <c r="Q162" s="106">
        <f>IF(C162="","",IFERROR(1/(1/_xlfn.MAXIFS('Saisie'!$A$5:$A$2004,'Saisie'!$C$5:$C$2004,C162)),""))</f>
        <v/>
      </c>
      <c r="R162" s="61">
        <f>IF(C162="","",IF(Q162="","",TODAY()-Q162))</f>
        <v/>
      </c>
      <c r="S162" s="60">
        <f>IF(C162="","",IFERROR(INDEX('Saisie'!$R$5:$R$2004,_xlfn.MAXIFS('Saisie'!$AS$5:$AS$2004,'Saisie'!$C$5:$C$2004,C162,'Saisie'!$R$5:$R$2004,"&lt;&gt;")-4),""))</f>
        <v/>
      </c>
      <c r="T162" s="60">
        <f>IF(C162="","",IFERROR(INDEX('Saisie'!$S$5:$S$2004,_xlfn.MAXIFS('Saisie'!$AS$5:$AS$2004,'Saisie'!$C$5:$C$2004,C162,'Saisie'!$S$5:$S$2004,"&lt;&gt;")-4),""))</f>
        <v/>
      </c>
      <c r="U162" s="60">
        <f>IF(C162="","",IFERROR(INDEX('Saisie'!$T$5:$T$2004,_xlfn.MAXIFS('Saisie'!$AS$5:$AS$2004,'Saisie'!$C$5:$C$2004,C162,'Saisie'!$T$5:$T$2004,"&lt;&gt;")-4),""))</f>
        <v/>
      </c>
      <c r="V162" s="60">
        <f>IF(C162="","",IFERROR(INDEX('Saisie'!$V$5:$V$2004,_xlfn.MAXIFS('Saisie'!$AS$5:$AS$2004,'Saisie'!$C$5:$C$2004,C162,'Saisie'!$V$5:$V$2004,"&lt;&gt;")-4),""))</f>
        <v/>
      </c>
      <c r="W162" s="60">
        <f>IF(C162="","",IFERROR(INDEX('Saisie'!$Z$5:$Z$2004,_xlfn.MAXIFS('Saisie'!$AS$5:$AS$2004,'Saisie'!$C$5:$C$2004,C162,'Saisie'!$Z$5:$Z$2004,"&lt;&gt;")-4),""))</f>
        <v/>
      </c>
      <c r="X162" s="60">
        <f>IF(C162="","",IFERROR(INDEX('Saisie'!$AA$5:$AA$2004,_xlfn.MAXIFS('Saisie'!$AS$5:$AS$2004,'Saisie'!$C$5:$C$2004,C162,'Saisie'!$AA$5:$AA$2004,"&lt;&gt;")-4),""))</f>
        <v/>
      </c>
      <c r="Y162" s="60">
        <f>IF(C162="","",IFERROR(INDEX('Saisie'!$AB$5:$AB$2004,_xlfn.MAXIFS('Saisie'!$AS$5:$AS$2004,'Saisie'!$C$5:$C$2004,C162,'Saisie'!$AB$5:$AB$2004,"&lt;&gt;")-4),""))</f>
        <v/>
      </c>
      <c r="Z162" s="60">
        <f>IF(C162="","",IFERROR(INDEX('Saisie'!$AC$5:$AC$2004,_xlfn.MAXIFS('Saisie'!$AS$5:$AS$2004,'Saisie'!$C$5:$C$2004,C162,'Saisie'!$AC$5:$AC$2004,"&lt;&gt;")-4),""))</f>
        <v/>
      </c>
      <c r="AA162" s="106">
        <f>IF(C162="","",IFERROR(INDEX('Saisie'!$AD$5:$AD$2004,_xlfn.MAXIFS('Saisie'!$AS$5:$AS$2004,'Saisie'!$C$5:$C$2004,C162,'Saisie'!$AD$5:$AD$2004,"&lt;&gt;")-4),""))</f>
        <v/>
      </c>
      <c r="AB162" s="60">
        <f>IF(C162="","",IFERROR(INDEX('Saisie'!$AE$5:$AE$2004,_xlfn.MAXIFS('Saisie'!$AS$5:$AS$2004,'Saisie'!$C$5:$C$2004,C162,'Saisie'!$AE$5:$AE$2004,"&lt;&gt;")-4),""))</f>
        <v/>
      </c>
      <c r="AC162" s="60">
        <f>IF(C162="","",IFERROR(INDEX('Saisie'!$AF$5:$AF$2004,_xlfn.MAXIFS('Saisie'!$AS$5:$AS$2004,'Saisie'!$C$5:$C$2004,C162,'Saisie'!$AF$5:$AF$2004,"&lt;&gt;")-4),""))</f>
        <v/>
      </c>
      <c r="AD162" s="108">
        <f>IF(C162="","",IFERROR(INDEX('Saisie'!$AG$5:$AG$2004,_xlfn.MAXIFS('Saisie'!$AS$5:$AS$2004,'Saisie'!$C$5:$C$2004,C162,'Saisie'!$AG$5:$AG$2004,"&lt;&gt;")-4),""))</f>
        <v/>
      </c>
      <c r="AE162" s="60">
        <f>IF(C162="","",IFERROR(INDEX('Saisie'!$AH$5:$AH$2004,_xlfn.MAXIFS('Saisie'!$AS$5:$AS$2004,'Saisie'!$C$5:$C$2004,C162,'Saisie'!$AH$5:$AH$2004,"&lt;&gt;")-4),""))</f>
        <v/>
      </c>
      <c r="AF162" s="60">
        <f>IF(C162="","",IFERROR(INDEX('Saisie'!$AI$5:$AI$2004,_xlfn.MAXIFS('Saisie'!$AS$5:$AS$2004,'Saisie'!$C$5:$C$2004,C162,'Saisie'!$AI$5:$AI$2004,"&lt;&gt;")-4),""))</f>
        <v/>
      </c>
      <c r="AG162" s="60">
        <f>IF(C162="","",IFERROR(INDEX('Saisie'!$AJ$5:$AJ$2004,_xlfn.MAXIFS('Saisie'!$AS$5:$AS$2004,'Saisie'!$C$5:$C$2004,C162,'Saisie'!$AJ$5:$AJ$2004,"&lt;&gt;")-4),""))</f>
        <v/>
      </c>
      <c r="AH162" s="60">
        <f>IF(C162="","",IFERROR(INDEX('Saisie'!$AK$5:$AK$2004,_xlfn.MAXIFS('Saisie'!$AS$5:$AS$2004,'Saisie'!$C$5:$C$2004,C162,'Saisie'!$AK$5:$AK$2004,"&lt;&gt;")-4),""))</f>
        <v/>
      </c>
      <c r="AI162" s="60">
        <f>IF(C162="","",IFERROR(INDEX('Saisie'!$AN$5:$AN$2004,_xlfn.MAXIFS('Saisie'!$AS$5:$AS$2004,'Saisie'!$C$5:$C$2004,C162,'Saisie'!$AN$5:$AN$2004,"&lt;&gt;")-4),""))</f>
        <v/>
      </c>
      <c r="AJ162" s="60">
        <f>IF(C162="","",IFERROR(INDEX('Saisie'!$AO$5:$AO$2004,_xlfn.MAXIFS('Saisie'!$AS$5:$AS$2004,'Saisie'!$C$5:$C$2004,C162,'Saisie'!$AO$5:$AO$2004,"&lt;&gt;")-4),""))</f>
        <v/>
      </c>
      <c r="AK162" s="60">
        <f>IF(C162="","",IFERROR(INDEX('Saisie'!$AP$5:$AP$2004,_xlfn.MAXIFS('Saisie'!$AS$5:$AS$2004,'Saisie'!$C$5:$C$2004,C162,'Saisie'!$AP$5:$AP$2004,"&lt;&gt;")-4),""))</f>
        <v/>
      </c>
      <c r="AL162" s="60">
        <f>IF(C162="","",IFERROR(INDEX('Saisie'!$AQ$5:$AQ$2004,_xlfn.MAXIFS('Saisie'!$AS$5:$AS$2004,'Saisie'!$C$5:$C$2004,C162,'Saisie'!$AQ$5:$AQ$2004,"&lt;&gt;")-4),""))</f>
        <v/>
      </c>
      <c r="AM162" s="60">
        <f>IF(C162="","",((AI162="Oui")+(AJ162="Oui")+(AK162="Oui")+OR(AL162="Immédiat",AL162="&lt; 1 mois"))&amp;"/4")</f>
        <v/>
      </c>
      <c r="AN162" s="60">
        <f>IF(C162="","",IFERROR(INDEX('Saisie'!$AL$5:$AL$2004,_xlfn.MAXIFS('Saisie'!$AS$5:$AS$2004,'Saisie'!$C$5:$C$2004,C162,'Saisie'!$AL$5:$AL$2004,"&lt;&gt;")-4),""))</f>
        <v/>
      </c>
      <c r="AO162" s="62">
        <f>IF(C162="","",IF(IFERROR(INDEX('Saisie'!$AM$5:$AM$2004,_xlfn.MAXIFS('Saisie'!$AS$5:$AS$2004,'Saisie'!$C$5:$C$2004,C162,'Saisie'!$AM$5:$AM$2004,"&lt;&gt;")-4),"")&lt;&gt;"",IFERROR(INDEX('Saisie'!$AM$5:$AM$2004,_xlfn.MAXIFS('Saisie'!$AS$5:$AS$2004,'Saisie'!$C$5:$C$2004,C162,'Saisie'!$AM$5:$AM$2004,"&lt;&gt;")-4),""),IFERROR(INDEX('Paramètres'!$S$6:$S$15,MATCH(AN162,'Paramètres'!$Q$6:$Q$15,0)),"")))</f>
        <v/>
      </c>
      <c r="AP162" s="62">
        <f>IF(C162="","",IFERROR(INDEX('Saisie'!$AW$5:$AW$2004,_xlfn.MAXIFS('Saisie'!$AS$5:$AS$2004,'Saisie'!$C$5:$C$2004,C162,'Saisie'!$E$5:$E$2004,"Proposition envoyée")-4),""))</f>
        <v/>
      </c>
      <c r="AQ162" s="106">
        <f>IF(C162="","",IFERROR(1/(1/_xlfn.MAXIFS('Saisie'!$A$5:$A$2004,'Saisie'!$C$5:$C$2004,C162,'Saisie'!$E$5:$E$2004,"Proposition envoyée")),""))</f>
        <v/>
      </c>
      <c r="AR162" s="106">
        <f>IF(C162="","",IF(AQ162="","",AQ162+'Paramètres'!$B$26))</f>
        <v/>
      </c>
      <c r="AS162" s="62">
        <f>IF(OR(C162="",D162="Gagné",D162="Perdu"),0,N(AP162)*IFERROR(INDEX('Paramètres'!$G$6:$G$13,MATCH(D162,'Paramètres'!$F$6:$F$13,0)),0))</f>
        <v/>
      </c>
      <c r="AT162" s="106">
        <f>IF(C162="","",IFERROR(1/(1/_xlfn.MINIFS('Saisie'!$A$5:$A$2004,'Saisie'!$C$5:$C$2004,C162,'Saisie'!$E$5:$E$2004,"Signature")),""))</f>
        <v/>
      </c>
      <c r="AU162" s="60">
        <f>IF(C162="","",IF(OR(AT162="",B162=""),"",AT162-B162))</f>
        <v/>
      </c>
      <c r="AV162" s="60">
        <f>IF(C162="","",IFERROR(INDEX('Saisie'!$L$5:$L$2004,_xlfn.MAXIFS('Saisie'!$AS$5:$AS$2004,'Saisie'!$C$5:$C$2004,C162,'Saisie'!$L$5:$L$2004,"&lt;&gt;")-4),""))</f>
        <v/>
      </c>
      <c r="AW162" s="106">
        <f>IF(C162="","",IF(D162&lt;&gt;"Perdu","",IFERROR(1/(1/_xlfn.MAXIFS('Saisie'!$A$5:$A$2004,'Saisie'!$C$5:$C$2004,C162,'Saisie'!$E$5:$E$2004,"Perdu")),"")))</f>
        <v/>
      </c>
      <c r="AX162" s="106">
        <f>IF(C162="","",IF(AW162="","",AW162+'Paramètres'!$B$28))</f>
        <v/>
      </c>
      <c r="AY162" s="60">
        <f>IF(C162="","",SUMIFS('Saisie'!$H$5:$H$2004,'Saisie'!$C$5:$C$2004,C162))</f>
        <v/>
      </c>
      <c r="AZ162" s="60">
        <f>IF(C162="","",IFERROR(INDEX('Paramètres'!$W$6:$W$20,MATCH(S162,'Paramètres'!$V$6:$V$20,0))&amp;"",""))</f>
        <v/>
      </c>
      <c r="BA162" s="60">
        <f>IF(C162="","",MAX(1,_xlfn.MAXIFS('Saisie'!$AT$5:$AT$2004,'Saisie'!$C$5:$C$2004,C162)))</f>
        <v/>
      </c>
      <c r="BB162" s="60">
        <f>IF(C162="","",IFERROR(INDEX('Saisie'!$X$5:$X$2004,_xlfn.MAXIFS('Saisie'!$AS$5:$AS$2004,'Saisie'!$C$5:$C$2004,C162,'Saisie'!$X$5:$X$2004,"&lt;&gt;")-4),""))</f>
        <v/>
      </c>
      <c r="BC162" s="60">
        <f>IF(C162="","",IFERROR(INDEX('Saisie'!$Y$5:$Y$2004,_xlfn.MAXIFS('Saisie'!$AS$5:$AS$2004,'Saisie'!$C$5:$C$2004,C162,'Saisie'!$Y$5:$Y$2004,"&lt;&gt;")-4),""))</f>
        <v/>
      </c>
      <c r="BD162" s="106">
        <f>IF(C162="","",IFERROR(1/(1/_xlfn.MINIFS('Saisie'!$A$5:$A$2004,'Saisie'!$C$5:$C$2004,C162,'Saisie'!$AT$5:$AT$2004,"&gt;=2")),""))</f>
        <v/>
      </c>
      <c r="BE162" s="106">
        <f>IF(C162="","",IFERROR(1/(1/_xlfn.MINIFS('Saisie'!$A$5:$A$2004,'Saisie'!$C$5:$C$2004,C162,'Saisie'!$AT$5:$AT$2004,"&gt;=3")),""))</f>
        <v/>
      </c>
      <c r="BF162" s="106">
        <f>IF(C162="","",IFERROR(1/(1/_xlfn.MINIFS('Saisie'!$A$5:$A$2004,'Saisie'!$C$5:$C$2004,C162,'Saisie'!$AT$5:$AT$2004,"&gt;=4")),""))</f>
        <v/>
      </c>
      <c r="BG162" s="106">
        <f>IF(C162="","",IFERROR(1/(1/_xlfn.MINIFS('Saisie'!$A$5:$A$2004,'Saisie'!$C$5:$C$2004,C162,'Saisie'!$AT$5:$AT$2004,"&gt;=5")),""))</f>
        <v/>
      </c>
      <c r="BH162" s="106">
        <f>IF(C162="","",IFERROR(1/(1/_xlfn.MINIFS('Saisie'!$A$5:$A$2004,'Saisie'!$C$5:$C$2004,C162,'Saisie'!$AT$5:$AT$2004,"&gt;=6")),""))</f>
        <v/>
      </c>
      <c r="BI162" s="106">
        <f>IF(C162="","",IFERROR(1/(1/_xlfn.MINIFS('Saisie'!$A$5:$A$2004,'Saisie'!$C$5:$C$2004,C162,'Saisie'!$AT$5:$AT$2004,"&gt;=7")),""))</f>
        <v/>
      </c>
      <c r="BJ162" s="60">
        <f>IF(OR(BD162="",B162=""),"",BD162-B162)</f>
        <v/>
      </c>
      <c r="BK162" s="60">
        <f>IF(OR(BE162="",BD162=""),"",BE162-BD162)</f>
        <v/>
      </c>
      <c r="BL162" s="60">
        <f>IF(OR(BF162="",BE162=""),"",BF162-BE162)</f>
        <v/>
      </c>
      <c r="BM162" s="60">
        <f>IF(OR(BG162="",BF162=""),"",BG162-BF162)</f>
        <v/>
      </c>
      <c r="BN162" s="60">
        <f>IF(OR(BH162="",BG162=""),"",BH162-BG162)</f>
        <v/>
      </c>
      <c r="BO162" s="60">
        <f>IF(OR(BI162="",BH162=""),"",BI162-BH162)</f>
        <v/>
      </c>
      <c r="BP162" s="60">
        <f>IF(C162="","",_xlfn.MAXIFS('Saisie'!$AS$5:$AS$2004,'Saisie'!$C$5:$C$2004,C162,'Saisie'!$J$5:$J$2004,"&lt;&gt;"))</f>
        <v/>
      </c>
      <c r="BQ162" s="60">
        <f>IF(C162="","",_xlfn.MAXIFS('Saisie'!$AS$5:$AS$2004,'Saisie'!$C$5:$C$2004,C162))</f>
        <v/>
      </c>
      <c r="BR162" s="60">
        <f>IF(C162="","",_xlfn.MAXIFS('Saisie'!$AS$5:$AS$2004,'Saisie'!$C$5:$C$2004,C162,'Saisie'!$E$5:$E$2004,"Perdu"))</f>
        <v/>
      </c>
      <c r="BS162" s="60">
        <f>IF(C162="","",_xlfn.MAXIFS('Saisie'!$AS$5:$AS$2004,'Saisie'!$C$5:$C$2004,C162,'Saisie'!$AT$5:$AT$2004,"&gt;0"))</f>
        <v/>
      </c>
      <c r="BT162" s="109">
        <f>IF(AND(C162&lt;&gt;"",OR(D162="Nouveau",D162="Contacté",D162="Qualifié"),OR(G162="",N(G162)&lt;=TODAY()),NOT(AND(O162&gt;='Paramètres'!$B$21,P162=0))),E162+158/10000,"")</f>
        <v/>
      </c>
      <c r="BU162" s="60">
        <f>IF(AND(G162&lt;&gt;"",N(G162)&lt;=TODAY()),MAX($BU$4:BU161)+1,"")</f>
        <v/>
      </c>
      <c r="BV162" s="60">
        <f>IF(AND(F162&lt;&gt;"",F162&lt;&gt;"Relance en retard"),MAX($BV$4:BV161)+1,"")</f>
        <v/>
      </c>
      <c r="BW162" s="60">
        <f>IF(C162="","",IF(AND(B162&gt;='Tableau de bord'!$R$4,B162&lt;='Tableau de bord'!$S$4,OR('Tableau de bord'!$G$4="Tous",N162='Tableau de bord'!$G$4)),1,0))</f>
        <v/>
      </c>
      <c r="BX162" s="60">
        <f>IF(AND(C162&lt;&gt;"",N(BA162)=7),MAX($BX$4:BX161)+1,"")</f>
        <v/>
      </c>
    </row>
    <row r="163">
      <c r="A163" s="60">
        <f>IF(C163="","","P-"&amp;TEXT(159,"000"))</f>
        <v/>
      </c>
      <c r="B163" s="106">
        <f>IF(C163="","",IFERROR(1/(1/_xlfn.MINIFS('Saisie'!$A$5:$A$2004,'Saisie'!$C$5:$C$2004,C163)),""))</f>
        <v/>
      </c>
      <c r="C163" s="60">
        <f>IFERROR(INDEX('Saisie'!$C$5:$C$2004,MATCH(159,'Saisie'!$AX$5:$AX$2004,0)),"")</f>
        <v/>
      </c>
      <c r="D163" s="60">
        <f>IF(C163="","",IF(AND(BR163&gt;0,BR163&gt;BS163,BA163&lt;7),"Perdu",INDEX('Paramètres'!$F$6:$F$13,BA163)))</f>
        <v/>
      </c>
      <c r="E163" s="61">
        <f>IF(C163="","",MIN(100,(Z163="Oui")*'Paramètres'!$B$38+(AB163="Régulière")*'Paramètres'!$B$39+IF(AND(N(AA163)&gt;0,TODAY()-N(AA163)&lt;=30),'Paramètres'!$B$40,0)+(W163="")*'Paramètres'!$B$41+(AC163="Absente")*'Paramètres'!$B$42+(AC163="Faible")*'Paramètres'!$B$43+IF(AND(N(AD163)&gt;0,N(AD163)&lt;4),'Paramètres'!$B$44,0)+(AF163="Moyenne")*'Paramètres'!$B$45+(AF163="Grande")*'Paramètres'!$B$46+(Y163&lt;&gt;"")*'Paramètres'!$B$47))</f>
        <v/>
      </c>
      <c r="F163" s="60">
        <f>IF(C163="","",IF(D163="Gagné","",IF(D163="Perdu",IF(AND(AX163&lt;&gt;"",AX163&lt;=TODAY()),"À recontacter (perdu)",""),IF(AND(O163&gt;='Paramètres'!$B$21,P163=0),"Stop : "&amp;'Paramètres'!$B$21&amp;" tentatives sans réponse",IF(AND(D163="Proposition",AR163&lt;&gt;"",TODAY()&gt;N(AR163)),"Proposition expirée",IF(AND(D163="Proposition",N(R163)&gt;='Paramètres'!$B$25),"Proposition sans réponse",IF(AND(G163&lt;&gt;"",N(G163)&lt;TODAY()),"Relance en retard",IF(N(R163)&gt;='Paramètres'!$B$24,"Sans action depuis "&amp;R163&amp;" j",""))))))))</f>
        <v/>
      </c>
      <c r="G163" s="106">
        <f>IF(OR(C163="",D163="Gagné",D163="Perdu"),"",IF(AND(BP163&gt;0,BP163=BQ163),INDEX('Saisie'!$J$5:$J$2004,BP163-4),IF(OR(O163=0,AND(O163&gt;='Paramètres'!$B$21,P163=0)),"",Q163+IF(O163&lt;=1,'Paramètres'!$B$18,IF(O163=2,'Paramètres'!$B$19,'Paramètres'!$B$20)))))</f>
        <v/>
      </c>
      <c r="H163" s="107">
        <f>IF(OR(G163="",BP163&lt;&gt;BQ163),"",IF(INDEX('Saisie'!$K$5:$K$2004,BP163-4)="","",INDEX('Saisie'!$K$5:$K$2004,BP163-4)))</f>
        <v/>
      </c>
      <c r="I163" s="60">
        <f>IF(C163="","",IF(OR(D163="Gagné",D163="Perdu"),"",IFERROR(INDEX('Saisie'!$I$5:$I$2004,_xlfn.MAXIFS('Saisie'!$AS$5:$AS$2004,'Saisie'!$C$5:$C$2004,C163,'Saisie'!$I$5:$I$2004,"&lt;&gt;")-4),"")))</f>
        <v/>
      </c>
      <c r="J163" s="60">
        <f>IF(C163="","",IFERROR(INDEX('Saisie'!$U$5:$U$2004,_xlfn.MAXIFS('Saisie'!$AS$5:$AS$2004,'Saisie'!$C$5:$C$2004,C163,'Saisie'!$U$5:$U$2004,"&lt;&gt;")-4),""))</f>
        <v/>
      </c>
      <c r="K163" s="60">
        <f>IF(C163="","",IFERROR(INDEX('Saisie'!$W$5:$W$2004,_xlfn.MAXIFS('Saisie'!$AS$5:$AS$2004,'Saisie'!$C$5:$C$2004,C163,'Saisie'!$W$5:$W$2004,"&lt;&gt;")-4),""))</f>
        <v/>
      </c>
      <c r="L163" s="60">
        <f>IF(IF(BB163&lt;&gt;"",BB163,K163)="","",HYPERLINK("https://wa.me/"&amp;IF(LEFT(SUBSTITUTE(SUBSTITUTE(SUBSTITUTE(IF(BB163&lt;&gt;"",BB163,K163)," ",""),".",""),"+",""),1)="0",'Paramètres'!$B$35&amp;MID(SUBSTITUTE(SUBSTITUTE(SUBSTITUTE(IF(BB163&lt;&gt;"",BB163,K163)," ",""),".",""),"+",""),2,20),SUBSTITUTE(SUBSTITUTE(SUBSTITUTE(IF(BB163&lt;&gt;"",BB163,K163)," ",""),".",""),"+","")),"WhatsApp"))</f>
        <v/>
      </c>
      <c r="M163" s="60">
        <f>IF(BC163="","",HYPERLINK(IF(LEFT(BC163,4)="http",BC163,"https://www.instagram.com/"&amp;SUBSTITUTE(SUBSTITUTE(BC163,"@","")," ","")),BC163))</f>
        <v/>
      </c>
      <c r="N163" s="60">
        <f>IF(C163="","",IFERROR(INDEX('Saisie'!$D$5:$D$2004,_xlfn.MINIFS('Saisie'!$AS$5:$AS$2004,'Saisie'!$C$5:$C$2004,C163,'Saisie'!$AU$5:$AU$2004,1)-4),IFERROR(INDEX('Saisie'!$D$5:$D$2004,_xlfn.MINIFS('Saisie'!$AS$5:$AS$2004,'Saisie'!$C$5:$C$2004,C163,'Saisie'!$D$5:$D$2004,"&lt;&gt;")-4),"")))</f>
        <v/>
      </c>
      <c r="O163" s="60">
        <f>IF(C163="","",COUNTIFS('Saisie'!$C$5:$C$2004,C163,'Saisie'!$AU$5:$AU$2004,1))</f>
        <v/>
      </c>
      <c r="P163" s="60">
        <f>IF(C163="","",COUNTIFS('Saisie'!$C$5:$C$2004,C163,'Saisie'!$AV$5:$AV$2004,1))</f>
        <v/>
      </c>
      <c r="Q163" s="106">
        <f>IF(C163="","",IFERROR(1/(1/_xlfn.MAXIFS('Saisie'!$A$5:$A$2004,'Saisie'!$C$5:$C$2004,C163)),""))</f>
        <v/>
      </c>
      <c r="R163" s="61">
        <f>IF(C163="","",IF(Q163="","",TODAY()-Q163))</f>
        <v/>
      </c>
      <c r="S163" s="60">
        <f>IF(C163="","",IFERROR(INDEX('Saisie'!$R$5:$R$2004,_xlfn.MAXIFS('Saisie'!$AS$5:$AS$2004,'Saisie'!$C$5:$C$2004,C163,'Saisie'!$R$5:$R$2004,"&lt;&gt;")-4),""))</f>
        <v/>
      </c>
      <c r="T163" s="60">
        <f>IF(C163="","",IFERROR(INDEX('Saisie'!$S$5:$S$2004,_xlfn.MAXIFS('Saisie'!$AS$5:$AS$2004,'Saisie'!$C$5:$C$2004,C163,'Saisie'!$S$5:$S$2004,"&lt;&gt;")-4),""))</f>
        <v/>
      </c>
      <c r="U163" s="60">
        <f>IF(C163="","",IFERROR(INDEX('Saisie'!$T$5:$T$2004,_xlfn.MAXIFS('Saisie'!$AS$5:$AS$2004,'Saisie'!$C$5:$C$2004,C163,'Saisie'!$T$5:$T$2004,"&lt;&gt;")-4),""))</f>
        <v/>
      </c>
      <c r="V163" s="60">
        <f>IF(C163="","",IFERROR(INDEX('Saisie'!$V$5:$V$2004,_xlfn.MAXIFS('Saisie'!$AS$5:$AS$2004,'Saisie'!$C$5:$C$2004,C163,'Saisie'!$V$5:$V$2004,"&lt;&gt;")-4),""))</f>
        <v/>
      </c>
      <c r="W163" s="60">
        <f>IF(C163="","",IFERROR(INDEX('Saisie'!$Z$5:$Z$2004,_xlfn.MAXIFS('Saisie'!$AS$5:$AS$2004,'Saisie'!$C$5:$C$2004,C163,'Saisie'!$Z$5:$Z$2004,"&lt;&gt;")-4),""))</f>
        <v/>
      </c>
      <c r="X163" s="60">
        <f>IF(C163="","",IFERROR(INDEX('Saisie'!$AA$5:$AA$2004,_xlfn.MAXIFS('Saisie'!$AS$5:$AS$2004,'Saisie'!$C$5:$C$2004,C163,'Saisie'!$AA$5:$AA$2004,"&lt;&gt;")-4),""))</f>
        <v/>
      </c>
      <c r="Y163" s="60">
        <f>IF(C163="","",IFERROR(INDEX('Saisie'!$AB$5:$AB$2004,_xlfn.MAXIFS('Saisie'!$AS$5:$AS$2004,'Saisie'!$C$5:$C$2004,C163,'Saisie'!$AB$5:$AB$2004,"&lt;&gt;")-4),""))</f>
        <v/>
      </c>
      <c r="Z163" s="60">
        <f>IF(C163="","",IFERROR(INDEX('Saisie'!$AC$5:$AC$2004,_xlfn.MAXIFS('Saisie'!$AS$5:$AS$2004,'Saisie'!$C$5:$C$2004,C163,'Saisie'!$AC$5:$AC$2004,"&lt;&gt;")-4),""))</f>
        <v/>
      </c>
      <c r="AA163" s="106">
        <f>IF(C163="","",IFERROR(INDEX('Saisie'!$AD$5:$AD$2004,_xlfn.MAXIFS('Saisie'!$AS$5:$AS$2004,'Saisie'!$C$5:$C$2004,C163,'Saisie'!$AD$5:$AD$2004,"&lt;&gt;")-4),""))</f>
        <v/>
      </c>
      <c r="AB163" s="60">
        <f>IF(C163="","",IFERROR(INDEX('Saisie'!$AE$5:$AE$2004,_xlfn.MAXIFS('Saisie'!$AS$5:$AS$2004,'Saisie'!$C$5:$C$2004,C163,'Saisie'!$AE$5:$AE$2004,"&lt;&gt;")-4),""))</f>
        <v/>
      </c>
      <c r="AC163" s="60">
        <f>IF(C163="","",IFERROR(INDEX('Saisie'!$AF$5:$AF$2004,_xlfn.MAXIFS('Saisie'!$AS$5:$AS$2004,'Saisie'!$C$5:$C$2004,C163,'Saisie'!$AF$5:$AF$2004,"&lt;&gt;")-4),""))</f>
        <v/>
      </c>
      <c r="AD163" s="108">
        <f>IF(C163="","",IFERROR(INDEX('Saisie'!$AG$5:$AG$2004,_xlfn.MAXIFS('Saisie'!$AS$5:$AS$2004,'Saisie'!$C$5:$C$2004,C163,'Saisie'!$AG$5:$AG$2004,"&lt;&gt;")-4),""))</f>
        <v/>
      </c>
      <c r="AE163" s="60">
        <f>IF(C163="","",IFERROR(INDEX('Saisie'!$AH$5:$AH$2004,_xlfn.MAXIFS('Saisie'!$AS$5:$AS$2004,'Saisie'!$C$5:$C$2004,C163,'Saisie'!$AH$5:$AH$2004,"&lt;&gt;")-4),""))</f>
        <v/>
      </c>
      <c r="AF163" s="60">
        <f>IF(C163="","",IFERROR(INDEX('Saisie'!$AI$5:$AI$2004,_xlfn.MAXIFS('Saisie'!$AS$5:$AS$2004,'Saisie'!$C$5:$C$2004,C163,'Saisie'!$AI$5:$AI$2004,"&lt;&gt;")-4),""))</f>
        <v/>
      </c>
      <c r="AG163" s="60">
        <f>IF(C163="","",IFERROR(INDEX('Saisie'!$AJ$5:$AJ$2004,_xlfn.MAXIFS('Saisie'!$AS$5:$AS$2004,'Saisie'!$C$5:$C$2004,C163,'Saisie'!$AJ$5:$AJ$2004,"&lt;&gt;")-4),""))</f>
        <v/>
      </c>
      <c r="AH163" s="60">
        <f>IF(C163="","",IFERROR(INDEX('Saisie'!$AK$5:$AK$2004,_xlfn.MAXIFS('Saisie'!$AS$5:$AS$2004,'Saisie'!$C$5:$C$2004,C163,'Saisie'!$AK$5:$AK$2004,"&lt;&gt;")-4),""))</f>
        <v/>
      </c>
      <c r="AI163" s="60">
        <f>IF(C163="","",IFERROR(INDEX('Saisie'!$AN$5:$AN$2004,_xlfn.MAXIFS('Saisie'!$AS$5:$AS$2004,'Saisie'!$C$5:$C$2004,C163,'Saisie'!$AN$5:$AN$2004,"&lt;&gt;")-4),""))</f>
        <v/>
      </c>
      <c r="AJ163" s="60">
        <f>IF(C163="","",IFERROR(INDEX('Saisie'!$AO$5:$AO$2004,_xlfn.MAXIFS('Saisie'!$AS$5:$AS$2004,'Saisie'!$C$5:$C$2004,C163,'Saisie'!$AO$5:$AO$2004,"&lt;&gt;")-4),""))</f>
        <v/>
      </c>
      <c r="AK163" s="60">
        <f>IF(C163="","",IFERROR(INDEX('Saisie'!$AP$5:$AP$2004,_xlfn.MAXIFS('Saisie'!$AS$5:$AS$2004,'Saisie'!$C$5:$C$2004,C163,'Saisie'!$AP$5:$AP$2004,"&lt;&gt;")-4),""))</f>
        <v/>
      </c>
      <c r="AL163" s="60">
        <f>IF(C163="","",IFERROR(INDEX('Saisie'!$AQ$5:$AQ$2004,_xlfn.MAXIFS('Saisie'!$AS$5:$AS$2004,'Saisie'!$C$5:$C$2004,C163,'Saisie'!$AQ$5:$AQ$2004,"&lt;&gt;")-4),""))</f>
        <v/>
      </c>
      <c r="AM163" s="60">
        <f>IF(C163="","",((AI163="Oui")+(AJ163="Oui")+(AK163="Oui")+OR(AL163="Immédiat",AL163="&lt; 1 mois"))&amp;"/4")</f>
        <v/>
      </c>
      <c r="AN163" s="60">
        <f>IF(C163="","",IFERROR(INDEX('Saisie'!$AL$5:$AL$2004,_xlfn.MAXIFS('Saisie'!$AS$5:$AS$2004,'Saisie'!$C$5:$C$2004,C163,'Saisie'!$AL$5:$AL$2004,"&lt;&gt;")-4),""))</f>
        <v/>
      </c>
      <c r="AO163" s="62">
        <f>IF(C163="","",IF(IFERROR(INDEX('Saisie'!$AM$5:$AM$2004,_xlfn.MAXIFS('Saisie'!$AS$5:$AS$2004,'Saisie'!$C$5:$C$2004,C163,'Saisie'!$AM$5:$AM$2004,"&lt;&gt;")-4),"")&lt;&gt;"",IFERROR(INDEX('Saisie'!$AM$5:$AM$2004,_xlfn.MAXIFS('Saisie'!$AS$5:$AS$2004,'Saisie'!$C$5:$C$2004,C163,'Saisie'!$AM$5:$AM$2004,"&lt;&gt;")-4),""),IFERROR(INDEX('Paramètres'!$S$6:$S$15,MATCH(AN163,'Paramètres'!$Q$6:$Q$15,0)),"")))</f>
        <v/>
      </c>
      <c r="AP163" s="62">
        <f>IF(C163="","",IFERROR(INDEX('Saisie'!$AW$5:$AW$2004,_xlfn.MAXIFS('Saisie'!$AS$5:$AS$2004,'Saisie'!$C$5:$C$2004,C163,'Saisie'!$E$5:$E$2004,"Proposition envoyée")-4),""))</f>
        <v/>
      </c>
      <c r="AQ163" s="106">
        <f>IF(C163="","",IFERROR(1/(1/_xlfn.MAXIFS('Saisie'!$A$5:$A$2004,'Saisie'!$C$5:$C$2004,C163,'Saisie'!$E$5:$E$2004,"Proposition envoyée")),""))</f>
        <v/>
      </c>
      <c r="AR163" s="106">
        <f>IF(C163="","",IF(AQ163="","",AQ163+'Paramètres'!$B$26))</f>
        <v/>
      </c>
      <c r="AS163" s="62">
        <f>IF(OR(C163="",D163="Gagné",D163="Perdu"),0,N(AP163)*IFERROR(INDEX('Paramètres'!$G$6:$G$13,MATCH(D163,'Paramètres'!$F$6:$F$13,0)),0))</f>
        <v/>
      </c>
      <c r="AT163" s="106">
        <f>IF(C163="","",IFERROR(1/(1/_xlfn.MINIFS('Saisie'!$A$5:$A$2004,'Saisie'!$C$5:$C$2004,C163,'Saisie'!$E$5:$E$2004,"Signature")),""))</f>
        <v/>
      </c>
      <c r="AU163" s="60">
        <f>IF(C163="","",IF(OR(AT163="",B163=""),"",AT163-B163))</f>
        <v/>
      </c>
      <c r="AV163" s="60">
        <f>IF(C163="","",IFERROR(INDEX('Saisie'!$L$5:$L$2004,_xlfn.MAXIFS('Saisie'!$AS$5:$AS$2004,'Saisie'!$C$5:$C$2004,C163,'Saisie'!$L$5:$L$2004,"&lt;&gt;")-4),""))</f>
        <v/>
      </c>
      <c r="AW163" s="106">
        <f>IF(C163="","",IF(D163&lt;&gt;"Perdu","",IFERROR(1/(1/_xlfn.MAXIFS('Saisie'!$A$5:$A$2004,'Saisie'!$C$5:$C$2004,C163,'Saisie'!$E$5:$E$2004,"Perdu")),"")))</f>
        <v/>
      </c>
      <c r="AX163" s="106">
        <f>IF(C163="","",IF(AW163="","",AW163+'Paramètres'!$B$28))</f>
        <v/>
      </c>
      <c r="AY163" s="60">
        <f>IF(C163="","",SUMIFS('Saisie'!$H$5:$H$2004,'Saisie'!$C$5:$C$2004,C163))</f>
        <v/>
      </c>
      <c r="AZ163" s="60">
        <f>IF(C163="","",IFERROR(INDEX('Paramètres'!$W$6:$W$20,MATCH(S163,'Paramètres'!$V$6:$V$20,0))&amp;"",""))</f>
        <v/>
      </c>
      <c r="BA163" s="60">
        <f>IF(C163="","",MAX(1,_xlfn.MAXIFS('Saisie'!$AT$5:$AT$2004,'Saisie'!$C$5:$C$2004,C163)))</f>
        <v/>
      </c>
      <c r="BB163" s="60">
        <f>IF(C163="","",IFERROR(INDEX('Saisie'!$X$5:$X$2004,_xlfn.MAXIFS('Saisie'!$AS$5:$AS$2004,'Saisie'!$C$5:$C$2004,C163,'Saisie'!$X$5:$X$2004,"&lt;&gt;")-4),""))</f>
        <v/>
      </c>
      <c r="BC163" s="60">
        <f>IF(C163="","",IFERROR(INDEX('Saisie'!$Y$5:$Y$2004,_xlfn.MAXIFS('Saisie'!$AS$5:$AS$2004,'Saisie'!$C$5:$C$2004,C163,'Saisie'!$Y$5:$Y$2004,"&lt;&gt;")-4),""))</f>
        <v/>
      </c>
      <c r="BD163" s="106">
        <f>IF(C163="","",IFERROR(1/(1/_xlfn.MINIFS('Saisie'!$A$5:$A$2004,'Saisie'!$C$5:$C$2004,C163,'Saisie'!$AT$5:$AT$2004,"&gt;=2")),""))</f>
        <v/>
      </c>
      <c r="BE163" s="106">
        <f>IF(C163="","",IFERROR(1/(1/_xlfn.MINIFS('Saisie'!$A$5:$A$2004,'Saisie'!$C$5:$C$2004,C163,'Saisie'!$AT$5:$AT$2004,"&gt;=3")),""))</f>
        <v/>
      </c>
      <c r="BF163" s="106">
        <f>IF(C163="","",IFERROR(1/(1/_xlfn.MINIFS('Saisie'!$A$5:$A$2004,'Saisie'!$C$5:$C$2004,C163,'Saisie'!$AT$5:$AT$2004,"&gt;=4")),""))</f>
        <v/>
      </c>
      <c r="BG163" s="106">
        <f>IF(C163="","",IFERROR(1/(1/_xlfn.MINIFS('Saisie'!$A$5:$A$2004,'Saisie'!$C$5:$C$2004,C163,'Saisie'!$AT$5:$AT$2004,"&gt;=5")),""))</f>
        <v/>
      </c>
      <c r="BH163" s="106">
        <f>IF(C163="","",IFERROR(1/(1/_xlfn.MINIFS('Saisie'!$A$5:$A$2004,'Saisie'!$C$5:$C$2004,C163,'Saisie'!$AT$5:$AT$2004,"&gt;=6")),""))</f>
        <v/>
      </c>
      <c r="BI163" s="106">
        <f>IF(C163="","",IFERROR(1/(1/_xlfn.MINIFS('Saisie'!$A$5:$A$2004,'Saisie'!$C$5:$C$2004,C163,'Saisie'!$AT$5:$AT$2004,"&gt;=7")),""))</f>
        <v/>
      </c>
      <c r="BJ163" s="60">
        <f>IF(OR(BD163="",B163=""),"",BD163-B163)</f>
        <v/>
      </c>
      <c r="BK163" s="60">
        <f>IF(OR(BE163="",BD163=""),"",BE163-BD163)</f>
        <v/>
      </c>
      <c r="BL163" s="60">
        <f>IF(OR(BF163="",BE163=""),"",BF163-BE163)</f>
        <v/>
      </c>
      <c r="BM163" s="60">
        <f>IF(OR(BG163="",BF163=""),"",BG163-BF163)</f>
        <v/>
      </c>
      <c r="BN163" s="60">
        <f>IF(OR(BH163="",BG163=""),"",BH163-BG163)</f>
        <v/>
      </c>
      <c r="BO163" s="60">
        <f>IF(OR(BI163="",BH163=""),"",BI163-BH163)</f>
        <v/>
      </c>
      <c r="BP163" s="60">
        <f>IF(C163="","",_xlfn.MAXIFS('Saisie'!$AS$5:$AS$2004,'Saisie'!$C$5:$C$2004,C163,'Saisie'!$J$5:$J$2004,"&lt;&gt;"))</f>
        <v/>
      </c>
      <c r="BQ163" s="60">
        <f>IF(C163="","",_xlfn.MAXIFS('Saisie'!$AS$5:$AS$2004,'Saisie'!$C$5:$C$2004,C163))</f>
        <v/>
      </c>
      <c r="BR163" s="60">
        <f>IF(C163="","",_xlfn.MAXIFS('Saisie'!$AS$5:$AS$2004,'Saisie'!$C$5:$C$2004,C163,'Saisie'!$E$5:$E$2004,"Perdu"))</f>
        <v/>
      </c>
      <c r="BS163" s="60">
        <f>IF(C163="","",_xlfn.MAXIFS('Saisie'!$AS$5:$AS$2004,'Saisie'!$C$5:$C$2004,C163,'Saisie'!$AT$5:$AT$2004,"&gt;0"))</f>
        <v/>
      </c>
      <c r="BT163" s="109">
        <f>IF(AND(C163&lt;&gt;"",OR(D163="Nouveau",D163="Contacté",D163="Qualifié"),OR(G163="",N(G163)&lt;=TODAY()),NOT(AND(O163&gt;='Paramètres'!$B$21,P163=0))),E163+159/10000,"")</f>
        <v/>
      </c>
      <c r="BU163" s="60">
        <f>IF(AND(G163&lt;&gt;"",N(G163)&lt;=TODAY()),MAX($BU$4:BU162)+1,"")</f>
        <v/>
      </c>
      <c r="BV163" s="60">
        <f>IF(AND(F163&lt;&gt;"",F163&lt;&gt;"Relance en retard"),MAX($BV$4:BV162)+1,"")</f>
        <v/>
      </c>
      <c r="BW163" s="60">
        <f>IF(C163="","",IF(AND(B163&gt;='Tableau de bord'!$R$4,B163&lt;='Tableau de bord'!$S$4,OR('Tableau de bord'!$G$4="Tous",N163='Tableau de bord'!$G$4)),1,0))</f>
        <v/>
      </c>
      <c r="BX163" s="60">
        <f>IF(AND(C163&lt;&gt;"",N(BA163)=7),MAX($BX$4:BX162)+1,"")</f>
        <v/>
      </c>
    </row>
    <row r="164">
      <c r="A164" s="60">
        <f>IF(C164="","","P-"&amp;TEXT(160,"000"))</f>
        <v/>
      </c>
      <c r="B164" s="106">
        <f>IF(C164="","",IFERROR(1/(1/_xlfn.MINIFS('Saisie'!$A$5:$A$2004,'Saisie'!$C$5:$C$2004,C164)),""))</f>
        <v/>
      </c>
      <c r="C164" s="60">
        <f>IFERROR(INDEX('Saisie'!$C$5:$C$2004,MATCH(160,'Saisie'!$AX$5:$AX$2004,0)),"")</f>
        <v/>
      </c>
      <c r="D164" s="60">
        <f>IF(C164="","",IF(AND(BR164&gt;0,BR164&gt;BS164,BA164&lt;7),"Perdu",INDEX('Paramètres'!$F$6:$F$13,BA164)))</f>
        <v/>
      </c>
      <c r="E164" s="61">
        <f>IF(C164="","",MIN(100,(Z164="Oui")*'Paramètres'!$B$38+(AB164="Régulière")*'Paramètres'!$B$39+IF(AND(N(AA164)&gt;0,TODAY()-N(AA164)&lt;=30),'Paramètres'!$B$40,0)+(W164="")*'Paramètres'!$B$41+(AC164="Absente")*'Paramètres'!$B$42+(AC164="Faible")*'Paramètres'!$B$43+IF(AND(N(AD164)&gt;0,N(AD164)&lt;4),'Paramètres'!$B$44,0)+(AF164="Moyenne")*'Paramètres'!$B$45+(AF164="Grande")*'Paramètres'!$B$46+(Y164&lt;&gt;"")*'Paramètres'!$B$47))</f>
        <v/>
      </c>
      <c r="F164" s="60">
        <f>IF(C164="","",IF(D164="Gagné","",IF(D164="Perdu",IF(AND(AX164&lt;&gt;"",AX164&lt;=TODAY()),"À recontacter (perdu)",""),IF(AND(O164&gt;='Paramètres'!$B$21,P164=0),"Stop : "&amp;'Paramètres'!$B$21&amp;" tentatives sans réponse",IF(AND(D164="Proposition",AR164&lt;&gt;"",TODAY()&gt;N(AR164)),"Proposition expirée",IF(AND(D164="Proposition",N(R164)&gt;='Paramètres'!$B$25),"Proposition sans réponse",IF(AND(G164&lt;&gt;"",N(G164)&lt;TODAY()),"Relance en retard",IF(N(R164)&gt;='Paramètres'!$B$24,"Sans action depuis "&amp;R164&amp;" j",""))))))))</f>
        <v/>
      </c>
      <c r="G164" s="106">
        <f>IF(OR(C164="",D164="Gagné",D164="Perdu"),"",IF(AND(BP164&gt;0,BP164=BQ164),INDEX('Saisie'!$J$5:$J$2004,BP164-4),IF(OR(O164=0,AND(O164&gt;='Paramètres'!$B$21,P164=0)),"",Q164+IF(O164&lt;=1,'Paramètres'!$B$18,IF(O164=2,'Paramètres'!$B$19,'Paramètres'!$B$20)))))</f>
        <v/>
      </c>
      <c r="H164" s="107">
        <f>IF(OR(G164="",BP164&lt;&gt;BQ164),"",IF(INDEX('Saisie'!$K$5:$K$2004,BP164-4)="","",INDEX('Saisie'!$K$5:$K$2004,BP164-4)))</f>
        <v/>
      </c>
      <c r="I164" s="60">
        <f>IF(C164="","",IF(OR(D164="Gagné",D164="Perdu"),"",IFERROR(INDEX('Saisie'!$I$5:$I$2004,_xlfn.MAXIFS('Saisie'!$AS$5:$AS$2004,'Saisie'!$C$5:$C$2004,C164,'Saisie'!$I$5:$I$2004,"&lt;&gt;")-4),"")))</f>
        <v/>
      </c>
      <c r="J164" s="60">
        <f>IF(C164="","",IFERROR(INDEX('Saisie'!$U$5:$U$2004,_xlfn.MAXIFS('Saisie'!$AS$5:$AS$2004,'Saisie'!$C$5:$C$2004,C164,'Saisie'!$U$5:$U$2004,"&lt;&gt;")-4),""))</f>
        <v/>
      </c>
      <c r="K164" s="60">
        <f>IF(C164="","",IFERROR(INDEX('Saisie'!$W$5:$W$2004,_xlfn.MAXIFS('Saisie'!$AS$5:$AS$2004,'Saisie'!$C$5:$C$2004,C164,'Saisie'!$W$5:$W$2004,"&lt;&gt;")-4),""))</f>
        <v/>
      </c>
      <c r="L164" s="60">
        <f>IF(IF(BB164&lt;&gt;"",BB164,K164)="","",HYPERLINK("https://wa.me/"&amp;IF(LEFT(SUBSTITUTE(SUBSTITUTE(SUBSTITUTE(IF(BB164&lt;&gt;"",BB164,K164)," ",""),".",""),"+",""),1)="0",'Paramètres'!$B$35&amp;MID(SUBSTITUTE(SUBSTITUTE(SUBSTITUTE(IF(BB164&lt;&gt;"",BB164,K164)," ",""),".",""),"+",""),2,20),SUBSTITUTE(SUBSTITUTE(SUBSTITUTE(IF(BB164&lt;&gt;"",BB164,K164)," ",""),".",""),"+","")),"WhatsApp"))</f>
        <v/>
      </c>
      <c r="M164" s="60">
        <f>IF(BC164="","",HYPERLINK(IF(LEFT(BC164,4)="http",BC164,"https://www.instagram.com/"&amp;SUBSTITUTE(SUBSTITUTE(BC164,"@","")," ","")),BC164))</f>
        <v/>
      </c>
      <c r="N164" s="60">
        <f>IF(C164="","",IFERROR(INDEX('Saisie'!$D$5:$D$2004,_xlfn.MINIFS('Saisie'!$AS$5:$AS$2004,'Saisie'!$C$5:$C$2004,C164,'Saisie'!$AU$5:$AU$2004,1)-4),IFERROR(INDEX('Saisie'!$D$5:$D$2004,_xlfn.MINIFS('Saisie'!$AS$5:$AS$2004,'Saisie'!$C$5:$C$2004,C164,'Saisie'!$D$5:$D$2004,"&lt;&gt;")-4),"")))</f>
        <v/>
      </c>
      <c r="O164" s="60">
        <f>IF(C164="","",COUNTIFS('Saisie'!$C$5:$C$2004,C164,'Saisie'!$AU$5:$AU$2004,1))</f>
        <v/>
      </c>
      <c r="P164" s="60">
        <f>IF(C164="","",COUNTIFS('Saisie'!$C$5:$C$2004,C164,'Saisie'!$AV$5:$AV$2004,1))</f>
        <v/>
      </c>
      <c r="Q164" s="106">
        <f>IF(C164="","",IFERROR(1/(1/_xlfn.MAXIFS('Saisie'!$A$5:$A$2004,'Saisie'!$C$5:$C$2004,C164)),""))</f>
        <v/>
      </c>
      <c r="R164" s="61">
        <f>IF(C164="","",IF(Q164="","",TODAY()-Q164))</f>
        <v/>
      </c>
      <c r="S164" s="60">
        <f>IF(C164="","",IFERROR(INDEX('Saisie'!$R$5:$R$2004,_xlfn.MAXIFS('Saisie'!$AS$5:$AS$2004,'Saisie'!$C$5:$C$2004,C164,'Saisie'!$R$5:$R$2004,"&lt;&gt;")-4),""))</f>
        <v/>
      </c>
      <c r="T164" s="60">
        <f>IF(C164="","",IFERROR(INDEX('Saisie'!$S$5:$S$2004,_xlfn.MAXIFS('Saisie'!$AS$5:$AS$2004,'Saisie'!$C$5:$C$2004,C164,'Saisie'!$S$5:$S$2004,"&lt;&gt;")-4),""))</f>
        <v/>
      </c>
      <c r="U164" s="60">
        <f>IF(C164="","",IFERROR(INDEX('Saisie'!$T$5:$T$2004,_xlfn.MAXIFS('Saisie'!$AS$5:$AS$2004,'Saisie'!$C$5:$C$2004,C164,'Saisie'!$T$5:$T$2004,"&lt;&gt;")-4),""))</f>
        <v/>
      </c>
      <c r="V164" s="60">
        <f>IF(C164="","",IFERROR(INDEX('Saisie'!$V$5:$V$2004,_xlfn.MAXIFS('Saisie'!$AS$5:$AS$2004,'Saisie'!$C$5:$C$2004,C164,'Saisie'!$V$5:$V$2004,"&lt;&gt;")-4),""))</f>
        <v/>
      </c>
      <c r="W164" s="60">
        <f>IF(C164="","",IFERROR(INDEX('Saisie'!$Z$5:$Z$2004,_xlfn.MAXIFS('Saisie'!$AS$5:$AS$2004,'Saisie'!$C$5:$C$2004,C164,'Saisie'!$Z$5:$Z$2004,"&lt;&gt;")-4),""))</f>
        <v/>
      </c>
      <c r="X164" s="60">
        <f>IF(C164="","",IFERROR(INDEX('Saisie'!$AA$5:$AA$2004,_xlfn.MAXIFS('Saisie'!$AS$5:$AS$2004,'Saisie'!$C$5:$C$2004,C164,'Saisie'!$AA$5:$AA$2004,"&lt;&gt;")-4),""))</f>
        <v/>
      </c>
      <c r="Y164" s="60">
        <f>IF(C164="","",IFERROR(INDEX('Saisie'!$AB$5:$AB$2004,_xlfn.MAXIFS('Saisie'!$AS$5:$AS$2004,'Saisie'!$C$5:$C$2004,C164,'Saisie'!$AB$5:$AB$2004,"&lt;&gt;")-4),""))</f>
        <v/>
      </c>
      <c r="Z164" s="60">
        <f>IF(C164="","",IFERROR(INDEX('Saisie'!$AC$5:$AC$2004,_xlfn.MAXIFS('Saisie'!$AS$5:$AS$2004,'Saisie'!$C$5:$C$2004,C164,'Saisie'!$AC$5:$AC$2004,"&lt;&gt;")-4),""))</f>
        <v/>
      </c>
      <c r="AA164" s="106">
        <f>IF(C164="","",IFERROR(INDEX('Saisie'!$AD$5:$AD$2004,_xlfn.MAXIFS('Saisie'!$AS$5:$AS$2004,'Saisie'!$C$5:$C$2004,C164,'Saisie'!$AD$5:$AD$2004,"&lt;&gt;")-4),""))</f>
        <v/>
      </c>
      <c r="AB164" s="60">
        <f>IF(C164="","",IFERROR(INDEX('Saisie'!$AE$5:$AE$2004,_xlfn.MAXIFS('Saisie'!$AS$5:$AS$2004,'Saisie'!$C$5:$C$2004,C164,'Saisie'!$AE$5:$AE$2004,"&lt;&gt;")-4),""))</f>
        <v/>
      </c>
      <c r="AC164" s="60">
        <f>IF(C164="","",IFERROR(INDEX('Saisie'!$AF$5:$AF$2004,_xlfn.MAXIFS('Saisie'!$AS$5:$AS$2004,'Saisie'!$C$5:$C$2004,C164,'Saisie'!$AF$5:$AF$2004,"&lt;&gt;")-4),""))</f>
        <v/>
      </c>
      <c r="AD164" s="108">
        <f>IF(C164="","",IFERROR(INDEX('Saisie'!$AG$5:$AG$2004,_xlfn.MAXIFS('Saisie'!$AS$5:$AS$2004,'Saisie'!$C$5:$C$2004,C164,'Saisie'!$AG$5:$AG$2004,"&lt;&gt;")-4),""))</f>
        <v/>
      </c>
      <c r="AE164" s="60">
        <f>IF(C164="","",IFERROR(INDEX('Saisie'!$AH$5:$AH$2004,_xlfn.MAXIFS('Saisie'!$AS$5:$AS$2004,'Saisie'!$C$5:$C$2004,C164,'Saisie'!$AH$5:$AH$2004,"&lt;&gt;")-4),""))</f>
        <v/>
      </c>
      <c r="AF164" s="60">
        <f>IF(C164="","",IFERROR(INDEX('Saisie'!$AI$5:$AI$2004,_xlfn.MAXIFS('Saisie'!$AS$5:$AS$2004,'Saisie'!$C$5:$C$2004,C164,'Saisie'!$AI$5:$AI$2004,"&lt;&gt;")-4),""))</f>
        <v/>
      </c>
      <c r="AG164" s="60">
        <f>IF(C164="","",IFERROR(INDEX('Saisie'!$AJ$5:$AJ$2004,_xlfn.MAXIFS('Saisie'!$AS$5:$AS$2004,'Saisie'!$C$5:$C$2004,C164,'Saisie'!$AJ$5:$AJ$2004,"&lt;&gt;")-4),""))</f>
        <v/>
      </c>
      <c r="AH164" s="60">
        <f>IF(C164="","",IFERROR(INDEX('Saisie'!$AK$5:$AK$2004,_xlfn.MAXIFS('Saisie'!$AS$5:$AS$2004,'Saisie'!$C$5:$C$2004,C164,'Saisie'!$AK$5:$AK$2004,"&lt;&gt;")-4),""))</f>
        <v/>
      </c>
      <c r="AI164" s="60">
        <f>IF(C164="","",IFERROR(INDEX('Saisie'!$AN$5:$AN$2004,_xlfn.MAXIFS('Saisie'!$AS$5:$AS$2004,'Saisie'!$C$5:$C$2004,C164,'Saisie'!$AN$5:$AN$2004,"&lt;&gt;")-4),""))</f>
        <v/>
      </c>
      <c r="AJ164" s="60">
        <f>IF(C164="","",IFERROR(INDEX('Saisie'!$AO$5:$AO$2004,_xlfn.MAXIFS('Saisie'!$AS$5:$AS$2004,'Saisie'!$C$5:$C$2004,C164,'Saisie'!$AO$5:$AO$2004,"&lt;&gt;")-4),""))</f>
        <v/>
      </c>
      <c r="AK164" s="60">
        <f>IF(C164="","",IFERROR(INDEX('Saisie'!$AP$5:$AP$2004,_xlfn.MAXIFS('Saisie'!$AS$5:$AS$2004,'Saisie'!$C$5:$C$2004,C164,'Saisie'!$AP$5:$AP$2004,"&lt;&gt;")-4),""))</f>
        <v/>
      </c>
      <c r="AL164" s="60">
        <f>IF(C164="","",IFERROR(INDEX('Saisie'!$AQ$5:$AQ$2004,_xlfn.MAXIFS('Saisie'!$AS$5:$AS$2004,'Saisie'!$C$5:$C$2004,C164,'Saisie'!$AQ$5:$AQ$2004,"&lt;&gt;")-4),""))</f>
        <v/>
      </c>
      <c r="AM164" s="60">
        <f>IF(C164="","",((AI164="Oui")+(AJ164="Oui")+(AK164="Oui")+OR(AL164="Immédiat",AL164="&lt; 1 mois"))&amp;"/4")</f>
        <v/>
      </c>
      <c r="AN164" s="60">
        <f>IF(C164="","",IFERROR(INDEX('Saisie'!$AL$5:$AL$2004,_xlfn.MAXIFS('Saisie'!$AS$5:$AS$2004,'Saisie'!$C$5:$C$2004,C164,'Saisie'!$AL$5:$AL$2004,"&lt;&gt;")-4),""))</f>
        <v/>
      </c>
      <c r="AO164" s="62">
        <f>IF(C164="","",IF(IFERROR(INDEX('Saisie'!$AM$5:$AM$2004,_xlfn.MAXIFS('Saisie'!$AS$5:$AS$2004,'Saisie'!$C$5:$C$2004,C164,'Saisie'!$AM$5:$AM$2004,"&lt;&gt;")-4),"")&lt;&gt;"",IFERROR(INDEX('Saisie'!$AM$5:$AM$2004,_xlfn.MAXIFS('Saisie'!$AS$5:$AS$2004,'Saisie'!$C$5:$C$2004,C164,'Saisie'!$AM$5:$AM$2004,"&lt;&gt;")-4),""),IFERROR(INDEX('Paramètres'!$S$6:$S$15,MATCH(AN164,'Paramètres'!$Q$6:$Q$15,0)),"")))</f>
        <v/>
      </c>
      <c r="AP164" s="62">
        <f>IF(C164="","",IFERROR(INDEX('Saisie'!$AW$5:$AW$2004,_xlfn.MAXIFS('Saisie'!$AS$5:$AS$2004,'Saisie'!$C$5:$C$2004,C164,'Saisie'!$E$5:$E$2004,"Proposition envoyée")-4),""))</f>
        <v/>
      </c>
      <c r="AQ164" s="106">
        <f>IF(C164="","",IFERROR(1/(1/_xlfn.MAXIFS('Saisie'!$A$5:$A$2004,'Saisie'!$C$5:$C$2004,C164,'Saisie'!$E$5:$E$2004,"Proposition envoyée")),""))</f>
        <v/>
      </c>
      <c r="AR164" s="106">
        <f>IF(C164="","",IF(AQ164="","",AQ164+'Paramètres'!$B$26))</f>
        <v/>
      </c>
      <c r="AS164" s="62">
        <f>IF(OR(C164="",D164="Gagné",D164="Perdu"),0,N(AP164)*IFERROR(INDEX('Paramètres'!$G$6:$G$13,MATCH(D164,'Paramètres'!$F$6:$F$13,0)),0))</f>
        <v/>
      </c>
      <c r="AT164" s="106">
        <f>IF(C164="","",IFERROR(1/(1/_xlfn.MINIFS('Saisie'!$A$5:$A$2004,'Saisie'!$C$5:$C$2004,C164,'Saisie'!$E$5:$E$2004,"Signature")),""))</f>
        <v/>
      </c>
      <c r="AU164" s="60">
        <f>IF(C164="","",IF(OR(AT164="",B164=""),"",AT164-B164))</f>
        <v/>
      </c>
      <c r="AV164" s="60">
        <f>IF(C164="","",IFERROR(INDEX('Saisie'!$L$5:$L$2004,_xlfn.MAXIFS('Saisie'!$AS$5:$AS$2004,'Saisie'!$C$5:$C$2004,C164,'Saisie'!$L$5:$L$2004,"&lt;&gt;")-4),""))</f>
        <v/>
      </c>
      <c r="AW164" s="106">
        <f>IF(C164="","",IF(D164&lt;&gt;"Perdu","",IFERROR(1/(1/_xlfn.MAXIFS('Saisie'!$A$5:$A$2004,'Saisie'!$C$5:$C$2004,C164,'Saisie'!$E$5:$E$2004,"Perdu")),"")))</f>
        <v/>
      </c>
      <c r="AX164" s="106">
        <f>IF(C164="","",IF(AW164="","",AW164+'Paramètres'!$B$28))</f>
        <v/>
      </c>
      <c r="AY164" s="60">
        <f>IF(C164="","",SUMIFS('Saisie'!$H$5:$H$2004,'Saisie'!$C$5:$C$2004,C164))</f>
        <v/>
      </c>
      <c r="AZ164" s="60">
        <f>IF(C164="","",IFERROR(INDEX('Paramètres'!$W$6:$W$20,MATCH(S164,'Paramètres'!$V$6:$V$20,0))&amp;"",""))</f>
        <v/>
      </c>
      <c r="BA164" s="60">
        <f>IF(C164="","",MAX(1,_xlfn.MAXIFS('Saisie'!$AT$5:$AT$2004,'Saisie'!$C$5:$C$2004,C164)))</f>
        <v/>
      </c>
      <c r="BB164" s="60">
        <f>IF(C164="","",IFERROR(INDEX('Saisie'!$X$5:$X$2004,_xlfn.MAXIFS('Saisie'!$AS$5:$AS$2004,'Saisie'!$C$5:$C$2004,C164,'Saisie'!$X$5:$X$2004,"&lt;&gt;")-4),""))</f>
        <v/>
      </c>
      <c r="BC164" s="60">
        <f>IF(C164="","",IFERROR(INDEX('Saisie'!$Y$5:$Y$2004,_xlfn.MAXIFS('Saisie'!$AS$5:$AS$2004,'Saisie'!$C$5:$C$2004,C164,'Saisie'!$Y$5:$Y$2004,"&lt;&gt;")-4),""))</f>
        <v/>
      </c>
      <c r="BD164" s="106">
        <f>IF(C164="","",IFERROR(1/(1/_xlfn.MINIFS('Saisie'!$A$5:$A$2004,'Saisie'!$C$5:$C$2004,C164,'Saisie'!$AT$5:$AT$2004,"&gt;=2")),""))</f>
        <v/>
      </c>
      <c r="BE164" s="106">
        <f>IF(C164="","",IFERROR(1/(1/_xlfn.MINIFS('Saisie'!$A$5:$A$2004,'Saisie'!$C$5:$C$2004,C164,'Saisie'!$AT$5:$AT$2004,"&gt;=3")),""))</f>
        <v/>
      </c>
      <c r="BF164" s="106">
        <f>IF(C164="","",IFERROR(1/(1/_xlfn.MINIFS('Saisie'!$A$5:$A$2004,'Saisie'!$C$5:$C$2004,C164,'Saisie'!$AT$5:$AT$2004,"&gt;=4")),""))</f>
        <v/>
      </c>
      <c r="BG164" s="106">
        <f>IF(C164="","",IFERROR(1/(1/_xlfn.MINIFS('Saisie'!$A$5:$A$2004,'Saisie'!$C$5:$C$2004,C164,'Saisie'!$AT$5:$AT$2004,"&gt;=5")),""))</f>
        <v/>
      </c>
      <c r="BH164" s="106">
        <f>IF(C164="","",IFERROR(1/(1/_xlfn.MINIFS('Saisie'!$A$5:$A$2004,'Saisie'!$C$5:$C$2004,C164,'Saisie'!$AT$5:$AT$2004,"&gt;=6")),""))</f>
        <v/>
      </c>
      <c r="BI164" s="106">
        <f>IF(C164="","",IFERROR(1/(1/_xlfn.MINIFS('Saisie'!$A$5:$A$2004,'Saisie'!$C$5:$C$2004,C164,'Saisie'!$AT$5:$AT$2004,"&gt;=7")),""))</f>
        <v/>
      </c>
      <c r="BJ164" s="60">
        <f>IF(OR(BD164="",B164=""),"",BD164-B164)</f>
        <v/>
      </c>
      <c r="BK164" s="60">
        <f>IF(OR(BE164="",BD164=""),"",BE164-BD164)</f>
        <v/>
      </c>
      <c r="BL164" s="60">
        <f>IF(OR(BF164="",BE164=""),"",BF164-BE164)</f>
        <v/>
      </c>
      <c r="BM164" s="60">
        <f>IF(OR(BG164="",BF164=""),"",BG164-BF164)</f>
        <v/>
      </c>
      <c r="BN164" s="60">
        <f>IF(OR(BH164="",BG164=""),"",BH164-BG164)</f>
        <v/>
      </c>
      <c r="BO164" s="60">
        <f>IF(OR(BI164="",BH164=""),"",BI164-BH164)</f>
        <v/>
      </c>
      <c r="BP164" s="60">
        <f>IF(C164="","",_xlfn.MAXIFS('Saisie'!$AS$5:$AS$2004,'Saisie'!$C$5:$C$2004,C164,'Saisie'!$J$5:$J$2004,"&lt;&gt;"))</f>
        <v/>
      </c>
      <c r="BQ164" s="60">
        <f>IF(C164="","",_xlfn.MAXIFS('Saisie'!$AS$5:$AS$2004,'Saisie'!$C$5:$C$2004,C164))</f>
        <v/>
      </c>
      <c r="BR164" s="60">
        <f>IF(C164="","",_xlfn.MAXIFS('Saisie'!$AS$5:$AS$2004,'Saisie'!$C$5:$C$2004,C164,'Saisie'!$E$5:$E$2004,"Perdu"))</f>
        <v/>
      </c>
      <c r="BS164" s="60">
        <f>IF(C164="","",_xlfn.MAXIFS('Saisie'!$AS$5:$AS$2004,'Saisie'!$C$5:$C$2004,C164,'Saisie'!$AT$5:$AT$2004,"&gt;0"))</f>
        <v/>
      </c>
      <c r="BT164" s="109">
        <f>IF(AND(C164&lt;&gt;"",OR(D164="Nouveau",D164="Contacté",D164="Qualifié"),OR(G164="",N(G164)&lt;=TODAY()),NOT(AND(O164&gt;='Paramètres'!$B$21,P164=0))),E164+160/10000,"")</f>
        <v/>
      </c>
      <c r="BU164" s="60">
        <f>IF(AND(G164&lt;&gt;"",N(G164)&lt;=TODAY()),MAX($BU$4:BU163)+1,"")</f>
        <v/>
      </c>
      <c r="BV164" s="60">
        <f>IF(AND(F164&lt;&gt;"",F164&lt;&gt;"Relance en retard"),MAX($BV$4:BV163)+1,"")</f>
        <v/>
      </c>
      <c r="BW164" s="60">
        <f>IF(C164="","",IF(AND(B164&gt;='Tableau de bord'!$R$4,B164&lt;='Tableau de bord'!$S$4,OR('Tableau de bord'!$G$4="Tous",N164='Tableau de bord'!$G$4)),1,0))</f>
        <v/>
      </c>
      <c r="BX164" s="60">
        <f>IF(AND(C164&lt;&gt;"",N(BA164)=7),MAX($BX$4:BX163)+1,"")</f>
        <v/>
      </c>
    </row>
    <row r="165">
      <c r="A165" s="60">
        <f>IF(C165="","","P-"&amp;TEXT(161,"000"))</f>
        <v/>
      </c>
      <c r="B165" s="106">
        <f>IF(C165="","",IFERROR(1/(1/_xlfn.MINIFS('Saisie'!$A$5:$A$2004,'Saisie'!$C$5:$C$2004,C165)),""))</f>
        <v/>
      </c>
      <c r="C165" s="60">
        <f>IFERROR(INDEX('Saisie'!$C$5:$C$2004,MATCH(161,'Saisie'!$AX$5:$AX$2004,0)),"")</f>
        <v/>
      </c>
      <c r="D165" s="60">
        <f>IF(C165="","",IF(AND(BR165&gt;0,BR165&gt;BS165,BA165&lt;7),"Perdu",INDEX('Paramètres'!$F$6:$F$13,BA165)))</f>
        <v/>
      </c>
      <c r="E165" s="61">
        <f>IF(C165="","",MIN(100,(Z165="Oui")*'Paramètres'!$B$38+(AB165="Régulière")*'Paramètres'!$B$39+IF(AND(N(AA165)&gt;0,TODAY()-N(AA165)&lt;=30),'Paramètres'!$B$40,0)+(W165="")*'Paramètres'!$B$41+(AC165="Absente")*'Paramètres'!$B$42+(AC165="Faible")*'Paramètres'!$B$43+IF(AND(N(AD165)&gt;0,N(AD165)&lt;4),'Paramètres'!$B$44,0)+(AF165="Moyenne")*'Paramètres'!$B$45+(AF165="Grande")*'Paramètres'!$B$46+(Y165&lt;&gt;"")*'Paramètres'!$B$47))</f>
        <v/>
      </c>
      <c r="F165" s="60">
        <f>IF(C165="","",IF(D165="Gagné","",IF(D165="Perdu",IF(AND(AX165&lt;&gt;"",AX165&lt;=TODAY()),"À recontacter (perdu)",""),IF(AND(O165&gt;='Paramètres'!$B$21,P165=0),"Stop : "&amp;'Paramètres'!$B$21&amp;" tentatives sans réponse",IF(AND(D165="Proposition",AR165&lt;&gt;"",TODAY()&gt;N(AR165)),"Proposition expirée",IF(AND(D165="Proposition",N(R165)&gt;='Paramètres'!$B$25),"Proposition sans réponse",IF(AND(G165&lt;&gt;"",N(G165)&lt;TODAY()),"Relance en retard",IF(N(R165)&gt;='Paramètres'!$B$24,"Sans action depuis "&amp;R165&amp;" j",""))))))))</f>
        <v/>
      </c>
      <c r="G165" s="106">
        <f>IF(OR(C165="",D165="Gagné",D165="Perdu"),"",IF(AND(BP165&gt;0,BP165=BQ165),INDEX('Saisie'!$J$5:$J$2004,BP165-4),IF(OR(O165=0,AND(O165&gt;='Paramètres'!$B$21,P165=0)),"",Q165+IF(O165&lt;=1,'Paramètres'!$B$18,IF(O165=2,'Paramètres'!$B$19,'Paramètres'!$B$20)))))</f>
        <v/>
      </c>
      <c r="H165" s="107">
        <f>IF(OR(G165="",BP165&lt;&gt;BQ165),"",IF(INDEX('Saisie'!$K$5:$K$2004,BP165-4)="","",INDEX('Saisie'!$K$5:$K$2004,BP165-4)))</f>
        <v/>
      </c>
      <c r="I165" s="60">
        <f>IF(C165="","",IF(OR(D165="Gagné",D165="Perdu"),"",IFERROR(INDEX('Saisie'!$I$5:$I$2004,_xlfn.MAXIFS('Saisie'!$AS$5:$AS$2004,'Saisie'!$C$5:$C$2004,C165,'Saisie'!$I$5:$I$2004,"&lt;&gt;")-4),"")))</f>
        <v/>
      </c>
      <c r="J165" s="60">
        <f>IF(C165="","",IFERROR(INDEX('Saisie'!$U$5:$U$2004,_xlfn.MAXIFS('Saisie'!$AS$5:$AS$2004,'Saisie'!$C$5:$C$2004,C165,'Saisie'!$U$5:$U$2004,"&lt;&gt;")-4),""))</f>
        <v/>
      </c>
      <c r="K165" s="60">
        <f>IF(C165="","",IFERROR(INDEX('Saisie'!$W$5:$W$2004,_xlfn.MAXIFS('Saisie'!$AS$5:$AS$2004,'Saisie'!$C$5:$C$2004,C165,'Saisie'!$W$5:$W$2004,"&lt;&gt;")-4),""))</f>
        <v/>
      </c>
      <c r="L165" s="60">
        <f>IF(IF(BB165&lt;&gt;"",BB165,K165)="","",HYPERLINK("https://wa.me/"&amp;IF(LEFT(SUBSTITUTE(SUBSTITUTE(SUBSTITUTE(IF(BB165&lt;&gt;"",BB165,K165)," ",""),".",""),"+",""),1)="0",'Paramètres'!$B$35&amp;MID(SUBSTITUTE(SUBSTITUTE(SUBSTITUTE(IF(BB165&lt;&gt;"",BB165,K165)," ",""),".",""),"+",""),2,20),SUBSTITUTE(SUBSTITUTE(SUBSTITUTE(IF(BB165&lt;&gt;"",BB165,K165)," ",""),".",""),"+","")),"WhatsApp"))</f>
        <v/>
      </c>
      <c r="M165" s="60">
        <f>IF(BC165="","",HYPERLINK(IF(LEFT(BC165,4)="http",BC165,"https://www.instagram.com/"&amp;SUBSTITUTE(SUBSTITUTE(BC165,"@","")," ","")),BC165))</f>
        <v/>
      </c>
      <c r="N165" s="60">
        <f>IF(C165="","",IFERROR(INDEX('Saisie'!$D$5:$D$2004,_xlfn.MINIFS('Saisie'!$AS$5:$AS$2004,'Saisie'!$C$5:$C$2004,C165,'Saisie'!$AU$5:$AU$2004,1)-4),IFERROR(INDEX('Saisie'!$D$5:$D$2004,_xlfn.MINIFS('Saisie'!$AS$5:$AS$2004,'Saisie'!$C$5:$C$2004,C165,'Saisie'!$D$5:$D$2004,"&lt;&gt;")-4),"")))</f>
        <v/>
      </c>
      <c r="O165" s="60">
        <f>IF(C165="","",COUNTIFS('Saisie'!$C$5:$C$2004,C165,'Saisie'!$AU$5:$AU$2004,1))</f>
        <v/>
      </c>
      <c r="P165" s="60">
        <f>IF(C165="","",COUNTIFS('Saisie'!$C$5:$C$2004,C165,'Saisie'!$AV$5:$AV$2004,1))</f>
        <v/>
      </c>
      <c r="Q165" s="106">
        <f>IF(C165="","",IFERROR(1/(1/_xlfn.MAXIFS('Saisie'!$A$5:$A$2004,'Saisie'!$C$5:$C$2004,C165)),""))</f>
        <v/>
      </c>
      <c r="R165" s="61">
        <f>IF(C165="","",IF(Q165="","",TODAY()-Q165))</f>
        <v/>
      </c>
      <c r="S165" s="60">
        <f>IF(C165="","",IFERROR(INDEX('Saisie'!$R$5:$R$2004,_xlfn.MAXIFS('Saisie'!$AS$5:$AS$2004,'Saisie'!$C$5:$C$2004,C165,'Saisie'!$R$5:$R$2004,"&lt;&gt;")-4),""))</f>
        <v/>
      </c>
      <c r="T165" s="60">
        <f>IF(C165="","",IFERROR(INDEX('Saisie'!$S$5:$S$2004,_xlfn.MAXIFS('Saisie'!$AS$5:$AS$2004,'Saisie'!$C$5:$C$2004,C165,'Saisie'!$S$5:$S$2004,"&lt;&gt;")-4),""))</f>
        <v/>
      </c>
      <c r="U165" s="60">
        <f>IF(C165="","",IFERROR(INDEX('Saisie'!$T$5:$T$2004,_xlfn.MAXIFS('Saisie'!$AS$5:$AS$2004,'Saisie'!$C$5:$C$2004,C165,'Saisie'!$T$5:$T$2004,"&lt;&gt;")-4),""))</f>
        <v/>
      </c>
      <c r="V165" s="60">
        <f>IF(C165="","",IFERROR(INDEX('Saisie'!$V$5:$V$2004,_xlfn.MAXIFS('Saisie'!$AS$5:$AS$2004,'Saisie'!$C$5:$C$2004,C165,'Saisie'!$V$5:$V$2004,"&lt;&gt;")-4),""))</f>
        <v/>
      </c>
      <c r="W165" s="60">
        <f>IF(C165="","",IFERROR(INDEX('Saisie'!$Z$5:$Z$2004,_xlfn.MAXIFS('Saisie'!$AS$5:$AS$2004,'Saisie'!$C$5:$C$2004,C165,'Saisie'!$Z$5:$Z$2004,"&lt;&gt;")-4),""))</f>
        <v/>
      </c>
      <c r="X165" s="60">
        <f>IF(C165="","",IFERROR(INDEX('Saisie'!$AA$5:$AA$2004,_xlfn.MAXIFS('Saisie'!$AS$5:$AS$2004,'Saisie'!$C$5:$C$2004,C165,'Saisie'!$AA$5:$AA$2004,"&lt;&gt;")-4),""))</f>
        <v/>
      </c>
      <c r="Y165" s="60">
        <f>IF(C165="","",IFERROR(INDEX('Saisie'!$AB$5:$AB$2004,_xlfn.MAXIFS('Saisie'!$AS$5:$AS$2004,'Saisie'!$C$5:$C$2004,C165,'Saisie'!$AB$5:$AB$2004,"&lt;&gt;")-4),""))</f>
        <v/>
      </c>
      <c r="Z165" s="60">
        <f>IF(C165="","",IFERROR(INDEX('Saisie'!$AC$5:$AC$2004,_xlfn.MAXIFS('Saisie'!$AS$5:$AS$2004,'Saisie'!$C$5:$C$2004,C165,'Saisie'!$AC$5:$AC$2004,"&lt;&gt;")-4),""))</f>
        <v/>
      </c>
      <c r="AA165" s="106">
        <f>IF(C165="","",IFERROR(INDEX('Saisie'!$AD$5:$AD$2004,_xlfn.MAXIFS('Saisie'!$AS$5:$AS$2004,'Saisie'!$C$5:$C$2004,C165,'Saisie'!$AD$5:$AD$2004,"&lt;&gt;")-4),""))</f>
        <v/>
      </c>
      <c r="AB165" s="60">
        <f>IF(C165="","",IFERROR(INDEX('Saisie'!$AE$5:$AE$2004,_xlfn.MAXIFS('Saisie'!$AS$5:$AS$2004,'Saisie'!$C$5:$C$2004,C165,'Saisie'!$AE$5:$AE$2004,"&lt;&gt;")-4),""))</f>
        <v/>
      </c>
      <c r="AC165" s="60">
        <f>IF(C165="","",IFERROR(INDEX('Saisie'!$AF$5:$AF$2004,_xlfn.MAXIFS('Saisie'!$AS$5:$AS$2004,'Saisie'!$C$5:$C$2004,C165,'Saisie'!$AF$5:$AF$2004,"&lt;&gt;")-4),""))</f>
        <v/>
      </c>
      <c r="AD165" s="108">
        <f>IF(C165="","",IFERROR(INDEX('Saisie'!$AG$5:$AG$2004,_xlfn.MAXIFS('Saisie'!$AS$5:$AS$2004,'Saisie'!$C$5:$C$2004,C165,'Saisie'!$AG$5:$AG$2004,"&lt;&gt;")-4),""))</f>
        <v/>
      </c>
      <c r="AE165" s="60">
        <f>IF(C165="","",IFERROR(INDEX('Saisie'!$AH$5:$AH$2004,_xlfn.MAXIFS('Saisie'!$AS$5:$AS$2004,'Saisie'!$C$5:$C$2004,C165,'Saisie'!$AH$5:$AH$2004,"&lt;&gt;")-4),""))</f>
        <v/>
      </c>
      <c r="AF165" s="60">
        <f>IF(C165="","",IFERROR(INDEX('Saisie'!$AI$5:$AI$2004,_xlfn.MAXIFS('Saisie'!$AS$5:$AS$2004,'Saisie'!$C$5:$C$2004,C165,'Saisie'!$AI$5:$AI$2004,"&lt;&gt;")-4),""))</f>
        <v/>
      </c>
      <c r="AG165" s="60">
        <f>IF(C165="","",IFERROR(INDEX('Saisie'!$AJ$5:$AJ$2004,_xlfn.MAXIFS('Saisie'!$AS$5:$AS$2004,'Saisie'!$C$5:$C$2004,C165,'Saisie'!$AJ$5:$AJ$2004,"&lt;&gt;")-4),""))</f>
        <v/>
      </c>
      <c r="AH165" s="60">
        <f>IF(C165="","",IFERROR(INDEX('Saisie'!$AK$5:$AK$2004,_xlfn.MAXIFS('Saisie'!$AS$5:$AS$2004,'Saisie'!$C$5:$C$2004,C165,'Saisie'!$AK$5:$AK$2004,"&lt;&gt;")-4),""))</f>
        <v/>
      </c>
      <c r="AI165" s="60">
        <f>IF(C165="","",IFERROR(INDEX('Saisie'!$AN$5:$AN$2004,_xlfn.MAXIFS('Saisie'!$AS$5:$AS$2004,'Saisie'!$C$5:$C$2004,C165,'Saisie'!$AN$5:$AN$2004,"&lt;&gt;")-4),""))</f>
        <v/>
      </c>
      <c r="AJ165" s="60">
        <f>IF(C165="","",IFERROR(INDEX('Saisie'!$AO$5:$AO$2004,_xlfn.MAXIFS('Saisie'!$AS$5:$AS$2004,'Saisie'!$C$5:$C$2004,C165,'Saisie'!$AO$5:$AO$2004,"&lt;&gt;")-4),""))</f>
        <v/>
      </c>
      <c r="AK165" s="60">
        <f>IF(C165="","",IFERROR(INDEX('Saisie'!$AP$5:$AP$2004,_xlfn.MAXIFS('Saisie'!$AS$5:$AS$2004,'Saisie'!$C$5:$C$2004,C165,'Saisie'!$AP$5:$AP$2004,"&lt;&gt;")-4),""))</f>
        <v/>
      </c>
      <c r="AL165" s="60">
        <f>IF(C165="","",IFERROR(INDEX('Saisie'!$AQ$5:$AQ$2004,_xlfn.MAXIFS('Saisie'!$AS$5:$AS$2004,'Saisie'!$C$5:$C$2004,C165,'Saisie'!$AQ$5:$AQ$2004,"&lt;&gt;")-4),""))</f>
        <v/>
      </c>
      <c r="AM165" s="60">
        <f>IF(C165="","",((AI165="Oui")+(AJ165="Oui")+(AK165="Oui")+OR(AL165="Immédiat",AL165="&lt; 1 mois"))&amp;"/4")</f>
        <v/>
      </c>
      <c r="AN165" s="60">
        <f>IF(C165="","",IFERROR(INDEX('Saisie'!$AL$5:$AL$2004,_xlfn.MAXIFS('Saisie'!$AS$5:$AS$2004,'Saisie'!$C$5:$C$2004,C165,'Saisie'!$AL$5:$AL$2004,"&lt;&gt;")-4),""))</f>
        <v/>
      </c>
      <c r="AO165" s="62">
        <f>IF(C165="","",IF(IFERROR(INDEX('Saisie'!$AM$5:$AM$2004,_xlfn.MAXIFS('Saisie'!$AS$5:$AS$2004,'Saisie'!$C$5:$C$2004,C165,'Saisie'!$AM$5:$AM$2004,"&lt;&gt;")-4),"")&lt;&gt;"",IFERROR(INDEX('Saisie'!$AM$5:$AM$2004,_xlfn.MAXIFS('Saisie'!$AS$5:$AS$2004,'Saisie'!$C$5:$C$2004,C165,'Saisie'!$AM$5:$AM$2004,"&lt;&gt;")-4),""),IFERROR(INDEX('Paramètres'!$S$6:$S$15,MATCH(AN165,'Paramètres'!$Q$6:$Q$15,0)),"")))</f>
        <v/>
      </c>
      <c r="AP165" s="62">
        <f>IF(C165="","",IFERROR(INDEX('Saisie'!$AW$5:$AW$2004,_xlfn.MAXIFS('Saisie'!$AS$5:$AS$2004,'Saisie'!$C$5:$C$2004,C165,'Saisie'!$E$5:$E$2004,"Proposition envoyée")-4),""))</f>
        <v/>
      </c>
      <c r="AQ165" s="106">
        <f>IF(C165="","",IFERROR(1/(1/_xlfn.MAXIFS('Saisie'!$A$5:$A$2004,'Saisie'!$C$5:$C$2004,C165,'Saisie'!$E$5:$E$2004,"Proposition envoyée")),""))</f>
        <v/>
      </c>
      <c r="AR165" s="106">
        <f>IF(C165="","",IF(AQ165="","",AQ165+'Paramètres'!$B$26))</f>
        <v/>
      </c>
      <c r="AS165" s="62">
        <f>IF(OR(C165="",D165="Gagné",D165="Perdu"),0,N(AP165)*IFERROR(INDEX('Paramètres'!$G$6:$G$13,MATCH(D165,'Paramètres'!$F$6:$F$13,0)),0))</f>
        <v/>
      </c>
      <c r="AT165" s="106">
        <f>IF(C165="","",IFERROR(1/(1/_xlfn.MINIFS('Saisie'!$A$5:$A$2004,'Saisie'!$C$5:$C$2004,C165,'Saisie'!$E$5:$E$2004,"Signature")),""))</f>
        <v/>
      </c>
      <c r="AU165" s="60">
        <f>IF(C165="","",IF(OR(AT165="",B165=""),"",AT165-B165))</f>
        <v/>
      </c>
      <c r="AV165" s="60">
        <f>IF(C165="","",IFERROR(INDEX('Saisie'!$L$5:$L$2004,_xlfn.MAXIFS('Saisie'!$AS$5:$AS$2004,'Saisie'!$C$5:$C$2004,C165,'Saisie'!$L$5:$L$2004,"&lt;&gt;")-4),""))</f>
        <v/>
      </c>
      <c r="AW165" s="106">
        <f>IF(C165="","",IF(D165&lt;&gt;"Perdu","",IFERROR(1/(1/_xlfn.MAXIFS('Saisie'!$A$5:$A$2004,'Saisie'!$C$5:$C$2004,C165,'Saisie'!$E$5:$E$2004,"Perdu")),"")))</f>
        <v/>
      </c>
      <c r="AX165" s="106">
        <f>IF(C165="","",IF(AW165="","",AW165+'Paramètres'!$B$28))</f>
        <v/>
      </c>
      <c r="AY165" s="60">
        <f>IF(C165="","",SUMIFS('Saisie'!$H$5:$H$2004,'Saisie'!$C$5:$C$2004,C165))</f>
        <v/>
      </c>
      <c r="AZ165" s="60">
        <f>IF(C165="","",IFERROR(INDEX('Paramètres'!$W$6:$W$20,MATCH(S165,'Paramètres'!$V$6:$V$20,0))&amp;"",""))</f>
        <v/>
      </c>
      <c r="BA165" s="60">
        <f>IF(C165="","",MAX(1,_xlfn.MAXIFS('Saisie'!$AT$5:$AT$2004,'Saisie'!$C$5:$C$2004,C165)))</f>
        <v/>
      </c>
      <c r="BB165" s="60">
        <f>IF(C165="","",IFERROR(INDEX('Saisie'!$X$5:$X$2004,_xlfn.MAXIFS('Saisie'!$AS$5:$AS$2004,'Saisie'!$C$5:$C$2004,C165,'Saisie'!$X$5:$X$2004,"&lt;&gt;")-4),""))</f>
        <v/>
      </c>
      <c r="BC165" s="60">
        <f>IF(C165="","",IFERROR(INDEX('Saisie'!$Y$5:$Y$2004,_xlfn.MAXIFS('Saisie'!$AS$5:$AS$2004,'Saisie'!$C$5:$C$2004,C165,'Saisie'!$Y$5:$Y$2004,"&lt;&gt;")-4),""))</f>
        <v/>
      </c>
      <c r="BD165" s="106">
        <f>IF(C165="","",IFERROR(1/(1/_xlfn.MINIFS('Saisie'!$A$5:$A$2004,'Saisie'!$C$5:$C$2004,C165,'Saisie'!$AT$5:$AT$2004,"&gt;=2")),""))</f>
        <v/>
      </c>
      <c r="BE165" s="106">
        <f>IF(C165="","",IFERROR(1/(1/_xlfn.MINIFS('Saisie'!$A$5:$A$2004,'Saisie'!$C$5:$C$2004,C165,'Saisie'!$AT$5:$AT$2004,"&gt;=3")),""))</f>
        <v/>
      </c>
      <c r="BF165" s="106">
        <f>IF(C165="","",IFERROR(1/(1/_xlfn.MINIFS('Saisie'!$A$5:$A$2004,'Saisie'!$C$5:$C$2004,C165,'Saisie'!$AT$5:$AT$2004,"&gt;=4")),""))</f>
        <v/>
      </c>
      <c r="BG165" s="106">
        <f>IF(C165="","",IFERROR(1/(1/_xlfn.MINIFS('Saisie'!$A$5:$A$2004,'Saisie'!$C$5:$C$2004,C165,'Saisie'!$AT$5:$AT$2004,"&gt;=5")),""))</f>
        <v/>
      </c>
      <c r="BH165" s="106">
        <f>IF(C165="","",IFERROR(1/(1/_xlfn.MINIFS('Saisie'!$A$5:$A$2004,'Saisie'!$C$5:$C$2004,C165,'Saisie'!$AT$5:$AT$2004,"&gt;=6")),""))</f>
        <v/>
      </c>
      <c r="BI165" s="106">
        <f>IF(C165="","",IFERROR(1/(1/_xlfn.MINIFS('Saisie'!$A$5:$A$2004,'Saisie'!$C$5:$C$2004,C165,'Saisie'!$AT$5:$AT$2004,"&gt;=7")),""))</f>
        <v/>
      </c>
      <c r="BJ165" s="60">
        <f>IF(OR(BD165="",B165=""),"",BD165-B165)</f>
        <v/>
      </c>
      <c r="BK165" s="60">
        <f>IF(OR(BE165="",BD165=""),"",BE165-BD165)</f>
        <v/>
      </c>
      <c r="BL165" s="60">
        <f>IF(OR(BF165="",BE165=""),"",BF165-BE165)</f>
        <v/>
      </c>
      <c r="BM165" s="60">
        <f>IF(OR(BG165="",BF165=""),"",BG165-BF165)</f>
        <v/>
      </c>
      <c r="BN165" s="60">
        <f>IF(OR(BH165="",BG165=""),"",BH165-BG165)</f>
        <v/>
      </c>
      <c r="BO165" s="60">
        <f>IF(OR(BI165="",BH165=""),"",BI165-BH165)</f>
        <v/>
      </c>
      <c r="BP165" s="60">
        <f>IF(C165="","",_xlfn.MAXIFS('Saisie'!$AS$5:$AS$2004,'Saisie'!$C$5:$C$2004,C165,'Saisie'!$J$5:$J$2004,"&lt;&gt;"))</f>
        <v/>
      </c>
      <c r="BQ165" s="60">
        <f>IF(C165="","",_xlfn.MAXIFS('Saisie'!$AS$5:$AS$2004,'Saisie'!$C$5:$C$2004,C165))</f>
        <v/>
      </c>
      <c r="BR165" s="60">
        <f>IF(C165="","",_xlfn.MAXIFS('Saisie'!$AS$5:$AS$2004,'Saisie'!$C$5:$C$2004,C165,'Saisie'!$E$5:$E$2004,"Perdu"))</f>
        <v/>
      </c>
      <c r="BS165" s="60">
        <f>IF(C165="","",_xlfn.MAXIFS('Saisie'!$AS$5:$AS$2004,'Saisie'!$C$5:$C$2004,C165,'Saisie'!$AT$5:$AT$2004,"&gt;0"))</f>
        <v/>
      </c>
      <c r="BT165" s="109">
        <f>IF(AND(C165&lt;&gt;"",OR(D165="Nouveau",D165="Contacté",D165="Qualifié"),OR(G165="",N(G165)&lt;=TODAY()),NOT(AND(O165&gt;='Paramètres'!$B$21,P165=0))),E165+161/10000,"")</f>
        <v/>
      </c>
      <c r="BU165" s="60">
        <f>IF(AND(G165&lt;&gt;"",N(G165)&lt;=TODAY()),MAX($BU$4:BU164)+1,"")</f>
        <v/>
      </c>
      <c r="BV165" s="60">
        <f>IF(AND(F165&lt;&gt;"",F165&lt;&gt;"Relance en retard"),MAX($BV$4:BV164)+1,"")</f>
        <v/>
      </c>
      <c r="BW165" s="60">
        <f>IF(C165="","",IF(AND(B165&gt;='Tableau de bord'!$R$4,B165&lt;='Tableau de bord'!$S$4,OR('Tableau de bord'!$G$4="Tous",N165='Tableau de bord'!$G$4)),1,0))</f>
        <v/>
      </c>
      <c r="BX165" s="60">
        <f>IF(AND(C165&lt;&gt;"",N(BA165)=7),MAX($BX$4:BX164)+1,"")</f>
        <v/>
      </c>
    </row>
    <row r="166">
      <c r="A166" s="60">
        <f>IF(C166="","","P-"&amp;TEXT(162,"000"))</f>
        <v/>
      </c>
      <c r="B166" s="106">
        <f>IF(C166="","",IFERROR(1/(1/_xlfn.MINIFS('Saisie'!$A$5:$A$2004,'Saisie'!$C$5:$C$2004,C166)),""))</f>
        <v/>
      </c>
      <c r="C166" s="60">
        <f>IFERROR(INDEX('Saisie'!$C$5:$C$2004,MATCH(162,'Saisie'!$AX$5:$AX$2004,0)),"")</f>
        <v/>
      </c>
      <c r="D166" s="60">
        <f>IF(C166="","",IF(AND(BR166&gt;0,BR166&gt;BS166,BA166&lt;7),"Perdu",INDEX('Paramètres'!$F$6:$F$13,BA166)))</f>
        <v/>
      </c>
      <c r="E166" s="61">
        <f>IF(C166="","",MIN(100,(Z166="Oui")*'Paramètres'!$B$38+(AB166="Régulière")*'Paramètres'!$B$39+IF(AND(N(AA166)&gt;0,TODAY()-N(AA166)&lt;=30),'Paramètres'!$B$40,0)+(W166="")*'Paramètres'!$B$41+(AC166="Absente")*'Paramètres'!$B$42+(AC166="Faible")*'Paramètres'!$B$43+IF(AND(N(AD166)&gt;0,N(AD166)&lt;4),'Paramètres'!$B$44,0)+(AF166="Moyenne")*'Paramètres'!$B$45+(AF166="Grande")*'Paramètres'!$B$46+(Y166&lt;&gt;"")*'Paramètres'!$B$47))</f>
        <v/>
      </c>
      <c r="F166" s="60">
        <f>IF(C166="","",IF(D166="Gagné","",IF(D166="Perdu",IF(AND(AX166&lt;&gt;"",AX166&lt;=TODAY()),"À recontacter (perdu)",""),IF(AND(O166&gt;='Paramètres'!$B$21,P166=0),"Stop : "&amp;'Paramètres'!$B$21&amp;" tentatives sans réponse",IF(AND(D166="Proposition",AR166&lt;&gt;"",TODAY()&gt;N(AR166)),"Proposition expirée",IF(AND(D166="Proposition",N(R166)&gt;='Paramètres'!$B$25),"Proposition sans réponse",IF(AND(G166&lt;&gt;"",N(G166)&lt;TODAY()),"Relance en retard",IF(N(R166)&gt;='Paramètres'!$B$24,"Sans action depuis "&amp;R166&amp;" j",""))))))))</f>
        <v/>
      </c>
      <c r="G166" s="106">
        <f>IF(OR(C166="",D166="Gagné",D166="Perdu"),"",IF(AND(BP166&gt;0,BP166=BQ166),INDEX('Saisie'!$J$5:$J$2004,BP166-4),IF(OR(O166=0,AND(O166&gt;='Paramètres'!$B$21,P166=0)),"",Q166+IF(O166&lt;=1,'Paramètres'!$B$18,IF(O166=2,'Paramètres'!$B$19,'Paramètres'!$B$20)))))</f>
        <v/>
      </c>
      <c r="H166" s="107">
        <f>IF(OR(G166="",BP166&lt;&gt;BQ166),"",IF(INDEX('Saisie'!$K$5:$K$2004,BP166-4)="","",INDEX('Saisie'!$K$5:$K$2004,BP166-4)))</f>
        <v/>
      </c>
      <c r="I166" s="60">
        <f>IF(C166="","",IF(OR(D166="Gagné",D166="Perdu"),"",IFERROR(INDEX('Saisie'!$I$5:$I$2004,_xlfn.MAXIFS('Saisie'!$AS$5:$AS$2004,'Saisie'!$C$5:$C$2004,C166,'Saisie'!$I$5:$I$2004,"&lt;&gt;")-4),"")))</f>
        <v/>
      </c>
      <c r="J166" s="60">
        <f>IF(C166="","",IFERROR(INDEX('Saisie'!$U$5:$U$2004,_xlfn.MAXIFS('Saisie'!$AS$5:$AS$2004,'Saisie'!$C$5:$C$2004,C166,'Saisie'!$U$5:$U$2004,"&lt;&gt;")-4),""))</f>
        <v/>
      </c>
      <c r="K166" s="60">
        <f>IF(C166="","",IFERROR(INDEX('Saisie'!$W$5:$W$2004,_xlfn.MAXIFS('Saisie'!$AS$5:$AS$2004,'Saisie'!$C$5:$C$2004,C166,'Saisie'!$W$5:$W$2004,"&lt;&gt;")-4),""))</f>
        <v/>
      </c>
      <c r="L166" s="60">
        <f>IF(IF(BB166&lt;&gt;"",BB166,K166)="","",HYPERLINK("https://wa.me/"&amp;IF(LEFT(SUBSTITUTE(SUBSTITUTE(SUBSTITUTE(IF(BB166&lt;&gt;"",BB166,K166)," ",""),".",""),"+",""),1)="0",'Paramètres'!$B$35&amp;MID(SUBSTITUTE(SUBSTITUTE(SUBSTITUTE(IF(BB166&lt;&gt;"",BB166,K166)," ",""),".",""),"+",""),2,20),SUBSTITUTE(SUBSTITUTE(SUBSTITUTE(IF(BB166&lt;&gt;"",BB166,K166)," ",""),".",""),"+","")),"WhatsApp"))</f>
        <v/>
      </c>
      <c r="M166" s="60">
        <f>IF(BC166="","",HYPERLINK(IF(LEFT(BC166,4)="http",BC166,"https://www.instagram.com/"&amp;SUBSTITUTE(SUBSTITUTE(BC166,"@","")," ","")),BC166))</f>
        <v/>
      </c>
      <c r="N166" s="60">
        <f>IF(C166="","",IFERROR(INDEX('Saisie'!$D$5:$D$2004,_xlfn.MINIFS('Saisie'!$AS$5:$AS$2004,'Saisie'!$C$5:$C$2004,C166,'Saisie'!$AU$5:$AU$2004,1)-4),IFERROR(INDEX('Saisie'!$D$5:$D$2004,_xlfn.MINIFS('Saisie'!$AS$5:$AS$2004,'Saisie'!$C$5:$C$2004,C166,'Saisie'!$D$5:$D$2004,"&lt;&gt;")-4),"")))</f>
        <v/>
      </c>
      <c r="O166" s="60">
        <f>IF(C166="","",COUNTIFS('Saisie'!$C$5:$C$2004,C166,'Saisie'!$AU$5:$AU$2004,1))</f>
        <v/>
      </c>
      <c r="P166" s="60">
        <f>IF(C166="","",COUNTIFS('Saisie'!$C$5:$C$2004,C166,'Saisie'!$AV$5:$AV$2004,1))</f>
        <v/>
      </c>
      <c r="Q166" s="106">
        <f>IF(C166="","",IFERROR(1/(1/_xlfn.MAXIFS('Saisie'!$A$5:$A$2004,'Saisie'!$C$5:$C$2004,C166)),""))</f>
        <v/>
      </c>
      <c r="R166" s="61">
        <f>IF(C166="","",IF(Q166="","",TODAY()-Q166))</f>
        <v/>
      </c>
      <c r="S166" s="60">
        <f>IF(C166="","",IFERROR(INDEX('Saisie'!$R$5:$R$2004,_xlfn.MAXIFS('Saisie'!$AS$5:$AS$2004,'Saisie'!$C$5:$C$2004,C166,'Saisie'!$R$5:$R$2004,"&lt;&gt;")-4),""))</f>
        <v/>
      </c>
      <c r="T166" s="60">
        <f>IF(C166="","",IFERROR(INDEX('Saisie'!$S$5:$S$2004,_xlfn.MAXIFS('Saisie'!$AS$5:$AS$2004,'Saisie'!$C$5:$C$2004,C166,'Saisie'!$S$5:$S$2004,"&lt;&gt;")-4),""))</f>
        <v/>
      </c>
      <c r="U166" s="60">
        <f>IF(C166="","",IFERROR(INDEX('Saisie'!$T$5:$T$2004,_xlfn.MAXIFS('Saisie'!$AS$5:$AS$2004,'Saisie'!$C$5:$C$2004,C166,'Saisie'!$T$5:$T$2004,"&lt;&gt;")-4),""))</f>
        <v/>
      </c>
      <c r="V166" s="60">
        <f>IF(C166="","",IFERROR(INDEX('Saisie'!$V$5:$V$2004,_xlfn.MAXIFS('Saisie'!$AS$5:$AS$2004,'Saisie'!$C$5:$C$2004,C166,'Saisie'!$V$5:$V$2004,"&lt;&gt;")-4),""))</f>
        <v/>
      </c>
      <c r="W166" s="60">
        <f>IF(C166="","",IFERROR(INDEX('Saisie'!$Z$5:$Z$2004,_xlfn.MAXIFS('Saisie'!$AS$5:$AS$2004,'Saisie'!$C$5:$C$2004,C166,'Saisie'!$Z$5:$Z$2004,"&lt;&gt;")-4),""))</f>
        <v/>
      </c>
      <c r="X166" s="60">
        <f>IF(C166="","",IFERROR(INDEX('Saisie'!$AA$5:$AA$2004,_xlfn.MAXIFS('Saisie'!$AS$5:$AS$2004,'Saisie'!$C$5:$C$2004,C166,'Saisie'!$AA$5:$AA$2004,"&lt;&gt;")-4),""))</f>
        <v/>
      </c>
      <c r="Y166" s="60">
        <f>IF(C166="","",IFERROR(INDEX('Saisie'!$AB$5:$AB$2004,_xlfn.MAXIFS('Saisie'!$AS$5:$AS$2004,'Saisie'!$C$5:$C$2004,C166,'Saisie'!$AB$5:$AB$2004,"&lt;&gt;")-4),""))</f>
        <v/>
      </c>
      <c r="Z166" s="60">
        <f>IF(C166="","",IFERROR(INDEX('Saisie'!$AC$5:$AC$2004,_xlfn.MAXIFS('Saisie'!$AS$5:$AS$2004,'Saisie'!$C$5:$C$2004,C166,'Saisie'!$AC$5:$AC$2004,"&lt;&gt;")-4),""))</f>
        <v/>
      </c>
      <c r="AA166" s="106">
        <f>IF(C166="","",IFERROR(INDEX('Saisie'!$AD$5:$AD$2004,_xlfn.MAXIFS('Saisie'!$AS$5:$AS$2004,'Saisie'!$C$5:$C$2004,C166,'Saisie'!$AD$5:$AD$2004,"&lt;&gt;")-4),""))</f>
        <v/>
      </c>
      <c r="AB166" s="60">
        <f>IF(C166="","",IFERROR(INDEX('Saisie'!$AE$5:$AE$2004,_xlfn.MAXIFS('Saisie'!$AS$5:$AS$2004,'Saisie'!$C$5:$C$2004,C166,'Saisie'!$AE$5:$AE$2004,"&lt;&gt;")-4),""))</f>
        <v/>
      </c>
      <c r="AC166" s="60">
        <f>IF(C166="","",IFERROR(INDEX('Saisie'!$AF$5:$AF$2004,_xlfn.MAXIFS('Saisie'!$AS$5:$AS$2004,'Saisie'!$C$5:$C$2004,C166,'Saisie'!$AF$5:$AF$2004,"&lt;&gt;")-4),""))</f>
        <v/>
      </c>
      <c r="AD166" s="108">
        <f>IF(C166="","",IFERROR(INDEX('Saisie'!$AG$5:$AG$2004,_xlfn.MAXIFS('Saisie'!$AS$5:$AS$2004,'Saisie'!$C$5:$C$2004,C166,'Saisie'!$AG$5:$AG$2004,"&lt;&gt;")-4),""))</f>
        <v/>
      </c>
      <c r="AE166" s="60">
        <f>IF(C166="","",IFERROR(INDEX('Saisie'!$AH$5:$AH$2004,_xlfn.MAXIFS('Saisie'!$AS$5:$AS$2004,'Saisie'!$C$5:$C$2004,C166,'Saisie'!$AH$5:$AH$2004,"&lt;&gt;")-4),""))</f>
        <v/>
      </c>
      <c r="AF166" s="60">
        <f>IF(C166="","",IFERROR(INDEX('Saisie'!$AI$5:$AI$2004,_xlfn.MAXIFS('Saisie'!$AS$5:$AS$2004,'Saisie'!$C$5:$C$2004,C166,'Saisie'!$AI$5:$AI$2004,"&lt;&gt;")-4),""))</f>
        <v/>
      </c>
      <c r="AG166" s="60">
        <f>IF(C166="","",IFERROR(INDEX('Saisie'!$AJ$5:$AJ$2004,_xlfn.MAXIFS('Saisie'!$AS$5:$AS$2004,'Saisie'!$C$5:$C$2004,C166,'Saisie'!$AJ$5:$AJ$2004,"&lt;&gt;")-4),""))</f>
        <v/>
      </c>
      <c r="AH166" s="60">
        <f>IF(C166="","",IFERROR(INDEX('Saisie'!$AK$5:$AK$2004,_xlfn.MAXIFS('Saisie'!$AS$5:$AS$2004,'Saisie'!$C$5:$C$2004,C166,'Saisie'!$AK$5:$AK$2004,"&lt;&gt;")-4),""))</f>
        <v/>
      </c>
      <c r="AI166" s="60">
        <f>IF(C166="","",IFERROR(INDEX('Saisie'!$AN$5:$AN$2004,_xlfn.MAXIFS('Saisie'!$AS$5:$AS$2004,'Saisie'!$C$5:$C$2004,C166,'Saisie'!$AN$5:$AN$2004,"&lt;&gt;")-4),""))</f>
        <v/>
      </c>
      <c r="AJ166" s="60">
        <f>IF(C166="","",IFERROR(INDEX('Saisie'!$AO$5:$AO$2004,_xlfn.MAXIFS('Saisie'!$AS$5:$AS$2004,'Saisie'!$C$5:$C$2004,C166,'Saisie'!$AO$5:$AO$2004,"&lt;&gt;")-4),""))</f>
        <v/>
      </c>
      <c r="AK166" s="60">
        <f>IF(C166="","",IFERROR(INDEX('Saisie'!$AP$5:$AP$2004,_xlfn.MAXIFS('Saisie'!$AS$5:$AS$2004,'Saisie'!$C$5:$C$2004,C166,'Saisie'!$AP$5:$AP$2004,"&lt;&gt;")-4),""))</f>
        <v/>
      </c>
      <c r="AL166" s="60">
        <f>IF(C166="","",IFERROR(INDEX('Saisie'!$AQ$5:$AQ$2004,_xlfn.MAXIFS('Saisie'!$AS$5:$AS$2004,'Saisie'!$C$5:$C$2004,C166,'Saisie'!$AQ$5:$AQ$2004,"&lt;&gt;")-4),""))</f>
        <v/>
      </c>
      <c r="AM166" s="60">
        <f>IF(C166="","",((AI166="Oui")+(AJ166="Oui")+(AK166="Oui")+OR(AL166="Immédiat",AL166="&lt; 1 mois"))&amp;"/4")</f>
        <v/>
      </c>
      <c r="AN166" s="60">
        <f>IF(C166="","",IFERROR(INDEX('Saisie'!$AL$5:$AL$2004,_xlfn.MAXIFS('Saisie'!$AS$5:$AS$2004,'Saisie'!$C$5:$C$2004,C166,'Saisie'!$AL$5:$AL$2004,"&lt;&gt;")-4),""))</f>
        <v/>
      </c>
      <c r="AO166" s="62">
        <f>IF(C166="","",IF(IFERROR(INDEX('Saisie'!$AM$5:$AM$2004,_xlfn.MAXIFS('Saisie'!$AS$5:$AS$2004,'Saisie'!$C$5:$C$2004,C166,'Saisie'!$AM$5:$AM$2004,"&lt;&gt;")-4),"")&lt;&gt;"",IFERROR(INDEX('Saisie'!$AM$5:$AM$2004,_xlfn.MAXIFS('Saisie'!$AS$5:$AS$2004,'Saisie'!$C$5:$C$2004,C166,'Saisie'!$AM$5:$AM$2004,"&lt;&gt;")-4),""),IFERROR(INDEX('Paramètres'!$S$6:$S$15,MATCH(AN166,'Paramètres'!$Q$6:$Q$15,0)),"")))</f>
        <v/>
      </c>
      <c r="AP166" s="62">
        <f>IF(C166="","",IFERROR(INDEX('Saisie'!$AW$5:$AW$2004,_xlfn.MAXIFS('Saisie'!$AS$5:$AS$2004,'Saisie'!$C$5:$C$2004,C166,'Saisie'!$E$5:$E$2004,"Proposition envoyée")-4),""))</f>
        <v/>
      </c>
      <c r="AQ166" s="106">
        <f>IF(C166="","",IFERROR(1/(1/_xlfn.MAXIFS('Saisie'!$A$5:$A$2004,'Saisie'!$C$5:$C$2004,C166,'Saisie'!$E$5:$E$2004,"Proposition envoyée")),""))</f>
        <v/>
      </c>
      <c r="AR166" s="106">
        <f>IF(C166="","",IF(AQ166="","",AQ166+'Paramètres'!$B$26))</f>
        <v/>
      </c>
      <c r="AS166" s="62">
        <f>IF(OR(C166="",D166="Gagné",D166="Perdu"),0,N(AP166)*IFERROR(INDEX('Paramètres'!$G$6:$G$13,MATCH(D166,'Paramètres'!$F$6:$F$13,0)),0))</f>
        <v/>
      </c>
      <c r="AT166" s="106">
        <f>IF(C166="","",IFERROR(1/(1/_xlfn.MINIFS('Saisie'!$A$5:$A$2004,'Saisie'!$C$5:$C$2004,C166,'Saisie'!$E$5:$E$2004,"Signature")),""))</f>
        <v/>
      </c>
      <c r="AU166" s="60">
        <f>IF(C166="","",IF(OR(AT166="",B166=""),"",AT166-B166))</f>
        <v/>
      </c>
      <c r="AV166" s="60">
        <f>IF(C166="","",IFERROR(INDEX('Saisie'!$L$5:$L$2004,_xlfn.MAXIFS('Saisie'!$AS$5:$AS$2004,'Saisie'!$C$5:$C$2004,C166,'Saisie'!$L$5:$L$2004,"&lt;&gt;")-4),""))</f>
        <v/>
      </c>
      <c r="AW166" s="106">
        <f>IF(C166="","",IF(D166&lt;&gt;"Perdu","",IFERROR(1/(1/_xlfn.MAXIFS('Saisie'!$A$5:$A$2004,'Saisie'!$C$5:$C$2004,C166,'Saisie'!$E$5:$E$2004,"Perdu")),"")))</f>
        <v/>
      </c>
      <c r="AX166" s="106">
        <f>IF(C166="","",IF(AW166="","",AW166+'Paramètres'!$B$28))</f>
        <v/>
      </c>
      <c r="AY166" s="60">
        <f>IF(C166="","",SUMIFS('Saisie'!$H$5:$H$2004,'Saisie'!$C$5:$C$2004,C166))</f>
        <v/>
      </c>
      <c r="AZ166" s="60">
        <f>IF(C166="","",IFERROR(INDEX('Paramètres'!$W$6:$W$20,MATCH(S166,'Paramètres'!$V$6:$V$20,0))&amp;"",""))</f>
        <v/>
      </c>
      <c r="BA166" s="60">
        <f>IF(C166="","",MAX(1,_xlfn.MAXIFS('Saisie'!$AT$5:$AT$2004,'Saisie'!$C$5:$C$2004,C166)))</f>
        <v/>
      </c>
      <c r="BB166" s="60">
        <f>IF(C166="","",IFERROR(INDEX('Saisie'!$X$5:$X$2004,_xlfn.MAXIFS('Saisie'!$AS$5:$AS$2004,'Saisie'!$C$5:$C$2004,C166,'Saisie'!$X$5:$X$2004,"&lt;&gt;")-4),""))</f>
        <v/>
      </c>
      <c r="BC166" s="60">
        <f>IF(C166="","",IFERROR(INDEX('Saisie'!$Y$5:$Y$2004,_xlfn.MAXIFS('Saisie'!$AS$5:$AS$2004,'Saisie'!$C$5:$C$2004,C166,'Saisie'!$Y$5:$Y$2004,"&lt;&gt;")-4),""))</f>
        <v/>
      </c>
      <c r="BD166" s="106">
        <f>IF(C166="","",IFERROR(1/(1/_xlfn.MINIFS('Saisie'!$A$5:$A$2004,'Saisie'!$C$5:$C$2004,C166,'Saisie'!$AT$5:$AT$2004,"&gt;=2")),""))</f>
        <v/>
      </c>
      <c r="BE166" s="106">
        <f>IF(C166="","",IFERROR(1/(1/_xlfn.MINIFS('Saisie'!$A$5:$A$2004,'Saisie'!$C$5:$C$2004,C166,'Saisie'!$AT$5:$AT$2004,"&gt;=3")),""))</f>
        <v/>
      </c>
      <c r="BF166" s="106">
        <f>IF(C166="","",IFERROR(1/(1/_xlfn.MINIFS('Saisie'!$A$5:$A$2004,'Saisie'!$C$5:$C$2004,C166,'Saisie'!$AT$5:$AT$2004,"&gt;=4")),""))</f>
        <v/>
      </c>
      <c r="BG166" s="106">
        <f>IF(C166="","",IFERROR(1/(1/_xlfn.MINIFS('Saisie'!$A$5:$A$2004,'Saisie'!$C$5:$C$2004,C166,'Saisie'!$AT$5:$AT$2004,"&gt;=5")),""))</f>
        <v/>
      </c>
      <c r="BH166" s="106">
        <f>IF(C166="","",IFERROR(1/(1/_xlfn.MINIFS('Saisie'!$A$5:$A$2004,'Saisie'!$C$5:$C$2004,C166,'Saisie'!$AT$5:$AT$2004,"&gt;=6")),""))</f>
        <v/>
      </c>
      <c r="BI166" s="106">
        <f>IF(C166="","",IFERROR(1/(1/_xlfn.MINIFS('Saisie'!$A$5:$A$2004,'Saisie'!$C$5:$C$2004,C166,'Saisie'!$AT$5:$AT$2004,"&gt;=7")),""))</f>
        <v/>
      </c>
      <c r="BJ166" s="60">
        <f>IF(OR(BD166="",B166=""),"",BD166-B166)</f>
        <v/>
      </c>
      <c r="BK166" s="60">
        <f>IF(OR(BE166="",BD166=""),"",BE166-BD166)</f>
        <v/>
      </c>
      <c r="BL166" s="60">
        <f>IF(OR(BF166="",BE166=""),"",BF166-BE166)</f>
        <v/>
      </c>
      <c r="BM166" s="60">
        <f>IF(OR(BG166="",BF166=""),"",BG166-BF166)</f>
        <v/>
      </c>
      <c r="BN166" s="60">
        <f>IF(OR(BH166="",BG166=""),"",BH166-BG166)</f>
        <v/>
      </c>
      <c r="BO166" s="60">
        <f>IF(OR(BI166="",BH166=""),"",BI166-BH166)</f>
        <v/>
      </c>
      <c r="BP166" s="60">
        <f>IF(C166="","",_xlfn.MAXIFS('Saisie'!$AS$5:$AS$2004,'Saisie'!$C$5:$C$2004,C166,'Saisie'!$J$5:$J$2004,"&lt;&gt;"))</f>
        <v/>
      </c>
      <c r="BQ166" s="60">
        <f>IF(C166="","",_xlfn.MAXIFS('Saisie'!$AS$5:$AS$2004,'Saisie'!$C$5:$C$2004,C166))</f>
        <v/>
      </c>
      <c r="BR166" s="60">
        <f>IF(C166="","",_xlfn.MAXIFS('Saisie'!$AS$5:$AS$2004,'Saisie'!$C$5:$C$2004,C166,'Saisie'!$E$5:$E$2004,"Perdu"))</f>
        <v/>
      </c>
      <c r="BS166" s="60">
        <f>IF(C166="","",_xlfn.MAXIFS('Saisie'!$AS$5:$AS$2004,'Saisie'!$C$5:$C$2004,C166,'Saisie'!$AT$5:$AT$2004,"&gt;0"))</f>
        <v/>
      </c>
      <c r="BT166" s="109">
        <f>IF(AND(C166&lt;&gt;"",OR(D166="Nouveau",D166="Contacté",D166="Qualifié"),OR(G166="",N(G166)&lt;=TODAY()),NOT(AND(O166&gt;='Paramètres'!$B$21,P166=0))),E166+162/10000,"")</f>
        <v/>
      </c>
      <c r="BU166" s="60">
        <f>IF(AND(G166&lt;&gt;"",N(G166)&lt;=TODAY()),MAX($BU$4:BU165)+1,"")</f>
        <v/>
      </c>
      <c r="BV166" s="60">
        <f>IF(AND(F166&lt;&gt;"",F166&lt;&gt;"Relance en retard"),MAX($BV$4:BV165)+1,"")</f>
        <v/>
      </c>
      <c r="BW166" s="60">
        <f>IF(C166="","",IF(AND(B166&gt;='Tableau de bord'!$R$4,B166&lt;='Tableau de bord'!$S$4,OR('Tableau de bord'!$G$4="Tous",N166='Tableau de bord'!$G$4)),1,0))</f>
        <v/>
      </c>
      <c r="BX166" s="60">
        <f>IF(AND(C166&lt;&gt;"",N(BA166)=7),MAX($BX$4:BX165)+1,"")</f>
        <v/>
      </c>
    </row>
    <row r="167">
      <c r="A167" s="60">
        <f>IF(C167="","","P-"&amp;TEXT(163,"000"))</f>
        <v/>
      </c>
      <c r="B167" s="106">
        <f>IF(C167="","",IFERROR(1/(1/_xlfn.MINIFS('Saisie'!$A$5:$A$2004,'Saisie'!$C$5:$C$2004,C167)),""))</f>
        <v/>
      </c>
      <c r="C167" s="60">
        <f>IFERROR(INDEX('Saisie'!$C$5:$C$2004,MATCH(163,'Saisie'!$AX$5:$AX$2004,0)),"")</f>
        <v/>
      </c>
      <c r="D167" s="60">
        <f>IF(C167="","",IF(AND(BR167&gt;0,BR167&gt;BS167,BA167&lt;7),"Perdu",INDEX('Paramètres'!$F$6:$F$13,BA167)))</f>
        <v/>
      </c>
      <c r="E167" s="61">
        <f>IF(C167="","",MIN(100,(Z167="Oui")*'Paramètres'!$B$38+(AB167="Régulière")*'Paramètres'!$B$39+IF(AND(N(AA167)&gt;0,TODAY()-N(AA167)&lt;=30),'Paramètres'!$B$40,0)+(W167="")*'Paramètres'!$B$41+(AC167="Absente")*'Paramètres'!$B$42+(AC167="Faible")*'Paramètres'!$B$43+IF(AND(N(AD167)&gt;0,N(AD167)&lt;4),'Paramètres'!$B$44,0)+(AF167="Moyenne")*'Paramètres'!$B$45+(AF167="Grande")*'Paramètres'!$B$46+(Y167&lt;&gt;"")*'Paramètres'!$B$47))</f>
        <v/>
      </c>
      <c r="F167" s="60">
        <f>IF(C167="","",IF(D167="Gagné","",IF(D167="Perdu",IF(AND(AX167&lt;&gt;"",AX167&lt;=TODAY()),"À recontacter (perdu)",""),IF(AND(O167&gt;='Paramètres'!$B$21,P167=0),"Stop : "&amp;'Paramètres'!$B$21&amp;" tentatives sans réponse",IF(AND(D167="Proposition",AR167&lt;&gt;"",TODAY()&gt;N(AR167)),"Proposition expirée",IF(AND(D167="Proposition",N(R167)&gt;='Paramètres'!$B$25),"Proposition sans réponse",IF(AND(G167&lt;&gt;"",N(G167)&lt;TODAY()),"Relance en retard",IF(N(R167)&gt;='Paramètres'!$B$24,"Sans action depuis "&amp;R167&amp;" j",""))))))))</f>
        <v/>
      </c>
      <c r="G167" s="106">
        <f>IF(OR(C167="",D167="Gagné",D167="Perdu"),"",IF(AND(BP167&gt;0,BP167=BQ167),INDEX('Saisie'!$J$5:$J$2004,BP167-4),IF(OR(O167=0,AND(O167&gt;='Paramètres'!$B$21,P167=0)),"",Q167+IF(O167&lt;=1,'Paramètres'!$B$18,IF(O167=2,'Paramètres'!$B$19,'Paramètres'!$B$20)))))</f>
        <v/>
      </c>
      <c r="H167" s="107">
        <f>IF(OR(G167="",BP167&lt;&gt;BQ167),"",IF(INDEX('Saisie'!$K$5:$K$2004,BP167-4)="","",INDEX('Saisie'!$K$5:$K$2004,BP167-4)))</f>
        <v/>
      </c>
      <c r="I167" s="60">
        <f>IF(C167="","",IF(OR(D167="Gagné",D167="Perdu"),"",IFERROR(INDEX('Saisie'!$I$5:$I$2004,_xlfn.MAXIFS('Saisie'!$AS$5:$AS$2004,'Saisie'!$C$5:$C$2004,C167,'Saisie'!$I$5:$I$2004,"&lt;&gt;")-4),"")))</f>
        <v/>
      </c>
      <c r="J167" s="60">
        <f>IF(C167="","",IFERROR(INDEX('Saisie'!$U$5:$U$2004,_xlfn.MAXIFS('Saisie'!$AS$5:$AS$2004,'Saisie'!$C$5:$C$2004,C167,'Saisie'!$U$5:$U$2004,"&lt;&gt;")-4),""))</f>
        <v/>
      </c>
      <c r="K167" s="60">
        <f>IF(C167="","",IFERROR(INDEX('Saisie'!$W$5:$W$2004,_xlfn.MAXIFS('Saisie'!$AS$5:$AS$2004,'Saisie'!$C$5:$C$2004,C167,'Saisie'!$W$5:$W$2004,"&lt;&gt;")-4),""))</f>
        <v/>
      </c>
      <c r="L167" s="60">
        <f>IF(IF(BB167&lt;&gt;"",BB167,K167)="","",HYPERLINK("https://wa.me/"&amp;IF(LEFT(SUBSTITUTE(SUBSTITUTE(SUBSTITUTE(IF(BB167&lt;&gt;"",BB167,K167)," ",""),".",""),"+",""),1)="0",'Paramètres'!$B$35&amp;MID(SUBSTITUTE(SUBSTITUTE(SUBSTITUTE(IF(BB167&lt;&gt;"",BB167,K167)," ",""),".",""),"+",""),2,20),SUBSTITUTE(SUBSTITUTE(SUBSTITUTE(IF(BB167&lt;&gt;"",BB167,K167)," ",""),".",""),"+","")),"WhatsApp"))</f>
        <v/>
      </c>
      <c r="M167" s="60">
        <f>IF(BC167="","",HYPERLINK(IF(LEFT(BC167,4)="http",BC167,"https://www.instagram.com/"&amp;SUBSTITUTE(SUBSTITUTE(BC167,"@","")," ","")),BC167))</f>
        <v/>
      </c>
      <c r="N167" s="60">
        <f>IF(C167="","",IFERROR(INDEX('Saisie'!$D$5:$D$2004,_xlfn.MINIFS('Saisie'!$AS$5:$AS$2004,'Saisie'!$C$5:$C$2004,C167,'Saisie'!$AU$5:$AU$2004,1)-4),IFERROR(INDEX('Saisie'!$D$5:$D$2004,_xlfn.MINIFS('Saisie'!$AS$5:$AS$2004,'Saisie'!$C$5:$C$2004,C167,'Saisie'!$D$5:$D$2004,"&lt;&gt;")-4),"")))</f>
        <v/>
      </c>
      <c r="O167" s="60">
        <f>IF(C167="","",COUNTIFS('Saisie'!$C$5:$C$2004,C167,'Saisie'!$AU$5:$AU$2004,1))</f>
        <v/>
      </c>
      <c r="P167" s="60">
        <f>IF(C167="","",COUNTIFS('Saisie'!$C$5:$C$2004,C167,'Saisie'!$AV$5:$AV$2004,1))</f>
        <v/>
      </c>
      <c r="Q167" s="106">
        <f>IF(C167="","",IFERROR(1/(1/_xlfn.MAXIFS('Saisie'!$A$5:$A$2004,'Saisie'!$C$5:$C$2004,C167)),""))</f>
        <v/>
      </c>
      <c r="R167" s="61">
        <f>IF(C167="","",IF(Q167="","",TODAY()-Q167))</f>
        <v/>
      </c>
      <c r="S167" s="60">
        <f>IF(C167="","",IFERROR(INDEX('Saisie'!$R$5:$R$2004,_xlfn.MAXIFS('Saisie'!$AS$5:$AS$2004,'Saisie'!$C$5:$C$2004,C167,'Saisie'!$R$5:$R$2004,"&lt;&gt;")-4),""))</f>
        <v/>
      </c>
      <c r="T167" s="60">
        <f>IF(C167="","",IFERROR(INDEX('Saisie'!$S$5:$S$2004,_xlfn.MAXIFS('Saisie'!$AS$5:$AS$2004,'Saisie'!$C$5:$C$2004,C167,'Saisie'!$S$5:$S$2004,"&lt;&gt;")-4),""))</f>
        <v/>
      </c>
      <c r="U167" s="60">
        <f>IF(C167="","",IFERROR(INDEX('Saisie'!$T$5:$T$2004,_xlfn.MAXIFS('Saisie'!$AS$5:$AS$2004,'Saisie'!$C$5:$C$2004,C167,'Saisie'!$T$5:$T$2004,"&lt;&gt;")-4),""))</f>
        <v/>
      </c>
      <c r="V167" s="60">
        <f>IF(C167="","",IFERROR(INDEX('Saisie'!$V$5:$V$2004,_xlfn.MAXIFS('Saisie'!$AS$5:$AS$2004,'Saisie'!$C$5:$C$2004,C167,'Saisie'!$V$5:$V$2004,"&lt;&gt;")-4),""))</f>
        <v/>
      </c>
      <c r="W167" s="60">
        <f>IF(C167="","",IFERROR(INDEX('Saisie'!$Z$5:$Z$2004,_xlfn.MAXIFS('Saisie'!$AS$5:$AS$2004,'Saisie'!$C$5:$C$2004,C167,'Saisie'!$Z$5:$Z$2004,"&lt;&gt;")-4),""))</f>
        <v/>
      </c>
      <c r="X167" s="60">
        <f>IF(C167="","",IFERROR(INDEX('Saisie'!$AA$5:$AA$2004,_xlfn.MAXIFS('Saisie'!$AS$5:$AS$2004,'Saisie'!$C$5:$C$2004,C167,'Saisie'!$AA$5:$AA$2004,"&lt;&gt;")-4),""))</f>
        <v/>
      </c>
      <c r="Y167" s="60">
        <f>IF(C167="","",IFERROR(INDEX('Saisie'!$AB$5:$AB$2004,_xlfn.MAXIFS('Saisie'!$AS$5:$AS$2004,'Saisie'!$C$5:$C$2004,C167,'Saisie'!$AB$5:$AB$2004,"&lt;&gt;")-4),""))</f>
        <v/>
      </c>
      <c r="Z167" s="60">
        <f>IF(C167="","",IFERROR(INDEX('Saisie'!$AC$5:$AC$2004,_xlfn.MAXIFS('Saisie'!$AS$5:$AS$2004,'Saisie'!$C$5:$C$2004,C167,'Saisie'!$AC$5:$AC$2004,"&lt;&gt;")-4),""))</f>
        <v/>
      </c>
      <c r="AA167" s="106">
        <f>IF(C167="","",IFERROR(INDEX('Saisie'!$AD$5:$AD$2004,_xlfn.MAXIFS('Saisie'!$AS$5:$AS$2004,'Saisie'!$C$5:$C$2004,C167,'Saisie'!$AD$5:$AD$2004,"&lt;&gt;")-4),""))</f>
        <v/>
      </c>
      <c r="AB167" s="60">
        <f>IF(C167="","",IFERROR(INDEX('Saisie'!$AE$5:$AE$2004,_xlfn.MAXIFS('Saisie'!$AS$5:$AS$2004,'Saisie'!$C$5:$C$2004,C167,'Saisie'!$AE$5:$AE$2004,"&lt;&gt;")-4),""))</f>
        <v/>
      </c>
      <c r="AC167" s="60">
        <f>IF(C167="","",IFERROR(INDEX('Saisie'!$AF$5:$AF$2004,_xlfn.MAXIFS('Saisie'!$AS$5:$AS$2004,'Saisie'!$C$5:$C$2004,C167,'Saisie'!$AF$5:$AF$2004,"&lt;&gt;")-4),""))</f>
        <v/>
      </c>
      <c r="AD167" s="108">
        <f>IF(C167="","",IFERROR(INDEX('Saisie'!$AG$5:$AG$2004,_xlfn.MAXIFS('Saisie'!$AS$5:$AS$2004,'Saisie'!$C$5:$C$2004,C167,'Saisie'!$AG$5:$AG$2004,"&lt;&gt;")-4),""))</f>
        <v/>
      </c>
      <c r="AE167" s="60">
        <f>IF(C167="","",IFERROR(INDEX('Saisie'!$AH$5:$AH$2004,_xlfn.MAXIFS('Saisie'!$AS$5:$AS$2004,'Saisie'!$C$5:$C$2004,C167,'Saisie'!$AH$5:$AH$2004,"&lt;&gt;")-4),""))</f>
        <v/>
      </c>
      <c r="AF167" s="60">
        <f>IF(C167="","",IFERROR(INDEX('Saisie'!$AI$5:$AI$2004,_xlfn.MAXIFS('Saisie'!$AS$5:$AS$2004,'Saisie'!$C$5:$C$2004,C167,'Saisie'!$AI$5:$AI$2004,"&lt;&gt;")-4),""))</f>
        <v/>
      </c>
      <c r="AG167" s="60">
        <f>IF(C167="","",IFERROR(INDEX('Saisie'!$AJ$5:$AJ$2004,_xlfn.MAXIFS('Saisie'!$AS$5:$AS$2004,'Saisie'!$C$5:$C$2004,C167,'Saisie'!$AJ$5:$AJ$2004,"&lt;&gt;")-4),""))</f>
        <v/>
      </c>
      <c r="AH167" s="60">
        <f>IF(C167="","",IFERROR(INDEX('Saisie'!$AK$5:$AK$2004,_xlfn.MAXIFS('Saisie'!$AS$5:$AS$2004,'Saisie'!$C$5:$C$2004,C167,'Saisie'!$AK$5:$AK$2004,"&lt;&gt;")-4),""))</f>
        <v/>
      </c>
      <c r="AI167" s="60">
        <f>IF(C167="","",IFERROR(INDEX('Saisie'!$AN$5:$AN$2004,_xlfn.MAXIFS('Saisie'!$AS$5:$AS$2004,'Saisie'!$C$5:$C$2004,C167,'Saisie'!$AN$5:$AN$2004,"&lt;&gt;")-4),""))</f>
        <v/>
      </c>
      <c r="AJ167" s="60">
        <f>IF(C167="","",IFERROR(INDEX('Saisie'!$AO$5:$AO$2004,_xlfn.MAXIFS('Saisie'!$AS$5:$AS$2004,'Saisie'!$C$5:$C$2004,C167,'Saisie'!$AO$5:$AO$2004,"&lt;&gt;")-4),""))</f>
        <v/>
      </c>
      <c r="AK167" s="60">
        <f>IF(C167="","",IFERROR(INDEX('Saisie'!$AP$5:$AP$2004,_xlfn.MAXIFS('Saisie'!$AS$5:$AS$2004,'Saisie'!$C$5:$C$2004,C167,'Saisie'!$AP$5:$AP$2004,"&lt;&gt;")-4),""))</f>
        <v/>
      </c>
      <c r="AL167" s="60">
        <f>IF(C167="","",IFERROR(INDEX('Saisie'!$AQ$5:$AQ$2004,_xlfn.MAXIFS('Saisie'!$AS$5:$AS$2004,'Saisie'!$C$5:$C$2004,C167,'Saisie'!$AQ$5:$AQ$2004,"&lt;&gt;")-4),""))</f>
        <v/>
      </c>
      <c r="AM167" s="60">
        <f>IF(C167="","",((AI167="Oui")+(AJ167="Oui")+(AK167="Oui")+OR(AL167="Immédiat",AL167="&lt; 1 mois"))&amp;"/4")</f>
        <v/>
      </c>
      <c r="AN167" s="60">
        <f>IF(C167="","",IFERROR(INDEX('Saisie'!$AL$5:$AL$2004,_xlfn.MAXIFS('Saisie'!$AS$5:$AS$2004,'Saisie'!$C$5:$C$2004,C167,'Saisie'!$AL$5:$AL$2004,"&lt;&gt;")-4),""))</f>
        <v/>
      </c>
      <c r="AO167" s="62">
        <f>IF(C167="","",IF(IFERROR(INDEX('Saisie'!$AM$5:$AM$2004,_xlfn.MAXIFS('Saisie'!$AS$5:$AS$2004,'Saisie'!$C$5:$C$2004,C167,'Saisie'!$AM$5:$AM$2004,"&lt;&gt;")-4),"")&lt;&gt;"",IFERROR(INDEX('Saisie'!$AM$5:$AM$2004,_xlfn.MAXIFS('Saisie'!$AS$5:$AS$2004,'Saisie'!$C$5:$C$2004,C167,'Saisie'!$AM$5:$AM$2004,"&lt;&gt;")-4),""),IFERROR(INDEX('Paramètres'!$S$6:$S$15,MATCH(AN167,'Paramètres'!$Q$6:$Q$15,0)),"")))</f>
        <v/>
      </c>
      <c r="AP167" s="62">
        <f>IF(C167="","",IFERROR(INDEX('Saisie'!$AW$5:$AW$2004,_xlfn.MAXIFS('Saisie'!$AS$5:$AS$2004,'Saisie'!$C$5:$C$2004,C167,'Saisie'!$E$5:$E$2004,"Proposition envoyée")-4),""))</f>
        <v/>
      </c>
      <c r="AQ167" s="106">
        <f>IF(C167="","",IFERROR(1/(1/_xlfn.MAXIFS('Saisie'!$A$5:$A$2004,'Saisie'!$C$5:$C$2004,C167,'Saisie'!$E$5:$E$2004,"Proposition envoyée")),""))</f>
        <v/>
      </c>
      <c r="AR167" s="106">
        <f>IF(C167="","",IF(AQ167="","",AQ167+'Paramètres'!$B$26))</f>
        <v/>
      </c>
      <c r="AS167" s="62">
        <f>IF(OR(C167="",D167="Gagné",D167="Perdu"),0,N(AP167)*IFERROR(INDEX('Paramètres'!$G$6:$G$13,MATCH(D167,'Paramètres'!$F$6:$F$13,0)),0))</f>
        <v/>
      </c>
      <c r="AT167" s="106">
        <f>IF(C167="","",IFERROR(1/(1/_xlfn.MINIFS('Saisie'!$A$5:$A$2004,'Saisie'!$C$5:$C$2004,C167,'Saisie'!$E$5:$E$2004,"Signature")),""))</f>
        <v/>
      </c>
      <c r="AU167" s="60">
        <f>IF(C167="","",IF(OR(AT167="",B167=""),"",AT167-B167))</f>
        <v/>
      </c>
      <c r="AV167" s="60">
        <f>IF(C167="","",IFERROR(INDEX('Saisie'!$L$5:$L$2004,_xlfn.MAXIFS('Saisie'!$AS$5:$AS$2004,'Saisie'!$C$5:$C$2004,C167,'Saisie'!$L$5:$L$2004,"&lt;&gt;")-4),""))</f>
        <v/>
      </c>
      <c r="AW167" s="106">
        <f>IF(C167="","",IF(D167&lt;&gt;"Perdu","",IFERROR(1/(1/_xlfn.MAXIFS('Saisie'!$A$5:$A$2004,'Saisie'!$C$5:$C$2004,C167,'Saisie'!$E$5:$E$2004,"Perdu")),"")))</f>
        <v/>
      </c>
      <c r="AX167" s="106">
        <f>IF(C167="","",IF(AW167="","",AW167+'Paramètres'!$B$28))</f>
        <v/>
      </c>
      <c r="AY167" s="60">
        <f>IF(C167="","",SUMIFS('Saisie'!$H$5:$H$2004,'Saisie'!$C$5:$C$2004,C167))</f>
        <v/>
      </c>
      <c r="AZ167" s="60">
        <f>IF(C167="","",IFERROR(INDEX('Paramètres'!$W$6:$W$20,MATCH(S167,'Paramètres'!$V$6:$V$20,0))&amp;"",""))</f>
        <v/>
      </c>
      <c r="BA167" s="60">
        <f>IF(C167="","",MAX(1,_xlfn.MAXIFS('Saisie'!$AT$5:$AT$2004,'Saisie'!$C$5:$C$2004,C167)))</f>
        <v/>
      </c>
      <c r="BB167" s="60">
        <f>IF(C167="","",IFERROR(INDEX('Saisie'!$X$5:$X$2004,_xlfn.MAXIFS('Saisie'!$AS$5:$AS$2004,'Saisie'!$C$5:$C$2004,C167,'Saisie'!$X$5:$X$2004,"&lt;&gt;")-4),""))</f>
        <v/>
      </c>
      <c r="BC167" s="60">
        <f>IF(C167="","",IFERROR(INDEX('Saisie'!$Y$5:$Y$2004,_xlfn.MAXIFS('Saisie'!$AS$5:$AS$2004,'Saisie'!$C$5:$C$2004,C167,'Saisie'!$Y$5:$Y$2004,"&lt;&gt;")-4),""))</f>
        <v/>
      </c>
      <c r="BD167" s="106">
        <f>IF(C167="","",IFERROR(1/(1/_xlfn.MINIFS('Saisie'!$A$5:$A$2004,'Saisie'!$C$5:$C$2004,C167,'Saisie'!$AT$5:$AT$2004,"&gt;=2")),""))</f>
        <v/>
      </c>
      <c r="BE167" s="106">
        <f>IF(C167="","",IFERROR(1/(1/_xlfn.MINIFS('Saisie'!$A$5:$A$2004,'Saisie'!$C$5:$C$2004,C167,'Saisie'!$AT$5:$AT$2004,"&gt;=3")),""))</f>
        <v/>
      </c>
      <c r="BF167" s="106">
        <f>IF(C167="","",IFERROR(1/(1/_xlfn.MINIFS('Saisie'!$A$5:$A$2004,'Saisie'!$C$5:$C$2004,C167,'Saisie'!$AT$5:$AT$2004,"&gt;=4")),""))</f>
        <v/>
      </c>
      <c r="BG167" s="106">
        <f>IF(C167="","",IFERROR(1/(1/_xlfn.MINIFS('Saisie'!$A$5:$A$2004,'Saisie'!$C$5:$C$2004,C167,'Saisie'!$AT$5:$AT$2004,"&gt;=5")),""))</f>
        <v/>
      </c>
      <c r="BH167" s="106">
        <f>IF(C167="","",IFERROR(1/(1/_xlfn.MINIFS('Saisie'!$A$5:$A$2004,'Saisie'!$C$5:$C$2004,C167,'Saisie'!$AT$5:$AT$2004,"&gt;=6")),""))</f>
        <v/>
      </c>
      <c r="BI167" s="106">
        <f>IF(C167="","",IFERROR(1/(1/_xlfn.MINIFS('Saisie'!$A$5:$A$2004,'Saisie'!$C$5:$C$2004,C167,'Saisie'!$AT$5:$AT$2004,"&gt;=7")),""))</f>
        <v/>
      </c>
      <c r="BJ167" s="60">
        <f>IF(OR(BD167="",B167=""),"",BD167-B167)</f>
        <v/>
      </c>
      <c r="BK167" s="60">
        <f>IF(OR(BE167="",BD167=""),"",BE167-BD167)</f>
        <v/>
      </c>
      <c r="BL167" s="60">
        <f>IF(OR(BF167="",BE167=""),"",BF167-BE167)</f>
        <v/>
      </c>
      <c r="BM167" s="60">
        <f>IF(OR(BG167="",BF167=""),"",BG167-BF167)</f>
        <v/>
      </c>
      <c r="BN167" s="60">
        <f>IF(OR(BH167="",BG167=""),"",BH167-BG167)</f>
        <v/>
      </c>
      <c r="BO167" s="60">
        <f>IF(OR(BI167="",BH167=""),"",BI167-BH167)</f>
        <v/>
      </c>
      <c r="BP167" s="60">
        <f>IF(C167="","",_xlfn.MAXIFS('Saisie'!$AS$5:$AS$2004,'Saisie'!$C$5:$C$2004,C167,'Saisie'!$J$5:$J$2004,"&lt;&gt;"))</f>
        <v/>
      </c>
      <c r="BQ167" s="60">
        <f>IF(C167="","",_xlfn.MAXIFS('Saisie'!$AS$5:$AS$2004,'Saisie'!$C$5:$C$2004,C167))</f>
        <v/>
      </c>
      <c r="BR167" s="60">
        <f>IF(C167="","",_xlfn.MAXIFS('Saisie'!$AS$5:$AS$2004,'Saisie'!$C$5:$C$2004,C167,'Saisie'!$E$5:$E$2004,"Perdu"))</f>
        <v/>
      </c>
      <c r="BS167" s="60">
        <f>IF(C167="","",_xlfn.MAXIFS('Saisie'!$AS$5:$AS$2004,'Saisie'!$C$5:$C$2004,C167,'Saisie'!$AT$5:$AT$2004,"&gt;0"))</f>
        <v/>
      </c>
      <c r="BT167" s="109">
        <f>IF(AND(C167&lt;&gt;"",OR(D167="Nouveau",D167="Contacté",D167="Qualifié"),OR(G167="",N(G167)&lt;=TODAY()),NOT(AND(O167&gt;='Paramètres'!$B$21,P167=0))),E167+163/10000,"")</f>
        <v/>
      </c>
      <c r="BU167" s="60">
        <f>IF(AND(G167&lt;&gt;"",N(G167)&lt;=TODAY()),MAX($BU$4:BU166)+1,"")</f>
        <v/>
      </c>
      <c r="BV167" s="60">
        <f>IF(AND(F167&lt;&gt;"",F167&lt;&gt;"Relance en retard"),MAX($BV$4:BV166)+1,"")</f>
        <v/>
      </c>
      <c r="BW167" s="60">
        <f>IF(C167="","",IF(AND(B167&gt;='Tableau de bord'!$R$4,B167&lt;='Tableau de bord'!$S$4,OR('Tableau de bord'!$G$4="Tous",N167='Tableau de bord'!$G$4)),1,0))</f>
        <v/>
      </c>
      <c r="BX167" s="60">
        <f>IF(AND(C167&lt;&gt;"",N(BA167)=7),MAX($BX$4:BX166)+1,"")</f>
        <v/>
      </c>
    </row>
    <row r="168">
      <c r="A168" s="60">
        <f>IF(C168="","","P-"&amp;TEXT(164,"000"))</f>
        <v/>
      </c>
      <c r="B168" s="106">
        <f>IF(C168="","",IFERROR(1/(1/_xlfn.MINIFS('Saisie'!$A$5:$A$2004,'Saisie'!$C$5:$C$2004,C168)),""))</f>
        <v/>
      </c>
      <c r="C168" s="60">
        <f>IFERROR(INDEX('Saisie'!$C$5:$C$2004,MATCH(164,'Saisie'!$AX$5:$AX$2004,0)),"")</f>
        <v/>
      </c>
      <c r="D168" s="60">
        <f>IF(C168="","",IF(AND(BR168&gt;0,BR168&gt;BS168,BA168&lt;7),"Perdu",INDEX('Paramètres'!$F$6:$F$13,BA168)))</f>
        <v/>
      </c>
      <c r="E168" s="61">
        <f>IF(C168="","",MIN(100,(Z168="Oui")*'Paramètres'!$B$38+(AB168="Régulière")*'Paramètres'!$B$39+IF(AND(N(AA168)&gt;0,TODAY()-N(AA168)&lt;=30),'Paramètres'!$B$40,0)+(W168="")*'Paramètres'!$B$41+(AC168="Absente")*'Paramètres'!$B$42+(AC168="Faible")*'Paramètres'!$B$43+IF(AND(N(AD168)&gt;0,N(AD168)&lt;4),'Paramètres'!$B$44,0)+(AF168="Moyenne")*'Paramètres'!$B$45+(AF168="Grande")*'Paramètres'!$B$46+(Y168&lt;&gt;"")*'Paramètres'!$B$47))</f>
        <v/>
      </c>
      <c r="F168" s="60">
        <f>IF(C168="","",IF(D168="Gagné","",IF(D168="Perdu",IF(AND(AX168&lt;&gt;"",AX168&lt;=TODAY()),"À recontacter (perdu)",""),IF(AND(O168&gt;='Paramètres'!$B$21,P168=0),"Stop : "&amp;'Paramètres'!$B$21&amp;" tentatives sans réponse",IF(AND(D168="Proposition",AR168&lt;&gt;"",TODAY()&gt;N(AR168)),"Proposition expirée",IF(AND(D168="Proposition",N(R168)&gt;='Paramètres'!$B$25),"Proposition sans réponse",IF(AND(G168&lt;&gt;"",N(G168)&lt;TODAY()),"Relance en retard",IF(N(R168)&gt;='Paramètres'!$B$24,"Sans action depuis "&amp;R168&amp;" j",""))))))))</f>
        <v/>
      </c>
      <c r="G168" s="106">
        <f>IF(OR(C168="",D168="Gagné",D168="Perdu"),"",IF(AND(BP168&gt;0,BP168=BQ168),INDEX('Saisie'!$J$5:$J$2004,BP168-4),IF(OR(O168=0,AND(O168&gt;='Paramètres'!$B$21,P168=0)),"",Q168+IF(O168&lt;=1,'Paramètres'!$B$18,IF(O168=2,'Paramètres'!$B$19,'Paramètres'!$B$20)))))</f>
        <v/>
      </c>
      <c r="H168" s="107">
        <f>IF(OR(G168="",BP168&lt;&gt;BQ168),"",IF(INDEX('Saisie'!$K$5:$K$2004,BP168-4)="","",INDEX('Saisie'!$K$5:$K$2004,BP168-4)))</f>
        <v/>
      </c>
      <c r="I168" s="60">
        <f>IF(C168="","",IF(OR(D168="Gagné",D168="Perdu"),"",IFERROR(INDEX('Saisie'!$I$5:$I$2004,_xlfn.MAXIFS('Saisie'!$AS$5:$AS$2004,'Saisie'!$C$5:$C$2004,C168,'Saisie'!$I$5:$I$2004,"&lt;&gt;")-4),"")))</f>
        <v/>
      </c>
      <c r="J168" s="60">
        <f>IF(C168="","",IFERROR(INDEX('Saisie'!$U$5:$U$2004,_xlfn.MAXIFS('Saisie'!$AS$5:$AS$2004,'Saisie'!$C$5:$C$2004,C168,'Saisie'!$U$5:$U$2004,"&lt;&gt;")-4),""))</f>
        <v/>
      </c>
      <c r="K168" s="60">
        <f>IF(C168="","",IFERROR(INDEX('Saisie'!$W$5:$W$2004,_xlfn.MAXIFS('Saisie'!$AS$5:$AS$2004,'Saisie'!$C$5:$C$2004,C168,'Saisie'!$W$5:$W$2004,"&lt;&gt;")-4),""))</f>
        <v/>
      </c>
      <c r="L168" s="60">
        <f>IF(IF(BB168&lt;&gt;"",BB168,K168)="","",HYPERLINK("https://wa.me/"&amp;IF(LEFT(SUBSTITUTE(SUBSTITUTE(SUBSTITUTE(IF(BB168&lt;&gt;"",BB168,K168)," ",""),".",""),"+",""),1)="0",'Paramètres'!$B$35&amp;MID(SUBSTITUTE(SUBSTITUTE(SUBSTITUTE(IF(BB168&lt;&gt;"",BB168,K168)," ",""),".",""),"+",""),2,20),SUBSTITUTE(SUBSTITUTE(SUBSTITUTE(IF(BB168&lt;&gt;"",BB168,K168)," ",""),".",""),"+","")),"WhatsApp"))</f>
        <v/>
      </c>
      <c r="M168" s="60">
        <f>IF(BC168="","",HYPERLINK(IF(LEFT(BC168,4)="http",BC168,"https://www.instagram.com/"&amp;SUBSTITUTE(SUBSTITUTE(BC168,"@","")," ","")),BC168))</f>
        <v/>
      </c>
      <c r="N168" s="60">
        <f>IF(C168="","",IFERROR(INDEX('Saisie'!$D$5:$D$2004,_xlfn.MINIFS('Saisie'!$AS$5:$AS$2004,'Saisie'!$C$5:$C$2004,C168,'Saisie'!$AU$5:$AU$2004,1)-4),IFERROR(INDEX('Saisie'!$D$5:$D$2004,_xlfn.MINIFS('Saisie'!$AS$5:$AS$2004,'Saisie'!$C$5:$C$2004,C168,'Saisie'!$D$5:$D$2004,"&lt;&gt;")-4),"")))</f>
        <v/>
      </c>
      <c r="O168" s="60">
        <f>IF(C168="","",COUNTIFS('Saisie'!$C$5:$C$2004,C168,'Saisie'!$AU$5:$AU$2004,1))</f>
        <v/>
      </c>
      <c r="P168" s="60">
        <f>IF(C168="","",COUNTIFS('Saisie'!$C$5:$C$2004,C168,'Saisie'!$AV$5:$AV$2004,1))</f>
        <v/>
      </c>
      <c r="Q168" s="106">
        <f>IF(C168="","",IFERROR(1/(1/_xlfn.MAXIFS('Saisie'!$A$5:$A$2004,'Saisie'!$C$5:$C$2004,C168)),""))</f>
        <v/>
      </c>
      <c r="R168" s="61">
        <f>IF(C168="","",IF(Q168="","",TODAY()-Q168))</f>
        <v/>
      </c>
      <c r="S168" s="60">
        <f>IF(C168="","",IFERROR(INDEX('Saisie'!$R$5:$R$2004,_xlfn.MAXIFS('Saisie'!$AS$5:$AS$2004,'Saisie'!$C$5:$C$2004,C168,'Saisie'!$R$5:$R$2004,"&lt;&gt;")-4),""))</f>
        <v/>
      </c>
      <c r="T168" s="60">
        <f>IF(C168="","",IFERROR(INDEX('Saisie'!$S$5:$S$2004,_xlfn.MAXIFS('Saisie'!$AS$5:$AS$2004,'Saisie'!$C$5:$C$2004,C168,'Saisie'!$S$5:$S$2004,"&lt;&gt;")-4),""))</f>
        <v/>
      </c>
      <c r="U168" s="60">
        <f>IF(C168="","",IFERROR(INDEX('Saisie'!$T$5:$T$2004,_xlfn.MAXIFS('Saisie'!$AS$5:$AS$2004,'Saisie'!$C$5:$C$2004,C168,'Saisie'!$T$5:$T$2004,"&lt;&gt;")-4),""))</f>
        <v/>
      </c>
      <c r="V168" s="60">
        <f>IF(C168="","",IFERROR(INDEX('Saisie'!$V$5:$V$2004,_xlfn.MAXIFS('Saisie'!$AS$5:$AS$2004,'Saisie'!$C$5:$C$2004,C168,'Saisie'!$V$5:$V$2004,"&lt;&gt;")-4),""))</f>
        <v/>
      </c>
      <c r="W168" s="60">
        <f>IF(C168="","",IFERROR(INDEX('Saisie'!$Z$5:$Z$2004,_xlfn.MAXIFS('Saisie'!$AS$5:$AS$2004,'Saisie'!$C$5:$C$2004,C168,'Saisie'!$Z$5:$Z$2004,"&lt;&gt;")-4),""))</f>
        <v/>
      </c>
      <c r="X168" s="60">
        <f>IF(C168="","",IFERROR(INDEX('Saisie'!$AA$5:$AA$2004,_xlfn.MAXIFS('Saisie'!$AS$5:$AS$2004,'Saisie'!$C$5:$C$2004,C168,'Saisie'!$AA$5:$AA$2004,"&lt;&gt;")-4),""))</f>
        <v/>
      </c>
      <c r="Y168" s="60">
        <f>IF(C168="","",IFERROR(INDEX('Saisie'!$AB$5:$AB$2004,_xlfn.MAXIFS('Saisie'!$AS$5:$AS$2004,'Saisie'!$C$5:$C$2004,C168,'Saisie'!$AB$5:$AB$2004,"&lt;&gt;")-4),""))</f>
        <v/>
      </c>
      <c r="Z168" s="60">
        <f>IF(C168="","",IFERROR(INDEX('Saisie'!$AC$5:$AC$2004,_xlfn.MAXIFS('Saisie'!$AS$5:$AS$2004,'Saisie'!$C$5:$C$2004,C168,'Saisie'!$AC$5:$AC$2004,"&lt;&gt;")-4),""))</f>
        <v/>
      </c>
      <c r="AA168" s="106">
        <f>IF(C168="","",IFERROR(INDEX('Saisie'!$AD$5:$AD$2004,_xlfn.MAXIFS('Saisie'!$AS$5:$AS$2004,'Saisie'!$C$5:$C$2004,C168,'Saisie'!$AD$5:$AD$2004,"&lt;&gt;")-4),""))</f>
        <v/>
      </c>
      <c r="AB168" s="60">
        <f>IF(C168="","",IFERROR(INDEX('Saisie'!$AE$5:$AE$2004,_xlfn.MAXIFS('Saisie'!$AS$5:$AS$2004,'Saisie'!$C$5:$C$2004,C168,'Saisie'!$AE$5:$AE$2004,"&lt;&gt;")-4),""))</f>
        <v/>
      </c>
      <c r="AC168" s="60">
        <f>IF(C168="","",IFERROR(INDEX('Saisie'!$AF$5:$AF$2004,_xlfn.MAXIFS('Saisie'!$AS$5:$AS$2004,'Saisie'!$C$5:$C$2004,C168,'Saisie'!$AF$5:$AF$2004,"&lt;&gt;")-4),""))</f>
        <v/>
      </c>
      <c r="AD168" s="108">
        <f>IF(C168="","",IFERROR(INDEX('Saisie'!$AG$5:$AG$2004,_xlfn.MAXIFS('Saisie'!$AS$5:$AS$2004,'Saisie'!$C$5:$C$2004,C168,'Saisie'!$AG$5:$AG$2004,"&lt;&gt;")-4),""))</f>
        <v/>
      </c>
      <c r="AE168" s="60">
        <f>IF(C168="","",IFERROR(INDEX('Saisie'!$AH$5:$AH$2004,_xlfn.MAXIFS('Saisie'!$AS$5:$AS$2004,'Saisie'!$C$5:$C$2004,C168,'Saisie'!$AH$5:$AH$2004,"&lt;&gt;")-4),""))</f>
        <v/>
      </c>
      <c r="AF168" s="60">
        <f>IF(C168="","",IFERROR(INDEX('Saisie'!$AI$5:$AI$2004,_xlfn.MAXIFS('Saisie'!$AS$5:$AS$2004,'Saisie'!$C$5:$C$2004,C168,'Saisie'!$AI$5:$AI$2004,"&lt;&gt;")-4),""))</f>
        <v/>
      </c>
      <c r="AG168" s="60">
        <f>IF(C168="","",IFERROR(INDEX('Saisie'!$AJ$5:$AJ$2004,_xlfn.MAXIFS('Saisie'!$AS$5:$AS$2004,'Saisie'!$C$5:$C$2004,C168,'Saisie'!$AJ$5:$AJ$2004,"&lt;&gt;")-4),""))</f>
        <v/>
      </c>
      <c r="AH168" s="60">
        <f>IF(C168="","",IFERROR(INDEX('Saisie'!$AK$5:$AK$2004,_xlfn.MAXIFS('Saisie'!$AS$5:$AS$2004,'Saisie'!$C$5:$C$2004,C168,'Saisie'!$AK$5:$AK$2004,"&lt;&gt;")-4),""))</f>
        <v/>
      </c>
      <c r="AI168" s="60">
        <f>IF(C168="","",IFERROR(INDEX('Saisie'!$AN$5:$AN$2004,_xlfn.MAXIFS('Saisie'!$AS$5:$AS$2004,'Saisie'!$C$5:$C$2004,C168,'Saisie'!$AN$5:$AN$2004,"&lt;&gt;")-4),""))</f>
        <v/>
      </c>
      <c r="AJ168" s="60">
        <f>IF(C168="","",IFERROR(INDEX('Saisie'!$AO$5:$AO$2004,_xlfn.MAXIFS('Saisie'!$AS$5:$AS$2004,'Saisie'!$C$5:$C$2004,C168,'Saisie'!$AO$5:$AO$2004,"&lt;&gt;")-4),""))</f>
        <v/>
      </c>
      <c r="AK168" s="60">
        <f>IF(C168="","",IFERROR(INDEX('Saisie'!$AP$5:$AP$2004,_xlfn.MAXIFS('Saisie'!$AS$5:$AS$2004,'Saisie'!$C$5:$C$2004,C168,'Saisie'!$AP$5:$AP$2004,"&lt;&gt;")-4),""))</f>
        <v/>
      </c>
      <c r="AL168" s="60">
        <f>IF(C168="","",IFERROR(INDEX('Saisie'!$AQ$5:$AQ$2004,_xlfn.MAXIFS('Saisie'!$AS$5:$AS$2004,'Saisie'!$C$5:$C$2004,C168,'Saisie'!$AQ$5:$AQ$2004,"&lt;&gt;")-4),""))</f>
        <v/>
      </c>
      <c r="AM168" s="60">
        <f>IF(C168="","",((AI168="Oui")+(AJ168="Oui")+(AK168="Oui")+OR(AL168="Immédiat",AL168="&lt; 1 mois"))&amp;"/4")</f>
        <v/>
      </c>
      <c r="AN168" s="60">
        <f>IF(C168="","",IFERROR(INDEX('Saisie'!$AL$5:$AL$2004,_xlfn.MAXIFS('Saisie'!$AS$5:$AS$2004,'Saisie'!$C$5:$C$2004,C168,'Saisie'!$AL$5:$AL$2004,"&lt;&gt;")-4),""))</f>
        <v/>
      </c>
      <c r="AO168" s="62">
        <f>IF(C168="","",IF(IFERROR(INDEX('Saisie'!$AM$5:$AM$2004,_xlfn.MAXIFS('Saisie'!$AS$5:$AS$2004,'Saisie'!$C$5:$C$2004,C168,'Saisie'!$AM$5:$AM$2004,"&lt;&gt;")-4),"")&lt;&gt;"",IFERROR(INDEX('Saisie'!$AM$5:$AM$2004,_xlfn.MAXIFS('Saisie'!$AS$5:$AS$2004,'Saisie'!$C$5:$C$2004,C168,'Saisie'!$AM$5:$AM$2004,"&lt;&gt;")-4),""),IFERROR(INDEX('Paramètres'!$S$6:$S$15,MATCH(AN168,'Paramètres'!$Q$6:$Q$15,0)),"")))</f>
        <v/>
      </c>
      <c r="AP168" s="62">
        <f>IF(C168="","",IFERROR(INDEX('Saisie'!$AW$5:$AW$2004,_xlfn.MAXIFS('Saisie'!$AS$5:$AS$2004,'Saisie'!$C$5:$C$2004,C168,'Saisie'!$E$5:$E$2004,"Proposition envoyée")-4),""))</f>
        <v/>
      </c>
      <c r="AQ168" s="106">
        <f>IF(C168="","",IFERROR(1/(1/_xlfn.MAXIFS('Saisie'!$A$5:$A$2004,'Saisie'!$C$5:$C$2004,C168,'Saisie'!$E$5:$E$2004,"Proposition envoyée")),""))</f>
        <v/>
      </c>
      <c r="AR168" s="106">
        <f>IF(C168="","",IF(AQ168="","",AQ168+'Paramètres'!$B$26))</f>
        <v/>
      </c>
      <c r="AS168" s="62">
        <f>IF(OR(C168="",D168="Gagné",D168="Perdu"),0,N(AP168)*IFERROR(INDEX('Paramètres'!$G$6:$G$13,MATCH(D168,'Paramètres'!$F$6:$F$13,0)),0))</f>
        <v/>
      </c>
      <c r="AT168" s="106">
        <f>IF(C168="","",IFERROR(1/(1/_xlfn.MINIFS('Saisie'!$A$5:$A$2004,'Saisie'!$C$5:$C$2004,C168,'Saisie'!$E$5:$E$2004,"Signature")),""))</f>
        <v/>
      </c>
      <c r="AU168" s="60">
        <f>IF(C168="","",IF(OR(AT168="",B168=""),"",AT168-B168))</f>
        <v/>
      </c>
      <c r="AV168" s="60">
        <f>IF(C168="","",IFERROR(INDEX('Saisie'!$L$5:$L$2004,_xlfn.MAXIFS('Saisie'!$AS$5:$AS$2004,'Saisie'!$C$5:$C$2004,C168,'Saisie'!$L$5:$L$2004,"&lt;&gt;")-4),""))</f>
        <v/>
      </c>
      <c r="AW168" s="106">
        <f>IF(C168="","",IF(D168&lt;&gt;"Perdu","",IFERROR(1/(1/_xlfn.MAXIFS('Saisie'!$A$5:$A$2004,'Saisie'!$C$5:$C$2004,C168,'Saisie'!$E$5:$E$2004,"Perdu")),"")))</f>
        <v/>
      </c>
      <c r="AX168" s="106">
        <f>IF(C168="","",IF(AW168="","",AW168+'Paramètres'!$B$28))</f>
        <v/>
      </c>
      <c r="AY168" s="60">
        <f>IF(C168="","",SUMIFS('Saisie'!$H$5:$H$2004,'Saisie'!$C$5:$C$2004,C168))</f>
        <v/>
      </c>
      <c r="AZ168" s="60">
        <f>IF(C168="","",IFERROR(INDEX('Paramètres'!$W$6:$W$20,MATCH(S168,'Paramètres'!$V$6:$V$20,0))&amp;"",""))</f>
        <v/>
      </c>
      <c r="BA168" s="60">
        <f>IF(C168="","",MAX(1,_xlfn.MAXIFS('Saisie'!$AT$5:$AT$2004,'Saisie'!$C$5:$C$2004,C168)))</f>
        <v/>
      </c>
      <c r="BB168" s="60">
        <f>IF(C168="","",IFERROR(INDEX('Saisie'!$X$5:$X$2004,_xlfn.MAXIFS('Saisie'!$AS$5:$AS$2004,'Saisie'!$C$5:$C$2004,C168,'Saisie'!$X$5:$X$2004,"&lt;&gt;")-4),""))</f>
        <v/>
      </c>
      <c r="BC168" s="60">
        <f>IF(C168="","",IFERROR(INDEX('Saisie'!$Y$5:$Y$2004,_xlfn.MAXIFS('Saisie'!$AS$5:$AS$2004,'Saisie'!$C$5:$C$2004,C168,'Saisie'!$Y$5:$Y$2004,"&lt;&gt;")-4),""))</f>
        <v/>
      </c>
      <c r="BD168" s="106">
        <f>IF(C168="","",IFERROR(1/(1/_xlfn.MINIFS('Saisie'!$A$5:$A$2004,'Saisie'!$C$5:$C$2004,C168,'Saisie'!$AT$5:$AT$2004,"&gt;=2")),""))</f>
        <v/>
      </c>
      <c r="BE168" s="106">
        <f>IF(C168="","",IFERROR(1/(1/_xlfn.MINIFS('Saisie'!$A$5:$A$2004,'Saisie'!$C$5:$C$2004,C168,'Saisie'!$AT$5:$AT$2004,"&gt;=3")),""))</f>
        <v/>
      </c>
      <c r="BF168" s="106">
        <f>IF(C168="","",IFERROR(1/(1/_xlfn.MINIFS('Saisie'!$A$5:$A$2004,'Saisie'!$C$5:$C$2004,C168,'Saisie'!$AT$5:$AT$2004,"&gt;=4")),""))</f>
        <v/>
      </c>
      <c r="BG168" s="106">
        <f>IF(C168="","",IFERROR(1/(1/_xlfn.MINIFS('Saisie'!$A$5:$A$2004,'Saisie'!$C$5:$C$2004,C168,'Saisie'!$AT$5:$AT$2004,"&gt;=5")),""))</f>
        <v/>
      </c>
      <c r="BH168" s="106">
        <f>IF(C168="","",IFERROR(1/(1/_xlfn.MINIFS('Saisie'!$A$5:$A$2004,'Saisie'!$C$5:$C$2004,C168,'Saisie'!$AT$5:$AT$2004,"&gt;=6")),""))</f>
        <v/>
      </c>
      <c r="BI168" s="106">
        <f>IF(C168="","",IFERROR(1/(1/_xlfn.MINIFS('Saisie'!$A$5:$A$2004,'Saisie'!$C$5:$C$2004,C168,'Saisie'!$AT$5:$AT$2004,"&gt;=7")),""))</f>
        <v/>
      </c>
      <c r="BJ168" s="60">
        <f>IF(OR(BD168="",B168=""),"",BD168-B168)</f>
        <v/>
      </c>
      <c r="BK168" s="60">
        <f>IF(OR(BE168="",BD168=""),"",BE168-BD168)</f>
        <v/>
      </c>
      <c r="BL168" s="60">
        <f>IF(OR(BF168="",BE168=""),"",BF168-BE168)</f>
        <v/>
      </c>
      <c r="BM168" s="60">
        <f>IF(OR(BG168="",BF168=""),"",BG168-BF168)</f>
        <v/>
      </c>
      <c r="BN168" s="60">
        <f>IF(OR(BH168="",BG168=""),"",BH168-BG168)</f>
        <v/>
      </c>
      <c r="BO168" s="60">
        <f>IF(OR(BI168="",BH168=""),"",BI168-BH168)</f>
        <v/>
      </c>
      <c r="BP168" s="60">
        <f>IF(C168="","",_xlfn.MAXIFS('Saisie'!$AS$5:$AS$2004,'Saisie'!$C$5:$C$2004,C168,'Saisie'!$J$5:$J$2004,"&lt;&gt;"))</f>
        <v/>
      </c>
      <c r="BQ168" s="60">
        <f>IF(C168="","",_xlfn.MAXIFS('Saisie'!$AS$5:$AS$2004,'Saisie'!$C$5:$C$2004,C168))</f>
        <v/>
      </c>
      <c r="BR168" s="60">
        <f>IF(C168="","",_xlfn.MAXIFS('Saisie'!$AS$5:$AS$2004,'Saisie'!$C$5:$C$2004,C168,'Saisie'!$E$5:$E$2004,"Perdu"))</f>
        <v/>
      </c>
      <c r="BS168" s="60">
        <f>IF(C168="","",_xlfn.MAXIFS('Saisie'!$AS$5:$AS$2004,'Saisie'!$C$5:$C$2004,C168,'Saisie'!$AT$5:$AT$2004,"&gt;0"))</f>
        <v/>
      </c>
      <c r="BT168" s="109">
        <f>IF(AND(C168&lt;&gt;"",OR(D168="Nouveau",D168="Contacté",D168="Qualifié"),OR(G168="",N(G168)&lt;=TODAY()),NOT(AND(O168&gt;='Paramètres'!$B$21,P168=0))),E168+164/10000,"")</f>
        <v/>
      </c>
      <c r="BU168" s="60">
        <f>IF(AND(G168&lt;&gt;"",N(G168)&lt;=TODAY()),MAX($BU$4:BU167)+1,"")</f>
        <v/>
      </c>
      <c r="BV168" s="60">
        <f>IF(AND(F168&lt;&gt;"",F168&lt;&gt;"Relance en retard"),MAX($BV$4:BV167)+1,"")</f>
        <v/>
      </c>
      <c r="BW168" s="60">
        <f>IF(C168="","",IF(AND(B168&gt;='Tableau de bord'!$R$4,B168&lt;='Tableau de bord'!$S$4,OR('Tableau de bord'!$G$4="Tous",N168='Tableau de bord'!$G$4)),1,0))</f>
        <v/>
      </c>
      <c r="BX168" s="60">
        <f>IF(AND(C168&lt;&gt;"",N(BA168)=7),MAX($BX$4:BX167)+1,"")</f>
        <v/>
      </c>
    </row>
    <row r="169">
      <c r="A169" s="60">
        <f>IF(C169="","","P-"&amp;TEXT(165,"000"))</f>
        <v/>
      </c>
      <c r="B169" s="106">
        <f>IF(C169="","",IFERROR(1/(1/_xlfn.MINIFS('Saisie'!$A$5:$A$2004,'Saisie'!$C$5:$C$2004,C169)),""))</f>
        <v/>
      </c>
      <c r="C169" s="60">
        <f>IFERROR(INDEX('Saisie'!$C$5:$C$2004,MATCH(165,'Saisie'!$AX$5:$AX$2004,0)),"")</f>
        <v/>
      </c>
      <c r="D169" s="60">
        <f>IF(C169="","",IF(AND(BR169&gt;0,BR169&gt;BS169,BA169&lt;7),"Perdu",INDEX('Paramètres'!$F$6:$F$13,BA169)))</f>
        <v/>
      </c>
      <c r="E169" s="61">
        <f>IF(C169="","",MIN(100,(Z169="Oui")*'Paramètres'!$B$38+(AB169="Régulière")*'Paramètres'!$B$39+IF(AND(N(AA169)&gt;0,TODAY()-N(AA169)&lt;=30),'Paramètres'!$B$40,0)+(W169="")*'Paramètres'!$B$41+(AC169="Absente")*'Paramètres'!$B$42+(AC169="Faible")*'Paramètres'!$B$43+IF(AND(N(AD169)&gt;0,N(AD169)&lt;4),'Paramètres'!$B$44,0)+(AF169="Moyenne")*'Paramètres'!$B$45+(AF169="Grande")*'Paramètres'!$B$46+(Y169&lt;&gt;"")*'Paramètres'!$B$47))</f>
        <v/>
      </c>
      <c r="F169" s="60">
        <f>IF(C169="","",IF(D169="Gagné","",IF(D169="Perdu",IF(AND(AX169&lt;&gt;"",AX169&lt;=TODAY()),"À recontacter (perdu)",""),IF(AND(O169&gt;='Paramètres'!$B$21,P169=0),"Stop : "&amp;'Paramètres'!$B$21&amp;" tentatives sans réponse",IF(AND(D169="Proposition",AR169&lt;&gt;"",TODAY()&gt;N(AR169)),"Proposition expirée",IF(AND(D169="Proposition",N(R169)&gt;='Paramètres'!$B$25),"Proposition sans réponse",IF(AND(G169&lt;&gt;"",N(G169)&lt;TODAY()),"Relance en retard",IF(N(R169)&gt;='Paramètres'!$B$24,"Sans action depuis "&amp;R169&amp;" j",""))))))))</f>
        <v/>
      </c>
      <c r="G169" s="106">
        <f>IF(OR(C169="",D169="Gagné",D169="Perdu"),"",IF(AND(BP169&gt;0,BP169=BQ169),INDEX('Saisie'!$J$5:$J$2004,BP169-4),IF(OR(O169=0,AND(O169&gt;='Paramètres'!$B$21,P169=0)),"",Q169+IF(O169&lt;=1,'Paramètres'!$B$18,IF(O169=2,'Paramètres'!$B$19,'Paramètres'!$B$20)))))</f>
        <v/>
      </c>
      <c r="H169" s="107">
        <f>IF(OR(G169="",BP169&lt;&gt;BQ169),"",IF(INDEX('Saisie'!$K$5:$K$2004,BP169-4)="","",INDEX('Saisie'!$K$5:$K$2004,BP169-4)))</f>
        <v/>
      </c>
      <c r="I169" s="60">
        <f>IF(C169="","",IF(OR(D169="Gagné",D169="Perdu"),"",IFERROR(INDEX('Saisie'!$I$5:$I$2004,_xlfn.MAXIFS('Saisie'!$AS$5:$AS$2004,'Saisie'!$C$5:$C$2004,C169,'Saisie'!$I$5:$I$2004,"&lt;&gt;")-4),"")))</f>
        <v/>
      </c>
      <c r="J169" s="60">
        <f>IF(C169="","",IFERROR(INDEX('Saisie'!$U$5:$U$2004,_xlfn.MAXIFS('Saisie'!$AS$5:$AS$2004,'Saisie'!$C$5:$C$2004,C169,'Saisie'!$U$5:$U$2004,"&lt;&gt;")-4),""))</f>
        <v/>
      </c>
      <c r="K169" s="60">
        <f>IF(C169="","",IFERROR(INDEX('Saisie'!$W$5:$W$2004,_xlfn.MAXIFS('Saisie'!$AS$5:$AS$2004,'Saisie'!$C$5:$C$2004,C169,'Saisie'!$W$5:$W$2004,"&lt;&gt;")-4),""))</f>
        <v/>
      </c>
      <c r="L169" s="60">
        <f>IF(IF(BB169&lt;&gt;"",BB169,K169)="","",HYPERLINK("https://wa.me/"&amp;IF(LEFT(SUBSTITUTE(SUBSTITUTE(SUBSTITUTE(IF(BB169&lt;&gt;"",BB169,K169)," ",""),".",""),"+",""),1)="0",'Paramètres'!$B$35&amp;MID(SUBSTITUTE(SUBSTITUTE(SUBSTITUTE(IF(BB169&lt;&gt;"",BB169,K169)," ",""),".",""),"+",""),2,20),SUBSTITUTE(SUBSTITUTE(SUBSTITUTE(IF(BB169&lt;&gt;"",BB169,K169)," ",""),".",""),"+","")),"WhatsApp"))</f>
        <v/>
      </c>
      <c r="M169" s="60">
        <f>IF(BC169="","",HYPERLINK(IF(LEFT(BC169,4)="http",BC169,"https://www.instagram.com/"&amp;SUBSTITUTE(SUBSTITUTE(BC169,"@","")," ","")),BC169))</f>
        <v/>
      </c>
      <c r="N169" s="60">
        <f>IF(C169="","",IFERROR(INDEX('Saisie'!$D$5:$D$2004,_xlfn.MINIFS('Saisie'!$AS$5:$AS$2004,'Saisie'!$C$5:$C$2004,C169,'Saisie'!$AU$5:$AU$2004,1)-4),IFERROR(INDEX('Saisie'!$D$5:$D$2004,_xlfn.MINIFS('Saisie'!$AS$5:$AS$2004,'Saisie'!$C$5:$C$2004,C169,'Saisie'!$D$5:$D$2004,"&lt;&gt;")-4),"")))</f>
        <v/>
      </c>
      <c r="O169" s="60">
        <f>IF(C169="","",COUNTIFS('Saisie'!$C$5:$C$2004,C169,'Saisie'!$AU$5:$AU$2004,1))</f>
        <v/>
      </c>
      <c r="P169" s="60">
        <f>IF(C169="","",COUNTIFS('Saisie'!$C$5:$C$2004,C169,'Saisie'!$AV$5:$AV$2004,1))</f>
        <v/>
      </c>
      <c r="Q169" s="106">
        <f>IF(C169="","",IFERROR(1/(1/_xlfn.MAXIFS('Saisie'!$A$5:$A$2004,'Saisie'!$C$5:$C$2004,C169)),""))</f>
        <v/>
      </c>
      <c r="R169" s="61">
        <f>IF(C169="","",IF(Q169="","",TODAY()-Q169))</f>
        <v/>
      </c>
      <c r="S169" s="60">
        <f>IF(C169="","",IFERROR(INDEX('Saisie'!$R$5:$R$2004,_xlfn.MAXIFS('Saisie'!$AS$5:$AS$2004,'Saisie'!$C$5:$C$2004,C169,'Saisie'!$R$5:$R$2004,"&lt;&gt;")-4),""))</f>
        <v/>
      </c>
      <c r="T169" s="60">
        <f>IF(C169="","",IFERROR(INDEX('Saisie'!$S$5:$S$2004,_xlfn.MAXIFS('Saisie'!$AS$5:$AS$2004,'Saisie'!$C$5:$C$2004,C169,'Saisie'!$S$5:$S$2004,"&lt;&gt;")-4),""))</f>
        <v/>
      </c>
      <c r="U169" s="60">
        <f>IF(C169="","",IFERROR(INDEX('Saisie'!$T$5:$T$2004,_xlfn.MAXIFS('Saisie'!$AS$5:$AS$2004,'Saisie'!$C$5:$C$2004,C169,'Saisie'!$T$5:$T$2004,"&lt;&gt;")-4),""))</f>
        <v/>
      </c>
      <c r="V169" s="60">
        <f>IF(C169="","",IFERROR(INDEX('Saisie'!$V$5:$V$2004,_xlfn.MAXIFS('Saisie'!$AS$5:$AS$2004,'Saisie'!$C$5:$C$2004,C169,'Saisie'!$V$5:$V$2004,"&lt;&gt;")-4),""))</f>
        <v/>
      </c>
      <c r="W169" s="60">
        <f>IF(C169="","",IFERROR(INDEX('Saisie'!$Z$5:$Z$2004,_xlfn.MAXIFS('Saisie'!$AS$5:$AS$2004,'Saisie'!$C$5:$C$2004,C169,'Saisie'!$Z$5:$Z$2004,"&lt;&gt;")-4),""))</f>
        <v/>
      </c>
      <c r="X169" s="60">
        <f>IF(C169="","",IFERROR(INDEX('Saisie'!$AA$5:$AA$2004,_xlfn.MAXIFS('Saisie'!$AS$5:$AS$2004,'Saisie'!$C$5:$C$2004,C169,'Saisie'!$AA$5:$AA$2004,"&lt;&gt;")-4),""))</f>
        <v/>
      </c>
      <c r="Y169" s="60">
        <f>IF(C169="","",IFERROR(INDEX('Saisie'!$AB$5:$AB$2004,_xlfn.MAXIFS('Saisie'!$AS$5:$AS$2004,'Saisie'!$C$5:$C$2004,C169,'Saisie'!$AB$5:$AB$2004,"&lt;&gt;")-4),""))</f>
        <v/>
      </c>
      <c r="Z169" s="60">
        <f>IF(C169="","",IFERROR(INDEX('Saisie'!$AC$5:$AC$2004,_xlfn.MAXIFS('Saisie'!$AS$5:$AS$2004,'Saisie'!$C$5:$C$2004,C169,'Saisie'!$AC$5:$AC$2004,"&lt;&gt;")-4),""))</f>
        <v/>
      </c>
      <c r="AA169" s="106">
        <f>IF(C169="","",IFERROR(INDEX('Saisie'!$AD$5:$AD$2004,_xlfn.MAXIFS('Saisie'!$AS$5:$AS$2004,'Saisie'!$C$5:$C$2004,C169,'Saisie'!$AD$5:$AD$2004,"&lt;&gt;")-4),""))</f>
        <v/>
      </c>
      <c r="AB169" s="60">
        <f>IF(C169="","",IFERROR(INDEX('Saisie'!$AE$5:$AE$2004,_xlfn.MAXIFS('Saisie'!$AS$5:$AS$2004,'Saisie'!$C$5:$C$2004,C169,'Saisie'!$AE$5:$AE$2004,"&lt;&gt;")-4),""))</f>
        <v/>
      </c>
      <c r="AC169" s="60">
        <f>IF(C169="","",IFERROR(INDEX('Saisie'!$AF$5:$AF$2004,_xlfn.MAXIFS('Saisie'!$AS$5:$AS$2004,'Saisie'!$C$5:$C$2004,C169,'Saisie'!$AF$5:$AF$2004,"&lt;&gt;")-4),""))</f>
        <v/>
      </c>
      <c r="AD169" s="108">
        <f>IF(C169="","",IFERROR(INDEX('Saisie'!$AG$5:$AG$2004,_xlfn.MAXIFS('Saisie'!$AS$5:$AS$2004,'Saisie'!$C$5:$C$2004,C169,'Saisie'!$AG$5:$AG$2004,"&lt;&gt;")-4),""))</f>
        <v/>
      </c>
      <c r="AE169" s="60">
        <f>IF(C169="","",IFERROR(INDEX('Saisie'!$AH$5:$AH$2004,_xlfn.MAXIFS('Saisie'!$AS$5:$AS$2004,'Saisie'!$C$5:$C$2004,C169,'Saisie'!$AH$5:$AH$2004,"&lt;&gt;")-4),""))</f>
        <v/>
      </c>
      <c r="AF169" s="60">
        <f>IF(C169="","",IFERROR(INDEX('Saisie'!$AI$5:$AI$2004,_xlfn.MAXIFS('Saisie'!$AS$5:$AS$2004,'Saisie'!$C$5:$C$2004,C169,'Saisie'!$AI$5:$AI$2004,"&lt;&gt;")-4),""))</f>
        <v/>
      </c>
      <c r="AG169" s="60">
        <f>IF(C169="","",IFERROR(INDEX('Saisie'!$AJ$5:$AJ$2004,_xlfn.MAXIFS('Saisie'!$AS$5:$AS$2004,'Saisie'!$C$5:$C$2004,C169,'Saisie'!$AJ$5:$AJ$2004,"&lt;&gt;")-4),""))</f>
        <v/>
      </c>
      <c r="AH169" s="60">
        <f>IF(C169="","",IFERROR(INDEX('Saisie'!$AK$5:$AK$2004,_xlfn.MAXIFS('Saisie'!$AS$5:$AS$2004,'Saisie'!$C$5:$C$2004,C169,'Saisie'!$AK$5:$AK$2004,"&lt;&gt;")-4),""))</f>
        <v/>
      </c>
      <c r="AI169" s="60">
        <f>IF(C169="","",IFERROR(INDEX('Saisie'!$AN$5:$AN$2004,_xlfn.MAXIFS('Saisie'!$AS$5:$AS$2004,'Saisie'!$C$5:$C$2004,C169,'Saisie'!$AN$5:$AN$2004,"&lt;&gt;")-4),""))</f>
        <v/>
      </c>
      <c r="AJ169" s="60">
        <f>IF(C169="","",IFERROR(INDEX('Saisie'!$AO$5:$AO$2004,_xlfn.MAXIFS('Saisie'!$AS$5:$AS$2004,'Saisie'!$C$5:$C$2004,C169,'Saisie'!$AO$5:$AO$2004,"&lt;&gt;")-4),""))</f>
        <v/>
      </c>
      <c r="AK169" s="60">
        <f>IF(C169="","",IFERROR(INDEX('Saisie'!$AP$5:$AP$2004,_xlfn.MAXIFS('Saisie'!$AS$5:$AS$2004,'Saisie'!$C$5:$C$2004,C169,'Saisie'!$AP$5:$AP$2004,"&lt;&gt;")-4),""))</f>
        <v/>
      </c>
      <c r="AL169" s="60">
        <f>IF(C169="","",IFERROR(INDEX('Saisie'!$AQ$5:$AQ$2004,_xlfn.MAXIFS('Saisie'!$AS$5:$AS$2004,'Saisie'!$C$5:$C$2004,C169,'Saisie'!$AQ$5:$AQ$2004,"&lt;&gt;")-4),""))</f>
        <v/>
      </c>
      <c r="AM169" s="60">
        <f>IF(C169="","",((AI169="Oui")+(AJ169="Oui")+(AK169="Oui")+OR(AL169="Immédiat",AL169="&lt; 1 mois"))&amp;"/4")</f>
        <v/>
      </c>
      <c r="AN169" s="60">
        <f>IF(C169="","",IFERROR(INDEX('Saisie'!$AL$5:$AL$2004,_xlfn.MAXIFS('Saisie'!$AS$5:$AS$2004,'Saisie'!$C$5:$C$2004,C169,'Saisie'!$AL$5:$AL$2004,"&lt;&gt;")-4),""))</f>
        <v/>
      </c>
      <c r="AO169" s="62">
        <f>IF(C169="","",IF(IFERROR(INDEX('Saisie'!$AM$5:$AM$2004,_xlfn.MAXIFS('Saisie'!$AS$5:$AS$2004,'Saisie'!$C$5:$C$2004,C169,'Saisie'!$AM$5:$AM$2004,"&lt;&gt;")-4),"")&lt;&gt;"",IFERROR(INDEX('Saisie'!$AM$5:$AM$2004,_xlfn.MAXIFS('Saisie'!$AS$5:$AS$2004,'Saisie'!$C$5:$C$2004,C169,'Saisie'!$AM$5:$AM$2004,"&lt;&gt;")-4),""),IFERROR(INDEX('Paramètres'!$S$6:$S$15,MATCH(AN169,'Paramètres'!$Q$6:$Q$15,0)),"")))</f>
        <v/>
      </c>
      <c r="AP169" s="62">
        <f>IF(C169="","",IFERROR(INDEX('Saisie'!$AW$5:$AW$2004,_xlfn.MAXIFS('Saisie'!$AS$5:$AS$2004,'Saisie'!$C$5:$C$2004,C169,'Saisie'!$E$5:$E$2004,"Proposition envoyée")-4),""))</f>
        <v/>
      </c>
      <c r="AQ169" s="106">
        <f>IF(C169="","",IFERROR(1/(1/_xlfn.MAXIFS('Saisie'!$A$5:$A$2004,'Saisie'!$C$5:$C$2004,C169,'Saisie'!$E$5:$E$2004,"Proposition envoyée")),""))</f>
        <v/>
      </c>
      <c r="AR169" s="106">
        <f>IF(C169="","",IF(AQ169="","",AQ169+'Paramètres'!$B$26))</f>
        <v/>
      </c>
      <c r="AS169" s="62">
        <f>IF(OR(C169="",D169="Gagné",D169="Perdu"),0,N(AP169)*IFERROR(INDEX('Paramètres'!$G$6:$G$13,MATCH(D169,'Paramètres'!$F$6:$F$13,0)),0))</f>
        <v/>
      </c>
      <c r="AT169" s="106">
        <f>IF(C169="","",IFERROR(1/(1/_xlfn.MINIFS('Saisie'!$A$5:$A$2004,'Saisie'!$C$5:$C$2004,C169,'Saisie'!$E$5:$E$2004,"Signature")),""))</f>
        <v/>
      </c>
      <c r="AU169" s="60">
        <f>IF(C169="","",IF(OR(AT169="",B169=""),"",AT169-B169))</f>
        <v/>
      </c>
      <c r="AV169" s="60">
        <f>IF(C169="","",IFERROR(INDEX('Saisie'!$L$5:$L$2004,_xlfn.MAXIFS('Saisie'!$AS$5:$AS$2004,'Saisie'!$C$5:$C$2004,C169,'Saisie'!$L$5:$L$2004,"&lt;&gt;")-4),""))</f>
        <v/>
      </c>
      <c r="AW169" s="106">
        <f>IF(C169="","",IF(D169&lt;&gt;"Perdu","",IFERROR(1/(1/_xlfn.MAXIFS('Saisie'!$A$5:$A$2004,'Saisie'!$C$5:$C$2004,C169,'Saisie'!$E$5:$E$2004,"Perdu")),"")))</f>
        <v/>
      </c>
      <c r="AX169" s="106">
        <f>IF(C169="","",IF(AW169="","",AW169+'Paramètres'!$B$28))</f>
        <v/>
      </c>
      <c r="AY169" s="60">
        <f>IF(C169="","",SUMIFS('Saisie'!$H$5:$H$2004,'Saisie'!$C$5:$C$2004,C169))</f>
        <v/>
      </c>
      <c r="AZ169" s="60">
        <f>IF(C169="","",IFERROR(INDEX('Paramètres'!$W$6:$W$20,MATCH(S169,'Paramètres'!$V$6:$V$20,0))&amp;"",""))</f>
        <v/>
      </c>
      <c r="BA169" s="60">
        <f>IF(C169="","",MAX(1,_xlfn.MAXIFS('Saisie'!$AT$5:$AT$2004,'Saisie'!$C$5:$C$2004,C169)))</f>
        <v/>
      </c>
      <c r="BB169" s="60">
        <f>IF(C169="","",IFERROR(INDEX('Saisie'!$X$5:$X$2004,_xlfn.MAXIFS('Saisie'!$AS$5:$AS$2004,'Saisie'!$C$5:$C$2004,C169,'Saisie'!$X$5:$X$2004,"&lt;&gt;")-4),""))</f>
        <v/>
      </c>
      <c r="BC169" s="60">
        <f>IF(C169="","",IFERROR(INDEX('Saisie'!$Y$5:$Y$2004,_xlfn.MAXIFS('Saisie'!$AS$5:$AS$2004,'Saisie'!$C$5:$C$2004,C169,'Saisie'!$Y$5:$Y$2004,"&lt;&gt;")-4),""))</f>
        <v/>
      </c>
      <c r="BD169" s="106">
        <f>IF(C169="","",IFERROR(1/(1/_xlfn.MINIFS('Saisie'!$A$5:$A$2004,'Saisie'!$C$5:$C$2004,C169,'Saisie'!$AT$5:$AT$2004,"&gt;=2")),""))</f>
        <v/>
      </c>
      <c r="BE169" s="106">
        <f>IF(C169="","",IFERROR(1/(1/_xlfn.MINIFS('Saisie'!$A$5:$A$2004,'Saisie'!$C$5:$C$2004,C169,'Saisie'!$AT$5:$AT$2004,"&gt;=3")),""))</f>
        <v/>
      </c>
      <c r="BF169" s="106">
        <f>IF(C169="","",IFERROR(1/(1/_xlfn.MINIFS('Saisie'!$A$5:$A$2004,'Saisie'!$C$5:$C$2004,C169,'Saisie'!$AT$5:$AT$2004,"&gt;=4")),""))</f>
        <v/>
      </c>
      <c r="BG169" s="106">
        <f>IF(C169="","",IFERROR(1/(1/_xlfn.MINIFS('Saisie'!$A$5:$A$2004,'Saisie'!$C$5:$C$2004,C169,'Saisie'!$AT$5:$AT$2004,"&gt;=5")),""))</f>
        <v/>
      </c>
      <c r="BH169" s="106">
        <f>IF(C169="","",IFERROR(1/(1/_xlfn.MINIFS('Saisie'!$A$5:$A$2004,'Saisie'!$C$5:$C$2004,C169,'Saisie'!$AT$5:$AT$2004,"&gt;=6")),""))</f>
        <v/>
      </c>
      <c r="BI169" s="106">
        <f>IF(C169="","",IFERROR(1/(1/_xlfn.MINIFS('Saisie'!$A$5:$A$2004,'Saisie'!$C$5:$C$2004,C169,'Saisie'!$AT$5:$AT$2004,"&gt;=7")),""))</f>
        <v/>
      </c>
      <c r="BJ169" s="60">
        <f>IF(OR(BD169="",B169=""),"",BD169-B169)</f>
        <v/>
      </c>
      <c r="BK169" s="60">
        <f>IF(OR(BE169="",BD169=""),"",BE169-BD169)</f>
        <v/>
      </c>
      <c r="BL169" s="60">
        <f>IF(OR(BF169="",BE169=""),"",BF169-BE169)</f>
        <v/>
      </c>
      <c r="BM169" s="60">
        <f>IF(OR(BG169="",BF169=""),"",BG169-BF169)</f>
        <v/>
      </c>
      <c r="BN169" s="60">
        <f>IF(OR(BH169="",BG169=""),"",BH169-BG169)</f>
        <v/>
      </c>
      <c r="BO169" s="60">
        <f>IF(OR(BI169="",BH169=""),"",BI169-BH169)</f>
        <v/>
      </c>
      <c r="BP169" s="60">
        <f>IF(C169="","",_xlfn.MAXIFS('Saisie'!$AS$5:$AS$2004,'Saisie'!$C$5:$C$2004,C169,'Saisie'!$J$5:$J$2004,"&lt;&gt;"))</f>
        <v/>
      </c>
      <c r="BQ169" s="60">
        <f>IF(C169="","",_xlfn.MAXIFS('Saisie'!$AS$5:$AS$2004,'Saisie'!$C$5:$C$2004,C169))</f>
        <v/>
      </c>
      <c r="BR169" s="60">
        <f>IF(C169="","",_xlfn.MAXIFS('Saisie'!$AS$5:$AS$2004,'Saisie'!$C$5:$C$2004,C169,'Saisie'!$E$5:$E$2004,"Perdu"))</f>
        <v/>
      </c>
      <c r="BS169" s="60">
        <f>IF(C169="","",_xlfn.MAXIFS('Saisie'!$AS$5:$AS$2004,'Saisie'!$C$5:$C$2004,C169,'Saisie'!$AT$5:$AT$2004,"&gt;0"))</f>
        <v/>
      </c>
      <c r="BT169" s="109">
        <f>IF(AND(C169&lt;&gt;"",OR(D169="Nouveau",D169="Contacté",D169="Qualifié"),OR(G169="",N(G169)&lt;=TODAY()),NOT(AND(O169&gt;='Paramètres'!$B$21,P169=0))),E169+165/10000,"")</f>
        <v/>
      </c>
      <c r="BU169" s="60">
        <f>IF(AND(G169&lt;&gt;"",N(G169)&lt;=TODAY()),MAX($BU$4:BU168)+1,"")</f>
        <v/>
      </c>
      <c r="BV169" s="60">
        <f>IF(AND(F169&lt;&gt;"",F169&lt;&gt;"Relance en retard"),MAX($BV$4:BV168)+1,"")</f>
        <v/>
      </c>
      <c r="BW169" s="60">
        <f>IF(C169="","",IF(AND(B169&gt;='Tableau de bord'!$R$4,B169&lt;='Tableau de bord'!$S$4,OR('Tableau de bord'!$G$4="Tous",N169='Tableau de bord'!$G$4)),1,0))</f>
        <v/>
      </c>
      <c r="BX169" s="60">
        <f>IF(AND(C169&lt;&gt;"",N(BA169)=7),MAX($BX$4:BX168)+1,"")</f>
        <v/>
      </c>
    </row>
    <row r="170">
      <c r="A170" s="60">
        <f>IF(C170="","","P-"&amp;TEXT(166,"000"))</f>
        <v/>
      </c>
      <c r="B170" s="106">
        <f>IF(C170="","",IFERROR(1/(1/_xlfn.MINIFS('Saisie'!$A$5:$A$2004,'Saisie'!$C$5:$C$2004,C170)),""))</f>
        <v/>
      </c>
      <c r="C170" s="60">
        <f>IFERROR(INDEX('Saisie'!$C$5:$C$2004,MATCH(166,'Saisie'!$AX$5:$AX$2004,0)),"")</f>
        <v/>
      </c>
      <c r="D170" s="60">
        <f>IF(C170="","",IF(AND(BR170&gt;0,BR170&gt;BS170,BA170&lt;7),"Perdu",INDEX('Paramètres'!$F$6:$F$13,BA170)))</f>
        <v/>
      </c>
      <c r="E170" s="61">
        <f>IF(C170="","",MIN(100,(Z170="Oui")*'Paramètres'!$B$38+(AB170="Régulière")*'Paramètres'!$B$39+IF(AND(N(AA170)&gt;0,TODAY()-N(AA170)&lt;=30),'Paramètres'!$B$40,0)+(W170="")*'Paramètres'!$B$41+(AC170="Absente")*'Paramètres'!$B$42+(AC170="Faible")*'Paramètres'!$B$43+IF(AND(N(AD170)&gt;0,N(AD170)&lt;4),'Paramètres'!$B$44,0)+(AF170="Moyenne")*'Paramètres'!$B$45+(AF170="Grande")*'Paramètres'!$B$46+(Y170&lt;&gt;"")*'Paramètres'!$B$47))</f>
        <v/>
      </c>
      <c r="F170" s="60">
        <f>IF(C170="","",IF(D170="Gagné","",IF(D170="Perdu",IF(AND(AX170&lt;&gt;"",AX170&lt;=TODAY()),"À recontacter (perdu)",""),IF(AND(O170&gt;='Paramètres'!$B$21,P170=0),"Stop : "&amp;'Paramètres'!$B$21&amp;" tentatives sans réponse",IF(AND(D170="Proposition",AR170&lt;&gt;"",TODAY()&gt;N(AR170)),"Proposition expirée",IF(AND(D170="Proposition",N(R170)&gt;='Paramètres'!$B$25),"Proposition sans réponse",IF(AND(G170&lt;&gt;"",N(G170)&lt;TODAY()),"Relance en retard",IF(N(R170)&gt;='Paramètres'!$B$24,"Sans action depuis "&amp;R170&amp;" j",""))))))))</f>
        <v/>
      </c>
      <c r="G170" s="106">
        <f>IF(OR(C170="",D170="Gagné",D170="Perdu"),"",IF(AND(BP170&gt;0,BP170=BQ170),INDEX('Saisie'!$J$5:$J$2004,BP170-4),IF(OR(O170=0,AND(O170&gt;='Paramètres'!$B$21,P170=0)),"",Q170+IF(O170&lt;=1,'Paramètres'!$B$18,IF(O170=2,'Paramètres'!$B$19,'Paramètres'!$B$20)))))</f>
        <v/>
      </c>
      <c r="H170" s="107">
        <f>IF(OR(G170="",BP170&lt;&gt;BQ170),"",IF(INDEX('Saisie'!$K$5:$K$2004,BP170-4)="","",INDEX('Saisie'!$K$5:$K$2004,BP170-4)))</f>
        <v/>
      </c>
      <c r="I170" s="60">
        <f>IF(C170="","",IF(OR(D170="Gagné",D170="Perdu"),"",IFERROR(INDEX('Saisie'!$I$5:$I$2004,_xlfn.MAXIFS('Saisie'!$AS$5:$AS$2004,'Saisie'!$C$5:$C$2004,C170,'Saisie'!$I$5:$I$2004,"&lt;&gt;")-4),"")))</f>
        <v/>
      </c>
      <c r="J170" s="60">
        <f>IF(C170="","",IFERROR(INDEX('Saisie'!$U$5:$U$2004,_xlfn.MAXIFS('Saisie'!$AS$5:$AS$2004,'Saisie'!$C$5:$C$2004,C170,'Saisie'!$U$5:$U$2004,"&lt;&gt;")-4),""))</f>
        <v/>
      </c>
      <c r="K170" s="60">
        <f>IF(C170="","",IFERROR(INDEX('Saisie'!$W$5:$W$2004,_xlfn.MAXIFS('Saisie'!$AS$5:$AS$2004,'Saisie'!$C$5:$C$2004,C170,'Saisie'!$W$5:$W$2004,"&lt;&gt;")-4),""))</f>
        <v/>
      </c>
      <c r="L170" s="60">
        <f>IF(IF(BB170&lt;&gt;"",BB170,K170)="","",HYPERLINK("https://wa.me/"&amp;IF(LEFT(SUBSTITUTE(SUBSTITUTE(SUBSTITUTE(IF(BB170&lt;&gt;"",BB170,K170)," ",""),".",""),"+",""),1)="0",'Paramètres'!$B$35&amp;MID(SUBSTITUTE(SUBSTITUTE(SUBSTITUTE(IF(BB170&lt;&gt;"",BB170,K170)," ",""),".",""),"+",""),2,20),SUBSTITUTE(SUBSTITUTE(SUBSTITUTE(IF(BB170&lt;&gt;"",BB170,K170)," ",""),".",""),"+","")),"WhatsApp"))</f>
        <v/>
      </c>
      <c r="M170" s="60">
        <f>IF(BC170="","",HYPERLINK(IF(LEFT(BC170,4)="http",BC170,"https://www.instagram.com/"&amp;SUBSTITUTE(SUBSTITUTE(BC170,"@","")," ","")),BC170))</f>
        <v/>
      </c>
      <c r="N170" s="60">
        <f>IF(C170="","",IFERROR(INDEX('Saisie'!$D$5:$D$2004,_xlfn.MINIFS('Saisie'!$AS$5:$AS$2004,'Saisie'!$C$5:$C$2004,C170,'Saisie'!$AU$5:$AU$2004,1)-4),IFERROR(INDEX('Saisie'!$D$5:$D$2004,_xlfn.MINIFS('Saisie'!$AS$5:$AS$2004,'Saisie'!$C$5:$C$2004,C170,'Saisie'!$D$5:$D$2004,"&lt;&gt;")-4),"")))</f>
        <v/>
      </c>
      <c r="O170" s="60">
        <f>IF(C170="","",COUNTIFS('Saisie'!$C$5:$C$2004,C170,'Saisie'!$AU$5:$AU$2004,1))</f>
        <v/>
      </c>
      <c r="P170" s="60">
        <f>IF(C170="","",COUNTIFS('Saisie'!$C$5:$C$2004,C170,'Saisie'!$AV$5:$AV$2004,1))</f>
        <v/>
      </c>
      <c r="Q170" s="106">
        <f>IF(C170="","",IFERROR(1/(1/_xlfn.MAXIFS('Saisie'!$A$5:$A$2004,'Saisie'!$C$5:$C$2004,C170)),""))</f>
        <v/>
      </c>
      <c r="R170" s="61">
        <f>IF(C170="","",IF(Q170="","",TODAY()-Q170))</f>
        <v/>
      </c>
      <c r="S170" s="60">
        <f>IF(C170="","",IFERROR(INDEX('Saisie'!$R$5:$R$2004,_xlfn.MAXIFS('Saisie'!$AS$5:$AS$2004,'Saisie'!$C$5:$C$2004,C170,'Saisie'!$R$5:$R$2004,"&lt;&gt;")-4),""))</f>
        <v/>
      </c>
      <c r="T170" s="60">
        <f>IF(C170="","",IFERROR(INDEX('Saisie'!$S$5:$S$2004,_xlfn.MAXIFS('Saisie'!$AS$5:$AS$2004,'Saisie'!$C$5:$C$2004,C170,'Saisie'!$S$5:$S$2004,"&lt;&gt;")-4),""))</f>
        <v/>
      </c>
      <c r="U170" s="60">
        <f>IF(C170="","",IFERROR(INDEX('Saisie'!$T$5:$T$2004,_xlfn.MAXIFS('Saisie'!$AS$5:$AS$2004,'Saisie'!$C$5:$C$2004,C170,'Saisie'!$T$5:$T$2004,"&lt;&gt;")-4),""))</f>
        <v/>
      </c>
      <c r="V170" s="60">
        <f>IF(C170="","",IFERROR(INDEX('Saisie'!$V$5:$V$2004,_xlfn.MAXIFS('Saisie'!$AS$5:$AS$2004,'Saisie'!$C$5:$C$2004,C170,'Saisie'!$V$5:$V$2004,"&lt;&gt;")-4),""))</f>
        <v/>
      </c>
      <c r="W170" s="60">
        <f>IF(C170="","",IFERROR(INDEX('Saisie'!$Z$5:$Z$2004,_xlfn.MAXIFS('Saisie'!$AS$5:$AS$2004,'Saisie'!$C$5:$C$2004,C170,'Saisie'!$Z$5:$Z$2004,"&lt;&gt;")-4),""))</f>
        <v/>
      </c>
      <c r="X170" s="60">
        <f>IF(C170="","",IFERROR(INDEX('Saisie'!$AA$5:$AA$2004,_xlfn.MAXIFS('Saisie'!$AS$5:$AS$2004,'Saisie'!$C$5:$C$2004,C170,'Saisie'!$AA$5:$AA$2004,"&lt;&gt;")-4),""))</f>
        <v/>
      </c>
      <c r="Y170" s="60">
        <f>IF(C170="","",IFERROR(INDEX('Saisie'!$AB$5:$AB$2004,_xlfn.MAXIFS('Saisie'!$AS$5:$AS$2004,'Saisie'!$C$5:$C$2004,C170,'Saisie'!$AB$5:$AB$2004,"&lt;&gt;")-4),""))</f>
        <v/>
      </c>
      <c r="Z170" s="60">
        <f>IF(C170="","",IFERROR(INDEX('Saisie'!$AC$5:$AC$2004,_xlfn.MAXIFS('Saisie'!$AS$5:$AS$2004,'Saisie'!$C$5:$C$2004,C170,'Saisie'!$AC$5:$AC$2004,"&lt;&gt;")-4),""))</f>
        <v/>
      </c>
      <c r="AA170" s="106">
        <f>IF(C170="","",IFERROR(INDEX('Saisie'!$AD$5:$AD$2004,_xlfn.MAXIFS('Saisie'!$AS$5:$AS$2004,'Saisie'!$C$5:$C$2004,C170,'Saisie'!$AD$5:$AD$2004,"&lt;&gt;")-4),""))</f>
        <v/>
      </c>
      <c r="AB170" s="60">
        <f>IF(C170="","",IFERROR(INDEX('Saisie'!$AE$5:$AE$2004,_xlfn.MAXIFS('Saisie'!$AS$5:$AS$2004,'Saisie'!$C$5:$C$2004,C170,'Saisie'!$AE$5:$AE$2004,"&lt;&gt;")-4),""))</f>
        <v/>
      </c>
      <c r="AC170" s="60">
        <f>IF(C170="","",IFERROR(INDEX('Saisie'!$AF$5:$AF$2004,_xlfn.MAXIFS('Saisie'!$AS$5:$AS$2004,'Saisie'!$C$5:$C$2004,C170,'Saisie'!$AF$5:$AF$2004,"&lt;&gt;")-4),""))</f>
        <v/>
      </c>
      <c r="AD170" s="108">
        <f>IF(C170="","",IFERROR(INDEX('Saisie'!$AG$5:$AG$2004,_xlfn.MAXIFS('Saisie'!$AS$5:$AS$2004,'Saisie'!$C$5:$C$2004,C170,'Saisie'!$AG$5:$AG$2004,"&lt;&gt;")-4),""))</f>
        <v/>
      </c>
      <c r="AE170" s="60">
        <f>IF(C170="","",IFERROR(INDEX('Saisie'!$AH$5:$AH$2004,_xlfn.MAXIFS('Saisie'!$AS$5:$AS$2004,'Saisie'!$C$5:$C$2004,C170,'Saisie'!$AH$5:$AH$2004,"&lt;&gt;")-4),""))</f>
        <v/>
      </c>
      <c r="AF170" s="60">
        <f>IF(C170="","",IFERROR(INDEX('Saisie'!$AI$5:$AI$2004,_xlfn.MAXIFS('Saisie'!$AS$5:$AS$2004,'Saisie'!$C$5:$C$2004,C170,'Saisie'!$AI$5:$AI$2004,"&lt;&gt;")-4),""))</f>
        <v/>
      </c>
      <c r="AG170" s="60">
        <f>IF(C170="","",IFERROR(INDEX('Saisie'!$AJ$5:$AJ$2004,_xlfn.MAXIFS('Saisie'!$AS$5:$AS$2004,'Saisie'!$C$5:$C$2004,C170,'Saisie'!$AJ$5:$AJ$2004,"&lt;&gt;")-4),""))</f>
        <v/>
      </c>
      <c r="AH170" s="60">
        <f>IF(C170="","",IFERROR(INDEX('Saisie'!$AK$5:$AK$2004,_xlfn.MAXIFS('Saisie'!$AS$5:$AS$2004,'Saisie'!$C$5:$C$2004,C170,'Saisie'!$AK$5:$AK$2004,"&lt;&gt;")-4),""))</f>
        <v/>
      </c>
      <c r="AI170" s="60">
        <f>IF(C170="","",IFERROR(INDEX('Saisie'!$AN$5:$AN$2004,_xlfn.MAXIFS('Saisie'!$AS$5:$AS$2004,'Saisie'!$C$5:$C$2004,C170,'Saisie'!$AN$5:$AN$2004,"&lt;&gt;")-4),""))</f>
        <v/>
      </c>
      <c r="AJ170" s="60">
        <f>IF(C170="","",IFERROR(INDEX('Saisie'!$AO$5:$AO$2004,_xlfn.MAXIFS('Saisie'!$AS$5:$AS$2004,'Saisie'!$C$5:$C$2004,C170,'Saisie'!$AO$5:$AO$2004,"&lt;&gt;")-4),""))</f>
        <v/>
      </c>
      <c r="AK170" s="60">
        <f>IF(C170="","",IFERROR(INDEX('Saisie'!$AP$5:$AP$2004,_xlfn.MAXIFS('Saisie'!$AS$5:$AS$2004,'Saisie'!$C$5:$C$2004,C170,'Saisie'!$AP$5:$AP$2004,"&lt;&gt;")-4),""))</f>
        <v/>
      </c>
      <c r="AL170" s="60">
        <f>IF(C170="","",IFERROR(INDEX('Saisie'!$AQ$5:$AQ$2004,_xlfn.MAXIFS('Saisie'!$AS$5:$AS$2004,'Saisie'!$C$5:$C$2004,C170,'Saisie'!$AQ$5:$AQ$2004,"&lt;&gt;")-4),""))</f>
        <v/>
      </c>
      <c r="AM170" s="60">
        <f>IF(C170="","",((AI170="Oui")+(AJ170="Oui")+(AK170="Oui")+OR(AL170="Immédiat",AL170="&lt; 1 mois"))&amp;"/4")</f>
        <v/>
      </c>
      <c r="AN170" s="60">
        <f>IF(C170="","",IFERROR(INDEX('Saisie'!$AL$5:$AL$2004,_xlfn.MAXIFS('Saisie'!$AS$5:$AS$2004,'Saisie'!$C$5:$C$2004,C170,'Saisie'!$AL$5:$AL$2004,"&lt;&gt;")-4),""))</f>
        <v/>
      </c>
      <c r="AO170" s="62">
        <f>IF(C170="","",IF(IFERROR(INDEX('Saisie'!$AM$5:$AM$2004,_xlfn.MAXIFS('Saisie'!$AS$5:$AS$2004,'Saisie'!$C$5:$C$2004,C170,'Saisie'!$AM$5:$AM$2004,"&lt;&gt;")-4),"")&lt;&gt;"",IFERROR(INDEX('Saisie'!$AM$5:$AM$2004,_xlfn.MAXIFS('Saisie'!$AS$5:$AS$2004,'Saisie'!$C$5:$C$2004,C170,'Saisie'!$AM$5:$AM$2004,"&lt;&gt;")-4),""),IFERROR(INDEX('Paramètres'!$S$6:$S$15,MATCH(AN170,'Paramètres'!$Q$6:$Q$15,0)),"")))</f>
        <v/>
      </c>
      <c r="AP170" s="62">
        <f>IF(C170="","",IFERROR(INDEX('Saisie'!$AW$5:$AW$2004,_xlfn.MAXIFS('Saisie'!$AS$5:$AS$2004,'Saisie'!$C$5:$C$2004,C170,'Saisie'!$E$5:$E$2004,"Proposition envoyée")-4),""))</f>
        <v/>
      </c>
      <c r="AQ170" s="106">
        <f>IF(C170="","",IFERROR(1/(1/_xlfn.MAXIFS('Saisie'!$A$5:$A$2004,'Saisie'!$C$5:$C$2004,C170,'Saisie'!$E$5:$E$2004,"Proposition envoyée")),""))</f>
        <v/>
      </c>
      <c r="AR170" s="106">
        <f>IF(C170="","",IF(AQ170="","",AQ170+'Paramètres'!$B$26))</f>
        <v/>
      </c>
      <c r="AS170" s="62">
        <f>IF(OR(C170="",D170="Gagné",D170="Perdu"),0,N(AP170)*IFERROR(INDEX('Paramètres'!$G$6:$G$13,MATCH(D170,'Paramètres'!$F$6:$F$13,0)),0))</f>
        <v/>
      </c>
      <c r="AT170" s="106">
        <f>IF(C170="","",IFERROR(1/(1/_xlfn.MINIFS('Saisie'!$A$5:$A$2004,'Saisie'!$C$5:$C$2004,C170,'Saisie'!$E$5:$E$2004,"Signature")),""))</f>
        <v/>
      </c>
      <c r="AU170" s="60">
        <f>IF(C170="","",IF(OR(AT170="",B170=""),"",AT170-B170))</f>
        <v/>
      </c>
      <c r="AV170" s="60">
        <f>IF(C170="","",IFERROR(INDEX('Saisie'!$L$5:$L$2004,_xlfn.MAXIFS('Saisie'!$AS$5:$AS$2004,'Saisie'!$C$5:$C$2004,C170,'Saisie'!$L$5:$L$2004,"&lt;&gt;")-4),""))</f>
        <v/>
      </c>
      <c r="AW170" s="106">
        <f>IF(C170="","",IF(D170&lt;&gt;"Perdu","",IFERROR(1/(1/_xlfn.MAXIFS('Saisie'!$A$5:$A$2004,'Saisie'!$C$5:$C$2004,C170,'Saisie'!$E$5:$E$2004,"Perdu")),"")))</f>
        <v/>
      </c>
      <c r="AX170" s="106">
        <f>IF(C170="","",IF(AW170="","",AW170+'Paramètres'!$B$28))</f>
        <v/>
      </c>
      <c r="AY170" s="60">
        <f>IF(C170="","",SUMIFS('Saisie'!$H$5:$H$2004,'Saisie'!$C$5:$C$2004,C170))</f>
        <v/>
      </c>
      <c r="AZ170" s="60">
        <f>IF(C170="","",IFERROR(INDEX('Paramètres'!$W$6:$W$20,MATCH(S170,'Paramètres'!$V$6:$V$20,0))&amp;"",""))</f>
        <v/>
      </c>
      <c r="BA170" s="60">
        <f>IF(C170="","",MAX(1,_xlfn.MAXIFS('Saisie'!$AT$5:$AT$2004,'Saisie'!$C$5:$C$2004,C170)))</f>
        <v/>
      </c>
      <c r="BB170" s="60">
        <f>IF(C170="","",IFERROR(INDEX('Saisie'!$X$5:$X$2004,_xlfn.MAXIFS('Saisie'!$AS$5:$AS$2004,'Saisie'!$C$5:$C$2004,C170,'Saisie'!$X$5:$X$2004,"&lt;&gt;")-4),""))</f>
        <v/>
      </c>
      <c r="BC170" s="60">
        <f>IF(C170="","",IFERROR(INDEX('Saisie'!$Y$5:$Y$2004,_xlfn.MAXIFS('Saisie'!$AS$5:$AS$2004,'Saisie'!$C$5:$C$2004,C170,'Saisie'!$Y$5:$Y$2004,"&lt;&gt;")-4),""))</f>
        <v/>
      </c>
      <c r="BD170" s="106">
        <f>IF(C170="","",IFERROR(1/(1/_xlfn.MINIFS('Saisie'!$A$5:$A$2004,'Saisie'!$C$5:$C$2004,C170,'Saisie'!$AT$5:$AT$2004,"&gt;=2")),""))</f>
        <v/>
      </c>
      <c r="BE170" s="106">
        <f>IF(C170="","",IFERROR(1/(1/_xlfn.MINIFS('Saisie'!$A$5:$A$2004,'Saisie'!$C$5:$C$2004,C170,'Saisie'!$AT$5:$AT$2004,"&gt;=3")),""))</f>
        <v/>
      </c>
      <c r="BF170" s="106">
        <f>IF(C170="","",IFERROR(1/(1/_xlfn.MINIFS('Saisie'!$A$5:$A$2004,'Saisie'!$C$5:$C$2004,C170,'Saisie'!$AT$5:$AT$2004,"&gt;=4")),""))</f>
        <v/>
      </c>
      <c r="BG170" s="106">
        <f>IF(C170="","",IFERROR(1/(1/_xlfn.MINIFS('Saisie'!$A$5:$A$2004,'Saisie'!$C$5:$C$2004,C170,'Saisie'!$AT$5:$AT$2004,"&gt;=5")),""))</f>
        <v/>
      </c>
      <c r="BH170" s="106">
        <f>IF(C170="","",IFERROR(1/(1/_xlfn.MINIFS('Saisie'!$A$5:$A$2004,'Saisie'!$C$5:$C$2004,C170,'Saisie'!$AT$5:$AT$2004,"&gt;=6")),""))</f>
        <v/>
      </c>
      <c r="BI170" s="106">
        <f>IF(C170="","",IFERROR(1/(1/_xlfn.MINIFS('Saisie'!$A$5:$A$2004,'Saisie'!$C$5:$C$2004,C170,'Saisie'!$AT$5:$AT$2004,"&gt;=7")),""))</f>
        <v/>
      </c>
      <c r="BJ170" s="60">
        <f>IF(OR(BD170="",B170=""),"",BD170-B170)</f>
        <v/>
      </c>
      <c r="BK170" s="60">
        <f>IF(OR(BE170="",BD170=""),"",BE170-BD170)</f>
        <v/>
      </c>
      <c r="BL170" s="60">
        <f>IF(OR(BF170="",BE170=""),"",BF170-BE170)</f>
        <v/>
      </c>
      <c r="BM170" s="60">
        <f>IF(OR(BG170="",BF170=""),"",BG170-BF170)</f>
        <v/>
      </c>
      <c r="BN170" s="60">
        <f>IF(OR(BH170="",BG170=""),"",BH170-BG170)</f>
        <v/>
      </c>
      <c r="BO170" s="60">
        <f>IF(OR(BI170="",BH170=""),"",BI170-BH170)</f>
        <v/>
      </c>
      <c r="BP170" s="60">
        <f>IF(C170="","",_xlfn.MAXIFS('Saisie'!$AS$5:$AS$2004,'Saisie'!$C$5:$C$2004,C170,'Saisie'!$J$5:$J$2004,"&lt;&gt;"))</f>
        <v/>
      </c>
      <c r="BQ170" s="60">
        <f>IF(C170="","",_xlfn.MAXIFS('Saisie'!$AS$5:$AS$2004,'Saisie'!$C$5:$C$2004,C170))</f>
        <v/>
      </c>
      <c r="BR170" s="60">
        <f>IF(C170="","",_xlfn.MAXIFS('Saisie'!$AS$5:$AS$2004,'Saisie'!$C$5:$C$2004,C170,'Saisie'!$E$5:$E$2004,"Perdu"))</f>
        <v/>
      </c>
      <c r="BS170" s="60">
        <f>IF(C170="","",_xlfn.MAXIFS('Saisie'!$AS$5:$AS$2004,'Saisie'!$C$5:$C$2004,C170,'Saisie'!$AT$5:$AT$2004,"&gt;0"))</f>
        <v/>
      </c>
      <c r="BT170" s="109">
        <f>IF(AND(C170&lt;&gt;"",OR(D170="Nouveau",D170="Contacté",D170="Qualifié"),OR(G170="",N(G170)&lt;=TODAY()),NOT(AND(O170&gt;='Paramètres'!$B$21,P170=0))),E170+166/10000,"")</f>
        <v/>
      </c>
      <c r="BU170" s="60">
        <f>IF(AND(G170&lt;&gt;"",N(G170)&lt;=TODAY()),MAX($BU$4:BU169)+1,"")</f>
        <v/>
      </c>
      <c r="BV170" s="60">
        <f>IF(AND(F170&lt;&gt;"",F170&lt;&gt;"Relance en retard"),MAX($BV$4:BV169)+1,"")</f>
        <v/>
      </c>
      <c r="BW170" s="60">
        <f>IF(C170="","",IF(AND(B170&gt;='Tableau de bord'!$R$4,B170&lt;='Tableau de bord'!$S$4,OR('Tableau de bord'!$G$4="Tous",N170='Tableau de bord'!$G$4)),1,0))</f>
        <v/>
      </c>
      <c r="BX170" s="60">
        <f>IF(AND(C170&lt;&gt;"",N(BA170)=7),MAX($BX$4:BX169)+1,"")</f>
        <v/>
      </c>
    </row>
    <row r="171">
      <c r="A171" s="60">
        <f>IF(C171="","","P-"&amp;TEXT(167,"000"))</f>
        <v/>
      </c>
      <c r="B171" s="106">
        <f>IF(C171="","",IFERROR(1/(1/_xlfn.MINIFS('Saisie'!$A$5:$A$2004,'Saisie'!$C$5:$C$2004,C171)),""))</f>
        <v/>
      </c>
      <c r="C171" s="60">
        <f>IFERROR(INDEX('Saisie'!$C$5:$C$2004,MATCH(167,'Saisie'!$AX$5:$AX$2004,0)),"")</f>
        <v/>
      </c>
      <c r="D171" s="60">
        <f>IF(C171="","",IF(AND(BR171&gt;0,BR171&gt;BS171,BA171&lt;7),"Perdu",INDEX('Paramètres'!$F$6:$F$13,BA171)))</f>
        <v/>
      </c>
      <c r="E171" s="61">
        <f>IF(C171="","",MIN(100,(Z171="Oui")*'Paramètres'!$B$38+(AB171="Régulière")*'Paramètres'!$B$39+IF(AND(N(AA171)&gt;0,TODAY()-N(AA171)&lt;=30),'Paramètres'!$B$40,0)+(W171="")*'Paramètres'!$B$41+(AC171="Absente")*'Paramètres'!$B$42+(AC171="Faible")*'Paramètres'!$B$43+IF(AND(N(AD171)&gt;0,N(AD171)&lt;4),'Paramètres'!$B$44,0)+(AF171="Moyenne")*'Paramètres'!$B$45+(AF171="Grande")*'Paramètres'!$B$46+(Y171&lt;&gt;"")*'Paramètres'!$B$47))</f>
        <v/>
      </c>
      <c r="F171" s="60">
        <f>IF(C171="","",IF(D171="Gagné","",IF(D171="Perdu",IF(AND(AX171&lt;&gt;"",AX171&lt;=TODAY()),"À recontacter (perdu)",""),IF(AND(O171&gt;='Paramètres'!$B$21,P171=0),"Stop : "&amp;'Paramètres'!$B$21&amp;" tentatives sans réponse",IF(AND(D171="Proposition",AR171&lt;&gt;"",TODAY()&gt;N(AR171)),"Proposition expirée",IF(AND(D171="Proposition",N(R171)&gt;='Paramètres'!$B$25),"Proposition sans réponse",IF(AND(G171&lt;&gt;"",N(G171)&lt;TODAY()),"Relance en retard",IF(N(R171)&gt;='Paramètres'!$B$24,"Sans action depuis "&amp;R171&amp;" j",""))))))))</f>
        <v/>
      </c>
      <c r="G171" s="106">
        <f>IF(OR(C171="",D171="Gagné",D171="Perdu"),"",IF(AND(BP171&gt;0,BP171=BQ171),INDEX('Saisie'!$J$5:$J$2004,BP171-4),IF(OR(O171=0,AND(O171&gt;='Paramètres'!$B$21,P171=0)),"",Q171+IF(O171&lt;=1,'Paramètres'!$B$18,IF(O171=2,'Paramètres'!$B$19,'Paramètres'!$B$20)))))</f>
        <v/>
      </c>
      <c r="H171" s="107">
        <f>IF(OR(G171="",BP171&lt;&gt;BQ171),"",IF(INDEX('Saisie'!$K$5:$K$2004,BP171-4)="","",INDEX('Saisie'!$K$5:$K$2004,BP171-4)))</f>
        <v/>
      </c>
      <c r="I171" s="60">
        <f>IF(C171="","",IF(OR(D171="Gagné",D171="Perdu"),"",IFERROR(INDEX('Saisie'!$I$5:$I$2004,_xlfn.MAXIFS('Saisie'!$AS$5:$AS$2004,'Saisie'!$C$5:$C$2004,C171,'Saisie'!$I$5:$I$2004,"&lt;&gt;")-4),"")))</f>
        <v/>
      </c>
      <c r="J171" s="60">
        <f>IF(C171="","",IFERROR(INDEX('Saisie'!$U$5:$U$2004,_xlfn.MAXIFS('Saisie'!$AS$5:$AS$2004,'Saisie'!$C$5:$C$2004,C171,'Saisie'!$U$5:$U$2004,"&lt;&gt;")-4),""))</f>
        <v/>
      </c>
      <c r="K171" s="60">
        <f>IF(C171="","",IFERROR(INDEX('Saisie'!$W$5:$W$2004,_xlfn.MAXIFS('Saisie'!$AS$5:$AS$2004,'Saisie'!$C$5:$C$2004,C171,'Saisie'!$W$5:$W$2004,"&lt;&gt;")-4),""))</f>
        <v/>
      </c>
      <c r="L171" s="60">
        <f>IF(IF(BB171&lt;&gt;"",BB171,K171)="","",HYPERLINK("https://wa.me/"&amp;IF(LEFT(SUBSTITUTE(SUBSTITUTE(SUBSTITUTE(IF(BB171&lt;&gt;"",BB171,K171)," ",""),".",""),"+",""),1)="0",'Paramètres'!$B$35&amp;MID(SUBSTITUTE(SUBSTITUTE(SUBSTITUTE(IF(BB171&lt;&gt;"",BB171,K171)," ",""),".",""),"+",""),2,20),SUBSTITUTE(SUBSTITUTE(SUBSTITUTE(IF(BB171&lt;&gt;"",BB171,K171)," ",""),".",""),"+","")),"WhatsApp"))</f>
        <v/>
      </c>
      <c r="M171" s="60">
        <f>IF(BC171="","",HYPERLINK(IF(LEFT(BC171,4)="http",BC171,"https://www.instagram.com/"&amp;SUBSTITUTE(SUBSTITUTE(BC171,"@","")," ","")),BC171))</f>
        <v/>
      </c>
      <c r="N171" s="60">
        <f>IF(C171="","",IFERROR(INDEX('Saisie'!$D$5:$D$2004,_xlfn.MINIFS('Saisie'!$AS$5:$AS$2004,'Saisie'!$C$5:$C$2004,C171,'Saisie'!$AU$5:$AU$2004,1)-4),IFERROR(INDEX('Saisie'!$D$5:$D$2004,_xlfn.MINIFS('Saisie'!$AS$5:$AS$2004,'Saisie'!$C$5:$C$2004,C171,'Saisie'!$D$5:$D$2004,"&lt;&gt;")-4),"")))</f>
        <v/>
      </c>
      <c r="O171" s="60">
        <f>IF(C171="","",COUNTIFS('Saisie'!$C$5:$C$2004,C171,'Saisie'!$AU$5:$AU$2004,1))</f>
        <v/>
      </c>
      <c r="P171" s="60">
        <f>IF(C171="","",COUNTIFS('Saisie'!$C$5:$C$2004,C171,'Saisie'!$AV$5:$AV$2004,1))</f>
        <v/>
      </c>
      <c r="Q171" s="106">
        <f>IF(C171="","",IFERROR(1/(1/_xlfn.MAXIFS('Saisie'!$A$5:$A$2004,'Saisie'!$C$5:$C$2004,C171)),""))</f>
        <v/>
      </c>
      <c r="R171" s="61">
        <f>IF(C171="","",IF(Q171="","",TODAY()-Q171))</f>
        <v/>
      </c>
      <c r="S171" s="60">
        <f>IF(C171="","",IFERROR(INDEX('Saisie'!$R$5:$R$2004,_xlfn.MAXIFS('Saisie'!$AS$5:$AS$2004,'Saisie'!$C$5:$C$2004,C171,'Saisie'!$R$5:$R$2004,"&lt;&gt;")-4),""))</f>
        <v/>
      </c>
      <c r="T171" s="60">
        <f>IF(C171="","",IFERROR(INDEX('Saisie'!$S$5:$S$2004,_xlfn.MAXIFS('Saisie'!$AS$5:$AS$2004,'Saisie'!$C$5:$C$2004,C171,'Saisie'!$S$5:$S$2004,"&lt;&gt;")-4),""))</f>
        <v/>
      </c>
      <c r="U171" s="60">
        <f>IF(C171="","",IFERROR(INDEX('Saisie'!$T$5:$T$2004,_xlfn.MAXIFS('Saisie'!$AS$5:$AS$2004,'Saisie'!$C$5:$C$2004,C171,'Saisie'!$T$5:$T$2004,"&lt;&gt;")-4),""))</f>
        <v/>
      </c>
      <c r="V171" s="60">
        <f>IF(C171="","",IFERROR(INDEX('Saisie'!$V$5:$V$2004,_xlfn.MAXIFS('Saisie'!$AS$5:$AS$2004,'Saisie'!$C$5:$C$2004,C171,'Saisie'!$V$5:$V$2004,"&lt;&gt;")-4),""))</f>
        <v/>
      </c>
      <c r="W171" s="60">
        <f>IF(C171="","",IFERROR(INDEX('Saisie'!$Z$5:$Z$2004,_xlfn.MAXIFS('Saisie'!$AS$5:$AS$2004,'Saisie'!$C$5:$C$2004,C171,'Saisie'!$Z$5:$Z$2004,"&lt;&gt;")-4),""))</f>
        <v/>
      </c>
      <c r="X171" s="60">
        <f>IF(C171="","",IFERROR(INDEX('Saisie'!$AA$5:$AA$2004,_xlfn.MAXIFS('Saisie'!$AS$5:$AS$2004,'Saisie'!$C$5:$C$2004,C171,'Saisie'!$AA$5:$AA$2004,"&lt;&gt;")-4),""))</f>
        <v/>
      </c>
      <c r="Y171" s="60">
        <f>IF(C171="","",IFERROR(INDEX('Saisie'!$AB$5:$AB$2004,_xlfn.MAXIFS('Saisie'!$AS$5:$AS$2004,'Saisie'!$C$5:$C$2004,C171,'Saisie'!$AB$5:$AB$2004,"&lt;&gt;")-4),""))</f>
        <v/>
      </c>
      <c r="Z171" s="60">
        <f>IF(C171="","",IFERROR(INDEX('Saisie'!$AC$5:$AC$2004,_xlfn.MAXIFS('Saisie'!$AS$5:$AS$2004,'Saisie'!$C$5:$C$2004,C171,'Saisie'!$AC$5:$AC$2004,"&lt;&gt;")-4),""))</f>
        <v/>
      </c>
      <c r="AA171" s="106">
        <f>IF(C171="","",IFERROR(INDEX('Saisie'!$AD$5:$AD$2004,_xlfn.MAXIFS('Saisie'!$AS$5:$AS$2004,'Saisie'!$C$5:$C$2004,C171,'Saisie'!$AD$5:$AD$2004,"&lt;&gt;")-4),""))</f>
        <v/>
      </c>
      <c r="AB171" s="60">
        <f>IF(C171="","",IFERROR(INDEX('Saisie'!$AE$5:$AE$2004,_xlfn.MAXIFS('Saisie'!$AS$5:$AS$2004,'Saisie'!$C$5:$C$2004,C171,'Saisie'!$AE$5:$AE$2004,"&lt;&gt;")-4),""))</f>
        <v/>
      </c>
      <c r="AC171" s="60">
        <f>IF(C171="","",IFERROR(INDEX('Saisie'!$AF$5:$AF$2004,_xlfn.MAXIFS('Saisie'!$AS$5:$AS$2004,'Saisie'!$C$5:$C$2004,C171,'Saisie'!$AF$5:$AF$2004,"&lt;&gt;")-4),""))</f>
        <v/>
      </c>
      <c r="AD171" s="108">
        <f>IF(C171="","",IFERROR(INDEX('Saisie'!$AG$5:$AG$2004,_xlfn.MAXIFS('Saisie'!$AS$5:$AS$2004,'Saisie'!$C$5:$C$2004,C171,'Saisie'!$AG$5:$AG$2004,"&lt;&gt;")-4),""))</f>
        <v/>
      </c>
      <c r="AE171" s="60">
        <f>IF(C171="","",IFERROR(INDEX('Saisie'!$AH$5:$AH$2004,_xlfn.MAXIFS('Saisie'!$AS$5:$AS$2004,'Saisie'!$C$5:$C$2004,C171,'Saisie'!$AH$5:$AH$2004,"&lt;&gt;")-4),""))</f>
        <v/>
      </c>
      <c r="AF171" s="60">
        <f>IF(C171="","",IFERROR(INDEX('Saisie'!$AI$5:$AI$2004,_xlfn.MAXIFS('Saisie'!$AS$5:$AS$2004,'Saisie'!$C$5:$C$2004,C171,'Saisie'!$AI$5:$AI$2004,"&lt;&gt;")-4),""))</f>
        <v/>
      </c>
      <c r="AG171" s="60">
        <f>IF(C171="","",IFERROR(INDEX('Saisie'!$AJ$5:$AJ$2004,_xlfn.MAXIFS('Saisie'!$AS$5:$AS$2004,'Saisie'!$C$5:$C$2004,C171,'Saisie'!$AJ$5:$AJ$2004,"&lt;&gt;")-4),""))</f>
        <v/>
      </c>
      <c r="AH171" s="60">
        <f>IF(C171="","",IFERROR(INDEX('Saisie'!$AK$5:$AK$2004,_xlfn.MAXIFS('Saisie'!$AS$5:$AS$2004,'Saisie'!$C$5:$C$2004,C171,'Saisie'!$AK$5:$AK$2004,"&lt;&gt;")-4),""))</f>
        <v/>
      </c>
      <c r="AI171" s="60">
        <f>IF(C171="","",IFERROR(INDEX('Saisie'!$AN$5:$AN$2004,_xlfn.MAXIFS('Saisie'!$AS$5:$AS$2004,'Saisie'!$C$5:$C$2004,C171,'Saisie'!$AN$5:$AN$2004,"&lt;&gt;")-4),""))</f>
        <v/>
      </c>
      <c r="AJ171" s="60">
        <f>IF(C171="","",IFERROR(INDEX('Saisie'!$AO$5:$AO$2004,_xlfn.MAXIFS('Saisie'!$AS$5:$AS$2004,'Saisie'!$C$5:$C$2004,C171,'Saisie'!$AO$5:$AO$2004,"&lt;&gt;")-4),""))</f>
        <v/>
      </c>
      <c r="AK171" s="60">
        <f>IF(C171="","",IFERROR(INDEX('Saisie'!$AP$5:$AP$2004,_xlfn.MAXIFS('Saisie'!$AS$5:$AS$2004,'Saisie'!$C$5:$C$2004,C171,'Saisie'!$AP$5:$AP$2004,"&lt;&gt;")-4),""))</f>
        <v/>
      </c>
      <c r="AL171" s="60">
        <f>IF(C171="","",IFERROR(INDEX('Saisie'!$AQ$5:$AQ$2004,_xlfn.MAXIFS('Saisie'!$AS$5:$AS$2004,'Saisie'!$C$5:$C$2004,C171,'Saisie'!$AQ$5:$AQ$2004,"&lt;&gt;")-4),""))</f>
        <v/>
      </c>
      <c r="AM171" s="60">
        <f>IF(C171="","",((AI171="Oui")+(AJ171="Oui")+(AK171="Oui")+OR(AL171="Immédiat",AL171="&lt; 1 mois"))&amp;"/4")</f>
        <v/>
      </c>
      <c r="AN171" s="60">
        <f>IF(C171="","",IFERROR(INDEX('Saisie'!$AL$5:$AL$2004,_xlfn.MAXIFS('Saisie'!$AS$5:$AS$2004,'Saisie'!$C$5:$C$2004,C171,'Saisie'!$AL$5:$AL$2004,"&lt;&gt;")-4),""))</f>
        <v/>
      </c>
      <c r="AO171" s="62">
        <f>IF(C171="","",IF(IFERROR(INDEX('Saisie'!$AM$5:$AM$2004,_xlfn.MAXIFS('Saisie'!$AS$5:$AS$2004,'Saisie'!$C$5:$C$2004,C171,'Saisie'!$AM$5:$AM$2004,"&lt;&gt;")-4),"")&lt;&gt;"",IFERROR(INDEX('Saisie'!$AM$5:$AM$2004,_xlfn.MAXIFS('Saisie'!$AS$5:$AS$2004,'Saisie'!$C$5:$C$2004,C171,'Saisie'!$AM$5:$AM$2004,"&lt;&gt;")-4),""),IFERROR(INDEX('Paramètres'!$S$6:$S$15,MATCH(AN171,'Paramètres'!$Q$6:$Q$15,0)),"")))</f>
        <v/>
      </c>
      <c r="AP171" s="62">
        <f>IF(C171="","",IFERROR(INDEX('Saisie'!$AW$5:$AW$2004,_xlfn.MAXIFS('Saisie'!$AS$5:$AS$2004,'Saisie'!$C$5:$C$2004,C171,'Saisie'!$E$5:$E$2004,"Proposition envoyée")-4),""))</f>
        <v/>
      </c>
      <c r="AQ171" s="106">
        <f>IF(C171="","",IFERROR(1/(1/_xlfn.MAXIFS('Saisie'!$A$5:$A$2004,'Saisie'!$C$5:$C$2004,C171,'Saisie'!$E$5:$E$2004,"Proposition envoyée")),""))</f>
        <v/>
      </c>
      <c r="AR171" s="106">
        <f>IF(C171="","",IF(AQ171="","",AQ171+'Paramètres'!$B$26))</f>
        <v/>
      </c>
      <c r="AS171" s="62">
        <f>IF(OR(C171="",D171="Gagné",D171="Perdu"),0,N(AP171)*IFERROR(INDEX('Paramètres'!$G$6:$G$13,MATCH(D171,'Paramètres'!$F$6:$F$13,0)),0))</f>
        <v/>
      </c>
      <c r="AT171" s="106">
        <f>IF(C171="","",IFERROR(1/(1/_xlfn.MINIFS('Saisie'!$A$5:$A$2004,'Saisie'!$C$5:$C$2004,C171,'Saisie'!$E$5:$E$2004,"Signature")),""))</f>
        <v/>
      </c>
      <c r="AU171" s="60">
        <f>IF(C171="","",IF(OR(AT171="",B171=""),"",AT171-B171))</f>
        <v/>
      </c>
      <c r="AV171" s="60">
        <f>IF(C171="","",IFERROR(INDEX('Saisie'!$L$5:$L$2004,_xlfn.MAXIFS('Saisie'!$AS$5:$AS$2004,'Saisie'!$C$5:$C$2004,C171,'Saisie'!$L$5:$L$2004,"&lt;&gt;")-4),""))</f>
        <v/>
      </c>
      <c r="AW171" s="106">
        <f>IF(C171="","",IF(D171&lt;&gt;"Perdu","",IFERROR(1/(1/_xlfn.MAXIFS('Saisie'!$A$5:$A$2004,'Saisie'!$C$5:$C$2004,C171,'Saisie'!$E$5:$E$2004,"Perdu")),"")))</f>
        <v/>
      </c>
      <c r="AX171" s="106">
        <f>IF(C171="","",IF(AW171="","",AW171+'Paramètres'!$B$28))</f>
        <v/>
      </c>
      <c r="AY171" s="60">
        <f>IF(C171="","",SUMIFS('Saisie'!$H$5:$H$2004,'Saisie'!$C$5:$C$2004,C171))</f>
        <v/>
      </c>
      <c r="AZ171" s="60">
        <f>IF(C171="","",IFERROR(INDEX('Paramètres'!$W$6:$W$20,MATCH(S171,'Paramètres'!$V$6:$V$20,0))&amp;"",""))</f>
        <v/>
      </c>
      <c r="BA171" s="60">
        <f>IF(C171="","",MAX(1,_xlfn.MAXIFS('Saisie'!$AT$5:$AT$2004,'Saisie'!$C$5:$C$2004,C171)))</f>
        <v/>
      </c>
      <c r="BB171" s="60">
        <f>IF(C171="","",IFERROR(INDEX('Saisie'!$X$5:$X$2004,_xlfn.MAXIFS('Saisie'!$AS$5:$AS$2004,'Saisie'!$C$5:$C$2004,C171,'Saisie'!$X$5:$X$2004,"&lt;&gt;")-4),""))</f>
        <v/>
      </c>
      <c r="BC171" s="60">
        <f>IF(C171="","",IFERROR(INDEX('Saisie'!$Y$5:$Y$2004,_xlfn.MAXIFS('Saisie'!$AS$5:$AS$2004,'Saisie'!$C$5:$C$2004,C171,'Saisie'!$Y$5:$Y$2004,"&lt;&gt;")-4),""))</f>
        <v/>
      </c>
      <c r="BD171" s="106">
        <f>IF(C171="","",IFERROR(1/(1/_xlfn.MINIFS('Saisie'!$A$5:$A$2004,'Saisie'!$C$5:$C$2004,C171,'Saisie'!$AT$5:$AT$2004,"&gt;=2")),""))</f>
        <v/>
      </c>
      <c r="BE171" s="106">
        <f>IF(C171="","",IFERROR(1/(1/_xlfn.MINIFS('Saisie'!$A$5:$A$2004,'Saisie'!$C$5:$C$2004,C171,'Saisie'!$AT$5:$AT$2004,"&gt;=3")),""))</f>
        <v/>
      </c>
      <c r="BF171" s="106">
        <f>IF(C171="","",IFERROR(1/(1/_xlfn.MINIFS('Saisie'!$A$5:$A$2004,'Saisie'!$C$5:$C$2004,C171,'Saisie'!$AT$5:$AT$2004,"&gt;=4")),""))</f>
        <v/>
      </c>
      <c r="BG171" s="106">
        <f>IF(C171="","",IFERROR(1/(1/_xlfn.MINIFS('Saisie'!$A$5:$A$2004,'Saisie'!$C$5:$C$2004,C171,'Saisie'!$AT$5:$AT$2004,"&gt;=5")),""))</f>
        <v/>
      </c>
      <c r="BH171" s="106">
        <f>IF(C171="","",IFERROR(1/(1/_xlfn.MINIFS('Saisie'!$A$5:$A$2004,'Saisie'!$C$5:$C$2004,C171,'Saisie'!$AT$5:$AT$2004,"&gt;=6")),""))</f>
        <v/>
      </c>
      <c r="BI171" s="106">
        <f>IF(C171="","",IFERROR(1/(1/_xlfn.MINIFS('Saisie'!$A$5:$A$2004,'Saisie'!$C$5:$C$2004,C171,'Saisie'!$AT$5:$AT$2004,"&gt;=7")),""))</f>
        <v/>
      </c>
      <c r="BJ171" s="60">
        <f>IF(OR(BD171="",B171=""),"",BD171-B171)</f>
        <v/>
      </c>
      <c r="BK171" s="60">
        <f>IF(OR(BE171="",BD171=""),"",BE171-BD171)</f>
        <v/>
      </c>
      <c r="BL171" s="60">
        <f>IF(OR(BF171="",BE171=""),"",BF171-BE171)</f>
        <v/>
      </c>
      <c r="BM171" s="60">
        <f>IF(OR(BG171="",BF171=""),"",BG171-BF171)</f>
        <v/>
      </c>
      <c r="BN171" s="60">
        <f>IF(OR(BH171="",BG171=""),"",BH171-BG171)</f>
        <v/>
      </c>
      <c r="BO171" s="60">
        <f>IF(OR(BI171="",BH171=""),"",BI171-BH171)</f>
        <v/>
      </c>
      <c r="BP171" s="60">
        <f>IF(C171="","",_xlfn.MAXIFS('Saisie'!$AS$5:$AS$2004,'Saisie'!$C$5:$C$2004,C171,'Saisie'!$J$5:$J$2004,"&lt;&gt;"))</f>
        <v/>
      </c>
      <c r="BQ171" s="60">
        <f>IF(C171="","",_xlfn.MAXIFS('Saisie'!$AS$5:$AS$2004,'Saisie'!$C$5:$C$2004,C171))</f>
        <v/>
      </c>
      <c r="BR171" s="60">
        <f>IF(C171="","",_xlfn.MAXIFS('Saisie'!$AS$5:$AS$2004,'Saisie'!$C$5:$C$2004,C171,'Saisie'!$E$5:$E$2004,"Perdu"))</f>
        <v/>
      </c>
      <c r="BS171" s="60">
        <f>IF(C171="","",_xlfn.MAXIFS('Saisie'!$AS$5:$AS$2004,'Saisie'!$C$5:$C$2004,C171,'Saisie'!$AT$5:$AT$2004,"&gt;0"))</f>
        <v/>
      </c>
      <c r="BT171" s="109">
        <f>IF(AND(C171&lt;&gt;"",OR(D171="Nouveau",D171="Contacté",D171="Qualifié"),OR(G171="",N(G171)&lt;=TODAY()),NOT(AND(O171&gt;='Paramètres'!$B$21,P171=0))),E171+167/10000,"")</f>
        <v/>
      </c>
      <c r="BU171" s="60">
        <f>IF(AND(G171&lt;&gt;"",N(G171)&lt;=TODAY()),MAX($BU$4:BU170)+1,"")</f>
        <v/>
      </c>
      <c r="BV171" s="60">
        <f>IF(AND(F171&lt;&gt;"",F171&lt;&gt;"Relance en retard"),MAX($BV$4:BV170)+1,"")</f>
        <v/>
      </c>
      <c r="BW171" s="60">
        <f>IF(C171="","",IF(AND(B171&gt;='Tableau de bord'!$R$4,B171&lt;='Tableau de bord'!$S$4,OR('Tableau de bord'!$G$4="Tous",N171='Tableau de bord'!$G$4)),1,0))</f>
        <v/>
      </c>
      <c r="BX171" s="60">
        <f>IF(AND(C171&lt;&gt;"",N(BA171)=7),MAX($BX$4:BX170)+1,"")</f>
        <v/>
      </c>
    </row>
    <row r="172">
      <c r="A172" s="60">
        <f>IF(C172="","","P-"&amp;TEXT(168,"000"))</f>
        <v/>
      </c>
      <c r="B172" s="106">
        <f>IF(C172="","",IFERROR(1/(1/_xlfn.MINIFS('Saisie'!$A$5:$A$2004,'Saisie'!$C$5:$C$2004,C172)),""))</f>
        <v/>
      </c>
      <c r="C172" s="60">
        <f>IFERROR(INDEX('Saisie'!$C$5:$C$2004,MATCH(168,'Saisie'!$AX$5:$AX$2004,0)),"")</f>
        <v/>
      </c>
      <c r="D172" s="60">
        <f>IF(C172="","",IF(AND(BR172&gt;0,BR172&gt;BS172,BA172&lt;7),"Perdu",INDEX('Paramètres'!$F$6:$F$13,BA172)))</f>
        <v/>
      </c>
      <c r="E172" s="61">
        <f>IF(C172="","",MIN(100,(Z172="Oui")*'Paramètres'!$B$38+(AB172="Régulière")*'Paramètres'!$B$39+IF(AND(N(AA172)&gt;0,TODAY()-N(AA172)&lt;=30),'Paramètres'!$B$40,0)+(W172="")*'Paramètres'!$B$41+(AC172="Absente")*'Paramètres'!$B$42+(AC172="Faible")*'Paramètres'!$B$43+IF(AND(N(AD172)&gt;0,N(AD172)&lt;4),'Paramètres'!$B$44,0)+(AF172="Moyenne")*'Paramètres'!$B$45+(AF172="Grande")*'Paramètres'!$B$46+(Y172&lt;&gt;"")*'Paramètres'!$B$47))</f>
        <v/>
      </c>
      <c r="F172" s="60">
        <f>IF(C172="","",IF(D172="Gagné","",IF(D172="Perdu",IF(AND(AX172&lt;&gt;"",AX172&lt;=TODAY()),"À recontacter (perdu)",""),IF(AND(O172&gt;='Paramètres'!$B$21,P172=0),"Stop : "&amp;'Paramètres'!$B$21&amp;" tentatives sans réponse",IF(AND(D172="Proposition",AR172&lt;&gt;"",TODAY()&gt;N(AR172)),"Proposition expirée",IF(AND(D172="Proposition",N(R172)&gt;='Paramètres'!$B$25),"Proposition sans réponse",IF(AND(G172&lt;&gt;"",N(G172)&lt;TODAY()),"Relance en retard",IF(N(R172)&gt;='Paramètres'!$B$24,"Sans action depuis "&amp;R172&amp;" j",""))))))))</f>
        <v/>
      </c>
      <c r="G172" s="106">
        <f>IF(OR(C172="",D172="Gagné",D172="Perdu"),"",IF(AND(BP172&gt;0,BP172=BQ172),INDEX('Saisie'!$J$5:$J$2004,BP172-4),IF(OR(O172=0,AND(O172&gt;='Paramètres'!$B$21,P172=0)),"",Q172+IF(O172&lt;=1,'Paramètres'!$B$18,IF(O172=2,'Paramètres'!$B$19,'Paramètres'!$B$20)))))</f>
        <v/>
      </c>
      <c r="H172" s="107">
        <f>IF(OR(G172="",BP172&lt;&gt;BQ172),"",IF(INDEX('Saisie'!$K$5:$K$2004,BP172-4)="","",INDEX('Saisie'!$K$5:$K$2004,BP172-4)))</f>
        <v/>
      </c>
      <c r="I172" s="60">
        <f>IF(C172="","",IF(OR(D172="Gagné",D172="Perdu"),"",IFERROR(INDEX('Saisie'!$I$5:$I$2004,_xlfn.MAXIFS('Saisie'!$AS$5:$AS$2004,'Saisie'!$C$5:$C$2004,C172,'Saisie'!$I$5:$I$2004,"&lt;&gt;")-4),"")))</f>
        <v/>
      </c>
      <c r="J172" s="60">
        <f>IF(C172="","",IFERROR(INDEX('Saisie'!$U$5:$U$2004,_xlfn.MAXIFS('Saisie'!$AS$5:$AS$2004,'Saisie'!$C$5:$C$2004,C172,'Saisie'!$U$5:$U$2004,"&lt;&gt;")-4),""))</f>
        <v/>
      </c>
      <c r="K172" s="60">
        <f>IF(C172="","",IFERROR(INDEX('Saisie'!$W$5:$W$2004,_xlfn.MAXIFS('Saisie'!$AS$5:$AS$2004,'Saisie'!$C$5:$C$2004,C172,'Saisie'!$W$5:$W$2004,"&lt;&gt;")-4),""))</f>
        <v/>
      </c>
      <c r="L172" s="60">
        <f>IF(IF(BB172&lt;&gt;"",BB172,K172)="","",HYPERLINK("https://wa.me/"&amp;IF(LEFT(SUBSTITUTE(SUBSTITUTE(SUBSTITUTE(IF(BB172&lt;&gt;"",BB172,K172)," ",""),".",""),"+",""),1)="0",'Paramètres'!$B$35&amp;MID(SUBSTITUTE(SUBSTITUTE(SUBSTITUTE(IF(BB172&lt;&gt;"",BB172,K172)," ",""),".",""),"+",""),2,20),SUBSTITUTE(SUBSTITUTE(SUBSTITUTE(IF(BB172&lt;&gt;"",BB172,K172)," ",""),".",""),"+","")),"WhatsApp"))</f>
        <v/>
      </c>
      <c r="M172" s="60">
        <f>IF(BC172="","",HYPERLINK(IF(LEFT(BC172,4)="http",BC172,"https://www.instagram.com/"&amp;SUBSTITUTE(SUBSTITUTE(BC172,"@","")," ","")),BC172))</f>
        <v/>
      </c>
      <c r="N172" s="60">
        <f>IF(C172="","",IFERROR(INDEX('Saisie'!$D$5:$D$2004,_xlfn.MINIFS('Saisie'!$AS$5:$AS$2004,'Saisie'!$C$5:$C$2004,C172,'Saisie'!$AU$5:$AU$2004,1)-4),IFERROR(INDEX('Saisie'!$D$5:$D$2004,_xlfn.MINIFS('Saisie'!$AS$5:$AS$2004,'Saisie'!$C$5:$C$2004,C172,'Saisie'!$D$5:$D$2004,"&lt;&gt;")-4),"")))</f>
        <v/>
      </c>
      <c r="O172" s="60">
        <f>IF(C172="","",COUNTIFS('Saisie'!$C$5:$C$2004,C172,'Saisie'!$AU$5:$AU$2004,1))</f>
        <v/>
      </c>
      <c r="P172" s="60">
        <f>IF(C172="","",COUNTIFS('Saisie'!$C$5:$C$2004,C172,'Saisie'!$AV$5:$AV$2004,1))</f>
        <v/>
      </c>
      <c r="Q172" s="106">
        <f>IF(C172="","",IFERROR(1/(1/_xlfn.MAXIFS('Saisie'!$A$5:$A$2004,'Saisie'!$C$5:$C$2004,C172)),""))</f>
        <v/>
      </c>
      <c r="R172" s="61">
        <f>IF(C172="","",IF(Q172="","",TODAY()-Q172))</f>
        <v/>
      </c>
      <c r="S172" s="60">
        <f>IF(C172="","",IFERROR(INDEX('Saisie'!$R$5:$R$2004,_xlfn.MAXIFS('Saisie'!$AS$5:$AS$2004,'Saisie'!$C$5:$C$2004,C172,'Saisie'!$R$5:$R$2004,"&lt;&gt;")-4),""))</f>
        <v/>
      </c>
      <c r="T172" s="60">
        <f>IF(C172="","",IFERROR(INDEX('Saisie'!$S$5:$S$2004,_xlfn.MAXIFS('Saisie'!$AS$5:$AS$2004,'Saisie'!$C$5:$C$2004,C172,'Saisie'!$S$5:$S$2004,"&lt;&gt;")-4),""))</f>
        <v/>
      </c>
      <c r="U172" s="60">
        <f>IF(C172="","",IFERROR(INDEX('Saisie'!$T$5:$T$2004,_xlfn.MAXIFS('Saisie'!$AS$5:$AS$2004,'Saisie'!$C$5:$C$2004,C172,'Saisie'!$T$5:$T$2004,"&lt;&gt;")-4),""))</f>
        <v/>
      </c>
      <c r="V172" s="60">
        <f>IF(C172="","",IFERROR(INDEX('Saisie'!$V$5:$V$2004,_xlfn.MAXIFS('Saisie'!$AS$5:$AS$2004,'Saisie'!$C$5:$C$2004,C172,'Saisie'!$V$5:$V$2004,"&lt;&gt;")-4),""))</f>
        <v/>
      </c>
      <c r="W172" s="60">
        <f>IF(C172="","",IFERROR(INDEX('Saisie'!$Z$5:$Z$2004,_xlfn.MAXIFS('Saisie'!$AS$5:$AS$2004,'Saisie'!$C$5:$C$2004,C172,'Saisie'!$Z$5:$Z$2004,"&lt;&gt;")-4),""))</f>
        <v/>
      </c>
      <c r="X172" s="60">
        <f>IF(C172="","",IFERROR(INDEX('Saisie'!$AA$5:$AA$2004,_xlfn.MAXIFS('Saisie'!$AS$5:$AS$2004,'Saisie'!$C$5:$C$2004,C172,'Saisie'!$AA$5:$AA$2004,"&lt;&gt;")-4),""))</f>
        <v/>
      </c>
      <c r="Y172" s="60">
        <f>IF(C172="","",IFERROR(INDEX('Saisie'!$AB$5:$AB$2004,_xlfn.MAXIFS('Saisie'!$AS$5:$AS$2004,'Saisie'!$C$5:$C$2004,C172,'Saisie'!$AB$5:$AB$2004,"&lt;&gt;")-4),""))</f>
        <v/>
      </c>
      <c r="Z172" s="60">
        <f>IF(C172="","",IFERROR(INDEX('Saisie'!$AC$5:$AC$2004,_xlfn.MAXIFS('Saisie'!$AS$5:$AS$2004,'Saisie'!$C$5:$C$2004,C172,'Saisie'!$AC$5:$AC$2004,"&lt;&gt;")-4),""))</f>
        <v/>
      </c>
      <c r="AA172" s="106">
        <f>IF(C172="","",IFERROR(INDEX('Saisie'!$AD$5:$AD$2004,_xlfn.MAXIFS('Saisie'!$AS$5:$AS$2004,'Saisie'!$C$5:$C$2004,C172,'Saisie'!$AD$5:$AD$2004,"&lt;&gt;")-4),""))</f>
        <v/>
      </c>
      <c r="AB172" s="60">
        <f>IF(C172="","",IFERROR(INDEX('Saisie'!$AE$5:$AE$2004,_xlfn.MAXIFS('Saisie'!$AS$5:$AS$2004,'Saisie'!$C$5:$C$2004,C172,'Saisie'!$AE$5:$AE$2004,"&lt;&gt;")-4),""))</f>
        <v/>
      </c>
      <c r="AC172" s="60">
        <f>IF(C172="","",IFERROR(INDEX('Saisie'!$AF$5:$AF$2004,_xlfn.MAXIFS('Saisie'!$AS$5:$AS$2004,'Saisie'!$C$5:$C$2004,C172,'Saisie'!$AF$5:$AF$2004,"&lt;&gt;")-4),""))</f>
        <v/>
      </c>
      <c r="AD172" s="108">
        <f>IF(C172="","",IFERROR(INDEX('Saisie'!$AG$5:$AG$2004,_xlfn.MAXIFS('Saisie'!$AS$5:$AS$2004,'Saisie'!$C$5:$C$2004,C172,'Saisie'!$AG$5:$AG$2004,"&lt;&gt;")-4),""))</f>
        <v/>
      </c>
      <c r="AE172" s="60">
        <f>IF(C172="","",IFERROR(INDEX('Saisie'!$AH$5:$AH$2004,_xlfn.MAXIFS('Saisie'!$AS$5:$AS$2004,'Saisie'!$C$5:$C$2004,C172,'Saisie'!$AH$5:$AH$2004,"&lt;&gt;")-4),""))</f>
        <v/>
      </c>
      <c r="AF172" s="60">
        <f>IF(C172="","",IFERROR(INDEX('Saisie'!$AI$5:$AI$2004,_xlfn.MAXIFS('Saisie'!$AS$5:$AS$2004,'Saisie'!$C$5:$C$2004,C172,'Saisie'!$AI$5:$AI$2004,"&lt;&gt;")-4),""))</f>
        <v/>
      </c>
      <c r="AG172" s="60">
        <f>IF(C172="","",IFERROR(INDEX('Saisie'!$AJ$5:$AJ$2004,_xlfn.MAXIFS('Saisie'!$AS$5:$AS$2004,'Saisie'!$C$5:$C$2004,C172,'Saisie'!$AJ$5:$AJ$2004,"&lt;&gt;")-4),""))</f>
        <v/>
      </c>
      <c r="AH172" s="60">
        <f>IF(C172="","",IFERROR(INDEX('Saisie'!$AK$5:$AK$2004,_xlfn.MAXIFS('Saisie'!$AS$5:$AS$2004,'Saisie'!$C$5:$C$2004,C172,'Saisie'!$AK$5:$AK$2004,"&lt;&gt;")-4),""))</f>
        <v/>
      </c>
      <c r="AI172" s="60">
        <f>IF(C172="","",IFERROR(INDEX('Saisie'!$AN$5:$AN$2004,_xlfn.MAXIFS('Saisie'!$AS$5:$AS$2004,'Saisie'!$C$5:$C$2004,C172,'Saisie'!$AN$5:$AN$2004,"&lt;&gt;")-4),""))</f>
        <v/>
      </c>
      <c r="AJ172" s="60">
        <f>IF(C172="","",IFERROR(INDEX('Saisie'!$AO$5:$AO$2004,_xlfn.MAXIFS('Saisie'!$AS$5:$AS$2004,'Saisie'!$C$5:$C$2004,C172,'Saisie'!$AO$5:$AO$2004,"&lt;&gt;")-4),""))</f>
        <v/>
      </c>
      <c r="AK172" s="60">
        <f>IF(C172="","",IFERROR(INDEX('Saisie'!$AP$5:$AP$2004,_xlfn.MAXIFS('Saisie'!$AS$5:$AS$2004,'Saisie'!$C$5:$C$2004,C172,'Saisie'!$AP$5:$AP$2004,"&lt;&gt;")-4),""))</f>
        <v/>
      </c>
      <c r="AL172" s="60">
        <f>IF(C172="","",IFERROR(INDEX('Saisie'!$AQ$5:$AQ$2004,_xlfn.MAXIFS('Saisie'!$AS$5:$AS$2004,'Saisie'!$C$5:$C$2004,C172,'Saisie'!$AQ$5:$AQ$2004,"&lt;&gt;")-4),""))</f>
        <v/>
      </c>
      <c r="AM172" s="60">
        <f>IF(C172="","",((AI172="Oui")+(AJ172="Oui")+(AK172="Oui")+OR(AL172="Immédiat",AL172="&lt; 1 mois"))&amp;"/4")</f>
        <v/>
      </c>
      <c r="AN172" s="60">
        <f>IF(C172="","",IFERROR(INDEX('Saisie'!$AL$5:$AL$2004,_xlfn.MAXIFS('Saisie'!$AS$5:$AS$2004,'Saisie'!$C$5:$C$2004,C172,'Saisie'!$AL$5:$AL$2004,"&lt;&gt;")-4),""))</f>
        <v/>
      </c>
      <c r="AO172" s="62">
        <f>IF(C172="","",IF(IFERROR(INDEX('Saisie'!$AM$5:$AM$2004,_xlfn.MAXIFS('Saisie'!$AS$5:$AS$2004,'Saisie'!$C$5:$C$2004,C172,'Saisie'!$AM$5:$AM$2004,"&lt;&gt;")-4),"")&lt;&gt;"",IFERROR(INDEX('Saisie'!$AM$5:$AM$2004,_xlfn.MAXIFS('Saisie'!$AS$5:$AS$2004,'Saisie'!$C$5:$C$2004,C172,'Saisie'!$AM$5:$AM$2004,"&lt;&gt;")-4),""),IFERROR(INDEX('Paramètres'!$S$6:$S$15,MATCH(AN172,'Paramètres'!$Q$6:$Q$15,0)),"")))</f>
        <v/>
      </c>
      <c r="AP172" s="62">
        <f>IF(C172="","",IFERROR(INDEX('Saisie'!$AW$5:$AW$2004,_xlfn.MAXIFS('Saisie'!$AS$5:$AS$2004,'Saisie'!$C$5:$C$2004,C172,'Saisie'!$E$5:$E$2004,"Proposition envoyée")-4),""))</f>
        <v/>
      </c>
      <c r="AQ172" s="106">
        <f>IF(C172="","",IFERROR(1/(1/_xlfn.MAXIFS('Saisie'!$A$5:$A$2004,'Saisie'!$C$5:$C$2004,C172,'Saisie'!$E$5:$E$2004,"Proposition envoyée")),""))</f>
        <v/>
      </c>
      <c r="AR172" s="106">
        <f>IF(C172="","",IF(AQ172="","",AQ172+'Paramètres'!$B$26))</f>
        <v/>
      </c>
      <c r="AS172" s="62">
        <f>IF(OR(C172="",D172="Gagné",D172="Perdu"),0,N(AP172)*IFERROR(INDEX('Paramètres'!$G$6:$G$13,MATCH(D172,'Paramètres'!$F$6:$F$13,0)),0))</f>
        <v/>
      </c>
      <c r="AT172" s="106">
        <f>IF(C172="","",IFERROR(1/(1/_xlfn.MINIFS('Saisie'!$A$5:$A$2004,'Saisie'!$C$5:$C$2004,C172,'Saisie'!$E$5:$E$2004,"Signature")),""))</f>
        <v/>
      </c>
      <c r="AU172" s="60">
        <f>IF(C172="","",IF(OR(AT172="",B172=""),"",AT172-B172))</f>
        <v/>
      </c>
      <c r="AV172" s="60">
        <f>IF(C172="","",IFERROR(INDEX('Saisie'!$L$5:$L$2004,_xlfn.MAXIFS('Saisie'!$AS$5:$AS$2004,'Saisie'!$C$5:$C$2004,C172,'Saisie'!$L$5:$L$2004,"&lt;&gt;")-4),""))</f>
        <v/>
      </c>
      <c r="AW172" s="106">
        <f>IF(C172="","",IF(D172&lt;&gt;"Perdu","",IFERROR(1/(1/_xlfn.MAXIFS('Saisie'!$A$5:$A$2004,'Saisie'!$C$5:$C$2004,C172,'Saisie'!$E$5:$E$2004,"Perdu")),"")))</f>
        <v/>
      </c>
      <c r="AX172" s="106">
        <f>IF(C172="","",IF(AW172="","",AW172+'Paramètres'!$B$28))</f>
        <v/>
      </c>
      <c r="AY172" s="60">
        <f>IF(C172="","",SUMIFS('Saisie'!$H$5:$H$2004,'Saisie'!$C$5:$C$2004,C172))</f>
        <v/>
      </c>
      <c r="AZ172" s="60">
        <f>IF(C172="","",IFERROR(INDEX('Paramètres'!$W$6:$W$20,MATCH(S172,'Paramètres'!$V$6:$V$20,0))&amp;"",""))</f>
        <v/>
      </c>
      <c r="BA172" s="60">
        <f>IF(C172="","",MAX(1,_xlfn.MAXIFS('Saisie'!$AT$5:$AT$2004,'Saisie'!$C$5:$C$2004,C172)))</f>
        <v/>
      </c>
      <c r="BB172" s="60">
        <f>IF(C172="","",IFERROR(INDEX('Saisie'!$X$5:$X$2004,_xlfn.MAXIFS('Saisie'!$AS$5:$AS$2004,'Saisie'!$C$5:$C$2004,C172,'Saisie'!$X$5:$X$2004,"&lt;&gt;")-4),""))</f>
        <v/>
      </c>
      <c r="BC172" s="60">
        <f>IF(C172="","",IFERROR(INDEX('Saisie'!$Y$5:$Y$2004,_xlfn.MAXIFS('Saisie'!$AS$5:$AS$2004,'Saisie'!$C$5:$C$2004,C172,'Saisie'!$Y$5:$Y$2004,"&lt;&gt;")-4),""))</f>
        <v/>
      </c>
      <c r="BD172" s="106">
        <f>IF(C172="","",IFERROR(1/(1/_xlfn.MINIFS('Saisie'!$A$5:$A$2004,'Saisie'!$C$5:$C$2004,C172,'Saisie'!$AT$5:$AT$2004,"&gt;=2")),""))</f>
        <v/>
      </c>
      <c r="BE172" s="106">
        <f>IF(C172="","",IFERROR(1/(1/_xlfn.MINIFS('Saisie'!$A$5:$A$2004,'Saisie'!$C$5:$C$2004,C172,'Saisie'!$AT$5:$AT$2004,"&gt;=3")),""))</f>
        <v/>
      </c>
      <c r="BF172" s="106">
        <f>IF(C172="","",IFERROR(1/(1/_xlfn.MINIFS('Saisie'!$A$5:$A$2004,'Saisie'!$C$5:$C$2004,C172,'Saisie'!$AT$5:$AT$2004,"&gt;=4")),""))</f>
        <v/>
      </c>
      <c r="BG172" s="106">
        <f>IF(C172="","",IFERROR(1/(1/_xlfn.MINIFS('Saisie'!$A$5:$A$2004,'Saisie'!$C$5:$C$2004,C172,'Saisie'!$AT$5:$AT$2004,"&gt;=5")),""))</f>
        <v/>
      </c>
      <c r="BH172" s="106">
        <f>IF(C172="","",IFERROR(1/(1/_xlfn.MINIFS('Saisie'!$A$5:$A$2004,'Saisie'!$C$5:$C$2004,C172,'Saisie'!$AT$5:$AT$2004,"&gt;=6")),""))</f>
        <v/>
      </c>
      <c r="BI172" s="106">
        <f>IF(C172="","",IFERROR(1/(1/_xlfn.MINIFS('Saisie'!$A$5:$A$2004,'Saisie'!$C$5:$C$2004,C172,'Saisie'!$AT$5:$AT$2004,"&gt;=7")),""))</f>
        <v/>
      </c>
      <c r="BJ172" s="60">
        <f>IF(OR(BD172="",B172=""),"",BD172-B172)</f>
        <v/>
      </c>
      <c r="BK172" s="60">
        <f>IF(OR(BE172="",BD172=""),"",BE172-BD172)</f>
        <v/>
      </c>
      <c r="BL172" s="60">
        <f>IF(OR(BF172="",BE172=""),"",BF172-BE172)</f>
        <v/>
      </c>
      <c r="BM172" s="60">
        <f>IF(OR(BG172="",BF172=""),"",BG172-BF172)</f>
        <v/>
      </c>
      <c r="BN172" s="60">
        <f>IF(OR(BH172="",BG172=""),"",BH172-BG172)</f>
        <v/>
      </c>
      <c r="BO172" s="60">
        <f>IF(OR(BI172="",BH172=""),"",BI172-BH172)</f>
        <v/>
      </c>
      <c r="BP172" s="60">
        <f>IF(C172="","",_xlfn.MAXIFS('Saisie'!$AS$5:$AS$2004,'Saisie'!$C$5:$C$2004,C172,'Saisie'!$J$5:$J$2004,"&lt;&gt;"))</f>
        <v/>
      </c>
      <c r="BQ172" s="60">
        <f>IF(C172="","",_xlfn.MAXIFS('Saisie'!$AS$5:$AS$2004,'Saisie'!$C$5:$C$2004,C172))</f>
        <v/>
      </c>
      <c r="BR172" s="60">
        <f>IF(C172="","",_xlfn.MAXIFS('Saisie'!$AS$5:$AS$2004,'Saisie'!$C$5:$C$2004,C172,'Saisie'!$E$5:$E$2004,"Perdu"))</f>
        <v/>
      </c>
      <c r="BS172" s="60">
        <f>IF(C172="","",_xlfn.MAXIFS('Saisie'!$AS$5:$AS$2004,'Saisie'!$C$5:$C$2004,C172,'Saisie'!$AT$5:$AT$2004,"&gt;0"))</f>
        <v/>
      </c>
      <c r="BT172" s="109">
        <f>IF(AND(C172&lt;&gt;"",OR(D172="Nouveau",D172="Contacté",D172="Qualifié"),OR(G172="",N(G172)&lt;=TODAY()),NOT(AND(O172&gt;='Paramètres'!$B$21,P172=0))),E172+168/10000,"")</f>
        <v/>
      </c>
      <c r="BU172" s="60">
        <f>IF(AND(G172&lt;&gt;"",N(G172)&lt;=TODAY()),MAX($BU$4:BU171)+1,"")</f>
        <v/>
      </c>
      <c r="BV172" s="60">
        <f>IF(AND(F172&lt;&gt;"",F172&lt;&gt;"Relance en retard"),MAX($BV$4:BV171)+1,"")</f>
        <v/>
      </c>
      <c r="BW172" s="60">
        <f>IF(C172="","",IF(AND(B172&gt;='Tableau de bord'!$R$4,B172&lt;='Tableau de bord'!$S$4,OR('Tableau de bord'!$G$4="Tous",N172='Tableau de bord'!$G$4)),1,0))</f>
        <v/>
      </c>
      <c r="BX172" s="60">
        <f>IF(AND(C172&lt;&gt;"",N(BA172)=7),MAX($BX$4:BX171)+1,"")</f>
        <v/>
      </c>
    </row>
    <row r="173">
      <c r="A173" s="60">
        <f>IF(C173="","","P-"&amp;TEXT(169,"000"))</f>
        <v/>
      </c>
      <c r="B173" s="106">
        <f>IF(C173="","",IFERROR(1/(1/_xlfn.MINIFS('Saisie'!$A$5:$A$2004,'Saisie'!$C$5:$C$2004,C173)),""))</f>
        <v/>
      </c>
      <c r="C173" s="60">
        <f>IFERROR(INDEX('Saisie'!$C$5:$C$2004,MATCH(169,'Saisie'!$AX$5:$AX$2004,0)),"")</f>
        <v/>
      </c>
      <c r="D173" s="60">
        <f>IF(C173="","",IF(AND(BR173&gt;0,BR173&gt;BS173,BA173&lt;7),"Perdu",INDEX('Paramètres'!$F$6:$F$13,BA173)))</f>
        <v/>
      </c>
      <c r="E173" s="61">
        <f>IF(C173="","",MIN(100,(Z173="Oui")*'Paramètres'!$B$38+(AB173="Régulière")*'Paramètres'!$B$39+IF(AND(N(AA173)&gt;0,TODAY()-N(AA173)&lt;=30),'Paramètres'!$B$40,0)+(W173="")*'Paramètres'!$B$41+(AC173="Absente")*'Paramètres'!$B$42+(AC173="Faible")*'Paramètres'!$B$43+IF(AND(N(AD173)&gt;0,N(AD173)&lt;4),'Paramètres'!$B$44,0)+(AF173="Moyenne")*'Paramètres'!$B$45+(AF173="Grande")*'Paramètres'!$B$46+(Y173&lt;&gt;"")*'Paramètres'!$B$47))</f>
        <v/>
      </c>
      <c r="F173" s="60">
        <f>IF(C173="","",IF(D173="Gagné","",IF(D173="Perdu",IF(AND(AX173&lt;&gt;"",AX173&lt;=TODAY()),"À recontacter (perdu)",""),IF(AND(O173&gt;='Paramètres'!$B$21,P173=0),"Stop : "&amp;'Paramètres'!$B$21&amp;" tentatives sans réponse",IF(AND(D173="Proposition",AR173&lt;&gt;"",TODAY()&gt;N(AR173)),"Proposition expirée",IF(AND(D173="Proposition",N(R173)&gt;='Paramètres'!$B$25),"Proposition sans réponse",IF(AND(G173&lt;&gt;"",N(G173)&lt;TODAY()),"Relance en retard",IF(N(R173)&gt;='Paramètres'!$B$24,"Sans action depuis "&amp;R173&amp;" j",""))))))))</f>
        <v/>
      </c>
      <c r="G173" s="106">
        <f>IF(OR(C173="",D173="Gagné",D173="Perdu"),"",IF(AND(BP173&gt;0,BP173=BQ173),INDEX('Saisie'!$J$5:$J$2004,BP173-4),IF(OR(O173=0,AND(O173&gt;='Paramètres'!$B$21,P173=0)),"",Q173+IF(O173&lt;=1,'Paramètres'!$B$18,IF(O173=2,'Paramètres'!$B$19,'Paramètres'!$B$20)))))</f>
        <v/>
      </c>
      <c r="H173" s="107">
        <f>IF(OR(G173="",BP173&lt;&gt;BQ173),"",IF(INDEX('Saisie'!$K$5:$K$2004,BP173-4)="","",INDEX('Saisie'!$K$5:$K$2004,BP173-4)))</f>
        <v/>
      </c>
      <c r="I173" s="60">
        <f>IF(C173="","",IF(OR(D173="Gagné",D173="Perdu"),"",IFERROR(INDEX('Saisie'!$I$5:$I$2004,_xlfn.MAXIFS('Saisie'!$AS$5:$AS$2004,'Saisie'!$C$5:$C$2004,C173,'Saisie'!$I$5:$I$2004,"&lt;&gt;")-4),"")))</f>
        <v/>
      </c>
      <c r="J173" s="60">
        <f>IF(C173="","",IFERROR(INDEX('Saisie'!$U$5:$U$2004,_xlfn.MAXIFS('Saisie'!$AS$5:$AS$2004,'Saisie'!$C$5:$C$2004,C173,'Saisie'!$U$5:$U$2004,"&lt;&gt;")-4),""))</f>
        <v/>
      </c>
      <c r="K173" s="60">
        <f>IF(C173="","",IFERROR(INDEX('Saisie'!$W$5:$W$2004,_xlfn.MAXIFS('Saisie'!$AS$5:$AS$2004,'Saisie'!$C$5:$C$2004,C173,'Saisie'!$W$5:$W$2004,"&lt;&gt;")-4),""))</f>
        <v/>
      </c>
      <c r="L173" s="60">
        <f>IF(IF(BB173&lt;&gt;"",BB173,K173)="","",HYPERLINK("https://wa.me/"&amp;IF(LEFT(SUBSTITUTE(SUBSTITUTE(SUBSTITUTE(IF(BB173&lt;&gt;"",BB173,K173)," ",""),".",""),"+",""),1)="0",'Paramètres'!$B$35&amp;MID(SUBSTITUTE(SUBSTITUTE(SUBSTITUTE(IF(BB173&lt;&gt;"",BB173,K173)," ",""),".",""),"+",""),2,20),SUBSTITUTE(SUBSTITUTE(SUBSTITUTE(IF(BB173&lt;&gt;"",BB173,K173)," ",""),".",""),"+","")),"WhatsApp"))</f>
        <v/>
      </c>
      <c r="M173" s="60">
        <f>IF(BC173="","",HYPERLINK(IF(LEFT(BC173,4)="http",BC173,"https://www.instagram.com/"&amp;SUBSTITUTE(SUBSTITUTE(BC173,"@","")," ","")),BC173))</f>
        <v/>
      </c>
      <c r="N173" s="60">
        <f>IF(C173="","",IFERROR(INDEX('Saisie'!$D$5:$D$2004,_xlfn.MINIFS('Saisie'!$AS$5:$AS$2004,'Saisie'!$C$5:$C$2004,C173,'Saisie'!$AU$5:$AU$2004,1)-4),IFERROR(INDEX('Saisie'!$D$5:$D$2004,_xlfn.MINIFS('Saisie'!$AS$5:$AS$2004,'Saisie'!$C$5:$C$2004,C173,'Saisie'!$D$5:$D$2004,"&lt;&gt;")-4),"")))</f>
        <v/>
      </c>
      <c r="O173" s="60">
        <f>IF(C173="","",COUNTIFS('Saisie'!$C$5:$C$2004,C173,'Saisie'!$AU$5:$AU$2004,1))</f>
        <v/>
      </c>
      <c r="P173" s="60">
        <f>IF(C173="","",COUNTIFS('Saisie'!$C$5:$C$2004,C173,'Saisie'!$AV$5:$AV$2004,1))</f>
        <v/>
      </c>
      <c r="Q173" s="106">
        <f>IF(C173="","",IFERROR(1/(1/_xlfn.MAXIFS('Saisie'!$A$5:$A$2004,'Saisie'!$C$5:$C$2004,C173)),""))</f>
        <v/>
      </c>
      <c r="R173" s="61">
        <f>IF(C173="","",IF(Q173="","",TODAY()-Q173))</f>
        <v/>
      </c>
      <c r="S173" s="60">
        <f>IF(C173="","",IFERROR(INDEX('Saisie'!$R$5:$R$2004,_xlfn.MAXIFS('Saisie'!$AS$5:$AS$2004,'Saisie'!$C$5:$C$2004,C173,'Saisie'!$R$5:$R$2004,"&lt;&gt;")-4),""))</f>
        <v/>
      </c>
      <c r="T173" s="60">
        <f>IF(C173="","",IFERROR(INDEX('Saisie'!$S$5:$S$2004,_xlfn.MAXIFS('Saisie'!$AS$5:$AS$2004,'Saisie'!$C$5:$C$2004,C173,'Saisie'!$S$5:$S$2004,"&lt;&gt;")-4),""))</f>
        <v/>
      </c>
      <c r="U173" s="60">
        <f>IF(C173="","",IFERROR(INDEX('Saisie'!$T$5:$T$2004,_xlfn.MAXIFS('Saisie'!$AS$5:$AS$2004,'Saisie'!$C$5:$C$2004,C173,'Saisie'!$T$5:$T$2004,"&lt;&gt;")-4),""))</f>
        <v/>
      </c>
      <c r="V173" s="60">
        <f>IF(C173="","",IFERROR(INDEX('Saisie'!$V$5:$V$2004,_xlfn.MAXIFS('Saisie'!$AS$5:$AS$2004,'Saisie'!$C$5:$C$2004,C173,'Saisie'!$V$5:$V$2004,"&lt;&gt;")-4),""))</f>
        <v/>
      </c>
      <c r="W173" s="60">
        <f>IF(C173="","",IFERROR(INDEX('Saisie'!$Z$5:$Z$2004,_xlfn.MAXIFS('Saisie'!$AS$5:$AS$2004,'Saisie'!$C$5:$C$2004,C173,'Saisie'!$Z$5:$Z$2004,"&lt;&gt;")-4),""))</f>
        <v/>
      </c>
      <c r="X173" s="60">
        <f>IF(C173="","",IFERROR(INDEX('Saisie'!$AA$5:$AA$2004,_xlfn.MAXIFS('Saisie'!$AS$5:$AS$2004,'Saisie'!$C$5:$C$2004,C173,'Saisie'!$AA$5:$AA$2004,"&lt;&gt;")-4),""))</f>
        <v/>
      </c>
      <c r="Y173" s="60">
        <f>IF(C173="","",IFERROR(INDEX('Saisie'!$AB$5:$AB$2004,_xlfn.MAXIFS('Saisie'!$AS$5:$AS$2004,'Saisie'!$C$5:$C$2004,C173,'Saisie'!$AB$5:$AB$2004,"&lt;&gt;")-4),""))</f>
        <v/>
      </c>
      <c r="Z173" s="60">
        <f>IF(C173="","",IFERROR(INDEX('Saisie'!$AC$5:$AC$2004,_xlfn.MAXIFS('Saisie'!$AS$5:$AS$2004,'Saisie'!$C$5:$C$2004,C173,'Saisie'!$AC$5:$AC$2004,"&lt;&gt;")-4),""))</f>
        <v/>
      </c>
      <c r="AA173" s="106">
        <f>IF(C173="","",IFERROR(INDEX('Saisie'!$AD$5:$AD$2004,_xlfn.MAXIFS('Saisie'!$AS$5:$AS$2004,'Saisie'!$C$5:$C$2004,C173,'Saisie'!$AD$5:$AD$2004,"&lt;&gt;")-4),""))</f>
        <v/>
      </c>
      <c r="AB173" s="60">
        <f>IF(C173="","",IFERROR(INDEX('Saisie'!$AE$5:$AE$2004,_xlfn.MAXIFS('Saisie'!$AS$5:$AS$2004,'Saisie'!$C$5:$C$2004,C173,'Saisie'!$AE$5:$AE$2004,"&lt;&gt;")-4),""))</f>
        <v/>
      </c>
      <c r="AC173" s="60">
        <f>IF(C173="","",IFERROR(INDEX('Saisie'!$AF$5:$AF$2004,_xlfn.MAXIFS('Saisie'!$AS$5:$AS$2004,'Saisie'!$C$5:$C$2004,C173,'Saisie'!$AF$5:$AF$2004,"&lt;&gt;")-4),""))</f>
        <v/>
      </c>
      <c r="AD173" s="108">
        <f>IF(C173="","",IFERROR(INDEX('Saisie'!$AG$5:$AG$2004,_xlfn.MAXIFS('Saisie'!$AS$5:$AS$2004,'Saisie'!$C$5:$C$2004,C173,'Saisie'!$AG$5:$AG$2004,"&lt;&gt;")-4),""))</f>
        <v/>
      </c>
      <c r="AE173" s="60">
        <f>IF(C173="","",IFERROR(INDEX('Saisie'!$AH$5:$AH$2004,_xlfn.MAXIFS('Saisie'!$AS$5:$AS$2004,'Saisie'!$C$5:$C$2004,C173,'Saisie'!$AH$5:$AH$2004,"&lt;&gt;")-4),""))</f>
        <v/>
      </c>
      <c r="AF173" s="60">
        <f>IF(C173="","",IFERROR(INDEX('Saisie'!$AI$5:$AI$2004,_xlfn.MAXIFS('Saisie'!$AS$5:$AS$2004,'Saisie'!$C$5:$C$2004,C173,'Saisie'!$AI$5:$AI$2004,"&lt;&gt;")-4),""))</f>
        <v/>
      </c>
      <c r="AG173" s="60">
        <f>IF(C173="","",IFERROR(INDEX('Saisie'!$AJ$5:$AJ$2004,_xlfn.MAXIFS('Saisie'!$AS$5:$AS$2004,'Saisie'!$C$5:$C$2004,C173,'Saisie'!$AJ$5:$AJ$2004,"&lt;&gt;")-4),""))</f>
        <v/>
      </c>
      <c r="AH173" s="60">
        <f>IF(C173="","",IFERROR(INDEX('Saisie'!$AK$5:$AK$2004,_xlfn.MAXIFS('Saisie'!$AS$5:$AS$2004,'Saisie'!$C$5:$C$2004,C173,'Saisie'!$AK$5:$AK$2004,"&lt;&gt;")-4),""))</f>
        <v/>
      </c>
      <c r="AI173" s="60">
        <f>IF(C173="","",IFERROR(INDEX('Saisie'!$AN$5:$AN$2004,_xlfn.MAXIFS('Saisie'!$AS$5:$AS$2004,'Saisie'!$C$5:$C$2004,C173,'Saisie'!$AN$5:$AN$2004,"&lt;&gt;")-4),""))</f>
        <v/>
      </c>
      <c r="AJ173" s="60">
        <f>IF(C173="","",IFERROR(INDEX('Saisie'!$AO$5:$AO$2004,_xlfn.MAXIFS('Saisie'!$AS$5:$AS$2004,'Saisie'!$C$5:$C$2004,C173,'Saisie'!$AO$5:$AO$2004,"&lt;&gt;")-4),""))</f>
        <v/>
      </c>
      <c r="AK173" s="60">
        <f>IF(C173="","",IFERROR(INDEX('Saisie'!$AP$5:$AP$2004,_xlfn.MAXIFS('Saisie'!$AS$5:$AS$2004,'Saisie'!$C$5:$C$2004,C173,'Saisie'!$AP$5:$AP$2004,"&lt;&gt;")-4),""))</f>
        <v/>
      </c>
      <c r="AL173" s="60">
        <f>IF(C173="","",IFERROR(INDEX('Saisie'!$AQ$5:$AQ$2004,_xlfn.MAXIFS('Saisie'!$AS$5:$AS$2004,'Saisie'!$C$5:$C$2004,C173,'Saisie'!$AQ$5:$AQ$2004,"&lt;&gt;")-4),""))</f>
        <v/>
      </c>
      <c r="AM173" s="60">
        <f>IF(C173="","",((AI173="Oui")+(AJ173="Oui")+(AK173="Oui")+OR(AL173="Immédiat",AL173="&lt; 1 mois"))&amp;"/4")</f>
        <v/>
      </c>
      <c r="AN173" s="60">
        <f>IF(C173="","",IFERROR(INDEX('Saisie'!$AL$5:$AL$2004,_xlfn.MAXIFS('Saisie'!$AS$5:$AS$2004,'Saisie'!$C$5:$C$2004,C173,'Saisie'!$AL$5:$AL$2004,"&lt;&gt;")-4),""))</f>
        <v/>
      </c>
      <c r="AO173" s="62">
        <f>IF(C173="","",IF(IFERROR(INDEX('Saisie'!$AM$5:$AM$2004,_xlfn.MAXIFS('Saisie'!$AS$5:$AS$2004,'Saisie'!$C$5:$C$2004,C173,'Saisie'!$AM$5:$AM$2004,"&lt;&gt;")-4),"")&lt;&gt;"",IFERROR(INDEX('Saisie'!$AM$5:$AM$2004,_xlfn.MAXIFS('Saisie'!$AS$5:$AS$2004,'Saisie'!$C$5:$C$2004,C173,'Saisie'!$AM$5:$AM$2004,"&lt;&gt;")-4),""),IFERROR(INDEX('Paramètres'!$S$6:$S$15,MATCH(AN173,'Paramètres'!$Q$6:$Q$15,0)),"")))</f>
        <v/>
      </c>
      <c r="AP173" s="62">
        <f>IF(C173="","",IFERROR(INDEX('Saisie'!$AW$5:$AW$2004,_xlfn.MAXIFS('Saisie'!$AS$5:$AS$2004,'Saisie'!$C$5:$C$2004,C173,'Saisie'!$E$5:$E$2004,"Proposition envoyée")-4),""))</f>
        <v/>
      </c>
      <c r="AQ173" s="106">
        <f>IF(C173="","",IFERROR(1/(1/_xlfn.MAXIFS('Saisie'!$A$5:$A$2004,'Saisie'!$C$5:$C$2004,C173,'Saisie'!$E$5:$E$2004,"Proposition envoyée")),""))</f>
        <v/>
      </c>
      <c r="AR173" s="106">
        <f>IF(C173="","",IF(AQ173="","",AQ173+'Paramètres'!$B$26))</f>
        <v/>
      </c>
      <c r="AS173" s="62">
        <f>IF(OR(C173="",D173="Gagné",D173="Perdu"),0,N(AP173)*IFERROR(INDEX('Paramètres'!$G$6:$G$13,MATCH(D173,'Paramètres'!$F$6:$F$13,0)),0))</f>
        <v/>
      </c>
      <c r="AT173" s="106">
        <f>IF(C173="","",IFERROR(1/(1/_xlfn.MINIFS('Saisie'!$A$5:$A$2004,'Saisie'!$C$5:$C$2004,C173,'Saisie'!$E$5:$E$2004,"Signature")),""))</f>
        <v/>
      </c>
      <c r="AU173" s="60">
        <f>IF(C173="","",IF(OR(AT173="",B173=""),"",AT173-B173))</f>
        <v/>
      </c>
      <c r="AV173" s="60">
        <f>IF(C173="","",IFERROR(INDEX('Saisie'!$L$5:$L$2004,_xlfn.MAXIFS('Saisie'!$AS$5:$AS$2004,'Saisie'!$C$5:$C$2004,C173,'Saisie'!$L$5:$L$2004,"&lt;&gt;")-4),""))</f>
        <v/>
      </c>
      <c r="AW173" s="106">
        <f>IF(C173="","",IF(D173&lt;&gt;"Perdu","",IFERROR(1/(1/_xlfn.MAXIFS('Saisie'!$A$5:$A$2004,'Saisie'!$C$5:$C$2004,C173,'Saisie'!$E$5:$E$2004,"Perdu")),"")))</f>
        <v/>
      </c>
      <c r="AX173" s="106">
        <f>IF(C173="","",IF(AW173="","",AW173+'Paramètres'!$B$28))</f>
        <v/>
      </c>
      <c r="AY173" s="60">
        <f>IF(C173="","",SUMIFS('Saisie'!$H$5:$H$2004,'Saisie'!$C$5:$C$2004,C173))</f>
        <v/>
      </c>
      <c r="AZ173" s="60">
        <f>IF(C173="","",IFERROR(INDEX('Paramètres'!$W$6:$W$20,MATCH(S173,'Paramètres'!$V$6:$V$20,0))&amp;"",""))</f>
        <v/>
      </c>
      <c r="BA173" s="60">
        <f>IF(C173="","",MAX(1,_xlfn.MAXIFS('Saisie'!$AT$5:$AT$2004,'Saisie'!$C$5:$C$2004,C173)))</f>
        <v/>
      </c>
      <c r="BB173" s="60">
        <f>IF(C173="","",IFERROR(INDEX('Saisie'!$X$5:$X$2004,_xlfn.MAXIFS('Saisie'!$AS$5:$AS$2004,'Saisie'!$C$5:$C$2004,C173,'Saisie'!$X$5:$X$2004,"&lt;&gt;")-4),""))</f>
        <v/>
      </c>
      <c r="BC173" s="60">
        <f>IF(C173="","",IFERROR(INDEX('Saisie'!$Y$5:$Y$2004,_xlfn.MAXIFS('Saisie'!$AS$5:$AS$2004,'Saisie'!$C$5:$C$2004,C173,'Saisie'!$Y$5:$Y$2004,"&lt;&gt;")-4),""))</f>
        <v/>
      </c>
      <c r="BD173" s="106">
        <f>IF(C173="","",IFERROR(1/(1/_xlfn.MINIFS('Saisie'!$A$5:$A$2004,'Saisie'!$C$5:$C$2004,C173,'Saisie'!$AT$5:$AT$2004,"&gt;=2")),""))</f>
        <v/>
      </c>
      <c r="BE173" s="106">
        <f>IF(C173="","",IFERROR(1/(1/_xlfn.MINIFS('Saisie'!$A$5:$A$2004,'Saisie'!$C$5:$C$2004,C173,'Saisie'!$AT$5:$AT$2004,"&gt;=3")),""))</f>
        <v/>
      </c>
      <c r="BF173" s="106">
        <f>IF(C173="","",IFERROR(1/(1/_xlfn.MINIFS('Saisie'!$A$5:$A$2004,'Saisie'!$C$5:$C$2004,C173,'Saisie'!$AT$5:$AT$2004,"&gt;=4")),""))</f>
        <v/>
      </c>
      <c r="BG173" s="106">
        <f>IF(C173="","",IFERROR(1/(1/_xlfn.MINIFS('Saisie'!$A$5:$A$2004,'Saisie'!$C$5:$C$2004,C173,'Saisie'!$AT$5:$AT$2004,"&gt;=5")),""))</f>
        <v/>
      </c>
      <c r="BH173" s="106">
        <f>IF(C173="","",IFERROR(1/(1/_xlfn.MINIFS('Saisie'!$A$5:$A$2004,'Saisie'!$C$5:$C$2004,C173,'Saisie'!$AT$5:$AT$2004,"&gt;=6")),""))</f>
        <v/>
      </c>
      <c r="BI173" s="106">
        <f>IF(C173="","",IFERROR(1/(1/_xlfn.MINIFS('Saisie'!$A$5:$A$2004,'Saisie'!$C$5:$C$2004,C173,'Saisie'!$AT$5:$AT$2004,"&gt;=7")),""))</f>
        <v/>
      </c>
      <c r="BJ173" s="60">
        <f>IF(OR(BD173="",B173=""),"",BD173-B173)</f>
        <v/>
      </c>
      <c r="BK173" s="60">
        <f>IF(OR(BE173="",BD173=""),"",BE173-BD173)</f>
        <v/>
      </c>
      <c r="BL173" s="60">
        <f>IF(OR(BF173="",BE173=""),"",BF173-BE173)</f>
        <v/>
      </c>
      <c r="BM173" s="60">
        <f>IF(OR(BG173="",BF173=""),"",BG173-BF173)</f>
        <v/>
      </c>
      <c r="BN173" s="60">
        <f>IF(OR(BH173="",BG173=""),"",BH173-BG173)</f>
        <v/>
      </c>
      <c r="BO173" s="60">
        <f>IF(OR(BI173="",BH173=""),"",BI173-BH173)</f>
        <v/>
      </c>
      <c r="BP173" s="60">
        <f>IF(C173="","",_xlfn.MAXIFS('Saisie'!$AS$5:$AS$2004,'Saisie'!$C$5:$C$2004,C173,'Saisie'!$J$5:$J$2004,"&lt;&gt;"))</f>
        <v/>
      </c>
      <c r="BQ173" s="60">
        <f>IF(C173="","",_xlfn.MAXIFS('Saisie'!$AS$5:$AS$2004,'Saisie'!$C$5:$C$2004,C173))</f>
        <v/>
      </c>
      <c r="BR173" s="60">
        <f>IF(C173="","",_xlfn.MAXIFS('Saisie'!$AS$5:$AS$2004,'Saisie'!$C$5:$C$2004,C173,'Saisie'!$E$5:$E$2004,"Perdu"))</f>
        <v/>
      </c>
      <c r="BS173" s="60">
        <f>IF(C173="","",_xlfn.MAXIFS('Saisie'!$AS$5:$AS$2004,'Saisie'!$C$5:$C$2004,C173,'Saisie'!$AT$5:$AT$2004,"&gt;0"))</f>
        <v/>
      </c>
      <c r="BT173" s="109">
        <f>IF(AND(C173&lt;&gt;"",OR(D173="Nouveau",D173="Contacté",D173="Qualifié"),OR(G173="",N(G173)&lt;=TODAY()),NOT(AND(O173&gt;='Paramètres'!$B$21,P173=0))),E173+169/10000,"")</f>
        <v/>
      </c>
      <c r="BU173" s="60">
        <f>IF(AND(G173&lt;&gt;"",N(G173)&lt;=TODAY()),MAX($BU$4:BU172)+1,"")</f>
        <v/>
      </c>
      <c r="BV173" s="60">
        <f>IF(AND(F173&lt;&gt;"",F173&lt;&gt;"Relance en retard"),MAX($BV$4:BV172)+1,"")</f>
        <v/>
      </c>
      <c r="BW173" s="60">
        <f>IF(C173="","",IF(AND(B173&gt;='Tableau de bord'!$R$4,B173&lt;='Tableau de bord'!$S$4,OR('Tableau de bord'!$G$4="Tous",N173='Tableau de bord'!$G$4)),1,0))</f>
        <v/>
      </c>
      <c r="BX173" s="60">
        <f>IF(AND(C173&lt;&gt;"",N(BA173)=7),MAX($BX$4:BX172)+1,"")</f>
        <v/>
      </c>
    </row>
    <row r="174">
      <c r="A174" s="60">
        <f>IF(C174="","","P-"&amp;TEXT(170,"000"))</f>
        <v/>
      </c>
      <c r="B174" s="106">
        <f>IF(C174="","",IFERROR(1/(1/_xlfn.MINIFS('Saisie'!$A$5:$A$2004,'Saisie'!$C$5:$C$2004,C174)),""))</f>
        <v/>
      </c>
      <c r="C174" s="60">
        <f>IFERROR(INDEX('Saisie'!$C$5:$C$2004,MATCH(170,'Saisie'!$AX$5:$AX$2004,0)),"")</f>
        <v/>
      </c>
      <c r="D174" s="60">
        <f>IF(C174="","",IF(AND(BR174&gt;0,BR174&gt;BS174,BA174&lt;7),"Perdu",INDEX('Paramètres'!$F$6:$F$13,BA174)))</f>
        <v/>
      </c>
      <c r="E174" s="61">
        <f>IF(C174="","",MIN(100,(Z174="Oui")*'Paramètres'!$B$38+(AB174="Régulière")*'Paramètres'!$B$39+IF(AND(N(AA174)&gt;0,TODAY()-N(AA174)&lt;=30),'Paramètres'!$B$40,0)+(W174="")*'Paramètres'!$B$41+(AC174="Absente")*'Paramètres'!$B$42+(AC174="Faible")*'Paramètres'!$B$43+IF(AND(N(AD174)&gt;0,N(AD174)&lt;4),'Paramètres'!$B$44,0)+(AF174="Moyenne")*'Paramètres'!$B$45+(AF174="Grande")*'Paramètres'!$B$46+(Y174&lt;&gt;"")*'Paramètres'!$B$47))</f>
        <v/>
      </c>
      <c r="F174" s="60">
        <f>IF(C174="","",IF(D174="Gagné","",IF(D174="Perdu",IF(AND(AX174&lt;&gt;"",AX174&lt;=TODAY()),"À recontacter (perdu)",""),IF(AND(O174&gt;='Paramètres'!$B$21,P174=0),"Stop : "&amp;'Paramètres'!$B$21&amp;" tentatives sans réponse",IF(AND(D174="Proposition",AR174&lt;&gt;"",TODAY()&gt;N(AR174)),"Proposition expirée",IF(AND(D174="Proposition",N(R174)&gt;='Paramètres'!$B$25),"Proposition sans réponse",IF(AND(G174&lt;&gt;"",N(G174)&lt;TODAY()),"Relance en retard",IF(N(R174)&gt;='Paramètres'!$B$24,"Sans action depuis "&amp;R174&amp;" j",""))))))))</f>
        <v/>
      </c>
      <c r="G174" s="106">
        <f>IF(OR(C174="",D174="Gagné",D174="Perdu"),"",IF(AND(BP174&gt;0,BP174=BQ174),INDEX('Saisie'!$J$5:$J$2004,BP174-4),IF(OR(O174=0,AND(O174&gt;='Paramètres'!$B$21,P174=0)),"",Q174+IF(O174&lt;=1,'Paramètres'!$B$18,IF(O174=2,'Paramètres'!$B$19,'Paramètres'!$B$20)))))</f>
        <v/>
      </c>
      <c r="H174" s="107">
        <f>IF(OR(G174="",BP174&lt;&gt;BQ174),"",IF(INDEX('Saisie'!$K$5:$K$2004,BP174-4)="","",INDEX('Saisie'!$K$5:$K$2004,BP174-4)))</f>
        <v/>
      </c>
      <c r="I174" s="60">
        <f>IF(C174="","",IF(OR(D174="Gagné",D174="Perdu"),"",IFERROR(INDEX('Saisie'!$I$5:$I$2004,_xlfn.MAXIFS('Saisie'!$AS$5:$AS$2004,'Saisie'!$C$5:$C$2004,C174,'Saisie'!$I$5:$I$2004,"&lt;&gt;")-4),"")))</f>
        <v/>
      </c>
      <c r="J174" s="60">
        <f>IF(C174="","",IFERROR(INDEX('Saisie'!$U$5:$U$2004,_xlfn.MAXIFS('Saisie'!$AS$5:$AS$2004,'Saisie'!$C$5:$C$2004,C174,'Saisie'!$U$5:$U$2004,"&lt;&gt;")-4),""))</f>
        <v/>
      </c>
      <c r="K174" s="60">
        <f>IF(C174="","",IFERROR(INDEX('Saisie'!$W$5:$W$2004,_xlfn.MAXIFS('Saisie'!$AS$5:$AS$2004,'Saisie'!$C$5:$C$2004,C174,'Saisie'!$W$5:$W$2004,"&lt;&gt;")-4),""))</f>
        <v/>
      </c>
      <c r="L174" s="60">
        <f>IF(IF(BB174&lt;&gt;"",BB174,K174)="","",HYPERLINK("https://wa.me/"&amp;IF(LEFT(SUBSTITUTE(SUBSTITUTE(SUBSTITUTE(IF(BB174&lt;&gt;"",BB174,K174)," ",""),".",""),"+",""),1)="0",'Paramètres'!$B$35&amp;MID(SUBSTITUTE(SUBSTITUTE(SUBSTITUTE(IF(BB174&lt;&gt;"",BB174,K174)," ",""),".",""),"+",""),2,20),SUBSTITUTE(SUBSTITUTE(SUBSTITUTE(IF(BB174&lt;&gt;"",BB174,K174)," ",""),".",""),"+","")),"WhatsApp"))</f>
        <v/>
      </c>
      <c r="M174" s="60">
        <f>IF(BC174="","",HYPERLINK(IF(LEFT(BC174,4)="http",BC174,"https://www.instagram.com/"&amp;SUBSTITUTE(SUBSTITUTE(BC174,"@","")," ","")),BC174))</f>
        <v/>
      </c>
      <c r="N174" s="60">
        <f>IF(C174="","",IFERROR(INDEX('Saisie'!$D$5:$D$2004,_xlfn.MINIFS('Saisie'!$AS$5:$AS$2004,'Saisie'!$C$5:$C$2004,C174,'Saisie'!$AU$5:$AU$2004,1)-4),IFERROR(INDEX('Saisie'!$D$5:$D$2004,_xlfn.MINIFS('Saisie'!$AS$5:$AS$2004,'Saisie'!$C$5:$C$2004,C174,'Saisie'!$D$5:$D$2004,"&lt;&gt;")-4),"")))</f>
        <v/>
      </c>
      <c r="O174" s="60">
        <f>IF(C174="","",COUNTIFS('Saisie'!$C$5:$C$2004,C174,'Saisie'!$AU$5:$AU$2004,1))</f>
        <v/>
      </c>
      <c r="P174" s="60">
        <f>IF(C174="","",COUNTIFS('Saisie'!$C$5:$C$2004,C174,'Saisie'!$AV$5:$AV$2004,1))</f>
        <v/>
      </c>
      <c r="Q174" s="106">
        <f>IF(C174="","",IFERROR(1/(1/_xlfn.MAXIFS('Saisie'!$A$5:$A$2004,'Saisie'!$C$5:$C$2004,C174)),""))</f>
        <v/>
      </c>
      <c r="R174" s="61">
        <f>IF(C174="","",IF(Q174="","",TODAY()-Q174))</f>
        <v/>
      </c>
      <c r="S174" s="60">
        <f>IF(C174="","",IFERROR(INDEX('Saisie'!$R$5:$R$2004,_xlfn.MAXIFS('Saisie'!$AS$5:$AS$2004,'Saisie'!$C$5:$C$2004,C174,'Saisie'!$R$5:$R$2004,"&lt;&gt;")-4),""))</f>
        <v/>
      </c>
      <c r="T174" s="60">
        <f>IF(C174="","",IFERROR(INDEX('Saisie'!$S$5:$S$2004,_xlfn.MAXIFS('Saisie'!$AS$5:$AS$2004,'Saisie'!$C$5:$C$2004,C174,'Saisie'!$S$5:$S$2004,"&lt;&gt;")-4),""))</f>
        <v/>
      </c>
      <c r="U174" s="60">
        <f>IF(C174="","",IFERROR(INDEX('Saisie'!$T$5:$T$2004,_xlfn.MAXIFS('Saisie'!$AS$5:$AS$2004,'Saisie'!$C$5:$C$2004,C174,'Saisie'!$T$5:$T$2004,"&lt;&gt;")-4),""))</f>
        <v/>
      </c>
      <c r="V174" s="60">
        <f>IF(C174="","",IFERROR(INDEX('Saisie'!$V$5:$V$2004,_xlfn.MAXIFS('Saisie'!$AS$5:$AS$2004,'Saisie'!$C$5:$C$2004,C174,'Saisie'!$V$5:$V$2004,"&lt;&gt;")-4),""))</f>
        <v/>
      </c>
      <c r="W174" s="60">
        <f>IF(C174="","",IFERROR(INDEX('Saisie'!$Z$5:$Z$2004,_xlfn.MAXIFS('Saisie'!$AS$5:$AS$2004,'Saisie'!$C$5:$C$2004,C174,'Saisie'!$Z$5:$Z$2004,"&lt;&gt;")-4),""))</f>
        <v/>
      </c>
      <c r="X174" s="60">
        <f>IF(C174="","",IFERROR(INDEX('Saisie'!$AA$5:$AA$2004,_xlfn.MAXIFS('Saisie'!$AS$5:$AS$2004,'Saisie'!$C$5:$C$2004,C174,'Saisie'!$AA$5:$AA$2004,"&lt;&gt;")-4),""))</f>
        <v/>
      </c>
      <c r="Y174" s="60">
        <f>IF(C174="","",IFERROR(INDEX('Saisie'!$AB$5:$AB$2004,_xlfn.MAXIFS('Saisie'!$AS$5:$AS$2004,'Saisie'!$C$5:$C$2004,C174,'Saisie'!$AB$5:$AB$2004,"&lt;&gt;")-4),""))</f>
        <v/>
      </c>
      <c r="Z174" s="60">
        <f>IF(C174="","",IFERROR(INDEX('Saisie'!$AC$5:$AC$2004,_xlfn.MAXIFS('Saisie'!$AS$5:$AS$2004,'Saisie'!$C$5:$C$2004,C174,'Saisie'!$AC$5:$AC$2004,"&lt;&gt;")-4),""))</f>
        <v/>
      </c>
      <c r="AA174" s="106">
        <f>IF(C174="","",IFERROR(INDEX('Saisie'!$AD$5:$AD$2004,_xlfn.MAXIFS('Saisie'!$AS$5:$AS$2004,'Saisie'!$C$5:$C$2004,C174,'Saisie'!$AD$5:$AD$2004,"&lt;&gt;")-4),""))</f>
        <v/>
      </c>
      <c r="AB174" s="60">
        <f>IF(C174="","",IFERROR(INDEX('Saisie'!$AE$5:$AE$2004,_xlfn.MAXIFS('Saisie'!$AS$5:$AS$2004,'Saisie'!$C$5:$C$2004,C174,'Saisie'!$AE$5:$AE$2004,"&lt;&gt;")-4),""))</f>
        <v/>
      </c>
      <c r="AC174" s="60">
        <f>IF(C174="","",IFERROR(INDEX('Saisie'!$AF$5:$AF$2004,_xlfn.MAXIFS('Saisie'!$AS$5:$AS$2004,'Saisie'!$C$5:$C$2004,C174,'Saisie'!$AF$5:$AF$2004,"&lt;&gt;")-4),""))</f>
        <v/>
      </c>
      <c r="AD174" s="108">
        <f>IF(C174="","",IFERROR(INDEX('Saisie'!$AG$5:$AG$2004,_xlfn.MAXIFS('Saisie'!$AS$5:$AS$2004,'Saisie'!$C$5:$C$2004,C174,'Saisie'!$AG$5:$AG$2004,"&lt;&gt;")-4),""))</f>
        <v/>
      </c>
      <c r="AE174" s="60">
        <f>IF(C174="","",IFERROR(INDEX('Saisie'!$AH$5:$AH$2004,_xlfn.MAXIFS('Saisie'!$AS$5:$AS$2004,'Saisie'!$C$5:$C$2004,C174,'Saisie'!$AH$5:$AH$2004,"&lt;&gt;")-4),""))</f>
        <v/>
      </c>
      <c r="AF174" s="60">
        <f>IF(C174="","",IFERROR(INDEX('Saisie'!$AI$5:$AI$2004,_xlfn.MAXIFS('Saisie'!$AS$5:$AS$2004,'Saisie'!$C$5:$C$2004,C174,'Saisie'!$AI$5:$AI$2004,"&lt;&gt;")-4),""))</f>
        <v/>
      </c>
      <c r="AG174" s="60">
        <f>IF(C174="","",IFERROR(INDEX('Saisie'!$AJ$5:$AJ$2004,_xlfn.MAXIFS('Saisie'!$AS$5:$AS$2004,'Saisie'!$C$5:$C$2004,C174,'Saisie'!$AJ$5:$AJ$2004,"&lt;&gt;")-4),""))</f>
        <v/>
      </c>
      <c r="AH174" s="60">
        <f>IF(C174="","",IFERROR(INDEX('Saisie'!$AK$5:$AK$2004,_xlfn.MAXIFS('Saisie'!$AS$5:$AS$2004,'Saisie'!$C$5:$C$2004,C174,'Saisie'!$AK$5:$AK$2004,"&lt;&gt;")-4),""))</f>
        <v/>
      </c>
      <c r="AI174" s="60">
        <f>IF(C174="","",IFERROR(INDEX('Saisie'!$AN$5:$AN$2004,_xlfn.MAXIFS('Saisie'!$AS$5:$AS$2004,'Saisie'!$C$5:$C$2004,C174,'Saisie'!$AN$5:$AN$2004,"&lt;&gt;")-4),""))</f>
        <v/>
      </c>
      <c r="AJ174" s="60">
        <f>IF(C174="","",IFERROR(INDEX('Saisie'!$AO$5:$AO$2004,_xlfn.MAXIFS('Saisie'!$AS$5:$AS$2004,'Saisie'!$C$5:$C$2004,C174,'Saisie'!$AO$5:$AO$2004,"&lt;&gt;")-4),""))</f>
        <v/>
      </c>
      <c r="AK174" s="60">
        <f>IF(C174="","",IFERROR(INDEX('Saisie'!$AP$5:$AP$2004,_xlfn.MAXIFS('Saisie'!$AS$5:$AS$2004,'Saisie'!$C$5:$C$2004,C174,'Saisie'!$AP$5:$AP$2004,"&lt;&gt;")-4),""))</f>
        <v/>
      </c>
      <c r="AL174" s="60">
        <f>IF(C174="","",IFERROR(INDEX('Saisie'!$AQ$5:$AQ$2004,_xlfn.MAXIFS('Saisie'!$AS$5:$AS$2004,'Saisie'!$C$5:$C$2004,C174,'Saisie'!$AQ$5:$AQ$2004,"&lt;&gt;")-4),""))</f>
        <v/>
      </c>
      <c r="AM174" s="60">
        <f>IF(C174="","",((AI174="Oui")+(AJ174="Oui")+(AK174="Oui")+OR(AL174="Immédiat",AL174="&lt; 1 mois"))&amp;"/4")</f>
        <v/>
      </c>
      <c r="AN174" s="60">
        <f>IF(C174="","",IFERROR(INDEX('Saisie'!$AL$5:$AL$2004,_xlfn.MAXIFS('Saisie'!$AS$5:$AS$2004,'Saisie'!$C$5:$C$2004,C174,'Saisie'!$AL$5:$AL$2004,"&lt;&gt;")-4),""))</f>
        <v/>
      </c>
      <c r="AO174" s="62">
        <f>IF(C174="","",IF(IFERROR(INDEX('Saisie'!$AM$5:$AM$2004,_xlfn.MAXIFS('Saisie'!$AS$5:$AS$2004,'Saisie'!$C$5:$C$2004,C174,'Saisie'!$AM$5:$AM$2004,"&lt;&gt;")-4),"")&lt;&gt;"",IFERROR(INDEX('Saisie'!$AM$5:$AM$2004,_xlfn.MAXIFS('Saisie'!$AS$5:$AS$2004,'Saisie'!$C$5:$C$2004,C174,'Saisie'!$AM$5:$AM$2004,"&lt;&gt;")-4),""),IFERROR(INDEX('Paramètres'!$S$6:$S$15,MATCH(AN174,'Paramètres'!$Q$6:$Q$15,0)),"")))</f>
        <v/>
      </c>
      <c r="AP174" s="62">
        <f>IF(C174="","",IFERROR(INDEX('Saisie'!$AW$5:$AW$2004,_xlfn.MAXIFS('Saisie'!$AS$5:$AS$2004,'Saisie'!$C$5:$C$2004,C174,'Saisie'!$E$5:$E$2004,"Proposition envoyée")-4),""))</f>
        <v/>
      </c>
      <c r="AQ174" s="106">
        <f>IF(C174="","",IFERROR(1/(1/_xlfn.MAXIFS('Saisie'!$A$5:$A$2004,'Saisie'!$C$5:$C$2004,C174,'Saisie'!$E$5:$E$2004,"Proposition envoyée")),""))</f>
        <v/>
      </c>
      <c r="AR174" s="106">
        <f>IF(C174="","",IF(AQ174="","",AQ174+'Paramètres'!$B$26))</f>
        <v/>
      </c>
      <c r="AS174" s="62">
        <f>IF(OR(C174="",D174="Gagné",D174="Perdu"),0,N(AP174)*IFERROR(INDEX('Paramètres'!$G$6:$G$13,MATCH(D174,'Paramètres'!$F$6:$F$13,0)),0))</f>
        <v/>
      </c>
      <c r="AT174" s="106">
        <f>IF(C174="","",IFERROR(1/(1/_xlfn.MINIFS('Saisie'!$A$5:$A$2004,'Saisie'!$C$5:$C$2004,C174,'Saisie'!$E$5:$E$2004,"Signature")),""))</f>
        <v/>
      </c>
      <c r="AU174" s="60">
        <f>IF(C174="","",IF(OR(AT174="",B174=""),"",AT174-B174))</f>
        <v/>
      </c>
      <c r="AV174" s="60">
        <f>IF(C174="","",IFERROR(INDEX('Saisie'!$L$5:$L$2004,_xlfn.MAXIFS('Saisie'!$AS$5:$AS$2004,'Saisie'!$C$5:$C$2004,C174,'Saisie'!$L$5:$L$2004,"&lt;&gt;")-4),""))</f>
        <v/>
      </c>
      <c r="AW174" s="106">
        <f>IF(C174="","",IF(D174&lt;&gt;"Perdu","",IFERROR(1/(1/_xlfn.MAXIFS('Saisie'!$A$5:$A$2004,'Saisie'!$C$5:$C$2004,C174,'Saisie'!$E$5:$E$2004,"Perdu")),"")))</f>
        <v/>
      </c>
      <c r="AX174" s="106">
        <f>IF(C174="","",IF(AW174="","",AW174+'Paramètres'!$B$28))</f>
        <v/>
      </c>
      <c r="AY174" s="60">
        <f>IF(C174="","",SUMIFS('Saisie'!$H$5:$H$2004,'Saisie'!$C$5:$C$2004,C174))</f>
        <v/>
      </c>
      <c r="AZ174" s="60">
        <f>IF(C174="","",IFERROR(INDEX('Paramètres'!$W$6:$W$20,MATCH(S174,'Paramètres'!$V$6:$V$20,0))&amp;"",""))</f>
        <v/>
      </c>
      <c r="BA174" s="60">
        <f>IF(C174="","",MAX(1,_xlfn.MAXIFS('Saisie'!$AT$5:$AT$2004,'Saisie'!$C$5:$C$2004,C174)))</f>
        <v/>
      </c>
      <c r="BB174" s="60">
        <f>IF(C174="","",IFERROR(INDEX('Saisie'!$X$5:$X$2004,_xlfn.MAXIFS('Saisie'!$AS$5:$AS$2004,'Saisie'!$C$5:$C$2004,C174,'Saisie'!$X$5:$X$2004,"&lt;&gt;")-4),""))</f>
        <v/>
      </c>
      <c r="BC174" s="60">
        <f>IF(C174="","",IFERROR(INDEX('Saisie'!$Y$5:$Y$2004,_xlfn.MAXIFS('Saisie'!$AS$5:$AS$2004,'Saisie'!$C$5:$C$2004,C174,'Saisie'!$Y$5:$Y$2004,"&lt;&gt;")-4),""))</f>
        <v/>
      </c>
      <c r="BD174" s="106">
        <f>IF(C174="","",IFERROR(1/(1/_xlfn.MINIFS('Saisie'!$A$5:$A$2004,'Saisie'!$C$5:$C$2004,C174,'Saisie'!$AT$5:$AT$2004,"&gt;=2")),""))</f>
        <v/>
      </c>
      <c r="BE174" s="106">
        <f>IF(C174="","",IFERROR(1/(1/_xlfn.MINIFS('Saisie'!$A$5:$A$2004,'Saisie'!$C$5:$C$2004,C174,'Saisie'!$AT$5:$AT$2004,"&gt;=3")),""))</f>
        <v/>
      </c>
      <c r="BF174" s="106">
        <f>IF(C174="","",IFERROR(1/(1/_xlfn.MINIFS('Saisie'!$A$5:$A$2004,'Saisie'!$C$5:$C$2004,C174,'Saisie'!$AT$5:$AT$2004,"&gt;=4")),""))</f>
        <v/>
      </c>
      <c r="BG174" s="106">
        <f>IF(C174="","",IFERROR(1/(1/_xlfn.MINIFS('Saisie'!$A$5:$A$2004,'Saisie'!$C$5:$C$2004,C174,'Saisie'!$AT$5:$AT$2004,"&gt;=5")),""))</f>
        <v/>
      </c>
      <c r="BH174" s="106">
        <f>IF(C174="","",IFERROR(1/(1/_xlfn.MINIFS('Saisie'!$A$5:$A$2004,'Saisie'!$C$5:$C$2004,C174,'Saisie'!$AT$5:$AT$2004,"&gt;=6")),""))</f>
        <v/>
      </c>
      <c r="BI174" s="106">
        <f>IF(C174="","",IFERROR(1/(1/_xlfn.MINIFS('Saisie'!$A$5:$A$2004,'Saisie'!$C$5:$C$2004,C174,'Saisie'!$AT$5:$AT$2004,"&gt;=7")),""))</f>
        <v/>
      </c>
      <c r="BJ174" s="60">
        <f>IF(OR(BD174="",B174=""),"",BD174-B174)</f>
        <v/>
      </c>
      <c r="BK174" s="60">
        <f>IF(OR(BE174="",BD174=""),"",BE174-BD174)</f>
        <v/>
      </c>
      <c r="BL174" s="60">
        <f>IF(OR(BF174="",BE174=""),"",BF174-BE174)</f>
        <v/>
      </c>
      <c r="BM174" s="60">
        <f>IF(OR(BG174="",BF174=""),"",BG174-BF174)</f>
        <v/>
      </c>
      <c r="BN174" s="60">
        <f>IF(OR(BH174="",BG174=""),"",BH174-BG174)</f>
        <v/>
      </c>
      <c r="BO174" s="60">
        <f>IF(OR(BI174="",BH174=""),"",BI174-BH174)</f>
        <v/>
      </c>
      <c r="BP174" s="60">
        <f>IF(C174="","",_xlfn.MAXIFS('Saisie'!$AS$5:$AS$2004,'Saisie'!$C$5:$C$2004,C174,'Saisie'!$J$5:$J$2004,"&lt;&gt;"))</f>
        <v/>
      </c>
      <c r="BQ174" s="60">
        <f>IF(C174="","",_xlfn.MAXIFS('Saisie'!$AS$5:$AS$2004,'Saisie'!$C$5:$C$2004,C174))</f>
        <v/>
      </c>
      <c r="BR174" s="60">
        <f>IF(C174="","",_xlfn.MAXIFS('Saisie'!$AS$5:$AS$2004,'Saisie'!$C$5:$C$2004,C174,'Saisie'!$E$5:$E$2004,"Perdu"))</f>
        <v/>
      </c>
      <c r="BS174" s="60">
        <f>IF(C174="","",_xlfn.MAXIFS('Saisie'!$AS$5:$AS$2004,'Saisie'!$C$5:$C$2004,C174,'Saisie'!$AT$5:$AT$2004,"&gt;0"))</f>
        <v/>
      </c>
      <c r="BT174" s="109">
        <f>IF(AND(C174&lt;&gt;"",OR(D174="Nouveau",D174="Contacté",D174="Qualifié"),OR(G174="",N(G174)&lt;=TODAY()),NOT(AND(O174&gt;='Paramètres'!$B$21,P174=0))),E174+170/10000,"")</f>
        <v/>
      </c>
      <c r="BU174" s="60">
        <f>IF(AND(G174&lt;&gt;"",N(G174)&lt;=TODAY()),MAX($BU$4:BU173)+1,"")</f>
        <v/>
      </c>
      <c r="BV174" s="60">
        <f>IF(AND(F174&lt;&gt;"",F174&lt;&gt;"Relance en retard"),MAX($BV$4:BV173)+1,"")</f>
        <v/>
      </c>
      <c r="BW174" s="60">
        <f>IF(C174="","",IF(AND(B174&gt;='Tableau de bord'!$R$4,B174&lt;='Tableau de bord'!$S$4,OR('Tableau de bord'!$G$4="Tous",N174='Tableau de bord'!$G$4)),1,0))</f>
        <v/>
      </c>
      <c r="BX174" s="60">
        <f>IF(AND(C174&lt;&gt;"",N(BA174)=7),MAX($BX$4:BX173)+1,"")</f>
        <v/>
      </c>
    </row>
    <row r="175">
      <c r="A175" s="60">
        <f>IF(C175="","","P-"&amp;TEXT(171,"000"))</f>
        <v/>
      </c>
      <c r="B175" s="106">
        <f>IF(C175="","",IFERROR(1/(1/_xlfn.MINIFS('Saisie'!$A$5:$A$2004,'Saisie'!$C$5:$C$2004,C175)),""))</f>
        <v/>
      </c>
      <c r="C175" s="60">
        <f>IFERROR(INDEX('Saisie'!$C$5:$C$2004,MATCH(171,'Saisie'!$AX$5:$AX$2004,0)),"")</f>
        <v/>
      </c>
      <c r="D175" s="60">
        <f>IF(C175="","",IF(AND(BR175&gt;0,BR175&gt;BS175,BA175&lt;7),"Perdu",INDEX('Paramètres'!$F$6:$F$13,BA175)))</f>
        <v/>
      </c>
      <c r="E175" s="61">
        <f>IF(C175="","",MIN(100,(Z175="Oui")*'Paramètres'!$B$38+(AB175="Régulière")*'Paramètres'!$B$39+IF(AND(N(AA175)&gt;0,TODAY()-N(AA175)&lt;=30),'Paramètres'!$B$40,0)+(W175="")*'Paramètres'!$B$41+(AC175="Absente")*'Paramètres'!$B$42+(AC175="Faible")*'Paramètres'!$B$43+IF(AND(N(AD175)&gt;0,N(AD175)&lt;4),'Paramètres'!$B$44,0)+(AF175="Moyenne")*'Paramètres'!$B$45+(AF175="Grande")*'Paramètres'!$B$46+(Y175&lt;&gt;"")*'Paramètres'!$B$47))</f>
        <v/>
      </c>
      <c r="F175" s="60">
        <f>IF(C175="","",IF(D175="Gagné","",IF(D175="Perdu",IF(AND(AX175&lt;&gt;"",AX175&lt;=TODAY()),"À recontacter (perdu)",""),IF(AND(O175&gt;='Paramètres'!$B$21,P175=0),"Stop : "&amp;'Paramètres'!$B$21&amp;" tentatives sans réponse",IF(AND(D175="Proposition",AR175&lt;&gt;"",TODAY()&gt;N(AR175)),"Proposition expirée",IF(AND(D175="Proposition",N(R175)&gt;='Paramètres'!$B$25),"Proposition sans réponse",IF(AND(G175&lt;&gt;"",N(G175)&lt;TODAY()),"Relance en retard",IF(N(R175)&gt;='Paramètres'!$B$24,"Sans action depuis "&amp;R175&amp;" j",""))))))))</f>
        <v/>
      </c>
      <c r="G175" s="106">
        <f>IF(OR(C175="",D175="Gagné",D175="Perdu"),"",IF(AND(BP175&gt;0,BP175=BQ175),INDEX('Saisie'!$J$5:$J$2004,BP175-4),IF(OR(O175=0,AND(O175&gt;='Paramètres'!$B$21,P175=0)),"",Q175+IF(O175&lt;=1,'Paramètres'!$B$18,IF(O175=2,'Paramètres'!$B$19,'Paramètres'!$B$20)))))</f>
        <v/>
      </c>
      <c r="H175" s="107">
        <f>IF(OR(G175="",BP175&lt;&gt;BQ175),"",IF(INDEX('Saisie'!$K$5:$K$2004,BP175-4)="","",INDEX('Saisie'!$K$5:$K$2004,BP175-4)))</f>
        <v/>
      </c>
      <c r="I175" s="60">
        <f>IF(C175="","",IF(OR(D175="Gagné",D175="Perdu"),"",IFERROR(INDEX('Saisie'!$I$5:$I$2004,_xlfn.MAXIFS('Saisie'!$AS$5:$AS$2004,'Saisie'!$C$5:$C$2004,C175,'Saisie'!$I$5:$I$2004,"&lt;&gt;")-4),"")))</f>
        <v/>
      </c>
      <c r="J175" s="60">
        <f>IF(C175="","",IFERROR(INDEX('Saisie'!$U$5:$U$2004,_xlfn.MAXIFS('Saisie'!$AS$5:$AS$2004,'Saisie'!$C$5:$C$2004,C175,'Saisie'!$U$5:$U$2004,"&lt;&gt;")-4),""))</f>
        <v/>
      </c>
      <c r="K175" s="60">
        <f>IF(C175="","",IFERROR(INDEX('Saisie'!$W$5:$W$2004,_xlfn.MAXIFS('Saisie'!$AS$5:$AS$2004,'Saisie'!$C$5:$C$2004,C175,'Saisie'!$W$5:$W$2004,"&lt;&gt;")-4),""))</f>
        <v/>
      </c>
      <c r="L175" s="60">
        <f>IF(IF(BB175&lt;&gt;"",BB175,K175)="","",HYPERLINK("https://wa.me/"&amp;IF(LEFT(SUBSTITUTE(SUBSTITUTE(SUBSTITUTE(IF(BB175&lt;&gt;"",BB175,K175)," ",""),".",""),"+",""),1)="0",'Paramètres'!$B$35&amp;MID(SUBSTITUTE(SUBSTITUTE(SUBSTITUTE(IF(BB175&lt;&gt;"",BB175,K175)," ",""),".",""),"+",""),2,20),SUBSTITUTE(SUBSTITUTE(SUBSTITUTE(IF(BB175&lt;&gt;"",BB175,K175)," ",""),".",""),"+","")),"WhatsApp"))</f>
        <v/>
      </c>
      <c r="M175" s="60">
        <f>IF(BC175="","",HYPERLINK(IF(LEFT(BC175,4)="http",BC175,"https://www.instagram.com/"&amp;SUBSTITUTE(SUBSTITUTE(BC175,"@","")," ","")),BC175))</f>
        <v/>
      </c>
      <c r="N175" s="60">
        <f>IF(C175="","",IFERROR(INDEX('Saisie'!$D$5:$D$2004,_xlfn.MINIFS('Saisie'!$AS$5:$AS$2004,'Saisie'!$C$5:$C$2004,C175,'Saisie'!$AU$5:$AU$2004,1)-4),IFERROR(INDEX('Saisie'!$D$5:$D$2004,_xlfn.MINIFS('Saisie'!$AS$5:$AS$2004,'Saisie'!$C$5:$C$2004,C175,'Saisie'!$D$5:$D$2004,"&lt;&gt;")-4),"")))</f>
        <v/>
      </c>
      <c r="O175" s="60">
        <f>IF(C175="","",COUNTIFS('Saisie'!$C$5:$C$2004,C175,'Saisie'!$AU$5:$AU$2004,1))</f>
        <v/>
      </c>
      <c r="P175" s="60">
        <f>IF(C175="","",COUNTIFS('Saisie'!$C$5:$C$2004,C175,'Saisie'!$AV$5:$AV$2004,1))</f>
        <v/>
      </c>
      <c r="Q175" s="106">
        <f>IF(C175="","",IFERROR(1/(1/_xlfn.MAXIFS('Saisie'!$A$5:$A$2004,'Saisie'!$C$5:$C$2004,C175)),""))</f>
        <v/>
      </c>
      <c r="R175" s="61">
        <f>IF(C175="","",IF(Q175="","",TODAY()-Q175))</f>
        <v/>
      </c>
      <c r="S175" s="60">
        <f>IF(C175="","",IFERROR(INDEX('Saisie'!$R$5:$R$2004,_xlfn.MAXIFS('Saisie'!$AS$5:$AS$2004,'Saisie'!$C$5:$C$2004,C175,'Saisie'!$R$5:$R$2004,"&lt;&gt;")-4),""))</f>
        <v/>
      </c>
      <c r="T175" s="60">
        <f>IF(C175="","",IFERROR(INDEX('Saisie'!$S$5:$S$2004,_xlfn.MAXIFS('Saisie'!$AS$5:$AS$2004,'Saisie'!$C$5:$C$2004,C175,'Saisie'!$S$5:$S$2004,"&lt;&gt;")-4),""))</f>
        <v/>
      </c>
      <c r="U175" s="60">
        <f>IF(C175="","",IFERROR(INDEX('Saisie'!$T$5:$T$2004,_xlfn.MAXIFS('Saisie'!$AS$5:$AS$2004,'Saisie'!$C$5:$C$2004,C175,'Saisie'!$T$5:$T$2004,"&lt;&gt;")-4),""))</f>
        <v/>
      </c>
      <c r="V175" s="60">
        <f>IF(C175="","",IFERROR(INDEX('Saisie'!$V$5:$V$2004,_xlfn.MAXIFS('Saisie'!$AS$5:$AS$2004,'Saisie'!$C$5:$C$2004,C175,'Saisie'!$V$5:$V$2004,"&lt;&gt;")-4),""))</f>
        <v/>
      </c>
      <c r="W175" s="60">
        <f>IF(C175="","",IFERROR(INDEX('Saisie'!$Z$5:$Z$2004,_xlfn.MAXIFS('Saisie'!$AS$5:$AS$2004,'Saisie'!$C$5:$C$2004,C175,'Saisie'!$Z$5:$Z$2004,"&lt;&gt;")-4),""))</f>
        <v/>
      </c>
      <c r="X175" s="60">
        <f>IF(C175="","",IFERROR(INDEX('Saisie'!$AA$5:$AA$2004,_xlfn.MAXIFS('Saisie'!$AS$5:$AS$2004,'Saisie'!$C$5:$C$2004,C175,'Saisie'!$AA$5:$AA$2004,"&lt;&gt;")-4),""))</f>
        <v/>
      </c>
      <c r="Y175" s="60">
        <f>IF(C175="","",IFERROR(INDEX('Saisie'!$AB$5:$AB$2004,_xlfn.MAXIFS('Saisie'!$AS$5:$AS$2004,'Saisie'!$C$5:$C$2004,C175,'Saisie'!$AB$5:$AB$2004,"&lt;&gt;")-4),""))</f>
        <v/>
      </c>
      <c r="Z175" s="60">
        <f>IF(C175="","",IFERROR(INDEX('Saisie'!$AC$5:$AC$2004,_xlfn.MAXIFS('Saisie'!$AS$5:$AS$2004,'Saisie'!$C$5:$C$2004,C175,'Saisie'!$AC$5:$AC$2004,"&lt;&gt;")-4),""))</f>
        <v/>
      </c>
      <c r="AA175" s="106">
        <f>IF(C175="","",IFERROR(INDEX('Saisie'!$AD$5:$AD$2004,_xlfn.MAXIFS('Saisie'!$AS$5:$AS$2004,'Saisie'!$C$5:$C$2004,C175,'Saisie'!$AD$5:$AD$2004,"&lt;&gt;")-4),""))</f>
        <v/>
      </c>
      <c r="AB175" s="60">
        <f>IF(C175="","",IFERROR(INDEX('Saisie'!$AE$5:$AE$2004,_xlfn.MAXIFS('Saisie'!$AS$5:$AS$2004,'Saisie'!$C$5:$C$2004,C175,'Saisie'!$AE$5:$AE$2004,"&lt;&gt;")-4),""))</f>
        <v/>
      </c>
      <c r="AC175" s="60">
        <f>IF(C175="","",IFERROR(INDEX('Saisie'!$AF$5:$AF$2004,_xlfn.MAXIFS('Saisie'!$AS$5:$AS$2004,'Saisie'!$C$5:$C$2004,C175,'Saisie'!$AF$5:$AF$2004,"&lt;&gt;")-4),""))</f>
        <v/>
      </c>
      <c r="AD175" s="108">
        <f>IF(C175="","",IFERROR(INDEX('Saisie'!$AG$5:$AG$2004,_xlfn.MAXIFS('Saisie'!$AS$5:$AS$2004,'Saisie'!$C$5:$C$2004,C175,'Saisie'!$AG$5:$AG$2004,"&lt;&gt;")-4),""))</f>
        <v/>
      </c>
      <c r="AE175" s="60">
        <f>IF(C175="","",IFERROR(INDEX('Saisie'!$AH$5:$AH$2004,_xlfn.MAXIFS('Saisie'!$AS$5:$AS$2004,'Saisie'!$C$5:$C$2004,C175,'Saisie'!$AH$5:$AH$2004,"&lt;&gt;")-4),""))</f>
        <v/>
      </c>
      <c r="AF175" s="60">
        <f>IF(C175="","",IFERROR(INDEX('Saisie'!$AI$5:$AI$2004,_xlfn.MAXIFS('Saisie'!$AS$5:$AS$2004,'Saisie'!$C$5:$C$2004,C175,'Saisie'!$AI$5:$AI$2004,"&lt;&gt;")-4),""))</f>
        <v/>
      </c>
      <c r="AG175" s="60">
        <f>IF(C175="","",IFERROR(INDEX('Saisie'!$AJ$5:$AJ$2004,_xlfn.MAXIFS('Saisie'!$AS$5:$AS$2004,'Saisie'!$C$5:$C$2004,C175,'Saisie'!$AJ$5:$AJ$2004,"&lt;&gt;")-4),""))</f>
        <v/>
      </c>
      <c r="AH175" s="60">
        <f>IF(C175="","",IFERROR(INDEX('Saisie'!$AK$5:$AK$2004,_xlfn.MAXIFS('Saisie'!$AS$5:$AS$2004,'Saisie'!$C$5:$C$2004,C175,'Saisie'!$AK$5:$AK$2004,"&lt;&gt;")-4),""))</f>
        <v/>
      </c>
      <c r="AI175" s="60">
        <f>IF(C175="","",IFERROR(INDEX('Saisie'!$AN$5:$AN$2004,_xlfn.MAXIFS('Saisie'!$AS$5:$AS$2004,'Saisie'!$C$5:$C$2004,C175,'Saisie'!$AN$5:$AN$2004,"&lt;&gt;")-4),""))</f>
        <v/>
      </c>
      <c r="AJ175" s="60">
        <f>IF(C175="","",IFERROR(INDEX('Saisie'!$AO$5:$AO$2004,_xlfn.MAXIFS('Saisie'!$AS$5:$AS$2004,'Saisie'!$C$5:$C$2004,C175,'Saisie'!$AO$5:$AO$2004,"&lt;&gt;")-4),""))</f>
        <v/>
      </c>
      <c r="AK175" s="60">
        <f>IF(C175="","",IFERROR(INDEX('Saisie'!$AP$5:$AP$2004,_xlfn.MAXIFS('Saisie'!$AS$5:$AS$2004,'Saisie'!$C$5:$C$2004,C175,'Saisie'!$AP$5:$AP$2004,"&lt;&gt;")-4),""))</f>
        <v/>
      </c>
      <c r="AL175" s="60">
        <f>IF(C175="","",IFERROR(INDEX('Saisie'!$AQ$5:$AQ$2004,_xlfn.MAXIFS('Saisie'!$AS$5:$AS$2004,'Saisie'!$C$5:$C$2004,C175,'Saisie'!$AQ$5:$AQ$2004,"&lt;&gt;")-4),""))</f>
        <v/>
      </c>
      <c r="AM175" s="60">
        <f>IF(C175="","",((AI175="Oui")+(AJ175="Oui")+(AK175="Oui")+OR(AL175="Immédiat",AL175="&lt; 1 mois"))&amp;"/4")</f>
        <v/>
      </c>
      <c r="AN175" s="60">
        <f>IF(C175="","",IFERROR(INDEX('Saisie'!$AL$5:$AL$2004,_xlfn.MAXIFS('Saisie'!$AS$5:$AS$2004,'Saisie'!$C$5:$C$2004,C175,'Saisie'!$AL$5:$AL$2004,"&lt;&gt;")-4),""))</f>
        <v/>
      </c>
      <c r="AO175" s="62">
        <f>IF(C175="","",IF(IFERROR(INDEX('Saisie'!$AM$5:$AM$2004,_xlfn.MAXIFS('Saisie'!$AS$5:$AS$2004,'Saisie'!$C$5:$C$2004,C175,'Saisie'!$AM$5:$AM$2004,"&lt;&gt;")-4),"")&lt;&gt;"",IFERROR(INDEX('Saisie'!$AM$5:$AM$2004,_xlfn.MAXIFS('Saisie'!$AS$5:$AS$2004,'Saisie'!$C$5:$C$2004,C175,'Saisie'!$AM$5:$AM$2004,"&lt;&gt;")-4),""),IFERROR(INDEX('Paramètres'!$S$6:$S$15,MATCH(AN175,'Paramètres'!$Q$6:$Q$15,0)),"")))</f>
        <v/>
      </c>
      <c r="AP175" s="62">
        <f>IF(C175="","",IFERROR(INDEX('Saisie'!$AW$5:$AW$2004,_xlfn.MAXIFS('Saisie'!$AS$5:$AS$2004,'Saisie'!$C$5:$C$2004,C175,'Saisie'!$E$5:$E$2004,"Proposition envoyée")-4),""))</f>
        <v/>
      </c>
      <c r="AQ175" s="106">
        <f>IF(C175="","",IFERROR(1/(1/_xlfn.MAXIFS('Saisie'!$A$5:$A$2004,'Saisie'!$C$5:$C$2004,C175,'Saisie'!$E$5:$E$2004,"Proposition envoyée")),""))</f>
        <v/>
      </c>
      <c r="AR175" s="106">
        <f>IF(C175="","",IF(AQ175="","",AQ175+'Paramètres'!$B$26))</f>
        <v/>
      </c>
      <c r="AS175" s="62">
        <f>IF(OR(C175="",D175="Gagné",D175="Perdu"),0,N(AP175)*IFERROR(INDEX('Paramètres'!$G$6:$G$13,MATCH(D175,'Paramètres'!$F$6:$F$13,0)),0))</f>
        <v/>
      </c>
      <c r="AT175" s="106">
        <f>IF(C175="","",IFERROR(1/(1/_xlfn.MINIFS('Saisie'!$A$5:$A$2004,'Saisie'!$C$5:$C$2004,C175,'Saisie'!$E$5:$E$2004,"Signature")),""))</f>
        <v/>
      </c>
      <c r="AU175" s="60">
        <f>IF(C175="","",IF(OR(AT175="",B175=""),"",AT175-B175))</f>
        <v/>
      </c>
      <c r="AV175" s="60">
        <f>IF(C175="","",IFERROR(INDEX('Saisie'!$L$5:$L$2004,_xlfn.MAXIFS('Saisie'!$AS$5:$AS$2004,'Saisie'!$C$5:$C$2004,C175,'Saisie'!$L$5:$L$2004,"&lt;&gt;")-4),""))</f>
        <v/>
      </c>
      <c r="AW175" s="106">
        <f>IF(C175="","",IF(D175&lt;&gt;"Perdu","",IFERROR(1/(1/_xlfn.MAXIFS('Saisie'!$A$5:$A$2004,'Saisie'!$C$5:$C$2004,C175,'Saisie'!$E$5:$E$2004,"Perdu")),"")))</f>
        <v/>
      </c>
      <c r="AX175" s="106">
        <f>IF(C175="","",IF(AW175="","",AW175+'Paramètres'!$B$28))</f>
        <v/>
      </c>
      <c r="AY175" s="60">
        <f>IF(C175="","",SUMIFS('Saisie'!$H$5:$H$2004,'Saisie'!$C$5:$C$2004,C175))</f>
        <v/>
      </c>
      <c r="AZ175" s="60">
        <f>IF(C175="","",IFERROR(INDEX('Paramètres'!$W$6:$W$20,MATCH(S175,'Paramètres'!$V$6:$V$20,0))&amp;"",""))</f>
        <v/>
      </c>
      <c r="BA175" s="60">
        <f>IF(C175="","",MAX(1,_xlfn.MAXIFS('Saisie'!$AT$5:$AT$2004,'Saisie'!$C$5:$C$2004,C175)))</f>
        <v/>
      </c>
      <c r="BB175" s="60">
        <f>IF(C175="","",IFERROR(INDEX('Saisie'!$X$5:$X$2004,_xlfn.MAXIFS('Saisie'!$AS$5:$AS$2004,'Saisie'!$C$5:$C$2004,C175,'Saisie'!$X$5:$X$2004,"&lt;&gt;")-4),""))</f>
        <v/>
      </c>
      <c r="BC175" s="60">
        <f>IF(C175="","",IFERROR(INDEX('Saisie'!$Y$5:$Y$2004,_xlfn.MAXIFS('Saisie'!$AS$5:$AS$2004,'Saisie'!$C$5:$C$2004,C175,'Saisie'!$Y$5:$Y$2004,"&lt;&gt;")-4),""))</f>
        <v/>
      </c>
      <c r="BD175" s="106">
        <f>IF(C175="","",IFERROR(1/(1/_xlfn.MINIFS('Saisie'!$A$5:$A$2004,'Saisie'!$C$5:$C$2004,C175,'Saisie'!$AT$5:$AT$2004,"&gt;=2")),""))</f>
        <v/>
      </c>
      <c r="BE175" s="106">
        <f>IF(C175="","",IFERROR(1/(1/_xlfn.MINIFS('Saisie'!$A$5:$A$2004,'Saisie'!$C$5:$C$2004,C175,'Saisie'!$AT$5:$AT$2004,"&gt;=3")),""))</f>
        <v/>
      </c>
      <c r="BF175" s="106">
        <f>IF(C175="","",IFERROR(1/(1/_xlfn.MINIFS('Saisie'!$A$5:$A$2004,'Saisie'!$C$5:$C$2004,C175,'Saisie'!$AT$5:$AT$2004,"&gt;=4")),""))</f>
        <v/>
      </c>
      <c r="BG175" s="106">
        <f>IF(C175="","",IFERROR(1/(1/_xlfn.MINIFS('Saisie'!$A$5:$A$2004,'Saisie'!$C$5:$C$2004,C175,'Saisie'!$AT$5:$AT$2004,"&gt;=5")),""))</f>
        <v/>
      </c>
      <c r="BH175" s="106">
        <f>IF(C175="","",IFERROR(1/(1/_xlfn.MINIFS('Saisie'!$A$5:$A$2004,'Saisie'!$C$5:$C$2004,C175,'Saisie'!$AT$5:$AT$2004,"&gt;=6")),""))</f>
        <v/>
      </c>
      <c r="BI175" s="106">
        <f>IF(C175="","",IFERROR(1/(1/_xlfn.MINIFS('Saisie'!$A$5:$A$2004,'Saisie'!$C$5:$C$2004,C175,'Saisie'!$AT$5:$AT$2004,"&gt;=7")),""))</f>
        <v/>
      </c>
      <c r="BJ175" s="60">
        <f>IF(OR(BD175="",B175=""),"",BD175-B175)</f>
        <v/>
      </c>
      <c r="BK175" s="60">
        <f>IF(OR(BE175="",BD175=""),"",BE175-BD175)</f>
        <v/>
      </c>
      <c r="BL175" s="60">
        <f>IF(OR(BF175="",BE175=""),"",BF175-BE175)</f>
        <v/>
      </c>
      <c r="BM175" s="60">
        <f>IF(OR(BG175="",BF175=""),"",BG175-BF175)</f>
        <v/>
      </c>
      <c r="BN175" s="60">
        <f>IF(OR(BH175="",BG175=""),"",BH175-BG175)</f>
        <v/>
      </c>
      <c r="BO175" s="60">
        <f>IF(OR(BI175="",BH175=""),"",BI175-BH175)</f>
        <v/>
      </c>
      <c r="BP175" s="60">
        <f>IF(C175="","",_xlfn.MAXIFS('Saisie'!$AS$5:$AS$2004,'Saisie'!$C$5:$C$2004,C175,'Saisie'!$J$5:$J$2004,"&lt;&gt;"))</f>
        <v/>
      </c>
      <c r="BQ175" s="60">
        <f>IF(C175="","",_xlfn.MAXIFS('Saisie'!$AS$5:$AS$2004,'Saisie'!$C$5:$C$2004,C175))</f>
        <v/>
      </c>
      <c r="BR175" s="60">
        <f>IF(C175="","",_xlfn.MAXIFS('Saisie'!$AS$5:$AS$2004,'Saisie'!$C$5:$C$2004,C175,'Saisie'!$E$5:$E$2004,"Perdu"))</f>
        <v/>
      </c>
      <c r="BS175" s="60">
        <f>IF(C175="","",_xlfn.MAXIFS('Saisie'!$AS$5:$AS$2004,'Saisie'!$C$5:$C$2004,C175,'Saisie'!$AT$5:$AT$2004,"&gt;0"))</f>
        <v/>
      </c>
      <c r="BT175" s="109">
        <f>IF(AND(C175&lt;&gt;"",OR(D175="Nouveau",D175="Contacté",D175="Qualifié"),OR(G175="",N(G175)&lt;=TODAY()),NOT(AND(O175&gt;='Paramètres'!$B$21,P175=0))),E175+171/10000,"")</f>
        <v/>
      </c>
      <c r="BU175" s="60">
        <f>IF(AND(G175&lt;&gt;"",N(G175)&lt;=TODAY()),MAX($BU$4:BU174)+1,"")</f>
        <v/>
      </c>
      <c r="BV175" s="60">
        <f>IF(AND(F175&lt;&gt;"",F175&lt;&gt;"Relance en retard"),MAX($BV$4:BV174)+1,"")</f>
        <v/>
      </c>
      <c r="BW175" s="60">
        <f>IF(C175="","",IF(AND(B175&gt;='Tableau de bord'!$R$4,B175&lt;='Tableau de bord'!$S$4,OR('Tableau de bord'!$G$4="Tous",N175='Tableau de bord'!$G$4)),1,0))</f>
        <v/>
      </c>
      <c r="BX175" s="60">
        <f>IF(AND(C175&lt;&gt;"",N(BA175)=7),MAX($BX$4:BX174)+1,"")</f>
        <v/>
      </c>
    </row>
    <row r="176">
      <c r="A176" s="60">
        <f>IF(C176="","","P-"&amp;TEXT(172,"000"))</f>
        <v/>
      </c>
      <c r="B176" s="106">
        <f>IF(C176="","",IFERROR(1/(1/_xlfn.MINIFS('Saisie'!$A$5:$A$2004,'Saisie'!$C$5:$C$2004,C176)),""))</f>
        <v/>
      </c>
      <c r="C176" s="60">
        <f>IFERROR(INDEX('Saisie'!$C$5:$C$2004,MATCH(172,'Saisie'!$AX$5:$AX$2004,0)),"")</f>
        <v/>
      </c>
      <c r="D176" s="60">
        <f>IF(C176="","",IF(AND(BR176&gt;0,BR176&gt;BS176,BA176&lt;7),"Perdu",INDEX('Paramètres'!$F$6:$F$13,BA176)))</f>
        <v/>
      </c>
      <c r="E176" s="61">
        <f>IF(C176="","",MIN(100,(Z176="Oui")*'Paramètres'!$B$38+(AB176="Régulière")*'Paramètres'!$B$39+IF(AND(N(AA176)&gt;0,TODAY()-N(AA176)&lt;=30),'Paramètres'!$B$40,0)+(W176="")*'Paramètres'!$B$41+(AC176="Absente")*'Paramètres'!$B$42+(AC176="Faible")*'Paramètres'!$B$43+IF(AND(N(AD176)&gt;0,N(AD176)&lt;4),'Paramètres'!$B$44,0)+(AF176="Moyenne")*'Paramètres'!$B$45+(AF176="Grande")*'Paramètres'!$B$46+(Y176&lt;&gt;"")*'Paramètres'!$B$47))</f>
        <v/>
      </c>
      <c r="F176" s="60">
        <f>IF(C176="","",IF(D176="Gagné","",IF(D176="Perdu",IF(AND(AX176&lt;&gt;"",AX176&lt;=TODAY()),"À recontacter (perdu)",""),IF(AND(O176&gt;='Paramètres'!$B$21,P176=0),"Stop : "&amp;'Paramètres'!$B$21&amp;" tentatives sans réponse",IF(AND(D176="Proposition",AR176&lt;&gt;"",TODAY()&gt;N(AR176)),"Proposition expirée",IF(AND(D176="Proposition",N(R176)&gt;='Paramètres'!$B$25),"Proposition sans réponse",IF(AND(G176&lt;&gt;"",N(G176)&lt;TODAY()),"Relance en retard",IF(N(R176)&gt;='Paramètres'!$B$24,"Sans action depuis "&amp;R176&amp;" j",""))))))))</f>
        <v/>
      </c>
      <c r="G176" s="106">
        <f>IF(OR(C176="",D176="Gagné",D176="Perdu"),"",IF(AND(BP176&gt;0,BP176=BQ176),INDEX('Saisie'!$J$5:$J$2004,BP176-4),IF(OR(O176=0,AND(O176&gt;='Paramètres'!$B$21,P176=0)),"",Q176+IF(O176&lt;=1,'Paramètres'!$B$18,IF(O176=2,'Paramètres'!$B$19,'Paramètres'!$B$20)))))</f>
        <v/>
      </c>
      <c r="H176" s="107">
        <f>IF(OR(G176="",BP176&lt;&gt;BQ176),"",IF(INDEX('Saisie'!$K$5:$K$2004,BP176-4)="","",INDEX('Saisie'!$K$5:$K$2004,BP176-4)))</f>
        <v/>
      </c>
      <c r="I176" s="60">
        <f>IF(C176="","",IF(OR(D176="Gagné",D176="Perdu"),"",IFERROR(INDEX('Saisie'!$I$5:$I$2004,_xlfn.MAXIFS('Saisie'!$AS$5:$AS$2004,'Saisie'!$C$5:$C$2004,C176,'Saisie'!$I$5:$I$2004,"&lt;&gt;")-4),"")))</f>
        <v/>
      </c>
      <c r="J176" s="60">
        <f>IF(C176="","",IFERROR(INDEX('Saisie'!$U$5:$U$2004,_xlfn.MAXIFS('Saisie'!$AS$5:$AS$2004,'Saisie'!$C$5:$C$2004,C176,'Saisie'!$U$5:$U$2004,"&lt;&gt;")-4),""))</f>
        <v/>
      </c>
      <c r="K176" s="60">
        <f>IF(C176="","",IFERROR(INDEX('Saisie'!$W$5:$W$2004,_xlfn.MAXIFS('Saisie'!$AS$5:$AS$2004,'Saisie'!$C$5:$C$2004,C176,'Saisie'!$W$5:$W$2004,"&lt;&gt;")-4),""))</f>
        <v/>
      </c>
      <c r="L176" s="60">
        <f>IF(IF(BB176&lt;&gt;"",BB176,K176)="","",HYPERLINK("https://wa.me/"&amp;IF(LEFT(SUBSTITUTE(SUBSTITUTE(SUBSTITUTE(IF(BB176&lt;&gt;"",BB176,K176)," ",""),".",""),"+",""),1)="0",'Paramètres'!$B$35&amp;MID(SUBSTITUTE(SUBSTITUTE(SUBSTITUTE(IF(BB176&lt;&gt;"",BB176,K176)," ",""),".",""),"+",""),2,20),SUBSTITUTE(SUBSTITUTE(SUBSTITUTE(IF(BB176&lt;&gt;"",BB176,K176)," ",""),".",""),"+","")),"WhatsApp"))</f>
        <v/>
      </c>
      <c r="M176" s="60">
        <f>IF(BC176="","",HYPERLINK(IF(LEFT(BC176,4)="http",BC176,"https://www.instagram.com/"&amp;SUBSTITUTE(SUBSTITUTE(BC176,"@","")," ","")),BC176))</f>
        <v/>
      </c>
      <c r="N176" s="60">
        <f>IF(C176="","",IFERROR(INDEX('Saisie'!$D$5:$D$2004,_xlfn.MINIFS('Saisie'!$AS$5:$AS$2004,'Saisie'!$C$5:$C$2004,C176,'Saisie'!$AU$5:$AU$2004,1)-4),IFERROR(INDEX('Saisie'!$D$5:$D$2004,_xlfn.MINIFS('Saisie'!$AS$5:$AS$2004,'Saisie'!$C$5:$C$2004,C176,'Saisie'!$D$5:$D$2004,"&lt;&gt;")-4),"")))</f>
        <v/>
      </c>
      <c r="O176" s="60">
        <f>IF(C176="","",COUNTIFS('Saisie'!$C$5:$C$2004,C176,'Saisie'!$AU$5:$AU$2004,1))</f>
        <v/>
      </c>
      <c r="P176" s="60">
        <f>IF(C176="","",COUNTIFS('Saisie'!$C$5:$C$2004,C176,'Saisie'!$AV$5:$AV$2004,1))</f>
        <v/>
      </c>
      <c r="Q176" s="106">
        <f>IF(C176="","",IFERROR(1/(1/_xlfn.MAXIFS('Saisie'!$A$5:$A$2004,'Saisie'!$C$5:$C$2004,C176)),""))</f>
        <v/>
      </c>
      <c r="R176" s="61">
        <f>IF(C176="","",IF(Q176="","",TODAY()-Q176))</f>
        <v/>
      </c>
      <c r="S176" s="60">
        <f>IF(C176="","",IFERROR(INDEX('Saisie'!$R$5:$R$2004,_xlfn.MAXIFS('Saisie'!$AS$5:$AS$2004,'Saisie'!$C$5:$C$2004,C176,'Saisie'!$R$5:$R$2004,"&lt;&gt;")-4),""))</f>
        <v/>
      </c>
      <c r="T176" s="60">
        <f>IF(C176="","",IFERROR(INDEX('Saisie'!$S$5:$S$2004,_xlfn.MAXIFS('Saisie'!$AS$5:$AS$2004,'Saisie'!$C$5:$C$2004,C176,'Saisie'!$S$5:$S$2004,"&lt;&gt;")-4),""))</f>
        <v/>
      </c>
      <c r="U176" s="60">
        <f>IF(C176="","",IFERROR(INDEX('Saisie'!$T$5:$T$2004,_xlfn.MAXIFS('Saisie'!$AS$5:$AS$2004,'Saisie'!$C$5:$C$2004,C176,'Saisie'!$T$5:$T$2004,"&lt;&gt;")-4),""))</f>
        <v/>
      </c>
      <c r="V176" s="60">
        <f>IF(C176="","",IFERROR(INDEX('Saisie'!$V$5:$V$2004,_xlfn.MAXIFS('Saisie'!$AS$5:$AS$2004,'Saisie'!$C$5:$C$2004,C176,'Saisie'!$V$5:$V$2004,"&lt;&gt;")-4),""))</f>
        <v/>
      </c>
      <c r="W176" s="60">
        <f>IF(C176="","",IFERROR(INDEX('Saisie'!$Z$5:$Z$2004,_xlfn.MAXIFS('Saisie'!$AS$5:$AS$2004,'Saisie'!$C$5:$C$2004,C176,'Saisie'!$Z$5:$Z$2004,"&lt;&gt;")-4),""))</f>
        <v/>
      </c>
      <c r="X176" s="60">
        <f>IF(C176="","",IFERROR(INDEX('Saisie'!$AA$5:$AA$2004,_xlfn.MAXIFS('Saisie'!$AS$5:$AS$2004,'Saisie'!$C$5:$C$2004,C176,'Saisie'!$AA$5:$AA$2004,"&lt;&gt;")-4),""))</f>
        <v/>
      </c>
      <c r="Y176" s="60">
        <f>IF(C176="","",IFERROR(INDEX('Saisie'!$AB$5:$AB$2004,_xlfn.MAXIFS('Saisie'!$AS$5:$AS$2004,'Saisie'!$C$5:$C$2004,C176,'Saisie'!$AB$5:$AB$2004,"&lt;&gt;")-4),""))</f>
        <v/>
      </c>
      <c r="Z176" s="60">
        <f>IF(C176="","",IFERROR(INDEX('Saisie'!$AC$5:$AC$2004,_xlfn.MAXIFS('Saisie'!$AS$5:$AS$2004,'Saisie'!$C$5:$C$2004,C176,'Saisie'!$AC$5:$AC$2004,"&lt;&gt;")-4),""))</f>
        <v/>
      </c>
      <c r="AA176" s="106">
        <f>IF(C176="","",IFERROR(INDEX('Saisie'!$AD$5:$AD$2004,_xlfn.MAXIFS('Saisie'!$AS$5:$AS$2004,'Saisie'!$C$5:$C$2004,C176,'Saisie'!$AD$5:$AD$2004,"&lt;&gt;")-4),""))</f>
        <v/>
      </c>
      <c r="AB176" s="60">
        <f>IF(C176="","",IFERROR(INDEX('Saisie'!$AE$5:$AE$2004,_xlfn.MAXIFS('Saisie'!$AS$5:$AS$2004,'Saisie'!$C$5:$C$2004,C176,'Saisie'!$AE$5:$AE$2004,"&lt;&gt;")-4),""))</f>
        <v/>
      </c>
      <c r="AC176" s="60">
        <f>IF(C176="","",IFERROR(INDEX('Saisie'!$AF$5:$AF$2004,_xlfn.MAXIFS('Saisie'!$AS$5:$AS$2004,'Saisie'!$C$5:$C$2004,C176,'Saisie'!$AF$5:$AF$2004,"&lt;&gt;")-4),""))</f>
        <v/>
      </c>
      <c r="AD176" s="108">
        <f>IF(C176="","",IFERROR(INDEX('Saisie'!$AG$5:$AG$2004,_xlfn.MAXIFS('Saisie'!$AS$5:$AS$2004,'Saisie'!$C$5:$C$2004,C176,'Saisie'!$AG$5:$AG$2004,"&lt;&gt;")-4),""))</f>
        <v/>
      </c>
      <c r="AE176" s="60">
        <f>IF(C176="","",IFERROR(INDEX('Saisie'!$AH$5:$AH$2004,_xlfn.MAXIFS('Saisie'!$AS$5:$AS$2004,'Saisie'!$C$5:$C$2004,C176,'Saisie'!$AH$5:$AH$2004,"&lt;&gt;")-4),""))</f>
        <v/>
      </c>
      <c r="AF176" s="60">
        <f>IF(C176="","",IFERROR(INDEX('Saisie'!$AI$5:$AI$2004,_xlfn.MAXIFS('Saisie'!$AS$5:$AS$2004,'Saisie'!$C$5:$C$2004,C176,'Saisie'!$AI$5:$AI$2004,"&lt;&gt;")-4),""))</f>
        <v/>
      </c>
      <c r="AG176" s="60">
        <f>IF(C176="","",IFERROR(INDEX('Saisie'!$AJ$5:$AJ$2004,_xlfn.MAXIFS('Saisie'!$AS$5:$AS$2004,'Saisie'!$C$5:$C$2004,C176,'Saisie'!$AJ$5:$AJ$2004,"&lt;&gt;")-4),""))</f>
        <v/>
      </c>
      <c r="AH176" s="60">
        <f>IF(C176="","",IFERROR(INDEX('Saisie'!$AK$5:$AK$2004,_xlfn.MAXIFS('Saisie'!$AS$5:$AS$2004,'Saisie'!$C$5:$C$2004,C176,'Saisie'!$AK$5:$AK$2004,"&lt;&gt;")-4),""))</f>
        <v/>
      </c>
      <c r="AI176" s="60">
        <f>IF(C176="","",IFERROR(INDEX('Saisie'!$AN$5:$AN$2004,_xlfn.MAXIFS('Saisie'!$AS$5:$AS$2004,'Saisie'!$C$5:$C$2004,C176,'Saisie'!$AN$5:$AN$2004,"&lt;&gt;")-4),""))</f>
        <v/>
      </c>
      <c r="AJ176" s="60">
        <f>IF(C176="","",IFERROR(INDEX('Saisie'!$AO$5:$AO$2004,_xlfn.MAXIFS('Saisie'!$AS$5:$AS$2004,'Saisie'!$C$5:$C$2004,C176,'Saisie'!$AO$5:$AO$2004,"&lt;&gt;")-4),""))</f>
        <v/>
      </c>
      <c r="AK176" s="60">
        <f>IF(C176="","",IFERROR(INDEX('Saisie'!$AP$5:$AP$2004,_xlfn.MAXIFS('Saisie'!$AS$5:$AS$2004,'Saisie'!$C$5:$C$2004,C176,'Saisie'!$AP$5:$AP$2004,"&lt;&gt;")-4),""))</f>
        <v/>
      </c>
      <c r="AL176" s="60">
        <f>IF(C176="","",IFERROR(INDEX('Saisie'!$AQ$5:$AQ$2004,_xlfn.MAXIFS('Saisie'!$AS$5:$AS$2004,'Saisie'!$C$5:$C$2004,C176,'Saisie'!$AQ$5:$AQ$2004,"&lt;&gt;")-4),""))</f>
        <v/>
      </c>
      <c r="AM176" s="60">
        <f>IF(C176="","",((AI176="Oui")+(AJ176="Oui")+(AK176="Oui")+OR(AL176="Immédiat",AL176="&lt; 1 mois"))&amp;"/4")</f>
        <v/>
      </c>
      <c r="AN176" s="60">
        <f>IF(C176="","",IFERROR(INDEX('Saisie'!$AL$5:$AL$2004,_xlfn.MAXIFS('Saisie'!$AS$5:$AS$2004,'Saisie'!$C$5:$C$2004,C176,'Saisie'!$AL$5:$AL$2004,"&lt;&gt;")-4),""))</f>
        <v/>
      </c>
      <c r="AO176" s="62">
        <f>IF(C176="","",IF(IFERROR(INDEX('Saisie'!$AM$5:$AM$2004,_xlfn.MAXIFS('Saisie'!$AS$5:$AS$2004,'Saisie'!$C$5:$C$2004,C176,'Saisie'!$AM$5:$AM$2004,"&lt;&gt;")-4),"")&lt;&gt;"",IFERROR(INDEX('Saisie'!$AM$5:$AM$2004,_xlfn.MAXIFS('Saisie'!$AS$5:$AS$2004,'Saisie'!$C$5:$C$2004,C176,'Saisie'!$AM$5:$AM$2004,"&lt;&gt;")-4),""),IFERROR(INDEX('Paramètres'!$S$6:$S$15,MATCH(AN176,'Paramètres'!$Q$6:$Q$15,0)),"")))</f>
        <v/>
      </c>
      <c r="AP176" s="62">
        <f>IF(C176="","",IFERROR(INDEX('Saisie'!$AW$5:$AW$2004,_xlfn.MAXIFS('Saisie'!$AS$5:$AS$2004,'Saisie'!$C$5:$C$2004,C176,'Saisie'!$E$5:$E$2004,"Proposition envoyée")-4),""))</f>
        <v/>
      </c>
      <c r="AQ176" s="106">
        <f>IF(C176="","",IFERROR(1/(1/_xlfn.MAXIFS('Saisie'!$A$5:$A$2004,'Saisie'!$C$5:$C$2004,C176,'Saisie'!$E$5:$E$2004,"Proposition envoyée")),""))</f>
        <v/>
      </c>
      <c r="AR176" s="106">
        <f>IF(C176="","",IF(AQ176="","",AQ176+'Paramètres'!$B$26))</f>
        <v/>
      </c>
      <c r="AS176" s="62">
        <f>IF(OR(C176="",D176="Gagné",D176="Perdu"),0,N(AP176)*IFERROR(INDEX('Paramètres'!$G$6:$G$13,MATCH(D176,'Paramètres'!$F$6:$F$13,0)),0))</f>
        <v/>
      </c>
      <c r="AT176" s="106">
        <f>IF(C176="","",IFERROR(1/(1/_xlfn.MINIFS('Saisie'!$A$5:$A$2004,'Saisie'!$C$5:$C$2004,C176,'Saisie'!$E$5:$E$2004,"Signature")),""))</f>
        <v/>
      </c>
      <c r="AU176" s="60">
        <f>IF(C176="","",IF(OR(AT176="",B176=""),"",AT176-B176))</f>
        <v/>
      </c>
      <c r="AV176" s="60">
        <f>IF(C176="","",IFERROR(INDEX('Saisie'!$L$5:$L$2004,_xlfn.MAXIFS('Saisie'!$AS$5:$AS$2004,'Saisie'!$C$5:$C$2004,C176,'Saisie'!$L$5:$L$2004,"&lt;&gt;")-4),""))</f>
        <v/>
      </c>
      <c r="AW176" s="106">
        <f>IF(C176="","",IF(D176&lt;&gt;"Perdu","",IFERROR(1/(1/_xlfn.MAXIFS('Saisie'!$A$5:$A$2004,'Saisie'!$C$5:$C$2004,C176,'Saisie'!$E$5:$E$2004,"Perdu")),"")))</f>
        <v/>
      </c>
      <c r="AX176" s="106">
        <f>IF(C176="","",IF(AW176="","",AW176+'Paramètres'!$B$28))</f>
        <v/>
      </c>
      <c r="AY176" s="60">
        <f>IF(C176="","",SUMIFS('Saisie'!$H$5:$H$2004,'Saisie'!$C$5:$C$2004,C176))</f>
        <v/>
      </c>
      <c r="AZ176" s="60">
        <f>IF(C176="","",IFERROR(INDEX('Paramètres'!$W$6:$W$20,MATCH(S176,'Paramètres'!$V$6:$V$20,0))&amp;"",""))</f>
        <v/>
      </c>
      <c r="BA176" s="60">
        <f>IF(C176="","",MAX(1,_xlfn.MAXIFS('Saisie'!$AT$5:$AT$2004,'Saisie'!$C$5:$C$2004,C176)))</f>
        <v/>
      </c>
      <c r="BB176" s="60">
        <f>IF(C176="","",IFERROR(INDEX('Saisie'!$X$5:$X$2004,_xlfn.MAXIFS('Saisie'!$AS$5:$AS$2004,'Saisie'!$C$5:$C$2004,C176,'Saisie'!$X$5:$X$2004,"&lt;&gt;")-4),""))</f>
        <v/>
      </c>
      <c r="BC176" s="60">
        <f>IF(C176="","",IFERROR(INDEX('Saisie'!$Y$5:$Y$2004,_xlfn.MAXIFS('Saisie'!$AS$5:$AS$2004,'Saisie'!$C$5:$C$2004,C176,'Saisie'!$Y$5:$Y$2004,"&lt;&gt;")-4),""))</f>
        <v/>
      </c>
      <c r="BD176" s="106">
        <f>IF(C176="","",IFERROR(1/(1/_xlfn.MINIFS('Saisie'!$A$5:$A$2004,'Saisie'!$C$5:$C$2004,C176,'Saisie'!$AT$5:$AT$2004,"&gt;=2")),""))</f>
        <v/>
      </c>
      <c r="BE176" s="106">
        <f>IF(C176="","",IFERROR(1/(1/_xlfn.MINIFS('Saisie'!$A$5:$A$2004,'Saisie'!$C$5:$C$2004,C176,'Saisie'!$AT$5:$AT$2004,"&gt;=3")),""))</f>
        <v/>
      </c>
      <c r="BF176" s="106">
        <f>IF(C176="","",IFERROR(1/(1/_xlfn.MINIFS('Saisie'!$A$5:$A$2004,'Saisie'!$C$5:$C$2004,C176,'Saisie'!$AT$5:$AT$2004,"&gt;=4")),""))</f>
        <v/>
      </c>
      <c r="BG176" s="106">
        <f>IF(C176="","",IFERROR(1/(1/_xlfn.MINIFS('Saisie'!$A$5:$A$2004,'Saisie'!$C$5:$C$2004,C176,'Saisie'!$AT$5:$AT$2004,"&gt;=5")),""))</f>
        <v/>
      </c>
      <c r="BH176" s="106">
        <f>IF(C176="","",IFERROR(1/(1/_xlfn.MINIFS('Saisie'!$A$5:$A$2004,'Saisie'!$C$5:$C$2004,C176,'Saisie'!$AT$5:$AT$2004,"&gt;=6")),""))</f>
        <v/>
      </c>
      <c r="BI176" s="106">
        <f>IF(C176="","",IFERROR(1/(1/_xlfn.MINIFS('Saisie'!$A$5:$A$2004,'Saisie'!$C$5:$C$2004,C176,'Saisie'!$AT$5:$AT$2004,"&gt;=7")),""))</f>
        <v/>
      </c>
      <c r="BJ176" s="60">
        <f>IF(OR(BD176="",B176=""),"",BD176-B176)</f>
        <v/>
      </c>
      <c r="BK176" s="60">
        <f>IF(OR(BE176="",BD176=""),"",BE176-BD176)</f>
        <v/>
      </c>
      <c r="BL176" s="60">
        <f>IF(OR(BF176="",BE176=""),"",BF176-BE176)</f>
        <v/>
      </c>
      <c r="BM176" s="60">
        <f>IF(OR(BG176="",BF176=""),"",BG176-BF176)</f>
        <v/>
      </c>
      <c r="BN176" s="60">
        <f>IF(OR(BH176="",BG176=""),"",BH176-BG176)</f>
        <v/>
      </c>
      <c r="BO176" s="60">
        <f>IF(OR(BI176="",BH176=""),"",BI176-BH176)</f>
        <v/>
      </c>
      <c r="BP176" s="60">
        <f>IF(C176="","",_xlfn.MAXIFS('Saisie'!$AS$5:$AS$2004,'Saisie'!$C$5:$C$2004,C176,'Saisie'!$J$5:$J$2004,"&lt;&gt;"))</f>
        <v/>
      </c>
      <c r="BQ176" s="60">
        <f>IF(C176="","",_xlfn.MAXIFS('Saisie'!$AS$5:$AS$2004,'Saisie'!$C$5:$C$2004,C176))</f>
        <v/>
      </c>
      <c r="BR176" s="60">
        <f>IF(C176="","",_xlfn.MAXIFS('Saisie'!$AS$5:$AS$2004,'Saisie'!$C$5:$C$2004,C176,'Saisie'!$E$5:$E$2004,"Perdu"))</f>
        <v/>
      </c>
      <c r="BS176" s="60">
        <f>IF(C176="","",_xlfn.MAXIFS('Saisie'!$AS$5:$AS$2004,'Saisie'!$C$5:$C$2004,C176,'Saisie'!$AT$5:$AT$2004,"&gt;0"))</f>
        <v/>
      </c>
      <c r="BT176" s="109">
        <f>IF(AND(C176&lt;&gt;"",OR(D176="Nouveau",D176="Contacté",D176="Qualifié"),OR(G176="",N(G176)&lt;=TODAY()),NOT(AND(O176&gt;='Paramètres'!$B$21,P176=0))),E176+172/10000,"")</f>
        <v/>
      </c>
      <c r="BU176" s="60">
        <f>IF(AND(G176&lt;&gt;"",N(G176)&lt;=TODAY()),MAX($BU$4:BU175)+1,"")</f>
        <v/>
      </c>
      <c r="BV176" s="60">
        <f>IF(AND(F176&lt;&gt;"",F176&lt;&gt;"Relance en retard"),MAX($BV$4:BV175)+1,"")</f>
        <v/>
      </c>
      <c r="BW176" s="60">
        <f>IF(C176="","",IF(AND(B176&gt;='Tableau de bord'!$R$4,B176&lt;='Tableau de bord'!$S$4,OR('Tableau de bord'!$G$4="Tous",N176='Tableau de bord'!$G$4)),1,0))</f>
        <v/>
      </c>
      <c r="BX176" s="60">
        <f>IF(AND(C176&lt;&gt;"",N(BA176)=7),MAX($BX$4:BX175)+1,"")</f>
        <v/>
      </c>
    </row>
    <row r="177">
      <c r="A177" s="60">
        <f>IF(C177="","","P-"&amp;TEXT(173,"000"))</f>
        <v/>
      </c>
      <c r="B177" s="106">
        <f>IF(C177="","",IFERROR(1/(1/_xlfn.MINIFS('Saisie'!$A$5:$A$2004,'Saisie'!$C$5:$C$2004,C177)),""))</f>
        <v/>
      </c>
      <c r="C177" s="60">
        <f>IFERROR(INDEX('Saisie'!$C$5:$C$2004,MATCH(173,'Saisie'!$AX$5:$AX$2004,0)),"")</f>
        <v/>
      </c>
      <c r="D177" s="60">
        <f>IF(C177="","",IF(AND(BR177&gt;0,BR177&gt;BS177,BA177&lt;7),"Perdu",INDEX('Paramètres'!$F$6:$F$13,BA177)))</f>
        <v/>
      </c>
      <c r="E177" s="61">
        <f>IF(C177="","",MIN(100,(Z177="Oui")*'Paramètres'!$B$38+(AB177="Régulière")*'Paramètres'!$B$39+IF(AND(N(AA177)&gt;0,TODAY()-N(AA177)&lt;=30),'Paramètres'!$B$40,0)+(W177="")*'Paramètres'!$B$41+(AC177="Absente")*'Paramètres'!$B$42+(AC177="Faible")*'Paramètres'!$B$43+IF(AND(N(AD177)&gt;0,N(AD177)&lt;4),'Paramètres'!$B$44,0)+(AF177="Moyenne")*'Paramètres'!$B$45+(AF177="Grande")*'Paramètres'!$B$46+(Y177&lt;&gt;"")*'Paramètres'!$B$47))</f>
        <v/>
      </c>
      <c r="F177" s="60">
        <f>IF(C177="","",IF(D177="Gagné","",IF(D177="Perdu",IF(AND(AX177&lt;&gt;"",AX177&lt;=TODAY()),"À recontacter (perdu)",""),IF(AND(O177&gt;='Paramètres'!$B$21,P177=0),"Stop : "&amp;'Paramètres'!$B$21&amp;" tentatives sans réponse",IF(AND(D177="Proposition",AR177&lt;&gt;"",TODAY()&gt;N(AR177)),"Proposition expirée",IF(AND(D177="Proposition",N(R177)&gt;='Paramètres'!$B$25),"Proposition sans réponse",IF(AND(G177&lt;&gt;"",N(G177)&lt;TODAY()),"Relance en retard",IF(N(R177)&gt;='Paramètres'!$B$24,"Sans action depuis "&amp;R177&amp;" j",""))))))))</f>
        <v/>
      </c>
      <c r="G177" s="106">
        <f>IF(OR(C177="",D177="Gagné",D177="Perdu"),"",IF(AND(BP177&gt;0,BP177=BQ177),INDEX('Saisie'!$J$5:$J$2004,BP177-4),IF(OR(O177=0,AND(O177&gt;='Paramètres'!$B$21,P177=0)),"",Q177+IF(O177&lt;=1,'Paramètres'!$B$18,IF(O177=2,'Paramètres'!$B$19,'Paramètres'!$B$20)))))</f>
        <v/>
      </c>
      <c r="H177" s="107">
        <f>IF(OR(G177="",BP177&lt;&gt;BQ177),"",IF(INDEX('Saisie'!$K$5:$K$2004,BP177-4)="","",INDEX('Saisie'!$K$5:$K$2004,BP177-4)))</f>
        <v/>
      </c>
      <c r="I177" s="60">
        <f>IF(C177="","",IF(OR(D177="Gagné",D177="Perdu"),"",IFERROR(INDEX('Saisie'!$I$5:$I$2004,_xlfn.MAXIFS('Saisie'!$AS$5:$AS$2004,'Saisie'!$C$5:$C$2004,C177,'Saisie'!$I$5:$I$2004,"&lt;&gt;")-4),"")))</f>
        <v/>
      </c>
      <c r="J177" s="60">
        <f>IF(C177="","",IFERROR(INDEX('Saisie'!$U$5:$U$2004,_xlfn.MAXIFS('Saisie'!$AS$5:$AS$2004,'Saisie'!$C$5:$C$2004,C177,'Saisie'!$U$5:$U$2004,"&lt;&gt;")-4),""))</f>
        <v/>
      </c>
      <c r="K177" s="60">
        <f>IF(C177="","",IFERROR(INDEX('Saisie'!$W$5:$W$2004,_xlfn.MAXIFS('Saisie'!$AS$5:$AS$2004,'Saisie'!$C$5:$C$2004,C177,'Saisie'!$W$5:$W$2004,"&lt;&gt;")-4),""))</f>
        <v/>
      </c>
      <c r="L177" s="60">
        <f>IF(IF(BB177&lt;&gt;"",BB177,K177)="","",HYPERLINK("https://wa.me/"&amp;IF(LEFT(SUBSTITUTE(SUBSTITUTE(SUBSTITUTE(IF(BB177&lt;&gt;"",BB177,K177)," ",""),".",""),"+",""),1)="0",'Paramètres'!$B$35&amp;MID(SUBSTITUTE(SUBSTITUTE(SUBSTITUTE(IF(BB177&lt;&gt;"",BB177,K177)," ",""),".",""),"+",""),2,20),SUBSTITUTE(SUBSTITUTE(SUBSTITUTE(IF(BB177&lt;&gt;"",BB177,K177)," ",""),".",""),"+","")),"WhatsApp"))</f>
        <v/>
      </c>
      <c r="M177" s="60">
        <f>IF(BC177="","",HYPERLINK(IF(LEFT(BC177,4)="http",BC177,"https://www.instagram.com/"&amp;SUBSTITUTE(SUBSTITUTE(BC177,"@","")," ","")),BC177))</f>
        <v/>
      </c>
      <c r="N177" s="60">
        <f>IF(C177="","",IFERROR(INDEX('Saisie'!$D$5:$D$2004,_xlfn.MINIFS('Saisie'!$AS$5:$AS$2004,'Saisie'!$C$5:$C$2004,C177,'Saisie'!$AU$5:$AU$2004,1)-4),IFERROR(INDEX('Saisie'!$D$5:$D$2004,_xlfn.MINIFS('Saisie'!$AS$5:$AS$2004,'Saisie'!$C$5:$C$2004,C177,'Saisie'!$D$5:$D$2004,"&lt;&gt;")-4),"")))</f>
        <v/>
      </c>
      <c r="O177" s="60">
        <f>IF(C177="","",COUNTIFS('Saisie'!$C$5:$C$2004,C177,'Saisie'!$AU$5:$AU$2004,1))</f>
        <v/>
      </c>
      <c r="P177" s="60">
        <f>IF(C177="","",COUNTIFS('Saisie'!$C$5:$C$2004,C177,'Saisie'!$AV$5:$AV$2004,1))</f>
        <v/>
      </c>
      <c r="Q177" s="106">
        <f>IF(C177="","",IFERROR(1/(1/_xlfn.MAXIFS('Saisie'!$A$5:$A$2004,'Saisie'!$C$5:$C$2004,C177)),""))</f>
        <v/>
      </c>
      <c r="R177" s="61">
        <f>IF(C177="","",IF(Q177="","",TODAY()-Q177))</f>
        <v/>
      </c>
      <c r="S177" s="60">
        <f>IF(C177="","",IFERROR(INDEX('Saisie'!$R$5:$R$2004,_xlfn.MAXIFS('Saisie'!$AS$5:$AS$2004,'Saisie'!$C$5:$C$2004,C177,'Saisie'!$R$5:$R$2004,"&lt;&gt;")-4),""))</f>
        <v/>
      </c>
      <c r="T177" s="60">
        <f>IF(C177="","",IFERROR(INDEX('Saisie'!$S$5:$S$2004,_xlfn.MAXIFS('Saisie'!$AS$5:$AS$2004,'Saisie'!$C$5:$C$2004,C177,'Saisie'!$S$5:$S$2004,"&lt;&gt;")-4),""))</f>
        <v/>
      </c>
      <c r="U177" s="60">
        <f>IF(C177="","",IFERROR(INDEX('Saisie'!$T$5:$T$2004,_xlfn.MAXIFS('Saisie'!$AS$5:$AS$2004,'Saisie'!$C$5:$C$2004,C177,'Saisie'!$T$5:$T$2004,"&lt;&gt;")-4),""))</f>
        <v/>
      </c>
      <c r="V177" s="60">
        <f>IF(C177="","",IFERROR(INDEX('Saisie'!$V$5:$V$2004,_xlfn.MAXIFS('Saisie'!$AS$5:$AS$2004,'Saisie'!$C$5:$C$2004,C177,'Saisie'!$V$5:$V$2004,"&lt;&gt;")-4),""))</f>
        <v/>
      </c>
      <c r="W177" s="60">
        <f>IF(C177="","",IFERROR(INDEX('Saisie'!$Z$5:$Z$2004,_xlfn.MAXIFS('Saisie'!$AS$5:$AS$2004,'Saisie'!$C$5:$C$2004,C177,'Saisie'!$Z$5:$Z$2004,"&lt;&gt;")-4),""))</f>
        <v/>
      </c>
      <c r="X177" s="60">
        <f>IF(C177="","",IFERROR(INDEX('Saisie'!$AA$5:$AA$2004,_xlfn.MAXIFS('Saisie'!$AS$5:$AS$2004,'Saisie'!$C$5:$C$2004,C177,'Saisie'!$AA$5:$AA$2004,"&lt;&gt;")-4),""))</f>
        <v/>
      </c>
      <c r="Y177" s="60">
        <f>IF(C177="","",IFERROR(INDEX('Saisie'!$AB$5:$AB$2004,_xlfn.MAXIFS('Saisie'!$AS$5:$AS$2004,'Saisie'!$C$5:$C$2004,C177,'Saisie'!$AB$5:$AB$2004,"&lt;&gt;")-4),""))</f>
        <v/>
      </c>
      <c r="Z177" s="60">
        <f>IF(C177="","",IFERROR(INDEX('Saisie'!$AC$5:$AC$2004,_xlfn.MAXIFS('Saisie'!$AS$5:$AS$2004,'Saisie'!$C$5:$C$2004,C177,'Saisie'!$AC$5:$AC$2004,"&lt;&gt;")-4),""))</f>
        <v/>
      </c>
      <c r="AA177" s="106">
        <f>IF(C177="","",IFERROR(INDEX('Saisie'!$AD$5:$AD$2004,_xlfn.MAXIFS('Saisie'!$AS$5:$AS$2004,'Saisie'!$C$5:$C$2004,C177,'Saisie'!$AD$5:$AD$2004,"&lt;&gt;")-4),""))</f>
        <v/>
      </c>
      <c r="AB177" s="60">
        <f>IF(C177="","",IFERROR(INDEX('Saisie'!$AE$5:$AE$2004,_xlfn.MAXIFS('Saisie'!$AS$5:$AS$2004,'Saisie'!$C$5:$C$2004,C177,'Saisie'!$AE$5:$AE$2004,"&lt;&gt;")-4),""))</f>
        <v/>
      </c>
      <c r="AC177" s="60">
        <f>IF(C177="","",IFERROR(INDEX('Saisie'!$AF$5:$AF$2004,_xlfn.MAXIFS('Saisie'!$AS$5:$AS$2004,'Saisie'!$C$5:$C$2004,C177,'Saisie'!$AF$5:$AF$2004,"&lt;&gt;")-4),""))</f>
        <v/>
      </c>
      <c r="AD177" s="108">
        <f>IF(C177="","",IFERROR(INDEX('Saisie'!$AG$5:$AG$2004,_xlfn.MAXIFS('Saisie'!$AS$5:$AS$2004,'Saisie'!$C$5:$C$2004,C177,'Saisie'!$AG$5:$AG$2004,"&lt;&gt;")-4),""))</f>
        <v/>
      </c>
      <c r="AE177" s="60">
        <f>IF(C177="","",IFERROR(INDEX('Saisie'!$AH$5:$AH$2004,_xlfn.MAXIFS('Saisie'!$AS$5:$AS$2004,'Saisie'!$C$5:$C$2004,C177,'Saisie'!$AH$5:$AH$2004,"&lt;&gt;")-4),""))</f>
        <v/>
      </c>
      <c r="AF177" s="60">
        <f>IF(C177="","",IFERROR(INDEX('Saisie'!$AI$5:$AI$2004,_xlfn.MAXIFS('Saisie'!$AS$5:$AS$2004,'Saisie'!$C$5:$C$2004,C177,'Saisie'!$AI$5:$AI$2004,"&lt;&gt;")-4),""))</f>
        <v/>
      </c>
      <c r="AG177" s="60">
        <f>IF(C177="","",IFERROR(INDEX('Saisie'!$AJ$5:$AJ$2004,_xlfn.MAXIFS('Saisie'!$AS$5:$AS$2004,'Saisie'!$C$5:$C$2004,C177,'Saisie'!$AJ$5:$AJ$2004,"&lt;&gt;")-4),""))</f>
        <v/>
      </c>
      <c r="AH177" s="60">
        <f>IF(C177="","",IFERROR(INDEX('Saisie'!$AK$5:$AK$2004,_xlfn.MAXIFS('Saisie'!$AS$5:$AS$2004,'Saisie'!$C$5:$C$2004,C177,'Saisie'!$AK$5:$AK$2004,"&lt;&gt;")-4),""))</f>
        <v/>
      </c>
      <c r="AI177" s="60">
        <f>IF(C177="","",IFERROR(INDEX('Saisie'!$AN$5:$AN$2004,_xlfn.MAXIFS('Saisie'!$AS$5:$AS$2004,'Saisie'!$C$5:$C$2004,C177,'Saisie'!$AN$5:$AN$2004,"&lt;&gt;")-4),""))</f>
        <v/>
      </c>
      <c r="AJ177" s="60">
        <f>IF(C177="","",IFERROR(INDEX('Saisie'!$AO$5:$AO$2004,_xlfn.MAXIFS('Saisie'!$AS$5:$AS$2004,'Saisie'!$C$5:$C$2004,C177,'Saisie'!$AO$5:$AO$2004,"&lt;&gt;")-4),""))</f>
        <v/>
      </c>
      <c r="AK177" s="60">
        <f>IF(C177="","",IFERROR(INDEX('Saisie'!$AP$5:$AP$2004,_xlfn.MAXIFS('Saisie'!$AS$5:$AS$2004,'Saisie'!$C$5:$C$2004,C177,'Saisie'!$AP$5:$AP$2004,"&lt;&gt;")-4),""))</f>
        <v/>
      </c>
      <c r="AL177" s="60">
        <f>IF(C177="","",IFERROR(INDEX('Saisie'!$AQ$5:$AQ$2004,_xlfn.MAXIFS('Saisie'!$AS$5:$AS$2004,'Saisie'!$C$5:$C$2004,C177,'Saisie'!$AQ$5:$AQ$2004,"&lt;&gt;")-4),""))</f>
        <v/>
      </c>
      <c r="AM177" s="60">
        <f>IF(C177="","",((AI177="Oui")+(AJ177="Oui")+(AK177="Oui")+OR(AL177="Immédiat",AL177="&lt; 1 mois"))&amp;"/4")</f>
        <v/>
      </c>
      <c r="AN177" s="60">
        <f>IF(C177="","",IFERROR(INDEX('Saisie'!$AL$5:$AL$2004,_xlfn.MAXIFS('Saisie'!$AS$5:$AS$2004,'Saisie'!$C$5:$C$2004,C177,'Saisie'!$AL$5:$AL$2004,"&lt;&gt;")-4),""))</f>
        <v/>
      </c>
      <c r="AO177" s="62">
        <f>IF(C177="","",IF(IFERROR(INDEX('Saisie'!$AM$5:$AM$2004,_xlfn.MAXIFS('Saisie'!$AS$5:$AS$2004,'Saisie'!$C$5:$C$2004,C177,'Saisie'!$AM$5:$AM$2004,"&lt;&gt;")-4),"")&lt;&gt;"",IFERROR(INDEX('Saisie'!$AM$5:$AM$2004,_xlfn.MAXIFS('Saisie'!$AS$5:$AS$2004,'Saisie'!$C$5:$C$2004,C177,'Saisie'!$AM$5:$AM$2004,"&lt;&gt;")-4),""),IFERROR(INDEX('Paramètres'!$S$6:$S$15,MATCH(AN177,'Paramètres'!$Q$6:$Q$15,0)),"")))</f>
        <v/>
      </c>
      <c r="AP177" s="62">
        <f>IF(C177="","",IFERROR(INDEX('Saisie'!$AW$5:$AW$2004,_xlfn.MAXIFS('Saisie'!$AS$5:$AS$2004,'Saisie'!$C$5:$C$2004,C177,'Saisie'!$E$5:$E$2004,"Proposition envoyée")-4),""))</f>
        <v/>
      </c>
      <c r="AQ177" s="106">
        <f>IF(C177="","",IFERROR(1/(1/_xlfn.MAXIFS('Saisie'!$A$5:$A$2004,'Saisie'!$C$5:$C$2004,C177,'Saisie'!$E$5:$E$2004,"Proposition envoyée")),""))</f>
        <v/>
      </c>
      <c r="AR177" s="106">
        <f>IF(C177="","",IF(AQ177="","",AQ177+'Paramètres'!$B$26))</f>
        <v/>
      </c>
      <c r="AS177" s="62">
        <f>IF(OR(C177="",D177="Gagné",D177="Perdu"),0,N(AP177)*IFERROR(INDEX('Paramètres'!$G$6:$G$13,MATCH(D177,'Paramètres'!$F$6:$F$13,0)),0))</f>
        <v/>
      </c>
      <c r="AT177" s="106">
        <f>IF(C177="","",IFERROR(1/(1/_xlfn.MINIFS('Saisie'!$A$5:$A$2004,'Saisie'!$C$5:$C$2004,C177,'Saisie'!$E$5:$E$2004,"Signature")),""))</f>
        <v/>
      </c>
      <c r="AU177" s="60">
        <f>IF(C177="","",IF(OR(AT177="",B177=""),"",AT177-B177))</f>
        <v/>
      </c>
      <c r="AV177" s="60">
        <f>IF(C177="","",IFERROR(INDEX('Saisie'!$L$5:$L$2004,_xlfn.MAXIFS('Saisie'!$AS$5:$AS$2004,'Saisie'!$C$5:$C$2004,C177,'Saisie'!$L$5:$L$2004,"&lt;&gt;")-4),""))</f>
        <v/>
      </c>
      <c r="AW177" s="106">
        <f>IF(C177="","",IF(D177&lt;&gt;"Perdu","",IFERROR(1/(1/_xlfn.MAXIFS('Saisie'!$A$5:$A$2004,'Saisie'!$C$5:$C$2004,C177,'Saisie'!$E$5:$E$2004,"Perdu")),"")))</f>
        <v/>
      </c>
      <c r="AX177" s="106">
        <f>IF(C177="","",IF(AW177="","",AW177+'Paramètres'!$B$28))</f>
        <v/>
      </c>
      <c r="AY177" s="60">
        <f>IF(C177="","",SUMIFS('Saisie'!$H$5:$H$2004,'Saisie'!$C$5:$C$2004,C177))</f>
        <v/>
      </c>
      <c r="AZ177" s="60">
        <f>IF(C177="","",IFERROR(INDEX('Paramètres'!$W$6:$W$20,MATCH(S177,'Paramètres'!$V$6:$V$20,0))&amp;"",""))</f>
        <v/>
      </c>
      <c r="BA177" s="60">
        <f>IF(C177="","",MAX(1,_xlfn.MAXIFS('Saisie'!$AT$5:$AT$2004,'Saisie'!$C$5:$C$2004,C177)))</f>
        <v/>
      </c>
      <c r="BB177" s="60">
        <f>IF(C177="","",IFERROR(INDEX('Saisie'!$X$5:$X$2004,_xlfn.MAXIFS('Saisie'!$AS$5:$AS$2004,'Saisie'!$C$5:$C$2004,C177,'Saisie'!$X$5:$X$2004,"&lt;&gt;")-4),""))</f>
        <v/>
      </c>
      <c r="BC177" s="60">
        <f>IF(C177="","",IFERROR(INDEX('Saisie'!$Y$5:$Y$2004,_xlfn.MAXIFS('Saisie'!$AS$5:$AS$2004,'Saisie'!$C$5:$C$2004,C177,'Saisie'!$Y$5:$Y$2004,"&lt;&gt;")-4),""))</f>
        <v/>
      </c>
      <c r="BD177" s="106">
        <f>IF(C177="","",IFERROR(1/(1/_xlfn.MINIFS('Saisie'!$A$5:$A$2004,'Saisie'!$C$5:$C$2004,C177,'Saisie'!$AT$5:$AT$2004,"&gt;=2")),""))</f>
        <v/>
      </c>
      <c r="BE177" s="106">
        <f>IF(C177="","",IFERROR(1/(1/_xlfn.MINIFS('Saisie'!$A$5:$A$2004,'Saisie'!$C$5:$C$2004,C177,'Saisie'!$AT$5:$AT$2004,"&gt;=3")),""))</f>
        <v/>
      </c>
      <c r="BF177" s="106">
        <f>IF(C177="","",IFERROR(1/(1/_xlfn.MINIFS('Saisie'!$A$5:$A$2004,'Saisie'!$C$5:$C$2004,C177,'Saisie'!$AT$5:$AT$2004,"&gt;=4")),""))</f>
        <v/>
      </c>
      <c r="BG177" s="106">
        <f>IF(C177="","",IFERROR(1/(1/_xlfn.MINIFS('Saisie'!$A$5:$A$2004,'Saisie'!$C$5:$C$2004,C177,'Saisie'!$AT$5:$AT$2004,"&gt;=5")),""))</f>
        <v/>
      </c>
      <c r="BH177" s="106">
        <f>IF(C177="","",IFERROR(1/(1/_xlfn.MINIFS('Saisie'!$A$5:$A$2004,'Saisie'!$C$5:$C$2004,C177,'Saisie'!$AT$5:$AT$2004,"&gt;=6")),""))</f>
        <v/>
      </c>
      <c r="BI177" s="106">
        <f>IF(C177="","",IFERROR(1/(1/_xlfn.MINIFS('Saisie'!$A$5:$A$2004,'Saisie'!$C$5:$C$2004,C177,'Saisie'!$AT$5:$AT$2004,"&gt;=7")),""))</f>
        <v/>
      </c>
      <c r="BJ177" s="60">
        <f>IF(OR(BD177="",B177=""),"",BD177-B177)</f>
        <v/>
      </c>
      <c r="BK177" s="60">
        <f>IF(OR(BE177="",BD177=""),"",BE177-BD177)</f>
        <v/>
      </c>
      <c r="BL177" s="60">
        <f>IF(OR(BF177="",BE177=""),"",BF177-BE177)</f>
        <v/>
      </c>
      <c r="BM177" s="60">
        <f>IF(OR(BG177="",BF177=""),"",BG177-BF177)</f>
        <v/>
      </c>
      <c r="BN177" s="60">
        <f>IF(OR(BH177="",BG177=""),"",BH177-BG177)</f>
        <v/>
      </c>
      <c r="BO177" s="60">
        <f>IF(OR(BI177="",BH177=""),"",BI177-BH177)</f>
        <v/>
      </c>
      <c r="BP177" s="60">
        <f>IF(C177="","",_xlfn.MAXIFS('Saisie'!$AS$5:$AS$2004,'Saisie'!$C$5:$C$2004,C177,'Saisie'!$J$5:$J$2004,"&lt;&gt;"))</f>
        <v/>
      </c>
      <c r="BQ177" s="60">
        <f>IF(C177="","",_xlfn.MAXIFS('Saisie'!$AS$5:$AS$2004,'Saisie'!$C$5:$C$2004,C177))</f>
        <v/>
      </c>
      <c r="BR177" s="60">
        <f>IF(C177="","",_xlfn.MAXIFS('Saisie'!$AS$5:$AS$2004,'Saisie'!$C$5:$C$2004,C177,'Saisie'!$E$5:$E$2004,"Perdu"))</f>
        <v/>
      </c>
      <c r="BS177" s="60">
        <f>IF(C177="","",_xlfn.MAXIFS('Saisie'!$AS$5:$AS$2004,'Saisie'!$C$5:$C$2004,C177,'Saisie'!$AT$5:$AT$2004,"&gt;0"))</f>
        <v/>
      </c>
      <c r="BT177" s="109">
        <f>IF(AND(C177&lt;&gt;"",OR(D177="Nouveau",D177="Contacté",D177="Qualifié"),OR(G177="",N(G177)&lt;=TODAY()),NOT(AND(O177&gt;='Paramètres'!$B$21,P177=0))),E177+173/10000,"")</f>
        <v/>
      </c>
      <c r="BU177" s="60">
        <f>IF(AND(G177&lt;&gt;"",N(G177)&lt;=TODAY()),MAX($BU$4:BU176)+1,"")</f>
        <v/>
      </c>
      <c r="BV177" s="60">
        <f>IF(AND(F177&lt;&gt;"",F177&lt;&gt;"Relance en retard"),MAX($BV$4:BV176)+1,"")</f>
        <v/>
      </c>
      <c r="BW177" s="60">
        <f>IF(C177="","",IF(AND(B177&gt;='Tableau de bord'!$R$4,B177&lt;='Tableau de bord'!$S$4,OR('Tableau de bord'!$G$4="Tous",N177='Tableau de bord'!$G$4)),1,0))</f>
        <v/>
      </c>
      <c r="BX177" s="60">
        <f>IF(AND(C177&lt;&gt;"",N(BA177)=7),MAX($BX$4:BX176)+1,"")</f>
        <v/>
      </c>
    </row>
    <row r="178">
      <c r="A178" s="60">
        <f>IF(C178="","","P-"&amp;TEXT(174,"000"))</f>
        <v/>
      </c>
      <c r="B178" s="106">
        <f>IF(C178="","",IFERROR(1/(1/_xlfn.MINIFS('Saisie'!$A$5:$A$2004,'Saisie'!$C$5:$C$2004,C178)),""))</f>
        <v/>
      </c>
      <c r="C178" s="60">
        <f>IFERROR(INDEX('Saisie'!$C$5:$C$2004,MATCH(174,'Saisie'!$AX$5:$AX$2004,0)),"")</f>
        <v/>
      </c>
      <c r="D178" s="60">
        <f>IF(C178="","",IF(AND(BR178&gt;0,BR178&gt;BS178,BA178&lt;7),"Perdu",INDEX('Paramètres'!$F$6:$F$13,BA178)))</f>
        <v/>
      </c>
      <c r="E178" s="61">
        <f>IF(C178="","",MIN(100,(Z178="Oui")*'Paramètres'!$B$38+(AB178="Régulière")*'Paramètres'!$B$39+IF(AND(N(AA178)&gt;0,TODAY()-N(AA178)&lt;=30),'Paramètres'!$B$40,0)+(W178="")*'Paramètres'!$B$41+(AC178="Absente")*'Paramètres'!$B$42+(AC178="Faible")*'Paramètres'!$B$43+IF(AND(N(AD178)&gt;0,N(AD178)&lt;4),'Paramètres'!$B$44,0)+(AF178="Moyenne")*'Paramètres'!$B$45+(AF178="Grande")*'Paramètres'!$B$46+(Y178&lt;&gt;"")*'Paramètres'!$B$47))</f>
        <v/>
      </c>
      <c r="F178" s="60">
        <f>IF(C178="","",IF(D178="Gagné","",IF(D178="Perdu",IF(AND(AX178&lt;&gt;"",AX178&lt;=TODAY()),"À recontacter (perdu)",""),IF(AND(O178&gt;='Paramètres'!$B$21,P178=0),"Stop : "&amp;'Paramètres'!$B$21&amp;" tentatives sans réponse",IF(AND(D178="Proposition",AR178&lt;&gt;"",TODAY()&gt;N(AR178)),"Proposition expirée",IF(AND(D178="Proposition",N(R178)&gt;='Paramètres'!$B$25),"Proposition sans réponse",IF(AND(G178&lt;&gt;"",N(G178)&lt;TODAY()),"Relance en retard",IF(N(R178)&gt;='Paramètres'!$B$24,"Sans action depuis "&amp;R178&amp;" j",""))))))))</f>
        <v/>
      </c>
      <c r="G178" s="106">
        <f>IF(OR(C178="",D178="Gagné",D178="Perdu"),"",IF(AND(BP178&gt;0,BP178=BQ178),INDEX('Saisie'!$J$5:$J$2004,BP178-4),IF(OR(O178=0,AND(O178&gt;='Paramètres'!$B$21,P178=0)),"",Q178+IF(O178&lt;=1,'Paramètres'!$B$18,IF(O178=2,'Paramètres'!$B$19,'Paramètres'!$B$20)))))</f>
        <v/>
      </c>
      <c r="H178" s="107">
        <f>IF(OR(G178="",BP178&lt;&gt;BQ178),"",IF(INDEX('Saisie'!$K$5:$K$2004,BP178-4)="","",INDEX('Saisie'!$K$5:$K$2004,BP178-4)))</f>
        <v/>
      </c>
      <c r="I178" s="60">
        <f>IF(C178="","",IF(OR(D178="Gagné",D178="Perdu"),"",IFERROR(INDEX('Saisie'!$I$5:$I$2004,_xlfn.MAXIFS('Saisie'!$AS$5:$AS$2004,'Saisie'!$C$5:$C$2004,C178,'Saisie'!$I$5:$I$2004,"&lt;&gt;")-4),"")))</f>
        <v/>
      </c>
      <c r="J178" s="60">
        <f>IF(C178="","",IFERROR(INDEX('Saisie'!$U$5:$U$2004,_xlfn.MAXIFS('Saisie'!$AS$5:$AS$2004,'Saisie'!$C$5:$C$2004,C178,'Saisie'!$U$5:$U$2004,"&lt;&gt;")-4),""))</f>
        <v/>
      </c>
      <c r="K178" s="60">
        <f>IF(C178="","",IFERROR(INDEX('Saisie'!$W$5:$W$2004,_xlfn.MAXIFS('Saisie'!$AS$5:$AS$2004,'Saisie'!$C$5:$C$2004,C178,'Saisie'!$W$5:$W$2004,"&lt;&gt;")-4),""))</f>
        <v/>
      </c>
      <c r="L178" s="60">
        <f>IF(IF(BB178&lt;&gt;"",BB178,K178)="","",HYPERLINK("https://wa.me/"&amp;IF(LEFT(SUBSTITUTE(SUBSTITUTE(SUBSTITUTE(IF(BB178&lt;&gt;"",BB178,K178)," ",""),".",""),"+",""),1)="0",'Paramètres'!$B$35&amp;MID(SUBSTITUTE(SUBSTITUTE(SUBSTITUTE(IF(BB178&lt;&gt;"",BB178,K178)," ",""),".",""),"+",""),2,20),SUBSTITUTE(SUBSTITUTE(SUBSTITUTE(IF(BB178&lt;&gt;"",BB178,K178)," ",""),".",""),"+","")),"WhatsApp"))</f>
        <v/>
      </c>
      <c r="M178" s="60">
        <f>IF(BC178="","",HYPERLINK(IF(LEFT(BC178,4)="http",BC178,"https://www.instagram.com/"&amp;SUBSTITUTE(SUBSTITUTE(BC178,"@","")," ","")),BC178))</f>
        <v/>
      </c>
      <c r="N178" s="60">
        <f>IF(C178="","",IFERROR(INDEX('Saisie'!$D$5:$D$2004,_xlfn.MINIFS('Saisie'!$AS$5:$AS$2004,'Saisie'!$C$5:$C$2004,C178,'Saisie'!$AU$5:$AU$2004,1)-4),IFERROR(INDEX('Saisie'!$D$5:$D$2004,_xlfn.MINIFS('Saisie'!$AS$5:$AS$2004,'Saisie'!$C$5:$C$2004,C178,'Saisie'!$D$5:$D$2004,"&lt;&gt;")-4),"")))</f>
        <v/>
      </c>
      <c r="O178" s="60">
        <f>IF(C178="","",COUNTIFS('Saisie'!$C$5:$C$2004,C178,'Saisie'!$AU$5:$AU$2004,1))</f>
        <v/>
      </c>
      <c r="P178" s="60">
        <f>IF(C178="","",COUNTIFS('Saisie'!$C$5:$C$2004,C178,'Saisie'!$AV$5:$AV$2004,1))</f>
        <v/>
      </c>
      <c r="Q178" s="106">
        <f>IF(C178="","",IFERROR(1/(1/_xlfn.MAXIFS('Saisie'!$A$5:$A$2004,'Saisie'!$C$5:$C$2004,C178)),""))</f>
        <v/>
      </c>
      <c r="R178" s="61">
        <f>IF(C178="","",IF(Q178="","",TODAY()-Q178))</f>
        <v/>
      </c>
      <c r="S178" s="60">
        <f>IF(C178="","",IFERROR(INDEX('Saisie'!$R$5:$R$2004,_xlfn.MAXIFS('Saisie'!$AS$5:$AS$2004,'Saisie'!$C$5:$C$2004,C178,'Saisie'!$R$5:$R$2004,"&lt;&gt;")-4),""))</f>
        <v/>
      </c>
      <c r="T178" s="60">
        <f>IF(C178="","",IFERROR(INDEX('Saisie'!$S$5:$S$2004,_xlfn.MAXIFS('Saisie'!$AS$5:$AS$2004,'Saisie'!$C$5:$C$2004,C178,'Saisie'!$S$5:$S$2004,"&lt;&gt;")-4),""))</f>
        <v/>
      </c>
      <c r="U178" s="60">
        <f>IF(C178="","",IFERROR(INDEX('Saisie'!$T$5:$T$2004,_xlfn.MAXIFS('Saisie'!$AS$5:$AS$2004,'Saisie'!$C$5:$C$2004,C178,'Saisie'!$T$5:$T$2004,"&lt;&gt;")-4),""))</f>
        <v/>
      </c>
      <c r="V178" s="60">
        <f>IF(C178="","",IFERROR(INDEX('Saisie'!$V$5:$V$2004,_xlfn.MAXIFS('Saisie'!$AS$5:$AS$2004,'Saisie'!$C$5:$C$2004,C178,'Saisie'!$V$5:$V$2004,"&lt;&gt;")-4),""))</f>
        <v/>
      </c>
      <c r="W178" s="60">
        <f>IF(C178="","",IFERROR(INDEX('Saisie'!$Z$5:$Z$2004,_xlfn.MAXIFS('Saisie'!$AS$5:$AS$2004,'Saisie'!$C$5:$C$2004,C178,'Saisie'!$Z$5:$Z$2004,"&lt;&gt;")-4),""))</f>
        <v/>
      </c>
      <c r="X178" s="60">
        <f>IF(C178="","",IFERROR(INDEX('Saisie'!$AA$5:$AA$2004,_xlfn.MAXIFS('Saisie'!$AS$5:$AS$2004,'Saisie'!$C$5:$C$2004,C178,'Saisie'!$AA$5:$AA$2004,"&lt;&gt;")-4),""))</f>
        <v/>
      </c>
      <c r="Y178" s="60">
        <f>IF(C178="","",IFERROR(INDEX('Saisie'!$AB$5:$AB$2004,_xlfn.MAXIFS('Saisie'!$AS$5:$AS$2004,'Saisie'!$C$5:$C$2004,C178,'Saisie'!$AB$5:$AB$2004,"&lt;&gt;")-4),""))</f>
        <v/>
      </c>
      <c r="Z178" s="60">
        <f>IF(C178="","",IFERROR(INDEX('Saisie'!$AC$5:$AC$2004,_xlfn.MAXIFS('Saisie'!$AS$5:$AS$2004,'Saisie'!$C$5:$C$2004,C178,'Saisie'!$AC$5:$AC$2004,"&lt;&gt;")-4),""))</f>
        <v/>
      </c>
      <c r="AA178" s="106">
        <f>IF(C178="","",IFERROR(INDEX('Saisie'!$AD$5:$AD$2004,_xlfn.MAXIFS('Saisie'!$AS$5:$AS$2004,'Saisie'!$C$5:$C$2004,C178,'Saisie'!$AD$5:$AD$2004,"&lt;&gt;")-4),""))</f>
        <v/>
      </c>
      <c r="AB178" s="60">
        <f>IF(C178="","",IFERROR(INDEX('Saisie'!$AE$5:$AE$2004,_xlfn.MAXIFS('Saisie'!$AS$5:$AS$2004,'Saisie'!$C$5:$C$2004,C178,'Saisie'!$AE$5:$AE$2004,"&lt;&gt;")-4),""))</f>
        <v/>
      </c>
      <c r="AC178" s="60">
        <f>IF(C178="","",IFERROR(INDEX('Saisie'!$AF$5:$AF$2004,_xlfn.MAXIFS('Saisie'!$AS$5:$AS$2004,'Saisie'!$C$5:$C$2004,C178,'Saisie'!$AF$5:$AF$2004,"&lt;&gt;")-4),""))</f>
        <v/>
      </c>
      <c r="AD178" s="108">
        <f>IF(C178="","",IFERROR(INDEX('Saisie'!$AG$5:$AG$2004,_xlfn.MAXIFS('Saisie'!$AS$5:$AS$2004,'Saisie'!$C$5:$C$2004,C178,'Saisie'!$AG$5:$AG$2004,"&lt;&gt;")-4),""))</f>
        <v/>
      </c>
      <c r="AE178" s="60">
        <f>IF(C178="","",IFERROR(INDEX('Saisie'!$AH$5:$AH$2004,_xlfn.MAXIFS('Saisie'!$AS$5:$AS$2004,'Saisie'!$C$5:$C$2004,C178,'Saisie'!$AH$5:$AH$2004,"&lt;&gt;")-4),""))</f>
        <v/>
      </c>
      <c r="AF178" s="60">
        <f>IF(C178="","",IFERROR(INDEX('Saisie'!$AI$5:$AI$2004,_xlfn.MAXIFS('Saisie'!$AS$5:$AS$2004,'Saisie'!$C$5:$C$2004,C178,'Saisie'!$AI$5:$AI$2004,"&lt;&gt;")-4),""))</f>
        <v/>
      </c>
      <c r="AG178" s="60">
        <f>IF(C178="","",IFERROR(INDEX('Saisie'!$AJ$5:$AJ$2004,_xlfn.MAXIFS('Saisie'!$AS$5:$AS$2004,'Saisie'!$C$5:$C$2004,C178,'Saisie'!$AJ$5:$AJ$2004,"&lt;&gt;")-4),""))</f>
        <v/>
      </c>
      <c r="AH178" s="60">
        <f>IF(C178="","",IFERROR(INDEX('Saisie'!$AK$5:$AK$2004,_xlfn.MAXIFS('Saisie'!$AS$5:$AS$2004,'Saisie'!$C$5:$C$2004,C178,'Saisie'!$AK$5:$AK$2004,"&lt;&gt;")-4),""))</f>
        <v/>
      </c>
      <c r="AI178" s="60">
        <f>IF(C178="","",IFERROR(INDEX('Saisie'!$AN$5:$AN$2004,_xlfn.MAXIFS('Saisie'!$AS$5:$AS$2004,'Saisie'!$C$5:$C$2004,C178,'Saisie'!$AN$5:$AN$2004,"&lt;&gt;")-4),""))</f>
        <v/>
      </c>
      <c r="AJ178" s="60">
        <f>IF(C178="","",IFERROR(INDEX('Saisie'!$AO$5:$AO$2004,_xlfn.MAXIFS('Saisie'!$AS$5:$AS$2004,'Saisie'!$C$5:$C$2004,C178,'Saisie'!$AO$5:$AO$2004,"&lt;&gt;")-4),""))</f>
        <v/>
      </c>
      <c r="AK178" s="60">
        <f>IF(C178="","",IFERROR(INDEX('Saisie'!$AP$5:$AP$2004,_xlfn.MAXIFS('Saisie'!$AS$5:$AS$2004,'Saisie'!$C$5:$C$2004,C178,'Saisie'!$AP$5:$AP$2004,"&lt;&gt;")-4),""))</f>
        <v/>
      </c>
      <c r="AL178" s="60">
        <f>IF(C178="","",IFERROR(INDEX('Saisie'!$AQ$5:$AQ$2004,_xlfn.MAXIFS('Saisie'!$AS$5:$AS$2004,'Saisie'!$C$5:$C$2004,C178,'Saisie'!$AQ$5:$AQ$2004,"&lt;&gt;")-4),""))</f>
        <v/>
      </c>
      <c r="AM178" s="60">
        <f>IF(C178="","",((AI178="Oui")+(AJ178="Oui")+(AK178="Oui")+OR(AL178="Immédiat",AL178="&lt; 1 mois"))&amp;"/4")</f>
        <v/>
      </c>
      <c r="AN178" s="60">
        <f>IF(C178="","",IFERROR(INDEX('Saisie'!$AL$5:$AL$2004,_xlfn.MAXIFS('Saisie'!$AS$5:$AS$2004,'Saisie'!$C$5:$C$2004,C178,'Saisie'!$AL$5:$AL$2004,"&lt;&gt;")-4),""))</f>
        <v/>
      </c>
      <c r="AO178" s="62">
        <f>IF(C178="","",IF(IFERROR(INDEX('Saisie'!$AM$5:$AM$2004,_xlfn.MAXIFS('Saisie'!$AS$5:$AS$2004,'Saisie'!$C$5:$C$2004,C178,'Saisie'!$AM$5:$AM$2004,"&lt;&gt;")-4),"")&lt;&gt;"",IFERROR(INDEX('Saisie'!$AM$5:$AM$2004,_xlfn.MAXIFS('Saisie'!$AS$5:$AS$2004,'Saisie'!$C$5:$C$2004,C178,'Saisie'!$AM$5:$AM$2004,"&lt;&gt;")-4),""),IFERROR(INDEX('Paramètres'!$S$6:$S$15,MATCH(AN178,'Paramètres'!$Q$6:$Q$15,0)),"")))</f>
        <v/>
      </c>
      <c r="AP178" s="62">
        <f>IF(C178="","",IFERROR(INDEX('Saisie'!$AW$5:$AW$2004,_xlfn.MAXIFS('Saisie'!$AS$5:$AS$2004,'Saisie'!$C$5:$C$2004,C178,'Saisie'!$E$5:$E$2004,"Proposition envoyée")-4),""))</f>
        <v/>
      </c>
      <c r="AQ178" s="106">
        <f>IF(C178="","",IFERROR(1/(1/_xlfn.MAXIFS('Saisie'!$A$5:$A$2004,'Saisie'!$C$5:$C$2004,C178,'Saisie'!$E$5:$E$2004,"Proposition envoyée")),""))</f>
        <v/>
      </c>
      <c r="AR178" s="106">
        <f>IF(C178="","",IF(AQ178="","",AQ178+'Paramètres'!$B$26))</f>
        <v/>
      </c>
      <c r="AS178" s="62">
        <f>IF(OR(C178="",D178="Gagné",D178="Perdu"),0,N(AP178)*IFERROR(INDEX('Paramètres'!$G$6:$G$13,MATCH(D178,'Paramètres'!$F$6:$F$13,0)),0))</f>
        <v/>
      </c>
      <c r="AT178" s="106">
        <f>IF(C178="","",IFERROR(1/(1/_xlfn.MINIFS('Saisie'!$A$5:$A$2004,'Saisie'!$C$5:$C$2004,C178,'Saisie'!$E$5:$E$2004,"Signature")),""))</f>
        <v/>
      </c>
      <c r="AU178" s="60">
        <f>IF(C178="","",IF(OR(AT178="",B178=""),"",AT178-B178))</f>
        <v/>
      </c>
      <c r="AV178" s="60">
        <f>IF(C178="","",IFERROR(INDEX('Saisie'!$L$5:$L$2004,_xlfn.MAXIFS('Saisie'!$AS$5:$AS$2004,'Saisie'!$C$5:$C$2004,C178,'Saisie'!$L$5:$L$2004,"&lt;&gt;")-4),""))</f>
        <v/>
      </c>
      <c r="AW178" s="106">
        <f>IF(C178="","",IF(D178&lt;&gt;"Perdu","",IFERROR(1/(1/_xlfn.MAXIFS('Saisie'!$A$5:$A$2004,'Saisie'!$C$5:$C$2004,C178,'Saisie'!$E$5:$E$2004,"Perdu")),"")))</f>
        <v/>
      </c>
      <c r="AX178" s="106">
        <f>IF(C178="","",IF(AW178="","",AW178+'Paramètres'!$B$28))</f>
        <v/>
      </c>
      <c r="AY178" s="60">
        <f>IF(C178="","",SUMIFS('Saisie'!$H$5:$H$2004,'Saisie'!$C$5:$C$2004,C178))</f>
        <v/>
      </c>
      <c r="AZ178" s="60">
        <f>IF(C178="","",IFERROR(INDEX('Paramètres'!$W$6:$W$20,MATCH(S178,'Paramètres'!$V$6:$V$20,0))&amp;"",""))</f>
        <v/>
      </c>
      <c r="BA178" s="60">
        <f>IF(C178="","",MAX(1,_xlfn.MAXIFS('Saisie'!$AT$5:$AT$2004,'Saisie'!$C$5:$C$2004,C178)))</f>
        <v/>
      </c>
      <c r="BB178" s="60">
        <f>IF(C178="","",IFERROR(INDEX('Saisie'!$X$5:$X$2004,_xlfn.MAXIFS('Saisie'!$AS$5:$AS$2004,'Saisie'!$C$5:$C$2004,C178,'Saisie'!$X$5:$X$2004,"&lt;&gt;")-4),""))</f>
        <v/>
      </c>
      <c r="BC178" s="60">
        <f>IF(C178="","",IFERROR(INDEX('Saisie'!$Y$5:$Y$2004,_xlfn.MAXIFS('Saisie'!$AS$5:$AS$2004,'Saisie'!$C$5:$C$2004,C178,'Saisie'!$Y$5:$Y$2004,"&lt;&gt;")-4),""))</f>
        <v/>
      </c>
      <c r="BD178" s="106">
        <f>IF(C178="","",IFERROR(1/(1/_xlfn.MINIFS('Saisie'!$A$5:$A$2004,'Saisie'!$C$5:$C$2004,C178,'Saisie'!$AT$5:$AT$2004,"&gt;=2")),""))</f>
        <v/>
      </c>
      <c r="BE178" s="106">
        <f>IF(C178="","",IFERROR(1/(1/_xlfn.MINIFS('Saisie'!$A$5:$A$2004,'Saisie'!$C$5:$C$2004,C178,'Saisie'!$AT$5:$AT$2004,"&gt;=3")),""))</f>
        <v/>
      </c>
      <c r="BF178" s="106">
        <f>IF(C178="","",IFERROR(1/(1/_xlfn.MINIFS('Saisie'!$A$5:$A$2004,'Saisie'!$C$5:$C$2004,C178,'Saisie'!$AT$5:$AT$2004,"&gt;=4")),""))</f>
        <v/>
      </c>
      <c r="BG178" s="106">
        <f>IF(C178="","",IFERROR(1/(1/_xlfn.MINIFS('Saisie'!$A$5:$A$2004,'Saisie'!$C$5:$C$2004,C178,'Saisie'!$AT$5:$AT$2004,"&gt;=5")),""))</f>
        <v/>
      </c>
      <c r="BH178" s="106">
        <f>IF(C178="","",IFERROR(1/(1/_xlfn.MINIFS('Saisie'!$A$5:$A$2004,'Saisie'!$C$5:$C$2004,C178,'Saisie'!$AT$5:$AT$2004,"&gt;=6")),""))</f>
        <v/>
      </c>
      <c r="BI178" s="106">
        <f>IF(C178="","",IFERROR(1/(1/_xlfn.MINIFS('Saisie'!$A$5:$A$2004,'Saisie'!$C$5:$C$2004,C178,'Saisie'!$AT$5:$AT$2004,"&gt;=7")),""))</f>
        <v/>
      </c>
      <c r="BJ178" s="60">
        <f>IF(OR(BD178="",B178=""),"",BD178-B178)</f>
        <v/>
      </c>
      <c r="BK178" s="60">
        <f>IF(OR(BE178="",BD178=""),"",BE178-BD178)</f>
        <v/>
      </c>
      <c r="BL178" s="60">
        <f>IF(OR(BF178="",BE178=""),"",BF178-BE178)</f>
        <v/>
      </c>
      <c r="BM178" s="60">
        <f>IF(OR(BG178="",BF178=""),"",BG178-BF178)</f>
        <v/>
      </c>
      <c r="BN178" s="60">
        <f>IF(OR(BH178="",BG178=""),"",BH178-BG178)</f>
        <v/>
      </c>
      <c r="BO178" s="60">
        <f>IF(OR(BI178="",BH178=""),"",BI178-BH178)</f>
        <v/>
      </c>
      <c r="BP178" s="60">
        <f>IF(C178="","",_xlfn.MAXIFS('Saisie'!$AS$5:$AS$2004,'Saisie'!$C$5:$C$2004,C178,'Saisie'!$J$5:$J$2004,"&lt;&gt;"))</f>
        <v/>
      </c>
      <c r="BQ178" s="60">
        <f>IF(C178="","",_xlfn.MAXIFS('Saisie'!$AS$5:$AS$2004,'Saisie'!$C$5:$C$2004,C178))</f>
        <v/>
      </c>
      <c r="BR178" s="60">
        <f>IF(C178="","",_xlfn.MAXIFS('Saisie'!$AS$5:$AS$2004,'Saisie'!$C$5:$C$2004,C178,'Saisie'!$E$5:$E$2004,"Perdu"))</f>
        <v/>
      </c>
      <c r="BS178" s="60">
        <f>IF(C178="","",_xlfn.MAXIFS('Saisie'!$AS$5:$AS$2004,'Saisie'!$C$5:$C$2004,C178,'Saisie'!$AT$5:$AT$2004,"&gt;0"))</f>
        <v/>
      </c>
      <c r="BT178" s="109">
        <f>IF(AND(C178&lt;&gt;"",OR(D178="Nouveau",D178="Contacté",D178="Qualifié"),OR(G178="",N(G178)&lt;=TODAY()),NOT(AND(O178&gt;='Paramètres'!$B$21,P178=0))),E178+174/10000,"")</f>
        <v/>
      </c>
      <c r="BU178" s="60">
        <f>IF(AND(G178&lt;&gt;"",N(G178)&lt;=TODAY()),MAX($BU$4:BU177)+1,"")</f>
        <v/>
      </c>
      <c r="BV178" s="60">
        <f>IF(AND(F178&lt;&gt;"",F178&lt;&gt;"Relance en retard"),MAX($BV$4:BV177)+1,"")</f>
        <v/>
      </c>
      <c r="BW178" s="60">
        <f>IF(C178="","",IF(AND(B178&gt;='Tableau de bord'!$R$4,B178&lt;='Tableau de bord'!$S$4,OR('Tableau de bord'!$G$4="Tous",N178='Tableau de bord'!$G$4)),1,0))</f>
        <v/>
      </c>
      <c r="BX178" s="60">
        <f>IF(AND(C178&lt;&gt;"",N(BA178)=7),MAX($BX$4:BX177)+1,"")</f>
        <v/>
      </c>
    </row>
    <row r="179">
      <c r="A179" s="60">
        <f>IF(C179="","","P-"&amp;TEXT(175,"000"))</f>
        <v/>
      </c>
      <c r="B179" s="106">
        <f>IF(C179="","",IFERROR(1/(1/_xlfn.MINIFS('Saisie'!$A$5:$A$2004,'Saisie'!$C$5:$C$2004,C179)),""))</f>
        <v/>
      </c>
      <c r="C179" s="60">
        <f>IFERROR(INDEX('Saisie'!$C$5:$C$2004,MATCH(175,'Saisie'!$AX$5:$AX$2004,0)),"")</f>
        <v/>
      </c>
      <c r="D179" s="60">
        <f>IF(C179="","",IF(AND(BR179&gt;0,BR179&gt;BS179,BA179&lt;7),"Perdu",INDEX('Paramètres'!$F$6:$F$13,BA179)))</f>
        <v/>
      </c>
      <c r="E179" s="61">
        <f>IF(C179="","",MIN(100,(Z179="Oui")*'Paramètres'!$B$38+(AB179="Régulière")*'Paramètres'!$B$39+IF(AND(N(AA179)&gt;0,TODAY()-N(AA179)&lt;=30),'Paramètres'!$B$40,0)+(W179="")*'Paramètres'!$B$41+(AC179="Absente")*'Paramètres'!$B$42+(AC179="Faible")*'Paramètres'!$B$43+IF(AND(N(AD179)&gt;0,N(AD179)&lt;4),'Paramètres'!$B$44,0)+(AF179="Moyenne")*'Paramètres'!$B$45+(AF179="Grande")*'Paramètres'!$B$46+(Y179&lt;&gt;"")*'Paramètres'!$B$47))</f>
        <v/>
      </c>
      <c r="F179" s="60">
        <f>IF(C179="","",IF(D179="Gagné","",IF(D179="Perdu",IF(AND(AX179&lt;&gt;"",AX179&lt;=TODAY()),"À recontacter (perdu)",""),IF(AND(O179&gt;='Paramètres'!$B$21,P179=0),"Stop : "&amp;'Paramètres'!$B$21&amp;" tentatives sans réponse",IF(AND(D179="Proposition",AR179&lt;&gt;"",TODAY()&gt;N(AR179)),"Proposition expirée",IF(AND(D179="Proposition",N(R179)&gt;='Paramètres'!$B$25),"Proposition sans réponse",IF(AND(G179&lt;&gt;"",N(G179)&lt;TODAY()),"Relance en retard",IF(N(R179)&gt;='Paramètres'!$B$24,"Sans action depuis "&amp;R179&amp;" j",""))))))))</f>
        <v/>
      </c>
      <c r="G179" s="106">
        <f>IF(OR(C179="",D179="Gagné",D179="Perdu"),"",IF(AND(BP179&gt;0,BP179=BQ179),INDEX('Saisie'!$J$5:$J$2004,BP179-4),IF(OR(O179=0,AND(O179&gt;='Paramètres'!$B$21,P179=0)),"",Q179+IF(O179&lt;=1,'Paramètres'!$B$18,IF(O179=2,'Paramètres'!$B$19,'Paramètres'!$B$20)))))</f>
        <v/>
      </c>
      <c r="H179" s="107">
        <f>IF(OR(G179="",BP179&lt;&gt;BQ179),"",IF(INDEX('Saisie'!$K$5:$K$2004,BP179-4)="","",INDEX('Saisie'!$K$5:$K$2004,BP179-4)))</f>
        <v/>
      </c>
      <c r="I179" s="60">
        <f>IF(C179="","",IF(OR(D179="Gagné",D179="Perdu"),"",IFERROR(INDEX('Saisie'!$I$5:$I$2004,_xlfn.MAXIFS('Saisie'!$AS$5:$AS$2004,'Saisie'!$C$5:$C$2004,C179,'Saisie'!$I$5:$I$2004,"&lt;&gt;")-4),"")))</f>
        <v/>
      </c>
      <c r="J179" s="60">
        <f>IF(C179="","",IFERROR(INDEX('Saisie'!$U$5:$U$2004,_xlfn.MAXIFS('Saisie'!$AS$5:$AS$2004,'Saisie'!$C$5:$C$2004,C179,'Saisie'!$U$5:$U$2004,"&lt;&gt;")-4),""))</f>
        <v/>
      </c>
      <c r="K179" s="60">
        <f>IF(C179="","",IFERROR(INDEX('Saisie'!$W$5:$W$2004,_xlfn.MAXIFS('Saisie'!$AS$5:$AS$2004,'Saisie'!$C$5:$C$2004,C179,'Saisie'!$W$5:$W$2004,"&lt;&gt;")-4),""))</f>
        <v/>
      </c>
      <c r="L179" s="60">
        <f>IF(IF(BB179&lt;&gt;"",BB179,K179)="","",HYPERLINK("https://wa.me/"&amp;IF(LEFT(SUBSTITUTE(SUBSTITUTE(SUBSTITUTE(IF(BB179&lt;&gt;"",BB179,K179)," ",""),".",""),"+",""),1)="0",'Paramètres'!$B$35&amp;MID(SUBSTITUTE(SUBSTITUTE(SUBSTITUTE(IF(BB179&lt;&gt;"",BB179,K179)," ",""),".",""),"+",""),2,20),SUBSTITUTE(SUBSTITUTE(SUBSTITUTE(IF(BB179&lt;&gt;"",BB179,K179)," ",""),".",""),"+","")),"WhatsApp"))</f>
        <v/>
      </c>
      <c r="M179" s="60">
        <f>IF(BC179="","",HYPERLINK(IF(LEFT(BC179,4)="http",BC179,"https://www.instagram.com/"&amp;SUBSTITUTE(SUBSTITUTE(BC179,"@","")," ","")),BC179))</f>
        <v/>
      </c>
      <c r="N179" s="60">
        <f>IF(C179="","",IFERROR(INDEX('Saisie'!$D$5:$D$2004,_xlfn.MINIFS('Saisie'!$AS$5:$AS$2004,'Saisie'!$C$5:$C$2004,C179,'Saisie'!$AU$5:$AU$2004,1)-4),IFERROR(INDEX('Saisie'!$D$5:$D$2004,_xlfn.MINIFS('Saisie'!$AS$5:$AS$2004,'Saisie'!$C$5:$C$2004,C179,'Saisie'!$D$5:$D$2004,"&lt;&gt;")-4),"")))</f>
        <v/>
      </c>
      <c r="O179" s="60">
        <f>IF(C179="","",COUNTIFS('Saisie'!$C$5:$C$2004,C179,'Saisie'!$AU$5:$AU$2004,1))</f>
        <v/>
      </c>
      <c r="P179" s="60">
        <f>IF(C179="","",COUNTIFS('Saisie'!$C$5:$C$2004,C179,'Saisie'!$AV$5:$AV$2004,1))</f>
        <v/>
      </c>
      <c r="Q179" s="106">
        <f>IF(C179="","",IFERROR(1/(1/_xlfn.MAXIFS('Saisie'!$A$5:$A$2004,'Saisie'!$C$5:$C$2004,C179)),""))</f>
        <v/>
      </c>
      <c r="R179" s="61">
        <f>IF(C179="","",IF(Q179="","",TODAY()-Q179))</f>
        <v/>
      </c>
      <c r="S179" s="60">
        <f>IF(C179="","",IFERROR(INDEX('Saisie'!$R$5:$R$2004,_xlfn.MAXIFS('Saisie'!$AS$5:$AS$2004,'Saisie'!$C$5:$C$2004,C179,'Saisie'!$R$5:$R$2004,"&lt;&gt;")-4),""))</f>
        <v/>
      </c>
      <c r="T179" s="60">
        <f>IF(C179="","",IFERROR(INDEX('Saisie'!$S$5:$S$2004,_xlfn.MAXIFS('Saisie'!$AS$5:$AS$2004,'Saisie'!$C$5:$C$2004,C179,'Saisie'!$S$5:$S$2004,"&lt;&gt;")-4),""))</f>
        <v/>
      </c>
      <c r="U179" s="60">
        <f>IF(C179="","",IFERROR(INDEX('Saisie'!$T$5:$T$2004,_xlfn.MAXIFS('Saisie'!$AS$5:$AS$2004,'Saisie'!$C$5:$C$2004,C179,'Saisie'!$T$5:$T$2004,"&lt;&gt;")-4),""))</f>
        <v/>
      </c>
      <c r="V179" s="60">
        <f>IF(C179="","",IFERROR(INDEX('Saisie'!$V$5:$V$2004,_xlfn.MAXIFS('Saisie'!$AS$5:$AS$2004,'Saisie'!$C$5:$C$2004,C179,'Saisie'!$V$5:$V$2004,"&lt;&gt;")-4),""))</f>
        <v/>
      </c>
      <c r="W179" s="60">
        <f>IF(C179="","",IFERROR(INDEX('Saisie'!$Z$5:$Z$2004,_xlfn.MAXIFS('Saisie'!$AS$5:$AS$2004,'Saisie'!$C$5:$C$2004,C179,'Saisie'!$Z$5:$Z$2004,"&lt;&gt;")-4),""))</f>
        <v/>
      </c>
      <c r="X179" s="60">
        <f>IF(C179="","",IFERROR(INDEX('Saisie'!$AA$5:$AA$2004,_xlfn.MAXIFS('Saisie'!$AS$5:$AS$2004,'Saisie'!$C$5:$C$2004,C179,'Saisie'!$AA$5:$AA$2004,"&lt;&gt;")-4),""))</f>
        <v/>
      </c>
      <c r="Y179" s="60">
        <f>IF(C179="","",IFERROR(INDEX('Saisie'!$AB$5:$AB$2004,_xlfn.MAXIFS('Saisie'!$AS$5:$AS$2004,'Saisie'!$C$5:$C$2004,C179,'Saisie'!$AB$5:$AB$2004,"&lt;&gt;")-4),""))</f>
        <v/>
      </c>
      <c r="Z179" s="60">
        <f>IF(C179="","",IFERROR(INDEX('Saisie'!$AC$5:$AC$2004,_xlfn.MAXIFS('Saisie'!$AS$5:$AS$2004,'Saisie'!$C$5:$C$2004,C179,'Saisie'!$AC$5:$AC$2004,"&lt;&gt;")-4),""))</f>
        <v/>
      </c>
      <c r="AA179" s="106">
        <f>IF(C179="","",IFERROR(INDEX('Saisie'!$AD$5:$AD$2004,_xlfn.MAXIFS('Saisie'!$AS$5:$AS$2004,'Saisie'!$C$5:$C$2004,C179,'Saisie'!$AD$5:$AD$2004,"&lt;&gt;")-4),""))</f>
        <v/>
      </c>
      <c r="AB179" s="60">
        <f>IF(C179="","",IFERROR(INDEX('Saisie'!$AE$5:$AE$2004,_xlfn.MAXIFS('Saisie'!$AS$5:$AS$2004,'Saisie'!$C$5:$C$2004,C179,'Saisie'!$AE$5:$AE$2004,"&lt;&gt;")-4),""))</f>
        <v/>
      </c>
      <c r="AC179" s="60">
        <f>IF(C179="","",IFERROR(INDEX('Saisie'!$AF$5:$AF$2004,_xlfn.MAXIFS('Saisie'!$AS$5:$AS$2004,'Saisie'!$C$5:$C$2004,C179,'Saisie'!$AF$5:$AF$2004,"&lt;&gt;")-4),""))</f>
        <v/>
      </c>
      <c r="AD179" s="108">
        <f>IF(C179="","",IFERROR(INDEX('Saisie'!$AG$5:$AG$2004,_xlfn.MAXIFS('Saisie'!$AS$5:$AS$2004,'Saisie'!$C$5:$C$2004,C179,'Saisie'!$AG$5:$AG$2004,"&lt;&gt;")-4),""))</f>
        <v/>
      </c>
      <c r="AE179" s="60">
        <f>IF(C179="","",IFERROR(INDEX('Saisie'!$AH$5:$AH$2004,_xlfn.MAXIFS('Saisie'!$AS$5:$AS$2004,'Saisie'!$C$5:$C$2004,C179,'Saisie'!$AH$5:$AH$2004,"&lt;&gt;")-4),""))</f>
        <v/>
      </c>
      <c r="AF179" s="60">
        <f>IF(C179="","",IFERROR(INDEX('Saisie'!$AI$5:$AI$2004,_xlfn.MAXIFS('Saisie'!$AS$5:$AS$2004,'Saisie'!$C$5:$C$2004,C179,'Saisie'!$AI$5:$AI$2004,"&lt;&gt;")-4),""))</f>
        <v/>
      </c>
      <c r="AG179" s="60">
        <f>IF(C179="","",IFERROR(INDEX('Saisie'!$AJ$5:$AJ$2004,_xlfn.MAXIFS('Saisie'!$AS$5:$AS$2004,'Saisie'!$C$5:$C$2004,C179,'Saisie'!$AJ$5:$AJ$2004,"&lt;&gt;")-4),""))</f>
        <v/>
      </c>
      <c r="AH179" s="60">
        <f>IF(C179="","",IFERROR(INDEX('Saisie'!$AK$5:$AK$2004,_xlfn.MAXIFS('Saisie'!$AS$5:$AS$2004,'Saisie'!$C$5:$C$2004,C179,'Saisie'!$AK$5:$AK$2004,"&lt;&gt;")-4),""))</f>
        <v/>
      </c>
      <c r="AI179" s="60">
        <f>IF(C179="","",IFERROR(INDEX('Saisie'!$AN$5:$AN$2004,_xlfn.MAXIFS('Saisie'!$AS$5:$AS$2004,'Saisie'!$C$5:$C$2004,C179,'Saisie'!$AN$5:$AN$2004,"&lt;&gt;")-4),""))</f>
        <v/>
      </c>
      <c r="AJ179" s="60">
        <f>IF(C179="","",IFERROR(INDEX('Saisie'!$AO$5:$AO$2004,_xlfn.MAXIFS('Saisie'!$AS$5:$AS$2004,'Saisie'!$C$5:$C$2004,C179,'Saisie'!$AO$5:$AO$2004,"&lt;&gt;")-4),""))</f>
        <v/>
      </c>
      <c r="AK179" s="60">
        <f>IF(C179="","",IFERROR(INDEX('Saisie'!$AP$5:$AP$2004,_xlfn.MAXIFS('Saisie'!$AS$5:$AS$2004,'Saisie'!$C$5:$C$2004,C179,'Saisie'!$AP$5:$AP$2004,"&lt;&gt;")-4),""))</f>
        <v/>
      </c>
      <c r="AL179" s="60">
        <f>IF(C179="","",IFERROR(INDEX('Saisie'!$AQ$5:$AQ$2004,_xlfn.MAXIFS('Saisie'!$AS$5:$AS$2004,'Saisie'!$C$5:$C$2004,C179,'Saisie'!$AQ$5:$AQ$2004,"&lt;&gt;")-4),""))</f>
        <v/>
      </c>
      <c r="AM179" s="60">
        <f>IF(C179="","",((AI179="Oui")+(AJ179="Oui")+(AK179="Oui")+OR(AL179="Immédiat",AL179="&lt; 1 mois"))&amp;"/4")</f>
        <v/>
      </c>
      <c r="AN179" s="60">
        <f>IF(C179="","",IFERROR(INDEX('Saisie'!$AL$5:$AL$2004,_xlfn.MAXIFS('Saisie'!$AS$5:$AS$2004,'Saisie'!$C$5:$C$2004,C179,'Saisie'!$AL$5:$AL$2004,"&lt;&gt;")-4),""))</f>
        <v/>
      </c>
      <c r="AO179" s="62">
        <f>IF(C179="","",IF(IFERROR(INDEX('Saisie'!$AM$5:$AM$2004,_xlfn.MAXIFS('Saisie'!$AS$5:$AS$2004,'Saisie'!$C$5:$C$2004,C179,'Saisie'!$AM$5:$AM$2004,"&lt;&gt;")-4),"")&lt;&gt;"",IFERROR(INDEX('Saisie'!$AM$5:$AM$2004,_xlfn.MAXIFS('Saisie'!$AS$5:$AS$2004,'Saisie'!$C$5:$C$2004,C179,'Saisie'!$AM$5:$AM$2004,"&lt;&gt;")-4),""),IFERROR(INDEX('Paramètres'!$S$6:$S$15,MATCH(AN179,'Paramètres'!$Q$6:$Q$15,0)),"")))</f>
        <v/>
      </c>
      <c r="AP179" s="62">
        <f>IF(C179="","",IFERROR(INDEX('Saisie'!$AW$5:$AW$2004,_xlfn.MAXIFS('Saisie'!$AS$5:$AS$2004,'Saisie'!$C$5:$C$2004,C179,'Saisie'!$E$5:$E$2004,"Proposition envoyée")-4),""))</f>
        <v/>
      </c>
      <c r="AQ179" s="106">
        <f>IF(C179="","",IFERROR(1/(1/_xlfn.MAXIFS('Saisie'!$A$5:$A$2004,'Saisie'!$C$5:$C$2004,C179,'Saisie'!$E$5:$E$2004,"Proposition envoyée")),""))</f>
        <v/>
      </c>
      <c r="AR179" s="106">
        <f>IF(C179="","",IF(AQ179="","",AQ179+'Paramètres'!$B$26))</f>
        <v/>
      </c>
      <c r="AS179" s="62">
        <f>IF(OR(C179="",D179="Gagné",D179="Perdu"),0,N(AP179)*IFERROR(INDEX('Paramètres'!$G$6:$G$13,MATCH(D179,'Paramètres'!$F$6:$F$13,0)),0))</f>
        <v/>
      </c>
      <c r="AT179" s="106">
        <f>IF(C179="","",IFERROR(1/(1/_xlfn.MINIFS('Saisie'!$A$5:$A$2004,'Saisie'!$C$5:$C$2004,C179,'Saisie'!$E$5:$E$2004,"Signature")),""))</f>
        <v/>
      </c>
      <c r="AU179" s="60">
        <f>IF(C179="","",IF(OR(AT179="",B179=""),"",AT179-B179))</f>
        <v/>
      </c>
      <c r="AV179" s="60">
        <f>IF(C179="","",IFERROR(INDEX('Saisie'!$L$5:$L$2004,_xlfn.MAXIFS('Saisie'!$AS$5:$AS$2004,'Saisie'!$C$5:$C$2004,C179,'Saisie'!$L$5:$L$2004,"&lt;&gt;")-4),""))</f>
        <v/>
      </c>
      <c r="AW179" s="106">
        <f>IF(C179="","",IF(D179&lt;&gt;"Perdu","",IFERROR(1/(1/_xlfn.MAXIFS('Saisie'!$A$5:$A$2004,'Saisie'!$C$5:$C$2004,C179,'Saisie'!$E$5:$E$2004,"Perdu")),"")))</f>
        <v/>
      </c>
      <c r="AX179" s="106">
        <f>IF(C179="","",IF(AW179="","",AW179+'Paramètres'!$B$28))</f>
        <v/>
      </c>
      <c r="AY179" s="60">
        <f>IF(C179="","",SUMIFS('Saisie'!$H$5:$H$2004,'Saisie'!$C$5:$C$2004,C179))</f>
        <v/>
      </c>
      <c r="AZ179" s="60">
        <f>IF(C179="","",IFERROR(INDEX('Paramètres'!$W$6:$W$20,MATCH(S179,'Paramètres'!$V$6:$V$20,0))&amp;"",""))</f>
        <v/>
      </c>
      <c r="BA179" s="60">
        <f>IF(C179="","",MAX(1,_xlfn.MAXIFS('Saisie'!$AT$5:$AT$2004,'Saisie'!$C$5:$C$2004,C179)))</f>
        <v/>
      </c>
      <c r="BB179" s="60">
        <f>IF(C179="","",IFERROR(INDEX('Saisie'!$X$5:$X$2004,_xlfn.MAXIFS('Saisie'!$AS$5:$AS$2004,'Saisie'!$C$5:$C$2004,C179,'Saisie'!$X$5:$X$2004,"&lt;&gt;")-4),""))</f>
        <v/>
      </c>
      <c r="BC179" s="60">
        <f>IF(C179="","",IFERROR(INDEX('Saisie'!$Y$5:$Y$2004,_xlfn.MAXIFS('Saisie'!$AS$5:$AS$2004,'Saisie'!$C$5:$C$2004,C179,'Saisie'!$Y$5:$Y$2004,"&lt;&gt;")-4),""))</f>
        <v/>
      </c>
      <c r="BD179" s="106">
        <f>IF(C179="","",IFERROR(1/(1/_xlfn.MINIFS('Saisie'!$A$5:$A$2004,'Saisie'!$C$5:$C$2004,C179,'Saisie'!$AT$5:$AT$2004,"&gt;=2")),""))</f>
        <v/>
      </c>
      <c r="BE179" s="106">
        <f>IF(C179="","",IFERROR(1/(1/_xlfn.MINIFS('Saisie'!$A$5:$A$2004,'Saisie'!$C$5:$C$2004,C179,'Saisie'!$AT$5:$AT$2004,"&gt;=3")),""))</f>
        <v/>
      </c>
      <c r="BF179" s="106">
        <f>IF(C179="","",IFERROR(1/(1/_xlfn.MINIFS('Saisie'!$A$5:$A$2004,'Saisie'!$C$5:$C$2004,C179,'Saisie'!$AT$5:$AT$2004,"&gt;=4")),""))</f>
        <v/>
      </c>
      <c r="BG179" s="106">
        <f>IF(C179="","",IFERROR(1/(1/_xlfn.MINIFS('Saisie'!$A$5:$A$2004,'Saisie'!$C$5:$C$2004,C179,'Saisie'!$AT$5:$AT$2004,"&gt;=5")),""))</f>
        <v/>
      </c>
      <c r="BH179" s="106">
        <f>IF(C179="","",IFERROR(1/(1/_xlfn.MINIFS('Saisie'!$A$5:$A$2004,'Saisie'!$C$5:$C$2004,C179,'Saisie'!$AT$5:$AT$2004,"&gt;=6")),""))</f>
        <v/>
      </c>
      <c r="BI179" s="106">
        <f>IF(C179="","",IFERROR(1/(1/_xlfn.MINIFS('Saisie'!$A$5:$A$2004,'Saisie'!$C$5:$C$2004,C179,'Saisie'!$AT$5:$AT$2004,"&gt;=7")),""))</f>
        <v/>
      </c>
      <c r="BJ179" s="60">
        <f>IF(OR(BD179="",B179=""),"",BD179-B179)</f>
        <v/>
      </c>
      <c r="BK179" s="60">
        <f>IF(OR(BE179="",BD179=""),"",BE179-BD179)</f>
        <v/>
      </c>
      <c r="BL179" s="60">
        <f>IF(OR(BF179="",BE179=""),"",BF179-BE179)</f>
        <v/>
      </c>
      <c r="BM179" s="60">
        <f>IF(OR(BG179="",BF179=""),"",BG179-BF179)</f>
        <v/>
      </c>
      <c r="BN179" s="60">
        <f>IF(OR(BH179="",BG179=""),"",BH179-BG179)</f>
        <v/>
      </c>
      <c r="BO179" s="60">
        <f>IF(OR(BI179="",BH179=""),"",BI179-BH179)</f>
        <v/>
      </c>
      <c r="BP179" s="60">
        <f>IF(C179="","",_xlfn.MAXIFS('Saisie'!$AS$5:$AS$2004,'Saisie'!$C$5:$C$2004,C179,'Saisie'!$J$5:$J$2004,"&lt;&gt;"))</f>
        <v/>
      </c>
      <c r="BQ179" s="60">
        <f>IF(C179="","",_xlfn.MAXIFS('Saisie'!$AS$5:$AS$2004,'Saisie'!$C$5:$C$2004,C179))</f>
        <v/>
      </c>
      <c r="BR179" s="60">
        <f>IF(C179="","",_xlfn.MAXIFS('Saisie'!$AS$5:$AS$2004,'Saisie'!$C$5:$C$2004,C179,'Saisie'!$E$5:$E$2004,"Perdu"))</f>
        <v/>
      </c>
      <c r="BS179" s="60">
        <f>IF(C179="","",_xlfn.MAXIFS('Saisie'!$AS$5:$AS$2004,'Saisie'!$C$5:$C$2004,C179,'Saisie'!$AT$5:$AT$2004,"&gt;0"))</f>
        <v/>
      </c>
      <c r="BT179" s="109">
        <f>IF(AND(C179&lt;&gt;"",OR(D179="Nouveau",D179="Contacté",D179="Qualifié"),OR(G179="",N(G179)&lt;=TODAY()),NOT(AND(O179&gt;='Paramètres'!$B$21,P179=0))),E179+175/10000,"")</f>
        <v/>
      </c>
      <c r="BU179" s="60">
        <f>IF(AND(G179&lt;&gt;"",N(G179)&lt;=TODAY()),MAX($BU$4:BU178)+1,"")</f>
        <v/>
      </c>
      <c r="BV179" s="60">
        <f>IF(AND(F179&lt;&gt;"",F179&lt;&gt;"Relance en retard"),MAX($BV$4:BV178)+1,"")</f>
        <v/>
      </c>
      <c r="BW179" s="60">
        <f>IF(C179="","",IF(AND(B179&gt;='Tableau de bord'!$R$4,B179&lt;='Tableau de bord'!$S$4,OR('Tableau de bord'!$G$4="Tous",N179='Tableau de bord'!$G$4)),1,0))</f>
        <v/>
      </c>
      <c r="BX179" s="60">
        <f>IF(AND(C179&lt;&gt;"",N(BA179)=7),MAX($BX$4:BX178)+1,"")</f>
        <v/>
      </c>
    </row>
    <row r="180">
      <c r="A180" s="60">
        <f>IF(C180="","","P-"&amp;TEXT(176,"000"))</f>
        <v/>
      </c>
      <c r="B180" s="106">
        <f>IF(C180="","",IFERROR(1/(1/_xlfn.MINIFS('Saisie'!$A$5:$A$2004,'Saisie'!$C$5:$C$2004,C180)),""))</f>
        <v/>
      </c>
      <c r="C180" s="60">
        <f>IFERROR(INDEX('Saisie'!$C$5:$C$2004,MATCH(176,'Saisie'!$AX$5:$AX$2004,0)),"")</f>
        <v/>
      </c>
      <c r="D180" s="60">
        <f>IF(C180="","",IF(AND(BR180&gt;0,BR180&gt;BS180,BA180&lt;7),"Perdu",INDEX('Paramètres'!$F$6:$F$13,BA180)))</f>
        <v/>
      </c>
      <c r="E180" s="61">
        <f>IF(C180="","",MIN(100,(Z180="Oui")*'Paramètres'!$B$38+(AB180="Régulière")*'Paramètres'!$B$39+IF(AND(N(AA180)&gt;0,TODAY()-N(AA180)&lt;=30),'Paramètres'!$B$40,0)+(W180="")*'Paramètres'!$B$41+(AC180="Absente")*'Paramètres'!$B$42+(AC180="Faible")*'Paramètres'!$B$43+IF(AND(N(AD180)&gt;0,N(AD180)&lt;4),'Paramètres'!$B$44,0)+(AF180="Moyenne")*'Paramètres'!$B$45+(AF180="Grande")*'Paramètres'!$B$46+(Y180&lt;&gt;"")*'Paramètres'!$B$47))</f>
        <v/>
      </c>
      <c r="F180" s="60">
        <f>IF(C180="","",IF(D180="Gagné","",IF(D180="Perdu",IF(AND(AX180&lt;&gt;"",AX180&lt;=TODAY()),"À recontacter (perdu)",""),IF(AND(O180&gt;='Paramètres'!$B$21,P180=0),"Stop : "&amp;'Paramètres'!$B$21&amp;" tentatives sans réponse",IF(AND(D180="Proposition",AR180&lt;&gt;"",TODAY()&gt;N(AR180)),"Proposition expirée",IF(AND(D180="Proposition",N(R180)&gt;='Paramètres'!$B$25),"Proposition sans réponse",IF(AND(G180&lt;&gt;"",N(G180)&lt;TODAY()),"Relance en retard",IF(N(R180)&gt;='Paramètres'!$B$24,"Sans action depuis "&amp;R180&amp;" j",""))))))))</f>
        <v/>
      </c>
      <c r="G180" s="106">
        <f>IF(OR(C180="",D180="Gagné",D180="Perdu"),"",IF(AND(BP180&gt;0,BP180=BQ180),INDEX('Saisie'!$J$5:$J$2004,BP180-4),IF(OR(O180=0,AND(O180&gt;='Paramètres'!$B$21,P180=0)),"",Q180+IF(O180&lt;=1,'Paramètres'!$B$18,IF(O180=2,'Paramètres'!$B$19,'Paramètres'!$B$20)))))</f>
        <v/>
      </c>
      <c r="H180" s="107">
        <f>IF(OR(G180="",BP180&lt;&gt;BQ180),"",IF(INDEX('Saisie'!$K$5:$K$2004,BP180-4)="","",INDEX('Saisie'!$K$5:$K$2004,BP180-4)))</f>
        <v/>
      </c>
      <c r="I180" s="60">
        <f>IF(C180="","",IF(OR(D180="Gagné",D180="Perdu"),"",IFERROR(INDEX('Saisie'!$I$5:$I$2004,_xlfn.MAXIFS('Saisie'!$AS$5:$AS$2004,'Saisie'!$C$5:$C$2004,C180,'Saisie'!$I$5:$I$2004,"&lt;&gt;")-4),"")))</f>
        <v/>
      </c>
      <c r="J180" s="60">
        <f>IF(C180="","",IFERROR(INDEX('Saisie'!$U$5:$U$2004,_xlfn.MAXIFS('Saisie'!$AS$5:$AS$2004,'Saisie'!$C$5:$C$2004,C180,'Saisie'!$U$5:$U$2004,"&lt;&gt;")-4),""))</f>
        <v/>
      </c>
      <c r="K180" s="60">
        <f>IF(C180="","",IFERROR(INDEX('Saisie'!$W$5:$W$2004,_xlfn.MAXIFS('Saisie'!$AS$5:$AS$2004,'Saisie'!$C$5:$C$2004,C180,'Saisie'!$W$5:$W$2004,"&lt;&gt;")-4),""))</f>
        <v/>
      </c>
      <c r="L180" s="60">
        <f>IF(IF(BB180&lt;&gt;"",BB180,K180)="","",HYPERLINK("https://wa.me/"&amp;IF(LEFT(SUBSTITUTE(SUBSTITUTE(SUBSTITUTE(IF(BB180&lt;&gt;"",BB180,K180)," ",""),".",""),"+",""),1)="0",'Paramètres'!$B$35&amp;MID(SUBSTITUTE(SUBSTITUTE(SUBSTITUTE(IF(BB180&lt;&gt;"",BB180,K180)," ",""),".",""),"+",""),2,20),SUBSTITUTE(SUBSTITUTE(SUBSTITUTE(IF(BB180&lt;&gt;"",BB180,K180)," ",""),".",""),"+","")),"WhatsApp"))</f>
        <v/>
      </c>
      <c r="M180" s="60">
        <f>IF(BC180="","",HYPERLINK(IF(LEFT(BC180,4)="http",BC180,"https://www.instagram.com/"&amp;SUBSTITUTE(SUBSTITUTE(BC180,"@","")," ","")),BC180))</f>
        <v/>
      </c>
      <c r="N180" s="60">
        <f>IF(C180="","",IFERROR(INDEX('Saisie'!$D$5:$D$2004,_xlfn.MINIFS('Saisie'!$AS$5:$AS$2004,'Saisie'!$C$5:$C$2004,C180,'Saisie'!$AU$5:$AU$2004,1)-4),IFERROR(INDEX('Saisie'!$D$5:$D$2004,_xlfn.MINIFS('Saisie'!$AS$5:$AS$2004,'Saisie'!$C$5:$C$2004,C180,'Saisie'!$D$5:$D$2004,"&lt;&gt;")-4),"")))</f>
        <v/>
      </c>
      <c r="O180" s="60">
        <f>IF(C180="","",COUNTIFS('Saisie'!$C$5:$C$2004,C180,'Saisie'!$AU$5:$AU$2004,1))</f>
        <v/>
      </c>
      <c r="P180" s="60">
        <f>IF(C180="","",COUNTIFS('Saisie'!$C$5:$C$2004,C180,'Saisie'!$AV$5:$AV$2004,1))</f>
        <v/>
      </c>
      <c r="Q180" s="106">
        <f>IF(C180="","",IFERROR(1/(1/_xlfn.MAXIFS('Saisie'!$A$5:$A$2004,'Saisie'!$C$5:$C$2004,C180)),""))</f>
        <v/>
      </c>
      <c r="R180" s="61">
        <f>IF(C180="","",IF(Q180="","",TODAY()-Q180))</f>
        <v/>
      </c>
      <c r="S180" s="60">
        <f>IF(C180="","",IFERROR(INDEX('Saisie'!$R$5:$R$2004,_xlfn.MAXIFS('Saisie'!$AS$5:$AS$2004,'Saisie'!$C$5:$C$2004,C180,'Saisie'!$R$5:$R$2004,"&lt;&gt;")-4),""))</f>
        <v/>
      </c>
      <c r="T180" s="60">
        <f>IF(C180="","",IFERROR(INDEX('Saisie'!$S$5:$S$2004,_xlfn.MAXIFS('Saisie'!$AS$5:$AS$2004,'Saisie'!$C$5:$C$2004,C180,'Saisie'!$S$5:$S$2004,"&lt;&gt;")-4),""))</f>
        <v/>
      </c>
      <c r="U180" s="60">
        <f>IF(C180="","",IFERROR(INDEX('Saisie'!$T$5:$T$2004,_xlfn.MAXIFS('Saisie'!$AS$5:$AS$2004,'Saisie'!$C$5:$C$2004,C180,'Saisie'!$T$5:$T$2004,"&lt;&gt;")-4),""))</f>
        <v/>
      </c>
      <c r="V180" s="60">
        <f>IF(C180="","",IFERROR(INDEX('Saisie'!$V$5:$V$2004,_xlfn.MAXIFS('Saisie'!$AS$5:$AS$2004,'Saisie'!$C$5:$C$2004,C180,'Saisie'!$V$5:$V$2004,"&lt;&gt;")-4),""))</f>
        <v/>
      </c>
      <c r="W180" s="60">
        <f>IF(C180="","",IFERROR(INDEX('Saisie'!$Z$5:$Z$2004,_xlfn.MAXIFS('Saisie'!$AS$5:$AS$2004,'Saisie'!$C$5:$C$2004,C180,'Saisie'!$Z$5:$Z$2004,"&lt;&gt;")-4),""))</f>
        <v/>
      </c>
      <c r="X180" s="60">
        <f>IF(C180="","",IFERROR(INDEX('Saisie'!$AA$5:$AA$2004,_xlfn.MAXIFS('Saisie'!$AS$5:$AS$2004,'Saisie'!$C$5:$C$2004,C180,'Saisie'!$AA$5:$AA$2004,"&lt;&gt;")-4),""))</f>
        <v/>
      </c>
      <c r="Y180" s="60">
        <f>IF(C180="","",IFERROR(INDEX('Saisie'!$AB$5:$AB$2004,_xlfn.MAXIFS('Saisie'!$AS$5:$AS$2004,'Saisie'!$C$5:$C$2004,C180,'Saisie'!$AB$5:$AB$2004,"&lt;&gt;")-4),""))</f>
        <v/>
      </c>
      <c r="Z180" s="60">
        <f>IF(C180="","",IFERROR(INDEX('Saisie'!$AC$5:$AC$2004,_xlfn.MAXIFS('Saisie'!$AS$5:$AS$2004,'Saisie'!$C$5:$C$2004,C180,'Saisie'!$AC$5:$AC$2004,"&lt;&gt;")-4),""))</f>
        <v/>
      </c>
      <c r="AA180" s="106">
        <f>IF(C180="","",IFERROR(INDEX('Saisie'!$AD$5:$AD$2004,_xlfn.MAXIFS('Saisie'!$AS$5:$AS$2004,'Saisie'!$C$5:$C$2004,C180,'Saisie'!$AD$5:$AD$2004,"&lt;&gt;")-4),""))</f>
        <v/>
      </c>
      <c r="AB180" s="60">
        <f>IF(C180="","",IFERROR(INDEX('Saisie'!$AE$5:$AE$2004,_xlfn.MAXIFS('Saisie'!$AS$5:$AS$2004,'Saisie'!$C$5:$C$2004,C180,'Saisie'!$AE$5:$AE$2004,"&lt;&gt;")-4),""))</f>
        <v/>
      </c>
      <c r="AC180" s="60">
        <f>IF(C180="","",IFERROR(INDEX('Saisie'!$AF$5:$AF$2004,_xlfn.MAXIFS('Saisie'!$AS$5:$AS$2004,'Saisie'!$C$5:$C$2004,C180,'Saisie'!$AF$5:$AF$2004,"&lt;&gt;")-4),""))</f>
        <v/>
      </c>
      <c r="AD180" s="108">
        <f>IF(C180="","",IFERROR(INDEX('Saisie'!$AG$5:$AG$2004,_xlfn.MAXIFS('Saisie'!$AS$5:$AS$2004,'Saisie'!$C$5:$C$2004,C180,'Saisie'!$AG$5:$AG$2004,"&lt;&gt;")-4),""))</f>
        <v/>
      </c>
      <c r="AE180" s="60">
        <f>IF(C180="","",IFERROR(INDEX('Saisie'!$AH$5:$AH$2004,_xlfn.MAXIFS('Saisie'!$AS$5:$AS$2004,'Saisie'!$C$5:$C$2004,C180,'Saisie'!$AH$5:$AH$2004,"&lt;&gt;")-4),""))</f>
        <v/>
      </c>
      <c r="AF180" s="60">
        <f>IF(C180="","",IFERROR(INDEX('Saisie'!$AI$5:$AI$2004,_xlfn.MAXIFS('Saisie'!$AS$5:$AS$2004,'Saisie'!$C$5:$C$2004,C180,'Saisie'!$AI$5:$AI$2004,"&lt;&gt;")-4),""))</f>
        <v/>
      </c>
      <c r="AG180" s="60">
        <f>IF(C180="","",IFERROR(INDEX('Saisie'!$AJ$5:$AJ$2004,_xlfn.MAXIFS('Saisie'!$AS$5:$AS$2004,'Saisie'!$C$5:$C$2004,C180,'Saisie'!$AJ$5:$AJ$2004,"&lt;&gt;")-4),""))</f>
        <v/>
      </c>
      <c r="AH180" s="60">
        <f>IF(C180="","",IFERROR(INDEX('Saisie'!$AK$5:$AK$2004,_xlfn.MAXIFS('Saisie'!$AS$5:$AS$2004,'Saisie'!$C$5:$C$2004,C180,'Saisie'!$AK$5:$AK$2004,"&lt;&gt;")-4),""))</f>
        <v/>
      </c>
      <c r="AI180" s="60">
        <f>IF(C180="","",IFERROR(INDEX('Saisie'!$AN$5:$AN$2004,_xlfn.MAXIFS('Saisie'!$AS$5:$AS$2004,'Saisie'!$C$5:$C$2004,C180,'Saisie'!$AN$5:$AN$2004,"&lt;&gt;")-4),""))</f>
        <v/>
      </c>
      <c r="AJ180" s="60">
        <f>IF(C180="","",IFERROR(INDEX('Saisie'!$AO$5:$AO$2004,_xlfn.MAXIFS('Saisie'!$AS$5:$AS$2004,'Saisie'!$C$5:$C$2004,C180,'Saisie'!$AO$5:$AO$2004,"&lt;&gt;")-4),""))</f>
        <v/>
      </c>
      <c r="AK180" s="60">
        <f>IF(C180="","",IFERROR(INDEX('Saisie'!$AP$5:$AP$2004,_xlfn.MAXIFS('Saisie'!$AS$5:$AS$2004,'Saisie'!$C$5:$C$2004,C180,'Saisie'!$AP$5:$AP$2004,"&lt;&gt;")-4),""))</f>
        <v/>
      </c>
      <c r="AL180" s="60">
        <f>IF(C180="","",IFERROR(INDEX('Saisie'!$AQ$5:$AQ$2004,_xlfn.MAXIFS('Saisie'!$AS$5:$AS$2004,'Saisie'!$C$5:$C$2004,C180,'Saisie'!$AQ$5:$AQ$2004,"&lt;&gt;")-4),""))</f>
        <v/>
      </c>
      <c r="AM180" s="60">
        <f>IF(C180="","",((AI180="Oui")+(AJ180="Oui")+(AK180="Oui")+OR(AL180="Immédiat",AL180="&lt; 1 mois"))&amp;"/4")</f>
        <v/>
      </c>
      <c r="AN180" s="60">
        <f>IF(C180="","",IFERROR(INDEX('Saisie'!$AL$5:$AL$2004,_xlfn.MAXIFS('Saisie'!$AS$5:$AS$2004,'Saisie'!$C$5:$C$2004,C180,'Saisie'!$AL$5:$AL$2004,"&lt;&gt;")-4),""))</f>
        <v/>
      </c>
      <c r="AO180" s="62">
        <f>IF(C180="","",IF(IFERROR(INDEX('Saisie'!$AM$5:$AM$2004,_xlfn.MAXIFS('Saisie'!$AS$5:$AS$2004,'Saisie'!$C$5:$C$2004,C180,'Saisie'!$AM$5:$AM$2004,"&lt;&gt;")-4),"")&lt;&gt;"",IFERROR(INDEX('Saisie'!$AM$5:$AM$2004,_xlfn.MAXIFS('Saisie'!$AS$5:$AS$2004,'Saisie'!$C$5:$C$2004,C180,'Saisie'!$AM$5:$AM$2004,"&lt;&gt;")-4),""),IFERROR(INDEX('Paramètres'!$S$6:$S$15,MATCH(AN180,'Paramètres'!$Q$6:$Q$15,0)),"")))</f>
        <v/>
      </c>
      <c r="AP180" s="62">
        <f>IF(C180="","",IFERROR(INDEX('Saisie'!$AW$5:$AW$2004,_xlfn.MAXIFS('Saisie'!$AS$5:$AS$2004,'Saisie'!$C$5:$C$2004,C180,'Saisie'!$E$5:$E$2004,"Proposition envoyée")-4),""))</f>
        <v/>
      </c>
      <c r="AQ180" s="106">
        <f>IF(C180="","",IFERROR(1/(1/_xlfn.MAXIFS('Saisie'!$A$5:$A$2004,'Saisie'!$C$5:$C$2004,C180,'Saisie'!$E$5:$E$2004,"Proposition envoyée")),""))</f>
        <v/>
      </c>
      <c r="AR180" s="106">
        <f>IF(C180="","",IF(AQ180="","",AQ180+'Paramètres'!$B$26))</f>
        <v/>
      </c>
      <c r="AS180" s="62">
        <f>IF(OR(C180="",D180="Gagné",D180="Perdu"),0,N(AP180)*IFERROR(INDEX('Paramètres'!$G$6:$G$13,MATCH(D180,'Paramètres'!$F$6:$F$13,0)),0))</f>
        <v/>
      </c>
      <c r="AT180" s="106">
        <f>IF(C180="","",IFERROR(1/(1/_xlfn.MINIFS('Saisie'!$A$5:$A$2004,'Saisie'!$C$5:$C$2004,C180,'Saisie'!$E$5:$E$2004,"Signature")),""))</f>
        <v/>
      </c>
      <c r="AU180" s="60">
        <f>IF(C180="","",IF(OR(AT180="",B180=""),"",AT180-B180))</f>
        <v/>
      </c>
      <c r="AV180" s="60">
        <f>IF(C180="","",IFERROR(INDEX('Saisie'!$L$5:$L$2004,_xlfn.MAXIFS('Saisie'!$AS$5:$AS$2004,'Saisie'!$C$5:$C$2004,C180,'Saisie'!$L$5:$L$2004,"&lt;&gt;")-4),""))</f>
        <v/>
      </c>
      <c r="AW180" s="106">
        <f>IF(C180="","",IF(D180&lt;&gt;"Perdu","",IFERROR(1/(1/_xlfn.MAXIFS('Saisie'!$A$5:$A$2004,'Saisie'!$C$5:$C$2004,C180,'Saisie'!$E$5:$E$2004,"Perdu")),"")))</f>
        <v/>
      </c>
      <c r="AX180" s="106">
        <f>IF(C180="","",IF(AW180="","",AW180+'Paramètres'!$B$28))</f>
        <v/>
      </c>
      <c r="AY180" s="60">
        <f>IF(C180="","",SUMIFS('Saisie'!$H$5:$H$2004,'Saisie'!$C$5:$C$2004,C180))</f>
        <v/>
      </c>
      <c r="AZ180" s="60">
        <f>IF(C180="","",IFERROR(INDEX('Paramètres'!$W$6:$W$20,MATCH(S180,'Paramètres'!$V$6:$V$20,0))&amp;"",""))</f>
        <v/>
      </c>
      <c r="BA180" s="60">
        <f>IF(C180="","",MAX(1,_xlfn.MAXIFS('Saisie'!$AT$5:$AT$2004,'Saisie'!$C$5:$C$2004,C180)))</f>
        <v/>
      </c>
      <c r="BB180" s="60">
        <f>IF(C180="","",IFERROR(INDEX('Saisie'!$X$5:$X$2004,_xlfn.MAXIFS('Saisie'!$AS$5:$AS$2004,'Saisie'!$C$5:$C$2004,C180,'Saisie'!$X$5:$X$2004,"&lt;&gt;")-4),""))</f>
        <v/>
      </c>
      <c r="BC180" s="60">
        <f>IF(C180="","",IFERROR(INDEX('Saisie'!$Y$5:$Y$2004,_xlfn.MAXIFS('Saisie'!$AS$5:$AS$2004,'Saisie'!$C$5:$C$2004,C180,'Saisie'!$Y$5:$Y$2004,"&lt;&gt;")-4),""))</f>
        <v/>
      </c>
      <c r="BD180" s="106">
        <f>IF(C180="","",IFERROR(1/(1/_xlfn.MINIFS('Saisie'!$A$5:$A$2004,'Saisie'!$C$5:$C$2004,C180,'Saisie'!$AT$5:$AT$2004,"&gt;=2")),""))</f>
        <v/>
      </c>
      <c r="BE180" s="106">
        <f>IF(C180="","",IFERROR(1/(1/_xlfn.MINIFS('Saisie'!$A$5:$A$2004,'Saisie'!$C$5:$C$2004,C180,'Saisie'!$AT$5:$AT$2004,"&gt;=3")),""))</f>
        <v/>
      </c>
      <c r="BF180" s="106">
        <f>IF(C180="","",IFERROR(1/(1/_xlfn.MINIFS('Saisie'!$A$5:$A$2004,'Saisie'!$C$5:$C$2004,C180,'Saisie'!$AT$5:$AT$2004,"&gt;=4")),""))</f>
        <v/>
      </c>
      <c r="BG180" s="106">
        <f>IF(C180="","",IFERROR(1/(1/_xlfn.MINIFS('Saisie'!$A$5:$A$2004,'Saisie'!$C$5:$C$2004,C180,'Saisie'!$AT$5:$AT$2004,"&gt;=5")),""))</f>
        <v/>
      </c>
      <c r="BH180" s="106">
        <f>IF(C180="","",IFERROR(1/(1/_xlfn.MINIFS('Saisie'!$A$5:$A$2004,'Saisie'!$C$5:$C$2004,C180,'Saisie'!$AT$5:$AT$2004,"&gt;=6")),""))</f>
        <v/>
      </c>
      <c r="BI180" s="106">
        <f>IF(C180="","",IFERROR(1/(1/_xlfn.MINIFS('Saisie'!$A$5:$A$2004,'Saisie'!$C$5:$C$2004,C180,'Saisie'!$AT$5:$AT$2004,"&gt;=7")),""))</f>
        <v/>
      </c>
      <c r="BJ180" s="60">
        <f>IF(OR(BD180="",B180=""),"",BD180-B180)</f>
        <v/>
      </c>
      <c r="BK180" s="60">
        <f>IF(OR(BE180="",BD180=""),"",BE180-BD180)</f>
        <v/>
      </c>
      <c r="BL180" s="60">
        <f>IF(OR(BF180="",BE180=""),"",BF180-BE180)</f>
        <v/>
      </c>
      <c r="BM180" s="60">
        <f>IF(OR(BG180="",BF180=""),"",BG180-BF180)</f>
        <v/>
      </c>
      <c r="BN180" s="60">
        <f>IF(OR(BH180="",BG180=""),"",BH180-BG180)</f>
        <v/>
      </c>
      <c r="BO180" s="60">
        <f>IF(OR(BI180="",BH180=""),"",BI180-BH180)</f>
        <v/>
      </c>
      <c r="BP180" s="60">
        <f>IF(C180="","",_xlfn.MAXIFS('Saisie'!$AS$5:$AS$2004,'Saisie'!$C$5:$C$2004,C180,'Saisie'!$J$5:$J$2004,"&lt;&gt;"))</f>
        <v/>
      </c>
      <c r="BQ180" s="60">
        <f>IF(C180="","",_xlfn.MAXIFS('Saisie'!$AS$5:$AS$2004,'Saisie'!$C$5:$C$2004,C180))</f>
        <v/>
      </c>
      <c r="BR180" s="60">
        <f>IF(C180="","",_xlfn.MAXIFS('Saisie'!$AS$5:$AS$2004,'Saisie'!$C$5:$C$2004,C180,'Saisie'!$E$5:$E$2004,"Perdu"))</f>
        <v/>
      </c>
      <c r="BS180" s="60">
        <f>IF(C180="","",_xlfn.MAXIFS('Saisie'!$AS$5:$AS$2004,'Saisie'!$C$5:$C$2004,C180,'Saisie'!$AT$5:$AT$2004,"&gt;0"))</f>
        <v/>
      </c>
      <c r="BT180" s="109">
        <f>IF(AND(C180&lt;&gt;"",OR(D180="Nouveau",D180="Contacté",D180="Qualifié"),OR(G180="",N(G180)&lt;=TODAY()),NOT(AND(O180&gt;='Paramètres'!$B$21,P180=0))),E180+176/10000,"")</f>
        <v/>
      </c>
      <c r="BU180" s="60">
        <f>IF(AND(G180&lt;&gt;"",N(G180)&lt;=TODAY()),MAX($BU$4:BU179)+1,"")</f>
        <v/>
      </c>
      <c r="BV180" s="60">
        <f>IF(AND(F180&lt;&gt;"",F180&lt;&gt;"Relance en retard"),MAX($BV$4:BV179)+1,"")</f>
        <v/>
      </c>
      <c r="BW180" s="60">
        <f>IF(C180="","",IF(AND(B180&gt;='Tableau de bord'!$R$4,B180&lt;='Tableau de bord'!$S$4,OR('Tableau de bord'!$G$4="Tous",N180='Tableau de bord'!$G$4)),1,0))</f>
        <v/>
      </c>
      <c r="BX180" s="60">
        <f>IF(AND(C180&lt;&gt;"",N(BA180)=7),MAX($BX$4:BX179)+1,"")</f>
        <v/>
      </c>
    </row>
    <row r="181">
      <c r="A181" s="60">
        <f>IF(C181="","","P-"&amp;TEXT(177,"000"))</f>
        <v/>
      </c>
      <c r="B181" s="106">
        <f>IF(C181="","",IFERROR(1/(1/_xlfn.MINIFS('Saisie'!$A$5:$A$2004,'Saisie'!$C$5:$C$2004,C181)),""))</f>
        <v/>
      </c>
      <c r="C181" s="60">
        <f>IFERROR(INDEX('Saisie'!$C$5:$C$2004,MATCH(177,'Saisie'!$AX$5:$AX$2004,0)),"")</f>
        <v/>
      </c>
      <c r="D181" s="60">
        <f>IF(C181="","",IF(AND(BR181&gt;0,BR181&gt;BS181,BA181&lt;7),"Perdu",INDEX('Paramètres'!$F$6:$F$13,BA181)))</f>
        <v/>
      </c>
      <c r="E181" s="61">
        <f>IF(C181="","",MIN(100,(Z181="Oui")*'Paramètres'!$B$38+(AB181="Régulière")*'Paramètres'!$B$39+IF(AND(N(AA181)&gt;0,TODAY()-N(AA181)&lt;=30),'Paramètres'!$B$40,0)+(W181="")*'Paramètres'!$B$41+(AC181="Absente")*'Paramètres'!$B$42+(AC181="Faible")*'Paramètres'!$B$43+IF(AND(N(AD181)&gt;0,N(AD181)&lt;4),'Paramètres'!$B$44,0)+(AF181="Moyenne")*'Paramètres'!$B$45+(AF181="Grande")*'Paramètres'!$B$46+(Y181&lt;&gt;"")*'Paramètres'!$B$47))</f>
        <v/>
      </c>
      <c r="F181" s="60">
        <f>IF(C181="","",IF(D181="Gagné","",IF(D181="Perdu",IF(AND(AX181&lt;&gt;"",AX181&lt;=TODAY()),"À recontacter (perdu)",""),IF(AND(O181&gt;='Paramètres'!$B$21,P181=0),"Stop : "&amp;'Paramètres'!$B$21&amp;" tentatives sans réponse",IF(AND(D181="Proposition",AR181&lt;&gt;"",TODAY()&gt;N(AR181)),"Proposition expirée",IF(AND(D181="Proposition",N(R181)&gt;='Paramètres'!$B$25),"Proposition sans réponse",IF(AND(G181&lt;&gt;"",N(G181)&lt;TODAY()),"Relance en retard",IF(N(R181)&gt;='Paramètres'!$B$24,"Sans action depuis "&amp;R181&amp;" j",""))))))))</f>
        <v/>
      </c>
      <c r="G181" s="106">
        <f>IF(OR(C181="",D181="Gagné",D181="Perdu"),"",IF(AND(BP181&gt;0,BP181=BQ181),INDEX('Saisie'!$J$5:$J$2004,BP181-4),IF(OR(O181=0,AND(O181&gt;='Paramètres'!$B$21,P181=0)),"",Q181+IF(O181&lt;=1,'Paramètres'!$B$18,IF(O181=2,'Paramètres'!$B$19,'Paramètres'!$B$20)))))</f>
        <v/>
      </c>
      <c r="H181" s="107">
        <f>IF(OR(G181="",BP181&lt;&gt;BQ181),"",IF(INDEX('Saisie'!$K$5:$K$2004,BP181-4)="","",INDEX('Saisie'!$K$5:$K$2004,BP181-4)))</f>
        <v/>
      </c>
      <c r="I181" s="60">
        <f>IF(C181="","",IF(OR(D181="Gagné",D181="Perdu"),"",IFERROR(INDEX('Saisie'!$I$5:$I$2004,_xlfn.MAXIFS('Saisie'!$AS$5:$AS$2004,'Saisie'!$C$5:$C$2004,C181,'Saisie'!$I$5:$I$2004,"&lt;&gt;")-4),"")))</f>
        <v/>
      </c>
      <c r="J181" s="60">
        <f>IF(C181="","",IFERROR(INDEX('Saisie'!$U$5:$U$2004,_xlfn.MAXIFS('Saisie'!$AS$5:$AS$2004,'Saisie'!$C$5:$C$2004,C181,'Saisie'!$U$5:$U$2004,"&lt;&gt;")-4),""))</f>
        <v/>
      </c>
      <c r="K181" s="60">
        <f>IF(C181="","",IFERROR(INDEX('Saisie'!$W$5:$W$2004,_xlfn.MAXIFS('Saisie'!$AS$5:$AS$2004,'Saisie'!$C$5:$C$2004,C181,'Saisie'!$W$5:$W$2004,"&lt;&gt;")-4),""))</f>
        <v/>
      </c>
      <c r="L181" s="60">
        <f>IF(IF(BB181&lt;&gt;"",BB181,K181)="","",HYPERLINK("https://wa.me/"&amp;IF(LEFT(SUBSTITUTE(SUBSTITUTE(SUBSTITUTE(IF(BB181&lt;&gt;"",BB181,K181)," ",""),".",""),"+",""),1)="0",'Paramètres'!$B$35&amp;MID(SUBSTITUTE(SUBSTITUTE(SUBSTITUTE(IF(BB181&lt;&gt;"",BB181,K181)," ",""),".",""),"+",""),2,20),SUBSTITUTE(SUBSTITUTE(SUBSTITUTE(IF(BB181&lt;&gt;"",BB181,K181)," ",""),".",""),"+","")),"WhatsApp"))</f>
        <v/>
      </c>
      <c r="M181" s="60">
        <f>IF(BC181="","",HYPERLINK(IF(LEFT(BC181,4)="http",BC181,"https://www.instagram.com/"&amp;SUBSTITUTE(SUBSTITUTE(BC181,"@","")," ","")),BC181))</f>
        <v/>
      </c>
      <c r="N181" s="60">
        <f>IF(C181="","",IFERROR(INDEX('Saisie'!$D$5:$D$2004,_xlfn.MINIFS('Saisie'!$AS$5:$AS$2004,'Saisie'!$C$5:$C$2004,C181,'Saisie'!$AU$5:$AU$2004,1)-4),IFERROR(INDEX('Saisie'!$D$5:$D$2004,_xlfn.MINIFS('Saisie'!$AS$5:$AS$2004,'Saisie'!$C$5:$C$2004,C181,'Saisie'!$D$5:$D$2004,"&lt;&gt;")-4),"")))</f>
        <v/>
      </c>
      <c r="O181" s="60">
        <f>IF(C181="","",COUNTIFS('Saisie'!$C$5:$C$2004,C181,'Saisie'!$AU$5:$AU$2004,1))</f>
        <v/>
      </c>
      <c r="P181" s="60">
        <f>IF(C181="","",COUNTIFS('Saisie'!$C$5:$C$2004,C181,'Saisie'!$AV$5:$AV$2004,1))</f>
        <v/>
      </c>
      <c r="Q181" s="106">
        <f>IF(C181="","",IFERROR(1/(1/_xlfn.MAXIFS('Saisie'!$A$5:$A$2004,'Saisie'!$C$5:$C$2004,C181)),""))</f>
        <v/>
      </c>
      <c r="R181" s="61">
        <f>IF(C181="","",IF(Q181="","",TODAY()-Q181))</f>
        <v/>
      </c>
      <c r="S181" s="60">
        <f>IF(C181="","",IFERROR(INDEX('Saisie'!$R$5:$R$2004,_xlfn.MAXIFS('Saisie'!$AS$5:$AS$2004,'Saisie'!$C$5:$C$2004,C181,'Saisie'!$R$5:$R$2004,"&lt;&gt;")-4),""))</f>
        <v/>
      </c>
      <c r="T181" s="60">
        <f>IF(C181="","",IFERROR(INDEX('Saisie'!$S$5:$S$2004,_xlfn.MAXIFS('Saisie'!$AS$5:$AS$2004,'Saisie'!$C$5:$C$2004,C181,'Saisie'!$S$5:$S$2004,"&lt;&gt;")-4),""))</f>
        <v/>
      </c>
      <c r="U181" s="60">
        <f>IF(C181="","",IFERROR(INDEX('Saisie'!$T$5:$T$2004,_xlfn.MAXIFS('Saisie'!$AS$5:$AS$2004,'Saisie'!$C$5:$C$2004,C181,'Saisie'!$T$5:$T$2004,"&lt;&gt;")-4),""))</f>
        <v/>
      </c>
      <c r="V181" s="60">
        <f>IF(C181="","",IFERROR(INDEX('Saisie'!$V$5:$V$2004,_xlfn.MAXIFS('Saisie'!$AS$5:$AS$2004,'Saisie'!$C$5:$C$2004,C181,'Saisie'!$V$5:$V$2004,"&lt;&gt;")-4),""))</f>
        <v/>
      </c>
      <c r="W181" s="60">
        <f>IF(C181="","",IFERROR(INDEX('Saisie'!$Z$5:$Z$2004,_xlfn.MAXIFS('Saisie'!$AS$5:$AS$2004,'Saisie'!$C$5:$C$2004,C181,'Saisie'!$Z$5:$Z$2004,"&lt;&gt;")-4),""))</f>
        <v/>
      </c>
      <c r="X181" s="60">
        <f>IF(C181="","",IFERROR(INDEX('Saisie'!$AA$5:$AA$2004,_xlfn.MAXIFS('Saisie'!$AS$5:$AS$2004,'Saisie'!$C$5:$C$2004,C181,'Saisie'!$AA$5:$AA$2004,"&lt;&gt;")-4),""))</f>
        <v/>
      </c>
      <c r="Y181" s="60">
        <f>IF(C181="","",IFERROR(INDEX('Saisie'!$AB$5:$AB$2004,_xlfn.MAXIFS('Saisie'!$AS$5:$AS$2004,'Saisie'!$C$5:$C$2004,C181,'Saisie'!$AB$5:$AB$2004,"&lt;&gt;")-4),""))</f>
        <v/>
      </c>
      <c r="Z181" s="60">
        <f>IF(C181="","",IFERROR(INDEX('Saisie'!$AC$5:$AC$2004,_xlfn.MAXIFS('Saisie'!$AS$5:$AS$2004,'Saisie'!$C$5:$C$2004,C181,'Saisie'!$AC$5:$AC$2004,"&lt;&gt;")-4),""))</f>
        <v/>
      </c>
      <c r="AA181" s="106">
        <f>IF(C181="","",IFERROR(INDEX('Saisie'!$AD$5:$AD$2004,_xlfn.MAXIFS('Saisie'!$AS$5:$AS$2004,'Saisie'!$C$5:$C$2004,C181,'Saisie'!$AD$5:$AD$2004,"&lt;&gt;")-4),""))</f>
        <v/>
      </c>
      <c r="AB181" s="60">
        <f>IF(C181="","",IFERROR(INDEX('Saisie'!$AE$5:$AE$2004,_xlfn.MAXIFS('Saisie'!$AS$5:$AS$2004,'Saisie'!$C$5:$C$2004,C181,'Saisie'!$AE$5:$AE$2004,"&lt;&gt;")-4),""))</f>
        <v/>
      </c>
      <c r="AC181" s="60">
        <f>IF(C181="","",IFERROR(INDEX('Saisie'!$AF$5:$AF$2004,_xlfn.MAXIFS('Saisie'!$AS$5:$AS$2004,'Saisie'!$C$5:$C$2004,C181,'Saisie'!$AF$5:$AF$2004,"&lt;&gt;")-4),""))</f>
        <v/>
      </c>
      <c r="AD181" s="108">
        <f>IF(C181="","",IFERROR(INDEX('Saisie'!$AG$5:$AG$2004,_xlfn.MAXIFS('Saisie'!$AS$5:$AS$2004,'Saisie'!$C$5:$C$2004,C181,'Saisie'!$AG$5:$AG$2004,"&lt;&gt;")-4),""))</f>
        <v/>
      </c>
      <c r="AE181" s="60">
        <f>IF(C181="","",IFERROR(INDEX('Saisie'!$AH$5:$AH$2004,_xlfn.MAXIFS('Saisie'!$AS$5:$AS$2004,'Saisie'!$C$5:$C$2004,C181,'Saisie'!$AH$5:$AH$2004,"&lt;&gt;")-4),""))</f>
        <v/>
      </c>
      <c r="AF181" s="60">
        <f>IF(C181="","",IFERROR(INDEX('Saisie'!$AI$5:$AI$2004,_xlfn.MAXIFS('Saisie'!$AS$5:$AS$2004,'Saisie'!$C$5:$C$2004,C181,'Saisie'!$AI$5:$AI$2004,"&lt;&gt;")-4),""))</f>
        <v/>
      </c>
      <c r="AG181" s="60">
        <f>IF(C181="","",IFERROR(INDEX('Saisie'!$AJ$5:$AJ$2004,_xlfn.MAXIFS('Saisie'!$AS$5:$AS$2004,'Saisie'!$C$5:$C$2004,C181,'Saisie'!$AJ$5:$AJ$2004,"&lt;&gt;")-4),""))</f>
        <v/>
      </c>
      <c r="AH181" s="60">
        <f>IF(C181="","",IFERROR(INDEX('Saisie'!$AK$5:$AK$2004,_xlfn.MAXIFS('Saisie'!$AS$5:$AS$2004,'Saisie'!$C$5:$C$2004,C181,'Saisie'!$AK$5:$AK$2004,"&lt;&gt;")-4),""))</f>
        <v/>
      </c>
      <c r="AI181" s="60">
        <f>IF(C181="","",IFERROR(INDEX('Saisie'!$AN$5:$AN$2004,_xlfn.MAXIFS('Saisie'!$AS$5:$AS$2004,'Saisie'!$C$5:$C$2004,C181,'Saisie'!$AN$5:$AN$2004,"&lt;&gt;")-4),""))</f>
        <v/>
      </c>
      <c r="AJ181" s="60">
        <f>IF(C181="","",IFERROR(INDEX('Saisie'!$AO$5:$AO$2004,_xlfn.MAXIFS('Saisie'!$AS$5:$AS$2004,'Saisie'!$C$5:$C$2004,C181,'Saisie'!$AO$5:$AO$2004,"&lt;&gt;")-4),""))</f>
        <v/>
      </c>
      <c r="AK181" s="60">
        <f>IF(C181="","",IFERROR(INDEX('Saisie'!$AP$5:$AP$2004,_xlfn.MAXIFS('Saisie'!$AS$5:$AS$2004,'Saisie'!$C$5:$C$2004,C181,'Saisie'!$AP$5:$AP$2004,"&lt;&gt;")-4),""))</f>
        <v/>
      </c>
      <c r="AL181" s="60">
        <f>IF(C181="","",IFERROR(INDEX('Saisie'!$AQ$5:$AQ$2004,_xlfn.MAXIFS('Saisie'!$AS$5:$AS$2004,'Saisie'!$C$5:$C$2004,C181,'Saisie'!$AQ$5:$AQ$2004,"&lt;&gt;")-4),""))</f>
        <v/>
      </c>
      <c r="AM181" s="60">
        <f>IF(C181="","",((AI181="Oui")+(AJ181="Oui")+(AK181="Oui")+OR(AL181="Immédiat",AL181="&lt; 1 mois"))&amp;"/4")</f>
        <v/>
      </c>
      <c r="AN181" s="60">
        <f>IF(C181="","",IFERROR(INDEX('Saisie'!$AL$5:$AL$2004,_xlfn.MAXIFS('Saisie'!$AS$5:$AS$2004,'Saisie'!$C$5:$C$2004,C181,'Saisie'!$AL$5:$AL$2004,"&lt;&gt;")-4),""))</f>
        <v/>
      </c>
      <c r="AO181" s="62">
        <f>IF(C181="","",IF(IFERROR(INDEX('Saisie'!$AM$5:$AM$2004,_xlfn.MAXIFS('Saisie'!$AS$5:$AS$2004,'Saisie'!$C$5:$C$2004,C181,'Saisie'!$AM$5:$AM$2004,"&lt;&gt;")-4),"")&lt;&gt;"",IFERROR(INDEX('Saisie'!$AM$5:$AM$2004,_xlfn.MAXIFS('Saisie'!$AS$5:$AS$2004,'Saisie'!$C$5:$C$2004,C181,'Saisie'!$AM$5:$AM$2004,"&lt;&gt;")-4),""),IFERROR(INDEX('Paramètres'!$S$6:$S$15,MATCH(AN181,'Paramètres'!$Q$6:$Q$15,0)),"")))</f>
        <v/>
      </c>
      <c r="AP181" s="62">
        <f>IF(C181="","",IFERROR(INDEX('Saisie'!$AW$5:$AW$2004,_xlfn.MAXIFS('Saisie'!$AS$5:$AS$2004,'Saisie'!$C$5:$C$2004,C181,'Saisie'!$E$5:$E$2004,"Proposition envoyée")-4),""))</f>
        <v/>
      </c>
      <c r="AQ181" s="106">
        <f>IF(C181="","",IFERROR(1/(1/_xlfn.MAXIFS('Saisie'!$A$5:$A$2004,'Saisie'!$C$5:$C$2004,C181,'Saisie'!$E$5:$E$2004,"Proposition envoyée")),""))</f>
        <v/>
      </c>
      <c r="AR181" s="106">
        <f>IF(C181="","",IF(AQ181="","",AQ181+'Paramètres'!$B$26))</f>
        <v/>
      </c>
      <c r="AS181" s="62">
        <f>IF(OR(C181="",D181="Gagné",D181="Perdu"),0,N(AP181)*IFERROR(INDEX('Paramètres'!$G$6:$G$13,MATCH(D181,'Paramètres'!$F$6:$F$13,0)),0))</f>
        <v/>
      </c>
      <c r="AT181" s="106">
        <f>IF(C181="","",IFERROR(1/(1/_xlfn.MINIFS('Saisie'!$A$5:$A$2004,'Saisie'!$C$5:$C$2004,C181,'Saisie'!$E$5:$E$2004,"Signature")),""))</f>
        <v/>
      </c>
      <c r="AU181" s="60">
        <f>IF(C181="","",IF(OR(AT181="",B181=""),"",AT181-B181))</f>
        <v/>
      </c>
      <c r="AV181" s="60">
        <f>IF(C181="","",IFERROR(INDEX('Saisie'!$L$5:$L$2004,_xlfn.MAXIFS('Saisie'!$AS$5:$AS$2004,'Saisie'!$C$5:$C$2004,C181,'Saisie'!$L$5:$L$2004,"&lt;&gt;")-4),""))</f>
        <v/>
      </c>
      <c r="AW181" s="106">
        <f>IF(C181="","",IF(D181&lt;&gt;"Perdu","",IFERROR(1/(1/_xlfn.MAXIFS('Saisie'!$A$5:$A$2004,'Saisie'!$C$5:$C$2004,C181,'Saisie'!$E$5:$E$2004,"Perdu")),"")))</f>
        <v/>
      </c>
      <c r="AX181" s="106">
        <f>IF(C181="","",IF(AW181="","",AW181+'Paramètres'!$B$28))</f>
        <v/>
      </c>
      <c r="AY181" s="60">
        <f>IF(C181="","",SUMIFS('Saisie'!$H$5:$H$2004,'Saisie'!$C$5:$C$2004,C181))</f>
        <v/>
      </c>
      <c r="AZ181" s="60">
        <f>IF(C181="","",IFERROR(INDEX('Paramètres'!$W$6:$W$20,MATCH(S181,'Paramètres'!$V$6:$V$20,0))&amp;"",""))</f>
        <v/>
      </c>
      <c r="BA181" s="60">
        <f>IF(C181="","",MAX(1,_xlfn.MAXIFS('Saisie'!$AT$5:$AT$2004,'Saisie'!$C$5:$C$2004,C181)))</f>
        <v/>
      </c>
      <c r="BB181" s="60">
        <f>IF(C181="","",IFERROR(INDEX('Saisie'!$X$5:$X$2004,_xlfn.MAXIFS('Saisie'!$AS$5:$AS$2004,'Saisie'!$C$5:$C$2004,C181,'Saisie'!$X$5:$X$2004,"&lt;&gt;")-4),""))</f>
        <v/>
      </c>
      <c r="BC181" s="60">
        <f>IF(C181="","",IFERROR(INDEX('Saisie'!$Y$5:$Y$2004,_xlfn.MAXIFS('Saisie'!$AS$5:$AS$2004,'Saisie'!$C$5:$C$2004,C181,'Saisie'!$Y$5:$Y$2004,"&lt;&gt;")-4),""))</f>
        <v/>
      </c>
      <c r="BD181" s="106">
        <f>IF(C181="","",IFERROR(1/(1/_xlfn.MINIFS('Saisie'!$A$5:$A$2004,'Saisie'!$C$5:$C$2004,C181,'Saisie'!$AT$5:$AT$2004,"&gt;=2")),""))</f>
        <v/>
      </c>
      <c r="BE181" s="106">
        <f>IF(C181="","",IFERROR(1/(1/_xlfn.MINIFS('Saisie'!$A$5:$A$2004,'Saisie'!$C$5:$C$2004,C181,'Saisie'!$AT$5:$AT$2004,"&gt;=3")),""))</f>
        <v/>
      </c>
      <c r="BF181" s="106">
        <f>IF(C181="","",IFERROR(1/(1/_xlfn.MINIFS('Saisie'!$A$5:$A$2004,'Saisie'!$C$5:$C$2004,C181,'Saisie'!$AT$5:$AT$2004,"&gt;=4")),""))</f>
        <v/>
      </c>
      <c r="BG181" s="106">
        <f>IF(C181="","",IFERROR(1/(1/_xlfn.MINIFS('Saisie'!$A$5:$A$2004,'Saisie'!$C$5:$C$2004,C181,'Saisie'!$AT$5:$AT$2004,"&gt;=5")),""))</f>
        <v/>
      </c>
      <c r="BH181" s="106">
        <f>IF(C181="","",IFERROR(1/(1/_xlfn.MINIFS('Saisie'!$A$5:$A$2004,'Saisie'!$C$5:$C$2004,C181,'Saisie'!$AT$5:$AT$2004,"&gt;=6")),""))</f>
        <v/>
      </c>
      <c r="BI181" s="106">
        <f>IF(C181="","",IFERROR(1/(1/_xlfn.MINIFS('Saisie'!$A$5:$A$2004,'Saisie'!$C$5:$C$2004,C181,'Saisie'!$AT$5:$AT$2004,"&gt;=7")),""))</f>
        <v/>
      </c>
      <c r="BJ181" s="60">
        <f>IF(OR(BD181="",B181=""),"",BD181-B181)</f>
        <v/>
      </c>
      <c r="BK181" s="60">
        <f>IF(OR(BE181="",BD181=""),"",BE181-BD181)</f>
        <v/>
      </c>
      <c r="BL181" s="60">
        <f>IF(OR(BF181="",BE181=""),"",BF181-BE181)</f>
        <v/>
      </c>
      <c r="BM181" s="60">
        <f>IF(OR(BG181="",BF181=""),"",BG181-BF181)</f>
        <v/>
      </c>
      <c r="BN181" s="60">
        <f>IF(OR(BH181="",BG181=""),"",BH181-BG181)</f>
        <v/>
      </c>
      <c r="BO181" s="60">
        <f>IF(OR(BI181="",BH181=""),"",BI181-BH181)</f>
        <v/>
      </c>
      <c r="BP181" s="60">
        <f>IF(C181="","",_xlfn.MAXIFS('Saisie'!$AS$5:$AS$2004,'Saisie'!$C$5:$C$2004,C181,'Saisie'!$J$5:$J$2004,"&lt;&gt;"))</f>
        <v/>
      </c>
      <c r="BQ181" s="60">
        <f>IF(C181="","",_xlfn.MAXIFS('Saisie'!$AS$5:$AS$2004,'Saisie'!$C$5:$C$2004,C181))</f>
        <v/>
      </c>
      <c r="BR181" s="60">
        <f>IF(C181="","",_xlfn.MAXIFS('Saisie'!$AS$5:$AS$2004,'Saisie'!$C$5:$C$2004,C181,'Saisie'!$E$5:$E$2004,"Perdu"))</f>
        <v/>
      </c>
      <c r="BS181" s="60">
        <f>IF(C181="","",_xlfn.MAXIFS('Saisie'!$AS$5:$AS$2004,'Saisie'!$C$5:$C$2004,C181,'Saisie'!$AT$5:$AT$2004,"&gt;0"))</f>
        <v/>
      </c>
      <c r="BT181" s="109">
        <f>IF(AND(C181&lt;&gt;"",OR(D181="Nouveau",D181="Contacté",D181="Qualifié"),OR(G181="",N(G181)&lt;=TODAY()),NOT(AND(O181&gt;='Paramètres'!$B$21,P181=0))),E181+177/10000,"")</f>
        <v/>
      </c>
      <c r="BU181" s="60">
        <f>IF(AND(G181&lt;&gt;"",N(G181)&lt;=TODAY()),MAX($BU$4:BU180)+1,"")</f>
        <v/>
      </c>
      <c r="BV181" s="60">
        <f>IF(AND(F181&lt;&gt;"",F181&lt;&gt;"Relance en retard"),MAX($BV$4:BV180)+1,"")</f>
        <v/>
      </c>
      <c r="BW181" s="60">
        <f>IF(C181="","",IF(AND(B181&gt;='Tableau de bord'!$R$4,B181&lt;='Tableau de bord'!$S$4,OR('Tableau de bord'!$G$4="Tous",N181='Tableau de bord'!$G$4)),1,0))</f>
        <v/>
      </c>
      <c r="BX181" s="60">
        <f>IF(AND(C181&lt;&gt;"",N(BA181)=7),MAX($BX$4:BX180)+1,"")</f>
        <v/>
      </c>
    </row>
    <row r="182">
      <c r="A182" s="60">
        <f>IF(C182="","","P-"&amp;TEXT(178,"000"))</f>
        <v/>
      </c>
      <c r="B182" s="106">
        <f>IF(C182="","",IFERROR(1/(1/_xlfn.MINIFS('Saisie'!$A$5:$A$2004,'Saisie'!$C$5:$C$2004,C182)),""))</f>
        <v/>
      </c>
      <c r="C182" s="60">
        <f>IFERROR(INDEX('Saisie'!$C$5:$C$2004,MATCH(178,'Saisie'!$AX$5:$AX$2004,0)),"")</f>
        <v/>
      </c>
      <c r="D182" s="60">
        <f>IF(C182="","",IF(AND(BR182&gt;0,BR182&gt;BS182,BA182&lt;7),"Perdu",INDEX('Paramètres'!$F$6:$F$13,BA182)))</f>
        <v/>
      </c>
      <c r="E182" s="61">
        <f>IF(C182="","",MIN(100,(Z182="Oui")*'Paramètres'!$B$38+(AB182="Régulière")*'Paramètres'!$B$39+IF(AND(N(AA182)&gt;0,TODAY()-N(AA182)&lt;=30),'Paramètres'!$B$40,0)+(W182="")*'Paramètres'!$B$41+(AC182="Absente")*'Paramètres'!$B$42+(AC182="Faible")*'Paramètres'!$B$43+IF(AND(N(AD182)&gt;0,N(AD182)&lt;4),'Paramètres'!$B$44,0)+(AF182="Moyenne")*'Paramètres'!$B$45+(AF182="Grande")*'Paramètres'!$B$46+(Y182&lt;&gt;"")*'Paramètres'!$B$47))</f>
        <v/>
      </c>
      <c r="F182" s="60">
        <f>IF(C182="","",IF(D182="Gagné","",IF(D182="Perdu",IF(AND(AX182&lt;&gt;"",AX182&lt;=TODAY()),"À recontacter (perdu)",""),IF(AND(O182&gt;='Paramètres'!$B$21,P182=0),"Stop : "&amp;'Paramètres'!$B$21&amp;" tentatives sans réponse",IF(AND(D182="Proposition",AR182&lt;&gt;"",TODAY()&gt;N(AR182)),"Proposition expirée",IF(AND(D182="Proposition",N(R182)&gt;='Paramètres'!$B$25),"Proposition sans réponse",IF(AND(G182&lt;&gt;"",N(G182)&lt;TODAY()),"Relance en retard",IF(N(R182)&gt;='Paramètres'!$B$24,"Sans action depuis "&amp;R182&amp;" j",""))))))))</f>
        <v/>
      </c>
      <c r="G182" s="106">
        <f>IF(OR(C182="",D182="Gagné",D182="Perdu"),"",IF(AND(BP182&gt;0,BP182=BQ182),INDEX('Saisie'!$J$5:$J$2004,BP182-4),IF(OR(O182=0,AND(O182&gt;='Paramètres'!$B$21,P182=0)),"",Q182+IF(O182&lt;=1,'Paramètres'!$B$18,IF(O182=2,'Paramètres'!$B$19,'Paramètres'!$B$20)))))</f>
        <v/>
      </c>
      <c r="H182" s="107">
        <f>IF(OR(G182="",BP182&lt;&gt;BQ182),"",IF(INDEX('Saisie'!$K$5:$K$2004,BP182-4)="","",INDEX('Saisie'!$K$5:$K$2004,BP182-4)))</f>
        <v/>
      </c>
      <c r="I182" s="60">
        <f>IF(C182="","",IF(OR(D182="Gagné",D182="Perdu"),"",IFERROR(INDEX('Saisie'!$I$5:$I$2004,_xlfn.MAXIFS('Saisie'!$AS$5:$AS$2004,'Saisie'!$C$5:$C$2004,C182,'Saisie'!$I$5:$I$2004,"&lt;&gt;")-4),"")))</f>
        <v/>
      </c>
      <c r="J182" s="60">
        <f>IF(C182="","",IFERROR(INDEX('Saisie'!$U$5:$U$2004,_xlfn.MAXIFS('Saisie'!$AS$5:$AS$2004,'Saisie'!$C$5:$C$2004,C182,'Saisie'!$U$5:$U$2004,"&lt;&gt;")-4),""))</f>
        <v/>
      </c>
      <c r="K182" s="60">
        <f>IF(C182="","",IFERROR(INDEX('Saisie'!$W$5:$W$2004,_xlfn.MAXIFS('Saisie'!$AS$5:$AS$2004,'Saisie'!$C$5:$C$2004,C182,'Saisie'!$W$5:$W$2004,"&lt;&gt;")-4),""))</f>
        <v/>
      </c>
      <c r="L182" s="60">
        <f>IF(IF(BB182&lt;&gt;"",BB182,K182)="","",HYPERLINK("https://wa.me/"&amp;IF(LEFT(SUBSTITUTE(SUBSTITUTE(SUBSTITUTE(IF(BB182&lt;&gt;"",BB182,K182)," ",""),".",""),"+",""),1)="0",'Paramètres'!$B$35&amp;MID(SUBSTITUTE(SUBSTITUTE(SUBSTITUTE(IF(BB182&lt;&gt;"",BB182,K182)," ",""),".",""),"+",""),2,20),SUBSTITUTE(SUBSTITUTE(SUBSTITUTE(IF(BB182&lt;&gt;"",BB182,K182)," ",""),".",""),"+","")),"WhatsApp"))</f>
        <v/>
      </c>
      <c r="M182" s="60">
        <f>IF(BC182="","",HYPERLINK(IF(LEFT(BC182,4)="http",BC182,"https://www.instagram.com/"&amp;SUBSTITUTE(SUBSTITUTE(BC182,"@","")," ","")),BC182))</f>
        <v/>
      </c>
      <c r="N182" s="60">
        <f>IF(C182="","",IFERROR(INDEX('Saisie'!$D$5:$D$2004,_xlfn.MINIFS('Saisie'!$AS$5:$AS$2004,'Saisie'!$C$5:$C$2004,C182,'Saisie'!$AU$5:$AU$2004,1)-4),IFERROR(INDEX('Saisie'!$D$5:$D$2004,_xlfn.MINIFS('Saisie'!$AS$5:$AS$2004,'Saisie'!$C$5:$C$2004,C182,'Saisie'!$D$5:$D$2004,"&lt;&gt;")-4),"")))</f>
        <v/>
      </c>
      <c r="O182" s="60">
        <f>IF(C182="","",COUNTIFS('Saisie'!$C$5:$C$2004,C182,'Saisie'!$AU$5:$AU$2004,1))</f>
        <v/>
      </c>
      <c r="P182" s="60">
        <f>IF(C182="","",COUNTIFS('Saisie'!$C$5:$C$2004,C182,'Saisie'!$AV$5:$AV$2004,1))</f>
        <v/>
      </c>
      <c r="Q182" s="106">
        <f>IF(C182="","",IFERROR(1/(1/_xlfn.MAXIFS('Saisie'!$A$5:$A$2004,'Saisie'!$C$5:$C$2004,C182)),""))</f>
        <v/>
      </c>
      <c r="R182" s="61">
        <f>IF(C182="","",IF(Q182="","",TODAY()-Q182))</f>
        <v/>
      </c>
      <c r="S182" s="60">
        <f>IF(C182="","",IFERROR(INDEX('Saisie'!$R$5:$R$2004,_xlfn.MAXIFS('Saisie'!$AS$5:$AS$2004,'Saisie'!$C$5:$C$2004,C182,'Saisie'!$R$5:$R$2004,"&lt;&gt;")-4),""))</f>
        <v/>
      </c>
      <c r="T182" s="60">
        <f>IF(C182="","",IFERROR(INDEX('Saisie'!$S$5:$S$2004,_xlfn.MAXIFS('Saisie'!$AS$5:$AS$2004,'Saisie'!$C$5:$C$2004,C182,'Saisie'!$S$5:$S$2004,"&lt;&gt;")-4),""))</f>
        <v/>
      </c>
      <c r="U182" s="60">
        <f>IF(C182="","",IFERROR(INDEX('Saisie'!$T$5:$T$2004,_xlfn.MAXIFS('Saisie'!$AS$5:$AS$2004,'Saisie'!$C$5:$C$2004,C182,'Saisie'!$T$5:$T$2004,"&lt;&gt;")-4),""))</f>
        <v/>
      </c>
      <c r="V182" s="60">
        <f>IF(C182="","",IFERROR(INDEX('Saisie'!$V$5:$V$2004,_xlfn.MAXIFS('Saisie'!$AS$5:$AS$2004,'Saisie'!$C$5:$C$2004,C182,'Saisie'!$V$5:$V$2004,"&lt;&gt;")-4),""))</f>
        <v/>
      </c>
      <c r="W182" s="60">
        <f>IF(C182="","",IFERROR(INDEX('Saisie'!$Z$5:$Z$2004,_xlfn.MAXIFS('Saisie'!$AS$5:$AS$2004,'Saisie'!$C$5:$C$2004,C182,'Saisie'!$Z$5:$Z$2004,"&lt;&gt;")-4),""))</f>
        <v/>
      </c>
      <c r="X182" s="60">
        <f>IF(C182="","",IFERROR(INDEX('Saisie'!$AA$5:$AA$2004,_xlfn.MAXIFS('Saisie'!$AS$5:$AS$2004,'Saisie'!$C$5:$C$2004,C182,'Saisie'!$AA$5:$AA$2004,"&lt;&gt;")-4),""))</f>
        <v/>
      </c>
      <c r="Y182" s="60">
        <f>IF(C182="","",IFERROR(INDEX('Saisie'!$AB$5:$AB$2004,_xlfn.MAXIFS('Saisie'!$AS$5:$AS$2004,'Saisie'!$C$5:$C$2004,C182,'Saisie'!$AB$5:$AB$2004,"&lt;&gt;")-4),""))</f>
        <v/>
      </c>
      <c r="Z182" s="60">
        <f>IF(C182="","",IFERROR(INDEX('Saisie'!$AC$5:$AC$2004,_xlfn.MAXIFS('Saisie'!$AS$5:$AS$2004,'Saisie'!$C$5:$C$2004,C182,'Saisie'!$AC$5:$AC$2004,"&lt;&gt;")-4),""))</f>
        <v/>
      </c>
      <c r="AA182" s="106">
        <f>IF(C182="","",IFERROR(INDEX('Saisie'!$AD$5:$AD$2004,_xlfn.MAXIFS('Saisie'!$AS$5:$AS$2004,'Saisie'!$C$5:$C$2004,C182,'Saisie'!$AD$5:$AD$2004,"&lt;&gt;")-4),""))</f>
        <v/>
      </c>
      <c r="AB182" s="60">
        <f>IF(C182="","",IFERROR(INDEX('Saisie'!$AE$5:$AE$2004,_xlfn.MAXIFS('Saisie'!$AS$5:$AS$2004,'Saisie'!$C$5:$C$2004,C182,'Saisie'!$AE$5:$AE$2004,"&lt;&gt;")-4),""))</f>
        <v/>
      </c>
      <c r="AC182" s="60">
        <f>IF(C182="","",IFERROR(INDEX('Saisie'!$AF$5:$AF$2004,_xlfn.MAXIFS('Saisie'!$AS$5:$AS$2004,'Saisie'!$C$5:$C$2004,C182,'Saisie'!$AF$5:$AF$2004,"&lt;&gt;")-4),""))</f>
        <v/>
      </c>
      <c r="AD182" s="108">
        <f>IF(C182="","",IFERROR(INDEX('Saisie'!$AG$5:$AG$2004,_xlfn.MAXIFS('Saisie'!$AS$5:$AS$2004,'Saisie'!$C$5:$C$2004,C182,'Saisie'!$AG$5:$AG$2004,"&lt;&gt;")-4),""))</f>
        <v/>
      </c>
      <c r="AE182" s="60">
        <f>IF(C182="","",IFERROR(INDEX('Saisie'!$AH$5:$AH$2004,_xlfn.MAXIFS('Saisie'!$AS$5:$AS$2004,'Saisie'!$C$5:$C$2004,C182,'Saisie'!$AH$5:$AH$2004,"&lt;&gt;")-4),""))</f>
        <v/>
      </c>
      <c r="AF182" s="60">
        <f>IF(C182="","",IFERROR(INDEX('Saisie'!$AI$5:$AI$2004,_xlfn.MAXIFS('Saisie'!$AS$5:$AS$2004,'Saisie'!$C$5:$C$2004,C182,'Saisie'!$AI$5:$AI$2004,"&lt;&gt;")-4),""))</f>
        <v/>
      </c>
      <c r="AG182" s="60">
        <f>IF(C182="","",IFERROR(INDEX('Saisie'!$AJ$5:$AJ$2004,_xlfn.MAXIFS('Saisie'!$AS$5:$AS$2004,'Saisie'!$C$5:$C$2004,C182,'Saisie'!$AJ$5:$AJ$2004,"&lt;&gt;")-4),""))</f>
        <v/>
      </c>
      <c r="AH182" s="60">
        <f>IF(C182="","",IFERROR(INDEX('Saisie'!$AK$5:$AK$2004,_xlfn.MAXIFS('Saisie'!$AS$5:$AS$2004,'Saisie'!$C$5:$C$2004,C182,'Saisie'!$AK$5:$AK$2004,"&lt;&gt;")-4),""))</f>
        <v/>
      </c>
      <c r="AI182" s="60">
        <f>IF(C182="","",IFERROR(INDEX('Saisie'!$AN$5:$AN$2004,_xlfn.MAXIFS('Saisie'!$AS$5:$AS$2004,'Saisie'!$C$5:$C$2004,C182,'Saisie'!$AN$5:$AN$2004,"&lt;&gt;")-4),""))</f>
        <v/>
      </c>
      <c r="AJ182" s="60">
        <f>IF(C182="","",IFERROR(INDEX('Saisie'!$AO$5:$AO$2004,_xlfn.MAXIFS('Saisie'!$AS$5:$AS$2004,'Saisie'!$C$5:$C$2004,C182,'Saisie'!$AO$5:$AO$2004,"&lt;&gt;")-4),""))</f>
        <v/>
      </c>
      <c r="AK182" s="60">
        <f>IF(C182="","",IFERROR(INDEX('Saisie'!$AP$5:$AP$2004,_xlfn.MAXIFS('Saisie'!$AS$5:$AS$2004,'Saisie'!$C$5:$C$2004,C182,'Saisie'!$AP$5:$AP$2004,"&lt;&gt;")-4),""))</f>
        <v/>
      </c>
      <c r="AL182" s="60">
        <f>IF(C182="","",IFERROR(INDEX('Saisie'!$AQ$5:$AQ$2004,_xlfn.MAXIFS('Saisie'!$AS$5:$AS$2004,'Saisie'!$C$5:$C$2004,C182,'Saisie'!$AQ$5:$AQ$2004,"&lt;&gt;")-4),""))</f>
        <v/>
      </c>
      <c r="AM182" s="60">
        <f>IF(C182="","",((AI182="Oui")+(AJ182="Oui")+(AK182="Oui")+OR(AL182="Immédiat",AL182="&lt; 1 mois"))&amp;"/4")</f>
        <v/>
      </c>
      <c r="AN182" s="60">
        <f>IF(C182="","",IFERROR(INDEX('Saisie'!$AL$5:$AL$2004,_xlfn.MAXIFS('Saisie'!$AS$5:$AS$2004,'Saisie'!$C$5:$C$2004,C182,'Saisie'!$AL$5:$AL$2004,"&lt;&gt;")-4),""))</f>
        <v/>
      </c>
      <c r="AO182" s="62">
        <f>IF(C182="","",IF(IFERROR(INDEX('Saisie'!$AM$5:$AM$2004,_xlfn.MAXIFS('Saisie'!$AS$5:$AS$2004,'Saisie'!$C$5:$C$2004,C182,'Saisie'!$AM$5:$AM$2004,"&lt;&gt;")-4),"")&lt;&gt;"",IFERROR(INDEX('Saisie'!$AM$5:$AM$2004,_xlfn.MAXIFS('Saisie'!$AS$5:$AS$2004,'Saisie'!$C$5:$C$2004,C182,'Saisie'!$AM$5:$AM$2004,"&lt;&gt;")-4),""),IFERROR(INDEX('Paramètres'!$S$6:$S$15,MATCH(AN182,'Paramètres'!$Q$6:$Q$15,0)),"")))</f>
        <v/>
      </c>
      <c r="AP182" s="62">
        <f>IF(C182="","",IFERROR(INDEX('Saisie'!$AW$5:$AW$2004,_xlfn.MAXIFS('Saisie'!$AS$5:$AS$2004,'Saisie'!$C$5:$C$2004,C182,'Saisie'!$E$5:$E$2004,"Proposition envoyée")-4),""))</f>
        <v/>
      </c>
      <c r="AQ182" s="106">
        <f>IF(C182="","",IFERROR(1/(1/_xlfn.MAXIFS('Saisie'!$A$5:$A$2004,'Saisie'!$C$5:$C$2004,C182,'Saisie'!$E$5:$E$2004,"Proposition envoyée")),""))</f>
        <v/>
      </c>
      <c r="AR182" s="106">
        <f>IF(C182="","",IF(AQ182="","",AQ182+'Paramètres'!$B$26))</f>
        <v/>
      </c>
      <c r="AS182" s="62">
        <f>IF(OR(C182="",D182="Gagné",D182="Perdu"),0,N(AP182)*IFERROR(INDEX('Paramètres'!$G$6:$G$13,MATCH(D182,'Paramètres'!$F$6:$F$13,0)),0))</f>
        <v/>
      </c>
      <c r="AT182" s="106">
        <f>IF(C182="","",IFERROR(1/(1/_xlfn.MINIFS('Saisie'!$A$5:$A$2004,'Saisie'!$C$5:$C$2004,C182,'Saisie'!$E$5:$E$2004,"Signature")),""))</f>
        <v/>
      </c>
      <c r="AU182" s="60">
        <f>IF(C182="","",IF(OR(AT182="",B182=""),"",AT182-B182))</f>
        <v/>
      </c>
      <c r="AV182" s="60">
        <f>IF(C182="","",IFERROR(INDEX('Saisie'!$L$5:$L$2004,_xlfn.MAXIFS('Saisie'!$AS$5:$AS$2004,'Saisie'!$C$5:$C$2004,C182,'Saisie'!$L$5:$L$2004,"&lt;&gt;")-4),""))</f>
        <v/>
      </c>
      <c r="AW182" s="106">
        <f>IF(C182="","",IF(D182&lt;&gt;"Perdu","",IFERROR(1/(1/_xlfn.MAXIFS('Saisie'!$A$5:$A$2004,'Saisie'!$C$5:$C$2004,C182,'Saisie'!$E$5:$E$2004,"Perdu")),"")))</f>
        <v/>
      </c>
      <c r="AX182" s="106">
        <f>IF(C182="","",IF(AW182="","",AW182+'Paramètres'!$B$28))</f>
        <v/>
      </c>
      <c r="AY182" s="60">
        <f>IF(C182="","",SUMIFS('Saisie'!$H$5:$H$2004,'Saisie'!$C$5:$C$2004,C182))</f>
        <v/>
      </c>
      <c r="AZ182" s="60">
        <f>IF(C182="","",IFERROR(INDEX('Paramètres'!$W$6:$W$20,MATCH(S182,'Paramètres'!$V$6:$V$20,0))&amp;"",""))</f>
        <v/>
      </c>
      <c r="BA182" s="60">
        <f>IF(C182="","",MAX(1,_xlfn.MAXIFS('Saisie'!$AT$5:$AT$2004,'Saisie'!$C$5:$C$2004,C182)))</f>
        <v/>
      </c>
      <c r="BB182" s="60">
        <f>IF(C182="","",IFERROR(INDEX('Saisie'!$X$5:$X$2004,_xlfn.MAXIFS('Saisie'!$AS$5:$AS$2004,'Saisie'!$C$5:$C$2004,C182,'Saisie'!$X$5:$X$2004,"&lt;&gt;")-4),""))</f>
        <v/>
      </c>
      <c r="BC182" s="60">
        <f>IF(C182="","",IFERROR(INDEX('Saisie'!$Y$5:$Y$2004,_xlfn.MAXIFS('Saisie'!$AS$5:$AS$2004,'Saisie'!$C$5:$C$2004,C182,'Saisie'!$Y$5:$Y$2004,"&lt;&gt;")-4),""))</f>
        <v/>
      </c>
      <c r="BD182" s="106">
        <f>IF(C182="","",IFERROR(1/(1/_xlfn.MINIFS('Saisie'!$A$5:$A$2004,'Saisie'!$C$5:$C$2004,C182,'Saisie'!$AT$5:$AT$2004,"&gt;=2")),""))</f>
        <v/>
      </c>
      <c r="BE182" s="106">
        <f>IF(C182="","",IFERROR(1/(1/_xlfn.MINIFS('Saisie'!$A$5:$A$2004,'Saisie'!$C$5:$C$2004,C182,'Saisie'!$AT$5:$AT$2004,"&gt;=3")),""))</f>
        <v/>
      </c>
      <c r="BF182" s="106">
        <f>IF(C182="","",IFERROR(1/(1/_xlfn.MINIFS('Saisie'!$A$5:$A$2004,'Saisie'!$C$5:$C$2004,C182,'Saisie'!$AT$5:$AT$2004,"&gt;=4")),""))</f>
        <v/>
      </c>
      <c r="BG182" s="106">
        <f>IF(C182="","",IFERROR(1/(1/_xlfn.MINIFS('Saisie'!$A$5:$A$2004,'Saisie'!$C$5:$C$2004,C182,'Saisie'!$AT$5:$AT$2004,"&gt;=5")),""))</f>
        <v/>
      </c>
      <c r="BH182" s="106">
        <f>IF(C182="","",IFERROR(1/(1/_xlfn.MINIFS('Saisie'!$A$5:$A$2004,'Saisie'!$C$5:$C$2004,C182,'Saisie'!$AT$5:$AT$2004,"&gt;=6")),""))</f>
        <v/>
      </c>
      <c r="BI182" s="106">
        <f>IF(C182="","",IFERROR(1/(1/_xlfn.MINIFS('Saisie'!$A$5:$A$2004,'Saisie'!$C$5:$C$2004,C182,'Saisie'!$AT$5:$AT$2004,"&gt;=7")),""))</f>
        <v/>
      </c>
      <c r="BJ182" s="60">
        <f>IF(OR(BD182="",B182=""),"",BD182-B182)</f>
        <v/>
      </c>
      <c r="BK182" s="60">
        <f>IF(OR(BE182="",BD182=""),"",BE182-BD182)</f>
        <v/>
      </c>
      <c r="BL182" s="60">
        <f>IF(OR(BF182="",BE182=""),"",BF182-BE182)</f>
        <v/>
      </c>
      <c r="BM182" s="60">
        <f>IF(OR(BG182="",BF182=""),"",BG182-BF182)</f>
        <v/>
      </c>
      <c r="BN182" s="60">
        <f>IF(OR(BH182="",BG182=""),"",BH182-BG182)</f>
        <v/>
      </c>
      <c r="BO182" s="60">
        <f>IF(OR(BI182="",BH182=""),"",BI182-BH182)</f>
        <v/>
      </c>
      <c r="BP182" s="60">
        <f>IF(C182="","",_xlfn.MAXIFS('Saisie'!$AS$5:$AS$2004,'Saisie'!$C$5:$C$2004,C182,'Saisie'!$J$5:$J$2004,"&lt;&gt;"))</f>
        <v/>
      </c>
      <c r="BQ182" s="60">
        <f>IF(C182="","",_xlfn.MAXIFS('Saisie'!$AS$5:$AS$2004,'Saisie'!$C$5:$C$2004,C182))</f>
        <v/>
      </c>
      <c r="BR182" s="60">
        <f>IF(C182="","",_xlfn.MAXIFS('Saisie'!$AS$5:$AS$2004,'Saisie'!$C$5:$C$2004,C182,'Saisie'!$E$5:$E$2004,"Perdu"))</f>
        <v/>
      </c>
      <c r="BS182" s="60">
        <f>IF(C182="","",_xlfn.MAXIFS('Saisie'!$AS$5:$AS$2004,'Saisie'!$C$5:$C$2004,C182,'Saisie'!$AT$5:$AT$2004,"&gt;0"))</f>
        <v/>
      </c>
      <c r="BT182" s="109">
        <f>IF(AND(C182&lt;&gt;"",OR(D182="Nouveau",D182="Contacté",D182="Qualifié"),OR(G182="",N(G182)&lt;=TODAY()),NOT(AND(O182&gt;='Paramètres'!$B$21,P182=0))),E182+178/10000,"")</f>
        <v/>
      </c>
      <c r="BU182" s="60">
        <f>IF(AND(G182&lt;&gt;"",N(G182)&lt;=TODAY()),MAX($BU$4:BU181)+1,"")</f>
        <v/>
      </c>
      <c r="BV182" s="60">
        <f>IF(AND(F182&lt;&gt;"",F182&lt;&gt;"Relance en retard"),MAX($BV$4:BV181)+1,"")</f>
        <v/>
      </c>
      <c r="BW182" s="60">
        <f>IF(C182="","",IF(AND(B182&gt;='Tableau de bord'!$R$4,B182&lt;='Tableau de bord'!$S$4,OR('Tableau de bord'!$G$4="Tous",N182='Tableau de bord'!$G$4)),1,0))</f>
        <v/>
      </c>
      <c r="BX182" s="60">
        <f>IF(AND(C182&lt;&gt;"",N(BA182)=7),MAX($BX$4:BX181)+1,"")</f>
        <v/>
      </c>
    </row>
    <row r="183">
      <c r="A183" s="60">
        <f>IF(C183="","","P-"&amp;TEXT(179,"000"))</f>
        <v/>
      </c>
      <c r="B183" s="106">
        <f>IF(C183="","",IFERROR(1/(1/_xlfn.MINIFS('Saisie'!$A$5:$A$2004,'Saisie'!$C$5:$C$2004,C183)),""))</f>
        <v/>
      </c>
      <c r="C183" s="60">
        <f>IFERROR(INDEX('Saisie'!$C$5:$C$2004,MATCH(179,'Saisie'!$AX$5:$AX$2004,0)),"")</f>
        <v/>
      </c>
      <c r="D183" s="60">
        <f>IF(C183="","",IF(AND(BR183&gt;0,BR183&gt;BS183,BA183&lt;7),"Perdu",INDEX('Paramètres'!$F$6:$F$13,BA183)))</f>
        <v/>
      </c>
      <c r="E183" s="61">
        <f>IF(C183="","",MIN(100,(Z183="Oui")*'Paramètres'!$B$38+(AB183="Régulière")*'Paramètres'!$B$39+IF(AND(N(AA183)&gt;0,TODAY()-N(AA183)&lt;=30),'Paramètres'!$B$40,0)+(W183="")*'Paramètres'!$B$41+(AC183="Absente")*'Paramètres'!$B$42+(AC183="Faible")*'Paramètres'!$B$43+IF(AND(N(AD183)&gt;0,N(AD183)&lt;4),'Paramètres'!$B$44,0)+(AF183="Moyenne")*'Paramètres'!$B$45+(AF183="Grande")*'Paramètres'!$B$46+(Y183&lt;&gt;"")*'Paramètres'!$B$47))</f>
        <v/>
      </c>
      <c r="F183" s="60">
        <f>IF(C183="","",IF(D183="Gagné","",IF(D183="Perdu",IF(AND(AX183&lt;&gt;"",AX183&lt;=TODAY()),"À recontacter (perdu)",""),IF(AND(O183&gt;='Paramètres'!$B$21,P183=0),"Stop : "&amp;'Paramètres'!$B$21&amp;" tentatives sans réponse",IF(AND(D183="Proposition",AR183&lt;&gt;"",TODAY()&gt;N(AR183)),"Proposition expirée",IF(AND(D183="Proposition",N(R183)&gt;='Paramètres'!$B$25),"Proposition sans réponse",IF(AND(G183&lt;&gt;"",N(G183)&lt;TODAY()),"Relance en retard",IF(N(R183)&gt;='Paramètres'!$B$24,"Sans action depuis "&amp;R183&amp;" j",""))))))))</f>
        <v/>
      </c>
      <c r="G183" s="106">
        <f>IF(OR(C183="",D183="Gagné",D183="Perdu"),"",IF(AND(BP183&gt;0,BP183=BQ183),INDEX('Saisie'!$J$5:$J$2004,BP183-4),IF(OR(O183=0,AND(O183&gt;='Paramètres'!$B$21,P183=0)),"",Q183+IF(O183&lt;=1,'Paramètres'!$B$18,IF(O183=2,'Paramètres'!$B$19,'Paramètres'!$B$20)))))</f>
        <v/>
      </c>
      <c r="H183" s="107">
        <f>IF(OR(G183="",BP183&lt;&gt;BQ183),"",IF(INDEX('Saisie'!$K$5:$K$2004,BP183-4)="","",INDEX('Saisie'!$K$5:$K$2004,BP183-4)))</f>
        <v/>
      </c>
      <c r="I183" s="60">
        <f>IF(C183="","",IF(OR(D183="Gagné",D183="Perdu"),"",IFERROR(INDEX('Saisie'!$I$5:$I$2004,_xlfn.MAXIFS('Saisie'!$AS$5:$AS$2004,'Saisie'!$C$5:$C$2004,C183,'Saisie'!$I$5:$I$2004,"&lt;&gt;")-4),"")))</f>
        <v/>
      </c>
      <c r="J183" s="60">
        <f>IF(C183="","",IFERROR(INDEX('Saisie'!$U$5:$U$2004,_xlfn.MAXIFS('Saisie'!$AS$5:$AS$2004,'Saisie'!$C$5:$C$2004,C183,'Saisie'!$U$5:$U$2004,"&lt;&gt;")-4),""))</f>
        <v/>
      </c>
      <c r="K183" s="60">
        <f>IF(C183="","",IFERROR(INDEX('Saisie'!$W$5:$W$2004,_xlfn.MAXIFS('Saisie'!$AS$5:$AS$2004,'Saisie'!$C$5:$C$2004,C183,'Saisie'!$W$5:$W$2004,"&lt;&gt;")-4),""))</f>
        <v/>
      </c>
      <c r="L183" s="60">
        <f>IF(IF(BB183&lt;&gt;"",BB183,K183)="","",HYPERLINK("https://wa.me/"&amp;IF(LEFT(SUBSTITUTE(SUBSTITUTE(SUBSTITUTE(IF(BB183&lt;&gt;"",BB183,K183)," ",""),".",""),"+",""),1)="0",'Paramètres'!$B$35&amp;MID(SUBSTITUTE(SUBSTITUTE(SUBSTITUTE(IF(BB183&lt;&gt;"",BB183,K183)," ",""),".",""),"+",""),2,20),SUBSTITUTE(SUBSTITUTE(SUBSTITUTE(IF(BB183&lt;&gt;"",BB183,K183)," ",""),".",""),"+","")),"WhatsApp"))</f>
        <v/>
      </c>
      <c r="M183" s="60">
        <f>IF(BC183="","",HYPERLINK(IF(LEFT(BC183,4)="http",BC183,"https://www.instagram.com/"&amp;SUBSTITUTE(SUBSTITUTE(BC183,"@","")," ","")),BC183))</f>
        <v/>
      </c>
      <c r="N183" s="60">
        <f>IF(C183="","",IFERROR(INDEX('Saisie'!$D$5:$D$2004,_xlfn.MINIFS('Saisie'!$AS$5:$AS$2004,'Saisie'!$C$5:$C$2004,C183,'Saisie'!$AU$5:$AU$2004,1)-4),IFERROR(INDEX('Saisie'!$D$5:$D$2004,_xlfn.MINIFS('Saisie'!$AS$5:$AS$2004,'Saisie'!$C$5:$C$2004,C183,'Saisie'!$D$5:$D$2004,"&lt;&gt;")-4),"")))</f>
        <v/>
      </c>
      <c r="O183" s="60">
        <f>IF(C183="","",COUNTIFS('Saisie'!$C$5:$C$2004,C183,'Saisie'!$AU$5:$AU$2004,1))</f>
        <v/>
      </c>
      <c r="P183" s="60">
        <f>IF(C183="","",COUNTIFS('Saisie'!$C$5:$C$2004,C183,'Saisie'!$AV$5:$AV$2004,1))</f>
        <v/>
      </c>
      <c r="Q183" s="106">
        <f>IF(C183="","",IFERROR(1/(1/_xlfn.MAXIFS('Saisie'!$A$5:$A$2004,'Saisie'!$C$5:$C$2004,C183)),""))</f>
        <v/>
      </c>
      <c r="R183" s="61">
        <f>IF(C183="","",IF(Q183="","",TODAY()-Q183))</f>
        <v/>
      </c>
      <c r="S183" s="60">
        <f>IF(C183="","",IFERROR(INDEX('Saisie'!$R$5:$R$2004,_xlfn.MAXIFS('Saisie'!$AS$5:$AS$2004,'Saisie'!$C$5:$C$2004,C183,'Saisie'!$R$5:$R$2004,"&lt;&gt;")-4),""))</f>
        <v/>
      </c>
      <c r="T183" s="60">
        <f>IF(C183="","",IFERROR(INDEX('Saisie'!$S$5:$S$2004,_xlfn.MAXIFS('Saisie'!$AS$5:$AS$2004,'Saisie'!$C$5:$C$2004,C183,'Saisie'!$S$5:$S$2004,"&lt;&gt;")-4),""))</f>
        <v/>
      </c>
      <c r="U183" s="60">
        <f>IF(C183="","",IFERROR(INDEX('Saisie'!$T$5:$T$2004,_xlfn.MAXIFS('Saisie'!$AS$5:$AS$2004,'Saisie'!$C$5:$C$2004,C183,'Saisie'!$T$5:$T$2004,"&lt;&gt;")-4),""))</f>
        <v/>
      </c>
      <c r="V183" s="60">
        <f>IF(C183="","",IFERROR(INDEX('Saisie'!$V$5:$V$2004,_xlfn.MAXIFS('Saisie'!$AS$5:$AS$2004,'Saisie'!$C$5:$C$2004,C183,'Saisie'!$V$5:$V$2004,"&lt;&gt;")-4),""))</f>
        <v/>
      </c>
      <c r="W183" s="60">
        <f>IF(C183="","",IFERROR(INDEX('Saisie'!$Z$5:$Z$2004,_xlfn.MAXIFS('Saisie'!$AS$5:$AS$2004,'Saisie'!$C$5:$C$2004,C183,'Saisie'!$Z$5:$Z$2004,"&lt;&gt;")-4),""))</f>
        <v/>
      </c>
      <c r="X183" s="60">
        <f>IF(C183="","",IFERROR(INDEX('Saisie'!$AA$5:$AA$2004,_xlfn.MAXIFS('Saisie'!$AS$5:$AS$2004,'Saisie'!$C$5:$C$2004,C183,'Saisie'!$AA$5:$AA$2004,"&lt;&gt;")-4),""))</f>
        <v/>
      </c>
      <c r="Y183" s="60">
        <f>IF(C183="","",IFERROR(INDEX('Saisie'!$AB$5:$AB$2004,_xlfn.MAXIFS('Saisie'!$AS$5:$AS$2004,'Saisie'!$C$5:$C$2004,C183,'Saisie'!$AB$5:$AB$2004,"&lt;&gt;")-4),""))</f>
        <v/>
      </c>
      <c r="Z183" s="60">
        <f>IF(C183="","",IFERROR(INDEX('Saisie'!$AC$5:$AC$2004,_xlfn.MAXIFS('Saisie'!$AS$5:$AS$2004,'Saisie'!$C$5:$C$2004,C183,'Saisie'!$AC$5:$AC$2004,"&lt;&gt;")-4),""))</f>
        <v/>
      </c>
      <c r="AA183" s="106">
        <f>IF(C183="","",IFERROR(INDEX('Saisie'!$AD$5:$AD$2004,_xlfn.MAXIFS('Saisie'!$AS$5:$AS$2004,'Saisie'!$C$5:$C$2004,C183,'Saisie'!$AD$5:$AD$2004,"&lt;&gt;")-4),""))</f>
        <v/>
      </c>
      <c r="AB183" s="60">
        <f>IF(C183="","",IFERROR(INDEX('Saisie'!$AE$5:$AE$2004,_xlfn.MAXIFS('Saisie'!$AS$5:$AS$2004,'Saisie'!$C$5:$C$2004,C183,'Saisie'!$AE$5:$AE$2004,"&lt;&gt;")-4),""))</f>
        <v/>
      </c>
      <c r="AC183" s="60">
        <f>IF(C183="","",IFERROR(INDEX('Saisie'!$AF$5:$AF$2004,_xlfn.MAXIFS('Saisie'!$AS$5:$AS$2004,'Saisie'!$C$5:$C$2004,C183,'Saisie'!$AF$5:$AF$2004,"&lt;&gt;")-4),""))</f>
        <v/>
      </c>
      <c r="AD183" s="108">
        <f>IF(C183="","",IFERROR(INDEX('Saisie'!$AG$5:$AG$2004,_xlfn.MAXIFS('Saisie'!$AS$5:$AS$2004,'Saisie'!$C$5:$C$2004,C183,'Saisie'!$AG$5:$AG$2004,"&lt;&gt;")-4),""))</f>
        <v/>
      </c>
      <c r="AE183" s="60">
        <f>IF(C183="","",IFERROR(INDEX('Saisie'!$AH$5:$AH$2004,_xlfn.MAXIFS('Saisie'!$AS$5:$AS$2004,'Saisie'!$C$5:$C$2004,C183,'Saisie'!$AH$5:$AH$2004,"&lt;&gt;")-4),""))</f>
        <v/>
      </c>
      <c r="AF183" s="60">
        <f>IF(C183="","",IFERROR(INDEX('Saisie'!$AI$5:$AI$2004,_xlfn.MAXIFS('Saisie'!$AS$5:$AS$2004,'Saisie'!$C$5:$C$2004,C183,'Saisie'!$AI$5:$AI$2004,"&lt;&gt;")-4),""))</f>
        <v/>
      </c>
      <c r="AG183" s="60">
        <f>IF(C183="","",IFERROR(INDEX('Saisie'!$AJ$5:$AJ$2004,_xlfn.MAXIFS('Saisie'!$AS$5:$AS$2004,'Saisie'!$C$5:$C$2004,C183,'Saisie'!$AJ$5:$AJ$2004,"&lt;&gt;")-4),""))</f>
        <v/>
      </c>
      <c r="AH183" s="60">
        <f>IF(C183="","",IFERROR(INDEX('Saisie'!$AK$5:$AK$2004,_xlfn.MAXIFS('Saisie'!$AS$5:$AS$2004,'Saisie'!$C$5:$C$2004,C183,'Saisie'!$AK$5:$AK$2004,"&lt;&gt;")-4),""))</f>
        <v/>
      </c>
      <c r="AI183" s="60">
        <f>IF(C183="","",IFERROR(INDEX('Saisie'!$AN$5:$AN$2004,_xlfn.MAXIFS('Saisie'!$AS$5:$AS$2004,'Saisie'!$C$5:$C$2004,C183,'Saisie'!$AN$5:$AN$2004,"&lt;&gt;")-4),""))</f>
        <v/>
      </c>
      <c r="AJ183" s="60">
        <f>IF(C183="","",IFERROR(INDEX('Saisie'!$AO$5:$AO$2004,_xlfn.MAXIFS('Saisie'!$AS$5:$AS$2004,'Saisie'!$C$5:$C$2004,C183,'Saisie'!$AO$5:$AO$2004,"&lt;&gt;")-4),""))</f>
        <v/>
      </c>
      <c r="AK183" s="60">
        <f>IF(C183="","",IFERROR(INDEX('Saisie'!$AP$5:$AP$2004,_xlfn.MAXIFS('Saisie'!$AS$5:$AS$2004,'Saisie'!$C$5:$C$2004,C183,'Saisie'!$AP$5:$AP$2004,"&lt;&gt;")-4),""))</f>
        <v/>
      </c>
      <c r="AL183" s="60">
        <f>IF(C183="","",IFERROR(INDEX('Saisie'!$AQ$5:$AQ$2004,_xlfn.MAXIFS('Saisie'!$AS$5:$AS$2004,'Saisie'!$C$5:$C$2004,C183,'Saisie'!$AQ$5:$AQ$2004,"&lt;&gt;")-4),""))</f>
        <v/>
      </c>
      <c r="AM183" s="60">
        <f>IF(C183="","",((AI183="Oui")+(AJ183="Oui")+(AK183="Oui")+OR(AL183="Immédiat",AL183="&lt; 1 mois"))&amp;"/4")</f>
        <v/>
      </c>
      <c r="AN183" s="60">
        <f>IF(C183="","",IFERROR(INDEX('Saisie'!$AL$5:$AL$2004,_xlfn.MAXIFS('Saisie'!$AS$5:$AS$2004,'Saisie'!$C$5:$C$2004,C183,'Saisie'!$AL$5:$AL$2004,"&lt;&gt;")-4),""))</f>
        <v/>
      </c>
      <c r="AO183" s="62">
        <f>IF(C183="","",IF(IFERROR(INDEX('Saisie'!$AM$5:$AM$2004,_xlfn.MAXIFS('Saisie'!$AS$5:$AS$2004,'Saisie'!$C$5:$C$2004,C183,'Saisie'!$AM$5:$AM$2004,"&lt;&gt;")-4),"")&lt;&gt;"",IFERROR(INDEX('Saisie'!$AM$5:$AM$2004,_xlfn.MAXIFS('Saisie'!$AS$5:$AS$2004,'Saisie'!$C$5:$C$2004,C183,'Saisie'!$AM$5:$AM$2004,"&lt;&gt;")-4),""),IFERROR(INDEX('Paramètres'!$S$6:$S$15,MATCH(AN183,'Paramètres'!$Q$6:$Q$15,0)),"")))</f>
        <v/>
      </c>
      <c r="AP183" s="62">
        <f>IF(C183="","",IFERROR(INDEX('Saisie'!$AW$5:$AW$2004,_xlfn.MAXIFS('Saisie'!$AS$5:$AS$2004,'Saisie'!$C$5:$C$2004,C183,'Saisie'!$E$5:$E$2004,"Proposition envoyée")-4),""))</f>
        <v/>
      </c>
      <c r="AQ183" s="106">
        <f>IF(C183="","",IFERROR(1/(1/_xlfn.MAXIFS('Saisie'!$A$5:$A$2004,'Saisie'!$C$5:$C$2004,C183,'Saisie'!$E$5:$E$2004,"Proposition envoyée")),""))</f>
        <v/>
      </c>
      <c r="AR183" s="106">
        <f>IF(C183="","",IF(AQ183="","",AQ183+'Paramètres'!$B$26))</f>
        <v/>
      </c>
      <c r="AS183" s="62">
        <f>IF(OR(C183="",D183="Gagné",D183="Perdu"),0,N(AP183)*IFERROR(INDEX('Paramètres'!$G$6:$G$13,MATCH(D183,'Paramètres'!$F$6:$F$13,0)),0))</f>
        <v/>
      </c>
      <c r="AT183" s="106">
        <f>IF(C183="","",IFERROR(1/(1/_xlfn.MINIFS('Saisie'!$A$5:$A$2004,'Saisie'!$C$5:$C$2004,C183,'Saisie'!$E$5:$E$2004,"Signature")),""))</f>
        <v/>
      </c>
      <c r="AU183" s="60">
        <f>IF(C183="","",IF(OR(AT183="",B183=""),"",AT183-B183))</f>
        <v/>
      </c>
      <c r="AV183" s="60">
        <f>IF(C183="","",IFERROR(INDEX('Saisie'!$L$5:$L$2004,_xlfn.MAXIFS('Saisie'!$AS$5:$AS$2004,'Saisie'!$C$5:$C$2004,C183,'Saisie'!$L$5:$L$2004,"&lt;&gt;")-4),""))</f>
        <v/>
      </c>
      <c r="AW183" s="106">
        <f>IF(C183="","",IF(D183&lt;&gt;"Perdu","",IFERROR(1/(1/_xlfn.MAXIFS('Saisie'!$A$5:$A$2004,'Saisie'!$C$5:$C$2004,C183,'Saisie'!$E$5:$E$2004,"Perdu")),"")))</f>
        <v/>
      </c>
      <c r="AX183" s="106">
        <f>IF(C183="","",IF(AW183="","",AW183+'Paramètres'!$B$28))</f>
        <v/>
      </c>
      <c r="AY183" s="60">
        <f>IF(C183="","",SUMIFS('Saisie'!$H$5:$H$2004,'Saisie'!$C$5:$C$2004,C183))</f>
        <v/>
      </c>
      <c r="AZ183" s="60">
        <f>IF(C183="","",IFERROR(INDEX('Paramètres'!$W$6:$W$20,MATCH(S183,'Paramètres'!$V$6:$V$20,0))&amp;"",""))</f>
        <v/>
      </c>
      <c r="BA183" s="60">
        <f>IF(C183="","",MAX(1,_xlfn.MAXIFS('Saisie'!$AT$5:$AT$2004,'Saisie'!$C$5:$C$2004,C183)))</f>
        <v/>
      </c>
      <c r="BB183" s="60">
        <f>IF(C183="","",IFERROR(INDEX('Saisie'!$X$5:$X$2004,_xlfn.MAXIFS('Saisie'!$AS$5:$AS$2004,'Saisie'!$C$5:$C$2004,C183,'Saisie'!$X$5:$X$2004,"&lt;&gt;")-4),""))</f>
        <v/>
      </c>
      <c r="BC183" s="60">
        <f>IF(C183="","",IFERROR(INDEX('Saisie'!$Y$5:$Y$2004,_xlfn.MAXIFS('Saisie'!$AS$5:$AS$2004,'Saisie'!$C$5:$C$2004,C183,'Saisie'!$Y$5:$Y$2004,"&lt;&gt;")-4),""))</f>
        <v/>
      </c>
      <c r="BD183" s="106">
        <f>IF(C183="","",IFERROR(1/(1/_xlfn.MINIFS('Saisie'!$A$5:$A$2004,'Saisie'!$C$5:$C$2004,C183,'Saisie'!$AT$5:$AT$2004,"&gt;=2")),""))</f>
        <v/>
      </c>
      <c r="BE183" s="106">
        <f>IF(C183="","",IFERROR(1/(1/_xlfn.MINIFS('Saisie'!$A$5:$A$2004,'Saisie'!$C$5:$C$2004,C183,'Saisie'!$AT$5:$AT$2004,"&gt;=3")),""))</f>
        <v/>
      </c>
      <c r="BF183" s="106">
        <f>IF(C183="","",IFERROR(1/(1/_xlfn.MINIFS('Saisie'!$A$5:$A$2004,'Saisie'!$C$5:$C$2004,C183,'Saisie'!$AT$5:$AT$2004,"&gt;=4")),""))</f>
        <v/>
      </c>
      <c r="BG183" s="106">
        <f>IF(C183="","",IFERROR(1/(1/_xlfn.MINIFS('Saisie'!$A$5:$A$2004,'Saisie'!$C$5:$C$2004,C183,'Saisie'!$AT$5:$AT$2004,"&gt;=5")),""))</f>
        <v/>
      </c>
      <c r="BH183" s="106">
        <f>IF(C183="","",IFERROR(1/(1/_xlfn.MINIFS('Saisie'!$A$5:$A$2004,'Saisie'!$C$5:$C$2004,C183,'Saisie'!$AT$5:$AT$2004,"&gt;=6")),""))</f>
        <v/>
      </c>
      <c r="BI183" s="106">
        <f>IF(C183="","",IFERROR(1/(1/_xlfn.MINIFS('Saisie'!$A$5:$A$2004,'Saisie'!$C$5:$C$2004,C183,'Saisie'!$AT$5:$AT$2004,"&gt;=7")),""))</f>
        <v/>
      </c>
      <c r="BJ183" s="60">
        <f>IF(OR(BD183="",B183=""),"",BD183-B183)</f>
        <v/>
      </c>
      <c r="BK183" s="60">
        <f>IF(OR(BE183="",BD183=""),"",BE183-BD183)</f>
        <v/>
      </c>
      <c r="BL183" s="60">
        <f>IF(OR(BF183="",BE183=""),"",BF183-BE183)</f>
        <v/>
      </c>
      <c r="BM183" s="60">
        <f>IF(OR(BG183="",BF183=""),"",BG183-BF183)</f>
        <v/>
      </c>
      <c r="BN183" s="60">
        <f>IF(OR(BH183="",BG183=""),"",BH183-BG183)</f>
        <v/>
      </c>
      <c r="BO183" s="60">
        <f>IF(OR(BI183="",BH183=""),"",BI183-BH183)</f>
        <v/>
      </c>
      <c r="BP183" s="60">
        <f>IF(C183="","",_xlfn.MAXIFS('Saisie'!$AS$5:$AS$2004,'Saisie'!$C$5:$C$2004,C183,'Saisie'!$J$5:$J$2004,"&lt;&gt;"))</f>
        <v/>
      </c>
      <c r="BQ183" s="60">
        <f>IF(C183="","",_xlfn.MAXIFS('Saisie'!$AS$5:$AS$2004,'Saisie'!$C$5:$C$2004,C183))</f>
        <v/>
      </c>
      <c r="BR183" s="60">
        <f>IF(C183="","",_xlfn.MAXIFS('Saisie'!$AS$5:$AS$2004,'Saisie'!$C$5:$C$2004,C183,'Saisie'!$E$5:$E$2004,"Perdu"))</f>
        <v/>
      </c>
      <c r="BS183" s="60">
        <f>IF(C183="","",_xlfn.MAXIFS('Saisie'!$AS$5:$AS$2004,'Saisie'!$C$5:$C$2004,C183,'Saisie'!$AT$5:$AT$2004,"&gt;0"))</f>
        <v/>
      </c>
      <c r="BT183" s="109">
        <f>IF(AND(C183&lt;&gt;"",OR(D183="Nouveau",D183="Contacté",D183="Qualifié"),OR(G183="",N(G183)&lt;=TODAY()),NOT(AND(O183&gt;='Paramètres'!$B$21,P183=0))),E183+179/10000,"")</f>
        <v/>
      </c>
      <c r="BU183" s="60">
        <f>IF(AND(G183&lt;&gt;"",N(G183)&lt;=TODAY()),MAX($BU$4:BU182)+1,"")</f>
        <v/>
      </c>
      <c r="BV183" s="60">
        <f>IF(AND(F183&lt;&gt;"",F183&lt;&gt;"Relance en retard"),MAX($BV$4:BV182)+1,"")</f>
        <v/>
      </c>
      <c r="BW183" s="60">
        <f>IF(C183="","",IF(AND(B183&gt;='Tableau de bord'!$R$4,B183&lt;='Tableau de bord'!$S$4,OR('Tableau de bord'!$G$4="Tous",N183='Tableau de bord'!$G$4)),1,0))</f>
        <v/>
      </c>
      <c r="BX183" s="60">
        <f>IF(AND(C183&lt;&gt;"",N(BA183)=7),MAX($BX$4:BX182)+1,"")</f>
        <v/>
      </c>
    </row>
    <row r="184">
      <c r="A184" s="60">
        <f>IF(C184="","","P-"&amp;TEXT(180,"000"))</f>
        <v/>
      </c>
      <c r="B184" s="106">
        <f>IF(C184="","",IFERROR(1/(1/_xlfn.MINIFS('Saisie'!$A$5:$A$2004,'Saisie'!$C$5:$C$2004,C184)),""))</f>
        <v/>
      </c>
      <c r="C184" s="60">
        <f>IFERROR(INDEX('Saisie'!$C$5:$C$2004,MATCH(180,'Saisie'!$AX$5:$AX$2004,0)),"")</f>
        <v/>
      </c>
      <c r="D184" s="60">
        <f>IF(C184="","",IF(AND(BR184&gt;0,BR184&gt;BS184,BA184&lt;7),"Perdu",INDEX('Paramètres'!$F$6:$F$13,BA184)))</f>
        <v/>
      </c>
      <c r="E184" s="61">
        <f>IF(C184="","",MIN(100,(Z184="Oui")*'Paramètres'!$B$38+(AB184="Régulière")*'Paramètres'!$B$39+IF(AND(N(AA184)&gt;0,TODAY()-N(AA184)&lt;=30),'Paramètres'!$B$40,0)+(W184="")*'Paramètres'!$B$41+(AC184="Absente")*'Paramètres'!$B$42+(AC184="Faible")*'Paramètres'!$B$43+IF(AND(N(AD184)&gt;0,N(AD184)&lt;4),'Paramètres'!$B$44,0)+(AF184="Moyenne")*'Paramètres'!$B$45+(AF184="Grande")*'Paramètres'!$B$46+(Y184&lt;&gt;"")*'Paramètres'!$B$47))</f>
        <v/>
      </c>
      <c r="F184" s="60">
        <f>IF(C184="","",IF(D184="Gagné","",IF(D184="Perdu",IF(AND(AX184&lt;&gt;"",AX184&lt;=TODAY()),"À recontacter (perdu)",""),IF(AND(O184&gt;='Paramètres'!$B$21,P184=0),"Stop : "&amp;'Paramètres'!$B$21&amp;" tentatives sans réponse",IF(AND(D184="Proposition",AR184&lt;&gt;"",TODAY()&gt;N(AR184)),"Proposition expirée",IF(AND(D184="Proposition",N(R184)&gt;='Paramètres'!$B$25),"Proposition sans réponse",IF(AND(G184&lt;&gt;"",N(G184)&lt;TODAY()),"Relance en retard",IF(N(R184)&gt;='Paramètres'!$B$24,"Sans action depuis "&amp;R184&amp;" j",""))))))))</f>
        <v/>
      </c>
      <c r="G184" s="106">
        <f>IF(OR(C184="",D184="Gagné",D184="Perdu"),"",IF(AND(BP184&gt;0,BP184=BQ184),INDEX('Saisie'!$J$5:$J$2004,BP184-4),IF(OR(O184=0,AND(O184&gt;='Paramètres'!$B$21,P184=0)),"",Q184+IF(O184&lt;=1,'Paramètres'!$B$18,IF(O184=2,'Paramètres'!$B$19,'Paramètres'!$B$20)))))</f>
        <v/>
      </c>
      <c r="H184" s="107">
        <f>IF(OR(G184="",BP184&lt;&gt;BQ184),"",IF(INDEX('Saisie'!$K$5:$K$2004,BP184-4)="","",INDEX('Saisie'!$K$5:$K$2004,BP184-4)))</f>
        <v/>
      </c>
      <c r="I184" s="60">
        <f>IF(C184="","",IF(OR(D184="Gagné",D184="Perdu"),"",IFERROR(INDEX('Saisie'!$I$5:$I$2004,_xlfn.MAXIFS('Saisie'!$AS$5:$AS$2004,'Saisie'!$C$5:$C$2004,C184,'Saisie'!$I$5:$I$2004,"&lt;&gt;")-4),"")))</f>
        <v/>
      </c>
      <c r="J184" s="60">
        <f>IF(C184="","",IFERROR(INDEX('Saisie'!$U$5:$U$2004,_xlfn.MAXIFS('Saisie'!$AS$5:$AS$2004,'Saisie'!$C$5:$C$2004,C184,'Saisie'!$U$5:$U$2004,"&lt;&gt;")-4),""))</f>
        <v/>
      </c>
      <c r="K184" s="60">
        <f>IF(C184="","",IFERROR(INDEX('Saisie'!$W$5:$W$2004,_xlfn.MAXIFS('Saisie'!$AS$5:$AS$2004,'Saisie'!$C$5:$C$2004,C184,'Saisie'!$W$5:$W$2004,"&lt;&gt;")-4),""))</f>
        <v/>
      </c>
      <c r="L184" s="60">
        <f>IF(IF(BB184&lt;&gt;"",BB184,K184)="","",HYPERLINK("https://wa.me/"&amp;IF(LEFT(SUBSTITUTE(SUBSTITUTE(SUBSTITUTE(IF(BB184&lt;&gt;"",BB184,K184)," ",""),".",""),"+",""),1)="0",'Paramètres'!$B$35&amp;MID(SUBSTITUTE(SUBSTITUTE(SUBSTITUTE(IF(BB184&lt;&gt;"",BB184,K184)," ",""),".",""),"+",""),2,20),SUBSTITUTE(SUBSTITUTE(SUBSTITUTE(IF(BB184&lt;&gt;"",BB184,K184)," ",""),".",""),"+","")),"WhatsApp"))</f>
        <v/>
      </c>
      <c r="M184" s="60">
        <f>IF(BC184="","",HYPERLINK(IF(LEFT(BC184,4)="http",BC184,"https://www.instagram.com/"&amp;SUBSTITUTE(SUBSTITUTE(BC184,"@","")," ","")),BC184))</f>
        <v/>
      </c>
      <c r="N184" s="60">
        <f>IF(C184="","",IFERROR(INDEX('Saisie'!$D$5:$D$2004,_xlfn.MINIFS('Saisie'!$AS$5:$AS$2004,'Saisie'!$C$5:$C$2004,C184,'Saisie'!$AU$5:$AU$2004,1)-4),IFERROR(INDEX('Saisie'!$D$5:$D$2004,_xlfn.MINIFS('Saisie'!$AS$5:$AS$2004,'Saisie'!$C$5:$C$2004,C184,'Saisie'!$D$5:$D$2004,"&lt;&gt;")-4),"")))</f>
        <v/>
      </c>
      <c r="O184" s="60">
        <f>IF(C184="","",COUNTIFS('Saisie'!$C$5:$C$2004,C184,'Saisie'!$AU$5:$AU$2004,1))</f>
        <v/>
      </c>
      <c r="P184" s="60">
        <f>IF(C184="","",COUNTIFS('Saisie'!$C$5:$C$2004,C184,'Saisie'!$AV$5:$AV$2004,1))</f>
        <v/>
      </c>
      <c r="Q184" s="106">
        <f>IF(C184="","",IFERROR(1/(1/_xlfn.MAXIFS('Saisie'!$A$5:$A$2004,'Saisie'!$C$5:$C$2004,C184)),""))</f>
        <v/>
      </c>
      <c r="R184" s="61">
        <f>IF(C184="","",IF(Q184="","",TODAY()-Q184))</f>
        <v/>
      </c>
      <c r="S184" s="60">
        <f>IF(C184="","",IFERROR(INDEX('Saisie'!$R$5:$R$2004,_xlfn.MAXIFS('Saisie'!$AS$5:$AS$2004,'Saisie'!$C$5:$C$2004,C184,'Saisie'!$R$5:$R$2004,"&lt;&gt;")-4),""))</f>
        <v/>
      </c>
      <c r="T184" s="60">
        <f>IF(C184="","",IFERROR(INDEX('Saisie'!$S$5:$S$2004,_xlfn.MAXIFS('Saisie'!$AS$5:$AS$2004,'Saisie'!$C$5:$C$2004,C184,'Saisie'!$S$5:$S$2004,"&lt;&gt;")-4),""))</f>
        <v/>
      </c>
      <c r="U184" s="60">
        <f>IF(C184="","",IFERROR(INDEX('Saisie'!$T$5:$T$2004,_xlfn.MAXIFS('Saisie'!$AS$5:$AS$2004,'Saisie'!$C$5:$C$2004,C184,'Saisie'!$T$5:$T$2004,"&lt;&gt;")-4),""))</f>
        <v/>
      </c>
      <c r="V184" s="60">
        <f>IF(C184="","",IFERROR(INDEX('Saisie'!$V$5:$V$2004,_xlfn.MAXIFS('Saisie'!$AS$5:$AS$2004,'Saisie'!$C$5:$C$2004,C184,'Saisie'!$V$5:$V$2004,"&lt;&gt;")-4),""))</f>
        <v/>
      </c>
      <c r="W184" s="60">
        <f>IF(C184="","",IFERROR(INDEX('Saisie'!$Z$5:$Z$2004,_xlfn.MAXIFS('Saisie'!$AS$5:$AS$2004,'Saisie'!$C$5:$C$2004,C184,'Saisie'!$Z$5:$Z$2004,"&lt;&gt;")-4),""))</f>
        <v/>
      </c>
      <c r="X184" s="60">
        <f>IF(C184="","",IFERROR(INDEX('Saisie'!$AA$5:$AA$2004,_xlfn.MAXIFS('Saisie'!$AS$5:$AS$2004,'Saisie'!$C$5:$C$2004,C184,'Saisie'!$AA$5:$AA$2004,"&lt;&gt;")-4),""))</f>
        <v/>
      </c>
      <c r="Y184" s="60">
        <f>IF(C184="","",IFERROR(INDEX('Saisie'!$AB$5:$AB$2004,_xlfn.MAXIFS('Saisie'!$AS$5:$AS$2004,'Saisie'!$C$5:$C$2004,C184,'Saisie'!$AB$5:$AB$2004,"&lt;&gt;")-4),""))</f>
        <v/>
      </c>
      <c r="Z184" s="60">
        <f>IF(C184="","",IFERROR(INDEX('Saisie'!$AC$5:$AC$2004,_xlfn.MAXIFS('Saisie'!$AS$5:$AS$2004,'Saisie'!$C$5:$C$2004,C184,'Saisie'!$AC$5:$AC$2004,"&lt;&gt;")-4),""))</f>
        <v/>
      </c>
      <c r="AA184" s="106">
        <f>IF(C184="","",IFERROR(INDEX('Saisie'!$AD$5:$AD$2004,_xlfn.MAXIFS('Saisie'!$AS$5:$AS$2004,'Saisie'!$C$5:$C$2004,C184,'Saisie'!$AD$5:$AD$2004,"&lt;&gt;")-4),""))</f>
        <v/>
      </c>
      <c r="AB184" s="60">
        <f>IF(C184="","",IFERROR(INDEX('Saisie'!$AE$5:$AE$2004,_xlfn.MAXIFS('Saisie'!$AS$5:$AS$2004,'Saisie'!$C$5:$C$2004,C184,'Saisie'!$AE$5:$AE$2004,"&lt;&gt;")-4),""))</f>
        <v/>
      </c>
      <c r="AC184" s="60">
        <f>IF(C184="","",IFERROR(INDEX('Saisie'!$AF$5:$AF$2004,_xlfn.MAXIFS('Saisie'!$AS$5:$AS$2004,'Saisie'!$C$5:$C$2004,C184,'Saisie'!$AF$5:$AF$2004,"&lt;&gt;")-4),""))</f>
        <v/>
      </c>
      <c r="AD184" s="108">
        <f>IF(C184="","",IFERROR(INDEX('Saisie'!$AG$5:$AG$2004,_xlfn.MAXIFS('Saisie'!$AS$5:$AS$2004,'Saisie'!$C$5:$C$2004,C184,'Saisie'!$AG$5:$AG$2004,"&lt;&gt;")-4),""))</f>
        <v/>
      </c>
      <c r="AE184" s="60">
        <f>IF(C184="","",IFERROR(INDEX('Saisie'!$AH$5:$AH$2004,_xlfn.MAXIFS('Saisie'!$AS$5:$AS$2004,'Saisie'!$C$5:$C$2004,C184,'Saisie'!$AH$5:$AH$2004,"&lt;&gt;")-4),""))</f>
        <v/>
      </c>
      <c r="AF184" s="60">
        <f>IF(C184="","",IFERROR(INDEX('Saisie'!$AI$5:$AI$2004,_xlfn.MAXIFS('Saisie'!$AS$5:$AS$2004,'Saisie'!$C$5:$C$2004,C184,'Saisie'!$AI$5:$AI$2004,"&lt;&gt;")-4),""))</f>
        <v/>
      </c>
      <c r="AG184" s="60">
        <f>IF(C184="","",IFERROR(INDEX('Saisie'!$AJ$5:$AJ$2004,_xlfn.MAXIFS('Saisie'!$AS$5:$AS$2004,'Saisie'!$C$5:$C$2004,C184,'Saisie'!$AJ$5:$AJ$2004,"&lt;&gt;")-4),""))</f>
        <v/>
      </c>
      <c r="AH184" s="60">
        <f>IF(C184="","",IFERROR(INDEX('Saisie'!$AK$5:$AK$2004,_xlfn.MAXIFS('Saisie'!$AS$5:$AS$2004,'Saisie'!$C$5:$C$2004,C184,'Saisie'!$AK$5:$AK$2004,"&lt;&gt;")-4),""))</f>
        <v/>
      </c>
      <c r="AI184" s="60">
        <f>IF(C184="","",IFERROR(INDEX('Saisie'!$AN$5:$AN$2004,_xlfn.MAXIFS('Saisie'!$AS$5:$AS$2004,'Saisie'!$C$5:$C$2004,C184,'Saisie'!$AN$5:$AN$2004,"&lt;&gt;")-4),""))</f>
        <v/>
      </c>
      <c r="AJ184" s="60">
        <f>IF(C184="","",IFERROR(INDEX('Saisie'!$AO$5:$AO$2004,_xlfn.MAXIFS('Saisie'!$AS$5:$AS$2004,'Saisie'!$C$5:$C$2004,C184,'Saisie'!$AO$5:$AO$2004,"&lt;&gt;")-4),""))</f>
        <v/>
      </c>
      <c r="AK184" s="60">
        <f>IF(C184="","",IFERROR(INDEX('Saisie'!$AP$5:$AP$2004,_xlfn.MAXIFS('Saisie'!$AS$5:$AS$2004,'Saisie'!$C$5:$C$2004,C184,'Saisie'!$AP$5:$AP$2004,"&lt;&gt;")-4),""))</f>
        <v/>
      </c>
      <c r="AL184" s="60">
        <f>IF(C184="","",IFERROR(INDEX('Saisie'!$AQ$5:$AQ$2004,_xlfn.MAXIFS('Saisie'!$AS$5:$AS$2004,'Saisie'!$C$5:$C$2004,C184,'Saisie'!$AQ$5:$AQ$2004,"&lt;&gt;")-4),""))</f>
        <v/>
      </c>
      <c r="AM184" s="60">
        <f>IF(C184="","",((AI184="Oui")+(AJ184="Oui")+(AK184="Oui")+OR(AL184="Immédiat",AL184="&lt; 1 mois"))&amp;"/4")</f>
        <v/>
      </c>
      <c r="AN184" s="60">
        <f>IF(C184="","",IFERROR(INDEX('Saisie'!$AL$5:$AL$2004,_xlfn.MAXIFS('Saisie'!$AS$5:$AS$2004,'Saisie'!$C$5:$C$2004,C184,'Saisie'!$AL$5:$AL$2004,"&lt;&gt;")-4),""))</f>
        <v/>
      </c>
      <c r="AO184" s="62">
        <f>IF(C184="","",IF(IFERROR(INDEX('Saisie'!$AM$5:$AM$2004,_xlfn.MAXIFS('Saisie'!$AS$5:$AS$2004,'Saisie'!$C$5:$C$2004,C184,'Saisie'!$AM$5:$AM$2004,"&lt;&gt;")-4),"")&lt;&gt;"",IFERROR(INDEX('Saisie'!$AM$5:$AM$2004,_xlfn.MAXIFS('Saisie'!$AS$5:$AS$2004,'Saisie'!$C$5:$C$2004,C184,'Saisie'!$AM$5:$AM$2004,"&lt;&gt;")-4),""),IFERROR(INDEX('Paramètres'!$S$6:$S$15,MATCH(AN184,'Paramètres'!$Q$6:$Q$15,0)),"")))</f>
        <v/>
      </c>
      <c r="AP184" s="62">
        <f>IF(C184="","",IFERROR(INDEX('Saisie'!$AW$5:$AW$2004,_xlfn.MAXIFS('Saisie'!$AS$5:$AS$2004,'Saisie'!$C$5:$C$2004,C184,'Saisie'!$E$5:$E$2004,"Proposition envoyée")-4),""))</f>
        <v/>
      </c>
      <c r="AQ184" s="106">
        <f>IF(C184="","",IFERROR(1/(1/_xlfn.MAXIFS('Saisie'!$A$5:$A$2004,'Saisie'!$C$5:$C$2004,C184,'Saisie'!$E$5:$E$2004,"Proposition envoyée")),""))</f>
        <v/>
      </c>
      <c r="AR184" s="106">
        <f>IF(C184="","",IF(AQ184="","",AQ184+'Paramètres'!$B$26))</f>
        <v/>
      </c>
      <c r="AS184" s="62">
        <f>IF(OR(C184="",D184="Gagné",D184="Perdu"),0,N(AP184)*IFERROR(INDEX('Paramètres'!$G$6:$G$13,MATCH(D184,'Paramètres'!$F$6:$F$13,0)),0))</f>
        <v/>
      </c>
      <c r="AT184" s="106">
        <f>IF(C184="","",IFERROR(1/(1/_xlfn.MINIFS('Saisie'!$A$5:$A$2004,'Saisie'!$C$5:$C$2004,C184,'Saisie'!$E$5:$E$2004,"Signature")),""))</f>
        <v/>
      </c>
      <c r="AU184" s="60">
        <f>IF(C184="","",IF(OR(AT184="",B184=""),"",AT184-B184))</f>
        <v/>
      </c>
      <c r="AV184" s="60">
        <f>IF(C184="","",IFERROR(INDEX('Saisie'!$L$5:$L$2004,_xlfn.MAXIFS('Saisie'!$AS$5:$AS$2004,'Saisie'!$C$5:$C$2004,C184,'Saisie'!$L$5:$L$2004,"&lt;&gt;")-4),""))</f>
        <v/>
      </c>
      <c r="AW184" s="106">
        <f>IF(C184="","",IF(D184&lt;&gt;"Perdu","",IFERROR(1/(1/_xlfn.MAXIFS('Saisie'!$A$5:$A$2004,'Saisie'!$C$5:$C$2004,C184,'Saisie'!$E$5:$E$2004,"Perdu")),"")))</f>
        <v/>
      </c>
      <c r="AX184" s="106">
        <f>IF(C184="","",IF(AW184="","",AW184+'Paramètres'!$B$28))</f>
        <v/>
      </c>
      <c r="AY184" s="60">
        <f>IF(C184="","",SUMIFS('Saisie'!$H$5:$H$2004,'Saisie'!$C$5:$C$2004,C184))</f>
        <v/>
      </c>
      <c r="AZ184" s="60">
        <f>IF(C184="","",IFERROR(INDEX('Paramètres'!$W$6:$W$20,MATCH(S184,'Paramètres'!$V$6:$V$20,0))&amp;"",""))</f>
        <v/>
      </c>
      <c r="BA184" s="60">
        <f>IF(C184="","",MAX(1,_xlfn.MAXIFS('Saisie'!$AT$5:$AT$2004,'Saisie'!$C$5:$C$2004,C184)))</f>
        <v/>
      </c>
      <c r="BB184" s="60">
        <f>IF(C184="","",IFERROR(INDEX('Saisie'!$X$5:$X$2004,_xlfn.MAXIFS('Saisie'!$AS$5:$AS$2004,'Saisie'!$C$5:$C$2004,C184,'Saisie'!$X$5:$X$2004,"&lt;&gt;")-4),""))</f>
        <v/>
      </c>
      <c r="BC184" s="60">
        <f>IF(C184="","",IFERROR(INDEX('Saisie'!$Y$5:$Y$2004,_xlfn.MAXIFS('Saisie'!$AS$5:$AS$2004,'Saisie'!$C$5:$C$2004,C184,'Saisie'!$Y$5:$Y$2004,"&lt;&gt;")-4),""))</f>
        <v/>
      </c>
      <c r="BD184" s="106">
        <f>IF(C184="","",IFERROR(1/(1/_xlfn.MINIFS('Saisie'!$A$5:$A$2004,'Saisie'!$C$5:$C$2004,C184,'Saisie'!$AT$5:$AT$2004,"&gt;=2")),""))</f>
        <v/>
      </c>
      <c r="BE184" s="106">
        <f>IF(C184="","",IFERROR(1/(1/_xlfn.MINIFS('Saisie'!$A$5:$A$2004,'Saisie'!$C$5:$C$2004,C184,'Saisie'!$AT$5:$AT$2004,"&gt;=3")),""))</f>
        <v/>
      </c>
      <c r="BF184" s="106">
        <f>IF(C184="","",IFERROR(1/(1/_xlfn.MINIFS('Saisie'!$A$5:$A$2004,'Saisie'!$C$5:$C$2004,C184,'Saisie'!$AT$5:$AT$2004,"&gt;=4")),""))</f>
        <v/>
      </c>
      <c r="BG184" s="106">
        <f>IF(C184="","",IFERROR(1/(1/_xlfn.MINIFS('Saisie'!$A$5:$A$2004,'Saisie'!$C$5:$C$2004,C184,'Saisie'!$AT$5:$AT$2004,"&gt;=5")),""))</f>
        <v/>
      </c>
      <c r="BH184" s="106">
        <f>IF(C184="","",IFERROR(1/(1/_xlfn.MINIFS('Saisie'!$A$5:$A$2004,'Saisie'!$C$5:$C$2004,C184,'Saisie'!$AT$5:$AT$2004,"&gt;=6")),""))</f>
        <v/>
      </c>
      <c r="BI184" s="106">
        <f>IF(C184="","",IFERROR(1/(1/_xlfn.MINIFS('Saisie'!$A$5:$A$2004,'Saisie'!$C$5:$C$2004,C184,'Saisie'!$AT$5:$AT$2004,"&gt;=7")),""))</f>
        <v/>
      </c>
      <c r="BJ184" s="60">
        <f>IF(OR(BD184="",B184=""),"",BD184-B184)</f>
        <v/>
      </c>
      <c r="BK184" s="60">
        <f>IF(OR(BE184="",BD184=""),"",BE184-BD184)</f>
        <v/>
      </c>
      <c r="BL184" s="60">
        <f>IF(OR(BF184="",BE184=""),"",BF184-BE184)</f>
        <v/>
      </c>
      <c r="BM184" s="60">
        <f>IF(OR(BG184="",BF184=""),"",BG184-BF184)</f>
        <v/>
      </c>
      <c r="BN184" s="60">
        <f>IF(OR(BH184="",BG184=""),"",BH184-BG184)</f>
        <v/>
      </c>
      <c r="BO184" s="60">
        <f>IF(OR(BI184="",BH184=""),"",BI184-BH184)</f>
        <v/>
      </c>
      <c r="BP184" s="60">
        <f>IF(C184="","",_xlfn.MAXIFS('Saisie'!$AS$5:$AS$2004,'Saisie'!$C$5:$C$2004,C184,'Saisie'!$J$5:$J$2004,"&lt;&gt;"))</f>
        <v/>
      </c>
      <c r="BQ184" s="60">
        <f>IF(C184="","",_xlfn.MAXIFS('Saisie'!$AS$5:$AS$2004,'Saisie'!$C$5:$C$2004,C184))</f>
        <v/>
      </c>
      <c r="BR184" s="60">
        <f>IF(C184="","",_xlfn.MAXIFS('Saisie'!$AS$5:$AS$2004,'Saisie'!$C$5:$C$2004,C184,'Saisie'!$E$5:$E$2004,"Perdu"))</f>
        <v/>
      </c>
      <c r="BS184" s="60">
        <f>IF(C184="","",_xlfn.MAXIFS('Saisie'!$AS$5:$AS$2004,'Saisie'!$C$5:$C$2004,C184,'Saisie'!$AT$5:$AT$2004,"&gt;0"))</f>
        <v/>
      </c>
      <c r="BT184" s="109">
        <f>IF(AND(C184&lt;&gt;"",OR(D184="Nouveau",D184="Contacté",D184="Qualifié"),OR(G184="",N(G184)&lt;=TODAY()),NOT(AND(O184&gt;='Paramètres'!$B$21,P184=0))),E184+180/10000,"")</f>
        <v/>
      </c>
      <c r="BU184" s="60">
        <f>IF(AND(G184&lt;&gt;"",N(G184)&lt;=TODAY()),MAX($BU$4:BU183)+1,"")</f>
        <v/>
      </c>
      <c r="BV184" s="60">
        <f>IF(AND(F184&lt;&gt;"",F184&lt;&gt;"Relance en retard"),MAX($BV$4:BV183)+1,"")</f>
        <v/>
      </c>
      <c r="BW184" s="60">
        <f>IF(C184="","",IF(AND(B184&gt;='Tableau de bord'!$R$4,B184&lt;='Tableau de bord'!$S$4,OR('Tableau de bord'!$G$4="Tous",N184='Tableau de bord'!$G$4)),1,0))</f>
        <v/>
      </c>
      <c r="BX184" s="60">
        <f>IF(AND(C184&lt;&gt;"",N(BA184)=7),MAX($BX$4:BX183)+1,"")</f>
        <v/>
      </c>
    </row>
    <row r="185">
      <c r="A185" s="60">
        <f>IF(C185="","","P-"&amp;TEXT(181,"000"))</f>
        <v/>
      </c>
      <c r="B185" s="106">
        <f>IF(C185="","",IFERROR(1/(1/_xlfn.MINIFS('Saisie'!$A$5:$A$2004,'Saisie'!$C$5:$C$2004,C185)),""))</f>
        <v/>
      </c>
      <c r="C185" s="60">
        <f>IFERROR(INDEX('Saisie'!$C$5:$C$2004,MATCH(181,'Saisie'!$AX$5:$AX$2004,0)),"")</f>
        <v/>
      </c>
      <c r="D185" s="60">
        <f>IF(C185="","",IF(AND(BR185&gt;0,BR185&gt;BS185,BA185&lt;7),"Perdu",INDEX('Paramètres'!$F$6:$F$13,BA185)))</f>
        <v/>
      </c>
      <c r="E185" s="61">
        <f>IF(C185="","",MIN(100,(Z185="Oui")*'Paramètres'!$B$38+(AB185="Régulière")*'Paramètres'!$B$39+IF(AND(N(AA185)&gt;0,TODAY()-N(AA185)&lt;=30),'Paramètres'!$B$40,0)+(W185="")*'Paramètres'!$B$41+(AC185="Absente")*'Paramètres'!$B$42+(AC185="Faible")*'Paramètres'!$B$43+IF(AND(N(AD185)&gt;0,N(AD185)&lt;4),'Paramètres'!$B$44,0)+(AF185="Moyenne")*'Paramètres'!$B$45+(AF185="Grande")*'Paramètres'!$B$46+(Y185&lt;&gt;"")*'Paramètres'!$B$47))</f>
        <v/>
      </c>
      <c r="F185" s="60">
        <f>IF(C185="","",IF(D185="Gagné","",IF(D185="Perdu",IF(AND(AX185&lt;&gt;"",AX185&lt;=TODAY()),"À recontacter (perdu)",""),IF(AND(O185&gt;='Paramètres'!$B$21,P185=0),"Stop : "&amp;'Paramètres'!$B$21&amp;" tentatives sans réponse",IF(AND(D185="Proposition",AR185&lt;&gt;"",TODAY()&gt;N(AR185)),"Proposition expirée",IF(AND(D185="Proposition",N(R185)&gt;='Paramètres'!$B$25),"Proposition sans réponse",IF(AND(G185&lt;&gt;"",N(G185)&lt;TODAY()),"Relance en retard",IF(N(R185)&gt;='Paramètres'!$B$24,"Sans action depuis "&amp;R185&amp;" j",""))))))))</f>
        <v/>
      </c>
      <c r="G185" s="106">
        <f>IF(OR(C185="",D185="Gagné",D185="Perdu"),"",IF(AND(BP185&gt;0,BP185=BQ185),INDEX('Saisie'!$J$5:$J$2004,BP185-4),IF(OR(O185=0,AND(O185&gt;='Paramètres'!$B$21,P185=0)),"",Q185+IF(O185&lt;=1,'Paramètres'!$B$18,IF(O185=2,'Paramètres'!$B$19,'Paramètres'!$B$20)))))</f>
        <v/>
      </c>
      <c r="H185" s="107">
        <f>IF(OR(G185="",BP185&lt;&gt;BQ185),"",IF(INDEX('Saisie'!$K$5:$K$2004,BP185-4)="","",INDEX('Saisie'!$K$5:$K$2004,BP185-4)))</f>
        <v/>
      </c>
      <c r="I185" s="60">
        <f>IF(C185="","",IF(OR(D185="Gagné",D185="Perdu"),"",IFERROR(INDEX('Saisie'!$I$5:$I$2004,_xlfn.MAXIFS('Saisie'!$AS$5:$AS$2004,'Saisie'!$C$5:$C$2004,C185,'Saisie'!$I$5:$I$2004,"&lt;&gt;")-4),"")))</f>
        <v/>
      </c>
      <c r="J185" s="60">
        <f>IF(C185="","",IFERROR(INDEX('Saisie'!$U$5:$U$2004,_xlfn.MAXIFS('Saisie'!$AS$5:$AS$2004,'Saisie'!$C$5:$C$2004,C185,'Saisie'!$U$5:$U$2004,"&lt;&gt;")-4),""))</f>
        <v/>
      </c>
      <c r="K185" s="60">
        <f>IF(C185="","",IFERROR(INDEX('Saisie'!$W$5:$W$2004,_xlfn.MAXIFS('Saisie'!$AS$5:$AS$2004,'Saisie'!$C$5:$C$2004,C185,'Saisie'!$W$5:$W$2004,"&lt;&gt;")-4),""))</f>
        <v/>
      </c>
      <c r="L185" s="60">
        <f>IF(IF(BB185&lt;&gt;"",BB185,K185)="","",HYPERLINK("https://wa.me/"&amp;IF(LEFT(SUBSTITUTE(SUBSTITUTE(SUBSTITUTE(IF(BB185&lt;&gt;"",BB185,K185)," ",""),".",""),"+",""),1)="0",'Paramètres'!$B$35&amp;MID(SUBSTITUTE(SUBSTITUTE(SUBSTITUTE(IF(BB185&lt;&gt;"",BB185,K185)," ",""),".",""),"+",""),2,20),SUBSTITUTE(SUBSTITUTE(SUBSTITUTE(IF(BB185&lt;&gt;"",BB185,K185)," ",""),".",""),"+","")),"WhatsApp"))</f>
        <v/>
      </c>
      <c r="M185" s="60">
        <f>IF(BC185="","",HYPERLINK(IF(LEFT(BC185,4)="http",BC185,"https://www.instagram.com/"&amp;SUBSTITUTE(SUBSTITUTE(BC185,"@","")," ","")),BC185))</f>
        <v/>
      </c>
      <c r="N185" s="60">
        <f>IF(C185="","",IFERROR(INDEX('Saisie'!$D$5:$D$2004,_xlfn.MINIFS('Saisie'!$AS$5:$AS$2004,'Saisie'!$C$5:$C$2004,C185,'Saisie'!$AU$5:$AU$2004,1)-4),IFERROR(INDEX('Saisie'!$D$5:$D$2004,_xlfn.MINIFS('Saisie'!$AS$5:$AS$2004,'Saisie'!$C$5:$C$2004,C185,'Saisie'!$D$5:$D$2004,"&lt;&gt;")-4),"")))</f>
        <v/>
      </c>
      <c r="O185" s="60">
        <f>IF(C185="","",COUNTIFS('Saisie'!$C$5:$C$2004,C185,'Saisie'!$AU$5:$AU$2004,1))</f>
        <v/>
      </c>
      <c r="P185" s="60">
        <f>IF(C185="","",COUNTIFS('Saisie'!$C$5:$C$2004,C185,'Saisie'!$AV$5:$AV$2004,1))</f>
        <v/>
      </c>
      <c r="Q185" s="106">
        <f>IF(C185="","",IFERROR(1/(1/_xlfn.MAXIFS('Saisie'!$A$5:$A$2004,'Saisie'!$C$5:$C$2004,C185)),""))</f>
        <v/>
      </c>
      <c r="R185" s="61">
        <f>IF(C185="","",IF(Q185="","",TODAY()-Q185))</f>
        <v/>
      </c>
      <c r="S185" s="60">
        <f>IF(C185="","",IFERROR(INDEX('Saisie'!$R$5:$R$2004,_xlfn.MAXIFS('Saisie'!$AS$5:$AS$2004,'Saisie'!$C$5:$C$2004,C185,'Saisie'!$R$5:$R$2004,"&lt;&gt;")-4),""))</f>
        <v/>
      </c>
      <c r="T185" s="60">
        <f>IF(C185="","",IFERROR(INDEX('Saisie'!$S$5:$S$2004,_xlfn.MAXIFS('Saisie'!$AS$5:$AS$2004,'Saisie'!$C$5:$C$2004,C185,'Saisie'!$S$5:$S$2004,"&lt;&gt;")-4),""))</f>
        <v/>
      </c>
      <c r="U185" s="60">
        <f>IF(C185="","",IFERROR(INDEX('Saisie'!$T$5:$T$2004,_xlfn.MAXIFS('Saisie'!$AS$5:$AS$2004,'Saisie'!$C$5:$C$2004,C185,'Saisie'!$T$5:$T$2004,"&lt;&gt;")-4),""))</f>
        <v/>
      </c>
      <c r="V185" s="60">
        <f>IF(C185="","",IFERROR(INDEX('Saisie'!$V$5:$V$2004,_xlfn.MAXIFS('Saisie'!$AS$5:$AS$2004,'Saisie'!$C$5:$C$2004,C185,'Saisie'!$V$5:$V$2004,"&lt;&gt;")-4),""))</f>
        <v/>
      </c>
      <c r="W185" s="60">
        <f>IF(C185="","",IFERROR(INDEX('Saisie'!$Z$5:$Z$2004,_xlfn.MAXIFS('Saisie'!$AS$5:$AS$2004,'Saisie'!$C$5:$C$2004,C185,'Saisie'!$Z$5:$Z$2004,"&lt;&gt;")-4),""))</f>
        <v/>
      </c>
      <c r="X185" s="60">
        <f>IF(C185="","",IFERROR(INDEX('Saisie'!$AA$5:$AA$2004,_xlfn.MAXIFS('Saisie'!$AS$5:$AS$2004,'Saisie'!$C$5:$C$2004,C185,'Saisie'!$AA$5:$AA$2004,"&lt;&gt;")-4),""))</f>
        <v/>
      </c>
      <c r="Y185" s="60">
        <f>IF(C185="","",IFERROR(INDEX('Saisie'!$AB$5:$AB$2004,_xlfn.MAXIFS('Saisie'!$AS$5:$AS$2004,'Saisie'!$C$5:$C$2004,C185,'Saisie'!$AB$5:$AB$2004,"&lt;&gt;")-4),""))</f>
        <v/>
      </c>
      <c r="Z185" s="60">
        <f>IF(C185="","",IFERROR(INDEX('Saisie'!$AC$5:$AC$2004,_xlfn.MAXIFS('Saisie'!$AS$5:$AS$2004,'Saisie'!$C$5:$C$2004,C185,'Saisie'!$AC$5:$AC$2004,"&lt;&gt;")-4),""))</f>
        <v/>
      </c>
      <c r="AA185" s="106">
        <f>IF(C185="","",IFERROR(INDEX('Saisie'!$AD$5:$AD$2004,_xlfn.MAXIFS('Saisie'!$AS$5:$AS$2004,'Saisie'!$C$5:$C$2004,C185,'Saisie'!$AD$5:$AD$2004,"&lt;&gt;")-4),""))</f>
        <v/>
      </c>
      <c r="AB185" s="60">
        <f>IF(C185="","",IFERROR(INDEX('Saisie'!$AE$5:$AE$2004,_xlfn.MAXIFS('Saisie'!$AS$5:$AS$2004,'Saisie'!$C$5:$C$2004,C185,'Saisie'!$AE$5:$AE$2004,"&lt;&gt;")-4),""))</f>
        <v/>
      </c>
      <c r="AC185" s="60">
        <f>IF(C185="","",IFERROR(INDEX('Saisie'!$AF$5:$AF$2004,_xlfn.MAXIFS('Saisie'!$AS$5:$AS$2004,'Saisie'!$C$5:$C$2004,C185,'Saisie'!$AF$5:$AF$2004,"&lt;&gt;")-4),""))</f>
        <v/>
      </c>
      <c r="AD185" s="108">
        <f>IF(C185="","",IFERROR(INDEX('Saisie'!$AG$5:$AG$2004,_xlfn.MAXIFS('Saisie'!$AS$5:$AS$2004,'Saisie'!$C$5:$C$2004,C185,'Saisie'!$AG$5:$AG$2004,"&lt;&gt;")-4),""))</f>
        <v/>
      </c>
      <c r="AE185" s="60">
        <f>IF(C185="","",IFERROR(INDEX('Saisie'!$AH$5:$AH$2004,_xlfn.MAXIFS('Saisie'!$AS$5:$AS$2004,'Saisie'!$C$5:$C$2004,C185,'Saisie'!$AH$5:$AH$2004,"&lt;&gt;")-4),""))</f>
        <v/>
      </c>
      <c r="AF185" s="60">
        <f>IF(C185="","",IFERROR(INDEX('Saisie'!$AI$5:$AI$2004,_xlfn.MAXIFS('Saisie'!$AS$5:$AS$2004,'Saisie'!$C$5:$C$2004,C185,'Saisie'!$AI$5:$AI$2004,"&lt;&gt;")-4),""))</f>
        <v/>
      </c>
      <c r="AG185" s="60">
        <f>IF(C185="","",IFERROR(INDEX('Saisie'!$AJ$5:$AJ$2004,_xlfn.MAXIFS('Saisie'!$AS$5:$AS$2004,'Saisie'!$C$5:$C$2004,C185,'Saisie'!$AJ$5:$AJ$2004,"&lt;&gt;")-4),""))</f>
        <v/>
      </c>
      <c r="AH185" s="60">
        <f>IF(C185="","",IFERROR(INDEX('Saisie'!$AK$5:$AK$2004,_xlfn.MAXIFS('Saisie'!$AS$5:$AS$2004,'Saisie'!$C$5:$C$2004,C185,'Saisie'!$AK$5:$AK$2004,"&lt;&gt;")-4),""))</f>
        <v/>
      </c>
      <c r="AI185" s="60">
        <f>IF(C185="","",IFERROR(INDEX('Saisie'!$AN$5:$AN$2004,_xlfn.MAXIFS('Saisie'!$AS$5:$AS$2004,'Saisie'!$C$5:$C$2004,C185,'Saisie'!$AN$5:$AN$2004,"&lt;&gt;")-4),""))</f>
        <v/>
      </c>
      <c r="AJ185" s="60">
        <f>IF(C185="","",IFERROR(INDEX('Saisie'!$AO$5:$AO$2004,_xlfn.MAXIFS('Saisie'!$AS$5:$AS$2004,'Saisie'!$C$5:$C$2004,C185,'Saisie'!$AO$5:$AO$2004,"&lt;&gt;")-4),""))</f>
        <v/>
      </c>
      <c r="AK185" s="60">
        <f>IF(C185="","",IFERROR(INDEX('Saisie'!$AP$5:$AP$2004,_xlfn.MAXIFS('Saisie'!$AS$5:$AS$2004,'Saisie'!$C$5:$C$2004,C185,'Saisie'!$AP$5:$AP$2004,"&lt;&gt;")-4),""))</f>
        <v/>
      </c>
      <c r="AL185" s="60">
        <f>IF(C185="","",IFERROR(INDEX('Saisie'!$AQ$5:$AQ$2004,_xlfn.MAXIFS('Saisie'!$AS$5:$AS$2004,'Saisie'!$C$5:$C$2004,C185,'Saisie'!$AQ$5:$AQ$2004,"&lt;&gt;")-4),""))</f>
        <v/>
      </c>
      <c r="AM185" s="60">
        <f>IF(C185="","",((AI185="Oui")+(AJ185="Oui")+(AK185="Oui")+OR(AL185="Immédiat",AL185="&lt; 1 mois"))&amp;"/4")</f>
        <v/>
      </c>
      <c r="AN185" s="60">
        <f>IF(C185="","",IFERROR(INDEX('Saisie'!$AL$5:$AL$2004,_xlfn.MAXIFS('Saisie'!$AS$5:$AS$2004,'Saisie'!$C$5:$C$2004,C185,'Saisie'!$AL$5:$AL$2004,"&lt;&gt;")-4),""))</f>
        <v/>
      </c>
      <c r="AO185" s="62">
        <f>IF(C185="","",IF(IFERROR(INDEX('Saisie'!$AM$5:$AM$2004,_xlfn.MAXIFS('Saisie'!$AS$5:$AS$2004,'Saisie'!$C$5:$C$2004,C185,'Saisie'!$AM$5:$AM$2004,"&lt;&gt;")-4),"")&lt;&gt;"",IFERROR(INDEX('Saisie'!$AM$5:$AM$2004,_xlfn.MAXIFS('Saisie'!$AS$5:$AS$2004,'Saisie'!$C$5:$C$2004,C185,'Saisie'!$AM$5:$AM$2004,"&lt;&gt;")-4),""),IFERROR(INDEX('Paramètres'!$S$6:$S$15,MATCH(AN185,'Paramètres'!$Q$6:$Q$15,0)),"")))</f>
        <v/>
      </c>
      <c r="AP185" s="62">
        <f>IF(C185="","",IFERROR(INDEX('Saisie'!$AW$5:$AW$2004,_xlfn.MAXIFS('Saisie'!$AS$5:$AS$2004,'Saisie'!$C$5:$C$2004,C185,'Saisie'!$E$5:$E$2004,"Proposition envoyée")-4),""))</f>
        <v/>
      </c>
      <c r="AQ185" s="106">
        <f>IF(C185="","",IFERROR(1/(1/_xlfn.MAXIFS('Saisie'!$A$5:$A$2004,'Saisie'!$C$5:$C$2004,C185,'Saisie'!$E$5:$E$2004,"Proposition envoyée")),""))</f>
        <v/>
      </c>
      <c r="AR185" s="106">
        <f>IF(C185="","",IF(AQ185="","",AQ185+'Paramètres'!$B$26))</f>
        <v/>
      </c>
      <c r="AS185" s="62">
        <f>IF(OR(C185="",D185="Gagné",D185="Perdu"),0,N(AP185)*IFERROR(INDEX('Paramètres'!$G$6:$G$13,MATCH(D185,'Paramètres'!$F$6:$F$13,0)),0))</f>
        <v/>
      </c>
      <c r="AT185" s="106">
        <f>IF(C185="","",IFERROR(1/(1/_xlfn.MINIFS('Saisie'!$A$5:$A$2004,'Saisie'!$C$5:$C$2004,C185,'Saisie'!$E$5:$E$2004,"Signature")),""))</f>
        <v/>
      </c>
      <c r="AU185" s="60">
        <f>IF(C185="","",IF(OR(AT185="",B185=""),"",AT185-B185))</f>
        <v/>
      </c>
      <c r="AV185" s="60">
        <f>IF(C185="","",IFERROR(INDEX('Saisie'!$L$5:$L$2004,_xlfn.MAXIFS('Saisie'!$AS$5:$AS$2004,'Saisie'!$C$5:$C$2004,C185,'Saisie'!$L$5:$L$2004,"&lt;&gt;")-4),""))</f>
        <v/>
      </c>
      <c r="AW185" s="106">
        <f>IF(C185="","",IF(D185&lt;&gt;"Perdu","",IFERROR(1/(1/_xlfn.MAXIFS('Saisie'!$A$5:$A$2004,'Saisie'!$C$5:$C$2004,C185,'Saisie'!$E$5:$E$2004,"Perdu")),"")))</f>
        <v/>
      </c>
      <c r="AX185" s="106">
        <f>IF(C185="","",IF(AW185="","",AW185+'Paramètres'!$B$28))</f>
        <v/>
      </c>
      <c r="AY185" s="60">
        <f>IF(C185="","",SUMIFS('Saisie'!$H$5:$H$2004,'Saisie'!$C$5:$C$2004,C185))</f>
        <v/>
      </c>
      <c r="AZ185" s="60">
        <f>IF(C185="","",IFERROR(INDEX('Paramètres'!$W$6:$W$20,MATCH(S185,'Paramètres'!$V$6:$V$20,0))&amp;"",""))</f>
        <v/>
      </c>
      <c r="BA185" s="60">
        <f>IF(C185="","",MAX(1,_xlfn.MAXIFS('Saisie'!$AT$5:$AT$2004,'Saisie'!$C$5:$C$2004,C185)))</f>
        <v/>
      </c>
      <c r="BB185" s="60">
        <f>IF(C185="","",IFERROR(INDEX('Saisie'!$X$5:$X$2004,_xlfn.MAXIFS('Saisie'!$AS$5:$AS$2004,'Saisie'!$C$5:$C$2004,C185,'Saisie'!$X$5:$X$2004,"&lt;&gt;")-4),""))</f>
        <v/>
      </c>
      <c r="BC185" s="60">
        <f>IF(C185="","",IFERROR(INDEX('Saisie'!$Y$5:$Y$2004,_xlfn.MAXIFS('Saisie'!$AS$5:$AS$2004,'Saisie'!$C$5:$C$2004,C185,'Saisie'!$Y$5:$Y$2004,"&lt;&gt;")-4),""))</f>
        <v/>
      </c>
      <c r="BD185" s="106">
        <f>IF(C185="","",IFERROR(1/(1/_xlfn.MINIFS('Saisie'!$A$5:$A$2004,'Saisie'!$C$5:$C$2004,C185,'Saisie'!$AT$5:$AT$2004,"&gt;=2")),""))</f>
        <v/>
      </c>
      <c r="BE185" s="106">
        <f>IF(C185="","",IFERROR(1/(1/_xlfn.MINIFS('Saisie'!$A$5:$A$2004,'Saisie'!$C$5:$C$2004,C185,'Saisie'!$AT$5:$AT$2004,"&gt;=3")),""))</f>
        <v/>
      </c>
      <c r="BF185" s="106">
        <f>IF(C185="","",IFERROR(1/(1/_xlfn.MINIFS('Saisie'!$A$5:$A$2004,'Saisie'!$C$5:$C$2004,C185,'Saisie'!$AT$5:$AT$2004,"&gt;=4")),""))</f>
        <v/>
      </c>
      <c r="BG185" s="106">
        <f>IF(C185="","",IFERROR(1/(1/_xlfn.MINIFS('Saisie'!$A$5:$A$2004,'Saisie'!$C$5:$C$2004,C185,'Saisie'!$AT$5:$AT$2004,"&gt;=5")),""))</f>
        <v/>
      </c>
      <c r="BH185" s="106">
        <f>IF(C185="","",IFERROR(1/(1/_xlfn.MINIFS('Saisie'!$A$5:$A$2004,'Saisie'!$C$5:$C$2004,C185,'Saisie'!$AT$5:$AT$2004,"&gt;=6")),""))</f>
        <v/>
      </c>
      <c r="BI185" s="106">
        <f>IF(C185="","",IFERROR(1/(1/_xlfn.MINIFS('Saisie'!$A$5:$A$2004,'Saisie'!$C$5:$C$2004,C185,'Saisie'!$AT$5:$AT$2004,"&gt;=7")),""))</f>
        <v/>
      </c>
      <c r="BJ185" s="60">
        <f>IF(OR(BD185="",B185=""),"",BD185-B185)</f>
        <v/>
      </c>
      <c r="BK185" s="60">
        <f>IF(OR(BE185="",BD185=""),"",BE185-BD185)</f>
        <v/>
      </c>
      <c r="BL185" s="60">
        <f>IF(OR(BF185="",BE185=""),"",BF185-BE185)</f>
        <v/>
      </c>
      <c r="BM185" s="60">
        <f>IF(OR(BG185="",BF185=""),"",BG185-BF185)</f>
        <v/>
      </c>
      <c r="BN185" s="60">
        <f>IF(OR(BH185="",BG185=""),"",BH185-BG185)</f>
        <v/>
      </c>
      <c r="BO185" s="60">
        <f>IF(OR(BI185="",BH185=""),"",BI185-BH185)</f>
        <v/>
      </c>
      <c r="BP185" s="60">
        <f>IF(C185="","",_xlfn.MAXIFS('Saisie'!$AS$5:$AS$2004,'Saisie'!$C$5:$C$2004,C185,'Saisie'!$J$5:$J$2004,"&lt;&gt;"))</f>
        <v/>
      </c>
      <c r="BQ185" s="60">
        <f>IF(C185="","",_xlfn.MAXIFS('Saisie'!$AS$5:$AS$2004,'Saisie'!$C$5:$C$2004,C185))</f>
        <v/>
      </c>
      <c r="BR185" s="60">
        <f>IF(C185="","",_xlfn.MAXIFS('Saisie'!$AS$5:$AS$2004,'Saisie'!$C$5:$C$2004,C185,'Saisie'!$E$5:$E$2004,"Perdu"))</f>
        <v/>
      </c>
      <c r="BS185" s="60">
        <f>IF(C185="","",_xlfn.MAXIFS('Saisie'!$AS$5:$AS$2004,'Saisie'!$C$5:$C$2004,C185,'Saisie'!$AT$5:$AT$2004,"&gt;0"))</f>
        <v/>
      </c>
      <c r="BT185" s="109">
        <f>IF(AND(C185&lt;&gt;"",OR(D185="Nouveau",D185="Contacté",D185="Qualifié"),OR(G185="",N(G185)&lt;=TODAY()),NOT(AND(O185&gt;='Paramètres'!$B$21,P185=0))),E185+181/10000,"")</f>
        <v/>
      </c>
      <c r="BU185" s="60">
        <f>IF(AND(G185&lt;&gt;"",N(G185)&lt;=TODAY()),MAX($BU$4:BU184)+1,"")</f>
        <v/>
      </c>
      <c r="BV185" s="60">
        <f>IF(AND(F185&lt;&gt;"",F185&lt;&gt;"Relance en retard"),MAX($BV$4:BV184)+1,"")</f>
        <v/>
      </c>
      <c r="BW185" s="60">
        <f>IF(C185="","",IF(AND(B185&gt;='Tableau de bord'!$R$4,B185&lt;='Tableau de bord'!$S$4,OR('Tableau de bord'!$G$4="Tous",N185='Tableau de bord'!$G$4)),1,0))</f>
        <v/>
      </c>
      <c r="BX185" s="60">
        <f>IF(AND(C185&lt;&gt;"",N(BA185)=7),MAX($BX$4:BX184)+1,"")</f>
        <v/>
      </c>
    </row>
    <row r="186">
      <c r="A186" s="60">
        <f>IF(C186="","","P-"&amp;TEXT(182,"000"))</f>
        <v/>
      </c>
      <c r="B186" s="106">
        <f>IF(C186="","",IFERROR(1/(1/_xlfn.MINIFS('Saisie'!$A$5:$A$2004,'Saisie'!$C$5:$C$2004,C186)),""))</f>
        <v/>
      </c>
      <c r="C186" s="60">
        <f>IFERROR(INDEX('Saisie'!$C$5:$C$2004,MATCH(182,'Saisie'!$AX$5:$AX$2004,0)),"")</f>
        <v/>
      </c>
      <c r="D186" s="60">
        <f>IF(C186="","",IF(AND(BR186&gt;0,BR186&gt;BS186,BA186&lt;7),"Perdu",INDEX('Paramètres'!$F$6:$F$13,BA186)))</f>
        <v/>
      </c>
      <c r="E186" s="61">
        <f>IF(C186="","",MIN(100,(Z186="Oui")*'Paramètres'!$B$38+(AB186="Régulière")*'Paramètres'!$B$39+IF(AND(N(AA186)&gt;0,TODAY()-N(AA186)&lt;=30),'Paramètres'!$B$40,0)+(W186="")*'Paramètres'!$B$41+(AC186="Absente")*'Paramètres'!$B$42+(AC186="Faible")*'Paramètres'!$B$43+IF(AND(N(AD186)&gt;0,N(AD186)&lt;4),'Paramètres'!$B$44,0)+(AF186="Moyenne")*'Paramètres'!$B$45+(AF186="Grande")*'Paramètres'!$B$46+(Y186&lt;&gt;"")*'Paramètres'!$B$47))</f>
        <v/>
      </c>
      <c r="F186" s="60">
        <f>IF(C186="","",IF(D186="Gagné","",IF(D186="Perdu",IF(AND(AX186&lt;&gt;"",AX186&lt;=TODAY()),"À recontacter (perdu)",""),IF(AND(O186&gt;='Paramètres'!$B$21,P186=0),"Stop : "&amp;'Paramètres'!$B$21&amp;" tentatives sans réponse",IF(AND(D186="Proposition",AR186&lt;&gt;"",TODAY()&gt;N(AR186)),"Proposition expirée",IF(AND(D186="Proposition",N(R186)&gt;='Paramètres'!$B$25),"Proposition sans réponse",IF(AND(G186&lt;&gt;"",N(G186)&lt;TODAY()),"Relance en retard",IF(N(R186)&gt;='Paramètres'!$B$24,"Sans action depuis "&amp;R186&amp;" j",""))))))))</f>
        <v/>
      </c>
      <c r="G186" s="106">
        <f>IF(OR(C186="",D186="Gagné",D186="Perdu"),"",IF(AND(BP186&gt;0,BP186=BQ186),INDEX('Saisie'!$J$5:$J$2004,BP186-4),IF(OR(O186=0,AND(O186&gt;='Paramètres'!$B$21,P186=0)),"",Q186+IF(O186&lt;=1,'Paramètres'!$B$18,IF(O186=2,'Paramètres'!$B$19,'Paramètres'!$B$20)))))</f>
        <v/>
      </c>
      <c r="H186" s="107">
        <f>IF(OR(G186="",BP186&lt;&gt;BQ186),"",IF(INDEX('Saisie'!$K$5:$K$2004,BP186-4)="","",INDEX('Saisie'!$K$5:$K$2004,BP186-4)))</f>
        <v/>
      </c>
      <c r="I186" s="60">
        <f>IF(C186="","",IF(OR(D186="Gagné",D186="Perdu"),"",IFERROR(INDEX('Saisie'!$I$5:$I$2004,_xlfn.MAXIFS('Saisie'!$AS$5:$AS$2004,'Saisie'!$C$5:$C$2004,C186,'Saisie'!$I$5:$I$2004,"&lt;&gt;")-4),"")))</f>
        <v/>
      </c>
      <c r="J186" s="60">
        <f>IF(C186="","",IFERROR(INDEX('Saisie'!$U$5:$U$2004,_xlfn.MAXIFS('Saisie'!$AS$5:$AS$2004,'Saisie'!$C$5:$C$2004,C186,'Saisie'!$U$5:$U$2004,"&lt;&gt;")-4),""))</f>
        <v/>
      </c>
      <c r="K186" s="60">
        <f>IF(C186="","",IFERROR(INDEX('Saisie'!$W$5:$W$2004,_xlfn.MAXIFS('Saisie'!$AS$5:$AS$2004,'Saisie'!$C$5:$C$2004,C186,'Saisie'!$W$5:$W$2004,"&lt;&gt;")-4),""))</f>
        <v/>
      </c>
      <c r="L186" s="60">
        <f>IF(IF(BB186&lt;&gt;"",BB186,K186)="","",HYPERLINK("https://wa.me/"&amp;IF(LEFT(SUBSTITUTE(SUBSTITUTE(SUBSTITUTE(IF(BB186&lt;&gt;"",BB186,K186)," ",""),".",""),"+",""),1)="0",'Paramètres'!$B$35&amp;MID(SUBSTITUTE(SUBSTITUTE(SUBSTITUTE(IF(BB186&lt;&gt;"",BB186,K186)," ",""),".",""),"+",""),2,20),SUBSTITUTE(SUBSTITUTE(SUBSTITUTE(IF(BB186&lt;&gt;"",BB186,K186)," ",""),".",""),"+","")),"WhatsApp"))</f>
        <v/>
      </c>
      <c r="M186" s="60">
        <f>IF(BC186="","",HYPERLINK(IF(LEFT(BC186,4)="http",BC186,"https://www.instagram.com/"&amp;SUBSTITUTE(SUBSTITUTE(BC186,"@","")," ","")),BC186))</f>
        <v/>
      </c>
      <c r="N186" s="60">
        <f>IF(C186="","",IFERROR(INDEX('Saisie'!$D$5:$D$2004,_xlfn.MINIFS('Saisie'!$AS$5:$AS$2004,'Saisie'!$C$5:$C$2004,C186,'Saisie'!$AU$5:$AU$2004,1)-4),IFERROR(INDEX('Saisie'!$D$5:$D$2004,_xlfn.MINIFS('Saisie'!$AS$5:$AS$2004,'Saisie'!$C$5:$C$2004,C186,'Saisie'!$D$5:$D$2004,"&lt;&gt;")-4),"")))</f>
        <v/>
      </c>
      <c r="O186" s="60">
        <f>IF(C186="","",COUNTIFS('Saisie'!$C$5:$C$2004,C186,'Saisie'!$AU$5:$AU$2004,1))</f>
        <v/>
      </c>
      <c r="P186" s="60">
        <f>IF(C186="","",COUNTIFS('Saisie'!$C$5:$C$2004,C186,'Saisie'!$AV$5:$AV$2004,1))</f>
        <v/>
      </c>
      <c r="Q186" s="106">
        <f>IF(C186="","",IFERROR(1/(1/_xlfn.MAXIFS('Saisie'!$A$5:$A$2004,'Saisie'!$C$5:$C$2004,C186)),""))</f>
        <v/>
      </c>
      <c r="R186" s="61">
        <f>IF(C186="","",IF(Q186="","",TODAY()-Q186))</f>
        <v/>
      </c>
      <c r="S186" s="60">
        <f>IF(C186="","",IFERROR(INDEX('Saisie'!$R$5:$R$2004,_xlfn.MAXIFS('Saisie'!$AS$5:$AS$2004,'Saisie'!$C$5:$C$2004,C186,'Saisie'!$R$5:$R$2004,"&lt;&gt;")-4),""))</f>
        <v/>
      </c>
      <c r="T186" s="60">
        <f>IF(C186="","",IFERROR(INDEX('Saisie'!$S$5:$S$2004,_xlfn.MAXIFS('Saisie'!$AS$5:$AS$2004,'Saisie'!$C$5:$C$2004,C186,'Saisie'!$S$5:$S$2004,"&lt;&gt;")-4),""))</f>
        <v/>
      </c>
      <c r="U186" s="60">
        <f>IF(C186="","",IFERROR(INDEX('Saisie'!$T$5:$T$2004,_xlfn.MAXIFS('Saisie'!$AS$5:$AS$2004,'Saisie'!$C$5:$C$2004,C186,'Saisie'!$T$5:$T$2004,"&lt;&gt;")-4),""))</f>
        <v/>
      </c>
      <c r="V186" s="60">
        <f>IF(C186="","",IFERROR(INDEX('Saisie'!$V$5:$V$2004,_xlfn.MAXIFS('Saisie'!$AS$5:$AS$2004,'Saisie'!$C$5:$C$2004,C186,'Saisie'!$V$5:$V$2004,"&lt;&gt;")-4),""))</f>
        <v/>
      </c>
      <c r="W186" s="60">
        <f>IF(C186="","",IFERROR(INDEX('Saisie'!$Z$5:$Z$2004,_xlfn.MAXIFS('Saisie'!$AS$5:$AS$2004,'Saisie'!$C$5:$C$2004,C186,'Saisie'!$Z$5:$Z$2004,"&lt;&gt;")-4),""))</f>
        <v/>
      </c>
      <c r="X186" s="60">
        <f>IF(C186="","",IFERROR(INDEX('Saisie'!$AA$5:$AA$2004,_xlfn.MAXIFS('Saisie'!$AS$5:$AS$2004,'Saisie'!$C$5:$C$2004,C186,'Saisie'!$AA$5:$AA$2004,"&lt;&gt;")-4),""))</f>
        <v/>
      </c>
      <c r="Y186" s="60">
        <f>IF(C186="","",IFERROR(INDEX('Saisie'!$AB$5:$AB$2004,_xlfn.MAXIFS('Saisie'!$AS$5:$AS$2004,'Saisie'!$C$5:$C$2004,C186,'Saisie'!$AB$5:$AB$2004,"&lt;&gt;")-4),""))</f>
        <v/>
      </c>
      <c r="Z186" s="60">
        <f>IF(C186="","",IFERROR(INDEX('Saisie'!$AC$5:$AC$2004,_xlfn.MAXIFS('Saisie'!$AS$5:$AS$2004,'Saisie'!$C$5:$C$2004,C186,'Saisie'!$AC$5:$AC$2004,"&lt;&gt;")-4),""))</f>
        <v/>
      </c>
      <c r="AA186" s="106">
        <f>IF(C186="","",IFERROR(INDEX('Saisie'!$AD$5:$AD$2004,_xlfn.MAXIFS('Saisie'!$AS$5:$AS$2004,'Saisie'!$C$5:$C$2004,C186,'Saisie'!$AD$5:$AD$2004,"&lt;&gt;")-4),""))</f>
        <v/>
      </c>
      <c r="AB186" s="60">
        <f>IF(C186="","",IFERROR(INDEX('Saisie'!$AE$5:$AE$2004,_xlfn.MAXIFS('Saisie'!$AS$5:$AS$2004,'Saisie'!$C$5:$C$2004,C186,'Saisie'!$AE$5:$AE$2004,"&lt;&gt;")-4),""))</f>
        <v/>
      </c>
      <c r="AC186" s="60">
        <f>IF(C186="","",IFERROR(INDEX('Saisie'!$AF$5:$AF$2004,_xlfn.MAXIFS('Saisie'!$AS$5:$AS$2004,'Saisie'!$C$5:$C$2004,C186,'Saisie'!$AF$5:$AF$2004,"&lt;&gt;")-4),""))</f>
        <v/>
      </c>
      <c r="AD186" s="108">
        <f>IF(C186="","",IFERROR(INDEX('Saisie'!$AG$5:$AG$2004,_xlfn.MAXIFS('Saisie'!$AS$5:$AS$2004,'Saisie'!$C$5:$C$2004,C186,'Saisie'!$AG$5:$AG$2004,"&lt;&gt;")-4),""))</f>
        <v/>
      </c>
      <c r="AE186" s="60">
        <f>IF(C186="","",IFERROR(INDEX('Saisie'!$AH$5:$AH$2004,_xlfn.MAXIFS('Saisie'!$AS$5:$AS$2004,'Saisie'!$C$5:$C$2004,C186,'Saisie'!$AH$5:$AH$2004,"&lt;&gt;")-4),""))</f>
        <v/>
      </c>
      <c r="AF186" s="60">
        <f>IF(C186="","",IFERROR(INDEX('Saisie'!$AI$5:$AI$2004,_xlfn.MAXIFS('Saisie'!$AS$5:$AS$2004,'Saisie'!$C$5:$C$2004,C186,'Saisie'!$AI$5:$AI$2004,"&lt;&gt;")-4),""))</f>
        <v/>
      </c>
      <c r="AG186" s="60">
        <f>IF(C186="","",IFERROR(INDEX('Saisie'!$AJ$5:$AJ$2004,_xlfn.MAXIFS('Saisie'!$AS$5:$AS$2004,'Saisie'!$C$5:$C$2004,C186,'Saisie'!$AJ$5:$AJ$2004,"&lt;&gt;")-4),""))</f>
        <v/>
      </c>
      <c r="AH186" s="60">
        <f>IF(C186="","",IFERROR(INDEX('Saisie'!$AK$5:$AK$2004,_xlfn.MAXIFS('Saisie'!$AS$5:$AS$2004,'Saisie'!$C$5:$C$2004,C186,'Saisie'!$AK$5:$AK$2004,"&lt;&gt;")-4),""))</f>
        <v/>
      </c>
      <c r="AI186" s="60">
        <f>IF(C186="","",IFERROR(INDEX('Saisie'!$AN$5:$AN$2004,_xlfn.MAXIFS('Saisie'!$AS$5:$AS$2004,'Saisie'!$C$5:$C$2004,C186,'Saisie'!$AN$5:$AN$2004,"&lt;&gt;")-4),""))</f>
        <v/>
      </c>
      <c r="AJ186" s="60">
        <f>IF(C186="","",IFERROR(INDEX('Saisie'!$AO$5:$AO$2004,_xlfn.MAXIFS('Saisie'!$AS$5:$AS$2004,'Saisie'!$C$5:$C$2004,C186,'Saisie'!$AO$5:$AO$2004,"&lt;&gt;")-4),""))</f>
        <v/>
      </c>
      <c r="AK186" s="60">
        <f>IF(C186="","",IFERROR(INDEX('Saisie'!$AP$5:$AP$2004,_xlfn.MAXIFS('Saisie'!$AS$5:$AS$2004,'Saisie'!$C$5:$C$2004,C186,'Saisie'!$AP$5:$AP$2004,"&lt;&gt;")-4),""))</f>
        <v/>
      </c>
      <c r="AL186" s="60">
        <f>IF(C186="","",IFERROR(INDEX('Saisie'!$AQ$5:$AQ$2004,_xlfn.MAXIFS('Saisie'!$AS$5:$AS$2004,'Saisie'!$C$5:$C$2004,C186,'Saisie'!$AQ$5:$AQ$2004,"&lt;&gt;")-4),""))</f>
        <v/>
      </c>
      <c r="AM186" s="60">
        <f>IF(C186="","",((AI186="Oui")+(AJ186="Oui")+(AK186="Oui")+OR(AL186="Immédiat",AL186="&lt; 1 mois"))&amp;"/4")</f>
        <v/>
      </c>
      <c r="AN186" s="60">
        <f>IF(C186="","",IFERROR(INDEX('Saisie'!$AL$5:$AL$2004,_xlfn.MAXIFS('Saisie'!$AS$5:$AS$2004,'Saisie'!$C$5:$C$2004,C186,'Saisie'!$AL$5:$AL$2004,"&lt;&gt;")-4),""))</f>
        <v/>
      </c>
      <c r="AO186" s="62">
        <f>IF(C186="","",IF(IFERROR(INDEX('Saisie'!$AM$5:$AM$2004,_xlfn.MAXIFS('Saisie'!$AS$5:$AS$2004,'Saisie'!$C$5:$C$2004,C186,'Saisie'!$AM$5:$AM$2004,"&lt;&gt;")-4),"")&lt;&gt;"",IFERROR(INDEX('Saisie'!$AM$5:$AM$2004,_xlfn.MAXIFS('Saisie'!$AS$5:$AS$2004,'Saisie'!$C$5:$C$2004,C186,'Saisie'!$AM$5:$AM$2004,"&lt;&gt;")-4),""),IFERROR(INDEX('Paramètres'!$S$6:$S$15,MATCH(AN186,'Paramètres'!$Q$6:$Q$15,0)),"")))</f>
        <v/>
      </c>
      <c r="AP186" s="62">
        <f>IF(C186="","",IFERROR(INDEX('Saisie'!$AW$5:$AW$2004,_xlfn.MAXIFS('Saisie'!$AS$5:$AS$2004,'Saisie'!$C$5:$C$2004,C186,'Saisie'!$E$5:$E$2004,"Proposition envoyée")-4),""))</f>
        <v/>
      </c>
      <c r="AQ186" s="106">
        <f>IF(C186="","",IFERROR(1/(1/_xlfn.MAXIFS('Saisie'!$A$5:$A$2004,'Saisie'!$C$5:$C$2004,C186,'Saisie'!$E$5:$E$2004,"Proposition envoyée")),""))</f>
        <v/>
      </c>
      <c r="AR186" s="106">
        <f>IF(C186="","",IF(AQ186="","",AQ186+'Paramètres'!$B$26))</f>
        <v/>
      </c>
      <c r="AS186" s="62">
        <f>IF(OR(C186="",D186="Gagné",D186="Perdu"),0,N(AP186)*IFERROR(INDEX('Paramètres'!$G$6:$G$13,MATCH(D186,'Paramètres'!$F$6:$F$13,0)),0))</f>
        <v/>
      </c>
      <c r="AT186" s="106">
        <f>IF(C186="","",IFERROR(1/(1/_xlfn.MINIFS('Saisie'!$A$5:$A$2004,'Saisie'!$C$5:$C$2004,C186,'Saisie'!$E$5:$E$2004,"Signature")),""))</f>
        <v/>
      </c>
      <c r="AU186" s="60">
        <f>IF(C186="","",IF(OR(AT186="",B186=""),"",AT186-B186))</f>
        <v/>
      </c>
      <c r="AV186" s="60">
        <f>IF(C186="","",IFERROR(INDEX('Saisie'!$L$5:$L$2004,_xlfn.MAXIFS('Saisie'!$AS$5:$AS$2004,'Saisie'!$C$5:$C$2004,C186,'Saisie'!$L$5:$L$2004,"&lt;&gt;")-4),""))</f>
        <v/>
      </c>
      <c r="AW186" s="106">
        <f>IF(C186="","",IF(D186&lt;&gt;"Perdu","",IFERROR(1/(1/_xlfn.MAXIFS('Saisie'!$A$5:$A$2004,'Saisie'!$C$5:$C$2004,C186,'Saisie'!$E$5:$E$2004,"Perdu")),"")))</f>
        <v/>
      </c>
      <c r="AX186" s="106">
        <f>IF(C186="","",IF(AW186="","",AW186+'Paramètres'!$B$28))</f>
        <v/>
      </c>
      <c r="AY186" s="60">
        <f>IF(C186="","",SUMIFS('Saisie'!$H$5:$H$2004,'Saisie'!$C$5:$C$2004,C186))</f>
        <v/>
      </c>
      <c r="AZ186" s="60">
        <f>IF(C186="","",IFERROR(INDEX('Paramètres'!$W$6:$W$20,MATCH(S186,'Paramètres'!$V$6:$V$20,0))&amp;"",""))</f>
        <v/>
      </c>
      <c r="BA186" s="60">
        <f>IF(C186="","",MAX(1,_xlfn.MAXIFS('Saisie'!$AT$5:$AT$2004,'Saisie'!$C$5:$C$2004,C186)))</f>
        <v/>
      </c>
      <c r="BB186" s="60">
        <f>IF(C186="","",IFERROR(INDEX('Saisie'!$X$5:$X$2004,_xlfn.MAXIFS('Saisie'!$AS$5:$AS$2004,'Saisie'!$C$5:$C$2004,C186,'Saisie'!$X$5:$X$2004,"&lt;&gt;")-4),""))</f>
        <v/>
      </c>
      <c r="BC186" s="60">
        <f>IF(C186="","",IFERROR(INDEX('Saisie'!$Y$5:$Y$2004,_xlfn.MAXIFS('Saisie'!$AS$5:$AS$2004,'Saisie'!$C$5:$C$2004,C186,'Saisie'!$Y$5:$Y$2004,"&lt;&gt;")-4),""))</f>
        <v/>
      </c>
      <c r="BD186" s="106">
        <f>IF(C186="","",IFERROR(1/(1/_xlfn.MINIFS('Saisie'!$A$5:$A$2004,'Saisie'!$C$5:$C$2004,C186,'Saisie'!$AT$5:$AT$2004,"&gt;=2")),""))</f>
        <v/>
      </c>
      <c r="BE186" s="106">
        <f>IF(C186="","",IFERROR(1/(1/_xlfn.MINIFS('Saisie'!$A$5:$A$2004,'Saisie'!$C$5:$C$2004,C186,'Saisie'!$AT$5:$AT$2004,"&gt;=3")),""))</f>
        <v/>
      </c>
      <c r="BF186" s="106">
        <f>IF(C186="","",IFERROR(1/(1/_xlfn.MINIFS('Saisie'!$A$5:$A$2004,'Saisie'!$C$5:$C$2004,C186,'Saisie'!$AT$5:$AT$2004,"&gt;=4")),""))</f>
        <v/>
      </c>
      <c r="BG186" s="106">
        <f>IF(C186="","",IFERROR(1/(1/_xlfn.MINIFS('Saisie'!$A$5:$A$2004,'Saisie'!$C$5:$C$2004,C186,'Saisie'!$AT$5:$AT$2004,"&gt;=5")),""))</f>
        <v/>
      </c>
      <c r="BH186" s="106">
        <f>IF(C186="","",IFERROR(1/(1/_xlfn.MINIFS('Saisie'!$A$5:$A$2004,'Saisie'!$C$5:$C$2004,C186,'Saisie'!$AT$5:$AT$2004,"&gt;=6")),""))</f>
        <v/>
      </c>
      <c r="BI186" s="106">
        <f>IF(C186="","",IFERROR(1/(1/_xlfn.MINIFS('Saisie'!$A$5:$A$2004,'Saisie'!$C$5:$C$2004,C186,'Saisie'!$AT$5:$AT$2004,"&gt;=7")),""))</f>
        <v/>
      </c>
      <c r="BJ186" s="60">
        <f>IF(OR(BD186="",B186=""),"",BD186-B186)</f>
        <v/>
      </c>
      <c r="BK186" s="60">
        <f>IF(OR(BE186="",BD186=""),"",BE186-BD186)</f>
        <v/>
      </c>
      <c r="BL186" s="60">
        <f>IF(OR(BF186="",BE186=""),"",BF186-BE186)</f>
        <v/>
      </c>
      <c r="BM186" s="60">
        <f>IF(OR(BG186="",BF186=""),"",BG186-BF186)</f>
        <v/>
      </c>
      <c r="BN186" s="60">
        <f>IF(OR(BH186="",BG186=""),"",BH186-BG186)</f>
        <v/>
      </c>
      <c r="BO186" s="60">
        <f>IF(OR(BI186="",BH186=""),"",BI186-BH186)</f>
        <v/>
      </c>
      <c r="BP186" s="60">
        <f>IF(C186="","",_xlfn.MAXIFS('Saisie'!$AS$5:$AS$2004,'Saisie'!$C$5:$C$2004,C186,'Saisie'!$J$5:$J$2004,"&lt;&gt;"))</f>
        <v/>
      </c>
      <c r="BQ186" s="60">
        <f>IF(C186="","",_xlfn.MAXIFS('Saisie'!$AS$5:$AS$2004,'Saisie'!$C$5:$C$2004,C186))</f>
        <v/>
      </c>
      <c r="BR186" s="60">
        <f>IF(C186="","",_xlfn.MAXIFS('Saisie'!$AS$5:$AS$2004,'Saisie'!$C$5:$C$2004,C186,'Saisie'!$E$5:$E$2004,"Perdu"))</f>
        <v/>
      </c>
      <c r="BS186" s="60">
        <f>IF(C186="","",_xlfn.MAXIFS('Saisie'!$AS$5:$AS$2004,'Saisie'!$C$5:$C$2004,C186,'Saisie'!$AT$5:$AT$2004,"&gt;0"))</f>
        <v/>
      </c>
      <c r="BT186" s="109">
        <f>IF(AND(C186&lt;&gt;"",OR(D186="Nouveau",D186="Contacté",D186="Qualifié"),OR(G186="",N(G186)&lt;=TODAY()),NOT(AND(O186&gt;='Paramètres'!$B$21,P186=0))),E186+182/10000,"")</f>
        <v/>
      </c>
      <c r="BU186" s="60">
        <f>IF(AND(G186&lt;&gt;"",N(G186)&lt;=TODAY()),MAX($BU$4:BU185)+1,"")</f>
        <v/>
      </c>
      <c r="BV186" s="60">
        <f>IF(AND(F186&lt;&gt;"",F186&lt;&gt;"Relance en retard"),MAX($BV$4:BV185)+1,"")</f>
        <v/>
      </c>
      <c r="BW186" s="60">
        <f>IF(C186="","",IF(AND(B186&gt;='Tableau de bord'!$R$4,B186&lt;='Tableau de bord'!$S$4,OR('Tableau de bord'!$G$4="Tous",N186='Tableau de bord'!$G$4)),1,0))</f>
        <v/>
      </c>
      <c r="BX186" s="60">
        <f>IF(AND(C186&lt;&gt;"",N(BA186)=7),MAX($BX$4:BX185)+1,"")</f>
        <v/>
      </c>
    </row>
    <row r="187">
      <c r="A187" s="60">
        <f>IF(C187="","","P-"&amp;TEXT(183,"000"))</f>
        <v/>
      </c>
      <c r="B187" s="106">
        <f>IF(C187="","",IFERROR(1/(1/_xlfn.MINIFS('Saisie'!$A$5:$A$2004,'Saisie'!$C$5:$C$2004,C187)),""))</f>
        <v/>
      </c>
      <c r="C187" s="60">
        <f>IFERROR(INDEX('Saisie'!$C$5:$C$2004,MATCH(183,'Saisie'!$AX$5:$AX$2004,0)),"")</f>
        <v/>
      </c>
      <c r="D187" s="60">
        <f>IF(C187="","",IF(AND(BR187&gt;0,BR187&gt;BS187,BA187&lt;7),"Perdu",INDEX('Paramètres'!$F$6:$F$13,BA187)))</f>
        <v/>
      </c>
      <c r="E187" s="61">
        <f>IF(C187="","",MIN(100,(Z187="Oui")*'Paramètres'!$B$38+(AB187="Régulière")*'Paramètres'!$B$39+IF(AND(N(AA187)&gt;0,TODAY()-N(AA187)&lt;=30),'Paramètres'!$B$40,0)+(W187="")*'Paramètres'!$B$41+(AC187="Absente")*'Paramètres'!$B$42+(AC187="Faible")*'Paramètres'!$B$43+IF(AND(N(AD187)&gt;0,N(AD187)&lt;4),'Paramètres'!$B$44,0)+(AF187="Moyenne")*'Paramètres'!$B$45+(AF187="Grande")*'Paramètres'!$B$46+(Y187&lt;&gt;"")*'Paramètres'!$B$47))</f>
        <v/>
      </c>
      <c r="F187" s="60">
        <f>IF(C187="","",IF(D187="Gagné","",IF(D187="Perdu",IF(AND(AX187&lt;&gt;"",AX187&lt;=TODAY()),"À recontacter (perdu)",""),IF(AND(O187&gt;='Paramètres'!$B$21,P187=0),"Stop : "&amp;'Paramètres'!$B$21&amp;" tentatives sans réponse",IF(AND(D187="Proposition",AR187&lt;&gt;"",TODAY()&gt;N(AR187)),"Proposition expirée",IF(AND(D187="Proposition",N(R187)&gt;='Paramètres'!$B$25),"Proposition sans réponse",IF(AND(G187&lt;&gt;"",N(G187)&lt;TODAY()),"Relance en retard",IF(N(R187)&gt;='Paramètres'!$B$24,"Sans action depuis "&amp;R187&amp;" j",""))))))))</f>
        <v/>
      </c>
      <c r="G187" s="106">
        <f>IF(OR(C187="",D187="Gagné",D187="Perdu"),"",IF(AND(BP187&gt;0,BP187=BQ187),INDEX('Saisie'!$J$5:$J$2004,BP187-4),IF(OR(O187=0,AND(O187&gt;='Paramètres'!$B$21,P187=0)),"",Q187+IF(O187&lt;=1,'Paramètres'!$B$18,IF(O187=2,'Paramètres'!$B$19,'Paramètres'!$B$20)))))</f>
        <v/>
      </c>
      <c r="H187" s="107">
        <f>IF(OR(G187="",BP187&lt;&gt;BQ187),"",IF(INDEX('Saisie'!$K$5:$K$2004,BP187-4)="","",INDEX('Saisie'!$K$5:$K$2004,BP187-4)))</f>
        <v/>
      </c>
      <c r="I187" s="60">
        <f>IF(C187="","",IF(OR(D187="Gagné",D187="Perdu"),"",IFERROR(INDEX('Saisie'!$I$5:$I$2004,_xlfn.MAXIFS('Saisie'!$AS$5:$AS$2004,'Saisie'!$C$5:$C$2004,C187,'Saisie'!$I$5:$I$2004,"&lt;&gt;")-4),"")))</f>
        <v/>
      </c>
      <c r="J187" s="60">
        <f>IF(C187="","",IFERROR(INDEX('Saisie'!$U$5:$U$2004,_xlfn.MAXIFS('Saisie'!$AS$5:$AS$2004,'Saisie'!$C$5:$C$2004,C187,'Saisie'!$U$5:$U$2004,"&lt;&gt;")-4),""))</f>
        <v/>
      </c>
      <c r="K187" s="60">
        <f>IF(C187="","",IFERROR(INDEX('Saisie'!$W$5:$W$2004,_xlfn.MAXIFS('Saisie'!$AS$5:$AS$2004,'Saisie'!$C$5:$C$2004,C187,'Saisie'!$W$5:$W$2004,"&lt;&gt;")-4),""))</f>
        <v/>
      </c>
      <c r="L187" s="60">
        <f>IF(IF(BB187&lt;&gt;"",BB187,K187)="","",HYPERLINK("https://wa.me/"&amp;IF(LEFT(SUBSTITUTE(SUBSTITUTE(SUBSTITUTE(IF(BB187&lt;&gt;"",BB187,K187)," ",""),".",""),"+",""),1)="0",'Paramètres'!$B$35&amp;MID(SUBSTITUTE(SUBSTITUTE(SUBSTITUTE(IF(BB187&lt;&gt;"",BB187,K187)," ",""),".",""),"+",""),2,20),SUBSTITUTE(SUBSTITUTE(SUBSTITUTE(IF(BB187&lt;&gt;"",BB187,K187)," ",""),".",""),"+","")),"WhatsApp"))</f>
        <v/>
      </c>
      <c r="M187" s="60">
        <f>IF(BC187="","",HYPERLINK(IF(LEFT(BC187,4)="http",BC187,"https://www.instagram.com/"&amp;SUBSTITUTE(SUBSTITUTE(BC187,"@","")," ","")),BC187))</f>
        <v/>
      </c>
      <c r="N187" s="60">
        <f>IF(C187="","",IFERROR(INDEX('Saisie'!$D$5:$D$2004,_xlfn.MINIFS('Saisie'!$AS$5:$AS$2004,'Saisie'!$C$5:$C$2004,C187,'Saisie'!$AU$5:$AU$2004,1)-4),IFERROR(INDEX('Saisie'!$D$5:$D$2004,_xlfn.MINIFS('Saisie'!$AS$5:$AS$2004,'Saisie'!$C$5:$C$2004,C187,'Saisie'!$D$5:$D$2004,"&lt;&gt;")-4),"")))</f>
        <v/>
      </c>
      <c r="O187" s="60">
        <f>IF(C187="","",COUNTIFS('Saisie'!$C$5:$C$2004,C187,'Saisie'!$AU$5:$AU$2004,1))</f>
        <v/>
      </c>
      <c r="P187" s="60">
        <f>IF(C187="","",COUNTIFS('Saisie'!$C$5:$C$2004,C187,'Saisie'!$AV$5:$AV$2004,1))</f>
        <v/>
      </c>
      <c r="Q187" s="106">
        <f>IF(C187="","",IFERROR(1/(1/_xlfn.MAXIFS('Saisie'!$A$5:$A$2004,'Saisie'!$C$5:$C$2004,C187)),""))</f>
        <v/>
      </c>
      <c r="R187" s="61">
        <f>IF(C187="","",IF(Q187="","",TODAY()-Q187))</f>
        <v/>
      </c>
      <c r="S187" s="60">
        <f>IF(C187="","",IFERROR(INDEX('Saisie'!$R$5:$R$2004,_xlfn.MAXIFS('Saisie'!$AS$5:$AS$2004,'Saisie'!$C$5:$C$2004,C187,'Saisie'!$R$5:$R$2004,"&lt;&gt;")-4),""))</f>
        <v/>
      </c>
      <c r="T187" s="60">
        <f>IF(C187="","",IFERROR(INDEX('Saisie'!$S$5:$S$2004,_xlfn.MAXIFS('Saisie'!$AS$5:$AS$2004,'Saisie'!$C$5:$C$2004,C187,'Saisie'!$S$5:$S$2004,"&lt;&gt;")-4),""))</f>
        <v/>
      </c>
      <c r="U187" s="60">
        <f>IF(C187="","",IFERROR(INDEX('Saisie'!$T$5:$T$2004,_xlfn.MAXIFS('Saisie'!$AS$5:$AS$2004,'Saisie'!$C$5:$C$2004,C187,'Saisie'!$T$5:$T$2004,"&lt;&gt;")-4),""))</f>
        <v/>
      </c>
      <c r="V187" s="60">
        <f>IF(C187="","",IFERROR(INDEX('Saisie'!$V$5:$V$2004,_xlfn.MAXIFS('Saisie'!$AS$5:$AS$2004,'Saisie'!$C$5:$C$2004,C187,'Saisie'!$V$5:$V$2004,"&lt;&gt;")-4),""))</f>
        <v/>
      </c>
      <c r="W187" s="60">
        <f>IF(C187="","",IFERROR(INDEX('Saisie'!$Z$5:$Z$2004,_xlfn.MAXIFS('Saisie'!$AS$5:$AS$2004,'Saisie'!$C$5:$C$2004,C187,'Saisie'!$Z$5:$Z$2004,"&lt;&gt;")-4),""))</f>
        <v/>
      </c>
      <c r="X187" s="60">
        <f>IF(C187="","",IFERROR(INDEX('Saisie'!$AA$5:$AA$2004,_xlfn.MAXIFS('Saisie'!$AS$5:$AS$2004,'Saisie'!$C$5:$C$2004,C187,'Saisie'!$AA$5:$AA$2004,"&lt;&gt;")-4),""))</f>
        <v/>
      </c>
      <c r="Y187" s="60">
        <f>IF(C187="","",IFERROR(INDEX('Saisie'!$AB$5:$AB$2004,_xlfn.MAXIFS('Saisie'!$AS$5:$AS$2004,'Saisie'!$C$5:$C$2004,C187,'Saisie'!$AB$5:$AB$2004,"&lt;&gt;")-4),""))</f>
        <v/>
      </c>
      <c r="Z187" s="60">
        <f>IF(C187="","",IFERROR(INDEX('Saisie'!$AC$5:$AC$2004,_xlfn.MAXIFS('Saisie'!$AS$5:$AS$2004,'Saisie'!$C$5:$C$2004,C187,'Saisie'!$AC$5:$AC$2004,"&lt;&gt;")-4),""))</f>
        <v/>
      </c>
      <c r="AA187" s="106">
        <f>IF(C187="","",IFERROR(INDEX('Saisie'!$AD$5:$AD$2004,_xlfn.MAXIFS('Saisie'!$AS$5:$AS$2004,'Saisie'!$C$5:$C$2004,C187,'Saisie'!$AD$5:$AD$2004,"&lt;&gt;")-4),""))</f>
        <v/>
      </c>
      <c r="AB187" s="60">
        <f>IF(C187="","",IFERROR(INDEX('Saisie'!$AE$5:$AE$2004,_xlfn.MAXIFS('Saisie'!$AS$5:$AS$2004,'Saisie'!$C$5:$C$2004,C187,'Saisie'!$AE$5:$AE$2004,"&lt;&gt;")-4),""))</f>
        <v/>
      </c>
      <c r="AC187" s="60">
        <f>IF(C187="","",IFERROR(INDEX('Saisie'!$AF$5:$AF$2004,_xlfn.MAXIFS('Saisie'!$AS$5:$AS$2004,'Saisie'!$C$5:$C$2004,C187,'Saisie'!$AF$5:$AF$2004,"&lt;&gt;")-4),""))</f>
        <v/>
      </c>
      <c r="AD187" s="108">
        <f>IF(C187="","",IFERROR(INDEX('Saisie'!$AG$5:$AG$2004,_xlfn.MAXIFS('Saisie'!$AS$5:$AS$2004,'Saisie'!$C$5:$C$2004,C187,'Saisie'!$AG$5:$AG$2004,"&lt;&gt;")-4),""))</f>
        <v/>
      </c>
      <c r="AE187" s="60">
        <f>IF(C187="","",IFERROR(INDEX('Saisie'!$AH$5:$AH$2004,_xlfn.MAXIFS('Saisie'!$AS$5:$AS$2004,'Saisie'!$C$5:$C$2004,C187,'Saisie'!$AH$5:$AH$2004,"&lt;&gt;")-4),""))</f>
        <v/>
      </c>
      <c r="AF187" s="60">
        <f>IF(C187="","",IFERROR(INDEX('Saisie'!$AI$5:$AI$2004,_xlfn.MAXIFS('Saisie'!$AS$5:$AS$2004,'Saisie'!$C$5:$C$2004,C187,'Saisie'!$AI$5:$AI$2004,"&lt;&gt;")-4),""))</f>
        <v/>
      </c>
      <c r="AG187" s="60">
        <f>IF(C187="","",IFERROR(INDEX('Saisie'!$AJ$5:$AJ$2004,_xlfn.MAXIFS('Saisie'!$AS$5:$AS$2004,'Saisie'!$C$5:$C$2004,C187,'Saisie'!$AJ$5:$AJ$2004,"&lt;&gt;")-4),""))</f>
        <v/>
      </c>
      <c r="AH187" s="60">
        <f>IF(C187="","",IFERROR(INDEX('Saisie'!$AK$5:$AK$2004,_xlfn.MAXIFS('Saisie'!$AS$5:$AS$2004,'Saisie'!$C$5:$C$2004,C187,'Saisie'!$AK$5:$AK$2004,"&lt;&gt;")-4),""))</f>
        <v/>
      </c>
      <c r="AI187" s="60">
        <f>IF(C187="","",IFERROR(INDEX('Saisie'!$AN$5:$AN$2004,_xlfn.MAXIFS('Saisie'!$AS$5:$AS$2004,'Saisie'!$C$5:$C$2004,C187,'Saisie'!$AN$5:$AN$2004,"&lt;&gt;")-4),""))</f>
        <v/>
      </c>
      <c r="AJ187" s="60">
        <f>IF(C187="","",IFERROR(INDEX('Saisie'!$AO$5:$AO$2004,_xlfn.MAXIFS('Saisie'!$AS$5:$AS$2004,'Saisie'!$C$5:$C$2004,C187,'Saisie'!$AO$5:$AO$2004,"&lt;&gt;")-4),""))</f>
        <v/>
      </c>
      <c r="AK187" s="60">
        <f>IF(C187="","",IFERROR(INDEX('Saisie'!$AP$5:$AP$2004,_xlfn.MAXIFS('Saisie'!$AS$5:$AS$2004,'Saisie'!$C$5:$C$2004,C187,'Saisie'!$AP$5:$AP$2004,"&lt;&gt;")-4),""))</f>
        <v/>
      </c>
      <c r="AL187" s="60">
        <f>IF(C187="","",IFERROR(INDEX('Saisie'!$AQ$5:$AQ$2004,_xlfn.MAXIFS('Saisie'!$AS$5:$AS$2004,'Saisie'!$C$5:$C$2004,C187,'Saisie'!$AQ$5:$AQ$2004,"&lt;&gt;")-4),""))</f>
        <v/>
      </c>
      <c r="AM187" s="60">
        <f>IF(C187="","",((AI187="Oui")+(AJ187="Oui")+(AK187="Oui")+OR(AL187="Immédiat",AL187="&lt; 1 mois"))&amp;"/4")</f>
        <v/>
      </c>
      <c r="AN187" s="60">
        <f>IF(C187="","",IFERROR(INDEX('Saisie'!$AL$5:$AL$2004,_xlfn.MAXIFS('Saisie'!$AS$5:$AS$2004,'Saisie'!$C$5:$C$2004,C187,'Saisie'!$AL$5:$AL$2004,"&lt;&gt;")-4),""))</f>
        <v/>
      </c>
      <c r="AO187" s="62">
        <f>IF(C187="","",IF(IFERROR(INDEX('Saisie'!$AM$5:$AM$2004,_xlfn.MAXIFS('Saisie'!$AS$5:$AS$2004,'Saisie'!$C$5:$C$2004,C187,'Saisie'!$AM$5:$AM$2004,"&lt;&gt;")-4),"")&lt;&gt;"",IFERROR(INDEX('Saisie'!$AM$5:$AM$2004,_xlfn.MAXIFS('Saisie'!$AS$5:$AS$2004,'Saisie'!$C$5:$C$2004,C187,'Saisie'!$AM$5:$AM$2004,"&lt;&gt;")-4),""),IFERROR(INDEX('Paramètres'!$S$6:$S$15,MATCH(AN187,'Paramètres'!$Q$6:$Q$15,0)),"")))</f>
        <v/>
      </c>
      <c r="AP187" s="62">
        <f>IF(C187="","",IFERROR(INDEX('Saisie'!$AW$5:$AW$2004,_xlfn.MAXIFS('Saisie'!$AS$5:$AS$2004,'Saisie'!$C$5:$C$2004,C187,'Saisie'!$E$5:$E$2004,"Proposition envoyée")-4),""))</f>
        <v/>
      </c>
      <c r="AQ187" s="106">
        <f>IF(C187="","",IFERROR(1/(1/_xlfn.MAXIFS('Saisie'!$A$5:$A$2004,'Saisie'!$C$5:$C$2004,C187,'Saisie'!$E$5:$E$2004,"Proposition envoyée")),""))</f>
        <v/>
      </c>
      <c r="AR187" s="106">
        <f>IF(C187="","",IF(AQ187="","",AQ187+'Paramètres'!$B$26))</f>
        <v/>
      </c>
      <c r="AS187" s="62">
        <f>IF(OR(C187="",D187="Gagné",D187="Perdu"),0,N(AP187)*IFERROR(INDEX('Paramètres'!$G$6:$G$13,MATCH(D187,'Paramètres'!$F$6:$F$13,0)),0))</f>
        <v/>
      </c>
      <c r="AT187" s="106">
        <f>IF(C187="","",IFERROR(1/(1/_xlfn.MINIFS('Saisie'!$A$5:$A$2004,'Saisie'!$C$5:$C$2004,C187,'Saisie'!$E$5:$E$2004,"Signature")),""))</f>
        <v/>
      </c>
      <c r="AU187" s="60">
        <f>IF(C187="","",IF(OR(AT187="",B187=""),"",AT187-B187))</f>
        <v/>
      </c>
      <c r="AV187" s="60">
        <f>IF(C187="","",IFERROR(INDEX('Saisie'!$L$5:$L$2004,_xlfn.MAXIFS('Saisie'!$AS$5:$AS$2004,'Saisie'!$C$5:$C$2004,C187,'Saisie'!$L$5:$L$2004,"&lt;&gt;")-4),""))</f>
        <v/>
      </c>
      <c r="AW187" s="106">
        <f>IF(C187="","",IF(D187&lt;&gt;"Perdu","",IFERROR(1/(1/_xlfn.MAXIFS('Saisie'!$A$5:$A$2004,'Saisie'!$C$5:$C$2004,C187,'Saisie'!$E$5:$E$2004,"Perdu")),"")))</f>
        <v/>
      </c>
      <c r="AX187" s="106">
        <f>IF(C187="","",IF(AW187="","",AW187+'Paramètres'!$B$28))</f>
        <v/>
      </c>
      <c r="AY187" s="60">
        <f>IF(C187="","",SUMIFS('Saisie'!$H$5:$H$2004,'Saisie'!$C$5:$C$2004,C187))</f>
        <v/>
      </c>
      <c r="AZ187" s="60">
        <f>IF(C187="","",IFERROR(INDEX('Paramètres'!$W$6:$W$20,MATCH(S187,'Paramètres'!$V$6:$V$20,0))&amp;"",""))</f>
        <v/>
      </c>
      <c r="BA187" s="60">
        <f>IF(C187="","",MAX(1,_xlfn.MAXIFS('Saisie'!$AT$5:$AT$2004,'Saisie'!$C$5:$C$2004,C187)))</f>
        <v/>
      </c>
      <c r="BB187" s="60">
        <f>IF(C187="","",IFERROR(INDEX('Saisie'!$X$5:$X$2004,_xlfn.MAXIFS('Saisie'!$AS$5:$AS$2004,'Saisie'!$C$5:$C$2004,C187,'Saisie'!$X$5:$X$2004,"&lt;&gt;")-4),""))</f>
        <v/>
      </c>
      <c r="BC187" s="60">
        <f>IF(C187="","",IFERROR(INDEX('Saisie'!$Y$5:$Y$2004,_xlfn.MAXIFS('Saisie'!$AS$5:$AS$2004,'Saisie'!$C$5:$C$2004,C187,'Saisie'!$Y$5:$Y$2004,"&lt;&gt;")-4),""))</f>
        <v/>
      </c>
      <c r="BD187" s="106">
        <f>IF(C187="","",IFERROR(1/(1/_xlfn.MINIFS('Saisie'!$A$5:$A$2004,'Saisie'!$C$5:$C$2004,C187,'Saisie'!$AT$5:$AT$2004,"&gt;=2")),""))</f>
        <v/>
      </c>
      <c r="BE187" s="106">
        <f>IF(C187="","",IFERROR(1/(1/_xlfn.MINIFS('Saisie'!$A$5:$A$2004,'Saisie'!$C$5:$C$2004,C187,'Saisie'!$AT$5:$AT$2004,"&gt;=3")),""))</f>
        <v/>
      </c>
      <c r="BF187" s="106">
        <f>IF(C187="","",IFERROR(1/(1/_xlfn.MINIFS('Saisie'!$A$5:$A$2004,'Saisie'!$C$5:$C$2004,C187,'Saisie'!$AT$5:$AT$2004,"&gt;=4")),""))</f>
        <v/>
      </c>
      <c r="BG187" s="106">
        <f>IF(C187="","",IFERROR(1/(1/_xlfn.MINIFS('Saisie'!$A$5:$A$2004,'Saisie'!$C$5:$C$2004,C187,'Saisie'!$AT$5:$AT$2004,"&gt;=5")),""))</f>
        <v/>
      </c>
      <c r="BH187" s="106">
        <f>IF(C187="","",IFERROR(1/(1/_xlfn.MINIFS('Saisie'!$A$5:$A$2004,'Saisie'!$C$5:$C$2004,C187,'Saisie'!$AT$5:$AT$2004,"&gt;=6")),""))</f>
        <v/>
      </c>
      <c r="BI187" s="106">
        <f>IF(C187="","",IFERROR(1/(1/_xlfn.MINIFS('Saisie'!$A$5:$A$2004,'Saisie'!$C$5:$C$2004,C187,'Saisie'!$AT$5:$AT$2004,"&gt;=7")),""))</f>
        <v/>
      </c>
      <c r="BJ187" s="60">
        <f>IF(OR(BD187="",B187=""),"",BD187-B187)</f>
        <v/>
      </c>
      <c r="BK187" s="60">
        <f>IF(OR(BE187="",BD187=""),"",BE187-BD187)</f>
        <v/>
      </c>
      <c r="BL187" s="60">
        <f>IF(OR(BF187="",BE187=""),"",BF187-BE187)</f>
        <v/>
      </c>
      <c r="BM187" s="60">
        <f>IF(OR(BG187="",BF187=""),"",BG187-BF187)</f>
        <v/>
      </c>
      <c r="BN187" s="60">
        <f>IF(OR(BH187="",BG187=""),"",BH187-BG187)</f>
        <v/>
      </c>
      <c r="BO187" s="60">
        <f>IF(OR(BI187="",BH187=""),"",BI187-BH187)</f>
        <v/>
      </c>
      <c r="BP187" s="60">
        <f>IF(C187="","",_xlfn.MAXIFS('Saisie'!$AS$5:$AS$2004,'Saisie'!$C$5:$C$2004,C187,'Saisie'!$J$5:$J$2004,"&lt;&gt;"))</f>
        <v/>
      </c>
      <c r="BQ187" s="60">
        <f>IF(C187="","",_xlfn.MAXIFS('Saisie'!$AS$5:$AS$2004,'Saisie'!$C$5:$C$2004,C187))</f>
        <v/>
      </c>
      <c r="BR187" s="60">
        <f>IF(C187="","",_xlfn.MAXIFS('Saisie'!$AS$5:$AS$2004,'Saisie'!$C$5:$C$2004,C187,'Saisie'!$E$5:$E$2004,"Perdu"))</f>
        <v/>
      </c>
      <c r="BS187" s="60">
        <f>IF(C187="","",_xlfn.MAXIFS('Saisie'!$AS$5:$AS$2004,'Saisie'!$C$5:$C$2004,C187,'Saisie'!$AT$5:$AT$2004,"&gt;0"))</f>
        <v/>
      </c>
      <c r="BT187" s="109">
        <f>IF(AND(C187&lt;&gt;"",OR(D187="Nouveau",D187="Contacté",D187="Qualifié"),OR(G187="",N(G187)&lt;=TODAY()),NOT(AND(O187&gt;='Paramètres'!$B$21,P187=0))),E187+183/10000,"")</f>
        <v/>
      </c>
      <c r="BU187" s="60">
        <f>IF(AND(G187&lt;&gt;"",N(G187)&lt;=TODAY()),MAX($BU$4:BU186)+1,"")</f>
        <v/>
      </c>
      <c r="BV187" s="60">
        <f>IF(AND(F187&lt;&gt;"",F187&lt;&gt;"Relance en retard"),MAX($BV$4:BV186)+1,"")</f>
        <v/>
      </c>
      <c r="BW187" s="60">
        <f>IF(C187="","",IF(AND(B187&gt;='Tableau de bord'!$R$4,B187&lt;='Tableau de bord'!$S$4,OR('Tableau de bord'!$G$4="Tous",N187='Tableau de bord'!$G$4)),1,0))</f>
        <v/>
      </c>
      <c r="BX187" s="60">
        <f>IF(AND(C187&lt;&gt;"",N(BA187)=7),MAX($BX$4:BX186)+1,"")</f>
        <v/>
      </c>
    </row>
    <row r="188">
      <c r="A188" s="60">
        <f>IF(C188="","","P-"&amp;TEXT(184,"000"))</f>
        <v/>
      </c>
      <c r="B188" s="106">
        <f>IF(C188="","",IFERROR(1/(1/_xlfn.MINIFS('Saisie'!$A$5:$A$2004,'Saisie'!$C$5:$C$2004,C188)),""))</f>
        <v/>
      </c>
      <c r="C188" s="60">
        <f>IFERROR(INDEX('Saisie'!$C$5:$C$2004,MATCH(184,'Saisie'!$AX$5:$AX$2004,0)),"")</f>
        <v/>
      </c>
      <c r="D188" s="60">
        <f>IF(C188="","",IF(AND(BR188&gt;0,BR188&gt;BS188,BA188&lt;7),"Perdu",INDEX('Paramètres'!$F$6:$F$13,BA188)))</f>
        <v/>
      </c>
      <c r="E188" s="61">
        <f>IF(C188="","",MIN(100,(Z188="Oui")*'Paramètres'!$B$38+(AB188="Régulière")*'Paramètres'!$B$39+IF(AND(N(AA188)&gt;0,TODAY()-N(AA188)&lt;=30),'Paramètres'!$B$40,0)+(W188="")*'Paramètres'!$B$41+(AC188="Absente")*'Paramètres'!$B$42+(AC188="Faible")*'Paramètres'!$B$43+IF(AND(N(AD188)&gt;0,N(AD188)&lt;4),'Paramètres'!$B$44,0)+(AF188="Moyenne")*'Paramètres'!$B$45+(AF188="Grande")*'Paramètres'!$B$46+(Y188&lt;&gt;"")*'Paramètres'!$B$47))</f>
        <v/>
      </c>
      <c r="F188" s="60">
        <f>IF(C188="","",IF(D188="Gagné","",IF(D188="Perdu",IF(AND(AX188&lt;&gt;"",AX188&lt;=TODAY()),"À recontacter (perdu)",""),IF(AND(O188&gt;='Paramètres'!$B$21,P188=0),"Stop : "&amp;'Paramètres'!$B$21&amp;" tentatives sans réponse",IF(AND(D188="Proposition",AR188&lt;&gt;"",TODAY()&gt;N(AR188)),"Proposition expirée",IF(AND(D188="Proposition",N(R188)&gt;='Paramètres'!$B$25),"Proposition sans réponse",IF(AND(G188&lt;&gt;"",N(G188)&lt;TODAY()),"Relance en retard",IF(N(R188)&gt;='Paramètres'!$B$24,"Sans action depuis "&amp;R188&amp;" j",""))))))))</f>
        <v/>
      </c>
      <c r="G188" s="106">
        <f>IF(OR(C188="",D188="Gagné",D188="Perdu"),"",IF(AND(BP188&gt;0,BP188=BQ188),INDEX('Saisie'!$J$5:$J$2004,BP188-4),IF(OR(O188=0,AND(O188&gt;='Paramètres'!$B$21,P188=0)),"",Q188+IF(O188&lt;=1,'Paramètres'!$B$18,IF(O188=2,'Paramètres'!$B$19,'Paramètres'!$B$20)))))</f>
        <v/>
      </c>
      <c r="H188" s="107">
        <f>IF(OR(G188="",BP188&lt;&gt;BQ188),"",IF(INDEX('Saisie'!$K$5:$K$2004,BP188-4)="","",INDEX('Saisie'!$K$5:$K$2004,BP188-4)))</f>
        <v/>
      </c>
      <c r="I188" s="60">
        <f>IF(C188="","",IF(OR(D188="Gagné",D188="Perdu"),"",IFERROR(INDEX('Saisie'!$I$5:$I$2004,_xlfn.MAXIFS('Saisie'!$AS$5:$AS$2004,'Saisie'!$C$5:$C$2004,C188,'Saisie'!$I$5:$I$2004,"&lt;&gt;")-4),"")))</f>
        <v/>
      </c>
      <c r="J188" s="60">
        <f>IF(C188="","",IFERROR(INDEX('Saisie'!$U$5:$U$2004,_xlfn.MAXIFS('Saisie'!$AS$5:$AS$2004,'Saisie'!$C$5:$C$2004,C188,'Saisie'!$U$5:$U$2004,"&lt;&gt;")-4),""))</f>
        <v/>
      </c>
      <c r="K188" s="60">
        <f>IF(C188="","",IFERROR(INDEX('Saisie'!$W$5:$W$2004,_xlfn.MAXIFS('Saisie'!$AS$5:$AS$2004,'Saisie'!$C$5:$C$2004,C188,'Saisie'!$W$5:$W$2004,"&lt;&gt;")-4),""))</f>
        <v/>
      </c>
      <c r="L188" s="60">
        <f>IF(IF(BB188&lt;&gt;"",BB188,K188)="","",HYPERLINK("https://wa.me/"&amp;IF(LEFT(SUBSTITUTE(SUBSTITUTE(SUBSTITUTE(IF(BB188&lt;&gt;"",BB188,K188)," ",""),".",""),"+",""),1)="0",'Paramètres'!$B$35&amp;MID(SUBSTITUTE(SUBSTITUTE(SUBSTITUTE(IF(BB188&lt;&gt;"",BB188,K188)," ",""),".",""),"+",""),2,20),SUBSTITUTE(SUBSTITUTE(SUBSTITUTE(IF(BB188&lt;&gt;"",BB188,K188)," ",""),".",""),"+","")),"WhatsApp"))</f>
        <v/>
      </c>
      <c r="M188" s="60">
        <f>IF(BC188="","",HYPERLINK(IF(LEFT(BC188,4)="http",BC188,"https://www.instagram.com/"&amp;SUBSTITUTE(SUBSTITUTE(BC188,"@","")," ","")),BC188))</f>
        <v/>
      </c>
      <c r="N188" s="60">
        <f>IF(C188="","",IFERROR(INDEX('Saisie'!$D$5:$D$2004,_xlfn.MINIFS('Saisie'!$AS$5:$AS$2004,'Saisie'!$C$5:$C$2004,C188,'Saisie'!$AU$5:$AU$2004,1)-4),IFERROR(INDEX('Saisie'!$D$5:$D$2004,_xlfn.MINIFS('Saisie'!$AS$5:$AS$2004,'Saisie'!$C$5:$C$2004,C188,'Saisie'!$D$5:$D$2004,"&lt;&gt;")-4),"")))</f>
        <v/>
      </c>
      <c r="O188" s="60">
        <f>IF(C188="","",COUNTIFS('Saisie'!$C$5:$C$2004,C188,'Saisie'!$AU$5:$AU$2004,1))</f>
        <v/>
      </c>
      <c r="P188" s="60">
        <f>IF(C188="","",COUNTIFS('Saisie'!$C$5:$C$2004,C188,'Saisie'!$AV$5:$AV$2004,1))</f>
        <v/>
      </c>
      <c r="Q188" s="106">
        <f>IF(C188="","",IFERROR(1/(1/_xlfn.MAXIFS('Saisie'!$A$5:$A$2004,'Saisie'!$C$5:$C$2004,C188)),""))</f>
        <v/>
      </c>
      <c r="R188" s="61">
        <f>IF(C188="","",IF(Q188="","",TODAY()-Q188))</f>
        <v/>
      </c>
      <c r="S188" s="60">
        <f>IF(C188="","",IFERROR(INDEX('Saisie'!$R$5:$R$2004,_xlfn.MAXIFS('Saisie'!$AS$5:$AS$2004,'Saisie'!$C$5:$C$2004,C188,'Saisie'!$R$5:$R$2004,"&lt;&gt;")-4),""))</f>
        <v/>
      </c>
      <c r="T188" s="60">
        <f>IF(C188="","",IFERROR(INDEX('Saisie'!$S$5:$S$2004,_xlfn.MAXIFS('Saisie'!$AS$5:$AS$2004,'Saisie'!$C$5:$C$2004,C188,'Saisie'!$S$5:$S$2004,"&lt;&gt;")-4),""))</f>
        <v/>
      </c>
      <c r="U188" s="60">
        <f>IF(C188="","",IFERROR(INDEX('Saisie'!$T$5:$T$2004,_xlfn.MAXIFS('Saisie'!$AS$5:$AS$2004,'Saisie'!$C$5:$C$2004,C188,'Saisie'!$T$5:$T$2004,"&lt;&gt;")-4),""))</f>
        <v/>
      </c>
      <c r="V188" s="60">
        <f>IF(C188="","",IFERROR(INDEX('Saisie'!$V$5:$V$2004,_xlfn.MAXIFS('Saisie'!$AS$5:$AS$2004,'Saisie'!$C$5:$C$2004,C188,'Saisie'!$V$5:$V$2004,"&lt;&gt;")-4),""))</f>
        <v/>
      </c>
      <c r="W188" s="60">
        <f>IF(C188="","",IFERROR(INDEX('Saisie'!$Z$5:$Z$2004,_xlfn.MAXIFS('Saisie'!$AS$5:$AS$2004,'Saisie'!$C$5:$C$2004,C188,'Saisie'!$Z$5:$Z$2004,"&lt;&gt;")-4),""))</f>
        <v/>
      </c>
      <c r="X188" s="60">
        <f>IF(C188="","",IFERROR(INDEX('Saisie'!$AA$5:$AA$2004,_xlfn.MAXIFS('Saisie'!$AS$5:$AS$2004,'Saisie'!$C$5:$C$2004,C188,'Saisie'!$AA$5:$AA$2004,"&lt;&gt;")-4),""))</f>
        <v/>
      </c>
      <c r="Y188" s="60">
        <f>IF(C188="","",IFERROR(INDEX('Saisie'!$AB$5:$AB$2004,_xlfn.MAXIFS('Saisie'!$AS$5:$AS$2004,'Saisie'!$C$5:$C$2004,C188,'Saisie'!$AB$5:$AB$2004,"&lt;&gt;")-4),""))</f>
        <v/>
      </c>
      <c r="Z188" s="60">
        <f>IF(C188="","",IFERROR(INDEX('Saisie'!$AC$5:$AC$2004,_xlfn.MAXIFS('Saisie'!$AS$5:$AS$2004,'Saisie'!$C$5:$C$2004,C188,'Saisie'!$AC$5:$AC$2004,"&lt;&gt;")-4),""))</f>
        <v/>
      </c>
      <c r="AA188" s="106">
        <f>IF(C188="","",IFERROR(INDEX('Saisie'!$AD$5:$AD$2004,_xlfn.MAXIFS('Saisie'!$AS$5:$AS$2004,'Saisie'!$C$5:$C$2004,C188,'Saisie'!$AD$5:$AD$2004,"&lt;&gt;")-4),""))</f>
        <v/>
      </c>
      <c r="AB188" s="60">
        <f>IF(C188="","",IFERROR(INDEX('Saisie'!$AE$5:$AE$2004,_xlfn.MAXIFS('Saisie'!$AS$5:$AS$2004,'Saisie'!$C$5:$C$2004,C188,'Saisie'!$AE$5:$AE$2004,"&lt;&gt;")-4),""))</f>
        <v/>
      </c>
      <c r="AC188" s="60">
        <f>IF(C188="","",IFERROR(INDEX('Saisie'!$AF$5:$AF$2004,_xlfn.MAXIFS('Saisie'!$AS$5:$AS$2004,'Saisie'!$C$5:$C$2004,C188,'Saisie'!$AF$5:$AF$2004,"&lt;&gt;")-4),""))</f>
        <v/>
      </c>
      <c r="AD188" s="108">
        <f>IF(C188="","",IFERROR(INDEX('Saisie'!$AG$5:$AG$2004,_xlfn.MAXIFS('Saisie'!$AS$5:$AS$2004,'Saisie'!$C$5:$C$2004,C188,'Saisie'!$AG$5:$AG$2004,"&lt;&gt;")-4),""))</f>
        <v/>
      </c>
      <c r="AE188" s="60">
        <f>IF(C188="","",IFERROR(INDEX('Saisie'!$AH$5:$AH$2004,_xlfn.MAXIFS('Saisie'!$AS$5:$AS$2004,'Saisie'!$C$5:$C$2004,C188,'Saisie'!$AH$5:$AH$2004,"&lt;&gt;")-4),""))</f>
        <v/>
      </c>
      <c r="AF188" s="60">
        <f>IF(C188="","",IFERROR(INDEX('Saisie'!$AI$5:$AI$2004,_xlfn.MAXIFS('Saisie'!$AS$5:$AS$2004,'Saisie'!$C$5:$C$2004,C188,'Saisie'!$AI$5:$AI$2004,"&lt;&gt;")-4),""))</f>
        <v/>
      </c>
      <c r="AG188" s="60">
        <f>IF(C188="","",IFERROR(INDEX('Saisie'!$AJ$5:$AJ$2004,_xlfn.MAXIFS('Saisie'!$AS$5:$AS$2004,'Saisie'!$C$5:$C$2004,C188,'Saisie'!$AJ$5:$AJ$2004,"&lt;&gt;")-4),""))</f>
        <v/>
      </c>
      <c r="AH188" s="60">
        <f>IF(C188="","",IFERROR(INDEX('Saisie'!$AK$5:$AK$2004,_xlfn.MAXIFS('Saisie'!$AS$5:$AS$2004,'Saisie'!$C$5:$C$2004,C188,'Saisie'!$AK$5:$AK$2004,"&lt;&gt;")-4),""))</f>
        <v/>
      </c>
      <c r="AI188" s="60">
        <f>IF(C188="","",IFERROR(INDEX('Saisie'!$AN$5:$AN$2004,_xlfn.MAXIFS('Saisie'!$AS$5:$AS$2004,'Saisie'!$C$5:$C$2004,C188,'Saisie'!$AN$5:$AN$2004,"&lt;&gt;")-4),""))</f>
        <v/>
      </c>
      <c r="AJ188" s="60">
        <f>IF(C188="","",IFERROR(INDEX('Saisie'!$AO$5:$AO$2004,_xlfn.MAXIFS('Saisie'!$AS$5:$AS$2004,'Saisie'!$C$5:$C$2004,C188,'Saisie'!$AO$5:$AO$2004,"&lt;&gt;")-4),""))</f>
        <v/>
      </c>
      <c r="AK188" s="60">
        <f>IF(C188="","",IFERROR(INDEX('Saisie'!$AP$5:$AP$2004,_xlfn.MAXIFS('Saisie'!$AS$5:$AS$2004,'Saisie'!$C$5:$C$2004,C188,'Saisie'!$AP$5:$AP$2004,"&lt;&gt;")-4),""))</f>
        <v/>
      </c>
      <c r="AL188" s="60">
        <f>IF(C188="","",IFERROR(INDEX('Saisie'!$AQ$5:$AQ$2004,_xlfn.MAXIFS('Saisie'!$AS$5:$AS$2004,'Saisie'!$C$5:$C$2004,C188,'Saisie'!$AQ$5:$AQ$2004,"&lt;&gt;")-4),""))</f>
        <v/>
      </c>
      <c r="AM188" s="60">
        <f>IF(C188="","",((AI188="Oui")+(AJ188="Oui")+(AK188="Oui")+OR(AL188="Immédiat",AL188="&lt; 1 mois"))&amp;"/4")</f>
        <v/>
      </c>
      <c r="AN188" s="60">
        <f>IF(C188="","",IFERROR(INDEX('Saisie'!$AL$5:$AL$2004,_xlfn.MAXIFS('Saisie'!$AS$5:$AS$2004,'Saisie'!$C$5:$C$2004,C188,'Saisie'!$AL$5:$AL$2004,"&lt;&gt;")-4),""))</f>
        <v/>
      </c>
      <c r="AO188" s="62">
        <f>IF(C188="","",IF(IFERROR(INDEX('Saisie'!$AM$5:$AM$2004,_xlfn.MAXIFS('Saisie'!$AS$5:$AS$2004,'Saisie'!$C$5:$C$2004,C188,'Saisie'!$AM$5:$AM$2004,"&lt;&gt;")-4),"")&lt;&gt;"",IFERROR(INDEX('Saisie'!$AM$5:$AM$2004,_xlfn.MAXIFS('Saisie'!$AS$5:$AS$2004,'Saisie'!$C$5:$C$2004,C188,'Saisie'!$AM$5:$AM$2004,"&lt;&gt;")-4),""),IFERROR(INDEX('Paramètres'!$S$6:$S$15,MATCH(AN188,'Paramètres'!$Q$6:$Q$15,0)),"")))</f>
        <v/>
      </c>
      <c r="AP188" s="62">
        <f>IF(C188="","",IFERROR(INDEX('Saisie'!$AW$5:$AW$2004,_xlfn.MAXIFS('Saisie'!$AS$5:$AS$2004,'Saisie'!$C$5:$C$2004,C188,'Saisie'!$E$5:$E$2004,"Proposition envoyée")-4),""))</f>
        <v/>
      </c>
      <c r="AQ188" s="106">
        <f>IF(C188="","",IFERROR(1/(1/_xlfn.MAXIFS('Saisie'!$A$5:$A$2004,'Saisie'!$C$5:$C$2004,C188,'Saisie'!$E$5:$E$2004,"Proposition envoyée")),""))</f>
        <v/>
      </c>
      <c r="AR188" s="106">
        <f>IF(C188="","",IF(AQ188="","",AQ188+'Paramètres'!$B$26))</f>
        <v/>
      </c>
      <c r="AS188" s="62">
        <f>IF(OR(C188="",D188="Gagné",D188="Perdu"),0,N(AP188)*IFERROR(INDEX('Paramètres'!$G$6:$G$13,MATCH(D188,'Paramètres'!$F$6:$F$13,0)),0))</f>
        <v/>
      </c>
      <c r="AT188" s="106">
        <f>IF(C188="","",IFERROR(1/(1/_xlfn.MINIFS('Saisie'!$A$5:$A$2004,'Saisie'!$C$5:$C$2004,C188,'Saisie'!$E$5:$E$2004,"Signature")),""))</f>
        <v/>
      </c>
      <c r="AU188" s="60">
        <f>IF(C188="","",IF(OR(AT188="",B188=""),"",AT188-B188))</f>
        <v/>
      </c>
      <c r="AV188" s="60">
        <f>IF(C188="","",IFERROR(INDEX('Saisie'!$L$5:$L$2004,_xlfn.MAXIFS('Saisie'!$AS$5:$AS$2004,'Saisie'!$C$5:$C$2004,C188,'Saisie'!$L$5:$L$2004,"&lt;&gt;")-4),""))</f>
        <v/>
      </c>
      <c r="AW188" s="106">
        <f>IF(C188="","",IF(D188&lt;&gt;"Perdu","",IFERROR(1/(1/_xlfn.MAXIFS('Saisie'!$A$5:$A$2004,'Saisie'!$C$5:$C$2004,C188,'Saisie'!$E$5:$E$2004,"Perdu")),"")))</f>
        <v/>
      </c>
      <c r="AX188" s="106">
        <f>IF(C188="","",IF(AW188="","",AW188+'Paramètres'!$B$28))</f>
        <v/>
      </c>
      <c r="AY188" s="60">
        <f>IF(C188="","",SUMIFS('Saisie'!$H$5:$H$2004,'Saisie'!$C$5:$C$2004,C188))</f>
        <v/>
      </c>
      <c r="AZ188" s="60">
        <f>IF(C188="","",IFERROR(INDEX('Paramètres'!$W$6:$W$20,MATCH(S188,'Paramètres'!$V$6:$V$20,0))&amp;"",""))</f>
        <v/>
      </c>
      <c r="BA188" s="60">
        <f>IF(C188="","",MAX(1,_xlfn.MAXIFS('Saisie'!$AT$5:$AT$2004,'Saisie'!$C$5:$C$2004,C188)))</f>
        <v/>
      </c>
      <c r="BB188" s="60">
        <f>IF(C188="","",IFERROR(INDEX('Saisie'!$X$5:$X$2004,_xlfn.MAXIFS('Saisie'!$AS$5:$AS$2004,'Saisie'!$C$5:$C$2004,C188,'Saisie'!$X$5:$X$2004,"&lt;&gt;")-4),""))</f>
        <v/>
      </c>
      <c r="BC188" s="60">
        <f>IF(C188="","",IFERROR(INDEX('Saisie'!$Y$5:$Y$2004,_xlfn.MAXIFS('Saisie'!$AS$5:$AS$2004,'Saisie'!$C$5:$C$2004,C188,'Saisie'!$Y$5:$Y$2004,"&lt;&gt;")-4),""))</f>
        <v/>
      </c>
      <c r="BD188" s="106">
        <f>IF(C188="","",IFERROR(1/(1/_xlfn.MINIFS('Saisie'!$A$5:$A$2004,'Saisie'!$C$5:$C$2004,C188,'Saisie'!$AT$5:$AT$2004,"&gt;=2")),""))</f>
        <v/>
      </c>
      <c r="BE188" s="106">
        <f>IF(C188="","",IFERROR(1/(1/_xlfn.MINIFS('Saisie'!$A$5:$A$2004,'Saisie'!$C$5:$C$2004,C188,'Saisie'!$AT$5:$AT$2004,"&gt;=3")),""))</f>
        <v/>
      </c>
      <c r="BF188" s="106">
        <f>IF(C188="","",IFERROR(1/(1/_xlfn.MINIFS('Saisie'!$A$5:$A$2004,'Saisie'!$C$5:$C$2004,C188,'Saisie'!$AT$5:$AT$2004,"&gt;=4")),""))</f>
        <v/>
      </c>
      <c r="BG188" s="106">
        <f>IF(C188="","",IFERROR(1/(1/_xlfn.MINIFS('Saisie'!$A$5:$A$2004,'Saisie'!$C$5:$C$2004,C188,'Saisie'!$AT$5:$AT$2004,"&gt;=5")),""))</f>
        <v/>
      </c>
      <c r="BH188" s="106">
        <f>IF(C188="","",IFERROR(1/(1/_xlfn.MINIFS('Saisie'!$A$5:$A$2004,'Saisie'!$C$5:$C$2004,C188,'Saisie'!$AT$5:$AT$2004,"&gt;=6")),""))</f>
        <v/>
      </c>
      <c r="BI188" s="106">
        <f>IF(C188="","",IFERROR(1/(1/_xlfn.MINIFS('Saisie'!$A$5:$A$2004,'Saisie'!$C$5:$C$2004,C188,'Saisie'!$AT$5:$AT$2004,"&gt;=7")),""))</f>
        <v/>
      </c>
      <c r="BJ188" s="60">
        <f>IF(OR(BD188="",B188=""),"",BD188-B188)</f>
        <v/>
      </c>
      <c r="BK188" s="60">
        <f>IF(OR(BE188="",BD188=""),"",BE188-BD188)</f>
        <v/>
      </c>
      <c r="BL188" s="60">
        <f>IF(OR(BF188="",BE188=""),"",BF188-BE188)</f>
        <v/>
      </c>
      <c r="BM188" s="60">
        <f>IF(OR(BG188="",BF188=""),"",BG188-BF188)</f>
        <v/>
      </c>
      <c r="BN188" s="60">
        <f>IF(OR(BH188="",BG188=""),"",BH188-BG188)</f>
        <v/>
      </c>
      <c r="BO188" s="60">
        <f>IF(OR(BI188="",BH188=""),"",BI188-BH188)</f>
        <v/>
      </c>
      <c r="BP188" s="60">
        <f>IF(C188="","",_xlfn.MAXIFS('Saisie'!$AS$5:$AS$2004,'Saisie'!$C$5:$C$2004,C188,'Saisie'!$J$5:$J$2004,"&lt;&gt;"))</f>
        <v/>
      </c>
      <c r="BQ188" s="60">
        <f>IF(C188="","",_xlfn.MAXIFS('Saisie'!$AS$5:$AS$2004,'Saisie'!$C$5:$C$2004,C188))</f>
        <v/>
      </c>
      <c r="BR188" s="60">
        <f>IF(C188="","",_xlfn.MAXIFS('Saisie'!$AS$5:$AS$2004,'Saisie'!$C$5:$C$2004,C188,'Saisie'!$E$5:$E$2004,"Perdu"))</f>
        <v/>
      </c>
      <c r="BS188" s="60">
        <f>IF(C188="","",_xlfn.MAXIFS('Saisie'!$AS$5:$AS$2004,'Saisie'!$C$5:$C$2004,C188,'Saisie'!$AT$5:$AT$2004,"&gt;0"))</f>
        <v/>
      </c>
      <c r="BT188" s="109">
        <f>IF(AND(C188&lt;&gt;"",OR(D188="Nouveau",D188="Contacté",D188="Qualifié"),OR(G188="",N(G188)&lt;=TODAY()),NOT(AND(O188&gt;='Paramètres'!$B$21,P188=0))),E188+184/10000,"")</f>
        <v/>
      </c>
      <c r="BU188" s="60">
        <f>IF(AND(G188&lt;&gt;"",N(G188)&lt;=TODAY()),MAX($BU$4:BU187)+1,"")</f>
        <v/>
      </c>
      <c r="BV188" s="60">
        <f>IF(AND(F188&lt;&gt;"",F188&lt;&gt;"Relance en retard"),MAX($BV$4:BV187)+1,"")</f>
        <v/>
      </c>
      <c r="BW188" s="60">
        <f>IF(C188="","",IF(AND(B188&gt;='Tableau de bord'!$R$4,B188&lt;='Tableau de bord'!$S$4,OR('Tableau de bord'!$G$4="Tous",N188='Tableau de bord'!$G$4)),1,0))</f>
        <v/>
      </c>
      <c r="BX188" s="60">
        <f>IF(AND(C188&lt;&gt;"",N(BA188)=7),MAX($BX$4:BX187)+1,"")</f>
        <v/>
      </c>
    </row>
    <row r="189">
      <c r="A189" s="60">
        <f>IF(C189="","","P-"&amp;TEXT(185,"000"))</f>
        <v/>
      </c>
      <c r="B189" s="106">
        <f>IF(C189="","",IFERROR(1/(1/_xlfn.MINIFS('Saisie'!$A$5:$A$2004,'Saisie'!$C$5:$C$2004,C189)),""))</f>
        <v/>
      </c>
      <c r="C189" s="60">
        <f>IFERROR(INDEX('Saisie'!$C$5:$C$2004,MATCH(185,'Saisie'!$AX$5:$AX$2004,0)),"")</f>
        <v/>
      </c>
      <c r="D189" s="60">
        <f>IF(C189="","",IF(AND(BR189&gt;0,BR189&gt;BS189,BA189&lt;7),"Perdu",INDEX('Paramètres'!$F$6:$F$13,BA189)))</f>
        <v/>
      </c>
      <c r="E189" s="61">
        <f>IF(C189="","",MIN(100,(Z189="Oui")*'Paramètres'!$B$38+(AB189="Régulière")*'Paramètres'!$B$39+IF(AND(N(AA189)&gt;0,TODAY()-N(AA189)&lt;=30),'Paramètres'!$B$40,0)+(W189="")*'Paramètres'!$B$41+(AC189="Absente")*'Paramètres'!$B$42+(AC189="Faible")*'Paramètres'!$B$43+IF(AND(N(AD189)&gt;0,N(AD189)&lt;4),'Paramètres'!$B$44,0)+(AF189="Moyenne")*'Paramètres'!$B$45+(AF189="Grande")*'Paramètres'!$B$46+(Y189&lt;&gt;"")*'Paramètres'!$B$47))</f>
        <v/>
      </c>
      <c r="F189" s="60">
        <f>IF(C189="","",IF(D189="Gagné","",IF(D189="Perdu",IF(AND(AX189&lt;&gt;"",AX189&lt;=TODAY()),"À recontacter (perdu)",""),IF(AND(O189&gt;='Paramètres'!$B$21,P189=0),"Stop : "&amp;'Paramètres'!$B$21&amp;" tentatives sans réponse",IF(AND(D189="Proposition",AR189&lt;&gt;"",TODAY()&gt;N(AR189)),"Proposition expirée",IF(AND(D189="Proposition",N(R189)&gt;='Paramètres'!$B$25),"Proposition sans réponse",IF(AND(G189&lt;&gt;"",N(G189)&lt;TODAY()),"Relance en retard",IF(N(R189)&gt;='Paramètres'!$B$24,"Sans action depuis "&amp;R189&amp;" j",""))))))))</f>
        <v/>
      </c>
      <c r="G189" s="106">
        <f>IF(OR(C189="",D189="Gagné",D189="Perdu"),"",IF(AND(BP189&gt;0,BP189=BQ189),INDEX('Saisie'!$J$5:$J$2004,BP189-4),IF(OR(O189=0,AND(O189&gt;='Paramètres'!$B$21,P189=0)),"",Q189+IF(O189&lt;=1,'Paramètres'!$B$18,IF(O189=2,'Paramètres'!$B$19,'Paramètres'!$B$20)))))</f>
        <v/>
      </c>
      <c r="H189" s="107">
        <f>IF(OR(G189="",BP189&lt;&gt;BQ189),"",IF(INDEX('Saisie'!$K$5:$K$2004,BP189-4)="","",INDEX('Saisie'!$K$5:$K$2004,BP189-4)))</f>
        <v/>
      </c>
      <c r="I189" s="60">
        <f>IF(C189="","",IF(OR(D189="Gagné",D189="Perdu"),"",IFERROR(INDEX('Saisie'!$I$5:$I$2004,_xlfn.MAXIFS('Saisie'!$AS$5:$AS$2004,'Saisie'!$C$5:$C$2004,C189,'Saisie'!$I$5:$I$2004,"&lt;&gt;")-4),"")))</f>
        <v/>
      </c>
      <c r="J189" s="60">
        <f>IF(C189="","",IFERROR(INDEX('Saisie'!$U$5:$U$2004,_xlfn.MAXIFS('Saisie'!$AS$5:$AS$2004,'Saisie'!$C$5:$C$2004,C189,'Saisie'!$U$5:$U$2004,"&lt;&gt;")-4),""))</f>
        <v/>
      </c>
      <c r="K189" s="60">
        <f>IF(C189="","",IFERROR(INDEX('Saisie'!$W$5:$W$2004,_xlfn.MAXIFS('Saisie'!$AS$5:$AS$2004,'Saisie'!$C$5:$C$2004,C189,'Saisie'!$W$5:$W$2004,"&lt;&gt;")-4),""))</f>
        <v/>
      </c>
      <c r="L189" s="60">
        <f>IF(IF(BB189&lt;&gt;"",BB189,K189)="","",HYPERLINK("https://wa.me/"&amp;IF(LEFT(SUBSTITUTE(SUBSTITUTE(SUBSTITUTE(IF(BB189&lt;&gt;"",BB189,K189)," ",""),".",""),"+",""),1)="0",'Paramètres'!$B$35&amp;MID(SUBSTITUTE(SUBSTITUTE(SUBSTITUTE(IF(BB189&lt;&gt;"",BB189,K189)," ",""),".",""),"+",""),2,20),SUBSTITUTE(SUBSTITUTE(SUBSTITUTE(IF(BB189&lt;&gt;"",BB189,K189)," ",""),".",""),"+","")),"WhatsApp"))</f>
        <v/>
      </c>
      <c r="M189" s="60">
        <f>IF(BC189="","",HYPERLINK(IF(LEFT(BC189,4)="http",BC189,"https://www.instagram.com/"&amp;SUBSTITUTE(SUBSTITUTE(BC189,"@","")," ","")),BC189))</f>
        <v/>
      </c>
      <c r="N189" s="60">
        <f>IF(C189="","",IFERROR(INDEX('Saisie'!$D$5:$D$2004,_xlfn.MINIFS('Saisie'!$AS$5:$AS$2004,'Saisie'!$C$5:$C$2004,C189,'Saisie'!$AU$5:$AU$2004,1)-4),IFERROR(INDEX('Saisie'!$D$5:$D$2004,_xlfn.MINIFS('Saisie'!$AS$5:$AS$2004,'Saisie'!$C$5:$C$2004,C189,'Saisie'!$D$5:$D$2004,"&lt;&gt;")-4),"")))</f>
        <v/>
      </c>
      <c r="O189" s="60">
        <f>IF(C189="","",COUNTIFS('Saisie'!$C$5:$C$2004,C189,'Saisie'!$AU$5:$AU$2004,1))</f>
        <v/>
      </c>
      <c r="P189" s="60">
        <f>IF(C189="","",COUNTIFS('Saisie'!$C$5:$C$2004,C189,'Saisie'!$AV$5:$AV$2004,1))</f>
        <v/>
      </c>
      <c r="Q189" s="106">
        <f>IF(C189="","",IFERROR(1/(1/_xlfn.MAXIFS('Saisie'!$A$5:$A$2004,'Saisie'!$C$5:$C$2004,C189)),""))</f>
        <v/>
      </c>
      <c r="R189" s="61">
        <f>IF(C189="","",IF(Q189="","",TODAY()-Q189))</f>
        <v/>
      </c>
      <c r="S189" s="60">
        <f>IF(C189="","",IFERROR(INDEX('Saisie'!$R$5:$R$2004,_xlfn.MAXIFS('Saisie'!$AS$5:$AS$2004,'Saisie'!$C$5:$C$2004,C189,'Saisie'!$R$5:$R$2004,"&lt;&gt;")-4),""))</f>
        <v/>
      </c>
      <c r="T189" s="60">
        <f>IF(C189="","",IFERROR(INDEX('Saisie'!$S$5:$S$2004,_xlfn.MAXIFS('Saisie'!$AS$5:$AS$2004,'Saisie'!$C$5:$C$2004,C189,'Saisie'!$S$5:$S$2004,"&lt;&gt;")-4),""))</f>
        <v/>
      </c>
      <c r="U189" s="60">
        <f>IF(C189="","",IFERROR(INDEX('Saisie'!$T$5:$T$2004,_xlfn.MAXIFS('Saisie'!$AS$5:$AS$2004,'Saisie'!$C$5:$C$2004,C189,'Saisie'!$T$5:$T$2004,"&lt;&gt;")-4),""))</f>
        <v/>
      </c>
      <c r="V189" s="60">
        <f>IF(C189="","",IFERROR(INDEX('Saisie'!$V$5:$V$2004,_xlfn.MAXIFS('Saisie'!$AS$5:$AS$2004,'Saisie'!$C$5:$C$2004,C189,'Saisie'!$V$5:$V$2004,"&lt;&gt;")-4),""))</f>
        <v/>
      </c>
      <c r="W189" s="60">
        <f>IF(C189="","",IFERROR(INDEX('Saisie'!$Z$5:$Z$2004,_xlfn.MAXIFS('Saisie'!$AS$5:$AS$2004,'Saisie'!$C$5:$C$2004,C189,'Saisie'!$Z$5:$Z$2004,"&lt;&gt;")-4),""))</f>
        <v/>
      </c>
      <c r="X189" s="60">
        <f>IF(C189="","",IFERROR(INDEX('Saisie'!$AA$5:$AA$2004,_xlfn.MAXIFS('Saisie'!$AS$5:$AS$2004,'Saisie'!$C$5:$C$2004,C189,'Saisie'!$AA$5:$AA$2004,"&lt;&gt;")-4),""))</f>
        <v/>
      </c>
      <c r="Y189" s="60">
        <f>IF(C189="","",IFERROR(INDEX('Saisie'!$AB$5:$AB$2004,_xlfn.MAXIFS('Saisie'!$AS$5:$AS$2004,'Saisie'!$C$5:$C$2004,C189,'Saisie'!$AB$5:$AB$2004,"&lt;&gt;")-4),""))</f>
        <v/>
      </c>
      <c r="Z189" s="60">
        <f>IF(C189="","",IFERROR(INDEX('Saisie'!$AC$5:$AC$2004,_xlfn.MAXIFS('Saisie'!$AS$5:$AS$2004,'Saisie'!$C$5:$C$2004,C189,'Saisie'!$AC$5:$AC$2004,"&lt;&gt;")-4),""))</f>
        <v/>
      </c>
      <c r="AA189" s="106">
        <f>IF(C189="","",IFERROR(INDEX('Saisie'!$AD$5:$AD$2004,_xlfn.MAXIFS('Saisie'!$AS$5:$AS$2004,'Saisie'!$C$5:$C$2004,C189,'Saisie'!$AD$5:$AD$2004,"&lt;&gt;")-4),""))</f>
        <v/>
      </c>
      <c r="AB189" s="60">
        <f>IF(C189="","",IFERROR(INDEX('Saisie'!$AE$5:$AE$2004,_xlfn.MAXIFS('Saisie'!$AS$5:$AS$2004,'Saisie'!$C$5:$C$2004,C189,'Saisie'!$AE$5:$AE$2004,"&lt;&gt;")-4),""))</f>
        <v/>
      </c>
      <c r="AC189" s="60">
        <f>IF(C189="","",IFERROR(INDEX('Saisie'!$AF$5:$AF$2004,_xlfn.MAXIFS('Saisie'!$AS$5:$AS$2004,'Saisie'!$C$5:$C$2004,C189,'Saisie'!$AF$5:$AF$2004,"&lt;&gt;")-4),""))</f>
        <v/>
      </c>
      <c r="AD189" s="108">
        <f>IF(C189="","",IFERROR(INDEX('Saisie'!$AG$5:$AG$2004,_xlfn.MAXIFS('Saisie'!$AS$5:$AS$2004,'Saisie'!$C$5:$C$2004,C189,'Saisie'!$AG$5:$AG$2004,"&lt;&gt;")-4),""))</f>
        <v/>
      </c>
      <c r="AE189" s="60">
        <f>IF(C189="","",IFERROR(INDEX('Saisie'!$AH$5:$AH$2004,_xlfn.MAXIFS('Saisie'!$AS$5:$AS$2004,'Saisie'!$C$5:$C$2004,C189,'Saisie'!$AH$5:$AH$2004,"&lt;&gt;")-4),""))</f>
        <v/>
      </c>
      <c r="AF189" s="60">
        <f>IF(C189="","",IFERROR(INDEX('Saisie'!$AI$5:$AI$2004,_xlfn.MAXIFS('Saisie'!$AS$5:$AS$2004,'Saisie'!$C$5:$C$2004,C189,'Saisie'!$AI$5:$AI$2004,"&lt;&gt;")-4),""))</f>
        <v/>
      </c>
      <c r="AG189" s="60">
        <f>IF(C189="","",IFERROR(INDEX('Saisie'!$AJ$5:$AJ$2004,_xlfn.MAXIFS('Saisie'!$AS$5:$AS$2004,'Saisie'!$C$5:$C$2004,C189,'Saisie'!$AJ$5:$AJ$2004,"&lt;&gt;")-4),""))</f>
        <v/>
      </c>
      <c r="AH189" s="60">
        <f>IF(C189="","",IFERROR(INDEX('Saisie'!$AK$5:$AK$2004,_xlfn.MAXIFS('Saisie'!$AS$5:$AS$2004,'Saisie'!$C$5:$C$2004,C189,'Saisie'!$AK$5:$AK$2004,"&lt;&gt;")-4),""))</f>
        <v/>
      </c>
      <c r="AI189" s="60">
        <f>IF(C189="","",IFERROR(INDEX('Saisie'!$AN$5:$AN$2004,_xlfn.MAXIFS('Saisie'!$AS$5:$AS$2004,'Saisie'!$C$5:$C$2004,C189,'Saisie'!$AN$5:$AN$2004,"&lt;&gt;")-4),""))</f>
        <v/>
      </c>
      <c r="AJ189" s="60">
        <f>IF(C189="","",IFERROR(INDEX('Saisie'!$AO$5:$AO$2004,_xlfn.MAXIFS('Saisie'!$AS$5:$AS$2004,'Saisie'!$C$5:$C$2004,C189,'Saisie'!$AO$5:$AO$2004,"&lt;&gt;")-4),""))</f>
        <v/>
      </c>
      <c r="AK189" s="60">
        <f>IF(C189="","",IFERROR(INDEX('Saisie'!$AP$5:$AP$2004,_xlfn.MAXIFS('Saisie'!$AS$5:$AS$2004,'Saisie'!$C$5:$C$2004,C189,'Saisie'!$AP$5:$AP$2004,"&lt;&gt;")-4),""))</f>
        <v/>
      </c>
      <c r="AL189" s="60">
        <f>IF(C189="","",IFERROR(INDEX('Saisie'!$AQ$5:$AQ$2004,_xlfn.MAXIFS('Saisie'!$AS$5:$AS$2004,'Saisie'!$C$5:$C$2004,C189,'Saisie'!$AQ$5:$AQ$2004,"&lt;&gt;")-4),""))</f>
        <v/>
      </c>
      <c r="AM189" s="60">
        <f>IF(C189="","",((AI189="Oui")+(AJ189="Oui")+(AK189="Oui")+OR(AL189="Immédiat",AL189="&lt; 1 mois"))&amp;"/4")</f>
        <v/>
      </c>
      <c r="AN189" s="60">
        <f>IF(C189="","",IFERROR(INDEX('Saisie'!$AL$5:$AL$2004,_xlfn.MAXIFS('Saisie'!$AS$5:$AS$2004,'Saisie'!$C$5:$C$2004,C189,'Saisie'!$AL$5:$AL$2004,"&lt;&gt;")-4),""))</f>
        <v/>
      </c>
      <c r="AO189" s="62">
        <f>IF(C189="","",IF(IFERROR(INDEX('Saisie'!$AM$5:$AM$2004,_xlfn.MAXIFS('Saisie'!$AS$5:$AS$2004,'Saisie'!$C$5:$C$2004,C189,'Saisie'!$AM$5:$AM$2004,"&lt;&gt;")-4),"")&lt;&gt;"",IFERROR(INDEX('Saisie'!$AM$5:$AM$2004,_xlfn.MAXIFS('Saisie'!$AS$5:$AS$2004,'Saisie'!$C$5:$C$2004,C189,'Saisie'!$AM$5:$AM$2004,"&lt;&gt;")-4),""),IFERROR(INDEX('Paramètres'!$S$6:$S$15,MATCH(AN189,'Paramètres'!$Q$6:$Q$15,0)),"")))</f>
        <v/>
      </c>
      <c r="AP189" s="62">
        <f>IF(C189="","",IFERROR(INDEX('Saisie'!$AW$5:$AW$2004,_xlfn.MAXIFS('Saisie'!$AS$5:$AS$2004,'Saisie'!$C$5:$C$2004,C189,'Saisie'!$E$5:$E$2004,"Proposition envoyée")-4),""))</f>
        <v/>
      </c>
      <c r="AQ189" s="106">
        <f>IF(C189="","",IFERROR(1/(1/_xlfn.MAXIFS('Saisie'!$A$5:$A$2004,'Saisie'!$C$5:$C$2004,C189,'Saisie'!$E$5:$E$2004,"Proposition envoyée")),""))</f>
        <v/>
      </c>
      <c r="AR189" s="106">
        <f>IF(C189="","",IF(AQ189="","",AQ189+'Paramètres'!$B$26))</f>
        <v/>
      </c>
      <c r="AS189" s="62">
        <f>IF(OR(C189="",D189="Gagné",D189="Perdu"),0,N(AP189)*IFERROR(INDEX('Paramètres'!$G$6:$G$13,MATCH(D189,'Paramètres'!$F$6:$F$13,0)),0))</f>
        <v/>
      </c>
      <c r="AT189" s="106">
        <f>IF(C189="","",IFERROR(1/(1/_xlfn.MINIFS('Saisie'!$A$5:$A$2004,'Saisie'!$C$5:$C$2004,C189,'Saisie'!$E$5:$E$2004,"Signature")),""))</f>
        <v/>
      </c>
      <c r="AU189" s="60">
        <f>IF(C189="","",IF(OR(AT189="",B189=""),"",AT189-B189))</f>
        <v/>
      </c>
      <c r="AV189" s="60">
        <f>IF(C189="","",IFERROR(INDEX('Saisie'!$L$5:$L$2004,_xlfn.MAXIFS('Saisie'!$AS$5:$AS$2004,'Saisie'!$C$5:$C$2004,C189,'Saisie'!$L$5:$L$2004,"&lt;&gt;")-4),""))</f>
        <v/>
      </c>
      <c r="AW189" s="106">
        <f>IF(C189="","",IF(D189&lt;&gt;"Perdu","",IFERROR(1/(1/_xlfn.MAXIFS('Saisie'!$A$5:$A$2004,'Saisie'!$C$5:$C$2004,C189,'Saisie'!$E$5:$E$2004,"Perdu")),"")))</f>
        <v/>
      </c>
      <c r="AX189" s="106">
        <f>IF(C189="","",IF(AW189="","",AW189+'Paramètres'!$B$28))</f>
        <v/>
      </c>
      <c r="AY189" s="60">
        <f>IF(C189="","",SUMIFS('Saisie'!$H$5:$H$2004,'Saisie'!$C$5:$C$2004,C189))</f>
        <v/>
      </c>
      <c r="AZ189" s="60">
        <f>IF(C189="","",IFERROR(INDEX('Paramètres'!$W$6:$W$20,MATCH(S189,'Paramètres'!$V$6:$V$20,0))&amp;"",""))</f>
        <v/>
      </c>
      <c r="BA189" s="60">
        <f>IF(C189="","",MAX(1,_xlfn.MAXIFS('Saisie'!$AT$5:$AT$2004,'Saisie'!$C$5:$C$2004,C189)))</f>
        <v/>
      </c>
      <c r="BB189" s="60">
        <f>IF(C189="","",IFERROR(INDEX('Saisie'!$X$5:$X$2004,_xlfn.MAXIFS('Saisie'!$AS$5:$AS$2004,'Saisie'!$C$5:$C$2004,C189,'Saisie'!$X$5:$X$2004,"&lt;&gt;")-4),""))</f>
        <v/>
      </c>
      <c r="BC189" s="60">
        <f>IF(C189="","",IFERROR(INDEX('Saisie'!$Y$5:$Y$2004,_xlfn.MAXIFS('Saisie'!$AS$5:$AS$2004,'Saisie'!$C$5:$C$2004,C189,'Saisie'!$Y$5:$Y$2004,"&lt;&gt;")-4),""))</f>
        <v/>
      </c>
      <c r="BD189" s="106">
        <f>IF(C189="","",IFERROR(1/(1/_xlfn.MINIFS('Saisie'!$A$5:$A$2004,'Saisie'!$C$5:$C$2004,C189,'Saisie'!$AT$5:$AT$2004,"&gt;=2")),""))</f>
        <v/>
      </c>
      <c r="BE189" s="106">
        <f>IF(C189="","",IFERROR(1/(1/_xlfn.MINIFS('Saisie'!$A$5:$A$2004,'Saisie'!$C$5:$C$2004,C189,'Saisie'!$AT$5:$AT$2004,"&gt;=3")),""))</f>
        <v/>
      </c>
      <c r="BF189" s="106">
        <f>IF(C189="","",IFERROR(1/(1/_xlfn.MINIFS('Saisie'!$A$5:$A$2004,'Saisie'!$C$5:$C$2004,C189,'Saisie'!$AT$5:$AT$2004,"&gt;=4")),""))</f>
        <v/>
      </c>
      <c r="BG189" s="106">
        <f>IF(C189="","",IFERROR(1/(1/_xlfn.MINIFS('Saisie'!$A$5:$A$2004,'Saisie'!$C$5:$C$2004,C189,'Saisie'!$AT$5:$AT$2004,"&gt;=5")),""))</f>
        <v/>
      </c>
      <c r="BH189" s="106">
        <f>IF(C189="","",IFERROR(1/(1/_xlfn.MINIFS('Saisie'!$A$5:$A$2004,'Saisie'!$C$5:$C$2004,C189,'Saisie'!$AT$5:$AT$2004,"&gt;=6")),""))</f>
        <v/>
      </c>
      <c r="BI189" s="106">
        <f>IF(C189="","",IFERROR(1/(1/_xlfn.MINIFS('Saisie'!$A$5:$A$2004,'Saisie'!$C$5:$C$2004,C189,'Saisie'!$AT$5:$AT$2004,"&gt;=7")),""))</f>
        <v/>
      </c>
      <c r="BJ189" s="60">
        <f>IF(OR(BD189="",B189=""),"",BD189-B189)</f>
        <v/>
      </c>
      <c r="BK189" s="60">
        <f>IF(OR(BE189="",BD189=""),"",BE189-BD189)</f>
        <v/>
      </c>
      <c r="BL189" s="60">
        <f>IF(OR(BF189="",BE189=""),"",BF189-BE189)</f>
        <v/>
      </c>
      <c r="BM189" s="60">
        <f>IF(OR(BG189="",BF189=""),"",BG189-BF189)</f>
        <v/>
      </c>
      <c r="BN189" s="60">
        <f>IF(OR(BH189="",BG189=""),"",BH189-BG189)</f>
        <v/>
      </c>
      <c r="BO189" s="60">
        <f>IF(OR(BI189="",BH189=""),"",BI189-BH189)</f>
        <v/>
      </c>
      <c r="BP189" s="60">
        <f>IF(C189="","",_xlfn.MAXIFS('Saisie'!$AS$5:$AS$2004,'Saisie'!$C$5:$C$2004,C189,'Saisie'!$J$5:$J$2004,"&lt;&gt;"))</f>
        <v/>
      </c>
      <c r="BQ189" s="60">
        <f>IF(C189="","",_xlfn.MAXIFS('Saisie'!$AS$5:$AS$2004,'Saisie'!$C$5:$C$2004,C189))</f>
        <v/>
      </c>
      <c r="BR189" s="60">
        <f>IF(C189="","",_xlfn.MAXIFS('Saisie'!$AS$5:$AS$2004,'Saisie'!$C$5:$C$2004,C189,'Saisie'!$E$5:$E$2004,"Perdu"))</f>
        <v/>
      </c>
      <c r="BS189" s="60">
        <f>IF(C189="","",_xlfn.MAXIFS('Saisie'!$AS$5:$AS$2004,'Saisie'!$C$5:$C$2004,C189,'Saisie'!$AT$5:$AT$2004,"&gt;0"))</f>
        <v/>
      </c>
      <c r="BT189" s="109">
        <f>IF(AND(C189&lt;&gt;"",OR(D189="Nouveau",D189="Contacté",D189="Qualifié"),OR(G189="",N(G189)&lt;=TODAY()),NOT(AND(O189&gt;='Paramètres'!$B$21,P189=0))),E189+185/10000,"")</f>
        <v/>
      </c>
      <c r="BU189" s="60">
        <f>IF(AND(G189&lt;&gt;"",N(G189)&lt;=TODAY()),MAX($BU$4:BU188)+1,"")</f>
        <v/>
      </c>
      <c r="BV189" s="60">
        <f>IF(AND(F189&lt;&gt;"",F189&lt;&gt;"Relance en retard"),MAX($BV$4:BV188)+1,"")</f>
        <v/>
      </c>
      <c r="BW189" s="60">
        <f>IF(C189="","",IF(AND(B189&gt;='Tableau de bord'!$R$4,B189&lt;='Tableau de bord'!$S$4,OR('Tableau de bord'!$G$4="Tous",N189='Tableau de bord'!$G$4)),1,0))</f>
        <v/>
      </c>
      <c r="BX189" s="60">
        <f>IF(AND(C189&lt;&gt;"",N(BA189)=7),MAX($BX$4:BX188)+1,"")</f>
        <v/>
      </c>
    </row>
    <row r="190">
      <c r="A190" s="60">
        <f>IF(C190="","","P-"&amp;TEXT(186,"000"))</f>
        <v/>
      </c>
      <c r="B190" s="106">
        <f>IF(C190="","",IFERROR(1/(1/_xlfn.MINIFS('Saisie'!$A$5:$A$2004,'Saisie'!$C$5:$C$2004,C190)),""))</f>
        <v/>
      </c>
      <c r="C190" s="60">
        <f>IFERROR(INDEX('Saisie'!$C$5:$C$2004,MATCH(186,'Saisie'!$AX$5:$AX$2004,0)),"")</f>
        <v/>
      </c>
      <c r="D190" s="60">
        <f>IF(C190="","",IF(AND(BR190&gt;0,BR190&gt;BS190,BA190&lt;7),"Perdu",INDEX('Paramètres'!$F$6:$F$13,BA190)))</f>
        <v/>
      </c>
      <c r="E190" s="61">
        <f>IF(C190="","",MIN(100,(Z190="Oui")*'Paramètres'!$B$38+(AB190="Régulière")*'Paramètres'!$B$39+IF(AND(N(AA190)&gt;0,TODAY()-N(AA190)&lt;=30),'Paramètres'!$B$40,0)+(W190="")*'Paramètres'!$B$41+(AC190="Absente")*'Paramètres'!$B$42+(AC190="Faible")*'Paramètres'!$B$43+IF(AND(N(AD190)&gt;0,N(AD190)&lt;4),'Paramètres'!$B$44,0)+(AF190="Moyenne")*'Paramètres'!$B$45+(AF190="Grande")*'Paramètres'!$B$46+(Y190&lt;&gt;"")*'Paramètres'!$B$47))</f>
        <v/>
      </c>
      <c r="F190" s="60">
        <f>IF(C190="","",IF(D190="Gagné","",IF(D190="Perdu",IF(AND(AX190&lt;&gt;"",AX190&lt;=TODAY()),"À recontacter (perdu)",""),IF(AND(O190&gt;='Paramètres'!$B$21,P190=0),"Stop : "&amp;'Paramètres'!$B$21&amp;" tentatives sans réponse",IF(AND(D190="Proposition",AR190&lt;&gt;"",TODAY()&gt;N(AR190)),"Proposition expirée",IF(AND(D190="Proposition",N(R190)&gt;='Paramètres'!$B$25),"Proposition sans réponse",IF(AND(G190&lt;&gt;"",N(G190)&lt;TODAY()),"Relance en retard",IF(N(R190)&gt;='Paramètres'!$B$24,"Sans action depuis "&amp;R190&amp;" j",""))))))))</f>
        <v/>
      </c>
      <c r="G190" s="106">
        <f>IF(OR(C190="",D190="Gagné",D190="Perdu"),"",IF(AND(BP190&gt;0,BP190=BQ190),INDEX('Saisie'!$J$5:$J$2004,BP190-4),IF(OR(O190=0,AND(O190&gt;='Paramètres'!$B$21,P190=0)),"",Q190+IF(O190&lt;=1,'Paramètres'!$B$18,IF(O190=2,'Paramètres'!$B$19,'Paramètres'!$B$20)))))</f>
        <v/>
      </c>
      <c r="H190" s="107">
        <f>IF(OR(G190="",BP190&lt;&gt;BQ190),"",IF(INDEX('Saisie'!$K$5:$K$2004,BP190-4)="","",INDEX('Saisie'!$K$5:$K$2004,BP190-4)))</f>
        <v/>
      </c>
      <c r="I190" s="60">
        <f>IF(C190="","",IF(OR(D190="Gagné",D190="Perdu"),"",IFERROR(INDEX('Saisie'!$I$5:$I$2004,_xlfn.MAXIFS('Saisie'!$AS$5:$AS$2004,'Saisie'!$C$5:$C$2004,C190,'Saisie'!$I$5:$I$2004,"&lt;&gt;")-4),"")))</f>
        <v/>
      </c>
      <c r="J190" s="60">
        <f>IF(C190="","",IFERROR(INDEX('Saisie'!$U$5:$U$2004,_xlfn.MAXIFS('Saisie'!$AS$5:$AS$2004,'Saisie'!$C$5:$C$2004,C190,'Saisie'!$U$5:$U$2004,"&lt;&gt;")-4),""))</f>
        <v/>
      </c>
      <c r="K190" s="60">
        <f>IF(C190="","",IFERROR(INDEX('Saisie'!$W$5:$W$2004,_xlfn.MAXIFS('Saisie'!$AS$5:$AS$2004,'Saisie'!$C$5:$C$2004,C190,'Saisie'!$W$5:$W$2004,"&lt;&gt;")-4),""))</f>
        <v/>
      </c>
      <c r="L190" s="60">
        <f>IF(IF(BB190&lt;&gt;"",BB190,K190)="","",HYPERLINK("https://wa.me/"&amp;IF(LEFT(SUBSTITUTE(SUBSTITUTE(SUBSTITUTE(IF(BB190&lt;&gt;"",BB190,K190)," ",""),".",""),"+",""),1)="0",'Paramètres'!$B$35&amp;MID(SUBSTITUTE(SUBSTITUTE(SUBSTITUTE(IF(BB190&lt;&gt;"",BB190,K190)," ",""),".",""),"+",""),2,20),SUBSTITUTE(SUBSTITUTE(SUBSTITUTE(IF(BB190&lt;&gt;"",BB190,K190)," ",""),".",""),"+","")),"WhatsApp"))</f>
        <v/>
      </c>
      <c r="M190" s="60">
        <f>IF(BC190="","",HYPERLINK(IF(LEFT(BC190,4)="http",BC190,"https://www.instagram.com/"&amp;SUBSTITUTE(SUBSTITUTE(BC190,"@","")," ","")),BC190))</f>
        <v/>
      </c>
      <c r="N190" s="60">
        <f>IF(C190="","",IFERROR(INDEX('Saisie'!$D$5:$D$2004,_xlfn.MINIFS('Saisie'!$AS$5:$AS$2004,'Saisie'!$C$5:$C$2004,C190,'Saisie'!$AU$5:$AU$2004,1)-4),IFERROR(INDEX('Saisie'!$D$5:$D$2004,_xlfn.MINIFS('Saisie'!$AS$5:$AS$2004,'Saisie'!$C$5:$C$2004,C190,'Saisie'!$D$5:$D$2004,"&lt;&gt;")-4),"")))</f>
        <v/>
      </c>
      <c r="O190" s="60">
        <f>IF(C190="","",COUNTIFS('Saisie'!$C$5:$C$2004,C190,'Saisie'!$AU$5:$AU$2004,1))</f>
        <v/>
      </c>
      <c r="P190" s="60">
        <f>IF(C190="","",COUNTIFS('Saisie'!$C$5:$C$2004,C190,'Saisie'!$AV$5:$AV$2004,1))</f>
        <v/>
      </c>
      <c r="Q190" s="106">
        <f>IF(C190="","",IFERROR(1/(1/_xlfn.MAXIFS('Saisie'!$A$5:$A$2004,'Saisie'!$C$5:$C$2004,C190)),""))</f>
        <v/>
      </c>
      <c r="R190" s="61">
        <f>IF(C190="","",IF(Q190="","",TODAY()-Q190))</f>
        <v/>
      </c>
      <c r="S190" s="60">
        <f>IF(C190="","",IFERROR(INDEX('Saisie'!$R$5:$R$2004,_xlfn.MAXIFS('Saisie'!$AS$5:$AS$2004,'Saisie'!$C$5:$C$2004,C190,'Saisie'!$R$5:$R$2004,"&lt;&gt;")-4),""))</f>
        <v/>
      </c>
      <c r="T190" s="60">
        <f>IF(C190="","",IFERROR(INDEX('Saisie'!$S$5:$S$2004,_xlfn.MAXIFS('Saisie'!$AS$5:$AS$2004,'Saisie'!$C$5:$C$2004,C190,'Saisie'!$S$5:$S$2004,"&lt;&gt;")-4),""))</f>
        <v/>
      </c>
      <c r="U190" s="60">
        <f>IF(C190="","",IFERROR(INDEX('Saisie'!$T$5:$T$2004,_xlfn.MAXIFS('Saisie'!$AS$5:$AS$2004,'Saisie'!$C$5:$C$2004,C190,'Saisie'!$T$5:$T$2004,"&lt;&gt;")-4),""))</f>
        <v/>
      </c>
      <c r="V190" s="60">
        <f>IF(C190="","",IFERROR(INDEX('Saisie'!$V$5:$V$2004,_xlfn.MAXIFS('Saisie'!$AS$5:$AS$2004,'Saisie'!$C$5:$C$2004,C190,'Saisie'!$V$5:$V$2004,"&lt;&gt;")-4),""))</f>
        <v/>
      </c>
      <c r="W190" s="60">
        <f>IF(C190="","",IFERROR(INDEX('Saisie'!$Z$5:$Z$2004,_xlfn.MAXIFS('Saisie'!$AS$5:$AS$2004,'Saisie'!$C$5:$C$2004,C190,'Saisie'!$Z$5:$Z$2004,"&lt;&gt;")-4),""))</f>
        <v/>
      </c>
      <c r="X190" s="60">
        <f>IF(C190="","",IFERROR(INDEX('Saisie'!$AA$5:$AA$2004,_xlfn.MAXIFS('Saisie'!$AS$5:$AS$2004,'Saisie'!$C$5:$C$2004,C190,'Saisie'!$AA$5:$AA$2004,"&lt;&gt;")-4),""))</f>
        <v/>
      </c>
      <c r="Y190" s="60">
        <f>IF(C190="","",IFERROR(INDEX('Saisie'!$AB$5:$AB$2004,_xlfn.MAXIFS('Saisie'!$AS$5:$AS$2004,'Saisie'!$C$5:$C$2004,C190,'Saisie'!$AB$5:$AB$2004,"&lt;&gt;")-4),""))</f>
        <v/>
      </c>
      <c r="Z190" s="60">
        <f>IF(C190="","",IFERROR(INDEX('Saisie'!$AC$5:$AC$2004,_xlfn.MAXIFS('Saisie'!$AS$5:$AS$2004,'Saisie'!$C$5:$C$2004,C190,'Saisie'!$AC$5:$AC$2004,"&lt;&gt;")-4),""))</f>
        <v/>
      </c>
      <c r="AA190" s="106">
        <f>IF(C190="","",IFERROR(INDEX('Saisie'!$AD$5:$AD$2004,_xlfn.MAXIFS('Saisie'!$AS$5:$AS$2004,'Saisie'!$C$5:$C$2004,C190,'Saisie'!$AD$5:$AD$2004,"&lt;&gt;")-4),""))</f>
        <v/>
      </c>
      <c r="AB190" s="60">
        <f>IF(C190="","",IFERROR(INDEX('Saisie'!$AE$5:$AE$2004,_xlfn.MAXIFS('Saisie'!$AS$5:$AS$2004,'Saisie'!$C$5:$C$2004,C190,'Saisie'!$AE$5:$AE$2004,"&lt;&gt;")-4),""))</f>
        <v/>
      </c>
      <c r="AC190" s="60">
        <f>IF(C190="","",IFERROR(INDEX('Saisie'!$AF$5:$AF$2004,_xlfn.MAXIFS('Saisie'!$AS$5:$AS$2004,'Saisie'!$C$5:$C$2004,C190,'Saisie'!$AF$5:$AF$2004,"&lt;&gt;")-4),""))</f>
        <v/>
      </c>
      <c r="AD190" s="108">
        <f>IF(C190="","",IFERROR(INDEX('Saisie'!$AG$5:$AG$2004,_xlfn.MAXIFS('Saisie'!$AS$5:$AS$2004,'Saisie'!$C$5:$C$2004,C190,'Saisie'!$AG$5:$AG$2004,"&lt;&gt;")-4),""))</f>
        <v/>
      </c>
      <c r="AE190" s="60">
        <f>IF(C190="","",IFERROR(INDEX('Saisie'!$AH$5:$AH$2004,_xlfn.MAXIFS('Saisie'!$AS$5:$AS$2004,'Saisie'!$C$5:$C$2004,C190,'Saisie'!$AH$5:$AH$2004,"&lt;&gt;")-4),""))</f>
        <v/>
      </c>
      <c r="AF190" s="60">
        <f>IF(C190="","",IFERROR(INDEX('Saisie'!$AI$5:$AI$2004,_xlfn.MAXIFS('Saisie'!$AS$5:$AS$2004,'Saisie'!$C$5:$C$2004,C190,'Saisie'!$AI$5:$AI$2004,"&lt;&gt;")-4),""))</f>
        <v/>
      </c>
      <c r="AG190" s="60">
        <f>IF(C190="","",IFERROR(INDEX('Saisie'!$AJ$5:$AJ$2004,_xlfn.MAXIFS('Saisie'!$AS$5:$AS$2004,'Saisie'!$C$5:$C$2004,C190,'Saisie'!$AJ$5:$AJ$2004,"&lt;&gt;")-4),""))</f>
        <v/>
      </c>
      <c r="AH190" s="60">
        <f>IF(C190="","",IFERROR(INDEX('Saisie'!$AK$5:$AK$2004,_xlfn.MAXIFS('Saisie'!$AS$5:$AS$2004,'Saisie'!$C$5:$C$2004,C190,'Saisie'!$AK$5:$AK$2004,"&lt;&gt;")-4),""))</f>
        <v/>
      </c>
      <c r="AI190" s="60">
        <f>IF(C190="","",IFERROR(INDEX('Saisie'!$AN$5:$AN$2004,_xlfn.MAXIFS('Saisie'!$AS$5:$AS$2004,'Saisie'!$C$5:$C$2004,C190,'Saisie'!$AN$5:$AN$2004,"&lt;&gt;")-4),""))</f>
        <v/>
      </c>
      <c r="AJ190" s="60">
        <f>IF(C190="","",IFERROR(INDEX('Saisie'!$AO$5:$AO$2004,_xlfn.MAXIFS('Saisie'!$AS$5:$AS$2004,'Saisie'!$C$5:$C$2004,C190,'Saisie'!$AO$5:$AO$2004,"&lt;&gt;")-4),""))</f>
        <v/>
      </c>
      <c r="AK190" s="60">
        <f>IF(C190="","",IFERROR(INDEX('Saisie'!$AP$5:$AP$2004,_xlfn.MAXIFS('Saisie'!$AS$5:$AS$2004,'Saisie'!$C$5:$C$2004,C190,'Saisie'!$AP$5:$AP$2004,"&lt;&gt;")-4),""))</f>
        <v/>
      </c>
      <c r="AL190" s="60">
        <f>IF(C190="","",IFERROR(INDEX('Saisie'!$AQ$5:$AQ$2004,_xlfn.MAXIFS('Saisie'!$AS$5:$AS$2004,'Saisie'!$C$5:$C$2004,C190,'Saisie'!$AQ$5:$AQ$2004,"&lt;&gt;")-4),""))</f>
        <v/>
      </c>
      <c r="AM190" s="60">
        <f>IF(C190="","",((AI190="Oui")+(AJ190="Oui")+(AK190="Oui")+OR(AL190="Immédiat",AL190="&lt; 1 mois"))&amp;"/4")</f>
        <v/>
      </c>
      <c r="AN190" s="60">
        <f>IF(C190="","",IFERROR(INDEX('Saisie'!$AL$5:$AL$2004,_xlfn.MAXIFS('Saisie'!$AS$5:$AS$2004,'Saisie'!$C$5:$C$2004,C190,'Saisie'!$AL$5:$AL$2004,"&lt;&gt;")-4),""))</f>
        <v/>
      </c>
      <c r="AO190" s="62">
        <f>IF(C190="","",IF(IFERROR(INDEX('Saisie'!$AM$5:$AM$2004,_xlfn.MAXIFS('Saisie'!$AS$5:$AS$2004,'Saisie'!$C$5:$C$2004,C190,'Saisie'!$AM$5:$AM$2004,"&lt;&gt;")-4),"")&lt;&gt;"",IFERROR(INDEX('Saisie'!$AM$5:$AM$2004,_xlfn.MAXIFS('Saisie'!$AS$5:$AS$2004,'Saisie'!$C$5:$C$2004,C190,'Saisie'!$AM$5:$AM$2004,"&lt;&gt;")-4),""),IFERROR(INDEX('Paramètres'!$S$6:$S$15,MATCH(AN190,'Paramètres'!$Q$6:$Q$15,0)),"")))</f>
        <v/>
      </c>
      <c r="AP190" s="62">
        <f>IF(C190="","",IFERROR(INDEX('Saisie'!$AW$5:$AW$2004,_xlfn.MAXIFS('Saisie'!$AS$5:$AS$2004,'Saisie'!$C$5:$C$2004,C190,'Saisie'!$E$5:$E$2004,"Proposition envoyée")-4),""))</f>
        <v/>
      </c>
      <c r="AQ190" s="106">
        <f>IF(C190="","",IFERROR(1/(1/_xlfn.MAXIFS('Saisie'!$A$5:$A$2004,'Saisie'!$C$5:$C$2004,C190,'Saisie'!$E$5:$E$2004,"Proposition envoyée")),""))</f>
        <v/>
      </c>
      <c r="AR190" s="106">
        <f>IF(C190="","",IF(AQ190="","",AQ190+'Paramètres'!$B$26))</f>
        <v/>
      </c>
      <c r="AS190" s="62">
        <f>IF(OR(C190="",D190="Gagné",D190="Perdu"),0,N(AP190)*IFERROR(INDEX('Paramètres'!$G$6:$G$13,MATCH(D190,'Paramètres'!$F$6:$F$13,0)),0))</f>
        <v/>
      </c>
      <c r="AT190" s="106">
        <f>IF(C190="","",IFERROR(1/(1/_xlfn.MINIFS('Saisie'!$A$5:$A$2004,'Saisie'!$C$5:$C$2004,C190,'Saisie'!$E$5:$E$2004,"Signature")),""))</f>
        <v/>
      </c>
      <c r="AU190" s="60">
        <f>IF(C190="","",IF(OR(AT190="",B190=""),"",AT190-B190))</f>
        <v/>
      </c>
      <c r="AV190" s="60">
        <f>IF(C190="","",IFERROR(INDEX('Saisie'!$L$5:$L$2004,_xlfn.MAXIFS('Saisie'!$AS$5:$AS$2004,'Saisie'!$C$5:$C$2004,C190,'Saisie'!$L$5:$L$2004,"&lt;&gt;")-4),""))</f>
        <v/>
      </c>
      <c r="AW190" s="106">
        <f>IF(C190="","",IF(D190&lt;&gt;"Perdu","",IFERROR(1/(1/_xlfn.MAXIFS('Saisie'!$A$5:$A$2004,'Saisie'!$C$5:$C$2004,C190,'Saisie'!$E$5:$E$2004,"Perdu")),"")))</f>
        <v/>
      </c>
      <c r="AX190" s="106">
        <f>IF(C190="","",IF(AW190="","",AW190+'Paramètres'!$B$28))</f>
        <v/>
      </c>
      <c r="AY190" s="60">
        <f>IF(C190="","",SUMIFS('Saisie'!$H$5:$H$2004,'Saisie'!$C$5:$C$2004,C190))</f>
        <v/>
      </c>
      <c r="AZ190" s="60">
        <f>IF(C190="","",IFERROR(INDEX('Paramètres'!$W$6:$W$20,MATCH(S190,'Paramètres'!$V$6:$V$20,0))&amp;"",""))</f>
        <v/>
      </c>
      <c r="BA190" s="60">
        <f>IF(C190="","",MAX(1,_xlfn.MAXIFS('Saisie'!$AT$5:$AT$2004,'Saisie'!$C$5:$C$2004,C190)))</f>
        <v/>
      </c>
      <c r="BB190" s="60">
        <f>IF(C190="","",IFERROR(INDEX('Saisie'!$X$5:$X$2004,_xlfn.MAXIFS('Saisie'!$AS$5:$AS$2004,'Saisie'!$C$5:$C$2004,C190,'Saisie'!$X$5:$X$2004,"&lt;&gt;")-4),""))</f>
        <v/>
      </c>
      <c r="BC190" s="60">
        <f>IF(C190="","",IFERROR(INDEX('Saisie'!$Y$5:$Y$2004,_xlfn.MAXIFS('Saisie'!$AS$5:$AS$2004,'Saisie'!$C$5:$C$2004,C190,'Saisie'!$Y$5:$Y$2004,"&lt;&gt;")-4),""))</f>
        <v/>
      </c>
      <c r="BD190" s="106">
        <f>IF(C190="","",IFERROR(1/(1/_xlfn.MINIFS('Saisie'!$A$5:$A$2004,'Saisie'!$C$5:$C$2004,C190,'Saisie'!$AT$5:$AT$2004,"&gt;=2")),""))</f>
        <v/>
      </c>
      <c r="BE190" s="106">
        <f>IF(C190="","",IFERROR(1/(1/_xlfn.MINIFS('Saisie'!$A$5:$A$2004,'Saisie'!$C$5:$C$2004,C190,'Saisie'!$AT$5:$AT$2004,"&gt;=3")),""))</f>
        <v/>
      </c>
      <c r="BF190" s="106">
        <f>IF(C190="","",IFERROR(1/(1/_xlfn.MINIFS('Saisie'!$A$5:$A$2004,'Saisie'!$C$5:$C$2004,C190,'Saisie'!$AT$5:$AT$2004,"&gt;=4")),""))</f>
        <v/>
      </c>
      <c r="BG190" s="106">
        <f>IF(C190="","",IFERROR(1/(1/_xlfn.MINIFS('Saisie'!$A$5:$A$2004,'Saisie'!$C$5:$C$2004,C190,'Saisie'!$AT$5:$AT$2004,"&gt;=5")),""))</f>
        <v/>
      </c>
      <c r="BH190" s="106">
        <f>IF(C190="","",IFERROR(1/(1/_xlfn.MINIFS('Saisie'!$A$5:$A$2004,'Saisie'!$C$5:$C$2004,C190,'Saisie'!$AT$5:$AT$2004,"&gt;=6")),""))</f>
        <v/>
      </c>
      <c r="BI190" s="106">
        <f>IF(C190="","",IFERROR(1/(1/_xlfn.MINIFS('Saisie'!$A$5:$A$2004,'Saisie'!$C$5:$C$2004,C190,'Saisie'!$AT$5:$AT$2004,"&gt;=7")),""))</f>
        <v/>
      </c>
      <c r="BJ190" s="60">
        <f>IF(OR(BD190="",B190=""),"",BD190-B190)</f>
        <v/>
      </c>
      <c r="BK190" s="60">
        <f>IF(OR(BE190="",BD190=""),"",BE190-BD190)</f>
        <v/>
      </c>
      <c r="BL190" s="60">
        <f>IF(OR(BF190="",BE190=""),"",BF190-BE190)</f>
        <v/>
      </c>
      <c r="BM190" s="60">
        <f>IF(OR(BG190="",BF190=""),"",BG190-BF190)</f>
        <v/>
      </c>
      <c r="BN190" s="60">
        <f>IF(OR(BH190="",BG190=""),"",BH190-BG190)</f>
        <v/>
      </c>
      <c r="BO190" s="60">
        <f>IF(OR(BI190="",BH190=""),"",BI190-BH190)</f>
        <v/>
      </c>
      <c r="BP190" s="60">
        <f>IF(C190="","",_xlfn.MAXIFS('Saisie'!$AS$5:$AS$2004,'Saisie'!$C$5:$C$2004,C190,'Saisie'!$J$5:$J$2004,"&lt;&gt;"))</f>
        <v/>
      </c>
      <c r="BQ190" s="60">
        <f>IF(C190="","",_xlfn.MAXIFS('Saisie'!$AS$5:$AS$2004,'Saisie'!$C$5:$C$2004,C190))</f>
        <v/>
      </c>
      <c r="BR190" s="60">
        <f>IF(C190="","",_xlfn.MAXIFS('Saisie'!$AS$5:$AS$2004,'Saisie'!$C$5:$C$2004,C190,'Saisie'!$E$5:$E$2004,"Perdu"))</f>
        <v/>
      </c>
      <c r="BS190" s="60">
        <f>IF(C190="","",_xlfn.MAXIFS('Saisie'!$AS$5:$AS$2004,'Saisie'!$C$5:$C$2004,C190,'Saisie'!$AT$5:$AT$2004,"&gt;0"))</f>
        <v/>
      </c>
      <c r="BT190" s="109">
        <f>IF(AND(C190&lt;&gt;"",OR(D190="Nouveau",D190="Contacté",D190="Qualifié"),OR(G190="",N(G190)&lt;=TODAY()),NOT(AND(O190&gt;='Paramètres'!$B$21,P190=0))),E190+186/10000,"")</f>
        <v/>
      </c>
      <c r="BU190" s="60">
        <f>IF(AND(G190&lt;&gt;"",N(G190)&lt;=TODAY()),MAX($BU$4:BU189)+1,"")</f>
        <v/>
      </c>
      <c r="BV190" s="60">
        <f>IF(AND(F190&lt;&gt;"",F190&lt;&gt;"Relance en retard"),MAX($BV$4:BV189)+1,"")</f>
        <v/>
      </c>
      <c r="BW190" s="60">
        <f>IF(C190="","",IF(AND(B190&gt;='Tableau de bord'!$R$4,B190&lt;='Tableau de bord'!$S$4,OR('Tableau de bord'!$G$4="Tous",N190='Tableau de bord'!$G$4)),1,0))</f>
        <v/>
      </c>
      <c r="BX190" s="60">
        <f>IF(AND(C190&lt;&gt;"",N(BA190)=7),MAX($BX$4:BX189)+1,"")</f>
        <v/>
      </c>
    </row>
    <row r="191">
      <c r="A191" s="60">
        <f>IF(C191="","","P-"&amp;TEXT(187,"000"))</f>
        <v/>
      </c>
      <c r="B191" s="106">
        <f>IF(C191="","",IFERROR(1/(1/_xlfn.MINIFS('Saisie'!$A$5:$A$2004,'Saisie'!$C$5:$C$2004,C191)),""))</f>
        <v/>
      </c>
      <c r="C191" s="60">
        <f>IFERROR(INDEX('Saisie'!$C$5:$C$2004,MATCH(187,'Saisie'!$AX$5:$AX$2004,0)),"")</f>
        <v/>
      </c>
      <c r="D191" s="60">
        <f>IF(C191="","",IF(AND(BR191&gt;0,BR191&gt;BS191,BA191&lt;7),"Perdu",INDEX('Paramètres'!$F$6:$F$13,BA191)))</f>
        <v/>
      </c>
      <c r="E191" s="61">
        <f>IF(C191="","",MIN(100,(Z191="Oui")*'Paramètres'!$B$38+(AB191="Régulière")*'Paramètres'!$B$39+IF(AND(N(AA191)&gt;0,TODAY()-N(AA191)&lt;=30),'Paramètres'!$B$40,0)+(W191="")*'Paramètres'!$B$41+(AC191="Absente")*'Paramètres'!$B$42+(AC191="Faible")*'Paramètres'!$B$43+IF(AND(N(AD191)&gt;0,N(AD191)&lt;4),'Paramètres'!$B$44,0)+(AF191="Moyenne")*'Paramètres'!$B$45+(AF191="Grande")*'Paramètres'!$B$46+(Y191&lt;&gt;"")*'Paramètres'!$B$47))</f>
        <v/>
      </c>
      <c r="F191" s="60">
        <f>IF(C191="","",IF(D191="Gagné","",IF(D191="Perdu",IF(AND(AX191&lt;&gt;"",AX191&lt;=TODAY()),"À recontacter (perdu)",""),IF(AND(O191&gt;='Paramètres'!$B$21,P191=0),"Stop : "&amp;'Paramètres'!$B$21&amp;" tentatives sans réponse",IF(AND(D191="Proposition",AR191&lt;&gt;"",TODAY()&gt;N(AR191)),"Proposition expirée",IF(AND(D191="Proposition",N(R191)&gt;='Paramètres'!$B$25),"Proposition sans réponse",IF(AND(G191&lt;&gt;"",N(G191)&lt;TODAY()),"Relance en retard",IF(N(R191)&gt;='Paramètres'!$B$24,"Sans action depuis "&amp;R191&amp;" j",""))))))))</f>
        <v/>
      </c>
      <c r="G191" s="106">
        <f>IF(OR(C191="",D191="Gagné",D191="Perdu"),"",IF(AND(BP191&gt;0,BP191=BQ191),INDEX('Saisie'!$J$5:$J$2004,BP191-4),IF(OR(O191=0,AND(O191&gt;='Paramètres'!$B$21,P191=0)),"",Q191+IF(O191&lt;=1,'Paramètres'!$B$18,IF(O191=2,'Paramètres'!$B$19,'Paramètres'!$B$20)))))</f>
        <v/>
      </c>
      <c r="H191" s="107">
        <f>IF(OR(G191="",BP191&lt;&gt;BQ191),"",IF(INDEX('Saisie'!$K$5:$K$2004,BP191-4)="","",INDEX('Saisie'!$K$5:$K$2004,BP191-4)))</f>
        <v/>
      </c>
      <c r="I191" s="60">
        <f>IF(C191="","",IF(OR(D191="Gagné",D191="Perdu"),"",IFERROR(INDEX('Saisie'!$I$5:$I$2004,_xlfn.MAXIFS('Saisie'!$AS$5:$AS$2004,'Saisie'!$C$5:$C$2004,C191,'Saisie'!$I$5:$I$2004,"&lt;&gt;")-4),"")))</f>
        <v/>
      </c>
      <c r="J191" s="60">
        <f>IF(C191="","",IFERROR(INDEX('Saisie'!$U$5:$U$2004,_xlfn.MAXIFS('Saisie'!$AS$5:$AS$2004,'Saisie'!$C$5:$C$2004,C191,'Saisie'!$U$5:$U$2004,"&lt;&gt;")-4),""))</f>
        <v/>
      </c>
      <c r="K191" s="60">
        <f>IF(C191="","",IFERROR(INDEX('Saisie'!$W$5:$W$2004,_xlfn.MAXIFS('Saisie'!$AS$5:$AS$2004,'Saisie'!$C$5:$C$2004,C191,'Saisie'!$W$5:$W$2004,"&lt;&gt;")-4),""))</f>
        <v/>
      </c>
      <c r="L191" s="60">
        <f>IF(IF(BB191&lt;&gt;"",BB191,K191)="","",HYPERLINK("https://wa.me/"&amp;IF(LEFT(SUBSTITUTE(SUBSTITUTE(SUBSTITUTE(IF(BB191&lt;&gt;"",BB191,K191)," ",""),".",""),"+",""),1)="0",'Paramètres'!$B$35&amp;MID(SUBSTITUTE(SUBSTITUTE(SUBSTITUTE(IF(BB191&lt;&gt;"",BB191,K191)," ",""),".",""),"+",""),2,20),SUBSTITUTE(SUBSTITUTE(SUBSTITUTE(IF(BB191&lt;&gt;"",BB191,K191)," ",""),".",""),"+","")),"WhatsApp"))</f>
        <v/>
      </c>
      <c r="M191" s="60">
        <f>IF(BC191="","",HYPERLINK(IF(LEFT(BC191,4)="http",BC191,"https://www.instagram.com/"&amp;SUBSTITUTE(SUBSTITUTE(BC191,"@","")," ","")),BC191))</f>
        <v/>
      </c>
      <c r="N191" s="60">
        <f>IF(C191="","",IFERROR(INDEX('Saisie'!$D$5:$D$2004,_xlfn.MINIFS('Saisie'!$AS$5:$AS$2004,'Saisie'!$C$5:$C$2004,C191,'Saisie'!$AU$5:$AU$2004,1)-4),IFERROR(INDEX('Saisie'!$D$5:$D$2004,_xlfn.MINIFS('Saisie'!$AS$5:$AS$2004,'Saisie'!$C$5:$C$2004,C191,'Saisie'!$D$5:$D$2004,"&lt;&gt;")-4),"")))</f>
        <v/>
      </c>
      <c r="O191" s="60">
        <f>IF(C191="","",COUNTIFS('Saisie'!$C$5:$C$2004,C191,'Saisie'!$AU$5:$AU$2004,1))</f>
        <v/>
      </c>
      <c r="P191" s="60">
        <f>IF(C191="","",COUNTIFS('Saisie'!$C$5:$C$2004,C191,'Saisie'!$AV$5:$AV$2004,1))</f>
        <v/>
      </c>
      <c r="Q191" s="106">
        <f>IF(C191="","",IFERROR(1/(1/_xlfn.MAXIFS('Saisie'!$A$5:$A$2004,'Saisie'!$C$5:$C$2004,C191)),""))</f>
        <v/>
      </c>
      <c r="R191" s="61">
        <f>IF(C191="","",IF(Q191="","",TODAY()-Q191))</f>
        <v/>
      </c>
      <c r="S191" s="60">
        <f>IF(C191="","",IFERROR(INDEX('Saisie'!$R$5:$R$2004,_xlfn.MAXIFS('Saisie'!$AS$5:$AS$2004,'Saisie'!$C$5:$C$2004,C191,'Saisie'!$R$5:$R$2004,"&lt;&gt;")-4),""))</f>
        <v/>
      </c>
      <c r="T191" s="60">
        <f>IF(C191="","",IFERROR(INDEX('Saisie'!$S$5:$S$2004,_xlfn.MAXIFS('Saisie'!$AS$5:$AS$2004,'Saisie'!$C$5:$C$2004,C191,'Saisie'!$S$5:$S$2004,"&lt;&gt;")-4),""))</f>
        <v/>
      </c>
      <c r="U191" s="60">
        <f>IF(C191="","",IFERROR(INDEX('Saisie'!$T$5:$T$2004,_xlfn.MAXIFS('Saisie'!$AS$5:$AS$2004,'Saisie'!$C$5:$C$2004,C191,'Saisie'!$T$5:$T$2004,"&lt;&gt;")-4),""))</f>
        <v/>
      </c>
      <c r="V191" s="60">
        <f>IF(C191="","",IFERROR(INDEX('Saisie'!$V$5:$V$2004,_xlfn.MAXIFS('Saisie'!$AS$5:$AS$2004,'Saisie'!$C$5:$C$2004,C191,'Saisie'!$V$5:$V$2004,"&lt;&gt;")-4),""))</f>
        <v/>
      </c>
      <c r="W191" s="60">
        <f>IF(C191="","",IFERROR(INDEX('Saisie'!$Z$5:$Z$2004,_xlfn.MAXIFS('Saisie'!$AS$5:$AS$2004,'Saisie'!$C$5:$C$2004,C191,'Saisie'!$Z$5:$Z$2004,"&lt;&gt;")-4),""))</f>
        <v/>
      </c>
      <c r="X191" s="60">
        <f>IF(C191="","",IFERROR(INDEX('Saisie'!$AA$5:$AA$2004,_xlfn.MAXIFS('Saisie'!$AS$5:$AS$2004,'Saisie'!$C$5:$C$2004,C191,'Saisie'!$AA$5:$AA$2004,"&lt;&gt;")-4),""))</f>
        <v/>
      </c>
      <c r="Y191" s="60">
        <f>IF(C191="","",IFERROR(INDEX('Saisie'!$AB$5:$AB$2004,_xlfn.MAXIFS('Saisie'!$AS$5:$AS$2004,'Saisie'!$C$5:$C$2004,C191,'Saisie'!$AB$5:$AB$2004,"&lt;&gt;")-4),""))</f>
        <v/>
      </c>
      <c r="Z191" s="60">
        <f>IF(C191="","",IFERROR(INDEX('Saisie'!$AC$5:$AC$2004,_xlfn.MAXIFS('Saisie'!$AS$5:$AS$2004,'Saisie'!$C$5:$C$2004,C191,'Saisie'!$AC$5:$AC$2004,"&lt;&gt;")-4),""))</f>
        <v/>
      </c>
      <c r="AA191" s="106">
        <f>IF(C191="","",IFERROR(INDEX('Saisie'!$AD$5:$AD$2004,_xlfn.MAXIFS('Saisie'!$AS$5:$AS$2004,'Saisie'!$C$5:$C$2004,C191,'Saisie'!$AD$5:$AD$2004,"&lt;&gt;")-4),""))</f>
        <v/>
      </c>
      <c r="AB191" s="60">
        <f>IF(C191="","",IFERROR(INDEX('Saisie'!$AE$5:$AE$2004,_xlfn.MAXIFS('Saisie'!$AS$5:$AS$2004,'Saisie'!$C$5:$C$2004,C191,'Saisie'!$AE$5:$AE$2004,"&lt;&gt;")-4),""))</f>
        <v/>
      </c>
      <c r="AC191" s="60">
        <f>IF(C191="","",IFERROR(INDEX('Saisie'!$AF$5:$AF$2004,_xlfn.MAXIFS('Saisie'!$AS$5:$AS$2004,'Saisie'!$C$5:$C$2004,C191,'Saisie'!$AF$5:$AF$2004,"&lt;&gt;")-4),""))</f>
        <v/>
      </c>
      <c r="AD191" s="108">
        <f>IF(C191="","",IFERROR(INDEX('Saisie'!$AG$5:$AG$2004,_xlfn.MAXIFS('Saisie'!$AS$5:$AS$2004,'Saisie'!$C$5:$C$2004,C191,'Saisie'!$AG$5:$AG$2004,"&lt;&gt;")-4),""))</f>
        <v/>
      </c>
      <c r="AE191" s="60">
        <f>IF(C191="","",IFERROR(INDEX('Saisie'!$AH$5:$AH$2004,_xlfn.MAXIFS('Saisie'!$AS$5:$AS$2004,'Saisie'!$C$5:$C$2004,C191,'Saisie'!$AH$5:$AH$2004,"&lt;&gt;")-4),""))</f>
        <v/>
      </c>
      <c r="AF191" s="60">
        <f>IF(C191="","",IFERROR(INDEX('Saisie'!$AI$5:$AI$2004,_xlfn.MAXIFS('Saisie'!$AS$5:$AS$2004,'Saisie'!$C$5:$C$2004,C191,'Saisie'!$AI$5:$AI$2004,"&lt;&gt;")-4),""))</f>
        <v/>
      </c>
      <c r="AG191" s="60">
        <f>IF(C191="","",IFERROR(INDEX('Saisie'!$AJ$5:$AJ$2004,_xlfn.MAXIFS('Saisie'!$AS$5:$AS$2004,'Saisie'!$C$5:$C$2004,C191,'Saisie'!$AJ$5:$AJ$2004,"&lt;&gt;")-4),""))</f>
        <v/>
      </c>
      <c r="AH191" s="60">
        <f>IF(C191="","",IFERROR(INDEX('Saisie'!$AK$5:$AK$2004,_xlfn.MAXIFS('Saisie'!$AS$5:$AS$2004,'Saisie'!$C$5:$C$2004,C191,'Saisie'!$AK$5:$AK$2004,"&lt;&gt;")-4),""))</f>
        <v/>
      </c>
      <c r="AI191" s="60">
        <f>IF(C191="","",IFERROR(INDEX('Saisie'!$AN$5:$AN$2004,_xlfn.MAXIFS('Saisie'!$AS$5:$AS$2004,'Saisie'!$C$5:$C$2004,C191,'Saisie'!$AN$5:$AN$2004,"&lt;&gt;")-4),""))</f>
        <v/>
      </c>
      <c r="AJ191" s="60">
        <f>IF(C191="","",IFERROR(INDEX('Saisie'!$AO$5:$AO$2004,_xlfn.MAXIFS('Saisie'!$AS$5:$AS$2004,'Saisie'!$C$5:$C$2004,C191,'Saisie'!$AO$5:$AO$2004,"&lt;&gt;")-4),""))</f>
        <v/>
      </c>
      <c r="AK191" s="60">
        <f>IF(C191="","",IFERROR(INDEX('Saisie'!$AP$5:$AP$2004,_xlfn.MAXIFS('Saisie'!$AS$5:$AS$2004,'Saisie'!$C$5:$C$2004,C191,'Saisie'!$AP$5:$AP$2004,"&lt;&gt;")-4),""))</f>
        <v/>
      </c>
      <c r="AL191" s="60">
        <f>IF(C191="","",IFERROR(INDEX('Saisie'!$AQ$5:$AQ$2004,_xlfn.MAXIFS('Saisie'!$AS$5:$AS$2004,'Saisie'!$C$5:$C$2004,C191,'Saisie'!$AQ$5:$AQ$2004,"&lt;&gt;")-4),""))</f>
        <v/>
      </c>
      <c r="AM191" s="60">
        <f>IF(C191="","",((AI191="Oui")+(AJ191="Oui")+(AK191="Oui")+OR(AL191="Immédiat",AL191="&lt; 1 mois"))&amp;"/4")</f>
        <v/>
      </c>
      <c r="AN191" s="60">
        <f>IF(C191="","",IFERROR(INDEX('Saisie'!$AL$5:$AL$2004,_xlfn.MAXIFS('Saisie'!$AS$5:$AS$2004,'Saisie'!$C$5:$C$2004,C191,'Saisie'!$AL$5:$AL$2004,"&lt;&gt;")-4),""))</f>
        <v/>
      </c>
      <c r="AO191" s="62">
        <f>IF(C191="","",IF(IFERROR(INDEX('Saisie'!$AM$5:$AM$2004,_xlfn.MAXIFS('Saisie'!$AS$5:$AS$2004,'Saisie'!$C$5:$C$2004,C191,'Saisie'!$AM$5:$AM$2004,"&lt;&gt;")-4),"")&lt;&gt;"",IFERROR(INDEX('Saisie'!$AM$5:$AM$2004,_xlfn.MAXIFS('Saisie'!$AS$5:$AS$2004,'Saisie'!$C$5:$C$2004,C191,'Saisie'!$AM$5:$AM$2004,"&lt;&gt;")-4),""),IFERROR(INDEX('Paramètres'!$S$6:$S$15,MATCH(AN191,'Paramètres'!$Q$6:$Q$15,0)),"")))</f>
        <v/>
      </c>
      <c r="AP191" s="62">
        <f>IF(C191="","",IFERROR(INDEX('Saisie'!$AW$5:$AW$2004,_xlfn.MAXIFS('Saisie'!$AS$5:$AS$2004,'Saisie'!$C$5:$C$2004,C191,'Saisie'!$E$5:$E$2004,"Proposition envoyée")-4),""))</f>
        <v/>
      </c>
      <c r="AQ191" s="106">
        <f>IF(C191="","",IFERROR(1/(1/_xlfn.MAXIFS('Saisie'!$A$5:$A$2004,'Saisie'!$C$5:$C$2004,C191,'Saisie'!$E$5:$E$2004,"Proposition envoyée")),""))</f>
        <v/>
      </c>
      <c r="AR191" s="106">
        <f>IF(C191="","",IF(AQ191="","",AQ191+'Paramètres'!$B$26))</f>
        <v/>
      </c>
      <c r="AS191" s="62">
        <f>IF(OR(C191="",D191="Gagné",D191="Perdu"),0,N(AP191)*IFERROR(INDEX('Paramètres'!$G$6:$G$13,MATCH(D191,'Paramètres'!$F$6:$F$13,0)),0))</f>
        <v/>
      </c>
      <c r="AT191" s="106">
        <f>IF(C191="","",IFERROR(1/(1/_xlfn.MINIFS('Saisie'!$A$5:$A$2004,'Saisie'!$C$5:$C$2004,C191,'Saisie'!$E$5:$E$2004,"Signature")),""))</f>
        <v/>
      </c>
      <c r="AU191" s="60">
        <f>IF(C191="","",IF(OR(AT191="",B191=""),"",AT191-B191))</f>
        <v/>
      </c>
      <c r="AV191" s="60">
        <f>IF(C191="","",IFERROR(INDEX('Saisie'!$L$5:$L$2004,_xlfn.MAXIFS('Saisie'!$AS$5:$AS$2004,'Saisie'!$C$5:$C$2004,C191,'Saisie'!$L$5:$L$2004,"&lt;&gt;")-4),""))</f>
        <v/>
      </c>
      <c r="AW191" s="106">
        <f>IF(C191="","",IF(D191&lt;&gt;"Perdu","",IFERROR(1/(1/_xlfn.MAXIFS('Saisie'!$A$5:$A$2004,'Saisie'!$C$5:$C$2004,C191,'Saisie'!$E$5:$E$2004,"Perdu")),"")))</f>
        <v/>
      </c>
      <c r="AX191" s="106">
        <f>IF(C191="","",IF(AW191="","",AW191+'Paramètres'!$B$28))</f>
        <v/>
      </c>
      <c r="AY191" s="60">
        <f>IF(C191="","",SUMIFS('Saisie'!$H$5:$H$2004,'Saisie'!$C$5:$C$2004,C191))</f>
        <v/>
      </c>
      <c r="AZ191" s="60">
        <f>IF(C191="","",IFERROR(INDEX('Paramètres'!$W$6:$W$20,MATCH(S191,'Paramètres'!$V$6:$V$20,0))&amp;"",""))</f>
        <v/>
      </c>
      <c r="BA191" s="60">
        <f>IF(C191="","",MAX(1,_xlfn.MAXIFS('Saisie'!$AT$5:$AT$2004,'Saisie'!$C$5:$C$2004,C191)))</f>
        <v/>
      </c>
      <c r="BB191" s="60">
        <f>IF(C191="","",IFERROR(INDEX('Saisie'!$X$5:$X$2004,_xlfn.MAXIFS('Saisie'!$AS$5:$AS$2004,'Saisie'!$C$5:$C$2004,C191,'Saisie'!$X$5:$X$2004,"&lt;&gt;")-4),""))</f>
        <v/>
      </c>
      <c r="BC191" s="60">
        <f>IF(C191="","",IFERROR(INDEX('Saisie'!$Y$5:$Y$2004,_xlfn.MAXIFS('Saisie'!$AS$5:$AS$2004,'Saisie'!$C$5:$C$2004,C191,'Saisie'!$Y$5:$Y$2004,"&lt;&gt;")-4),""))</f>
        <v/>
      </c>
      <c r="BD191" s="106">
        <f>IF(C191="","",IFERROR(1/(1/_xlfn.MINIFS('Saisie'!$A$5:$A$2004,'Saisie'!$C$5:$C$2004,C191,'Saisie'!$AT$5:$AT$2004,"&gt;=2")),""))</f>
        <v/>
      </c>
      <c r="BE191" s="106">
        <f>IF(C191="","",IFERROR(1/(1/_xlfn.MINIFS('Saisie'!$A$5:$A$2004,'Saisie'!$C$5:$C$2004,C191,'Saisie'!$AT$5:$AT$2004,"&gt;=3")),""))</f>
        <v/>
      </c>
      <c r="BF191" s="106">
        <f>IF(C191="","",IFERROR(1/(1/_xlfn.MINIFS('Saisie'!$A$5:$A$2004,'Saisie'!$C$5:$C$2004,C191,'Saisie'!$AT$5:$AT$2004,"&gt;=4")),""))</f>
        <v/>
      </c>
      <c r="BG191" s="106">
        <f>IF(C191="","",IFERROR(1/(1/_xlfn.MINIFS('Saisie'!$A$5:$A$2004,'Saisie'!$C$5:$C$2004,C191,'Saisie'!$AT$5:$AT$2004,"&gt;=5")),""))</f>
        <v/>
      </c>
      <c r="BH191" s="106">
        <f>IF(C191="","",IFERROR(1/(1/_xlfn.MINIFS('Saisie'!$A$5:$A$2004,'Saisie'!$C$5:$C$2004,C191,'Saisie'!$AT$5:$AT$2004,"&gt;=6")),""))</f>
        <v/>
      </c>
      <c r="BI191" s="106">
        <f>IF(C191="","",IFERROR(1/(1/_xlfn.MINIFS('Saisie'!$A$5:$A$2004,'Saisie'!$C$5:$C$2004,C191,'Saisie'!$AT$5:$AT$2004,"&gt;=7")),""))</f>
        <v/>
      </c>
      <c r="BJ191" s="60">
        <f>IF(OR(BD191="",B191=""),"",BD191-B191)</f>
        <v/>
      </c>
      <c r="BK191" s="60">
        <f>IF(OR(BE191="",BD191=""),"",BE191-BD191)</f>
        <v/>
      </c>
      <c r="BL191" s="60">
        <f>IF(OR(BF191="",BE191=""),"",BF191-BE191)</f>
        <v/>
      </c>
      <c r="BM191" s="60">
        <f>IF(OR(BG191="",BF191=""),"",BG191-BF191)</f>
        <v/>
      </c>
      <c r="BN191" s="60">
        <f>IF(OR(BH191="",BG191=""),"",BH191-BG191)</f>
        <v/>
      </c>
      <c r="BO191" s="60">
        <f>IF(OR(BI191="",BH191=""),"",BI191-BH191)</f>
        <v/>
      </c>
      <c r="BP191" s="60">
        <f>IF(C191="","",_xlfn.MAXIFS('Saisie'!$AS$5:$AS$2004,'Saisie'!$C$5:$C$2004,C191,'Saisie'!$J$5:$J$2004,"&lt;&gt;"))</f>
        <v/>
      </c>
      <c r="BQ191" s="60">
        <f>IF(C191="","",_xlfn.MAXIFS('Saisie'!$AS$5:$AS$2004,'Saisie'!$C$5:$C$2004,C191))</f>
        <v/>
      </c>
      <c r="BR191" s="60">
        <f>IF(C191="","",_xlfn.MAXIFS('Saisie'!$AS$5:$AS$2004,'Saisie'!$C$5:$C$2004,C191,'Saisie'!$E$5:$E$2004,"Perdu"))</f>
        <v/>
      </c>
      <c r="BS191" s="60">
        <f>IF(C191="","",_xlfn.MAXIFS('Saisie'!$AS$5:$AS$2004,'Saisie'!$C$5:$C$2004,C191,'Saisie'!$AT$5:$AT$2004,"&gt;0"))</f>
        <v/>
      </c>
      <c r="BT191" s="109">
        <f>IF(AND(C191&lt;&gt;"",OR(D191="Nouveau",D191="Contacté",D191="Qualifié"),OR(G191="",N(G191)&lt;=TODAY()),NOT(AND(O191&gt;='Paramètres'!$B$21,P191=0))),E191+187/10000,"")</f>
        <v/>
      </c>
      <c r="BU191" s="60">
        <f>IF(AND(G191&lt;&gt;"",N(G191)&lt;=TODAY()),MAX($BU$4:BU190)+1,"")</f>
        <v/>
      </c>
      <c r="BV191" s="60">
        <f>IF(AND(F191&lt;&gt;"",F191&lt;&gt;"Relance en retard"),MAX($BV$4:BV190)+1,"")</f>
        <v/>
      </c>
      <c r="BW191" s="60">
        <f>IF(C191="","",IF(AND(B191&gt;='Tableau de bord'!$R$4,B191&lt;='Tableau de bord'!$S$4,OR('Tableau de bord'!$G$4="Tous",N191='Tableau de bord'!$G$4)),1,0))</f>
        <v/>
      </c>
      <c r="BX191" s="60">
        <f>IF(AND(C191&lt;&gt;"",N(BA191)=7),MAX($BX$4:BX190)+1,"")</f>
        <v/>
      </c>
    </row>
    <row r="192">
      <c r="A192" s="60">
        <f>IF(C192="","","P-"&amp;TEXT(188,"000"))</f>
        <v/>
      </c>
      <c r="B192" s="106">
        <f>IF(C192="","",IFERROR(1/(1/_xlfn.MINIFS('Saisie'!$A$5:$A$2004,'Saisie'!$C$5:$C$2004,C192)),""))</f>
        <v/>
      </c>
      <c r="C192" s="60">
        <f>IFERROR(INDEX('Saisie'!$C$5:$C$2004,MATCH(188,'Saisie'!$AX$5:$AX$2004,0)),"")</f>
        <v/>
      </c>
      <c r="D192" s="60">
        <f>IF(C192="","",IF(AND(BR192&gt;0,BR192&gt;BS192,BA192&lt;7),"Perdu",INDEX('Paramètres'!$F$6:$F$13,BA192)))</f>
        <v/>
      </c>
      <c r="E192" s="61">
        <f>IF(C192="","",MIN(100,(Z192="Oui")*'Paramètres'!$B$38+(AB192="Régulière")*'Paramètres'!$B$39+IF(AND(N(AA192)&gt;0,TODAY()-N(AA192)&lt;=30),'Paramètres'!$B$40,0)+(W192="")*'Paramètres'!$B$41+(AC192="Absente")*'Paramètres'!$B$42+(AC192="Faible")*'Paramètres'!$B$43+IF(AND(N(AD192)&gt;0,N(AD192)&lt;4),'Paramètres'!$B$44,0)+(AF192="Moyenne")*'Paramètres'!$B$45+(AF192="Grande")*'Paramètres'!$B$46+(Y192&lt;&gt;"")*'Paramètres'!$B$47))</f>
        <v/>
      </c>
      <c r="F192" s="60">
        <f>IF(C192="","",IF(D192="Gagné","",IF(D192="Perdu",IF(AND(AX192&lt;&gt;"",AX192&lt;=TODAY()),"À recontacter (perdu)",""),IF(AND(O192&gt;='Paramètres'!$B$21,P192=0),"Stop : "&amp;'Paramètres'!$B$21&amp;" tentatives sans réponse",IF(AND(D192="Proposition",AR192&lt;&gt;"",TODAY()&gt;N(AR192)),"Proposition expirée",IF(AND(D192="Proposition",N(R192)&gt;='Paramètres'!$B$25),"Proposition sans réponse",IF(AND(G192&lt;&gt;"",N(G192)&lt;TODAY()),"Relance en retard",IF(N(R192)&gt;='Paramètres'!$B$24,"Sans action depuis "&amp;R192&amp;" j",""))))))))</f>
        <v/>
      </c>
      <c r="G192" s="106">
        <f>IF(OR(C192="",D192="Gagné",D192="Perdu"),"",IF(AND(BP192&gt;0,BP192=BQ192),INDEX('Saisie'!$J$5:$J$2004,BP192-4),IF(OR(O192=0,AND(O192&gt;='Paramètres'!$B$21,P192=0)),"",Q192+IF(O192&lt;=1,'Paramètres'!$B$18,IF(O192=2,'Paramètres'!$B$19,'Paramètres'!$B$20)))))</f>
        <v/>
      </c>
      <c r="H192" s="107">
        <f>IF(OR(G192="",BP192&lt;&gt;BQ192),"",IF(INDEX('Saisie'!$K$5:$K$2004,BP192-4)="","",INDEX('Saisie'!$K$5:$K$2004,BP192-4)))</f>
        <v/>
      </c>
      <c r="I192" s="60">
        <f>IF(C192="","",IF(OR(D192="Gagné",D192="Perdu"),"",IFERROR(INDEX('Saisie'!$I$5:$I$2004,_xlfn.MAXIFS('Saisie'!$AS$5:$AS$2004,'Saisie'!$C$5:$C$2004,C192,'Saisie'!$I$5:$I$2004,"&lt;&gt;")-4),"")))</f>
        <v/>
      </c>
      <c r="J192" s="60">
        <f>IF(C192="","",IFERROR(INDEX('Saisie'!$U$5:$U$2004,_xlfn.MAXIFS('Saisie'!$AS$5:$AS$2004,'Saisie'!$C$5:$C$2004,C192,'Saisie'!$U$5:$U$2004,"&lt;&gt;")-4),""))</f>
        <v/>
      </c>
      <c r="K192" s="60">
        <f>IF(C192="","",IFERROR(INDEX('Saisie'!$W$5:$W$2004,_xlfn.MAXIFS('Saisie'!$AS$5:$AS$2004,'Saisie'!$C$5:$C$2004,C192,'Saisie'!$W$5:$W$2004,"&lt;&gt;")-4),""))</f>
        <v/>
      </c>
      <c r="L192" s="60">
        <f>IF(IF(BB192&lt;&gt;"",BB192,K192)="","",HYPERLINK("https://wa.me/"&amp;IF(LEFT(SUBSTITUTE(SUBSTITUTE(SUBSTITUTE(IF(BB192&lt;&gt;"",BB192,K192)," ",""),".",""),"+",""),1)="0",'Paramètres'!$B$35&amp;MID(SUBSTITUTE(SUBSTITUTE(SUBSTITUTE(IF(BB192&lt;&gt;"",BB192,K192)," ",""),".",""),"+",""),2,20),SUBSTITUTE(SUBSTITUTE(SUBSTITUTE(IF(BB192&lt;&gt;"",BB192,K192)," ",""),".",""),"+","")),"WhatsApp"))</f>
        <v/>
      </c>
      <c r="M192" s="60">
        <f>IF(BC192="","",HYPERLINK(IF(LEFT(BC192,4)="http",BC192,"https://www.instagram.com/"&amp;SUBSTITUTE(SUBSTITUTE(BC192,"@","")," ","")),BC192))</f>
        <v/>
      </c>
      <c r="N192" s="60">
        <f>IF(C192="","",IFERROR(INDEX('Saisie'!$D$5:$D$2004,_xlfn.MINIFS('Saisie'!$AS$5:$AS$2004,'Saisie'!$C$5:$C$2004,C192,'Saisie'!$AU$5:$AU$2004,1)-4),IFERROR(INDEX('Saisie'!$D$5:$D$2004,_xlfn.MINIFS('Saisie'!$AS$5:$AS$2004,'Saisie'!$C$5:$C$2004,C192,'Saisie'!$D$5:$D$2004,"&lt;&gt;")-4),"")))</f>
        <v/>
      </c>
      <c r="O192" s="60">
        <f>IF(C192="","",COUNTIFS('Saisie'!$C$5:$C$2004,C192,'Saisie'!$AU$5:$AU$2004,1))</f>
        <v/>
      </c>
      <c r="P192" s="60">
        <f>IF(C192="","",COUNTIFS('Saisie'!$C$5:$C$2004,C192,'Saisie'!$AV$5:$AV$2004,1))</f>
        <v/>
      </c>
      <c r="Q192" s="106">
        <f>IF(C192="","",IFERROR(1/(1/_xlfn.MAXIFS('Saisie'!$A$5:$A$2004,'Saisie'!$C$5:$C$2004,C192)),""))</f>
        <v/>
      </c>
      <c r="R192" s="61">
        <f>IF(C192="","",IF(Q192="","",TODAY()-Q192))</f>
        <v/>
      </c>
      <c r="S192" s="60">
        <f>IF(C192="","",IFERROR(INDEX('Saisie'!$R$5:$R$2004,_xlfn.MAXIFS('Saisie'!$AS$5:$AS$2004,'Saisie'!$C$5:$C$2004,C192,'Saisie'!$R$5:$R$2004,"&lt;&gt;")-4),""))</f>
        <v/>
      </c>
      <c r="T192" s="60">
        <f>IF(C192="","",IFERROR(INDEX('Saisie'!$S$5:$S$2004,_xlfn.MAXIFS('Saisie'!$AS$5:$AS$2004,'Saisie'!$C$5:$C$2004,C192,'Saisie'!$S$5:$S$2004,"&lt;&gt;")-4),""))</f>
        <v/>
      </c>
      <c r="U192" s="60">
        <f>IF(C192="","",IFERROR(INDEX('Saisie'!$T$5:$T$2004,_xlfn.MAXIFS('Saisie'!$AS$5:$AS$2004,'Saisie'!$C$5:$C$2004,C192,'Saisie'!$T$5:$T$2004,"&lt;&gt;")-4),""))</f>
        <v/>
      </c>
      <c r="V192" s="60">
        <f>IF(C192="","",IFERROR(INDEX('Saisie'!$V$5:$V$2004,_xlfn.MAXIFS('Saisie'!$AS$5:$AS$2004,'Saisie'!$C$5:$C$2004,C192,'Saisie'!$V$5:$V$2004,"&lt;&gt;")-4),""))</f>
        <v/>
      </c>
      <c r="W192" s="60">
        <f>IF(C192="","",IFERROR(INDEX('Saisie'!$Z$5:$Z$2004,_xlfn.MAXIFS('Saisie'!$AS$5:$AS$2004,'Saisie'!$C$5:$C$2004,C192,'Saisie'!$Z$5:$Z$2004,"&lt;&gt;")-4),""))</f>
        <v/>
      </c>
      <c r="X192" s="60">
        <f>IF(C192="","",IFERROR(INDEX('Saisie'!$AA$5:$AA$2004,_xlfn.MAXIFS('Saisie'!$AS$5:$AS$2004,'Saisie'!$C$5:$C$2004,C192,'Saisie'!$AA$5:$AA$2004,"&lt;&gt;")-4),""))</f>
        <v/>
      </c>
      <c r="Y192" s="60">
        <f>IF(C192="","",IFERROR(INDEX('Saisie'!$AB$5:$AB$2004,_xlfn.MAXIFS('Saisie'!$AS$5:$AS$2004,'Saisie'!$C$5:$C$2004,C192,'Saisie'!$AB$5:$AB$2004,"&lt;&gt;")-4),""))</f>
        <v/>
      </c>
      <c r="Z192" s="60">
        <f>IF(C192="","",IFERROR(INDEX('Saisie'!$AC$5:$AC$2004,_xlfn.MAXIFS('Saisie'!$AS$5:$AS$2004,'Saisie'!$C$5:$C$2004,C192,'Saisie'!$AC$5:$AC$2004,"&lt;&gt;")-4),""))</f>
        <v/>
      </c>
      <c r="AA192" s="106">
        <f>IF(C192="","",IFERROR(INDEX('Saisie'!$AD$5:$AD$2004,_xlfn.MAXIFS('Saisie'!$AS$5:$AS$2004,'Saisie'!$C$5:$C$2004,C192,'Saisie'!$AD$5:$AD$2004,"&lt;&gt;")-4),""))</f>
        <v/>
      </c>
      <c r="AB192" s="60">
        <f>IF(C192="","",IFERROR(INDEX('Saisie'!$AE$5:$AE$2004,_xlfn.MAXIFS('Saisie'!$AS$5:$AS$2004,'Saisie'!$C$5:$C$2004,C192,'Saisie'!$AE$5:$AE$2004,"&lt;&gt;")-4),""))</f>
        <v/>
      </c>
      <c r="AC192" s="60">
        <f>IF(C192="","",IFERROR(INDEX('Saisie'!$AF$5:$AF$2004,_xlfn.MAXIFS('Saisie'!$AS$5:$AS$2004,'Saisie'!$C$5:$C$2004,C192,'Saisie'!$AF$5:$AF$2004,"&lt;&gt;")-4),""))</f>
        <v/>
      </c>
      <c r="AD192" s="108">
        <f>IF(C192="","",IFERROR(INDEX('Saisie'!$AG$5:$AG$2004,_xlfn.MAXIFS('Saisie'!$AS$5:$AS$2004,'Saisie'!$C$5:$C$2004,C192,'Saisie'!$AG$5:$AG$2004,"&lt;&gt;")-4),""))</f>
        <v/>
      </c>
      <c r="AE192" s="60">
        <f>IF(C192="","",IFERROR(INDEX('Saisie'!$AH$5:$AH$2004,_xlfn.MAXIFS('Saisie'!$AS$5:$AS$2004,'Saisie'!$C$5:$C$2004,C192,'Saisie'!$AH$5:$AH$2004,"&lt;&gt;")-4),""))</f>
        <v/>
      </c>
      <c r="AF192" s="60">
        <f>IF(C192="","",IFERROR(INDEX('Saisie'!$AI$5:$AI$2004,_xlfn.MAXIFS('Saisie'!$AS$5:$AS$2004,'Saisie'!$C$5:$C$2004,C192,'Saisie'!$AI$5:$AI$2004,"&lt;&gt;")-4),""))</f>
        <v/>
      </c>
      <c r="AG192" s="60">
        <f>IF(C192="","",IFERROR(INDEX('Saisie'!$AJ$5:$AJ$2004,_xlfn.MAXIFS('Saisie'!$AS$5:$AS$2004,'Saisie'!$C$5:$C$2004,C192,'Saisie'!$AJ$5:$AJ$2004,"&lt;&gt;")-4),""))</f>
        <v/>
      </c>
      <c r="AH192" s="60">
        <f>IF(C192="","",IFERROR(INDEX('Saisie'!$AK$5:$AK$2004,_xlfn.MAXIFS('Saisie'!$AS$5:$AS$2004,'Saisie'!$C$5:$C$2004,C192,'Saisie'!$AK$5:$AK$2004,"&lt;&gt;")-4),""))</f>
        <v/>
      </c>
      <c r="AI192" s="60">
        <f>IF(C192="","",IFERROR(INDEX('Saisie'!$AN$5:$AN$2004,_xlfn.MAXIFS('Saisie'!$AS$5:$AS$2004,'Saisie'!$C$5:$C$2004,C192,'Saisie'!$AN$5:$AN$2004,"&lt;&gt;")-4),""))</f>
        <v/>
      </c>
      <c r="AJ192" s="60">
        <f>IF(C192="","",IFERROR(INDEX('Saisie'!$AO$5:$AO$2004,_xlfn.MAXIFS('Saisie'!$AS$5:$AS$2004,'Saisie'!$C$5:$C$2004,C192,'Saisie'!$AO$5:$AO$2004,"&lt;&gt;")-4),""))</f>
        <v/>
      </c>
      <c r="AK192" s="60">
        <f>IF(C192="","",IFERROR(INDEX('Saisie'!$AP$5:$AP$2004,_xlfn.MAXIFS('Saisie'!$AS$5:$AS$2004,'Saisie'!$C$5:$C$2004,C192,'Saisie'!$AP$5:$AP$2004,"&lt;&gt;")-4),""))</f>
        <v/>
      </c>
      <c r="AL192" s="60">
        <f>IF(C192="","",IFERROR(INDEX('Saisie'!$AQ$5:$AQ$2004,_xlfn.MAXIFS('Saisie'!$AS$5:$AS$2004,'Saisie'!$C$5:$C$2004,C192,'Saisie'!$AQ$5:$AQ$2004,"&lt;&gt;")-4),""))</f>
        <v/>
      </c>
      <c r="AM192" s="60">
        <f>IF(C192="","",((AI192="Oui")+(AJ192="Oui")+(AK192="Oui")+OR(AL192="Immédiat",AL192="&lt; 1 mois"))&amp;"/4")</f>
        <v/>
      </c>
      <c r="AN192" s="60">
        <f>IF(C192="","",IFERROR(INDEX('Saisie'!$AL$5:$AL$2004,_xlfn.MAXIFS('Saisie'!$AS$5:$AS$2004,'Saisie'!$C$5:$C$2004,C192,'Saisie'!$AL$5:$AL$2004,"&lt;&gt;")-4),""))</f>
        <v/>
      </c>
      <c r="AO192" s="62">
        <f>IF(C192="","",IF(IFERROR(INDEX('Saisie'!$AM$5:$AM$2004,_xlfn.MAXIFS('Saisie'!$AS$5:$AS$2004,'Saisie'!$C$5:$C$2004,C192,'Saisie'!$AM$5:$AM$2004,"&lt;&gt;")-4),"")&lt;&gt;"",IFERROR(INDEX('Saisie'!$AM$5:$AM$2004,_xlfn.MAXIFS('Saisie'!$AS$5:$AS$2004,'Saisie'!$C$5:$C$2004,C192,'Saisie'!$AM$5:$AM$2004,"&lt;&gt;")-4),""),IFERROR(INDEX('Paramètres'!$S$6:$S$15,MATCH(AN192,'Paramètres'!$Q$6:$Q$15,0)),"")))</f>
        <v/>
      </c>
      <c r="AP192" s="62">
        <f>IF(C192="","",IFERROR(INDEX('Saisie'!$AW$5:$AW$2004,_xlfn.MAXIFS('Saisie'!$AS$5:$AS$2004,'Saisie'!$C$5:$C$2004,C192,'Saisie'!$E$5:$E$2004,"Proposition envoyée")-4),""))</f>
        <v/>
      </c>
      <c r="AQ192" s="106">
        <f>IF(C192="","",IFERROR(1/(1/_xlfn.MAXIFS('Saisie'!$A$5:$A$2004,'Saisie'!$C$5:$C$2004,C192,'Saisie'!$E$5:$E$2004,"Proposition envoyée")),""))</f>
        <v/>
      </c>
      <c r="AR192" s="106">
        <f>IF(C192="","",IF(AQ192="","",AQ192+'Paramètres'!$B$26))</f>
        <v/>
      </c>
      <c r="AS192" s="62">
        <f>IF(OR(C192="",D192="Gagné",D192="Perdu"),0,N(AP192)*IFERROR(INDEX('Paramètres'!$G$6:$G$13,MATCH(D192,'Paramètres'!$F$6:$F$13,0)),0))</f>
        <v/>
      </c>
      <c r="AT192" s="106">
        <f>IF(C192="","",IFERROR(1/(1/_xlfn.MINIFS('Saisie'!$A$5:$A$2004,'Saisie'!$C$5:$C$2004,C192,'Saisie'!$E$5:$E$2004,"Signature")),""))</f>
        <v/>
      </c>
      <c r="AU192" s="60">
        <f>IF(C192="","",IF(OR(AT192="",B192=""),"",AT192-B192))</f>
        <v/>
      </c>
      <c r="AV192" s="60">
        <f>IF(C192="","",IFERROR(INDEX('Saisie'!$L$5:$L$2004,_xlfn.MAXIFS('Saisie'!$AS$5:$AS$2004,'Saisie'!$C$5:$C$2004,C192,'Saisie'!$L$5:$L$2004,"&lt;&gt;")-4),""))</f>
        <v/>
      </c>
      <c r="AW192" s="106">
        <f>IF(C192="","",IF(D192&lt;&gt;"Perdu","",IFERROR(1/(1/_xlfn.MAXIFS('Saisie'!$A$5:$A$2004,'Saisie'!$C$5:$C$2004,C192,'Saisie'!$E$5:$E$2004,"Perdu")),"")))</f>
        <v/>
      </c>
      <c r="AX192" s="106">
        <f>IF(C192="","",IF(AW192="","",AW192+'Paramètres'!$B$28))</f>
        <v/>
      </c>
      <c r="AY192" s="60">
        <f>IF(C192="","",SUMIFS('Saisie'!$H$5:$H$2004,'Saisie'!$C$5:$C$2004,C192))</f>
        <v/>
      </c>
      <c r="AZ192" s="60">
        <f>IF(C192="","",IFERROR(INDEX('Paramètres'!$W$6:$W$20,MATCH(S192,'Paramètres'!$V$6:$V$20,0))&amp;"",""))</f>
        <v/>
      </c>
      <c r="BA192" s="60">
        <f>IF(C192="","",MAX(1,_xlfn.MAXIFS('Saisie'!$AT$5:$AT$2004,'Saisie'!$C$5:$C$2004,C192)))</f>
        <v/>
      </c>
      <c r="BB192" s="60">
        <f>IF(C192="","",IFERROR(INDEX('Saisie'!$X$5:$X$2004,_xlfn.MAXIFS('Saisie'!$AS$5:$AS$2004,'Saisie'!$C$5:$C$2004,C192,'Saisie'!$X$5:$X$2004,"&lt;&gt;")-4),""))</f>
        <v/>
      </c>
      <c r="BC192" s="60">
        <f>IF(C192="","",IFERROR(INDEX('Saisie'!$Y$5:$Y$2004,_xlfn.MAXIFS('Saisie'!$AS$5:$AS$2004,'Saisie'!$C$5:$C$2004,C192,'Saisie'!$Y$5:$Y$2004,"&lt;&gt;")-4),""))</f>
        <v/>
      </c>
      <c r="BD192" s="106">
        <f>IF(C192="","",IFERROR(1/(1/_xlfn.MINIFS('Saisie'!$A$5:$A$2004,'Saisie'!$C$5:$C$2004,C192,'Saisie'!$AT$5:$AT$2004,"&gt;=2")),""))</f>
        <v/>
      </c>
      <c r="BE192" s="106">
        <f>IF(C192="","",IFERROR(1/(1/_xlfn.MINIFS('Saisie'!$A$5:$A$2004,'Saisie'!$C$5:$C$2004,C192,'Saisie'!$AT$5:$AT$2004,"&gt;=3")),""))</f>
        <v/>
      </c>
      <c r="BF192" s="106">
        <f>IF(C192="","",IFERROR(1/(1/_xlfn.MINIFS('Saisie'!$A$5:$A$2004,'Saisie'!$C$5:$C$2004,C192,'Saisie'!$AT$5:$AT$2004,"&gt;=4")),""))</f>
        <v/>
      </c>
      <c r="BG192" s="106">
        <f>IF(C192="","",IFERROR(1/(1/_xlfn.MINIFS('Saisie'!$A$5:$A$2004,'Saisie'!$C$5:$C$2004,C192,'Saisie'!$AT$5:$AT$2004,"&gt;=5")),""))</f>
        <v/>
      </c>
      <c r="BH192" s="106">
        <f>IF(C192="","",IFERROR(1/(1/_xlfn.MINIFS('Saisie'!$A$5:$A$2004,'Saisie'!$C$5:$C$2004,C192,'Saisie'!$AT$5:$AT$2004,"&gt;=6")),""))</f>
        <v/>
      </c>
      <c r="BI192" s="106">
        <f>IF(C192="","",IFERROR(1/(1/_xlfn.MINIFS('Saisie'!$A$5:$A$2004,'Saisie'!$C$5:$C$2004,C192,'Saisie'!$AT$5:$AT$2004,"&gt;=7")),""))</f>
        <v/>
      </c>
      <c r="BJ192" s="60">
        <f>IF(OR(BD192="",B192=""),"",BD192-B192)</f>
        <v/>
      </c>
      <c r="BK192" s="60">
        <f>IF(OR(BE192="",BD192=""),"",BE192-BD192)</f>
        <v/>
      </c>
      <c r="BL192" s="60">
        <f>IF(OR(BF192="",BE192=""),"",BF192-BE192)</f>
        <v/>
      </c>
      <c r="BM192" s="60">
        <f>IF(OR(BG192="",BF192=""),"",BG192-BF192)</f>
        <v/>
      </c>
      <c r="BN192" s="60">
        <f>IF(OR(BH192="",BG192=""),"",BH192-BG192)</f>
        <v/>
      </c>
      <c r="BO192" s="60">
        <f>IF(OR(BI192="",BH192=""),"",BI192-BH192)</f>
        <v/>
      </c>
      <c r="BP192" s="60">
        <f>IF(C192="","",_xlfn.MAXIFS('Saisie'!$AS$5:$AS$2004,'Saisie'!$C$5:$C$2004,C192,'Saisie'!$J$5:$J$2004,"&lt;&gt;"))</f>
        <v/>
      </c>
      <c r="BQ192" s="60">
        <f>IF(C192="","",_xlfn.MAXIFS('Saisie'!$AS$5:$AS$2004,'Saisie'!$C$5:$C$2004,C192))</f>
        <v/>
      </c>
      <c r="BR192" s="60">
        <f>IF(C192="","",_xlfn.MAXIFS('Saisie'!$AS$5:$AS$2004,'Saisie'!$C$5:$C$2004,C192,'Saisie'!$E$5:$E$2004,"Perdu"))</f>
        <v/>
      </c>
      <c r="BS192" s="60">
        <f>IF(C192="","",_xlfn.MAXIFS('Saisie'!$AS$5:$AS$2004,'Saisie'!$C$5:$C$2004,C192,'Saisie'!$AT$5:$AT$2004,"&gt;0"))</f>
        <v/>
      </c>
      <c r="BT192" s="109">
        <f>IF(AND(C192&lt;&gt;"",OR(D192="Nouveau",D192="Contacté",D192="Qualifié"),OR(G192="",N(G192)&lt;=TODAY()),NOT(AND(O192&gt;='Paramètres'!$B$21,P192=0))),E192+188/10000,"")</f>
        <v/>
      </c>
      <c r="BU192" s="60">
        <f>IF(AND(G192&lt;&gt;"",N(G192)&lt;=TODAY()),MAX($BU$4:BU191)+1,"")</f>
        <v/>
      </c>
      <c r="BV192" s="60">
        <f>IF(AND(F192&lt;&gt;"",F192&lt;&gt;"Relance en retard"),MAX($BV$4:BV191)+1,"")</f>
        <v/>
      </c>
      <c r="BW192" s="60">
        <f>IF(C192="","",IF(AND(B192&gt;='Tableau de bord'!$R$4,B192&lt;='Tableau de bord'!$S$4,OR('Tableau de bord'!$G$4="Tous",N192='Tableau de bord'!$G$4)),1,0))</f>
        <v/>
      </c>
      <c r="BX192" s="60">
        <f>IF(AND(C192&lt;&gt;"",N(BA192)=7),MAX($BX$4:BX191)+1,"")</f>
        <v/>
      </c>
    </row>
    <row r="193">
      <c r="A193" s="60">
        <f>IF(C193="","","P-"&amp;TEXT(189,"000"))</f>
        <v/>
      </c>
      <c r="B193" s="106">
        <f>IF(C193="","",IFERROR(1/(1/_xlfn.MINIFS('Saisie'!$A$5:$A$2004,'Saisie'!$C$5:$C$2004,C193)),""))</f>
        <v/>
      </c>
      <c r="C193" s="60">
        <f>IFERROR(INDEX('Saisie'!$C$5:$C$2004,MATCH(189,'Saisie'!$AX$5:$AX$2004,0)),"")</f>
        <v/>
      </c>
      <c r="D193" s="60">
        <f>IF(C193="","",IF(AND(BR193&gt;0,BR193&gt;BS193,BA193&lt;7),"Perdu",INDEX('Paramètres'!$F$6:$F$13,BA193)))</f>
        <v/>
      </c>
      <c r="E193" s="61">
        <f>IF(C193="","",MIN(100,(Z193="Oui")*'Paramètres'!$B$38+(AB193="Régulière")*'Paramètres'!$B$39+IF(AND(N(AA193)&gt;0,TODAY()-N(AA193)&lt;=30),'Paramètres'!$B$40,0)+(W193="")*'Paramètres'!$B$41+(AC193="Absente")*'Paramètres'!$B$42+(AC193="Faible")*'Paramètres'!$B$43+IF(AND(N(AD193)&gt;0,N(AD193)&lt;4),'Paramètres'!$B$44,0)+(AF193="Moyenne")*'Paramètres'!$B$45+(AF193="Grande")*'Paramètres'!$B$46+(Y193&lt;&gt;"")*'Paramètres'!$B$47))</f>
        <v/>
      </c>
      <c r="F193" s="60">
        <f>IF(C193="","",IF(D193="Gagné","",IF(D193="Perdu",IF(AND(AX193&lt;&gt;"",AX193&lt;=TODAY()),"À recontacter (perdu)",""),IF(AND(O193&gt;='Paramètres'!$B$21,P193=0),"Stop : "&amp;'Paramètres'!$B$21&amp;" tentatives sans réponse",IF(AND(D193="Proposition",AR193&lt;&gt;"",TODAY()&gt;N(AR193)),"Proposition expirée",IF(AND(D193="Proposition",N(R193)&gt;='Paramètres'!$B$25),"Proposition sans réponse",IF(AND(G193&lt;&gt;"",N(G193)&lt;TODAY()),"Relance en retard",IF(N(R193)&gt;='Paramètres'!$B$24,"Sans action depuis "&amp;R193&amp;" j",""))))))))</f>
        <v/>
      </c>
      <c r="G193" s="106">
        <f>IF(OR(C193="",D193="Gagné",D193="Perdu"),"",IF(AND(BP193&gt;0,BP193=BQ193),INDEX('Saisie'!$J$5:$J$2004,BP193-4),IF(OR(O193=0,AND(O193&gt;='Paramètres'!$B$21,P193=0)),"",Q193+IF(O193&lt;=1,'Paramètres'!$B$18,IF(O193=2,'Paramètres'!$B$19,'Paramètres'!$B$20)))))</f>
        <v/>
      </c>
      <c r="H193" s="107">
        <f>IF(OR(G193="",BP193&lt;&gt;BQ193),"",IF(INDEX('Saisie'!$K$5:$K$2004,BP193-4)="","",INDEX('Saisie'!$K$5:$K$2004,BP193-4)))</f>
        <v/>
      </c>
      <c r="I193" s="60">
        <f>IF(C193="","",IF(OR(D193="Gagné",D193="Perdu"),"",IFERROR(INDEX('Saisie'!$I$5:$I$2004,_xlfn.MAXIFS('Saisie'!$AS$5:$AS$2004,'Saisie'!$C$5:$C$2004,C193,'Saisie'!$I$5:$I$2004,"&lt;&gt;")-4),"")))</f>
        <v/>
      </c>
      <c r="J193" s="60">
        <f>IF(C193="","",IFERROR(INDEX('Saisie'!$U$5:$U$2004,_xlfn.MAXIFS('Saisie'!$AS$5:$AS$2004,'Saisie'!$C$5:$C$2004,C193,'Saisie'!$U$5:$U$2004,"&lt;&gt;")-4),""))</f>
        <v/>
      </c>
      <c r="K193" s="60">
        <f>IF(C193="","",IFERROR(INDEX('Saisie'!$W$5:$W$2004,_xlfn.MAXIFS('Saisie'!$AS$5:$AS$2004,'Saisie'!$C$5:$C$2004,C193,'Saisie'!$W$5:$W$2004,"&lt;&gt;")-4),""))</f>
        <v/>
      </c>
      <c r="L193" s="60">
        <f>IF(IF(BB193&lt;&gt;"",BB193,K193)="","",HYPERLINK("https://wa.me/"&amp;IF(LEFT(SUBSTITUTE(SUBSTITUTE(SUBSTITUTE(IF(BB193&lt;&gt;"",BB193,K193)," ",""),".",""),"+",""),1)="0",'Paramètres'!$B$35&amp;MID(SUBSTITUTE(SUBSTITUTE(SUBSTITUTE(IF(BB193&lt;&gt;"",BB193,K193)," ",""),".",""),"+",""),2,20),SUBSTITUTE(SUBSTITUTE(SUBSTITUTE(IF(BB193&lt;&gt;"",BB193,K193)," ",""),".",""),"+","")),"WhatsApp"))</f>
        <v/>
      </c>
      <c r="M193" s="60">
        <f>IF(BC193="","",HYPERLINK(IF(LEFT(BC193,4)="http",BC193,"https://www.instagram.com/"&amp;SUBSTITUTE(SUBSTITUTE(BC193,"@","")," ","")),BC193))</f>
        <v/>
      </c>
      <c r="N193" s="60">
        <f>IF(C193="","",IFERROR(INDEX('Saisie'!$D$5:$D$2004,_xlfn.MINIFS('Saisie'!$AS$5:$AS$2004,'Saisie'!$C$5:$C$2004,C193,'Saisie'!$AU$5:$AU$2004,1)-4),IFERROR(INDEX('Saisie'!$D$5:$D$2004,_xlfn.MINIFS('Saisie'!$AS$5:$AS$2004,'Saisie'!$C$5:$C$2004,C193,'Saisie'!$D$5:$D$2004,"&lt;&gt;")-4),"")))</f>
        <v/>
      </c>
      <c r="O193" s="60">
        <f>IF(C193="","",COUNTIFS('Saisie'!$C$5:$C$2004,C193,'Saisie'!$AU$5:$AU$2004,1))</f>
        <v/>
      </c>
      <c r="P193" s="60">
        <f>IF(C193="","",COUNTIFS('Saisie'!$C$5:$C$2004,C193,'Saisie'!$AV$5:$AV$2004,1))</f>
        <v/>
      </c>
      <c r="Q193" s="106">
        <f>IF(C193="","",IFERROR(1/(1/_xlfn.MAXIFS('Saisie'!$A$5:$A$2004,'Saisie'!$C$5:$C$2004,C193)),""))</f>
        <v/>
      </c>
      <c r="R193" s="61">
        <f>IF(C193="","",IF(Q193="","",TODAY()-Q193))</f>
        <v/>
      </c>
      <c r="S193" s="60">
        <f>IF(C193="","",IFERROR(INDEX('Saisie'!$R$5:$R$2004,_xlfn.MAXIFS('Saisie'!$AS$5:$AS$2004,'Saisie'!$C$5:$C$2004,C193,'Saisie'!$R$5:$R$2004,"&lt;&gt;")-4),""))</f>
        <v/>
      </c>
      <c r="T193" s="60">
        <f>IF(C193="","",IFERROR(INDEX('Saisie'!$S$5:$S$2004,_xlfn.MAXIFS('Saisie'!$AS$5:$AS$2004,'Saisie'!$C$5:$C$2004,C193,'Saisie'!$S$5:$S$2004,"&lt;&gt;")-4),""))</f>
        <v/>
      </c>
      <c r="U193" s="60">
        <f>IF(C193="","",IFERROR(INDEX('Saisie'!$T$5:$T$2004,_xlfn.MAXIFS('Saisie'!$AS$5:$AS$2004,'Saisie'!$C$5:$C$2004,C193,'Saisie'!$T$5:$T$2004,"&lt;&gt;")-4),""))</f>
        <v/>
      </c>
      <c r="V193" s="60">
        <f>IF(C193="","",IFERROR(INDEX('Saisie'!$V$5:$V$2004,_xlfn.MAXIFS('Saisie'!$AS$5:$AS$2004,'Saisie'!$C$5:$C$2004,C193,'Saisie'!$V$5:$V$2004,"&lt;&gt;")-4),""))</f>
        <v/>
      </c>
      <c r="W193" s="60">
        <f>IF(C193="","",IFERROR(INDEX('Saisie'!$Z$5:$Z$2004,_xlfn.MAXIFS('Saisie'!$AS$5:$AS$2004,'Saisie'!$C$5:$C$2004,C193,'Saisie'!$Z$5:$Z$2004,"&lt;&gt;")-4),""))</f>
        <v/>
      </c>
      <c r="X193" s="60">
        <f>IF(C193="","",IFERROR(INDEX('Saisie'!$AA$5:$AA$2004,_xlfn.MAXIFS('Saisie'!$AS$5:$AS$2004,'Saisie'!$C$5:$C$2004,C193,'Saisie'!$AA$5:$AA$2004,"&lt;&gt;")-4),""))</f>
        <v/>
      </c>
      <c r="Y193" s="60">
        <f>IF(C193="","",IFERROR(INDEX('Saisie'!$AB$5:$AB$2004,_xlfn.MAXIFS('Saisie'!$AS$5:$AS$2004,'Saisie'!$C$5:$C$2004,C193,'Saisie'!$AB$5:$AB$2004,"&lt;&gt;")-4),""))</f>
        <v/>
      </c>
      <c r="Z193" s="60">
        <f>IF(C193="","",IFERROR(INDEX('Saisie'!$AC$5:$AC$2004,_xlfn.MAXIFS('Saisie'!$AS$5:$AS$2004,'Saisie'!$C$5:$C$2004,C193,'Saisie'!$AC$5:$AC$2004,"&lt;&gt;")-4),""))</f>
        <v/>
      </c>
      <c r="AA193" s="106">
        <f>IF(C193="","",IFERROR(INDEX('Saisie'!$AD$5:$AD$2004,_xlfn.MAXIFS('Saisie'!$AS$5:$AS$2004,'Saisie'!$C$5:$C$2004,C193,'Saisie'!$AD$5:$AD$2004,"&lt;&gt;")-4),""))</f>
        <v/>
      </c>
      <c r="AB193" s="60">
        <f>IF(C193="","",IFERROR(INDEX('Saisie'!$AE$5:$AE$2004,_xlfn.MAXIFS('Saisie'!$AS$5:$AS$2004,'Saisie'!$C$5:$C$2004,C193,'Saisie'!$AE$5:$AE$2004,"&lt;&gt;")-4),""))</f>
        <v/>
      </c>
      <c r="AC193" s="60">
        <f>IF(C193="","",IFERROR(INDEX('Saisie'!$AF$5:$AF$2004,_xlfn.MAXIFS('Saisie'!$AS$5:$AS$2004,'Saisie'!$C$5:$C$2004,C193,'Saisie'!$AF$5:$AF$2004,"&lt;&gt;")-4),""))</f>
        <v/>
      </c>
      <c r="AD193" s="108">
        <f>IF(C193="","",IFERROR(INDEX('Saisie'!$AG$5:$AG$2004,_xlfn.MAXIFS('Saisie'!$AS$5:$AS$2004,'Saisie'!$C$5:$C$2004,C193,'Saisie'!$AG$5:$AG$2004,"&lt;&gt;")-4),""))</f>
        <v/>
      </c>
      <c r="AE193" s="60">
        <f>IF(C193="","",IFERROR(INDEX('Saisie'!$AH$5:$AH$2004,_xlfn.MAXIFS('Saisie'!$AS$5:$AS$2004,'Saisie'!$C$5:$C$2004,C193,'Saisie'!$AH$5:$AH$2004,"&lt;&gt;")-4),""))</f>
        <v/>
      </c>
      <c r="AF193" s="60">
        <f>IF(C193="","",IFERROR(INDEX('Saisie'!$AI$5:$AI$2004,_xlfn.MAXIFS('Saisie'!$AS$5:$AS$2004,'Saisie'!$C$5:$C$2004,C193,'Saisie'!$AI$5:$AI$2004,"&lt;&gt;")-4),""))</f>
        <v/>
      </c>
      <c r="AG193" s="60">
        <f>IF(C193="","",IFERROR(INDEX('Saisie'!$AJ$5:$AJ$2004,_xlfn.MAXIFS('Saisie'!$AS$5:$AS$2004,'Saisie'!$C$5:$C$2004,C193,'Saisie'!$AJ$5:$AJ$2004,"&lt;&gt;")-4),""))</f>
        <v/>
      </c>
      <c r="AH193" s="60">
        <f>IF(C193="","",IFERROR(INDEX('Saisie'!$AK$5:$AK$2004,_xlfn.MAXIFS('Saisie'!$AS$5:$AS$2004,'Saisie'!$C$5:$C$2004,C193,'Saisie'!$AK$5:$AK$2004,"&lt;&gt;")-4),""))</f>
        <v/>
      </c>
      <c r="AI193" s="60">
        <f>IF(C193="","",IFERROR(INDEX('Saisie'!$AN$5:$AN$2004,_xlfn.MAXIFS('Saisie'!$AS$5:$AS$2004,'Saisie'!$C$5:$C$2004,C193,'Saisie'!$AN$5:$AN$2004,"&lt;&gt;")-4),""))</f>
        <v/>
      </c>
      <c r="AJ193" s="60">
        <f>IF(C193="","",IFERROR(INDEX('Saisie'!$AO$5:$AO$2004,_xlfn.MAXIFS('Saisie'!$AS$5:$AS$2004,'Saisie'!$C$5:$C$2004,C193,'Saisie'!$AO$5:$AO$2004,"&lt;&gt;")-4),""))</f>
        <v/>
      </c>
      <c r="AK193" s="60">
        <f>IF(C193="","",IFERROR(INDEX('Saisie'!$AP$5:$AP$2004,_xlfn.MAXIFS('Saisie'!$AS$5:$AS$2004,'Saisie'!$C$5:$C$2004,C193,'Saisie'!$AP$5:$AP$2004,"&lt;&gt;")-4),""))</f>
        <v/>
      </c>
      <c r="AL193" s="60">
        <f>IF(C193="","",IFERROR(INDEX('Saisie'!$AQ$5:$AQ$2004,_xlfn.MAXIFS('Saisie'!$AS$5:$AS$2004,'Saisie'!$C$5:$C$2004,C193,'Saisie'!$AQ$5:$AQ$2004,"&lt;&gt;")-4),""))</f>
        <v/>
      </c>
      <c r="AM193" s="60">
        <f>IF(C193="","",((AI193="Oui")+(AJ193="Oui")+(AK193="Oui")+OR(AL193="Immédiat",AL193="&lt; 1 mois"))&amp;"/4")</f>
        <v/>
      </c>
      <c r="AN193" s="60">
        <f>IF(C193="","",IFERROR(INDEX('Saisie'!$AL$5:$AL$2004,_xlfn.MAXIFS('Saisie'!$AS$5:$AS$2004,'Saisie'!$C$5:$C$2004,C193,'Saisie'!$AL$5:$AL$2004,"&lt;&gt;")-4),""))</f>
        <v/>
      </c>
      <c r="AO193" s="62">
        <f>IF(C193="","",IF(IFERROR(INDEX('Saisie'!$AM$5:$AM$2004,_xlfn.MAXIFS('Saisie'!$AS$5:$AS$2004,'Saisie'!$C$5:$C$2004,C193,'Saisie'!$AM$5:$AM$2004,"&lt;&gt;")-4),"")&lt;&gt;"",IFERROR(INDEX('Saisie'!$AM$5:$AM$2004,_xlfn.MAXIFS('Saisie'!$AS$5:$AS$2004,'Saisie'!$C$5:$C$2004,C193,'Saisie'!$AM$5:$AM$2004,"&lt;&gt;")-4),""),IFERROR(INDEX('Paramètres'!$S$6:$S$15,MATCH(AN193,'Paramètres'!$Q$6:$Q$15,0)),"")))</f>
        <v/>
      </c>
      <c r="AP193" s="62">
        <f>IF(C193="","",IFERROR(INDEX('Saisie'!$AW$5:$AW$2004,_xlfn.MAXIFS('Saisie'!$AS$5:$AS$2004,'Saisie'!$C$5:$C$2004,C193,'Saisie'!$E$5:$E$2004,"Proposition envoyée")-4),""))</f>
        <v/>
      </c>
      <c r="AQ193" s="106">
        <f>IF(C193="","",IFERROR(1/(1/_xlfn.MAXIFS('Saisie'!$A$5:$A$2004,'Saisie'!$C$5:$C$2004,C193,'Saisie'!$E$5:$E$2004,"Proposition envoyée")),""))</f>
        <v/>
      </c>
      <c r="AR193" s="106">
        <f>IF(C193="","",IF(AQ193="","",AQ193+'Paramètres'!$B$26))</f>
        <v/>
      </c>
      <c r="AS193" s="62">
        <f>IF(OR(C193="",D193="Gagné",D193="Perdu"),0,N(AP193)*IFERROR(INDEX('Paramètres'!$G$6:$G$13,MATCH(D193,'Paramètres'!$F$6:$F$13,0)),0))</f>
        <v/>
      </c>
      <c r="AT193" s="106">
        <f>IF(C193="","",IFERROR(1/(1/_xlfn.MINIFS('Saisie'!$A$5:$A$2004,'Saisie'!$C$5:$C$2004,C193,'Saisie'!$E$5:$E$2004,"Signature")),""))</f>
        <v/>
      </c>
      <c r="AU193" s="60">
        <f>IF(C193="","",IF(OR(AT193="",B193=""),"",AT193-B193))</f>
        <v/>
      </c>
      <c r="AV193" s="60">
        <f>IF(C193="","",IFERROR(INDEX('Saisie'!$L$5:$L$2004,_xlfn.MAXIFS('Saisie'!$AS$5:$AS$2004,'Saisie'!$C$5:$C$2004,C193,'Saisie'!$L$5:$L$2004,"&lt;&gt;")-4),""))</f>
        <v/>
      </c>
      <c r="AW193" s="106">
        <f>IF(C193="","",IF(D193&lt;&gt;"Perdu","",IFERROR(1/(1/_xlfn.MAXIFS('Saisie'!$A$5:$A$2004,'Saisie'!$C$5:$C$2004,C193,'Saisie'!$E$5:$E$2004,"Perdu")),"")))</f>
        <v/>
      </c>
      <c r="AX193" s="106">
        <f>IF(C193="","",IF(AW193="","",AW193+'Paramètres'!$B$28))</f>
        <v/>
      </c>
      <c r="AY193" s="60">
        <f>IF(C193="","",SUMIFS('Saisie'!$H$5:$H$2004,'Saisie'!$C$5:$C$2004,C193))</f>
        <v/>
      </c>
      <c r="AZ193" s="60">
        <f>IF(C193="","",IFERROR(INDEX('Paramètres'!$W$6:$W$20,MATCH(S193,'Paramètres'!$V$6:$V$20,0))&amp;"",""))</f>
        <v/>
      </c>
      <c r="BA193" s="60">
        <f>IF(C193="","",MAX(1,_xlfn.MAXIFS('Saisie'!$AT$5:$AT$2004,'Saisie'!$C$5:$C$2004,C193)))</f>
        <v/>
      </c>
      <c r="BB193" s="60">
        <f>IF(C193="","",IFERROR(INDEX('Saisie'!$X$5:$X$2004,_xlfn.MAXIFS('Saisie'!$AS$5:$AS$2004,'Saisie'!$C$5:$C$2004,C193,'Saisie'!$X$5:$X$2004,"&lt;&gt;")-4),""))</f>
        <v/>
      </c>
      <c r="BC193" s="60">
        <f>IF(C193="","",IFERROR(INDEX('Saisie'!$Y$5:$Y$2004,_xlfn.MAXIFS('Saisie'!$AS$5:$AS$2004,'Saisie'!$C$5:$C$2004,C193,'Saisie'!$Y$5:$Y$2004,"&lt;&gt;")-4),""))</f>
        <v/>
      </c>
      <c r="BD193" s="106">
        <f>IF(C193="","",IFERROR(1/(1/_xlfn.MINIFS('Saisie'!$A$5:$A$2004,'Saisie'!$C$5:$C$2004,C193,'Saisie'!$AT$5:$AT$2004,"&gt;=2")),""))</f>
        <v/>
      </c>
      <c r="BE193" s="106">
        <f>IF(C193="","",IFERROR(1/(1/_xlfn.MINIFS('Saisie'!$A$5:$A$2004,'Saisie'!$C$5:$C$2004,C193,'Saisie'!$AT$5:$AT$2004,"&gt;=3")),""))</f>
        <v/>
      </c>
      <c r="BF193" s="106">
        <f>IF(C193="","",IFERROR(1/(1/_xlfn.MINIFS('Saisie'!$A$5:$A$2004,'Saisie'!$C$5:$C$2004,C193,'Saisie'!$AT$5:$AT$2004,"&gt;=4")),""))</f>
        <v/>
      </c>
      <c r="BG193" s="106">
        <f>IF(C193="","",IFERROR(1/(1/_xlfn.MINIFS('Saisie'!$A$5:$A$2004,'Saisie'!$C$5:$C$2004,C193,'Saisie'!$AT$5:$AT$2004,"&gt;=5")),""))</f>
        <v/>
      </c>
      <c r="BH193" s="106">
        <f>IF(C193="","",IFERROR(1/(1/_xlfn.MINIFS('Saisie'!$A$5:$A$2004,'Saisie'!$C$5:$C$2004,C193,'Saisie'!$AT$5:$AT$2004,"&gt;=6")),""))</f>
        <v/>
      </c>
      <c r="BI193" s="106">
        <f>IF(C193="","",IFERROR(1/(1/_xlfn.MINIFS('Saisie'!$A$5:$A$2004,'Saisie'!$C$5:$C$2004,C193,'Saisie'!$AT$5:$AT$2004,"&gt;=7")),""))</f>
        <v/>
      </c>
      <c r="BJ193" s="60">
        <f>IF(OR(BD193="",B193=""),"",BD193-B193)</f>
        <v/>
      </c>
      <c r="BK193" s="60">
        <f>IF(OR(BE193="",BD193=""),"",BE193-BD193)</f>
        <v/>
      </c>
      <c r="BL193" s="60">
        <f>IF(OR(BF193="",BE193=""),"",BF193-BE193)</f>
        <v/>
      </c>
      <c r="BM193" s="60">
        <f>IF(OR(BG193="",BF193=""),"",BG193-BF193)</f>
        <v/>
      </c>
      <c r="BN193" s="60">
        <f>IF(OR(BH193="",BG193=""),"",BH193-BG193)</f>
        <v/>
      </c>
      <c r="BO193" s="60">
        <f>IF(OR(BI193="",BH193=""),"",BI193-BH193)</f>
        <v/>
      </c>
      <c r="BP193" s="60">
        <f>IF(C193="","",_xlfn.MAXIFS('Saisie'!$AS$5:$AS$2004,'Saisie'!$C$5:$C$2004,C193,'Saisie'!$J$5:$J$2004,"&lt;&gt;"))</f>
        <v/>
      </c>
      <c r="BQ193" s="60">
        <f>IF(C193="","",_xlfn.MAXIFS('Saisie'!$AS$5:$AS$2004,'Saisie'!$C$5:$C$2004,C193))</f>
        <v/>
      </c>
      <c r="BR193" s="60">
        <f>IF(C193="","",_xlfn.MAXIFS('Saisie'!$AS$5:$AS$2004,'Saisie'!$C$5:$C$2004,C193,'Saisie'!$E$5:$E$2004,"Perdu"))</f>
        <v/>
      </c>
      <c r="BS193" s="60">
        <f>IF(C193="","",_xlfn.MAXIFS('Saisie'!$AS$5:$AS$2004,'Saisie'!$C$5:$C$2004,C193,'Saisie'!$AT$5:$AT$2004,"&gt;0"))</f>
        <v/>
      </c>
      <c r="BT193" s="109">
        <f>IF(AND(C193&lt;&gt;"",OR(D193="Nouveau",D193="Contacté",D193="Qualifié"),OR(G193="",N(G193)&lt;=TODAY()),NOT(AND(O193&gt;='Paramètres'!$B$21,P193=0))),E193+189/10000,"")</f>
        <v/>
      </c>
      <c r="BU193" s="60">
        <f>IF(AND(G193&lt;&gt;"",N(G193)&lt;=TODAY()),MAX($BU$4:BU192)+1,"")</f>
        <v/>
      </c>
      <c r="BV193" s="60">
        <f>IF(AND(F193&lt;&gt;"",F193&lt;&gt;"Relance en retard"),MAX($BV$4:BV192)+1,"")</f>
        <v/>
      </c>
      <c r="BW193" s="60">
        <f>IF(C193="","",IF(AND(B193&gt;='Tableau de bord'!$R$4,B193&lt;='Tableau de bord'!$S$4,OR('Tableau de bord'!$G$4="Tous",N193='Tableau de bord'!$G$4)),1,0))</f>
        <v/>
      </c>
      <c r="BX193" s="60">
        <f>IF(AND(C193&lt;&gt;"",N(BA193)=7),MAX($BX$4:BX192)+1,"")</f>
        <v/>
      </c>
    </row>
    <row r="194">
      <c r="A194" s="60">
        <f>IF(C194="","","P-"&amp;TEXT(190,"000"))</f>
        <v/>
      </c>
      <c r="B194" s="106">
        <f>IF(C194="","",IFERROR(1/(1/_xlfn.MINIFS('Saisie'!$A$5:$A$2004,'Saisie'!$C$5:$C$2004,C194)),""))</f>
        <v/>
      </c>
      <c r="C194" s="60">
        <f>IFERROR(INDEX('Saisie'!$C$5:$C$2004,MATCH(190,'Saisie'!$AX$5:$AX$2004,0)),"")</f>
        <v/>
      </c>
      <c r="D194" s="60">
        <f>IF(C194="","",IF(AND(BR194&gt;0,BR194&gt;BS194,BA194&lt;7),"Perdu",INDEX('Paramètres'!$F$6:$F$13,BA194)))</f>
        <v/>
      </c>
      <c r="E194" s="61">
        <f>IF(C194="","",MIN(100,(Z194="Oui")*'Paramètres'!$B$38+(AB194="Régulière")*'Paramètres'!$B$39+IF(AND(N(AA194)&gt;0,TODAY()-N(AA194)&lt;=30),'Paramètres'!$B$40,0)+(W194="")*'Paramètres'!$B$41+(AC194="Absente")*'Paramètres'!$B$42+(AC194="Faible")*'Paramètres'!$B$43+IF(AND(N(AD194)&gt;0,N(AD194)&lt;4),'Paramètres'!$B$44,0)+(AF194="Moyenne")*'Paramètres'!$B$45+(AF194="Grande")*'Paramètres'!$B$46+(Y194&lt;&gt;"")*'Paramètres'!$B$47))</f>
        <v/>
      </c>
      <c r="F194" s="60">
        <f>IF(C194="","",IF(D194="Gagné","",IF(D194="Perdu",IF(AND(AX194&lt;&gt;"",AX194&lt;=TODAY()),"À recontacter (perdu)",""),IF(AND(O194&gt;='Paramètres'!$B$21,P194=0),"Stop : "&amp;'Paramètres'!$B$21&amp;" tentatives sans réponse",IF(AND(D194="Proposition",AR194&lt;&gt;"",TODAY()&gt;N(AR194)),"Proposition expirée",IF(AND(D194="Proposition",N(R194)&gt;='Paramètres'!$B$25),"Proposition sans réponse",IF(AND(G194&lt;&gt;"",N(G194)&lt;TODAY()),"Relance en retard",IF(N(R194)&gt;='Paramètres'!$B$24,"Sans action depuis "&amp;R194&amp;" j",""))))))))</f>
        <v/>
      </c>
      <c r="G194" s="106">
        <f>IF(OR(C194="",D194="Gagné",D194="Perdu"),"",IF(AND(BP194&gt;0,BP194=BQ194),INDEX('Saisie'!$J$5:$J$2004,BP194-4),IF(OR(O194=0,AND(O194&gt;='Paramètres'!$B$21,P194=0)),"",Q194+IF(O194&lt;=1,'Paramètres'!$B$18,IF(O194=2,'Paramètres'!$B$19,'Paramètres'!$B$20)))))</f>
        <v/>
      </c>
      <c r="H194" s="107">
        <f>IF(OR(G194="",BP194&lt;&gt;BQ194),"",IF(INDEX('Saisie'!$K$5:$K$2004,BP194-4)="","",INDEX('Saisie'!$K$5:$K$2004,BP194-4)))</f>
        <v/>
      </c>
      <c r="I194" s="60">
        <f>IF(C194="","",IF(OR(D194="Gagné",D194="Perdu"),"",IFERROR(INDEX('Saisie'!$I$5:$I$2004,_xlfn.MAXIFS('Saisie'!$AS$5:$AS$2004,'Saisie'!$C$5:$C$2004,C194,'Saisie'!$I$5:$I$2004,"&lt;&gt;")-4),"")))</f>
        <v/>
      </c>
      <c r="J194" s="60">
        <f>IF(C194="","",IFERROR(INDEX('Saisie'!$U$5:$U$2004,_xlfn.MAXIFS('Saisie'!$AS$5:$AS$2004,'Saisie'!$C$5:$C$2004,C194,'Saisie'!$U$5:$U$2004,"&lt;&gt;")-4),""))</f>
        <v/>
      </c>
      <c r="K194" s="60">
        <f>IF(C194="","",IFERROR(INDEX('Saisie'!$W$5:$W$2004,_xlfn.MAXIFS('Saisie'!$AS$5:$AS$2004,'Saisie'!$C$5:$C$2004,C194,'Saisie'!$W$5:$W$2004,"&lt;&gt;")-4),""))</f>
        <v/>
      </c>
      <c r="L194" s="60">
        <f>IF(IF(BB194&lt;&gt;"",BB194,K194)="","",HYPERLINK("https://wa.me/"&amp;IF(LEFT(SUBSTITUTE(SUBSTITUTE(SUBSTITUTE(IF(BB194&lt;&gt;"",BB194,K194)," ",""),".",""),"+",""),1)="0",'Paramètres'!$B$35&amp;MID(SUBSTITUTE(SUBSTITUTE(SUBSTITUTE(IF(BB194&lt;&gt;"",BB194,K194)," ",""),".",""),"+",""),2,20),SUBSTITUTE(SUBSTITUTE(SUBSTITUTE(IF(BB194&lt;&gt;"",BB194,K194)," ",""),".",""),"+","")),"WhatsApp"))</f>
        <v/>
      </c>
      <c r="M194" s="60">
        <f>IF(BC194="","",HYPERLINK(IF(LEFT(BC194,4)="http",BC194,"https://www.instagram.com/"&amp;SUBSTITUTE(SUBSTITUTE(BC194,"@","")," ","")),BC194))</f>
        <v/>
      </c>
      <c r="N194" s="60">
        <f>IF(C194="","",IFERROR(INDEX('Saisie'!$D$5:$D$2004,_xlfn.MINIFS('Saisie'!$AS$5:$AS$2004,'Saisie'!$C$5:$C$2004,C194,'Saisie'!$AU$5:$AU$2004,1)-4),IFERROR(INDEX('Saisie'!$D$5:$D$2004,_xlfn.MINIFS('Saisie'!$AS$5:$AS$2004,'Saisie'!$C$5:$C$2004,C194,'Saisie'!$D$5:$D$2004,"&lt;&gt;")-4),"")))</f>
        <v/>
      </c>
      <c r="O194" s="60">
        <f>IF(C194="","",COUNTIFS('Saisie'!$C$5:$C$2004,C194,'Saisie'!$AU$5:$AU$2004,1))</f>
        <v/>
      </c>
      <c r="P194" s="60">
        <f>IF(C194="","",COUNTIFS('Saisie'!$C$5:$C$2004,C194,'Saisie'!$AV$5:$AV$2004,1))</f>
        <v/>
      </c>
      <c r="Q194" s="106">
        <f>IF(C194="","",IFERROR(1/(1/_xlfn.MAXIFS('Saisie'!$A$5:$A$2004,'Saisie'!$C$5:$C$2004,C194)),""))</f>
        <v/>
      </c>
      <c r="R194" s="61">
        <f>IF(C194="","",IF(Q194="","",TODAY()-Q194))</f>
        <v/>
      </c>
      <c r="S194" s="60">
        <f>IF(C194="","",IFERROR(INDEX('Saisie'!$R$5:$R$2004,_xlfn.MAXIFS('Saisie'!$AS$5:$AS$2004,'Saisie'!$C$5:$C$2004,C194,'Saisie'!$R$5:$R$2004,"&lt;&gt;")-4),""))</f>
        <v/>
      </c>
      <c r="T194" s="60">
        <f>IF(C194="","",IFERROR(INDEX('Saisie'!$S$5:$S$2004,_xlfn.MAXIFS('Saisie'!$AS$5:$AS$2004,'Saisie'!$C$5:$C$2004,C194,'Saisie'!$S$5:$S$2004,"&lt;&gt;")-4),""))</f>
        <v/>
      </c>
      <c r="U194" s="60">
        <f>IF(C194="","",IFERROR(INDEX('Saisie'!$T$5:$T$2004,_xlfn.MAXIFS('Saisie'!$AS$5:$AS$2004,'Saisie'!$C$5:$C$2004,C194,'Saisie'!$T$5:$T$2004,"&lt;&gt;")-4),""))</f>
        <v/>
      </c>
      <c r="V194" s="60">
        <f>IF(C194="","",IFERROR(INDEX('Saisie'!$V$5:$V$2004,_xlfn.MAXIFS('Saisie'!$AS$5:$AS$2004,'Saisie'!$C$5:$C$2004,C194,'Saisie'!$V$5:$V$2004,"&lt;&gt;")-4),""))</f>
        <v/>
      </c>
      <c r="W194" s="60">
        <f>IF(C194="","",IFERROR(INDEX('Saisie'!$Z$5:$Z$2004,_xlfn.MAXIFS('Saisie'!$AS$5:$AS$2004,'Saisie'!$C$5:$C$2004,C194,'Saisie'!$Z$5:$Z$2004,"&lt;&gt;")-4),""))</f>
        <v/>
      </c>
      <c r="X194" s="60">
        <f>IF(C194="","",IFERROR(INDEX('Saisie'!$AA$5:$AA$2004,_xlfn.MAXIFS('Saisie'!$AS$5:$AS$2004,'Saisie'!$C$5:$C$2004,C194,'Saisie'!$AA$5:$AA$2004,"&lt;&gt;")-4),""))</f>
        <v/>
      </c>
      <c r="Y194" s="60">
        <f>IF(C194="","",IFERROR(INDEX('Saisie'!$AB$5:$AB$2004,_xlfn.MAXIFS('Saisie'!$AS$5:$AS$2004,'Saisie'!$C$5:$C$2004,C194,'Saisie'!$AB$5:$AB$2004,"&lt;&gt;")-4),""))</f>
        <v/>
      </c>
      <c r="Z194" s="60">
        <f>IF(C194="","",IFERROR(INDEX('Saisie'!$AC$5:$AC$2004,_xlfn.MAXIFS('Saisie'!$AS$5:$AS$2004,'Saisie'!$C$5:$C$2004,C194,'Saisie'!$AC$5:$AC$2004,"&lt;&gt;")-4),""))</f>
        <v/>
      </c>
      <c r="AA194" s="106">
        <f>IF(C194="","",IFERROR(INDEX('Saisie'!$AD$5:$AD$2004,_xlfn.MAXIFS('Saisie'!$AS$5:$AS$2004,'Saisie'!$C$5:$C$2004,C194,'Saisie'!$AD$5:$AD$2004,"&lt;&gt;")-4),""))</f>
        <v/>
      </c>
      <c r="AB194" s="60">
        <f>IF(C194="","",IFERROR(INDEX('Saisie'!$AE$5:$AE$2004,_xlfn.MAXIFS('Saisie'!$AS$5:$AS$2004,'Saisie'!$C$5:$C$2004,C194,'Saisie'!$AE$5:$AE$2004,"&lt;&gt;")-4),""))</f>
        <v/>
      </c>
      <c r="AC194" s="60">
        <f>IF(C194="","",IFERROR(INDEX('Saisie'!$AF$5:$AF$2004,_xlfn.MAXIFS('Saisie'!$AS$5:$AS$2004,'Saisie'!$C$5:$C$2004,C194,'Saisie'!$AF$5:$AF$2004,"&lt;&gt;")-4),""))</f>
        <v/>
      </c>
      <c r="AD194" s="108">
        <f>IF(C194="","",IFERROR(INDEX('Saisie'!$AG$5:$AG$2004,_xlfn.MAXIFS('Saisie'!$AS$5:$AS$2004,'Saisie'!$C$5:$C$2004,C194,'Saisie'!$AG$5:$AG$2004,"&lt;&gt;")-4),""))</f>
        <v/>
      </c>
      <c r="AE194" s="60">
        <f>IF(C194="","",IFERROR(INDEX('Saisie'!$AH$5:$AH$2004,_xlfn.MAXIFS('Saisie'!$AS$5:$AS$2004,'Saisie'!$C$5:$C$2004,C194,'Saisie'!$AH$5:$AH$2004,"&lt;&gt;")-4),""))</f>
        <v/>
      </c>
      <c r="AF194" s="60">
        <f>IF(C194="","",IFERROR(INDEX('Saisie'!$AI$5:$AI$2004,_xlfn.MAXIFS('Saisie'!$AS$5:$AS$2004,'Saisie'!$C$5:$C$2004,C194,'Saisie'!$AI$5:$AI$2004,"&lt;&gt;")-4),""))</f>
        <v/>
      </c>
      <c r="AG194" s="60">
        <f>IF(C194="","",IFERROR(INDEX('Saisie'!$AJ$5:$AJ$2004,_xlfn.MAXIFS('Saisie'!$AS$5:$AS$2004,'Saisie'!$C$5:$C$2004,C194,'Saisie'!$AJ$5:$AJ$2004,"&lt;&gt;")-4),""))</f>
        <v/>
      </c>
      <c r="AH194" s="60">
        <f>IF(C194="","",IFERROR(INDEX('Saisie'!$AK$5:$AK$2004,_xlfn.MAXIFS('Saisie'!$AS$5:$AS$2004,'Saisie'!$C$5:$C$2004,C194,'Saisie'!$AK$5:$AK$2004,"&lt;&gt;")-4),""))</f>
        <v/>
      </c>
      <c r="AI194" s="60">
        <f>IF(C194="","",IFERROR(INDEX('Saisie'!$AN$5:$AN$2004,_xlfn.MAXIFS('Saisie'!$AS$5:$AS$2004,'Saisie'!$C$5:$C$2004,C194,'Saisie'!$AN$5:$AN$2004,"&lt;&gt;")-4),""))</f>
        <v/>
      </c>
      <c r="AJ194" s="60">
        <f>IF(C194="","",IFERROR(INDEX('Saisie'!$AO$5:$AO$2004,_xlfn.MAXIFS('Saisie'!$AS$5:$AS$2004,'Saisie'!$C$5:$C$2004,C194,'Saisie'!$AO$5:$AO$2004,"&lt;&gt;")-4),""))</f>
        <v/>
      </c>
      <c r="AK194" s="60">
        <f>IF(C194="","",IFERROR(INDEX('Saisie'!$AP$5:$AP$2004,_xlfn.MAXIFS('Saisie'!$AS$5:$AS$2004,'Saisie'!$C$5:$C$2004,C194,'Saisie'!$AP$5:$AP$2004,"&lt;&gt;")-4),""))</f>
        <v/>
      </c>
      <c r="AL194" s="60">
        <f>IF(C194="","",IFERROR(INDEX('Saisie'!$AQ$5:$AQ$2004,_xlfn.MAXIFS('Saisie'!$AS$5:$AS$2004,'Saisie'!$C$5:$C$2004,C194,'Saisie'!$AQ$5:$AQ$2004,"&lt;&gt;")-4),""))</f>
        <v/>
      </c>
      <c r="AM194" s="60">
        <f>IF(C194="","",((AI194="Oui")+(AJ194="Oui")+(AK194="Oui")+OR(AL194="Immédiat",AL194="&lt; 1 mois"))&amp;"/4")</f>
        <v/>
      </c>
      <c r="AN194" s="60">
        <f>IF(C194="","",IFERROR(INDEX('Saisie'!$AL$5:$AL$2004,_xlfn.MAXIFS('Saisie'!$AS$5:$AS$2004,'Saisie'!$C$5:$C$2004,C194,'Saisie'!$AL$5:$AL$2004,"&lt;&gt;")-4),""))</f>
        <v/>
      </c>
      <c r="AO194" s="62">
        <f>IF(C194="","",IF(IFERROR(INDEX('Saisie'!$AM$5:$AM$2004,_xlfn.MAXIFS('Saisie'!$AS$5:$AS$2004,'Saisie'!$C$5:$C$2004,C194,'Saisie'!$AM$5:$AM$2004,"&lt;&gt;")-4),"")&lt;&gt;"",IFERROR(INDEX('Saisie'!$AM$5:$AM$2004,_xlfn.MAXIFS('Saisie'!$AS$5:$AS$2004,'Saisie'!$C$5:$C$2004,C194,'Saisie'!$AM$5:$AM$2004,"&lt;&gt;")-4),""),IFERROR(INDEX('Paramètres'!$S$6:$S$15,MATCH(AN194,'Paramètres'!$Q$6:$Q$15,0)),"")))</f>
        <v/>
      </c>
      <c r="AP194" s="62">
        <f>IF(C194="","",IFERROR(INDEX('Saisie'!$AW$5:$AW$2004,_xlfn.MAXIFS('Saisie'!$AS$5:$AS$2004,'Saisie'!$C$5:$C$2004,C194,'Saisie'!$E$5:$E$2004,"Proposition envoyée")-4),""))</f>
        <v/>
      </c>
      <c r="AQ194" s="106">
        <f>IF(C194="","",IFERROR(1/(1/_xlfn.MAXIFS('Saisie'!$A$5:$A$2004,'Saisie'!$C$5:$C$2004,C194,'Saisie'!$E$5:$E$2004,"Proposition envoyée")),""))</f>
        <v/>
      </c>
      <c r="AR194" s="106">
        <f>IF(C194="","",IF(AQ194="","",AQ194+'Paramètres'!$B$26))</f>
        <v/>
      </c>
      <c r="AS194" s="62">
        <f>IF(OR(C194="",D194="Gagné",D194="Perdu"),0,N(AP194)*IFERROR(INDEX('Paramètres'!$G$6:$G$13,MATCH(D194,'Paramètres'!$F$6:$F$13,0)),0))</f>
        <v/>
      </c>
      <c r="AT194" s="106">
        <f>IF(C194="","",IFERROR(1/(1/_xlfn.MINIFS('Saisie'!$A$5:$A$2004,'Saisie'!$C$5:$C$2004,C194,'Saisie'!$E$5:$E$2004,"Signature")),""))</f>
        <v/>
      </c>
      <c r="AU194" s="60">
        <f>IF(C194="","",IF(OR(AT194="",B194=""),"",AT194-B194))</f>
        <v/>
      </c>
      <c r="AV194" s="60">
        <f>IF(C194="","",IFERROR(INDEX('Saisie'!$L$5:$L$2004,_xlfn.MAXIFS('Saisie'!$AS$5:$AS$2004,'Saisie'!$C$5:$C$2004,C194,'Saisie'!$L$5:$L$2004,"&lt;&gt;")-4),""))</f>
        <v/>
      </c>
      <c r="AW194" s="106">
        <f>IF(C194="","",IF(D194&lt;&gt;"Perdu","",IFERROR(1/(1/_xlfn.MAXIFS('Saisie'!$A$5:$A$2004,'Saisie'!$C$5:$C$2004,C194,'Saisie'!$E$5:$E$2004,"Perdu")),"")))</f>
        <v/>
      </c>
      <c r="AX194" s="106">
        <f>IF(C194="","",IF(AW194="","",AW194+'Paramètres'!$B$28))</f>
        <v/>
      </c>
      <c r="AY194" s="60">
        <f>IF(C194="","",SUMIFS('Saisie'!$H$5:$H$2004,'Saisie'!$C$5:$C$2004,C194))</f>
        <v/>
      </c>
      <c r="AZ194" s="60">
        <f>IF(C194="","",IFERROR(INDEX('Paramètres'!$W$6:$W$20,MATCH(S194,'Paramètres'!$V$6:$V$20,0))&amp;"",""))</f>
        <v/>
      </c>
      <c r="BA194" s="60">
        <f>IF(C194="","",MAX(1,_xlfn.MAXIFS('Saisie'!$AT$5:$AT$2004,'Saisie'!$C$5:$C$2004,C194)))</f>
        <v/>
      </c>
      <c r="BB194" s="60">
        <f>IF(C194="","",IFERROR(INDEX('Saisie'!$X$5:$X$2004,_xlfn.MAXIFS('Saisie'!$AS$5:$AS$2004,'Saisie'!$C$5:$C$2004,C194,'Saisie'!$X$5:$X$2004,"&lt;&gt;")-4),""))</f>
        <v/>
      </c>
      <c r="BC194" s="60">
        <f>IF(C194="","",IFERROR(INDEX('Saisie'!$Y$5:$Y$2004,_xlfn.MAXIFS('Saisie'!$AS$5:$AS$2004,'Saisie'!$C$5:$C$2004,C194,'Saisie'!$Y$5:$Y$2004,"&lt;&gt;")-4),""))</f>
        <v/>
      </c>
      <c r="BD194" s="106">
        <f>IF(C194="","",IFERROR(1/(1/_xlfn.MINIFS('Saisie'!$A$5:$A$2004,'Saisie'!$C$5:$C$2004,C194,'Saisie'!$AT$5:$AT$2004,"&gt;=2")),""))</f>
        <v/>
      </c>
      <c r="BE194" s="106">
        <f>IF(C194="","",IFERROR(1/(1/_xlfn.MINIFS('Saisie'!$A$5:$A$2004,'Saisie'!$C$5:$C$2004,C194,'Saisie'!$AT$5:$AT$2004,"&gt;=3")),""))</f>
        <v/>
      </c>
      <c r="BF194" s="106">
        <f>IF(C194="","",IFERROR(1/(1/_xlfn.MINIFS('Saisie'!$A$5:$A$2004,'Saisie'!$C$5:$C$2004,C194,'Saisie'!$AT$5:$AT$2004,"&gt;=4")),""))</f>
        <v/>
      </c>
      <c r="BG194" s="106">
        <f>IF(C194="","",IFERROR(1/(1/_xlfn.MINIFS('Saisie'!$A$5:$A$2004,'Saisie'!$C$5:$C$2004,C194,'Saisie'!$AT$5:$AT$2004,"&gt;=5")),""))</f>
        <v/>
      </c>
      <c r="BH194" s="106">
        <f>IF(C194="","",IFERROR(1/(1/_xlfn.MINIFS('Saisie'!$A$5:$A$2004,'Saisie'!$C$5:$C$2004,C194,'Saisie'!$AT$5:$AT$2004,"&gt;=6")),""))</f>
        <v/>
      </c>
      <c r="BI194" s="106">
        <f>IF(C194="","",IFERROR(1/(1/_xlfn.MINIFS('Saisie'!$A$5:$A$2004,'Saisie'!$C$5:$C$2004,C194,'Saisie'!$AT$5:$AT$2004,"&gt;=7")),""))</f>
        <v/>
      </c>
      <c r="BJ194" s="60">
        <f>IF(OR(BD194="",B194=""),"",BD194-B194)</f>
        <v/>
      </c>
      <c r="BK194" s="60">
        <f>IF(OR(BE194="",BD194=""),"",BE194-BD194)</f>
        <v/>
      </c>
      <c r="BL194" s="60">
        <f>IF(OR(BF194="",BE194=""),"",BF194-BE194)</f>
        <v/>
      </c>
      <c r="BM194" s="60">
        <f>IF(OR(BG194="",BF194=""),"",BG194-BF194)</f>
        <v/>
      </c>
      <c r="BN194" s="60">
        <f>IF(OR(BH194="",BG194=""),"",BH194-BG194)</f>
        <v/>
      </c>
      <c r="BO194" s="60">
        <f>IF(OR(BI194="",BH194=""),"",BI194-BH194)</f>
        <v/>
      </c>
      <c r="BP194" s="60">
        <f>IF(C194="","",_xlfn.MAXIFS('Saisie'!$AS$5:$AS$2004,'Saisie'!$C$5:$C$2004,C194,'Saisie'!$J$5:$J$2004,"&lt;&gt;"))</f>
        <v/>
      </c>
      <c r="BQ194" s="60">
        <f>IF(C194="","",_xlfn.MAXIFS('Saisie'!$AS$5:$AS$2004,'Saisie'!$C$5:$C$2004,C194))</f>
        <v/>
      </c>
      <c r="BR194" s="60">
        <f>IF(C194="","",_xlfn.MAXIFS('Saisie'!$AS$5:$AS$2004,'Saisie'!$C$5:$C$2004,C194,'Saisie'!$E$5:$E$2004,"Perdu"))</f>
        <v/>
      </c>
      <c r="BS194" s="60">
        <f>IF(C194="","",_xlfn.MAXIFS('Saisie'!$AS$5:$AS$2004,'Saisie'!$C$5:$C$2004,C194,'Saisie'!$AT$5:$AT$2004,"&gt;0"))</f>
        <v/>
      </c>
      <c r="BT194" s="109">
        <f>IF(AND(C194&lt;&gt;"",OR(D194="Nouveau",D194="Contacté",D194="Qualifié"),OR(G194="",N(G194)&lt;=TODAY()),NOT(AND(O194&gt;='Paramètres'!$B$21,P194=0))),E194+190/10000,"")</f>
        <v/>
      </c>
      <c r="BU194" s="60">
        <f>IF(AND(G194&lt;&gt;"",N(G194)&lt;=TODAY()),MAX($BU$4:BU193)+1,"")</f>
        <v/>
      </c>
      <c r="BV194" s="60">
        <f>IF(AND(F194&lt;&gt;"",F194&lt;&gt;"Relance en retard"),MAX($BV$4:BV193)+1,"")</f>
        <v/>
      </c>
      <c r="BW194" s="60">
        <f>IF(C194="","",IF(AND(B194&gt;='Tableau de bord'!$R$4,B194&lt;='Tableau de bord'!$S$4,OR('Tableau de bord'!$G$4="Tous",N194='Tableau de bord'!$G$4)),1,0))</f>
        <v/>
      </c>
      <c r="BX194" s="60">
        <f>IF(AND(C194&lt;&gt;"",N(BA194)=7),MAX($BX$4:BX193)+1,"")</f>
        <v/>
      </c>
    </row>
    <row r="195">
      <c r="A195" s="60">
        <f>IF(C195="","","P-"&amp;TEXT(191,"000"))</f>
        <v/>
      </c>
      <c r="B195" s="106">
        <f>IF(C195="","",IFERROR(1/(1/_xlfn.MINIFS('Saisie'!$A$5:$A$2004,'Saisie'!$C$5:$C$2004,C195)),""))</f>
        <v/>
      </c>
      <c r="C195" s="60">
        <f>IFERROR(INDEX('Saisie'!$C$5:$C$2004,MATCH(191,'Saisie'!$AX$5:$AX$2004,0)),"")</f>
        <v/>
      </c>
      <c r="D195" s="60">
        <f>IF(C195="","",IF(AND(BR195&gt;0,BR195&gt;BS195,BA195&lt;7),"Perdu",INDEX('Paramètres'!$F$6:$F$13,BA195)))</f>
        <v/>
      </c>
      <c r="E195" s="61">
        <f>IF(C195="","",MIN(100,(Z195="Oui")*'Paramètres'!$B$38+(AB195="Régulière")*'Paramètres'!$B$39+IF(AND(N(AA195)&gt;0,TODAY()-N(AA195)&lt;=30),'Paramètres'!$B$40,0)+(W195="")*'Paramètres'!$B$41+(AC195="Absente")*'Paramètres'!$B$42+(AC195="Faible")*'Paramètres'!$B$43+IF(AND(N(AD195)&gt;0,N(AD195)&lt;4),'Paramètres'!$B$44,0)+(AF195="Moyenne")*'Paramètres'!$B$45+(AF195="Grande")*'Paramètres'!$B$46+(Y195&lt;&gt;"")*'Paramètres'!$B$47))</f>
        <v/>
      </c>
      <c r="F195" s="60">
        <f>IF(C195="","",IF(D195="Gagné","",IF(D195="Perdu",IF(AND(AX195&lt;&gt;"",AX195&lt;=TODAY()),"À recontacter (perdu)",""),IF(AND(O195&gt;='Paramètres'!$B$21,P195=0),"Stop : "&amp;'Paramètres'!$B$21&amp;" tentatives sans réponse",IF(AND(D195="Proposition",AR195&lt;&gt;"",TODAY()&gt;N(AR195)),"Proposition expirée",IF(AND(D195="Proposition",N(R195)&gt;='Paramètres'!$B$25),"Proposition sans réponse",IF(AND(G195&lt;&gt;"",N(G195)&lt;TODAY()),"Relance en retard",IF(N(R195)&gt;='Paramètres'!$B$24,"Sans action depuis "&amp;R195&amp;" j",""))))))))</f>
        <v/>
      </c>
      <c r="G195" s="106">
        <f>IF(OR(C195="",D195="Gagné",D195="Perdu"),"",IF(AND(BP195&gt;0,BP195=BQ195),INDEX('Saisie'!$J$5:$J$2004,BP195-4),IF(OR(O195=0,AND(O195&gt;='Paramètres'!$B$21,P195=0)),"",Q195+IF(O195&lt;=1,'Paramètres'!$B$18,IF(O195=2,'Paramètres'!$B$19,'Paramètres'!$B$20)))))</f>
        <v/>
      </c>
      <c r="H195" s="107">
        <f>IF(OR(G195="",BP195&lt;&gt;BQ195),"",IF(INDEX('Saisie'!$K$5:$K$2004,BP195-4)="","",INDEX('Saisie'!$K$5:$K$2004,BP195-4)))</f>
        <v/>
      </c>
      <c r="I195" s="60">
        <f>IF(C195="","",IF(OR(D195="Gagné",D195="Perdu"),"",IFERROR(INDEX('Saisie'!$I$5:$I$2004,_xlfn.MAXIFS('Saisie'!$AS$5:$AS$2004,'Saisie'!$C$5:$C$2004,C195,'Saisie'!$I$5:$I$2004,"&lt;&gt;")-4),"")))</f>
        <v/>
      </c>
      <c r="J195" s="60">
        <f>IF(C195="","",IFERROR(INDEX('Saisie'!$U$5:$U$2004,_xlfn.MAXIFS('Saisie'!$AS$5:$AS$2004,'Saisie'!$C$5:$C$2004,C195,'Saisie'!$U$5:$U$2004,"&lt;&gt;")-4),""))</f>
        <v/>
      </c>
      <c r="K195" s="60">
        <f>IF(C195="","",IFERROR(INDEX('Saisie'!$W$5:$W$2004,_xlfn.MAXIFS('Saisie'!$AS$5:$AS$2004,'Saisie'!$C$5:$C$2004,C195,'Saisie'!$W$5:$W$2004,"&lt;&gt;")-4),""))</f>
        <v/>
      </c>
      <c r="L195" s="60">
        <f>IF(IF(BB195&lt;&gt;"",BB195,K195)="","",HYPERLINK("https://wa.me/"&amp;IF(LEFT(SUBSTITUTE(SUBSTITUTE(SUBSTITUTE(IF(BB195&lt;&gt;"",BB195,K195)," ",""),".",""),"+",""),1)="0",'Paramètres'!$B$35&amp;MID(SUBSTITUTE(SUBSTITUTE(SUBSTITUTE(IF(BB195&lt;&gt;"",BB195,K195)," ",""),".",""),"+",""),2,20),SUBSTITUTE(SUBSTITUTE(SUBSTITUTE(IF(BB195&lt;&gt;"",BB195,K195)," ",""),".",""),"+","")),"WhatsApp"))</f>
        <v/>
      </c>
      <c r="M195" s="60">
        <f>IF(BC195="","",HYPERLINK(IF(LEFT(BC195,4)="http",BC195,"https://www.instagram.com/"&amp;SUBSTITUTE(SUBSTITUTE(BC195,"@","")," ","")),BC195))</f>
        <v/>
      </c>
      <c r="N195" s="60">
        <f>IF(C195="","",IFERROR(INDEX('Saisie'!$D$5:$D$2004,_xlfn.MINIFS('Saisie'!$AS$5:$AS$2004,'Saisie'!$C$5:$C$2004,C195,'Saisie'!$AU$5:$AU$2004,1)-4),IFERROR(INDEX('Saisie'!$D$5:$D$2004,_xlfn.MINIFS('Saisie'!$AS$5:$AS$2004,'Saisie'!$C$5:$C$2004,C195,'Saisie'!$D$5:$D$2004,"&lt;&gt;")-4),"")))</f>
        <v/>
      </c>
      <c r="O195" s="60">
        <f>IF(C195="","",COUNTIFS('Saisie'!$C$5:$C$2004,C195,'Saisie'!$AU$5:$AU$2004,1))</f>
        <v/>
      </c>
      <c r="P195" s="60">
        <f>IF(C195="","",COUNTIFS('Saisie'!$C$5:$C$2004,C195,'Saisie'!$AV$5:$AV$2004,1))</f>
        <v/>
      </c>
      <c r="Q195" s="106">
        <f>IF(C195="","",IFERROR(1/(1/_xlfn.MAXIFS('Saisie'!$A$5:$A$2004,'Saisie'!$C$5:$C$2004,C195)),""))</f>
        <v/>
      </c>
      <c r="R195" s="61">
        <f>IF(C195="","",IF(Q195="","",TODAY()-Q195))</f>
        <v/>
      </c>
      <c r="S195" s="60">
        <f>IF(C195="","",IFERROR(INDEX('Saisie'!$R$5:$R$2004,_xlfn.MAXIFS('Saisie'!$AS$5:$AS$2004,'Saisie'!$C$5:$C$2004,C195,'Saisie'!$R$5:$R$2004,"&lt;&gt;")-4),""))</f>
        <v/>
      </c>
      <c r="T195" s="60">
        <f>IF(C195="","",IFERROR(INDEX('Saisie'!$S$5:$S$2004,_xlfn.MAXIFS('Saisie'!$AS$5:$AS$2004,'Saisie'!$C$5:$C$2004,C195,'Saisie'!$S$5:$S$2004,"&lt;&gt;")-4),""))</f>
        <v/>
      </c>
      <c r="U195" s="60">
        <f>IF(C195="","",IFERROR(INDEX('Saisie'!$T$5:$T$2004,_xlfn.MAXIFS('Saisie'!$AS$5:$AS$2004,'Saisie'!$C$5:$C$2004,C195,'Saisie'!$T$5:$T$2004,"&lt;&gt;")-4),""))</f>
        <v/>
      </c>
      <c r="V195" s="60">
        <f>IF(C195="","",IFERROR(INDEX('Saisie'!$V$5:$V$2004,_xlfn.MAXIFS('Saisie'!$AS$5:$AS$2004,'Saisie'!$C$5:$C$2004,C195,'Saisie'!$V$5:$V$2004,"&lt;&gt;")-4),""))</f>
        <v/>
      </c>
      <c r="W195" s="60">
        <f>IF(C195="","",IFERROR(INDEX('Saisie'!$Z$5:$Z$2004,_xlfn.MAXIFS('Saisie'!$AS$5:$AS$2004,'Saisie'!$C$5:$C$2004,C195,'Saisie'!$Z$5:$Z$2004,"&lt;&gt;")-4),""))</f>
        <v/>
      </c>
      <c r="X195" s="60">
        <f>IF(C195="","",IFERROR(INDEX('Saisie'!$AA$5:$AA$2004,_xlfn.MAXIFS('Saisie'!$AS$5:$AS$2004,'Saisie'!$C$5:$C$2004,C195,'Saisie'!$AA$5:$AA$2004,"&lt;&gt;")-4),""))</f>
        <v/>
      </c>
      <c r="Y195" s="60">
        <f>IF(C195="","",IFERROR(INDEX('Saisie'!$AB$5:$AB$2004,_xlfn.MAXIFS('Saisie'!$AS$5:$AS$2004,'Saisie'!$C$5:$C$2004,C195,'Saisie'!$AB$5:$AB$2004,"&lt;&gt;")-4),""))</f>
        <v/>
      </c>
      <c r="Z195" s="60">
        <f>IF(C195="","",IFERROR(INDEX('Saisie'!$AC$5:$AC$2004,_xlfn.MAXIFS('Saisie'!$AS$5:$AS$2004,'Saisie'!$C$5:$C$2004,C195,'Saisie'!$AC$5:$AC$2004,"&lt;&gt;")-4),""))</f>
        <v/>
      </c>
      <c r="AA195" s="106">
        <f>IF(C195="","",IFERROR(INDEX('Saisie'!$AD$5:$AD$2004,_xlfn.MAXIFS('Saisie'!$AS$5:$AS$2004,'Saisie'!$C$5:$C$2004,C195,'Saisie'!$AD$5:$AD$2004,"&lt;&gt;")-4),""))</f>
        <v/>
      </c>
      <c r="AB195" s="60">
        <f>IF(C195="","",IFERROR(INDEX('Saisie'!$AE$5:$AE$2004,_xlfn.MAXIFS('Saisie'!$AS$5:$AS$2004,'Saisie'!$C$5:$C$2004,C195,'Saisie'!$AE$5:$AE$2004,"&lt;&gt;")-4),""))</f>
        <v/>
      </c>
      <c r="AC195" s="60">
        <f>IF(C195="","",IFERROR(INDEX('Saisie'!$AF$5:$AF$2004,_xlfn.MAXIFS('Saisie'!$AS$5:$AS$2004,'Saisie'!$C$5:$C$2004,C195,'Saisie'!$AF$5:$AF$2004,"&lt;&gt;")-4),""))</f>
        <v/>
      </c>
      <c r="AD195" s="108">
        <f>IF(C195="","",IFERROR(INDEX('Saisie'!$AG$5:$AG$2004,_xlfn.MAXIFS('Saisie'!$AS$5:$AS$2004,'Saisie'!$C$5:$C$2004,C195,'Saisie'!$AG$5:$AG$2004,"&lt;&gt;")-4),""))</f>
        <v/>
      </c>
      <c r="AE195" s="60">
        <f>IF(C195="","",IFERROR(INDEX('Saisie'!$AH$5:$AH$2004,_xlfn.MAXIFS('Saisie'!$AS$5:$AS$2004,'Saisie'!$C$5:$C$2004,C195,'Saisie'!$AH$5:$AH$2004,"&lt;&gt;")-4),""))</f>
        <v/>
      </c>
      <c r="AF195" s="60">
        <f>IF(C195="","",IFERROR(INDEX('Saisie'!$AI$5:$AI$2004,_xlfn.MAXIFS('Saisie'!$AS$5:$AS$2004,'Saisie'!$C$5:$C$2004,C195,'Saisie'!$AI$5:$AI$2004,"&lt;&gt;")-4),""))</f>
        <v/>
      </c>
      <c r="AG195" s="60">
        <f>IF(C195="","",IFERROR(INDEX('Saisie'!$AJ$5:$AJ$2004,_xlfn.MAXIFS('Saisie'!$AS$5:$AS$2004,'Saisie'!$C$5:$C$2004,C195,'Saisie'!$AJ$5:$AJ$2004,"&lt;&gt;")-4),""))</f>
        <v/>
      </c>
      <c r="AH195" s="60">
        <f>IF(C195="","",IFERROR(INDEX('Saisie'!$AK$5:$AK$2004,_xlfn.MAXIFS('Saisie'!$AS$5:$AS$2004,'Saisie'!$C$5:$C$2004,C195,'Saisie'!$AK$5:$AK$2004,"&lt;&gt;")-4),""))</f>
        <v/>
      </c>
      <c r="AI195" s="60">
        <f>IF(C195="","",IFERROR(INDEX('Saisie'!$AN$5:$AN$2004,_xlfn.MAXIFS('Saisie'!$AS$5:$AS$2004,'Saisie'!$C$5:$C$2004,C195,'Saisie'!$AN$5:$AN$2004,"&lt;&gt;")-4),""))</f>
        <v/>
      </c>
      <c r="AJ195" s="60">
        <f>IF(C195="","",IFERROR(INDEX('Saisie'!$AO$5:$AO$2004,_xlfn.MAXIFS('Saisie'!$AS$5:$AS$2004,'Saisie'!$C$5:$C$2004,C195,'Saisie'!$AO$5:$AO$2004,"&lt;&gt;")-4),""))</f>
        <v/>
      </c>
      <c r="AK195" s="60">
        <f>IF(C195="","",IFERROR(INDEX('Saisie'!$AP$5:$AP$2004,_xlfn.MAXIFS('Saisie'!$AS$5:$AS$2004,'Saisie'!$C$5:$C$2004,C195,'Saisie'!$AP$5:$AP$2004,"&lt;&gt;")-4),""))</f>
        <v/>
      </c>
      <c r="AL195" s="60">
        <f>IF(C195="","",IFERROR(INDEX('Saisie'!$AQ$5:$AQ$2004,_xlfn.MAXIFS('Saisie'!$AS$5:$AS$2004,'Saisie'!$C$5:$C$2004,C195,'Saisie'!$AQ$5:$AQ$2004,"&lt;&gt;")-4),""))</f>
        <v/>
      </c>
      <c r="AM195" s="60">
        <f>IF(C195="","",((AI195="Oui")+(AJ195="Oui")+(AK195="Oui")+OR(AL195="Immédiat",AL195="&lt; 1 mois"))&amp;"/4")</f>
        <v/>
      </c>
      <c r="AN195" s="60">
        <f>IF(C195="","",IFERROR(INDEX('Saisie'!$AL$5:$AL$2004,_xlfn.MAXIFS('Saisie'!$AS$5:$AS$2004,'Saisie'!$C$5:$C$2004,C195,'Saisie'!$AL$5:$AL$2004,"&lt;&gt;")-4),""))</f>
        <v/>
      </c>
      <c r="AO195" s="62">
        <f>IF(C195="","",IF(IFERROR(INDEX('Saisie'!$AM$5:$AM$2004,_xlfn.MAXIFS('Saisie'!$AS$5:$AS$2004,'Saisie'!$C$5:$C$2004,C195,'Saisie'!$AM$5:$AM$2004,"&lt;&gt;")-4),"")&lt;&gt;"",IFERROR(INDEX('Saisie'!$AM$5:$AM$2004,_xlfn.MAXIFS('Saisie'!$AS$5:$AS$2004,'Saisie'!$C$5:$C$2004,C195,'Saisie'!$AM$5:$AM$2004,"&lt;&gt;")-4),""),IFERROR(INDEX('Paramètres'!$S$6:$S$15,MATCH(AN195,'Paramètres'!$Q$6:$Q$15,0)),"")))</f>
        <v/>
      </c>
      <c r="AP195" s="62">
        <f>IF(C195="","",IFERROR(INDEX('Saisie'!$AW$5:$AW$2004,_xlfn.MAXIFS('Saisie'!$AS$5:$AS$2004,'Saisie'!$C$5:$C$2004,C195,'Saisie'!$E$5:$E$2004,"Proposition envoyée")-4),""))</f>
        <v/>
      </c>
      <c r="AQ195" s="106">
        <f>IF(C195="","",IFERROR(1/(1/_xlfn.MAXIFS('Saisie'!$A$5:$A$2004,'Saisie'!$C$5:$C$2004,C195,'Saisie'!$E$5:$E$2004,"Proposition envoyée")),""))</f>
        <v/>
      </c>
      <c r="AR195" s="106">
        <f>IF(C195="","",IF(AQ195="","",AQ195+'Paramètres'!$B$26))</f>
        <v/>
      </c>
      <c r="AS195" s="62">
        <f>IF(OR(C195="",D195="Gagné",D195="Perdu"),0,N(AP195)*IFERROR(INDEX('Paramètres'!$G$6:$G$13,MATCH(D195,'Paramètres'!$F$6:$F$13,0)),0))</f>
        <v/>
      </c>
      <c r="AT195" s="106">
        <f>IF(C195="","",IFERROR(1/(1/_xlfn.MINIFS('Saisie'!$A$5:$A$2004,'Saisie'!$C$5:$C$2004,C195,'Saisie'!$E$5:$E$2004,"Signature")),""))</f>
        <v/>
      </c>
      <c r="AU195" s="60">
        <f>IF(C195="","",IF(OR(AT195="",B195=""),"",AT195-B195))</f>
        <v/>
      </c>
      <c r="AV195" s="60">
        <f>IF(C195="","",IFERROR(INDEX('Saisie'!$L$5:$L$2004,_xlfn.MAXIFS('Saisie'!$AS$5:$AS$2004,'Saisie'!$C$5:$C$2004,C195,'Saisie'!$L$5:$L$2004,"&lt;&gt;")-4),""))</f>
        <v/>
      </c>
      <c r="AW195" s="106">
        <f>IF(C195="","",IF(D195&lt;&gt;"Perdu","",IFERROR(1/(1/_xlfn.MAXIFS('Saisie'!$A$5:$A$2004,'Saisie'!$C$5:$C$2004,C195,'Saisie'!$E$5:$E$2004,"Perdu")),"")))</f>
        <v/>
      </c>
      <c r="AX195" s="106">
        <f>IF(C195="","",IF(AW195="","",AW195+'Paramètres'!$B$28))</f>
        <v/>
      </c>
      <c r="AY195" s="60">
        <f>IF(C195="","",SUMIFS('Saisie'!$H$5:$H$2004,'Saisie'!$C$5:$C$2004,C195))</f>
        <v/>
      </c>
      <c r="AZ195" s="60">
        <f>IF(C195="","",IFERROR(INDEX('Paramètres'!$W$6:$W$20,MATCH(S195,'Paramètres'!$V$6:$V$20,0))&amp;"",""))</f>
        <v/>
      </c>
      <c r="BA195" s="60">
        <f>IF(C195="","",MAX(1,_xlfn.MAXIFS('Saisie'!$AT$5:$AT$2004,'Saisie'!$C$5:$C$2004,C195)))</f>
        <v/>
      </c>
      <c r="BB195" s="60">
        <f>IF(C195="","",IFERROR(INDEX('Saisie'!$X$5:$X$2004,_xlfn.MAXIFS('Saisie'!$AS$5:$AS$2004,'Saisie'!$C$5:$C$2004,C195,'Saisie'!$X$5:$X$2004,"&lt;&gt;")-4),""))</f>
        <v/>
      </c>
      <c r="BC195" s="60">
        <f>IF(C195="","",IFERROR(INDEX('Saisie'!$Y$5:$Y$2004,_xlfn.MAXIFS('Saisie'!$AS$5:$AS$2004,'Saisie'!$C$5:$C$2004,C195,'Saisie'!$Y$5:$Y$2004,"&lt;&gt;")-4),""))</f>
        <v/>
      </c>
      <c r="BD195" s="106">
        <f>IF(C195="","",IFERROR(1/(1/_xlfn.MINIFS('Saisie'!$A$5:$A$2004,'Saisie'!$C$5:$C$2004,C195,'Saisie'!$AT$5:$AT$2004,"&gt;=2")),""))</f>
        <v/>
      </c>
      <c r="BE195" s="106">
        <f>IF(C195="","",IFERROR(1/(1/_xlfn.MINIFS('Saisie'!$A$5:$A$2004,'Saisie'!$C$5:$C$2004,C195,'Saisie'!$AT$5:$AT$2004,"&gt;=3")),""))</f>
        <v/>
      </c>
      <c r="BF195" s="106">
        <f>IF(C195="","",IFERROR(1/(1/_xlfn.MINIFS('Saisie'!$A$5:$A$2004,'Saisie'!$C$5:$C$2004,C195,'Saisie'!$AT$5:$AT$2004,"&gt;=4")),""))</f>
        <v/>
      </c>
      <c r="BG195" s="106">
        <f>IF(C195="","",IFERROR(1/(1/_xlfn.MINIFS('Saisie'!$A$5:$A$2004,'Saisie'!$C$5:$C$2004,C195,'Saisie'!$AT$5:$AT$2004,"&gt;=5")),""))</f>
        <v/>
      </c>
      <c r="BH195" s="106">
        <f>IF(C195="","",IFERROR(1/(1/_xlfn.MINIFS('Saisie'!$A$5:$A$2004,'Saisie'!$C$5:$C$2004,C195,'Saisie'!$AT$5:$AT$2004,"&gt;=6")),""))</f>
        <v/>
      </c>
      <c r="BI195" s="106">
        <f>IF(C195="","",IFERROR(1/(1/_xlfn.MINIFS('Saisie'!$A$5:$A$2004,'Saisie'!$C$5:$C$2004,C195,'Saisie'!$AT$5:$AT$2004,"&gt;=7")),""))</f>
        <v/>
      </c>
      <c r="BJ195" s="60">
        <f>IF(OR(BD195="",B195=""),"",BD195-B195)</f>
        <v/>
      </c>
      <c r="BK195" s="60">
        <f>IF(OR(BE195="",BD195=""),"",BE195-BD195)</f>
        <v/>
      </c>
      <c r="BL195" s="60">
        <f>IF(OR(BF195="",BE195=""),"",BF195-BE195)</f>
        <v/>
      </c>
      <c r="BM195" s="60">
        <f>IF(OR(BG195="",BF195=""),"",BG195-BF195)</f>
        <v/>
      </c>
      <c r="BN195" s="60">
        <f>IF(OR(BH195="",BG195=""),"",BH195-BG195)</f>
        <v/>
      </c>
      <c r="BO195" s="60">
        <f>IF(OR(BI195="",BH195=""),"",BI195-BH195)</f>
        <v/>
      </c>
      <c r="BP195" s="60">
        <f>IF(C195="","",_xlfn.MAXIFS('Saisie'!$AS$5:$AS$2004,'Saisie'!$C$5:$C$2004,C195,'Saisie'!$J$5:$J$2004,"&lt;&gt;"))</f>
        <v/>
      </c>
      <c r="BQ195" s="60">
        <f>IF(C195="","",_xlfn.MAXIFS('Saisie'!$AS$5:$AS$2004,'Saisie'!$C$5:$C$2004,C195))</f>
        <v/>
      </c>
      <c r="BR195" s="60">
        <f>IF(C195="","",_xlfn.MAXIFS('Saisie'!$AS$5:$AS$2004,'Saisie'!$C$5:$C$2004,C195,'Saisie'!$E$5:$E$2004,"Perdu"))</f>
        <v/>
      </c>
      <c r="BS195" s="60">
        <f>IF(C195="","",_xlfn.MAXIFS('Saisie'!$AS$5:$AS$2004,'Saisie'!$C$5:$C$2004,C195,'Saisie'!$AT$5:$AT$2004,"&gt;0"))</f>
        <v/>
      </c>
      <c r="BT195" s="109">
        <f>IF(AND(C195&lt;&gt;"",OR(D195="Nouveau",D195="Contacté",D195="Qualifié"),OR(G195="",N(G195)&lt;=TODAY()),NOT(AND(O195&gt;='Paramètres'!$B$21,P195=0))),E195+191/10000,"")</f>
        <v/>
      </c>
      <c r="BU195" s="60">
        <f>IF(AND(G195&lt;&gt;"",N(G195)&lt;=TODAY()),MAX($BU$4:BU194)+1,"")</f>
        <v/>
      </c>
      <c r="BV195" s="60">
        <f>IF(AND(F195&lt;&gt;"",F195&lt;&gt;"Relance en retard"),MAX($BV$4:BV194)+1,"")</f>
        <v/>
      </c>
      <c r="BW195" s="60">
        <f>IF(C195="","",IF(AND(B195&gt;='Tableau de bord'!$R$4,B195&lt;='Tableau de bord'!$S$4,OR('Tableau de bord'!$G$4="Tous",N195='Tableau de bord'!$G$4)),1,0))</f>
        <v/>
      </c>
      <c r="BX195" s="60">
        <f>IF(AND(C195&lt;&gt;"",N(BA195)=7),MAX($BX$4:BX194)+1,"")</f>
        <v/>
      </c>
    </row>
    <row r="196">
      <c r="A196" s="60">
        <f>IF(C196="","","P-"&amp;TEXT(192,"000"))</f>
        <v/>
      </c>
      <c r="B196" s="106">
        <f>IF(C196="","",IFERROR(1/(1/_xlfn.MINIFS('Saisie'!$A$5:$A$2004,'Saisie'!$C$5:$C$2004,C196)),""))</f>
        <v/>
      </c>
      <c r="C196" s="60">
        <f>IFERROR(INDEX('Saisie'!$C$5:$C$2004,MATCH(192,'Saisie'!$AX$5:$AX$2004,0)),"")</f>
        <v/>
      </c>
      <c r="D196" s="60">
        <f>IF(C196="","",IF(AND(BR196&gt;0,BR196&gt;BS196,BA196&lt;7),"Perdu",INDEX('Paramètres'!$F$6:$F$13,BA196)))</f>
        <v/>
      </c>
      <c r="E196" s="61">
        <f>IF(C196="","",MIN(100,(Z196="Oui")*'Paramètres'!$B$38+(AB196="Régulière")*'Paramètres'!$B$39+IF(AND(N(AA196)&gt;0,TODAY()-N(AA196)&lt;=30),'Paramètres'!$B$40,0)+(W196="")*'Paramètres'!$B$41+(AC196="Absente")*'Paramètres'!$B$42+(AC196="Faible")*'Paramètres'!$B$43+IF(AND(N(AD196)&gt;0,N(AD196)&lt;4),'Paramètres'!$B$44,0)+(AF196="Moyenne")*'Paramètres'!$B$45+(AF196="Grande")*'Paramètres'!$B$46+(Y196&lt;&gt;"")*'Paramètres'!$B$47))</f>
        <v/>
      </c>
      <c r="F196" s="60">
        <f>IF(C196="","",IF(D196="Gagné","",IF(D196="Perdu",IF(AND(AX196&lt;&gt;"",AX196&lt;=TODAY()),"À recontacter (perdu)",""),IF(AND(O196&gt;='Paramètres'!$B$21,P196=0),"Stop : "&amp;'Paramètres'!$B$21&amp;" tentatives sans réponse",IF(AND(D196="Proposition",AR196&lt;&gt;"",TODAY()&gt;N(AR196)),"Proposition expirée",IF(AND(D196="Proposition",N(R196)&gt;='Paramètres'!$B$25),"Proposition sans réponse",IF(AND(G196&lt;&gt;"",N(G196)&lt;TODAY()),"Relance en retard",IF(N(R196)&gt;='Paramètres'!$B$24,"Sans action depuis "&amp;R196&amp;" j",""))))))))</f>
        <v/>
      </c>
      <c r="G196" s="106">
        <f>IF(OR(C196="",D196="Gagné",D196="Perdu"),"",IF(AND(BP196&gt;0,BP196=BQ196),INDEX('Saisie'!$J$5:$J$2004,BP196-4),IF(OR(O196=0,AND(O196&gt;='Paramètres'!$B$21,P196=0)),"",Q196+IF(O196&lt;=1,'Paramètres'!$B$18,IF(O196=2,'Paramètres'!$B$19,'Paramètres'!$B$20)))))</f>
        <v/>
      </c>
      <c r="H196" s="107">
        <f>IF(OR(G196="",BP196&lt;&gt;BQ196),"",IF(INDEX('Saisie'!$K$5:$K$2004,BP196-4)="","",INDEX('Saisie'!$K$5:$K$2004,BP196-4)))</f>
        <v/>
      </c>
      <c r="I196" s="60">
        <f>IF(C196="","",IF(OR(D196="Gagné",D196="Perdu"),"",IFERROR(INDEX('Saisie'!$I$5:$I$2004,_xlfn.MAXIFS('Saisie'!$AS$5:$AS$2004,'Saisie'!$C$5:$C$2004,C196,'Saisie'!$I$5:$I$2004,"&lt;&gt;")-4),"")))</f>
        <v/>
      </c>
      <c r="J196" s="60">
        <f>IF(C196="","",IFERROR(INDEX('Saisie'!$U$5:$U$2004,_xlfn.MAXIFS('Saisie'!$AS$5:$AS$2004,'Saisie'!$C$5:$C$2004,C196,'Saisie'!$U$5:$U$2004,"&lt;&gt;")-4),""))</f>
        <v/>
      </c>
      <c r="K196" s="60">
        <f>IF(C196="","",IFERROR(INDEX('Saisie'!$W$5:$W$2004,_xlfn.MAXIFS('Saisie'!$AS$5:$AS$2004,'Saisie'!$C$5:$C$2004,C196,'Saisie'!$W$5:$W$2004,"&lt;&gt;")-4),""))</f>
        <v/>
      </c>
      <c r="L196" s="60">
        <f>IF(IF(BB196&lt;&gt;"",BB196,K196)="","",HYPERLINK("https://wa.me/"&amp;IF(LEFT(SUBSTITUTE(SUBSTITUTE(SUBSTITUTE(IF(BB196&lt;&gt;"",BB196,K196)," ",""),".",""),"+",""),1)="0",'Paramètres'!$B$35&amp;MID(SUBSTITUTE(SUBSTITUTE(SUBSTITUTE(IF(BB196&lt;&gt;"",BB196,K196)," ",""),".",""),"+",""),2,20),SUBSTITUTE(SUBSTITUTE(SUBSTITUTE(IF(BB196&lt;&gt;"",BB196,K196)," ",""),".",""),"+","")),"WhatsApp"))</f>
        <v/>
      </c>
      <c r="M196" s="60">
        <f>IF(BC196="","",HYPERLINK(IF(LEFT(BC196,4)="http",BC196,"https://www.instagram.com/"&amp;SUBSTITUTE(SUBSTITUTE(BC196,"@","")," ","")),BC196))</f>
        <v/>
      </c>
      <c r="N196" s="60">
        <f>IF(C196="","",IFERROR(INDEX('Saisie'!$D$5:$D$2004,_xlfn.MINIFS('Saisie'!$AS$5:$AS$2004,'Saisie'!$C$5:$C$2004,C196,'Saisie'!$AU$5:$AU$2004,1)-4),IFERROR(INDEX('Saisie'!$D$5:$D$2004,_xlfn.MINIFS('Saisie'!$AS$5:$AS$2004,'Saisie'!$C$5:$C$2004,C196,'Saisie'!$D$5:$D$2004,"&lt;&gt;")-4),"")))</f>
        <v/>
      </c>
      <c r="O196" s="60">
        <f>IF(C196="","",COUNTIFS('Saisie'!$C$5:$C$2004,C196,'Saisie'!$AU$5:$AU$2004,1))</f>
        <v/>
      </c>
      <c r="P196" s="60">
        <f>IF(C196="","",COUNTIFS('Saisie'!$C$5:$C$2004,C196,'Saisie'!$AV$5:$AV$2004,1))</f>
        <v/>
      </c>
      <c r="Q196" s="106">
        <f>IF(C196="","",IFERROR(1/(1/_xlfn.MAXIFS('Saisie'!$A$5:$A$2004,'Saisie'!$C$5:$C$2004,C196)),""))</f>
        <v/>
      </c>
      <c r="R196" s="61">
        <f>IF(C196="","",IF(Q196="","",TODAY()-Q196))</f>
        <v/>
      </c>
      <c r="S196" s="60">
        <f>IF(C196="","",IFERROR(INDEX('Saisie'!$R$5:$R$2004,_xlfn.MAXIFS('Saisie'!$AS$5:$AS$2004,'Saisie'!$C$5:$C$2004,C196,'Saisie'!$R$5:$R$2004,"&lt;&gt;")-4),""))</f>
        <v/>
      </c>
      <c r="T196" s="60">
        <f>IF(C196="","",IFERROR(INDEX('Saisie'!$S$5:$S$2004,_xlfn.MAXIFS('Saisie'!$AS$5:$AS$2004,'Saisie'!$C$5:$C$2004,C196,'Saisie'!$S$5:$S$2004,"&lt;&gt;")-4),""))</f>
        <v/>
      </c>
      <c r="U196" s="60">
        <f>IF(C196="","",IFERROR(INDEX('Saisie'!$T$5:$T$2004,_xlfn.MAXIFS('Saisie'!$AS$5:$AS$2004,'Saisie'!$C$5:$C$2004,C196,'Saisie'!$T$5:$T$2004,"&lt;&gt;")-4),""))</f>
        <v/>
      </c>
      <c r="V196" s="60">
        <f>IF(C196="","",IFERROR(INDEX('Saisie'!$V$5:$V$2004,_xlfn.MAXIFS('Saisie'!$AS$5:$AS$2004,'Saisie'!$C$5:$C$2004,C196,'Saisie'!$V$5:$V$2004,"&lt;&gt;")-4),""))</f>
        <v/>
      </c>
      <c r="W196" s="60">
        <f>IF(C196="","",IFERROR(INDEX('Saisie'!$Z$5:$Z$2004,_xlfn.MAXIFS('Saisie'!$AS$5:$AS$2004,'Saisie'!$C$5:$C$2004,C196,'Saisie'!$Z$5:$Z$2004,"&lt;&gt;")-4),""))</f>
        <v/>
      </c>
      <c r="X196" s="60">
        <f>IF(C196="","",IFERROR(INDEX('Saisie'!$AA$5:$AA$2004,_xlfn.MAXIFS('Saisie'!$AS$5:$AS$2004,'Saisie'!$C$5:$C$2004,C196,'Saisie'!$AA$5:$AA$2004,"&lt;&gt;")-4),""))</f>
        <v/>
      </c>
      <c r="Y196" s="60">
        <f>IF(C196="","",IFERROR(INDEX('Saisie'!$AB$5:$AB$2004,_xlfn.MAXIFS('Saisie'!$AS$5:$AS$2004,'Saisie'!$C$5:$C$2004,C196,'Saisie'!$AB$5:$AB$2004,"&lt;&gt;")-4),""))</f>
        <v/>
      </c>
      <c r="Z196" s="60">
        <f>IF(C196="","",IFERROR(INDEX('Saisie'!$AC$5:$AC$2004,_xlfn.MAXIFS('Saisie'!$AS$5:$AS$2004,'Saisie'!$C$5:$C$2004,C196,'Saisie'!$AC$5:$AC$2004,"&lt;&gt;")-4),""))</f>
        <v/>
      </c>
      <c r="AA196" s="106">
        <f>IF(C196="","",IFERROR(INDEX('Saisie'!$AD$5:$AD$2004,_xlfn.MAXIFS('Saisie'!$AS$5:$AS$2004,'Saisie'!$C$5:$C$2004,C196,'Saisie'!$AD$5:$AD$2004,"&lt;&gt;")-4),""))</f>
        <v/>
      </c>
      <c r="AB196" s="60">
        <f>IF(C196="","",IFERROR(INDEX('Saisie'!$AE$5:$AE$2004,_xlfn.MAXIFS('Saisie'!$AS$5:$AS$2004,'Saisie'!$C$5:$C$2004,C196,'Saisie'!$AE$5:$AE$2004,"&lt;&gt;")-4),""))</f>
        <v/>
      </c>
      <c r="AC196" s="60">
        <f>IF(C196="","",IFERROR(INDEX('Saisie'!$AF$5:$AF$2004,_xlfn.MAXIFS('Saisie'!$AS$5:$AS$2004,'Saisie'!$C$5:$C$2004,C196,'Saisie'!$AF$5:$AF$2004,"&lt;&gt;")-4),""))</f>
        <v/>
      </c>
      <c r="AD196" s="108">
        <f>IF(C196="","",IFERROR(INDEX('Saisie'!$AG$5:$AG$2004,_xlfn.MAXIFS('Saisie'!$AS$5:$AS$2004,'Saisie'!$C$5:$C$2004,C196,'Saisie'!$AG$5:$AG$2004,"&lt;&gt;")-4),""))</f>
        <v/>
      </c>
      <c r="AE196" s="60">
        <f>IF(C196="","",IFERROR(INDEX('Saisie'!$AH$5:$AH$2004,_xlfn.MAXIFS('Saisie'!$AS$5:$AS$2004,'Saisie'!$C$5:$C$2004,C196,'Saisie'!$AH$5:$AH$2004,"&lt;&gt;")-4),""))</f>
        <v/>
      </c>
      <c r="AF196" s="60">
        <f>IF(C196="","",IFERROR(INDEX('Saisie'!$AI$5:$AI$2004,_xlfn.MAXIFS('Saisie'!$AS$5:$AS$2004,'Saisie'!$C$5:$C$2004,C196,'Saisie'!$AI$5:$AI$2004,"&lt;&gt;")-4),""))</f>
        <v/>
      </c>
      <c r="AG196" s="60">
        <f>IF(C196="","",IFERROR(INDEX('Saisie'!$AJ$5:$AJ$2004,_xlfn.MAXIFS('Saisie'!$AS$5:$AS$2004,'Saisie'!$C$5:$C$2004,C196,'Saisie'!$AJ$5:$AJ$2004,"&lt;&gt;")-4),""))</f>
        <v/>
      </c>
      <c r="AH196" s="60">
        <f>IF(C196="","",IFERROR(INDEX('Saisie'!$AK$5:$AK$2004,_xlfn.MAXIFS('Saisie'!$AS$5:$AS$2004,'Saisie'!$C$5:$C$2004,C196,'Saisie'!$AK$5:$AK$2004,"&lt;&gt;")-4),""))</f>
        <v/>
      </c>
      <c r="AI196" s="60">
        <f>IF(C196="","",IFERROR(INDEX('Saisie'!$AN$5:$AN$2004,_xlfn.MAXIFS('Saisie'!$AS$5:$AS$2004,'Saisie'!$C$5:$C$2004,C196,'Saisie'!$AN$5:$AN$2004,"&lt;&gt;")-4),""))</f>
        <v/>
      </c>
      <c r="AJ196" s="60">
        <f>IF(C196="","",IFERROR(INDEX('Saisie'!$AO$5:$AO$2004,_xlfn.MAXIFS('Saisie'!$AS$5:$AS$2004,'Saisie'!$C$5:$C$2004,C196,'Saisie'!$AO$5:$AO$2004,"&lt;&gt;")-4),""))</f>
        <v/>
      </c>
      <c r="AK196" s="60">
        <f>IF(C196="","",IFERROR(INDEX('Saisie'!$AP$5:$AP$2004,_xlfn.MAXIFS('Saisie'!$AS$5:$AS$2004,'Saisie'!$C$5:$C$2004,C196,'Saisie'!$AP$5:$AP$2004,"&lt;&gt;")-4),""))</f>
        <v/>
      </c>
      <c r="AL196" s="60">
        <f>IF(C196="","",IFERROR(INDEX('Saisie'!$AQ$5:$AQ$2004,_xlfn.MAXIFS('Saisie'!$AS$5:$AS$2004,'Saisie'!$C$5:$C$2004,C196,'Saisie'!$AQ$5:$AQ$2004,"&lt;&gt;")-4),""))</f>
        <v/>
      </c>
      <c r="AM196" s="60">
        <f>IF(C196="","",((AI196="Oui")+(AJ196="Oui")+(AK196="Oui")+OR(AL196="Immédiat",AL196="&lt; 1 mois"))&amp;"/4")</f>
        <v/>
      </c>
      <c r="AN196" s="60">
        <f>IF(C196="","",IFERROR(INDEX('Saisie'!$AL$5:$AL$2004,_xlfn.MAXIFS('Saisie'!$AS$5:$AS$2004,'Saisie'!$C$5:$C$2004,C196,'Saisie'!$AL$5:$AL$2004,"&lt;&gt;")-4),""))</f>
        <v/>
      </c>
      <c r="AO196" s="62">
        <f>IF(C196="","",IF(IFERROR(INDEX('Saisie'!$AM$5:$AM$2004,_xlfn.MAXIFS('Saisie'!$AS$5:$AS$2004,'Saisie'!$C$5:$C$2004,C196,'Saisie'!$AM$5:$AM$2004,"&lt;&gt;")-4),"")&lt;&gt;"",IFERROR(INDEX('Saisie'!$AM$5:$AM$2004,_xlfn.MAXIFS('Saisie'!$AS$5:$AS$2004,'Saisie'!$C$5:$C$2004,C196,'Saisie'!$AM$5:$AM$2004,"&lt;&gt;")-4),""),IFERROR(INDEX('Paramètres'!$S$6:$S$15,MATCH(AN196,'Paramètres'!$Q$6:$Q$15,0)),"")))</f>
        <v/>
      </c>
      <c r="AP196" s="62">
        <f>IF(C196="","",IFERROR(INDEX('Saisie'!$AW$5:$AW$2004,_xlfn.MAXIFS('Saisie'!$AS$5:$AS$2004,'Saisie'!$C$5:$C$2004,C196,'Saisie'!$E$5:$E$2004,"Proposition envoyée")-4),""))</f>
        <v/>
      </c>
      <c r="AQ196" s="106">
        <f>IF(C196="","",IFERROR(1/(1/_xlfn.MAXIFS('Saisie'!$A$5:$A$2004,'Saisie'!$C$5:$C$2004,C196,'Saisie'!$E$5:$E$2004,"Proposition envoyée")),""))</f>
        <v/>
      </c>
      <c r="AR196" s="106">
        <f>IF(C196="","",IF(AQ196="","",AQ196+'Paramètres'!$B$26))</f>
        <v/>
      </c>
      <c r="AS196" s="62">
        <f>IF(OR(C196="",D196="Gagné",D196="Perdu"),0,N(AP196)*IFERROR(INDEX('Paramètres'!$G$6:$G$13,MATCH(D196,'Paramètres'!$F$6:$F$13,0)),0))</f>
        <v/>
      </c>
      <c r="AT196" s="106">
        <f>IF(C196="","",IFERROR(1/(1/_xlfn.MINIFS('Saisie'!$A$5:$A$2004,'Saisie'!$C$5:$C$2004,C196,'Saisie'!$E$5:$E$2004,"Signature")),""))</f>
        <v/>
      </c>
      <c r="AU196" s="60">
        <f>IF(C196="","",IF(OR(AT196="",B196=""),"",AT196-B196))</f>
        <v/>
      </c>
      <c r="AV196" s="60">
        <f>IF(C196="","",IFERROR(INDEX('Saisie'!$L$5:$L$2004,_xlfn.MAXIFS('Saisie'!$AS$5:$AS$2004,'Saisie'!$C$5:$C$2004,C196,'Saisie'!$L$5:$L$2004,"&lt;&gt;")-4),""))</f>
        <v/>
      </c>
      <c r="AW196" s="106">
        <f>IF(C196="","",IF(D196&lt;&gt;"Perdu","",IFERROR(1/(1/_xlfn.MAXIFS('Saisie'!$A$5:$A$2004,'Saisie'!$C$5:$C$2004,C196,'Saisie'!$E$5:$E$2004,"Perdu")),"")))</f>
        <v/>
      </c>
      <c r="AX196" s="106">
        <f>IF(C196="","",IF(AW196="","",AW196+'Paramètres'!$B$28))</f>
        <v/>
      </c>
      <c r="AY196" s="60">
        <f>IF(C196="","",SUMIFS('Saisie'!$H$5:$H$2004,'Saisie'!$C$5:$C$2004,C196))</f>
        <v/>
      </c>
      <c r="AZ196" s="60">
        <f>IF(C196="","",IFERROR(INDEX('Paramètres'!$W$6:$W$20,MATCH(S196,'Paramètres'!$V$6:$V$20,0))&amp;"",""))</f>
        <v/>
      </c>
      <c r="BA196" s="60">
        <f>IF(C196="","",MAX(1,_xlfn.MAXIFS('Saisie'!$AT$5:$AT$2004,'Saisie'!$C$5:$C$2004,C196)))</f>
        <v/>
      </c>
      <c r="BB196" s="60">
        <f>IF(C196="","",IFERROR(INDEX('Saisie'!$X$5:$X$2004,_xlfn.MAXIFS('Saisie'!$AS$5:$AS$2004,'Saisie'!$C$5:$C$2004,C196,'Saisie'!$X$5:$X$2004,"&lt;&gt;")-4),""))</f>
        <v/>
      </c>
      <c r="BC196" s="60">
        <f>IF(C196="","",IFERROR(INDEX('Saisie'!$Y$5:$Y$2004,_xlfn.MAXIFS('Saisie'!$AS$5:$AS$2004,'Saisie'!$C$5:$C$2004,C196,'Saisie'!$Y$5:$Y$2004,"&lt;&gt;")-4),""))</f>
        <v/>
      </c>
      <c r="BD196" s="106">
        <f>IF(C196="","",IFERROR(1/(1/_xlfn.MINIFS('Saisie'!$A$5:$A$2004,'Saisie'!$C$5:$C$2004,C196,'Saisie'!$AT$5:$AT$2004,"&gt;=2")),""))</f>
        <v/>
      </c>
      <c r="BE196" s="106">
        <f>IF(C196="","",IFERROR(1/(1/_xlfn.MINIFS('Saisie'!$A$5:$A$2004,'Saisie'!$C$5:$C$2004,C196,'Saisie'!$AT$5:$AT$2004,"&gt;=3")),""))</f>
        <v/>
      </c>
      <c r="BF196" s="106">
        <f>IF(C196="","",IFERROR(1/(1/_xlfn.MINIFS('Saisie'!$A$5:$A$2004,'Saisie'!$C$5:$C$2004,C196,'Saisie'!$AT$5:$AT$2004,"&gt;=4")),""))</f>
        <v/>
      </c>
      <c r="BG196" s="106">
        <f>IF(C196="","",IFERROR(1/(1/_xlfn.MINIFS('Saisie'!$A$5:$A$2004,'Saisie'!$C$5:$C$2004,C196,'Saisie'!$AT$5:$AT$2004,"&gt;=5")),""))</f>
        <v/>
      </c>
      <c r="BH196" s="106">
        <f>IF(C196="","",IFERROR(1/(1/_xlfn.MINIFS('Saisie'!$A$5:$A$2004,'Saisie'!$C$5:$C$2004,C196,'Saisie'!$AT$5:$AT$2004,"&gt;=6")),""))</f>
        <v/>
      </c>
      <c r="BI196" s="106">
        <f>IF(C196="","",IFERROR(1/(1/_xlfn.MINIFS('Saisie'!$A$5:$A$2004,'Saisie'!$C$5:$C$2004,C196,'Saisie'!$AT$5:$AT$2004,"&gt;=7")),""))</f>
        <v/>
      </c>
      <c r="BJ196" s="60">
        <f>IF(OR(BD196="",B196=""),"",BD196-B196)</f>
        <v/>
      </c>
      <c r="BK196" s="60">
        <f>IF(OR(BE196="",BD196=""),"",BE196-BD196)</f>
        <v/>
      </c>
      <c r="BL196" s="60">
        <f>IF(OR(BF196="",BE196=""),"",BF196-BE196)</f>
        <v/>
      </c>
      <c r="BM196" s="60">
        <f>IF(OR(BG196="",BF196=""),"",BG196-BF196)</f>
        <v/>
      </c>
      <c r="BN196" s="60">
        <f>IF(OR(BH196="",BG196=""),"",BH196-BG196)</f>
        <v/>
      </c>
      <c r="BO196" s="60">
        <f>IF(OR(BI196="",BH196=""),"",BI196-BH196)</f>
        <v/>
      </c>
      <c r="BP196" s="60">
        <f>IF(C196="","",_xlfn.MAXIFS('Saisie'!$AS$5:$AS$2004,'Saisie'!$C$5:$C$2004,C196,'Saisie'!$J$5:$J$2004,"&lt;&gt;"))</f>
        <v/>
      </c>
      <c r="BQ196" s="60">
        <f>IF(C196="","",_xlfn.MAXIFS('Saisie'!$AS$5:$AS$2004,'Saisie'!$C$5:$C$2004,C196))</f>
        <v/>
      </c>
      <c r="BR196" s="60">
        <f>IF(C196="","",_xlfn.MAXIFS('Saisie'!$AS$5:$AS$2004,'Saisie'!$C$5:$C$2004,C196,'Saisie'!$E$5:$E$2004,"Perdu"))</f>
        <v/>
      </c>
      <c r="BS196" s="60">
        <f>IF(C196="","",_xlfn.MAXIFS('Saisie'!$AS$5:$AS$2004,'Saisie'!$C$5:$C$2004,C196,'Saisie'!$AT$5:$AT$2004,"&gt;0"))</f>
        <v/>
      </c>
      <c r="BT196" s="109">
        <f>IF(AND(C196&lt;&gt;"",OR(D196="Nouveau",D196="Contacté",D196="Qualifié"),OR(G196="",N(G196)&lt;=TODAY()),NOT(AND(O196&gt;='Paramètres'!$B$21,P196=0))),E196+192/10000,"")</f>
        <v/>
      </c>
      <c r="BU196" s="60">
        <f>IF(AND(G196&lt;&gt;"",N(G196)&lt;=TODAY()),MAX($BU$4:BU195)+1,"")</f>
        <v/>
      </c>
      <c r="BV196" s="60">
        <f>IF(AND(F196&lt;&gt;"",F196&lt;&gt;"Relance en retard"),MAX($BV$4:BV195)+1,"")</f>
        <v/>
      </c>
      <c r="BW196" s="60">
        <f>IF(C196="","",IF(AND(B196&gt;='Tableau de bord'!$R$4,B196&lt;='Tableau de bord'!$S$4,OR('Tableau de bord'!$G$4="Tous",N196='Tableau de bord'!$G$4)),1,0))</f>
        <v/>
      </c>
      <c r="BX196" s="60">
        <f>IF(AND(C196&lt;&gt;"",N(BA196)=7),MAX($BX$4:BX195)+1,"")</f>
        <v/>
      </c>
    </row>
    <row r="197">
      <c r="A197" s="60">
        <f>IF(C197="","","P-"&amp;TEXT(193,"000"))</f>
        <v/>
      </c>
      <c r="B197" s="106">
        <f>IF(C197="","",IFERROR(1/(1/_xlfn.MINIFS('Saisie'!$A$5:$A$2004,'Saisie'!$C$5:$C$2004,C197)),""))</f>
        <v/>
      </c>
      <c r="C197" s="60">
        <f>IFERROR(INDEX('Saisie'!$C$5:$C$2004,MATCH(193,'Saisie'!$AX$5:$AX$2004,0)),"")</f>
        <v/>
      </c>
      <c r="D197" s="60">
        <f>IF(C197="","",IF(AND(BR197&gt;0,BR197&gt;BS197,BA197&lt;7),"Perdu",INDEX('Paramètres'!$F$6:$F$13,BA197)))</f>
        <v/>
      </c>
      <c r="E197" s="61">
        <f>IF(C197="","",MIN(100,(Z197="Oui")*'Paramètres'!$B$38+(AB197="Régulière")*'Paramètres'!$B$39+IF(AND(N(AA197)&gt;0,TODAY()-N(AA197)&lt;=30),'Paramètres'!$B$40,0)+(W197="")*'Paramètres'!$B$41+(AC197="Absente")*'Paramètres'!$B$42+(AC197="Faible")*'Paramètres'!$B$43+IF(AND(N(AD197)&gt;0,N(AD197)&lt;4),'Paramètres'!$B$44,0)+(AF197="Moyenne")*'Paramètres'!$B$45+(AF197="Grande")*'Paramètres'!$B$46+(Y197&lt;&gt;"")*'Paramètres'!$B$47))</f>
        <v/>
      </c>
      <c r="F197" s="60">
        <f>IF(C197="","",IF(D197="Gagné","",IF(D197="Perdu",IF(AND(AX197&lt;&gt;"",AX197&lt;=TODAY()),"À recontacter (perdu)",""),IF(AND(O197&gt;='Paramètres'!$B$21,P197=0),"Stop : "&amp;'Paramètres'!$B$21&amp;" tentatives sans réponse",IF(AND(D197="Proposition",AR197&lt;&gt;"",TODAY()&gt;N(AR197)),"Proposition expirée",IF(AND(D197="Proposition",N(R197)&gt;='Paramètres'!$B$25),"Proposition sans réponse",IF(AND(G197&lt;&gt;"",N(G197)&lt;TODAY()),"Relance en retard",IF(N(R197)&gt;='Paramètres'!$B$24,"Sans action depuis "&amp;R197&amp;" j",""))))))))</f>
        <v/>
      </c>
      <c r="G197" s="106">
        <f>IF(OR(C197="",D197="Gagné",D197="Perdu"),"",IF(AND(BP197&gt;0,BP197=BQ197),INDEX('Saisie'!$J$5:$J$2004,BP197-4),IF(OR(O197=0,AND(O197&gt;='Paramètres'!$B$21,P197=0)),"",Q197+IF(O197&lt;=1,'Paramètres'!$B$18,IF(O197=2,'Paramètres'!$B$19,'Paramètres'!$B$20)))))</f>
        <v/>
      </c>
      <c r="H197" s="107">
        <f>IF(OR(G197="",BP197&lt;&gt;BQ197),"",IF(INDEX('Saisie'!$K$5:$K$2004,BP197-4)="","",INDEX('Saisie'!$K$5:$K$2004,BP197-4)))</f>
        <v/>
      </c>
      <c r="I197" s="60">
        <f>IF(C197="","",IF(OR(D197="Gagné",D197="Perdu"),"",IFERROR(INDEX('Saisie'!$I$5:$I$2004,_xlfn.MAXIFS('Saisie'!$AS$5:$AS$2004,'Saisie'!$C$5:$C$2004,C197,'Saisie'!$I$5:$I$2004,"&lt;&gt;")-4),"")))</f>
        <v/>
      </c>
      <c r="J197" s="60">
        <f>IF(C197="","",IFERROR(INDEX('Saisie'!$U$5:$U$2004,_xlfn.MAXIFS('Saisie'!$AS$5:$AS$2004,'Saisie'!$C$5:$C$2004,C197,'Saisie'!$U$5:$U$2004,"&lt;&gt;")-4),""))</f>
        <v/>
      </c>
      <c r="K197" s="60">
        <f>IF(C197="","",IFERROR(INDEX('Saisie'!$W$5:$W$2004,_xlfn.MAXIFS('Saisie'!$AS$5:$AS$2004,'Saisie'!$C$5:$C$2004,C197,'Saisie'!$W$5:$W$2004,"&lt;&gt;")-4),""))</f>
        <v/>
      </c>
      <c r="L197" s="60">
        <f>IF(IF(BB197&lt;&gt;"",BB197,K197)="","",HYPERLINK("https://wa.me/"&amp;IF(LEFT(SUBSTITUTE(SUBSTITUTE(SUBSTITUTE(IF(BB197&lt;&gt;"",BB197,K197)," ",""),".",""),"+",""),1)="0",'Paramètres'!$B$35&amp;MID(SUBSTITUTE(SUBSTITUTE(SUBSTITUTE(IF(BB197&lt;&gt;"",BB197,K197)," ",""),".",""),"+",""),2,20),SUBSTITUTE(SUBSTITUTE(SUBSTITUTE(IF(BB197&lt;&gt;"",BB197,K197)," ",""),".",""),"+","")),"WhatsApp"))</f>
        <v/>
      </c>
      <c r="M197" s="60">
        <f>IF(BC197="","",HYPERLINK(IF(LEFT(BC197,4)="http",BC197,"https://www.instagram.com/"&amp;SUBSTITUTE(SUBSTITUTE(BC197,"@","")," ","")),BC197))</f>
        <v/>
      </c>
      <c r="N197" s="60">
        <f>IF(C197="","",IFERROR(INDEX('Saisie'!$D$5:$D$2004,_xlfn.MINIFS('Saisie'!$AS$5:$AS$2004,'Saisie'!$C$5:$C$2004,C197,'Saisie'!$AU$5:$AU$2004,1)-4),IFERROR(INDEX('Saisie'!$D$5:$D$2004,_xlfn.MINIFS('Saisie'!$AS$5:$AS$2004,'Saisie'!$C$5:$C$2004,C197,'Saisie'!$D$5:$D$2004,"&lt;&gt;")-4),"")))</f>
        <v/>
      </c>
      <c r="O197" s="60">
        <f>IF(C197="","",COUNTIFS('Saisie'!$C$5:$C$2004,C197,'Saisie'!$AU$5:$AU$2004,1))</f>
        <v/>
      </c>
      <c r="P197" s="60">
        <f>IF(C197="","",COUNTIFS('Saisie'!$C$5:$C$2004,C197,'Saisie'!$AV$5:$AV$2004,1))</f>
        <v/>
      </c>
      <c r="Q197" s="106">
        <f>IF(C197="","",IFERROR(1/(1/_xlfn.MAXIFS('Saisie'!$A$5:$A$2004,'Saisie'!$C$5:$C$2004,C197)),""))</f>
        <v/>
      </c>
      <c r="R197" s="61">
        <f>IF(C197="","",IF(Q197="","",TODAY()-Q197))</f>
        <v/>
      </c>
      <c r="S197" s="60">
        <f>IF(C197="","",IFERROR(INDEX('Saisie'!$R$5:$R$2004,_xlfn.MAXIFS('Saisie'!$AS$5:$AS$2004,'Saisie'!$C$5:$C$2004,C197,'Saisie'!$R$5:$R$2004,"&lt;&gt;")-4),""))</f>
        <v/>
      </c>
      <c r="T197" s="60">
        <f>IF(C197="","",IFERROR(INDEX('Saisie'!$S$5:$S$2004,_xlfn.MAXIFS('Saisie'!$AS$5:$AS$2004,'Saisie'!$C$5:$C$2004,C197,'Saisie'!$S$5:$S$2004,"&lt;&gt;")-4),""))</f>
        <v/>
      </c>
      <c r="U197" s="60">
        <f>IF(C197="","",IFERROR(INDEX('Saisie'!$T$5:$T$2004,_xlfn.MAXIFS('Saisie'!$AS$5:$AS$2004,'Saisie'!$C$5:$C$2004,C197,'Saisie'!$T$5:$T$2004,"&lt;&gt;")-4),""))</f>
        <v/>
      </c>
      <c r="V197" s="60">
        <f>IF(C197="","",IFERROR(INDEX('Saisie'!$V$5:$V$2004,_xlfn.MAXIFS('Saisie'!$AS$5:$AS$2004,'Saisie'!$C$5:$C$2004,C197,'Saisie'!$V$5:$V$2004,"&lt;&gt;")-4),""))</f>
        <v/>
      </c>
      <c r="W197" s="60">
        <f>IF(C197="","",IFERROR(INDEX('Saisie'!$Z$5:$Z$2004,_xlfn.MAXIFS('Saisie'!$AS$5:$AS$2004,'Saisie'!$C$5:$C$2004,C197,'Saisie'!$Z$5:$Z$2004,"&lt;&gt;")-4),""))</f>
        <v/>
      </c>
      <c r="X197" s="60">
        <f>IF(C197="","",IFERROR(INDEX('Saisie'!$AA$5:$AA$2004,_xlfn.MAXIFS('Saisie'!$AS$5:$AS$2004,'Saisie'!$C$5:$C$2004,C197,'Saisie'!$AA$5:$AA$2004,"&lt;&gt;")-4),""))</f>
        <v/>
      </c>
      <c r="Y197" s="60">
        <f>IF(C197="","",IFERROR(INDEX('Saisie'!$AB$5:$AB$2004,_xlfn.MAXIFS('Saisie'!$AS$5:$AS$2004,'Saisie'!$C$5:$C$2004,C197,'Saisie'!$AB$5:$AB$2004,"&lt;&gt;")-4),""))</f>
        <v/>
      </c>
      <c r="Z197" s="60">
        <f>IF(C197="","",IFERROR(INDEX('Saisie'!$AC$5:$AC$2004,_xlfn.MAXIFS('Saisie'!$AS$5:$AS$2004,'Saisie'!$C$5:$C$2004,C197,'Saisie'!$AC$5:$AC$2004,"&lt;&gt;")-4),""))</f>
        <v/>
      </c>
      <c r="AA197" s="106">
        <f>IF(C197="","",IFERROR(INDEX('Saisie'!$AD$5:$AD$2004,_xlfn.MAXIFS('Saisie'!$AS$5:$AS$2004,'Saisie'!$C$5:$C$2004,C197,'Saisie'!$AD$5:$AD$2004,"&lt;&gt;")-4),""))</f>
        <v/>
      </c>
      <c r="AB197" s="60">
        <f>IF(C197="","",IFERROR(INDEX('Saisie'!$AE$5:$AE$2004,_xlfn.MAXIFS('Saisie'!$AS$5:$AS$2004,'Saisie'!$C$5:$C$2004,C197,'Saisie'!$AE$5:$AE$2004,"&lt;&gt;")-4),""))</f>
        <v/>
      </c>
      <c r="AC197" s="60">
        <f>IF(C197="","",IFERROR(INDEX('Saisie'!$AF$5:$AF$2004,_xlfn.MAXIFS('Saisie'!$AS$5:$AS$2004,'Saisie'!$C$5:$C$2004,C197,'Saisie'!$AF$5:$AF$2004,"&lt;&gt;")-4),""))</f>
        <v/>
      </c>
      <c r="AD197" s="108">
        <f>IF(C197="","",IFERROR(INDEX('Saisie'!$AG$5:$AG$2004,_xlfn.MAXIFS('Saisie'!$AS$5:$AS$2004,'Saisie'!$C$5:$C$2004,C197,'Saisie'!$AG$5:$AG$2004,"&lt;&gt;")-4),""))</f>
        <v/>
      </c>
      <c r="AE197" s="60">
        <f>IF(C197="","",IFERROR(INDEX('Saisie'!$AH$5:$AH$2004,_xlfn.MAXIFS('Saisie'!$AS$5:$AS$2004,'Saisie'!$C$5:$C$2004,C197,'Saisie'!$AH$5:$AH$2004,"&lt;&gt;")-4),""))</f>
        <v/>
      </c>
      <c r="AF197" s="60">
        <f>IF(C197="","",IFERROR(INDEX('Saisie'!$AI$5:$AI$2004,_xlfn.MAXIFS('Saisie'!$AS$5:$AS$2004,'Saisie'!$C$5:$C$2004,C197,'Saisie'!$AI$5:$AI$2004,"&lt;&gt;")-4),""))</f>
        <v/>
      </c>
      <c r="AG197" s="60">
        <f>IF(C197="","",IFERROR(INDEX('Saisie'!$AJ$5:$AJ$2004,_xlfn.MAXIFS('Saisie'!$AS$5:$AS$2004,'Saisie'!$C$5:$C$2004,C197,'Saisie'!$AJ$5:$AJ$2004,"&lt;&gt;")-4),""))</f>
        <v/>
      </c>
      <c r="AH197" s="60">
        <f>IF(C197="","",IFERROR(INDEX('Saisie'!$AK$5:$AK$2004,_xlfn.MAXIFS('Saisie'!$AS$5:$AS$2004,'Saisie'!$C$5:$C$2004,C197,'Saisie'!$AK$5:$AK$2004,"&lt;&gt;")-4),""))</f>
        <v/>
      </c>
      <c r="AI197" s="60">
        <f>IF(C197="","",IFERROR(INDEX('Saisie'!$AN$5:$AN$2004,_xlfn.MAXIFS('Saisie'!$AS$5:$AS$2004,'Saisie'!$C$5:$C$2004,C197,'Saisie'!$AN$5:$AN$2004,"&lt;&gt;")-4),""))</f>
        <v/>
      </c>
      <c r="AJ197" s="60">
        <f>IF(C197="","",IFERROR(INDEX('Saisie'!$AO$5:$AO$2004,_xlfn.MAXIFS('Saisie'!$AS$5:$AS$2004,'Saisie'!$C$5:$C$2004,C197,'Saisie'!$AO$5:$AO$2004,"&lt;&gt;")-4),""))</f>
        <v/>
      </c>
      <c r="AK197" s="60">
        <f>IF(C197="","",IFERROR(INDEX('Saisie'!$AP$5:$AP$2004,_xlfn.MAXIFS('Saisie'!$AS$5:$AS$2004,'Saisie'!$C$5:$C$2004,C197,'Saisie'!$AP$5:$AP$2004,"&lt;&gt;")-4),""))</f>
        <v/>
      </c>
      <c r="AL197" s="60">
        <f>IF(C197="","",IFERROR(INDEX('Saisie'!$AQ$5:$AQ$2004,_xlfn.MAXIFS('Saisie'!$AS$5:$AS$2004,'Saisie'!$C$5:$C$2004,C197,'Saisie'!$AQ$5:$AQ$2004,"&lt;&gt;")-4),""))</f>
        <v/>
      </c>
      <c r="AM197" s="60">
        <f>IF(C197="","",((AI197="Oui")+(AJ197="Oui")+(AK197="Oui")+OR(AL197="Immédiat",AL197="&lt; 1 mois"))&amp;"/4")</f>
        <v/>
      </c>
      <c r="AN197" s="60">
        <f>IF(C197="","",IFERROR(INDEX('Saisie'!$AL$5:$AL$2004,_xlfn.MAXIFS('Saisie'!$AS$5:$AS$2004,'Saisie'!$C$5:$C$2004,C197,'Saisie'!$AL$5:$AL$2004,"&lt;&gt;")-4),""))</f>
        <v/>
      </c>
      <c r="AO197" s="62">
        <f>IF(C197="","",IF(IFERROR(INDEX('Saisie'!$AM$5:$AM$2004,_xlfn.MAXIFS('Saisie'!$AS$5:$AS$2004,'Saisie'!$C$5:$C$2004,C197,'Saisie'!$AM$5:$AM$2004,"&lt;&gt;")-4),"")&lt;&gt;"",IFERROR(INDEX('Saisie'!$AM$5:$AM$2004,_xlfn.MAXIFS('Saisie'!$AS$5:$AS$2004,'Saisie'!$C$5:$C$2004,C197,'Saisie'!$AM$5:$AM$2004,"&lt;&gt;")-4),""),IFERROR(INDEX('Paramètres'!$S$6:$S$15,MATCH(AN197,'Paramètres'!$Q$6:$Q$15,0)),"")))</f>
        <v/>
      </c>
      <c r="AP197" s="62">
        <f>IF(C197="","",IFERROR(INDEX('Saisie'!$AW$5:$AW$2004,_xlfn.MAXIFS('Saisie'!$AS$5:$AS$2004,'Saisie'!$C$5:$C$2004,C197,'Saisie'!$E$5:$E$2004,"Proposition envoyée")-4),""))</f>
        <v/>
      </c>
      <c r="AQ197" s="106">
        <f>IF(C197="","",IFERROR(1/(1/_xlfn.MAXIFS('Saisie'!$A$5:$A$2004,'Saisie'!$C$5:$C$2004,C197,'Saisie'!$E$5:$E$2004,"Proposition envoyée")),""))</f>
        <v/>
      </c>
      <c r="AR197" s="106">
        <f>IF(C197="","",IF(AQ197="","",AQ197+'Paramètres'!$B$26))</f>
        <v/>
      </c>
      <c r="AS197" s="62">
        <f>IF(OR(C197="",D197="Gagné",D197="Perdu"),0,N(AP197)*IFERROR(INDEX('Paramètres'!$G$6:$G$13,MATCH(D197,'Paramètres'!$F$6:$F$13,0)),0))</f>
        <v/>
      </c>
      <c r="AT197" s="106">
        <f>IF(C197="","",IFERROR(1/(1/_xlfn.MINIFS('Saisie'!$A$5:$A$2004,'Saisie'!$C$5:$C$2004,C197,'Saisie'!$E$5:$E$2004,"Signature")),""))</f>
        <v/>
      </c>
      <c r="AU197" s="60">
        <f>IF(C197="","",IF(OR(AT197="",B197=""),"",AT197-B197))</f>
        <v/>
      </c>
      <c r="AV197" s="60">
        <f>IF(C197="","",IFERROR(INDEX('Saisie'!$L$5:$L$2004,_xlfn.MAXIFS('Saisie'!$AS$5:$AS$2004,'Saisie'!$C$5:$C$2004,C197,'Saisie'!$L$5:$L$2004,"&lt;&gt;")-4),""))</f>
        <v/>
      </c>
      <c r="AW197" s="106">
        <f>IF(C197="","",IF(D197&lt;&gt;"Perdu","",IFERROR(1/(1/_xlfn.MAXIFS('Saisie'!$A$5:$A$2004,'Saisie'!$C$5:$C$2004,C197,'Saisie'!$E$5:$E$2004,"Perdu")),"")))</f>
        <v/>
      </c>
      <c r="AX197" s="106">
        <f>IF(C197="","",IF(AW197="","",AW197+'Paramètres'!$B$28))</f>
        <v/>
      </c>
      <c r="AY197" s="60">
        <f>IF(C197="","",SUMIFS('Saisie'!$H$5:$H$2004,'Saisie'!$C$5:$C$2004,C197))</f>
        <v/>
      </c>
      <c r="AZ197" s="60">
        <f>IF(C197="","",IFERROR(INDEX('Paramètres'!$W$6:$W$20,MATCH(S197,'Paramètres'!$V$6:$V$20,0))&amp;"",""))</f>
        <v/>
      </c>
      <c r="BA197" s="60">
        <f>IF(C197="","",MAX(1,_xlfn.MAXIFS('Saisie'!$AT$5:$AT$2004,'Saisie'!$C$5:$C$2004,C197)))</f>
        <v/>
      </c>
      <c r="BB197" s="60">
        <f>IF(C197="","",IFERROR(INDEX('Saisie'!$X$5:$X$2004,_xlfn.MAXIFS('Saisie'!$AS$5:$AS$2004,'Saisie'!$C$5:$C$2004,C197,'Saisie'!$X$5:$X$2004,"&lt;&gt;")-4),""))</f>
        <v/>
      </c>
      <c r="BC197" s="60">
        <f>IF(C197="","",IFERROR(INDEX('Saisie'!$Y$5:$Y$2004,_xlfn.MAXIFS('Saisie'!$AS$5:$AS$2004,'Saisie'!$C$5:$C$2004,C197,'Saisie'!$Y$5:$Y$2004,"&lt;&gt;")-4),""))</f>
        <v/>
      </c>
      <c r="BD197" s="106">
        <f>IF(C197="","",IFERROR(1/(1/_xlfn.MINIFS('Saisie'!$A$5:$A$2004,'Saisie'!$C$5:$C$2004,C197,'Saisie'!$AT$5:$AT$2004,"&gt;=2")),""))</f>
        <v/>
      </c>
      <c r="BE197" s="106">
        <f>IF(C197="","",IFERROR(1/(1/_xlfn.MINIFS('Saisie'!$A$5:$A$2004,'Saisie'!$C$5:$C$2004,C197,'Saisie'!$AT$5:$AT$2004,"&gt;=3")),""))</f>
        <v/>
      </c>
      <c r="BF197" s="106">
        <f>IF(C197="","",IFERROR(1/(1/_xlfn.MINIFS('Saisie'!$A$5:$A$2004,'Saisie'!$C$5:$C$2004,C197,'Saisie'!$AT$5:$AT$2004,"&gt;=4")),""))</f>
        <v/>
      </c>
      <c r="BG197" s="106">
        <f>IF(C197="","",IFERROR(1/(1/_xlfn.MINIFS('Saisie'!$A$5:$A$2004,'Saisie'!$C$5:$C$2004,C197,'Saisie'!$AT$5:$AT$2004,"&gt;=5")),""))</f>
        <v/>
      </c>
      <c r="BH197" s="106">
        <f>IF(C197="","",IFERROR(1/(1/_xlfn.MINIFS('Saisie'!$A$5:$A$2004,'Saisie'!$C$5:$C$2004,C197,'Saisie'!$AT$5:$AT$2004,"&gt;=6")),""))</f>
        <v/>
      </c>
      <c r="BI197" s="106">
        <f>IF(C197="","",IFERROR(1/(1/_xlfn.MINIFS('Saisie'!$A$5:$A$2004,'Saisie'!$C$5:$C$2004,C197,'Saisie'!$AT$5:$AT$2004,"&gt;=7")),""))</f>
        <v/>
      </c>
      <c r="BJ197" s="60">
        <f>IF(OR(BD197="",B197=""),"",BD197-B197)</f>
        <v/>
      </c>
      <c r="BK197" s="60">
        <f>IF(OR(BE197="",BD197=""),"",BE197-BD197)</f>
        <v/>
      </c>
      <c r="BL197" s="60">
        <f>IF(OR(BF197="",BE197=""),"",BF197-BE197)</f>
        <v/>
      </c>
      <c r="BM197" s="60">
        <f>IF(OR(BG197="",BF197=""),"",BG197-BF197)</f>
        <v/>
      </c>
      <c r="BN197" s="60">
        <f>IF(OR(BH197="",BG197=""),"",BH197-BG197)</f>
        <v/>
      </c>
      <c r="BO197" s="60">
        <f>IF(OR(BI197="",BH197=""),"",BI197-BH197)</f>
        <v/>
      </c>
      <c r="BP197" s="60">
        <f>IF(C197="","",_xlfn.MAXIFS('Saisie'!$AS$5:$AS$2004,'Saisie'!$C$5:$C$2004,C197,'Saisie'!$J$5:$J$2004,"&lt;&gt;"))</f>
        <v/>
      </c>
      <c r="BQ197" s="60">
        <f>IF(C197="","",_xlfn.MAXIFS('Saisie'!$AS$5:$AS$2004,'Saisie'!$C$5:$C$2004,C197))</f>
        <v/>
      </c>
      <c r="BR197" s="60">
        <f>IF(C197="","",_xlfn.MAXIFS('Saisie'!$AS$5:$AS$2004,'Saisie'!$C$5:$C$2004,C197,'Saisie'!$E$5:$E$2004,"Perdu"))</f>
        <v/>
      </c>
      <c r="BS197" s="60">
        <f>IF(C197="","",_xlfn.MAXIFS('Saisie'!$AS$5:$AS$2004,'Saisie'!$C$5:$C$2004,C197,'Saisie'!$AT$5:$AT$2004,"&gt;0"))</f>
        <v/>
      </c>
      <c r="BT197" s="109">
        <f>IF(AND(C197&lt;&gt;"",OR(D197="Nouveau",D197="Contacté",D197="Qualifié"),OR(G197="",N(G197)&lt;=TODAY()),NOT(AND(O197&gt;='Paramètres'!$B$21,P197=0))),E197+193/10000,"")</f>
        <v/>
      </c>
      <c r="BU197" s="60">
        <f>IF(AND(G197&lt;&gt;"",N(G197)&lt;=TODAY()),MAX($BU$4:BU196)+1,"")</f>
        <v/>
      </c>
      <c r="BV197" s="60">
        <f>IF(AND(F197&lt;&gt;"",F197&lt;&gt;"Relance en retard"),MAX($BV$4:BV196)+1,"")</f>
        <v/>
      </c>
      <c r="BW197" s="60">
        <f>IF(C197="","",IF(AND(B197&gt;='Tableau de bord'!$R$4,B197&lt;='Tableau de bord'!$S$4,OR('Tableau de bord'!$G$4="Tous",N197='Tableau de bord'!$G$4)),1,0))</f>
        <v/>
      </c>
      <c r="BX197" s="60">
        <f>IF(AND(C197&lt;&gt;"",N(BA197)=7),MAX($BX$4:BX196)+1,"")</f>
        <v/>
      </c>
    </row>
    <row r="198">
      <c r="A198" s="60">
        <f>IF(C198="","","P-"&amp;TEXT(194,"000"))</f>
        <v/>
      </c>
      <c r="B198" s="106">
        <f>IF(C198="","",IFERROR(1/(1/_xlfn.MINIFS('Saisie'!$A$5:$A$2004,'Saisie'!$C$5:$C$2004,C198)),""))</f>
        <v/>
      </c>
      <c r="C198" s="60">
        <f>IFERROR(INDEX('Saisie'!$C$5:$C$2004,MATCH(194,'Saisie'!$AX$5:$AX$2004,0)),"")</f>
        <v/>
      </c>
      <c r="D198" s="60">
        <f>IF(C198="","",IF(AND(BR198&gt;0,BR198&gt;BS198,BA198&lt;7),"Perdu",INDEX('Paramètres'!$F$6:$F$13,BA198)))</f>
        <v/>
      </c>
      <c r="E198" s="61">
        <f>IF(C198="","",MIN(100,(Z198="Oui")*'Paramètres'!$B$38+(AB198="Régulière")*'Paramètres'!$B$39+IF(AND(N(AA198)&gt;0,TODAY()-N(AA198)&lt;=30),'Paramètres'!$B$40,0)+(W198="")*'Paramètres'!$B$41+(AC198="Absente")*'Paramètres'!$B$42+(AC198="Faible")*'Paramètres'!$B$43+IF(AND(N(AD198)&gt;0,N(AD198)&lt;4),'Paramètres'!$B$44,0)+(AF198="Moyenne")*'Paramètres'!$B$45+(AF198="Grande")*'Paramètres'!$B$46+(Y198&lt;&gt;"")*'Paramètres'!$B$47))</f>
        <v/>
      </c>
      <c r="F198" s="60">
        <f>IF(C198="","",IF(D198="Gagné","",IF(D198="Perdu",IF(AND(AX198&lt;&gt;"",AX198&lt;=TODAY()),"À recontacter (perdu)",""),IF(AND(O198&gt;='Paramètres'!$B$21,P198=0),"Stop : "&amp;'Paramètres'!$B$21&amp;" tentatives sans réponse",IF(AND(D198="Proposition",AR198&lt;&gt;"",TODAY()&gt;N(AR198)),"Proposition expirée",IF(AND(D198="Proposition",N(R198)&gt;='Paramètres'!$B$25),"Proposition sans réponse",IF(AND(G198&lt;&gt;"",N(G198)&lt;TODAY()),"Relance en retard",IF(N(R198)&gt;='Paramètres'!$B$24,"Sans action depuis "&amp;R198&amp;" j",""))))))))</f>
        <v/>
      </c>
      <c r="G198" s="106">
        <f>IF(OR(C198="",D198="Gagné",D198="Perdu"),"",IF(AND(BP198&gt;0,BP198=BQ198),INDEX('Saisie'!$J$5:$J$2004,BP198-4),IF(OR(O198=0,AND(O198&gt;='Paramètres'!$B$21,P198=0)),"",Q198+IF(O198&lt;=1,'Paramètres'!$B$18,IF(O198=2,'Paramètres'!$B$19,'Paramètres'!$B$20)))))</f>
        <v/>
      </c>
      <c r="H198" s="107">
        <f>IF(OR(G198="",BP198&lt;&gt;BQ198),"",IF(INDEX('Saisie'!$K$5:$K$2004,BP198-4)="","",INDEX('Saisie'!$K$5:$K$2004,BP198-4)))</f>
        <v/>
      </c>
      <c r="I198" s="60">
        <f>IF(C198="","",IF(OR(D198="Gagné",D198="Perdu"),"",IFERROR(INDEX('Saisie'!$I$5:$I$2004,_xlfn.MAXIFS('Saisie'!$AS$5:$AS$2004,'Saisie'!$C$5:$C$2004,C198,'Saisie'!$I$5:$I$2004,"&lt;&gt;")-4),"")))</f>
        <v/>
      </c>
      <c r="J198" s="60">
        <f>IF(C198="","",IFERROR(INDEX('Saisie'!$U$5:$U$2004,_xlfn.MAXIFS('Saisie'!$AS$5:$AS$2004,'Saisie'!$C$5:$C$2004,C198,'Saisie'!$U$5:$U$2004,"&lt;&gt;")-4),""))</f>
        <v/>
      </c>
      <c r="K198" s="60">
        <f>IF(C198="","",IFERROR(INDEX('Saisie'!$W$5:$W$2004,_xlfn.MAXIFS('Saisie'!$AS$5:$AS$2004,'Saisie'!$C$5:$C$2004,C198,'Saisie'!$W$5:$W$2004,"&lt;&gt;")-4),""))</f>
        <v/>
      </c>
      <c r="L198" s="60">
        <f>IF(IF(BB198&lt;&gt;"",BB198,K198)="","",HYPERLINK("https://wa.me/"&amp;IF(LEFT(SUBSTITUTE(SUBSTITUTE(SUBSTITUTE(IF(BB198&lt;&gt;"",BB198,K198)," ",""),".",""),"+",""),1)="0",'Paramètres'!$B$35&amp;MID(SUBSTITUTE(SUBSTITUTE(SUBSTITUTE(IF(BB198&lt;&gt;"",BB198,K198)," ",""),".",""),"+",""),2,20),SUBSTITUTE(SUBSTITUTE(SUBSTITUTE(IF(BB198&lt;&gt;"",BB198,K198)," ",""),".",""),"+","")),"WhatsApp"))</f>
        <v/>
      </c>
      <c r="M198" s="60">
        <f>IF(BC198="","",HYPERLINK(IF(LEFT(BC198,4)="http",BC198,"https://www.instagram.com/"&amp;SUBSTITUTE(SUBSTITUTE(BC198,"@","")," ","")),BC198))</f>
        <v/>
      </c>
      <c r="N198" s="60">
        <f>IF(C198="","",IFERROR(INDEX('Saisie'!$D$5:$D$2004,_xlfn.MINIFS('Saisie'!$AS$5:$AS$2004,'Saisie'!$C$5:$C$2004,C198,'Saisie'!$AU$5:$AU$2004,1)-4),IFERROR(INDEX('Saisie'!$D$5:$D$2004,_xlfn.MINIFS('Saisie'!$AS$5:$AS$2004,'Saisie'!$C$5:$C$2004,C198,'Saisie'!$D$5:$D$2004,"&lt;&gt;")-4),"")))</f>
        <v/>
      </c>
      <c r="O198" s="60">
        <f>IF(C198="","",COUNTIFS('Saisie'!$C$5:$C$2004,C198,'Saisie'!$AU$5:$AU$2004,1))</f>
        <v/>
      </c>
      <c r="P198" s="60">
        <f>IF(C198="","",COUNTIFS('Saisie'!$C$5:$C$2004,C198,'Saisie'!$AV$5:$AV$2004,1))</f>
        <v/>
      </c>
      <c r="Q198" s="106">
        <f>IF(C198="","",IFERROR(1/(1/_xlfn.MAXIFS('Saisie'!$A$5:$A$2004,'Saisie'!$C$5:$C$2004,C198)),""))</f>
        <v/>
      </c>
      <c r="R198" s="61">
        <f>IF(C198="","",IF(Q198="","",TODAY()-Q198))</f>
        <v/>
      </c>
      <c r="S198" s="60">
        <f>IF(C198="","",IFERROR(INDEX('Saisie'!$R$5:$R$2004,_xlfn.MAXIFS('Saisie'!$AS$5:$AS$2004,'Saisie'!$C$5:$C$2004,C198,'Saisie'!$R$5:$R$2004,"&lt;&gt;")-4),""))</f>
        <v/>
      </c>
      <c r="T198" s="60">
        <f>IF(C198="","",IFERROR(INDEX('Saisie'!$S$5:$S$2004,_xlfn.MAXIFS('Saisie'!$AS$5:$AS$2004,'Saisie'!$C$5:$C$2004,C198,'Saisie'!$S$5:$S$2004,"&lt;&gt;")-4),""))</f>
        <v/>
      </c>
      <c r="U198" s="60">
        <f>IF(C198="","",IFERROR(INDEX('Saisie'!$T$5:$T$2004,_xlfn.MAXIFS('Saisie'!$AS$5:$AS$2004,'Saisie'!$C$5:$C$2004,C198,'Saisie'!$T$5:$T$2004,"&lt;&gt;")-4),""))</f>
        <v/>
      </c>
      <c r="V198" s="60">
        <f>IF(C198="","",IFERROR(INDEX('Saisie'!$V$5:$V$2004,_xlfn.MAXIFS('Saisie'!$AS$5:$AS$2004,'Saisie'!$C$5:$C$2004,C198,'Saisie'!$V$5:$V$2004,"&lt;&gt;")-4),""))</f>
        <v/>
      </c>
      <c r="W198" s="60">
        <f>IF(C198="","",IFERROR(INDEX('Saisie'!$Z$5:$Z$2004,_xlfn.MAXIFS('Saisie'!$AS$5:$AS$2004,'Saisie'!$C$5:$C$2004,C198,'Saisie'!$Z$5:$Z$2004,"&lt;&gt;")-4),""))</f>
        <v/>
      </c>
      <c r="X198" s="60">
        <f>IF(C198="","",IFERROR(INDEX('Saisie'!$AA$5:$AA$2004,_xlfn.MAXIFS('Saisie'!$AS$5:$AS$2004,'Saisie'!$C$5:$C$2004,C198,'Saisie'!$AA$5:$AA$2004,"&lt;&gt;")-4),""))</f>
        <v/>
      </c>
      <c r="Y198" s="60">
        <f>IF(C198="","",IFERROR(INDEX('Saisie'!$AB$5:$AB$2004,_xlfn.MAXIFS('Saisie'!$AS$5:$AS$2004,'Saisie'!$C$5:$C$2004,C198,'Saisie'!$AB$5:$AB$2004,"&lt;&gt;")-4),""))</f>
        <v/>
      </c>
      <c r="Z198" s="60">
        <f>IF(C198="","",IFERROR(INDEX('Saisie'!$AC$5:$AC$2004,_xlfn.MAXIFS('Saisie'!$AS$5:$AS$2004,'Saisie'!$C$5:$C$2004,C198,'Saisie'!$AC$5:$AC$2004,"&lt;&gt;")-4),""))</f>
        <v/>
      </c>
      <c r="AA198" s="106">
        <f>IF(C198="","",IFERROR(INDEX('Saisie'!$AD$5:$AD$2004,_xlfn.MAXIFS('Saisie'!$AS$5:$AS$2004,'Saisie'!$C$5:$C$2004,C198,'Saisie'!$AD$5:$AD$2004,"&lt;&gt;")-4),""))</f>
        <v/>
      </c>
      <c r="AB198" s="60">
        <f>IF(C198="","",IFERROR(INDEX('Saisie'!$AE$5:$AE$2004,_xlfn.MAXIFS('Saisie'!$AS$5:$AS$2004,'Saisie'!$C$5:$C$2004,C198,'Saisie'!$AE$5:$AE$2004,"&lt;&gt;")-4),""))</f>
        <v/>
      </c>
      <c r="AC198" s="60">
        <f>IF(C198="","",IFERROR(INDEX('Saisie'!$AF$5:$AF$2004,_xlfn.MAXIFS('Saisie'!$AS$5:$AS$2004,'Saisie'!$C$5:$C$2004,C198,'Saisie'!$AF$5:$AF$2004,"&lt;&gt;")-4),""))</f>
        <v/>
      </c>
      <c r="AD198" s="108">
        <f>IF(C198="","",IFERROR(INDEX('Saisie'!$AG$5:$AG$2004,_xlfn.MAXIFS('Saisie'!$AS$5:$AS$2004,'Saisie'!$C$5:$C$2004,C198,'Saisie'!$AG$5:$AG$2004,"&lt;&gt;")-4),""))</f>
        <v/>
      </c>
      <c r="AE198" s="60">
        <f>IF(C198="","",IFERROR(INDEX('Saisie'!$AH$5:$AH$2004,_xlfn.MAXIFS('Saisie'!$AS$5:$AS$2004,'Saisie'!$C$5:$C$2004,C198,'Saisie'!$AH$5:$AH$2004,"&lt;&gt;")-4),""))</f>
        <v/>
      </c>
      <c r="AF198" s="60">
        <f>IF(C198="","",IFERROR(INDEX('Saisie'!$AI$5:$AI$2004,_xlfn.MAXIFS('Saisie'!$AS$5:$AS$2004,'Saisie'!$C$5:$C$2004,C198,'Saisie'!$AI$5:$AI$2004,"&lt;&gt;")-4),""))</f>
        <v/>
      </c>
      <c r="AG198" s="60">
        <f>IF(C198="","",IFERROR(INDEX('Saisie'!$AJ$5:$AJ$2004,_xlfn.MAXIFS('Saisie'!$AS$5:$AS$2004,'Saisie'!$C$5:$C$2004,C198,'Saisie'!$AJ$5:$AJ$2004,"&lt;&gt;")-4),""))</f>
        <v/>
      </c>
      <c r="AH198" s="60">
        <f>IF(C198="","",IFERROR(INDEX('Saisie'!$AK$5:$AK$2004,_xlfn.MAXIFS('Saisie'!$AS$5:$AS$2004,'Saisie'!$C$5:$C$2004,C198,'Saisie'!$AK$5:$AK$2004,"&lt;&gt;")-4),""))</f>
        <v/>
      </c>
      <c r="AI198" s="60">
        <f>IF(C198="","",IFERROR(INDEX('Saisie'!$AN$5:$AN$2004,_xlfn.MAXIFS('Saisie'!$AS$5:$AS$2004,'Saisie'!$C$5:$C$2004,C198,'Saisie'!$AN$5:$AN$2004,"&lt;&gt;")-4),""))</f>
        <v/>
      </c>
      <c r="AJ198" s="60">
        <f>IF(C198="","",IFERROR(INDEX('Saisie'!$AO$5:$AO$2004,_xlfn.MAXIFS('Saisie'!$AS$5:$AS$2004,'Saisie'!$C$5:$C$2004,C198,'Saisie'!$AO$5:$AO$2004,"&lt;&gt;")-4),""))</f>
        <v/>
      </c>
      <c r="AK198" s="60">
        <f>IF(C198="","",IFERROR(INDEX('Saisie'!$AP$5:$AP$2004,_xlfn.MAXIFS('Saisie'!$AS$5:$AS$2004,'Saisie'!$C$5:$C$2004,C198,'Saisie'!$AP$5:$AP$2004,"&lt;&gt;")-4),""))</f>
        <v/>
      </c>
      <c r="AL198" s="60">
        <f>IF(C198="","",IFERROR(INDEX('Saisie'!$AQ$5:$AQ$2004,_xlfn.MAXIFS('Saisie'!$AS$5:$AS$2004,'Saisie'!$C$5:$C$2004,C198,'Saisie'!$AQ$5:$AQ$2004,"&lt;&gt;")-4),""))</f>
        <v/>
      </c>
      <c r="AM198" s="60">
        <f>IF(C198="","",((AI198="Oui")+(AJ198="Oui")+(AK198="Oui")+OR(AL198="Immédiat",AL198="&lt; 1 mois"))&amp;"/4")</f>
        <v/>
      </c>
      <c r="AN198" s="60">
        <f>IF(C198="","",IFERROR(INDEX('Saisie'!$AL$5:$AL$2004,_xlfn.MAXIFS('Saisie'!$AS$5:$AS$2004,'Saisie'!$C$5:$C$2004,C198,'Saisie'!$AL$5:$AL$2004,"&lt;&gt;")-4),""))</f>
        <v/>
      </c>
      <c r="AO198" s="62">
        <f>IF(C198="","",IF(IFERROR(INDEX('Saisie'!$AM$5:$AM$2004,_xlfn.MAXIFS('Saisie'!$AS$5:$AS$2004,'Saisie'!$C$5:$C$2004,C198,'Saisie'!$AM$5:$AM$2004,"&lt;&gt;")-4),"")&lt;&gt;"",IFERROR(INDEX('Saisie'!$AM$5:$AM$2004,_xlfn.MAXIFS('Saisie'!$AS$5:$AS$2004,'Saisie'!$C$5:$C$2004,C198,'Saisie'!$AM$5:$AM$2004,"&lt;&gt;")-4),""),IFERROR(INDEX('Paramètres'!$S$6:$S$15,MATCH(AN198,'Paramètres'!$Q$6:$Q$15,0)),"")))</f>
        <v/>
      </c>
      <c r="AP198" s="62">
        <f>IF(C198="","",IFERROR(INDEX('Saisie'!$AW$5:$AW$2004,_xlfn.MAXIFS('Saisie'!$AS$5:$AS$2004,'Saisie'!$C$5:$C$2004,C198,'Saisie'!$E$5:$E$2004,"Proposition envoyée")-4),""))</f>
        <v/>
      </c>
      <c r="AQ198" s="106">
        <f>IF(C198="","",IFERROR(1/(1/_xlfn.MAXIFS('Saisie'!$A$5:$A$2004,'Saisie'!$C$5:$C$2004,C198,'Saisie'!$E$5:$E$2004,"Proposition envoyée")),""))</f>
        <v/>
      </c>
      <c r="AR198" s="106">
        <f>IF(C198="","",IF(AQ198="","",AQ198+'Paramètres'!$B$26))</f>
        <v/>
      </c>
      <c r="AS198" s="62">
        <f>IF(OR(C198="",D198="Gagné",D198="Perdu"),0,N(AP198)*IFERROR(INDEX('Paramètres'!$G$6:$G$13,MATCH(D198,'Paramètres'!$F$6:$F$13,0)),0))</f>
        <v/>
      </c>
      <c r="AT198" s="106">
        <f>IF(C198="","",IFERROR(1/(1/_xlfn.MINIFS('Saisie'!$A$5:$A$2004,'Saisie'!$C$5:$C$2004,C198,'Saisie'!$E$5:$E$2004,"Signature")),""))</f>
        <v/>
      </c>
      <c r="AU198" s="60">
        <f>IF(C198="","",IF(OR(AT198="",B198=""),"",AT198-B198))</f>
        <v/>
      </c>
      <c r="AV198" s="60">
        <f>IF(C198="","",IFERROR(INDEX('Saisie'!$L$5:$L$2004,_xlfn.MAXIFS('Saisie'!$AS$5:$AS$2004,'Saisie'!$C$5:$C$2004,C198,'Saisie'!$L$5:$L$2004,"&lt;&gt;")-4),""))</f>
        <v/>
      </c>
      <c r="AW198" s="106">
        <f>IF(C198="","",IF(D198&lt;&gt;"Perdu","",IFERROR(1/(1/_xlfn.MAXIFS('Saisie'!$A$5:$A$2004,'Saisie'!$C$5:$C$2004,C198,'Saisie'!$E$5:$E$2004,"Perdu")),"")))</f>
        <v/>
      </c>
      <c r="AX198" s="106">
        <f>IF(C198="","",IF(AW198="","",AW198+'Paramètres'!$B$28))</f>
        <v/>
      </c>
      <c r="AY198" s="60">
        <f>IF(C198="","",SUMIFS('Saisie'!$H$5:$H$2004,'Saisie'!$C$5:$C$2004,C198))</f>
        <v/>
      </c>
      <c r="AZ198" s="60">
        <f>IF(C198="","",IFERROR(INDEX('Paramètres'!$W$6:$W$20,MATCH(S198,'Paramètres'!$V$6:$V$20,0))&amp;"",""))</f>
        <v/>
      </c>
      <c r="BA198" s="60">
        <f>IF(C198="","",MAX(1,_xlfn.MAXIFS('Saisie'!$AT$5:$AT$2004,'Saisie'!$C$5:$C$2004,C198)))</f>
        <v/>
      </c>
      <c r="BB198" s="60">
        <f>IF(C198="","",IFERROR(INDEX('Saisie'!$X$5:$X$2004,_xlfn.MAXIFS('Saisie'!$AS$5:$AS$2004,'Saisie'!$C$5:$C$2004,C198,'Saisie'!$X$5:$X$2004,"&lt;&gt;")-4),""))</f>
        <v/>
      </c>
      <c r="BC198" s="60">
        <f>IF(C198="","",IFERROR(INDEX('Saisie'!$Y$5:$Y$2004,_xlfn.MAXIFS('Saisie'!$AS$5:$AS$2004,'Saisie'!$C$5:$C$2004,C198,'Saisie'!$Y$5:$Y$2004,"&lt;&gt;")-4),""))</f>
        <v/>
      </c>
      <c r="BD198" s="106">
        <f>IF(C198="","",IFERROR(1/(1/_xlfn.MINIFS('Saisie'!$A$5:$A$2004,'Saisie'!$C$5:$C$2004,C198,'Saisie'!$AT$5:$AT$2004,"&gt;=2")),""))</f>
        <v/>
      </c>
      <c r="BE198" s="106">
        <f>IF(C198="","",IFERROR(1/(1/_xlfn.MINIFS('Saisie'!$A$5:$A$2004,'Saisie'!$C$5:$C$2004,C198,'Saisie'!$AT$5:$AT$2004,"&gt;=3")),""))</f>
        <v/>
      </c>
      <c r="BF198" s="106">
        <f>IF(C198="","",IFERROR(1/(1/_xlfn.MINIFS('Saisie'!$A$5:$A$2004,'Saisie'!$C$5:$C$2004,C198,'Saisie'!$AT$5:$AT$2004,"&gt;=4")),""))</f>
        <v/>
      </c>
      <c r="BG198" s="106">
        <f>IF(C198="","",IFERROR(1/(1/_xlfn.MINIFS('Saisie'!$A$5:$A$2004,'Saisie'!$C$5:$C$2004,C198,'Saisie'!$AT$5:$AT$2004,"&gt;=5")),""))</f>
        <v/>
      </c>
      <c r="BH198" s="106">
        <f>IF(C198="","",IFERROR(1/(1/_xlfn.MINIFS('Saisie'!$A$5:$A$2004,'Saisie'!$C$5:$C$2004,C198,'Saisie'!$AT$5:$AT$2004,"&gt;=6")),""))</f>
        <v/>
      </c>
      <c r="BI198" s="106">
        <f>IF(C198="","",IFERROR(1/(1/_xlfn.MINIFS('Saisie'!$A$5:$A$2004,'Saisie'!$C$5:$C$2004,C198,'Saisie'!$AT$5:$AT$2004,"&gt;=7")),""))</f>
        <v/>
      </c>
      <c r="BJ198" s="60">
        <f>IF(OR(BD198="",B198=""),"",BD198-B198)</f>
        <v/>
      </c>
      <c r="BK198" s="60">
        <f>IF(OR(BE198="",BD198=""),"",BE198-BD198)</f>
        <v/>
      </c>
      <c r="BL198" s="60">
        <f>IF(OR(BF198="",BE198=""),"",BF198-BE198)</f>
        <v/>
      </c>
      <c r="BM198" s="60">
        <f>IF(OR(BG198="",BF198=""),"",BG198-BF198)</f>
        <v/>
      </c>
      <c r="BN198" s="60">
        <f>IF(OR(BH198="",BG198=""),"",BH198-BG198)</f>
        <v/>
      </c>
      <c r="BO198" s="60">
        <f>IF(OR(BI198="",BH198=""),"",BI198-BH198)</f>
        <v/>
      </c>
      <c r="BP198" s="60">
        <f>IF(C198="","",_xlfn.MAXIFS('Saisie'!$AS$5:$AS$2004,'Saisie'!$C$5:$C$2004,C198,'Saisie'!$J$5:$J$2004,"&lt;&gt;"))</f>
        <v/>
      </c>
      <c r="BQ198" s="60">
        <f>IF(C198="","",_xlfn.MAXIFS('Saisie'!$AS$5:$AS$2004,'Saisie'!$C$5:$C$2004,C198))</f>
        <v/>
      </c>
      <c r="BR198" s="60">
        <f>IF(C198="","",_xlfn.MAXIFS('Saisie'!$AS$5:$AS$2004,'Saisie'!$C$5:$C$2004,C198,'Saisie'!$E$5:$E$2004,"Perdu"))</f>
        <v/>
      </c>
      <c r="BS198" s="60">
        <f>IF(C198="","",_xlfn.MAXIFS('Saisie'!$AS$5:$AS$2004,'Saisie'!$C$5:$C$2004,C198,'Saisie'!$AT$5:$AT$2004,"&gt;0"))</f>
        <v/>
      </c>
      <c r="BT198" s="109">
        <f>IF(AND(C198&lt;&gt;"",OR(D198="Nouveau",D198="Contacté",D198="Qualifié"),OR(G198="",N(G198)&lt;=TODAY()),NOT(AND(O198&gt;='Paramètres'!$B$21,P198=0))),E198+194/10000,"")</f>
        <v/>
      </c>
      <c r="BU198" s="60">
        <f>IF(AND(G198&lt;&gt;"",N(G198)&lt;=TODAY()),MAX($BU$4:BU197)+1,"")</f>
        <v/>
      </c>
      <c r="BV198" s="60">
        <f>IF(AND(F198&lt;&gt;"",F198&lt;&gt;"Relance en retard"),MAX($BV$4:BV197)+1,"")</f>
        <v/>
      </c>
      <c r="BW198" s="60">
        <f>IF(C198="","",IF(AND(B198&gt;='Tableau de bord'!$R$4,B198&lt;='Tableau de bord'!$S$4,OR('Tableau de bord'!$G$4="Tous",N198='Tableau de bord'!$G$4)),1,0))</f>
        <v/>
      </c>
      <c r="BX198" s="60">
        <f>IF(AND(C198&lt;&gt;"",N(BA198)=7),MAX($BX$4:BX197)+1,"")</f>
        <v/>
      </c>
    </row>
    <row r="199">
      <c r="A199" s="60">
        <f>IF(C199="","","P-"&amp;TEXT(195,"000"))</f>
        <v/>
      </c>
      <c r="B199" s="106">
        <f>IF(C199="","",IFERROR(1/(1/_xlfn.MINIFS('Saisie'!$A$5:$A$2004,'Saisie'!$C$5:$C$2004,C199)),""))</f>
        <v/>
      </c>
      <c r="C199" s="60">
        <f>IFERROR(INDEX('Saisie'!$C$5:$C$2004,MATCH(195,'Saisie'!$AX$5:$AX$2004,0)),"")</f>
        <v/>
      </c>
      <c r="D199" s="60">
        <f>IF(C199="","",IF(AND(BR199&gt;0,BR199&gt;BS199,BA199&lt;7),"Perdu",INDEX('Paramètres'!$F$6:$F$13,BA199)))</f>
        <v/>
      </c>
      <c r="E199" s="61">
        <f>IF(C199="","",MIN(100,(Z199="Oui")*'Paramètres'!$B$38+(AB199="Régulière")*'Paramètres'!$B$39+IF(AND(N(AA199)&gt;0,TODAY()-N(AA199)&lt;=30),'Paramètres'!$B$40,0)+(W199="")*'Paramètres'!$B$41+(AC199="Absente")*'Paramètres'!$B$42+(AC199="Faible")*'Paramètres'!$B$43+IF(AND(N(AD199)&gt;0,N(AD199)&lt;4),'Paramètres'!$B$44,0)+(AF199="Moyenne")*'Paramètres'!$B$45+(AF199="Grande")*'Paramètres'!$B$46+(Y199&lt;&gt;"")*'Paramètres'!$B$47))</f>
        <v/>
      </c>
      <c r="F199" s="60">
        <f>IF(C199="","",IF(D199="Gagné","",IF(D199="Perdu",IF(AND(AX199&lt;&gt;"",AX199&lt;=TODAY()),"À recontacter (perdu)",""),IF(AND(O199&gt;='Paramètres'!$B$21,P199=0),"Stop : "&amp;'Paramètres'!$B$21&amp;" tentatives sans réponse",IF(AND(D199="Proposition",AR199&lt;&gt;"",TODAY()&gt;N(AR199)),"Proposition expirée",IF(AND(D199="Proposition",N(R199)&gt;='Paramètres'!$B$25),"Proposition sans réponse",IF(AND(G199&lt;&gt;"",N(G199)&lt;TODAY()),"Relance en retard",IF(N(R199)&gt;='Paramètres'!$B$24,"Sans action depuis "&amp;R199&amp;" j",""))))))))</f>
        <v/>
      </c>
      <c r="G199" s="106">
        <f>IF(OR(C199="",D199="Gagné",D199="Perdu"),"",IF(AND(BP199&gt;0,BP199=BQ199),INDEX('Saisie'!$J$5:$J$2004,BP199-4),IF(OR(O199=0,AND(O199&gt;='Paramètres'!$B$21,P199=0)),"",Q199+IF(O199&lt;=1,'Paramètres'!$B$18,IF(O199=2,'Paramètres'!$B$19,'Paramètres'!$B$20)))))</f>
        <v/>
      </c>
      <c r="H199" s="107">
        <f>IF(OR(G199="",BP199&lt;&gt;BQ199),"",IF(INDEX('Saisie'!$K$5:$K$2004,BP199-4)="","",INDEX('Saisie'!$K$5:$K$2004,BP199-4)))</f>
        <v/>
      </c>
      <c r="I199" s="60">
        <f>IF(C199="","",IF(OR(D199="Gagné",D199="Perdu"),"",IFERROR(INDEX('Saisie'!$I$5:$I$2004,_xlfn.MAXIFS('Saisie'!$AS$5:$AS$2004,'Saisie'!$C$5:$C$2004,C199,'Saisie'!$I$5:$I$2004,"&lt;&gt;")-4),"")))</f>
        <v/>
      </c>
      <c r="J199" s="60">
        <f>IF(C199="","",IFERROR(INDEX('Saisie'!$U$5:$U$2004,_xlfn.MAXIFS('Saisie'!$AS$5:$AS$2004,'Saisie'!$C$5:$C$2004,C199,'Saisie'!$U$5:$U$2004,"&lt;&gt;")-4),""))</f>
        <v/>
      </c>
      <c r="K199" s="60">
        <f>IF(C199="","",IFERROR(INDEX('Saisie'!$W$5:$W$2004,_xlfn.MAXIFS('Saisie'!$AS$5:$AS$2004,'Saisie'!$C$5:$C$2004,C199,'Saisie'!$W$5:$W$2004,"&lt;&gt;")-4),""))</f>
        <v/>
      </c>
      <c r="L199" s="60">
        <f>IF(IF(BB199&lt;&gt;"",BB199,K199)="","",HYPERLINK("https://wa.me/"&amp;IF(LEFT(SUBSTITUTE(SUBSTITUTE(SUBSTITUTE(IF(BB199&lt;&gt;"",BB199,K199)," ",""),".",""),"+",""),1)="0",'Paramètres'!$B$35&amp;MID(SUBSTITUTE(SUBSTITUTE(SUBSTITUTE(IF(BB199&lt;&gt;"",BB199,K199)," ",""),".",""),"+",""),2,20),SUBSTITUTE(SUBSTITUTE(SUBSTITUTE(IF(BB199&lt;&gt;"",BB199,K199)," ",""),".",""),"+","")),"WhatsApp"))</f>
        <v/>
      </c>
      <c r="M199" s="60">
        <f>IF(BC199="","",HYPERLINK(IF(LEFT(BC199,4)="http",BC199,"https://www.instagram.com/"&amp;SUBSTITUTE(SUBSTITUTE(BC199,"@","")," ","")),BC199))</f>
        <v/>
      </c>
      <c r="N199" s="60">
        <f>IF(C199="","",IFERROR(INDEX('Saisie'!$D$5:$D$2004,_xlfn.MINIFS('Saisie'!$AS$5:$AS$2004,'Saisie'!$C$5:$C$2004,C199,'Saisie'!$AU$5:$AU$2004,1)-4),IFERROR(INDEX('Saisie'!$D$5:$D$2004,_xlfn.MINIFS('Saisie'!$AS$5:$AS$2004,'Saisie'!$C$5:$C$2004,C199,'Saisie'!$D$5:$D$2004,"&lt;&gt;")-4),"")))</f>
        <v/>
      </c>
      <c r="O199" s="60">
        <f>IF(C199="","",COUNTIFS('Saisie'!$C$5:$C$2004,C199,'Saisie'!$AU$5:$AU$2004,1))</f>
        <v/>
      </c>
      <c r="P199" s="60">
        <f>IF(C199="","",COUNTIFS('Saisie'!$C$5:$C$2004,C199,'Saisie'!$AV$5:$AV$2004,1))</f>
        <v/>
      </c>
      <c r="Q199" s="106">
        <f>IF(C199="","",IFERROR(1/(1/_xlfn.MAXIFS('Saisie'!$A$5:$A$2004,'Saisie'!$C$5:$C$2004,C199)),""))</f>
        <v/>
      </c>
      <c r="R199" s="61">
        <f>IF(C199="","",IF(Q199="","",TODAY()-Q199))</f>
        <v/>
      </c>
      <c r="S199" s="60">
        <f>IF(C199="","",IFERROR(INDEX('Saisie'!$R$5:$R$2004,_xlfn.MAXIFS('Saisie'!$AS$5:$AS$2004,'Saisie'!$C$5:$C$2004,C199,'Saisie'!$R$5:$R$2004,"&lt;&gt;")-4),""))</f>
        <v/>
      </c>
      <c r="T199" s="60">
        <f>IF(C199="","",IFERROR(INDEX('Saisie'!$S$5:$S$2004,_xlfn.MAXIFS('Saisie'!$AS$5:$AS$2004,'Saisie'!$C$5:$C$2004,C199,'Saisie'!$S$5:$S$2004,"&lt;&gt;")-4),""))</f>
        <v/>
      </c>
      <c r="U199" s="60">
        <f>IF(C199="","",IFERROR(INDEX('Saisie'!$T$5:$T$2004,_xlfn.MAXIFS('Saisie'!$AS$5:$AS$2004,'Saisie'!$C$5:$C$2004,C199,'Saisie'!$T$5:$T$2004,"&lt;&gt;")-4),""))</f>
        <v/>
      </c>
      <c r="V199" s="60">
        <f>IF(C199="","",IFERROR(INDEX('Saisie'!$V$5:$V$2004,_xlfn.MAXIFS('Saisie'!$AS$5:$AS$2004,'Saisie'!$C$5:$C$2004,C199,'Saisie'!$V$5:$V$2004,"&lt;&gt;")-4),""))</f>
        <v/>
      </c>
      <c r="W199" s="60">
        <f>IF(C199="","",IFERROR(INDEX('Saisie'!$Z$5:$Z$2004,_xlfn.MAXIFS('Saisie'!$AS$5:$AS$2004,'Saisie'!$C$5:$C$2004,C199,'Saisie'!$Z$5:$Z$2004,"&lt;&gt;")-4),""))</f>
        <v/>
      </c>
      <c r="X199" s="60">
        <f>IF(C199="","",IFERROR(INDEX('Saisie'!$AA$5:$AA$2004,_xlfn.MAXIFS('Saisie'!$AS$5:$AS$2004,'Saisie'!$C$5:$C$2004,C199,'Saisie'!$AA$5:$AA$2004,"&lt;&gt;")-4),""))</f>
        <v/>
      </c>
      <c r="Y199" s="60">
        <f>IF(C199="","",IFERROR(INDEX('Saisie'!$AB$5:$AB$2004,_xlfn.MAXIFS('Saisie'!$AS$5:$AS$2004,'Saisie'!$C$5:$C$2004,C199,'Saisie'!$AB$5:$AB$2004,"&lt;&gt;")-4),""))</f>
        <v/>
      </c>
      <c r="Z199" s="60">
        <f>IF(C199="","",IFERROR(INDEX('Saisie'!$AC$5:$AC$2004,_xlfn.MAXIFS('Saisie'!$AS$5:$AS$2004,'Saisie'!$C$5:$C$2004,C199,'Saisie'!$AC$5:$AC$2004,"&lt;&gt;")-4),""))</f>
        <v/>
      </c>
      <c r="AA199" s="106">
        <f>IF(C199="","",IFERROR(INDEX('Saisie'!$AD$5:$AD$2004,_xlfn.MAXIFS('Saisie'!$AS$5:$AS$2004,'Saisie'!$C$5:$C$2004,C199,'Saisie'!$AD$5:$AD$2004,"&lt;&gt;")-4),""))</f>
        <v/>
      </c>
      <c r="AB199" s="60">
        <f>IF(C199="","",IFERROR(INDEX('Saisie'!$AE$5:$AE$2004,_xlfn.MAXIFS('Saisie'!$AS$5:$AS$2004,'Saisie'!$C$5:$C$2004,C199,'Saisie'!$AE$5:$AE$2004,"&lt;&gt;")-4),""))</f>
        <v/>
      </c>
      <c r="AC199" s="60">
        <f>IF(C199="","",IFERROR(INDEX('Saisie'!$AF$5:$AF$2004,_xlfn.MAXIFS('Saisie'!$AS$5:$AS$2004,'Saisie'!$C$5:$C$2004,C199,'Saisie'!$AF$5:$AF$2004,"&lt;&gt;")-4),""))</f>
        <v/>
      </c>
      <c r="AD199" s="108">
        <f>IF(C199="","",IFERROR(INDEX('Saisie'!$AG$5:$AG$2004,_xlfn.MAXIFS('Saisie'!$AS$5:$AS$2004,'Saisie'!$C$5:$C$2004,C199,'Saisie'!$AG$5:$AG$2004,"&lt;&gt;")-4),""))</f>
        <v/>
      </c>
      <c r="AE199" s="60">
        <f>IF(C199="","",IFERROR(INDEX('Saisie'!$AH$5:$AH$2004,_xlfn.MAXIFS('Saisie'!$AS$5:$AS$2004,'Saisie'!$C$5:$C$2004,C199,'Saisie'!$AH$5:$AH$2004,"&lt;&gt;")-4),""))</f>
        <v/>
      </c>
      <c r="AF199" s="60">
        <f>IF(C199="","",IFERROR(INDEX('Saisie'!$AI$5:$AI$2004,_xlfn.MAXIFS('Saisie'!$AS$5:$AS$2004,'Saisie'!$C$5:$C$2004,C199,'Saisie'!$AI$5:$AI$2004,"&lt;&gt;")-4),""))</f>
        <v/>
      </c>
      <c r="AG199" s="60">
        <f>IF(C199="","",IFERROR(INDEX('Saisie'!$AJ$5:$AJ$2004,_xlfn.MAXIFS('Saisie'!$AS$5:$AS$2004,'Saisie'!$C$5:$C$2004,C199,'Saisie'!$AJ$5:$AJ$2004,"&lt;&gt;")-4),""))</f>
        <v/>
      </c>
      <c r="AH199" s="60">
        <f>IF(C199="","",IFERROR(INDEX('Saisie'!$AK$5:$AK$2004,_xlfn.MAXIFS('Saisie'!$AS$5:$AS$2004,'Saisie'!$C$5:$C$2004,C199,'Saisie'!$AK$5:$AK$2004,"&lt;&gt;")-4),""))</f>
        <v/>
      </c>
      <c r="AI199" s="60">
        <f>IF(C199="","",IFERROR(INDEX('Saisie'!$AN$5:$AN$2004,_xlfn.MAXIFS('Saisie'!$AS$5:$AS$2004,'Saisie'!$C$5:$C$2004,C199,'Saisie'!$AN$5:$AN$2004,"&lt;&gt;")-4),""))</f>
        <v/>
      </c>
      <c r="AJ199" s="60">
        <f>IF(C199="","",IFERROR(INDEX('Saisie'!$AO$5:$AO$2004,_xlfn.MAXIFS('Saisie'!$AS$5:$AS$2004,'Saisie'!$C$5:$C$2004,C199,'Saisie'!$AO$5:$AO$2004,"&lt;&gt;")-4),""))</f>
        <v/>
      </c>
      <c r="AK199" s="60">
        <f>IF(C199="","",IFERROR(INDEX('Saisie'!$AP$5:$AP$2004,_xlfn.MAXIFS('Saisie'!$AS$5:$AS$2004,'Saisie'!$C$5:$C$2004,C199,'Saisie'!$AP$5:$AP$2004,"&lt;&gt;")-4),""))</f>
        <v/>
      </c>
      <c r="AL199" s="60">
        <f>IF(C199="","",IFERROR(INDEX('Saisie'!$AQ$5:$AQ$2004,_xlfn.MAXIFS('Saisie'!$AS$5:$AS$2004,'Saisie'!$C$5:$C$2004,C199,'Saisie'!$AQ$5:$AQ$2004,"&lt;&gt;")-4),""))</f>
        <v/>
      </c>
      <c r="AM199" s="60">
        <f>IF(C199="","",((AI199="Oui")+(AJ199="Oui")+(AK199="Oui")+OR(AL199="Immédiat",AL199="&lt; 1 mois"))&amp;"/4")</f>
        <v/>
      </c>
      <c r="AN199" s="60">
        <f>IF(C199="","",IFERROR(INDEX('Saisie'!$AL$5:$AL$2004,_xlfn.MAXIFS('Saisie'!$AS$5:$AS$2004,'Saisie'!$C$5:$C$2004,C199,'Saisie'!$AL$5:$AL$2004,"&lt;&gt;")-4),""))</f>
        <v/>
      </c>
      <c r="AO199" s="62">
        <f>IF(C199="","",IF(IFERROR(INDEX('Saisie'!$AM$5:$AM$2004,_xlfn.MAXIFS('Saisie'!$AS$5:$AS$2004,'Saisie'!$C$5:$C$2004,C199,'Saisie'!$AM$5:$AM$2004,"&lt;&gt;")-4),"")&lt;&gt;"",IFERROR(INDEX('Saisie'!$AM$5:$AM$2004,_xlfn.MAXIFS('Saisie'!$AS$5:$AS$2004,'Saisie'!$C$5:$C$2004,C199,'Saisie'!$AM$5:$AM$2004,"&lt;&gt;")-4),""),IFERROR(INDEX('Paramètres'!$S$6:$S$15,MATCH(AN199,'Paramètres'!$Q$6:$Q$15,0)),"")))</f>
        <v/>
      </c>
      <c r="AP199" s="62">
        <f>IF(C199="","",IFERROR(INDEX('Saisie'!$AW$5:$AW$2004,_xlfn.MAXIFS('Saisie'!$AS$5:$AS$2004,'Saisie'!$C$5:$C$2004,C199,'Saisie'!$E$5:$E$2004,"Proposition envoyée")-4),""))</f>
        <v/>
      </c>
      <c r="AQ199" s="106">
        <f>IF(C199="","",IFERROR(1/(1/_xlfn.MAXIFS('Saisie'!$A$5:$A$2004,'Saisie'!$C$5:$C$2004,C199,'Saisie'!$E$5:$E$2004,"Proposition envoyée")),""))</f>
        <v/>
      </c>
      <c r="AR199" s="106">
        <f>IF(C199="","",IF(AQ199="","",AQ199+'Paramètres'!$B$26))</f>
        <v/>
      </c>
      <c r="AS199" s="62">
        <f>IF(OR(C199="",D199="Gagné",D199="Perdu"),0,N(AP199)*IFERROR(INDEX('Paramètres'!$G$6:$G$13,MATCH(D199,'Paramètres'!$F$6:$F$13,0)),0))</f>
        <v/>
      </c>
      <c r="AT199" s="106">
        <f>IF(C199="","",IFERROR(1/(1/_xlfn.MINIFS('Saisie'!$A$5:$A$2004,'Saisie'!$C$5:$C$2004,C199,'Saisie'!$E$5:$E$2004,"Signature")),""))</f>
        <v/>
      </c>
      <c r="AU199" s="60">
        <f>IF(C199="","",IF(OR(AT199="",B199=""),"",AT199-B199))</f>
        <v/>
      </c>
      <c r="AV199" s="60">
        <f>IF(C199="","",IFERROR(INDEX('Saisie'!$L$5:$L$2004,_xlfn.MAXIFS('Saisie'!$AS$5:$AS$2004,'Saisie'!$C$5:$C$2004,C199,'Saisie'!$L$5:$L$2004,"&lt;&gt;")-4),""))</f>
        <v/>
      </c>
      <c r="AW199" s="106">
        <f>IF(C199="","",IF(D199&lt;&gt;"Perdu","",IFERROR(1/(1/_xlfn.MAXIFS('Saisie'!$A$5:$A$2004,'Saisie'!$C$5:$C$2004,C199,'Saisie'!$E$5:$E$2004,"Perdu")),"")))</f>
        <v/>
      </c>
      <c r="AX199" s="106">
        <f>IF(C199="","",IF(AW199="","",AW199+'Paramètres'!$B$28))</f>
        <v/>
      </c>
      <c r="AY199" s="60">
        <f>IF(C199="","",SUMIFS('Saisie'!$H$5:$H$2004,'Saisie'!$C$5:$C$2004,C199))</f>
        <v/>
      </c>
      <c r="AZ199" s="60">
        <f>IF(C199="","",IFERROR(INDEX('Paramètres'!$W$6:$W$20,MATCH(S199,'Paramètres'!$V$6:$V$20,0))&amp;"",""))</f>
        <v/>
      </c>
      <c r="BA199" s="60">
        <f>IF(C199="","",MAX(1,_xlfn.MAXIFS('Saisie'!$AT$5:$AT$2004,'Saisie'!$C$5:$C$2004,C199)))</f>
        <v/>
      </c>
      <c r="BB199" s="60">
        <f>IF(C199="","",IFERROR(INDEX('Saisie'!$X$5:$X$2004,_xlfn.MAXIFS('Saisie'!$AS$5:$AS$2004,'Saisie'!$C$5:$C$2004,C199,'Saisie'!$X$5:$X$2004,"&lt;&gt;")-4),""))</f>
        <v/>
      </c>
      <c r="BC199" s="60">
        <f>IF(C199="","",IFERROR(INDEX('Saisie'!$Y$5:$Y$2004,_xlfn.MAXIFS('Saisie'!$AS$5:$AS$2004,'Saisie'!$C$5:$C$2004,C199,'Saisie'!$Y$5:$Y$2004,"&lt;&gt;")-4),""))</f>
        <v/>
      </c>
      <c r="BD199" s="106">
        <f>IF(C199="","",IFERROR(1/(1/_xlfn.MINIFS('Saisie'!$A$5:$A$2004,'Saisie'!$C$5:$C$2004,C199,'Saisie'!$AT$5:$AT$2004,"&gt;=2")),""))</f>
        <v/>
      </c>
      <c r="BE199" s="106">
        <f>IF(C199="","",IFERROR(1/(1/_xlfn.MINIFS('Saisie'!$A$5:$A$2004,'Saisie'!$C$5:$C$2004,C199,'Saisie'!$AT$5:$AT$2004,"&gt;=3")),""))</f>
        <v/>
      </c>
      <c r="BF199" s="106">
        <f>IF(C199="","",IFERROR(1/(1/_xlfn.MINIFS('Saisie'!$A$5:$A$2004,'Saisie'!$C$5:$C$2004,C199,'Saisie'!$AT$5:$AT$2004,"&gt;=4")),""))</f>
        <v/>
      </c>
      <c r="BG199" s="106">
        <f>IF(C199="","",IFERROR(1/(1/_xlfn.MINIFS('Saisie'!$A$5:$A$2004,'Saisie'!$C$5:$C$2004,C199,'Saisie'!$AT$5:$AT$2004,"&gt;=5")),""))</f>
        <v/>
      </c>
      <c r="BH199" s="106">
        <f>IF(C199="","",IFERROR(1/(1/_xlfn.MINIFS('Saisie'!$A$5:$A$2004,'Saisie'!$C$5:$C$2004,C199,'Saisie'!$AT$5:$AT$2004,"&gt;=6")),""))</f>
        <v/>
      </c>
      <c r="BI199" s="106">
        <f>IF(C199="","",IFERROR(1/(1/_xlfn.MINIFS('Saisie'!$A$5:$A$2004,'Saisie'!$C$5:$C$2004,C199,'Saisie'!$AT$5:$AT$2004,"&gt;=7")),""))</f>
        <v/>
      </c>
      <c r="BJ199" s="60">
        <f>IF(OR(BD199="",B199=""),"",BD199-B199)</f>
        <v/>
      </c>
      <c r="BK199" s="60">
        <f>IF(OR(BE199="",BD199=""),"",BE199-BD199)</f>
        <v/>
      </c>
      <c r="BL199" s="60">
        <f>IF(OR(BF199="",BE199=""),"",BF199-BE199)</f>
        <v/>
      </c>
      <c r="BM199" s="60">
        <f>IF(OR(BG199="",BF199=""),"",BG199-BF199)</f>
        <v/>
      </c>
      <c r="BN199" s="60">
        <f>IF(OR(BH199="",BG199=""),"",BH199-BG199)</f>
        <v/>
      </c>
      <c r="BO199" s="60">
        <f>IF(OR(BI199="",BH199=""),"",BI199-BH199)</f>
        <v/>
      </c>
      <c r="BP199" s="60">
        <f>IF(C199="","",_xlfn.MAXIFS('Saisie'!$AS$5:$AS$2004,'Saisie'!$C$5:$C$2004,C199,'Saisie'!$J$5:$J$2004,"&lt;&gt;"))</f>
        <v/>
      </c>
      <c r="BQ199" s="60">
        <f>IF(C199="","",_xlfn.MAXIFS('Saisie'!$AS$5:$AS$2004,'Saisie'!$C$5:$C$2004,C199))</f>
        <v/>
      </c>
      <c r="BR199" s="60">
        <f>IF(C199="","",_xlfn.MAXIFS('Saisie'!$AS$5:$AS$2004,'Saisie'!$C$5:$C$2004,C199,'Saisie'!$E$5:$E$2004,"Perdu"))</f>
        <v/>
      </c>
      <c r="BS199" s="60">
        <f>IF(C199="","",_xlfn.MAXIFS('Saisie'!$AS$5:$AS$2004,'Saisie'!$C$5:$C$2004,C199,'Saisie'!$AT$5:$AT$2004,"&gt;0"))</f>
        <v/>
      </c>
      <c r="BT199" s="109">
        <f>IF(AND(C199&lt;&gt;"",OR(D199="Nouveau",D199="Contacté",D199="Qualifié"),OR(G199="",N(G199)&lt;=TODAY()),NOT(AND(O199&gt;='Paramètres'!$B$21,P199=0))),E199+195/10000,"")</f>
        <v/>
      </c>
      <c r="BU199" s="60">
        <f>IF(AND(G199&lt;&gt;"",N(G199)&lt;=TODAY()),MAX($BU$4:BU198)+1,"")</f>
        <v/>
      </c>
      <c r="BV199" s="60">
        <f>IF(AND(F199&lt;&gt;"",F199&lt;&gt;"Relance en retard"),MAX($BV$4:BV198)+1,"")</f>
        <v/>
      </c>
      <c r="BW199" s="60">
        <f>IF(C199="","",IF(AND(B199&gt;='Tableau de bord'!$R$4,B199&lt;='Tableau de bord'!$S$4,OR('Tableau de bord'!$G$4="Tous",N199='Tableau de bord'!$G$4)),1,0))</f>
        <v/>
      </c>
      <c r="BX199" s="60">
        <f>IF(AND(C199&lt;&gt;"",N(BA199)=7),MAX($BX$4:BX198)+1,"")</f>
        <v/>
      </c>
    </row>
    <row r="200">
      <c r="A200" s="60">
        <f>IF(C200="","","P-"&amp;TEXT(196,"000"))</f>
        <v/>
      </c>
      <c r="B200" s="106">
        <f>IF(C200="","",IFERROR(1/(1/_xlfn.MINIFS('Saisie'!$A$5:$A$2004,'Saisie'!$C$5:$C$2004,C200)),""))</f>
        <v/>
      </c>
      <c r="C200" s="60">
        <f>IFERROR(INDEX('Saisie'!$C$5:$C$2004,MATCH(196,'Saisie'!$AX$5:$AX$2004,0)),"")</f>
        <v/>
      </c>
      <c r="D200" s="60">
        <f>IF(C200="","",IF(AND(BR200&gt;0,BR200&gt;BS200,BA200&lt;7),"Perdu",INDEX('Paramètres'!$F$6:$F$13,BA200)))</f>
        <v/>
      </c>
      <c r="E200" s="61">
        <f>IF(C200="","",MIN(100,(Z200="Oui")*'Paramètres'!$B$38+(AB200="Régulière")*'Paramètres'!$B$39+IF(AND(N(AA200)&gt;0,TODAY()-N(AA200)&lt;=30),'Paramètres'!$B$40,0)+(W200="")*'Paramètres'!$B$41+(AC200="Absente")*'Paramètres'!$B$42+(AC200="Faible")*'Paramètres'!$B$43+IF(AND(N(AD200)&gt;0,N(AD200)&lt;4),'Paramètres'!$B$44,0)+(AF200="Moyenne")*'Paramètres'!$B$45+(AF200="Grande")*'Paramètres'!$B$46+(Y200&lt;&gt;"")*'Paramètres'!$B$47))</f>
        <v/>
      </c>
      <c r="F200" s="60">
        <f>IF(C200="","",IF(D200="Gagné","",IF(D200="Perdu",IF(AND(AX200&lt;&gt;"",AX200&lt;=TODAY()),"À recontacter (perdu)",""),IF(AND(O200&gt;='Paramètres'!$B$21,P200=0),"Stop : "&amp;'Paramètres'!$B$21&amp;" tentatives sans réponse",IF(AND(D200="Proposition",AR200&lt;&gt;"",TODAY()&gt;N(AR200)),"Proposition expirée",IF(AND(D200="Proposition",N(R200)&gt;='Paramètres'!$B$25),"Proposition sans réponse",IF(AND(G200&lt;&gt;"",N(G200)&lt;TODAY()),"Relance en retard",IF(N(R200)&gt;='Paramètres'!$B$24,"Sans action depuis "&amp;R200&amp;" j",""))))))))</f>
        <v/>
      </c>
      <c r="G200" s="106">
        <f>IF(OR(C200="",D200="Gagné",D200="Perdu"),"",IF(AND(BP200&gt;0,BP200=BQ200),INDEX('Saisie'!$J$5:$J$2004,BP200-4),IF(OR(O200=0,AND(O200&gt;='Paramètres'!$B$21,P200=0)),"",Q200+IF(O200&lt;=1,'Paramètres'!$B$18,IF(O200=2,'Paramètres'!$B$19,'Paramètres'!$B$20)))))</f>
        <v/>
      </c>
      <c r="H200" s="107">
        <f>IF(OR(G200="",BP200&lt;&gt;BQ200),"",IF(INDEX('Saisie'!$K$5:$K$2004,BP200-4)="","",INDEX('Saisie'!$K$5:$K$2004,BP200-4)))</f>
        <v/>
      </c>
      <c r="I200" s="60">
        <f>IF(C200="","",IF(OR(D200="Gagné",D200="Perdu"),"",IFERROR(INDEX('Saisie'!$I$5:$I$2004,_xlfn.MAXIFS('Saisie'!$AS$5:$AS$2004,'Saisie'!$C$5:$C$2004,C200,'Saisie'!$I$5:$I$2004,"&lt;&gt;")-4),"")))</f>
        <v/>
      </c>
      <c r="J200" s="60">
        <f>IF(C200="","",IFERROR(INDEX('Saisie'!$U$5:$U$2004,_xlfn.MAXIFS('Saisie'!$AS$5:$AS$2004,'Saisie'!$C$5:$C$2004,C200,'Saisie'!$U$5:$U$2004,"&lt;&gt;")-4),""))</f>
        <v/>
      </c>
      <c r="K200" s="60">
        <f>IF(C200="","",IFERROR(INDEX('Saisie'!$W$5:$W$2004,_xlfn.MAXIFS('Saisie'!$AS$5:$AS$2004,'Saisie'!$C$5:$C$2004,C200,'Saisie'!$W$5:$W$2004,"&lt;&gt;")-4),""))</f>
        <v/>
      </c>
      <c r="L200" s="60">
        <f>IF(IF(BB200&lt;&gt;"",BB200,K200)="","",HYPERLINK("https://wa.me/"&amp;IF(LEFT(SUBSTITUTE(SUBSTITUTE(SUBSTITUTE(IF(BB200&lt;&gt;"",BB200,K200)," ",""),".",""),"+",""),1)="0",'Paramètres'!$B$35&amp;MID(SUBSTITUTE(SUBSTITUTE(SUBSTITUTE(IF(BB200&lt;&gt;"",BB200,K200)," ",""),".",""),"+",""),2,20),SUBSTITUTE(SUBSTITUTE(SUBSTITUTE(IF(BB200&lt;&gt;"",BB200,K200)," ",""),".",""),"+","")),"WhatsApp"))</f>
        <v/>
      </c>
      <c r="M200" s="60">
        <f>IF(BC200="","",HYPERLINK(IF(LEFT(BC200,4)="http",BC200,"https://www.instagram.com/"&amp;SUBSTITUTE(SUBSTITUTE(BC200,"@","")," ","")),BC200))</f>
        <v/>
      </c>
      <c r="N200" s="60">
        <f>IF(C200="","",IFERROR(INDEX('Saisie'!$D$5:$D$2004,_xlfn.MINIFS('Saisie'!$AS$5:$AS$2004,'Saisie'!$C$5:$C$2004,C200,'Saisie'!$AU$5:$AU$2004,1)-4),IFERROR(INDEX('Saisie'!$D$5:$D$2004,_xlfn.MINIFS('Saisie'!$AS$5:$AS$2004,'Saisie'!$C$5:$C$2004,C200,'Saisie'!$D$5:$D$2004,"&lt;&gt;")-4),"")))</f>
        <v/>
      </c>
      <c r="O200" s="60">
        <f>IF(C200="","",COUNTIFS('Saisie'!$C$5:$C$2004,C200,'Saisie'!$AU$5:$AU$2004,1))</f>
        <v/>
      </c>
      <c r="P200" s="60">
        <f>IF(C200="","",COUNTIFS('Saisie'!$C$5:$C$2004,C200,'Saisie'!$AV$5:$AV$2004,1))</f>
        <v/>
      </c>
      <c r="Q200" s="106">
        <f>IF(C200="","",IFERROR(1/(1/_xlfn.MAXIFS('Saisie'!$A$5:$A$2004,'Saisie'!$C$5:$C$2004,C200)),""))</f>
        <v/>
      </c>
      <c r="R200" s="61">
        <f>IF(C200="","",IF(Q200="","",TODAY()-Q200))</f>
        <v/>
      </c>
      <c r="S200" s="60">
        <f>IF(C200="","",IFERROR(INDEX('Saisie'!$R$5:$R$2004,_xlfn.MAXIFS('Saisie'!$AS$5:$AS$2004,'Saisie'!$C$5:$C$2004,C200,'Saisie'!$R$5:$R$2004,"&lt;&gt;")-4),""))</f>
        <v/>
      </c>
      <c r="T200" s="60">
        <f>IF(C200="","",IFERROR(INDEX('Saisie'!$S$5:$S$2004,_xlfn.MAXIFS('Saisie'!$AS$5:$AS$2004,'Saisie'!$C$5:$C$2004,C200,'Saisie'!$S$5:$S$2004,"&lt;&gt;")-4),""))</f>
        <v/>
      </c>
      <c r="U200" s="60">
        <f>IF(C200="","",IFERROR(INDEX('Saisie'!$T$5:$T$2004,_xlfn.MAXIFS('Saisie'!$AS$5:$AS$2004,'Saisie'!$C$5:$C$2004,C200,'Saisie'!$T$5:$T$2004,"&lt;&gt;")-4),""))</f>
        <v/>
      </c>
      <c r="V200" s="60">
        <f>IF(C200="","",IFERROR(INDEX('Saisie'!$V$5:$V$2004,_xlfn.MAXIFS('Saisie'!$AS$5:$AS$2004,'Saisie'!$C$5:$C$2004,C200,'Saisie'!$V$5:$V$2004,"&lt;&gt;")-4),""))</f>
        <v/>
      </c>
      <c r="W200" s="60">
        <f>IF(C200="","",IFERROR(INDEX('Saisie'!$Z$5:$Z$2004,_xlfn.MAXIFS('Saisie'!$AS$5:$AS$2004,'Saisie'!$C$5:$C$2004,C200,'Saisie'!$Z$5:$Z$2004,"&lt;&gt;")-4),""))</f>
        <v/>
      </c>
      <c r="X200" s="60">
        <f>IF(C200="","",IFERROR(INDEX('Saisie'!$AA$5:$AA$2004,_xlfn.MAXIFS('Saisie'!$AS$5:$AS$2004,'Saisie'!$C$5:$C$2004,C200,'Saisie'!$AA$5:$AA$2004,"&lt;&gt;")-4),""))</f>
        <v/>
      </c>
      <c r="Y200" s="60">
        <f>IF(C200="","",IFERROR(INDEX('Saisie'!$AB$5:$AB$2004,_xlfn.MAXIFS('Saisie'!$AS$5:$AS$2004,'Saisie'!$C$5:$C$2004,C200,'Saisie'!$AB$5:$AB$2004,"&lt;&gt;")-4),""))</f>
        <v/>
      </c>
      <c r="Z200" s="60">
        <f>IF(C200="","",IFERROR(INDEX('Saisie'!$AC$5:$AC$2004,_xlfn.MAXIFS('Saisie'!$AS$5:$AS$2004,'Saisie'!$C$5:$C$2004,C200,'Saisie'!$AC$5:$AC$2004,"&lt;&gt;")-4),""))</f>
        <v/>
      </c>
      <c r="AA200" s="106">
        <f>IF(C200="","",IFERROR(INDEX('Saisie'!$AD$5:$AD$2004,_xlfn.MAXIFS('Saisie'!$AS$5:$AS$2004,'Saisie'!$C$5:$C$2004,C200,'Saisie'!$AD$5:$AD$2004,"&lt;&gt;")-4),""))</f>
        <v/>
      </c>
      <c r="AB200" s="60">
        <f>IF(C200="","",IFERROR(INDEX('Saisie'!$AE$5:$AE$2004,_xlfn.MAXIFS('Saisie'!$AS$5:$AS$2004,'Saisie'!$C$5:$C$2004,C200,'Saisie'!$AE$5:$AE$2004,"&lt;&gt;")-4),""))</f>
        <v/>
      </c>
      <c r="AC200" s="60">
        <f>IF(C200="","",IFERROR(INDEX('Saisie'!$AF$5:$AF$2004,_xlfn.MAXIFS('Saisie'!$AS$5:$AS$2004,'Saisie'!$C$5:$C$2004,C200,'Saisie'!$AF$5:$AF$2004,"&lt;&gt;")-4),""))</f>
        <v/>
      </c>
      <c r="AD200" s="108">
        <f>IF(C200="","",IFERROR(INDEX('Saisie'!$AG$5:$AG$2004,_xlfn.MAXIFS('Saisie'!$AS$5:$AS$2004,'Saisie'!$C$5:$C$2004,C200,'Saisie'!$AG$5:$AG$2004,"&lt;&gt;")-4),""))</f>
        <v/>
      </c>
      <c r="AE200" s="60">
        <f>IF(C200="","",IFERROR(INDEX('Saisie'!$AH$5:$AH$2004,_xlfn.MAXIFS('Saisie'!$AS$5:$AS$2004,'Saisie'!$C$5:$C$2004,C200,'Saisie'!$AH$5:$AH$2004,"&lt;&gt;")-4),""))</f>
        <v/>
      </c>
      <c r="AF200" s="60">
        <f>IF(C200="","",IFERROR(INDEX('Saisie'!$AI$5:$AI$2004,_xlfn.MAXIFS('Saisie'!$AS$5:$AS$2004,'Saisie'!$C$5:$C$2004,C200,'Saisie'!$AI$5:$AI$2004,"&lt;&gt;")-4),""))</f>
        <v/>
      </c>
      <c r="AG200" s="60">
        <f>IF(C200="","",IFERROR(INDEX('Saisie'!$AJ$5:$AJ$2004,_xlfn.MAXIFS('Saisie'!$AS$5:$AS$2004,'Saisie'!$C$5:$C$2004,C200,'Saisie'!$AJ$5:$AJ$2004,"&lt;&gt;")-4),""))</f>
        <v/>
      </c>
      <c r="AH200" s="60">
        <f>IF(C200="","",IFERROR(INDEX('Saisie'!$AK$5:$AK$2004,_xlfn.MAXIFS('Saisie'!$AS$5:$AS$2004,'Saisie'!$C$5:$C$2004,C200,'Saisie'!$AK$5:$AK$2004,"&lt;&gt;")-4),""))</f>
        <v/>
      </c>
      <c r="AI200" s="60">
        <f>IF(C200="","",IFERROR(INDEX('Saisie'!$AN$5:$AN$2004,_xlfn.MAXIFS('Saisie'!$AS$5:$AS$2004,'Saisie'!$C$5:$C$2004,C200,'Saisie'!$AN$5:$AN$2004,"&lt;&gt;")-4),""))</f>
        <v/>
      </c>
      <c r="AJ200" s="60">
        <f>IF(C200="","",IFERROR(INDEX('Saisie'!$AO$5:$AO$2004,_xlfn.MAXIFS('Saisie'!$AS$5:$AS$2004,'Saisie'!$C$5:$C$2004,C200,'Saisie'!$AO$5:$AO$2004,"&lt;&gt;")-4),""))</f>
        <v/>
      </c>
      <c r="AK200" s="60">
        <f>IF(C200="","",IFERROR(INDEX('Saisie'!$AP$5:$AP$2004,_xlfn.MAXIFS('Saisie'!$AS$5:$AS$2004,'Saisie'!$C$5:$C$2004,C200,'Saisie'!$AP$5:$AP$2004,"&lt;&gt;")-4),""))</f>
        <v/>
      </c>
      <c r="AL200" s="60">
        <f>IF(C200="","",IFERROR(INDEX('Saisie'!$AQ$5:$AQ$2004,_xlfn.MAXIFS('Saisie'!$AS$5:$AS$2004,'Saisie'!$C$5:$C$2004,C200,'Saisie'!$AQ$5:$AQ$2004,"&lt;&gt;")-4),""))</f>
        <v/>
      </c>
      <c r="AM200" s="60">
        <f>IF(C200="","",((AI200="Oui")+(AJ200="Oui")+(AK200="Oui")+OR(AL200="Immédiat",AL200="&lt; 1 mois"))&amp;"/4")</f>
        <v/>
      </c>
      <c r="AN200" s="60">
        <f>IF(C200="","",IFERROR(INDEX('Saisie'!$AL$5:$AL$2004,_xlfn.MAXIFS('Saisie'!$AS$5:$AS$2004,'Saisie'!$C$5:$C$2004,C200,'Saisie'!$AL$5:$AL$2004,"&lt;&gt;")-4),""))</f>
        <v/>
      </c>
      <c r="AO200" s="62">
        <f>IF(C200="","",IF(IFERROR(INDEX('Saisie'!$AM$5:$AM$2004,_xlfn.MAXIFS('Saisie'!$AS$5:$AS$2004,'Saisie'!$C$5:$C$2004,C200,'Saisie'!$AM$5:$AM$2004,"&lt;&gt;")-4),"")&lt;&gt;"",IFERROR(INDEX('Saisie'!$AM$5:$AM$2004,_xlfn.MAXIFS('Saisie'!$AS$5:$AS$2004,'Saisie'!$C$5:$C$2004,C200,'Saisie'!$AM$5:$AM$2004,"&lt;&gt;")-4),""),IFERROR(INDEX('Paramètres'!$S$6:$S$15,MATCH(AN200,'Paramètres'!$Q$6:$Q$15,0)),"")))</f>
        <v/>
      </c>
      <c r="AP200" s="62">
        <f>IF(C200="","",IFERROR(INDEX('Saisie'!$AW$5:$AW$2004,_xlfn.MAXIFS('Saisie'!$AS$5:$AS$2004,'Saisie'!$C$5:$C$2004,C200,'Saisie'!$E$5:$E$2004,"Proposition envoyée")-4),""))</f>
        <v/>
      </c>
      <c r="AQ200" s="106">
        <f>IF(C200="","",IFERROR(1/(1/_xlfn.MAXIFS('Saisie'!$A$5:$A$2004,'Saisie'!$C$5:$C$2004,C200,'Saisie'!$E$5:$E$2004,"Proposition envoyée")),""))</f>
        <v/>
      </c>
      <c r="AR200" s="106">
        <f>IF(C200="","",IF(AQ200="","",AQ200+'Paramètres'!$B$26))</f>
        <v/>
      </c>
      <c r="AS200" s="62">
        <f>IF(OR(C200="",D200="Gagné",D200="Perdu"),0,N(AP200)*IFERROR(INDEX('Paramètres'!$G$6:$G$13,MATCH(D200,'Paramètres'!$F$6:$F$13,0)),0))</f>
        <v/>
      </c>
      <c r="AT200" s="106">
        <f>IF(C200="","",IFERROR(1/(1/_xlfn.MINIFS('Saisie'!$A$5:$A$2004,'Saisie'!$C$5:$C$2004,C200,'Saisie'!$E$5:$E$2004,"Signature")),""))</f>
        <v/>
      </c>
      <c r="AU200" s="60">
        <f>IF(C200="","",IF(OR(AT200="",B200=""),"",AT200-B200))</f>
        <v/>
      </c>
      <c r="AV200" s="60">
        <f>IF(C200="","",IFERROR(INDEX('Saisie'!$L$5:$L$2004,_xlfn.MAXIFS('Saisie'!$AS$5:$AS$2004,'Saisie'!$C$5:$C$2004,C200,'Saisie'!$L$5:$L$2004,"&lt;&gt;")-4),""))</f>
        <v/>
      </c>
      <c r="AW200" s="106">
        <f>IF(C200="","",IF(D200&lt;&gt;"Perdu","",IFERROR(1/(1/_xlfn.MAXIFS('Saisie'!$A$5:$A$2004,'Saisie'!$C$5:$C$2004,C200,'Saisie'!$E$5:$E$2004,"Perdu")),"")))</f>
        <v/>
      </c>
      <c r="AX200" s="106">
        <f>IF(C200="","",IF(AW200="","",AW200+'Paramètres'!$B$28))</f>
        <v/>
      </c>
      <c r="AY200" s="60">
        <f>IF(C200="","",SUMIFS('Saisie'!$H$5:$H$2004,'Saisie'!$C$5:$C$2004,C200))</f>
        <v/>
      </c>
      <c r="AZ200" s="60">
        <f>IF(C200="","",IFERROR(INDEX('Paramètres'!$W$6:$W$20,MATCH(S200,'Paramètres'!$V$6:$V$20,0))&amp;"",""))</f>
        <v/>
      </c>
      <c r="BA200" s="60">
        <f>IF(C200="","",MAX(1,_xlfn.MAXIFS('Saisie'!$AT$5:$AT$2004,'Saisie'!$C$5:$C$2004,C200)))</f>
        <v/>
      </c>
      <c r="BB200" s="60">
        <f>IF(C200="","",IFERROR(INDEX('Saisie'!$X$5:$X$2004,_xlfn.MAXIFS('Saisie'!$AS$5:$AS$2004,'Saisie'!$C$5:$C$2004,C200,'Saisie'!$X$5:$X$2004,"&lt;&gt;")-4),""))</f>
        <v/>
      </c>
      <c r="BC200" s="60">
        <f>IF(C200="","",IFERROR(INDEX('Saisie'!$Y$5:$Y$2004,_xlfn.MAXIFS('Saisie'!$AS$5:$AS$2004,'Saisie'!$C$5:$C$2004,C200,'Saisie'!$Y$5:$Y$2004,"&lt;&gt;")-4),""))</f>
        <v/>
      </c>
      <c r="BD200" s="106">
        <f>IF(C200="","",IFERROR(1/(1/_xlfn.MINIFS('Saisie'!$A$5:$A$2004,'Saisie'!$C$5:$C$2004,C200,'Saisie'!$AT$5:$AT$2004,"&gt;=2")),""))</f>
        <v/>
      </c>
      <c r="BE200" s="106">
        <f>IF(C200="","",IFERROR(1/(1/_xlfn.MINIFS('Saisie'!$A$5:$A$2004,'Saisie'!$C$5:$C$2004,C200,'Saisie'!$AT$5:$AT$2004,"&gt;=3")),""))</f>
        <v/>
      </c>
      <c r="BF200" s="106">
        <f>IF(C200="","",IFERROR(1/(1/_xlfn.MINIFS('Saisie'!$A$5:$A$2004,'Saisie'!$C$5:$C$2004,C200,'Saisie'!$AT$5:$AT$2004,"&gt;=4")),""))</f>
        <v/>
      </c>
      <c r="BG200" s="106">
        <f>IF(C200="","",IFERROR(1/(1/_xlfn.MINIFS('Saisie'!$A$5:$A$2004,'Saisie'!$C$5:$C$2004,C200,'Saisie'!$AT$5:$AT$2004,"&gt;=5")),""))</f>
        <v/>
      </c>
      <c r="BH200" s="106">
        <f>IF(C200="","",IFERROR(1/(1/_xlfn.MINIFS('Saisie'!$A$5:$A$2004,'Saisie'!$C$5:$C$2004,C200,'Saisie'!$AT$5:$AT$2004,"&gt;=6")),""))</f>
        <v/>
      </c>
      <c r="BI200" s="106">
        <f>IF(C200="","",IFERROR(1/(1/_xlfn.MINIFS('Saisie'!$A$5:$A$2004,'Saisie'!$C$5:$C$2004,C200,'Saisie'!$AT$5:$AT$2004,"&gt;=7")),""))</f>
        <v/>
      </c>
      <c r="BJ200" s="60">
        <f>IF(OR(BD200="",B200=""),"",BD200-B200)</f>
        <v/>
      </c>
      <c r="BK200" s="60">
        <f>IF(OR(BE200="",BD200=""),"",BE200-BD200)</f>
        <v/>
      </c>
      <c r="BL200" s="60">
        <f>IF(OR(BF200="",BE200=""),"",BF200-BE200)</f>
        <v/>
      </c>
      <c r="BM200" s="60">
        <f>IF(OR(BG200="",BF200=""),"",BG200-BF200)</f>
        <v/>
      </c>
      <c r="BN200" s="60">
        <f>IF(OR(BH200="",BG200=""),"",BH200-BG200)</f>
        <v/>
      </c>
      <c r="BO200" s="60">
        <f>IF(OR(BI200="",BH200=""),"",BI200-BH200)</f>
        <v/>
      </c>
      <c r="BP200" s="60">
        <f>IF(C200="","",_xlfn.MAXIFS('Saisie'!$AS$5:$AS$2004,'Saisie'!$C$5:$C$2004,C200,'Saisie'!$J$5:$J$2004,"&lt;&gt;"))</f>
        <v/>
      </c>
      <c r="BQ200" s="60">
        <f>IF(C200="","",_xlfn.MAXIFS('Saisie'!$AS$5:$AS$2004,'Saisie'!$C$5:$C$2004,C200))</f>
        <v/>
      </c>
      <c r="BR200" s="60">
        <f>IF(C200="","",_xlfn.MAXIFS('Saisie'!$AS$5:$AS$2004,'Saisie'!$C$5:$C$2004,C200,'Saisie'!$E$5:$E$2004,"Perdu"))</f>
        <v/>
      </c>
      <c r="BS200" s="60">
        <f>IF(C200="","",_xlfn.MAXIFS('Saisie'!$AS$5:$AS$2004,'Saisie'!$C$5:$C$2004,C200,'Saisie'!$AT$5:$AT$2004,"&gt;0"))</f>
        <v/>
      </c>
      <c r="BT200" s="109">
        <f>IF(AND(C200&lt;&gt;"",OR(D200="Nouveau",D200="Contacté",D200="Qualifié"),OR(G200="",N(G200)&lt;=TODAY()),NOT(AND(O200&gt;='Paramètres'!$B$21,P200=0))),E200+196/10000,"")</f>
        <v/>
      </c>
      <c r="BU200" s="60">
        <f>IF(AND(G200&lt;&gt;"",N(G200)&lt;=TODAY()),MAX($BU$4:BU199)+1,"")</f>
        <v/>
      </c>
      <c r="BV200" s="60">
        <f>IF(AND(F200&lt;&gt;"",F200&lt;&gt;"Relance en retard"),MAX($BV$4:BV199)+1,"")</f>
        <v/>
      </c>
      <c r="BW200" s="60">
        <f>IF(C200="","",IF(AND(B200&gt;='Tableau de bord'!$R$4,B200&lt;='Tableau de bord'!$S$4,OR('Tableau de bord'!$G$4="Tous",N200='Tableau de bord'!$G$4)),1,0))</f>
        <v/>
      </c>
      <c r="BX200" s="60">
        <f>IF(AND(C200&lt;&gt;"",N(BA200)=7),MAX($BX$4:BX199)+1,"")</f>
        <v/>
      </c>
    </row>
    <row r="201">
      <c r="A201" s="60">
        <f>IF(C201="","","P-"&amp;TEXT(197,"000"))</f>
        <v/>
      </c>
      <c r="B201" s="106">
        <f>IF(C201="","",IFERROR(1/(1/_xlfn.MINIFS('Saisie'!$A$5:$A$2004,'Saisie'!$C$5:$C$2004,C201)),""))</f>
        <v/>
      </c>
      <c r="C201" s="60">
        <f>IFERROR(INDEX('Saisie'!$C$5:$C$2004,MATCH(197,'Saisie'!$AX$5:$AX$2004,0)),"")</f>
        <v/>
      </c>
      <c r="D201" s="60">
        <f>IF(C201="","",IF(AND(BR201&gt;0,BR201&gt;BS201,BA201&lt;7),"Perdu",INDEX('Paramètres'!$F$6:$F$13,BA201)))</f>
        <v/>
      </c>
      <c r="E201" s="61">
        <f>IF(C201="","",MIN(100,(Z201="Oui")*'Paramètres'!$B$38+(AB201="Régulière")*'Paramètres'!$B$39+IF(AND(N(AA201)&gt;0,TODAY()-N(AA201)&lt;=30),'Paramètres'!$B$40,0)+(W201="")*'Paramètres'!$B$41+(AC201="Absente")*'Paramètres'!$B$42+(AC201="Faible")*'Paramètres'!$B$43+IF(AND(N(AD201)&gt;0,N(AD201)&lt;4),'Paramètres'!$B$44,0)+(AF201="Moyenne")*'Paramètres'!$B$45+(AF201="Grande")*'Paramètres'!$B$46+(Y201&lt;&gt;"")*'Paramètres'!$B$47))</f>
        <v/>
      </c>
      <c r="F201" s="60">
        <f>IF(C201="","",IF(D201="Gagné","",IF(D201="Perdu",IF(AND(AX201&lt;&gt;"",AX201&lt;=TODAY()),"À recontacter (perdu)",""),IF(AND(O201&gt;='Paramètres'!$B$21,P201=0),"Stop : "&amp;'Paramètres'!$B$21&amp;" tentatives sans réponse",IF(AND(D201="Proposition",AR201&lt;&gt;"",TODAY()&gt;N(AR201)),"Proposition expirée",IF(AND(D201="Proposition",N(R201)&gt;='Paramètres'!$B$25),"Proposition sans réponse",IF(AND(G201&lt;&gt;"",N(G201)&lt;TODAY()),"Relance en retard",IF(N(R201)&gt;='Paramètres'!$B$24,"Sans action depuis "&amp;R201&amp;" j",""))))))))</f>
        <v/>
      </c>
      <c r="G201" s="106">
        <f>IF(OR(C201="",D201="Gagné",D201="Perdu"),"",IF(AND(BP201&gt;0,BP201=BQ201),INDEX('Saisie'!$J$5:$J$2004,BP201-4),IF(OR(O201=0,AND(O201&gt;='Paramètres'!$B$21,P201=0)),"",Q201+IF(O201&lt;=1,'Paramètres'!$B$18,IF(O201=2,'Paramètres'!$B$19,'Paramètres'!$B$20)))))</f>
        <v/>
      </c>
      <c r="H201" s="107">
        <f>IF(OR(G201="",BP201&lt;&gt;BQ201),"",IF(INDEX('Saisie'!$K$5:$K$2004,BP201-4)="","",INDEX('Saisie'!$K$5:$K$2004,BP201-4)))</f>
        <v/>
      </c>
      <c r="I201" s="60">
        <f>IF(C201="","",IF(OR(D201="Gagné",D201="Perdu"),"",IFERROR(INDEX('Saisie'!$I$5:$I$2004,_xlfn.MAXIFS('Saisie'!$AS$5:$AS$2004,'Saisie'!$C$5:$C$2004,C201,'Saisie'!$I$5:$I$2004,"&lt;&gt;")-4),"")))</f>
        <v/>
      </c>
      <c r="J201" s="60">
        <f>IF(C201="","",IFERROR(INDEX('Saisie'!$U$5:$U$2004,_xlfn.MAXIFS('Saisie'!$AS$5:$AS$2004,'Saisie'!$C$5:$C$2004,C201,'Saisie'!$U$5:$U$2004,"&lt;&gt;")-4),""))</f>
        <v/>
      </c>
      <c r="K201" s="60">
        <f>IF(C201="","",IFERROR(INDEX('Saisie'!$W$5:$W$2004,_xlfn.MAXIFS('Saisie'!$AS$5:$AS$2004,'Saisie'!$C$5:$C$2004,C201,'Saisie'!$W$5:$W$2004,"&lt;&gt;")-4),""))</f>
        <v/>
      </c>
      <c r="L201" s="60">
        <f>IF(IF(BB201&lt;&gt;"",BB201,K201)="","",HYPERLINK("https://wa.me/"&amp;IF(LEFT(SUBSTITUTE(SUBSTITUTE(SUBSTITUTE(IF(BB201&lt;&gt;"",BB201,K201)," ",""),".",""),"+",""),1)="0",'Paramètres'!$B$35&amp;MID(SUBSTITUTE(SUBSTITUTE(SUBSTITUTE(IF(BB201&lt;&gt;"",BB201,K201)," ",""),".",""),"+",""),2,20),SUBSTITUTE(SUBSTITUTE(SUBSTITUTE(IF(BB201&lt;&gt;"",BB201,K201)," ",""),".",""),"+","")),"WhatsApp"))</f>
        <v/>
      </c>
      <c r="M201" s="60">
        <f>IF(BC201="","",HYPERLINK(IF(LEFT(BC201,4)="http",BC201,"https://www.instagram.com/"&amp;SUBSTITUTE(SUBSTITUTE(BC201,"@","")," ","")),BC201))</f>
        <v/>
      </c>
      <c r="N201" s="60">
        <f>IF(C201="","",IFERROR(INDEX('Saisie'!$D$5:$D$2004,_xlfn.MINIFS('Saisie'!$AS$5:$AS$2004,'Saisie'!$C$5:$C$2004,C201,'Saisie'!$AU$5:$AU$2004,1)-4),IFERROR(INDEX('Saisie'!$D$5:$D$2004,_xlfn.MINIFS('Saisie'!$AS$5:$AS$2004,'Saisie'!$C$5:$C$2004,C201,'Saisie'!$D$5:$D$2004,"&lt;&gt;")-4),"")))</f>
        <v/>
      </c>
      <c r="O201" s="60">
        <f>IF(C201="","",COUNTIFS('Saisie'!$C$5:$C$2004,C201,'Saisie'!$AU$5:$AU$2004,1))</f>
        <v/>
      </c>
      <c r="P201" s="60">
        <f>IF(C201="","",COUNTIFS('Saisie'!$C$5:$C$2004,C201,'Saisie'!$AV$5:$AV$2004,1))</f>
        <v/>
      </c>
      <c r="Q201" s="106">
        <f>IF(C201="","",IFERROR(1/(1/_xlfn.MAXIFS('Saisie'!$A$5:$A$2004,'Saisie'!$C$5:$C$2004,C201)),""))</f>
        <v/>
      </c>
      <c r="R201" s="61">
        <f>IF(C201="","",IF(Q201="","",TODAY()-Q201))</f>
        <v/>
      </c>
      <c r="S201" s="60">
        <f>IF(C201="","",IFERROR(INDEX('Saisie'!$R$5:$R$2004,_xlfn.MAXIFS('Saisie'!$AS$5:$AS$2004,'Saisie'!$C$5:$C$2004,C201,'Saisie'!$R$5:$R$2004,"&lt;&gt;")-4),""))</f>
        <v/>
      </c>
      <c r="T201" s="60">
        <f>IF(C201="","",IFERROR(INDEX('Saisie'!$S$5:$S$2004,_xlfn.MAXIFS('Saisie'!$AS$5:$AS$2004,'Saisie'!$C$5:$C$2004,C201,'Saisie'!$S$5:$S$2004,"&lt;&gt;")-4),""))</f>
        <v/>
      </c>
      <c r="U201" s="60">
        <f>IF(C201="","",IFERROR(INDEX('Saisie'!$T$5:$T$2004,_xlfn.MAXIFS('Saisie'!$AS$5:$AS$2004,'Saisie'!$C$5:$C$2004,C201,'Saisie'!$T$5:$T$2004,"&lt;&gt;")-4),""))</f>
        <v/>
      </c>
      <c r="V201" s="60">
        <f>IF(C201="","",IFERROR(INDEX('Saisie'!$V$5:$V$2004,_xlfn.MAXIFS('Saisie'!$AS$5:$AS$2004,'Saisie'!$C$5:$C$2004,C201,'Saisie'!$V$5:$V$2004,"&lt;&gt;")-4),""))</f>
        <v/>
      </c>
      <c r="W201" s="60">
        <f>IF(C201="","",IFERROR(INDEX('Saisie'!$Z$5:$Z$2004,_xlfn.MAXIFS('Saisie'!$AS$5:$AS$2004,'Saisie'!$C$5:$C$2004,C201,'Saisie'!$Z$5:$Z$2004,"&lt;&gt;")-4),""))</f>
        <v/>
      </c>
      <c r="X201" s="60">
        <f>IF(C201="","",IFERROR(INDEX('Saisie'!$AA$5:$AA$2004,_xlfn.MAXIFS('Saisie'!$AS$5:$AS$2004,'Saisie'!$C$5:$C$2004,C201,'Saisie'!$AA$5:$AA$2004,"&lt;&gt;")-4),""))</f>
        <v/>
      </c>
      <c r="Y201" s="60">
        <f>IF(C201="","",IFERROR(INDEX('Saisie'!$AB$5:$AB$2004,_xlfn.MAXIFS('Saisie'!$AS$5:$AS$2004,'Saisie'!$C$5:$C$2004,C201,'Saisie'!$AB$5:$AB$2004,"&lt;&gt;")-4),""))</f>
        <v/>
      </c>
      <c r="Z201" s="60">
        <f>IF(C201="","",IFERROR(INDEX('Saisie'!$AC$5:$AC$2004,_xlfn.MAXIFS('Saisie'!$AS$5:$AS$2004,'Saisie'!$C$5:$C$2004,C201,'Saisie'!$AC$5:$AC$2004,"&lt;&gt;")-4),""))</f>
        <v/>
      </c>
      <c r="AA201" s="106">
        <f>IF(C201="","",IFERROR(INDEX('Saisie'!$AD$5:$AD$2004,_xlfn.MAXIFS('Saisie'!$AS$5:$AS$2004,'Saisie'!$C$5:$C$2004,C201,'Saisie'!$AD$5:$AD$2004,"&lt;&gt;")-4),""))</f>
        <v/>
      </c>
      <c r="AB201" s="60">
        <f>IF(C201="","",IFERROR(INDEX('Saisie'!$AE$5:$AE$2004,_xlfn.MAXIFS('Saisie'!$AS$5:$AS$2004,'Saisie'!$C$5:$C$2004,C201,'Saisie'!$AE$5:$AE$2004,"&lt;&gt;")-4),""))</f>
        <v/>
      </c>
      <c r="AC201" s="60">
        <f>IF(C201="","",IFERROR(INDEX('Saisie'!$AF$5:$AF$2004,_xlfn.MAXIFS('Saisie'!$AS$5:$AS$2004,'Saisie'!$C$5:$C$2004,C201,'Saisie'!$AF$5:$AF$2004,"&lt;&gt;")-4),""))</f>
        <v/>
      </c>
      <c r="AD201" s="108">
        <f>IF(C201="","",IFERROR(INDEX('Saisie'!$AG$5:$AG$2004,_xlfn.MAXIFS('Saisie'!$AS$5:$AS$2004,'Saisie'!$C$5:$C$2004,C201,'Saisie'!$AG$5:$AG$2004,"&lt;&gt;")-4),""))</f>
        <v/>
      </c>
      <c r="AE201" s="60">
        <f>IF(C201="","",IFERROR(INDEX('Saisie'!$AH$5:$AH$2004,_xlfn.MAXIFS('Saisie'!$AS$5:$AS$2004,'Saisie'!$C$5:$C$2004,C201,'Saisie'!$AH$5:$AH$2004,"&lt;&gt;")-4),""))</f>
        <v/>
      </c>
      <c r="AF201" s="60">
        <f>IF(C201="","",IFERROR(INDEX('Saisie'!$AI$5:$AI$2004,_xlfn.MAXIFS('Saisie'!$AS$5:$AS$2004,'Saisie'!$C$5:$C$2004,C201,'Saisie'!$AI$5:$AI$2004,"&lt;&gt;")-4),""))</f>
        <v/>
      </c>
      <c r="AG201" s="60">
        <f>IF(C201="","",IFERROR(INDEX('Saisie'!$AJ$5:$AJ$2004,_xlfn.MAXIFS('Saisie'!$AS$5:$AS$2004,'Saisie'!$C$5:$C$2004,C201,'Saisie'!$AJ$5:$AJ$2004,"&lt;&gt;")-4),""))</f>
        <v/>
      </c>
      <c r="AH201" s="60">
        <f>IF(C201="","",IFERROR(INDEX('Saisie'!$AK$5:$AK$2004,_xlfn.MAXIFS('Saisie'!$AS$5:$AS$2004,'Saisie'!$C$5:$C$2004,C201,'Saisie'!$AK$5:$AK$2004,"&lt;&gt;")-4),""))</f>
        <v/>
      </c>
      <c r="AI201" s="60">
        <f>IF(C201="","",IFERROR(INDEX('Saisie'!$AN$5:$AN$2004,_xlfn.MAXIFS('Saisie'!$AS$5:$AS$2004,'Saisie'!$C$5:$C$2004,C201,'Saisie'!$AN$5:$AN$2004,"&lt;&gt;")-4),""))</f>
        <v/>
      </c>
      <c r="AJ201" s="60">
        <f>IF(C201="","",IFERROR(INDEX('Saisie'!$AO$5:$AO$2004,_xlfn.MAXIFS('Saisie'!$AS$5:$AS$2004,'Saisie'!$C$5:$C$2004,C201,'Saisie'!$AO$5:$AO$2004,"&lt;&gt;")-4),""))</f>
        <v/>
      </c>
      <c r="AK201" s="60">
        <f>IF(C201="","",IFERROR(INDEX('Saisie'!$AP$5:$AP$2004,_xlfn.MAXIFS('Saisie'!$AS$5:$AS$2004,'Saisie'!$C$5:$C$2004,C201,'Saisie'!$AP$5:$AP$2004,"&lt;&gt;")-4),""))</f>
        <v/>
      </c>
      <c r="AL201" s="60">
        <f>IF(C201="","",IFERROR(INDEX('Saisie'!$AQ$5:$AQ$2004,_xlfn.MAXIFS('Saisie'!$AS$5:$AS$2004,'Saisie'!$C$5:$C$2004,C201,'Saisie'!$AQ$5:$AQ$2004,"&lt;&gt;")-4),""))</f>
        <v/>
      </c>
      <c r="AM201" s="60">
        <f>IF(C201="","",((AI201="Oui")+(AJ201="Oui")+(AK201="Oui")+OR(AL201="Immédiat",AL201="&lt; 1 mois"))&amp;"/4")</f>
        <v/>
      </c>
      <c r="AN201" s="60">
        <f>IF(C201="","",IFERROR(INDEX('Saisie'!$AL$5:$AL$2004,_xlfn.MAXIFS('Saisie'!$AS$5:$AS$2004,'Saisie'!$C$5:$C$2004,C201,'Saisie'!$AL$5:$AL$2004,"&lt;&gt;")-4),""))</f>
        <v/>
      </c>
      <c r="AO201" s="62">
        <f>IF(C201="","",IF(IFERROR(INDEX('Saisie'!$AM$5:$AM$2004,_xlfn.MAXIFS('Saisie'!$AS$5:$AS$2004,'Saisie'!$C$5:$C$2004,C201,'Saisie'!$AM$5:$AM$2004,"&lt;&gt;")-4),"")&lt;&gt;"",IFERROR(INDEX('Saisie'!$AM$5:$AM$2004,_xlfn.MAXIFS('Saisie'!$AS$5:$AS$2004,'Saisie'!$C$5:$C$2004,C201,'Saisie'!$AM$5:$AM$2004,"&lt;&gt;")-4),""),IFERROR(INDEX('Paramètres'!$S$6:$S$15,MATCH(AN201,'Paramètres'!$Q$6:$Q$15,0)),"")))</f>
        <v/>
      </c>
      <c r="AP201" s="62">
        <f>IF(C201="","",IFERROR(INDEX('Saisie'!$AW$5:$AW$2004,_xlfn.MAXIFS('Saisie'!$AS$5:$AS$2004,'Saisie'!$C$5:$C$2004,C201,'Saisie'!$E$5:$E$2004,"Proposition envoyée")-4),""))</f>
        <v/>
      </c>
      <c r="AQ201" s="106">
        <f>IF(C201="","",IFERROR(1/(1/_xlfn.MAXIFS('Saisie'!$A$5:$A$2004,'Saisie'!$C$5:$C$2004,C201,'Saisie'!$E$5:$E$2004,"Proposition envoyée")),""))</f>
        <v/>
      </c>
      <c r="AR201" s="106">
        <f>IF(C201="","",IF(AQ201="","",AQ201+'Paramètres'!$B$26))</f>
        <v/>
      </c>
      <c r="AS201" s="62">
        <f>IF(OR(C201="",D201="Gagné",D201="Perdu"),0,N(AP201)*IFERROR(INDEX('Paramètres'!$G$6:$G$13,MATCH(D201,'Paramètres'!$F$6:$F$13,0)),0))</f>
        <v/>
      </c>
      <c r="AT201" s="106">
        <f>IF(C201="","",IFERROR(1/(1/_xlfn.MINIFS('Saisie'!$A$5:$A$2004,'Saisie'!$C$5:$C$2004,C201,'Saisie'!$E$5:$E$2004,"Signature")),""))</f>
        <v/>
      </c>
      <c r="AU201" s="60">
        <f>IF(C201="","",IF(OR(AT201="",B201=""),"",AT201-B201))</f>
        <v/>
      </c>
      <c r="AV201" s="60">
        <f>IF(C201="","",IFERROR(INDEX('Saisie'!$L$5:$L$2004,_xlfn.MAXIFS('Saisie'!$AS$5:$AS$2004,'Saisie'!$C$5:$C$2004,C201,'Saisie'!$L$5:$L$2004,"&lt;&gt;")-4),""))</f>
        <v/>
      </c>
      <c r="AW201" s="106">
        <f>IF(C201="","",IF(D201&lt;&gt;"Perdu","",IFERROR(1/(1/_xlfn.MAXIFS('Saisie'!$A$5:$A$2004,'Saisie'!$C$5:$C$2004,C201,'Saisie'!$E$5:$E$2004,"Perdu")),"")))</f>
        <v/>
      </c>
      <c r="AX201" s="106">
        <f>IF(C201="","",IF(AW201="","",AW201+'Paramètres'!$B$28))</f>
        <v/>
      </c>
      <c r="AY201" s="60">
        <f>IF(C201="","",SUMIFS('Saisie'!$H$5:$H$2004,'Saisie'!$C$5:$C$2004,C201))</f>
        <v/>
      </c>
      <c r="AZ201" s="60">
        <f>IF(C201="","",IFERROR(INDEX('Paramètres'!$W$6:$W$20,MATCH(S201,'Paramètres'!$V$6:$V$20,0))&amp;"",""))</f>
        <v/>
      </c>
      <c r="BA201" s="60">
        <f>IF(C201="","",MAX(1,_xlfn.MAXIFS('Saisie'!$AT$5:$AT$2004,'Saisie'!$C$5:$C$2004,C201)))</f>
        <v/>
      </c>
      <c r="BB201" s="60">
        <f>IF(C201="","",IFERROR(INDEX('Saisie'!$X$5:$X$2004,_xlfn.MAXIFS('Saisie'!$AS$5:$AS$2004,'Saisie'!$C$5:$C$2004,C201,'Saisie'!$X$5:$X$2004,"&lt;&gt;")-4),""))</f>
        <v/>
      </c>
      <c r="BC201" s="60">
        <f>IF(C201="","",IFERROR(INDEX('Saisie'!$Y$5:$Y$2004,_xlfn.MAXIFS('Saisie'!$AS$5:$AS$2004,'Saisie'!$C$5:$C$2004,C201,'Saisie'!$Y$5:$Y$2004,"&lt;&gt;")-4),""))</f>
        <v/>
      </c>
      <c r="BD201" s="106">
        <f>IF(C201="","",IFERROR(1/(1/_xlfn.MINIFS('Saisie'!$A$5:$A$2004,'Saisie'!$C$5:$C$2004,C201,'Saisie'!$AT$5:$AT$2004,"&gt;=2")),""))</f>
        <v/>
      </c>
      <c r="BE201" s="106">
        <f>IF(C201="","",IFERROR(1/(1/_xlfn.MINIFS('Saisie'!$A$5:$A$2004,'Saisie'!$C$5:$C$2004,C201,'Saisie'!$AT$5:$AT$2004,"&gt;=3")),""))</f>
        <v/>
      </c>
      <c r="BF201" s="106">
        <f>IF(C201="","",IFERROR(1/(1/_xlfn.MINIFS('Saisie'!$A$5:$A$2004,'Saisie'!$C$5:$C$2004,C201,'Saisie'!$AT$5:$AT$2004,"&gt;=4")),""))</f>
        <v/>
      </c>
      <c r="BG201" s="106">
        <f>IF(C201="","",IFERROR(1/(1/_xlfn.MINIFS('Saisie'!$A$5:$A$2004,'Saisie'!$C$5:$C$2004,C201,'Saisie'!$AT$5:$AT$2004,"&gt;=5")),""))</f>
        <v/>
      </c>
      <c r="BH201" s="106">
        <f>IF(C201="","",IFERROR(1/(1/_xlfn.MINIFS('Saisie'!$A$5:$A$2004,'Saisie'!$C$5:$C$2004,C201,'Saisie'!$AT$5:$AT$2004,"&gt;=6")),""))</f>
        <v/>
      </c>
      <c r="BI201" s="106">
        <f>IF(C201="","",IFERROR(1/(1/_xlfn.MINIFS('Saisie'!$A$5:$A$2004,'Saisie'!$C$5:$C$2004,C201,'Saisie'!$AT$5:$AT$2004,"&gt;=7")),""))</f>
        <v/>
      </c>
      <c r="BJ201" s="60">
        <f>IF(OR(BD201="",B201=""),"",BD201-B201)</f>
        <v/>
      </c>
      <c r="BK201" s="60">
        <f>IF(OR(BE201="",BD201=""),"",BE201-BD201)</f>
        <v/>
      </c>
      <c r="BL201" s="60">
        <f>IF(OR(BF201="",BE201=""),"",BF201-BE201)</f>
        <v/>
      </c>
      <c r="BM201" s="60">
        <f>IF(OR(BG201="",BF201=""),"",BG201-BF201)</f>
        <v/>
      </c>
      <c r="BN201" s="60">
        <f>IF(OR(BH201="",BG201=""),"",BH201-BG201)</f>
        <v/>
      </c>
      <c r="BO201" s="60">
        <f>IF(OR(BI201="",BH201=""),"",BI201-BH201)</f>
        <v/>
      </c>
      <c r="BP201" s="60">
        <f>IF(C201="","",_xlfn.MAXIFS('Saisie'!$AS$5:$AS$2004,'Saisie'!$C$5:$C$2004,C201,'Saisie'!$J$5:$J$2004,"&lt;&gt;"))</f>
        <v/>
      </c>
      <c r="BQ201" s="60">
        <f>IF(C201="","",_xlfn.MAXIFS('Saisie'!$AS$5:$AS$2004,'Saisie'!$C$5:$C$2004,C201))</f>
        <v/>
      </c>
      <c r="BR201" s="60">
        <f>IF(C201="","",_xlfn.MAXIFS('Saisie'!$AS$5:$AS$2004,'Saisie'!$C$5:$C$2004,C201,'Saisie'!$E$5:$E$2004,"Perdu"))</f>
        <v/>
      </c>
      <c r="BS201" s="60">
        <f>IF(C201="","",_xlfn.MAXIFS('Saisie'!$AS$5:$AS$2004,'Saisie'!$C$5:$C$2004,C201,'Saisie'!$AT$5:$AT$2004,"&gt;0"))</f>
        <v/>
      </c>
      <c r="BT201" s="109">
        <f>IF(AND(C201&lt;&gt;"",OR(D201="Nouveau",D201="Contacté",D201="Qualifié"),OR(G201="",N(G201)&lt;=TODAY()),NOT(AND(O201&gt;='Paramètres'!$B$21,P201=0))),E201+197/10000,"")</f>
        <v/>
      </c>
      <c r="BU201" s="60">
        <f>IF(AND(G201&lt;&gt;"",N(G201)&lt;=TODAY()),MAX($BU$4:BU200)+1,"")</f>
        <v/>
      </c>
      <c r="BV201" s="60">
        <f>IF(AND(F201&lt;&gt;"",F201&lt;&gt;"Relance en retard"),MAX($BV$4:BV200)+1,"")</f>
        <v/>
      </c>
      <c r="BW201" s="60">
        <f>IF(C201="","",IF(AND(B201&gt;='Tableau de bord'!$R$4,B201&lt;='Tableau de bord'!$S$4,OR('Tableau de bord'!$G$4="Tous",N201='Tableau de bord'!$G$4)),1,0))</f>
        <v/>
      </c>
      <c r="BX201" s="60">
        <f>IF(AND(C201&lt;&gt;"",N(BA201)=7),MAX($BX$4:BX200)+1,"")</f>
        <v/>
      </c>
    </row>
    <row r="202">
      <c r="A202" s="60">
        <f>IF(C202="","","P-"&amp;TEXT(198,"000"))</f>
        <v/>
      </c>
      <c r="B202" s="106">
        <f>IF(C202="","",IFERROR(1/(1/_xlfn.MINIFS('Saisie'!$A$5:$A$2004,'Saisie'!$C$5:$C$2004,C202)),""))</f>
        <v/>
      </c>
      <c r="C202" s="60">
        <f>IFERROR(INDEX('Saisie'!$C$5:$C$2004,MATCH(198,'Saisie'!$AX$5:$AX$2004,0)),"")</f>
        <v/>
      </c>
      <c r="D202" s="60">
        <f>IF(C202="","",IF(AND(BR202&gt;0,BR202&gt;BS202,BA202&lt;7),"Perdu",INDEX('Paramètres'!$F$6:$F$13,BA202)))</f>
        <v/>
      </c>
      <c r="E202" s="61">
        <f>IF(C202="","",MIN(100,(Z202="Oui")*'Paramètres'!$B$38+(AB202="Régulière")*'Paramètres'!$B$39+IF(AND(N(AA202)&gt;0,TODAY()-N(AA202)&lt;=30),'Paramètres'!$B$40,0)+(W202="")*'Paramètres'!$B$41+(AC202="Absente")*'Paramètres'!$B$42+(AC202="Faible")*'Paramètres'!$B$43+IF(AND(N(AD202)&gt;0,N(AD202)&lt;4),'Paramètres'!$B$44,0)+(AF202="Moyenne")*'Paramètres'!$B$45+(AF202="Grande")*'Paramètres'!$B$46+(Y202&lt;&gt;"")*'Paramètres'!$B$47))</f>
        <v/>
      </c>
      <c r="F202" s="60">
        <f>IF(C202="","",IF(D202="Gagné","",IF(D202="Perdu",IF(AND(AX202&lt;&gt;"",AX202&lt;=TODAY()),"À recontacter (perdu)",""),IF(AND(O202&gt;='Paramètres'!$B$21,P202=0),"Stop : "&amp;'Paramètres'!$B$21&amp;" tentatives sans réponse",IF(AND(D202="Proposition",AR202&lt;&gt;"",TODAY()&gt;N(AR202)),"Proposition expirée",IF(AND(D202="Proposition",N(R202)&gt;='Paramètres'!$B$25),"Proposition sans réponse",IF(AND(G202&lt;&gt;"",N(G202)&lt;TODAY()),"Relance en retard",IF(N(R202)&gt;='Paramètres'!$B$24,"Sans action depuis "&amp;R202&amp;" j",""))))))))</f>
        <v/>
      </c>
      <c r="G202" s="106">
        <f>IF(OR(C202="",D202="Gagné",D202="Perdu"),"",IF(AND(BP202&gt;0,BP202=BQ202),INDEX('Saisie'!$J$5:$J$2004,BP202-4),IF(OR(O202=0,AND(O202&gt;='Paramètres'!$B$21,P202=0)),"",Q202+IF(O202&lt;=1,'Paramètres'!$B$18,IF(O202=2,'Paramètres'!$B$19,'Paramètres'!$B$20)))))</f>
        <v/>
      </c>
      <c r="H202" s="107">
        <f>IF(OR(G202="",BP202&lt;&gt;BQ202),"",IF(INDEX('Saisie'!$K$5:$K$2004,BP202-4)="","",INDEX('Saisie'!$K$5:$K$2004,BP202-4)))</f>
        <v/>
      </c>
      <c r="I202" s="60">
        <f>IF(C202="","",IF(OR(D202="Gagné",D202="Perdu"),"",IFERROR(INDEX('Saisie'!$I$5:$I$2004,_xlfn.MAXIFS('Saisie'!$AS$5:$AS$2004,'Saisie'!$C$5:$C$2004,C202,'Saisie'!$I$5:$I$2004,"&lt;&gt;")-4),"")))</f>
        <v/>
      </c>
      <c r="J202" s="60">
        <f>IF(C202="","",IFERROR(INDEX('Saisie'!$U$5:$U$2004,_xlfn.MAXIFS('Saisie'!$AS$5:$AS$2004,'Saisie'!$C$5:$C$2004,C202,'Saisie'!$U$5:$U$2004,"&lt;&gt;")-4),""))</f>
        <v/>
      </c>
      <c r="K202" s="60">
        <f>IF(C202="","",IFERROR(INDEX('Saisie'!$W$5:$W$2004,_xlfn.MAXIFS('Saisie'!$AS$5:$AS$2004,'Saisie'!$C$5:$C$2004,C202,'Saisie'!$W$5:$W$2004,"&lt;&gt;")-4),""))</f>
        <v/>
      </c>
      <c r="L202" s="60">
        <f>IF(IF(BB202&lt;&gt;"",BB202,K202)="","",HYPERLINK("https://wa.me/"&amp;IF(LEFT(SUBSTITUTE(SUBSTITUTE(SUBSTITUTE(IF(BB202&lt;&gt;"",BB202,K202)," ",""),".",""),"+",""),1)="0",'Paramètres'!$B$35&amp;MID(SUBSTITUTE(SUBSTITUTE(SUBSTITUTE(IF(BB202&lt;&gt;"",BB202,K202)," ",""),".",""),"+",""),2,20),SUBSTITUTE(SUBSTITUTE(SUBSTITUTE(IF(BB202&lt;&gt;"",BB202,K202)," ",""),".",""),"+","")),"WhatsApp"))</f>
        <v/>
      </c>
      <c r="M202" s="60">
        <f>IF(BC202="","",HYPERLINK(IF(LEFT(BC202,4)="http",BC202,"https://www.instagram.com/"&amp;SUBSTITUTE(SUBSTITUTE(BC202,"@","")," ","")),BC202))</f>
        <v/>
      </c>
      <c r="N202" s="60">
        <f>IF(C202="","",IFERROR(INDEX('Saisie'!$D$5:$D$2004,_xlfn.MINIFS('Saisie'!$AS$5:$AS$2004,'Saisie'!$C$5:$C$2004,C202,'Saisie'!$AU$5:$AU$2004,1)-4),IFERROR(INDEX('Saisie'!$D$5:$D$2004,_xlfn.MINIFS('Saisie'!$AS$5:$AS$2004,'Saisie'!$C$5:$C$2004,C202,'Saisie'!$D$5:$D$2004,"&lt;&gt;")-4),"")))</f>
        <v/>
      </c>
      <c r="O202" s="60">
        <f>IF(C202="","",COUNTIFS('Saisie'!$C$5:$C$2004,C202,'Saisie'!$AU$5:$AU$2004,1))</f>
        <v/>
      </c>
      <c r="P202" s="60">
        <f>IF(C202="","",COUNTIFS('Saisie'!$C$5:$C$2004,C202,'Saisie'!$AV$5:$AV$2004,1))</f>
        <v/>
      </c>
      <c r="Q202" s="106">
        <f>IF(C202="","",IFERROR(1/(1/_xlfn.MAXIFS('Saisie'!$A$5:$A$2004,'Saisie'!$C$5:$C$2004,C202)),""))</f>
        <v/>
      </c>
      <c r="R202" s="61">
        <f>IF(C202="","",IF(Q202="","",TODAY()-Q202))</f>
        <v/>
      </c>
      <c r="S202" s="60">
        <f>IF(C202="","",IFERROR(INDEX('Saisie'!$R$5:$R$2004,_xlfn.MAXIFS('Saisie'!$AS$5:$AS$2004,'Saisie'!$C$5:$C$2004,C202,'Saisie'!$R$5:$R$2004,"&lt;&gt;")-4),""))</f>
        <v/>
      </c>
      <c r="T202" s="60">
        <f>IF(C202="","",IFERROR(INDEX('Saisie'!$S$5:$S$2004,_xlfn.MAXIFS('Saisie'!$AS$5:$AS$2004,'Saisie'!$C$5:$C$2004,C202,'Saisie'!$S$5:$S$2004,"&lt;&gt;")-4),""))</f>
        <v/>
      </c>
      <c r="U202" s="60">
        <f>IF(C202="","",IFERROR(INDEX('Saisie'!$T$5:$T$2004,_xlfn.MAXIFS('Saisie'!$AS$5:$AS$2004,'Saisie'!$C$5:$C$2004,C202,'Saisie'!$T$5:$T$2004,"&lt;&gt;")-4),""))</f>
        <v/>
      </c>
      <c r="V202" s="60">
        <f>IF(C202="","",IFERROR(INDEX('Saisie'!$V$5:$V$2004,_xlfn.MAXIFS('Saisie'!$AS$5:$AS$2004,'Saisie'!$C$5:$C$2004,C202,'Saisie'!$V$5:$V$2004,"&lt;&gt;")-4),""))</f>
        <v/>
      </c>
      <c r="W202" s="60">
        <f>IF(C202="","",IFERROR(INDEX('Saisie'!$Z$5:$Z$2004,_xlfn.MAXIFS('Saisie'!$AS$5:$AS$2004,'Saisie'!$C$5:$C$2004,C202,'Saisie'!$Z$5:$Z$2004,"&lt;&gt;")-4),""))</f>
        <v/>
      </c>
      <c r="X202" s="60">
        <f>IF(C202="","",IFERROR(INDEX('Saisie'!$AA$5:$AA$2004,_xlfn.MAXIFS('Saisie'!$AS$5:$AS$2004,'Saisie'!$C$5:$C$2004,C202,'Saisie'!$AA$5:$AA$2004,"&lt;&gt;")-4),""))</f>
        <v/>
      </c>
      <c r="Y202" s="60">
        <f>IF(C202="","",IFERROR(INDEX('Saisie'!$AB$5:$AB$2004,_xlfn.MAXIFS('Saisie'!$AS$5:$AS$2004,'Saisie'!$C$5:$C$2004,C202,'Saisie'!$AB$5:$AB$2004,"&lt;&gt;")-4),""))</f>
        <v/>
      </c>
      <c r="Z202" s="60">
        <f>IF(C202="","",IFERROR(INDEX('Saisie'!$AC$5:$AC$2004,_xlfn.MAXIFS('Saisie'!$AS$5:$AS$2004,'Saisie'!$C$5:$C$2004,C202,'Saisie'!$AC$5:$AC$2004,"&lt;&gt;")-4),""))</f>
        <v/>
      </c>
      <c r="AA202" s="106">
        <f>IF(C202="","",IFERROR(INDEX('Saisie'!$AD$5:$AD$2004,_xlfn.MAXIFS('Saisie'!$AS$5:$AS$2004,'Saisie'!$C$5:$C$2004,C202,'Saisie'!$AD$5:$AD$2004,"&lt;&gt;")-4),""))</f>
        <v/>
      </c>
      <c r="AB202" s="60">
        <f>IF(C202="","",IFERROR(INDEX('Saisie'!$AE$5:$AE$2004,_xlfn.MAXIFS('Saisie'!$AS$5:$AS$2004,'Saisie'!$C$5:$C$2004,C202,'Saisie'!$AE$5:$AE$2004,"&lt;&gt;")-4),""))</f>
        <v/>
      </c>
      <c r="AC202" s="60">
        <f>IF(C202="","",IFERROR(INDEX('Saisie'!$AF$5:$AF$2004,_xlfn.MAXIFS('Saisie'!$AS$5:$AS$2004,'Saisie'!$C$5:$C$2004,C202,'Saisie'!$AF$5:$AF$2004,"&lt;&gt;")-4),""))</f>
        <v/>
      </c>
      <c r="AD202" s="108">
        <f>IF(C202="","",IFERROR(INDEX('Saisie'!$AG$5:$AG$2004,_xlfn.MAXIFS('Saisie'!$AS$5:$AS$2004,'Saisie'!$C$5:$C$2004,C202,'Saisie'!$AG$5:$AG$2004,"&lt;&gt;")-4),""))</f>
        <v/>
      </c>
      <c r="AE202" s="60">
        <f>IF(C202="","",IFERROR(INDEX('Saisie'!$AH$5:$AH$2004,_xlfn.MAXIFS('Saisie'!$AS$5:$AS$2004,'Saisie'!$C$5:$C$2004,C202,'Saisie'!$AH$5:$AH$2004,"&lt;&gt;")-4),""))</f>
        <v/>
      </c>
      <c r="AF202" s="60">
        <f>IF(C202="","",IFERROR(INDEX('Saisie'!$AI$5:$AI$2004,_xlfn.MAXIFS('Saisie'!$AS$5:$AS$2004,'Saisie'!$C$5:$C$2004,C202,'Saisie'!$AI$5:$AI$2004,"&lt;&gt;")-4),""))</f>
        <v/>
      </c>
      <c r="AG202" s="60">
        <f>IF(C202="","",IFERROR(INDEX('Saisie'!$AJ$5:$AJ$2004,_xlfn.MAXIFS('Saisie'!$AS$5:$AS$2004,'Saisie'!$C$5:$C$2004,C202,'Saisie'!$AJ$5:$AJ$2004,"&lt;&gt;")-4),""))</f>
        <v/>
      </c>
      <c r="AH202" s="60">
        <f>IF(C202="","",IFERROR(INDEX('Saisie'!$AK$5:$AK$2004,_xlfn.MAXIFS('Saisie'!$AS$5:$AS$2004,'Saisie'!$C$5:$C$2004,C202,'Saisie'!$AK$5:$AK$2004,"&lt;&gt;")-4),""))</f>
        <v/>
      </c>
      <c r="AI202" s="60">
        <f>IF(C202="","",IFERROR(INDEX('Saisie'!$AN$5:$AN$2004,_xlfn.MAXIFS('Saisie'!$AS$5:$AS$2004,'Saisie'!$C$5:$C$2004,C202,'Saisie'!$AN$5:$AN$2004,"&lt;&gt;")-4),""))</f>
        <v/>
      </c>
      <c r="AJ202" s="60">
        <f>IF(C202="","",IFERROR(INDEX('Saisie'!$AO$5:$AO$2004,_xlfn.MAXIFS('Saisie'!$AS$5:$AS$2004,'Saisie'!$C$5:$C$2004,C202,'Saisie'!$AO$5:$AO$2004,"&lt;&gt;")-4),""))</f>
        <v/>
      </c>
      <c r="AK202" s="60">
        <f>IF(C202="","",IFERROR(INDEX('Saisie'!$AP$5:$AP$2004,_xlfn.MAXIFS('Saisie'!$AS$5:$AS$2004,'Saisie'!$C$5:$C$2004,C202,'Saisie'!$AP$5:$AP$2004,"&lt;&gt;")-4),""))</f>
        <v/>
      </c>
      <c r="AL202" s="60">
        <f>IF(C202="","",IFERROR(INDEX('Saisie'!$AQ$5:$AQ$2004,_xlfn.MAXIFS('Saisie'!$AS$5:$AS$2004,'Saisie'!$C$5:$C$2004,C202,'Saisie'!$AQ$5:$AQ$2004,"&lt;&gt;")-4),""))</f>
        <v/>
      </c>
      <c r="AM202" s="60">
        <f>IF(C202="","",((AI202="Oui")+(AJ202="Oui")+(AK202="Oui")+OR(AL202="Immédiat",AL202="&lt; 1 mois"))&amp;"/4")</f>
        <v/>
      </c>
      <c r="AN202" s="60">
        <f>IF(C202="","",IFERROR(INDEX('Saisie'!$AL$5:$AL$2004,_xlfn.MAXIFS('Saisie'!$AS$5:$AS$2004,'Saisie'!$C$5:$C$2004,C202,'Saisie'!$AL$5:$AL$2004,"&lt;&gt;")-4),""))</f>
        <v/>
      </c>
      <c r="AO202" s="62">
        <f>IF(C202="","",IF(IFERROR(INDEX('Saisie'!$AM$5:$AM$2004,_xlfn.MAXIFS('Saisie'!$AS$5:$AS$2004,'Saisie'!$C$5:$C$2004,C202,'Saisie'!$AM$5:$AM$2004,"&lt;&gt;")-4),"")&lt;&gt;"",IFERROR(INDEX('Saisie'!$AM$5:$AM$2004,_xlfn.MAXIFS('Saisie'!$AS$5:$AS$2004,'Saisie'!$C$5:$C$2004,C202,'Saisie'!$AM$5:$AM$2004,"&lt;&gt;")-4),""),IFERROR(INDEX('Paramètres'!$S$6:$S$15,MATCH(AN202,'Paramètres'!$Q$6:$Q$15,0)),"")))</f>
        <v/>
      </c>
      <c r="AP202" s="62">
        <f>IF(C202="","",IFERROR(INDEX('Saisie'!$AW$5:$AW$2004,_xlfn.MAXIFS('Saisie'!$AS$5:$AS$2004,'Saisie'!$C$5:$C$2004,C202,'Saisie'!$E$5:$E$2004,"Proposition envoyée")-4),""))</f>
        <v/>
      </c>
      <c r="AQ202" s="106">
        <f>IF(C202="","",IFERROR(1/(1/_xlfn.MAXIFS('Saisie'!$A$5:$A$2004,'Saisie'!$C$5:$C$2004,C202,'Saisie'!$E$5:$E$2004,"Proposition envoyée")),""))</f>
        <v/>
      </c>
      <c r="AR202" s="106">
        <f>IF(C202="","",IF(AQ202="","",AQ202+'Paramètres'!$B$26))</f>
        <v/>
      </c>
      <c r="AS202" s="62">
        <f>IF(OR(C202="",D202="Gagné",D202="Perdu"),0,N(AP202)*IFERROR(INDEX('Paramètres'!$G$6:$G$13,MATCH(D202,'Paramètres'!$F$6:$F$13,0)),0))</f>
        <v/>
      </c>
      <c r="AT202" s="106">
        <f>IF(C202="","",IFERROR(1/(1/_xlfn.MINIFS('Saisie'!$A$5:$A$2004,'Saisie'!$C$5:$C$2004,C202,'Saisie'!$E$5:$E$2004,"Signature")),""))</f>
        <v/>
      </c>
      <c r="AU202" s="60">
        <f>IF(C202="","",IF(OR(AT202="",B202=""),"",AT202-B202))</f>
        <v/>
      </c>
      <c r="AV202" s="60">
        <f>IF(C202="","",IFERROR(INDEX('Saisie'!$L$5:$L$2004,_xlfn.MAXIFS('Saisie'!$AS$5:$AS$2004,'Saisie'!$C$5:$C$2004,C202,'Saisie'!$L$5:$L$2004,"&lt;&gt;")-4),""))</f>
        <v/>
      </c>
      <c r="AW202" s="106">
        <f>IF(C202="","",IF(D202&lt;&gt;"Perdu","",IFERROR(1/(1/_xlfn.MAXIFS('Saisie'!$A$5:$A$2004,'Saisie'!$C$5:$C$2004,C202,'Saisie'!$E$5:$E$2004,"Perdu")),"")))</f>
        <v/>
      </c>
      <c r="AX202" s="106">
        <f>IF(C202="","",IF(AW202="","",AW202+'Paramètres'!$B$28))</f>
        <v/>
      </c>
      <c r="AY202" s="60">
        <f>IF(C202="","",SUMIFS('Saisie'!$H$5:$H$2004,'Saisie'!$C$5:$C$2004,C202))</f>
        <v/>
      </c>
      <c r="AZ202" s="60">
        <f>IF(C202="","",IFERROR(INDEX('Paramètres'!$W$6:$W$20,MATCH(S202,'Paramètres'!$V$6:$V$20,0))&amp;"",""))</f>
        <v/>
      </c>
      <c r="BA202" s="60">
        <f>IF(C202="","",MAX(1,_xlfn.MAXIFS('Saisie'!$AT$5:$AT$2004,'Saisie'!$C$5:$C$2004,C202)))</f>
        <v/>
      </c>
      <c r="BB202" s="60">
        <f>IF(C202="","",IFERROR(INDEX('Saisie'!$X$5:$X$2004,_xlfn.MAXIFS('Saisie'!$AS$5:$AS$2004,'Saisie'!$C$5:$C$2004,C202,'Saisie'!$X$5:$X$2004,"&lt;&gt;")-4),""))</f>
        <v/>
      </c>
      <c r="BC202" s="60">
        <f>IF(C202="","",IFERROR(INDEX('Saisie'!$Y$5:$Y$2004,_xlfn.MAXIFS('Saisie'!$AS$5:$AS$2004,'Saisie'!$C$5:$C$2004,C202,'Saisie'!$Y$5:$Y$2004,"&lt;&gt;")-4),""))</f>
        <v/>
      </c>
      <c r="BD202" s="106">
        <f>IF(C202="","",IFERROR(1/(1/_xlfn.MINIFS('Saisie'!$A$5:$A$2004,'Saisie'!$C$5:$C$2004,C202,'Saisie'!$AT$5:$AT$2004,"&gt;=2")),""))</f>
        <v/>
      </c>
      <c r="BE202" s="106">
        <f>IF(C202="","",IFERROR(1/(1/_xlfn.MINIFS('Saisie'!$A$5:$A$2004,'Saisie'!$C$5:$C$2004,C202,'Saisie'!$AT$5:$AT$2004,"&gt;=3")),""))</f>
        <v/>
      </c>
      <c r="BF202" s="106">
        <f>IF(C202="","",IFERROR(1/(1/_xlfn.MINIFS('Saisie'!$A$5:$A$2004,'Saisie'!$C$5:$C$2004,C202,'Saisie'!$AT$5:$AT$2004,"&gt;=4")),""))</f>
        <v/>
      </c>
      <c r="BG202" s="106">
        <f>IF(C202="","",IFERROR(1/(1/_xlfn.MINIFS('Saisie'!$A$5:$A$2004,'Saisie'!$C$5:$C$2004,C202,'Saisie'!$AT$5:$AT$2004,"&gt;=5")),""))</f>
        <v/>
      </c>
      <c r="BH202" s="106">
        <f>IF(C202="","",IFERROR(1/(1/_xlfn.MINIFS('Saisie'!$A$5:$A$2004,'Saisie'!$C$5:$C$2004,C202,'Saisie'!$AT$5:$AT$2004,"&gt;=6")),""))</f>
        <v/>
      </c>
      <c r="BI202" s="106">
        <f>IF(C202="","",IFERROR(1/(1/_xlfn.MINIFS('Saisie'!$A$5:$A$2004,'Saisie'!$C$5:$C$2004,C202,'Saisie'!$AT$5:$AT$2004,"&gt;=7")),""))</f>
        <v/>
      </c>
      <c r="BJ202" s="60">
        <f>IF(OR(BD202="",B202=""),"",BD202-B202)</f>
        <v/>
      </c>
      <c r="BK202" s="60">
        <f>IF(OR(BE202="",BD202=""),"",BE202-BD202)</f>
        <v/>
      </c>
      <c r="BL202" s="60">
        <f>IF(OR(BF202="",BE202=""),"",BF202-BE202)</f>
        <v/>
      </c>
      <c r="BM202" s="60">
        <f>IF(OR(BG202="",BF202=""),"",BG202-BF202)</f>
        <v/>
      </c>
      <c r="BN202" s="60">
        <f>IF(OR(BH202="",BG202=""),"",BH202-BG202)</f>
        <v/>
      </c>
      <c r="BO202" s="60">
        <f>IF(OR(BI202="",BH202=""),"",BI202-BH202)</f>
        <v/>
      </c>
      <c r="BP202" s="60">
        <f>IF(C202="","",_xlfn.MAXIFS('Saisie'!$AS$5:$AS$2004,'Saisie'!$C$5:$C$2004,C202,'Saisie'!$J$5:$J$2004,"&lt;&gt;"))</f>
        <v/>
      </c>
      <c r="BQ202" s="60">
        <f>IF(C202="","",_xlfn.MAXIFS('Saisie'!$AS$5:$AS$2004,'Saisie'!$C$5:$C$2004,C202))</f>
        <v/>
      </c>
      <c r="BR202" s="60">
        <f>IF(C202="","",_xlfn.MAXIFS('Saisie'!$AS$5:$AS$2004,'Saisie'!$C$5:$C$2004,C202,'Saisie'!$E$5:$E$2004,"Perdu"))</f>
        <v/>
      </c>
      <c r="BS202" s="60">
        <f>IF(C202="","",_xlfn.MAXIFS('Saisie'!$AS$5:$AS$2004,'Saisie'!$C$5:$C$2004,C202,'Saisie'!$AT$5:$AT$2004,"&gt;0"))</f>
        <v/>
      </c>
      <c r="BT202" s="109">
        <f>IF(AND(C202&lt;&gt;"",OR(D202="Nouveau",D202="Contacté",D202="Qualifié"),OR(G202="",N(G202)&lt;=TODAY()),NOT(AND(O202&gt;='Paramètres'!$B$21,P202=0))),E202+198/10000,"")</f>
        <v/>
      </c>
      <c r="BU202" s="60">
        <f>IF(AND(G202&lt;&gt;"",N(G202)&lt;=TODAY()),MAX($BU$4:BU201)+1,"")</f>
        <v/>
      </c>
      <c r="BV202" s="60">
        <f>IF(AND(F202&lt;&gt;"",F202&lt;&gt;"Relance en retard"),MAX($BV$4:BV201)+1,"")</f>
        <v/>
      </c>
      <c r="BW202" s="60">
        <f>IF(C202="","",IF(AND(B202&gt;='Tableau de bord'!$R$4,B202&lt;='Tableau de bord'!$S$4,OR('Tableau de bord'!$G$4="Tous",N202='Tableau de bord'!$G$4)),1,0))</f>
        <v/>
      </c>
      <c r="BX202" s="60">
        <f>IF(AND(C202&lt;&gt;"",N(BA202)=7),MAX($BX$4:BX201)+1,"")</f>
        <v/>
      </c>
    </row>
    <row r="203">
      <c r="A203" s="60">
        <f>IF(C203="","","P-"&amp;TEXT(199,"000"))</f>
        <v/>
      </c>
      <c r="B203" s="106">
        <f>IF(C203="","",IFERROR(1/(1/_xlfn.MINIFS('Saisie'!$A$5:$A$2004,'Saisie'!$C$5:$C$2004,C203)),""))</f>
        <v/>
      </c>
      <c r="C203" s="60">
        <f>IFERROR(INDEX('Saisie'!$C$5:$C$2004,MATCH(199,'Saisie'!$AX$5:$AX$2004,0)),"")</f>
        <v/>
      </c>
      <c r="D203" s="60">
        <f>IF(C203="","",IF(AND(BR203&gt;0,BR203&gt;BS203,BA203&lt;7),"Perdu",INDEX('Paramètres'!$F$6:$F$13,BA203)))</f>
        <v/>
      </c>
      <c r="E203" s="61">
        <f>IF(C203="","",MIN(100,(Z203="Oui")*'Paramètres'!$B$38+(AB203="Régulière")*'Paramètres'!$B$39+IF(AND(N(AA203)&gt;0,TODAY()-N(AA203)&lt;=30),'Paramètres'!$B$40,0)+(W203="")*'Paramètres'!$B$41+(AC203="Absente")*'Paramètres'!$B$42+(AC203="Faible")*'Paramètres'!$B$43+IF(AND(N(AD203)&gt;0,N(AD203)&lt;4),'Paramètres'!$B$44,0)+(AF203="Moyenne")*'Paramètres'!$B$45+(AF203="Grande")*'Paramètres'!$B$46+(Y203&lt;&gt;"")*'Paramètres'!$B$47))</f>
        <v/>
      </c>
      <c r="F203" s="60">
        <f>IF(C203="","",IF(D203="Gagné","",IF(D203="Perdu",IF(AND(AX203&lt;&gt;"",AX203&lt;=TODAY()),"À recontacter (perdu)",""),IF(AND(O203&gt;='Paramètres'!$B$21,P203=0),"Stop : "&amp;'Paramètres'!$B$21&amp;" tentatives sans réponse",IF(AND(D203="Proposition",AR203&lt;&gt;"",TODAY()&gt;N(AR203)),"Proposition expirée",IF(AND(D203="Proposition",N(R203)&gt;='Paramètres'!$B$25),"Proposition sans réponse",IF(AND(G203&lt;&gt;"",N(G203)&lt;TODAY()),"Relance en retard",IF(N(R203)&gt;='Paramètres'!$B$24,"Sans action depuis "&amp;R203&amp;" j",""))))))))</f>
        <v/>
      </c>
      <c r="G203" s="106">
        <f>IF(OR(C203="",D203="Gagné",D203="Perdu"),"",IF(AND(BP203&gt;0,BP203=BQ203),INDEX('Saisie'!$J$5:$J$2004,BP203-4),IF(OR(O203=0,AND(O203&gt;='Paramètres'!$B$21,P203=0)),"",Q203+IF(O203&lt;=1,'Paramètres'!$B$18,IF(O203=2,'Paramètres'!$B$19,'Paramètres'!$B$20)))))</f>
        <v/>
      </c>
      <c r="H203" s="107">
        <f>IF(OR(G203="",BP203&lt;&gt;BQ203),"",IF(INDEX('Saisie'!$K$5:$K$2004,BP203-4)="","",INDEX('Saisie'!$K$5:$K$2004,BP203-4)))</f>
        <v/>
      </c>
      <c r="I203" s="60">
        <f>IF(C203="","",IF(OR(D203="Gagné",D203="Perdu"),"",IFERROR(INDEX('Saisie'!$I$5:$I$2004,_xlfn.MAXIFS('Saisie'!$AS$5:$AS$2004,'Saisie'!$C$5:$C$2004,C203,'Saisie'!$I$5:$I$2004,"&lt;&gt;")-4),"")))</f>
        <v/>
      </c>
      <c r="J203" s="60">
        <f>IF(C203="","",IFERROR(INDEX('Saisie'!$U$5:$U$2004,_xlfn.MAXIFS('Saisie'!$AS$5:$AS$2004,'Saisie'!$C$5:$C$2004,C203,'Saisie'!$U$5:$U$2004,"&lt;&gt;")-4),""))</f>
        <v/>
      </c>
      <c r="K203" s="60">
        <f>IF(C203="","",IFERROR(INDEX('Saisie'!$W$5:$W$2004,_xlfn.MAXIFS('Saisie'!$AS$5:$AS$2004,'Saisie'!$C$5:$C$2004,C203,'Saisie'!$W$5:$W$2004,"&lt;&gt;")-4),""))</f>
        <v/>
      </c>
      <c r="L203" s="60">
        <f>IF(IF(BB203&lt;&gt;"",BB203,K203)="","",HYPERLINK("https://wa.me/"&amp;IF(LEFT(SUBSTITUTE(SUBSTITUTE(SUBSTITUTE(IF(BB203&lt;&gt;"",BB203,K203)," ",""),".",""),"+",""),1)="0",'Paramètres'!$B$35&amp;MID(SUBSTITUTE(SUBSTITUTE(SUBSTITUTE(IF(BB203&lt;&gt;"",BB203,K203)," ",""),".",""),"+",""),2,20),SUBSTITUTE(SUBSTITUTE(SUBSTITUTE(IF(BB203&lt;&gt;"",BB203,K203)," ",""),".",""),"+","")),"WhatsApp"))</f>
        <v/>
      </c>
      <c r="M203" s="60">
        <f>IF(BC203="","",HYPERLINK(IF(LEFT(BC203,4)="http",BC203,"https://www.instagram.com/"&amp;SUBSTITUTE(SUBSTITUTE(BC203,"@","")," ","")),BC203))</f>
        <v/>
      </c>
      <c r="N203" s="60">
        <f>IF(C203="","",IFERROR(INDEX('Saisie'!$D$5:$D$2004,_xlfn.MINIFS('Saisie'!$AS$5:$AS$2004,'Saisie'!$C$5:$C$2004,C203,'Saisie'!$AU$5:$AU$2004,1)-4),IFERROR(INDEX('Saisie'!$D$5:$D$2004,_xlfn.MINIFS('Saisie'!$AS$5:$AS$2004,'Saisie'!$C$5:$C$2004,C203,'Saisie'!$D$5:$D$2004,"&lt;&gt;")-4),"")))</f>
        <v/>
      </c>
      <c r="O203" s="60">
        <f>IF(C203="","",COUNTIFS('Saisie'!$C$5:$C$2004,C203,'Saisie'!$AU$5:$AU$2004,1))</f>
        <v/>
      </c>
      <c r="P203" s="60">
        <f>IF(C203="","",COUNTIFS('Saisie'!$C$5:$C$2004,C203,'Saisie'!$AV$5:$AV$2004,1))</f>
        <v/>
      </c>
      <c r="Q203" s="106">
        <f>IF(C203="","",IFERROR(1/(1/_xlfn.MAXIFS('Saisie'!$A$5:$A$2004,'Saisie'!$C$5:$C$2004,C203)),""))</f>
        <v/>
      </c>
      <c r="R203" s="61">
        <f>IF(C203="","",IF(Q203="","",TODAY()-Q203))</f>
        <v/>
      </c>
      <c r="S203" s="60">
        <f>IF(C203="","",IFERROR(INDEX('Saisie'!$R$5:$R$2004,_xlfn.MAXIFS('Saisie'!$AS$5:$AS$2004,'Saisie'!$C$5:$C$2004,C203,'Saisie'!$R$5:$R$2004,"&lt;&gt;")-4),""))</f>
        <v/>
      </c>
      <c r="T203" s="60">
        <f>IF(C203="","",IFERROR(INDEX('Saisie'!$S$5:$S$2004,_xlfn.MAXIFS('Saisie'!$AS$5:$AS$2004,'Saisie'!$C$5:$C$2004,C203,'Saisie'!$S$5:$S$2004,"&lt;&gt;")-4),""))</f>
        <v/>
      </c>
      <c r="U203" s="60">
        <f>IF(C203="","",IFERROR(INDEX('Saisie'!$T$5:$T$2004,_xlfn.MAXIFS('Saisie'!$AS$5:$AS$2004,'Saisie'!$C$5:$C$2004,C203,'Saisie'!$T$5:$T$2004,"&lt;&gt;")-4),""))</f>
        <v/>
      </c>
      <c r="V203" s="60">
        <f>IF(C203="","",IFERROR(INDEX('Saisie'!$V$5:$V$2004,_xlfn.MAXIFS('Saisie'!$AS$5:$AS$2004,'Saisie'!$C$5:$C$2004,C203,'Saisie'!$V$5:$V$2004,"&lt;&gt;")-4),""))</f>
        <v/>
      </c>
      <c r="W203" s="60">
        <f>IF(C203="","",IFERROR(INDEX('Saisie'!$Z$5:$Z$2004,_xlfn.MAXIFS('Saisie'!$AS$5:$AS$2004,'Saisie'!$C$5:$C$2004,C203,'Saisie'!$Z$5:$Z$2004,"&lt;&gt;")-4),""))</f>
        <v/>
      </c>
      <c r="X203" s="60">
        <f>IF(C203="","",IFERROR(INDEX('Saisie'!$AA$5:$AA$2004,_xlfn.MAXIFS('Saisie'!$AS$5:$AS$2004,'Saisie'!$C$5:$C$2004,C203,'Saisie'!$AA$5:$AA$2004,"&lt;&gt;")-4),""))</f>
        <v/>
      </c>
      <c r="Y203" s="60">
        <f>IF(C203="","",IFERROR(INDEX('Saisie'!$AB$5:$AB$2004,_xlfn.MAXIFS('Saisie'!$AS$5:$AS$2004,'Saisie'!$C$5:$C$2004,C203,'Saisie'!$AB$5:$AB$2004,"&lt;&gt;")-4),""))</f>
        <v/>
      </c>
      <c r="Z203" s="60">
        <f>IF(C203="","",IFERROR(INDEX('Saisie'!$AC$5:$AC$2004,_xlfn.MAXIFS('Saisie'!$AS$5:$AS$2004,'Saisie'!$C$5:$C$2004,C203,'Saisie'!$AC$5:$AC$2004,"&lt;&gt;")-4),""))</f>
        <v/>
      </c>
      <c r="AA203" s="106">
        <f>IF(C203="","",IFERROR(INDEX('Saisie'!$AD$5:$AD$2004,_xlfn.MAXIFS('Saisie'!$AS$5:$AS$2004,'Saisie'!$C$5:$C$2004,C203,'Saisie'!$AD$5:$AD$2004,"&lt;&gt;")-4),""))</f>
        <v/>
      </c>
      <c r="AB203" s="60">
        <f>IF(C203="","",IFERROR(INDEX('Saisie'!$AE$5:$AE$2004,_xlfn.MAXIFS('Saisie'!$AS$5:$AS$2004,'Saisie'!$C$5:$C$2004,C203,'Saisie'!$AE$5:$AE$2004,"&lt;&gt;")-4),""))</f>
        <v/>
      </c>
      <c r="AC203" s="60">
        <f>IF(C203="","",IFERROR(INDEX('Saisie'!$AF$5:$AF$2004,_xlfn.MAXIFS('Saisie'!$AS$5:$AS$2004,'Saisie'!$C$5:$C$2004,C203,'Saisie'!$AF$5:$AF$2004,"&lt;&gt;")-4),""))</f>
        <v/>
      </c>
      <c r="AD203" s="108">
        <f>IF(C203="","",IFERROR(INDEX('Saisie'!$AG$5:$AG$2004,_xlfn.MAXIFS('Saisie'!$AS$5:$AS$2004,'Saisie'!$C$5:$C$2004,C203,'Saisie'!$AG$5:$AG$2004,"&lt;&gt;")-4),""))</f>
        <v/>
      </c>
      <c r="AE203" s="60">
        <f>IF(C203="","",IFERROR(INDEX('Saisie'!$AH$5:$AH$2004,_xlfn.MAXIFS('Saisie'!$AS$5:$AS$2004,'Saisie'!$C$5:$C$2004,C203,'Saisie'!$AH$5:$AH$2004,"&lt;&gt;")-4),""))</f>
        <v/>
      </c>
      <c r="AF203" s="60">
        <f>IF(C203="","",IFERROR(INDEX('Saisie'!$AI$5:$AI$2004,_xlfn.MAXIFS('Saisie'!$AS$5:$AS$2004,'Saisie'!$C$5:$C$2004,C203,'Saisie'!$AI$5:$AI$2004,"&lt;&gt;")-4),""))</f>
        <v/>
      </c>
      <c r="AG203" s="60">
        <f>IF(C203="","",IFERROR(INDEX('Saisie'!$AJ$5:$AJ$2004,_xlfn.MAXIFS('Saisie'!$AS$5:$AS$2004,'Saisie'!$C$5:$C$2004,C203,'Saisie'!$AJ$5:$AJ$2004,"&lt;&gt;")-4),""))</f>
        <v/>
      </c>
      <c r="AH203" s="60">
        <f>IF(C203="","",IFERROR(INDEX('Saisie'!$AK$5:$AK$2004,_xlfn.MAXIFS('Saisie'!$AS$5:$AS$2004,'Saisie'!$C$5:$C$2004,C203,'Saisie'!$AK$5:$AK$2004,"&lt;&gt;")-4),""))</f>
        <v/>
      </c>
      <c r="AI203" s="60">
        <f>IF(C203="","",IFERROR(INDEX('Saisie'!$AN$5:$AN$2004,_xlfn.MAXIFS('Saisie'!$AS$5:$AS$2004,'Saisie'!$C$5:$C$2004,C203,'Saisie'!$AN$5:$AN$2004,"&lt;&gt;")-4),""))</f>
        <v/>
      </c>
      <c r="AJ203" s="60">
        <f>IF(C203="","",IFERROR(INDEX('Saisie'!$AO$5:$AO$2004,_xlfn.MAXIFS('Saisie'!$AS$5:$AS$2004,'Saisie'!$C$5:$C$2004,C203,'Saisie'!$AO$5:$AO$2004,"&lt;&gt;")-4),""))</f>
        <v/>
      </c>
      <c r="AK203" s="60">
        <f>IF(C203="","",IFERROR(INDEX('Saisie'!$AP$5:$AP$2004,_xlfn.MAXIFS('Saisie'!$AS$5:$AS$2004,'Saisie'!$C$5:$C$2004,C203,'Saisie'!$AP$5:$AP$2004,"&lt;&gt;")-4),""))</f>
        <v/>
      </c>
      <c r="AL203" s="60">
        <f>IF(C203="","",IFERROR(INDEX('Saisie'!$AQ$5:$AQ$2004,_xlfn.MAXIFS('Saisie'!$AS$5:$AS$2004,'Saisie'!$C$5:$C$2004,C203,'Saisie'!$AQ$5:$AQ$2004,"&lt;&gt;")-4),""))</f>
        <v/>
      </c>
      <c r="AM203" s="60">
        <f>IF(C203="","",((AI203="Oui")+(AJ203="Oui")+(AK203="Oui")+OR(AL203="Immédiat",AL203="&lt; 1 mois"))&amp;"/4")</f>
        <v/>
      </c>
      <c r="AN203" s="60">
        <f>IF(C203="","",IFERROR(INDEX('Saisie'!$AL$5:$AL$2004,_xlfn.MAXIFS('Saisie'!$AS$5:$AS$2004,'Saisie'!$C$5:$C$2004,C203,'Saisie'!$AL$5:$AL$2004,"&lt;&gt;")-4),""))</f>
        <v/>
      </c>
      <c r="AO203" s="62">
        <f>IF(C203="","",IF(IFERROR(INDEX('Saisie'!$AM$5:$AM$2004,_xlfn.MAXIFS('Saisie'!$AS$5:$AS$2004,'Saisie'!$C$5:$C$2004,C203,'Saisie'!$AM$5:$AM$2004,"&lt;&gt;")-4),"")&lt;&gt;"",IFERROR(INDEX('Saisie'!$AM$5:$AM$2004,_xlfn.MAXIFS('Saisie'!$AS$5:$AS$2004,'Saisie'!$C$5:$C$2004,C203,'Saisie'!$AM$5:$AM$2004,"&lt;&gt;")-4),""),IFERROR(INDEX('Paramètres'!$S$6:$S$15,MATCH(AN203,'Paramètres'!$Q$6:$Q$15,0)),"")))</f>
        <v/>
      </c>
      <c r="AP203" s="62">
        <f>IF(C203="","",IFERROR(INDEX('Saisie'!$AW$5:$AW$2004,_xlfn.MAXIFS('Saisie'!$AS$5:$AS$2004,'Saisie'!$C$5:$C$2004,C203,'Saisie'!$E$5:$E$2004,"Proposition envoyée")-4),""))</f>
        <v/>
      </c>
      <c r="AQ203" s="106">
        <f>IF(C203="","",IFERROR(1/(1/_xlfn.MAXIFS('Saisie'!$A$5:$A$2004,'Saisie'!$C$5:$C$2004,C203,'Saisie'!$E$5:$E$2004,"Proposition envoyée")),""))</f>
        <v/>
      </c>
      <c r="AR203" s="106">
        <f>IF(C203="","",IF(AQ203="","",AQ203+'Paramètres'!$B$26))</f>
        <v/>
      </c>
      <c r="AS203" s="62">
        <f>IF(OR(C203="",D203="Gagné",D203="Perdu"),0,N(AP203)*IFERROR(INDEX('Paramètres'!$G$6:$G$13,MATCH(D203,'Paramètres'!$F$6:$F$13,0)),0))</f>
        <v/>
      </c>
      <c r="AT203" s="106">
        <f>IF(C203="","",IFERROR(1/(1/_xlfn.MINIFS('Saisie'!$A$5:$A$2004,'Saisie'!$C$5:$C$2004,C203,'Saisie'!$E$5:$E$2004,"Signature")),""))</f>
        <v/>
      </c>
      <c r="AU203" s="60">
        <f>IF(C203="","",IF(OR(AT203="",B203=""),"",AT203-B203))</f>
        <v/>
      </c>
      <c r="AV203" s="60">
        <f>IF(C203="","",IFERROR(INDEX('Saisie'!$L$5:$L$2004,_xlfn.MAXIFS('Saisie'!$AS$5:$AS$2004,'Saisie'!$C$5:$C$2004,C203,'Saisie'!$L$5:$L$2004,"&lt;&gt;")-4),""))</f>
        <v/>
      </c>
      <c r="AW203" s="106">
        <f>IF(C203="","",IF(D203&lt;&gt;"Perdu","",IFERROR(1/(1/_xlfn.MAXIFS('Saisie'!$A$5:$A$2004,'Saisie'!$C$5:$C$2004,C203,'Saisie'!$E$5:$E$2004,"Perdu")),"")))</f>
        <v/>
      </c>
      <c r="AX203" s="106">
        <f>IF(C203="","",IF(AW203="","",AW203+'Paramètres'!$B$28))</f>
        <v/>
      </c>
      <c r="AY203" s="60">
        <f>IF(C203="","",SUMIFS('Saisie'!$H$5:$H$2004,'Saisie'!$C$5:$C$2004,C203))</f>
        <v/>
      </c>
      <c r="AZ203" s="60">
        <f>IF(C203="","",IFERROR(INDEX('Paramètres'!$W$6:$W$20,MATCH(S203,'Paramètres'!$V$6:$V$20,0))&amp;"",""))</f>
        <v/>
      </c>
      <c r="BA203" s="60">
        <f>IF(C203="","",MAX(1,_xlfn.MAXIFS('Saisie'!$AT$5:$AT$2004,'Saisie'!$C$5:$C$2004,C203)))</f>
        <v/>
      </c>
      <c r="BB203" s="60">
        <f>IF(C203="","",IFERROR(INDEX('Saisie'!$X$5:$X$2004,_xlfn.MAXIFS('Saisie'!$AS$5:$AS$2004,'Saisie'!$C$5:$C$2004,C203,'Saisie'!$X$5:$X$2004,"&lt;&gt;")-4),""))</f>
        <v/>
      </c>
      <c r="BC203" s="60">
        <f>IF(C203="","",IFERROR(INDEX('Saisie'!$Y$5:$Y$2004,_xlfn.MAXIFS('Saisie'!$AS$5:$AS$2004,'Saisie'!$C$5:$C$2004,C203,'Saisie'!$Y$5:$Y$2004,"&lt;&gt;")-4),""))</f>
        <v/>
      </c>
      <c r="BD203" s="106">
        <f>IF(C203="","",IFERROR(1/(1/_xlfn.MINIFS('Saisie'!$A$5:$A$2004,'Saisie'!$C$5:$C$2004,C203,'Saisie'!$AT$5:$AT$2004,"&gt;=2")),""))</f>
        <v/>
      </c>
      <c r="BE203" s="106">
        <f>IF(C203="","",IFERROR(1/(1/_xlfn.MINIFS('Saisie'!$A$5:$A$2004,'Saisie'!$C$5:$C$2004,C203,'Saisie'!$AT$5:$AT$2004,"&gt;=3")),""))</f>
        <v/>
      </c>
      <c r="BF203" s="106">
        <f>IF(C203="","",IFERROR(1/(1/_xlfn.MINIFS('Saisie'!$A$5:$A$2004,'Saisie'!$C$5:$C$2004,C203,'Saisie'!$AT$5:$AT$2004,"&gt;=4")),""))</f>
        <v/>
      </c>
      <c r="BG203" s="106">
        <f>IF(C203="","",IFERROR(1/(1/_xlfn.MINIFS('Saisie'!$A$5:$A$2004,'Saisie'!$C$5:$C$2004,C203,'Saisie'!$AT$5:$AT$2004,"&gt;=5")),""))</f>
        <v/>
      </c>
      <c r="BH203" s="106">
        <f>IF(C203="","",IFERROR(1/(1/_xlfn.MINIFS('Saisie'!$A$5:$A$2004,'Saisie'!$C$5:$C$2004,C203,'Saisie'!$AT$5:$AT$2004,"&gt;=6")),""))</f>
        <v/>
      </c>
      <c r="BI203" s="106">
        <f>IF(C203="","",IFERROR(1/(1/_xlfn.MINIFS('Saisie'!$A$5:$A$2004,'Saisie'!$C$5:$C$2004,C203,'Saisie'!$AT$5:$AT$2004,"&gt;=7")),""))</f>
        <v/>
      </c>
      <c r="BJ203" s="60">
        <f>IF(OR(BD203="",B203=""),"",BD203-B203)</f>
        <v/>
      </c>
      <c r="BK203" s="60">
        <f>IF(OR(BE203="",BD203=""),"",BE203-BD203)</f>
        <v/>
      </c>
      <c r="BL203" s="60">
        <f>IF(OR(BF203="",BE203=""),"",BF203-BE203)</f>
        <v/>
      </c>
      <c r="BM203" s="60">
        <f>IF(OR(BG203="",BF203=""),"",BG203-BF203)</f>
        <v/>
      </c>
      <c r="BN203" s="60">
        <f>IF(OR(BH203="",BG203=""),"",BH203-BG203)</f>
        <v/>
      </c>
      <c r="BO203" s="60">
        <f>IF(OR(BI203="",BH203=""),"",BI203-BH203)</f>
        <v/>
      </c>
      <c r="BP203" s="60">
        <f>IF(C203="","",_xlfn.MAXIFS('Saisie'!$AS$5:$AS$2004,'Saisie'!$C$5:$C$2004,C203,'Saisie'!$J$5:$J$2004,"&lt;&gt;"))</f>
        <v/>
      </c>
      <c r="BQ203" s="60">
        <f>IF(C203="","",_xlfn.MAXIFS('Saisie'!$AS$5:$AS$2004,'Saisie'!$C$5:$C$2004,C203))</f>
        <v/>
      </c>
      <c r="BR203" s="60">
        <f>IF(C203="","",_xlfn.MAXIFS('Saisie'!$AS$5:$AS$2004,'Saisie'!$C$5:$C$2004,C203,'Saisie'!$E$5:$E$2004,"Perdu"))</f>
        <v/>
      </c>
      <c r="BS203" s="60">
        <f>IF(C203="","",_xlfn.MAXIFS('Saisie'!$AS$5:$AS$2004,'Saisie'!$C$5:$C$2004,C203,'Saisie'!$AT$5:$AT$2004,"&gt;0"))</f>
        <v/>
      </c>
      <c r="BT203" s="109">
        <f>IF(AND(C203&lt;&gt;"",OR(D203="Nouveau",D203="Contacté",D203="Qualifié"),OR(G203="",N(G203)&lt;=TODAY()),NOT(AND(O203&gt;='Paramètres'!$B$21,P203=0))),E203+199/10000,"")</f>
        <v/>
      </c>
      <c r="BU203" s="60">
        <f>IF(AND(G203&lt;&gt;"",N(G203)&lt;=TODAY()),MAX($BU$4:BU202)+1,"")</f>
        <v/>
      </c>
      <c r="BV203" s="60">
        <f>IF(AND(F203&lt;&gt;"",F203&lt;&gt;"Relance en retard"),MAX($BV$4:BV202)+1,"")</f>
        <v/>
      </c>
      <c r="BW203" s="60">
        <f>IF(C203="","",IF(AND(B203&gt;='Tableau de bord'!$R$4,B203&lt;='Tableau de bord'!$S$4,OR('Tableau de bord'!$G$4="Tous",N203='Tableau de bord'!$G$4)),1,0))</f>
        <v/>
      </c>
      <c r="BX203" s="60">
        <f>IF(AND(C203&lt;&gt;"",N(BA203)=7),MAX($BX$4:BX202)+1,"")</f>
        <v/>
      </c>
    </row>
    <row r="204">
      <c r="A204" s="60">
        <f>IF(C204="","","P-"&amp;TEXT(200,"000"))</f>
        <v/>
      </c>
      <c r="B204" s="106">
        <f>IF(C204="","",IFERROR(1/(1/_xlfn.MINIFS('Saisie'!$A$5:$A$2004,'Saisie'!$C$5:$C$2004,C204)),""))</f>
        <v/>
      </c>
      <c r="C204" s="60">
        <f>IFERROR(INDEX('Saisie'!$C$5:$C$2004,MATCH(200,'Saisie'!$AX$5:$AX$2004,0)),"")</f>
        <v/>
      </c>
      <c r="D204" s="60">
        <f>IF(C204="","",IF(AND(BR204&gt;0,BR204&gt;BS204,BA204&lt;7),"Perdu",INDEX('Paramètres'!$F$6:$F$13,BA204)))</f>
        <v/>
      </c>
      <c r="E204" s="61">
        <f>IF(C204="","",MIN(100,(Z204="Oui")*'Paramètres'!$B$38+(AB204="Régulière")*'Paramètres'!$B$39+IF(AND(N(AA204)&gt;0,TODAY()-N(AA204)&lt;=30),'Paramètres'!$B$40,0)+(W204="")*'Paramètres'!$B$41+(AC204="Absente")*'Paramètres'!$B$42+(AC204="Faible")*'Paramètres'!$B$43+IF(AND(N(AD204)&gt;0,N(AD204)&lt;4),'Paramètres'!$B$44,0)+(AF204="Moyenne")*'Paramètres'!$B$45+(AF204="Grande")*'Paramètres'!$B$46+(Y204&lt;&gt;"")*'Paramètres'!$B$47))</f>
        <v/>
      </c>
      <c r="F204" s="60">
        <f>IF(C204="","",IF(D204="Gagné","",IF(D204="Perdu",IF(AND(AX204&lt;&gt;"",AX204&lt;=TODAY()),"À recontacter (perdu)",""),IF(AND(O204&gt;='Paramètres'!$B$21,P204=0),"Stop : "&amp;'Paramètres'!$B$21&amp;" tentatives sans réponse",IF(AND(D204="Proposition",AR204&lt;&gt;"",TODAY()&gt;N(AR204)),"Proposition expirée",IF(AND(D204="Proposition",N(R204)&gt;='Paramètres'!$B$25),"Proposition sans réponse",IF(AND(G204&lt;&gt;"",N(G204)&lt;TODAY()),"Relance en retard",IF(N(R204)&gt;='Paramètres'!$B$24,"Sans action depuis "&amp;R204&amp;" j",""))))))))</f>
        <v/>
      </c>
      <c r="G204" s="106">
        <f>IF(OR(C204="",D204="Gagné",D204="Perdu"),"",IF(AND(BP204&gt;0,BP204=BQ204),INDEX('Saisie'!$J$5:$J$2004,BP204-4),IF(OR(O204=0,AND(O204&gt;='Paramètres'!$B$21,P204=0)),"",Q204+IF(O204&lt;=1,'Paramètres'!$B$18,IF(O204=2,'Paramètres'!$B$19,'Paramètres'!$B$20)))))</f>
        <v/>
      </c>
      <c r="H204" s="107">
        <f>IF(OR(G204="",BP204&lt;&gt;BQ204),"",IF(INDEX('Saisie'!$K$5:$K$2004,BP204-4)="","",INDEX('Saisie'!$K$5:$K$2004,BP204-4)))</f>
        <v/>
      </c>
      <c r="I204" s="60">
        <f>IF(C204="","",IF(OR(D204="Gagné",D204="Perdu"),"",IFERROR(INDEX('Saisie'!$I$5:$I$2004,_xlfn.MAXIFS('Saisie'!$AS$5:$AS$2004,'Saisie'!$C$5:$C$2004,C204,'Saisie'!$I$5:$I$2004,"&lt;&gt;")-4),"")))</f>
        <v/>
      </c>
      <c r="J204" s="60">
        <f>IF(C204="","",IFERROR(INDEX('Saisie'!$U$5:$U$2004,_xlfn.MAXIFS('Saisie'!$AS$5:$AS$2004,'Saisie'!$C$5:$C$2004,C204,'Saisie'!$U$5:$U$2004,"&lt;&gt;")-4),""))</f>
        <v/>
      </c>
      <c r="K204" s="60">
        <f>IF(C204="","",IFERROR(INDEX('Saisie'!$W$5:$W$2004,_xlfn.MAXIFS('Saisie'!$AS$5:$AS$2004,'Saisie'!$C$5:$C$2004,C204,'Saisie'!$W$5:$W$2004,"&lt;&gt;")-4),""))</f>
        <v/>
      </c>
      <c r="L204" s="60">
        <f>IF(IF(BB204&lt;&gt;"",BB204,K204)="","",HYPERLINK("https://wa.me/"&amp;IF(LEFT(SUBSTITUTE(SUBSTITUTE(SUBSTITUTE(IF(BB204&lt;&gt;"",BB204,K204)," ",""),".",""),"+",""),1)="0",'Paramètres'!$B$35&amp;MID(SUBSTITUTE(SUBSTITUTE(SUBSTITUTE(IF(BB204&lt;&gt;"",BB204,K204)," ",""),".",""),"+",""),2,20),SUBSTITUTE(SUBSTITUTE(SUBSTITUTE(IF(BB204&lt;&gt;"",BB204,K204)," ",""),".",""),"+","")),"WhatsApp"))</f>
        <v/>
      </c>
      <c r="M204" s="60">
        <f>IF(BC204="","",HYPERLINK(IF(LEFT(BC204,4)="http",BC204,"https://www.instagram.com/"&amp;SUBSTITUTE(SUBSTITUTE(BC204,"@","")," ","")),BC204))</f>
        <v/>
      </c>
      <c r="N204" s="60">
        <f>IF(C204="","",IFERROR(INDEX('Saisie'!$D$5:$D$2004,_xlfn.MINIFS('Saisie'!$AS$5:$AS$2004,'Saisie'!$C$5:$C$2004,C204,'Saisie'!$AU$5:$AU$2004,1)-4),IFERROR(INDEX('Saisie'!$D$5:$D$2004,_xlfn.MINIFS('Saisie'!$AS$5:$AS$2004,'Saisie'!$C$5:$C$2004,C204,'Saisie'!$D$5:$D$2004,"&lt;&gt;")-4),"")))</f>
        <v/>
      </c>
      <c r="O204" s="60">
        <f>IF(C204="","",COUNTIFS('Saisie'!$C$5:$C$2004,C204,'Saisie'!$AU$5:$AU$2004,1))</f>
        <v/>
      </c>
      <c r="P204" s="60">
        <f>IF(C204="","",COUNTIFS('Saisie'!$C$5:$C$2004,C204,'Saisie'!$AV$5:$AV$2004,1))</f>
        <v/>
      </c>
      <c r="Q204" s="106">
        <f>IF(C204="","",IFERROR(1/(1/_xlfn.MAXIFS('Saisie'!$A$5:$A$2004,'Saisie'!$C$5:$C$2004,C204)),""))</f>
        <v/>
      </c>
      <c r="R204" s="61">
        <f>IF(C204="","",IF(Q204="","",TODAY()-Q204))</f>
        <v/>
      </c>
      <c r="S204" s="60">
        <f>IF(C204="","",IFERROR(INDEX('Saisie'!$R$5:$R$2004,_xlfn.MAXIFS('Saisie'!$AS$5:$AS$2004,'Saisie'!$C$5:$C$2004,C204,'Saisie'!$R$5:$R$2004,"&lt;&gt;")-4),""))</f>
        <v/>
      </c>
      <c r="T204" s="60">
        <f>IF(C204="","",IFERROR(INDEX('Saisie'!$S$5:$S$2004,_xlfn.MAXIFS('Saisie'!$AS$5:$AS$2004,'Saisie'!$C$5:$C$2004,C204,'Saisie'!$S$5:$S$2004,"&lt;&gt;")-4),""))</f>
        <v/>
      </c>
      <c r="U204" s="60">
        <f>IF(C204="","",IFERROR(INDEX('Saisie'!$T$5:$T$2004,_xlfn.MAXIFS('Saisie'!$AS$5:$AS$2004,'Saisie'!$C$5:$C$2004,C204,'Saisie'!$T$5:$T$2004,"&lt;&gt;")-4),""))</f>
        <v/>
      </c>
      <c r="V204" s="60">
        <f>IF(C204="","",IFERROR(INDEX('Saisie'!$V$5:$V$2004,_xlfn.MAXIFS('Saisie'!$AS$5:$AS$2004,'Saisie'!$C$5:$C$2004,C204,'Saisie'!$V$5:$V$2004,"&lt;&gt;")-4),""))</f>
        <v/>
      </c>
      <c r="W204" s="60">
        <f>IF(C204="","",IFERROR(INDEX('Saisie'!$Z$5:$Z$2004,_xlfn.MAXIFS('Saisie'!$AS$5:$AS$2004,'Saisie'!$C$5:$C$2004,C204,'Saisie'!$Z$5:$Z$2004,"&lt;&gt;")-4),""))</f>
        <v/>
      </c>
      <c r="X204" s="60">
        <f>IF(C204="","",IFERROR(INDEX('Saisie'!$AA$5:$AA$2004,_xlfn.MAXIFS('Saisie'!$AS$5:$AS$2004,'Saisie'!$C$5:$C$2004,C204,'Saisie'!$AA$5:$AA$2004,"&lt;&gt;")-4),""))</f>
        <v/>
      </c>
      <c r="Y204" s="60">
        <f>IF(C204="","",IFERROR(INDEX('Saisie'!$AB$5:$AB$2004,_xlfn.MAXIFS('Saisie'!$AS$5:$AS$2004,'Saisie'!$C$5:$C$2004,C204,'Saisie'!$AB$5:$AB$2004,"&lt;&gt;")-4),""))</f>
        <v/>
      </c>
      <c r="Z204" s="60">
        <f>IF(C204="","",IFERROR(INDEX('Saisie'!$AC$5:$AC$2004,_xlfn.MAXIFS('Saisie'!$AS$5:$AS$2004,'Saisie'!$C$5:$C$2004,C204,'Saisie'!$AC$5:$AC$2004,"&lt;&gt;")-4),""))</f>
        <v/>
      </c>
      <c r="AA204" s="106">
        <f>IF(C204="","",IFERROR(INDEX('Saisie'!$AD$5:$AD$2004,_xlfn.MAXIFS('Saisie'!$AS$5:$AS$2004,'Saisie'!$C$5:$C$2004,C204,'Saisie'!$AD$5:$AD$2004,"&lt;&gt;")-4),""))</f>
        <v/>
      </c>
      <c r="AB204" s="60">
        <f>IF(C204="","",IFERROR(INDEX('Saisie'!$AE$5:$AE$2004,_xlfn.MAXIFS('Saisie'!$AS$5:$AS$2004,'Saisie'!$C$5:$C$2004,C204,'Saisie'!$AE$5:$AE$2004,"&lt;&gt;")-4),""))</f>
        <v/>
      </c>
      <c r="AC204" s="60">
        <f>IF(C204="","",IFERROR(INDEX('Saisie'!$AF$5:$AF$2004,_xlfn.MAXIFS('Saisie'!$AS$5:$AS$2004,'Saisie'!$C$5:$C$2004,C204,'Saisie'!$AF$5:$AF$2004,"&lt;&gt;")-4),""))</f>
        <v/>
      </c>
      <c r="AD204" s="108">
        <f>IF(C204="","",IFERROR(INDEX('Saisie'!$AG$5:$AG$2004,_xlfn.MAXIFS('Saisie'!$AS$5:$AS$2004,'Saisie'!$C$5:$C$2004,C204,'Saisie'!$AG$5:$AG$2004,"&lt;&gt;")-4),""))</f>
        <v/>
      </c>
      <c r="AE204" s="60">
        <f>IF(C204="","",IFERROR(INDEX('Saisie'!$AH$5:$AH$2004,_xlfn.MAXIFS('Saisie'!$AS$5:$AS$2004,'Saisie'!$C$5:$C$2004,C204,'Saisie'!$AH$5:$AH$2004,"&lt;&gt;")-4),""))</f>
        <v/>
      </c>
      <c r="AF204" s="60">
        <f>IF(C204="","",IFERROR(INDEX('Saisie'!$AI$5:$AI$2004,_xlfn.MAXIFS('Saisie'!$AS$5:$AS$2004,'Saisie'!$C$5:$C$2004,C204,'Saisie'!$AI$5:$AI$2004,"&lt;&gt;")-4),""))</f>
        <v/>
      </c>
      <c r="AG204" s="60">
        <f>IF(C204="","",IFERROR(INDEX('Saisie'!$AJ$5:$AJ$2004,_xlfn.MAXIFS('Saisie'!$AS$5:$AS$2004,'Saisie'!$C$5:$C$2004,C204,'Saisie'!$AJ$5:$AJ$2004,"&lt;&gt;")-4),""))</f>
        <v/>
      </c>
      <c r="AH204" s="60">
        <f>IF(C204="","",IFERROR(INDEX('Saisie'!$AK$5:$AK$2004,_xlfn.MAXIFS('Saisie'!$AS$5:$AS$2004,'Saisie'!$C$5:$C$2004,C204,'Saisie'!$AK$5:$AK$2004,"&lt;&gt;")-4),""))</f>
        <v/>
      </c>
      <c r="AI204" s="60">
        <f>IF(C204="","",IFERROR(INDEX('Saisie'!$AN$5:$AN$2004,_xlfn.MAXIFS('Saisie'!$AS$5:$AS$2004,'Saisie'!$C$5:$C$2004,C204,'Saisie'!$AN$5:$AN$2004,"&lt;&gt;")-4),""))</f>
        <v/>
      </c>
      <c r="AJ204" s="60">
        <f>IF(C204="","",IFERROR(INDEX('Saisie'!$AO$5:$AO$2004,_xlfn.MAXIFS('Saisie'!$AS$5:$AS$2004,'Saisie'!$C$5:$C$2004,C204,'Saisie'!$AO$5:$AO$2004,"&lt;&gt;")-4),""))</f>
        <v/>
      </c>
      <c r="AK204" s="60">
        <f>IF(C204="","",IFERROR(INDEX('Saisie'!$AP$5:$AP$2004,_xlfn.MAXIFS('Saisie'!$AS$5:$AS$2004,'Saisie'!$C$5:$C$2004,C204,'Saisie'!$AP$5:$AP$2004,"&lt;&gt;")-4),""))</f>
        <v/>
      </c>
      <c r="AL204" s="60">
        <f>IF(C204="","",IFERROR(INDEX('Saisie'!$AQ$5:$AQ$2004,_xlfn.MAXIFS('Saisie'!$AS$5:$AS$2004,'Saisie'!$C$5:$C$2004,C204,'Saisie'!$AQ$5:$AQ$2004,"&lt;&gt;")-4),""))</f>
        <v/>
      </c>
      <c r="AM204" s="60">
        <f>IF(C204="","",((AI204="Oui")+(AJ204="Oui")+(AK204="Oui")+OR(AL204="Immédiat",AL204="&lt; 1 mois"))&amp;"/4")</f>
        <v/>
      </c>
      <c r="AN204" s="60">
        <f>IF(C204="","",IFERROR(INDEX('Saisie'!$AL$5:$AL$2004,_xlfn.MAXIFS('Saisie'!$AS$5:$AS$2004,'Saisie'!$C$5:$C$2004,C204,'Saisie'!$AL$5:$AL$2004,"&lt;&gt;")-4),""))</f>
        <v/>
      </c>
      <c r="AO204" s="62">
        <f>IF(C204="","",IF(IFERROR(INDEX('Saisie'!$AM$5:$AM$2004,_xlfn.MAXIFS('Saisie'!$AS$5:$AS$2004,'Saisie'!$C$5:$C$2004,C204,'Saisie'!$AM$5:$AM$2004,"&lt;&gt;")-4),"")&lt;&gt;"",IFERROR(INDEX('Saisie'!$AM$5:$AM$2004,_xlfn.MAXIFS('Saisie'!$AS$5:$AS$2004,'Saisie'!$C$5:$C$2004,C204,'Saisie'!$AM$5:$AM$2004,"&lt;&gt;")-4),""),IFERROR(INDEX('Paramètres'!$S$6:$S$15,MATCH(AN204,'Paramètres'!$Q$6:$Q$15,0)),"")))</f>
        <v/>
      </c>
      <c r="AP204" s="62">
        <f>IF(C204="","",IFERROR(INDEX('Saisie'!$AW$5:$AW$2004,_xlfn.MAXIFS('Saisie'!$AS$5:$AS$2004,'Saisie'!$C$5:$C$2004,C204,'Saisie'!$E$5:$E$2004,"Proposition envoyée")-4),""))</f>
        <v/>
      </c>
      <c r="AQ204" s="106">
        <f>IF(C204="","",IFERROR(1/(1/_xlfn.MAXIFS('Saisie'!$A$5:$A$2004,'Saisie'!$C$5:$C$2004,C204,'Saisie'!$E$5:$E$2004,"Proposition envoyée")),""))</f>
        <v/>
      </c>
      <c r="AR204" s="106">
        <f>IF(C204="","",IF(AQ204="","",AQ204+'Paramètres'!$B$26))</f>
        <v/>
      </c>
      <c r="AS204" s="62">
        <f>IF(OR(C204="",D204="Gagné",D204="Perdu"),0,N(AP204)*IFERROR(INDEX('Paramètres'!$G$6:$G$13,MATCH(D204,'Paramètres'!$F$6:$F$13,0)),0))</f>
        <v/>
      </c>
      <c r="AT204" s="106">
        <f>IF(C204="","",IFERROR(1/(1/_xlfn.MINIFS('Saisie'!$A$5:$A$2004,'Saisie'!$C$5:$C$2004,C204,'Saisie'!$E$5:$E$2004,"Signature")),""))</f>
        <v/>
      </c>
      <c r="AU204" s="60">
        <f>IF(C204="","",IF(OR(AT204="",B204=""),"",AT204-B204))</f>
        <v/>
      </c>
      <c r="AV204" s="60">
        <f>IF(C204="","",IFERROR(INDEX('Saisie'!$L$5:$L$2004,_xlfn.MAXIFS('Saisie'!$AS$5:$AS$2004,'Saisie'!$C$5:$C$2004,C204,'Saisie'!$L$5:$L$2004,"&lt;&gt;")-4),""))</f>
        <v/>
      </c>
      <c r="AW204" s="106">
        <f>IF(C204="","",IF(D204&lt;&gt;"Perdu","",IFERROR(1/(1/_xlfn.MAXIFS('Saisie'!$A$5:$A$2004,'Saisie'!$C$5:$C$2004,C204,'Saisie'!$E$5:$E$2004,"Perdu")),"")))</f>
        <v/>
      </c>
      <c r="AX204" s="106">
        <f>IF(C204="","",IF(AW204="","",AW204+'Paramètres'!$B$28))</f>
        <v/>
      </c>
      <c r="AY204" s="60">
        <f>IF(C204="","",SUMIFS('Saisie'!$H$5:$H$2004,'Saisie'!$C$5:$C$2004,C204))</f>
        <v/>
      </c>
      <c r="AZ204" s="60">
        <f>IF(C204="","",IFERROR(INDEX('Paramètres'!$W$6:$W$20,MATCH(S204,'Paramètres'!$V$6:$V$20,0))&amp;"",""))</f>
        <v/>
      </c>
      <c r="BA204" s="60">
        <f>IF(C204="","",MAX(1,_xlfn.MAXIFS('Saisie'!$AT$5:$AT$2004,'Saisie'!$C$5:$C$2004,C204)))</f>
        <v/>
      </c>
      <c r="BB204" s="60">
        <f>IF(C204="","",IFERROR(INDEX('Saisie'!$X$5:$X$2004,_xlfn.MAXIFS('Saisie'!$AS$5:$AS$2004,'Saisie'!$C$5:$C$2004,C204,'Saisie'!$X$5:$X$2004,"&lt;&gt;")-4),""))</f>
        <v/>
      </c>
      <c r="BC204" s="60">
        <f>IF(C204="","",IFERROR(INDEX('Saisie'!$Y$5:$Y$2004,_xlfn.MAXIFS('Saisie'!$AS$5:$AS$2004,'Saisie'!$C$5:$C$2004,C204,'Saisie'!$Y$5:$Y$2004,"&lt;&gt;")-4),""))</f>
        <v/>
      </c>
      <c r="BD204" s="106">
        <f>IF(C204="","",IFERROR(1/(1/_xlfn.MINIFS('Saisie'!$A$5:$A$2004,'Saisie'!$C$5:$C$2004,C204,'Saisie'!$AT$5:$AT$2004,"&gt;=2")),""))</f>
        <v/>
      </c>
      <c r="BE204" s="106">
        <f>IF(C204="","",IFERROR(1/(1/_xlfn.MINIFS('Saisie'!$A$5:$A$2004,'Saisie'!$C$5:$C$2004,C204,'Saisie'!$AT$5:$AT$2004,"&gt;=3")),""))</f>
        <v/>
      </c>
      <c r="BF204" s="106">
        <f>IF(C204="","",IFERROR(1/(1/_xlfn.MINIFS('Saisie'!$A$5:$A$2004,'Saisie'!$C$5:$C$2004,C204,'Saisie'!$AT$5:$AT$2004,"&gt;=4")),""))</f>
        <v/>
      </c>
      <c r="BG204" s="106">
        <f>IF(C204="","",IFERROR(1/(1/_xlfn.MINIFS('Saisie'!$A$5:$A$2004,'Saisie'!$C$5:$C$2004,C204,'Saisie'!$AT$5:$AT$2004,"&gt;=5")),""))</f>
        <v/>
      </c>
      <c r="BH204" s="106">
        <f>IF(C204="","",IFERROR(1/(1/_xlfn.MINIFS('Saisie'!$A$5:$A$2004,'Saisie'!$C$5:$C$2004,C204,'Saisie'!$AT$5:$AT$2004,"&gt;=6")),""))</f>
        <v/>
      </c>
      <c r="BI204" s="106">
        <f>IF(C204="","",IFERROR(1/(1/_xlfn.MINIFS('Saisie'!$A$5:$A$2004,'Saisie'!$C$5:$C$2004,C204,'Saisie'!$AT$5:$AT$2004,"&gt;=7")),""))</f>
        <v/>
      </c>
      <c r="BJ204" s="60">
        <f>IF(OR(BD204="",B204=""),"",BD204-B204)</f>
        <v/>
      </c>
      <c r="BK204" s="60">
        <f>IF(OR(BE204="",BD204=""),"",BE204-BD204)</f>
        <v/>
      </c>
      <c r="BL204" s="60">
        <f>IF(OR(BF204="",BE204=""),"",BF204-BE204)</f>
        <v/>
      </c>
      <c r="BM204" s="60">
        <f>IF(OR(BG204="",BF204=""),"",BG204-BF204)</f>
        <v/>
      </c>
      <c r="BN204" s="60">
        <f>IF(OR(BH204="",BG204=""),"",BH204-BG204)</f>
        <v/>
      </c>
      <c r="BO204" s="60">
        <f>IF(OR(BI204="",BH204=""),"",BI204-BH204)</f>
        <v/>
      </c>
      <c r="BP204" s="60">
        <f>IF(C204="","",_xlfn.MAXIFS('Saisie'!$AS$5:$AS$2004,'Saisie'!$C$5:$C$2004,C204,'Saisie'!$J$5:$J$2004,"&lt;&gt;"))</f>
        <v/>
      </c>
      <c r="BQ204" s="60">
        <f>IF(C204="","",_xlfn.MAXIFS('Saisie'!$AS$5:$AS$2004,'Saisie'!$C$5:$C$2004,C204))</f>
        <v/>
      </c>
      <c r="BR204" s="60">
        <f>IF(C204="","",_xlfn.MAXIFS('Saisie'!$AS$5:$AS$2004,'Saisie'!$C$5:$C$2004,C204,'Saisie'!$E$5:$E$2004,"Perdu"))</f>
        <v/>
      </c>
      <c r="BS204" s="60">
        <f>IF(C204="","",_xlfn.MAXIFS('Saisie'!$AS$5:$AS$2004,'Saisie'!$C$5:$C$2004,C204,'Saisie'!$AT$5:$AT$2004,"&gt;0"))</f>
        <v/>
      </c>
      <c r="BT204" s="109">
        <f>IF(AND(C204&lt;&gt;"",OR(D204="Nouveau",D204="Contacté",D204="Qualifié"),OR(G204="",N(G204)&lt;=TODAY()),NOT(AND(O204&gt;='Paramètres'!$B$21,P204=0))),E204+200/10000,"")</f>
        <v/>
      </c>
      <c r="BU204" s="60">
        <f>IF(AND(G204&lt;&gt;"",N(G204)&lt;=TODAY()),MAX($BU$4:BU203)+1,"")</f>
        <v/>
      </c>
      <c r="BV204" s="60">
        <f>IF(AND(F204&lt;&gt;"",F204&lt;&gt;"Relance en retard"),MAX($BV$4:BV203)+1,"")</f>
        <v/>
      </c>
      <c r="BW204" s="60">
        <f>IF(C204="","",IF(AND(B204&gt;='Tableau de bord'!$R$4,B204&lt;='Tableau de bord'!$S$4,OR('Tableau de bord'!$G$4="Tous",N204='Tableau de bord'!$G$4)),1,0))</f>
        <v/>
      </c>
      <c r="BX204" s="60">
        <f>IF(AND(C204&lt;&gt;"",N(BA204)=7),MAX($BX$4:BX203)+1,"")</f>
        <v/>
      </c>
    </row>
    <row r="205">
      <c r="A205" s="60">
        <f>IF(C205="","","P-"&amp;TEXT(201,"000"))</f>
        <v/>
      </c>
      <c r="B205" s="106">
        <f>IF(C205="","",IFERROR(1/(1/_xlfn.MINIFS('Saisie'!$A$5:$A$2004,'Saisie'!$C$5:$C$2004,C205)),""))</f>
        <v/>
      </c>
      <c r="C205" s="60">
        <f>IFERROR(INDEX('Saisie'!$C$5:$C$2004,MATCH(201,'Saisie'!$AX$5:$AX$2004,0)),"")</f>
        <v/>
      </c>
      <c r="D205" s="60">
        <f>IF(C205="","",IF(AND(BR205&gt;0,BR205&gt;BS205,BA205&lt;7),"Perdu",INDEX('Paramètres'!$F$6:$F$13,BA205)))</f>
        <v/>
      </c>
      <c r="E205" s="61">
        <f>IF(C205="","",MIN(100,(Z205="Oui")*'Paramètres'!$B$38+(AB205="Régulière")*'Paramètres'!$B$39+IF(AND(N(AA205)&gt;0,TODAY()-N(AA205)&lt;=30),'Paramètres'!$B$40,0)+(W205="")*'Paramètres'!$B$41+(AC205="Absente")*'Paramètres'!$B$42+(AC205="Faible")*'Paramètres'!$B$43+IF(AND(N(AD205)&gt;0,N(AD205)&lt;4),'Paramètres'!$B$44,0)+(AF205="Moyenne")*'Paramètres'!$B$45+(AF205="Grande")*'Paramètres'!$B$46+(Y205&lt;&gt;"")*'Paramètres'!$B$47))</f>
        <v/>
      </c>
      <c r="F205" s="60">
        <f>IF(C205="","",IF(D205="Gagné","",IF(D205="Perdu",IF(AND(AX205&lt;&gt;"",AX205&lt;=TODAY()),"À recontacter (perdu)",""),IF(AND(O205&gt;='Paramètres'!$B$21,P205=0),"Stop : "&amp;'Paramètres'!$B$21&amp;" tentatives sans réponse",IF(AND(D205="Proposition",AR205&lt;&gt;"",TODAY()&gt;N(AR205)),"Proposition expirée",IF(AND(D205="Proposition",N(R205)&gt;='Paramètres'!$B$25),"Proposition sans réponse",IF(AND(G205&lt;&gt;"",N(G205)&lt;TODAY()),"Relance en retard",IF(N(R205)&gt;='Paramètres'!$B$24,"Sans action depuis "&amp;R205&amp;" j",""))))))))</f>
        <v/>
      </c>
      <c r="G205" s="106">
        <f>IF(OR(C205="",D205="Gagné",D205="Perdu"),"",IF(AND(BP205&gt;0,BP205=BQ205),INDEX('Saisie'!$J$5:$J$2004,BP205-4),IF(OR(O205=0,AND(O205&gt;='Paramètres'!$B$21,P205=0)),"",Q205+IF(O205&lt;=1,'Paramètres'!$B$18,IF(O205=2,'Paramètres'!$B$19,'Paramètres'!$B$20)))))</f>
        <v/>
      </c>
      <c r="H205" s="107">
        <f>IF(OR(G205="",BP205&lt;&gt;BQ205),"",IF(INDEX('Saisie'!$K$5:$K$2004,BP205-4)="","",INDEX('Saisie'!$K$5:$K$2004,BP205-4)))</f>
        <v/>
      </c>
      <c r="I205" s="60">
        <f>IF(C205="","",IF(OR(D205="Gagné",D205="Perdu"),"",IFERROR(INDEX('Saisie'!$I$5:$I$2004,_xlfn.MAXIFS('Saisie'!$AS$5:$AS$2004,'Saisie'!$C$5:$C$2004,C205,'Saisie'!$I$5:$I$2004,"&lt;&gt;")-4),"")))</f>
        <v/>
      </c>
      <c r="J205" s="60">
        <f>IF(C205="","",IFERROR(INDEX('Saisie'!$U$5:$U$2004,_xlfn.MAXIFS('Saisie'!$AS$5:$AS$2004,'Saisie'!$C$5:$C$2004,C205,'Saisie'!$U$5:$U$2004,"&lt;&gt;")-4),""))</f>
        <v/>
      </c>
      <c r="K205" s="60">
        <f>IF(C205="","",IFERROR(INDEX('Saisie'!$W$5:$W$2004,_xlfn.MAXIFS('Saisie'!$AS$5:$AS$2004,'Saisie'!$C$5:$C$2004,C205,'Saisie'!$W$5:$W$2004,"&lt;&gt;")-4),""))</f>
        <v/>
      </c>
      <c r="L205" s="60">
        <f>IF(IF(BB205&lt;&gt;"",BB205,K205)="","",HYPERLINK("https://wa.me/"&amp;IF(LEFT(SUBSTITUTE(SUBSTITUTE(SUBSTITUTE(IF(BB205&lt;&gt;"",BB205,K205)," ",""),".",""),"+",""),1)="0",'Paramètres'!$B$35&amp;MID(SUBSTITUTE(SUBSTITUTE(SUBSTITUTE(IF(BB205&lt;&gt;"",BB205,K205)," ",""),".",""),"+",""),2,20),SUBSTITUTE(SUBSTITUTE(SUBSTITUTE(IF(BB205&lt;&gt;"",BB205,K205)," ",""),".",""),"+","")),"WhatsApp"))</f>
        <v/>
      </c>
      <c r="M205" s="60">
        <f>IF(BC205="","",HYPERLINK(IF(LEFT(BC205,4)="http",BC205,"https://www.instagram.com/"&amp;SUBSTITUTE(SUBSTITUTE(BC205,"@","")," ","")),BC205))</f>
        <v/>
      </c>
      <c r="N205" s="60">
        <f>IF(C205="","",IFERROR(INDEX('Saisie'!$D$5:$D$2004,_xlfn.MINIFS('Saisie'!$AS$5:$AS$2004,'Saisie'!$C$5:$C$2004,C205,'Saisie'!$AU$5:$AU$2004,1)-4),IFERROR(INDEX('Saisie'!$D$5:$D$2004,_xlfn.MINIFS('Saisie'!$AS$5:$AS$2004,'Saisie'!$C$5:$C$2004,C205,'Saisie'!$D$5:$D$2004,"&lt;&gt;")-4),"")))</f>
        <v/>
      </c>
      <c r="O205" s="60">
        <f>IF(C205="","",COUNTIFS('Saisie'!$C$5:$C$2004,C205,'Saisie'!$AU$5:$AU$2004,1))</f>
        <v/>
      </c>
      <c r="P205" s="60">
        <f>IF(C205="","",COUNTIFS('Saisie'!$C$5:$C$2004,C205,'Saisie'!$AV$5:$AV$2004,1))</f>
        <v/>
      </c>
      <c r="Q205" s="106">
        <f>IF(C205="","",IFERROR(1/(1/_xlfn.MAXIFS('Saisie'!$A$5:$A$2004,'Saisie'!$C$5:$C$2004,C205)),""))</f>
        <v/>
      </c>
      <c r="R205" s="61">
        <f>IF(C205="","",IF(Q205="","",TODAY()-Q205))</f>
        <v/>
      </c>
      <c r="S205" s="60">
        <f>IF(C205="","",IFERROR(INDEX('Saisie'!$R$5:$R$2004,_xlfn.MAXIFS('Saisie'!$AS$5:$AS$2004,'Saisie'!$C$5:$C$2004,C205,'Saisie'!$R$5:$R$2004,"&lt;&gt;")-4),""))</f>
        <v/>
      </c>
      <c r="T205" s="60">
        <f>IF(C205="","",IFERROR(INDEX('Saisie'!$S$5:$S$2004,_xlfn.MAXIFS('Saisie'!$AS$5:$AS$2004,'Saisie'!$C$5:$C$2004,C205,'Saisie'!$S$5:$S$2004,"&lt;&gt;")-4),""))</f>
        <v/>
      </c>
      <c r="U205" s="60">
        <f>IF(C205="","",IFERROR(INDEX('Saisie'!$T$5:$T$2004,_xlfn.MAXIFS('Saisie'!$AS$5:$AS$2004,'Saisie'!$C$5:$C$2004,C205,'Saisie'!$T$5:$T$2004,"&lt;&gt;")-4),""))</f>
        <v/>
      </c>
      <c r="V205" s="60">
        <f>IF(C205="","",IFERROR(INDEX('Saisie'!$V$5:$V$2004,_xlfn.MAXIFS('Saisie'!$AS$5:$AS$2004,'Saisie'!$C$5:$C$2004,C205,'Saisie'!$V$5:$V$2004,"&lt;&gt;")-4),""))</f>
        <v/>
      </c>
      <c r="W205" s="60">
        <f>IF(C205="","",IFERROR(INDEX('Saisie'!$Z$5:$Z$2004,_xlfn.MAXIFS('Saisie'!$AS$5:$AS$2004,'Saisie'!$C$5:$C$2004,C205,'Saisie'!$Z$5:$Z$2004,"&lt;&gt;")-4),""))</f>
        <v/>
      </c>
      <c r="X205" s="60">
        <f>IF(C205="","",IFERROR(INDEX('Saisie'!$AA$5:$AA$2004,_xlfn.MAXIFS('Saisie'!$AS$5:$AS$2004,'Saisie'!$C$5:$C$2004,C205,'Saisie'!$AA$5:$AA$2004,"&lt;&gt;")-4),""))</f>
        <v/>
      </c>
      <c r="Y205" s="60">
        <f>IF(C205="","",IFERROR(INDEX('Saisie'!$AB$5:$AB$2004,_xlfn.MAXIFS('Saisie'!$AS$5:$AS$2004,'Saisie'!$C$5:$C$2004,C205,'Saisie'!$AB$5:$AB$2004,"&lt;&gt;")-4),""))</f>
        <v/>
      </c>
      <c r="Z205" s="60">
        <f>IF(C205="","",IFERROR(INDEX('Saisie'!$AC$5:$AC$2004,_xlfn.MAXIFS('Saisie'!$AS$5:$AS$2004,'Saisie'!$C$5:$C$2004,C205,'Saisie'!$AC$5:$AC$2004,"&lt;&gt;")-4),""))</f>
        <v/>
      </c>
      <c r="AA205" s="106">
        <f>IF(C205="","",IFERROR(INDEX('Saisie'!$AD$5:$AD$2004,_xlfn.MAXIFS('Saisie'!$AS$5:$AS$2004,'Saisie'!$C$5:$C$2004,C205,'Saisie'!$AD$5:$AD$2004,"&lt;&gt;")-4),""))</f>
        <v/>
      </c>
      <c r="AB205" s="60">
        <f>IF(C205="","",IFERROR(INDEX('Saisie'!$AE$5:$AE$2004,_xlfn.MAXIFS('Saisie'!$AS$5:$AS$2004,'Saisie'!$C$5:$C$2004,C205,'Saisie'!$AE$5:$AE$2004,"&lt;&gt;")-4),""))</f>
        <v/>
      </c>
      <c r="AC205" s="60">
        <f>IF(C205="","",IFERROR(INDEX('Saisie'!$AF$5:$AF$2004,_xlfn.MAXIFS('Saisie'!$AS$5:$AS$2004,'Saisie'!$C$5:$C$2004,C205,'Saisie'!$AF$5:$AF$2004,"&lt;&gt;")-4),""))</f>
        <v/>
      </c>
      <c r="AD205" s="108">
        <f>IF(C205="","",IFERROR(INDEX('Saisie'!$AG$5:$AG$2004,_xlfn.MAXIFS('Saisie'!$AS$5:$AS$2004,'Saisie'!$C$5:$C$2004,C205,'Saisie'!$AG$5:$AG$2004,"&lt;&gt;")-4),""))</f>
        <v/>
      </c>
      <c r="AE205" s="60">
        <f>IF(C205="","",IFERROR(INDEX('Saisie'!$AH$5:$AH$2004,_xlfn.MAXIFS('Saisie'!$AS$5:$AS$2004,'Saisie'!$C$5:$C$2004,C205,'Saisie'!$AH$5:$AH$2004,"&lt;&gt;")-4),""))</f>
        <v/>
      </c>
      <c r="AF205" s="60">
        <f>IF(C205="","",IFERROR(INDEX('Saisie'!$AI$5:$AI$2004,_xlfn.MAXIFS('Saisie'!$AS$5:$AS$2004,'Saisie'!$C$5:$C$2004,C205,'Saisie'!$AI$5:$AI$2004,"&lt;&gt;")-4),""))</f>
        <v/>
      </c>
      <c r="AG205" s="60">
        <f>IF(C205="","",IFERROR(INDEX('Saisie'!$AJ$5:$AJ$2004,_xlfn.MAXIFS('Saisie'!$AS$5:$AS$2004,'Saisie'!$C$5:$C$2004,C205,'Saisie'!$AJ$5:$AJ$2004,"&lt;&gt;")-4),""))</f>
        <v/>
      </c>
      <c r="AH205" s="60">
        <f>IF(C205="","",IFERROR(INDEX('Saisie'!$AK$5:$AK$2004,_xlfn.MAXIFS('Saisie'!$AS$5:$AS$2004,'Saisie'!$C$5:$C$2004,C205,'Saisie'!$AK$5:$AK$2004,"&lt;&gt;")-4),""))</f>
        <v/>
      </c>
      <c r="AI205" s="60">
        <f>IF(C205="","",IFERROR(INDEX('Saisie'!$AN$5:$AN$2004,_xlfn.MAXIFS('Saisie'!$AS$5:$AS$2004,'Saisie'!$C$5:$C$2004,C205,'Saisie'!$AN$5:$AN$2004,"&lt;&gt;")-4),""))</f>
        <v/>
      </c>
      <c r="AJ205" s="60">
        <f>IF(C205="","",IFERROR(INDEX('Saisie'!$AO$5:$AO$2004,_xlfn.MAXIFS('Saisie'!$AS$5:$AS$2004,'Saisie'!$C$5:$C$2004,C205,'Saisie'!$AO$5:$AO$2004,"&lt;&gt;")-4),""))</f>
        <v/>
      </c>
      <c r="AK205" s="60">
        <f>IF(C205="","",IFERROR(INDEX('Saisie'!$AP$5:$AP$2004,_xlfn.MAXIFS('Saisie'!$AS$5:$AS$2004,'Saisie'!$C$5:$C$2004,C205,'Saisie'!$AP$5:$AP$2004,"&lt;&gt;")-4),""))</f>
        <v/>
      </c>
      <c r="AL205" s="60">
        <f>IF(C205="","",IFERROR(INDEX('Saisie'!$AQ$5:$AQ$2004,_xlfn.MAXIFS('Saisie'!$AS$5:$AS$2004,'Saisie'!$C$5:$C$2004,C205,'Saisie'!$AQ$5:$AQ$2004,"&lt;&gt;")-4),""))</f>
        <v/>
      </c>
      <c r="AM205" s="60">
        <f>IF(C205="","",((AI205="Oui")+(AJ205="Oui")+(AK205="Oui")+OR(AL205="Immédiat",AL205="&lt; 1 mois"))&amp;"/4")</f>
        <v/>
      </c>
      <c r="AN205" s="60">
        <f>IF(C205="","",IFERROR(INDEX('Saisie'!$AL$5:$AL$2004,_xlfn.MAXIFS('Saisie'!$AS$5:$AS$2004,'Saisie'!$C$5:$C$2004,C205,'Saisie'!$AL$5:$AL$2004,"&lt;&gt;")-4),""))</f>
        <v/>
      </c>
      <c r="AO205" s="62">
        <f>IF(C205="","",IF(IFERROR(INDEX('Saisie'!$AM$5:$AM$2004,_xlfn.MAXIFS('Saisie'!$AS$5:$AS$2004,'Saisie'!$C$5:$C$2004,C205,'Saisie'!$AM$5:$AM$2004,"&lt;&gt;")-4),"")&lt;&gt;"",IFERROR(INDEX('Saisie'!$AM$5:$AM$2004,_xlfn.MAXIFS('Saisie'!$AS$5:$AS$2004,'Saisie'!$C$5:$C$2004,C205,'Saisie'!$AM$5:$AM$2004,"&lt;&gt;")-4),""),IFERROR(INDEX('Paramètres'!$S$6:$S$15,MATCH(AN205,'Paramètres'!$Q$6:$Q$15,0)),"")))</f>
        <v/>
      </c>
      <c r="AP205" s="62">
        <f>IF(C205="","",IFERROR(INDEX('Saisie'!$AW$5:$AW$2004,_xlfn.MAXIFS('Saisie'!$AS$5:$AS$2004,'Saisie'!$C$5:$C$2004,C205,'Saisie'!$E$5:$E$2004,"Proposition envoyée")-4),""))</f>
        <v/>
      </c>
      <c r="AQ205" s="106">
        <f>IF(C205="","",IFERROR(1/(1/_xlfn.MAXIFS('Saisie'!$A$5:$A$2004,'Saisie'!$C$5:$C$2004,C205,'Saisie'!$E$5:$E$2004,"Proposition envoyée")),""))</f>
        <v/>
      </c>
      <c r="AR205" s="106">
        <f>IF(C205="","",IF(AQ205="","",AQ205+'Paramètres'!$B$26))</f>
        <v/>
      </c>
      <c r="AS205" s="62">
        <f>IF(OR(C205="",D205="Gagné",D205="Perdu"),0,N(AP205)*IFERROR(INDEX('Paramètres'!$G$6:$G$13,MATCH(D205,'Paramètres'!$F$6:$F$13,0)),0))</f>
        <v/>
      </c>
      <c r="AT205" s="106">
        <f>IF(C205="","",IFERROR(1/(1/_xlfn.MINIFS('Saisie'!$A$5:$A$2004,'Saisie'!$C$5:$C$2004,C205,'Saisie'!$E$5:$E$2004,"Signature")),""))</f>
        <v/>
      </c>
      <c r="AU205" s="60">
        <f>IF(C205="","",IF(OR(AT205="",B205=""),"",AT205-B205))</f>
        <v/>
      </c>
      <c r="AV205" s="60">
        <f>IF(C205="","",IFERROR(INDEX('Saisie'!$L$5:$L$2004,_xlfn.MAXIFS('Saisie'!$AS$5:$AS$2004,'Saisie'!$C$5:$C$2004,C205,'Saisie'!$L$5:$L$2004,"&lt;&gt;")-4),""))</f>
        <v/>
      </c>
      <c r="AW205" s="106">
        <f>IF(C205="","",IF(D205&lt;&gt;"Perdu","",IFERROR(1/(1/_xlfn.MAXIFS('Saisie'!$A$5:$A$2004,'Saisie'!$C$5:$C$2004,C205,'Saisie'!$E$5:$E$2004,"Perdu")),"")))</f>
        <v/>
      </c>
      <c r="AX205" s="106">
        <f>IF(C205="","",IF(AW205="","",AW205+'Paramètres'!$B$28))</f>
        <v/>
      </c>
      <c r="AY205" s="60">
        <f>IF(C205="","",SUMIFS('Saisie'!$H$5:$H$2004,'Saisie'!$C$5:$C$2004,C205))</f>
        <v/>
      </c>
      <c r="AZ205" s="60">
        <f>IF(C205="","",IFERROR(INDEX('Paramètres'!$W$6:$W$20,MATCH(S205,'Paramètres'!$V$6:$V$20,0))&amp;"",""))</f>
        <v/>
      </c>
      <c r="BA205" s="60">
        <f>IF(C205="","",MAX(1,_xlfn.MAXIFS('Saisie'!$AT$5:$AT$2004,'Saisie'!$C$5:$C$2004,C205)))</f>
        <v/>
      </c>
      <c r="BB205" s="60">
        <f>IF(C205="","",IFERROR(INDEX('Saisie'!$X$5:$X$2004,_xlfn.MAXIFS('Saisie'!$AS$5:$AS$2004,'Saisie'!$C$5:$C$2004,C205,'Saisie'!$X$5:$X$2004,"&lt;&gt;")-4),""))</f>
        <v/>
      </c>
      <c r="BC205" s="60">
        <f>IF(C205="","",IFERROR(INDEX('Saisie'!$Y$5:$Y$2004,_xlfn.MAXIFS('Saisie'!$AS$5:$AS$2004,'Saisie'!$C$5:$C$2004,C205,'Saisie'!$Y$5:$Y$2004,"&lt;&gt;")-4),""))</f>
        <v/>
      </c>
      <c r="BD205" s="106">
        <f>IF(C205="","",IFERROR(1/(1/_xlfn.MINIFS('Saisie'!$A$5:$A$2004,'Saisie'!$C$5:$C$2004,C205,'Saisie'!$AT$5:$AT$2004,"&gt;=2")),""))</f>
        <v/>
      </c>
      <c r="BE205" s="106">
        <f>IF(C205="","",IFERROR(1/(1/_xlfn.MINIFS('Saisie'!$A$5:$A$2004,'Saisie'!$C$5:$C$2004,C205,'Saisie'!$AT$5:$AT$2004,"&gt;=3")),""))</f>
        <v/>
      </c>
      <c r="BF205" s="106">
        <f>IF(C205="","",IFERROR(1/(1/_xlfn.MINIFS('Saisie'!$A$5:$A$2004,'Saisie'!$C$5:$C$2004,C205,'Saisie'!$AT$5:$AT$2004,"&gt;=4")),""))</f>
        <v/>
      </c>
      <c r="BG205" s="106">
        <f>IF(C205="","",IFERROR(1/(1/_xlfn.MINIFS('Saisie'!$A$5:$A$2004,'Saisie'!$C$5:$C$2004,C205,'Saisie'!$AT$5:$AT$2004,"&gt;=5")),""))</f>
        <v/>
      </c>
      <c r="BH205" s="106">
        <f>IF(C205="","",IFERROR(1/(1/_xlfn.MINIFS('Saisie'!$A$5:$A$2004,'Saisie'!$C$5:$C$2004,C205,'Saisie'!$AT$5:$AT$2004,"&gt;=6")),""))</f>
        <v/>
      </c>
      <c r="BI205" s="106">
        <f>IF(C205="","",IFERROR(1/(1/_xlfn.MINIFS('Saisie'!$A$5:$A$2004,'Saisie'!$C$5:$C$2004,C205,'Saisie'!$AT$5:$AT$2004,"&gt;=7")),""))</f>
        <v/>
      </c>
      <c r="BJ205" s="60">
        <f>IF(OR(BD205="",B205=""),"",BD205-B205)</f>
        <v/>
      </c>
      <c r="BK205" s="60">
        <f>IF(OR(BE205="",BD205=""),"",BE205-BD205)</f>
        <v/>
      </c>
      <c r="BL205" s="60">
        <f>IF(OR(BF205="",BE205=""),"",BF205-BE205)</f>
        <v/>
      </c>
      <c r="BM205" s="60">
        <f>IF(OR(BG205="",BF205=""),"",BG205-BF205)</f>
        <v/>
      </c>
      <c r="BN205" s="60">
        <f>IF(OR(BH205="",BG205=""),"",BH205-BG205)</f>
        <v/>
      </c>
      <c r="BO205" s="60">
        <f>IF(OR(BI205="",BH205=""),"",BI205-BH205)</f>
        <v/>
      </c>
      <c r="BP205" s="60">
        <f>IF(C205="","",_xlfn.MAXIFS('Saisie'!$AS$5:$AS$2004,'Saisie'!$C$5:$C$2004,C205,'Saisie'!$J$5:$J$2004,"&lt;&gt;"))</f>
        <v/>
      </c>
      <c r="BQ205" s="60">
        <f>IF(C205="","",_xlfn.MAXIFS('Saisie'!$AS$5:$AS$2004,'Saisie'!$C$5:$C$2004,C205))</f>
        <v/>
      </c>
      <c r="BR205" s="60">
        <f>IF(C205="","",_xlfn.MAXIFS('Saisie'!$AS$5:$AS$2004,'Saisie'!$C$5:$C$2004,C205,'Saisie'!$E$5:$E$2004,"Perdu"))</f>
        <v/>
      </c>
      <c r="BS205" s="60">
        <f>IF(C205="","",_xlfn.MAXIFS('Saisie'!$AS$5:$AS$2004,'Saisie'!$C$5:$C$2004,C205,'Saisie'!$AT$5:$AT$2004,"&gt;0"))</f>
        <v/>
      </c>
      <c r="BT205" s="109">
        <f>IF(AND(C205&lt;&gt;"",OR(D205="Nouveau",D205="Contacté",D205="Qualifié"),OR(G205="",N(G205)&lt;=TODAY()),NOT(AND(O205&gt;='Paramètres'!$B$21,P205=0))),E205+201/10000,"")</f>
        <v/>
      </c>
      <c r="BU205" s="60">
        <f>IF(AND(G205&lt;&gt;"",N(G205)&lt;=TODAY()),MAX($BU$4:BU204)+1,"")</f>
        <v/>
      </c>
      <c r="BV205" s="60">
        <f>IF(AND(F205&lt;&gt;"",F205&lt;&gt;"Relance en retard"),MAX($BV$4:BV204)+1,"")</f>
        <v/>
      </c>
      <c r="BW205" s="60">
        <f>IF(C205="","",IF(AND(B205&gt;='Tableau de bord'!$R$4,B205&lt;='Tableau de bord'!$S$4,OR('Tableau de bord'!$G$4="Tous",N205='Tableau de bord'!$G$4)),1,0))</f>
        <v/>
      </c>
      <c r="BX205" s="60">
        <f>IF(AND(C205&lt;&gt;"",N(BA205)=7),MAX($BX$4:BX204)+1,"")</f>
        <v/>
      </c>
    </row>
    <row r="206">
      <c r="A206" s="60">
        <f>IF(C206="","","P-"&amp;TEXT(202,"000"))</f>
        <v/>
      </c>
      <c r="B206" s="106">
        <f>IF(C206="","",IFERROR(1/(1/_xlfn.MINIFS('Saisie'!$A$5:$A$2004,'Saisie'!$C$5:$C$2004,C206)),""))</f>
        <v/>
      </c>
      <c r="C206" s="60">
        <f>IFERROR(INDEX('Saisie'!$C$5:$C$2004,MATCH(202,'Saisie'!$AX$5:$AX$2004,0)),"")</f>
        <v/>
      </c>
      <c r="D206" s="60">
        <f>IF(C206="","",IF(AND(BR206&gt;0,BR206&gt;BS206,BA206&lt;7),"Perdu",INDEX('Paramètres'!$F$6:$F$13,BA206)))</f>
        <v/>
      </c>
      <c r="E206" s="61">
        <f>IF(C206="","",MIN(100,(Z206="Oui")*'Paramètres'!$B$38+(AB206="Régulière")*'Paramètres'!$B$39+IF(AND(N(AA206)&gt;0,TODAY()-N(AA206)&lt;=30),'Paramètres'!$B$40,0)+(W206="")*'Paramètres'!$B$41+(AC206="Absente")*'Paramètres'!$B$42+(AC206="Faible")*'Paramètres'!$B$43+IF(AND(N(AD206)&gt;0,N(AD206)&lt;4),'Paramètres'!$B$44,0)+(AF206="Moyenne")*'Paramètres'!$B$45+(AF206="Grande")*'Paramètres'!$B$46+(Y206&lt;&gt;"")*'Paramètres'!$B$47))</f>
        <v/>
      </c>
      <c r="F206" s="60">
        <f>IF(C206="","",IF(D206="Gagné","",IF(D206="Perdu",IF(AND(AX206&lt;&gt;"",AX206&lt;=TODAY()),"À recontacter (perdu)",""),IF(AND(O206&gt;='Paramètres'!$B$21,P206=0),"Stop : "&amp;'Paramètres'!$B$21&amp;" tentatives sans réponse",IF(AND(D206="Proposition",AR206&lt;&gt;"",TODAY()&gt;N(AR206)),"Proposition expirée",IF(AND(D206="Proposition",N(R206)&gt;='Paramètres'!$B$25),"Proposition sans réponse",IF(AND(G206&lt;&gt;"",N(G206)&lt;TODAY()),"Relance en retard",IF(N(R206)&gt;='Paramètres'!$B$24,"Sans action depuis "&amp;R206&amp;" j",""))))))))</f>
        <v/>
      </c>
      <c r="G206" s="106">
        <f>IF(OR(C206="",D206="Gagné",D206="Perdu"),"",IF(AND(BP206&gt;0,BP206=BQ206),INDEX('Saisie'!$J$5:$J$2004,BP206-4),IF(OR(O206=0,AND(O206&gt;='Paramètres'!$B$21,P206=0)),"",Q206+IF(O206&lt;=1,'Paramètres'!$B$18,IF(O206=2,'Paramètres'!$B$19,'Paramètres'!$B$20)))))</f>
        <v/>
      </c>
      <c r="H206" s="107">
        <f>IF(OR(G206="",BP206&lt;&gt;BQ206),"",IF(INDEX('Saisie'!$K$5:$K$2004,BP206-4)="","",INDEX('Saisie'!$K$5:$K$2004,BP206-4)))</f>
        <v/>
      </c>
      <c r="I206" s="60">
        <f>IF(C206="","",IF(OR(D206="Gagné",D206="Perdu"),"",IFERROR(INDEX('Saisie'!$I$5:$I$2004,_xlfn.MAXIFS('Saisie'!$AS$5:$AS$2004,'Saisie'!$C$5:$C$2004,C206,'Saisie'!$I$5:$I$2004,"&lt;&gt;")-4),"")))</f>
        <v/>
      </c>
      <c r="J206" s="60">
        <f>IF(C206="","",IFERROR(INDEX('Saisie'!$U$5:$U$2004,_xlfn.MAXIFS('Saisie'!$AS$5:$AS$2004,'Saisie'!$C$5:$C$2004,C206,'Saisie'!$U$5:$U$2004,"&lt;&gt;")-4),""))</f>
        <v/>
      </c>
      <c r="K206" s="60">
        <f>IF(C206="","",IFERROR(INDEX('Saisie'!$W$5:$W$2004,_xlfn.MAXIFS('Saisie'!$AS$5:$AS$2004,'Saisie'!$C$5:$C$2004,C206,'Saisie'!$W$5:$W$2004,"&lt;&gt;")-4),""))</f>
        <v/>
      </c>
      <c r="L206" s="60">
        <f>IF(IF(BB206&lt;&gt;"",BB206,K206)="","",HYPERLINK("https://wa.me/"&amp;IF(LEFT(SUBSTITUTE(SUBSTITUTE(SUBSTITUTE(IF(BB206&lt;&gt;"",BB206,K206)," ",""),".",""),"+",""),1)="0",'Paramètres'!$B$35&amp;MID(SUBSTITUTE(SUBSTITUTE(SUBSTITUTE(IF(BB206&lt;&gt;"",BB206,K206)," ",""),".",""),"+",""),2,20),SUBSTITUTE(SUBSTITUTE(SUBSTITUTE(IF(BB206&lt;&gt;"",BB206,K206)," ",""),".",""),"+","")),"WhatsApp"))</f>
        <v/>
      </c>
      <c r="M206" s="60">
        <f>IF(BC206="","",HYPERLINK(IF(LEFT(BC206,4)="http",BC206,"https://www.instagram.com/"&amp;SUBSTITUTE(SUBSTITUTE(BC206,"@","")," ","")),BC206))</f>
        <v/>
      </c>
      <c r="N206" s="60">
        <f>IF(C206="","",IFERROR(INDEX('Saisie'!$D$5:$D$2004,_xlfn.MINIFS('Saisie'!$AS$5:$AS$2004,'Saisie'!$C$5:$C$2004,C206,'Saisie'!$AU$5:$AU$2004,1)-4),IFERROR(INDEX('Saisie'!$D$5:$D$2004,_xlfn.MINIFS('Saisie'!$AS$5:$AS$2004,'Saisie'!$C$5:$C$2004,C206,'Saisie'!$D$5:$D$2004,"&lt;&gt;")-4),"")))</f>
        <v/>
      </c>
      <c r="O206" s="60">
        <f>IF(C206="","",COUNTIFS('Saisie'!$C$5:$C$2004,C206,'Saisie'!$AU$5:$AU$2004,1))</f>
        <v/>
      </c>
      <c r="P206" s="60">
        <f>IF(C206="","",COUNTIFS('Saisie'!$C$5:$C$2004,C206,'Saisie'!$AV$5:$AV$2004,1))</f>
        <v/>
      </c>
      <c r="Q206" s="106">
        <f>IF(C206="","",IFERROR(1/(1/_xlfn.MAXIFS('Saisie'!$A$5:$A$2004,'Saisie'!$C$5:$C$2004,C206)),""))</f>
        <v/>
      </c>
      <c r="R206" s="61">
        <f>IF(C206="","",IF(Q206="","",TODAY()-Q206))</f>
        <v/>
      </c>
      <c r="S206" s="60">
        <f>IF(C206="","",IFERROR(INDEX('Saisie'!$R$5:$R$2004,_xlfn.MAXIFS('Saisie'!$AS$5:$AS$2004,'Saisie'!$C$5:$C$2004,C206,'Saisie'!$R$5:$R$2004,"&lt;&gt;")-4),""))</f>
        <v/>
      </c>
      <c r="T206" s="60">
        <f>IF(C206="","",IFERROR(INDEX('Saisie'!$S$5:$S$2004,_xlfn.MAXIFS('Saisie'!$AS$5:$AS$2004,'Saisie'!$C$5:$C$2004,C206,'Saisie'!$S$5:$S$2004,"&lt;&gt;")-4),""))</f>
        <v/>
      </c>
      <c r="U206" s="60">
        <f>IF(C206="","",IFERROR(INDEX('Saisie'!$T$5:$T$2004,_xlfn.MAXIFS('Saisie'!$AS$5:$AS$2004,'Saisie'!$C$5:$C$2004,C206,'Saisie'!$T$5:$T$2004,"&lt;&gt;")-4),""))</f>
        <v/>
      </c>
      <c r="V206" s="60">
        <f>IF(C206="","",IFERROR(INDEX('Saisie'!$V$5:$V$2004,_xlfn.MAXIFS('Saisie'!$AS$5:$AS$2004,'Saisie'!$C$5:$C$2004,C206,'Saisie'!$V$5:$V$2004,"&lt;&gt;")-4),""))</f>
        <v/>
      </c>
      <c r="W206" s="60">
        <f>IF(C206="","",IFERROR(INDEX('Saisie'!$Z$5:$Z$2004,_xlfn.MAXIFS('Saisie'!$AS$5:$AS$2004,'Saisie'!$C$5:$C$2004,C206,'Saisie'!$Z$5:$Z$2004,"&lt;&gt;")-4),""))</f>
        <v/>
      </c>
      <c r="X206" s="60">
        <f>IF(C206="","",IFERROR(INDEX('Saisie'!$AA$5:$AA$2004,_xlfn.MAXIFS('Saisie'!$AS$5:$AS$2004,'Saisie'!$C$5:$C$2004,C206,'Saisie'!$AA$5:$AA$2004,"&lt;&gt;")-4),""))</f>
        <v/>
      </c>
      <c r="Y206" s="60">
        <f>IF(C206="","",IFERROR(INDEX('Saisie'!$AB$5:$AB$2004,_xlfn.MAXIFS('Saisie'!$AS$5:$AS$2004,'Saisie'!$C$5:$C$2004,C206,'Saisie'!$AB$5:$AB$2004,"&lt;&gt;")-4),""))</f>
        <v/>
      </c>
      <c r="Z206" s="60">
        <f>IF(C206="","",IFERROR(INDEX('Saisie'!$AC$5:$AC$2004,_xlfn.MAXIFS('Saisie'!$AS$5:$AS$2004,'Saisie'!$C$5:$C$2004,C206,'Saisie'!$AC$5:$AC$2004,"&lt;&gt;")-4),""))</f>
        <v/>
      </c>
      <c r="AA206" s="106">
        <f>IF(C206="","",IFERROR(INDEX('Saisie'!$AD$5:$AD$2004,_xlfn.MAXIFS('Saisie'!$AS$5:$AS$2004,'Saisie'!$C$5:$C$2004,C206,'Saisie'!$AD$5:$AD$2004,"&lt;&gt;")-4),""))</f>
        <v/>
      </c>
      <c r="AB206" s="60">
        <f>IF(C206="","",IFERROR(INDEX('Saisie'!$AE$5:$AE$2004,_xlfn.MAXIFS('Saisie'!$AS$5:$AS$2004,'Saisie'!$C$5:$C$2004,C206,'Saisie'!$AE$5:$AE$2004,"&lt;&gt;")-4),""))</f>
        <v/>
      </c>
      <c r="AC206" s="60">
        <f>IF(C206="","",IFERROR(INDEX('Saisie'!$AF$5:$AF$2004,_xlfn.MAXIFS('Saisie'!$AS$5:$AS$2004,'Saisie'!$C$5:$C$2004,C206,'Saisie'!$AF$5:$AF$2004,"&lt;&gt;")-4),""))</f>
        <v/>
      </c>
      <c r="AD206" s="108">
        <f>IF(C206="","",IFERROR(INDEX('Saisie'!$AG$5:$AG$2004,_xlfn.MAXIFS('Saisie'!$AS$5:$AS$2004,'Saisie'!$C$5:$C$2004,C206,'Saisie'!$AG$5:$AG$2004,"&lt;&gt;")-4),""))</f>
        <v/>
      </c>
      <c r="AE206" s="60">
        <f>IF(C206="","",IFERROR(INDEX('Saisie'!$AH$5:$AH$2004,_xlfn.MAXIFS('Saisie'!$AS$5:$AS$2004,'Saisie'!$C$5:$C$2004,C206,'Saisie'!$AH$5:$AH$2004,"&lt;&gt;")-4),""))</f>
        <v/>
      </c>
      <c r="AF206" s="60">
        <f>IF(C206="","",IFERROR(INDEX('Saisie'!$AI$5:$AI$2004,_xlfn.MAXIFS('Saisie'!$AS$5:$AS$2004,'Saisie'!$C$5:$C$2004,C206,'Saisie'!$AI$5:$AI$2004,"&lt;&gt;")-4),""))</f>
        <v/>
      </c>
      <c r="AG206" s="60">
        <f>IF(C206="","",IFERROR(INDEX('Saisie'!$AJ$5:$AJ$2004,_xlfn.MAXIFS('Saisie'!$AS$5:$AS$2004,'Saisie'!$C$5:$C$2004,C206,'Saisie'!$AJ$5:$AJ$2004,"&lt;&gt;")-4),""))</f>
        <v/>
      </c>
      <c r="AH206" s="60">
        <f>IF(C206="","",IFERROR(INDEX('Saisie'!$AK$5:$AK$2004,_xlfn.MAXIFS('Saisie'!$AS$5:$AS$2004,'Saisie'!$C$5:$C$2004,C206,'Saisie'!$AK$5:$AK$2004,"&lt;&gt;")-4),""))</f>
        <v/>
      </c>
      <c r="AI206" s="60">
        <f>IF(C206="","",IFERROR(INDEX('Saisie'!$AN$5:$AN$2004,_xlfn.MAXIFS('Saisie'!$AS$5:$AS$2004,'Saisie'!$C$5:$C$2004,C206,'Saisie'!$AN$5:$AN$2004,"&lt;&gt;")-4),""))</f>
        <v/>
      </c>
      <c r="AJ206" s="60">
        <f>IF(C206="","",IFERROR(INDEX('Saisie'!$AO$5:$AO$2004,_xlfn.MAXIFS('Saisie'!$AS$5:$AS$2004,'Saisie'!$C$5:$C$2004,C206,'Saisie'!$AO$5:$AO$2004,"&lt;&gt;")-4),""))</f>
        <v/>
      </c>
      <c r="AK206" s="60">
        <f>IF(C206="","",IFERROR(INDEX('Saisie'!$AP$5:$AP$2004,_xlfn.MAXIFS('Saisie'!$AS$5:$AS$2004,'Saisie'!$C$5:$C$2004,C206,'Saisie'!$AP$5:$AP$2004,"&lt;&gt;")-4),""))</f>
        <v/>
      </c>
      <c r="AL206" s="60">
        <f>IF(C206="","",IFERROR(INDEX('Saisie'!$AQ$5:$AQ$2004,_xlfn.MAXIFS('Saisie'!$AS$5:$AS$2004,'Saisie'!$C$5:$C$2004,C206,'Saisie'!$AQ$5:$AQ$2004,"&lt;&gt;")-4),""))</f>
        <v/>
      </c>
      <c r="AM206" s="60">
        <f>IF(C206="","",((AI206="Oui")+(AJ206="Oui")+(AK206="Oui")+OR(AL206="Immédiat",AL206="&lt; 1 mois"))&amp;"/4")</f>
        <v/>
      </c>
      <c r="AN206" s="60">
        <f>IF(C206="","",IFERROR(INDEX('Saisie'!$AL$5:$AL$2004,_xlfn.MAXIFS('Saisie'!$AS$5:$AS$2004,'Saisie'!$C$5:$C$2004,C206,'Saisie'!$AL$5:$AL$2004,"&lt;&gt;")-4),""))</f>
        <v/>
      </c>
      <c r="AO206" s="62">
        <f>IF(C206="","",IF(IFERROR(INDEX('Saisie'!$AM$5:$AM$2004,_xlfn.MAXIFS('Saisie'!$AS$5:$AS$2004,'Saisie'!$C$5:$C$2004,C206,'Saisie'!$AM$5:$AM$2004,"&lt;&gt;")-4),"")&lt;&gt;"",IFERROR(INDEX('Saisie'!$AM$5:$AM$2004,_xlfn.MAXIFS('Saisie'!$AS$5:$AS$2004,'Saisie'!$C$5:$C$2004,C206,'Saisie'!$AM$5:$AM$2004,"&lt;&gt;")-4),""),IFERROR(INDEX('Paramètres'!$S$6:$S$15,MATCH(AN206,'Paramètres'!$Q$6:$Q$15,0)),"")))</f>
        <v/>
      </c>
      <c r="AP206" s="62">
        <f>IF(C206="","",IFERROR(INDEX('Saisie'!$AW$5:$AW$2004,_xlfn.MAXIFS('Saisie'!$AS$5:$AS$2004,'Saisie'!$C$5:$C$2004,C206,'Saisie'!$E$5:$E$2004,"Proposition envoyée")-4),""))</f>
        <v/>
      </c>
      <c r="AQ206" s="106">
        <f>IF(C206="","",IFERROR(1/(1/_xlfn.MAXIFS('Saisie'!$A$5:$A$2004,'Saisie'!$C$5:$C$2004,C206,'Saisie'!$E$5:$E$2004,"Proposition envoyée")),""))</f>
        <v/>
      </c>
      <c r="AR206" s="106">
        <f>IF(C206="","",IF(AQ206="","",AQ206+'Paramètres'!$B$26))</f>
        <v/>
      </c>
      <c r="AS206" s="62">
        <f>IF(OR(C206="",D206="Gagné",D206="Perdu"),0,N(AP206)*IFERROR(INDEX('Paramètres'!$G$6:$G$13,MATCH(D206,'Paramètres'!$F$6:$F$13,0)),0))</f>
        <v/>
      </c>
      <c r="AT206" s="106">
        <f>IF(C206="","",IFERROR(1/(1/_xlfn.MINIFS('Saisie'!$A$5:$A$2004,'Saisie'!$C$5:$C$2004,C206,'Saisie'!$E$5:$E$2004,"Signature")),""))</f>
        <v/>
      </c>
      <c r="AU206" s="60">
        <f>IF(C206="","",IF(OR(AT206="",B206=""),"",AT206-B206))</f>
        <v/>
      </c>
      <c r="AV206" s="60">
        <f>IF(C206="","",IFERROR(INDEX('Saisie'!$L$5:$L$2004,_xlfn.MAXIFS('Saisie'!$AS$5:$AS$2004,'Saisie'!$C$5:$C$2004,C206,'Saisie'!$L$5:$L$2004,"&lt;&gt;")-4),""))</f>
        <v/>
      </c>
      <c r="AW206" s="106">
        <f>IF(C206="","",IF(D206&lt;&gt;"Perdu","",IFERROR(1/(1/_xlfn.MAXIFS('Saisie'!$A$5:$A$2004,'Saisie'!$C$5:$C$2004,C206,'Saisie'!$E$5:$E$2004,"Perdu")),"")))</f>
        <v/>
      </c>
      <c r="AX206" s="106">
        <f>IF(C206="","",IF(AW206="","",AW206+'Paramètres'!$B$28))</f>
        <v/>
      </c>
      <c r="AY206" s="60">
        <f>IF(C206="","",SUMIFS('Saisie'!$H$5:$H$2004,'Saisie'!$C$5:$C$2004,C206))</f>
        <v/>
      </c>
      <c r="AZ206" s="60">
        <f>IF(C206="","",IFERROR(INDEX('Paramètres'!$W$6:$W$20,MATCH(S206,'Paramètres'!$V$6:$V$20,0))&amp;"",""))</f>
        <v/>
      </c>
      <c r="BA206" s="60">
        <f>IF(C206="","",MAX(1,_xlfn.MAXIFS('Saisie'!$AT$5:$AT$2004,'Saisie'!$C$5:$C$2004,C206)))</f>
        <v/>
      </c>
      <c r="BB206" s="60">
        <f>IF(C206="","",IFERROR(INDEX('Saisie'!$X$5:$X$2004,_xlfn.MAXIFS('Saisie'!$AS$5:$AS$2004,'Saisie'!$C$5:$C$2004,C206,'Saisie'!$X$5:$X$2004,"&lt;&gt;")-4),""))</f>
        <v/>
      </c>
      <c r="BC206" s="60">
        <f>IF(C206="","",IFERROR(INDEX('Saisie'!$Y$5:$Y$2004,_xlfn.MAXIFS('Saisie'!$AS$5:$AS$2004,'Saisie'!$C$5:$C$2004,C206,'Saisie'!$Y$5:$Y$2004,"&lt;&gt;")-4),""))</f>
        <v/>
      </c>
      <c r="BD206" s="106">
        <f>IF(C206="","",IFERROR(1/(1/_xlfn.MINIFS('Saisie'!$A$5:$A$2004,'Saisie'!$C$5:$C$2004,C206,'Saisie'!$AT$5:$AT$2004,"&gt;=2")),""))</f>
        <v/>
      </c>
      <c r="BE206" s="106">
        <f>IF(C206="","",IFERROR(1/(1/_xlfn.MINIFS('Saisie'!$A$5:$A$2004,'Saisie'!$C$5:$C$2004,C206,'Saisie'!$AT$5:$AT$2004,"&gt;=3")),""))</f>
        <v/>
      </c>
      <c r="BF206" s="106">
        <f>IF(C206="","",IFERROR(1/(1/_xlfn.MINIFS('Saisie'!$A$5:$A$2004,'Saisie'!$C$5:$C$2004,C206,'Saisie'!$AT$5:$AT$2004,"&gt;=4")),""))</f>
        <v/>
      </c>
      <c r="BG206" s="106">
        <f>IF(C206="","",IFERROR(1/(1/_xlfn.MINIFS('Saisie'!$A$5:$A$2004,'Saisie'!$C$5:$C$2004,C206,'Saisie'!$AT$5:$AT$2004,"&gt;=5")),""))</f>
        <v/>
      </c>
      <c r="BH206" s="106">
        <f>IF(C206="","",IFERROR(1/(1/_xlfn.MINIFS('Saisie'!$A$5:$A$2004,'Saisie'!$C$5:$C$2004,C206,'Saisie'!$AT$5:$AT$2004,"&gt;=6")),""))</f>
        <v/>
      </c>
      <c r="BI206" s="106">
        <f>IF(C206="","",IFERROR(1/(1/_xlfn.MINIFS('Saisie'!$A$5:$A$2004,'Saisie'!$C$5:$C$2004,C206,'Saisie'!$AT$5:$AT$2004,"&gt;=7")),""))</f>
        <v/>
      </c>
      <c r="BJ206" s="60">
        <f>IF(OR(BD206="",B206=""),"",BD206-B206)</f>
        <v/>
      </c>
      <c r="BK206" s="60">
        <f>IF(OR(BE206="",BD206=""),"",BE206-BD206)</f>
        <v/>
      </c>
      <c r="BL206" s="60">
        <f>IF(OR(BF206="",BE206=""),"",BF206-BE206)</f>
        <v/>
      </c>
      <c r="BM206" s="60">
        <f>IF(OR(BG206="",BF206=""),"",BG206-BF206)</f>
        <v/>
      </c>
      <c r="BN206" s="60">
        <f>IF(OR(BH206="",BG206=""),"",BH206-BG206)</f>
        <v/>
      </c>
      <c r="BO206" s="60">
        <f>IF(OR(BI206="",BH206=""),"",BI206-BH206)</f>
        <v/>
      </c>
      <c r="BP206" s="60">
        <f>IF(C206="","",_xlfn.MAXIFS('Saisie'!$AS$5:$AS$2004,'Saisie'!$C$5:$C$2004,C206,'Saisie'!$J$5:$J$2004,"&lt;&gt;"))</f>
        <v/>
      </c>
      <c r="BQ206" s="60">
        <f>IF(C206="","",_xlfn.MAXIFS('Saisie'!$AS$5:$AS$2004,'Saisie'!$C$5:$C$2004,C206))</f>
        <v/>
      </c>
      <c r="BR206" s="60">
        <f>IF(C206="","",_xlfn.MAXIFS('Saisie'!$AS$5:$AS$2004,'Saisie'!$C$5:$C$2004,C206,'Saisie'!$E$5:$E$2004,"Perdu"))</f>
        <v/>
      </c>
      <c r="BS206" s="60">
        <f>IF(C206="","",_xlfn.MAXIFS('Saisie'!$AS$5:$AS$2004,'Saisie'!$C$5:$C$2004,C206,'Saisie'!$AT$5:$AT$2004,"&gt;0"))</f>
        <v/>
      </c>
      <c r="BT206" s="109">
        <f>IF(AND(C206&lt;&gt;"",OR(D206="Nouveau",D206="Contacté",D206="Qualifié"),OR(G206="",N(G206)&lt;=TODAY()),NOT(AND(O206&gt;='Paramètres'!$B$21,P206=0))),E206+202/10000,"")</f>
        <v/>
      </c>
      <c r="BU206" s="60">
        <f>IF(AND(G206&lt;&gt;"",N(G206)&lt;=TODAY()),MAX($BU$4:BU205)+1,"")</f>
        <v/>
      </c>
      <c r="BV206" s="60">
        <f>IF(AND(F206&lt;&gt;"",F206&lt;&gt;"Relance en retard"),MAX($BV$4:BV205)+1,"")</f>
        <v/>
      </c>
      <c r="BW206" s="60">
        <f>IF(C206="","",IF(AND(B206&gt;='Tableau de bord'!$R$4,B206&lt;='Tableau de bord'!$S$4,OR('Tableau de bord'!$G$4="Tous",N206='Tableau de bord'!$G$4)),1,0))</f>
        <v/>
      </c>
      <c r="BX206" s="60">
        <f>IF(AND(C206&lt;&gt;"",N(BA206)=7),MAX($BX$4:BX205)+1,"")</f>
        <v/>
      </c>
    </row>
    <row r="207">
      <c r="A207" s="60">
        <f>IF(C207="","","P-"&amp;TEXT(203,"000"))</f>
        <v/>
      </c>
      <c r="B207" s="106">
        <f>IF(C207="","",IFERROR(1/(1/_xlfn.MINIFS('Saisie'!$A$5:$A$2004,'Saisie'!$C$5:$C$2004,C207)),""))</f>
        <v/>
      </c>
      <c r="C207" s="60">
        <f>IFERROR(INDEX('Saisie'!$C$5:$C$2004,MATCH(203,'Saisie'!$AX$5:$AX$2004,0)),"")</f>
        <v/>
      </c>
      <c r="D207" s="60">
        <f>IF(C207="","",IF(AND(BR207&gt;0,BR207&gt;BS207,BA207&lt;7),"Perdu",INDEX('Paramètres'!$F$6:$F$13,BA207)))</f>
        <v/>
      </c>
      <c r="E207" s="61">
        <f>IF(C207="","",MIN(100,(Z207="Oui")*'Paramètres'!$B$38+(AB207="Régulière")*'Paramètres'!$B$39+IF(AND(N(AA207)&gt;0,TODAY()-N(AA207)&lt;=30),'Paramètres'!$B$40,0)+(W207="")*'Paramètres'!$B$41+(AC207="Absente")*'Paramètres'!$B$42+(AC207="Faible")*'Paramètres'!$B$43+IF(AND(N(AD207)&gt;0,N(AD207)&lt;4),'Paramètres'!$B$44,0)+(AF207="Moyenne")*'Paramètres'!$B$45+(AF207="Grande")*'Paramètres'!$B$46+(Y207&lt;&gt;"")*'Paramètres'!$B$47))</f>
        <v/>
      </c>
      <c r="F207" s="60">
        <f>IF(C207="","",IF(D207="Gagné","",IF(D207="Perdu",IF(AND(AX207&lt;&gt;"",AX207&lt;=TODAY()),"À recontacter (perdu)",""),IF(AND(O207&gt;='Paramètres'!$B$21,P207=0),"Stop : "&amp;'Paramètres'!$B$21&amp;" tentatives sans réponse",IF(AND(D207="Proposition",AR207&lt;&gt;"",TODAY()&gt;N(AR207)),"Proposition expirée",IF(AND(D207="Proposition",N(R207)&gt;='Paramètres'!$B$25),"Proposition sans réponse",IF(AND(G207&lt;&gt;"",N(G207)&lt;TODAY()),"Relance en retard",IF(N(R207)&gt;='Paramètres'!$B$24,"Sans action depuis "&amp;R207&amp;" j",""))))))))</f>
        <v/>
      </c>
      <c r="G207" s="106">
        <f>IF(OR(C207="",D207="Gagné",D207="Perdu"),"",IF(AND(BP207&gt;0,BP207=BQ207),INDEX('Saisie'!$J$5:$J$2004,BP207-4),IF(OR(O207=0,AND(O207&gt;='Paramètres'!$B$21,P207=0)),"",Q207+IF(O207&lt;=1,'Paramètres'!$B$18,IF(O207=2,'Paramètres'!$B$19,'Paramètres'!$B$20)))))</f>
        <v/>
      </c>
      <c r="H207" s="107">
        <f>IF(OR(G207="",BP207&lt;&gt;BQ207),"",IF(INDEX('Saisie'!$K$5:$K$2004,BP207-4)="","",INDEX('Saisie'!$K$5:$K$2004,BP207-4)))</f>
        <v/>
      </c>
      <c r="I207" s="60">
        <f>IF(C207="","",IF(OR(D207="Gagné",D207="Perdu"),"",IFERROR(INDEX('Saisie'!$I$5:$I$2004,_xlfn.MAXIFS('Saisie'!$AS$5:$AS$2004,'Saisie'!$C$5:$C$2004,C207,'Saisie'!$I$5:$I$2004,"&lt;&gt;")-4),"")))</f>
        <v/>
      </c>
      <c r="J207" s="60">
        <f>IF(C207="","",IFERROR(INDEX('Saisie'!$U$5:$U$2004,_xlfn.MAXIFS('Saisie'!$AS$5:$AS$2004,'Saisie'!$C$5:$C$2004,C207,'Saisie'!$U$5:$U$2004,"&lt;&gt;")-4),""))</f>
        <v/>
      </c>
      <c r="K207" s="60">
        <f>IF(C207="","",IFERROR(INDEX('Saisie'!$W$5:$W$2004,_xlfn.MAXIFS('Saisie'!$AS$5:$AS$2004,'Saisie'!$C$5:$C$2004,C207,'Saisie'!$W$5:$W$2004,"&lt;&gt;")-4),""))</f>
        <v/>
      </c>
      <c r="L207" s="60">
        <f>IF(IF(BB207&lt;&gt;"",BB207,K207)="","",HYPERLINK("https://wa.me/"&amp;IF(LEFT(SUBSTITUTE(SUBSTITUTE(SUBSTITUTE(IF(BB207&lt;&gt;"",BB207,K207)," ",""),".",""),"+",""),1)="0",'Paramètres'!$B$35&amp;MID(SUBSTITUTE(SUBSTITUTE(SUBSTITUTE(IF(BB207&lt;&gt;"",BB207,K207)," ",""),".",""),"+",""),2,20),SUBSTITUTE(SUBSTITUTE(SUBSTITUTE(IF(BB207&lt;&gt;"",BB207,K207)," ",""),".",""),"+","")),"WhatsApp"))</f>
        <v/>
      </c>
      <c r="M207" s="60">
        <f>IF(BC207="","",HYPERLINK(IF(LEFT(BC207,4)="http",BC207,"https://www.instagram.com/"&amp;SUBSTITUTE(SUBSTITUTE(BC207,"@","")," ","")),BC207))</f>
        <v/>
      </c>
      <c r="N207" s="60">
        <f>IF(C207="","",IFERROR(INDEX('Saisie'!$D$5:$D$2004,_xlfn.MINIFS('Saisie'!$AS$5:$AS$2004,'Saisie'!$C$5:$C$2004,C207,'Saisie'!$AU$5:$AU$2004,1)-4),IFERROR(INDEX('Saisie'!$D$5:$D$2004,_xlfn.MINIFS('Saisie'!$AS$5:$AS$2004,'Saisie'!$C$5:$C$2004,C207,'Saisie'!$D$5:$D$2004,"&lt;&gt;")-4),"")))</f>
        <v/>
      </c>
      <c r="O207" s="60">
        <f>IF(C207="","",COUNTIFS('Saisie'!$C$5:$C$2004,C207,'Saisie'!$AU$5:$AU$2004,1))</f>
        <v/>
      </c>
      <c r="P207" s="60">
        <f>IF(C207="","",COUNTIFS('Saisie'!$C$5:$C$2004,C207,'Saisie'!$AV$5:$AV$2004,1))</f>
        <v/>
      </c>
      <c r="Q207" s="106">
        <f>IF(C207="","",IFERROR(1/(1/_xlfn.MAXIFS('Saisie'!$A$5:$A$2004,'Saisie'!$C$5:$C$2004,C207)),""))</f>
        <v/>
      </c>
      <c r="R207" s="61">
        <f>IF(C207="","",IF(Q207="","",TODAY()-Q207))</f>
        <v/>
      </c>
      <c r="S207" s="60">
        <f>IF(C207="","",IFERROR(INDEX('Saisie'!$R$5:$R$2004,_xlfn.MAXIFS('Saisie'!$AS$5:$AS$2004,'Saisie'!$C$5:$C$2004,C207,'Saisie'!$R$5:$R$2004,"&lt;&gt;")-4),""))</f>
        <v/>
      </c>
      <c r="T207" s="60">
        <f>IF(C207="","",IFERROR(INDEX('Saisie'!$S$5:$S$2004,_xlfn.MAXIFS('Saisie'!$AS$5:$AS$2004,'Saisie'!$C$5:$C$2004,C207,'Saisie'!$S$5:$S$2004,"&lt;&gt;")-4),""))</f>
        <v/>
      </c>
      <c r="U207" s="60">
        <f>IF(C207="","",IFERROR(INDEX('Saisie'!$T$5:$T$2004,_xlfn.MAXIFS('Saisie'!$AS$5:$AS$2004,'Saisie'!$C$5:$C$2004,C207,'Saisie'!$T$5:$T$2004,"&lt;&gt;")-4),""))</f>
        <v/>
      </c>
      <c r="V207" s="60">
        <f>IF(C207="","",IFERROR(INDEX('Saisie'!$V$5:$V$2004,_xlfn.MAXIFS('Saisie'!$AS$5:$AS$2004,'Saisie'!$C$5:$C$2004,C207,'Saisie'!$V$5:$V$2004,"&lt;&gt;")-4),""))</f>
        <v/>
      </c>
      <c r="W207" s="60">
        <f>IF(C207="","",IFERROR(INDEX('Saisie'!$Z$5:$Z$2004,_xlfn.MAXIFS('Saisie'!$AS$5:$AS$2004,'Saisie'!$C$5:$C$2004,C207,'Saisie'!$Z$5:$Z$2004,"&lt;&gt;")-4),""))</f>
        <v/>
      </c>
      <c r="X207" s="60">
        <f>IF(C207="","",IFERROR(INDEX('Saisie'!$AA$5:$AA$2004,_xlfn.MAXIFS('Saisie'!$AS$5:$AS$2004,'Saisie'!$C$5:$C$2004,C207,'Saisie'!$AA$5:$AA$2004,"&lt;&gt;")-4),""))</f>
        <v/>
      </c>
      <c r="Y207" s="60">
        <f>IF(C207="","",IFERROR(INDEX('Saisie'!$AB$5:$AB$2004,_xlfn.MAXIFS('Saisie'!$AS$5:$AS$2004,'Saisie'!$C$5:$C$2004,C207,'Saisie'!$AB$5:$AB$2004,"&lt;&gt;")-4),""))</f>
        <v/>
      </c>
      <c r="Z207" s="60">
        <f>IF(C207="","",IFERROR(INDEX('Saisie'!$AC$5:$AC$2004,_xlfn.MAXIFS('Saisie'!$AS$5:$AS$2004,'Saisie'!$C$5:$C$2004,C207,'Saisie'!$AC$5:$AC$2004,"&lt;&gt;")-4),""))</f>
        <v/>
      </c>
      <c r="AA207" s="106">
        <f>IF(C207="","",IFERROR(INDEX('Saisie'!$AD$5:$AD$2004,_xlfn.MAXIFS('Saisie'!$AS$5:$AS$2004,'Saisie'!$C$5:$C$2004,C207,'Saisie'!$AD$5:$AD$2004,"&lt;&gt;")-4),""))</f>
        <v/>
      </c>
      <c r="AB207" s="60">
        <f>IF(C207="","",IFERROR(INDEX('Saisie'!$AE$5:$AE$2004,_xlfn.MAXIFS('Saisie'!$AS$5:$AS$2004,'Saisie'!$C$5:$C$2004,C207,'Saisie'!$AE$5:$AE$2004,"&lt;&gt;")-4),""))</f>
        <v/>
      </c>
      <c r="AC207" s="60">
        <f>IF(C207="","",IFERROR(INDEX('Saisie'!$AF$5:$AF$2004,_xlfn.MAXIFS('Saisie'!$AS$5:$AS$2004,'Saisie'!$C$5:$C$2004,C207,'Saisie'!$AF$5:$AF$2004,"&lt;&gt;")-4),""))</f>
        <v/>
      </c>
      <c r="AD207" s="108">
        <f>IF(C207="","",IFERROR(INDEX('Saisie'!$AG$5:$AG$2004,_xlfn.MAXIFS('Saisie'!$AS$5:$AS$2004,'Saisie'!$C$5:$C$2004,C207,'Saisie'!$AG$5:$AG$2004,"&lt;&gt;")-4),""))</f>
        <v/>
      </c>
      <c r="AE207" s="60">
        <f>IF(C207="","",IFERROR(INDEX('Saisie'!$AH$5:$AH$2004,_xlfn.MAXIFS('Saisie'!$AS$5:$AS$2004,'Saisie'!$C$5:$C$2004,C207,'Saisie'!$AH$5:$AH$2004,"&lt;&gt;")-4),""))</f>
        <v/>
      </c>
      <c r="AF207" s="60">
        <f>IF(C207="","",IFERROR(INDEX('Saisie'!$AI$5:$AI$2004,_xlfn.MAXIFS('Saisie'!$AS$5:$AS$2004,'Saisie'!$C$5:$C$2004,C207,'Saisie'!$AI$5:$AI$2004,"&lt;&gt;")-4),""))</f>
        <v/>
      </c>
      <c r="AG207" s="60">
        <f>IF(C207="","",IFERROR(INDEX('Saisie'!$AJ$5:$AJ$2004,_xlfn.MAXIFS('Saisie'!$AS$5:$AS$2004,'Saisie'!$C$5:$C$2004,C207,'Saisie'!$AJ$5:$AJ$2004,"&lt;&gt;")-4),""))</f>
        <v/>
      </c>
      <c r="AH207" s="60">
        <f>IF(C207="","",IFERROR(INDEX('Saisie'!$AK$5:$AK$2004,_xlfn.MAXIFS('Saisie'!$AS$5:$AS$2004,'Saisie'!$C$5:$C$2004,C207,'Saisie'!$AK$5:$AK$2004,"&lt;&gt;")-4),""))</f>
        <v/>
      </c>
      <c r="AI207" s="60">
        <f>IF(C207="","",IFERROR(INDEX('Saisie'!$AN$5:$AN$2004,_xlfn.MAXIFS('Saisie'!$AS$5:$AS$2004,'Saisie'!$C$5:$C$2004,C207,'Saisie'!$AN$5:$AN$2004,"&lt;&gt;")-4),""))</f>
        <v/>
      </c>
      <c r="AJ207" s="60">
        <f>IF(C207="","",IFERROR(INDEX('Saisie'!$AO$5:$AO$2004,_xlfn.MAXIFS('Saisie'!$AS$5:$AS$2004,'Saisie'!$C$5:$C$2004,C207,'Saisie'!$AO$5:$AO$2004,"&lt;&gt;")-4),""))</f>
        <v/>
      </c>
      <c r="AK207" s="60">
        <f>IF(C207="","",IFERROR(INDEX('Saisie'!$AP$5:$AP$2004,_xlfn.MAXIFS('Saisie'!$AS$5:$AS$2004,'Saisie'!$C$5:$C$2004,C207,'Saisie'!$AP$5:$AP$2004,"&lt;&gt;")-4),""))</f>
        <v/>
      </c>
      <c r="AL207" s="60">
        <f>IF(C207="","",IFERROR(INDEX('Saisie'!$AQ$5:$AQ$2004,_xlfn.MAXIFS('Saisie'!$AS$5:$AS$2004,'Saisie'!$C$5:$C$2004,C207,'Saisie'!$AQ$5:$AQ$2004,"&lt;&gt;")-4),""))</f>
        <v/>
      </c>
      <c r="AM207" s="60">
        <f>IF(C207="","",((AI207="Oui")+(AJ207="Oui")+(AK207="Oui")+OR(AL207="Immédiat",AL207="&lt; 1 mois"))&amp;"/4")</f>
        <v/>
      </c>
      <c r="AN207" s="60">
        <f>IF(C207="","",IFERROR(INDEX('Saisie'!$AL$5:$AL$2004,_xlfn.MAXIFS('Saisie'!$AS$5:$AS$2004,'Saisie'!$C$5:$C$2004,C207,'Saisie'!$AL$5:$AL$2004,"&lt;&gt;")-4),""))</f>
        <v/>
      </c>
      <c r="AO207" s="62">
        <f>IF(C207="","",IF(IFERROR(INDEX('Saisie'!$AM$5:$AM$2004,_xlfn.MAXIFS('Saisie'!$AS$5:$AS$2004,'Saisie'!$C$5:$C$2004,C207,'Saisie'!$AM$5:$AM$2004,"&lt;&gt;")-4),"")&lt;&gt;"",IFERROR(INDEX('Saisie'!$AM$5:$AM$2004,_xlfn.MAXIFS('Saisie'!$AS$5:$AS$2004,'Saisie'!$C$5:$C$2004,C207,'Saisie'!$AM$5:$AM$2004,"&lt;&gt;")-4),""),IFERROR(INDEX('Paramètres'!$S$6:$S$15,MATCH(AN207,'Paramètres'!$Q$6:$Q$15,0)),"")))</f>
        <v/>
      </c>
      <c r="AP207" s="62">
        <f>IF(C207="","",IFERROR(INDEX('Saisie'!$AW$5:$AW$2004,_xlfn.MAXIFS('Saisie'!$AS$5:$AS$2004,'Saisie'!$C$5:$C$2004,C207,'Saisie'!$E$5:$E$2004,"Proposition envoyée")-4),""))</f>
        <v/>
      </c>
      <c r="AQ207" s="106">
        <f>IF(C207="","",IFERROR(1/(1/_xlfn.MAXIFS('Saisie'!$A$5:$A$2004,'Saisie'!$C$5:$C$2004,C207,'Saisie'!$E$5:$E$2004,"Proposition envoyée")),""))</f>
        <v/>
      </c>
      <c r="AR207" s="106">
        <f>IF(C207="","",IF(AQ207="","",AQ207+'Paramètres'!$B$26))</f>
        <v/>
      </c>
      <c r="AS207" s="62">
        <f>IF(OR(C207="",D207="Gagné",D207="Perdu"),0,N(AP207)*IFERROR(INDEX('Paramètres'!$G$6:$G$13,MATCH(D207,'Paramètres'!$F$6:$F$13,0)),0))</f>
        <v/>
      </c>
      <c r="AT207" s="106">
        <f>IF(C207="","",IFERROR(1/(1/_xlfn.MINIFS('Saisie'!$A$5:$A$2004,'Saisie'!$C$5:$C$2004,C207,'Saisie'!$E$5:$E$2004,"Signature")),""))</f>
        <v/>
      </c>
      <c r="AU207" s="60">
        <f>IF(C207="","",IF(OR(AT207="",B207=""),"",AT207-B207))</f>
        <v/>
      </c>
      <c r="AV207" s="60">
        <f>IF(C207="","",IFERROR(INDEX('Saisie'!$L$5:$L$2004,_xlfn.MAXIFS('Saisie'!$AS$5:$AS$2004,'Saisie'!$C$5:$C$2004,C207,'Saisie'!$L$5:$L$2004,"&lt;&gt;")-4),""))</f>
        <v/>
      </c>
      <c r="AW207" s="106">
        <f>IF(C207="","",IF(D207&lt;&gt;"Perdu","",IFERROR(1/(1/_xlfn.MAXIFS('Saisie'!$A$5:$A$2004,'Saisie'!$C$5:$C$2004,C207,'Saisie'!$E$5:$E$2004,"Perdu")),"")))</f>
        <v/>
      </c>
      <c r="AX207" s="106">
        <f>IF(C207="","",IF(AW207="","",AW207+'Paramètres'!$B$28))</f>
        <v/>
      </c>
      <c r="AY207" s="60">
        <f>IF(C207="","",SUMIFS('Saisie'!$H$5:$H$2004,'Saisie'!$C$5:$C$2004,C207))</f>
        <v/>
      </c>
      <c r="AZ207" s="60">
        <f>IF(C207="","",IFERROR(INDEX('Paramètres'!$W$6:$W$20,MATCH(S207,'Paramètres'!$V$6:$V$20,0))&amp;"",""))</f>
        <v/>
      </c>
      <c r="BA207" s="60">
        <f>IF(C207="","",MAX(1,_xlfn.MAXIFS('Saisie'!$AT$5:$AT$2004,'Saisie'!$C$5:$C$2004,C207)))</f>
        <v/>
      </c>
      <c r="BB207" s="60">
        <f>IF(C207="","",IFERROR(INDEX('Saisie'!$X$5:$X$2004,_xlfn.MAXIFS('Saisie'!$AS$5:$AS$2004,'Saisie'!$C$5:$C$2004,C207,'Saisie'!$X$5:$X$2004,"&lt;&gt;")-4),""))</f>
        <v/>
      </c>
      <c r="BC207" s="60">
        <f>IF(C207="","",IFERROR(INDEX('Saisie'!$Y$5:$Y$2004,_xlfn.MAXIFS('Saisie'!$AS$5:$AS$2004,'Saisie'!$C$5:$C$2004,C207,'Saisie'!$Y$5:$Y$2004,"&lt;&gt;")-4),""))</f>
        <v/>
      </c>
      <c r="BD207" s="106">
        <f>IF(C207="","",IFERROR(1/(1/_xlfn.MINIFS('Saisie'!$A$5:$A$2004,'Saisie'!$C$5:$C$2004,C207,'Saisie'!$AT$5:$AT$2004,"&gt;=2")),""))</f>
        <v/>
      </c>
      <c r="BE207" s="106">
        <f>IF(C207="","",IFERROR(1/(1/_xlfn.MINIFS('Saisie'!$A$5:$A$2004,'Saisie'!$C$5:$C$2004,C207,'Saisie'!$AT$5:$AT$2004,"&gt;=3")),""))</f>
        <v/>
      </c>
      <c r="BF207" s="106">
        <f>IF(C207="","",IFERROR(1/(1/_xlfn.MINIFS('Saisie'!$A$5:$A$2004,'Saisie'!$C$5:$C$2004,C207,'Saisie'!$AT$5:$AT$2004,"&gt;=4")),""))</f>
        <v/>
      </c>
      <c r="BG207" s="106">
        <f>IF(C207="","",IFERROR(1/(1/_xlfn.MINIFS('Saisie'!$A$5:$A$2004,'Saisie'!$C$5:$C$2004,C207,'Saisie'!$AT$5:$AT$2004,"&gt;=5")),""))</f>
        <v/>
      </c>
      <c r="BH207" s="106">
        <f>IF(C207="","",IFERROR(1/(1/_xlfn.MINIFS('Saisie'!$A$5:$A$2004,'Saisie'!$C$5:$C$2004,C207,'Saisie'!$AT$5:$AT$2004,"&gt;=6")),""))</f>
        <v/>
      </c>
      <c r="BI207" s="106">
        <f>IF(C207="","",IFERROR(1/(1/_xlfn.MINIFS('Saisie'!$A$5:$A$2004,'Saisie'!$C$5:$C$2004,C207,'Saisie'!$AT$5:$AT$2004,"&gt;=7")),""))</f>
        <v/>
      </c>
      <c r="BJ207" s="60">
        <f>IF(OR(BD207="",B207=""),"",BD207-B207)</f>
        <v/>
      </c>
      <c r="BK207" s="60">
        <f>IF(OR(BE207="",BD207=""),"",BE207-BD207)</f>
        <v/>
      </c>
      <c r="BL207" s="60">
        <f>IF(OR(BF207="",BE207=""),"",BF207-BE207)</f>
        <v/>
      </c>
      <c r="BM207" s="60">
        <f>IF(OR(BG207="",BF207=""),"",BG207-BF207)</f>
        <v/>
      </c>
      <c r="BN207" s="60">
        <f>IF(OR(BH207="",BG207=""),"",BH207-BG207)</f>
        <v/>
      </c>
      <c r="BO207" s="60">
        <f>IF(OR(BI207="",BH207=""),"",BI207-BH207)</f>
        <v/>
      </c>
      <c r="BP207" s="60">
        <f>IF(C207="","",_xlfn.MAXIFS('Saisie'!$AS$5:$AS$2004,'Saisie'!$C$5:$C$2004,C207,'Saisie'!$J$5:$J$2004,"&lt;&gt;"))</f>
        <v/>
      </c>
      <c r="BQ207" s="60">
        <f>IF(C207="","",_xlfn.MAXIFS('Saisie'!$AS$5:$AS$2004,'Saisie'!$C$5:$C$2004,C207))</f>
        <v/>
      </c>
      <c r="BR207" s="60">
        <f>IF(C207="","",_xlfn.MAXIFS('Saisie'!$AS$5:$AS$2004,'Saisie'!$C$5:$C$2004,C207,'Saisie'!$E$5:$E$2004,"Perdu"))</f>
        <v/>
      </c>
      <c r="BS207" s="60">
        <f>IF(C207="","",_xlfn.MAXIFS('Saisie'!$AS$5:$AS$2004,'Saisie'!$C$5:$C$2004,C207,'Saisie'!$AT$5:$AT$2004,"&gt;0"))</f>
        <v/>
      </c>
      <c r="BT207" s="109">
        <f>IF(AND(C207&lt;&gt;"",OR(D207="Nouveau",D207="Contacté",D207="Qualifié"),OR(G207="",N(G207)&lt;=TODAY()),NOT(AND(O207&gt;='Paramètres'!$B$21,P207=0))),E207+203/10000,"")</f>
        <v/>
      </c>
      <c r="BU207" s="60">
        <f>IF(AND(G207&lt;&gt;"",N(G207)&lt;=TODAY()),MAX($BU$4:BU206)+1,"")</f>
        <v/>
      </c>
      <c r="BV207" s="60">
        <f>IF(AND(F207&lt;&gt;"",F207&lt;&gt;"Relance en retard"),MAX($BV$4:BV206)+1,"")</f>
        <v/>
      </c>
      <c r="BW207" s="60">
        <f>IF(C207="","",IF(AND(B207&gt;='Tableau de bord'!$R$4,B207&lt;='Tableau de bord'!$S$4,OR('Tableau de bord'!$G$4="Tous",N207='Tableau de bord'!$G$4)),1,0))</f>
        <v/>
      </c>
      <c r="BX207" s="60">
        <f>IF(AND(C207&lt;&gt;"",N(BA207)=7),MAX($BX$4:BX206)+1,"")</f>
        <v/>
      </c>
    </row>
    <row r="208">
      <c r="A208" s="60">
        <f>IF(C208="","","P-"&amp;TEXT(204,"000"))</f>
        <v/>
      </c>
      <c r="B208" s="106">
        <f>IF(C208="","",IFERROR(1/(1/_xlfn.MINIFS('Saisie'!$A$5:$A$2004,'Saisie'!$C$5:$C$2004,C208)),""))</f>
        <v/>
      </c>
      <c r="C208" s="60">
        <f>IFERROR(INDEX('Saisie'!$C$5:$C$2004,MATCH(204,'Saisie'!$AX$5:$AX$2004,0)),"")</f>
        <v/>
      </c>
      <c r="D208" s="60">
        <f>IF(C208="","",IF(AND(BR208&gt;0,BR208&gt;BS208,BA208&lt;7),"Perdu",INDEX('Paramètres'!$F$6:$F$13,BA208)))</f>
        <v/>
      </c>
      <c r="E208" s="61">
        <f>IF(C208="","",MIN(100,(Z208="Oui")*'Paramètres'!$B$38+(AB208="Régulière")*'Paramètres'!$B$39+IF(AND(N(AA208)&gt;0,TODAY()-N(AA208)&lt;=30),'Paramètres'!$B$40,0)+(W208="")*'Paramètres'!$B$41+(AC208="Absente")*'Paramètres'!$B$42+(AC208="Faible")*'Paramètres'!$B$43+IF(AND(N(AD208)&gt;0,N(AD208)&lt;4),'Paramètres'!$B$44,0)+(AF208="Moyenne")*'Paramètres'!$B$45+(AF208="Grande")*'Paramètres'!$B$46+(Y208&lt;&gt;"")*'Paramètres'!$B$47))</f>
        <v/>
      </c>
      <c r="F208" s="60">
        <f>IF(C208="","",IF(D208="Gagné","",IF(D208="Perdu",IF(AND(AX208&lt;&gt;"",AX208&lt;=TODAY()),"À recontacter (perdu)",""),IF(AND(O208&gt;='Paramètres'!$B$21,P208=0),"Stop : "&amp;'Paramètres'!$B$21&amp;" tentatives sans réponse",IF(AND(D208="Proposition",AR208&lt;&gt;"",TODAY()&gt;N(AR208)),"Proposition expirée",IF(AND(D208="Proposition",N(R208)&gt;='Paramètres'!$B$25),"Proposition sans réponse",IF(AND(G208&lt;&gt;"",N(G208)&lt;TODAY()),"Relance en retard",IF(N(R208)&gt;='Paramètres'!$B$24,"Sans action depuis "&amp;R208&amp;" j",""))))))))</f>
        <v/>
      </c>
      <c r="G208" s="106">
        <f>IF(OR(C208="",D208="Gagné",D208="Perdu"),"",IF(AND(BP208&gt;0,BP208=BQ208),INDEX('Saisie'!$J$5:$J$2004,BP208-4),IF(OR(O208=0,AND(O208&gt;='Paramètres'!$B$21,P208=0)),"",Q208+IF(O208&lt;=1,'Paramètres'!$B$18,IF(O208=2,'Paramètres'!$B$19,'Paramètres'!$B$20)))))</f>
        <v/>
      </c>
      <c r="H208" s="107">
        <f>IF(OR(G208="",BP208&lt;&gt;BQ208),"",IF(INDEX('Saisie'!$K$5:$K$2004,BP208-4)="","",INDEX('Saisie'!$K$5:$K$2004,BP208-4)))</f>
        <v/>
      </c>
      <c r="I208" s="60">
        <f>IF(C208="","",IF(OR(D208="Gagné",D208="Perdu"),"",IFERROR(INDEX('Saisie'!$I$5:$I$2004,_xlfn.MAXIFS('Saisie'!$AS$5:$AS$2004,'Saisie'!$C$5:$C$2004,C208,'Saisie'!$I$5:$I$2004,"&lt;&gt;")-4),"")))</f>
        <v/>
      </c>
      <c r="J208" s="60">
        <f>IF(C208="","",IFERROR(INDEX('Saisie'!$U$5:$U$2004,_xlfn.MAXIFS('Saisie'!$AS$5:$AS$2004,'Saisie'!$C$5:$C$2004,C208,'Saisie'!$U$5:$U$2004,"&lt;&gt;")-4),""))</f>
        <v/>
      </c>
      <c r="K208" s="60">
        <f>IF(C208="","",IFERROR(INDEX('Saisie'!$W$5:$W$2004,_xlfn.MAXIFS('Saisie'!$AS$5:$AS$2004,'Saisie'!$C$5:$C$2004,C208,'Saisie'!$W$5:$W$2004,"&lt;&gt;")-4),""))</f>
        <v/>
      </c>
      <c r="L208" s="60">
        <f>IF(IF(BB208&lt;&gt;"",BB208,K208)="","",HYPERLINK("https://wa.me/"&amp;IF(LEFT(SUBSTITUTE(SUBSTITUTE(SUBSTITUTE(IF(BB208&lt;&gt;"",BB208,K208)," ",""),".",""),"+",""),1)="0",'Paramètres'!$B$35&amp;MID(SUBSTITUTE(SUBSTITUTE(SUBSTITUTE(IF(BB208&lt;&gt;"",BB208,K208)," ",""),".",""),"+",""),2,20),SUBSTITUTE(SUBSTITUTE(SUBSTITUTE(IF(BB208&lt;&gt;"",BB208,K208)," ",""),".",""),"+","")),"WhatsApp"))</f>
        <v/>
      </c>
      <c r="M208" s="60">
        <f>IF(BC208="","",HYPERLINK(IF(LEFT(BC208,4)="http",BC208,"https://www.instagram.com/"&amp;SUBSTITUTE(SUBSTITUTE(BC208,"@","")," ","")),BC208))</f>
        <v/>
      </c>
      <c r="N208" s="60">
        <f>IF(C208="","",IFERROR(INDEX('Saisie'!$D$5:$D$2004,_xlfn.MINIFS('Saisie'!$AS$5:$AS$2004,'Saisie'!$C$5:$C$2004,C208,'Saisie'!$AU$5:$AU$2004,1)-4),IFERROR(INDEX('Saisie'!$D$5:$D$2004,_xlfn.MINIFS('Saisie'!$AS$5:$AS$2004,'Saisie'!$C$5:$C$2004,C208,'Saisie'!$D$5:$D$2004,"&lt;&gt;")-4),"")))</f>
        <v/>
      </c>
      <c r="O208" s="60">
        <f>IF(C208="","",COUNTIFS('Saisie'!$C$5:$C$2004,C208,'Saisie'!$AU$5:$AU$2004,1))</f>
        <v/>
      </c>
      <c r="P208" s="60">
        <f>IF(C208="","",COUNTIFS('Saisie'!$C$5:$C$2004,C208,'Saisie'!$AV$5:$AV$2004,1))</f>
        <v/>
      </c>
      <c r="Q208" s="106">
        <f>IF(C208="","",IFERROR(1/(1/_xlfn.MAXIFS('Saisie'!$A$5:$A$2004,'Saisie'!$C$5:$C$2004,C208)),""))</f>
        <v/>
      </c>
      <c r="R208" s="61">
        <f>IF(C208="","",IF(Q208="","",TODAY()-Q208))</f>
        <v/>
      </c>
      <c r="S208" s="60">
        <f>IF(C208="","",IFERROR(INDEX('Saisie'!$R$5:$R$2004,_xlfn.MAXIFS('Saisie'!$AS$5:$AS$2004,'Saisie'!$C$5:$C$2004,C208,'Saisie'!$R$5:$R$2004,"&lt;&gt;")-4),""))</f>
        <v/>
      </c>
      <c r="T208" s="60">
        <f>IF(C208="","",IFERROR(INDEX('Saisie'!$S$5:$S$2004,_xlfn.MAXIFS('Saisie'!$AS$5:$AS$2004,'Saisie'!$C$5:$C$2004,C208,'Saisie'!$S$5:$S$2004,"&lt;&gt;")-4),""))</f>
        <v/>
      </c>
      <c r="U208" s="60">
        <f>IF(C208="","",IFERROR(INDEX('Saisie'!$T$5:$T$2004,_xlfn.MAXIFS('Saisie'!$AS$5:$AS$2004,'Saisie'!$C$5:$C$2004,C208,'Saisie'!$T$5:$T$2004,"&lt;&gt;")-4),""))</f>
        <v/>
      </c>
      <c r="V208" s="60">
        <f>IF(C208="","",IFERROR(INDEX('Saisie'!$V$5:$V$2004,_xlfn.MAXIFS('Saisie'!$AS$5:$AS$2004,'Saisie'!$C$5:$C$2004,C208,'Saisie'!$V$5:$V$2004,"&lt;&gt;")-4),""))</f>
        <v/>
      </c>
      <c r="W208" s="60">
        <f>IF(C208="","",IFERROR(INDEX('Saisie'!$Z$5:$Z$2004,_xlfn.MAXIFS('Saisie'!$AS$5:$AS$2004,'Saisie'!$C$5:$C$2004,C208,'Saisie'!$Z$5:$Z$2004,"&lt;&gt;")-4),""))</f>
        <v/>
      </c>
      <c r="X208" s="60">
        <f>IF(C208="","",IFERROR(INDEX('Saisie'!$AA$5:$AA$2004,_xlfn.MAXIFS('Saisie'!$AS$5:$AS$2004,'Saisie'!$C$5:$C$2004,C208,'Saisie'!$AA$5:$AA$2004,"&lt;&gt;")-4),""))</f>
        <v/>
      </c>
      <c r="Y208" s="60">
        <f>IF(C208="","",IFERROR(INDEX('Saisie'!$AB$5:$AB$2004,_xlfn.MAXIFS('Saisie'!$AS$5:$AS$2004,'Saisie'!$C$5:$C$2004,C208,'Saisie'!$AB$5:$AB$2004,"&lt;&gt;")-4),""))</f>
        <v/>
      </c>
      <c r="Z208" s="60">
        <f>IF(C208="","",IFERROR(INDEX('Saisie'!$AC$5:$AC$2004,_xlfn.MAXIFS('Saisie'!$AS$5:$AS$2004,'Saisie'!$C$5:$C$2004,C208,'Saisie'!$AC$5:$AC$2004,"&lt;&gt;")-4),""))</f>
        <v/>
      </c>
      <c r="AA208" s="106">
        <f>IF(C208="","",IFERROR(INDEX('Saisie'!$AD$5:$AD$2004,_xlfn.MAXIFS('Saisie'!$AS$5:$AS$2004,'Saisie'!$C$5:$C$2004,C208,'Saisie'!$AD$5:$AD$2004,"&lt;&gt;")-4),""))</f>
        <v/>
      </c>
      <c r="AB208" s="60">
        <f>IF(C208="","",IFERROR(INDEX('Saisie'!$AE$5:$AE$2004,_xlfn.MAXIFS('Saisie'!$AS$5:$AS$2004,'Saisie'!$C$5:$C$2004,C208,'Saisie'!$AE$5:$AE$2004,"&lt;&gt;")-4),""))</f>
        <v/>
      </c>
      <c r="AC208" s="60">
        <f>IF(C208="","",IFERROR(INDEX('Saisie'!$AF$5:$AF$2004,_xlfn.MAXIFS('Saisie'!$AS$5:$AS$2004,'Saisie'!$C$5:$C$2004,C208,'Saisie'!$AF$5:$AF$2004,"&lt;&gt;")-4),""))</f>
        <v/>
      </c>
      <c r="AD208" s="108">
        <f>IF(C208="","",IFERROR(INDEX('Saisie'!$AG$5:$AG$2004,_xlfn.MAXIFS('Saisie'!$AS$5:$AS$2004,'Saisie'!$C$5:$C$2004,C208,'Saisie'!$AG$5:$AG$2004,"&lt;&gt;")-4),""))</f>
        <v/>
      </c>
      <c r="AE208" s="60">
        <f>IF(C208="","",IFERROR(INDEX('Saisie'!$AH$5:$AH$2004,_xlfn.MAXIFS('Saisie'!$AS$5:$AS$2004,'Saisie'!$C$5:$C$2004,C208,'Saisie'!$AH$5:$AH$2004,"&lt;&gt;")-4),""))</f>
        <v/>
      </c>
      <c r="AF208" s="60">
        <f>IF(C208="","",IFERROR(INDEX('Saisie'!$AI$5:$AI$2004,_xlfn.MAXIFS('Saisie'!$AS$5:$AS$2004,'Saisie'!$C$5:$C$2004,C208,'Saisie'!$AI$5:$AI$2004,"&lt;&gt;")-4),""))</f>
        <v/>
      </c>
      <c r="AG208" s="60">
        <f>IF(C208="","",IFERROR(INDEX('Saisie'!$AJ$5:$AJ$2004,_xlfn.MAXIFS('Saisie'!$AS$5:$AS$2004,'Saisie'!$C$5:$C$2004,C208,'Saisie'!$AJ$5:$AJ$2004,"&lt;&gt;")-4),""))</f>
        <v/>
      </c>
      <c r="AH208" s="60">
        <f>IF(C208="","",IFERROR(INDEX('Saisie'!$AK$5:$AK$2004,_xlfn.MAXIFS('Saisie'!$AS$5:$AS$2004,'Saisie'!$C$5:$C$2004,C208,'Saisie'!$AK$5:$AK$2004,"&lt;&gt;")-4),""))</f>
        <v/>
      </c>
      <c r="AI208" s="60">
        <f>IF(C208="","",IFERROR(INDEX('Saisie'!$AN$5:$AN$2004,_xlfn.MAXIFS('Saisie'!$AS$5:$AS$2004,'Saisie'!$C$5:$C$2004,C208,'Saisie'!$AN$5:$AN$2004,"&lt;&gt;")-4),""))</f>
        <v/>
      </c>
      <c r="AJ208" s="60">
        <f>IF(C208="","",IFERROR(INDEX('Saisie'!$AO$5:$AO$2004,_xlfn.MAXIFS('Saisie'!$AS$5:$AS$2004,'Saisie'!$C$5:$C$2004,C208,'Saisie'!$AO$5:$AO$2004,"&lt;&gt;")-4),""))</f>
        <v/>
      </c>
      <c r="AK208" s="60">
        <f>IF(C208="","",IFERROR(INDEX('Saisie'!$AP$5:$AP$2004,_xlfn.MAXIFS('Saisie'!$AS$5:$AS$2004,'Saisie'!$C$5:$C$2004,C208,'Saisie'!$AP$5:$AP$2004,"&lt;&gt;")-4),""))</f>
        <v/>
      </c>
      <c r="AL208" s="60">
        <f>IF(C208="","",IFERROR(INDEX('Saisie'!$AQ$5:$AQ$2004,_xlfn.MAXIFS('Saisie'!$AS$5:$AS$2004,'Saisie'!$C$5:$C$2004,C208,'Saisie'!$AQ$5:$AQ$2004,"&lt;&gt;")-4),""))</f>
        <v/>
      </c>
      <c r="AM208" s="60">
        <f>IF(C208="","",((AI208="Oui")+(AJ208="Oui")+(AK208="Oui")+OR(AL208="Immédiat",AL208="&lt; 1 mois"))&amp;"/4")</f>
        <v/>
      </c>
      <c r="AN208" s="60">
        <f>IF(C208="","",IFERROR(INDEX('Saisie'!$AL$5:$AL$2004,_xlfn.MAXIFS('Saisie'!$AS$5:$AS$2004,'Saisie'!$C$5:$C$2004,C208,'Saisie'!$AL$5:$AL$2004,"&lt;&gt;")-4),""))</f>
        <v/>
      </c>
      <c r="AO208" s="62">
        <f>IF(C208="","",IF(IFERROR(INDEX('Saisie'!$AM$5:$AM$2004,_xlfn.MAXIFS('Saisie'!$AS$5:$AS$2004,'Saisie'!$C$5:$C$2004,C208,'Saisie'!$AM$5:$AM$2004,"&lt;&gt;")-4),"")&lt;&gt;"",IFERROR(INDEX('Saisie'!$AM$5:$AM$2004,_xlfn.MAXIFS('Saisie'!$AS$5:$AS$2004,'Saisie'!$C$5:$C$2004,C208,'Saisie'!$AM$5:$AM$2004,"&lt;&gt;")-4),""),IFERROR(INDEX('Paramètres'!$S$6:$S$15,MATCH(AN208,'Paramètres'!$Q$6:$Q$15,0)),"")))</f>
        <v/>
      </c>
      <c r="AP208" s="62">
        <f>IF(C208="","",IFERROR(INDEX('Saisie'!$AW$5:$AW$2004,_xlfn.MAXIFS('Saisie'!$AS$5:$AS$2004,'Saisie'!$C$5:$C$2004,C208,'Saisie'!$E$5:$E$2004,"Proposition envoyée")-4),""))</f>
        <v/>
      </c>
      <c r="AQ208" s="106">
        <f>IF(C208="","",IFERROR(1/(1/_xlfn.MAXIFS('Saisie'!$A$5:$A$2004,'Saisie'!$C$5:$C$2004,C208,'Saisie'!$E$5:$E$2004,"Proposition envoyée")),""))</f>
        <v/>
      </c>
      <c r="AR208" s="106">
        <f>IF(C208="","",IF(AQ208="","",AQ208+'Paramètres'!$B$26))</f>
        <v/>
      </c>
      <c r="AS208" s="62">
        <f>IF(OR(C208="",D208="Gagné",D208="Perdu"),0,N(AP208)*IFERROR(INDEX('Paramètres'!$G$6:$G$13,MATCH(D208,'Paramètres'!$F$6:$F$13,0)),0))</f>
        <v/>
      </c>
      <c r="AT208" s="106">
        <f>IF(C208="","",IFERROR(1/(1/_xlfn.MINIFS('Saisie'!$A$5:$A$2004,'Saisie'!$C$5:$C$2004,C208,'Saisie'!$E$5:$E$2004,"Signature")),""))</f>
        <v/>
      </c>
      <c r="AU208" s="60">
        <f>IF(C208="","",IF(OR(AT208="",B208=""),"",AT208-B208))</f>
        <v/>
      </c>
      <c r="AV208" s="60">
        <f>IF(C208="","",IFERROR(INDEX('Saisie'!$L$5:$L$2004,_xlfn.MAXIFS('Saisie'!$AS$5:$AS$2004,'Saisie'!$C$5:$C$2004,C208,'Saisie'!$L$5:$L$2004,"&lt;&gt;")-4),""))</f>
        <v/>
      </c>
      <c r="AW208" s="106">
        <f>IF(C208="","",IF(D208&lt;&gt;"Perdu","",IFERROR(1/(1/_xlfn.MAXIFS('Saisie'!$A$5:$A$2004,'Saisie'!$C$5:$C$2004,C208,'Saisie'!$E$5:$E$2004,"Perdu")),"")))</f>
        <v/>
      </c>
      <c r="AX208" s="106">
        <f>IF(C208="","",IF(AW208="","",AW208+'Paramètres'!$B$28))</f>
        <v/>
      </c>
      <c r="AY208" s="60">
        <f>IF(C208="","",SUMIFS('Saisie'!$H$5:$H$2004,'Saisie'!$C$5:$C$2004,C208))</f>
        <v/>
      </c>
      <c r="AZ208" s="60">
        <f>IF(C208="","",IFERROR(INDEX('Paramètres'!$W$6:$W$20,MATCH(S208,'Paramètres'!$V$6:$V$20,0))&amp;"",""))</f>
        <v/>
      </c>
      <c r="BA208" s="60">
        <f>IF(C208="","",MAX(1,_xlfn.MAXIFS('Saisie'!$AT$5:$AT$2004,'Saisie'!$C$5:$C$2004,C208)))</f>
        <v/>
      </c>
      <c r="BB208" s="60">
        <f>IF(C208="","",IFERROR(INDEX('Saisie'!$X$5:$X$2004,_xlfn.MAXIFS('Saisie'!$AS$5:$AS$2004,'Saisie'!$C$5:$C$2004,C208,'Saisie'!$X$5:$X$2004,"&lt;&gt;")-4),""))</f>
        <v/>
      </c>
      <c r="BC208" s="60">
        <f>IF(C208="","",IFERROR(INDEX('Saisie'!$Y$5:$Y$2004,_xlfn.MAXIFS('Saisie'!$AS$5:$AS$2004,'Saisie'!$C$5:$C$2004,C208,'Saisie'!$Y$5:$Y$2004,"&lt;&gt;")-4),""))</f>
        <v/>
      </c>
      <c r="BD208" s="106">
        <f>IF(C208="","",IFERROR(1/(1/_xlfn.MINIFS('Saisie'!$A$5:$A$2004,'Saisie'!$C$5:$C$2004,C208,'Saisie'!$AT$5:$AT$2004,"&gt;=2")),""))</f>
        <v/>
      </c>
      <c r="BE208" s="106">
        <f>IF(C208="","",IFERROR(1/(1/_xlfn.MINIFS('Saisie'!$A$5:$A$2004,'Saisie'!$C$5:$C$2004,C208,'Saisie'!$AT$5:$AT$2004,"&gt;=3")),""))</f>
        <v/>
      </c>
      <c r="BF208" s="106">
        <f>IF(C208="","",IFERROR(1/(1/_xlfn.MINIFS('Saisie'!$A$5:$A$2004,'Saisie'!$C$5:$C$2004,C208,'Saisie'!$AT$5:$AT$2004,"&gt;=4")),""))</f>
        <v/>
      </c>
      <c r="BG208" s="106">
        <f>IF(C208="","",IFERROR(1/(1/_xlfn.MINIFS('Saisie'!$A$5:$A$2004,'Saisie'!$C$5:$C$2004,C208,'Saisie'!$AT$5:$AT$2004,"&gt;=5")),""))</f>
        <v/>
      </c>
      <c r="BH208" s="106">
        <f>IF(C208="","",IFERROR(1/(1/_xlfn.MINIFS('Saisie'!$A$5:$A$2004,'Saisie'!$C$5:$C$2004,C208,'Saisie'!$AT$5:$AT$2004,"&gt;=6")),""))</f>
        <v/>
      </c>
      <c r="BI208" s="106">
        <f>IF(C208="","",IFERROR(1/(1/_xlfn.MINIFS('Saisie'!$A$5:$A$2004,'Saisie'!$C$5:$C$2004,C208,'Saisie'!$AT$5:$AT$2004,"&gt;=7")),""))</f>
        <v/>
      </c>
      <c r="BJ208" s="60">
        <f>IF(OR(BD208="",B208=""),"",BD208-B208)</f>
        <v/>
      </c>
      <c r="BK208" s="60">
        <f>IF(OR(BE208="",BD208=""),"",BE208-BD208)</f>
        <v/>
      </c>
      <c r="BL208" s="60">
        <f>IF(OR(BF208="",BE208=""),"",BF208-BE208)</f>
        <v/>
      </c>
      <c r="BM208" s="60">
        <f>IF(OR(BG208="",BF208=""),"",BG208-BF208)</f>
        <v/>
      </c>
      <c r="BN208" s="60">
        <f>IF(OR(BH208="",BG208=""),"",BH208-BG208)</f>
        <v/>
      </c>
      <c r="BO208" s="60">
        <f>IF(OR(BI208="",BH208=""),"",BI208-BH208)</f>
        <v/>
      </c>
      <c r="BP208" s="60">
        <f>IF(C208="","",_xlfn.MAXIFS('Saisie'!$AS$5:$AS$2004,'Saisie'!$C$5:$C$2004,C208,'Saisie'!$J$5:$J$2004,"&lt;&gt;"))</f>
        <v/>
      </c>
      <c r="BQ208" s="60">
        <f>IF(C208="","",_xlfn.MAXIFS('Saisie'!$AS$5:$AS$2004,'Saisie'!$C$5:$C$2004,C208))</f>
        <v/>
      </c>
      <c r="BR208" s="60">
        <f>IF(C208="","",_xlfn.MAXIFS('Saisie'!$AS$5:$AS$2004,'Saisie'!$C$5:$C$2004,C208,'Saisie'!$E$5:$E$2004,"Perdu"))</f>
        <v/>
      </c>
      <c r="BS208" s="60">
        <f>IF(C208="","",_xlfn.MAXIFS('Saisie'!$AS$5:$AS$2004,'Saisie'!$C$5:$C$2004,C208,'Saisie'!$AT$5:$AT$2004,"&gt;0"))</f>
        <v/>
      </c>
      <c r="BT208" s="109">
        <f>IF(AND(C208&lt;&gt;"",OR(D208="Nouveau",D208="Contacté",D208="Qualifié"),OR(G208="",N(G208)&lt;=TODAY()),NOT(AND(O208&gt;='Paramètres'!$B$21,P208=0))),E208+204/10000,"")</f>
        <v/>
      </c>
      <c r="BU208" s="60">
        <f>IF(AND(G208&lt;&gt;"",N(G208)&lt;=TODAY()),MAX($BU$4:BU207)+1,"")</f>
        <v/>
      </c>
      <c r="BV208" s="60">
        <f>IF(AND(F208&lt;&gt;"",F208&lt;&gt;"Relance en retard"),MAX($BV$4:BV207)+1,"")</f>
        <v/>
      </c>
      <c r="BW208" s="60">
        <f>IF(C208="","",IF(AND(B208&gt;='Tableau de bord'!$R$4,B208&lt;='Tableau de bord'!$S$4,OR('Tableau de bord'!$G$4="Tous",N208='Tableau de bord'!$G$4)),1,0))</f>
        <v/>
      </c>
      <c r="BX208" s="60">
        <f>IF(AND(C208&lt;&gt;"",N(BA208)=7),MAX($BX$4:BX207)+1,"")</f>
        <v/>
      </c>
    </row>
    <row r="209">
      <c r="A209" s="60">
        <f>IF(C209="","","P-"&amp;TEXT(205,"000"))</f>
        <v/>
      </c>
      <c r="B209" s="106">
        <f>IF(C209="","",IFERROR(1/(1/_xlfn.MINIFS('Saisie'!$A$5:$A$2004,'Saisie'!$C$5:$C$2004,C209)),""))</f>
        <v/>
      </c>
      <c r="C209" s="60">
        <f>IFERROR(INDEX('Saisie'!$C$5:$C$2004,MATCH(205,'Saisie'!$AX$5:$AX$2004,0)),"")</f>
        <v/>
      </c>
      <c r="D209" s="60">
        <f>IF(C209="","",IF(AND(BR209&gt;0,BR209&gt;BS209,BA209&lt;7),"Perdu",INDEX('Paramètres'!$F$6:$F$13,BA209)))</f>
        <v/>
      </c>
      <c r="E209" s="61">
        <f>IF(C209="","",MIN(100,(Z209="Oui")*'Paramètres'!$B$38+(AB209="Régulière")*'Paramètres'!$B$39+IF(AND(N(AA209)&gt;0,TODAY()-N(AA209)&lt;=30),'Paramètres'!$B$40,0)+(W209="")*'Paramètres'!$B$41+(AC209="Absente")*'Paramètres'!$B$42+(AC209="Faible")*'Paramètres'!$B$43+IF(AND(N(AD209)&gt;0,N(AD209)&lt;4),'Paramètres'!$B$44,0)+(AF209="Moyenne")*'Paramètres'!$B$45+(AF209="Grande")*'Paramètres'!$B$46+(Y209&lt;&gt;"")*'Paramètres'!$B$47))</f>
        <v/>
      </c>
      <c r="F209" s="60">
        <f>IF(C209="","",IF(D209="Gagné","",IF(D209="Perdu",IF(AND(AX209&lt;&gt;"",AX209&lt;=TODAY()),"À recontacter (perdu)",""),IF(AND(O209&gt;='Paramètres'!$B$21,P209=0),"Stop : "&amp;'Paramètres'!$B$21&amp;" tentatives sans réponse",IF(AND(D209="Proposition",AR209&lt;&gt;"",TODAY()&gt;N(AR209)),"Proposition expirée",IF(AND(D209="Proposition",N(R209)&gt;='Paramètres'!$B$25),"Proposition sans réponse",IF(AND(G209&lt;&gt;"",N(G209)&lt;TODAY()),"Relance en retard",IF(N(R209)&gt;='Paramètres'!$B$24,"Sans action depuis "&amp;R209&amp;" j",""))))))))</f>
        <v/>
      </c>
      <c r="G209" s="106">
        <f>IF(OR(C209="",D209="Gagné",D209="Perdu"),"",IF(AND(BP209&gt;0,BP209=BQ209),INDEX('Saisie'!$J$5:$J$2004,BP209-4),IF(OR(O209=0,AND(O209&gt;='Paramètres'!$B$21,P209=0)),"",Q209+IF(O209&lt;=1,'Paramètres'!$B$18,IF(O209=2,'Paramètres'!$B$19,'Paramètres'!$B$20)))))</f>
        <v/>
      </c>
      <c r="H209" s="107">
        <f>IF(OR(G209="",BP209&lt;&gt;BQ209),"",IF(INDEX('Saisie'!$K$5:$K$2004,BP209-4)="","",INDEX('Saisie'!$K$5:$K$2004,BP209-4)))</f>
        <v/>
      </c>
      <c r="I209" s="60">
        <f>IF(C209="","",IF(OR(D209="Gagné",D209="Perdu"),"",IFERROR(INDEX('Saisie'!$I$5:$I$2004,_xlfn.MAXIFS('Saisie'!$AS$5:$AS$2004,'Saisie'!$C$5:$C$2004,C209,'Saisie'!$I$5:$I$2004,"&lt;&gt;")-4),"")))</f>
        <v/>
      </c>
      <c r="J209" s="60">
        <f>IF(C209="","",IFERROR(INDEX('Saisie'!$U$5:$U$2004,_xlfn.MAXIFS('Saisie'!$AS$5:$AS$2004,'Saisie'!$C$5:$C$2004,C209,'Saisie'!$U$5:$U$2004,"&lt;&gt;")-4),""))</f>
        <v/>
      </c>
      <c r="K209" s="60">
        <f>IF(C209="","",IFERROR(INDEX('Saisie'!$W$5:$W$2004,_xlfn.MAXIFS('Saisie'!$AS$5:$AS$2004,'Saisie'!$C$5:$C$2004,C209,'Saisie'!$W$5:$W$2004,"&lt;&gt;")-4),""))</f>
        <v/>
      </c>
      <c r="L209" s="60">
        <f>IF(IF(BB209&lt;&gt;"",BB209,K209)="","",HYPERLINK("https://wa.me/"&amp;IF(LEFT(SUBSTITUTE(SUBSTITUTE(SUBSTITUTE(IF(BB209&lt;&gt;"",BB209,K209)," ",""),".",""),"+",""),1)="0",'Paramètres'!$B$35&amp;MID(SUBSTITUTE(SUBSTITUTE(SUBSTITUTE(IF(BB209&lt;&gt;"",BB209,K209)," ",""),".",""),"+",""),2,20),SUBSTITUTE(SUBSTITUTE(SUBSTITUTE(IF(BB209&lt;&gt;"",BB209,K209)," ",""),".",""),"+","")),"WhatsApp"))</f>
        <v/>
      </c>
      <c r="M209" s="60">
        <f>IF(BC209="","",HYPERLINK(IF(LEFT(BC209,4)="http",BC209,"https://www.instagram.com/"&amp;SUBSTITUTE(SUBSTITUTE(BC209,"@","")," ","")),BC209))</f>
        <v/>
      </c>
      <c r="N209" s="60">
        <f>IF(C209="","",IFERROR(INDEX('Saisie'!$D$5:$D$2004,_xlfn.MINIFS('Saisie'!$AS$5:$AS$2004,'Saisie'!$C$5:$C$2004,C209,'Saisie'!$AU$5:$AU$2004,1)-4),IFERROR(INDEX('Saisie'!$D$5:$D$2004,_xlfn.MINIFS('Saisie'!$AS$5:$AS$2004,'Saisie'!$C$5:$C$2004,C209,'Saisie'!$D$5:$D$2004,"&lt;&gt;")-4),"")))</f>
        <v/>
      </c>
      <c r="O209" s="60">
        <f>IF(C209="","",COUNTIFS('Saisie'!$C$5:$C$2004,C209,'Saisie'!$AU$5:$AU$2004,1))</f>
        <v/>
      </c>
      <c r="P209" s="60">
        <f>IF(C209="","",COUNTIFS('Saisie'!$C$5:$C$2004,C209,'Saisie'!$AV$5:$AV$2004,1))</f>
        <v/>
      </c>
      <c r="Q209" s="106">
        <f>IF(C209="","",IFERROR(1/(1/_xlfn.MAXIFS('Saisie'!$A$5:$A$2004,'Saisie'!$C$5:$C$2004,C209)),""))</f>
        <v/>
      </c>
      <c r="R209" s="61">
        <f>IF(C209="","",IF(Q209="","",TODAY()-Q209))</f>
        <v/>
      </c>
      <c r="S209" s="60">
        <f>IF(C209="","",IFERROR(INDEX('Saisie'!$R$5:$R$2004,_xlfn.MAXIFS('Saisie'!$AS$5:$AS$2004,'Saisie'!$C$5:$C$2004,C209,'Saisie'!$R$5:$R$2004,"&lt;&gt;")-4),""))</f>
        <v/>
      </c>
      <c r="T209" s="60">
        <f>IF(C209="","",IFERROR(INDEX('Saisie'!$S$5:$S$2004,_xlfn.MAXIFS('Saisie'!$AS$5:$AS$2004,'Saisie'!$C$5:$C$2004,C209,'Saisie'!$S$5:$S$2004,"&lt;&gt;")-4),""))</f>
        <v/>
      </c>
      <c r="U209" s="60">
        <f>IF(C209="","",IFERROR(INDEX('Saisie'!$T$5:$T$2004,_xlfn.MAXIFS('Saisie'!$AS$5:$AS$2004,'Saisie'!$C$5:$C$2004,C209,'Saisie'!$T$5:$T$2004,"&lt;&gt;")-4),""))</f>
        <v/>
      </c>
      <c r="V209" s="60">
        <f>IF(C209="","",IFERROR(INDEX('Saisie'!$V$5:$V$2004,_xlfn.MAXIFS('Saisie'!$AS$5:$AS$2004,'Saisie'!$C$5:$C$2004,C209,'Saisie'!$V$5:$V$2004,"&lt;&gt;")-4),""))</f>
        <v/>
      </c>
      <c r="W209" s="60">
        <f>IF(C209="","",IFERROR(INDEX('Saisie'!$Z$5:$Z$2004,_xlfn.MAXIFS('Saisie'!$AS$5:$AS$2004,'Saisie'!$C$5:$C$2004,C209,'Saisie'!$Z$5:$Z$2004,"&lt;&gt;")-4),""))</f>
        <v/>
      </c>
      <c r="X209" s="60">
        <f>IF(C209="","",IFERROR(INDEX('Saisie'!$AA$5:$AA$2004,_xlfn.MAXIFS('Saisie'!$AS$5:$AS$2004,'Saisie'!$C$5:$C$2004,C209,'Saisie'!$AA$5:$AA$2004,"&lt;&gt;")-4),""))</f>
        <v/>
      </c>
      <c r="Y209" s="60">
        <f>IF(C209="","",IFERROR(INDEX('Saisie'!$AB$5:$AB$2004,_xlfn.MAXIFS('Saisie'!$AS$5:$AS$2004,'Saisie'!$C$5:$C$2004,C209,'Saisie'!$AB$5:$AB$2004,"&lt;&gt;")-4),""))</f>
        <v/>
      </c>
      <c r="Z209" s="60">
        <f>IF(C209="","",IFERROR(INDEX('Saisie'!$AC$5:$AC$2004,_xlfn.MAXIFS('Saisie'!$AS$5:$AS$2004,'Saisie'!$C$5:$C$2004,C209,'Saisie'!$AC$5:$AC$2004,"&lt;&gt;")-4),""))</f>
        <v/>
      </c>
      <c r="AA209" s="106">
        <f>IF(C209="","",IFERROR(INDEX('Saisie'!$AD$5:$AD$2004,_xlfn.MAXIFS('Saisie'!$AS$5:$AS$2004,'Saisie'!$C$5:$C$2004,C209,'Saisie'!$AD$5:$AD$2004,"&lt;&gt;")-4),""))</f>
        <v/>
      </c>
      <c r="AB209" s="60">
        <f>IF(C209="","",IFERROR(INDEX('Saisie'!$AE$5:$AE$2004,_xlfn.MAXIFS('Saisie'!$AS$5:$AS$2004,'Saisie'!$C$5:$C$2004,C209,'Saisie'!$AE$5:$AE$2004,"&lt;&gt;")-4),""))</f>
        <v/>
      </c>
      <c r="AC209" s="60">
        <f>IF(C209="","",IFERROR(INDEX('Saisie'!$AF$5:$AF$2004,_xlfn.MAXIFS('Saisie'!$AS$5:$AS$2004,'Saisie'!$C$5:$C$2004,C209,'Saisie'!$AF$5:$AF$2004,"&lt;&gt;")-4),""))</f>
        <v/>
      </c>
      <c r="AD209" s="108">
        <f>IF(C209="","",IFERROR(INDEX('Saisie'!$AG$5:$AG$2004,_xlfn.MAXIFS('Saisie'!$AS$5:$AS$2004,'Saisie'!$C$5:$C$2004,C209,'Saisie'!$AG$5:$AG$2004,"&lt;&gt;")-4),""))</f>
        <v/>
      </c>
      <c r="AE209" s="60">
        <f>IF(C209="","",IFERROR(INDEX('Saisie'!$AH$5:$AH$2004,_xlfn.MAXIFS('Saisie'!$AS$5:$AS$2004,'Saisie'!$C$5:$C$2004,C209,'Saisie'!$AH$5:$AH$2004,"&lt;&gt;")-4),""))</f>
        <v/>
      </c>
      <c r="AF209" s="60">
        <f>IF(C209="","",IFERROR(INDEX('Saisie'!$AI$5:$AI$2004,_xlfn.MAXIFS('Saisie'!$AS$5:$AS$2004,'Saisie'!$C$5:$C$2004,C209,'Saisie'!$AI$5:$AI$2004,"&lt;&gt;")-4),""))</f>
        <v/>
      </c>
      <c r="AG209" s="60">
        <f>IF(C209="","",IFERROR(INDEX('Saisie'!$AJ$5:$AJ$2004,_xlfn.MAXIFS('Saisie'!$AS$5:$AS$2004,'Saisie'!$C$5:$C$2004,C209,'Saisie'!$AJ$5:$AJ$2004,"&lt;&gt;")-4),""))</f>
        <v/>
      </c>
      <c r="AH209" s="60">
        <f>IF(C209="","",IFERROR(INDEX('Saisie'!$AK$5:$AK$2004,_xlfn.MAXIFS('Saisie'!$AS$5:$AS$2004,'Saisie'!$C$5:$C$2004,C209,'Saisie'!$AK$5:$AK$2004,"&lt;&gt;")-4),""))</f>
        <v/>
      </c>
      <c r="AI209" s="60">
        <f>IF(C209="","",IFERROR(INDEX('Saisie'!$AN$5:$AN$2004,_xlfn.MAXIFS('Saisie'!$AS$5:$AS$2004,'Saisie'!$C$5:$C$2004,C209,'Saisie'!$AN$5:$AN$2004,"&lt;&gt;")-4),""))</f>
        <v/>
      </c>
      <c r="AJ209" s="60">
        <f>IF(C209="","",IFERROR(INDEX('Saisie'!$AO$5:$AO$2004,_xlfn.MAXIFS('Saisie'!$AS$5:$AS$2004,'Saisie'!$C$5:$C$2004,C209,'Saisie'!$AO$5:$AO$2004,"&lt;&gt;")-4),""))</f>
        <v/>
      </c>
      <c r="AK209" s="60">
        <f>IF(C209="","",IFERROR(INDEX('Saisie'!$AP$5:$AP$2004,_xlfn.MAXIFS('Saisie'!$AS$5:$AS$2004,'Saisie'!$C$5:$C$2004,C209,'Saisie'!$AP$5:$AP$2004,"&lt;&gt;")-4),""))</f>
        <v/>
      </c>
      <c r="AL209" s="60">
        <f>IF(C209="","",IFERROR(INDEX('Saisie'!$AQ$5:$AQ$2004,_xlfn.MAXIFS('Saisie'!$AS$5:$AS$2004,'Saisie'!$C$5:$C$2004,C209,'Saisie'!$AQ$5:$AQ$2004,"&lt;&gt;")-4),""))</f>
        <v/>
      </c>
      <c r="AM209" s="60">
        <f>IF(C209="","",((AI209="Oui")+(AJ209="Oui")+(AK209="Oui")+OR(AL209="Immédiat",AL209="&lt; 1 mois"))&amp;"/4")</f>
        <v/>
      </c>
      <c r="AN209" s="60">
        <f>IF(C209="","",IFERROR(INDEX('Saisie'!$AL$5:$AL$2004,_xlfn.MAXIFS('Saisie'!$AS$5:$AS$2004,'Saisie'!$C$5:$C$2004,C209,'Saisie'!$AL$5:$AL$2004,"&lt;&gt;")-4),""))</f>
        <v/>
      </c>
      <c r="AO209" s="62">
        <f>IF(C209="","",IF(IFERROR(INDEX('Saisie'!$AM$5:$AM$2004,_xlfn.MAXIFS('Saisie'!$AS$5:$AS$2004,'Saisie'!$C$5:$C$2004,C209,'Saisie'!$AM$5:$AM$2004,"&lt;&gt;")-4),"")&lt;&gt;"",IFERROR(INDEX('Saisie'!$AM$5:$AM$2004,_xlfn.MAXIFS('Saisie'!$AS$5:$AS$2004,'Saisie'!$C$5:$C$2004,C209,'Saisie'!$AM$5:$AM$2004,"&lt;&gt;")-4),""),IFERROR(INDEX('Paramètres'!$S$6:$S$15,MATCH(AN209,'Paramètres'!$Q$6:$Q$15,0)),"")))</f>
        <v/>
      </c>
      <c r="AP209" s="62">
        <f>IF(C209="","",IFERROR(INDEX('Saisie'!$AW$5:$AW$2004,_xlfn.MAXIFS('Saisie'!$AS$5:$AS$2004,'Saisie'!$C$5:$C$2004,C209,'Saisie'!$E$5:$E$2004,"Proposition envoyée")-4),""))</f>
        <v/>
      </c>
      <c r="AQ209" s="106">
        <f>IF(C209="","",IFERROR(1/(1/_xlfn.MAXIFS('Saisie'!$A$5:$A$2004,'Saisie'!$C$5:$C$2004,C209,'Saisie'!$E$5:$E$2004,"Proposition envoyée")),""))</f>
        <v/>
      </c>
      <c r="AR209" s="106">
        <f>IF(C209="","",IF(AQ209="","",AQ209+'Paramètres'!$B$26))</f>
        <v/>
      </c>
      <c r="AS209" s="62">
        <f>IF(OR(C209="",D209="Gagné",D209="Perdu"),0,N(AP209)*IFERROR(INDEX('Paramètres'!$G$6:$G$13,MATCH(D209,'Paramètres'!$F$6:$F$13,0)),0))</f>
        <v/>
      </c>
      <c r="AT209" s="106">
        <f>IF(C209="","",IFERROR(1/(1/_xlfn.MINIFS('Saisie'!$A$5:$A$2004,'Saisie'!$C$5:$C$2004,C209,'Saisie'!$E$5:$E$2004,"Signature")),""))</f>
        <v/>
      </c>
      <c r="AU209" s="60">
        <f>IF(C209="","",IF(OR(AT209="",B209=""),"",AT209-B209))</f>
        <v/>
      </c>
      <c r="AV209" s="60">
        <f>IF(C209="","",IFERROR(INDEX('Saisie'!$L$5:$L$2004,_xlfn.MAXIFS('Saisie'!$AS$5:$AS$2004,'Saisie'!$C$5:$C$2004,C209,'Saisie'!$L$5:$L$2004,"&lt;&gt;")-4),""))</f>
        <v/>
      </c>
      <c r="AW209" s="106">
        <f>IF(C209="","",IF(D209&lt;&gt;"Perdu","",IFERROR(1/(1/_xlfn.MAXIFS('Saisie'!$A$5:$A$2004,'Saisie'!$C$5:$C$2004,C209,'Saisie'!$E$5:$E$2004,"Perdu")),"")))</f>
        <v/>
      </c>
      <c r="AX209" s="106">
        <f>IF(C209="","",IF(AW209="","",AW209+'Paramètres'!$B$28))</f>
        <v/>
      </c>
      <c r="AY209" s="60">
        <f>IF(C209="","",SUMIFS('Saisie'!$H$5:$H$2004,'Saisie'!$C$5:$C$2004,C209))</f>
        <v/>
      </c>
      <c r="AZ209" s="60">
        <f>IF(C209="","",IFERROR(INDEX('Paramètres'!$W$6:$W$20,MATCH(S209,'Paramètres'!$V$6:$V$20,0))&amp;"",""))</f>
        <v/>
      </c>
      <c r="BA209" s="60">
        <f>IF(C209="","",MAX(1,_xlfn.MAXIFS('Saisie'!$AT$5:$AT$2004,'Saisie'!$C$5:$C$2004,C209)))</f>
        <v/>
      </c>
      <c r="BB209" s="60">
        <f>IF(C209="","",IFERROR(INDEX('Saisie'!$X$5:$X$2004,_xlfn.MAXIFS('Saisie'!$AS$5:$AS$2004,'Saisie'!$C$5:$C$2004,C209,'Saisie'!$X$5:$X$2004,"&lt;&gt;")-4),""))</f>
        <v/>
      </c>
      <c r="BC209" s="60">
        <f>IF(C209="","",IFERROR(INDEX('Saisie'!$Y$5:$Y$2004,_xlfn.MAXIFS('Saisie'!$AS$5:$AS$2004,'Saisie'!$C$5:$C$2004,C209,'Saisie'!$Y$5:$Y$2004,"&lt;&gt;")-4),""))</f>
        <v/>
      </c>
      <c r="BD209" s="106">
        <f>IF(C209="","",IFERROR(1/(1/_xlfn.MINIFS('Saisie'!$A$5:$A$2004,'Saisie'!$C$5:$C$2004,C209,'Saisie'!$AT$5:$AT$2004,"&gt;=2")),""))</f>
        <v/>
      </c>
      <c r="BE209" s="106">
        <f>IF(C209="","",IFERROR(1/(1/_xlfn.MINIFS('Saisie'!$A$5:$A$2004,'Saisie'!$C$5:$C$2004,C209,'Saisie'!$AT$5:$AT$2004,"&gt;=3")),""))</f>
        <v/>
      </c>
      <c r="BF209" s="106">
        <f>IF(C209="","",IFERROR(1/(1/_xlfn.MINIFS('Saisie'!$A$5:$A$2004,'Saisie'!$C$5:$C$2004,C209,'Saisie'!$AT$5:$AT$2004,"&gt;=4")),""))</f>
        <v/>
      </c>
      <c r="BG209" s="106">
        <f>IF(C209="","",IFERROR(1/(1/_xlfn.MINIFS('Saisie'!$A$5:$A$2004,'Saisie'!$C$5:$C$2004,C209,'Saisie'!$AT$5:$AT$2004,"&gt;=5")),""))</f>
        <v/>
      </c>
      <c r="BH209" s="106">
        <f>IF(C209="","",IFERROR(1/(1/_xlfn.MINIFS('Saisie'!$A$5:$A$2004,'Saisie'!$C$5:$C$2004,C209,'Saisie'!$AT$5:$AT$2004,"&gt;=6")),""))</f>
        <v/>
      </c>
      <c r="BI209" s="106">
        <f>IF(C209="","",IFERROR(1/(1/_xlfn.MINIFS('Saisie'!$A$5:$A$2004,'Saisie'!$C$5:$C$2004,C209,'Saisie'!$AT$5:$AT$2004,"&gt;=7")),""))</f>
        <v/>
      </c>
      <c r="BJ209" s="60">
        <f>IF(OR(BD209="",B209=""),"",BD209-B209)</f>
        <v/>
      </c>
      <c r="BK209" s="60">
        <f>IF(OR(BE209="",BD209=""),"",BE209-BD209)</f>
        <v/>
      </c>
      <c r="BL209" s="60">
        <f>IF(OR(BF209="",BE209=""),"",BF209-BE209)</f>
        <v/>
      </c>
      <c r="BM209" s="60">
        <f>IF(OR(BG209="",BF209=""),"",BG209-BF209)</f>
        <v/>
      </c>
      <c r="BN209" s="60">
        <f>IF(OR(BH209="",BG209=""),"",BH209-BG209)</f>
        <v/>
      </c>
      <c r="BO209" s="60">
        <f>IF(OR(BI209="",BH209=""),"",BI209-BH209)</f>
        <v/>
      </c>
      <c r="BP209" s="60">
        <f>IF(C209="","",_xlfn.MAXIFS('Saisie'!$AS$5:$AS$2004,'Saisie'!$C$5:$C$2004,C209,'Saisie'!$J$5:$J$2004,"&lt;&gt;"))</f>
        <v/>
      </c>
      <c r="BQ209" s="60">
        <f>IF(C209="","",_xlfn.MAXIFS('Saisie'!$AS$5:$AS$2004,'Saisie'!$C$5:$C$2004,C209))</f>
        <v/>
      </c>
      <c r="BR209" s="60">
        <f>IF(C209="","",_xlfn.MAXIFS('Saisie'!$AS$5:$AS$2004,'Saisie'!$C$5:$C$2004,C209,'Saisie'!$E$5:$E$2004,"Perdu"))</f>
        <v/>
      </c>
      <c r="BS209" s="60">
        <f>IF(C209="","",_xlfn.MAXIFS('Saisie'!$AS$5:$AS$2004,'Saisie'!$C$5:$C$2004,C209,'Saisie'!$AT$5:$AT$2004,"&gt;0"))</f>
        <v/>
      </c>
      <c r="BT209" s="109">
        <f>IF(AND(C209&lt;&gt;"",OR(D209="Nouveau",D209="Contacté",D209="Qualifié"),OR(G209="",N(G209)&lt;=TODAY()),NOT(AND(O209&gt;='Paramètres'!$B$21,P209=0))),E209+205/10000,"")</f>
        <v/>
      </c>
      <c r="BU209" s="60">
        <f>IF(AND(G209&lt;&gt;"",N(G209)&lt;=TODAY()),MAX($BU$4:BU208)+1,"")</f>
        <v/>
      </c>
      <c r="BV209" s="60">
        <f>IF(AND(F209&lt;&gt;"",F209&lt;&gt;"Relance en retard"),MAX($BV$4:BV208)+1,"")</f>
        <v/>
      </c>
      <c r="BW209" s="60">
        <f>IF(C209="","",IF(AND(B209&gt;='Tableau de bord'!$R$4,B209&lt;='Tableau de bord'!$S$4,OR('Tableau de bord'!$G$4="Tous",N209='Tableau de bord'!$G$4)),1,0))</f>
        <v/>
      </c>
      <c r="BX209" s="60">
        <f>IF(AND(C209&lt;&gt;"",N(BA209)=7),MAX($BX$4:BX208)+1,"")</f>
        <v/>
      </c>
    </row>
    <row r="210">
      <c r="A210" s="60">
        <f>IF(C210="","","P-"&amp;TEXT(206,"000"))</f>
        <v/>
      </c>
      <c r="B210" s="106">
        <f>IF(C210="","",IFERROR(1/(1/_xlfn.MINIFS('Saisie'!$A$5:$A$2004,'Saisie'!$C$5:$C$2004,C210)),""))</f>
        <v/>
      </c>
      <c r="C210" s="60">
        <f>IFERROR(INDEX('Saisie'!$C$5:$C$2004,MATCH(206,'Saisie'!$AX$5:$AX$2004,0)),"")</f>
        <v/>
      </c>
      <c r="D210" s="60">
        <f>IF(C210="","",IF(AND(BR210&gt;0,BR210&gt;BS210,BA210&lt;7),"Perdu",INDEX('Paramètres'!$F$6:$F$13,BA210)))</f>
        <v/>
      </c>
      <c r="E210" s="61">
        <f>IF(C210="","",MIN(100,(Z210="Oui")*'Paramètres'!$B$38+(AB210="Régulière")*'Paramètres'!$B$39+IF(AND(N(AA210)&gt;0,TODAY()-N(AA210)&lt;=30),'Paramètres'!$B$40,0)+(W210="")*'Paramètres'!$B$41+(AC210="Absente")*'Paramètres'!$B$42+(AC210="Faible")*'Paramètres'!$B$43+IF(AND(N(AD210)&gt;0,N(AD210)&lt;4),'Paramètres'!$B$44,0)+(AF210="Moyenne")*'Paramètres'!$B$45+(AF210="Grande")*'Paramètres'!$B$46+(Y210&lt;&gt;"")*'Paramètres'!$B$47))</f>
        <v/>
      </c>
      <c r="F210" s="60">
        <f>IF(C210="","",IF(D210="Gagné","",IF(D210="Perdu",IF(AND(AX210&lt;&gt;"",AX210&lt;=TODAY()),"À recontacter (perdu)",""),IF(AND(O210&gt;='Paramètres'!$B$21,P210=0),"Stop : "&amp;'Paramètres'!$B$21&amp;" tentatives sans réponse",IF(AND(D210="Proposition",AR210&lt;&gt;"",TODAY()&gt;N(AR210)),"Proposition expirée",IF(AND(D210="Proposition",N(R210)&gt;='Paramètres'!$B$25),"Proposition sans réponse",IF(AND(G210&lt;&gt;"",N(G210)&lt;TODAY()),"Relance en retard",IF(N(R210)&gt;='Paramètres'!$B$24,"Sans action depuis "&amp;R210&amp;" j",""))))))))</f>
        <v/>
      </c>
      <c r="G210" s="106">
        <f>IF(OR(C210="",D210="Gagné",D210="Perdu"),"",IF(AND(BP210&gt;0,BP210=BQ210),INDEX('Saisie'!$J$5:$J$2004,BP210-4),IF(OR(O210=0,AND(O210&gt;='Paramètres'!$B$21,P210=0)),"",Q210+IF(O210&lt;=1,'Paramètres'!$B$18,IF(O210=2,'Paramètres'!$B$19,'Paramètres'!$B$20)))))</f>
        <v/>
      </c>
      <c r="H210" s="107">
        <f>IF(OR(G210="",BP210&lt;&gt;BQ210),"",IF(INDEX('Saisie'!$K$5:$K$2004,BP210-4)="","",INDEX('Saisie'!$K$5:$K$2004,BP210-4)))</f>
        <v/>
      </c>
      <c r="I210" s="60">
        <f>IF(C210="","",IF(OR(D210="Gagné",D210="Perdu"),"",IFERROR(INDEX('Saisie'!$I$5:$I$2004,_xlfn.MAXIFS('Saisie'!$AS$5:$AS$2004,'Saisie'!$C$5:$C$2004,C210,'Saisie'!$I$5:$I$2004,"&lt;&gt;")-4),"")))</f>
        <v/>
      </c>
      <c r="J210" s="60">
        <f>IF(C210="","",IFERROR(INDEX('Saisie'!$U$5:$U$2004,_xlfn.MAXIFS('Saisie'!$AS$5:$AS$2004,'Saisie'!$C$5:$C$2004,C210,'Saisie'!$U$5:$U$2004,"&lt;&gt;")-4),""))</f>
        <v/>
      </c>
      <c r="K210" s="60">
        <f>IF(C210="","",IFERROR(INDEX('Saisie'!$W$5:$W$2004,_xlfn.MAXIFS('Saisie'!$AS$5:$AS$2004,'Saisie'!$C$5:$C$2004,C210,'Saisie'!$W$5:$W$2004,"&lt;&gt;")-4),""))</f>
        <v/>
      </c>
      <c r="L210" s="60">
        <f>IF(IF(BB210&lt;&gt;"",BB210,K210)="","",HYPERLINK("https://wa.me/"&amp;IF(LEFT(SUBSTITUTE(SUBSTITUTE(SUBSTITUTE(IF(BB210&lt;&gt;"",BB210,K210)," ",""),".",""),"+",""),1)="0",'Paramètres'!$B$35&amp;MID(SUBSTITUTE(SUBSTITUTE(SUBSTITUTE(IF(BB210&lt;&gt;"",BB210,K210)," ",""),".",""),"+",""),2,20),SUBSTITUTE(SUBSTITUTE(SUBSTITUTE(IF(BB210&lt;&gt;"",BB210,K210)," ",""),".",""),"+","")),"WhatsApp"))</f>
        <v/>
      </c>
      <c r="M210" s="60">
        <f>IF(BC210="","",HYPERLINK(IF(LEFT(BC210,4)="http",BC210,"https://www.instagram.com/"&amp;SUBSTITUTE(SUBSTITUTE(BC210,"@","")," ","")),BC210))</f>
        <v/>
      </c>
      <c r="N210" s="60">
        <f>IF(C210="","",IFERROR(INDEX('Saisie'!$D$5:$D$2004,_xlfn.MINIFS('Saisie'!$AS$5:$AS$2004,'Saisie'!$C$5:$C$2004,C210,'Saisie'!$AU$5:$AU$2004,1)-4),IFERROR(INDEX('Saisie'!$D$5:$D$2004,_xlfn.MINIFS('Saisie'!$AS$5:$AS$2004,'Saisie'!$C$5:$C$2004,C210,'Saisie'!$D$5:$D$2004,"&lt;&gt;")-4),"")))</f>
        <v/>
      </c>
      <c r="O210" s="60">
        <f>IF(C210="","",COUNTIFS('Saisie'!$C$5:$C$2004,C210,'Saisie'!$AU$5:$AU$2004,1))</f>
        <v/>
      </c>
      <c r="P210" s="60">
        <f>IF(C210="","",COUNTIFS('Saisie'!$C$5:$C$2004,C210,'Saisie'!$AV$5:$AV$2004,1))</f>
        <v/>
      </c>
      <c r="Q210" s="106">
        <f>IF(C210="","",IFERROR(1/(1/_xlfn.MAXIFS('Saisie'!$A$5:$A$2004,'Saisie'!$C$5:$C$2004,C210)),""))</f>
        <v/>
      </c>
      <c r="R210" s="61">
        <f>IF(C210="","",IF(Q210="","",TODAY()-Q210))</f>
        <v/>
      </c>
      <c r="S210" s="60">
        <f>IF(C210="","",IFERROR(INDEX('Saisie'!$R$5:$R$2004,_xlfn.MAXIFS('Saisie'!$AS$5:$AS$2004,'Saisie'!$C$5:$C$2004,C210,'Saisie'!$R$5:$R$2004,"&lt;&gt;")-4),""))</f>
        <v/>
      </c>
      <c r="T210" s="60">
        <f>IF(C210="","",IFERROR(INDEX('Saisie'!$S$5:$S$2004,_xlfn.MAXIFS('Saisie'!$AS$5:$AS$2004,'Saisie'!$C$5:$C$2004,C210,'Saisie'!$S$5:$S$2004,"&lt;&gt;")-4),""))</f>
        <v/>
      </c>
      <c r="U210" s="60">
        <f>IF(C210="","",IFERROR(INDEX('Saisie'!$T$5:$T$2004,_xlfn.MAXIFS('Saisie'!$AS$5:$AS$2004,'Saisie'!$C$5:$C$2004,C210,'Saisie'!$T$5:$T$2004,"&lt;&gt;")-4),""))</f>
        <v/>
      </c>
      <c r="V210" s="60">
        <f>IF(C210="","",IFERROR(INDEX('Saisie'!$V$5:$V$2004,_xlfn.MAXIFS('Saisie'!$AS$5:$AS$2004,'Saisie'!$C$5:$C$2004,C210,'Saisie'!$V$5:$V$2004,"&lt;&gt;")-4),""))</f>
        <v/>
      </c>
      <c r="W210" s="60">
        <f>IF(C210="","",IFERROR(INDEX('Saisie'!$Z$5:$Z$2004,_xlfn.MAXIFS('Saisie'!$AS$5:$AS$2004,'Saisie'!$C$5:$C$2004,C210,'Saisie'!$Z$5:$Z$2004,"&lt;&gt;")-4),""))</f>
        <v/>
      </c>
      <c r="X210" s="60">
        <f>IF(C210="","",IFERROR(INDEX('Saisie'!$AA$5:$AA$2004,_xlfn.MAXIFS('Saisie'!$AS$5:$AS$2004,'Saisie'!$C$5:$C$2004,C210,'Saisie'!$AA$5:$AA$2004,"&lt;&gt;")-4),""))</f>
        <v/>
      </c>
      <c r="Y210" s="60">
        <f>IF(C210="","",IFERROR(INDEX('Saisie'!$AB$5:$AB$2004,_xlfn.MAXIFS('Saisie'!$AS$5:$AS$2004,'Saisie'!$C$5:$C$2004,C210,'Saisie'!$AB$5:$AB$2004,"&lt;&gt;")-4),""))</f>
        <v/>
      </c>
      <c r="Z210" s="60">
        <f>IF(C210="","",IFERROR(INDEX('Saisie'!$AC$5:$AC$2004,_xlfn.MAXIFS('Saisie'!$AS$5:$AS$2004,'Saisie'!$C$5:$C$2004,C210,'Saisie'!$AC$5:$AC$2004,"&lt;&gt;")-4),""))</f>
        <v/>
      </c>
      <c r="AA210" s="106">
        <f>IF(C210="","",IFERROR(INDEX('Saisie'!$AD$5:$AD$2004,_xlfn.MAXIFS('Saisie'!$AS$5:$AS$2004,'Saisie'!$C$5:$C$2004,C210,'Saisie'!$AD$5:$AD$2004,"&lt;&gt;")-4),""))</f>
        <v/>
      </c>
      <c r="AB210" s="60">
        <f>IF(C210="","",IFERROR(INDEX('Saisie'!$AE$5:$AE$2004,_xlfn.MAXIFS('Saisie'!$AS$5:$AS$2004,'Saisie'!$C$5:$C$2004,C210,'Saisie'!$AE$5:$AE$2004,"&lt;&gt;")-4),""))</f>
        <v/>
      </c>
      <c r="AC210" s="60">
        <f>IF(C210="","",IFERROR(INDEX('Saisie'!$AF$5:$AF$2004,_xlfn.MAXIFS('Saisie'!$AS$5:$AS$2004,'Saisie'!$C$5:$C$2004,C210,'Saisie'!$AF$5:$AF$2004,"&lt;&gt;")-4),""))</f>
        <v/>
      </c>
      <c r="AD210" s="108">
        <f>IF(C210="","",IFERROR(INDEX('Saisie'!$AG$5:$AG$2004,_xlfn.MAXIFS('Saisie'!$AS$5:$AS$2004,'Saisie'!$C$5:$C$2004,C210,'Saisie'!$AG$5:$AG$2004,"&lt;&gt;")-4),""))</f>
        <v/>
      </c>
      <c r="AE210" s="60">
        <f>IF(C210="","",IFERROR(INDEX('Saisie'!$AH$5:$AH$2004,_xlfn.MAXIFS('Saisie'!$AS$5:$AS$2004,'Saisie'!$C$5:$C$2004,C210,'Saisie'!$AH$5:$AH$2004,"&lt;&gt;")-4),""))</f>
        <v/>
      </c>
      <c r="AF210" s="60">
        <f>IF(C210="","",IFERROR(INDEX('Saisie'!$AI$5:$AI$2004,_xlfn.MAXIFS('Saisie'!$AS$5:$AS$2004,'Saisie'!$C$5:$C$2004,C210,'Saisie'!$AI$5:$AI$2004,"&lt;&gt;")-4),""))</f>
        <v/>
      </c>
      <c r="AG210" s="60">
        <f>IF(C210="","",IFERROR(INDEX('Saisie'!$AJ$5:$AJ$2004,_xlfn.MAXIFS('Saisie'!$AS$5:$AS$2004,'Saisie'!$C$5:$C$2004,C210,'Saisie'!$AJ$5:$AJ$2004,"&lt;&gt;")-4),""))</f>
        <v/>
      </c>
      <c r="AH210" s="60">
        <f>IF(C210="","",IFERROR(INDEX('Saisie'!$AK$5:$AK$2004,_xlfn.MAXIFS('Saisie'!$AS$5:$AS$2004,'Saisie'!$C$5:$C$2004,C210,'Saisie'!$AK$5:$AK$2004,"&lt;&gt;")-4),""))</f>
        <v/>
      </c>
      <c r="AI210" s="60">
        <f>IF(C210="","",IFERROR(INDEX('Saisie'!$AN$5:$AN$2004,_xlfn.MAXIFS('Saisie'!$AS$5:$AS$2004,'Saisie'!$C$5:$C$2004,C210,'Saisie'!$AN$5:$AN$2004,"&lt;&gt;")-4),""))</f>
        <v/>
      </c>
      <c r="AJ210" s="60">
        <f>IF(C210="","",IFERROR(INDEX('Saisie'!$AO$5:$AO$2004,_xlfn.MAXIFS('Saisie'!$AS$5:$AS$2004,'Saisie'!$C$5:$C$2004,C210,'Saisie'!$AO$5:$AO$2004,"&lt;&gt;")-4),""))</f>
        <v/>
      </c>
      <c r="AK210" s="60">
        <f>IF(C210="","",IFERROR(INDEX('Saisie'!$AP$5:$AP$2004,_xlfn.MAXIFS('Saisie'!$AS$5:$AS$2004,'Saisie'!$C$5:$C$2004,C210,'Saisie'!$AP$5:$AP$2004,"&lt;&gt;")-4),""))</f>
        <v/>
      </c>
      <c r="AL210" s="60">
        <f>IF(C210="","",IFERROR(INDEX('Saisie'!$AQ$5:$AQ$2004,_xlfn.MAXIFS('Saisie'!$AS$5:$AS$2004,'Saisie'!$C$5:$C$2004,C210,'Saisie'!$AQ$5:$AQ$2004,"&lt;&gt;")-4),""))</f>
        <v/>
      </c>
      <c r="AM210" s="60">
        <f>IF(C210="","",((AI210="Oui")+(AJ210="Oui")+(AK210="Oui")+OR(AL210="Immédiat",AL210="&lt; 1 mois"))&amp;"/4")</f>
        <v/>
      </c>
      <c r="AN210" s="60">
        <f>IF(C210="","",IFERROR(INDEX('Saisie'!$AL$5:$AL$2004,_xlfn.MAXIFS('Saisie'!$AS$5:$AS$2004,'Saisie'!$C$5:$C$2004,C210,'Saisie'!$AL$5:$AL$2004,"&lt;&gt;")-4),""))</f>
        <v/>
      </c>
      <c r="AO210" s="62">
        <f>IF(C210="","",IF(IFERROR(INDEX('Saisie'!$AM$5:$AM$2004,_xlfn.MAXIFS('Saisie'!$AS$5:$AS$2004,'Saisie'!$C$5:$C$2004,C210,'Saisie'!$AM$5:$AM$2004,"&lt;&gt;")-4),"")&lt;&gt;"",IFERROR(INDEX('Saisie'!$AM$5:$AM$2004,_xlfn.MAXIFS('Saisie'!$AS$5:$AS$2004,'Saisie'!$C$5:$C$2004,C210,'Saisie'!$AM$5:$AM$2004,"&lt;&gt;")-4),""),IFERROR(INDEX('Paramètres'!$S$6:$S$15,MATCH(AN210,'Paramètres'!$Q$6:$Q$15,0)),"")))</f>
        <v/>
      </c>
      <c r="AP210" s="62">
        <f>IF(C210="","",IFERROR(INDEX('Saisie'!$AW$5:$AW$2004,_xlfn.MAXIFS('Saisie'!$AS$5:$AS$2004,'Saisie'!$C$5:$C$2004,C210,'Saisie'!$E$5:$E$2004,"Proposition envoyée")-4),""))</f>
        <v/>
      </c>
      <c r="AQ210" s="106">
        <f>IF(C210="","",IFERROR(1/(1/_xlfn.MAXIFS('Saisie'!$A$5:$A$2004,'Saisie'!$C$5:$C$2004,C210,'Saisie'!$E$5:$E$2004,"Proposition envoyée")),""))</f>
        <v/>
      </c>
      <c r="AR210" s="106">
        <f>IF(C210="","",IF(AQ210="","",AQ210+'Paramètres'!$B$26))</f>
        <v/>
      </c>
      <c r="AS210" s="62">
        <f>IF(OR(C210="",D210="Gagné",D210="Perdu"),0,N(AP210)*IFERROR(INDEX('Paramètres'!$G$6:$G$13,MATCH(D210,'Paramètres'!$F$6:$F$13,0)),0))</f>
        <v/>
      </c>
      <c r="AT210" s="106">
        <f>IF(C210="","",IFERROR(1/(1/_xlfn.MINIFS('Saisie'!$A$5:$A$2004,'Saisie'!$C$5:$C$2004,C210,'Saisie'!$E$5:$E$2004,"Signature")),""))</f>
        <v/>
      </c>
      <c r="AU210" s="60">
        <f>IF(C210="","",IF(OR(AT210="",B210=""),"",AT210-B210))</f>
        <v/>
      </c>
      <c r="AV210" s="60">
        <f>IF(C210="","",IFERROR(INDEX('Saisie'!$L$5:$L$2004,_xlfn.MAXIFS('Saisie'!$AS$5:$AS$2004,'Saisie'!$C$5:$C$2004,C210,'Saisie'!$L$5:$L$2004,"&lt;&gt;")-4),""))</f>
        <v/>
      </c>
      <c r="AW210" s="106">
        <f>IF(C210="","",IF(D210&lt;&gt;"Perdu","",IFERROR(1/(1/_xlfn.MAXIFS('Saisie'!$A$5:$A$2004,'Saisie'!$C$5:$C$2004,C210,'Saisie'!$E$5:$E$2004,"Perdu")),"")))</f>
        <v/>
      </c>
      <c r="AX210" s="106">
        <f>IF(C210="","",IF(AW210="","",AW210+'Paramètres'!$B$28))</f>
        <v/>
      </c>
      <c r="AY210" s="60">
        <f>IF(C210="","",SUMIFS('Saisie'!$H$5:$H$2004,'Saisie'!$C$5:$C$2004,C210))</f>
        <v/>
      </c>
      <c r="AZ210" s="60">
        <f>IF(C210="","",IFERROR(INDEX('Paramètres'!$W$6:$W$20,MATCH(S210,'Paramètres'!$V$6:$V$20,0))&amp;"",""))</f>
        <v/>
      </c>
      <c r="BA210" s="60">
        <f>IF(C210="","",MAX(1,_xlfn.MAXIFS('Saisie'!$AT$5:$AT$2004,'Saisie'!$C$5:$C$2004,C210)))</f>
        <v/>
      </c>
      <c r="BB210" s="60">
        <f>IF(C210="","",IFERROR(INDEX('Saisie'!$X$5:$X$2004,_xlfn.MAXIFS('Saisie'!$AS$5:$AS$2004,'Saisie'!$C$5:$C$2004,C210,'Saisie'!$X$5:$X$2004,"&lt;&gt;")-4),""))</f>
        <v/>
      </c>
      <c r="BC210" s="60">
        <f>IF(C210="","",IFERROR(INDEX('Saisie'!$Y$5:$Y$2004,_xlfn.MAXIFS('Saisie'!$AS$5:$AS$2004,'Saisie'!$C$5:$C$2004,C210,'Saisie'!$Y$5:$Y$2004,"&lt;&gt;")-4),""))</f>
        <v/>
      </c>
      <c r="BD210" s="106">
        <f>IF(C210="","",IFERROR(1/(1/_xlfn.MINIFS('Saisie'!$A$5:$A$2004,'Saisie'!$C$5:$C$2004,C210,'Saisie'!$AT$5:$AT$2004,"&gt;=2")),""))</f>
        <v/>
      </c>
      <c r="BE210" s="106">
        <f>IF(C210="","",IFERROR(1/(1/_xlfn.MINIFS('Saisie'!$A$5:$A$2004,'Saisie'!$C$5:$C$2004,C210,'Saisie'!$AT$5:$AT$2004,"&gt;=3")),""))</f>
        <v/>
      </c>
      <c r="BF210" s="106">
        <f>IF(C210="","",IFERROR(1/(1/_xlfn.MINIFS('Saisie'!$A$5:$A$2004,'Saisie'!$C$5:$C$2004,C210,'Saisie'!$AT$5:$AT$2004,"&gt;=4")),""))</f>
        <v/>
      </c>
      <c r="BG210" s="106">
        <f>IF(C210="","",IFERROR(1/(1/_xlfn.MINIFS('Saisie'!$A$5:$A$2004,'Saisie'!$C$5:$C$2004,C210,'Saisie'!$AT$5:$AT$2004,"&gt;=5")),""))</f>
        <v/>
      </c>
      <c r="BH210" s="106">
        <f>IF(C210="","",IFERROR(1/(1/_xlfn.MINIFS('Saisie'!$A$5:$A$2004,'Saisie'!$C$5:$C$2004,C210,'Saisie'!$AT$5:$AT$2004,"&gt;=6")),""))</f>
        <v/>
      </c>
      <c r="BI210" s="106">
        <f>IF(C210="","",IFERROR(1/(1/_xlfn.MINIFS('Saisie'!$A$5:$A$2004,'Saisie'!$C$5:$C$2004,C210,'Saisie'!$AT$5:$AT$2004,"&gt;=7")),""))</f>
        <v/>
      </c>
      <c r="BJ210" s="60">
        <f>IF(OR(BD210="",B210=""),"",BD210-B210)</f>
        <v/>
      </c>
      <c r="BK210" s="60">
        <f>IF(OR(BE210="",BD210=""),"",BE210-BD210)</f>
        <v/>
      </c>
      <c r="BL210" s="60">
        <f>IF(OR(BF210="",BE210=""),"",BF210-BE210)</f>
        <v/>
      </c>
      <c r="BM210" s="60">
        <f>IF(OR(BG210="",BF210=""),"",BG210-BF210)</f>
        <v/>
      </c>
      <c r="BN210" s="60">
        <f>IF(OR(BH210="",BG210=""),"",BH210-BG210)</f>
        <v/>
      </c>
      <c r="BO210" s="60">
        <f>IF(OR(BI210="",BH210=""),"",BI210-BH210)</f>
        <v/>
      </c>
      <c r="BP210" s="60">
        <f>IF(C210="","",_xlfn.MAXIFS('Saisie'!$AS$5:$AS$2004,'Saisie'!$C$5:$C$2004,C210,'Saisie'!$J$5:$J$2004,"&lt;&gt;"))</f>
        <v/>
      </c>
      <c r="BQ210" s="60">
        <f>IF(C210="","",_xlfn.MAXIFS('Saisie'!$AS$5:$AS$2004,'Saisie'!$C$5:$C$2004,C210))</f>
        <v/>
      </c>
      <c r="BR210" s="60">
        <f>IF(C210="","",_xlfn.MAXIFS('Saisie'!$AS$5:$AS$2004,'Saisie'!$C$5:$C$2004,C210,'Saisie'!$E$5:$E$2004,"Perdu"))</f>
        <v/>
      </c>
      <c r="BS210" s="60">
        <f>IF(C210="","",_xlfn.MAXIFS('Saisie'!$AS$5:$AS$2004,'Saisie'!$C$5:$C$2004,C210,'Saisie'!$AT$5:$AT$2004,"&gt;0"))</f>
        <v/>
      </c>
      <c r="BT210" s="109">
        <f>IF(AND(C210&lt;&gt;"",OR(D210="Nouveau",D210="Contacté",D210="Qualifié"),OR(G210="",N(G210)&lt;=TODAY()),NOT(AND(O210&gt;='Paramètres'!$B$21,P210=0))),E210+206/10000,"")</f>
        <v/>
      </c>
      <c r="BU210" s="60">
        <f>IF(AND(G210&lt;&gt;"",N(G210)&lt;=TODAY()),MAX($BU$4:BU209)+1,"")</f>
        <v/>
      </c>
      <c r="BV210" s="60">
        <f>IF(AND(F210&lt;&gt;"",F210&lt;&gt;"Relance en retard"),MAX($BV$4:BV209)+1,"")</f>
        <v/>
      </c>
      <c r="BW210" s="60">
        <f>IF(C210="","",IF(AND(B210&gt;='Tableau de bord'!$R$4,B210&lt;='Tableau de bord'!$S$4,OR('Tableau de bord'!$G$4="Tous",N210='Tableau de bord'!$G$4)),1,0))</f>
        <v/>
      </c>
      <c r="BX210" s="60">
        <f>IF(AND(C210&lt;&gt;"",N(BA210)=7),MAX($BX$4:BX209)+1,"")</f>
        <v/>
      </c>
    </row>
    <row r="211">
      <c r="A211" s="60">
        <f>IF(C211="","","P-"&amp;TEXT(207,"000"))</f>
        <v/>
      </c>
      <c r="B211" s="106">
        <f>IF(C211="","",IFERROR(1/(1/_xlfn.MINIFS('Saisie'!$A$5:$A$2004,'Saisie'!$C$5:$C$2004,C211)),""))</f>
        <v/>
      </c>
      <c r="C211" s="60">
        <f>IFERROR(INDEX('Saisie'!$C$5:$C$2004,MATCH(207,'Saisie'!$AX$5:$AX$2004,0)),"")</f>
        <v/>
      </c>
      <c r="D211" s="60">
        <f>IF(C211="","",IF(AND(BR211&gt;0,BR211&gt;BS211,BA211&lt;7),"Perdu",INDEX('Paramètres'!$F$6:$F$13,BA211)))</f>
        <v/>
      </c>
      <c r="E211" s="61">
        <f>IF(C211="","",MIN(100,(Z211="Oui")*'Paramètres'!$B$38+(AB211="Régulière")*'Paramètres'!$B$39+IF(AND(N(AA211)&gt;0,TODAY()-N(AA211)&lt;=30),'Paramètres'!$B$40,0)+(W211="")*'Paramètres'!$B$41+(AC211="Absente")*'Paramètres'!$B$42+(AC211="Faible")*'Paramètres'!$B$43+IF(AND(N(AD211)&gt;0,N(AD211)&lt;4),'Paramètres'!$B$44,0)+(AF211="Moyenne")*'Paramètres'!$B$45+(AF211="Grande")*'Paramètres'!$B$46+(Y211&lt;&gt;"")*'Paramètres'!$B$47))</f>
        <v/>
      </c>
      <c r="F211" s="60">
        <f>IF(C211="","",IF(D211="Gagné","",IF(D211="Perdu",IF(AND(AX211&lt;&gt;"",AX211&lt;=TODAY()),"À recontacter (perdu)",""),IF(AND(O211&gt;='Paramètres'!$B$21,P211=0),"Stop : "&amp;'Paramètres'!$B$21&amp;" tentatives sans réponse",IF(AND(D211="Proposition",AR211&lt;&gt;"",TODAY()&gt;N(AR211)),"Proposition expirée",IF(AND(D211="Proposition",N(R211)&gt;='Paramètres'!$B$25),"Proposition sans réponse",IF(AND(G211&lt;&gt;"",N(G211)&lt;TODAY()),"Relance en retard",IF(N(R211)&gt;='Paramètres'!$B$24,"Sans action depuis "&amp;R211&amp;" j",""))))))))</f>
        <v/>
      </c>
      <c r="G211" s="106">
        <f>IF(OR(C211="",D211="Gagné",D211="Perdu"),"",IF(AND(BP211&gt;0,BP211=BQ211),INDEX('Saisie'!$J$5:$J$2004,BP211-4),IF(OR(O211=0,AND(O211&gt;='Paramètres'!$B$21,P211=0)),"",Q211+IF(O211&lt;=1,'Paramètres'!$B$18,IF(O211=2,'Paramètres'!$B$19,'Paramètres'!$B$20)))))</f>
        <v/>
      </c>
      <c r="H211" s="107">
        <f>IF(OR(G211="",BP211&lt;&gt;BQ211),"",IF(INDEX('Saisie'!$K$5:$K$2004,BP211-4)="","",INDEX('Saisie'!$K$5:$K$2004,BP211-4)))</f>
        <v/>
      </c>
      <c r="I211" s="60">
        <f>IF(C211="","",IF(OR(D211="Gagné",D211="Perdu"),"",IFERROR(INDEX('Saisie'!$I$5:$I$2004,_xlfn.MAXIFS('Saisie'!$AS$5:$AS$2004,'Saisie'!$C$5:$C$2004,C211,'Saisie'!$I$5:$I$2004,"&lt;&gt;")-4),"")))</f>
        <v/>
      </c>
      <c r="J211" s="60">
        <f>IF(C211="","",IFERROR(INDEX('Saisie'!$U$5:$U$2004,_xlfn.MAXIFS('Saisie'!$AS$5:$AS$2004,'Saisie'!$C$5:$C$2004,C211,'Saisie'!$U$5:$U$2004,"&lt;&gt;")-4),""))</f>
        <v/>
      </c>
      <c r="K211" s="60">
        <f>IF(C211="","",IFERROR(INDEX('Saisie'!$W$5:$W$2004,_xlfn.MAXIFS('Saisie'!$AS$5:$AS$2004,'Saisie'!$C$5:$C$2004,C211,'Saisie'!$W$5:$W$2004,"&lt;&gt;")-4),""))</f>
        <v/>
      </c>
      <c r="L211" s="60">
        <f>IF(IF(BB211&lt;&gt;"",BB211,K211)="","",HYPERLINK("https://wa.me/"&amp;IF(LEFT(SUBSTITUTE(SUBSTITUTE(SUBSTITUTE(IF(BB211&lt;&gt;"",BB211,K211)," ",""),".",""),"+",""),1)="0",'Paramètres'!$B$35&amp;MID(SUBSTITUTE(SUBSTITUTE(SUBSTITUTE(IF(BB211&lt;&gt;"",BB211,K211)," ",""),".",""),"+",""),2,20),SUBSTITUTE(SUBSTITUTE(SUBSTITUTE(IF(BB211&lt;&gt;"",BB211,K211)," ",""),".",""),"+","")),"WhatsApp"))</f>
        <v/>
      </c>
      <c r="M211" s="60">
        <f>IF(BC211="","",HYPERLINK(IF(LEFT(BC211,4)="http",BC211,"https://www.instagram.com/"&amp;SUBSTITUTE(SUBSTITUTE(BC211,"@","")," ","")),BC211))</f>
        <v/>
      </c>
      <c r="N211" s="60">
        <f>IF(C211="","",IFERROR(INDEX('Saisie'!$D$5:$D$2004,_xlfn.MINIFS('Saisie'!$AS$5:$AS$2004,'Saisie'!$C$5:$C$2004,C211,'Saisie'!$AU$5:$AU$2004,1)-4),IFERROR(INDEX('Saisie'!$D$5:$D$2004,_xlfn.MINIFS('Saisie'!$AS$5:$AS$2004,'Saisie'!$C$5:$C$2004,C211,'Saisie'!$D$5:$D$2004,"&lt;&gt;")-4),"")))</f>
        <v/>
      </c>
      <c r="O211" s="60">
        <f>IF(C211="","",COUNTIFS('Saisie'!$C$5:$C$2004,C211,'Saisie'!$AU$5:$AU$2004,1))</f>
        <v/>
      </c>
      <c r="P211" s="60">
        <f>IF(C211="","",COUNTIFS('Saisie'!$C$5:$C$2004,C211,'Saisie'!$AV$5:$AV$2004,1))</f>
        <v/>
      </c>
      <c r="Q211" s="106">
        <f>IF(C211="","",IFERROR(1/(1/_xlfn.MAXIFS('Saisie'!$A$5:$A$2004,'Saisie'!$C$5:$C$2004,C211)),""))</f>
        <v/>
      </c>
      <c r="R211" s="61">
        <f>IF(C211="","",IF(Q211="","",TODAY()-Q211))</f>
        <v/>
      </c>
      <c r="S211" s="60">
        <f>IF(C211="","",IFERROR(INDEX('Saisie'!$R$5:$R$2004,_xlfn.MAXIFS('Saisie'!$AS$5:$AS$2004,'Saisie'!$C$5:$C$2004,C211,'Saisie'!$R$5:$R$2004,"&lt;&gt;")-4),""))</f>
        <v/>
      </c>
      <c r="T211" s="60">
        <f>IF(C211="","",IFERROR(INDEX('Saisie'!$S$5:$S$2004,_xlfn.MAXIFS('Saisie'!$AS$5:$AS$2004,'Saisie'!$C$5:$C$2004,C211,'Saisie'!$S$5:$S$2004,"&lt;&gt;")-4),""))</f>
        <v/>
      </c>
      <c r="U211" s="60">
        <f>IF(C211="","",IFERROR(INDEX('Saisie'!$T$5:$T$2004,_xlfn.MAXIFS('Saisie'!$AS$5:$AS$2004,'Saisie'!$C$5:$C$2004,C211,'Saisie'!$T$5:$T$2004,"&lt;&gt;")-4),""))</f>
        <v/>
      </c>
      <c r="V211" s="60">
        <f>IF(C211="","",IFERROR(INDEX('Saisie'!$V$5:$V$2004,_xlfn.MAXIFS('Saisie'!$AS$5:$AS$2004,'Saisie'!$C$5:$C$2004,C211,'Saisie'!$V$5:$V$2004,"&lt;&gt;")-4),""))</f>
        <v/>
      </c>
      <c r="W211" s="60">
        <f>IF(C211="","",IFERROR(INDEX('Saisie'!$Z$5:$Z$2004,_xlfn.MAXIFS('Saisie'!$AS$5:$AS$2004,'Saisie'!$C$5:$C$2004,C211,'Saisie'!$Z$5:$Z$2004,"&lt;&gt;")-4),""))</f>
        <v/>
      </c>
      <c r="X211" s="60">
        <f>IF(C211="","",IFERROR(INDEX('Saisie'!$AA$5:$AA$2004,_xlfn.MAXIFS('Saisie'!$AS$5:$AS$2004,'Saisie'!$C$5:$C$2004,C211,'Saisie'!$AA$5:$AA$2004,"&lt;&gt;")-4),""))</f>
        <v/>
      </c>
      <c r="Y211" s="60">
        <f>IF(C211="","",IFERROR(INDEX('Saisie'!$AB$5:$AB$2004,_xlfn.MAXIFS('Saisie'!$AS$5:$AS$2004,'Saisie'!$C$5:$C$2004,C211,'Saisie'!$AB$5:$AB$2004,"&lt;&gt;")-4),""))</f>
        <v/>
      </c>
      <c r="Z211" s="60">
        <f>IF(C211="","",IFERROR(INDEX('Saisie'!$AC$5:$AC$2004,_xlfn.MAXIFS('Saisie'!$AS$5:$AS$2004,'Saisie'!$C$5:$C$2004,C211,'Saisie'!$AC$5:$AC$2004,"&lt;&gt;")-4),""))</f>
        <v/>
      </c>
      <c r="AA211" s="106">
        <f>IF(C211="","",IFERROR(INDEX('Saisie'!$AD$5:$AD$2004,_xlfn.MAXIFS('Saisie'!$AS$5:$AS$2004,'Saisie'!$C$5:$C$2004,C211,'Saisie'!$AD$5:$AD$2004,"&lt;&gt;")-4),""))</f>
        <v/>
      </c>
      <c r="AB211" s="60">
        <f>IF(C211="","",IFERROR(INDEX('Saisie'!$AE$5:$AE$2004,_xlfn.MAXIFS('Saisie'!$AS$5:$AS$2004,'Saisie'!$C$5:$C$2004,C211,'Saisie'!$AE$5:$AE$2004,"&lt;&gt;")-4),""))</f>
        <v/>
      </c>
      <c r="AC211" s="60">
        <f>IF(C211="","",IFERROR(INDEX('Saisie'!$AF$5:$AF$2004,_xlfn.MAXIFS('Saisie'!$AS$5:$AS$2004,'Saisie'!$C$5:$C$2004,C211,'Saisie'!$AF$5:$AF$2004,"&lt;&gt;")-4),""))</f>
        <v/>
      </c>
      <c r="AD211" s="108">
        <f>IF(C211="","",IFERROR(INDEX('Saisie'!$AG$5:$AG$2004,_xlfn.MAXIFS('Saisie'!$AS$5:$AS$2004,'Saisie'!$C$5:$C$2004,C211,'Saisie'!$AG$5:$AG$2004,"&lt;&gt;")-4),""))</f>
        <v/>
      </c>
      <c r="AE211" s="60">
        <f>IF(C211="","",IFERROR(INDEX('Saisie'!$AH$5:$AH$2004,_xlfn.MAXIFS('Saisie'!$AS$5:$AS$2004,'Saisie'!$C$5:$C$2004,C211,'Saisie'!$AH$5:$AH$2004,"&lt;&gt;")-4),""))</f>
        <v/>
      </c>
      <c r="AF211" s="60">
        <f>IF(C211="","",IFERROR(INDEX('Saisie'!$AI$5:$AI$2004,_xlfn.MAXIFS('Saisie'!$AS$5:$AS$2004,'Saisie'!$C$5:$C$2004,C211,'Saisie'!$AI$5:$AI$2004,"&lt;&gt;")-4),""))</f>
        <v/>
      </c>
      <c r="AG211" s="60">
        <f>IF(C211="","",IFERROR(INDEX('Saisie'!$AJ$5:$AJ$2004,_xlfn.MAXIFS('Saisie'!$AS$5:$AS$2004,'Saisie'!$C$5:$C$2004,C211,'Saisie'!$AJ$5:$AJ$2004,"&lt;&gt;")-4),""))</f>
        <v/>
      </c>
      <c r="AH211" s="60">
        <f>IF(C211="","",IFERROR(INDEX('Saisie'!$AK$5:$AK$2004,_xlfn.MAXIFS('Saisie'!$AS$5:$AS$2004,'Saisie'!$C$5:$C$2004,C211,'Saisie'!$AK$5:$AK$2004,"&lt;&gt;")-4),""))</f>
        <v/>
      </c>
      <c r="AI211" s="60">
        <f>IF(C211="","",IFERROR(INDEX('Saisie'!$AN$5:$AN$2004,_xlfn.MAXIFS('Saisie'!$AS$5:$AS$2004,'Saisie'!$C$5:$C$2004,C211,'Saisie'!$AN$5:$AN$2004,"&lt;&gt;")-4),""))</f>
        <v/>
      </c>
      <c r="AJ211" s="60">
        <f>IF(C211="","",IFERROR(INDEX('Saisie'!$AO$5:$AO$2004,_xlfn.MAXIFS('Saisie'!$AS$5:$AS$2004,'Saisie'!$C$5:$C$2004,C211,'Saisie'!$AO$5:$AO$2004,"&lt;&gt;")-4),""))</f>
        <v/>
      </c>
      <c r="AK211" s="60">
        <f>IF(C211="","",IFERROR(INDEX('Saisie'!$AP$5:$AP$2004,_xlfn.MAXIFS('Saisie'!$AS$5:$AS$2004,'Saisie'!$C$5:$C$2004,C211,'Saisie'!$AP$5:$AP$2004,"&lt;&gt;")-4),""))</f>
        <v/>
      </c>
      <c r="AL211" s="60">
        <f>IF(C211="","",IFERROR(INDEX('Saisie'!$AQ$5:$AQ$2004,_xlfn.MAXIFS('Saisie'!$AS$5:$AS$2004,'Saisie'!$C$5:$C$2004,C211,'Saisie'!$AQ$5:$AQ$2004,"&lt;&gt;")-4),""))</f>
        <v/>
      </c>
      <c r="AM211" s="60">
        <f>IF(C211="","",((AI211="Oui")+(AJ211="Oui")+(AK211="Oui")+OR(AL211="Immédiat",AL211="&lt; 1 mois"))&amp;"/4")</f>
        <v/>
      </c>
      <c r="AN211" s="60">
        <f>IF(C211="","",IFERROR(INDEX('Saisie'!$AL$5:$AL$2004,_xlfn.MAXIFS('Saisie'!$AS$5:$AS$2004,'Saisie'!$C$5:$C$2004,C211,'Saisie'!$AL$5:$AL$2004,"&lt;&gt;")-4),""))</f>
        <v/>
      </c>
      <c r="AO211" s="62">
        <f>IF(C211="","",IF(IFERROR(INDEX('Saisie'!$AM$5:$AM$2004,_xlfn.MAXIFS('Saisie'!$AS$5:$AS$2004,'Saisie'!$C$5:$C$2004,C211,'Saisie'!$AM$5:$AM$2004,"&lt;&gt;")-4),"")&lt;&gt;"",IFERROR(INDEX('Saisie'!$AM$5:$AM$2004,_xlfn.MAXIFS('Saisie'!$AS$5:$AS$2004,'Saisie'!$C$5:$C$2004,C211,'Saisie'!$AM$5:$AM$2004,"&lt;&gt;")-4),""),IFERROR(INDEX('Paramètres'!$S$6:$S$15,MATCH(AN211,'Paramètres'!$Q$6:$Q$15,0)),"")))</f>
        <v/>
      </c>
      <c r="AP211" s="62">
        <f>IF(C211="","",IFERROR(INDEX('Saisie'!$AW$5:$AW$2004,_xlfn.MAXIFS('Saisie'!$AS$5:$AS$2004,'Saisie'!$C$5:$C$2004,C211,'Saisie'!$E$5:$E$2004,"Proposition envoyée")-4),""))</f>
        <v/>
      </c>
      <c r="AQ211" s="106">
        <f>IF(C211="","",IFERROR(1/(1/_xlfn.MAXIFS('Saisie'!$A$5:$A$2004,'Saisie'!$C$5:$C$2004,C211,'Saisie'!$E$5:$E$2004,"Proposition envoyée")),""))</f>
        <v/>
      </c>
      <c r="AR211" s="106">
        <f>IF(C211="","",IF(AQ211="","",AQ211+'Paramètres'!$B$26))</f>
        <v/>
      </c>
      <c r="AS211" s="62">
        <f>IF(OR(C211="",D211="Gagné",D211="Perdu"),0,N(AP211)*IFERROR(INDEX('Paramètres'!$G$6:$G$13,MATCH(D211,'Paramètres'!$F$6:$F$13,0)),0))</f>
        <v/>
      </c>
      <c r="AT211" s="106">
        <f>IF(C211="","",IFERROR(1/(1/_xlfn.MINIFS('Saisie'!$A$5:$A$2004,'Saisie'!$C$5:$C$2004,C211,'Saisie'!$E$5:$E$2004,"Signature")),""))</f>
        <v/>
      </c>
      <c r="AU211" s="60">
        <f>IF(C211="","",IF(OR(AT211="",B211=""),"",AT211-B211))</f>
        <v/>
      </c>
      <c r="AV211" s="60">
        <f>IF(C211="","",IFERROR(INDEX('Saisie'!$L$5:$L$2004,_xlfn.MAXIFS('Saisie'!$AS$5:$AS$2004,'Saisie'!$C$5:$C$2004,C211,'Saisie'!$L$5:$L$2004,"&lt;&gt;")-4),""))</f>
        <v/>
      </c>
      <c r="AW211" s="106">
        <f>IF(C211="","",IF(D211&lt;&gt;"Perdu","",IFERROR(1/(1/_xlfn.MAXIFS('Saisie'!$A$5:$A$2004,'Saisie'!$C$5:$C$2004,C211,'Saisie'!$E$5:$E$2004,"Perdu")),"")))</f>
        <v/>
      </c>
      <c r="AX211" s="106">
        <f>IF(C211="","",IF(AW211="","",AW211+'Paramètres'!$B$28))</f>
        <v/>
      </c>
      <c r="AY211" s="60">
        <f>IF(C211="","",SUMIFS('Saisie'!$H$5:$H$2004,'Saisie'!$C$5:$C$2004,C211))</f>
        <v/>
      </c>
      <c r="AZ211" s="60">
        <f>IF(C211="","",IFERROR(INDEX('Paramètres'!$W$6:$W$20,MATCH(S211,'Paramètres'!$V$6:$V$20,0))&amp;"",""))</f>
        <v/>
      </c>
      <c r="BA211" s="60">
        <f>IF(C211="","",MAX(1,_xlfn.MAXIFS('Saisie'!$AT$5:$AT$2004,'Saisie'!$C$5:$C$2004,C211)))</f>
        <v/>
      </c>
      <c r="BB211" s="60">
        <f>IF(C211="","",IFERROR(INDEX('Saisie'!$X$5:$X$2004,_xlfn.MAXIFS('Saisie'!$AS$5:$AS$2004,'Saisie'!$C$5:$C$2004,C211,'Saisie'!$X$5:$X$2004,"&lt;&gt;")-4),""))</f>
        <v/>
      </c>
      <c r="BC211" s="60">
        <f>IF(C211="","",IFERROR(INDEX('Saisie'!$Y$5:$Y$2004,_xlfn.MAXIFS('Saisie'!$AS$5:$AS$2004,'Saisie'!$C$5:$C$2004,C211,'Saisie'!$Y$5:$Y$2004,"&lt;&gt;")-4),""))</f>
        <v/>
      </c>
      <c r="BD211" s="106">
        <f>IF(C211="","",IFERROR(1/(1/_xlfn.MINIFS('Saisie'!$A$5:$A$2004,'Saisie'!$C$5:$C$2004,C211,'Saisie'!$AT$5:$AT$2004,"&gt;=2")),""))</f>
        <v/>
      </c>
      <c r="BE211" s="106">
        <f>IF(C211="","",IFERROR(1/(1/_xlfn.MINIFS('Saisie'!$A$5:$A$2004,'Saisie'!$C$5:$C$2004,C211,'Saisie'!$AT$5:$AT$2004,"&gt;=3")),""))</f>
        <v/>
      </c>
      <c r="BF211" s="106">
        <f>IF(C211="","",IFERROR(1/(1/_xlfn.MINIFS('Saisie'!$A$5:$A$2004,'Saisie'!$C$5:$C$2004,C211,'Saisie'!$AT$5:$AT$2004,"&gt;=4")),""))</f>
        <v/>
      </c>
      <c r="BG211" s="106">
        <f>IF(C211="","",IFERROR(1/(1/_xlfn.MINIFS('Saisie'!$A$5:$A$2004,'Saisie'!$C$5:$C$2004,C211,'Saisie'!$AT$5:$AT$2004,"&gt;=5")),""))</f>
        <v/>
      </c>
      <c r="BH211" s="106">
        <f>IF(C211="","",IFERROR(1/(1/_xlfn.MINIFS('Saisie'!$A$5:$A$2004,'Saisie'!$C$5:$C$2004,C211,'Saisie'!$AT$5:$AT$2004,"&gt;=6")),""))</f>
        <v/>
      </c>
      <c r="BI211" s="106">
        <f>IF(C211="","",IFERROR(1/(1/_xlfn.MINIFS('Saisie'!$A$5:$A$2004,'Saisie'!$C$5:$C$2004,C211,'Saisie'!$AT$5:$AT$2004,"&gt;=7")),""))</f>
        <v/>
      </c>
      <c r="BJ211" s="60">
        <f>IF(OR(BD211="",B211=""),"",BD211-B211)</f>
        <v/>
      </c>
      <c r="BK211" s="60">
        <f>IF(OR(BE211="",BD211=""),"",BE211-BD211)</f>
        <v/>
      </c>
      <c r="BL211" s="60">
        <f>IF(OR(BF211="",BE211=""),"",BF211-BE211)</f>
        <v/>
      </c>
      <c r="BM211" s="60">
        <f>IF(OR(BG211="",BF211=""),"",BG211-BF211)</f>
        <v/>
      </c>
      <c r="BN211" s="60">
        <f>IF(OR(BH211="",BG211=""),"",BH211-BG211)</f>
        <v/>
      </c>
      <c r="BO211" s="60">
        <f>IF(OR(BI211="",BH211=""),"",BI211-BH211)</f>
        <v/>
      </c>
      <c r="BP211" s="60">
        <f>IF(C211="","",_xlfn.MAXIFS('Saisie'!$AS$5:$AS$2004,'Saisie'!$C$5:$C$2004,C211,'Saisie'!$J$5:$J$2004,"&lt;&gt;"))</f>
        <v/>
      </c>
      <c r="BQ211" s="60">
        <f>IF(C211="","",_xlfn.MAXIFS('Saisie'!$AS$5:$AS$2004,'Saisie'!$C$5:$C$2004,C211))</f>
        <v/>
      </c>
      <c r="BR211" s="60">
        <f>IF(C211="","",_xlfn.MAXIFS('Saisie'!$AS$5:$AS$2004,'Saisie'!$C$5:$C$2004,C211,'Saisie'!$E$5:$E$2004,"Perdu"))</f>
        <v/>
      </c>
      <c r="BS211" s="60">
        <f>IF(C211="","",_xlfn.MAXIFS('Saisie'!$AS$5:$AS$2004,'Saisie'!$C$5:$C$2004,C211,'Saisie'!$AT$5:$AT$2004,"&gt;0"))</f>
        <v/>
      </c>
      <c r="BT211" s="109">
        <f>IF(AND(C211&lt;&gt;"",OR(D211="Nouveau",D211="Contacté",D211="Qualifié"),OR(G211="",N(G211)&lt;=TODAY()),NOT(AND(O211&gt;='Paramètres'!$B$21,P211=0))),E211+207/10000,"")</f>
        <v/>
      </c>
      <c r="BU211" s="60">
        <f>IF(AND(G211&lt;&gt;"",N(G211)&lt;=TODAY()),MAX($BU$4:BU210)+1,"")</f>
        <v/>
      </c>
      <c r="BV211" s="60">
        <f>IF(AND(F211&lt;&gt;"",F211&lt;&gt;"Relance en retard"),MAX($BV$4:BV210)+1,"")</f>
        <v/>
      </c>
      <c r="BW211" s="60">
        <f>IF(C211="","",IF(AND(B211&gt;='Tableau de bord'!$R$4,B211&lt;='Tableau de bord'!$S$4,OR('Tableau de bord'!$G$4="Tous",N211='Tableau de bord'!$G$4)),1,0))</f>
        <v/>
      </c>
      <c r="BX211" s="60">
        <f>IF(AND(C211&lt;&gt;"",N(BA211)=7),MAX($BX$4:BX210)+1,"")</f>
        <v/>
      </c>
    </row>
    <row r="212">
      <c r="A212" s="60">
        <f>IF(C212="","","P-"&amp;TEXT(208,"000"))</f>
        <v/>
      </c>
      <c r="B212" s="106">
        <f>IF(C212="","",IFERROR(1/(1/_xlfn.MINIFS('Saisie'!$A$5:$A$2004,'Saisie'!$C$5:$C$2004,C212)),""))</f>
        <v/>
      </c>
      <c r="C212" s="60">
        <f>IFERROR(INDEX('Saisie'!$C$5:$C$2004,MATCH(208,'Saisie'!$AX$5:$AX$2004,0)),"")</f>
        <v/>
      </c>
      <c r="D212" s="60">
        <f>IF(C212="","",IF(AND(BR212&gt;0,BR212&gt;BS212,BA212&lt;7),"Perdu",INDEX('Paramètres'!$F$6:$F$13,BA212)))</f>
        <v/>
      </c>
      <c r="E212" s="61">
        <f>IF(C212="","",MIN(100,(Z212="Oui")*'Paramètres'!$B$38+(AB212="Régulière")*'Paramètres'!$B$39+IF(AND(N(AA212)&gt;0,TODAY()-N(AA212)&lt;=30),'Paramètres'!$B$40,0)+(W212="")*'Paramètres'!$B$41+(AC212="Absente")*'Paramètres'!$B$42+(AC212="Faible")*'Paramètres'!$B$43+IF(AND(N(AD212)&gt;0,N(AD212)&lt;4),'Paramètres'!$B$44,0)+(AF212="Moyenne")*'Paramètres'!$B$45+(AF212="Grande")*'Paramètres'!$B$46+(Y212&lt;&gt;"")*'Paramètres'!$B$47))</f>
        <v/>
      </c>
      <c r="F212" s="60">
        <f>IF(C212="","",IF(D212="Gagné","",IF(D212="Perdu",IF(AND(AX212&lt;&gt;"",AX212&lt;=TODAY()),"À recontacter (perdu)",""),IF(AND(O212&gt;='Paramètres'!$B$21,P212=0),"Stop : "&amp;'Paramètres'!$B$21&amp;" tentatives sans réponse",IF(AND(D212="Proposition",AR212&lt;&gt;"",TODAY()&gt;N(AR212)),"Proposition expirée",IF(AND(D212="Proposition",N(R212)&gt;='Paramètres'!$B$25),"Proposition sans réponse",IF(AND(G212&lt;&gt;"",N(G212)&lt;TODAY()),"Relance en retard",IF(N(R212)&gt;='Paramètres'!$B$24,"Sans action depuis "&amp;R212&amp;" j",""))))))))</f>
        <v/>
      </c>
      <c r="G212" s="106">
        <f>IF(OR(C212="",D212="Gagné",D212="Perdu"),"",IF(AND(BP212&gt;0,BP212=BQ212),INDEX('Saisie'!$J$5:$J$2004,BP212-4),IF(OR(O212=0,AND(O212&gt;='Paramètres'!$B$21,P212=0)),"",Q212+IF(O212&lt;=1,'Paramètres'!$B$18,IF(O212=2,'Paramètres'!$B$19,'Paramètres'!$B$20)))))</f>
        <v/>
      </c>
      <c r="H212" s="107">
        <f>IF(OR(G212="",BP212&lt;&gt;BQ212),"",IF(INDEX('Saisie'!$K$5:$K$2004,BP212-4)="","",INDEX('Saisie'!$K$5:$K$2004,BP212-4)))</f>
        <v/>
      </c>
      <c r="I212" s="60">
        <f>IF(C212="","",IF(OR(D212="Gagné",D212="Perdu"),"",IFERROR(INDEX('Saisie'!$I$5:$I$2004,_xlfn.MAXIFS('Saisie'!$AS$5:$AS$2004,'Saisie'!$C$5:$C$2004,C212,'Saisie'!$I$5:$I$2004,"&lt;&gt;")-4),"")))</f>
        <v/>
      </c>
      <c r="J212" s="60">
        <f>IF(C212="","",IFERROR(INDEX('Saisie'!$U$5:$U$2004,_xlfn.MAXIFS('Saisie'!$AS$5:$AS$2004,'Saisie'!$C$5:$C$2004,C212,'Saisie'!$U$5:$U$2004,"&lt;&gt;")-4),""))</f>
        <v/>
      </c>
      <c r="K212" s="60">
        <f>IF(C212="","",IFERROR(INDEX('Saisie'!$W$5:$W$2004,_xlfn.MAXIFS('Saisie'!$AS$5:$AS$2004,'Saisie'!$C$5:$C$2004,C212,'Saisie'!$W$5:$W$2004,"&lt;&gt;")-4),""))</f>
        <v/>
      </c>
      <c r="L212" s="60">
        <f>IF(IF(BB212&lt;&gt;"",BB212,K212)="","",HYPERLINK("https://wa.me/"&amp;IF(LEFT(SUBSTITUTE(SUBSTITUTE(SUBSTITUTE(IF(BB212&lt;&gt;"",BB212,K212)," ",""),".",""),"+",""),1)="0",'Paramètres'!$B$35&amp;MID(SUBSTITUTE(SUBSTITUTE(SUBSTITUTE(IF(BB212&lt;&gt;"",BB212,K212)," ",""),".",""),"+",""),2,20),SUBSTITUTE(SUBSTITUTE(SUBSTITUTE(IF(BB212&lt;&gt;"",BB212,K212)," ",""),".",""),"+","")),"WhatsApp"))</f>
        <v/>
      </c>
      <c r="M212" s="60">
        <f>IF(BC212="","",HYPERLINK(IF(LEFT(BC212,4)="http",BC212,"https://www.instagram.com/"&amp;SUBSTITUTE(SUBSTITUTE(BC212,"@","")," ","")),BC212))</f>
        <v/>
      </c>
      <c r="N212" s="60">
        <f>IF(C212="","",IFERROR(INDEX('Saisie'!$D$5:$D$2004,_xlfn.MINIFS('Saisie'!$AS$5:$AS$2004,'Saisie'!$C$5:$C$2004,C212,'Saisie'!$AU$5:$AU$2004,1)-4),IFERROR(INDEX('Saisie'!$D$5:$D$2004,_xlfn.MINIFS('Saisie'!$AS$5:$AS$2004,'Saisie'!$C$5:$C$2004,C212,'Saisie'!$D$5:$D$2004,"&lt;&gt;")-4),"")))</f>
        <v/>
      </c>
      <c r="O212" s="60">
        <f>IF(C212="","",COUNTIFS('Saisie'!$C$5:$C$2004,C212,'Saisie'!$AU$5:$AU$2004,1))</f>
        <v/>
      </c>
      <c r="P212" s="60">
        <f>IF(C212="","",COUNTIFS('Saisie'!$C$5:$C$2004,C212,'Saisie'!$AV$5:$AV$2004,1))</f>
        <v/>
      </c>
      <c r="Q212" s="106">
        <f>IF(C212="","",IFERROR(1/(1/_xlfn.MAXIFS('Saisie'!$A$5:$A$2004,'Saisie'!$C$5:$C$2004,C212)),""))</f>
        <v/>
      </c>
      <c r="R212" s="61">
        <f>IF(C212="","",IF(Q212="","",TODAY()-Q212))</f>
        <v/>
      </c>
      <c r="S212" s="60">
        <f>IF(C212="","",IFERROR(INDEX('Saisie'!$R$5:$R$2004,_xlfn.MAXIFS('Saisie'!$AS$5:$AS$2004,'Saisie'!$C$5:$C$2004,C212,'Saisie'!$R$5:$R$2004,"&lt;&gt;")-4),""))</f>
        <v/>
      </c>
      <c r="T212" s="60">
        <f>IF(C212="","",IFERROR(INDEX('Saisie'!$S$5:$S$2004,_xlfn.MAXIFS('Saisie'!$AS$5:$AS$2004,'Saisie'!$C$5:$C$2004,C212,'Saisie'!$S$5:$S$2004,"&lt;&gt;")-4),""))</f>
        <v/>
      </c>
      <c r="U212" s="60">
        <f>IF(C212="","",IFERROR(INDEX('Saisie'!$T$5:$T$2004,_xlfn.MAXIFS('Saisie'!$AS$5:$AS$2004,'Saisie'!$C$5:$C$2004,C212,'Saisie'!$T$5:$T$2004,"&lt;&gt;")-4),""))</f>
        <v/>
      </c>
      <c r="V212" s="60">
        <f>IF(C212="","",IFERROR(INDEX('Saisie'!$V$5:$V$2004,_xlfn.MAXIFS('Saisie'!$AS$5:$AS$2004,'Saisie'!$C$5:$C$2004,C212,'Saisie'!$V$5:$V$2004,"&lt;&gt;")-4),""))</f>
        <v/>
      </c>
      <c r="W212" s="60">
        <f>IF(C212="","",IFERROR(INDEX('Saisie'!$Z$5:$Z$2004,_xlfn.MAXIFS('Saisie'!$AS$5:$AS$2004,'Saisie'!$C$5:$C$2004,C212,'Saisie'!$Z$5:$Z$2004,"&lt;&gt;")-4),""))</f>
        <v/>
      </c>
      <c r="X212" s="60">
        <f>IF(C212="","",IFERROR(INDEX('Saisie'!$AA$5:$AA$2004,_xlfn.MAXIFS('Saisie'!$AS$5:$AS$2004,'Saisie'!$C$5:$C$2004,C212,'Saisie'!$AA$5:$AA$2004,"&lt;&gt;")-4),""))</f>
        <v/>
      </c>
      <c r="Y212" s="60">
        <f>IF(C212="","",IFERROR(INDEX('Saisie'!$AB$5:$AB$2004,_xlfn.MAXIFS('Saisie'!$AS$5:$AS$2004,'Saisie'!$C$5:$C$2004,C212,'Saisie'!$AB$5:$AB$2004,"&lt;&gt;")-4),""))</f>
        <v/>
      </c>
      <c r="Z212" s="60">
        <f>IF(C212="","",IFERROR(INDEX('Saisie'!$AC$5:$AC$2004,_xlfn.MAXIFS('Saisie'!$AS$5:$AS$2004,'Saisie'!$C$5:$C$2004,C212,'Saisie'!$AC$5:$AC$2004,"&lt;&gt;")-4),""))</f>
        <v/>
      </c>
      <c r="AA212" s="106">
        <f>IF(C212="","",IFERROR(INDEX('Saisie'!$AD$5:$AD$2004,_xlfn.MAXIFS('Saisie'!$AS$5:$AS$2004,'Saisie'!$C$5:$C$2004,C212,'Saisie'!$AD$5:$AD$2004,"&lt;&gt;")-4),""))</f>
        <v/>
      </c>
      <c r="AB212" s="60">
        <f>IF(C212="","",IFERROR(INDEX('Saisie'!$AE$5:$AE$2004,_xlfn.MAXIFS('Saisie'!$AS$5:$AS$2004,'Saisie'!$C$5:$C$2004,C212,'Saisie'!$AE$5:$AE$2004,"&lt;&gt;")-4),""))</f>
        <v/>
      </c>
      <c r="AC212" s="60">
        <f>IF(C212="","",IFERROR(INDEX('Saisie'!$AF$5:$AF$2004,_xlfn.MAXIFS('Saisie'!$AS$5:$AS$2004,'Saisie'!$C$5:$C$2004,C212,'Saisie'!$AF$5:$AF$2004,"&lt;&gt;")-4),""))</f>
        <v/>
      </c>
      <c r="AD212" s="108">
        <f>IF(C212="","",IFERROR(INDEX('Saisie'!$AG$5:$AG$2004,_xlfn.MAXIFS('Saisie'!$AS$5:$AS$2004,'Saisie'!$C$5:$C$2004,C212,'Saisie'!$AG$5:$AG$2004,"&lt;&gt;")-4),""))</f>
        <v/>
      </c>
      <c r="AE212" s="60">
        <f>IF(C212="","",IFERROR(INDEX('Saisie'!$AH$5:$AH$2004,_xlfn.MAXIFS('Saisie'!$AS$5:$AS$2004,'Saisie'!$C$5:$C$2004,C212,'Saisie'!$AH$5:$AH$2004,"&lt;&gt;")-4),""))</f>
        <v/>
      </c>
      <c r="AF212" s="60">
        <f>IF(C212="","",IFERROR(INDEX('Saisie'!$AI$5:$AI$2004,_xlfn.MAXIFS('Saisie'!$AS$5:$AS$2004,'Saisie'!$C$5:$C$2004,C212,'Saisie'!$AI$5:$AI$2004,"&lt;&gt;")-4),""))</f>
        <v/>
      </c>
      <c r="AG212" s="60">
        <f>IF(C212="","",IFERROR(INDEX('Saisie'!$AJ$5:$AJ$2004,_xlfn.MAXIFS('Saisie'!$AS$5:$AS$2004,'Saisie'!$C$5:$C$2004,C212,'Saisie'!$AJ$5:$AJ$2004,"&lt;&gt;")-4),""))</f>
        <v/>
      </c>
      <c r="AH212" s="60">
        <f>IF(C212="","",IFERROR(INDEX('Saisie'!$AK$5:$AK$2004,_xlfn.MAXIFS('Saisie'!$AS$5:$AS$2004,'Saisie'!$C$5:$C$2004,C212,'Saisie'!$AK$5:$AK$2004,"&lt;&gt;")-4),""))</f>
        <v/>
      </c>
      <c r="AI212" s="60">
        <f>IF(C212="","",IFERROR(INDEX('Saisie'!$AN$5:$AN$2004,_xlfn.MAXIFS('Saisie'!$AS$5:$AS$2004,'Saisie'!$C$5:$C$2004,C212,'Saisie'!$AN$5:$AN$2004,"&lt;&gt;")-4),""))</f>
        <v/>
      </c>
      <c r="AJ212" s="60">
        <f>IF(C212="","",IFERROR(INDEX('Saisie'!$AO$5:$AO$2004,_xlfn.MAXIFS('Saisie'!$AS$5:$AS$2004,'Saisie'!$C$5:$C$2004,C212,'Saisie'!$AO$5:$AO$2004,"&lt;&gt;")-4),""))</f>
        <v/>
      </c>
      <c r="AK212" s="60">
        <f>IF(C212="","",IFERROR(INDEX('Saisie'!$AP$5:$AP$2004,_xlfn.MAXIFS('Saisie'!$AS$5:$AS$2004,'Saisie'!$C$5:$C$2004,C212,'Saisie'!$AP$5:$AP$2004,"&lt;&gt;")-4),""))</f>
        <v/>
      </c>
      <c r="AL212" s="60">
        <f>IF(C212="","",IFERROR(INDEX('Saisie'!$AQ$5:$AQ$2004,_xlfn.MAXIFS('Saisie'!$AS$5:$AS$2004,'Saisie'!$C$5:$C$2004,C212,'Saisie'!$AQ$5:$AQ$2004,"&lt;&gt;")-4),""))</f>
        <v/>
      </c>
      <c r="AM212" s="60">
        <f>IF(C212="","",((AI212="Oui")+(AJ212="Oui")+(AK212="Oui")+OR(AL212="Immédiat",AL212="&lt; 1 mois"))&amp;"/4")</f>
        <v/>
      </c>
      <c r="AN212" s="60">
        <f>IF(C212="","",IFERROR(INDEX('Saisie'!$AL$5:$AL$2004,_xlfn.MAXIFS('Saisie'!$AS$5:$AS$2004,'Saisie'!$C$5:$C$2004,C212,'Saisie'!$AL$5:$AL$2004,"&lt;&gt;")-4),""))</f>
        <v/>
      </c>
      <c r="AO212" s="62">
        <f>IF(C212="","",IF(IFERROR(INDEX('Saisie'!$AM$5:$AM$2004,_xlfn.MAXIFS('Saisie'!$AS$5:$AS$2004,'Saisie'!$C$5:$C$2004,C212,'Saisie'!$AM$5:$AM$2004,"&lt;&gt;")-4),"")&lt;&gt;"",IFERROR(INDEX('Saisie'!$AM$5:$AM$2004,_xlfn.MAXIFS('Saisie'!$AS$5:$AS$2004,'Saisie'!$C$5:$C$2004,C212,'Saisie'!$AM$5:$AM$2004,"&lt;&gt;")-4),""),IFERROR(INDEX('Paramètres'!$S$6:$S$15,MATCH(AN212,'Paramètres'!$Q$6:$Q$15,0)),"")))</f>
        <v/>
      </c>
      <c r="AP212" s="62">
        <f>IF(C212="","",IFERROR(INDEX('Saisie'!$AW$5:$AW$2004,_xlfn.MAXIFS('Saisie'!$AS$5:$AS$2004,'Saisie'!$C$5:$C$2004,C212,'Saisie'!$E$5:$E$2004,"Proposition envoyée")-4),""))</f>
        <v/>
      </c>
      <c r="AQ212" s="106">
        <f>IF(C212="","",IFERROR(1/(1/_xlfn.MAXIFS('Saisie'!$A$5:$A$2004,'Saisie'!$C$5:$C$2004,C212,'Saisie'!$E$5:$E$2004,"Proposition envoyée")),""))</f>
        <v/>
      </c>
      <c r="AR212" s="106">
        <f>IF(C212="","",IF(AQ212="","",AQ212+'Paramètres'!$B$26))</f>
        <v/>
      </c>
      <c r="AS212" s="62">
        <f>IF(OR(C212="",D212="Gagné",D212="Perdu"),0,N(AP212)*IFERROR(INDEX('Paramètres'!$G$6:$G$13,MATCH(D212,'Paramètres'!$F$6:$F$13,0)),0))</f>
        <v/>
      </c>
      <c r="AT212" s="106">
        <f>IF(C212="","",IFERROR(1/(1/_xlfn.MINIFS('Saisie'!$A$5:$A$2004,'Saisie'!$C$5:$C$2004,C212,'Saisie'!$E$5:$E$2004,"Signature")),""))</f>
        <v/>
      </c>
      <c r="AU212" s="60">
        <f>IF(C212="","",IF(OR(AT212="",B212=""),"",AT212-B212))</f>
        <v/>
      </c>
      <c r="AV212" s="60">
        <f>IF(C212="","",IFERROR(INDEX('Saisie'!$L$5:$L$2004,_xlfn.MAXIFS('Saisie'!$AS$5:$AS$2004,'Saisie'!$C$5:$C$2004,C212,'Saisie'!$L$5:$L$2004,"&lt;&gt;")-4),""))</f>
        <v/>
      </c>
      <c r="AW212" s="106">
        <f>IF(C212="","",IF(D212&lt;&gt;"Perdu","",IFERROR(1/(1/_xlfn.MAXIFS('Saisie'!$A$5:$A$2004,'Saisie'!$C$5:$C$2004,C212,'Saisie'!$E$5:$E$2004,"Perdu")),"")))</f>
        <v/>
      </c>
      <c r="AX212" s="106">
        <f>IF(C212="","",IF(AW212="","",AW212+'Paramètres'!$B$28))</f>
        <v/>
      </c>
      <c r="AY212" s="60">
        <f>IF(C212="","",SUMIFS('Saisie'!$H$5:$H$2004,'Saisie'!$C$5:$C$2004,C212))</f>
        <v/>
      </c>
      <c r="AZ212" s="60">
        <f>IF(C212="","",IFERROR(INDEX('Paramètres'!$W$6:$W$20,MATCH(S212,'Paramètres'!$V$6:$V$20,0))&amp;"",""))</f>
        <v/>
      </c>
      <c r="BA212" s="60">
        <f>IF(C212="","",MAX(1,_xlfn.MAXIFS('Saisie'!$AT$5:$AT$2004,'Saisie'!$C$5:$C$2004,C212)))</f>
        <v/>
      </c>
      <c r="BB212" s="60">
        <f>IF(C212="","",IFERROR(INDEX('Saisie'!$X$5:$X$2004,_xlfn.MAXIFS('Saisie'!$AS$5:$AS$2004,'Saisie'!$C$5:$C$2004,C212,'Saisie'!$X$5:$X$2004,"&lt;&gt;")-4),""))</f>
        <v/>
      </c>
      <c r="BC212" s="60">
        <f>IF(C212="","",IFERROR(INDEX('Saisie'!$Y$5:$Y$2004,_xlfn.MAXIFS('Saisie'!$AS$5:$AS$2004,'Saisie'!$C$5:$C$2004,C212,'Saisie'!$Y$5:$Y$2004,"&lt;&gt;")-4),""))</f>
        <v/>
      </c>
      <c r="BD212" s="106">
        <f>IF(C212="","",IFERROR(1/(1/_xlfn.MINIFS('Saisie'!$A$5:$A$2004,'Saisie'!$C$5:$C$2004,C212,'Saisie'!$AT$5:$AT$2004,"&gt;=2")),""))</f>
        <v/>
      </c>
      <c r="BE212" s="106">
        <f>IF(C212="","",IFERROR(1/(1/_xlfn.MINIFS('Saisie'!$A$5:$A$2004,'Saisie'!$C$5:$C$2004,C212,'Saisie'!$AT$5:$AT$2004,"&gt;=3")),""))</f>
        <v/>
      </c>
      <c r="BF212" s="106">
        <f>IF(C212="","",IFERROR(1/(1/_xlfn.MINIFS('Saisie'!$A$5:$A$2004,'Saisie'!$C$5:$C$2004,C212,'Saisie'!$AT$5:$AT$2004,"&gt;=4")),""))</f>
        <v/>
      </c>
      <c r="BG212" s="106">
        <f>IF(C212="","",IFERROR(1/(1/_xlfn.MINIFS('Saisie'!$A$5:$A$2004,'Saisie'!$C$5:$C$2004,C212,'Saisie'!$AT$5:$AT$2004,"&gt;=5")),""))</f>
        <v/>
      </c>
      <c r="BH212" s="106">
        <f>IF(C212="","",IFERROR(1/(1/_xlfn.MINIFS('Saisie'!$A$5:$A$2004,'Saisie'!$C$5:$C$2004,C212,'Saisie'!$AT$5:$AT$2004,"&gt;=6")),""))</f>
        <v/>
      </c>
      <c r="BI212" s="106">
        <f>IF(C212="","",IFERROR(1/(1/_xlfn.MINIFS('Saisie'!$A$5:$A$2004,'Saisie'!$C$5:$C$2004,C212,'Saisie'!$AT$5:$AT$2004,"&gt;=7")),""))</f>
        <v/>
      </c>
      <c r="BJ212" s="60">
        <f>IF(OR(BD212="",B212=""),"",BD212-B212)</f>
        <v/>
      </c>
      <c r="BK212" s="60">
        <f>IF(OR(BE212="",BD212=""),"",BE212-BD212)</f>
        <v/>
      </c>
      <c r="BL212" s="60">
        <f>IF(OR(BF212="",BE212=""),"",BF212-BE212)</f>
        <v/>
      </c>
      <c r="BM212" s="60">
        <f>IF(OR(BG212="",BF212=""),"",BG212-BF212)</f>
        <v/>
      </c>
      <c r="BN212" s="60">
        <f>IF(OR(BH212="",BG212=""),"",BH212-BG212)</f>
        <v/>
      </c>
      <c r="BO212" s="60">
        <f>IF(OR(BI212="",BH212=""),"",BI212-BH212)</f>
        <v/>
      </c>
      <c r="BP212" s="60">
        <f>IF(C212="","",_xlfn.MAXIFS('Saisie'!$AS$5:$AS$2004,'Saisie'!$C$5:$C$2004,C212,'Saisie'!$J$5:$J$2004,"&lt;&gt;"))</f>
        <v/>
      </c>
      <c r="BQ212" s="60">
        <f>IF(C212="","",_xlfn.MAXIFS('Saisie'!$AS$5:$AS$2004,'Saisie'!$C$5:$C$2004,C212))</f>
        <v/>
      </c>
      <c r="BR212" s="60">
        <f>IF(C212="","",_xlfn.MAXIFS('Saisie'!$AS$5:$AS$2004,'Saisie'!$C$5:$C$2004,C212,'Saisie'!$E$5:$E$2004,"Perdu"))</f>
        <v/>
      </c>
      <c r="BS212" s="60">
        <f>IF(C212="","",_xlfn.MAXIFS('Saisie'!$AS$5:$AS$2004,'Saisie'!$C$5:$C$2004,C212,'Saisie'!$AT$5:$AT$2004,"&gt;0"))</f>
        <v/>
      </c>
      <c r="BT212" s="109">
        <f>IF(AND(C212&lt;&gt;"",OR(D212="Nouveau",D212="Contacté",D212="Qualifié"),OR(G212="",N(G212)&lt;=TODAY()),NOT(AND(O212&gt;='Paramètres'!$B$21,P212=0))),E212+208/10000,"")</f>
        <v/>
      </c>
      <c r="BU212" s="60">
        <f>IF(AND(G212&lt;&gt;"",N(G212)&lt;=TODAY()),MAX($BU$4:BU211)+1,"")</f>
        <v/>
      </c>
      <c r="BV212" s="60">
        <f>IF(AND(F212&lt;&gt;"",F212&lt;&gt;"Relance en retard"),MAX($BV$4:BV211)+1,"")</f>
        <v/>
      </c>
      <c r="BW212" s="60">
        <f>IF(C212="","",IF(AND(B212&gt;='Tableau de bord'!$R$4,B212&lt;='Tableau de bord'!$S$4,OR('Tableau de bord'!$G$4="Tous",N212='Tableau de bord'!$G$4)),1,0))</f>
        <v/>
      </c>
      <c r="BX212" s="60">
        <f>IF(AND(C212&lt;&gt;"",N(BA212)=7),MAX($BX$4:BX211)+1,"")</f>
        <v/>
      </c>
    </row>
    <row r="213">
      <c r="A213" s="60">
        <f>IF(C213="","","P-"&amp;TEXT(209,"000"))</f>
        <v/>
      </c>
      <c r="B213" s="106">
        <f>IF(C213="","",IFERROR(1/(1/_xlfn.MINIFS('Saisie'!$A$5:$A$2004,'Saisie'!$C$5:$C$2004,C213)),""))</f>
        <v/>
      </c>
      <c r="C213" s="60">
        <f>IFERROR(INDEX('Saisie'!$C$5:$C$2004,MATCH(209,'Saisie'!$AX$5:$AX$2004,0)),"")</f>
        <v/>
      </c>
      <c r="D213" s="60">
        <f>IF(C213="","",IF(AND(BR213&gt;0,BR213&gt;BS213,BA213&lt;7),"Perdu",INDEX('Paramètres'!$F$6:$F$13,BA213)))</f>
        <v/>
      </c>
      <c r="E213" s="61">
        <f>IF(C213="","",MIN(100,(Z213="Oui")*'Paramètres'!$B$38+(AB213="Régulière")*'Paramètres'!$B$39+IF(AND(N(AA213)&gt;0,TODAY()-N(AA213)&lt;=30),'Paramètres'!$B$40,0)+(W213="")*'Paramètres'!$B$41+(AC213="Absente")*'Paramètres'!$B$42+(AC213="Faible")*'Paramètres'!$B$43+IF(AND(N(AD213)&gt;0,N(AD213)&lt;4),'Paramètres'!$B$44,0)+(AF213="Moyenne")*'Paramètres'!$B$45+(AF213="Grande")*'Paramètres'!$B$46+(Y213&lt;&gt;"")*'Paramètres'!$B$47))</f>
        <v/>
      </c>
      <c r="F213" s="60">
        <f>IF(C213="","",IF(D213="Gagné","",IF(D213="Perdu",IF(AND(AX213&lt;&gt;"",AX213&lt;=TODAY()),"À recontacter (perdu)",""),IF(AND(O213&gt;='Paramètres'!$B$21,P213=0),"Stop : "&amp;'Paramètres'!$B$21&amp;" tentatives sans réponse",IF(AND(D213="Proposition",AR213&lt;&gt;"",TODAY()&gt;N(AR213)),"Proposition expirée",IF(AND(D213="Proposition",N(R213)&gt;='Paramètres'!$B$25),"Proposition sans réponse",IF(AND(G213&lt;&gt;"",N(G213)&lt;TODAY()),"Relance en retard",IF(N(R213)&gt;='Paramètres'!$B$24,"Sans action depuis "&amp;R213&amp;" j",""))))))))</f>
        <v/>
      </c>
      <c r="G213" s="106">
        <f>IF(OR(C213="",D213="Gagné",D213="Perdu"),"",IF(AND(BP213&gt;0,BP213=BQ213),INDEX('Saisie'!$J$5:$J$2004,BP213-4),IF(OR(O213=0,AND(O213&gt;='Paramètres'!$B$21,P213=0)),"",Q213+IF(O213&lt;=1,'Paramètres'!$B$18,IF(O213=2,'Paramètres'!$B$19,'Paramètres'!$B$20)))))</f>
        <v/>
      </c>
      <c r="H213" s="107">
        <f>IF(OR(G213="",BP213&lt;&gt;BQ213),"",IF(INDEX('Saisie'!$K$5:$K$2004,BP213-4)="","",INDEX('Saisie'!$K$5:$K$2004,BP213-4)))</f>
        <v/>
      </c>
      <c r="I213" s="60">
        <f>IF(C213="","",IF(OR(D213="Gagné",D213="Perdu"),"",IFERROR(INDEX('Saisie'!$I$5:$I$2004,_xlfn.MAXIFS('Saisie'!$AS$5:$AS$2004,'Saisie'!$C$5:$C$2004,C213,'Saisie'!$I$5:$I$2004,"&lt;&gt;")-4),"")))</f>
        <v/>
      </c>
      <c r="J213" s="60">
        <f>IF(C213="","",IFERROR(INDEX('Saisie'!$U$5:$U$2004,_xlfn.MAXIFS('Saisie'!$AS$5:$AS$2004,'Saisie'!$C$5:$C$2004,C213,'Saisie'!$U$5:$U$2004,"&lt;&gt;")-4),""))</f>
        <v/>
      </c>
      <c r="K213" s="60">
        <f>IF(C213="","",IFERROR(INDEX('Saisie'!$W$5:$W$2004,_xlfn.MAXIFS('Saisie'!$AS$5:$AS$2004,'Saisie'!$C$5:$C$2004,C213,'Saisie'!$W$5:$W$2004,"&lt;&gt;")-4),""))</f>
        <v/>
      </c>
      <c r="L213" s="60">
        <f>IF(IF(BB213&lt;&gt;"",BB213,K213)="","",HYPERLINK("https://wa.me/"&amp;IF(LEFT(SUBSTITUTE(SUBSTITUTE(SUBSTITUTE(IF(BB213&lt;&gt;"",BB213,K213)," ",""),".",""),"+",""),1)="0",'Paramètres'!$B$35&amp;MID(SUBSTITUTE(SUBSTITUTE(SUBSTITUTE(IF(BB213&lt;&gt;"",BB213,K213)," ",""),".",""),"+",""),2,20),SUBSTITUTE(SUBSTITUTE(SUBSTITUTE(IF(BB213&lt;&gt;"",BB213,K213)," ",""),".",""),"+","")),"WhatsApp"))</f>
        <v/>
      </c>
      <c r="M213" s="60">
        <f>IF(BC213="","",HYPERLINK(IF(LEFT(BC213,4)="http",BC213,"https://www.instagram.com/"&amp;SUBSTITUTE(SUBSTITUTE(BC213,"@","")," ","")),BC213))</f>
        <v/>
      </c>
      <c r="N213" s="60">
        <f>IF(C213="","",IFERROR(INDEX('Saisie'!$D$5:$D$2004,_xlfn.MINIFS('Saisie'!$AS$5:$AS$2004,'Saisie'!$C$5:$C$2004,C213,'Saisie'!$AU$5:$AU$2004,1)-4),IFERROR(INDEX('Saisie'!$D$5:$D$2004,_xlfn.MINIFS('Saisie'!$AS$5:$AS$2004,'Saisie'!$C$5:$C$2004,C213,'Saisie'!$D$5:$D$2004,"&lt;&gt;")-4),"")))</f>
        <v/>
      </c>
      <c r="O213" s="60">
        <f>IF(C213="","",COUNTIFS('Saisie'!$C$5:$C$2004,C213,'Saisie'!$AU$5:$AU$2004,1))</f>
        <v/>
      </c>
      <c r="P213" s="60">
        <f>IF(C213="","",COUNTIFS('Saisie'!$C$5:$C$2004,C213,'Saisie'!$AV$5:$AV$2004,1))</f>
        <v/>
      </c>
      <c r="Q213" s="106">
        <f>IF(C213="","",IFERROR(1/(1/_xlfn.MAXIFS('Saisie'!$A$5:$A$2004,'Saisie'!$C$5:$C$2004,C213)),""))</f>
        <v/>
      </c>
      <c r="R213" s="61">
        <f>IF(C213="","",IF(Q213="","",TODAY()-Q213))</f>
        <v/>
      </c>
      <c r="S213" s="60">
        <f>IF(C213="","",IFERROR(INDEX('Saisie'!$R$5:$R$2004,_xlfn.MAXIFS('Saisie'!$AS$5:$AS$2004,'Saisie'!$C$5:$C$2004,C213,'Saisie'!$R$5:$R$2004,"&lt;&gt;")-4),""))</f>
        <v/>
      </c>
      <c r="T213" s="60">
        <f>IF(C213="","",IFERROR(INDEX('Saisie'!$S$5:$S$2004,_xlfn.MAXIFS('Saisie'!$AS$5:$AS$2004,'Saisie'!$C$5:$C$2004,C213,'Saisie'!$S$5:$S$2004,"&lt;&gt;")-4),""))</f>
        <v/>
      </c>
      <c r="U213" s="60">
        <f>IF(C213="","",IFERROR(INDEX('Saisie'!$T$5:$T$2004,_xlfn.MAXIFS('Saisie'!$AS$5:$AS$2004,'Saisie'!$C$5:$C$2004,C213,'Saisie'!$T$5:$T$2004,"&lt;&gt;")-4),""))</f>
        <v/>
      </c>
      <c r="V213" s="60">
        <f>IF(C213="","",IFERROR(INDEX('Saisie'!$V$5:$V$2004,_xlfn.MAXIFS('Saisie'!$AS$5:$AS$2004,'Saisie'!$C$5:$C$2004,C213,'Saisie'!$V$5:$V$2004,"&lt;&gt;")-4),""))</f>
        <v/>
      </c>
      <c r="W213" s="60">
        <f>IF(C213="","",IFERROR(INDEX('Saisie'!$Z$5:$Z$2004,_xlfn.MAXIFS('Saisie'!$AS$5:$AS$2004,'Saisie'!$C$5:$C$2004,C213,'Saisie'!$Z$5:$Z$2004,"&lt;&gt;")-4),""))</f>
        <v/>
      </c>
      <c r="X213" s="60">
        <f>IF(C213="","",IFERROR(INDEX('Saisie'!$AA$5:$AA$2004,_xlfn.MAXIFS('Saisie'!$AS$5:$AS$2004,'Saisie'!$C$5:$C$2004,C213,'Saisie'!$AA$5:$AA$2004,"&lt;&gt;")-4),""))</f>
        <v/>
      </c>
      <c r="Y213" s="60">
        <f>IF(C213="","",IFERROR(INDEX('Saisie'!$AB$5:$AB$2004,_xlfn.MAXIFS('Saisie'!$AS$5:$AS$2004,'Saisie'!$C$5:$C$2004,C213,'Saisie'!$AB$5:$AB$2004,"&lt;&gt;")-4),""))</f>
        <v/>
      </c>
      <c r="Z213" s="60">
        <f>IF(C213="","",IFERROR(INDEX('Saisie'!$AC$5:$AC$2004,_xlfn.MAXIFS('Saisie'!$AS$5:$AS$2004,'Saisie'!$C$5:$C$2004,C213,'Saisie'!$AC$5:$AC$2004,"&lt;&gt;")-4),""))</f>
        <v/>
      </c>
      <c r="AA213" s="106">
        <f>IF(C213="","",IFERROR(INDEX('Saisie'!$AD$5:$AD$2004,_xlfn.MAXIFS('Saisie'!$AS$5:$AS$2004,'Saisie'!$C$5:$C$2004,C213,'Saisie'!$AD$5:$AD$2004,"&lt;&gt;")-4),""))</f>
        <v/>
      </c>
      <c r="AB213" s="60">
        <f>IF(C213="","",IFERROR(INDEX('Saisie'!$AE$5:$AE$2004,_xlfn.MAXIFS('Saisie'!$AS$5:$AS$2004,'Saisie'!$C$5:$C$2004,C213,'Saisie'!$AE$5:$AE$2004,"&lt;&gt;")-4),""))</f>
        <v/>
      </c>
      <c r="AC213" s="60">
        <f>IF(C213="","",IFERROR(INDEX('Saisie'!$AF$5:$AF$2004,_xlfn.MAXIFS('Saisie'!$AS$5:$AS$2004,'Saisie'!$C$5:$C$2004,C213,'Saisie'!$AF$5:$AF$2004,"&lt;&gt;")-4),""))</f>
        <v/>
      </c>
      <c r="AD213" s="108">
        <f>IF(C213="","",IFERROR(INDEX('Saisie'!$AG$5:$AG$2004,_xlfn.MAXIFS('Saisie'!$AS$5:$AS$2004,'Saisie'!$C$5:$C$2004,C213,'Saisie'!$AG$5:$AG$2004,"&lt;&gt;")-4),""))</f>
        <v/>
      </c>
      <c r="AE213" s="60">
        <f>IF(C213="","",IFERROR(INDEX('Saisie'!$AH$5:$AH$2004,_xlfn.MAXIFS('Saisie'!$AS$5:$AS$2004,'Saisie'!$C$5:$C$2004,C213,'Saisie'!$AH$5:$AH$2004,"&lt;&gt;")-4),""))</f>
        <v/>
      </c>
      <c r="AF213" s="60">
        <f>IF(C213="","",IFERROR(INDEX('Saisie'!$AI$5:$AI$2004,_xlfn.MAXIFS('Saisie'!$AS$5:$AS$2004,'Saisie'!$C$5:$C$2004,C213,'Saisie'!$AI$5:$AI$2004,"&lt;&gt;")-4),""))</f>
        <v/>
      </c>
      <c r="AG213" s="60">
        <f>IF(C213="","",IFERROR(INDEX('Saisie'!$AJ$5:$AJ$2004,_xlfn.MAXIFS('Saisie'!$AS$5:$AS$2004,'Saisie'!$C$5:$C$2004,C213,'Saisie'!$AJ$5:$AJ$2004,"&lt;&gt;")-4),""))</f>
        <v/>
      </c>
      <c r="AH213" s="60">
        <f>IF(C213="","",IFERROR(INDEX('Saisie'!$AK$5:$AK$2004,_xlfn.MAXIFS('Saisie'!$AS$5:$AS$2004,'Saisie'!$C$5:$C$2004,C213,'Saisie'!$AK$5:$AK$2004,"&lt;&gt;")-4),""))</f>
        <v/>
      </c>
      <c r="AI213" s="60">
        <f>IF(C213="","",IFERROR(INDEX('Saisie'!$AN$5:$AN$2004,_xlfn.MAXIFS('Saisie'!$AS$5:$AS$2004,'Saisie'!$C$5:$C$2004,C213,'Saisie'!$AN$5:$AN$2004,"&lt;&gt;")-4),""))</f>
        <v/>
      </c>
      <c r="AJ213" s="60">
        <f>IF(C213="","",IFERROR(INDEX('Saisie'!$AO$5:$AO$2004,_xlfn.MAXIFS('Saisie'!$AS$5:$AS$2004,'Saisie'!$C$5:$C$2004,C213,'Saisie'!$AO$5:$AO$2004,"&lt;&gt;")-4),""))</f>
        <v/>
      </c>
      <c r="AK213" s="60">
        <f>IF(C213="","",IFERROR(INDEX('Saisie'!$AP$5:$AP$2004,_xlfn.MAXIFS('Saisie'!$AS$5:$AS$2004,'Saisie'!$C$5:$C$2004,C213,'Saisie'!$AP$5:$AP$2004,"&lt;&gt;")-4),""))</f>
        <v/>
      </c>
      <c r="AL213" s="60">
        <f>IF(C213="","",IFERROR(INDEX('Saisie'!$AQ$5:$AQ$2004,_xlfn.MAXIFS('Saisie'!$AS$5:$AS$2004,'Saisie'!$C$5:$C$2004,C213,'Saisie'!$AQ$5:$AQ$2004,"&lt;&gt;")-4),""))</f>
        <v/>
      </c>
      <c r="AM213" s="60">
        <f>IF(C213="","",((AI213="Oui")+(AJ213="Oui")+(AK213="Oui")+OR(AL213="Immédiat",AL213="&lt; 1 mois"))&amp;"/4")</f>
        <v/>
      </c>
      <c r="AN213" s="60">
        <f>IF(C213="","",IFERROR(INDEX('Saisie'!$AL$5:$AL$2004,_xlfn.MAXIFS('Saisie'!$AS$5:$AS$2004,'Saisie'!$C$5:$C$2004,C213,'Saisie'!$AL$5:$AL$2004,"&lt;&gt;")-4),""))</f>
        <v/>
      </c>
      <c r="AO213" s="62">
        <f>IF(C213="","",IF(IFERROR(INDEX('Saisie'!$AM$5:$AM$2004,_xlfn.MAXIFS('Saisie'!$AS$5:$AS$2004,'Saisie'!$C$5:$C$2004,C213,'Saisie'!$AM$5:$AM$2004,"&lt;&gt;")-4),"")&lt;&gt;"",IFERROR(INDEX('Saisie'!$AM$5:$AM$2004,_xlfn.MAXIFS('Saisie'!$AS$5:$AS$2004,'Saisie'!$C$5:$C$2004,C213,'Saisie'!$AM$5:$AM$2004,"&lt;&gt;")-4),""),IFERROR(INDEX('Paramètres'!$S$6:$S$15,MATCH(AN213,'Paramètres'!$Q$6:$Q$15,0)),"")))</f>
        <v/>
      </c>
      <c r="AP213" s="62">
        <f>IF(C213="","",IFERROR(INDEX('Saisie'!$AW$5:$AW$2004,_xlfn.MAXIFS('Saisie'!$AS$5:$AS$2004,'Saisie'!$C$5:$C$2004,C213,'Saisie'!$E$5:$E$2004,"Proposition envoyée")-4),""))</f>
        <v/>
      </c>
      <c r="AQ213" s="106">
        <f>IF(C213="","",IFERROR(1/(1/_xlfn.MAXIFS('Saisie'!$A$5:$A$2004,'Saisie'!$C$5:$C$2004,C213,'Saisie'!$E$5:$E$2004,"Proposition envoyée")),""))</f>
        <v/>
      </c>
      <c r="AR213" s="106">
        <f>IF(C213="","",IF(AQ213="","",AQ213+'Paramètres'!$B$26))</f>
        <v/>
      </c>
      <c r="AS213" s="62">
        <f>IF(OR(C213="",D213="Gagné",D213="Perdu"),0,N(AP213)*IFERROR(INDEX('Paramètres'!$G$6:$G$13,MATCH(D213,'Paramètres'!$F$6:$F$13,0)),0))</f>
        <v/>
      </c>
      <c r="AT213" s="106">
        <f>IF(C213="","",IFERROR(1/(1/_xlfn.MINIFS('Saisie'!$A$5:$A$2004,'Saisie'!$C$5:$C$2004,C213,'Saisie'!$E$5:$E$2004,"Signature")),""))</f>
        <v/>
      </c>
      <c r="AU213" s="60">
        <f>IF(C213="","",IF(OR(AT213="",B213=""),"",AT213-B213))</f>
        <v/>
      </c>
      <c r="AV213" s="60">
        <f>IF(C213="","",IFERROR(INDEX('Saisie'!$L$5:$L$2004,_xlfn.MAXIFS('Saisie'!$AS$5:$AS$2004,'Saisie'!$C$5:$C$2004,C213,'Saisie'!$L$5:$L$2004,"&lt;&gt;")-4),""))</f>
        <v/>
      </c>
      <c r="AW213" s="106">
        <f>IF(C213="","",IF(D213&lt;&gt;"Perdu","",IFERROR(1/(1/_xlfn.MAXIFS('Saisie'!$A$5:$A$2004,'Saisie'!$C$5:$C$2004,C213,'Saisie'!$E$5:$E$2004,"Perdu")),"")))</f>
        <v/>
      </c>
      <c r="AX213" s="106">
        <f>IF(C213="","",IF(AW213="","",AW213+'Paramètres'!$B$28))</f>
        <v/>
      </c>
      <c r="AY213" s="60">
        <f>IF(C213="","",SUMIFS('Saisie'!$H$5:$H$2004,'Saisie'!$C$5:$C$2004,C213))</f>
        <v/>
      </c>
      <c r="AZ213" s="60">
        <f>IF(C213="","",IFERROR(INDEX('Paramètres'!$W$6:$W$20,MATCH(S213,'Paramètres'!$V$6:$V$20,0))&amp;"",""))</f>
        <v/>
      </c>
      <c r="BA213" s="60">
        <f>IF(C213="","",MAX(1,_xlfn.MAXIFS('Saisie'!$AT$5:$AT$2004,'Saisie'!$C$5:$C$2004,C213)))</f>
        <v/>
      </c>
      <c r="BB213" s="60">
        <f>IF(C213="","",IFERROR(INDEX('Saisie'!$X$5:$X$2004,_xlfn.MAXIFS('Saisie'!$AS$5:$AS$2004,'Saisie'!$C$5:$C$2004,C213,'Saisie'!$X$5:$X$2004,"&lt;&gt;")-4),""))</f>
        <v/>
      </c>
      <c r="BC213" s="60">
        <f>IF(C213="","",IFERROR(INDEX('Saisie'!$Y$5:$Y$2004,_xlfn.MAXIFS('Saisie'!$AS$5:$AS$2004,'Saisie'!$C$5:$C$2004,C213,'Saisie'!$Y$5:$Y$2004,"&lt;&gt;")-4),""))</f>
        <v/>
      </c>
      <c r="BD213" s="106">
        <f>IF(C213="","",IFERROR(1/(1/_xlfn.MINIFS('Saisie'!$A$5:$A$2004,'Saisie'!$C$5:$C$2004,C213,'Saisie'!$AT$5:$AT$2004,"&gt;=2")),""))</f>
        <v/>
      </c>
      <c r="BE213" s="106">
        <f>IF(C213="","",IFERROR(1/(1/_xlfn.MINIFS('Saisie'!$A$5:$A$2004,'Saisie'!$C$5:$C$2004,C213,'Saisie'!$AT$5:$AT$2004,"&gt;=3")),""))</f>
        <v/>
      </c>
      <c r="BF213" s="106">
        <f>IF(C213="","",IFERROR(1/(1/_xlfn.MINIFS('Saisie'!$A$5:$A$2004,'Saisie'!$C$5:$C$2004,C213,'Saisie'!$AT$5:$AT$2004,"&gt;=4")),""))</f>
        <v/>
      </c>
      <c r="BG213" s="106">
        <f>IF(C213="","",IFERROR(1/(1/_xlfn.MINIFS('Saisie'!$A$5:$A$2004,'Saisie'!$C$5:$C$2004,C213,'Saisie'!$AT$5:$AT$2004,"&gt;=5")),""))</f>
        <v/>
      </c>
      <c r="BH213" s="106">
        <f>IF(C213="","",IFERROR(1/(1/_xlfn.MINIFS('Saisie'!$A$5:$A$2004,'Saisie'!$C$5:$C$2004,C213,'Saisie'!$AT$5:$AT$2004,"&gt;=6")),""))</f>
        <v/>
      </c>
      <c r="BI213" s="106">
        <f>IF(C213="","",IFERROR(1/(1/_xlfn.MINIFS('Saisie'!$A$5:$A$2004,'Saisie'!$C$5:$C$2004,C213,'Saisie'!$AT$5:$AT$2004,"&gt;=7")),""))</f>
        <v/>
      </c>
      <c r="BJ213" s="60">
        <f>IF(OR(BD213="",B213=""),"",BD213-B213)</f>
        <v/>
      </c>
      <c r="BK213" s="60">
        <f>IF(OR(BE213="",BD213=""),"",BE213-BD213)</f>
        <v/>
      </c>
      <c r="BL213" s="60">
        <f>IF(OR(BF213="",BE213=""),"",BF213-BE213)</f>
        <v/>
      </c>
      <c r="BM213" s="60">
        <f>IF(OR(BG213="",BF213=""),"",BG213-BF213)</f>
        <v/>
      </c>
      <c r="BN213" s="60">
        <f>IF(OR(BH213="",BG213=""),"",BH213-BG213)</f>
        <v/>
      </c>
      <c r="BO213" s="60">
        <f>IF(OR(BI213="",BH213=""),"",BI213-BH213)</f>
        <v/>
      </c>
      <c r="BP213" s="60">
        <f>IF(C213="","",_xlfn.MAXIFS('Saisie'!$AS$5:$AS$2004,'Saisie'!$C$5:$C$2004,C213,'Saisie'!$J$5:$J$2004,"&lt;&gt;"))</f>
        <v/>
      </c>
      <c r="BQ213" s="60">
        <f>IF(C213="","",_xlfn.MAXIFS('Saisie'!$AS$5:$AS$2004,'Saisie'!$C$5:$C$2004,C213))</f>
        <v/>
      </c>
      <c r="BR213" s="60">
        <f>IF(C213="","",_xlfn.MAXIFS('Saisie'!$AS$5:$AS$2004,'Saisie'!$C$5:$C$2004,C213,'Saisie'!$E$5:$E$2004,"Perdu"))</f>
        <v/>
      </c>
      <c r="BS213" s="60">
        <f>IF(C213="","",_xlfn.MAXIFS('Saisie'!$AS$5:$AS$2004,'Saisie'!$C$5:$C$2004,C213,'Saisie'!$AT$5:$AT$2004,"&gt;0"))</f>
        <v/>
      </c>
      <c r="BT213" s="109">
        <f>IF(AND(C213&lt;&gt;"",OR(D213="Nouveau",D213="Contacté",D213="Qualifié"),OR(G213="",N(G213)&lt;=TODAY()),NOT(AND(O213&gt;='Paramètres'!$B$21,P213=0))),E213+209/10000,"")</f>
        <v/>
      </c>
      <c r="BU213" s="60">
        <f>IF(AND(G213&lt;&gt;"",N(G213)&lt;=TODAY()),MAX($BU$4:BU212)+1,"")</f>
        <v/>
      </c>
      <c r="BV213" s="60">
        <f>IF(AND(F213&lt;&gt;"",F213&lt;&gt;"Relance en retard"),MAX($BV$4:BV212)+1,"")</f>
        <v/>
      </c>
      <c r="BW213" s="60">
        <f>IF(C213="","",IF(AND(B213&gt;='Tableau de bord'!$R$4,B213&lt;='Tableau de bord'!$S$4,OR('Tableau de bord'!$G$4="Tous",N213='Tableau de bord'!$G$4)),1,0))</f>
        <v/>
      </c>
      <c r="BX213" s="60">
        <f>IF(AND(C213&lt;&gt;"",N(BA213)=7),MAX($BX$4:BX212)+1,"")</f>
        <v/>
      </c>
    </row>
    <row r="214">
      <c r="A214" s="60">
        <f>IF(C214="","","P-"&amp;TEXT(210,"000"))</f>
        <v/>
      </c>
      <c r="B214" s="106">
        <f>IF(C214="","",IFERROR(1/(1/_xlfn.MINIFS('Saisie'!$A$5:$A$2004,'Saisie'!$C$5:$C$2004,C214)),""))</f>
        <v/>
      </c>
      <c r="C214" s="60">
        <f>IFERROR(INDEX('Saisie'!$C$5:$C$2004,MATCH(210,'Saisie'!$AX$5:$AX$2004,0)),"")</f>
        <v/>
      </c>
      <c r="D214" s="60">
        <f>IF(C214="","",IF(AND(BR214&gt;0,BR214&gt;BS214,BA214&lt;7),"Perdu",INDEX('Paramètres'!$F$6:$F$13,BA214)))</f>
        <v/>
      </c>
      <c r="E214" s="61">
        <f>IF(C214="","",MIN(100,(Z214="Oui")*'Paramètres'!$B$38+(AB214="Régulière")*'Paramètres'!$B$39+IF(AND(N(AA214)&gt;0,TODAY()-N(AA214)&lt;=30),'Paramètres'!$B$40,0)+(W214="")*'Paramètres'!$B$41+(AC214="Absente")*'Paramètres'!$B$42+(AC214="Faible")*'Paramètres'!$B$43+IF(AND(N(AD214)&gt;0,N(AD214)&lt;4),'Paramètres'!$B$44,0)+(AF214="Moyenne")*'Paramètres'!$B$45+(AF214="Grande")*'Paramètres'!$B$46+(Y214&lt;&gt;"")*'Paramètres'!$B$47))</f>
        <v/>
      </c>
      <c r="F214" s="60">
        <f>IF(C214="","",IF(D214="Gagné","",IF(D214="Perdu",IF(AND(AX214&lt;&gt;"",AX214&lt;=TODAY()),"À recontacter (perdu)",""),IF(AND(O214&gt;='Paramètres'!$B$21,P214=0),"Stop : "&amp;'Paramètres'!$B$21&amp;" tentatives sans réponse",IF(AND(D214="Proposition",AR214&lt;&gt;"",TODAY()&gt;N(AR214)),"Proposition expirée",IF(AND(D214="Proposition",N(R214)&gt;='Paramètres'!$B$25),"Proposition sans réponse",IF(AND(G214&lt;&gt;"",N(G214)&lt;TODAY()),"Relance en retard",IF(N(R214)&gt;='Paramètres'!$B$24,"Sans action depuis "&amp;R214&amp;" j",""))))))))</f>
        <v/>
      </c>
      <c r="G214" s="106">
        <f>IF(OR(C214="",D214="Gagné",D214="Perdu"),"",IF(AND(BP214&gt;0,BP214=BQ214),INDEX('Saisie'!$J$5:$J$2004,BP214-4),IF(OR(O214=0,AND(O214&gt;='Paramètres'!$B$21,P214=0)),"",Q214+IF(O214&lt;=1,'Paramètres'!$B$18,IF(O214=2,'Paramètres'!$B$19,'Paramètres'!$B$20)))))</f>
        <v/>
      </c>
      <c r="H214" s="107">
        <f>IF(OR(G214="",BP214&lt;&gt;BQ214),"",IF(INDEX('Saisie'!$K$5:$K$2004,BP214-4)="","",INDEX('Saisie'!$K$5:$K$2004,BP214-4)))</f>
        <v/>
      </c>
      <c r="I214" s="60">
        <f>IF(C214="","",IF(OR(D214="Gagné",D214="Perdu"),"",IFERROR(INDEX('Saisie'!$I$5:$I$2004,_xlfn.MAXIFS('Saisie'!$AS$5:$AS$2004,'Saisie'!$C$5:$C$2004,C214,'Saisie'!$I$5:$I$2004,"&lt;&gt;")-4),"")))</f>
        <v/>
      </c>
      <c r="J214" s="60">
        <f>IF(C214="","",IFERROR(INDEX('Saisie'!$U$5:$U$2004,_xlfn.MAXIFS('Saisie'!$AS$5:$AS$2004,'Saisie'!$C$5:$C$2004,C214,'Saisie'!$U$5:$U$2004,"&lt;&gt;")-4),""))</f>
        <v/>
      </c>
      <c r="K214" s="60">
        <f>IF(C214="","",IFERROR(INDEX('Saisie'!$W$5:$W$2004,_xlfn.MAXIFS('Saisie'!$AS$5:$AS$2004,'Saisie'!$C$5:$C$2004,C214,'Saisie'!$W$5:$W$2004,"&lt;&gt;")-4),""))</f>
        <v/>
      </c>
      <c r="L214" s="60">
        <f>IF(IF(BB214&lt;&gt;"",BB214,K214)="","",HYPERLINK("https://wa.me/"&amp;IF(LEFT(SUBSTITUTE(SUBSTITUTE(SUBSTITUTE(IF(BB214&lt;&gt;"",BB214,K214)," ",""),".",""),"+",""),1)="0",'Paramètres'!$B$35&amp;MID(SUBSTITUTE(SUBSTITUTE(SUBSTITUTE(IF(BB214&lt;&gt;"",BB214,K214)," ",""),".",""),"+",""),2,20),SUBSTITUTE(SUBSTITUTE(SUBSTITUTE(IF(BB214&lt;&gt;"",BB214,K214)," ",""),".",""),"+","")),"WhatsApp"))</f>
        <v/>
      </c>
      <c r="M214" s="60">
        <f>IF(BC214="","",HYPERLINK(IF(LEFT(BC214,4)="http",BC214,"https://www.instagram.com/"&amp;SUBSTITUTE(SUBSTITUTE(BC214,"@","")," ","")),BC214))</f>
        <v/>
      </c>
      <c r="N214" s="60">
        <f>IF(C214="","",IFERROR(INDEX('Saisie'!$D$5:$D$2004,_xlfn.MINIFS('Saisie'!$AS$5:$AS$2004,'Saisie'!$C$5:$C$2004,C214,'Saisie'!$AU$5:$AU$2004,1)-4),IFERROR(INDEX('Saisie'!$D$5:$D$2004,_xlfn.MINIFS('Saisie'!$AS$5:$AS$2004,'Saisie'!$C$5:$C$2004,C214,'Saisie'!$D$5:$D$2004,"&lt;&gt;")-4),"")))</f>
        <v/>
      </c>
      <c r="O214" s="60">
        <f>IF(C214="","",COUNTIFS('Saisie'!$C$5:$C$2004,C214,'Saisie'!$AU$5:$AU$2004,1))</f>
        <v/>
      </c>
      <c r="P214" s="60">
        <f>IF(C214="","",COUNTIFS('Saisie'!$C$5:$C$2004,C214,'Saisie'!$AV$5:$AV$2004,1))</f>
        <v/>
      </c>
      <c r="Q214" s="106">
        <f>IF(C214="","",IFERROR(1/(1/_xlfn.MAXIFS('Saisie'!$A$5:$A$2004,'Saisie'!$C$5:$C$2004,C214)),""))</f>
        <v/>
      </c>
      <c r="R214" s="61">
        <f>IF(C214="","",IF(Q214="","",TODAY()-Q214))</f>
        <v/>
      </c>
      <c r="S214" s="60">
        <f>IF(C214="","",IFERROR(INDEX('Saisie'!$R$5:$R$2004,_xlfn.MAXIFS('Saisie'!$AS$5:$AS$2004,'Saisie'!$C$5:$C$2004,C214,'Saisie'!$R$5:$R$2004,"&lt;&gt;")-4),""))</f>
        <v/>
      </c>
      <c r="T214" s="60">
        <f>IF(C214="","",IFERROR(INDEX('Saisie'!$S$5:$S$2004,_xlfn.MAXIFS('Saisie'!$AS$5:$AS$2004,'Saisie'!$C$5:$C$2004,C214,'Saisie'!$S$5:$S$2004,"&lt;&gt;")-4),""))</f>
        <v/>
      </c>
      <c r="U214" s="60">
        <f>IF(C214="","",IFERROR(INDEX('Saisie'!$T$5:$T$2004,_xlfn.MAXIFS('Saisie'!$AS$5:$AS$2004,'Saisie'!$C$5:$C$2004,C214,'Saisie'!$T$5:$T$2004,"&lt;&gt;")-4),""))</f>
        <v/>
      </c>
      <c r="V214" s="60">
        <f>IF(C214="","",IFERROR(INDEX('Saisie'!$V$5:$V$2004,_xlfn.MAXIFS('Saisie'!$AS$5:$AS$2004,'Saisie'!$C$5:$C$2004,C214,'Saisie'!$V$5:$V$2004,"&lt;&gt;")-4),""))</f>
        <v/>
      </c>
      <c r="W214" s="60">
        <f>IF(C214="","",IFERROR(INDEX('Saisie'!$Z$5:$Z$2004,_xlfn.MAXIFS('Saisie'!$AS$5:$AS$2004,'Saisie'!$C$5:$C$2004,C214,'Saisie'!$Z$5:$Z$2004,"&lt;&gt;")-4),""))</f>
        <v/>
      </c>
      <c r="X214" s="60">
        <f>IF(C214="","",IFERROR(INDEX('Saisie'!$AA$5:$AA$2004,_xlfn.MAXIFS('Saisie'!$AS$5:$AS$2004,'Saisie'!$C$5:$C$2004,C214,'Saisie'!$AA$5:$AA$2004,"&lt;&gt;")-4),""))</f>
        <v/>
      </c>
      <c r="Y214" s="60">
        <f>IF(C214="","",IFERROR(INDEX('Saisie'!$AB$5:$AB$2004,_xlfn.MAXIFS('Saisie'!$AS$5:$AS$2004,'Saisie'!$C$5:$C$2004,C214,'Saisie'!$AB$5:$AB$2004,"&lt;&gt;")-4),""))</f>
        <v/>
      </c>
      <c r="Z214" s="60">
        <f>IF(C214="","",IFERROR(INDEX('Saisie'!$AC$5:$AC$2004,_xlfn.MAXIFS('Saisie'!$AS$5:$AS$2004,'Saisie'!$C$5:$C$2004,C214,'Saisie'!$AC$5:$AC$2004,"&lt;&gt;")-4),""))</f>
        <v/>
      </c>
      <c r="AA214" s="106">
        <f>IF(C214="","",IFERROR(INDEX('Saisie'!$AD$5:$AD$2004,_xlfn.MAXIFS('Saisie'!$AS$5:$AS$2004,'Saisie'!$C$5:$C$2004,C214,'Saisie'!$AD$5:$AD$2004,"&lt;&gt;")-4),""))</f>
        <v/>
      </c>
      <c r="AB214" s="60">
        <f>IF(C214="","",IFERROR(INDEX('Saisie'!$AE$5:$AE$2004,_xlfn.MAXIFS('Saisie'!$AS$5:$AS$2004,'Saisie'!$C$5:$C$2004,C214,'Saisie'!$AE$5:$AE$2004,"&lt;&gt;")-4),""))</f>
        <v/>
      </c>
      <c r="AC214" s="60">
        <f>IF(C214="","",IFERROR(INDEX('Saisie'!$AF$5:$AF$2004,_xlfn.MAXIFS('Saisie'!$AS$5:$AS$2004,'Saisie'!$C$5:$C$2004,C214,'Saisie'!$AF$5:$AF$2004,"&lt;&gt;")-4),""))</f>
        <v/>
      </c>
      <c r="AD214" s="108">
        <f>IF(C214="","",IFERROR(INDEX('Saisie'!$AG$5:$AG$2004,_xlfn.MAXIFS('Saisie'!$AS$5:$AS$2004,'Saisie'!$C$5:$C$2004,C214,'Saisie'!$AG$5:$AG$2004,"&lt;&gt;")-4),""))</f>
        <v/>
      </c>
      <c r="AE214" s="60">
        <f>IF(C214="","",IFERROR(INDEX('Saisie'!$AH$5:$AH$2004,_xlfn.MAXIFS('Saisie'!$AS$5:$AS$2004,'Saisie'!$C$5:$C$2004,C214,'Saisie'!$AH$5:$AH$2004,"&lt;&gt;")-4),""))</f>
        <v/>
      </c>
      <c r="AF214" s="60">
        <f>IF(C214="","",IFERROR(INDEX('Saisie'!$AI$5:$AI$2004,_xlfn.MAXIFS('Saisie'!$AS$5:$AS$2004,'Saisie'!$C$5:$C$2004,C214,'Saisie'!$AI$5:$AI$2004,"&lt;&gt;")-4),""))</f>
        <v/>
      </c>
      <c r="AG214" s="60">
        <f>IF(C214="","",IFERROR(INDEX('Saisie'!$AJ$5:$AJ$2004,_xlfn.MAXIFS('Saisie'!$AS$5:$AS$2004,'Saisie'!$C$5:$C$2004,C214,'Saisie'!$AJ$5:$AJ$2004,"&lt;&gt;")-4),""))</f>
        <v/>
      </c>
      <c r="AH214" s="60">
        <f>IF(C214="","",IFERROR(INDEX('Saisie'!$AK$5:$AK$2004,_xlfn.MAXIFS('Saisie'!$AS$5:$AS$2004,'Saisie'!$C$5:$C$2004,C214,'Saisie'!$AK$5:$AK$2004,"&lt;&gt;")-4),""))</f>
        <v/>
      </c>
      <c r="AI214" s="60">
        <f>IF(C214="","",IFERROR(INDEX('Saisie'!$AN$5:$AN$2004,_xlfn.MAXIFS('Saisie'!$AS$5:$AS$2004,'Saisie'!$C$5:$C$2004,C214,'Saisie'!$AN$5:$AN$2004,"&lt;&gt;")-4),""))</f>
        <v/>
      </c>
      <c r="AJ214" s="60">
        <f>IF(C214="","",IFERROR(INDEX('Saisie'!$AO$5:$AO$2004,_xlfn.MAXIFS('Saisie'!$AS$5:$AS$2004,'Saisie'!$C$5:$C$2004,C214,'Saisie'!$AO$5:$AO$2004,"&lt;&gt;")-4),""))</f>
        <v/>
      </c>
      <c r="AK214" s="60">
        <f>IF(C214="","",IFERROR(INDEX('Saisie'!$AP$5:$AP$2004,_xlfn.MAXIFS('Saisie'!$AS$5:$AS$2004,'Saisie'!$C$5:$C$2004,C214,'Saisie'!$AP$5:$AP$2004,"&lt;&gt;")-4),""))</f>
        <v/>
      </c>
      <c r="AL214" s="60">
        <f>IF(C214="","",IFERROR(INDEX('Saisie'!$AQ$5:$AQ$2004,_xlfn.MAXIFS('Saisie'!$AS$5:$AS$2004,'Saisie'!$C$5:$C$2004,C214,'Saisie'!$AQ$5:$AQ$2004,"&lt;&gt;")-4),""))</f>
        <v/>
      </c>
      <c r="AM214" s="60">
        <f>IF(C214="","",((AI214="Oui")+(AJ214="Oui")+(AK214="Oui")+OR(AL214="Immédiat",AL214="&lt; 1 mois"))&amp;"/4")</f>
        <v/>
      </c>
      <c r="AN214" s="60">
        <f>IF(C214="","",IFERROR(INDEX('Saisie'!$AL$5:$AL$2004,_xlfn.MAXIFS('Saisie'!$AS$5:$AS$2004,'Saisie'!$C$5:$C$2004,C214,'Saisie'!$AL$5:$AL$2004,"&lt;&gt;")-4),""))</f>
        <v/>
      </c>
      <c r="AO214" s="62">
        <f>IF(C214="","",IF(IFERROR(INDEX('Saisie'!$AM$5:$AM$2004,_xlfn.MAXIFS('Saisie'!$AS$5:$AS$2004,'Saisie'!$C$5:$C$2004,C214,'Saisie'!$AM$5:$AM$2004,"&lt;&gt;")-4),"")&lt;&gt;"",IFERROR(INDEX('Saisie'!$AM$5:$AM$2004,_xlfn.MAXIFS('Saisie'!$AS$5:$AS$2004,'Saisie'!$C$5:$C$2004,C214,'Saisie'!$AM$5:$AM$2004,"&lt;&gt;")-4),""),IFERROR(INDEX('Paramètres'!$S$6:$S$15,MATCH(AN214,'Paramètres'!$Q$6:$Q$15,0)),"")))</f>
        <v/>
      </c>
      <c r="AP214" s="62">
        <f>IF(C214="","",IFERROR(INDEX('Saisie'!$AW$5:$AW$2004,_xlfn.MAXIFS('Saisie'!$AS$5:$AS$2004,'Saisie'!$C$5:$C$2004,C214,'Saisie'!$E$5:$E$2004,"Proposition envoyée")-4),""))</f>
        <v/>
      </c>
      <c r="AQ214" s="106">
        <f>IF(C214="","",IFERROR(1/(1/_xlfn.MAXIFS('Saisie'!$A$5:$A$2004,'Saisie'!$C$5:$C$2004,C214,'Saisie'!$E$5:$E$2004,"Proposition envoyée")),""))</f>
        <v/>
      </c>
      <c r="AR214" s="106">
        <f>IF(C214="","",IF(AQ214="","",AQ214+'Paramètres'!$B$26))</f>
        <v/>
      </c>
      <c r="AS214" s="62">
        <f>IF(OR(C214="",D214="Gagné",D214="Perdu"),0,N(AP214)*IFERROR(INDEX('Paramètres'!$G$6:$G$13,MATCH(D214,'Paramètres'!$F$6:$F$13,0)),0))</f>
        <v/>
      </c>
      <c r="AT214" s="106">
        <f>IF(C214="","",IFERROR(1/(1/_xlfn.MINIFS('Saisie'!$A$5:$A$2004,'Saisie'!$C$5:$C$2004,C214,'Saisie'!$E$5:$E$2004,"Signature")),""))</f>
        <v/>
      </c>
      <c r="AU214" s="60">
        <f>IF(C214="","",IF(OR(AT214="",B214=""),"",AT214-B214))</f>
        <v/>
      </c>
      <c r="AV214" s="60">
        <f>IF(C214="","",IFERROR(INDEX('Saisie'!$L$5:$L$2004,_xlfn.MAXIFS('Saisie'!$AS$5:$AS$2004,'Saisie'!$C$5:$C$2004,C214,'Saisie'!$L$5:$L$2004,"&lt;&gt;")-4),""))</f>
        <v/>
      </c>
      <c r="AW214" s="106">
        <f>IF(C214="","",IF(D214&lt;&gt;"Perdu","",IFERROR(1/(1/_xlfn.MAXIFS('Saisie'!$A$5:$A$2004,'Saisie'!$C$5:$C$2004,C214,'Saisie'!$E$5:$E$2004,"Perdu")),"")))</f>
        <v/>
      </c>
      <c r="AX214" s="106">
        <f>IF(C214="","",IF(AW214="","",AW214+'Paramètres'!$B$28))</f>
        <v/>
      </c>
      <c r="AY214" s="60">
        <f>IF(C214="","",SUMIFS('Saisie'!$H$5:$H$2004,'Saisie'!$C$5:$C$2004,C214))</f>
        <v/>
      </c>
      <c r="AZ214" s="60">
        <f>IF(C214="","",IFERROR(INDEX('Paramètres'!$W$6:$W$20,MATCH(S214,'Paramètres'!$V$6:$V$20,0))&amp;"",""))</f>
        <v/>
      </c>
      <c r="BA214" s="60">
        <f>IF(C214="","",MAX(1,_xlfn.MAXIFS('Saisie'!$AT$5:$AT$2004,'Saisie'!$C$5:$C$2004,C214)))</f>
        <v/>
      </c>
      <c r="BB214" s="60">
        <f>IF(C214="","",IFERROR(INDEX('Saisie'!$X$5:$X$2004,_xlfn.MAXIFS('Saisie'!$AS$5:$AS$2004,'Saisie'!$C$5:$C$2004,C214,'Saisie'!$X$5:$X$2004,"&lt;&gt;")-4),""))</f>
        <v/>
      </c>
      <c r="BC214" s="60">
        <f>IF(C214="","",IFERROR(INDEX('Saisie'!$Y$5:$Y$2004,_xlfn.MAXIFS('Saisie'!$AS$5:$AS$2004,'Saisie'!$C$5:$C$2004,C214,'Saisie'!$Y$5:$Y$2004,"&lt;&gt;")-4),""))</f>
        <v/>
      </c>
      <c r="BD214" s="106">
        <f>IF(C214="","",IFERROR(1/(1/_xlfn.MINIFS('Saisie'!$A$5:$A$2004,'Saisie'!$C$5:$C$2004,C214,'Saisie'!$AT$5:$AT$2004,"&gt;=2")),""))</f>
        <v/>
      </c>
      <c r="BE214" s="106">
        <f>IF(C214="","",IFERROR(1/(1/_xlfn.MINIFS('Saisie'!$A$5:$A$2004,'Saisie'!$C$5:$C$2004,C214,'Saisie'!$AT$5:$AT$2004,"&gt;=3")),""))</f>
        <v/>
      </c>
      <c r="BF214" s="106">
        <f>IF(C214="","",IFERROR(1/(1/_xlfn.MINIFS('Saisie'!$A$5:$A$2004,'Saisie'!$C$5:$C$2004,C214,'Saisie'!$AT$5:$AT$2004,"&gt;=4")),""))</f>
        <v/>
      </c>
      <c r="BG214" s="106">
        <f>IF(C214="","",IFERROR(1/(1/_xlfn.MINIFS('Saisie'!$A$5:$A$2004,'Saisie'!$C$5:$C$2004,C214,'Saisie'!$AT$5:$AT$2004,"&gt;=5")),""))</f>
        <v/>
      </c>
      <c r="BH214" s="106">
        <f>IF(C214="","",IFERROR(1/(1/_xlfn.MINIFS('Saisie'!$A$5:$A$2004,'Saisie'!$C$5:$C$2004,C214,'Saisie'!$AT$5:$AT$2004,"&gt;=6")),""))</f>
        <v/>
      </c>
      <c r="BI214" s="106">
        <f>IF(C214="","",IFERROR(1/(1/_xlfn.MINIFS('Saisie'!$A$5:$A$2004,'Saisie'!$C$5:$C$2004,C214,'Saisie'!$AT$5:$AT$2004,"&gt;=7")),""))</f>
        <v/>
      </c>
      <c r="BJ214" s="60">
        <f>IF(OR(BD214="",B214=""),"",BD214-B214)</f>
        <v/>
      </c>
      <c r="BK214" s="60">
        <f>IF(OR(BE214="",BD214=""),"",BE214-BD214)</f>
        <v/>
      </c>
      <c r="BL214" s="60">
        <f>IF(OR(BF214="",BE214=""),"",BF214-BE214)</f>
        <v/>
      </c>
      <c r="BM214" s="60">
        <f>IF(OR(BG214="",BF214=""),"",BG214-BF214)</f>
        <v/>
      </c>
      <c r="BN214" s="60">
        <f>IF(OR(BH214="",BG214=""),"",BH214-BG214)</f>
        <v/>
      </c>
      <c r="BO214" s="60">
        <f>IF(OR(BI214="",BH214=""),"",BI214-BH214)</f>
        <v/>
      </c>
      <c r="BP214" s="60">
        <f>IF(C214="","",_xlfn.MAXIFS('Saisie'!$AS$5:$AS$2004,'Saisie'!$C$5:$C$2004,C214,'Saisie'!$J$5:$J$2004,"&lt;&gt;"))</f>
        <v/>
      </c>
      <c r="BQ214" s="60">
        <f>IF(C214="","",_xlfn.MAXIFS('Saisie'!$AS$5:$AS$2004,'Saisie'!$C$5:$C$2004,C214))</f>
        <v/>
      </c>
      <c r="BR214" s="60">
        <f>IF(C214="","",_xlfn.MAXIFS('Saisie'!$AS$5:$AS$2004,'Saisie'!$C$5:$C$2004,C214,'Saisie'!$E$5:$E$2004,"Perdu"))</f>
        <v/>
      </c>
      <c r="BS214" s="60">
        <f>IF(C214="","",_xlfn.MAXIFS('Saisie'!$AS$5:$AS$2004,'Saisie'!$C$5:$C$2004,C214,'Saisie'!$AT$5:$AT$2004,"&gt;0"))</f>
        <v/>
      </c>
      <c r="BT214" s="109">
        <f>IF(AND(C214&lt;&gt;"",OR(D214="Nouveau",D214="Contacté",D214="Qualifié"),OR(G214="",N(G214)&lt;=TODAY()),NOT(AND(O214&gt;='Paramètres'!$B$21,P214=0))),E214+210/10000,"")</f>
        <v/>
      </c>
      <c r="BU214" s="60">
        <f>IF(AND(G214&lt;&gt;"",N(G214)&lt;=TODAY()),MAX($BU$4:BU213)+1,"")</f>
        <v/>
      </c>
      <c r="BV214" s="60">
        <f>IF(AND(F214&lt;&gt;"",F214&lt;&gt;"Relance en retard"),MAX($BV$4:BV213)+1,"")</f>
        <v/>
      </c>
      <c r="BW214" s="60">
        <f>IF(C214="","",IF(AND(B214&gt;='Tableau de bord'!$R$4,B214&lt;='Tableau de bord'!$S$4,OR('Tableau de bord'!$G$4="Tous",N214='Tableau de bord'!$G$4)),1,0))</f>
        <v/>
      </c>
      <c r="BX214" s="60">
        <f>IF(AND(C214&lt;&gt;"",N(BA214)=7),MAX($BX$4:BX213)+1,"")</f>
        <v/>
      </c>
    </row>
    <row r="215">
      <c r="A215" s="60">
        <f>IF(C215="","","P-"&amp;TEXT(211,"000"))</f>
        <v/>
      </c>
      <c r="B215" s="106">
        <f>IF(C215="","",IFERROR(1/(1/_xlfn.MINIFS('Saisie'!$A$5:$A$2004,'Saisie'!$C$5:$C$2004,C215)),""))</f>
        <v/>
      </c>
      <c r="C215" s="60">
        <f>IFERROR(INDEX('Saisie'!$C$5:$C$2004,MATCH(211,'Saisie'!$AX$5:$AX$2004,0)),"")</f>
        <v/>
      </c>
      <c r="D215" s="60">
        <f>IF(C215="","",IF(AND(BR215&gt;0,BR215&gt;BS215,BA215&lt;7),"Perdu",INDEX('Paramètres'!$F$6:$F$13,BA215)))</f>
        <v/>
      </c>
      <c r="E215" s="61">
        <f>IF(C215="","",MIN(100,(Z215="Oui")*'Paramètres'!$B$38+(AB215="Régulière")*'Paramètres'!$B$39+IF(AND(N(AA215)&gt;0,TODAY()-N(AA215)&lt;=30),'Paramètres'!$B$40,0)+(W215="")*'Paramètres'!$B$41+(AC215="Absente")*'Paramètres'!$B$42+(AC215="Faible")*'Paramètres'!$B$43+IF(AND(N(AD215)&gt;0,N(AD215)&lt;4),'Paramètres'!$B$44,0)+(AF215="Moyenne")*'Paramètres'!$B$45+(AF215="Grande")*'Paramètres'!$B$46+(Y215&lt;&gt;"")*'Paramètres'!$B$47))</f>
        <v/>
      </c>
      <c r="F215" s="60">
        <f>IF(C215="","",IF(D215="Gagné","",IF(D215="Perdu",IF(AND(AX215&lt;&gt;"",AX215&lt;=TODAY()),"À recontacter (perdu)",""),IF(AND(O215&gt;='Paramètres'!$B$21,P215=0),"Stop : "&amp;'Paramètres'!$B$21&amp;" tentatives sans réponse",IF(AND(D215="Proposition",AR215&lt;&gt;"",TODAY()&gt;N(AR215)),"Proposition expirée",IF(AND(D215="Proposition",N(R215)&gt;='Paramètres'!$B$25),"Proposition sans réponse",IF(AND(G215&lt;&gt;"",N(G215)&lt;TODAY()),"Relance en retard",IF(N(R215)&gt;='Paramètres'!$B$24,"Sans action depuis "&amp;R215&amp;" j",""))))))))</f>
        <v/>
      </c>
      <c r="G215" s="106">
        <f>IF(OR(C215="",D215="Gagné",D215="Perdu"),"",IF(AND(BP215&gt;0,BP215=BQ215),INDEX('Saisie'!$J$5:$J$2004,BP215-4),IF(OR(O215=0,AND(O215&gt;='Paramètres'!$B$21,P215=0)),"",Q215+IF(O215&lt;=1,'Paramètres'!$B$18,IF(O215=2,'Paramètres'!$B$19,'Paramètres'!$B$20)))))</f>
        <v/>
      </c>
      <c r="H215" s="107">
        <f>IF(OR(G215="",BP215&lt;&gt;BQ215),"",IF(INDEX('Saisie'!$K$5:$K$2004,BP215-4)="","",INDEX('Saisie'!$K$5:$K$2004,BP215-4)))</f>
        <v/>
      </c>
      <c r="I215" s="60">
        <f>IF(C215="","",IF(OR(D215="Gagné",D215="Perdu"),"",IFERROR(INDEX('Saisie'!$I$5:$I$2004,_xlfn.MAXIFS('Saisie'!$AS$5:$AS$2004,'Saisie'!$C$5:$C$2004,C215,'Saisie'!$I$5:$I$2004,"&lt;&gt;")-4),"")))</f>
        <v/>
      </c>
      <c r="J215" s="60">
        <f>IF(C215="","",IFERROR(INDEX('Saisie'!$U$5:$U$2004,_xlfn.MAXIFS('Saisie'!$AS$5:$AS$2004,'Saisie'!$C$5:$C$2004,C215,'Saisie'!$U$5:$U$2004,"&lt;&gt;")-4),""))</f>
        <v/>
      </c>
      <c r="K215" s="60">
        <f>IF(C215="","",IFERROR(INDEX('Saisie'!$W$5:$W$2004,_xlfn.MAXIFS('Saisie'!$AS$5:$AS$2004,'Saisie'!$C$5:$C$2004,C215,'Saisie'!$W$5:$W$2004,"&lt;&gt;")-4),""))</f>
        <v/>
      </c>
      <c r="L215" s="60">
        <f>IF(IF(BB215&lt;&gt;"",BB215,K215)="","",HYPERLINK("https://wa.me/"&amp;IF(LEFT(SUBSTITUTE(SUBSTITUTE(SUBSTITUTE(IF(BB215&lt;&gt;"",BB215,K215)," ",""),".",""),"+",""),1)="0",'Paramètres'!$B$35&amp;MID(SUBSTITUTE(SUBSTITUTE(SUBSTITUTE(IF(BB215&lt;&gt;"",BB215,K215)," ",""),".",""),"+",""),2,20),SUBSTITUTE(SUBSTITUTE(SUBSTITUTE(IF(BB215&lt;&gt;"",BB215,K215)," ",""),".",""),"+","")),"WhatsApp"))</f>
        <v/>
      </c>
      <c r="M215" s="60">
        <f>IF(BC215="","",HYPERLINK(IF(LEFT(BC215,4)="http",BC215,"https://www.instagram.com/"&amp;SUBSTITUTE(SUBSTITUTE(BC215,"@","")," ","")),BC215))</f>
        <v/>
      </c>
      <c r="N215" s="60">
        <f>IF(C215="","",IFERROR(INDEX('Saisie'!$D$5:$D$2004,_xlfn.MINIFS('Saisie'!$AS$5:$AS$2004,'Saisie'!$C$5:$C$2004,C215,'Saisie'!$AU$5:$AU$2004,1)-4),IFERROR(INDEX('Saisie'!$D$5:$D$2004,_xlfn.MINIFS('Saisie'!$AS$5:$AS$2004,'Saisie'!$C$5:$C$2004,C215,'Saisie'!$D$5:$D$2004,"&lt;&gt;")-4),"")))</f>
        <v/>
      </c>
      <c r="O215" s="60">
        <f>IF(C215="","",COUNTIFS('Saisie'!$C$5:$C$2004,C215,'Saisie'!$AU$5:$AU$2004,1))</f>
        <v/>
      </c>
      <c r="P215" s="60">
        <f>IF(C215="","",COUNTIFS('Saisie'!$C$5:$C$2004,C215,'Saisie'!$AV$5:$AV$2004,1))</f>
        <v/>
      </c>
      <c r="Q215" s="106">
        <f>IF(C215="","",IFERROR(1/(1/_xlfn.MAXIFS('Saisie'!$A$5:$A$2004,'Saisie'!$C$5:$C$2004,C215)),""))</f>
        <v/>
      </c>
      <c r="R215" s="61">
        <f>IF(C215="","",IF(Q215="","",TODAY()-Q215))</f>
        <v/>
      </c>
      <c r="S215" s="60">
        <f>IF(C215="","",IFERROR(INDEX('Saisie'!$R$5:$R$2004,_xlfn.MAXIFS('Saisie'!$AS$5:$AS$2004,'Saisie'!$C$5:$C$2004,C215,'Saisie'!$R$5:$R$2004,"&lt;&gt;")-4),""))</f>
        <v/>
      </c>
      <c r="T215" s="60">
        <f>IF(C215="","",IFERROR(INDEX('Saisie'!$S$5:$S$2004,_xlfn.MAXIFS('Saisie'!$AS$5:$AS$2004,'Saisie'!$C$5:$C$2004,C215,'Saisie'!$S$5:$S$2004,"&lt;&gt;")-4),""))</f>
        <v/>
      </c>
      <c r="U215" s="60">
        <f>IF(C215="","",IFERROR(INDEX('Saisie'!$T$5:$T$2004,_xlfn.MAXIFS('Saisie'!$AS$5:$AS$2004,'Saisie'!$C$5:$C$2004,C215,'Saisie'!$T$5:$T$2004,"&lt;&gt;")-4),""))</f>
        <v/>
      </c>
      <c r="V215" s="60">
        <f>IF(C215="","",IFERROR(INDEX('Saisie'!$V$5:$V$2004,_xlfn.MAXIFS('Saisie'!$AS$5:$AS$2004,'Saisie'!$C$5:$C$2004,C215,'Saisie'!$V$5:$V$2004,"&lt;&gt;")-4),""))</f>
        <v/>
      </c>
      <c r="W215" s="60">
        <f>IF(C215="","",IFERROR(INDEX('Saisie'!$Z$5:$Z$2004,_xlfn.MAXIFS('Saisie'!$AS$5:$AS$2004,'Saisie'!$C$5:$C$2004,C215,'Saisie'!$Z$5:$Z$2004,"&lt;&gt;")-4),""))</f>
        <v/>
      </c>
      <c r="X215" s="60">
        <f>IF(C215="","",IFERROR(INDEX('Saisie'!$AA$5:$AA$2004,_xlfn.MAXIFS('Saisie'!$AS$5:$AS$2004,'Saisie'!$C$5:$C$2004,C215,'Saisie'!$AA$5:$AA$2004,"&lt;&gt;")-4),""))</f>
        <v/>
      </c>
      <c r="Y215" s="60">
        <f>IF(C215="","",IFERROR(INDEX('Saisie'!$AB$5:$AB$2004,_xlfn.MAXIFS('Saisie'!$AS$5:$AS$2004,'Saisie'!$C$5:$C$2004,C215,'Saisie'!$AB$5:$AB$2004,"&lt;&gt;")-4),""))</f>
        <v/>
      </c>
      <c r="Z215" s="60">
        <f>IF(C215="","",IFERROR(INDEX('Saisie'!$AC$5:$AC$2004,_xlfn.MAXIFS('Saisie'!$AS$5:$AS$2004,'Saisie'!$C$5:$C$2004,C215,'Saisie'!$AC$5:$AC$2004,"&lt;&gt;")-4),""))</f>
        <v/>
      </c>
      <c r="AA215" s="106">
        <f>IF(C215="","",IFERROR(INDEX('Saisie'!$AD$5:$AD$2004,_xlfn.MAXIFS('Saisie'!$AS$5:$AS$2004,'Saisie'!$C$5:$C$2004,C215,'Saisie'!$AD$5:$AD$2004,"&lt;&gt;")-4),""))</f>
        <v/>
      </c>
      <c r="AB215" s="60">
        <f>IF(C215="","",IFERROR(INDEX('Saisie'!$AE$5:$AE$2004,_xlfn.MAXIFS('Saisie'!$AS$5:$AS$2004,'Saisie'!$C$5:$C$2004,C215,'Saisie'!$AE$5:$AE$2004,"&lt;&gt;")-4),""))</f>
        <v/>
      </c>
      <c r="AC215" s="60">
        <f>IF(C215="","",IFERROR(INDEX('Saisie'!$AF$5:$AF$2004,_xlfn.MAXIFS('Saisie'!$AS$5:$AS$2004,'Saisie'!$C$5:$C$2004,C215,'Saisie'!$AF$5:$AF$2004,"&lt;&gt;")-4),""))</f>
        <v/>
      </c>
      <c r="AD215" s="108">
        <f>IF(C215="","",IFERROR(INDEX('Saisie'!$AG$5:$AG$2004,_xlfn.MAXIFS('Saisie'!$AS$5:$AS$2004,'Saisie'!$C$5:$C$2004,C215,'Saisie'!$AG$5:$AG$2004,"&lt;&gt;")-4),""))</f>
        <v/>
      </c>
      <c r="AE215" s="60">
        <f>IF(C215="","",IFERROR(INDEX('Saisie'!$AH$5:$AH$2004,_xlfn.MAXIFS('Saisie'!$AS$5:$AS$2004,'Saisie'!$C$5:$C$2004,C215,'Saisie'!$AH$5:$AH$2004,"&lt;&gt;")-4),""))</f>
        <v/>
      </c>
      <c r="AF215" s="60">
        <f>IF(C215="","",IFERROR(INDEX('Saisie'!$AI$5:$AI$2004,_xlfn.MAXIFS('Saisie'!$AS$5:$AS$2004,'Saisie'!$C$5:$C$2004,C215,'Saisie'!$AI$5:$AI$2004,"&lt;&gt;")-4),""))</f>
        <v/>
      </c>
      <c r="AG215" s="60">
        <f>IF(C215="","",IFERROR(INDEX('Saisie'!$AJ$5:$AJ$2004,_xlfn.MAXIFS('Saisie'!$AS$5:$AS$2004,'Saisie'!$C$5:$C$2004,C215,'Saisie'!$AJ$5:$AJ$2004,"&lt;&gt;")-4),""))</f>
        <v/>
      </c>
      <c r="AH215" s="60">
        <f>IF(C215="","",IFERROR(INDEX('Saisie'!$AK$5:$AK$2004,_xlfn.MAXIFS('Saisie'!$AS$5:$AS$2004,'Saisie'!$C$5:$C$2004,C215,'Saisie'!$AK$5:$AK$2004,"&lt;&gt;")-4),""))</f>
        <v/>
      </c>
      <c r="AI215" s="60">
        <f>IF(C215="","",IFERROR(INDEX('Saisie'!$AN$5:$AN$2004,_xlfn.MAXIFS('Saisie'!$AS$5:$AS$2004,'Saisie'!$C$5:$C$2004,C215,'Saisie'!$AN$5:$AN$2004,"&lt;&gt;")-4),""))</f>
        <v/>
      </c>
      <c r="AJ215" s="60">
        <f>IF(C215="","",IFERROR(INDEX('Saisie'!$AO$5:$AO$2004,_xlfn.MAXIFS('Saisie'!$AS$5:$AS$2004,'Saisie'!$C$5:$C$2004,C215,'Saisie'!$AO$5:$AO$2004,"&lt;&gt;")-4),""))</f>
        <v/>
      </c>
      <c r="AK215" s="60">
        <f>IF(C215="","",IFERROR(INDEX('Saisie'!$AP$5:$AP$2004,_xlfn.MAXIFS('Saisie'!$AS$5:$AS$2004,'Saisie'!$C$5:$C$2004,C215,'Saisie'!$AP$5:$AP$2004,"&lt;&gt;")-4),""))</f>
        <v/>
      </c>
      <c r="AL215" s="60">
        <f>IF(C215="","",IFERROR(INDEX('Saisie'!$AQ$5:$AQ$2004,_xlfn.MAXIFS('Saisie'!$AS$5:$AS$2004,'Saisie'!$C$5:$C$2004,C215,'Saisie'!$AQ$5:$AQ$2004,"&lt;&gt;")-4),""))</f>
        <v/>
      </c>
      <c r="AM215" s="60">
        <f>IF(C215="","",((AI215="Oui")+(AJ215="Oui")+(AK215="Oui")+OR(AL215="Immédiat",AL215="&lt; 1 mois"))&amp;"/4")</f>
        <v/>
      </c>
      <c r="AN215" s="60">
        <f>IF(C215="","",IFERROR(INDEX('Saisie'!$AL$5:$AL$2004,_xlfn.MAXIFS('Saisie'!$AS$5:$AS$2004,'Saisie'!$C$5:$C$2004,C215,'Saisie'!$AL$5:$AL$2004,"&lt;&gt;")-4),""))</f>
        <v/>
      </c>
      <c r="AO215" s="62">
        <f>IF(C215="","",IF(IFERROR(INDEX('Saisie'!$AM$5:$AM$2004,_xlfn.MAXIFS('Saisie'!$AS$5:$AS$2004,'Saisie'!$C$5:$C$2004,C215,'Saisie'!$AM$5:$AM$2004,"&lt;&gt;")-4),"")&lt;&gt;"",IFERROR(INDEX('Saisie'!$AM$5:$AM$2004,_xlfn.MAXIFS('Saisie'!$AS$5:$AS$2004,'Saisie'!$C$5:$C$2004,C215,'Saisie'!$AM$5:$AM$2004,"&lt;&gt;")-4),""),IFERROR(INDEX('Paramètres'!$S$6:$S$15,MATCH(AN215,'Paramètres'!$Q$6:$Q$15,0)),"")))</f>
        <v/>
      </c>
      <c r="AP215" s="62">
        <f>IF(C215="","",IFERROR(INDEX('Saisie'!$AW$5:$AW$2004,_xlfn.MAXIFS('Saisie'!$AS$5:$AS$2004,'Saisie'!$C$5:$C$2004,C215,'Saisie'!$E$5:$E$2004,"Proposition envoyée")-4),""))</f>
        <v/>
      </c>
      <c r="AQ215" s="106">
        <f>IF(C215="","",IFERROR(1/(1/_xlfn.MAXIFS('Saisie'!$A$5:$A$2004,'Saisie'!$C$5:$C$2004,C215,'Saisie'!$E$5:$E$2004,"Proposition envoyée")),""))</f>
        <v/>
      </c>
      <c r="AR215" s="106">
        <f>IF(C215="","",IF(AQ215="","",AQ215+'Paramètres'!$B$26))</f>
        <v/>
      </c>
      <c r="AS215" s="62">
        <f>IF(OR(C215="",D215="Gagné",D215="Perdu"),0,N(AP215)*IFERROR(INDEX('Paramètres'!$G$6:$G$13,MATCH(D215,'Paramètres'!$F$6:$F$13,0)),0))</f>
        <v/>
      </c>
      <c r="AT215" s="106">
        <f>IF(C215="","",IFERROR(1/(1/_xlfn.MINIFS('Saisie'!$A$5:$A$2004,'Saisie'!$C$5:$C$2004,C215,'Saisie'!$E$5:$E$2004,"Signature")),""))</f>
        <v/>
      </c>
      <c r="AU215" s="60">
        <f>IF(C215="","",IF(OR(AT215="",B215=""),"",AT215-B215))</f>
        <v/>
      </c>
      <c r="AV215" s="60">
        <f>IF(C215="","",IFERROR(INDEX('Saisie'!$L$5:$L$2004,_xlfn.MAXIFS('Saisie'!$AS$5:$AS$2004,'Saisie'!$C$5:$C$2004,C215,'Saisie'!$L$5:$L$2004,"&lt;&gt;")-4),""))</f>
        <v/>
      </c>
      <c r="AW215" s="106">
        <f>IF(C215="","",IF(D215&lt;&gt;"Perdu","",IFERROR(1/(1/_xlfn.MAXIFS('Saisie'!$A$5:$A$2004,'Saisie'!$C$5:$C$2004,C215,'Saisie'!$E$5:$E$2004,"Perdu")),"")))</f>
        <v/>
      </c>
      <c r="AX215" s="106">
        <f>IF(C215="","",IF(AW215="","",AW215+'Paramètres'!$B$28))</f>
        <v/>
      </c>
      <c r="AY215" s="60">
        <f>IF(C215="","",SUMIFS('Saisie'!$H$5:$H$2004,'Saisie'!$C$5:$C$2004,C215))</f>
        <v/>
      </c>
      <c r="AZ215" s="60">
        <f>IF(C215="","",IFERROR(INDEX('Paramètres'!$W$6:$W$20,MATCH(S215,'Paramètres'!$V$6:$V$20,0))&amp;"",""))</f>
        <v/>
      </c>
      <c r="BA215" s="60">
        <f>IF(C215="","",MAX(1,_xlfn.MAXIFS('Saisie'!$AT$5:$AT$2004,'Saisie'!$C$5:$C$2004,C215)))</f>
        <v/>
      </c>
      <c r="BB215" s="60">
        <f>IF(C215="","",IFERROR(INDEX('Saisie'!$X$5:$X$2004,_xlfn.MAXIFS('Saisie'!$AS$5:$AS$2004,'Saisie'!$C$5:$C$2004,C215,'Saisie'!$X$5:$X$2004,"&lt;&gt;")-4),""))</f>
        <v/>
      </c>
      <c r="BC215" s="60">
        <f>IF(C215="","",IFERROR(INDEX('Saisie'!$Y$5:$Y$2004,_xlfn.MAXIFS('Saisie'!$AS$5:$AS$2004,'Saisie'!$C$5:$C$2004,C215,'Saisie'!$Y$5:$Y$2004,"&lt;&gt;")-4),""))</f>
        <v/>
      </c>
      <c r="BD215" s="106">
        <f>IF(C215="","",IFERROR(1/(1/_xlfn.MINIFS('Saisie'!$A$5:$A$2004,'Saisie'!$C$5:$C$2004,C215,'Saisie'!$AT$5:$AT$2004,"&gt;=2")),""))</f>
        <v/>
      </c>
      <c r="BE215" s="106">
        <f>IF(C215="","",IFERROR(1/(1/_xlfn.MINIFS('Saisie'!$A$5:$A$2004,'Saisie'!$C$5:$C$2004,C215,'Saisie'!$AT$5:$AT$2004,"&gt;=3")),""))</f>
        <v/>
      </c>
      <c r="BF215" s="106">
        <f>IF(C215="","",IFERROR(1/(1/_xlfn.MINIFS('Saisie'!$A$5:$A$2004,'Saisie'!$C$5:$C$2004,C215,'Saisie'!$AT$5:$AT$2004,"&gt;=4")),""))</f>
        <v/>
      </c>
      <c r="BG215" s="106">
        <f>IF(C215="","",IFERROR(1/(1/_xlfn.MINIFS('Saisie'!$A$5:$A$2004,'Saisie'!$C$5:$C$2004,C215,'Saisie'!$AT$5:$AT$2004,"&gt;=5")),""))</f>
        <v/>
      </c>
      <c r="BH215" s="106">
        <f>IF(C215="","",IFERROR(1/(1/_xlfn.MINIFS('Saisie'!$A$5:$A$2004,'Saisie'!$C$5:$C$2004,C215,'Saisie'!$AT$5:$AT$2004,"&gt;=6")),""))</f>
        <v/>
      </c>
      <c r="BI215" s="106">
        <f>IF(C215="","",IFERROR(1/(1/_xlfn.MINIFS('Saisie'!$A$5:$A$2004,'Saisie'!$C$5:$C$2004,C215,'Saisie'!$AT$5:$AT$2004,"&gt;=7")),""))</f>
        <v/>
      </c>
      <c r="BJ215" s="60">
        <f>IF(OR(BD215="",B215=""),"",BD215-B215)</f>
        <v/>
      </c>
      <c r="BK215" s="60">
        <f>IF(OR(BE215="",BD215=""),"",BE215-BD215)</f>
        <v/>
      </c>
      <c r="BL215" s="60">
        <f>IF(OR(BF215="",BE215=""),"",BF215-BE215)</f>
        <v/>
      </c>
      <c r="BM215" s="60">
        <f>IF(OR(BG215="",BF215=""),"",BG215-BF215)</f>
        <v/>
      </c>
      <c r="BN215" s="60">
        <f>IF(OR(BH215="",BG215=""),"",BH215-BG215)</f>
        <v/>
      </c>
      <c r="BO215" s="60">
        <f>IF(OR(BI215="",BH215=""),"",BI215-BH215)</f>
        <v/>
      </c>
      <c r="BP215" s="60">
        <f>IF(C215="","",_xlfn.MAXIFS('Saisie'!$AS$5:$AS$2004,'Saisie'!$C$5:$C$2004,C215,'Saisie'!$J$5:$J$2004,"&lt;&gt;"))</f>
        <v/>
      </c>
      <c r="BQ215" s="60">
        <f>IF(C215="","",_xlfn.MAXIFS('Saisie'!$AS$5:$AS$2004,'Saisie'!$C$5:$C$2004,C215))</f>
        <v/>
      </c>
      <c r="BR215" s="60">
        <f>IF(C215="","",_xlfn.MAXIFS('Saisie'!$AS$5:$AS$2004,'Saisie'!$C$5:$C$2004,C215,'Saisie'!$E$5:$E$2004,"Perdu"))</f>
        <v/>
      </c>
      <c r="BS215" s="60">
        <f>IF(C215="","",_xlfn.MAXIFS('Saisie'!$AS$5:$AS$2004,'Saisie'!$C$5:$C$2004,C215,'Saisie'!$AT$5:$AT$2004,"&gt;0"))</f>
        <v/>
      </c>
      <c r="BT215" s="109">
        <f>IF(AND(C215&lt;&gt;"",OR(D215="Nouveau",D215="Contacté",D215="Qualifié"),OR(G215="",N(G215)&lt;=TODAY()),NOT(AND(O215&gt;='Paramètres'!$B$21,P215=0))),E215+211/10000,"")</f>
        <v/>
      </c>
      <c r="BU215" s="60">
        <f>IF(AND(G215&lt;&gt;"",N(G215)&lt;=TODAY()),MAX($BU$4:BU214)+1,"")</f>
        <v/>
      </c>
      <c r="BV215" s="60">
        <f>IF(AND(F215&lt;&gt;"",F215&lt;&gt;"Relance en retard"),MAX($BV$4:BV214)+1,"")</f>
        <v/>
      </c>
      <c r="BW215" s="60">
        <f>IF(C215="","",IF(AND(B215&gt;='Tableau de bord'!$R$4,B215&lt;='Tableau de bord'!$S$4,OR('Tableau de bord'!$G$4="Tous",N215='Tableau de bord'!$G$4)),1,0))</f>
        <v/>
      </c>
      <c r="BX215" s="60">
        <f>IF(AND(C215&lt;&gt;"",N(BA215)=7),MAX($BX$4:BX214)+1,"")</f>
        <v/>
      </c>
    </row>
    <row r="216">
      <c r="A216" s="60">
        <f>IF(C216="","","P-"&amp;TEXT(212,"000"))</f>
        <v/>
      </c>
      <c r="B216" s="106">
        <f>IF(C216="","",IFERROR(1/(1/_xlfn.MINIFS('Saisie'!$A$5:$A$2004,'Saisie'!$C$5:$C$2004,C216)),""))</f>
        <v/>
      </c>
      <c r="C216" s="60">
        <f>IFERROR(INDEX('Saisie'!$C$5:$C$2004,MATCH(212,'Saisie'!$AX$5:$AX$2004,0)),"")</f>
        <v/>
      </c>
      <c r="D216" s="60">
        <f>IF(C216="","",IF(AND(BR216&gt;0,BR216&gt;BS216,BA216&lt;7),"Perdu",INDEX('Paramètres'!$F$6:$F$13,BA216)))</f>
        <v/>
      </c>
      <c r="E216" s="61">
        <f>IF(C216="","",MIN(100,(Z216="Oui")*'Paramètres'!$B$38+(AB216="Régulière")*'Paramètres'!$B$39+IF(AND(N(AA216)&gt;0,TODAY()-N(AA216)&lt;=30),'Paramètres'!$B$40,0)+(W216="")*'Paramètres'!$B$41+(AC216="Absente")*'Paramètres'!$B$42+(AC216="Faible")*'Paramètres'!$B$43+IF(AND(N(AD216)&gt;0,N(AD216)&lt;4),'Paramètres'!$B$44,0)+(AF216="Moyenne")*'Paramètres'!$B$45+(AF216="Grande")*'Paramètres'!$B$46+(Y216&lt;&gt;"")*'Paramètres'!$B$47))</f>
        <v/>
      </c>
      <c r="F216" s="60">
        <f>IF(C216="","",IF(D216="Gagné","",IF(D216="Perdu",IF(AND(AX216&lt;&gt;"",AX216&lt;=TODAY()),"À recontacter (perdu)",""),IF(AND(O216&gt;='Paramètres'!$B$21,P216=0),"Stop : "&amp;'Paramètres'!$B$21&amp;" tentatives sans réponse",IF(AND(D216="Proposition",AR216&lt;&gt;"",TODAY()&gt;N(AR216)),"Proposition expirée",IF(AND(D216="Proposition",N(R216)&gt;='Paramètres'!$B$25),"Proposition sans réponse",IF(AND(G216&lt;&gt;"",N(G216)&lt;TODAY()),"Relance en retard",IF(N(R216)&gt;='Paramètres'!$B$24,"Sans action depuis "&amp;R216&amp;" j",""))))))))</f>
        <v/>
      </c>
      <c r="G216" s="106">
        <f>IF(OR(C216="",D216="Gagné",D216="Perdu"),"",IF(AND(BP216&gt;0,BP216=BQ216),INDEX('Saisie'!$J$5:$J$2004,BP216-4),IF(OR(O216=0,AND(O216&gt;='Paramètres'!$B$21,P216=0)),"",Q216+IF(O216&lt;=1,'Paramètres'!$B$18,IF(O216=2,'Paramètres'!$B$19,'Paramètres'!$B$20)))))</f>
        <v/>
      </c>
      <c r="H216" s="107">
        <f>IF(OR(G216="",BP216&lt;&gt;BQ216),"",IF(INDEX('Saisie'!$K$5:$K$2004,BP216-4)="","",INDEX('Saisie'!$K$5:$K$2004,BP216-4)))</f>
        <v/>
      </c>
      <c r="I216" s="60">
        <f>IF(C216="","",IF(OR(D216="Gagné",D216="Perdu"),"",IFERROR(INDEX('Saisie'!$I$5:$I$2004,_xlfn.MAXIFS('Saisie'!$AS$5:$AS$2004,'Saisie'!$C$5:$C$2004,C216,'Saisie'!$I$5:$I$2004,"&lt;&gt;")-4),"")))</f>
        <v/>
      </c>
      <c r="J216" s="60">
        <f>IF(C216="","",IFERROR(INDEX('Saisie'!$U$5:$U$2004,_xlfn.MAXIFS('Saisie'!$AS$5:$AS$2004,'Saisie'!$C$5:$C$2004,C216,'Saisie'!$U$5:$U$2004,"&lt;&gt;")-4),""))</f>
        <v/>
      </c>
      <c r="K216" s="60">
        <f>IF(C216="","",IFERROR(INDEX('Saisie'!$W$5:$W$2004,_xlfn.MAXIFS('Saisie'!$AS$5:$AS$2004,'Saisie'!$C$5:$C$2004,C216,'Saisie'!$W$5:$W$2004,"&lt;&gt;")-4),""))</f>
        <v/>
      </c>
      <c r="L216" s="60">
        <f>IF(IF(BB216&lt;&gt;"",BB216,K216)="","",HYPERLINK("https://wa.me/"&amp;IF(LEFT(SUBSTITUTE(SUBSTITUTE(SUBSTITUTE(IF(BB216&lt;&gt;"",BB216,K216)," ",""),".",""),"+",""),1)="0",'Paramètres'!$B$35&amp;MID(SUBSTITUTE(SUBSTITUTE(SUBSTITUTE(IF(BB216&lt;&gt;"",BB216,K216)," ",""),".",""),"+",""),2,20),SUBSTITUTE(SUBSTITUTE(SUBSTITUTE(IF(BB216&lt;&gt;"",BB216,K216)," ",""),".",""),"+","")),"WhatsApp"))</f>
        <v/>
      </c>
      <c r="M216" s="60">
        <f>IF(BC216="","",HYPERLINK(IF(LEFT(BC216,4)="http",BC216,"https://www.instagram.com/"&amp;SUBSTITUTE(SUBSTITUTE(BC216,"@","")," ","")),BC216))</f>
        <v/>
      </c>
      <c r="N216" s="60">
        <f>IF(C216="","",IFERROR(INDEX('Saisie'!$D$5:$D$2004,_xlfn.MINIFS('Saisie'!$AS$5:$AS$2004,'Saisie'!$C$5:$C$2004,C216,'Saisie'!$AU$5:$AU$2004,1)-4),IFERROR(INDEX('Saisie'!$D$5:$D$2004,_xlfn.MINIFS('Saisie'!$AS$5:$AS$2004,'Saisie'!$C$5:$C$2004,C216,'Saisie'!$D$5:$D$2004,"&lt;&gt;")-4),"")))</f>
        <v/>
      </c>
      <c r="O216" s="60">
        <f>IF(C216="","",COUNTIFS('Saisie'!$C$5:$C$2004,C216,'Saisie'!$AU$5:$AU$2004,1))</f>
        <v/>
      </c>
      <c r="P216" s="60">
        <f>IF(C216="","",COUNTIFS('Saisie'!$C$5:$C$2004,C216,'Saisie'!$AV$5:$AV$2004,1))</f>
        <v/>
      </c>
      <c r="Q216" s="106">
        <f>IF(C216="","",IFERROR(1/(1/_xlfn.MAXIFS('Saisie'!$A$5:$A$2004,'Saisie'!$C$5:$C$2004,C216)),""))</f>
        <v/>
      </c>
      <c r="R216" s="61">
        <f>IF(C216="","",IF(Q216="","",TODAY()-Q216))</f>
        <v/>
      </c>
      <c r="S216" s="60">
        <f>IF(C216="","",IFERROR(INDEX('Saisie'!$R$5:$R$2004,_xlfn.MAXIFS('Saisie'!$AS$5:$AS$2004,'Saisie'!$C$5:$C$2004,C216,'Saisie'!$R$5:$R$2004,"&lt;&gt;")-4),""))</f>
        <v/>
      </c>
      <c r="T216" s="60">
        <f>IF(C216="","",IFERROR(INDEX('Saisie'!$S$5:$S$2004,_xlfn.MAXIFS('Saisie'!$AS$5:$AS$2004,'Saisie'!$C$5:$C$2004,C216,'Saisie'!$S$5:$S$2004,"&lt;&gt;")-4),""))</f>
        <v/>
      </c>
      <c r="U216" s="60">
        <f>IF(C216="","",IFERROR(INDEX('Saisie'!$T$5:$T$2004,_xlfn.MAXIFS('Saisie'!$AS$5:$AS$2004,'Saisie'!$C$5:$C$2004,C216,'Saisie'!$T$5:$T$2004,"&lt;&gt;")-4),""))</f>
        <v/>
      </c>
      <c r="V216" s="60">
        <f>IF(C216="","",IFERROR(INDEX('Saisie'!$V$5:$V$2004,_xlfn.MAXIFS('Saisie'!$AS$5:$AS$2004,'Saisie'!$C$5:$C$2004,C216,'Saisie'!$V$5:$V$2004,"&lt;&gt;")-4),""))</f>
        <v/>
      </c>
      <c r="W216" s="60">
        <f>IF(C216="","",IFERROR(INDEX('Saisie'!$Z$5:$Z$2004,_xlfn.MAXIFS('Saisie'!$AS$5:$AS$2004,'Saisie'!$C$5:$C$2004,C216,'Saisie'!$Z$5:$Z$2004,"&lt;&gt;")-4),""))</f>
        <v/>
      </c>
      <c r="X216" s="60">
        <f>IF(C216="","",IFERROR(INDEX('Saisie'!$AA$5:$AA$2004,_xlfn.MAXIFS('Saisie'!$AS$5:$AS$2004,'Saisie'!$C$5:$C$2004,C216,'Saisie'!$AA$5:$AA$2004,"&lt;&gt;")-4),""))</f>
        <v/>
      </c>
      <c r="Y216" s="60">
        <f>IF(C216="","",IFERROR(INDEX('Saisie'!$AB$5:$AB$2004,_xlfn.MAXIFS('Saisie'!$AS$5:$AS$2004,'Saisie'!$C$5:$C$2004,C216,'Saisie'!$AB$5:$AB$2004,"&lt;&gt;")-4),""))</f>
        <v/>
      </c>
      <c r="Z216" s="60">
        <f>IF(C216="","",IFERROR(INDEX('Saisie'!$AC$5:$AC$2004,_xlfn.MAXIFS('Saisie'!$AS$5:$AS$2004,'Saisie'!$C$5:$C$2004,C216,'Saisie'!$AC$5:$AC$2004,"&lt;&gt;")-4),""))</f>
        <v/>
      </c>
      <c r="AA216" s="106">
        <f>IF(C216="","",IFERROR(INDEX('Saisie'!$AD$5:$AD$2004,_xlfn.MAXIFS('Saisie'!$AS$5:$AS$2004,'Saisie'!$C$5:$C$2004,C216,'Saisie'!$AD$5:$AD$2004,"&lt;&gt;")-4),""))</f>
        <v/>
      </c>
      <c r="AB216" s="60">
        <f>IF(C216="","",IFERROR(INDEX('Saisie'!$AE$5:$AE$2004,_xlfn.MAXIFS('Saisie'!$AS$5:$AS$2004,'Saisie'!$C$5:$C$2004,C216,'Saisie'!$AE$5:$AE$2004,"&lt;&gt;")-4),""))</f>
        <v/>
      </c>
      <c r="AC216" s="60">
        <f>IF(C216="","",IFERROR(INDEX('Saisie'!$AF$5:$AF$2004,_xlfn.MAXIFS('Saisie'!$AS$5:$AS$2004,'Saisie'!$C$5:$C$2004,C216,'Saisie'!$AF$5:$AF$2004,"&lt;&gt;")-4),""))</f>
        <v/>
      </c>
      <c r="AD216" s="108">
        <f>IF(C216="","",IFERROR(INDEX('Saisie'!$AG$5:$AG$2004,_xlfn.MAXIFS('Saisie'!$AS$5:$AS$2004,'Saisie'!$C$5:$C$2004,C216,'Saisie'!$AG$5:$AG$2004,"&lt;&gt;")-4),""))</f>
        <v/>
      </c>
      <c r="AE216" s="60">
        <f>IF(C216="","",IFERROR(INDEX('Saisie'!$AH$5:$AH$2004,_xlfn.MAXIFS('Saisie'!$AS$5:$AS$2004,'Saisie'!$C$5:$C$2004,C216,'Saisie'!$AH$5:$AH$2004,"&lt;&gt;")-4),""))</f>
        <v/>
      </c>
      <c r="AF216" s="60">
        <f>IF(C216="","",IFERROR(INDEX('Saisie'!$AI$5:$AI$2004,_xlfn.MAXIFS('Saisie'!$AS$5:$AS$2004,'Saisie'!$C$5:$C$2004,C216,'Saisie'!$AI$5:$AI$2004,"&lt;&gt;")-4),""))</f>
        <v/>
      </c>
      <c r="AG216" s="60">
        <f>IF(C216="","",IFERROR(INDEX('Saisie'!$AJ$5:$AJ$2004,_xlfn.MAXIFS('Saisie'!$AS$5:$AS$2004,'Saisie'!$C$5:$C$2004,C216,'Saisie'!$AJ$5:$AJ$2004,"&lt;&gt;")-4),""))</f>
        <v/>
      </c>
      <c r="AH216" s="60">
        <f>IF(C216="","",IFERROR(INDEX('Saisie'!$AK$5:$AK$2004,_xlfn.MAXIFS('Saisie'!$AS$5:$AS$2004,'Saisie'!$C$5:$C$2004,C216,'Saisie'!$AK$5:$AK$2004,"&lt;&gt;")-4),""))</f>
        <v/>
      </c>
      <c r="AI216" s="60">
        <f>IF(C216="","",IFERROR(INDEX('Saisie'!$AN$5:$AN$2004,_xlfn.MAXIFS('Saisie'!$AS$5:$AS$2004,'Saisie'!$C$5:$C$2004,C216,'Saisie'!$AN$5:$AN$2004,"&lt;&gt;")-4),""))</f>
        <v/>
      </c>
      <c r="AJ216" s="60">
        <f>IF(C216="","",IFERROR(INDEX('Saisie'!$AO$5:$AO$2004,_xlfn.MAXIFS('Saisie'!$AS$5:$AS$2004,'Saisie'!$C$5:$C$2004,C216,'Saisie'!$AO$5:$AO$2004,"&lt;&gt;")-4),""))</f>
        <v/>
      </c>
      <c r="AK216" s="60">
        <f>IF(C216="","",IFERROR(INDEX('Saisie'!$AP$5:$AP$2004,_xlfn.MAXIFS('Saisie'!$AS$5:$AS$2004,'Saisie'!$C$5:$C$2004,C216,'Saisie'!$AP$5:$AP$2004,"&lt;&gt;")-4),""))</f>
        <v/>
      </c>
      <c r="AL216" s="60">
        <f>IF(C216="","",IFERROR(INDEX('Saisie'!$AQ$5:$AQ$2004,_xlfn.MAXIFS('Saisie'!$AS$5:$AS$2004,'Saisie'!$C$5:$C$2004,C216,'Saisie'!$AQ$5:$AQ$2004,"&lt;&gt;")-4),""))</f>
        <v/>
      </c>
      <c r="AM216" s="60">
        <f>IF(C216="","",((AI216="Oui")+(AJ216="Oui")+(AK216="Oui")+OR(AL216="Immédiat",AL216="&lt; 1 mois"))&amp;"/4")</f>
        <v/>
      </c>
      <c r="AN216" s="60">
        <f>IF(C216="","",IFERROR(INDEX('Saisie'!$AL$5:$AL$2004,_xlfn.MAXIFS('Saisie'!$AS$5:$AS$2004,'Saisie'!$C$5:$C$2004,C216,'Saisie'!$AL$5:$AL$2004,"&lt;&gt;")-4),""))</f>
        <v/>
      </c>
      <c r="AO216" s="62">
        <f>IF(C216="","",IF(IFERROR(INDEX('Saisie'!$AM$5:$AM$2004,_xlfn.MAXIFS('Saisie'!$AS$5:$AS$2004,'Saisie'!$C$5:$C$2004,C216,'Saisie'!$AM$5:$AM$2004,"&lt;&gt;")-4),"")&lt;&gt;"",IFERROR(INDEX('Saisie'!$AM$5:$AM$2004,_xlfn.MAXIFS('Saisie'!$AS$5:$AS$2004,'Saisie'!$C$5:$C$2004,C216,'Saisie'!$AM$5:$AM$2004,"&lt;&gt;")-4),""),IFERROR(INDEX('Paramètres'!$S$6:$S$15,MATCH(AN216,'Paramètres'!$Q$6:$Q$15,0)),"")))</f>
        <v/>
      </c>
      <c r="AP216" s="62">
        <f>IF(C216="","",IFERROR(INDEX('Saisie'!$AW$5:$AW$2004,_xlfn.MAXIFS('Saisie'!$AS$5:$AS$2004,'Saisie'!$C$5:$C$2004,C216,'Saisie'!$E$5:$E$2004,"Proposition envoyée")-4),""))</f>
        <v/>
      </c>
      <c r="AQ216" s="106">
        <f>IF(C216="","",IFERROR(1/(1/_xlfn.MAXIFS('Saisie'!$A$5:$A$2004,'Saisie'!$C$5:$C$2004,C216,'Saisie'!$E$5:$E$2004,"Proposition envoyée")),""))</f>
        <v/>
      </c>
      <c r="AR216" s="106">
        <f>IF(C216="","",IF(AQ216="","",AQ216+'Paramètres'!$B$26))</f>
        <v/>
      </c>
      <c r="AS216" s="62">
        <f>IF(OR(C216="",D216="Gagné",D216="Perdu"),0,N(AP216)*IFERROR(INDEX('Paramètres'!$G$6:$G$13,MATCH(D216,'Paramètres'!$F$6:$F$13,0)),0))</f>
        <v/>
      </c>
      <c r="AT216" s="106">
        <f>IF(C216="","",IFERROR(1/(1/_xlfn.MINIFS('Saisie'!$A$5:$A$2004,'Saisie'!$C$5:$C$2004,C216,'Saisie'!$E$5:$E$2004,"Signature")),""))</f>
        <v/>
      </c>
      <c r="AU216" s="60">
        <f>IF(C216="","",IF(OR(AT216="",B216=""),"",AT216-B216))</f>
        <v/>
      </c>
      <c r="AV216" s="60">
        <f>IF(C216="","",IFERROR(INDEX('Saisie'!$L$5:$L$2004,_xlfn.MAXIFS('Saisie'!$AS$5:$AS$2004,'Saisie'!$C$5:$C$2004,C216,'Saisie'!$L$5:$L$2004,"&lt;&gt;")-4),""))</f>
        <v/>
      </c>
      <c r="AW216" s="106">
        <f>IF(C216="","",IF(D216&lt;&gt;"Perdu","",IFERROR(1/(1/_xlfn.MAXIFS('Saisie'!$A$5:$A$2004,'Saisie'!$C$5:$C$2004,C216,'Saisie'!$E$5:$E$2004,"Perdu")),"")))</f>
        <v/>
      </c>
      <c r="AX216" s="106">
        <f>IF(C216="","",IF(AW216="","",AW216+'Paramètres'!$B$28))</f>
        <v/>
      </c>
      <c r="AY216" s="60">
        <f>IF(C216="","",SUMIFS('Saisie'!$H$5:$H$2004,'Saisie'!$C$5:$C$2004,C216))</f>
        <v/>
      </c>
      <c r="AZ216" s="60">
        <f>IF(C216="","",IFERROR(INDEX('Paramètres'!$W$6:$W$20,MATCH(S216,'Paramètres'!$V$6:$V$20,0))&amp;"",""))</f>
        <v/>
      </c>
      <c r="BA216" s="60">
        <f>IF(C216="","",MAX(1,_xlfn.MAXIFS('Saisie'!$AT$5:$AT$2004,'Saisie'!$C$5:$C$2004,C216)))</f>
        <v/>
      </c>
      <c r="BB216" s="60">
        <f>IF(C216="","",IFERROR(INDEX('Saisie'!$X$5:$X$2004,_xlfn.MAXIFS('Saisie'!$AS$5:$AS$2004,'Saisie'!$C$5:$C$2004,C216,'Saisie'!$X$5:$X$2004,"&lt;&gt;")-4),""))</f>
        <v/>
      </c>
      <c r="BC216" s="60">
        <f>IF(C216="","",IFERROR(INDEX('Saisie'!$Y$5:$Y$2004,_xlfn.MAXIFS('Saisie'!$AS$5:$AS$2004,'Saisie'!$C$5:$C$2004,C216,'Saisie'!$Y$5:$Y$2004,"&lt;&gt;")-4),""))</f>
        <v/>
      </c>
      <c r="BD216" s="106">
        <f>IF(C216="","",IFERROR(1/(1/_xlfn.MINIFS('Saisie'!$A$5:$A$2004,'Saisie'!$C$5:$C$2004,C216,'Saisie'!$AT$5:$AT$2004,"&gt;=2")),""))</f>
        <v/>
      </c>
      <c r="BE216" s="106">
        <f>IF(C216="","",IFERROR(1/(1/_xlfn.MINIFS('Saisie'!$A$5:$A$2004,'Saisie'!$C$5:$C$2004,C216,'Saisie'!$AT$5:$AT$2004,"&gt;=3")),""))</f>
        <v/>
      </c>
      <c r="BF216" s="106">
        <f>IF(C216="","",IFERROR(1/(1/_xlfn.MINIFS('Saisie'!$A$5:$A$2004,'Saisie'!$C$5:$C$2004,C216,'Saisie'!$AT$5:$AT$2004,"&gt;=4")),""))</f>
        <v/>
      </c>
      <c r="BG216" s="106">
        <f>IF(C216="","",IFERROR(1/(1/_xlfn.MINIFS('Saisie'!$A$5:$A$2004,'Saisie'!$C$5:$C$2004,C216,'Saisie'!$AT$5:$AT$2004,"&gt;=5")),""))</f>
        <v/>
      </c>
      <c r="BH216" s="106">
        <f>IF(C216="","",IFERROR(1/(1/_xlfn.MINIFS('Saisie'!$A$5:$A$2004,'Saisie'!$C$5:$C$2004,C216,'Saisie'!$AT$5:$AT$2004,"&gt;=6")),""))</f>
        <v/>
      </c>
      <c r="BI216" s="106">
        <f>IF(C216="","",IFERROR(1/(1/_xlfn.MINIFS('Saisie'!$A$5:$A$2004,'Saisie'!$C$5:$C$2004,C216,'Saisie'!$AT$5:$AT$2004,"&gt;=7")),""))</f>
        <v/>
      </c>
      <c r="BJ216" s="60">
        <f>IF(OR(BD216="",B216=""),"",BD216-B216)</f>
        <v/>
      </c>
      <c r="BK216" s="60">
        <f>IF(OR(BE216="",BD216=""),"",BE216-BD216)</f>
        <v/>
      </c>
      <c r="BL216" s="60">
        <f>IF(OR(BF216="",BE216=""),"",BF216-BE216)</f>
        <v/>
      </c>
      <c r="BM216" s="60">
        <f>IF(OR(BG216="",BF216=""),"",BG216-BF216)</f>
        <v/>
      </c>
      <c r="BN216" s="60">
        <f>IF(OR(BH216="",BG216=""),"",BH216-BG216)</f>
        <v/>
      </c>
      <c r="BO216" s="60">
        <f>IF(OR(BI216="",BH216=""),"",BI216-BH216)</f>
        <v/>
      </c>
      <c r="BP216" s="60">
        <f>IF(C216="","",_xlfn.MAXIFS('Saisie'!$AS$5:$AS$2004,'Saisie'!$C$5:$C$2004,C216,'Saisie'!$J$5:$J$2004,"&lt;&gt;"))</f>
        <v/>
      </c>
      <c r="BQ216" s="60">
        <f>IF(C216="","",_xlfn.MAXIFS('Saisie'!$AS$5:$AS$2004,'Saisie'!$C$5:$C$2004,C216))</f>
        <v/>
      </c>
      <c r="BR216" s="60">
        <f>IF(C216="","",_xlfn.MAXIFS('Saisie'!$AS$5:$AS$2004,'Saisie'!$C$5:$C$2004,C216,'Saisie'!$E$5:$E$2004,"Perdu"))</f>
        <v/>
      </c>
      <c r="BS216" s="60">
        <f>IF(C216="","",_xlfn.MAXIFS('Saisie'!$AS$5:$AS$2004,'Saisie'!$C$5:$C$2004,C216,'Saisie'!$AT$5:$AT$2004,"&gt;0"))</f>
        <v/>
      </c>
      <c r="BT216" s="109">
        <f>IF(AND(C216&lt;&gt;"",OR(D216="Nouveau",D216="Contacté",D216="Qualifié"),OR(G216="",N(G216)&lt;=TODAY()),NOT(AND(O216&gt;='Paramètres'!$B$21,P216=0))),E216+212/10000,"")</f>
        <v/>
      </c>
      <c r="BU216" s="60">
        <f>IF(AND(G216&lt;&gt;"",N(G216)&lt;=TODAY()),MAX($BU$4:BU215)+1,"")</f>
        <v/>
      </c>
      <c r="BV216" s="60">
        <f>IF(AND(F216&lt;&gt;"",F216&lt;&gt;"Relance en retard"),MAX($BV$4:BV215)+1,"")</f>
        <v/>
      </c>
      <c r="BW216" s="60">
        <f>IF(C216="","",IF(AND(B216&gt;='Tableau de bord'!$R$4,B216&lt;='Tableau de bord'!$S$4,OR('Tableau de bord'!$G$4="Tous",N216='Tableau de bord'!$G$4)),1,0))</f>
        <v/>
      </c>
      <c r="BX216" s="60">
        <f>IF(AND(C216&lt;&gt;"",N(BA216)=7),MAX($BX$4:BX215)+1,"")</f>
        <v/>
      </c>
    </row>
    <row r="217">
      <c r="A217" s="60">
        <f>IF(C217="","","P-"&amp;TEXT(213,"000"))</f>
        <v/>
      </c>
      <c r="B217" s="106">
        <f>IF(C217="","",IFERROR(1/(1/_xlfn.MINIFS('Saisie'!$A$5:$A$2004,'Saisie'!$C$5:$C$2004,C217)),""))</f>
        <v/>
      </c>
      <c r="C217" s="60">
        <f>IFERROR(INDEX('Saisie'!$C$5:$C$2004,MATCH(213,'Saisie'!$AX$5:$AX$2004,0)),"")</f>
        <v/>
      </c>
      <c r="D217" s="60">
        <f>IF(C217="","",IF(AND(BR217&gt;0,BR217&gt;BS217,BA217&lt;7),"Perdu",INDEX('Paramètres'!$F$6:$F$13,BA217)))</f>
        <v/>
      </c>
      <c r="E217" s="61">
        <f>IF(C217="","",MIN(100,(Z217="Oui")*'Paramètres'!$B$38+(AB217="Régulière")*'Paramètres'!$B$39+IF(AND(N(AA217)&gt;0,TODAY()-N(AA217)&lt;=30),'Paramètres'!$B$40,0)+(W217="")*'Paramètres'!$B$41+(AC217="Absente")*'Paramètres'!$B$42+(AC217="Faible")*'Paramètres'!$B$43+IF(AND(N(AD217)&gt;0,N(AD217)&lt;4),'Paramètres'!$B$44,0)+(AF217="Moyenne")*'Paramètres'!$B$45+(AF217="Grande")*'Paramètres'!$B$46+(Y217&lt;&gt;"")*'Paramètres'!$B$47))</f>
        <v/>
      </c>
      <c r="F217" s="60">
        <f>IF(C217="","",IF(D217="Gagné","",IF(D217="Perdu",IF(AND(AX217&lt;&gt;"",AX217&lt;=TODAY()),"À recontacter (perdu)",""),IF(AND(O217&gt;='Paramètres'!$B$21,P217=0),"Stop : "&amp;'Paramètres'!$B$21&amp;" tentatives sans réponse",IF(AND(D217="Proposition",AR217&lt;&gt;"",TODAY()&gt;N(AR217)),"Proposition expirée",IF(AND(D217="Proposition",N(R217)&gt;='Paramètres'!$B$25),"Proposition sans réponse",IF(AND(G217&lt;&gt;"",N(G217)&lt;TODAY()),"Relance en retard",IF(N(R217)&gt;='Paramètres'!$B$24,"Sans action depuis "&amp;R217&amp;" j",""))))))))</f>
        <v/>
      </c>
      <c r="G217" s="106">
        <f>IF(OR(C217="",D217="Gagné",D217="Perdu"),"",IF(AND(BP217&gt;0,BP217=BQ217),INDEX('Saisie'!$J$5:$J$2004,BP217-4),IF(OR(O217=0,AND(O217&gt;='Paramètres'!$B$21,P217=0)),"",Q217+IF(O217&lt;=1,'Paramètres'!$B$18,IF(O217=2,'Paramètres'!$B$19,'Paramètres'!$B$20)))))</f>
        <v/>
      </c>
      <c r="H217" s="107">
        <f>IF(OR(G217="",BP217&lt;&gt;BQ217),"",IF(INDEX('Saisie'!$K$5:$K$2004,BP217-4)="","",INDEX('Saisie'!$K$5:$K$2004,BP217-4)))</f>
        <v/>
      </c>
      <c r="I217" s="60">
        <f>IF(C217="","",IF(OR(D217="Gagné",D217="Perdu"),"",IFERROR(INDEX('Saisie'!$I$5:$I$2004,_xlfn.MAXIFS('Saisie'!$AS$5:$AS$2004,'Saisie'!$C$5:$C$2004,C217,'Saisie'!$I$5:$I$2004,"&lt;&gt;")-4),"")))</f>
        <v/>
      </c>
      <c r="J217" s="60">
        <f>IF(C217="","",IFERROR(INDEX('Saisie'!$U$5:$U$2004,_xlfn.MAXIFS('Saisie'!$AS$5:$AS$2004,'Saisie'!$C$5:$C$2004,C217,'Saisie'!$U$5:$U$2004,"&lt;&gt;")-4),""))</f>
        <v/>
      </c>
      <c r="K217" s="60">
        <f>IF(C217="","",IFERROR(INDEX('Saisie'!$W$5:$W$2004,_xlfn.MAXIFS('Saisie'!$AS$5:$AS$2004,'Saisie'!$C$5:$C$2004,C217,'Saisie'!$W$5:$W$2004,"&lt;&gt;")-4),""))</f>
        <v/>
      </c>
      <c r="L217" s="60">
        <f>IF(IF(BB217&lt;&gt;"",BB217,K217)="","",HYPERLINK("https://wa.me/"&amp;IF(LEFT(SUBSTITUTE(SUBSTITUTE(SUBSTITUTE(IF(BB217&lt;&gt;"",BB217,K217)," ",""),".",""),"+",""),1)="0",'Paramètres'!$B$35&amp;MID(SUBSTITUTE(SUBSTITUTE(SUBSTITUTE(IF(BB217&lt;&gt;"",BB217,K217)," ",""),".",""),"+",""),2,20),SUBSTITUTE(SUBSTITUTE(SUBSTITUTE(IF(BB217&lt;&gt;"",BB217,K217)," ",""),".",""),"+","")),"WhatsApp"))</f>
        <v/>
      </c>
      <c r="M217" s="60">
        <f>IF(BC217="","",HYPERLINK(IF(LEFT(BC217,4)="http",BC217,"https://www.instagram.com/"&amp;SUBSTITUTE(SUBSTITUTE(BC217,"@","")," ","")),BC217))</f>
        <v/>
      </c>
      <c r="N217" s="60">
        <f>IF(C217="","",IFERROR(INDEX('Saisie'!$D$5:$D$2004,_xlfn.MINIFS('Saisie'!$AS$5:$AS$2004,'Saisie'!$C$5:$C$2004,C217,'Saisie'!$AU$5:$AU$2004,1)-4),IFERROR(INDEX('Saisie'!$D$5:$D$2004,_xlfn.MINIFS('Saisie'!$AS$5:$AS$2004,'Saisie'!$C$5:$C$2004,C217,'Saisie'!$D$5:$D$2004,"&lt;&gt;")-4),"")))</f>
        <v/>
      </c>
      <c r="O217" s="60">
        <f>IF(C217="","",COUNTIFS('Saisie'!$C$5:$C$2004,C217,'Saisie'!$AU$5:$AU$2004,1))</f>
        <v/>
      </c>
      <c r="P217" s="60">
        <f>IF(C217="","",COUNTIFS('Saisie'!$C$5:$C$2004,C217,'Saisie'!$AV$5:$AV$2004,1))</f>
        <v/>
      </c>
      <c r="Q217" s="106">
        <f>IF(C217="","",IFERROR(1/(1/_xlfn.MAXIFS('Saisie'!$A$5:$A$2004,'Saisie'!$C$5:$C$2004,C217)),""))</f>
        <v/>
      </c>
      <c r="R217" s="61">
        <f>IF(C217="","",IF(Q217="","",TODAY()-Q217))</f>
        <v/>
      </c>
      <c r="S217" s="60">
        <f>IF(C217="","",IFERROR(INDEX('Saisie'!$R$5:$R$2004,_xlfn.MAXIFS('Saisie'!$AS$5:$AS$2004,'Saisie'!$C$5:$C$2004,C217,'Saisie'!$R$5:$R$2004,"&lt;&gt;")-4),""))</f>
        <v/>
      </c>
      <c r="T217" s="60">
        <f>IF(C217="","",IFERROR(INDEX('Saisie'!$S$5:$S$2004,_xlfn.MAXIFS('Saisie'!$AS$5:$AS$2004,'Saisie'!$C$5:$C$2004,C217,'Saisie'!$S$5:$S$2004,"&lt;&gt;")-4),""))</f>
        <v/>
      </c>
      <c r="U217" s="60">
        <f>IF(C217="","",IFERROR(INDEX('Saisie'!$T$5:$T$2004,_xlfn.MAXIFS('Saisie'!$AS$5:$AS$2004,'Saisie'!$C$5:$C$2004,C217,'Saisie'!$T$5:$T$2004,"&lt;&gt;")-4),""))</f>
        <v/>
      </c>
      <c r="V217" s="60">
        <f>IF(C217="","",IFERROR(INDEX('Saisie'!$V$5:$V$2004,_xlfn.MAXIFS('Saisie'!$AS$5:$AS$2004,'Saisie'!$C$5:$C$2004,C217,'Saisie'!$V$5:$V$2004,"&lt;&gt;")-4),""))</f>
        <v/>
      </c>
      <c r="W217" s="60">
        <f>IF(C217="","",IFERROR(INDEX('Saisie'!$Z$5:$Z$2004,_xlfn.MAXIFS('Saisie'!$AS$5:$AS$2004,'Saisie'!$C$5:$C$2004,C217,'Saisie'!$Z$5:$Z$2004,"&lt;&gt;")-4),""))</f>
        <v/>
      </c>
      <c r="X217" s="60">
        <f>IF(C217="","",IFERROR(INDEX('Saisie'!$AA$5:$AA$2004,_xlfn.MAXIFS('Saisie'!$AS$5:$AS$2004,'Saisie'!$C$5:$C$2004,C217,'Saisie'!$AA$5:$AA$2004,"&lt;&gt;")-4),""))</f>
        <v/>
      </c>
      <c r="Y217" s="60">
        <f>IF(C217="","",IFERROR(INDEX('Saisie'!$AB$5:$AB$2004,_xlfn.MAXIFS('Saisie'!$AS$5:$AS$2004,'Saisie'!$C$5:$C$2004,C217,'Saisie'!$AB$5:$AB$2004,"&lt;&gt;")-4),""))</f>
        <v/>
      </c>
      <c r="Z217" s="60">
        <f>IF(C217="","",IFERROR(INDEX('Saisie'!$AC$5:$AC$2004,_xlfn.MAXIFS('Saisie'!$AS$5:$AS$2004,'Saisie'!$C$5:$C$2004,C217,'Saisie'!$AC$5:$AC$2004,"&lt;&gt;")-4),""))</f>
        <v/>
      </c>
      <c r="AA217" s="106">
        <f>IF(C217="","",IFERROR(INDEX('Saisie'!$AD$5:$AD$2004,_xlfn.MAXIFS('Saisie'!$AS$5:$AS$2004,'Saisie'!$C$5:$C$2004,C217,'Saisie'!$AD$5:$AD$2004,"&lt;&gt;")-4),""))</f>
        <v/>
      </c>
      <c r="AB217" s="60">
        <f>IF(C217="","",IFERROR(INDEX('Saisie'!$AE$5:$AE$2004,_xlfn.MAXIFS('Saisie'!$AS$5:$AS$2004,'Saisie'!$C$5:$C$2004,C217,'Saisie'!$AE$5:$AE$2004,"&lt;&gt;")-4),""))</f>
        <v/>
      </c>
      <c r="AC217" s="60">
        <f>IF(C217="","",IFERROR(INDEX('Saisie'!$AF$5:$AF$2004,_xlfn.MAXIFS('Saisie'!$AS$5:$AS$2004,'Saisie'!$C$5:$C$2004,C217,'Saisie'!$AF$5:$AF$2004,"&lt;&gt;")-4),""))</f>
        <v/>
      </c>
      <c r="AD217" s="108">
        <f>IF(C217="","",IFERROR(INDEX('Saisie'!$AG$5:$AG$2004,_xlfn.MAXIFS('Saisie'!$AS$5:$AS$2004,'Saisie'!$C$5:$C$2004,C217,'Saisie'!$AG$5:$AG$2004,"&lt;&gt;")-4),""))</f>
        <v/>
      </c>
      <c r="AE217" s="60">
        <f>IF(C217="","",IFERROR(INDEX('Saisie'!$AH$5:$AH$2004,_xlfn.MAXIFS('Saisie'!$AS$5:$AS$2004,'Saisie'!$C$5:$C$2004,C217,'Saisie'!$AH$5:$AH$2004,"&lt;&gt;")-4),""))</f>
        <v/>
      </c>
      <c r="AF217" s="60">
        <f>IF(C217="","",IFERROR(INDEX('Saisie'!$AI$5:$AI$2004,_xlfn.MAXIFS('Saisie'!$AS$5:$AS$2004,'Saisie'!$C$5:$C$2004,C217,'Saisie'!$AI$5:$AI$2004,"&lt;&gt;")-4),""))</f>
        <v/>
      </c>
      <c r="AG217" s="60">
        <f>IF(C217="","",IFERROR(INDEX('Saisie'!$AJ$5:$AJ$2004,_xlfn.MAXIFS('Saisie'!$AS$5:$AS$2004,'Saisie'!$C$5:$C$2004,C217,'Saisie'!$AJ$5:$AJ$2004,"&lt;&gt;")-4),""))</f>
        <v/>
      </c>
      <c r="AH217" s="60">
        <f>IF(C217="","",IFERROR(INDEX('Saisie'!$AK$5:$AK$2004,_xlfn.MAXIFS('Saisie'!$AS$5:$AS$2004,'Saisie'!$C$5:$C$2004,C217,'Saisie'!$AK$5:$AK$2004,"&lt;&gt;")-4),""))</f>
        <v/>
      </c>
      <c r="AI217" s="60">
        <f>IF(C217="","",IFERROR(INDEX('Saisie'!$AN$5:$AN$2004,_xlfn.MAXIFS('Saisie'!$AS$5:$AS$2004,'Saisie'!$C$5:$C$2004,C217,'Saisie'!$AN$5:$AN$2004,"&lt;&gt;")-4),""))</f>
        <v/>
      </c>
      <c r="AJ217" s="60">
        <f>IF(C217="","",IFERROR(INDEX('Saisie'!$AO$5:$AO$2004,_xlfn.MAXIFS('Saisie'!$AS$5:$AS$2004,'Saisie'!$C$5:$C$2004,C217,'Saisie'!$AO$5:$AO$2004,"&lt;&gt;")-4),""))</f>
        <v/>
      </c>
      <c r="AK217" s="60">
        <f>IF(C217="","",IFERROR(INDEX('Saisie'!$AP$5:$AP$2004,_xlfn.MAXIFS('Saisie'!$AS$5:$AS$2004,'Saisie'!$C$5:$C$2004,C217,'Saisie'!$AP$5:$AP$2004,"&lt;&gt;")-4),""))</f>
        <v/>
      </c>
      <c r="AL217" s="60">
        <f>IF(C217="","",IFERROR(INDEX('Saisie'!$AQ$5:$AQ$2004,_xlfn.MAXIFS('Saisie'!$AS$5:$AS$2004,'Saisie'!$C$5:$C$2004,C217,'Saisie'!$AQ$5:$AQ$2004,"&lt;&gt;")-4),""))</f>
        <v/>
      </c>
      <c r="AM217" s="60">
        <f>IF(C217="","",((AI217="Oui")+(AJ217="Oui")+(AK217="Oui")+OR(AL217="Immédiat",AL217="&lt; 1 mois"))&amp;"/4")</f>
        <v/>
      </c>
      <c r="AN217" s="60">
        <f>IF(C217="","",IFERROR(INDEX('Saisie'!$AL$5:$AL$2004,_xlfn.MAXIFS('Saisie'!$AS$5:$AS$2004,'Saisie'!$C$5:$C$2004,C217,'Saisie'!$AL$5:$AL$2004,"&lt;&gt;")-4),""))</f>
        <v/>
      </c>
      <c r="AO217" s="62">
        <f>IF(C217="","",IF(IFERROR(INDEX('Saisie'!$AM$5:$AM$2004,_xlfn.MAXIFS('Saisie'!$AS$5:$AS$2004,'Saisie'!$C$5:$C$2004,C217,'Saisie'!$AM$5:$AM$2004,"&lt;&gt;")-4),"")&lt;&gt;"",IFERROR(INDEX('Saisie'!$AM$5:$AM$2004,_xlfn.MAXIFS('Saisie'!$AS$5:$AS$2004,'Saisie'!$C$5:$C$2004,C217,'Saisie'!$AM$5:$AM$2004,"&lt;&gt;")-4),""),IFERROR(INDEX('Paramètres'!$S$6:$S$15,MATCH(AN217,'Paramètres'!$Q$6:$Q$15,0)),"")))</f>
        <v/>
      </c>
      <c r="AP217" s="62">
        <f>IF(C217="","",IFERROR(INDEX('Saisie'!$AW$5:$AW$2004,_xlfn.MAXIFS('Saisie'!$AS$5:$AS$2004,'Saisie'!$C$5:$C$2004,C217,'Saisie'!$E$5:$E$2004,"Proposition envoyée")-4),""))</f>
        <v/>
      </c>
      <c r="AQ217" s="106">
        <f>IF(C217="","",IFERROR(1/(1/_xlfn.MAXIFS('Saisie'!$A$5:$A$2004,'Saisie'!$C$5:$C$2004,C217,'Saisie'!$E$5:$E$2004,"Proposition envoyée")),""))</f>
        <v/>
      </c>
      <c r="AR217" s="106">
        <f>IF(C217="","",IF(AQ217="","",AQ217+'Paramètres'!$B$26))</f>
        <v/>
      </c>
      <c r="AS217" s="62">
        <f>IF(OR(C217="",D217="Gagné",D217="Perdu"),0,N(AP217)*IFERROR(INDEX('Paramètres'!$G$6:$G$13,MATCH(D217,'Paramètres'!$F$6:$F$13,0)),0))</f>
        <v/>
      </c>
      <c r="AT217" s="106">
        <f>IF(C217="","",IFERROR(1/(1/_xlfn.MINIFS('Saisie'!$A$5:$A$2004,'Saisie'!$C$5:$C$2004,C217,'Saisie'!$E$5:$E$2004,"Signature")),""))</f>
        <v/>
      </c>
      <c r="AU217" s="60">
        <f>IF(C217="","",IF(OR(AT217="",B217=""),"",AT217-B217))</f>
        <v/>
      </c>
      <c r="AV217" s="60">
        <f>IF(C217="","",IFERROR(INDEX('Saisie'!$L$5:$L$2004,_xlfn.MAXIFS('Saisie'!$AS$5:$AS$2004,'Saisie'!$C$5:$C$2004,C217,'Saisie'!$L$5:$L$2004,"&lt;&gt;")-4),""))</f>
        <v/>
      </c>
      <c r="AW217" s="106">
        <f>IF(C217="","",IF(D217&lt;&gt;"Perdu","",IFERROR(1/(1/_xlfn.MAXIFS('Saisie'!$A$5:$A$2004,'Saisie'!$C$5:$C$2004,C217,'Saisie'!$E$5:$E$2004,"Perdu")),"")))</f>
        <v/>
      </c>
      <c r="AX217" s="106">
        <f>IF(C217="","",IF(AW217="","",AW217+'Paramètres'!$B$28))</f>
        <v/>
      </c>
      <c r="AY217" s="60">
        <f>IF(C217="","",SUMIFS('Saisie'!$H$5:$H$2004,'Saisie'!$C$5:$C$2004,C217))</f>
        <v/>
      </c>
      <c r="AZ217" s="60">
        <f>IF(C217="","",IFERROR(INDEX('Paramètres'!$W$6:$W$20,MATCH(S217,'Paramètres'!$V$6:$V$20,0))&amp;"",""))</f>
        <v/>
      </c>
      <c r="BA217" s="60">
        <f>IF(C217="","",MAX(1,_xlfn.MAXIFS('Saisie'!$AT$5:$AT$2004,'Saisie'!$C$5:$C$2004,C217)))</f>
        <v/>
      </c>
      <c r="BB217" s="60">
        <f>IF(C217="","",IFERROR(INDEX('Saisie'!$X$5:$X$2004,_xlfn.MAXIFS('Saisie'!$AS$5:$AS$2004,'Saisie'!$C$5:$C$2004,C217,'Saisie'!$X$5:$X$2004,"&lt;&gt;")-4),""))</f>
        <v/>
      </c>
      <c r="BC217" s="60">
        <f>IF(C217="","",IFERROR(INDEX('Saisie'!$Y$5:$Y$2004,_xlfn.MAXIFS('Saisie'!$AS$5:$AS$2004,'Saisie'!$C$5:$C$2004,C217,'Saisie'!$Y$5:$Y$2004,"&lt;&gt;")-4),""))</f>
        <v/>
      </c>
      <c r="BD217" s="106">
        <f>IF(C217="","",IFERROR(1/(1/_xlfn.MINIFS('Saisie'!$A$5:$A$2004,'Saisie'!$C$5:$C$2004,C217,'Saisie'!$AT$5:$AT$2004,"&gt;=2")),""))</f>
        <v/>
      </c>
      <c r="BE217" s="106">
        <f>IF(C217="","",IFERROR(1/(1/_xlfn.MINIFS('Saisie'!$A$5:$A$2004,'Saisie'!$C$5:$C$2004,C217,'Saisie'!$AT$5:$AT$2004,"&gt;=3")),""))</f>
        <v/>
      </c>
      <c r="BF217" s="106">
        <f>IF(C217="","",IFERROR(1/(1/_xlfn.MINIFS('Saisie'!$A$5:$A$2004,'Saisie'!$C$5:$C$2004,C217,'Saisie'!$AT$5:$AT$2004,"&gt;=4")),""))</f>
        <v/>
      </c>
      <c r="BG217" s="106">
        <f>IF(C217="","",IFERROR(1/(1/_xlfn.MINIFS('Saisie'!$A$5:$A$2004,'Saisie'!$C$5:$C$2004,C217,'Saisie'!$AT$5:$AT$2004,"&gt;=5")),""))</f>
        <v/>
      </c>
      <c r="BH217" s="106">
        <f>IF(C217="","",IFERROR(1/(1/_xlfn.MINIFS('Saisie'!$A$5:$A$2004,'Saisie'!$C$5:$C$2004,C217,'Saisie'!$AT$5:$AT$2004,"&gt;=6")),""))</f>
        <v/>
      </c>
      <c r="BI217" s="106">
        <f>IF(C217="","",IFERROR(1/(1/_xlfn.MINIFS('Saisie'!$A$5:$A$2004,'Saisie'!$C$5:$C$2004,C217,'Saisie'!$AT$5:$AT$2004,"&gt;=7")),""))</f>
        <v/>
      </c>
      <c r="BJ217" s="60">
        <f>IF(OR(BD217="",B217=""),"",BD217-B217)</f>
        <v/>
      </c>
      <c r="BK217" s="60">
        <f>IF(OR(BE217="",BD217=""),"",BE217-BD217)</f>
        <v/>
      </c>
      <c r="BL217" s="60">
        <f>IF(OR(BF217="",BE217=""),"",BF217-BE217)</f>
        <v/>
      </c>
      <c r="BM217" s="60">
        <f>IF(OR(BG217="",BF217=""),"",BG217-BF217)</f>
        <v/>
      </c>
      <c r="BN217" s="60">
        <f>IF(OR(BH217="",BG217=""),"",BH217-BG217)</f>
        <v/>
      </c>
      <c r="BO217" s="60">
        <f>IF(OR(BI217="",BH217=""),"",BI217-BH217)</f>
        <v/>
      </c>
      <c r="BP217" s="60">
        <f>IF(C217="","",_xlfn.MAXIFS('Saisie'!$AS$5:$AS$2004,'Saisie'!$C$5:$C$2004,C217,'Saisie'!$J$5:$J$2004,"&lt;&gt;"))</f>
        <v/>
      </c>
      <c r="BQ217" s="60">
        <f>IF(C217="","",_xlfn.MAXIFS('Saisie'!$AS$5:$AS$2004,'Saisie'!$C$5:$C$2004,C217))</f>
        <v/>
      </c>
      <c r="BR217" s="60">
        <f>IF(C217="","",_xlfn.MAXIFS('Saisie'!$AS$5:$AS$2004,'Saisie'!$C$5:$C$2004,C217,'Saisie'!$E$5:$E$2004,"Perdu"))</f>
        <v/>
      </c>
      <c r="BS217" s="60">
        <f>IF(C217="","",_xlfn.MAXIFS('Saisie'!$AS$5:$AS$2004,'Saisie'!$C$5:$C$2004,C217,'Saisie'!$AT$5:$AT$2004,"&gt;0"))</f>
        <v/>
      </c>
      <c r="BT217" s="109">
        <f>IF(AND(C217&lt;&gt;"",OR(D217="Nouveau",D217="Contacté",D217="Qualifié"),OR(G217="",N(G217)&lt;=TODAY()),NOT(AND(O217&gt;='Paramètres'!$B$21,P217=0))),E217+213/10000,"")</f>
        <v/>
      </c>
      <c r="BU217" s="60">
        <f>IF(AND(G217&lt;&gt;"",N(G217)&lt;=TODAY()),MAX($BU$4:BU216)+1,"")</f>
        <v/>
      </c>
      <c r="BV217" s="60">
        <f>IF(AND(F217&lt;&gt;"",F217&lt;&gt;"Relance en retard"),MAX($BV$4:BV216)+1,"")</f>
        <v/>
      </c>
      <c r="BW217" s="60">
        <f>IF(C217="","",IF(AND(B217&gt;='Tableau de bord'!$R$4,B217&lt;='Tableau de bord'!$S$4,OR('Tableau de bord'!$G$4="Tous",N217='Tableau de bord'!$G$4)),1,0))</f>
        <v/>
      </c>
      <c r="BX217" s="60">
        <f>IF(AND(C217&lt;&gt;"",N(BA217)=7),MAX($BX$4:BX216)+1,"")</f>
        <v/>
      </c>
    </row>
    <row r="218">
      <c r="A218" s="60">
        <f>IF(C218="","","P-"&amp;TEXT(214,"000"))</f>
        <v/>
      </c>
      <c r="B218" s="106">
        <f>IF(C218="","",IFERROR(1/(1/_xlfn.MINIFS('Saisie'!$A$5:$A$2004,'Saisie'!$C$5:$C$2004,C218)),""))</f>
        <v/>
      </c>
      <c r="C218" s="60">
        <f>IFERROR(INDEX('Saisie'!$C$5:$C$2004,MATCH(214,'Saisie'!$AX$5:$AX$2004,0)),"")</f>
        <v/>
      </c>
      <c r="D218" s="60">
        <f>IF(C218="","",IF(AND(BR218&gt;0,BR218&gt;BS218,BA218&lt;7),"Perdu",INDEX('Paramètres'!$F$6:$F$13,BA218)))</f>
        <v/>
      </c>
      <c r="E218" s="61">
        <f>IF(C218="","",MIN(100,(Z218="Oui")*'Paramètres'!$B$38+(AB218="Régulière")*'Paramètres'!$B$39+IF(AND(N(AA218)&gt;0,TODAY()-N(AA218)&lt;=30),'Paramètres'!$B$40,0)+(W218="")*'Paramètres'!$B$41+(AC218="Absente")*'Paramètres'!$B$42+(AC218="Faible")*'Paramètres'!$B$43+IF(AND(N(AD218)&gt;0,N(AD218)&lt;4),'Paramètres'!$B$44,0)+(AF218="Moyenne")*'Paramètres'!$B$45+(AF218="Grande")*'Paramètres'!$B$46+(Y218&lt;&gt;"")*'Paramètres'!$B$47))</f>
        <v/>
      </c>
      <c r="F218" s="60">
        <f>IF(C218="","",IF(D218="Gagné","",IF(D218="Perdu",IF(AND(AX218&lt;&gt;"",AX218&lt;=TODAY()),"À recontacter (perdu)",""),IF(AND(O218&gt;='Paramètres'!$B$21,P218=0),"Stop : "&amp;'Paramètres'!$B$21&amp;" tentatives sans réponse",IF(AND(D218="Proposition",AR218&lt;&gt;"",TODAY()&gt;N(AR218)),"Proposition expirée",IF(AND(D218="Proposition",N(R218)&gt;='Paramètres'!$B$25),"Proposition sans réponse",IF(AND(G218&lt;&gt;"",N(G218)&lt;TODAY()),"Relance en retard",IF(N(R218)&gt;='Paramètres'!$B$24,"Sans action depuis "&amp;R218&amp;" j",""))))))))</f>
        <v/>
      </c>
      <c r="G218" s="106">
        <f>IF(OR(C218="",D218="Gagné",D218="Perdu"),"",IF(AND(BP218&gt;0,BP218=BQ218),INDEX('Saisie'!$J$5:$J$2004,BP218-4),IF(OR(O218=0,AND(O218&gt;='Paramètres'!$B$21,P218=0)),"",Q218+IF(O218&lt;=1,'Paramètres'!$B$18,IF(O218=2,'Paramètres'!$B$19,'Paramètres'!$B$20)))))</f>
        <v/>
      </c>
      <c r="H218" s="107">
        <f>IF(OR(G218="",BP218&lt;&gt;BQ218),"",IF(INDEX('Saisie'!$K$5:$K$2004,BP218-4)="","",INDEX('Saisie'!$K$5:$K$2004,BP218-4)))</f>
        <v/>
      </c>
      <c r="I218" s="60">
        <f>IF(C218="","",IF(OR(D218="Gagné",D218="Perdu"),"",IFERROR(INDEX('Saisie'!$I$5:$I$2004,_xlfn.MAXIFS('Saisie'!$AS$5:$AS$2004,'Saisie'!$C$5:$C$2004,C218,'Saisie'!$I$5:$I$2004,"&lt;&gt;")-4),"")))</f>
        <v/>
      </c>
      <c r="J218" s="60">
        <f>IF(C218="","",IFERROR(INDEX('Saisie'!$U$5:$U$2004,_xlfn.MAXIFS('Saisie'!$AS$5:$AS$2004,'Saisie'!$C$5:$C$2004,C218,'Saisie'!$U$5:$U$2004,"&lt;&gt;")-4),""))</f>
        <v/>
      </c>
      <c r="K218" s="60">
        <f>IF(C218="","",IFERROR(INDEX('Saisie'!$W$5:$W$2004,_xlfn.MAXIFS('Saisie'!$AS$5:$AS$2004,'Saisie'!$C$5:$C$2004,C218,'Saisie'!$W$5:$W$2004,"&lt;&gt;")-4),""))</f>
        <v/>
      </c>
      <c r="L218" s="60">
        <f>IF(IF(BB218&lt;&gt;"",BB218,K218)="","",HYPERLINK("https://wa.me/"&amp;IF(LEFT(SUBSTITUTE(SUBSTITUTE(SUBSTITUTE(IF(BB218&lt;&gt;"",BB218,K218)," ",""),".",""),"+",""),1)="0",'Paramètres'!$B$35&amp;MID(SUBSTITUTE(SUBSTITUTE(SUBSTITUTE(IF(BB218&lt;&gt;"",BB218,K218)," ",""),".",""),"+",""),2,20),SUBSTITUTE(SUBSTITUTE(SUBSTITUTE(IF(BB218&lt;&gt;"",BB218,K218)," ",""),".",""),"+","")),"WhatsApp"))</f>
        <v/>
      </c>
      <c r="M218" s="60">
        <f>IF(BC218="","",HYPERLINK(IF(LEFT(BC218,4)="http",BC218,"https://www.instagram.com/"&amp;SUBSTITUTE(SUBSTITUTE(BC218,"@","")," ","")),BC218))</f>
        <v/>
      </c>
      <c r="N218" s="60">
        <f>IF(C218="","",IFERROR(INDEX('Saisie'!$D$5:$D$2004,_xlfn.MINIFS('Saisie'!$AS$5:$AS$2004,'Saisie'!$C$5:$C$2004,C218,'Saisie'!$AU$5:$AU$2004,1)-4),IFERROR(INDEX('Saisie'!$D$5:$D$2004,_xlfn.MINIFS('Saisie'!$AS$5:$AS$2004,'Saisie'!$C$5:$C$2004,C218,'Saisie'!$D$5:$D$2004,"&lt;&gt;")-4),"")))</f>
        <v/>
      </c>
      <c r="O218" s="60">
        <f>IF(C218="","",COUNTIFS('Saisie'!$C$5:$C$2004,C218,'Saisie'!$AU$5:$AU$2004,1))</f>
        <v/>
      </c>
      <c r="P218" s="60">
        <f>IF(C218="","",COUNTIFS('Saisie'!$C$5:$C$2004,C218,'Saisie'!$AV$5:$AV$2004,1))</f>
        <v/>
      </c>
      <c r="Q218" s="106">
        <f>IF(C218="","",IFERROR(1/(1/_xlfn.MAXIFS('Saisie'!$A$5:$A$2004,'Saisie'!$C$5:$C$2004,C218)),""))</f>
        <v/>
      </c>
      <c r="R218" s="61">
        <f>IF(C218="","",IF(Q218="","",TODAY()-Q218))</f>
        <v/>
      </c>
      <c r="S218" s="60">
        <f>IF(C218="","",IFERROR(INDEX('Saisie'!$R$5:$R$2004,_xlfn.MAXIFS('Saisie'!$AS$5:$AS$2004,'Saisie'!$C$5:$C$2004,C218,'Saisie'!$R$5:$R$2004,"&lt;&gt;")-4),""))</f>
        <v/>
      </c>
      <c r="T218" s="60">
        <f>IF(C218="","",IFERROR(INDEX('Saisie'!$S$5:$S$2004,_xlfn.MAXIFS('Saisie'!$AS$5:$AS$2004,'Saisie'!$C$5:$C$2004,C218,'Saisie'!$S$5:$S$2004,"&lt;&gt;")-4),""))</f>
        <v/>
      </c>
      <c r="U218" s="60">
        <f>IF(C218="","",IFERROR(INDEX('Saisie'!$T$5:$T$2004,_xlfn.MAXIFS('Saisie'!$AS$5:$AS$2004,'Saisie'!$C$5:$C$2004,C218,'Saisie'!$T$5:$T$2004,"&lt;&gt;")-4),""))</f>
        <v/>
      </c>
      <c r="V218" s="60">
        <f>IF(C218="","",IFERROR(INDEX('Saisie'!$V$5:$V$2004,_xlfn.MAXIFS('Saisie'!$AS$5:$AS$2004,'Saisie'!$C$5:$C$2004,C218,'Saisie'!$V$5:$V$2004,"&lt;&gt;")-4),""))</f>
        <v/>
      </c>
      <c r="W218" s="60">
        <f>IF(C218="","",IFERROR(INDEX('Saisie'!$Z$5:$Z$2004,_xlfn.MAXIFS('Saisie'!$AS$5:$AS$2004,'Saisie'!$C$5:$C$2004,C218,'Saisie'!$Z$5:$Z$2004,"&lt;&gt;")-4),""))</f>
        <v/>
      </c>
      <c r="X218" s="60">
        <f>IF(C218="","",IFERROR(INDEX('Saisie'!$AA$5:$AA$2004,_xlfn.MAXIFS('Saisie'!$AS$5:$AS$2004,'Saisie'!$C$5:$C$2004,C218,'Saisie'!$AA$5:$AA$2004,"&lt;&gt;")-4),""))</f>
        <v/>
      </c>
      <c r="Y218" s="60">
        <f>IF(C218="","",IFERROR(INDEX('Saisie'!$AB$5:$AB$2004,_xlfn.MAXIFS('Saisie'!$AS$5:$AS$2004,'Saisie'!$C$5:$C$2004,C218,'Saisie'!$AB$5:$AB$2004,"&lt;&gt;")-4),""))</f>
        <v/>
      </c>
      <c r="Z218" s="60">
        <f>IF(C218="","",IFERROR(INDEX('Saisie'!$AC$5:$AC$2004,_xlfn.MAXIFS('Saisie'!$AS$5:$AS$2004,'Saisie'!$C$5:$C$2004,C218,'Saisie'!$AC$5:$AC$2004,"&lt;&gt;")-4),""))</f>
        <v/>
      </c>
      <c r="AA218" s="106">
        <f>IF(C218="","",IFERROR(INDEX('Saisie'!$AD$5:$AD$2004,_xlfn.MAXIFS('Saisie'!$AS$5:$AS$2004,'Saisie'!$C$5:$C$2004,C218,'Saisie'!$AD$5:$AD$2004,"&lt;&gt;")-4),""))</f>
        <v/>
      </c>
      <c r="AB218" s="60">
        <f>IF(C218="","",IFERROR(INDEX('Saisie'!$AE$5:$AE$2004,_xlfn.MAXIFS('Saisie'!$AS$5:$AS$2004,'Saisie'!$C$5:$C$2004,C218,'Saisie'!$AE$5:$AE$2004,"&lt;&gt;")-4),""))</f>
        <v/>
      </c>
      <c r="AC218" s="60">
        <f>IF(C218="","",IFERROR(INDEX('Saisie'!$AF$5:$AF$2004,_xlfn.MAXIFS('Saisie'!$AS$5:$AS$2004,'Saisie'!$C$5:$C$2004,C218,'Saisie'!$AF$5:$AF$2004,"&lt;&gt;")-4),""))</f>
        <v/>
      </c>
      <c r="AD218" s="108">
        <f>IF(C218="","",IFERROR(INDEX('Saisie'!$AG$5:$AG$2004,_xlfn.MAXIFS('Saisie'!$AS$5:$AS$2004,'Saisie'!$C$5:$C$2004,C218,'Saisie'!$AG$5:$AG$2004,"&lt;&gt;")-4),""))</f>
        <v/>
      </c>
      <c r="AE218" s="60">
        <f>IF(C218="","",IFERROR(INDEX('Saisie'!$AH$5:$AH$2004,_xlfn.MAXIFS('Saisie'!$AS$5:$AS$2004,'Saisie'!$C$5:$C$2004,C218,'Saisie'!$AH$5:$AH$2004,"&lt;&gt;")-4),""))</f>
        <v/>
      </c>
      <c r="AF218" s="60">
        <f>IF(C218="","",IFERROR(INDEX('Saisie'!$AI$5:$AI$2004,_xlfn.MAXIFS('Saisie'!$AS$5:$AS$2004,'Saisie'!$C$5:$C$2004,C218,'Saisie'!$AI$5:$AI$2004,"&lt;&gt;")-4),""))</f>
        <v/>
      </c>
      <c r="AG218" s="60">
        <f>IF(C218="","",IFERROR(INDEX('Saisie'!$AJ$5:$AJ$2004,_xlfn.MAXIFS('Saisie'!$AS$5:$AS$2004,'Saisie'!$C$5:$C$2004,C218,'Saisie'!$AJ$5:$AJ$2004,"&lt;&gt;")-4),""))</f>
        <v/>
      </c>
      <c r="AH218" s="60">
        <f>IF(C218="","",IFERROR(INDEX('Saisie'!$AK$5:$AK$2004,_xlfn.MAXIFS('Saisie'!$AS$5:$AS$2004,'Saisie'!$C$5:$C$2004,C218,'Saisie'!$AK$5:$AK$2004,"&lt;&gt;")-4),""))</f>
        <v/>
      </c>
      <c r="AI218" s="60">
        <f>IF(C218="","",IFERROR(INDEX('Saisie'!$AN$5:$AN$2004,_xlfn.MAXIFS('Saisie'!$AS$5:$AS$2004,'Saisie'!$C$5:$C$2004,C218,'Saisie'!$AN$5:$AN$2004,"&lt;&gt;")-4),""))</f>
        <v/>
      </c>
      <c r="AJ218" s="60">
        <f>IF(C218="","",IFERROR(INDEX('Saisie'!$AO$5:$AO$2004,_xlfn.MAXIFS('Saisie'!$AS$5:$AS$2004,'Saisie'!$C$5:$C$2004,C218,'Saisie'!$AO$5:$AO$2004,"&lt;&gt;")-4),""))</f>
        <v/>
      </c>
      <c r="AK218" s="60">
        <f>IF(C218="","",IFERROR(INDEX('Saisie'!$AP$5:$AP$2004,_xlfn.MAXIFS('Saisie'!$AS$5:$AS$2004,'Saisie'!$C$5:$C$2004,C218,'Saisie'!$AP$5:$AP$2004,"&lt;&gt;")-4),""))</f>
        <v/>
      </c>
      <c r="AL218" s="60">
        <f>IF(C218="","",IFERROR(INDEX('Saisie'!$AQ$5:$AQ$2004,_xlfn.MAXIFS('Saisie'!$AS$5:$AS$2004,'Saisie'!$C$5:$C$2004,C218,'Saisie'!$AQ$5:$AQ$2004,"&lt;&gt;")-4),""))</f>
        <v/>
      </c>
      <c r="AM218" s="60">
        <f>IF(C218="","",((AI218="Oui")+(AJ218="Oui")+(AK218="Oui")+OR(AL218="Immédiat",AL218="&lt; 1 mois"))&amp;"/4")</f>
        <v/>
      </c>
      <c r="AN218" s="60">
        <f>IF(C218="","",IFERROR(INDEX('Saisie'!$AL$5:$AL$2004,_xlfn.MAXIFS('Saisie'!$AS$5:$AS$2004,'Saisie'!$C$5:$C$2004,C218,'Saisie'!$AL$5:$AL$2004,"&lt;&gt;")-4),""))</f>
        <v/>
      </c>
      <c r="AO218" s="62">
        <f>IF(C218="","",IF(IFERROR(INDEX('Saisie'!$AM$5:$AM$2004,_xlfn.MAXIFS('Saisie'!$AS$5:$AS$2004,'Saisie'!$C$5:$C$2004,C218,'Saisie'!$AM$5:$AM$2004,"&lt;&gt;")-4),"")&lt;&gt;"",IFERROR(INDEX('Saisie'!$AM$5:$AM$2004,_xlfn.MAXIFS('Saisie'!$AS$5:$AS$2004,'Saisie'!$C$5:$C$2004,C218,'Saisie'!$AM$5:$AM$2004,"&lt;&gt;")-4),""),IFERROR(INDEX('Paramètres'!$S$6:$S$15,MATCH(AN218,'Paramètres'!$Q$6:$Q$15,0)),"")))</f>
        <v/>
      </c>
      <c r="AP218" s="62">
        <f>IF(C218="","",IFERROR(INDEX('Saisie'!$AW$5:$AW$2004,_xlfn.MAXIFS('Saisie'!$AS$5:$AS$2004,'Saisie'!$C$5:$C$2004,C218,'Saisie'!$E$5:$E$2004,"Proposition envoyée")-4),""))</f>
        <v/>
      </c>
      <c r="AQ218" s="106">
        <f>IF(C218="","",IFERROR(1/(1/_xlfn.MAXIFS('Saisie'!$A$5:$A$2004,'Saisie'!$C$5:$C$2004,C218,'Saisie'!$E$5:$E$2004,"Proposition envoyée")),""))</f>
        <v/>
      </c>
      <c r="AR218" s="106">
        <f>IF(C218="","",IF(AQ218="","",AQ218+'Paramètres'!$B$26))</f>
        <v/>
      </c>
      <c r="AS218" s="62">
        <f>IF(OR(C218="",D218="Gagné",D218="Perdu"),0,N(AP218)*IFERROR(INDEX('Paramètres'!$G$6:$G$13,MATCH(D218,'Paramètres'!$F$6:$F$13,0)),0))</f>
        <v/>
      </c>
      <c r="AT218" s="106">
        <f>IF(C218="","",IFERROR(1/(1/_xlfn.MINIFS('Saisie'!$A$5:$A$2004,'Saisie'!$C$5:$C$2004,C218,'Saisie'!$E$5:$E$2004,"Signature")),""))</f>
        <v/>
      </c>
      <c r="AU218" s="60">
        <f>IF(C218="","",IF(OR(AT218="",B218=""),"",AT218-B218))</f>
        <v/>
      </c>
      <c r="AV218" s="60">
        <f>IF(C218="","",IFERROR(INDEX('Saisie'!$L$5:$L$2004,_xlfn.MAXIFS('Saisie'!$AS$5:$AS$2004,'Saisie'!$C$5:$C$2004,C218,'Saisie'!$L$5:$L$2004,"&lt;&gt;")-4),""))</f>
        <v/>
      </c>
      <c r="AW218" s="106">
        <f>IF(C218="","",IF(D218&lt;&gt;"Perdu","",IFERROR(1/(1/_xlfn.MAXIFS('Saisie'!$A$5:$A$2004,'Saisie'!$C$5:$C$2004,C218,'Saisie'!$E$5:$E$2004,"Perdu")),"")))</f>
        <v/>
      </c>
      <c r="AX218" s="106">
        <f>IF(C218="","",IF(AW218="","",AW218+'Paramètres'!$B$28))</f>
        <v/>
      </c>
      <c r="AY218" s="60">
        <f>IF(C218="","",SUMIFS('Saisie'!$H$5:$H$2004,'Saisie'!$C$5:$C$2004,C218))</f>
        <v/>
      </c>
      <c r="AZ218" s="60">
        <f>IF(C218="","",IFERROR(INDEX('Paramètres'!$W$6:$W$20,MATCH(S218,'Paramètres'!$V$6:$V$20,0))&amp;"",""))</f>
        <v/>
      </c>
      <c r="BA218" s="60">
        <f>IF(C218="","",MAX(1,_xlfn.MAXIFS('Saisie'!$AT$5:$AT$2004,'Saisie'!$C$5:$C$2004,C218)))</f>
        <v/>
      </c>
      <c r="BB218" s="60">
        <f>IF(C218="","",IFERROR(INDEX('Saisie'!$X$5:$X$2004,_xlfn.MAXIFS('Saisie'!$AS$5:$AS$2004,'Saisie'!$C$5:$C$2004,C218,'Saisie'!$X$5:$X$2004,"&lt;&gt;")-4),""))</f>
        <v/>
      </c>
      <c r="BC218" s="60">
        <f>IF(C218="","",IFERROR(INDEX('Saisie'!$Y$5:$Y$2004,_xlfn.MAXIFS('Saisie'!$AS$5:$AS$2004,'Saisie'!$C$5:$C$2004,C218,'Saisie'!$Y$5:$Y$2004,"&lt;&gt;")-4),""))</f>
        <v/>
      </c>
      <c r="BD218" s="106">
        <f>IF(C218="","",IFERROR(1/(1/_xlfn.MINIFS('Saisie'!$A$5:$A$2004,'Saisie'!$C$5:$C$2004,C218,'Saisie'!$AT$5:$AT$2004,"&gt;=2")),""))</f>
        <v/>
      </c>
      <c r="BE218" s="106">
        <f>IF(C218="","",IFERROR(1/(1/_xlfn.MINIFS('Saisie'!$A$5:$A$2004,'Saisie'!$C$5:$C$2004,C218,'Saisie'!$AT$5:$AT$2004,"&gt;=3")),""))</f>
        <v/>
      </c>
      <c r="BF218" s="106">
        <f>IF(C218="","",IFERROR(1/(1/_xlfn.MINIFS('Saisie'!$A$5:$A$2004,'Saisie'!$C$5:$C$2004,C218,'Saisie'!$AT$5:$AT$2004,"&gt;=4")),""))</f>
        <v/>
      </c>
      <c r="BG218" s="106">
        <f>IF(C218="","",IFERROR(1/(1/_xlfn.MINIFS('Saisie'!$A$5:$A$2004,'Saisie'!$C$5:$C$2004,C218,'Saisie'!$AT$5:$AT$2004,"&gt;=5")),""))</f>
        <v/>
      </c>
      <c r="BH218" s="106">
        <f>IF(C218="","",IFERROR(1/(1/_xlfn.MINIFS('Saisie'!$A$5:$A$2004,'Saisie'!$C$5:$C$2004,C218,'Saisie'!$AT$5:$AT$2004,"&gt;=6")),""))</f>
        <v/>
      </c>
      <c r="BI218" s="106">
        <f>IF(C218="","",IFERROR(1/(1/_xlfn.MINIFS('Saisie'!$A$5:$A$2004,'Saisie'!$C$5:$C$2004,C218,'Saisie'!$AT$5:$AT$2004,"&gt;=7")),""))</f>
        <v/>
      </c>
      <c r="BJ218" s="60">
        <f>IF(OR(BD218="",B218=""),"",BD218-B218)</f>
        <v/>
      </c>
      <c r="BK218" s="60">
        <f>IF(OR(BE218="",BD218=""),"",BE218-BD218)</f>
        <v/>
      </c>
      <c r="BL218" s="60">
        <f>IF(OR(BF218="",BE218=""),"",BF218-BE218)</f>
        <v/>
      </c>
      <c r="BM218" s="60">
        <f>IF(OR(BG218="",BF218=""),"",BG218-BF218)</f>
        <v/>
      </c>
      <c r="BN218" s="60">
        <f>IF(OR(BH218="",BG218=""),"",BH218-BG218)</f>
        <v/>
      </c>
      <c r="BO218" s="60">
        <f>IF(OR(BI218="",BH218=""),"",BI218-BH218)</f>
        <v/>
      </c>
      <c r="BP218" s="60">
        <f>IF(C218="","",_xlfn.MAXIFS('Saisie'!$AS$5:$AS$2004,'Saisie'!$C$5:$C$2004,C218,'Saisie'!$J$5:$J$2004,"&lt;&gt;"))</f>
        <v/>
      </c>
      <c r="BQ218" s="60">
        <f>IF(C218="","",_xlfn.MAXIFS('Saisie'!$AS$5:$AS$2004,'Saisie'!$C$5:$C$2004,C218))</f>
        <v/>
      </c>
      <c r="BR218" s="60">
        <f>IF(C218="","",_xlfn.MAXIFS('Saisie'!$AS$5:$AS$2004,'Saisie'!$C$5:$C$2004,C218,'Saisie'!$E$5:$E$2004,"Perdu"))</f>
        <v/>
      </c>
      <c r="BS218" s="60">
        <f>IF(C218="","",_xlfn.MAXIFS('Saisie'!$AS$5:$AS$2004,'Saisie'!$C$5:$C$2004,C218,'Saisie'!$AT$5:$AT$2004,"&gt;0"))</f>
        <v/>
      </c>
      <c r="BT218" s="109">
        <f>IF(AND(C218&lt;&gt;"",OR(D218="Nouveau",D218="Contacté",D218="Qualifié"),OR(G218="",N(G218)&lt;=TODAY()),NOT(AND(O218&gt;='Paramètres'!$B$21,P218=0))),E218+214/10000,"")</f>
        <v/>
      </c>
      <c r="BU218" s="60">
        <f>IF(AND(G218&lt;&gt;"",N(G218)&lt;=TODAY()),MAX($BU$4:BU217)+1,"")</f>
        <v/>
      </c>
      <c r="BV218" s="60">
        <f>IF(AND(F218&lt;&gt;"",F218&lt;&gt;"Relance en retard"),MAX($BV$4:BV217)+1,"")</f>
        <v/>
      </c>
      <c r="BW218" s="60">
        <f>IF(C218="","",IF(AND(B218&gt;='Tableau de bord'!$R$4,B218&lt;='Tableau de bord'!$S$4,OR('Tableau de bord'!$G$4="Tous",N218='Tableau de bord'!$G$4)),1,0))</f>
        <v/>
      </c>
      <c r="BX218" s="60">
        <f>IF(AND(C218&lt;&gt;"",N(BA218)=7),MAX($BX$4:BX217)+1,"")</f>
        <v/>
      </c>
    </row>
    <row r="219">
      <c r="A219" s="60">
        <f>IF(C219="","","P-"&amp;TEXT(215,"000"))</f>
        <v/>
      </c>
      <c r="B219" s="106">
        <f>IF(C219="","",IFERROR(1/(1/_xlfn.MINIFS('Saisie'!$A$5:$A$2004,'Saisie'!$C$5:$C$2004,C219)),""))</f>
        <v/>
      </c>
      <c r="C219" s="60">
        <f>IFERROR(INDEX('Saisie'!$C$5:$C$2004,MATCH(215,'Saisie'!$AX$5:$AX$2004,0)),"")</f>
        <v/>
      </c>
      <c r="D219" s="60">
        <f>IF(C219="","",IF(AND(BR219&gt;0,BR219&gt;BS219,BA219&lt;7),"Perdu",INDEX('Paramètres'!$F$6:$F$13,BA219)))</f>
        <v/>
      </c>
      <c r="E219" s="61">
        <f>IF(C219="","",MIN(100,(Z219="Oui")*'Paramètres'!$B$38+(AB219="Régulière")*'Paramètres'!$B$39+IF(AND(N(AA219)&gt;0,TODAY()-N(AA219)&lt;=30),'Paramètres'!$B$40,0)+(W219="")*'Paramètres'!$B$41+(AC219="Absente")*'Paramètres'!$B$42+(AC219="Faible")*'Paramètres'!$B$43+IF(AND(N(AD219)&gt;0,N(AD219)&lt;4),'Paramètres'!$B$44,0)+(AF219="Moyenne")*'Paramètres'!$B$45+(AF219="Grande")*'Paramètres'!$B$46+(Y219&lt;&gt;"")*'Paramètres'!$B$47))</f>
        <v/>
      </c>
      <c r="F219" s="60">
        <f>IF(C219="","",IF(D219="Gagné","",IF(D219="Perdu",IF(AND(AX219&lt;&gt;"",AX219&lt;=TODAY()),"À recontacter (perdu)",""),IF(AND(O219&gt;='Paramètres'!$B$21,P219=0),"Stop : "&amp;'Paramètres'!$B$21&amp;" tentatives sans réponse",IF(AND(D219="Proposition",AR219&lt;&gt;"",TODAY()&gt;N(AR219)),"Proposition expirée",IF(AND(D219="Proposition",N(R219)&gt;='Paramètres'!$B$25),"Proposition sans réponse",IF(AND(G219&lt;&gt;"",N(G219)&lt;TODAY()),"Relance en retard",IF(N(R219)&gt;='Paramètres'!$B$24,"Sans action depuis "&amp;R219&amp;" j",""))))))))</f>
        <v/>
      </c>
      <c r="G219" s="106">
        <f>IF(OR(C219="",D219="Gagné",D219="Perdu"),"",IF(AND(BP219&gt;0,BP219=BQ219),INDEX('Saisie'!$J$5:$J$2004,BP219-4),IF(OR(O219=0,AND(O219&gt;='Paramètres'!$B$21,P219=0)),"",Q219+IF(O219&lt;=1,'Paramètres'!$B$18,IF(O219=2,'Paramètres'!$B$19,'Paramètres'!$B$20)))))</f>
        <v/>
      </c>
      <c r="H219" s="107">
        <f>IF(OR(G219="",BP219&lt;&gt;BQ219),"",IF(INDEX('Saisie'!$K$5:$K$2004,BP219-4)="","",INDEX('Saisie'!$K$5:$K$2004,BP219-4)))</f>
        <v/>
      </c>
      <c r="I219" s="60">
        <f>IF(C219="","",IF(OR(D219="Gagné",D219="Perdu"),"",IFERROR(INDEX('Saisie'!$I$5:$I$2004,_xlfn.MAXIFS('Saisie'!$AS$5:$AS$2004,'Saisie'!$C$5:$C$2004,C219,'Saisie'!$I$5:$I$2004,"&lt;&gt;")-4),"")))</f>
        <v/>
      </c>
      <c r="J219" s="60">
        <f>IF(C219="","",IFERROR(INDEX('Saisie'!$U$5:$U$2004,_xlfn.MAXIFS('Saisie'!$AS$5:$AS$2004,'Saisie'!$C$5:$C$2004,C219,'Saisie'!$U$5:$U$2004,"&lt;&gt;")-4),""))</f>
        <v/>
      </c>
      <c r="K219" s="60">
        <f>IF(C219="","",IFERROR(INDEX('Saisie'!$W$5:$W$2004,_xlfn.MAXIFS('Saisie'!$AS$5:$AS$2004,'Saisie'!$C$5:$C$2004,C219,'Saisie'!$W$5:$W$2004,"&lt;&gt;")-4),""))</f>
        <v/>
      </c>
      <c r="L219" s="60">
        <f>IF(IF(BB219&lt;&gt;"",BB219,K219)="","",HYPERLINK("https://wa.me/"&amp;IF(LEFT(SUBSTITUTE(SUBSTITUTE(SUBSTITUTE(IF(BB219&lt;&gt;"",BB219,K219)," ",""),".",""),"+",""),1)="0",'Paramètres'!$B$35&amp;MID(SUBSTITUTE(SUBSTITUTE(SUBSTITUTE(IF(BB219&lt;&gt;"",BB219,K219)," ",""),".",""),"+",""),2,20),SUBSTITUTE(SUBSTITUTE(SUBSTITUTE(IF(BB219&lt;&gt;"",BB219,K219)," ",""),".",""),"+","")),"WhatsApp"))</f>
        <v/>
      </c>
      <c r="M219" s="60">
        <f>IF(BC219="","",HYPERLINK(IF(LEFT(BC219,4)="http",BC219,"https://www.instagram.com/"&amp;SUBSTITUTE(SUBSTITUTE(BC219,"@","")," ","")),BC219))</f>
        <v/>
      </c>
      <c r="N219" s="60">
        <f>IF(C219="","",IFERROR(INDEX('Saisie'!$D$5:$D$2004,_xlfn.MINIFS('Saisie'!$AS$5:$AS$2004,'Saisie'!$C$5:$C$2004,C219,'Saisie'!$AU$5:$AU$2004,1)-4),IFERROR(INDEX('Saisie'!$D$5:$D$2004,_xlfn.MINIFS('Saisie'!$AS$5:$AS$2004,'Saisie'!$C$5:$C$2004,C219,'Saisie'!$D$5:$D$2004,"&lt;&gt;")-4),"")))</f>
        <v/>
      </c>
      <c r="O219" s="60">
        <f>IF(C219="","",COUNTIFS('Saisie'!$C$5:$C$2004,C219,'Saisie'!$AU$5:$AU$2004,1))</f>
        <v/>
      </c>
      <c r="P219" s="60">
        <f>IF(C219="","",COUNTIFS('Saisie'!$C$5:$C$2004,C219,'Saisie'!$AV$5:$AV$2004,1))</f>
        <v/>
      </c>
      <c r="Q219" s="106">
        <f>IF(C219="","",IFERROR(1/(1/_xlfn.MAXIFS('Saisie'!$A$5:$A$2004,'Saisie'!$C$5:$C$2004,C219)),""))</f>
        <v/>
      </c>
      <c r="R219" s="61">
        <f>IF(C219="","",IF(Q219="","",TODAY()-Q219))</f>
        <v/>
      </c>
      <c r="S219" s="60">
        <f>IF(C219="","",IFERROR(INDEX('Saisie'!$R$5:$R$2004,_xlfn.MAXIFS('Saisie'!$AS$5:$AS$2004,'Saisie'!$C$5:$C$2004,C219,'Saisie'!$R$5:$R$2004,"&lt;&gt;")-4),""))</f>
        <v/>
      </c>
      <c r="T219" s="60">
        <f>IF(C219="","",IFERROR(INDEX('Saisie'!$S$5:$S$2004,_xlfn.MAXIFS('Saisie'!$AS$5:$AS$2004,'Saisie'!$C$5:$C$2004,C219,'Saisie'!$S$5:$S$2004,"&lt;&gt;")-4),""))</f>
        <v/>
      </c>
      <c r="U219" s="60">
        <f>IF(C219="","",IFERROR(INDEX('Saisie'!$T$5:$T$2004,_xlfn.MAXIFS('Saisie'!$AS$5:$AS$2004,'Saisie'!$C$5:$C$2004,C219,'Saisie'!$T$5:$T$2004,"&lt;&gt;")-4),""))</f>
        <v/>
      </c>
      <c r="V219" s="60">
        <f>IF(C219="","",IFERROR(INDEX('Saisie'!$V$5:$V$2004,_xlfn.MAXIFS('Saisie'!$AS$5:$AS$2004,'Saisie'!$C$5:$C$2004,C219,'Saisie'!$V$5:$V$2004,"&lt;&gt;")-4),""))</f>
        <v/>
      </c>
      <c r="W219" s="60">
        <f>IF(C219="","",IFERROR(INDEX('Saisie'!$Z$5:$Z$2004,_xlfn.MAXIFS('Saisie'!$AS$5:$AS$2004,'Saisie'!$C$5:$C$2004,C219,'Saisie'!$Z$5:$Z$2004,"&lt;&gt;")-4),""))</f>
        <v/>
      </c>
      <c r="X219" s="60">
        <f>IF(C219="","",IFERROR(INDEX('Saisie'!$AA$5:$AA$2004,_xlfn.MAXIFS('Saisie'!$AS$5:$AS$2004,'Saisie'!$C$5:$C$2004,C219,'Saisie'!$AA$5:$AA$2004,"&lt;&gt;")-4),""))</f>
        <v/>
      </c>
      <c r="Y219" s="60">
        <f>IF(C219="","",IFERROR(INDEX('Saisie'!$AB$5:$AB$2004,_xlfn.MAXIFS('Saisie'!$AS$5:$AS$2004,'Saisie'!$C$5:$C$2004,C219,'Saisie'!$AB$5:$AB$2004,"&lt;&gt;")-4),""))</f>
        <v/>
      </c>
      <c r="Z219" s="60">
        <f>IF(C219="","",IFERROR(INDEX('Saisie'!$AC$5:$AC$2004,_xlfn.MAXIFS('Saisie'!$AS$5:$AS$2004,'Saisie'!$C$5:$C$2004,C219,'Saisie'!$AC$5:$AC$2004,"&lt;&gt;")-4),""))</f>
        <v/>
      </c>
      <c r="AA219" s="106">
        <f>IF(C219="","",IFERROR(INDEX('Saisie'!$AD$5:$AD$2004,_xlfn.MAXIFS('Saisie'!$AS$5:$AS$2004,'Saisie'!$C$5:$C$2004,C219,'Saisie'!$AD$5:$AD$2004,"&lt;&gt;")-4),""))</f>
        <v/>
      </c>
      <c r="AB219" s="60">
        <f>IF(C219="","",IFERROR(INDEX('Saisie'!$AE$5:$AE$2004,_xlfn.MAXIFS('Saisie'!$AS$5:$AS$2004,'Saisie'!$C$5:$C$2004,C219,'Saisie'!$AE$5:$AE$2004,"&lt;&gt;")-4),""))</f>
        <v/>
      </c>
      <c r="AC219" s="60">
        <f>IF(C219="","",IFERROR(INDEX('Saisie'!$AF$5:$AF$2004,_xlfn.MAXIFS('Saisie'!$AS$5:$AS$2004,'Saisie'!$C$5:$C$2004,C219,'Saisie'!$AF$5:$AF$2004,"&lt;&gt;")-4),""))</f>
        <v/>
      </c>
      <c r="AD219" s="108">
        <f>IF(C219="","",IFERROR(INDEX('Saisie'!$AG$5:$AG$2004,_xlfn.MAXIFS('Saisie'!$AS$5:$AS$2004,'Saisie'!$C$5:$C$2004,C219,'Saisie'!$AG$5:$AG$2004,"&lt;&gt;")-4),""))</f>
        <v/>
      </c>
      <c r="AE219" s="60">
        <f>IF(C219="","",IFERROR(INDEX('Saisie'!$AH$5:$AH$2004,_xlfn.MAXIFS('Saisie'!$AS$5:$AS$2004,'Saisie'!$C$5:$C$2004,C219,'Saisie'!$AH$5:$AH$2004,"&lt;&gt;")-4),""))</f>
        <v/>
      </c>
      <c r="AF219" s="60">
        <f>IF(C219="","",IFERROR(INDEX('Saisie'!$AI$5:$AI$2004,_xlfn.MAXIFS('Saisie'!$AS$5:$AS$2004,'Saisie'!$C$5:$C$2004,C219,'Saisie'!$AI$5:$AI$2004,"&lt;&gt;")-4),""))</f>
        <v/>
      </c>
      <c r="AG219" s="60">
        <f>IF(C219="","",IFERROR(INDEX('Saisie'!$AJ$5:$AJ$2004,_xlfn.MAXIFS('Saisie'!$AS$5:$AS$2004,'Saisie'!$C$5:$C$2004,C219,'Saisie'!$AJ$5:$AJ$2004,"&lt;&gt;")-4),""))</f>
        <v/>
      </c>
      <c r="AH219" s="60">
        <f>IF(C219="","",IFERROR(INDEX('Saisie'!$AK$5:$AK$2004,_xlfn.MAXIFS('Saisie'!$AS$5:$AS$2004,'Saisie'!$C$5:$C$2004,C219,'Saisie'!$AK$5:$AK$2004,"&lt;&gt;")-4),""))</f>
        <v/>
      </c>
      <c r="AI219" s="60">
        <f>IF(C219="","",IFERROR(INDEX('Saisie'!$AN$5:$AN$2004,_xlfn.MAXIFS('Saisie'!$AS$5:$AS$2004,'Saisie'!$C$5:$C$2004,C219,'Saisie'!$AN$5:$AN$2004,"&lt;&gt;")-4),""))</f>
        <v/>
      </c>
      <c r="AJ219" s="60">
        <f>IF(C219="","",IFERROR(INDEX('Saisie'!$AO$5:$AO$2004,_xlfn.MAXIFS('Saisie'!$AS$5:$AS$2004,'Saisie'!$C$5:$C$2004,C219,'Saisie'!$AO$5:$AO$2004,"&lt;&gt;")-4),""))</f>
        <v/>
      </c>
      <c r="AK219" s="60">
        <f>IF(C219="","",IFERROR(INDEX('Saisie'!$AP$5:$AP$2004,_xlfn.MAXIFS('Saisie'!$AS$5:$AS$2004,'Saisie'!$C$5:$C$2004,C219,'Saisie'!$AP$5:$AP$2004,"&lt;&gt;")-4),""))</f>
        <v/>
      </c>
      <c r="AL219" s="60">
        <f>IF(C219="","",IFERROR(INDEX('Saisie'!$AQ$5:$AQ$2004,_xlfn.MAXIFS('Saisie'!$AS$5:$AS$2004,'Saisie'!$C$5:$C$2004,C219,'Saisie'!$AQ$5:$AQ$2004,"&lt;&gt;")-4),""))</f>
        <v/>
      </c>
      <c r="AM219" s="60">
        <f>IF(C219="","",((AI219="Oui")+(AJ219="Oui")+(AK219="Oui")+OR(AL219="Immédiat",AL219="&lt; 1 mois"))&amp;"/4")</f>
        <v/>
      </c>
      <c r="AN219" s="60">
        <f>IF(C219="","",IFERROR(INDEX('Saisie'!$AL$5:$AL$2004,_xlfn.MAXIFS('Saisie'!$AS$5:$AS$2004,'Saisie'!$C$5:$C$2004,C219,'Saisie'!$AL$5:$AL$2004,"&lt;&gt;")-4),""))</f>
        <v/>
      </c>
      <c r="AO219" s="62">
        <f>IF(C219="","",IF(IFERROR(INDEX('Saisie'!$AM$5:$AM$2004,_xlfn.MAXIFS('Saisie'!$AS$5:$AS$2004,'Saisie'!$C$5:$C$2004,C219,'Saisie'!$AM$5:$AM$2004,"&lt;&gt;")-4),"")&lt;&gt;"",IFERROR(INDEX('Saisie'!$AM$5:$AM$2004,_xlfn.MAXIFS('Saisie'!$AS$5:$AS$2004,'Saisie'!$C$5:$C$2004,C219,'Saisie'!$AM$5:$AM$2004,"&lt;&gt;")-4),""),IFERROR(INDEX('Paramètres'!$S$6:$S$15,MATCH(AN219,'Paramètres'!$Q$6:$Q$15,0)),"")))</f>
        <v/>
      </c>
      <c r="AP219" s="62">
        <f>IF(C219="","",IFERROR(INDEX('Saisie'!$AW$5:$AW$2004,_xlfn.MAXIFS('Saisie'!$AS$5:$AS$2004,'Saisie'!$C$5:$C$2004,C219,'Saisie'!$E$5:$E$2004,"Proposition envoyée")-4),""))</f>
        <v/>
      </c>
      <c r="AQ219" s="106">
        <f>IF(C219="","",IFERROR(1/(1/_xlfn.MAXIFS('Saisie'!$A$5:$A$2004,'Saisie'!$C$5:$C$2004,C219,'Saisie'!$E$5:$E$2004,"Proposition envoyée")),""))</f>
        <v/>
      </c>
      <c r="AR219" s="106">
        <f>IF(C219="","",IF(AQ219="","",AQ219+'Paramètres'!$B$26))</f>
        <v/>
      </c>
      <c r="AS219" s="62">
        <f>IF(OR(C219="",D219="Gagné",D219="Perdu"),0,N(AP219)*IFERROR(INDEX('Paramètres'!$G$6:$G$13,MATCH(D219,'Paramètres'!$F$6:$F$13,0)),0))</f>
        <v/>
      </c>
      <c r="AT219" s="106">
        <f>IF(C219="","",IFERROR(1/(1/_xlfn.MINIFS('Saisie'!$A$5:$A$2004,'Saisie'!$C$5:$C$2004,C219,'Saisie'!$E$5:$E$2004,"Signature")),""))</f>
        <v/>
      </c>
      <c r="AU219" s="60">
        <f>IF(C219="","",IF(OR(AT219="",B219=""),"",AT219-B219))</f>
        <v/>
      </c>
      <c r="AV219" s="60">
        <f>IF(C219="","",IFERROR(INDEX('Saisie'!$L$5:$L$2004,_xlfn.MAXIFS('Saisie'!$AS$5:$AS$2004,'Saisie'!$C$5:$C$2004,C219,'Saisie'!$L$5:$L$2004,"&lt;&gt;")-4),""))</f>
        <v/>
      </c>
      <c r="AW219" s="106">
        <f>IF(C219="","",IF(D219&lt;&gt;"Perdu","",IFERROR(1/(1/_xlfn.MAXIFS('Saisie'!$A$5:$A$2004,'Saisie'!$C$5:$C$2004,C219,'Saisie'!$E$5:$E$2004,"Perdu")),"")))</f>
        <v/>
      </c>
      <c r="AX219" s="106">
        <f>IF(C219="","",IF(AW219="","",AW219+'Paramètres'!$B$28))</f>
        <v/>
      </c>
      <c r="AY219" s="60">
        <f>IF(C219="","",SUMIFS('Saisie'!$H$5:$H$2004,'Saisie'!$C$5:$C$2004,C219))</f>
        <v/>
      </c>
      <c r="AZ219" s="60">
        <f>IF(C219="","",IFERROR(INDEX('Paramètres'!$W$6:$W$20,MATCH(S219,'Paramètres'!$V$6:$V$20,0))&amp;"",""))</f>
        <v/>
      </c>
      <c r="BA219" s="60">
        <f>IF(C219="","",MAX(1,_xlfn.MAXIFS('Saisie'!$AT$5:$AT$2004,'Saisie'!$C$5:$C$2004,C219)))</f>
        <v/>
      </c>
      <c r="BB219" s="60">
        <f>IF(C219="","",IFERROR(INDEX('Saisie'!$X$5:$X$2004,_xlfn.MAXIFS('Saisie'!$AS$5:$AS$2004,'Saisie'!$C$5:$C$2004,C219,'Saisie'!$X$5:$X$2004,"&lt;&gt;")-4),""))</f>
        <v/>
      </c>
      <c r="BC219" s="60">
        <f>IF(C219="","",IFERROR(INDEX('Saisie'!$Y$5:$Y$2004,_xlfn.MAXIFS('Saisie'!$AS$5:$AS$2004,'Saisie'!$C$5:$C$2004,C219,'Saisie'!$Y$5:$Y$2004,"&lt;&gt;")-4),""))</f>
        <v/>
      </c>
      <c r="BD219" s="106">
        <f>IF(C219="","",IFERROR(1/(1/_xlfn.MINIFS('Saisie'!$A$5:$A$2004,'Saisie'!$C$5:$C$2004,C219,'Saisie'!$AT$5:$AT$2004,"&gt;=2")),""))</f>
        <v/>
      </c>
      <c r="BE219" s="106">
        <f>IF(C219="","",IFERROR(1/(1/_xlfn.MINIFS('Saisie'!$A$5:$A$2004,'Saisie'!$C$5:$C$2004,C219,'Saisie'!$AT$5:$AT$2004,"&gt;=3")),""))</f>
        <v/>
      </c>
      <c r="BF219" s="106">
        <f>IF(C219="","",IFERROR(1/(1/_xlfn.MINIFS('Saisie'!$A$5:$A$2004,'Saisie'!$C$5:$C$2004,C219,'Saisie'!$AT$5:$AT$2004,"&gt;=4")),""))</f>
        <v/>
      </c>
      <c r="BG219" s="106">
        <f>IF(C219="","",IFERROR(1/(1/_xlfn.MINIFS('Saisie'!$A$5:$A$2004,'Saisie'!$C$5:$C$2004,C219,'Saisie'!$AT$5:$AT$2004,"&gt;=5")),""))</f>
        <v/>
      </c>
      <c r="BH219" s="106">
        <f>IF(C219="","",IFERROR(1/(1/_xlfn.MINIFS('Saisie'!$A$5:$A$2004,'Saisie'!$C$5:$C$2004,C219,'Saisie'!$AT$5:$AT$2004,"&gt;=6")),""))</f>
        <v/>
      </c>
      <c r="BI219" s="106">
        <f>IF(C219="","",IFERROR(1/(1/_xlfn.MINIFS('Saisie'!$A$5:$A$2004,'Saisie'!$C$5:$C$2004,C219,'Saisie'!$AT$5:$AT$2004,"&gt;=7")),""))</f>
        <v/>
      </c>
      <c r="BJ219" s="60">
        <f>IF(OR(BD219="",B219=""),"",BD219-B219)</f>
        <v/>
      </c>
      <c r="BK219" s="60">
        <f>IF(OR(BE219="",BD219=""),"",BE219-BD219)</f>
        <v/>
      </c>
      <c r="BL219" s="60">
        <f>IF(OR(BF219="",BE219=""),"",BF219-BE219)</f>
        <v/>
      </c>
      <c r="BM219" s="60">
        <f>IF(OR(BG219="",BF219=""),"",BG219-BF219)</f>
        <v/>
      </c>
      <c r="BN219" s="60">
        <f>IF(OR(BH219="",BG219=""),"",BH219-BG219)</f>
        <v/>
      </c>
      <c r="BO219" s="60">
        <f>IF(OR(BI219="",BH219=""),"",BI219-BH219)</f>
        <v/>
      </c>
      <c r="BP219" s="60">
        <f>IF(C219="","",_xlfn.MAXIFS('Saisie'!$AS$5:$AS$2004,'Saisie'!$C$5:$C$2004,C219,'Saisie'!$J$5:$J$2004,"&lt;&gt;"))</f>
        <v/>
      </c>
      <c r="BQ219" s="60">
        <f>IF(C219="","",_xlfn.MAXIFS('Saisie'!$AS$5:$AS$2004,'Saisie'!$C$5:$C$2004,C219))</f>
        <v/>
      </c>
      <c r="BR219" s="60">
        <f>IF(C219="","",_xlfn.MAXIFS('Saisie'!$AS$5:$AS$2004,'Saisie'!$C$5:$C$2004,C219,'Saisie'!$E$5:$E$2004,"Perdu"))</f>
        <v/>
      </c>
      <c r="BS219" s="60">
        <f>IF(C219="","",_xlfn.MAXIFS('Saisie'!$AS$5:$AS$2004,'Saisie'!$C$5:$C$2004,C219,'Saisie'!$AT$5:$AT$2004,"&gt;0"))</f>
        <v/>
      </c>
      <c r="BT219" s="109">
        <f>IF(AND(C219&lt;&gt;"",OR(D219="Nouveau",D219="Contacté",D219="Qualifié"),OR(G219="",N(G219)&lt;=TODAY()),NOT(AND(O219&gt;='Paramètres'!$B$21,P219=0))),E219+215/10000,"")</f>
        <v/>
      </c>
      <c r="BU219" s="60">
        <f>IF(AND(G219&lt;&gt;"",N(G219)&lt;=TODAY()),MAX($BU$4:BU218)+1,"")</f>
        <v/>
      </c>
      <c r="BV219" s="60">
        <f>IF(AND(F219&lt;&gt;"",F219&lt;&gt;"Relance en retard"),MAX($BV$4:BV218)+1,"")</f>
        <v/>
      </c>
      <c r="BW219" s="60">
        <f>IF(C219="","",IF(AND(B219&gt;='Tableau de bord'!$R$4,B219&lt;='Tableau de bord'!$S$4,OR('Tableau de bord'!$G$4="Tous",N219='Tableau de bord'!$G$4)),1,0))</f>
        <v/>
      </c>
      <c r="BX219" s="60">
        <f>IF(AND(C219&lt;&gt;"",N(BA219)=7),MAX($BX$4:BX218)+1,"")</f>
        <v/>
      </c>
    </row>
    <row r="220">
      <c r="A220" s="60">
        <f>IF(C220="","","P-"&amp;TEXT(216,"000"))</f>
        <v/>
      </c>
      <c r="B220" s="106">
        <f>IF(C220="","",IFERROR(1/(1/_xlfn.MINIFS('Saisie'!$A$5:$A$2004,'Saisie'!$C$5:$C$2004,C220)),""))</f>
        <v/>
      </c>
      <c r="C220" s="60">
        <f>IFERROR(INDEX('Saisie'!$C$5:$C$2004,MATCH(216,'Saisie'!$AX$5:$AX$2004,0)),"")</f>
        <v/>
      </c>
      <c r="D220" s="60">
        <f>IF(C220="","",IF(AND(BR220&gt;0,BR220&gt;BS220,BA220&lt;7),"Perdu",INDEX('Paramètres'!$F$6:$F$13,BA220)))</f>
        <v/>
      </c>
      <c r="E220" s="61">
        <f>IF(C220="","",MIN(100,(Z220="Oui")*'Paramètres'!$B$38+(AB220="Régulière")*'Paramètres'!$B$39+IF(AND(N(AA220)&gt;0,TODAY()-N(AA220)&lt;=30),'Paramètres'!$B$40,0)+(W220="")*'Paramètres'!$B$41+(AC220="Absente")*'Paramètres'!$B$42+(AC220="Faible")*'Paramètres'!$B$43+IF(AND(N(AD220)&gt;0,N(AD220)&lt;4),'Paramètres'!$B$44,0)+(AF220="Moyenne")*'Paramètres'!$B$45+(AF220="Grande")*'Paramètres'!$B$46+(Y220&lt;&gt;"")*'Paramètres'!$B$47))</f>
        <v/>
      </c>
      <c r="F220" s="60">
        <f>IF(C220="","",IF(D220="Gagné","",IF(D220="Perdu",IF(AND(AX220&lt;&gt;"",AX220&lt;=TODAY()),"À recontacter (perdu)",""),IF(AND(O220&gt;='Paramètres'!$B$21,P220=0),"Stop : "&amp;'Paramètres'!$B$21&amp;" tentatives sans réponse",IF(AND(D220="Proposition",AR220&lt;&gt;"",TODAY()&gt;N(AR220)),"Proposition expirée",IF(AND(D220="Proposition",N(R220)&gt;='Paramètres'!$B$25),"Proposition sans réponse",IF(AND(G220&lt;&gt;"",N(G220)&lt;TODAY()),"Relance en retard",IF(N(R220)&gt;='Paramètres'!$B$24,"Sans action depuis "&amp;R220&amp;" j",""))))))))</f>
        <v/>
      </c>
      <c r="G220" s="106">
        <f>IF(OR(C220="",D220="Gagné",D220="Perdu"),"",IF(AND(BP220&gt;0,BP220=BQ220),INDEX('Saisie'!$J$5:$J$2004,BP220-4),IF(OR(O220=0,AND(O220&gt;='Paramètres'!$B$21,P220=0)),"",Q220+IF(O220&lt;=1,'Paramètres'!$B$18,IF(O220=2,'Paramètres'!$B$19,'Paramètres'!$B$20)))))</f>
        <v/>
      </c>
      <c r="H220" s="107">
        <f>IF(OR(G220="",BP220&lt;&gt;BQ220),"",IF(INDEX('Saisie'!$K$5:$K$2004,BP220-4)="","",INDEX('Saisie'!$K$5:$K$2004,BP220-4)))</f>
        <v/>
      </c>
      <c r="I220" s="60">
        <f>IF(C220="","",IF(OR(D220="Gagné",D220="Perdu"),"",IFERROR(INDEX('Saisie'!$I$5:$I$2004,_xlfn.MAXIFS('Saisie'!$AS$5:$AS$2004,'Saisie'!$C$5:$C$2004,C220,'Saisie'!$I$5:$I$2004,"&lt;&gt;")-4),"")))</f>
        <v/>
      </c>
      <c r="J220" s="60">
        <f>IF(C220="","",IFERROR(INDEX('Saisie'!$U$5:$U$2004,_xlfn.MAXIFS('Saisie'!$AS$5:$AS$2004,'Saisie'!$C$5:$C$2004,C220,'Saisie'!$U$5:$U$2004,"&lt;&gt;")-4),""))</f>
        <v/>
      </c>
      <c r="K220" s="60">
        <f>IF(C220="","",IFERROR(INDEX('Saisie'!$W$5:$W$2004,_xlfn.MAXIFS('Saisie'!$AS$5:$AS$2004,'Saisie'!$C$5:$C$2004,C220,'Saisie'!$W$5:$W$2004,"&lt;&gt;")-4),""))</f>
        <v/>
      </c>
      <c r="L220" s="60">
        <f>IF(IF(BB220&lt;&gt;"",BB220,K220)="","",HYPERLINK("https://wa.me/"&amp;IF(LEFT(SUBSTITUTE(SUBSTITUTE(SUBSTITUTE(IF(BB220&lt;&gt;"",BB220,K220)," ",""),".",""),"+",""),1)="0",'Paramètres'!$B$35&amp;MID(SUBSTITUTE(SUBSTITUTE(SUBSTITUTE(IF(BB220&lt;&gt;"",BB220,K220)," ",""),".",""),"+",""),2,20),SUBSTITUTE(SUBSTITUTE(SUBSTITUTE(IF(BB220&lt;&gt;"",BB220,K220)," ",""),".",""),"+","")),"WhatsApp"))</f>
        <v/>
      </c>
      <c r="M220" s="60">
        <f>IF(BC220="","",HYPERLINK(IF(LEFT(BC220,4)="http",BC220,"https://www.instagram.com/"&amp;SUBSTITUTE(SUBSTITUTE(BC220,"@","")," ","")),BC220))</f>
        <v/>
      </c>
      <c r="N220" s="60">
        <f>IF(C220="","",IFERROR(INDEX('Saisie'!$D$5:$D$2004,_xlfn.MINIFS('Saisie'!$AS$5:$AS$2004,'Saisie'!$C$5:$C$2004,C220,'Saisie'!$AU$5:$AU$2004,1)-4),IFERROR(INDEX('Saisie'!$D$5:$D$2004,_xlfn.MINIFS('Saisie'!$AS$5:$AS$2004,'Saisie'!$C$5:$C$2004,C220,'Saisie'!$D$5:$D$2004,"&lt;&gt;")-4),"")))</f>
        <v/>
      </c>
      <c r="O220" s="60">
        <f>IF(C220="","",COUNTIFS('Saisie'!$C$5:$C$2004,C220,'Saisie'!$AU$5:$AU$2004,1))</f>
        <v/>
      </c>
      <c r="P220" s="60">
        <f>IF(C220="","",COUNTIFS('Saisie'!$C$5:$C$2004,C220,'Saisie'!$AV$5:$AV$2004,1))</f>
        <v/>
      </c>
      <c r="Q220" s="106">
        <f>IF(C220="","",IFERROR(1/(1/_xlfn.MAXIFS('Saisie'!$A$5:$A$2004,'Saisie'!$C$5:$C$2004,C220)),""))</f>
        <v/>
      </c>
      <c r="R220" s="61">
        <f>IF(C220="","",IF(Q220="","",TODAY()-Q220))</f>
        <v/>
      </c>
      <c r="S220" s="60">
        <f>IF(C220="","",IFERROR(INDEX('Saisie'!$R$5:$R$2004,_xlfn.MAXIFS('Saisie'!$AS$5:$AS$2004,'Saisie'!$C$5:$C$2004,C220,'Saisie'!$R$5:$R$2004,"&lt;&gt;")-4),""))</f>
        <v/>
      </c>
      <c r="T220" s="60">
        <f>IF(C220="","",IFERROR(INDEX('Saisie'!$S$5:$S$2004,_xlfn.MAXIFS('Saisie'!$AS$5:$AS$2004,'Saisie'!$C$5:$C$2004,C220,'Saisie'!$S$5:$S$2004,"&lt;&gt;")-4),""))</f>
        <v/>
      </c>
      <c r="U220" s="60">
        <f>IF(C220="","",IFERROR(INDEX('Saisie'!$T$5:$T$2004,_xlfn.MAXIFS('Saisie'!$AS$5:$AS$2004,'Saisie'!$C$5:$C$2004,C220,'Saisie'!$T$5:$T$2004,"&lt;&gt;")-4),""))</f>
        <v/>
      </c>
      <c r="V220" s="60">
        <f>IF(C220="","",IFERROR(INDEX('Saisie'!$V$5:$V$2004,_xlfn.MAXIFS('Saisie'!$AS$5:$AS$2004,'Saisie'!$C$5:$C$2004,C220,'Saisie'!$V$5:$V$2004,"&lt;&gt;")-4),""))</f>
        <v/>
      </c>
      <c r="W220" s="60">
        <f>IF(C220="","",IFERROR(INDEX('Saisie'!$Z$5:$Z$2004,_xlfn.MAXIFS('Saisie'!$AS$5:$AS$2004,'Saisie'!$C$5:$C$2004,C220,'Saisie'!$Z$5:$Z$2004,"&lt;&gt;")-4),""))</f>
        <v/>
      </c>
      <c r="X220" s="60">
        <f>IF(C220="","",IFERROR(INDEX('Saisie'!$AA$5:$AA$2004,_xlfn.MAXIFS('Saisie'!$AS$5:$AS$2004,'Saisie'!$C$5:$C$2004,C220,'Saisie'!$AA$5:$AA$2004,"&lt;&gt;")-4),""))</f>
        <v/>
      </c>
      <c r="Y220" s="60">
        <f>IF(C220="","",IFERROR(INDEX('Saisie'!$AB$5:$AB$2004,_xlfn.MAXIFS('Saisie'!$AS$5:$AS$2004,'Saisie'!$C$5:$C$2004,C220,'Saisie'!$AB$5:$AB$2004,"&lt;&gt;")-4),""))</f>
        <v/>
      </c>
      <c r="Z220" s="60">
        <f>IF(C220="","",IFERROR(INDEX('Saisie'!$AC$5:$AC$2004,_xlfn.MAXIFS('Saisie'!$AS$5:$AS$2004,'Saisie'!$C$5:$C$2004,C220,'Saisie'!$AC$5:$AC$2004,"&lt;&gt;")-4),""))</f>
        <v/>
      </c>
      <c r="AA220" s="106">
        <f>IF(C220="","",IFERROR(INDEX('Saisie'!$AD$5:$AD$2004,_xlfn.MAXIFS('Saisie'!$AS$5:$AS$2004,'Saisie'!$C$5:$C$2004,C220,'Saisie'!$AD$5:$AD$2004,"&lt;&gt;")-4),""))</f>
        <v/>
      </c>
      <c r="AB220" s="60">
        <f>IF(C220="","",IFERROR(INDEX('Saisie'!$AE$5:$AE$2004,_xlfn.MAXIFS('Saisie'!$AS$5:$AS$2004,'Saisie'!$C$5:$C$2004,C220,'Saisie'!$AE$5:$AE$2004,"&lt;&gt;")-4),""))</f>
        <v/>
      </c>
      <c r="AC220" s="60">
        <f>IF(C220="","",IFERROR(INDEX('Saisie'!$AF$5:$AF$2004,_xlfn.MAXIFS('Saisie'!$AS$5:$AS$2004,'Saisie'!$C$5:$C$2004,C220,'Saisie'!$AF$5:$AF$2004,"&lt;&gt;")-4),""))</f>
        <v/>
      </c>
      <c r="AD220" s="108">
        <f>IF(C220="","",IFERROR(INDEX('Saisie'!$AG$5:$AG$2004,_xlfn.MAXIFS('Saisie'!$AS$5:$AS$2004,'Saisie'!$C$5:$C$2004,C220,'Saisie'!$AG$5:$AG$2004,"&lt;&gt;")-4),""))</f>
        <v/>
      </c>
      <c r="AE220" s="60">
        <f>IF(C220="","",IFERROR(INDEX('Saisie'!$AH$5:$AH$2004,_xlfn.MAXIFS('Saisie'!$AS$5:$AS$2004,'Saisie'!$C$5:$C$2004,C220,'Saisie'!$AH$5:$AH$2004,"&lt;&gt;")-4),""))</f>
        <v/>
      </c>
      <c r="AF220" s="60">
        <f>IF(C220="","",IFERROR(INDEX('Saisie'!$AI$5:$AI$2004,_xlfn.MAXIFS('Saisie'!$AS$5:$AS$2004,'Saisie'!$C$5:$C$2004,C220,'Saisie'!$AI$5:$AI$2004,"&lt;&gt;")-4),""))</f>
        <v/>
      </c>
      <c r="AG220" s="60">
        <f>IF(C220="","",IFERROR(INDEX('Saisie'!$AJ$5:$AJ$2004,_xlfn.MAXIFS('Saisie'!$AS$5:$AS$2004,'Saisie'!$C$5:$C$2004,C220,'Saisie'!$AJ$5:$AJ$2004,"&lt;&gt;")-4),""))</f>
        <v/>
      </c>
      <c r="AH220" s="60">
        <f>IF(C220="","",IFERROR(INDEX('Saisie'!$AK$5:$AK$2004,_xlfn.MAXIFS('Saisie'!$AS$5:$AS$2004,'Saisie'!$C$5:$C$2004,C220,'Saisie'!$AK$5:$AK$2004,"&lt;&gt;")-4),""))</f>
        <v/>
      </c>
      <c r="AI220" s="60">
        <f>IF(C220="","",IFERROR(INDEX('Saisie'!$AN$5:$AN$2004,_xlfn.MAXIFS('Saisie'!$AS$5:$AS$2004,'Saisie'!$C$5:$C$2004,C220,'Saisie'!$AN$5:$AN$2004,"&lt;&gt;")-4),""))</f>
        <v/>
      </c>
      <c r="AJ220" s="60">
        <f>IF(C220="","",IFERROR(INDEX('Saisie'!$AO$5:$AO$2004,_xlfn.MAXIFS('Saisie'!$AS$5:$AS$2004,'Saisie'!$C$5:$C$2004,C220,'Saisie'!$AO$5:$AO$2004,"&lt;&gt;")-4),""))</f>
        <v/>
      </c>
      <c r="AK220" s="60">
        <f>IF(C220="","",IFERROR(INDEX('Saisie'!$AP$5:$AP$2004,_xlfn.MAXIFS('Saisie'!$AS$5:$AS$2004,'Saisie'!$C$5:$C$2004,C220,'Saisie'!$AP$5:$AP$2004,"&lt;&gt;")-4),""))</f>
        <v/>
      </c>
      <c r="AL220" s="60">
        <f>IF(C220="","",IFERROR(INDEX('Saisie'!$AQ$5:$AQ$2004,_xlfn.MAXIFS('Saisie'!$AS$5:$AS$2004,'Saisie'!$C$5:$C$2004,C220,'Saisie'!$AQ$5:$AQ$2004,"&lt;&gt;")-4),""))</f>
        <v/>
      </c>
      <c r="AM220" s="60">
        <f>IF(C220="","",((AI220="Oui")+(AJ220="Oui")+(AK220="Oui")+OR(AL220="Immédiat",AL220="&lt; 1 mois"))&amp;"/4")</f>
        <v/>
      </c>
      <c r="AN220" s="60">
        <f>IF(C220="","",IFERROR(INDEX('Saisie'!$AL$5:$AL$2004,_xlfn.MAXIFS('Saisie'!$AS$5:$AS$2004,'Saisie'!$C$5:$C$2004,C220,'Saisie'!$AL$5:$AL$2004,"&lt;&gt;")-4),""))</f>
        <v/>
      </c>
      <c r="AO220" s="62">
        <f>IF(C220="","",IF(IFERROR(INDEX('Saisie'!$AM$5:$AM$2004,_xlfn.MAXIFS('Saisie'!$AS$5:$AS$2004,'Saisie'!$C$5:$C$2004,C220,'Saisie'!$AM$5:$AM$2004,"&lt;&gt;")-4),"")&lt;&gt;"",IFERROR(INDEX('Saisie'!$AM$5:$AM$2004,_xlfn.MAXIFS('Saisie'!$AS$5:$AS$2004,'Saisie'!$C$5:$C$2004,C220,'Saisie'!$AM$5:$AM$2004,"&lt;&gt;")-4),""),IFERROR(INDEX('Paramètres'!$S$6:$S$15,MATCH(AN220,'Paramètres'!$Q$6:$Q$15,0)),"")))</f>
        <v/>
      </c>
      <c r="AP220" s="62">
        <f>IF(C220="","",IFERROR(INDEX('Saisie'!$AW$5:$AW$2004,_xlfn.MAXIFS('Saisie'!$AS$5:$AS$2004,'Saisie'!$C$5:$C$2004,C220,'Saisie'!$E$5:$E$2004,"Proposition envoyée")-4),""))</f>
        <v/>
      </c>
      <c r="AQ220" s="106">
        <f>IF(C220="","",IFERROR(1/(1/_xlfn.MAXIFS('Saisie'!$A$5:$A$2004,'Saisie'!$C$5:$C$2004,C220,'Saisie'!$E$5:$E$2004,"Proposition envoyée")),""))</f>
        <v/>
      </c>
      <c r="AR220" s="106">
        <f>IF(C220="","",IF(AQ220="","",AQ220+'Paramètres'!$B$26))</f>
        <v/>
      </c>
      <c r="AS220" s="62">
        <f>IF(OR(C220="",D220="Gagné",D220="Perdu"),0,N(AP220)*IFERROR(INDEX('Paramètres'!$G$6:$G$13,MATCH(D220,'Paramètres'!$F$6:$F$13,0)),0))</f>
        <v/>
      </c>
      <c r="AT220" s="106">
        <f>IF(C220="","",IFERROR(1/(1/_xlfn.MINIFS('Saisie'!$A$5:$A$2004,'Saisie'!$C$5:$C$2004,C220,'Saisie'!$E$5:$E$2004,"Signature")),""))</f>
        <v/>
      </c>
      <c r="AU220" s="60">
        <f>IF(C220="","",IF(OR(AT220="",B220=""),"",AT220-B220))</f>
        <v/>
      </c>
      <c r="AV220" s="60">
        <f>IF(C220="","",IFERROR(INDEX('Saisie'!$L$5:$L$2004,_xlfn.MAXIFS('Saisie'!$AS$5:$AS$2004,'Saisie'!$C$5:$C$2004,C220,'Saisie'!$L$5:$L$2004,"&lt;&gt;")-4),""))</f>
        <v/>
      </c>
      <c r="AW220" s="106">
        <f>IF(C220="","",IF(D220&lt;&gt;"Perdu","",IFERROR(1/(1/_xlfn.MAXIFS('Saisie'!$A$5:$A$2004,'Saisie'!$C$5:$C$2004,C220,'Saisie'!$E$5:$E$2004,"Perdu")),"")))</f>
        <v/>
      </c>
      <c r="AX220" s="106">
        <f>IF(C220="","",IF(AW220="","",AW220+'Paramètres'!$B$28))</f>
        <v/>
      </c>
      <c r="AY220" s="60">
        <f>IF(C220="","",SUMIFS('Saisie'!$H$5:$H$2004,'Saisie'!$C$5:$C$2004,C220))</f>
        <v/>
      </c>
      <c r="AZ220" s="60">
        <f>IF(C220="","",IFERROR(INDEX('Paramètres'!$W$6:$W$20,MATCH(S220,'Paramètres'!$V$6:$V$20,0))&amp;"",""))</f>
        <v/>
      </c>
      <c r="BA220" s="60">
        <f>IF(C220="","",MAX(1,_xlfn.MAXIFS('Saisie'!$AT$5:$AT$2004,'Saisie'!$C$5:$C$2004,C220)))</f>
        <v/>
      </c>
      <c r="BB220" s="60">
        <f>IF(C220="","",IFERROR(INDEX('Saisie'!$X$5:$X$2004,_xlfn.MAXIFS('Saisie'!$AS$5:$AS$2004,'Saisie'!$C$5:$C$2004,C220,'Saisie'!$X$5:$X$2004,"&lt;&gt;")-4),""))</f>
        <v/>
      </c>
      <c r="BC220" s="60">
        <f>IF(C220="","",IFERROR(INDEX('Saisie'!$Y$5:$Y$2004,_xlfn.MAXIFS('Saisie'!$AS$5:$AS$2004,'Saisie'!$C$5:$C$2004,C220,'Saisie'!$Y$5:$Y$2004,"&lt;&gt;")-4),""))</f>
        <v/>
      </c>
      <c r="BD220" s="106">
        <f>IF(C220="","",IFERROR(1/(1/_xlfn.MINIFS('Saisie'!$A$5:$A$2004,'Saisie'!$C$5:$C$2004,C220,'Saisie'!$AT$5:$AT$2004,"&gt;=2")),""))</f>
        <v/>
      </c>
      <c r="BE220" s="106">
        <f>IF(C220="","",IFERROR(1/(1/_xlfn.MINIFS('Saisie'!$A$5:$A$2004,'Saisie'!$C$5:$C$2004,C220,'Saisie'!$AT$5:$AT$2004,"&gt;=3")),""))</f>
        <v/>
      </c>
      <c r="BF220" s="106">
        <f>IF(C220="","",IFERROR(1/(1/_xlfn.MINIFS('Saisie'!$A$5:$A$2004,'Saisie'!$C$5:$C$2004,C220,'Saisie'!$AT$5:$AT$2004,"&gt;=4")),""))</f>
        <v/>
      </c>
      <c r="BG220" s="106">
        <f>IF(C220="","",IFERROR(1/(1/_xlfn.MINIFS('Saisie'!$A$5:$A$2004,'Saisie'!$C$5:$C$2004,C220,'Saisie'!$AT$5:$AT$2004,"&gt;=5")),""))</f>
        <v/>
      </c>
      <c r="BH220" s="106">
        <f>IF(C220="","",IFERROR(1/(1/_xlfn.MINIFS('Saisie'!$A$5:$A$2004,'Saisie'!$C$5:$C$2004,C220,'Saisie'!$AT$5:$AT$2004,"&gt;=6")),""))</f>
        <v/>
      </c>
      <c r="BI220" s="106">
        <f>IF(C220="","",IFERROR(1/(1/_xlfn.MINIFS('Saisie'!$A$5:$A$2004,'Saisie'!$C$5:$C$2004,C220,'Saisie'!$AT$5:$AT$2004,"&gt;=7")),""))</f>
        <v/>
      </c>
      <c r="BJ220" s="60">
        <f>IF(OR(BD220="",B220=""),"",BD220-B220)</f>
        <v/>
      </c>
      <c r="BK220" s="60">
        <f>IF(OR(BE220="",BD220=""),"",BE220-BD220)</f>
        <v/>
      </c>
      <c r="BL220" s="60">
        <f>IF(OR(BF220="",BE220=""),"",BF220-BE220)</f>
        <v/>
      </c>
      <c r="BM220" s="60">
        <f>IF(OR(BG220="",BF220=""),"",BG220-BF220)</f>
        <v/>
      </c>
      <c r="BN220" s="60">
        <f>IF(OR(BH220="",BG220=""),"",BH220-BG220)</f>
        <v/>
      </c>
      <c r="BO220" s="60">
        <f>IF(OR(BI220="",BH220=""),"",BI220-BH220)</f>
        <v/>
      </c>
      <c r="BP220" s="60">
        <f>IF(C220="","",_xlfn.MAXIFS('Saisie'!$AS$5:$AS$2004,'Saisie'!$C$5:$C$2004,C220,'Saisie'!$J$5:$J$2004,"&lt;&gt;"))</f>
        <v/>
      </c>
      <c r="BQ220" s="60">
        <f>IF(C220="","",_xlfn.MAXIFS('Saisie'!$AS$5:$AS$2004,'Saisie'!$C$5:$C$2004,C220))</f>
        <v/>
      </c>
      <c r="BR220" s="60">
        <f>IF(C220="","",_xlfn.MAXIFS('Saisie'!$AS$5:$AS$2004,'Saisie'!$C$5:$C$2004,C220,'Saisie'!$E$5:$E$2004,"Perdu"))</f>
        <v/>
      </c>
      <c r="BS220" s="60">
        <f>IF(C220="","",_xlfn.MAXIFS('Saisie'!$AS$5:$AS$2004,'Saisie'!$C$5:$C$2004,C220,'Saisie'!$AT$5:$AT$2004,"&gt;0"))</f>
        <v/>
      </c>
      <c r="BT220" s="109">
        <f>IF(AND(C220&lt;&gt;"",OR(D220="Nouveau",D220="Contacté",D220="Qualifié"),OR(G220="",N(G220)&lt;=TODAY()),NOT(AND(O220&gt;='Paramètres'!$B$21,P220=0))),E220+216/10000,"")</f>
        <v/>
      </c>
      <c r="BU220" s="60">
        <f>IF(AND(G220&lt;&gt;"",N(G220)&lt;=TODAY()),MAX($BU$4:BU219)+1,"")</f>
        <v/>
      </c>
      <c r="BV220" s="60">
        <f>IF(AND(F220&lt;&gt;"",F220&lt;&gt;"Relance en retard"),MAX($BV$4:BV219)+1,"")</f>
        <v/>
      </c>
      <c r="BW220" s="60">
        <f>IF(C220="","",IF(AND(B220&gt;='Tableau de bord'!$R$4,B220&lt;='Tableau de bord'!$S$4,OR('Tableau de bord'!$G$4="Tous",N220='Tableau de bord'!$G$4)),1,0))</f>
        <v/>
      </c>
      <c r="BX220" s="60">
        <f>IF(AND(C220&lt;&gt;"",N(BA220)=7),MAX($BX$4:BX219)+1,"")</f>
        <v/>
      </c>
    </row>
    <row r="221">
      <c r="A221" s="60">
        <f>IF(C221="","","P-"&amp;TEXT(217,"000"))</f>
        <v/>
      </c>
      <c r="B221" s="106">
        <f>IF(C221="","",IFERROR(1/(1/_xlfn.MINIFS('Saisie'!$A$5:$A$2004,'Saisie'!$C$5:$C$2004,C221)),""))</f>
        <v/>
      </c>
      <c r="C221" s="60">
        <f>IFERROR(INDEX('Saisie'!$C$5:$C$2004,MATCH(217,'Saisie'!$AX$5:$AX$2004,0)),"")</f>
        <v/>
      </c>
      <c r="D221" s="60">
        <f>IF(C221="","",IF(AND(BR221&gt;0,BR221&gt;BS221,BA221&lt;7),"Perdu",INDEX('Paramètres'!$F$6:$F$13,BA221)))</f>
        <v/>
      </c>
      <c r="E221" s="61">
        <f>IF(C221="","",MIN(100,(Z221="Oui")*'Paramètres'!$B$38+(AB221="Régulière")*'Paramètres'!$B$39+IF(AND(N(AA221)&gt;0,TODAY()-N(AA221)&lt;=30),'Paramètres'!$B$40,0)+(W221="")*'Paramètres'!$B$41+(AC221="Absente")*'Paramètres'!$B$42+(AC221="Faible")*'Paramètres'!$B$43+IF(AND(N(AD221)&gt;0,N(AD221)&lt;4),'Paramètres'!$B$44,0)+(AF221="Moyenne")*'Paramètres'!$B$45+(AF221="Grande")*'Paramètres'!$B$46+(Y221&lt;&gt;"")*'Paramètres'!$B$47))</f>
        <v/>
      </c>
      <c r="F221" s="60">
        <f>IF(C221="","",IF(D221="Gagné","",IF(D221="Perdu",IF(AND(AX221&lt;&gt;"",AX221&lt;=TODAY()),"À recontacter (perdu)",""),IF(AND(O221&gt;='Paramètres'!$B$21,P221=0),"Stop : "&amp;'Paramètres'!$B$21&amp;" tentatives sans réponse",IF(AND(D221="Proposition",AR221&lt;&gt;"",TODAY()&gt;N(AR221)),"Proposition expirée",IF(AND(D221="Proposition",N(R221)&gt;='Paramètres'!$B$25),"Proposition sans réponse",IF(AND(G221&lt;&gt;"",N(G221)&lt;TODAY()),"Relance en retard",IF(N(R221)&gt;='Paramètres'!$B$24,"Sans action depuis "&amp;R221&amp;" j",""))))))))</f>
        <v/>
      </c>
      <c r="G221" s="106">
        <f>IF(OR(C221="",D221="Gagné",D221="Perdu"),"",IF(AND(BP221&gt;0,BP221=BQ221),INDEX('Saisie'!$J$5:$J$2004,BP221-4),IF(OR(O221=0,AND(O221&gt;='Paramètres'!$B$21,P221=0)),"",Q221+IF(O221&lt;=1,'Paramètres'!$B$18,IF(O221=2,'Paramètres'!$B$19,'Paramètres'!$B$20)))))</f>
        <v/>
      </c>
      <c r="H221" s="107">
        <f>IF(OR(G221="",BP221&lt;&gt;BQ221),"",IF(INDEX('Saisie'!$K$5:$K$2004,BP221-4)="","",INDEX('Saisie'!$K$5:$K$2004,BP221-4)))</f>
        <v/>
      </c>
      <c r="I221" s="60">
        <f>IF(C221="","",IF(OR(D221="Gagné",D221="Perdu"),"",IFERROR(INDEX('Saisie'!$I$5:$I$2004,_xlfn.MAXIFS('Saisie'!$AS$5:$AS$2004,'Saisie'!$C$5:$C$2004,C221,'Saisie'!$I$5:$I$2004,"&lt;&gt;")-4),"")))</f>
        <v/>
      </c>
      <c r="J221" s="60">
        <f>IF(C221="","",IFERROR(INDEX('Saisie'!$U$5:$U$2004,_xlfn.MAXIFS('Saisie'!$AS$5:$AS$2004,'Saisie'!$C$5:$C$2004,C221,'Saisie'!$U$5:$U$2004,"&lt;&gt;")-4),""))</f>
        <v/>
      </c>
      <c r="K221" s="60">
        <f>IF(C221="","",IFERROR(INDEX('Saisie'!$W$5:$W$2004,_xlfn.MAXIFS('Saisie'!$AS$5:$AS$2004,'Saisie'!$C$5:$C$2004,C221,'Saisie'!$W$5:$W$2004,"&lt;&gt;")-4),""))</f>
        <v/>
      </c>
      <c r="L221" s="60">
        <f>IF(IF(BB221&lt;&gt;"",BB221,K221)="","",HYPERLINK("https://wa.me/"&amp;IF(LEFT(SUBSTITUTE(SUBSTITUTE(SUBSTITUTE(IF(BB221&lt;&gt;"",BB221,K221)," ",""),".",""),"+",""),1)="0",'Paramètres'!$B$35&amp;MID(SUBSTITUTE(SUBSTITUTE(SUBSTITUTE(IF(BB221&lt;&gt;"",BB221,K221)," ",""),".",""),"+",""),2,20),SUBSTITUTE(SUBSTITUTE(SUBSTITUTE(IF(BB221&lt;&gt;"",BB221,K221)," ",""),".",""),"+","")),"WhatsApp"))</f>
        <v/>
      </c>
      <c r="M221" s="60">
        <f>IF(BC221="","",HYPERLINK(IF(LEFT(BC221,4)="http",BC221,"https://www.instagram.com/"&amp;SUBSTITUTE(SUBSTITUTE(BC221,"@","")," ","")),BC221))</f>
        <v/>
      </c>
      <c r="N221" s="60">
        <f>IF(C221="","",IFERROR(INDEX('Saisie'!$D$5:$D$2004,_xlfn.MINIFS('Saisie'!$AS$5:$AS$2004,'Saisie'!$C$5:$C$2004,C221,'Saisie'!$AU$5:$AU$2004,1)-4),IFERROR(INDEX('Saisie'!$D$5:$D$2004,_xlfn.MINIFS('Saisie'!$AS$5:$AS$2004,'Saisie'!$C$5:$C$2004,C221,'Saisie'!$D$5:$D$2004,"&lt;&gt;")-4),"")))</f>
        <v/>
      </c>
      <c r="O221" s="60">
        <f>IF(C221="","",COUNTIFS('Saisie'!$C$5:$C$2004,C221,'Saisie'!$AU$5:$AU$2004,1))</f>
        <v/>
      </c>
      <c r="P221" s="60">
        <f>IF(C221="","",COUNTIFS('Saisie'!$C$5:$C$2004,C221,'Saisie'!$AV$5:$AV$2004,1))</f>
        <v/>
      </c>
      <c r="Q221" s="106">
        <f>IF(C221="","",IFERROR(1/(1/_xlfn.MAXIFS('Saisie'!$A$5:$A$2004,'Saisie'!$C$5:$C$2004,C221)),""))</f>
        <v/>
      </c>
      <c r="R221" s="61">
        <f>IF(C221="","",IF(Q221="","",TODAY()-Q221))</f>
        <v/>
      </c>
      <c r="S221" s="60">
        <f>IF(C221="","",IFERROR(INDEX('Saisie'!$R$5:$R$2004,_xlfn.MAXIFS('Saisie'!$AS$5:$AS$2004,'Saisie'!$C$5:$C$2004,C221,'Saisie'!$R$5:$R$2004,"&lt;&gt;")-4),""))</f>
        <v/>
      </c>
      <c r="T221" s="60">
        <f>IF(C221="","",IFERROR(INDEX('Saisie'!$S$5:$S$2004,_xlfn.MAXIFS('Saisie'!$AS$5:$AS$2004,'Saisie'!$C$5:$C$2004,C221,'Saisie'!$S$5:$S$2004,"&lt;&gt;")-4),""))</f>
        <v/>
      </c>
      <c r="U221" s="60">
        <f>IF(C221="","",IFERROR(INDEX('Saisie'!$T$5:$T$2004,_xlfn.MAXIFS('Saisie'!$AS$5:$AS$2004,'Saisie'!$C$5:$C$2004,C221,'Saisie'!$T$5:$T$2004,"&lt;&gt;")-4),""))</f>
        <v/>
      </c>
      <c r="V221" s="60">
        <f>IF(C221="","",IFERROR(INDEX('Saisie'!$V$5:$V$2004,_xlfn.MAXIFS('Saisie'!$AS$5:$AS$2004,'Saisie'!$C$5:$C$2004,C221,'Saisie'!$V$5:$V$2004,"&lt;&gt;")-4),""))</f>
        <v/>
      </c>
      <c r="W221" s="60">
        <f>IF(C221="","",IFERROR(INDEX('Saisie'!$Z$5:$Z$2004,_xlfn.MAXIFS('Saisie'!$AS$5:$AS$2004,'Saisie'!$C$5:$C$2004,C221,'Saisie'!$Z$5:$Z$2004,"&lt;&gt;")-4),""))</f>
        <v/>
      </c>
      <c r="X221" s="60">
        <f>IF(C221="","",IFERROR(INDEX('Saisie'!$AA$5:$AA$2004,_xlfn.MAXIFS('Saisie'!$AS$5:$AS$2004,'Saisie'!$C$5:$C$2004,C221,'Saisie'!$AA$5:$AA$2004,"&lt;&gt;")-4),""))</f>
        <v/>
      </c>
      <c r="Y221" s="60">
        <f>IF(C221="","",IFERROR(INDEX('Saisie'!$AB$5:$AB$2004,_xlfn.MAXIFS('Saisie'!$AS$5:$AS$2004,'Saisie'!$C$5:$C$2004,C221,'Saisie'!$AB$5:$AB$2004,"&lt;&gt;")-4),""))</f>
        <v/>
      </c>
      <c r="Z221" s="60">
        <f>IF(C221="","",IFERROR(INDEX('Saisie'!$AC$5:$AC$2004,_xlfn.MAXIFS('Saisie'!$AS$5:$AS$2004,'Saisie'!$C$5:$C$2004,C221,'Saisie'!$AC$5:$AC$2004,"&lt;&gt;")-4),""))</f>
        <v/>
      </c>
      <c r="AA221" s="106">
        <f>IF(C221="","",IFERROR(INDEX('Saisie'!$AD$5:$AD$2004,_xlfn.MAXIFS('Saisie'!$AS$5:$AS$2004,'Saisie'!$C$5:$C$2004,C221,'Saisie'!$AD$5:$AD$2004,"&lt;&gt;")-4),""))</f>
        <v/>
      </c>
      <c r="AB221" s="60">
        <f>IF(C221="","",IFERROR(INDEX('Saisie'!$AE$5:$AE$2004,_xlfn.MAXIFS('Saisie'!$AS$5:$AS$2004,'Saisie'!$C$5:$C$2004,C221,'Saisie'!$AE$5:$AE$2004,"&lt;&gt;")-4),""))</f>
        <v/>
      </c>
      <c r="AC221" s="60">
        <f>IF(C221="","",IFERROR(INDEX('Saisie'!$AF$5:$AF$2004,_xlfn.MAXIFS('Saisie'!$AS$5:$AS$2004,'Saisie'!$C$5:$C$2004,C221,'Saisie'!$AF$5:$AF$2004,"&lt;&gt;")-4),""))</f>
        <v/>
      </c>
      <c r="AD221" s="108">
        <f>IF(C221="","",IFERROR(INDEX('Saisie'!$AG$5:$AG$2004,_xlfn.MAXIFS('Saisie'!$AS$5:$AS$2004,'Saisie'!$C$5:$C$2004,C221,'Saisie'!$AG$5:$AG$2004,"&lt;&gt;")-4),""))</f>
        <v/>
      </c>
      <c r="AE221" s="60">
        <f>IF(C221="","",IFERROR(INDEX('Saisie'!$AH$5:$AH$2004,_xlfn.MAXIFS('Saisie'!$AS$5:$AS$2004,'Saisie'!$C$5:$C$2004,C221,'Saisie'!$AH$5:$AH$2004,"&lt;&gt;")-4),""))</f>
        <v/>
      </c>
      <c r="AF221" s="60">
        <f>IF(C221="","",IFERROR(INDEX('Saisie'!$AI$5:$AI$2004,_xlfn.MAXIFS('Saisie'!$AS$5:$AS$2004,'Saisie'!$C$5:$C$2004,C221,'Saisie'!$AI$5:$AI$2004,"&lt;&gt;")-4),""))</f>
        <v/>
      </c>
      <c r="AG221" s="60">
        <f>IF(C221="","",IFERROR(INDEX('Saisie'!$AJ$5:$AJ$2004,_xlfn.MAXIFS('Saisie'!$AS$5:$AS$2004,'Saisie'!$C$5:$C$2004,C221,'Saisie'!$AJ$5:$AJ$2004,"&lt;&gt;")-4),""))</f>
        <v/>
      </c>
      <c r="AH221" s="60">
        <f>IF(C221="","",IFERROR(INDEX('Saisie'!$AK$5:$AK$2004,_xlfn.MAXIFS('Saisie'!$AS$5:$AS$2004,'Saisie'!$C$5:$C$2004,C221,'Saisie'!$AK$5:$AK$2004,"&lt;&gt;")-4),""))</f>
        <v/>
      </c>
      <c r="AI221" s="60">
        <f>IF(C221="","",IFERROR(INDEX('Saisie'!$AN$5:$AN$2004,_xlfn.MAXIFS('Saisie'!$AS$5:$AS$2004,'Saisie'!$C$5:$C$2004,C221,'Saisie'!$AN$5:$AN$2004,"&lt;&gt;")-4),""))</f>
        <v/>
      </c>
      <c r="AJ221" s="60">
        <f>IF(C221="","",IFERROR(INDEX('Saisie'!$AO$5:$AO$2004,_xlfn.MAXIFS('Saisie'!$AS$5:$AS$2004,'Saisie'!$C$5:$C$2004,C221,'Saisie'!$AO$5:$AO$2004,"&lt;&gt;")-4),""))</f>
        <v/>
      </c>
      <c r="AK221" s="60">
        <f>IF(C221="","",IFERROR(INDEX('Saisie'!$AP$5:$AP$2004,_xlfn.MAXIFS('Saisie'!$AS$5:$AS$2004,'Saisie'!$C$5:$C$2004,C221,'Saisie'!$AP$5:$AP$2004,"&lt;&gt;")-4),""))</f>
        <v/>
      </c>
      <c r="AL221" s="60">
        <f>IF(C221="","",IFERROR(INDEX('Saisie'!$AQ$5:$AQ$2004,_xlfn.MAXIFS('Saisie'!$AS$5:$AS$2004,'Saisie'!$C$5:$C$2004,C221,'Saisie'!$AQ$5:$AQ$2004,"&lt;&gt;")-4),""))</f>
        <v/>
      </c>
      <c r="AM221" s="60">
        <f>IF(C221="","",((AI221="Oui")+(AJ221="Oui")+(AK221="Oui")+OR(AL221="Immédiat",AL221="&lt; 1 mois"))&amp;"/4")</f>
        <v/>
      </c>
      <c r="AN221" s="60">
        <f>IF(C221="","",IFERROR(INDEX('Saisie'!$AL$5:$AL$2004,_xlfn.MAXIFS('Saisie'!$AS$5:$AS$2004,'Saisie'!$C$5:$C$2004,C221,'Saisie'!$AL$5:$AL$2004,"&lt;&gt;")-4),""))</f>
        <v/>
      </c>
      <c r="AO221" s="62">
        <f>IF(C221="","",IF(IFERROR(INDEX('Saisie'!$AM$5:$AM$2004,_xlfn.MAXIFS('Saisie'!$AS$5:$AS$2004,'Saisie'!$C$5:$C$2004,C221,'Saisie'!$AM$5:$AM$2004,"&lt;&gt;")-4),"")&lt;&gt;"",IFERROR(INDEX('Saisie'!$AM$5:$AM$2004,_xlfn.MAXIFS('Saisie'!$AS$5:$AS$2004,'Saisie'!$C$5:$C$2004,C221,'Saisie'!$AM$5:$AM$2004,"&lt;&gt;")-4),""),IFERROR(INDEX('Paramètres'!$S$6:$S$15,MATCH(AN221,'Paramètres'!$Q$6:$Q$15,0)),"")))</f>
        <v/>
      </c>
      <c r="AP221" s="62">
        <f>IF(C221="","",IFERROR(INDEX('Saisie'!$AW$5:$AW$2004,_xlfn.MAXIFS('Saisie'!$AS$5:$AS$2004,'Saisie'!$C$5:$C$2004,C221,'Saisie'!$E$5:$E$2004,"Proposition envoyée")-4),""))</f>
        <v/>
      </c>
      <c r="AQ221" s="106">
        <f>IF(C221="","",IFERROR(1/(1/_xlfn.MAXIFS('Saisie'!$A$5:$A$2004,'Saisie'!$C$5:$C$2004,C221,'Saisie'!$E$5:$E$2004,"Proposition envoyée")),""))</f>
        <v/>
      </c>
      <c r="AR221" s="106">
        <f>IF(C221="","",IF(AQ221="","",AQ221+'Paramètres'!$B$26))</f>
        <v/>
      </c>
      <c r="AS221" s="62">
        <f>IF(OR(C221="",D221="Gagné",D221="Perdu"),0,N(AP221)*IFERROR(INDEX('Paramètres'!$G$6:$G$13,MATCH(D221,'Paramètres'!$F$6:$F$13,0)),0))</f>
        <v/>
      </c>
      <c r="AT221" s="106">
        <f>IF(C221="","",IFERROR(1/(1/_xlfn.MINIFS('Saisie'!$A$5:$A$2004,'Saisie'!$C$5:$C$2004,C221,'Saisie'!$E$5:$E$2004,"Signature")),""))</f>
        <v/>
      </c>
      <c r="AU221" s="60">
        <f>IF(C221="","",IF(OR(AT221="",B221=""),"",AT221-B221))</f>
        <v/>
      </c>
      <c r="AV221" s="60">
        <f>IF(C221="","",IFERROR(INDEX('Saisie'!$L$5:$L$2004,_xlfn.MAXIFS('Saisie'!$AS$5:$AS$2004,'Saisie'!$C$5:$C$2004,C221,'Saisie'!$L$5:$L$2004,"&lt;&gt;")-4),""))</f>
        <v/>
      </c>
      <c r="AW221" s="106">
        <f>IF(C221="","",IF(D221&lt;&gt;"Perdu","",IFERROR(1/(1/_xlfn.MAXIFS('Saisie'!$A$5:$A$2004,'Saisie'!$C$5:$C$2004,C221,'Saisie'!$E$5:$E$2004,"Perdu")),"")))</f>
        <v/>
      </c>
      <c r="AX221" s="106">
        <f>IF(C221="","",IF(AW221="","",AW221+'Paramètres'!$B$28))</f>
        <v/>
      </c>
      <c r="AY221" s="60">
        <f>IF(C221="","",SUMIFS('Saisie'!$H$5:$H$2004,'Saisie'!$C$5:$C$2004,C221))</f>
        <v/>
      </c>
      <c r="AZ221" s="60">
        <f>IF(C221="","",IFERROR(INDEX('Paramètres'!$W$6:$W$20,MATCH(S221,'Paramètres'!$V$6:$V$20,0))&amp;"",""))</f>
        <v/>
      </c>
      <c r="BA221" s="60">
        <f>IF(C221="","",MAX(1,_xlfn.MAXIFS('Saisie'!$AT$5:$AT$2004,'Saisie'!$C$5:$C$2004,C221)))</f>
        <v/>
      </c>
      <c r="BB221" s="60">
        <f>IF(C221="","",IFERROR(INDEX('Saisie'!$X$5:$X$2004,_xlfn.MAXIFS('Saisie'!$AS$5:$AS$2004,'Saisie'!$C$5:$C$2004,C221,'Saisie'!$X$5:$X$2004,"&lt;&gt;")-4),""))</f>
        <v/>
      </c>
      <c r="BC221" s="60">
        <f>IF(C221="","",IFERROR(INDEX('Saisie'!$Y$5:$Y$2004,_xlfn.MAXIFS('Saisie'!$AS$5:$AS$2004,'Saisie'!$C$5:$C$2004,C221,'Saisie'!$Y$5:$Y$2004,"&lt;&gt;")-4),""))</f>
        <v/>
      </c>
      <c r="BD221" s="106">
        <f>IF(C221="","",IFERROR(1/(1/_xlfn.MINIFS('Saisie'!$A$5:$A$2004,'Saisie'!$C$5:$C$2004,C221,'Saisie'!$AT$5:$AT$2004,"&gt;=2")),""))</f>
        <v/>
      </c>
      <c r="BE221" s="106">
        <f>IF(C221="","",IFERROR(1/(1/_xlfn.MINIFS('Saisie'!$A$5:$A$2004,'Saisie'!$C$5:$C$2004,C221,'Saisie'!$AT$5:$AT$2004,"&gt;=3")),""))</f>
        <v/>
      </c>
      <c r="BF221" s="106">
        <f>IF(C221="","",IFERROR(1/(1/_xlfn.MINIFS('Saisie'!$A$5:$A$2004,'Saisie'!$C$5:$C$2004,C221,'Saisie'!$AT$5:$AT$2004,"&gt;=4")),""))</f>
        <v/>
      </c>
      <c r="BG221" s="106">
        <f>IF(C221="","",IFERROR(1/(1/_xlfn.MINIFS('Saisie'!$A$5:$A$2004,'Saisie'!$C$5:$C$2004,C221,'Saisie'!$AT$5:$AT$2004,"&gt;=5")),""))</f>
        <v/>
      </c>
      <c r="BH221" s="106">
        <f>IF(C221="","",IFERROR(1/(1/_xlfn.MINIFS('Saisie'!$A$5:$A$2004,'Saisie'!$C$5:$C$2004,C221,'Saisie'!$AT$5:$AT$2004,"&gt;=6")),""))</f>
        <v/>
      </c>
      <c r="BI221" s="106">
        <f>IF(C221="","",IFERROR(1/(1/_xlfn.MINIFS('Saisie'!$A$5:$A$2004,'Saisie'!$C$5:$C$2004,C221,'Saisie'!$AT$5:$AT$2004,"&gt;=7")),""))</f>
        <v/>
      </c>
      <c r="BJ221" s="60">
        <f>IF(OR(BD221="",B221=""),"",BD221-B221)</f>
        <v/>
      </c>
      <c r="BK221" s="60">
        <f>IF(OR(BE221="",BD221=""),"",BE221-BD221)</f>
        <v/>
      </c>
      <c r="BL221" s="60">
        <f>IF(OR(BF221="",BE221=""),"",BF221-BE221)</f>
        <v/>
      </c>
      <c r="BM221" s="60">
        <f>IF(OR(BG221="",BF221=""),"",BG221-BF221)</f>
        <v/>
      </c>
      <c r="BN221" s="60">
        <f>IF(OR(BH221="",BG221=""),"",BH221-BG221)</f>
        <v/>
      </c>
      <c r="BO221" s="60">
        <f>IF(OR(BI221="",BH221=""),"",BI221-BH221)</f>
        <v/>
      </c>
      <c r="BP221" s="60">
        <f>IF(C221="","",_xlfn.MAXIFS('Saisie'!$AS$5:$AS$2004,'Saisie'!$C$5:$C$2004,C221,'Saisie'!$J$5:$J$2004,"&lt;&gt;"))</f>
        <v/>
      </c>
      <c r="BQ221" s="60">
        <f>IF(C221="","",_xlfn.MAXIFS('Saisie'!$AS$5:$AS$2004,'Saisie'!$C$5:$C$2004,C221))</f>
        <v/>
      </c>
      <c r="BR221" s="60">
        <f>IF(C221="","",_xlfn.MAXIFS('Saisie'!$AS$5:$AS$2004,'Saisie'!$C$5:$C$2004,C221,'Saisie'!$E$5:$E$2004,"Perdu"))</f>
        <v/>
      </c>
      <c r="BS221" s="60">
        <f>IF(C221="","",_xlfn.MAXIFS('Saisie'!$AS$5:$AS$2004,'Saisie'!$C$5:$C$2004,C221,'Saisie'!$AT$5:$AT$2004,"&gt;0"))</f>
        <v/>
      </c>
      <c r="BT221" s="109">
        <f>IF(AND(C221&lt;&gt;"",OR(D221="Nouveau",D221="Contacté",D221="Qualifié"),OR(G221="",N(G221)&lt;=TODAY()),NOT(AND(O221&gt;='Paramètres'!$B$21,P221=0))),E221+217/10000,"")</f>
        <v/>
      </c>
      <c r="BU221" s="60">
        <f>IF(AND(G221&lt;&gt;"",N(G221)&lt;=TODAY()),MAX($BU$4:BU220)+1,"")</f>
        <v/>
      </c>
      <c r="BV221" s="60">
        <f>IF(AND(F221&lt;&gt;"",F221&lt;&gt;"Relance en retard"),MAX($BV$4:BV220)+1,"")</f>
        <v/>
      </c>
      <c r="BW221" s="60">
        <f>IF(C221="","",IF(AND(B221&gt;='Tableau de bord'!$R$4,B221&lt;='Tableau de bord'!$S$4,OR('Tableau de bord'!$G$4="Tous",N221='Tableau de bord'!$G$4)),1,0))</f>
        <v/>
      </c>
      <c r="BX221" s="60">
        <f>IF(AND(C221&lt;&gt;"",N(BA221)=7),MAX($BX$4:BX220)+1,"")</f>
        <v/>
      </c>
    </row>
    <row r="222">
      <c r="A222" s="60">
        <f>IF(C222="","","P-"&amp;TEXT(218,"000"))</f>
        <v/>
      </c>
      <c r="B222" s="106">
        <f>IF(C222="","",IFERROR(1/(1/_xlfn.MINIFS('Saisie'!$A$5:$A$2004,'Saisie'!$C$5:$C$2004,C222)),""))</f>
        <v/>
      </c>
      <c r="C222" s="60">
        <f>IFERROR(INDEX('Saisie'!$C$5:$C$2004,MATCH(218,'Saisie'!$AX$5:$AX$2004,0)),"")</f>
        <v/>
      </c>
      <c r="D222" s="60">
        <f>IF(C222="","",IF(AND(BR222&gt;0,BR222&gt;BS222,BA222&lt;7),"Perdu",INDEX('Paramètres'!$F$6:$F$13,BA222)))</f>
        <v/>
      </c>
      <c r="E222" s="61">
        <f>IF(C222="","",MIN(100,(Z222="Oui")*'Paramètres'!$B$38+(AB222="Régulière")*'Paramètres'!$B$39+IF(AND(N(AA222)&gt;0,TODAY()-N(AA222)&lt;=30),'Paramètres'!$B$40,0)+(W222="")*'Paramètres'!$B$41+(AC222="Absente")*'Paramètres'!$B$42+(AC222="Faible")*'Paramètres'!$B$43+IF(AND(N(AD222)&gt;0,N(AD222)&lt;4),'Paramètres'!$B$44,0)+(AF222="Moyenne")*'Paramètres'!$B$45+(AF222="Grande")*'Paramètres'!$B$46+(Y222&lt;&gt;"")*'Paramètres'!$B$47))</f>
        <v/>
      </c>
      <c r="F222" s="60">
        <f>IF(C222="","",IF(D222="Gagné","",IF(D222="Perdu",IF(AND(AX222&lt;&gt;"",AX222&lt;=TODAY()),"À recontacter (perdu)",""),IF(AND(O222&gt;='Paramètres'!$B$21,P222=0),"Stop : "&amp;'Paramètres'!$B$21&amp;" tentatives sans réponse",IF(AND(D222="Proposition",AR222&lt;&gt;"",TODAY()&gt;N(AR222)),"Proposition expirée",IF(AND(D222="Proposition",N(R222)&gt;='Paramètres'!$B$25),"Proposition sans réponse",IF(AND(G222&lt;&gt;"",N(G222)&lt;TODAY()),"Relance en retard",IF(N(R222)&gt;='Paramètres'!$B$24,"Sans action depuis "&amp;R222&amp;" j",""))))))))</f>
        <v/>
      </c>
      <c r="G222" s="106">
        <f>IF(OR(C222="",D222="Gagné",D222="Perdu"),"",IF(AND(BP222&gt;0,BP222=BQ222),INDEX('Saisie'!$J$5:$J$2004,BP222-4),IF(OR(O222=0,AND(O222&gt;='Paramètres'!$B$21,P222=0)),"",Q222+IF(O222&lt;=1,'Paramètres'!$B$18,IF(O222=2,'Paramètres'!$B$19,'Paramètres'!$B$20)))))</f>
        <v/>
      </c>
      <c r="H222" s="107">
        <f>IF(OR(G222="",BP222&lt;&gt;BQ222),"",IF(INDEX('Saisie'!$K$5:$K$2004,BP222-4)="","",INDEX('Saisie'!$K$5:$K$2004,BP222-4)))</f>
        <v/>
      </c>
      <c r="I222" s="60">
        <f>IF(C222="","",IF(OR(D222="Gagné",D222="Perdu"),"",IFERROR(INDEX('Saisie'!$I$5:$I$2004,_xlfn.MAXIFS('Saisie'!$AS$5:$AS$2004,'Saisie'!$C$5:$C$2004,C222,'Saisie'!$I$5:$I$2004,"&lt;&gt;")-4),"")))</f>
        <v/>
      </c>
      <c r="J222" s="60">
        <f>IF(C222="","",IFERROR(INDEX('Saisie'!$U$5:$U$2004,_xlfn.MAXIFS('Saisie'!$AS$5:$AS$2004,'Saisie'!$C$5:$C$2004,C222,'Saisie'!$U$5:$U$2004,"&lt;&gt;")-4),""))</f>
        <v/>
      </c>
      <c r="K222" s="60">
        <f>IF(C222="","",IFERROR(INDEX('Saisie'!$W$5:$W$2004,_xlfn.MAXIFS('Saisie'!$AS$5:$AS$2004,'Saisie'!$C$5:$C$2004,C222,'Saisie'!$W$5:$W$2004,"&lt;&gt;")-4),""))</f>
        <v/>
      </c>
      <c r="L222" s="60">
        <f>IF(IF(BB222&lt;&gt;"",BB222,K222)="","",HYPERLINK("https://wa.me/"&amp;IF(LEFT(SUBSTITUTE(SUBSTITUTE(SUBSTITUTE(IF(BB222&lt;&gt;"",BB222,K222)," ",""),".",""),"+",""),1)="0",'Paramètres'!$B$35&amp;MID(SUBSTITUTE(SUBSTITUTE(SUBSTITUTE(IF(BB222&lt;&gt;"",BB222,K222)," ",""),".",""),"+",""),2,20),SUBSTITUTE(SUBSTITUTE(SUBSTITUTE(IF(BB222&lt;&gt;"",BB222,K222)," ",""),".",""),"+","")),"WhatsApp"))</f>
        <v/>
      </c>
      <c r="M222" s="60">
        <f>IF(BC222="","",HYPERLINK(IF(LEFT(BC222,4)="http",BC222,"https://www.instagram.com/"&amp;SUBSTITUTE(SUBSTITUTE(BC222,"@","")," ","")),BC222))</f>
        <v/>
      </c>
      <c r="N222" s="60">
        <f>IF(C222="","",IFERROR(INDEX('Saisie'!$D$5:$D$2004,_xlfn.MINIFS('Saisie'!$AS$5:$AS$2004,'Saisie'!$C$5:$C$2004,C222,'Saisie'!$AU$5:$AU$2004,1)-4),IFERROR(INDEX('Saisie'!$D$5:$D$2004,_xlfn.MINIFS('Saisie'!$AS$5:$AS$2004,'Saisie'!$C$5:$C$2004,C222,'Saisie'!$D$5:$D$2004,"&lt;&gt;")-4),"")))</f>
        <v/>
      </c>
      <c r="O222" s="60">
        <f>IF(C222="","",COUNTIFS('Saisie'!$C$5:$C$2004,C222,'Saisie'!$AU$5:$AU$2004,1))</f>
        <v/>
      </c>
      <c r="P222" s="60">
        <f>IF(C222="","",COUNTIFS('Saisie'!$C$5:$C$2004,C222,'Saisie'!$AV$5:$AV$2004,1))</f>
        <v/>
      </c>
      <c r="Q222" s="106">
        <f>IF(C222="","",IFERROR(1/(1/_xlfn.MAXIFS('Saisie'!$A$5:$A$2004,'Saisie'!$C$5:$C$2004,C222)),""))</f>
        <v/>
      </c>
      <c r="R222" s="61">
        <f>IF(C222="","",IF(Q222="","",TODAY()-Q222))</f>
        <v/>
      </c>
      <c r="S222" s="60">
        <f>IF(C222="","",IFERROR(INDEX('Saisie'!$R$5:$R$2004,_xlfn.MAXIFS('Saisie'!$AS$5:$AS$2004,'Saisie'!$C$5:$C$2004,C222,'Saisie'!$R$5:$R$2004,"&lt;&gt;")-4),""))</f>
        <v/>
      </c>
      <c r="T222" s="60">
        <f>IF(C222="","",IFERROR(INDEX('Saisie'!$S$5:$S$2004,_xlfn.MAXIFS('Saisie'!$AS$5:$AS$2004,'Saisie'!$C$5:$C$2004,C222,'Saisie'!$S$5:$S$2004,"&lt;&gt;")-4),""))</f>
        <v/>
      </c>
      <c r="U222" s="60">
        <f>IF(C222="","",IFERROR(INDEX('Saisie'!$T$5:$T$2004,_xlfn.MAXIFS('Saisie'!$AS$5:$AS$2004,'Saisie'!$C$5:$C$2004,C222,'Saisie'!$T$5:$T$2004,"&lt;&gt;")-4),""))</f>
        <v/>
      </c>
      <c r="V222" s="60">
        <f>IF(C222="","",IFERROR(INDEX('Saisie'!$V$5:$V$2004,_xlfn.MAXIFS('Saisie'!$AS$5:$AS$2004,'Saisie'!$C$5:$C$2004,C222,'Saisie'!$V$5:$V$2004,"&lt;&gt;")-4),""))</f>
        <v/>
      </c>
      <c r="W222" s="60">
        <f>IF(C222="","",IFERROR(INDEX('Saisie'!$Z$5:$Z$2004,_xlfn.MAXIFS('Saisie'!$AS$5:$AS$2004,'Saisie'!$C$5:$C$2004,C222,'Saisie'!$Z$5:$Z$2004,"&lt;&gt;")-4),""))</f>
        <v/>
      </c>
      <c r="X222" s="60">
        <f>IF(C222="","",IFERROR(INDEX('Saisie'!$AA$5:$AA$2004,_xlfn.MAXIFS('Saisie'!$AS$5:$AS$2004,'Saisie'!$C$5:$C$2004,C222,'Saisie'!$AA$5:$AA$2004,"&lt;&gt;")-4),""))</f>
        <v/>
      </c>
      <c r="Y222" s="60">
        <f>IF(C222="","",IFERROR(INDEX('Saisie'!$AB$5:$AB$2004,_xlfn.MAXIFS('Saisie'!$AS$5:$AS$2004,'Saisie'!$C$5:$C$2004,C222,'Saisie'!$AB$5:$AB$2004,"&lt;&gt;")-4),""))</f>
        <v/>
      </c>
      <c r="Z222" s="60">
        <f>IF(C222="","",IFERROR(INDEX('Saisie'!$AC$5:$AC$2004,_xlfn.MAXIFS('Saisie'!$AS$5:$AS$2004,'Saisie'!$C$5:$C$2004,C222,'Saisie'!$AC$5:$AC$2004,"&lt;&gt;")-4),""))</f>
        <v/>
      </c>
      <c r="AA222" s="106">
        <f>IF(C222="","",IFERROR(INDEX('Saisie'!$AD$5:$AD$2004,_xlfn.MAXIFS('Saisie'!$AS$5:$AS$2004,'Saisie'!$C$5:$C$2004,C222,'Saisie'!$AD$5:$AD$2004,"&lt;&gt;")-4),""))</f>
        <v/>
      </c>
      <c r="AB222" s="60">
        <f>IF(C222="","",IFERROR(INDEX('Saisie'!$AE$5:$AE$2004,_xlfn.MAXIFS('Saisie'!$AS$5:$AS$2004,'Saisie'!$C$5:$C$2004,C222,'Saisie'!$AE$5:$AE$2004,"&lt;&gt;")-4),""))</f>
        <v/>
      </c>
      <c r="AC222" s="60">
        <f>IF(C222="","",IFERROR(INDEX('Saisie'!$AF$5:$AF$2004,_xlfn.MAXIFS('Saisie'!$AS$5:$AS$2004,'Saisie'!$C$5:$C$2004,C222,'Saisie'!$AF$5:$AF$2004,"&lt;&gt;")-4),""))</f>
        <v/>
      </c>
      <c r="AD222" s="108">
        <f>IF(C222="","",IFERROR(INDEX('Saisie'!$AG$5:$AG$2004,_xlfn.MAXIFS('Saisie'!$AS$5:$AS$2004,'Saisie'!$C$5:$C$2004,C222,'Saisie'!$AG$5:$AG$2004,"&lt;&gt;")-4),""))</f>
        <v/>
      </c>
      <c r="AE222" s="60">
        <f>IF(C222="","",IFERROR(INDEX('Saisie'!$AH$5:$AH$2004,_xlfn.MAXIFS('Saisie'!$AS$5:$AS$2004,'Saisie'!$C$5:$C$2004,C222,'Saisie'!$AH$5:$AH$2004,"&lt;&gt;")-4),""))</f>
        <v/>
      </c>
      <c r="AF222" s="60">
        <f>IF(C222="","",IFERROR(INDEX('Saisie'!$AI$5:$AI$2004,_xlfn.MAXIFS('Saisie'!$AS$5:$AS$2004,'Saisie'!$C$5:$C$2004,C222,'Saisie'!$AI$5:$AI$2004,"&lt;&gt;")-4),""))</f>
        <v/>
      </c>
      <c r="AG222" s="60">
        <f>IF(C222="","",IFERROR(INDEX('Saisie'!$AJ$5:$AJ$2004,_xlfn.MAXIFS('Saisie'!$AS$5:$AS$2004,'Saisie'!$C$5:$C$2004,C222,'Saisie'!$AJ$5:$AJ$2004,"&lt;&gt;")-4),""))</f>
        <v/>
      </c>
      <c r="AH222" s="60">
        <f>IF(C222="","",IFERROR(INDEX('Saisie'!$AK$5:$AK$2004,_xlfn.MAXIFS('Saisie'!$AS$5:$AS$2004,'Saisie'!$C$5:$C$2004,C222,'Saisie'!$AK$5:$AK$2004,"&lt;&gt;")-4),""))</f>
        <v/>
      </c>
      <c r="AI222" s="60">
        <f>IF(C222="","",IFERROR(INDEX('Saisie'!$AN$5:$AN$2004,_xlfn.MAXIFS('Saisie'!$AS$5:$AS$2004,'Saisie'!$C$5:$C$2004,C222,'Saisie'!$AN$5:$AN$2004,"&lt;&gt;")-4),""))</f>
        <v/>
      </c>
      <c r="AJ222" s="60">
        <f>IF(C222="","",IFERROR(INDEX('Saisie'!$AO$5:$AO$2004,_xlfn.MAXIFS('Saisie'!$AS$5:$AS$2004,'Saisie'!$C$5:$C$2004,C222,'Saisie'!$AO$5:$AO$2004,"&lt;&gt;")-4),""))</f>
        <v/>
      </c>
      <c r="AK222" s="60">
        <f>IF(C222="","",IFERROR(INDEX('Saisie'!$AP$5:$AP$2004,_xlfn.MAXIFS('Saisie'!$AS$5:$AS$2004,'Saisie'!$C$5:$C$2004,C222,'Saisie'!$AP$5:$AP$2004,"&lt;&gt;")-4),""))</f>
        <v/>
      </c>
      <c r="AL222" s="60">
        <f>IF(C222="","",IFERROR(INDEX('Saisie'!$AQ$5:$AQ$2004,_xlfn.MAXIFS('Saisie'!$AS$5:$AS$2004,'Saisie'!$C$5:$C$2004,C222,'Saisie'!$AQ$5:$AQ$2004,"&lt;&gt;")-4),""))</f>
        <v/>
      </c>
      <c r="AM222" s="60">
        <f>IF(C222="","",((AI222="Oui")+(AJ222="Oui")+(AK222="Oui")+OR(AL222="Immédiat",AL222="&lt; 1 mois"))&amp;"/4")</f>
        <v/>
      </c>
      <c r="AN222" s="60">
        <f>IF(C222="","",IFERROR(INDEX('Saisie'!$AL$5:$AL$2004,_xlfn.MAXIFS('Saisie'!$AS$5:$AS$2004,'Saisie'!$C$5:$C$2004,C222,'Saisie'!$AL$5:$AL$2004,"&lt;&gt;")-4),""))</f>
        <v/>
      </c>
      <c r="AO222" s="62">
        <f>IF(C222="","",IF(IFERROR(INDEX('Saisie'!$AM$5:$AM$2004,_xlfn.MAXIFS('Saisie'!$AS$5:$AS$2004,'Saisie'!$C$5:$C$2004,C222,'Saisie'!$AM$5:$AM$2004,"&lt;&gt;")-4),"")&lt;&gt;"",IFERROR(INDEX('Saisie'!$AM$5:$AM$2004,_xlfn.MAXIFS('Saisie'!$AS$5:$AS$2004,'Saisie'!$C$5:$C$2004,C222,'Saisie'!$AM$5:$AM$2004,"&lt;&gt;")-4),""),IFERROR(INDEX('Paramètres'!$S$6:$S$15,MATCH(AN222,'Paramètres'!$Q$6:$Q$15,0)),"")))</f>
        <v/>
      </c>
      <c r="AP222" s="62">
        <f>IF(C222="","",IFERROR(INDEX('Saisie'!$AW$5:$AW$2004,_xlfn.MAXIFS('Saisie'!$AS$5:$AS$2004,'Saisie'!$C$5:$C$2004,C222,'Saisie'!$E$5:$E$2004,"Proposition envoyée")-4),""))</f>
        <v/>
      </c>
      <c r="AQ222" s="106">
        <f>IF(C222="","",IFERROR(1/(1/_xlfn.MAXIFS('Saisie'!$A$5:$A$2004,'Saisie'!$C$5:$C$2004,C222,'Saisie'!$E$5:$E$2004,"Proposition envoyée")),""))</f>
        <v/>
      </c>
      <c r="AR222" s="106">
        <f>IF(C222="","",IF(AQ222="","",AQ222+'Paramètres'!$B$26))</f>
        <v/>
      </c>
      <c r="AS222" s="62">
        <f>IF(OR(C222="",D222="Gagné",D222="Perdu"),0,N(AP222)*IFERROR(INDEX('Paramètres'!$G$6:$G$13,MATCH(D222,'Paramètres'!$F$6:$F$13,0)),0))</f>
        <v/>
      </c>
      <c r="AT222" s="106">
        <f>IF(C222="","",IFERROR(1/(1/_xlfn.MINIFS('Saisie'!$A$5:$A$2004,'Saisie'!$C$5:$C$2004,C222,'Saisie'!$E$5:$E$2004,"Signature")),""))</f>
        <v/>
      </c>
      <c r="AU222" s="60">
        <f>IF(C222="","",IF(OR(AT222="",B222=""),"",AT222-B222))</f>
        <v/>
      </c>
      <c r="AV222" s="60">
        <f>IF(C222="","",IFERROR(INDEX('Saisie'!$L$5:$L$2004,_xlfn.MAXIFS('Saisie'!$AS$5:$AS$2004,'Saisie'!$C$5:$C$2004,C222,'Saisie'!$L$5:$L$2004,"&lt;&gt;")-4),""))</f>
        <v/>
      </c>
      <c r="AW222" s="106">
        <f>IF(C222="","",IF(D222&lt;&gt;"Perdu","",IFERROR(1/(1/_xlfn.MAXIFS('Saisie'!$A$5:$A$2004,'Saisie'!$C$5:$C$2004,C222,'Saisie'!$E$5:$E$2004,"Perdu")),"")))</f>
        <v/>
      </c>
      <c r="AX222" s="106">
        <f>IF(C222="","",IF(AW222="","",AW222+'Paramètres'!$B$28))</f>
        <v/>
      </c>
      <c r="AY222" s="60">
        <f>IF(C222="","",SUMIFS('Saisie'!$H$5:$H$2004,'Saisie'!$C$5:$C$2004,C222))</f>
        <v/>
      </c>
      <c r="AZ222" s="60">
        <f>IF(C222="","",IFERROR(INDEX('Paramètres'!$W$6:$W$20,MATCH(S222,'Paramètres'!$V$6:$V$20,0))&amp;"",""))</f>
        <v/>
      </c>
      <c r="BA222" s="60">
        <f>IF(C222="","",MAX(1,_xlfn.MAXIFS('Saisie'!$AT$5:$AT$2004,'Saisie'!$C$5:$C$2004,C222)))</f>
        <v/>
      </c>
      <c r="BB222" s="60">
        <f>IF(C222="","",IFERROR(INDEX('Saisie'!$X$5:$X$2004,_xlfn.MAXIFS('Saisie'!$AS$5:$AS$2004,'Saisie'!$C$5:$C$2004,C222,'Saisie'!$X$5:$X$2004,"&lt;&gt;")-4),""))</f>
        <v/>
      </c>
      <c r="BC222" s="60">
        <f>IF(C222="","",IFERROR(INDEX('Saisie'!$Y$5:$Y$2004,_xlfn.MAXIFS('Saisie'!$AS$5:$AS$2004,'Saisie'!$C$5:$C$2004,C222,'Saisie'!$Y$5:$Y$2004,"&lt;&gt;")-4),""))</f>
        <v/>
      </c>
      <c r="BD222" s="106">
        <f>IF(C222="","",IFERROR(1/(1/_xlfn.MINIFS('Saisie'!$A$5:$A$2004,'Saisie'!$C$5:$C$2004,C222,'Saisie'!$AT$5:$AT$2004,"&gt;=2")),""))</f>
        <v/>
      </c>
      <c r="BE222" s="106">
        <f>IF(C222="","",IFERROR(1/(1/_xlfn.MINIFS('Saisie'!$A$5:$A$2004,'Saisie'!$C$5:$C$2004,C222,'Saisie'!$AT$5:$AT$2004,"&gt;=3")),""))</f>
        <v/>
      </c>
      <c r="BF222" s="106">
        <f>IF(C222="","",IFERROR(1/(1/_xlfn.MINIFS('Saisie'!$A$5:$A$2004,'Saisie'!$C$5:$C$2004,C222,'Saisie'!$AT$5:$AT$2004,"&gt;=4")),""))</f>
        <v/>
      </c>
      <c r="BG222" s="106">
        <f>IF(C222="","",IFERROR(1/(1/_xlfn.MINIFS('Saisie'!$A$5:$A$2004,'Saisie'!$C$5:$C$2004,C222,'Saisie'!$AT$5:$AT$2004,"&gt;=5")),""))</f>
        <v/>
      </c>
      <c r="BH222" s="106">
        <f>IF(C222="","",IFERROR(1/(1/_xlfn.MINIFS('Saisie'!$A$5:$A$2004,'Saisie'!$C$5:$C$2004,C222,'Saisie'!$AT$5:$AT$2004,"&gt;=6")),""))</f>
        <v/>
      </c>
      <c r="BI222" s="106">
        <f>IF(C222="","",IFERROR(1/(1/_xlfn.MINIFS('Saisie'!$A$5:$A$2004,'Saisie'!$C$5:$C$2004,C222,'Saisie'!$AT$5:$AT$2004,"&gt;=7")),""))</f>
        <v/>
      </c>
      <c r="BJ222" s="60">
        <f>IF(OR(BD222="",B222=""),"",BD222-B222)</f>
        <v/>
      </c>
      <c r="BK222" s="60">
        <f>IF(OR(BE222="",BD222=""),"",BE222-BD222)</f>
        <v/>
      </c>
      <c r="BL222" s="60">
        <f>IF(OR(BF222="",BE222=""),"",BF222-BE222)</f>
        <v/>
      </c>
      <c r="BM222" s="60">
        <f>IF(OR(BG222="",BF222=""),"",BG222-BF222)</f>
        <v/>
      </c>
      <c r="BN222" s="60">
        <f>IF(OR(BH222="",BG222=""),"",BH222-BG222)</f>
        <v/>
      </c>
      <c r="BO222" s="60">
        <f>IF(OR(BI222="",BH222=""),"",BI222-BH222)</f>
        <v/>
      </c>
      <c r="BP222" s="60">
        <f>IF(C222="","",_xlfn.MAXIFS('Saisie'!$AS$5:$AS$2004,'Saisie'!$C$5:$C$2004,C222,'Saisie'!$J$5:$J$2004,"&lt;&gt;"))</f>
        <v/>
      </c>
      <c r="BQ222" s="60">
        <f>IF(C222="","",_xlfn.MAXIFS('Saisie'!$AS$5:$AS$2004,'Saisie'!$C$5:$C$2004,C222))</f>
        <v/>
      </c>
      <c r="BR222" s="60">
        <f>IF(C222="","",_xlfn.MAXIFS('Saisie'!$AS$5:$AS$2004,'Saisie'!$C$5:$C$2004,C222,'Saisie'!$E$5:$E$2004,"Perdu"))</f>
        <v/>
      </c>
      <c r="BS222" s="60">
        <f>IF(C222="","",_xlfn.MAXIFS('Saisie'!$AS$5:$AS$2004,'Saisie'!$C$5:$C$2004,C222,'Saisie'!$AT$5:$AT$2004,"&gt;0"))</f>
        <v/>
      </c>
      <c r="BT222" s="109">
        <f>IF(AND(C222&lt;&gt;"",OR(D222="Nouveau",D222="Contacté",D222="Qualifié"),OR(G222="",N(G222)&lt;=TODAY()),NOT(AND(O222&gt;='Paramètres'!$B$21,P222=0))),E222+218/10000,"")</f>
        <v/>
      </c>
      <c r="BU222" s="60">
        <f>IF(AND(G222&lt;&gt;"",N(G222)&lt;=TODAY()),MAX($BU$4:BU221)+1,"")</f>
        <v/>
      </c>
      <c r="BV222" s="60">
        <f>IF(AND(F222&lt;&gt;"",F222&lt;&gt;"Relance en retard"),MAX($BV$4:BV221)+1,"")</f>
        <v/>
      </c>
      <c r="BW222" s="60">
        <f>IF(C222="","",IF(AND(B222&gt;='Tableau de bord'!$R$4,B222&lt;='Tableau de bord'!$S$4,OR('Tableau de bord'!$G$4="Tous",N222='Tableau de bord'!$G$4)),1,0))</f>
        <v/>
      </c>
      <c r="BX222" s="60">
        <f>IF(AND(C222&lt;&gt;"",N(BA222)=7),MAX($BX$4:BX221)+1,"")</f>
        <v/>
      </c>
    </row>
    <row r="223">
      <c r="A223" s="60">
        <f>IF(C223="","","P-"&amp;TEXT(219,"000"))</f>
        <v/>
      </c>
      <c r="B223" s="106">
        <f>IF(C223="","",IFERROR(1/(1/_xlfn.MINIFS('Saisie'!$A$5:$A$2004,'Saisie'!$C$5:$C$2004,C223)),""))</f>
        <v/>
      </c>
      <c r="C223" s="60">
        <f>IFERROR(INDEX('Saisie'!$C$5:$C$2004,MATCH(219,'Saisie'!$AX$5:$AX$2004,0)),"")</f>
        <v/>
      </c>
      <c r="D223" s="60">
        <f>IF(C223="","",IF(AND(BR223&gt;0,BR223&gt;BS223,BA223&lt;7),"Perdu",INDEX('Paramètres'!$F$6:$F$13,BA223)))</f>
        <v/>
      </c>
      <c r="E223" s="61">
        <f>IF(C223="","",MIN(100,(Z223="Oui")*'Paramètres'!$B$38+(AB223="Régulière")*'Paramètres'!$B$39+IF(AND(N(AA223)&gt;0,TODAY()-N(AA223)&lt;=30),'Paramètres'!$B$40,0)+(W223="")*'Paramètres'!$B$41+(AC223="Absente")*'Paramètres'!$B$42+(AC223="Faible")*'Paramètres'!$B$43+IF(AND(N(AD223)&gt;0,N(AD223)&lt;4),'Paramètres'!$B$44,0)+(AF223="Moyenne")*'Paramètres'!$B$45+(AF223="Grande")*'Paramètres'!$B$46+(Y223&lt;&gt;"")*'Paramètres'!$B$47))</f>
        <v/>
      </c>
      <c r="F223" s="60">
        <f>IF(C223="","",IF(D223="Gagné","",IF(D223="Perdu",IF(AND(AX223&lt;&gt;"",AX223&lt;=TODAY()),"À recontacter (perdu)",""),IF(AND(O223&gt;='Paramètres'!$B$21,P223=0),"Stop : "&amp;'Paramètres'!$B$21&amp;" tentatives sans réponse",IF(AND(D223="Proposition",AR223&lt;&gt;"",TODAY()&gt;N(AR223)),"Proposition expirée",IF(AND(D223="Proposition",N(R223)&gt;='Paramètres'!$B$25),"Proposition sans réponse",IF(AND(G223&lt;&gt;"",N(G223)&lt;TODAY()),"Relance en retard",IF(N(R223)&gt;='Paramètres'!$B$24,"Sans action depuis "&amp;R223&amp;" j",""))))))))</f>
        <v/>
      </c>
      <c r="G223" s="106">
        <f>IF(OR(C223="",D223="Gagné",D223="Perdu"),"",IF(AND(BP223&gt;0,BP223=BQ223),INDEX('Saisie'!$J$5:$J$2004,BP223-4),IF(OR(O223=0,AND(O223&gt;='Paramètres'!$B$21,P223=0)),"",Q223+IF(O223&lt;=1,'Paramètres'!$B$18,IF(O223=2,'Paramètres'!$B$19,'Paramètres'!$B$20)))))</f>
        <v/>
      </c>
      <c r="H223" s="107">
        <f>IF(OR(G223="",BP223&lt;&gt;BQ223),"",IF(INDEX('Saisie'!$K$5:$K$2004,BP223-4)="","",INDEX('Saisie'!$K$5:$K$2004,BP223-4)))</f>
        <v/>
      </c>
      <c r="I223" s="60">
        <f>IF(C223="","",IF(OR(D223="Gagné",D223="Perdu"),"",IFERROR(INDEX('Saisie'!$I$5:$I$2004,_xlfn.MAXIFS('Saisie'!$AS$5:$AS$2004,'Saisie'!$C$5:$C$2004,C223,'Saisie'!$I$5:$I$2004,"&lt;&gt;")-4),"")))</f>
        <v/>
      </c>
      <c r="J223" s="60">
        <f>IF(C223="","",IFERROR(INDEX('Saisie'!$U$5:$U$2004,_xlfn.MAXIFS('Saisie'!$AS$5:$AS$2004,'Saisie'!$C$5:$C$2004,C223,'Saisie'!$U$5:$U$2004,"&lt;&gt;")-4),""))</f>
        <v/>
      </c>
      <c r="K223" s="60">
        <f>IF(C223="","",IFERROR(INDEX('Saisie'!$W$5:$W$2004,_xlfn.MAXIFS('Saisie'!$AS$5:$AS$2004,'Saisie'!$C$5:$C$2004,C223,'Saisie'!$W$5:$W$2004,"&lt;&gt;")-4),""))</f>
        <v/>
      </c>
      <c r="L223" s="60">
        <f>IF(IF(BB223&lt;&gt;"",BB223,K223)="","",HYPERLINK("https://wa.me/"&amp;IF(LEFT(SUBSTITUTE(SUBSTITUTE(SUBSTITUTE(IF(BB223&lt;&gt;"",BB223,K223)," ",""),".",""),"+",""),1)="0",'Paramètres'!$B$35&amp;MID(SUBSTITUTE(SUBSTITUTE(SUBSTITUTE(IF(BB223&lt;&gt;"",BB223,K223)," ",""),".",""),"+",""),2,20),SUBSTITUTE(SUBSTITUTE(SUBSTITUTE(IF(BB223&lt;&gt;"",BB223,K223)," ",""),".",""),"+","")),"WhatsApp"))</f>
        <v/>
      </c>
      <c r="M223" s="60">
        <f>IF(BC223="","",HYPERLINK(IF(LEFT(BC223,4)="http",BC223,"https://www.instagram.com/"&amp;SUBSTITUTE(SUBSTITUTE(BC223,"@","")," ","")),BC223))</f>
        <v/>
      </c>
      <c r="N223" s="60">
        <f>IF(C223="","",IFERROR(INDEX('Saisie'!$D$5:$D$2004,_xlfn.MINIFS('Saisie'!$AS$5:$AS$2004,'Saisie'!$C$5:$C$2004,C223,'Saisie'!$AU$5:$AU$2004,1)-4),IFERROR(INDEX('Saisie'!$D$5:$D$2004,_xlfn.MINIFS('Saisie'!$AS$5:$AS$2004,'Saisie'!$C$5:$C$2004,C223,'Saisie'!$D$5:$D$2004,"&lt;&gt;")-4),"")))</f>
        <v/>
      </c>
      <c r="O223" s="60">
        <f>IF(C223="","",COUNTIFS('Saisie'!$C$5:$C$2004,C223,'Saisie'!$AU$5:$AU$2004,1))</f>
        <v/>
      </c>
      <c r="P223" s="60">
        <f>IF(C223="","",COUNTIFS('Saisie'!$C$5:$C$2004,C223,'Saisie'!$AV$5:$AV$2004,1))</f>
        <v/>
      </c>
      <c r="Q223" s="106">
        <f>IF(C223="","",IFERROR(1/(1/_xlfn.MAXIFS('Saisie'!$A$5:$A$2004,'Saisie'!$C$5:$C$2004,C223)),""))</f>
        <v/>
      </c>
      <c r="R223" s="61">
        <f>IF(C223="","",IF(Q223="","",TODAY()-Q223))</f>
        <v/>
      </c>
      <c r="S223" s="60">
        <f>IF(C223="","",IFERROR(INDEX('Saisie'!$R$5:$R$2004,_xlfn.MAXIFS('Saisie'!$AS$5:$AS$2004,'Saisie'!$C$5:$C$2004,C223,'Saisie'!$R$5:$R$2004,"&lt;&gt;")-4),""))</f>
        <v/>
      </c>
      <c r="T223" s="60">
        <f>IF(C223="","",IFERROR(INDEX('Saisie'!$S$5:$S$2004,_xlfn.MAXIFS('Saisie'!$AS$5:$AS$2004,'Saisie'!$C$5:$C$2004,C223,'Saisie'!$S$5:$S$2004,"&lt;&gt;")-4),""))</f>
        <v/>
      </c>
      <c r="U223" s="60">
        <f>IF(C223="","",IFERROR(INDEX('Saisie'!$T$5:$T$2004,_xlfn.MAXIFS('Saisie'!$AS$5:$AS$2004,'Saisie'!$C$5:$C$2004,C223,'Saisie'!$T$5:$T$2004,"&lt;&gt;")-4),""))</f>
        <v/>
      </c>
      <c r="V223" s="60">
        <f>IF(C223="","",IFERROR(INDEX('Saisie'!$V$5:$V$2004,_xlfn.MAXIFS('Saisie'!$AS$5:$AS$2004,'Saisie'!$C$5:$C$2004,C223,'Saisie'!$V$5:$V$2004,"&lt;&gt;")-4),""))</f>
        <v/>
      </c>
      <c r="W223" s="60">
        <f>IF(C223="","",IFERROR(INDEX('Saisie'!$Z$5:$Z$2004,_xlfn.MAXIFS('Saisie'!$AS$5:$AS$2004,'Saisie'!$C$5:$C$2004,C223,'Saisie'!$Z$5:$Z$2004,"&lt;&gt;")-4),""))</f>
        <v/>
      </c>
      <c r="X223" s="60">
        <f>IF(C223="","",IFERROR(INDEX('Saisie'!$AA$5:$AA$2004,_xlfn.MAXIFS('Saisie'!$AS$5:$AS$2004,'Saisie'!$C$5:$C$2004,C223,'Saisie'!$AA$5:$AA$2004,"&lt;&gt;")-4),""))</f>
        <v/>
      </c>
      <c r="Y223" s="60">
        <f>IF(C223="","",IFERROR(INDEX('Saisie'!$AB$5:$AB$2004,_xlfn.MAXIFS('Saisie'!$AS$5:$AS$2004,'Saisie'!$C$5:$C$2004,C223,'Saisie'!$AB$5:$AB$2004,"&lt;&gt;")-4),""))</f>
        <v/>
      </c>
      <c r="Z223" s="60">
        <f>IF(C223="","",IFERROR(INDEX('Saisie'!$AC$5:$AC$2004,_xlfn.MAXIFS('Saisie'!$AS$5:$AS$2004,'Saisie'!$C$5:$C$2004,C223,'Saisie'!$AC$5:$AC$2004,"&lt;&gt;")-4),""))</f>
        <v/>
      </c>
      <c r="AA223" s="106">
        <f>IF(C223="","",IFERROR(INDEX('Saisie'!$AD$5:$AD$2004,_xlfn.MAXIFS('Saisie'!$AS$5:$AS$2004,'Saisie'!$C$5:$C$2004,C223,'Saisie'!$AD$5:$AD$2004,"&lt;&gt;")-4),""))</f>
        <v/>
      </c>
      <c r="AB223" s="60">
        <f>IF(C223="","",IFERROR(INDEX('Saisie'!$AE$5:$AE$2004,_xlfn.MAXIFS('Saisie'!$AS$5:$AS$2004,'Saisie'!$C$5:$C$2004,C223,'Saisie'!$AE$5:$AE$2004,"&lt;&gt;")-4),""))</f>
        <v/>
      </c>
      <c r="AC223" s="60">
        <f>IF(C223="","",IFERROR(INDEX('Saisie'!$AF$5:$AF$2004,_xlfn.MAXIFS('Saisie'!$AS$5:$AS$2004,'Saisie'!$C$5:$C$2004,C223,'Saisie'!$AF$5:$AF$2004,"&lt;&gt;")-4),""))</f>
        <v/>
      </c>
      <c r="AD223" s="108">
        <f>IF(C223="","",IFERROR(INDEX('Saisie'!$AG$5:$AG$2004,_xlfn.MAXIFS('Saisie'!$AS$5:$AS$2004,'Saisie'!$C$5:$C$2004,C223,'Saisie'!$AG$5:$AG$2004,"&lt;&gt;")-4),""))</f>
        <v/>
      </c>
      <c r="AE223" s="60">
        <f>IF(C223="","",IFERROR(INDEX('Saisie'!$AH$5:$AH$2004,_xlfn.MAXIFS('Saisie'!$AS$5:$AS$2004,'Saisie'!$C$5:$C$2004,C223,'Saisie'!$AH$5:$AH$2004,"&lt;&gt;")-4),""))</f>
        <v/>
      </c>
      <c r="AF223" s="60">
        <f>IF(C223="","",IFERROR(INDEX('Saisie'!$AI$5:$AI$2004,_xlfn.MAXIFS('Saisie'!$AS$5:$AS$2004,'Saisie'!$C$5:$C$2004,C223,'Saisie'!$AI$5:$AI$2004,"&lt;&gt;")-4),""))</f>
        <v/>
      </c>
      <c r="AG223" s="60">
        <f>IF(C223="","",IFERROR(INDEX('Saisie'!$AJ$5:$AJ$2004,_xlfn.MAXIFS('Saisie'!$AS$5:$AS$2004,'Saisie'!$C$5:$C$2004,C223,'Saisie'!$AJ$5:$AJ$2004,"&lt;&gt;")-4),""))</f>
        <v/>
      </c>
      <c r="AH223" s="60">
        <f>IF(C223="","",IFERROR(INDEX('Saisie'!$AK$5:$AK$2004,_xlfn.MAXIFS('Saisie'!$AS$5:$AS$2004,'Saisie'!$C$5:$C$2004,C223,'Saisie'!$AK$5:$AK$2004,"&lt;&gt;")-4),""))</f>
        <v/>
      </c>
      <c r="AI223" s="60">
        <f>IF(C223="","",IFERROR(INDEX('Saisie'!$AN$5:$AN$2004,_xlfn.MAXIFS('Saisie'!$AS$5:$AS$2004,'Saisie'!$C$5:$C$2004,C223,'Saisie'!$AN$5:$AN$2004,"&lt;&gt;")-4),""))</f>
        <v/>
      </c>
      <c r="AJ223" s="60">
        <f>IF(C223="","",IFERROR(INDEX('Saisie'!$AO$5:$AO$2004,_xlfn.MAXIFS('Saisie'!$AS$5:$AS$2004,'Saisie'!$C$5:$C$2004,C223,'Saisie'!$AO$5:$AO$2004,"&lt;&gt;")-4),""))</f>
        <v/>
      </c>
      <c r="AK223" s="60">
        <f>IF(C223="","",IFERROR(INDEX('Saisie'!$AP$5:$AP$2004,_xlfn.MAXIFS('Saisie'!$AS$5:$AS$2004,'Saisie'!$C$5:$C$2004,C223,'Saisie'!$AP$5:$AP$2004,"&lt;&gt;")-4),""))</f>
        <v/>
      </c>
      <c r="AL223" s="60">
        <f>IF(C223="","",IFERROR(INDEX('Saisie'!$AQ$5:$AQ$2004,_xlfn.MAXIFS('Saisie'!$AS$5:$AS$2004,'Saisie'!$C$5:$C$2004,C223,'Saisie'!$AQ$5:$AQ$2004,"&lt;&gt;")-4),""))</f>
        <v/>
      </c>
      <c r="AM223" s="60">
        <f>IF(C223="","",((AI223="Oui")+(AJ223="Oui")+(AK223="Oui")+OR(AL223="Immédiat",AL223="&lt; 1 mois"))&amp;"/4")</f>
        <v/>
      </c>
      <c r="AN223" s="60">
        <f>IF(C223="","",IFERROR(INDEX('Saisie'!$AL$5:$AL$2004,_xlfn.MAXIFS('Saisie'!$AS$5:$AS$2004,'Saisie'!$C$5:$C$2004,C223,'Saisie'!$AL$5:$AL$2004,"&lt;&gt;")-4),""))</f>
        <v/>
      </c>
      <c r="AO223" s="62">
        <f>IF(C223="","",IF(IFERROR(INDEX('Saisie'!$AM$5:$AM$2004,_xlfn.MAXIFS('Saisie'!$AS$5:$AS$2004,'Saisie'!$C$5:$C$2004,C223,'Saisie'!$AM$5:$AM$2004,"&lt;&gt;")-4),"")&lt;&gt;"",IFERROR(INDEX('Saisie'!$AM$5:$AM$2004,_xlfn.MAXIFS('Saisie'!$AS$5:$AS$2004,'Saisie'!$C$5:$C$2004,C223,'Saisie'!$AM$5:$AM$2004,"&lt;&gt;")-4),""),IFERROR(INDEX('Paramètres'!$S$6:$S$15,MATCH(AN223,'Paramètres'!$Q$6:$Q$15,0)),"")))</f>
        <v/>
      </c>
      <c r="AP223" s="62">
        <f>IF(C223="","",IFERROR(INDEX('Saisie'!$AW$5:$AW$2004,_xlfn.MAXIFS('Saisie'!$AS$5:$AS$2004,'Saisie'!$C$5:$C$2004,C223,'Saisie'!$E$5:$E$2004,"Proposition envoyée")-4),""))</f>
        <v/>
      </c>
      <c r="AQ223" s="106">
        <f>IF(C223="","",IFERROR(1/(1/_xlfn.MAXIFS('Saisie'!$A$5:$A$2004,'Saisie'!$C$5:$C$2004,C223,'Saisie'!$E$5:$E$2004,"Proposition envoyée")),""))</f>
        <v/>
      </c>
      <c r="AR223" s="106">
        <f>IF(C223="","",IF(AQ223="","",AQ223+'Paramètres'!$B$26))</f>
        <v/>
      </c>
      <c r="AS223" s="62">
        <f>IF(OR(C223="",D223="Gagné",D223="Perdu"),0,N(AP223)*IFERROR(INDEX('Paramètres'!$G$6:$G$13,MATCH(D223,'Paramètres'!$F$6:$F$13,0)),0))</f>
        <v/>
      </c>
      <c r="AT223" s="106">
        <f>IF(C223="","",IFERROR(1/(1/_xlfn.MINIFS('Saisie'!$A$5:$A$2004,'Saisie'!$C$5:$C$2004,C223,'Saisie'!$E$5:$E$2004,"Signature")),""))</f>
        <v/>
      </c>
      <c r="AU223" s="60">
        <f>IF(C223="","",IF(OR(AT223="",B223=""),"",AT223-B223))</f>
        <v/>
      </c>
      <c r="AV223" s="60">
        <f>IF(C223="","",IFERROR(INDEX('Saisie'!$L$5:$L$2004,_xlfn.MAXIFS('Saisie'!$AS$5:$AS$2004,'Saisie'!$C$5:$C$2004,C223,'Saisie'!$L$5:$L$2004,"&lt;&gt;")-4),""))</f>
        <v/>
      </c>
      <c r="AW223" s="106">
        <f>IF(C223="","",IF(D223&lt;&gt;"Perdu","",IFERROR(1/(1/_xlfn.MAXIFS('Saisie'!$A$5:$A$2004,'Saisie'!$C$5:$C$2004,C223,'Saisie'!$E$5:$E$2004,"Perdu")),"")))</f>
        <v/>
      </c>
      <c r="AX223" s="106">
        <f>IF(C223="","",IF(AW223="","",AW223+'Paramètres'!$B$28))</f>
        <v/>
      </c>
      <c r="AY223" s="60">
        <f>IF(C223="","",SUMIFS('Saisie'!$H$5:$H$2004,'Saisie'!$C$5:$C$2004,C223))</f>
        <v/>
      </c>
      <c r="AZ223" s="60">
        <f>IF(C223="","",IFERROR(INDEX('Paramètres'!$W$6:$W$20,MATCH(S223,'Paramètres'!$V$6:$V$20,0))&amp;"",""))</f>
        <v/>
      </c>
      <c r="BA223" s="60">
        <f>IF(C223="","",MAX(1,_xlfn.MAXIFS('Saisie'!$AT$5:$AT$2004,'Saisie'!$C$5:$C$2004,C223)))</f>
        <v/>
      </c>
      <c r="BB223" s="60">
        <f>IF(C223="","",IFERROR(INDEX('Saisie'!$X$5:$X$2004,_xlfn.MAXIFS('Saisie'!$AS$5:$AS$2004,'Saisie'!$C$5:$C$2004,C223,'Saisie'!$X$5:$X$2004,"&lt;&gt;")-4),""))</f>
        <v/>
      </c>
      <c r="BC223" s="60">
        <f>IF(C223="","",IFERROR(INDEX('Saisie'!$Y$5:$Y$2004,_xlfn.MAXIFS('Saisie'!$AS$5:$AS$2004,'Saisie'!$C$5:$C$2004,C223,'Saisie'!$Y$5:$Y$2004,"&lt;&gt;")-4),""))</f>
        <v/>
      </c>
      <c r="BD223" s="106">
        <f>IF(C223="","",IFERROR(1/(1/_xlfn.MINIFS('Saisie'!$A$5:$A$2004,'Saisie'!$C$5:$C$2004,C223,'Saisie'!$AT$5:$AT$2004,"&gt;=2")),""))</f>
        <v/>
      </c>
      <c r="BE223" s="106">
        <f>IF(C223="","",IFERROR(1/(1/_xlfn.MINIFS('Saisie'!$A$5:$A$2004,'Saisie'!$C$5:$C$2004,C223,'Saisie'!$AT$5:$AT$2004,"&gt;=3")),""))</f>
        <v/>
      </c>
      <c r="BF223" s="106">
        <f>IF(C223="","",IFERROR(1/(1/_xlfn.MINIFS('Saisie'!$A$5:$A$2004,'Saisie'!$C$5:$C$2004,C223,'Saisie'!$AT$5:$AT$2004,"&gt;=4")),""))</f>
        <v/>
      </c>
      <c r="BG223" s="106">
        <f>IF(C223="","",IFERROR(1/(1/_xlfn.MINIFS('Saisie'!$A$5:$A$2004,'Saisie'!$C$5:$C$2004,C223,'Saisie'!$AT$5:$AT$2004,"&gt;=5")),""))</f>
        <v/>
      </c>
      <c r="BH223" s="106">
        <f>IF(C223="","",IFERROR(1/(1/_xlfn.MINIFS('Saisie'!$A$5:$A$2004,'Saisie'!$C$5:$C$2004,C223,'Saisie'!$AT$5:$AT$2004,"&gt;=6")),""))</f>
        <v/>
      </c>
      <c r="BI223" s="106">
        <f>IF(C223="","",IFERROR(1/(1/_xlfn.MINIFS('Saisie'!$A$5:$A$2004,'Saisie'!$C$5:$C$2004,C223,'Saisie'!$AT$5:$AT$2004,"&gt;=7")),""))</f>
        <v/>
      </c>
      <c r="BJ223" s="60">
        <f>IF(OR(BD223="",B223=""),"",BD223-B223)</f>
        <v/>
      </c>
      <c r="BK223" s="60">
        <f>IF(OR(BE223="",BD223=""),"",BE223-BD223)</f>
        <v/>
      </c>
      <c r="BL223" s="60">
        <f>IF(OR(BF223="",BE223=""),"",BF223-BE223)</f>
        <v/>
      </c>
      <c r="BM223" s="60">
        <f>IF(OR(BG223="",BF223=""),"",BG223-BF223)</f>
        <v/>
      </c>
      <c r="BN223" s="60">
        <f>IF(OR(BH223="",BG223=""),"",BH223-BG223)</f>
        <v/>
      </c>
      <c r="BO223" s="60">
        <f>IF(OR(BI223="",BH223=""),"",BI223-BH223)</f>
        <v/>
      </c>
      <c r="BP223" s="60">
        <f>IF(C223="","",_xlfn.MAXIFS('Saisie'!$AS$5:$AS$2004,'Saisie'!$C$5:$C$2004,C223,'Saisie'!$J$5:$J$2004,"&lt;&gt;"))</f>
        <v/>
      </c>
      <c r="BQ223" s="60">
        <f>IF(C223="","",_xlfn.MAXIFS('Saisie'!$AS$5:$AS$2004,'Saisie'!$C$5:$C$2004,C223))</f>
        <v/>
      </c>
      <c r="BR223" s="60">
        <f>IF(C223="","",_xlfn.MAXIFS('Saisie'!$AS$5:$AS$2004,'Saisie'!$C$5:$C$2004,C223,'Saisie'!$E$5:$E$2004,"Perdu"))</f>
        <v/>
      </c>
      <c r="BS223" s="60">
        <f>IF(C223="","",_xlfn.MAXIFS('Saisie'!$AS$5:$AS$2004,'Saisie'!$C$5:$C$2004,C223,'Saisie'!$AT$5:$AT$2004,"&gt;0"))</f>
        <v/>
      </c>
      <c r="BT223" s="109">
        <f>IF(AND(C223&lt;&gt;"",OR(D223="Nouveau",D223="Contacté",D223="Qualifié"),OR(G223="",N(G223)&lt;=TODAY()),NOT(AND(O223&gt;='Paramètres'!$B$21,P223=0))),E223+219/10000,"")</f>
        <v/>
      </c>
      <c r="BU223" s="60">
        <f>IF(AND(G223&lt;&gt;"",N(G223)&lt;=TODAY()),MAX($BU$4:BU222)+1,"")</f>
        <v/>
      </c>
      <c r="BV223" s="60">
        <f>IF(AND(F223&lt;&gt;"",F223&lt;&gt;"Relance en retard"),MAX($BV$4:BV222)+1,"")</f>
        <v/>
      </c>
      <c r="BW223" s="60">
        <f>IF(C223="","",IF(AND(B223&gt;='Tableau de bord'!$R$4,B223&lt;='Tableau de bord'!$S$4,OR('Tableau de bord'!$G$4="Tous",N223='Tableau de bord'!$G$4)),1,0))</f>
        <v/>
      </c>
      <c r="BX223" s="60">
        <f>IF(AND(C223&lt;&gt;"",N(BA223)=7),MAX($BX$4:BX222)+1,"")</f>
        <v/>
      </c>
    </row>
    <row r="224">
      <c r="A224" s="60">
        <f>IF(C224="","","P-"&amp;TEXT(220,"000"))</f>
        <v/>
      </c>
      <c r="B224" s="106">
        <f>IF(C224="","",IFERROR(1/(1/_xlfn.MINIFS('Saisie'!$A$5:$A$2004,'Saisie'!$C$5:$C$2004,C224)),""))</f>
        <v/>
      </c>
      <c r="C224" s="60">
        <f>IFERROR(INDEX('Saisie'!$C$5:$C$2004,MATCH(220,'Saisie'!$AX$5:$AX$2004,0)),"")</f>
        <v/>
      </c>
      <c r="D224" s="60">
        <f>IF(C224="","",IF(AND(BR224&gt;0,BR224&gt;BS224,BA224&lt;7),"Perdu",INDEX('Paramètres'!$F$6:$F$13,BA224)))</f>
        <v/>
      </c>
      <c r="E224" s="61">
        <f>IF(C224="","",MIN(100,(Z224="Oui")*'Paramètres'!$B$38+(AB224="Régulière")*'Paramètres'!$B$39+IF(AND(N(AA224)&gt;0,TODAY()-N(AA224)&lt;=30),'Paramètres'!$B$40,0)+(W224="")*'Paramètres'!$B$41+(AC224="Absente")*'Paramètres'!$B$42+(AC224="Faible")*'Paramètres'!$B$43+IF(AND(N(AD224)&gt;0,N(AD224)&lt;4),'Paramètres'!$B$44,0)+(AF224="Moyenne")*'Paramètres'!$B$45+(AF224="Grande")*'Paramètres'!$B$46+(Y224&lt;&gt;"")*'Paramètres'!$B$47))</f>
        <v/>
      </c>
      <c r="F224" s="60">
        <f>IF(C224="","",IF(D224="Gagné","",IF(D224="Perdu",IF(AND(AX224&lt;&gt;"",AX224&lt;=TODAY()),"À recontacter (perdu)",""),IF(AND(O224&gt;='Paramètres'!$B$21,P224=0),"Stop : "&amp;'Paramètres'!$B$21&amp;" tentatives sans réponse",IF(AND(D224="Proposition",AR224&lt;&gt;"",TODAY()&gt;N(AR224)),"Proposition expirée",IF(AND(D224="Proposition",N(R224)&gt;='Paramètres'!$B$25),"Proposition sans réponse",IF(AND(G224&lt;&gt;"",N(G224)&lt;TODAY()),"Relance en retard",IF(N(R224)&gt;='Paramètres'!$B$24,"Sans action depuis "&amp;R224&amp;" j",""))))))))</f>
        <v/>
      </c>
      <c r="G224" s="106">
        <f>IF(OR(C224="",D224="Gagné",D224="Perdu"),"",IF(AND(BP224&gt;0,BP224=BQ224),INDEX('Saisie'!$J$5:$J$2004,BP224-4),IF(OR(O224=0,AND(O224&gt;='Paramètres'!$B$21,P224=0)),"",Q224+IF(O224&lt;=1,'Paramètres'!$B$18,IF(O224=2,'Paramètres'!$B$19,'Paramètres'!$B$20)))))</f>
        <v/>
      </c>
      <c r="H224" s="107">
        <f>IF(OR(G224="",BP224&lt;&gt;BQ224),"",IF(INDEX('Saisie'!$K$5:$K$2004,BP224-4)="","",INDEX('Saisie'!$K$5:$K$2004,BP224-4)))</f>
        <v/>
      </c>
      <c r="I224" s="60">
        <f>IF(C224="","",IF(OR(D224="Gagné",D224="Perdu"),"",IFERROR(INDEX('Saisie'!$I$5:$I$2004,_xlfn.MAXIFS('Saisie'!$AS$5:$AS$2004,'Saisie'!$C$5:$C$2004,C224,'Saisie'!$I$5:$I$2004,"&lt;&gt;")-4),"")))</f>
        <v/>
      </c>
      <c r="J224" s="60">
        <f>IF(C224="","",IFERROR(INDEX('Saisie'!$U$5:$U$2004,_xlfn.MAXIFS('Saisie'!$AS$5:$AS$2004,'Saisie'!$C$5:$C$2004,C224,'Saisie'!$U$5:$U$2004,"&lt;&gt;")-4),""))</f>
        <v/>
      </c>
      <c r="K224" s="60">
        <f>IF(C224="","",IFERROR(INDEX('Saisie'!$W$5:$W$2004,_xlfn.MAXIFS('Saisie'!$AS$5:$AS$2004,'Saisie'!$C$5:$C$2004,C224,'Saisie'!$W$5:$W$2004,"&lt;&gt;")-4),""))</f>
        <v/>
      </c>
      <c r="L224" s="60">
        <f>IF(IF(BB224&lt;&gt;"",BB224,K224)="","",HYPERLINK("https://wa.me/"&amp;IF(LEFT(SUBSTITUTE(SUBSTITUTE(SUBSTITUTE(IF(BB224&lt;&gt;"",BB224,K224)," ",""),".",""),"+",""),1)="0",'Paramètres'!$B$35&amp;MID(SUBSTITUTE(SUBSTITUTE(SUBSTITUTE(IF(BB224&lt;&gt;"",BB224,K224)," ",""),".",""),"+",""),2,20),SUBSTITUTE(SUBSTITUTE(SUBSTITUTE(IF(BB224&lt;&gt;"",BB224,K224)," ",""),".",""),"+","")),"WhatsApp"))</f>
        <v/>
      </c>
      <c r="M224" s="60">
        <f>IF(BC224="","",HYPERLINK(IF(LEFT(BC224,4)="http",BC224,"https://www.instagram.com/"&amp;SUBSTITUTE(SUBSTITUTE(BC224,"@","")," ","")),BC224))</f>
        <v/>
      </c>
      <c r="N224" s="60">
        <f>IF(C224="","",IFERROR(INDEX('Saisie'!$D$5:$D$2004,_xlfn.MINIFS('Saisie'!$AS$5:$AS$2004,'Saisie'!$C$5:$C$2004,C224,'Saisie'!$AU$5:$AU$2004,1)-4),IFERROR(INDEX('Saisie'!$D$5:$D$2004,_xlfn.MINIFS('Saisie'!$AS$5:$AS$2004,'Saisie'!$C$5:$C$2004,C224,'Saisie'!$D$5:$D$2004,"&lt;&gt;")-4),"")))</f>
        <v/>
      </c>
      <c r="O224" s="60">
        <f>IF(C224="","",COUNTIFS('Saisie'!$C$5:$C$2004,C224,'Saisie'!$AU$5:$AU$2004,1))</f>
        <v/>
      </c>
      <c r="P224" s="60">
        <f>IF(C224="","",COUNTIFS('Saisie'!$C$5:$C$2004,C224,'Saisie'!$AV$5:$AV$2004,1))</f>
        <v/>
      </c>
      <c r="Q224" s="106">
        <f>IF(C224="","",IFERROR(1/(1/_xlfn.MAXIFS('Saisie'!$A$5:$A$2004,'Saisie'!$C$5:$C$2004,C224)),""))</f>
        <v/>
      </c>
      <c r="R224" s="61">
        <f>IF(C224="","",IF(Q224="","",TODAY()-Q224))</f>
        <v/>
      </c>
      <c r="S224" s="60">
        <f>IF(C224="","",IFERROR(INDEX('Saisie'!$R$5:$R$2004,_xlfn.MAXIFS('Saisie'!$AS$5:$AS$2004,'Saisie'!$C$5:$C$2004,C224,'Saisie'!$R$5:$R$2004,"&lt;&gt;")-4),""))</f>
        <v/>
      </c>
      <c r="T224" s="60">
        <f>IF(C224="","",IFERROR(INDEX('Saisie'!$S$5:$S$2004,_xlfn.MAXIFS('Saisie'!$AS$5:$AS$2004,'Saisie'!$C$5:$C$2004,C224,'Saisie'!$S$5:$S$2004,"&lt;&gt;")-4),""))</f>
        <v/>
      </c>
      <c r="U224" s="60">
        <f>IF(C224="","",IFERROR(INDEX('Saisie'!$T$5:$T$2004,_xlfn.MAXIFS('Saisie'!$AS$5:$AS$2004,'Saisie'!$C$5:$C$2004,C224,'Saisie'!$T$5:$T$2004,"&lt;&gt;")-4),""))</f>
        <v/>
      </c>
      <c r="V224" s="60">
        <f>IF(C224="","",IFERROR(INDEX('Saisie'!$V$5:$V$2004,_xlfn.MAXIFS('Saisie'!$AS$5:$AS$2004,'Saisie'!$C$5:$C$2004,C224,'Saisie'!$V$5:$V$2004,"&lt;&gt;")-4),""))</f>
        <v/>
      </c>
      <c r="W224" s="60">
        <f>IF(C224="","",IFERROR(INDEX('Saisie'!$Z$5:$Z$2004,_xlfn.MAXIFS('Saisie'!$AS$5:$AS$2004,'Saisie'!$C$5:$C$2004,C224,'Saisie'!$Z$5:$Z$2004,"&lt;&gt;")-4),""))</f>
        <v/>
      </c>
      <c r="X224" s="60">
        <f>IF(C224="","",IFERROR(INDEX('Saisie'!$AA$5:$AA$2004,_xlfn.MAXIFS('Saisie'!$AS$5:$AS$2004,'Saisie'!$C$5:$C$2004,C224,'Saisie'!$AA$5:$AA$2004,"&lt;&gt;")-4),""))</f>
        <v/>
      </c>
      <c r="Y224" s="60">
        <f>IF(C224="","",IFERROR(INDEX('Saisie'!$AB$5:$AB$2004,_xlfn.MAXIFS('Saisie'!$AS$5:$AS$2004,'Saisie'!$C$5:$C$2004,C224,'Saisie'!$AB$5:$AB$2004,"&lt;&gt;")-4),""))</f>
        <v/>
      </c>
      <c r="Z224" s="60">
        <f>IF(C224="","",IFERROR(INDEX('Saisie'!$AC$5:$AC$2004,_xlfn.MAXIFS('Saisie'!$AS$5:$AS$2004,'Saisie'!$C$5:$C$2004,C224,'Saisie'!$AC$5:$AC$2004,"&lt;&gt;")-4),""))</f>
        <v/>
      </c>
      <c r="AA224" s="106">
        <f>IF(C224="","",IFERROR(INDEX('Saisie'!$AD$5:$AD$2004,_xlfn.MAXIFS('Saisie'!$AS$5:$AS$2004,'Saisie'!$C$5:$C$2004,C224,'Saisie'!$AD$5:$AD$2004,"&lt;&gt;")-4),""))</f>
        <v/>
      </c>
      <c r="AB224" s="60">
        <f>IF(C224="","",IFERROR(INDEX('Saisie'!$AE$5:$AE$2004,_xlfn.MAXIFS('Saisie'!$AS$5:$AS$2004,'Saisie'!$C$5:$C$2004,C224,'Saisie'!$AE$5:$AE$2004,"&lt;&gt;")-4),""))</f>
        <v/>
      </c>
      <c r="AC224" s="60">
        <f>IF(C224="","",IFERROR(INDEX('Saisie'!$AF$5:$AF$2004,_xlfn.MAXIFS('Saisie'!$AS$5:$AS$2004,'Saisie'!$C$5:$C$2004,C224,'Saisie'!$AF$5:$AF$2004,"&lt;&gt;")-4),""))</f>
        <v/>
      </c>
      <c r="AD224" s="108">
        <f>IF(C224="","",IFERROR(INDEX('Saisie'!$AG$5:$AG$2004,_xlfn.MAXIFS('Saisie'!$AS$5:$AS$2004,'Saisie'!$C$5:$C$2004,C224,'Saisie'!$AG$5:$AG$2004,"&lt;&gt;")-4),""))</f>
        <v/>
      </c>
      <c r="AE224" s="60">
        <f>IF(C224="","",IFERROR(INDEX('Saisie'!$AH$5:$AH$2004,_xlfn.MAXIFS('Saisie'!$AS$5:$AS$2004,'Saisie'!$C$5:$C$2004,C224,'Saisie'!$AH$5:$AH$2004,"&lt;&gt;")-4),""))</f>
        <v/>
      </c>
      <c r="AF224" s="60">
        <f>IF(C224="","",IFERROR(INDEX('Saisie'!$AI$5:$AI$2004,_xlfn.MAXIFS('Saisie'!$AS$5:$AS$2004,'Saisie'!$C$5:$C$2004,C224,'Saisie'!$AI$5:$AI$2004,"&lt;&gt;")-4),""))</f>
        <v/>
      </c>
      <c r="AG224" s="60">
        <f>IF(C224="","",IFERROR(INDEX('Saisie'!$AJ$5:$AJ$2004,_xlfn.MAXIFS('Saisie'!$AS$5:$AS$2004,'Saisie'!$C$5:$C$2004,C224,'Saisie'!$AJ$5:$AJ$2004,"&lt;&gt;")-4),""))</f>
        <v/>
      </c>
      <c r="AH224" s="60">
        <f>IF(C224="","",IFERROR(INDEX('Saisie'!$AK$5:$AK$2004,_xlfn.MAXIFS('Saisie'!$AS$5:$AS$2004,'Saisie'!$C$5:$C$2004,C224,'Saisie'!$AK$5:$AK$2004,"&lt;&gt;")-4),""))</f>
        <v/>
      </c>
      <c r="AI224" s="60">
        <f>IF(C224="","",IFERROR(INDEX('Saisie'!$AN$5:$AN$2004,_xlfn.MAXIFS('Saisie'!$AS$5:$AS$2004,'Saisie'!$C$5:$C$2004,C224,'Saisie'!$AN$5:$AN$2004,"&lt;&gt;")-4),""))</f>
        <v/>
      </c>
      <c r="AJ224" s="60">
        <f>IF(C224="","",IFERROR(INDEX('Saisie'!$AO$5:$AO$2004,_xlfn.MAXIFS('Saisie'!$AS$5:$AS$2004,'Saisie'!$C$5:$C$2004,C224,'Saisie'!$AO$5:$AO$2004,"&lt;&gt;")-4),""))</f>
        <v/>
      </c>
      <c r="AK224" s="60">
        <f>IF(C224="","",IFERROR(INDEX('Saisie'!$AP$5:$AP$2004,_xlfn.MAXIFS('Saisie'!$AS$5:$AS$2004,'Saisie'!$C$5:$C$2004,C224,'Saisie'!$AP$5:$AP$2004,"&lt;&gt;")-4),""))</f>
        <v/>
      </c>
      <c r="AL224" s="60">
        <f>IF(C224="","",IFERROR(INDEX('Saisie'!$AQ$5:$AQ$2004,_xlfn.MAXIFS('Saisie'!$AS$5:$AS$2004,'Saisie'!$C$5:$C$2004,C224,'Saisie'!$AQ$5:$AQ$2004,"&lt;&gt;")-4),""))</f>
        <v/>
      </c>
      <c r="AM224" s="60">
        <f>IF(C224="","",((AI224="Oui")+(AJ224="Oui")+(AK224="Oui")+OR(AL224="Immédiat",AL224="&lt; 1 mois"))&amp;"/4")</f>
        <v/>
      </c>
      <c r="AN224" s="60">
        <f>IF(C224="","",IFERROR(INDEX('Saisie'!$AL$5:$AL$2004,_xlfn.MAXIFS('Saisie'!$AS$5:$AS$2004,'Saisie'!$C$5:$C$2004,C224,'Saisie'!$AL$5:$AL$2004,"&lt;&gt;")-4),""))</f>
        <v/>
      </c>
      <c r="AO224" s="62">
        <f>IF(C224="","",IF(IFERROR(INDEX('Saisie'!$AM$5:$AM$2004,_xlfn.MAXIFS('Saisie'!$AS$5:$AS$2004,'Saisie'!$C$5:$C$2004,C224,'Saisie'!$AM$5:$AM$2004,"&lt;&gt;")-4),"")&lt;&gt;"",IFERROR(INDEX('Saisie'!$AM$5:$AM$2004,_xlfn.MAXIFS('Saisie'!$AS$5:$AS$2004,'Saisie'!$C$5:$C$2004,C224,'Saisie'!$AM$5:$AM$2004,"&lt;&gt;")-4),""),IFERROR(INDEX('Paramètres'!$S$6:$S$15,MATCH(AN224,'Paramètres'!$Q$6:$Q$15,0)),"")))</f>
        <v/>
      </c>
      <c r="AP224" s="62">
        <f>IF(C224="","",IFERROR(INDEX('Saisie'!$AW$5:$AW$2004,_xlfn.MAXIFS('Saisie'!$AS$5:$AS$2004,'Saisie'!$C$5:$C$2004,C224,'Saisie'!$E$5:$E$2004,"Proposition envoyée")-4),""))</f>
        <v/>
      </c>
      <c r="AQ224" s="106">
        <f>IF(C224="","",IFERROR(1/(1/_xlfn.MAXIFS('Saisie'!$A$5:$A$2004,'Saisie'!$C$5:$C$2004,C224,'Saisie'!$E$5:$E$2004,"Proposition envoyée")),""))</f>
        <v/>
      </c>
      <c r="AR224" s="106">
        <f>IF(C224="","",IF(AQ224="","",AQ224+'Paramètres'!$B$26))</f>
        <v/>
      </c>
      <c r="AS224" s="62">
        <f>IF(OR(C224="",D224="Gagné",D224="Perdu"),0,N(AP224)*IFERROR(INDEX('Paramètres'!$G$6:$G$13,MATCH(D224,'Paramètres'!$F$6:$F$13,0)),0))</f>
        <v/>
      </c>
      <c r="AT224" s="106">
        <f>IF(C224="","",IFERROR(1/(1/_xlfn.MINIFS('Saisie'!$A$5:$A$2004,'Saisie'!$C$5:$C$2004,C224,'Saisie'!$E$5:$E$2004,"Signature")),""))</f>
        <v/>
      </c>
      <c r="AU224" s="60">
        <f>IF(C224="","",IF(OR(AT224="",B224=""),"",AT224-B224))</f>
        <v/>
      </c>
      <c r="AV224" s="60">
        <f>IF(C224="","",IFERROR(INDEX('Saisie'!$L$5:$L$2004,_xlfn.MAXIFS('Saisie'!$AS$5:$AS$2004,'Saisie'!$C$5:$C$2004,C224,'Saisie'!$L$5:$L$2004,"&lt;&gt;")-4),""))</f>
        <v/>
      </c>
      <c r="AW224" s="106">
        <f>IF(C224="","",IF(D224&lt;&gt;"Perdu","",IFERROR(1/(1/_xlfn.MAXIFS('Saisie'!$A$5:$A$2004,'Saisie'!$C$5:$C$2004,C224,'Saisie'!$E$5:$E$2004,"Perdu")),"")))</f>
        <v/>
      </c>
      <c r="AX224" s="106">
        <f>IF(C224="","",IF(AW224="","",AW224+'Paramètres'!$B$28))</f>
        <v/>
      </c>
      <c r="AY224" s="60">
        <f>IF(C224="","",SUMIFS('Saisie'!$H$5:$H$2004,'Saisie'!$C$5:$C$2004,C224))</f>
        <v/>
      </c>
      <c r="AZ224" s="60">
        <f>IF(C224="","",IFERROR(INDEX('Paramètres'!$W$6:$W$20,MATCH(S224,'Paramètres'!$V$6:$V$20,0))&amp;"",""))</f>
        <v/>
      </c>
      <c r="BA224" s="60">
        <f>IF(C224="","",MAX(1,_xlfn.MAXIFS('Saisie'!$AT$5:$AT$2004,'Saisie'!$C$5:$C$2004,C224)))</f>
        <v/>
      </c>
      <c r="BB224" s="60">
        <f>IF(C224="","",IFERROR(INDEX('Saisie'!$X$5:$X$2004,_xlfn.MAXIFS('Saisie'!$AS$5:$AS$2004,'Saisie'!$C$5:$C$2004,C224,'Saisie'!$X$5:$X$2004,"&lt;&gt;")-4),""))</f>
        <v/>
      </c>
      <c r="BC224" s="60">
        <f>IF(C224="","",IFERROR(INDEX('Saisie'!$Y$5:$Y$2004,_xlfn.MAXIFS('Saisie'!$AS$5:$AS$2004,'Saisie'!$C$5:$C$2004,C224,'Saisie'!$Y$5:$Y$2004,"&lt;&gt;")-4),""))</f>
        <v/>
      </c>
      <c r="BD224" s="106">
        <f>IF(C224="","",IFERROR(1/(1/_xlfn.MINIFS('Saisie'!$A$5:$A$2004,'Saisie'!$C$5:$C$2004,C224,'Saisie'!$AT$5:$AT$2004,"&gt;=2")),""))</f>
        <v/>
      </c>
      <c r="BE224" s="106">
        <f>IF(C224="","",IFERROR(1/(1/_xlfn.MINIFS('Saisie'!$A$5:$A$2004,'Saisie'!$C$5:$C$2004,C224,'Saisie'!$AT$5:$AT$2004,"&gt;=3")),""))</f>
        <v/>
      </c>
      <c r="BF224" s="106">
        <f>IF(C224="","",IFERROR(1/(1/_xlfn.MINIFS('Saisie'!$A$5:$A$2004,'Saisie'!$C$5:$C$2004,C224,'Saisie'!$AT$5:$AT$2004,"&gt;=4")),""))</f>
        <v/>
      </c>
      <c r="BG224" s="106">
        <f>IF(C224="","",IFERROR(1/(1/_xlfn.MINIFS('Saisie'!$A$5:$A$2004,'Saisie'!$C$5:$C$2004,C224,'Saisie'!$AT$5:$AT$2004,"&gt;=5")),""))</f>
        <v/>
      </c>
      <c r="BH224" s="106">
        <f>IF(C224="","",IFERROR(1/(1/_xlfn.MINIFS('Saisie'!$A$5:$A$2004,'Saisie'!$C$5:$C$2004,C224,'Saisie'!$AT$5:$AT$2004,"&gt;=6")),""))</f>
        <v/>
      </c>
      <c r="BI224" s="106">
        <f>IF(C224="","",IFERROR(1/(1/_xlfn.MINIFS('Saisie'!$A$5:$A$2004,'Saisie'!$C$5:$C$2004,C224,'Saisie'!$AT$5:$AT$2004,"&gt;=7")),""))</f>
        <v/>
      </c>
      <c r="BJ224" s="60">
        <f>IF(OR(BD224="",B224=""),"",BD224-B224)</f>
        <v/>
      </c>
      <c r="BK224" s="60">
        <f>IF(OR(BE224="",BD224=""),"",BE224-BD224)</f>
        <v/>
      </c>
      <c r="BL224" s="60">
        <f>IF(OR(BF224="",BE224=""),"",BF224-BE224)</f>
        <v/>
      </c>
      <c r="BM224" s="60">
        <f>IF(OR(BG224="",BF224=""),"",BG224-BF224)</f>
        <v/>
      </c>
      <c r="BN224" s="60">
        <f>IF(OR(BH224="",BG224=""),"",BH224-BG224)</f>
        <v/>
      </c>
      <c r="BO224" s="60">
        <f>IF(OR(BI224="",BH224=""),"",BI224-BH224)</f>
        <v/>
      </c>
      <c r="BP224" s="60">
        <f>IF(C224="","",_xlfn.MAXIFS('Saisie'!$AS$5:$AS$2004,'Saisie'!$C$5:$C$2004,C224,'Saisie'!$J$5:$J$2004,"&lt;&gt;"))</f>
        <v/>
      </c>
      <c r="BQ224" s="60">
        <f>IF(C224="","",_xlfn.MAXIFS('Saisie'!$AS$5:$AS$2004,'Saisie'!$C$5:$C$2004,C224))</f>
        <v/>
      </c>
      <c r="BR224" s="60">
        <f>IF(C224="","",_xlfn.MAXIFS('Saisie'!$AS$5:$AS$2004,'Saisie'!$C$5:$C$2004,C224,'Saisie'!$E$5:$E$2004,"Perdu"))</f>
        <v/>
      </c>
      <c r="BS224" s="60">
        <f>IF(C224="","",_xlfn.MAXIFS('Saisie'!$AS$5:$AS$2004,'Saisie'!$C$5:$C$2004,C224,'Saisie'!$AT$5:$AT$2004,"&gt;0"))</f>
        <v/>
      </c>
      <c r="BT224" s="109">
        <f>IF(AND(C224&lt;&gt;"",OR(D224="Nouveau",D224="Contacté",D224="Qualifié"),OR(G224="",N(G224)&lt;=TODAY()),NOT(AND(O224&gt;='Paramètres'!$B$21,P224=0))),E224+220/10000,"")</f>
        <v/>
      </c>
      <c r="BU224" s="60">
        <f>IF(AND(G224&lt;&gt;"",N(G224)&lt;=TODAY()),MAX($BU$4:BU223)+1,"")</f>
        <v/>
      </c>
      <c r="BV224" s="60">
        <f>IF(AND(F224&lt;&gt;"",F224&lt;&gt;"Relance en retard"),MAX($BV$4:BV223)+1,"")</f>
        <v/>
      </c>
      <c r="BW224" s="60">
        <f>IF(C224="","",IF(AND(B224&gt;='Tableau de bord'!$R$4,B224&lt;='Tableau de bord'!$S$4,OR('Tableau de bord'!$G$4="Tous",N224='Tableau de bord'!$G$4)),1,0))</f>
        <v/>
      </c>
      <c r="BX224" s="60">
        <f>IF(AND(C224&lt;&gt;"",N(BA224)=7),MAX($BX$4:BX223)+1,"")</f>
        <v/>
      </c>
    </row>
    <row r="225">
      <c r="A225" s="60">
        <f>IF(C225="","","P-"&amp;TEXT(221,"000"))</f>
        <v/>
      </c>
      <c r="B225" s="106">
        <f>IF(C225="","",IFERROR(1/(1/_xlfn.MINIFS('Saisie'!$A$5:$A$2004,'Saisie'!$C$5:$C$2004,C225)),""))</f>
        <v/>
      </c>
      <c r="C225" s="60">
        <f>IFERROR(INDEX('Saisie'!$C$5:$C$2004,MATCH(221,'Saisie'!$AX$5:$AX$2004,0)),"")</f>
        <v/>
      </c>
      <c r="D225" s="60">
        <f>IF(C225="","",IF(AND(BR225&gt;0,BR225&gt;BS225,BA225&lt;7),"Perdu",INDEX('Paramètres'!$F$6:$F$13,BA225)))</f>
        <v/>
      </c>
      <c r="E225" s="61">
        <f>IF(C225="","",MIN(100,(Z225="Oui")*'Paramètres'!$B$38+(AB225="Régulière")*'Paramètres'!$B$39+IF(AND(N(AA225)&gt;0,TODAY()-N(AA225)&lt;=30),'Paramètres'!$B$40,0)+(W225="")*'Paramètres'!$B$41+(AC225="Absente")*'Paramètres'!$B$42+(AC225="Faible")*'Paramètres'!$B$43+IF(AND(N(AD225)&gt;0,N(AD225)&lt;4),'Paramètres'!$B$44,0)+(AF225="Moyenne")*'Paramètres'!$B$45+(AF225="Grande")*'Paramètres'!$B$46+(Y225&lt;&gt;"")*'Paramètres'!$B$47))</f>
        <v/>
      </c>
      <c r="F225" s="60">
        <f>IF(C225="","",IF(D225="Gagné","",IF(D225="Perdu",IF(AND(AX225&lt;&gt;"",AX225&lt;=TODAY()),"À recontacter (perdu)",""),IF(AND(O225&gt;='Paramètres'!$B$21,P225=0),"Stop : "&amp;'Paramètres'!$B$21&amp;" tentatives sans réponse",IF(AND(D225="Proposition",AR225&lt;&gt;"",TODAY()&gt;N(AR225)),"Proposition expirée",IF(AND(D225="Proposition",N(R225)&gt;='Paramètres'!$B$25),"Proposition sans réponse",IF(AND(G225&lt;&gt;"",N(G225)&lt;TODAY()),"Relance en retard",IF(N(R225)&gt;='Paramètres'!$B$24,"Sans action depuis "&amp;R225&amp;" j",""))))))))</f>
        <v/>
      </c>
      <c r="G225" s="106">
        <f>IF(OR(C225="",D225="Gagné",D225="Perdu"),"",IF(AND(BP225&gt;0,BP225=BQ225),INDEX('Saisie'!$J$5:$J$2004,BP225-4),IF(OR(O225=0,AND(O225&gt;='Paramètres'!$B$21,P225=0)),"",Q225+IF(O225&lt;=1,'Paramètres'!$B$18,IF(O225=2,'Paramètres'!$B$19,'Paramètres'!$B$20)))))</f>
        <v/>
      </c>
      <c r="H225" s="107">
        <f>IF(OR(G225="",BP225&lt;&gt;BQ225),"",IF(INDEX('Saisie'!$K$5:$K$2004,BP225-4)="","",INDEX('Saisie'!$K$5:$K$2004,BP225-4)))</f>
        <v/>
      </c>
      <c r="I225" s="60">
        <f>IF(C225="","",IF(OR(D225="Gagné",D225="Perdu"),"",IFERROR(INDEX('Saisie'!$I$5:$I$2004,_xlfn.MAXIFS('Saisie'!$AS$5:$AS$2004,'Saisie'!$C$5:$C$2004,C225,'Saisie'!$I$5:$I$2004,"&lt;&gt;")-4),"")))</f>
        <v/>
      </c>
      <c r="J225" s="60">
        <f>IF(C225="","",IFERROR(INDEX('Saisie'!$U$5:$U$2004,_xlfn.MAXIFS('Saisie'!$AS$5:$AS$2004,'Saisie'!$C$5:$C$2004,C225,'Saisie'!$U$5:$U$2004,"&lt;&gt;")-4),""))</f>
        <v/>
      </c>
      <c r="K225" s="60">
        <f>IF(C225="","",IFERROR(INDEX('Saisie'!$W$5:$W$2004,_xlfn.MAXIFS('Saisie'!$AS$5:$AS$2004,'Saisie'!$C$5:$C$2004,C225,'Saisie'!$W$5:$W$2004,"&lt;&gt;")-4),""))</f>
        <v/>
      </c>
      <c r="L225" s="60">
        <f>IF(IF(BB225&lt;&gt;"",BB225,K225)="","",HYPERLINK("https://wa.me/"&amp;IF(LEFT(SUBSTITUTE(SUBSTITUTE(SUBSTITUTE(IF(BB225&lt;&gt;"",BB225,K225)," ",""),".",""),"+",""),1)="0",'Paramètres'!$B$35&amp;MID(SUBSTITUTE(SUBSTITUTE(SUBSTITUTE(IF(BB225&lt;&gt;"",BB225,K225)," ",""),".",""),"+",""),2,20),SUBSTITUTE(SUBSTITUTE(SUBSTITUTE(IF(BB225&lt;&gt;"",BB225,K225)," ",""),".",""),"+","")),"WhatsApp"))</f>
        <v/>
      </c>
      <c r="M225" s="60">
        <f>IF(BC225="","",HYPERLINK(IF(LEFT(BC225,4)="http",BC225,"https://www.instagram.com/"&amp;SUBSTITUTE(SUBSTITUTE(BC225,"@","")," ","")),BC225))</f>
        <v/>
      </c>
      <c r="N225" s="60">
        <f>IF(C225="","",IFERROR(INDEX('Saisie'!$D$5:$D$2004,_xlfn.MINIFS('Saisie'!$AS$5:$AS$2004,'Saisie'!$C$5:$C$2004,C225,'Saisie'!$AU$5:$AU$2004,1)-4),IFERROR(INDEX('Saisie'!$D$5:$D$2004,_xlfn.MINIFS('Saisie'!$AS$5:$AS$2004,'Saisie'!$C$5:$C$2004,C225,'Saisie'!$D$5:$D$2004,"&lt;&gt;")-4),"")))</f>
        <v/>
      </c>
      <c r="O225" s="60">
        <f>IF(C225="","",COUNTIFS('Saisie'!$C$5:$C$2004,C225,'Saisie'!$AU$5:$AU$2004,1))</f>
        <v/>
      </c>
      <c r="P225" s="60">
        <f>IF(C225="","",COUNTIFS('Saisie'!$C$5:$C$2004,C225,'Saisie'!$AV$5:$AV$2004,1))</f>
        <v/>
      </c>
      <c r="Q225" s="106">
        <f>IF(C225="","",IFERROR(1/(1/_xlfn.MAXIFS('Saisie'!$A$5:$A$2004,'Saisie'!$C$5:$C$2004,C225)),""))</f>
        <v/>
      </c>
      <c r="R225" s="61">
        <f>IF(C225="","",IF(Q225="","",TODAY()-Q225))</f>
        <v/>
      </c>
      <c r="S225" s="60">
        <f>IF(C225="","",IFERROR(INDEX('Saisie'!$R$5:$R$2004,_xlfn.MAXIFS('Saisie'!$AS$5:$AS$2004,'Saisie'!$C$5:$C$2004,C225,'Saisie'!$R$5:$R$2004,"&lt;&gt;")-4),""))</f>
        <v/>
      </c>
      <c r="T225" s="60">
        <f>IF(C225="","",IFERROR(INDEX('Saisie'!$S$5:$S$2004,_xlfn.MAXIFS('Saisie'!$AS$5:$AS$2004,'Saisie'!$C$5:$C$2004,C225,'Saisie'!$S$5:$S$2004,"&lt;&gt;")-4),""))</f>
        <v/>
      </c>
      <c r="U225" s="60">
        <f>IF(C225="","",IFERROR(INDEX('Saisie'!$T$5:$T$2004,_xlfn.MAXIFS('Saisie'!$AS$5:$AS$2004,'Saisie'!$C$5:$C$2004,C225,'Saisie'!$T$5:$T$2004,"&lt;&gt;")-4),""))</f>
        <v/>
      </c>
      <c r="V225" s="60">
        <f>IF(C225="","",IFERROR(INDEX('Saisie'!$V$5:$V$2004,_xlfn.MAXIFS('Saisie'!$AS$5:$AS$2004,'Saisie'!$C$5:$C$2004,C225,'Saisie'!$V$5:$V$2004,"&lt;&gt;")-4),""))</f>
        <v/>
      </c>
      <c r="W225" s="60">
        <f>IF(C225="","",IFERROR(INDEX('Saisie'!$Z$5:$Z$2004,_xlfn.MAXIFS('Saisie'!$AS$5:$AS$2004,'Saisie'!$C$5:$C$2004,C225,'Saisie'!$Z$5:$Z$2004,"&lt;&gt;")-4),""))</f>
        <v/>
      </c>
      <c r="X225" s="60">
        <f>IF(C225="","",IFERROR(INDEX('Saisie'!$AA$5:$AA$2004,_xlfn.MAXIFS('Saisie'!$AS$5:$AS$2004,'Saisie'!$C$5:$C$2004,C225,'Saisie'!$AA$5:$AA$2004,"&lt;&gt;")-4),""))</f>
        <v/>
      </c>
      <c r="Y225" s="60">
        <f>IF(C225="","",IFERROR(INDEX('Saisie'!$AB$5:$AB$2004,_xlfn.MAXIFS('Saisie'!$AS$5:$AS$2004,'Saisie'!$C$5:$C$2004,C225,'Saisie'!$AB$5:$AB$2004,"&lt;&gt;")-4),""))</f>
        <v/>
      </c>
      <c r="Z225" s="60">
        <f>IF(C225="","",IFERROR(INDEX('Saisie'!$AC$5:$AC$2004,_xlfn.MAXIFS('Saisie'!$AS$5:$AS$2004,'Saisie'!$C$5:$C$2004,C225,'Saisie'!$AC$5:$AC$2004,"&lt;&gt;")-4),""))</f>
        <v/>
      </c>
      <c r="AA225" s="106">
        <f>IF(C225="","",IFERROR(INDEX('Saisie'!$AD$5:$AD$2004,_xlfn.MAXIFS('Saisie'!$AS$5:$AS$2004,'Saisie'!$C$5:$C$2004,C225,'Saisie'!$AD$5:$AD$2004,"&lt;&gt;")-4),""))</f>
        <v/>
      </c>
      <c r="AB225" s="60">
        <f>IF(C225="","",IFERROR(INDEX('Saisie'!$AE$5:$AE$2004,_xlfn.MAXIFS('Saisie'!$AS$5:$AS$2004,'Saisie'!$C$5:$C$2004,C225,'Saisie'!$AE$5:$AE$2004,"&lt;&gt;")-4),""))</f>
        <v/>
      </c>
      <c r="AC225" s="60">
        <f>IF(C225="","",IFERROR(INDEX('Saisie'!$AF$5:$AF$2004,_xlfn.MAXIFS('Saisie'!$AS$5:$AS$2004,'Saisie'!$C$5:$C$2004,C225,'Saisie'!$AF$5:$AF$2004,"&lt;&gt;")-4),""))</f>
        <v/>
      </c>
      <c r="AD225" s="108">
        <f>IF(C225="","",IFERROR(INDEX('Saisie'!$AG$5:$AG$2004,_xlfn.MAXIFS('Saisie'!$AS$5:$AS$2004,'Saisie'!$C$5:$C$2004,C225,'Saisie'!$AG$5:$AG$2004,"&lt;&gt;")-4),""))</f>
        <v/>
      </c>
      <c r="AE225" s="60">
        <f>IF(C225="","",IFERROR(INDEX('Saisie'!$AH$5:$AH$2004,_xlfn.MAXIFS('Saisie'!$AS$5:$AS$2004,'Saisie'!$C$5:$C$2004,C225,'Saisie'!$AH$5:$AH$2004,"&lt;&gt;")-4),""))</f>
        <v/>
      </c>
      <c r="AF225" s="60">
        <f>IF(C225="","",IFERROR(INDEX('Saisie'!$AI$5:$AI$2004,_xlfn.MAXIFS('Saisie'!$AS$5:$AS$2004,'Saisie'!$C$5:$C$2004,C225,'Saisie'!$AI$5:$AI$2004,"&lt;&gt;")-4),""))</f>
        <v/>
      </c>
      <c r="AG225" s="60">
        <f>IF(C225="","",IFERROR(INDEX('Saisie'!$AJ$5:$AJ$2004,_xlfn.MAXIFS('Saisie'!$AS$5:$AS$2004,'Saisie'!$C$5:$C$2004,C225,'Saisie'!$AJ$5:$AJ$2004,"&lt;&gt;")-4),""))</f>
        <v/>
      </c>
      <c r="AH225" s="60">
        <f>IF(C225="","",IFERROR(INDEX('Saisie'!$AK$5:$AK$2004,_xlfn.MAXIFS('Saisie'!$AS$5:$AS$2004,'Saisie'!$C$5:$C$2004,C225,'Saisie'!$AK$5:$AK$2004,"&lt;&gt;")-4),""))</f>
        <v/>
      </c>
      <c r="AI225" s="60">
        <f>IF(C225="","",IFERROR(INDEX('Saisie'!$AN$5:$AN$2004,_xlfn.MAXIFS('Saisie'!$AS$5:$AS$2004,'Saisie'!$C$5:$C$2004,C225,'Saisie'!$AN$5:$AN$2004,"&lt;&gt;")-4),""))</f>
        <v/>
      </c>
      <c r="AJ225" s="60">
        <f>IF(C225="","",IFERROR(INDEX('Saisie'!$AO$5:$AO$2004,_xlfn.MAXIFS('Saisie'!$AS$5:$AS$2004,'Saisie'!$C$5:$C$2004,C225,'Saisie'!$AO$5:$AO$2004,"&lt;&gt;")-4),""))</f>
        <v/>
      </c>
      <c r="AK225" s="60">
        <f>IF(C225="","",IFERROR(INDEX('Saisie'!$AP$5:$AP$2004,_xlfn.MAXIFS('Saisie'!$AS$5:$AS$2004,'Saisie'!$C$5:$C$2004,C225,'Saisie'!$AP$5:$AP$2004,"&lt;&gt;")-4),""))</f>
        <v/>
      </c>
      <c r="AL225" s="60">
        <f>IF(C225="","",IFERROR(INDEX('Saisie'!$AQ$5:$AQ$2004,_xlfn.MAXIFS('Saisie'!$AS$5:$AS$2004,'Saisie'!$C$5:$C$2004,C225,'Saisie'!$AQ$5:$AQ$2004,"&lt;&gt;")-4),""))</f>
        <v/>
      </c>
      <c r="AM225" s="60">
        <f>IF(C225="","",((AI225="Oui")+(AJ225="Oui")+(AK225="Oui")+OR(AL225="Immédiat",AL225="&lt; 1 mois"))&amp;"/4")</f>
        <v/>
      </c>
      <c r="AN225" s="60">
        <f>IF(C225="","",IFERROR(INDEX('Saisie'!$AL$5:$AL$2004,_xlfn.MAXIFS('Saisie'!$AS$5:$AS$2004,'Saisie'!$C$5:$C$2004,C225,'Saisie'!$AL$5:$AL$2004,"&lt;&gt;")-4),""))</f>
        <v/>
      </c>
      <c r="AO225" s="62">
        <f>IF(C225="","",IF(IFERROR(INDEX('Saisie'!$AM$5:$AM$2004,_xlfn.MAXIFS('Saisie'!$AS$5:$AS$2004,'Saisie'!$C$5:$C$2004,C225,'Saisie'!$AM$5:$AM$2004,"&lt;&gt;")-4),"")&lt;&gt;"",IFERROR(INDEX('Saisie'!$AM$5:$AM$2004,_xlfn.MAXIFS('Saisie'!$AS$5:$AS$2004,'Saisie'!$C$5:$C$2004,C225,'Saisie'!$AM$5:$AM$2004,"&lt;&gt;")-4),""),IFERROR(INDEX('Paramètres'!$S$6:$S$15,MATCH(AN225,'Paramètres'!$Q$6:$Q$15,0)),"")))</f>
        <v/>
      </c>
      <c r="AP225" s="62">
        <f>IF(C225="","",IFERROR(INDEX('Saisie'!$AW$5:$AW$2004,_xlfn.MAXIFS('Saisie'!$AS$5:$AS$2004,'Saisie'!$C$5:$C$2004,C225,'Saisie'!$E$5:$E$2004,"Proposition envoyée")-4),""))</f>
        <v/>
      </c>
      <c r="AQ225" s="106">
        <f>IF(C225="","",IFERROR(1/(1/_xlfn.MAXIFS('Saisie'!$A$5:$A$2004,'Saisie'!$C$5:$C$2004,C225,'Saisie'!$E$5:$E$2004,"Proposition envoyée")),""))</f>
        <v/>
      </c>
      <c r="AR225" s="106">
        <f>IF(C225="","",IF(AQ225="","",AQ225+'Paramètres'!$B$26))</f>
        <v/>
      </c>
      <c r="AS225" s="62">
        <f>IF(OR(C225="",D225="Gagné",D225="Perdu"),0,N(AP225)*IFERROR(INDEX('Paramètres'!$G$6:$G$13,MATCH(D225,'Paramètres'!$F$6:$F$13,0)),0))</f>
        <v/>
      </c>
      <c r="AT225" s="106">
        <f>IF(C225="","",IFERROR(1/(1/_xlfn.MINIFS('Saisie'!$A$5:$A$2004,'Saisie'!$C$5:$C$2004,C225,'Saisie'!$E$5:$E$2004,"Signature")),""))</f>
        <v/>
      </c>
      <c r="AU225" s="60">
        <f>IF(C225="","",IF(OR(AT225="",B225=""),"",AT225-B225))</f>
        <v/>
      </c>
      <c r="AV225" s="60">
        <f>IF(C225="","",IFERROR(INDEX('Saisie'!$L$5:$L$2004,_xlfn.MAXIFS('Saisie'!$AS$5:$AS$2004,'Saisie'!$C$5:$C$2004,C225,'Saisie'!$L$5:$L$2004,"&lt;&gt;")-4),""))</f>
        <v/>
      </c>
      <c r="AW225" s="106">
        <f>IF(C225="","",IF(D225&lt;&gt;"Perdu","",IFERROR(1/(1/_xlfn.MAXIFS('Saisie'!$A$5:$A$2004,'Saisie'!$C$5:$C$2004,C225,'Saisie'!$E$5:$E$2004,"Perdu")),"")))</f>
        <v/>
      </c>
      <c r="AX225" s="106">
        <f>IF(C225="","",IF(AW225="","",AW225+'Paramètres'!$B$28))</f>
        <v/>
      </c>
      <c r="AY225" s="60">
        <f>IF(C225="","",SUMIFS('Saisie'!$H$5:$H$2004,'Saisie'!$C$5:$C$2004,C225))</f>
        <v/>
      </c>
      <c r="AZ225" s="60">
        <f>IF(C225="","",IFERROR(INDEX('Paramètres'!$W$6:$W$20,MATCH(S225,'Paramètres'!$V$6:$V$20,0))&amp;"",""))</f>
        <v/>
      </c>
      <c r="BA225" s="60">
        <f>IF(C225="","",MAX(1,_xlfn.MAXIFS('Saisie'!$AT$5:$AT$2004,'Saisie'!$C$5:$C$2004,C225)))</f>
        <v/>
      </c>
      <c r="BB225" s="60">
        <f>IF(C225="","",IFERROR(INDEX('Saisie'!$X$5:$X$2004,_xlfn.MAXIFS('Saisie'!$AS$5:$AS$2004,'Saisie'!$C$5:$C$2004,C225,'Saisie'!$X$5:$X$2004,"&lt;&gt;")-4),""))</f>
        <v/>
      </c>
      <c r="BC225" s="60">
        <f>IF(C225="","",IFERROR(INDEX('Saisie'!$Y$5:$Y$2004,_xlfn.MAXIFS('Saisie'!$AS$5:$AS$2004,'Saisie'!$C$5:$C$2004,C225,'Saisie'!$Y$5:$Y$2004,"&lt;&gt;")-4),""))</f>
        <v/>
      </c>
      <c r="BD225" s="106">
        <f>IF(C225="","",IFERROR(1/(1/_xlfn.MINIFS('Saisie'!$A$5:$A$2004,'Saisie'!$C$5:$C$2004,C225,'Saisie'!$AT$5:$AT$2004,"&gt;=2")),""))</f>
        <v/>
      </c>
      <c r="BE225" s="106">
        <f>IF(C225="","",IFERROR(1/(1/_xlfn.MINIFS('Saisie'!$A$5:$A$2004,'Saisie'!$C$5:$C$2004,C225,'Saisie'!$AT$5:$AT$2004,"&gt;=3")),""))</f>
        <v/>
      </c>
      <c r="BF225" s="106">
        <f>IF(C225="","",IFERROR(1/(1/_xlfn.MINIFS('Saisie'!$A$5:$A$2004,'Saisie'!$C$5:$C$2004,C225,'Saisie'!$AT$5:$AT$2004,"&gt;=4")),""))</f>
        <v/>
      </c>
      <c r="BG225" s="106">
        <f>IF(C225="","",IFERROR(1/(1/_xlfn.MINIFS('Saisie'!$A$5:$A$2004,'Saisie'!$C$5:$C$2004,C225,'Saisie'!$AT$5:$AT$2004,"&gt;=5")),""))</f>
        <v/>
      </c>
      <c r="BH225" s="106">
        <f>IF(C225="","",IFERROR(1/(1/_xlfn.MINIFS('Saisie'!$A$5:$A$2004,'Saisie'!$C$5:$C$2004,C225,'Saisie'!$AT$5:$AT$2004,"&gt;=6")),""))</f>
        <v/>
      </c>
      <c r="BI225" s="106">
        <f>IF(C225="","",IFERROR(1/(1/_xlfn.MINIFS('Saisie'!$A$5:$A$2004,'Saisie'!$C$5:$C$2004,C225,'Saisie'!$AT$5:$AT$2004,"&gt;=7")),""))</f>
        <v/>
      </c>
      <c r="BJ225" s="60">
        <f>IF(OR(BD225="",B225=""),"",BD225-B225)</f>
        <v/>
      </c>
      <c r="BK225" s="60">
        <f>IF(OR(BE225="",BD225=""),"",BE225-BD225)</f>
        <v/>
      </c>
      <c r="BL225" s="60">
        <f>IF(OR(BF225="",BE225=""),"",BF225-BE225)</f>
        <v/>
      </c>
      <c r="BM225" s="60">
        <f>IF(OR(BG225="",BF225=""),"",BG225-BF225)</f>
        <v/>
      </c>
      <c r="BN225" s="60">
        <f>IF(OR(BH225="",BG225=""),"",BH225-BG225)</f>
        <v/>
      </c>
      <c r="BO225" s="60">
        <f>IF(OR(BI225="",BH225=""),"",BI225-BH225)</f>
        <v/>
      </c>
      <c r="BP225" s="60">
        <f>IF(C225="","",_xlfn.MAXIFS('Saisie'!$AS$5:$AS$2004,'Saisie'!$C$5:$C$2004,C225,'Saisie'!$J$5:$J$2004,"&lt;&gt;"))</f>
        <v/>
      </c>
      <c r="BQ225" s="60">
        <f>IF(C225="","",_xlfn.MAXIFS('Saisie'!$AS$5:$AS$2004,'Saisie'!$C$5:$C$2004,C225))</f>
        <v/>
      </c>
      <c r="BR225" s="60">
        <f>IF(C225="","",_xlfn.MAXIFS('Saisie'!$AS$5:$AS$2004,'Saisie'!$C$5:$C$2004,C225,'Saisie'!$E$5:$E$2004,"Perdu"))</f>
        <v/>
      </c>
      <c r="BS225" s="60">
        <f>IF(C225="","",_xlfn.MAXIFS('Saisie'!$AS$5:$AS$2004,'Saisie'!$C$5:$C$2004,C225,'Saisie'!$AT$5:$AT$2004,"&gt;0"))</f>
        <v/>
      </c>
      <c r="BT225" s="109">
        <f>IF(AND(C225&lt;&gt;"",OR(D225="Nouveau",D225="Contacté",D225="Qualifié"),OR(G225="",N(G225)&lt;=TODAY()),NOT(AND(O225&gt;='Paramètres'!$B$21,P225=0))),E225+221/10000,"")</f>
        <v/>
      </c>
      <c r="BU225" s="60">
        <f>IF(AND(G225&lt;&gt;"",N(G225)&lt;=TODAY()),MAX($BU$4:BU224)+1,"")</f>
        <v/>
      </c>
      <c r="BV225" s="60">
        <f>IF(AND(F225&lt;&gt;"",F225&lt;&gt;"Relance en retard"),MAX($BV$4:BV224)+1,"")</f>
        <v/>
      </c>
      <c r="BW225" s="60">
        <f>IF(C225="","",IF(AND(B225&gt;='Tableau de bord'!$R$4,B225&lt;='Tableau de bord'!$S$4,OR('Tableau de bord'!$G$4="Tous",N225='Tableau de bord'!$G$4)),1,0))</f>
        <v/>
      </c>
      <c r="BX225" s="60">
        <f>IF(AND(C225&lt;&gt;"",N(BA225)=7),MAX($BX$4:BX224)+1,"")</f>
        <v/>
      </c>
    </row>
    <row r="226">
      <c r="A226" s="60">
        <f>IF(C226="","","P-"&amp;TEXT(222,"000"))</f>
        <v/>
      </c>
      <c r="B226" s="106">
        <f>IF(C226="","",IFERROR(1/(1/_xlfn.MINIFS('Saisie'!$A$5:$A$2004,'Saisie'!$C$5:$C$2004,C226)),""))</f>
        <v/>
      </c>
      <c r="C226" s="60">
        <f>IFERROR(INDEX('Saisie'!$C$5:$C$2004,MATCH(222,'Saisie'!$AX$5:$AX$2004,0)),"")</f>
        <v/>
      </c>
      <c r="D226" s="60">
        <f>IF(C226="","",IF(AND(BR226&gt;0,BR226&gt;BS226,BA226&lt;7),"Perdu",INDEX('Paramètres'!$F$6:$F$13,BA226)))</f>
        <v/>
      </c>
      <c r="E226" s="61">
        <f>IF(C226="","",MIN(100,(Z226="Oui")*'Paramètres'!$B$38+(AB226="Régulière")*'Paramètres'!$B$39+IF(AND(N(AA226)&gt;0,TODAY()-N(AA226)&lt;=30),'Paramètres'!$B$40,0)+(W226="")*'Paramètres'!$B$41+(AC226="Absente")*'Paramètres'!$B$42+(AC226="Faible")*'Paramètres'!$B$43+IF(AND(N(AD226)&gt;0,N(AD226)&lt;4),'Paramètres'!$B$44,0)+(AF226="Moyenne")*'Paramètres'!$B$45+(AF226="Grande")*'Paramètres'!$B$46+(Y226&lt;&gt;"")*'Paramètres'!$B$47))</f>
        <v/>
      </c>
      <c r="F226" s="60">
        <f>IF(C226="","",IF(D226="Gagné","",IF(D226="Perdu",IF(AND(AX226&lt;&gt;"",AX226&lt;=TODAY()),"À recontacter (perdu)",""),IF(AND(O226&gt;='Paramètres'!$B$21,P226=0),"Stop : "&amp;'Paramètres'!$B$21&amp;" tentatives sans réponse",IF(AND(D226="Proposition",AR226&lt;&gt;"",TODAY()&gt;N(AR226)),"Proposition expirée",IF(AND(D226="Proposition",N(R226)&gt;='Paramètres'!$B$25),"Proposition sans réponse",IF(AND(G226&lt;&gt;"",N(G226)&lt;TODAY()),"Relance en retard",IF(N(R226)&gt;='Paramètres'!$B$24,"Sans action depuis "&amp;R226&amp;" j",""))))))))</f>
        <v/>
      </c>
      <c r="G226" s="106">
        <f>IF(OR(C226="",D226="Gagné",D226="Perdu"),"",IF(AND(BP226&gt;0,BP226=BQ226),INDEX('Saisie'!$J$5:$J$2004,BP226-4),IF(OR(O226=0,AND(O226&gt;='Paramètres'!$B$21,P226=0)),"",Q226+IF(O226&lt;=1,'Paramètres'!$B$18,IF(O226=2,'Paramètres'!$B$19,'Paramètres'!$B$20)))))</f>
        <v/>
      </c>
      <c r="H226" s="107">
        <f>IF(OR(G226="",BP226&lt;&gt;BQ226),"",IF(INDEX('Saisie'!$K$5:$K$2004,BP226-4)="","",INDEX('Saisie'!$K$5:$K$2004,BP226-4)))</f>
        <v/>
      </c>
      <c r="I226" s="60">
        <f>IF(C226="","",IF(OR(D226="Gagné",D226="Perdu"),"",IFERROR(INDEX('Saisie'!$I$5:$I$2004,_xlfn.MAXIFS('Saisie'!$AS$5:$AS$2004,'Saisie'!$C$5:$C$2004,C226,'Saisie'!$I$5:$I$2004,"&lt;&gt;")-4),"")))</f>
        <v/>
      </c>
      <c r="J226" s="60">
        <f>IF(C226="","",IFERROR(INDEX('Saisie'!$U$5:$U$2004,_xlfn.MAXIFS('Saisie'!$AS$5:$AS$2004,'Saisie'!$C$5:$C$2004,C226,'Saisie'!$U$5:$U$2004,"&lt;&gt;")-4),""))</f>
        <v/>
      </c>
      <c r="K226" s="60">
        <f>IF(C226="","",IFERROR(INDEX('Saisie'!$W$5:$W$2004,_xlfn.MAXIFS('Saisie'!$AS$5:$AS$2004,'Saisie'!$C$5:$C$2004,C226,'Saisie'!$W$5:$W$2004,"&lt;&gt;")-4),""))</f>
        <v/>
      </c>
      <c r="L226" s="60">
        <f>IF(IF(BB226&lt;&gt;"",BB226,K226)="","",HYPERLINK("https://wa.me/"&amp;IF(LEFT(SUBSTITUTE(SUBSTITUTE(SUBSTITUTE(IF(BB226&lt;&gt;"",BB226,K226)," ",""),".",""),"+",""),1)="0",'Paramètres'!$B$35&amp;MID(SUBSTITUTE(SUBSTITUTE(SUBSTITUTE(IF(BB226&lt;&gt;"",BB226,K226)," ",""),".",""),"+",""),2,20),SUBSTITUTE(SUBSTITUTE(SUBSTITUTE(IF(BB226&lt;&gt;"",BB226,K226)," ",""),".",""),"+","")),"WhatsApp"))</f>
        <v/>
      </c>
      <c r="M226" s="60">
        <f>IF(BC226="","",HYPERLINK(IF(LEFT(BC226,4)="http",BC226,"https://www.instagram.com/"&amp;SUBSTITUTE(SUBSTITUTE(BC226,"@","")," ","")),BC226))</f>
        <v/>
      </c>
      <c r="N226" s="60">
        <f>IF(C226="","",IFERROR(INDEX('Saisie'!$D$5:$D$2004,_xlfn.MINIFS('Saisie'!$AS$5:$AS$2004,'Saisie'!$C$5:$C$2004,C226,'Saisie'!$AU$5:$AU$2004,1)-4),IFERROR(INDEX('Saisie'!$D$5:$D$2004,_xlfn.MINIFS('Saisie'!$AS$5:$AS$2004,'Saisie'!$C$5:$C$2004,C226,'Saisie'!$D$5:$D$2004,"&lt;&gt;")-4),"")))</f>
        <v/>
      </c>
      <c r="O226" s="60">
        <f>IF(C226="","",COUNTIFS('Saisie'!$C$5:$C$2004,C226,'Saisie'!$AU$5:$AU$2004,1))</f>
        <v/>
      </c>
      <c r="P226" s="60">
        <f>IF(C226="","",COUNTIFS('Saisie'!$C$5:$C$2004,C226,'Saisie'!$AV$5:$AV$2004,1))</f>
        <v/>
      </c>
      <c r="Q226" s="106">
        <f>IF(C226="","",IFERROR(1/(1/_xlfn.MAXIFS('Saisie'!$A$5:$A$2004,'Saisie'!$C$5:$C$2004,C226)),""))</f>
        <v/>
      </c>
      <c r="R226" s="61">
        <f>IF(C226="","",IF(Q226="","",TODAY()-Q226))</f>
        <v/>
      </c>
      <c r="S226" s="60">
        <f>IF(C226="","",IFERROR(INDEX('Saisie'!$R$5:$R$2004,_xlfn.MAXIFS('Saisie'!$AS$5:$AS$2004,'Saisie'!$C$5:$C$2004,C226,'Saisie'!$R$5:$R$2004,"&lt;&gt;")-4),""))</f>
        <v/>
      </c>
      <c r="T226" s="60">
        <f>IF(C226="","",IFERROR(INDEX('Saisie'!$S$5:$S$2004,_xlfn.MAXIFS('Saisie'!$AS$5:$AS$2004,'Saisie'!$C$5:$C$2004,C226,'Saisie'!$S$5:$S$2004,"&lt;&gt;")-4),""))</f>
        <v/>
      </c>
      <c r="U226" s="60">
        <f>IF(C226="","",IFERROR(INDEX('Saisie'!$T$5:$T$2004,_xlfn.MAXIFS('Saisie'!$AS$5:$AS$2004,'Saisie'!$C$5:$C$2004,C226,'Saisie'!$T$5:$T$2004,"&lt;&gt;")-4),""))</f>
        <v/>
      </c>
      <c r="V226" s="60">
        <f>IF(C226="","",IFERROR(INDEX('Saisie'!$V$5:$V$2004,_xlfn.MAXIFS('Saisie'!$AS$5:$AS$2004,'Saisie'!$C$5:$C$2004,C226,'Saisie'!$V$5:$V$2004,"&lt;&gt;")-4),""))</f>
        <v/>
      </c>
      <c r="W226" s="60">
        <f>IF(C226="","",IFERROR(INDEX('Saisie'!$Z$5:$Z$2004,_xlfn.MAXIFS('Saisie'!$AS$5:$AS$2004,'Saisie'!$C$5:$C$2004,C226,'Saisie'!$Z$5:$Z$2004,"&lt;&gt;")-4),""))</f>
        <v/>
      </c>
      <c r="X226" s="60">
        <f>IF(C226="","",IFERROR(INDEX('Saisie'!$AA$5:$AA$2004,_xlfn.MAXIFS('Saisie'!$AS$5:$AS$2004,'Saisie'!$C$5:$C$2004,C226,'Saisie'!$AA$5:$AA$2004,"&lt;&gt;")-4),""))</f>
        <v/>
      </c>
      <c r="Y226" s="60">
        <f>IF(C226="","",IFERROR(INDEX('Saisie'!$AB$5:$AB$2004,_xlfn.MAXIFS('Saisie'!$AS$5:$AS$2004,'Saisie'!$C$5:$C$2004,C226,'Saisie'!$AB$5:$AB$2004,"&lt;&gt;")-4),""))</f>
        <v/>
      </c>
      <c r="Z226" s="60">
        <f>IF(C226="","",IFERROR(INDEX('Saisie'!$AC$5:$AC$2004,_xlfn.MAXIFS('Saisie'!$AS$5:$AS$2004,'Saisie'!$C$5:$C$2004,C226,'Saisie'!$AC$5:$AC$2004,"&lt;&gt;")-4),""))</f>
        <v/>
      </c>
      <c r="AA226" s="106">
        <f>IF(C226="","",IFERROR(INDEX('Saisie'!$AD$5:$AD$2004,_xlfn.MAXIFS('Saisie'!$AS$5:$AS$2004,'Saisie'!$C$5:$C$2004,C226,'Saisie'!$AD$5:$AD$2004,"&lt;&gt;")-4),""))</f>
        <v/>
      </c>
      <c r="AB226" s="60">
        <f>IF(C226="","",IFERROR(INDEX('Saisie'!$AE$5:$AE$2004,_xlfn.MAXIFS('Saisie'!$AS$5:$AS$2004,'Saisie'!$C$5:$C$2004,C226,'Saisie'!$AE$5:$AE$2004,"&lt;&gt;")-4),""))</f>
        <v/>
      </c>
      <c r="AC226" s="60">
        <f>IF(C226="","",IFERROR(INDEX('Saisie'!$AF$5:$AF$2004,_xlfn.MAXIFS('Saisie'!$AS$5:$AS$2004,'Saisie'!$C$5:$C$2004,C226,'Saisie'!$AF$5:$AF$2004,"&lt;&gt;")-4),""))</f>
        <v/>
      </c>
      <c r="AD226" s="108">
        <f>IF(C226="","",IFERROR(INDEX('Saisie'!$AG$5:$AG$2004,_xlfn.MAXIFS('Saisie'!$AS$5:$AS$2004,'Saisie'!$C$5:$C$2004,C226,'Saisie'!$AG$5:$AG$2004,"&lt;&gt;")-4),""))</f>
        <v/>
      </c>
      <c r="AE226" s="60">
        <f>IF(C226="","",IFERROR(INDEX('Saisie'!$AH$5:$AH$2004,_xlfn.MAXIFS('Saisie'!$AS$5:$AS$2004,'Saisie'!$C$5:$C$2004,C226,'Saisie'!$AH$5:$AH$2004,"&lt;&gt;")-4),""))</f>
        <v/>
      </c>
      <c r="AF226" s="60">
        <f>IF(C226="","",IFERROR(INDEX('Saisie'!$AI$5:$AI$2004,_xlfn.MAXIFS('Saisie'!$AS$5:$AS$2004,'Saisie'!$C$5:$C$2004,C226,'Saisie'!$AI$5:$AI$2004,"&lt;&gt;")-4),""))</f>
        <v/>
      </c>
      <c r="AG226" s="60">
        <f>IF(C226="","",IFERROR(INDEX('Saisie'!$AJ$5:$AJ$2004,_xlfn.MAXIFS('Saisie'!$AS$5:$AS$2004,'Saisie'!$C$5:$C$2004,C226,'Saisie'!$AJ$5:$AJ$2004,"&lt;&gt;")-4),""))</f>
        <v/>
      </c>
      <c r="AH226" s="60">
        <f>IF(C226="","",IFERROR(INDEX('Saisie'!$AK$5:$AK$2004,_xlfn.MAXIFS('Saisie'!$AS$5:$AS$2004,'Saisie'!$C$5:$C$2004,C226,'Saisie'!$AK$5:$AK$2004,"&lt;&gt;")-4),""))</f>
        <v/>
      </c>
      <c r="AI226" s="60">
        <f>IF(C226="","",IFERROR(INDEX('Saisie'!$AN$5:$AN$2004,_xlfn.MAXIFS('Saisie'!$AS$5:$AS$2004,'Saisie'!$C$5:$C$2004,C226,'Saisie'!$AN$5:$AN$2004,"&lt;&gt;")-4),""))</f>
        <v/>
      </c>
      <c r="AJ226" s="60">
        <f>IF(C226="","",IFERROR(INDEX('Saisie'!$AO$5:$AO$2004,_xlfn.MAXIFS('Saisie'!$AS$5:$AS$2004,'Saisie'!$C$5:$C$2004,C226,'Saisie'!$AO$5:$AO$2004,"&lt;&gt;")-4),""))</f>
        <v/>
      </c>
      <c r="AK226" s="60">
        <f>IF(C226="","",IFERROR(INDEX('Saisie'!$AP$5:$AP$2004,_xlfn.MAXIFS('Saisie'!$AS$5:$AS$2004,'Saisie'!$C$5:$C$2004,C226,'Saisie'!$AP$5:$AP$2004,"&lt;&gt;")-4),""))</f>
        <v/>
      </c>
      <c r="AL226" s="60">
        <f>IF(C226="","",IFERROR(INDEX('Saisie'!$AQ$5:$AQ$2004,_xlfn.MAXIFS('Saisie'!$AS$5:$AS$2004,'Saisie'!$C$5:$C$2004,C226,'Saisie'!$AQ$5:$AQ$2004,"&lt;&gt;")-4),""))</f>
        <v/>
      </c>
      <c r="AM226" s="60">
        <f>IF(C226="","",((AI226="Oui")+(AJ226="Oui")+(AK226="Oui")+OR(AL226="Immédiat",AL226="&lt; 1 mois"))&amp;"/4")</f>
        <v/>
      </c>
      <c r="AN226" s="60">
        <f>IF(C226="","",IFERROR(INDEX('Saisie'!$AL$5:$AL$2004,_xlfn.MAXIFS('Saisie'!$AS$5:$AS$2004,'Saisie'!$C$5:$C$2004,C226,'Saisie'!$AL$5:$AL$2004,"&lt;&gt;")-4),""))</f>
        <v/>
      </c>
      <c r="AO226" s="62">
        <f>IF(C226="","",IF(IFERROR(INDEX('Saisie'!$AM$5:$AM$2004,_xlfn.MAXIFS('Saisie'!$AS$5:$AS$2004,'Saisie'!$C$5:$C$2004,C226,'Saisie'!$AM$5:$AM$2004,"&lt;&gt;")-4),"")&lt;&gt;"",IFERROR(INDEX('Saisie'!$AM$5:$AM$2004,_xlfn.MAXIFS('Saisie'!$AS$5:$AS$2004,'Saisie'!$C$5:$C$2004,C226,'Saisie'!$AM$5:$AM$2004,"&lt;&gt;")-4),""),IFERROR(INDEX('Paramètres'!$S$6:$S$15,MATCH(AN226,'Paramètres'!$Q$6:$Q$15,0)),"")))</f>
        <v/>
      </c>
      <c r="AP226" s="62">
        <f>IF(C226="","",IFERROR(INDEX('Saisie'!$AW$5:$AW$2004,_xlfn.MAXIFS('Saisie'!$AS$5:$AS$2004,'Saisie'!$C$5:$C$2004,C226,'Saisie'!$E$5:$E$2004,"Proposition envoyée")-4),""))</f>
        <v/>
      </c>
      <c r="AQ226" s="106">
        <f>IF(C226="","",IFERROR(1/(1/_xlfn.MAXIFS('Saisie'!$A$5:$A$2004,'Saisie'!$C$5:$C$2004,C226,'Saisie'!$E$5:$E$2004,"Proposition envoyée")),""))</f>
        <v/>
      </c>
      <c r="AR226" s="106">
        <f>IF(C226="","",IF(AQ226="","",AQ226+'Paramètres'!$B$26))</f>
        <v/>
      </c>
      <c r="AS226" s="62">
        <f>IF(OR(C226="",D226="Gagné",D226="Perdu"),0,N(AP226)*IFERROR(INDEX('Paramètres'!$G$6:$G$13,MATCH(D226,'Paramètres'!$F$6:$F$13,0)),0))</f>
        <v/>
      </c>
      <c r="AT226" s="106">
        <f>IF(C226="","",IFERROR(1/(1/_xlfn.MINIFS('Saisie'!$A$5:$A$2004,'Saisie'!$C$5:$C$2004,C226,'Saisie'!$E$5:$E$2004,"Signature")),""))</f>
        <v/>
      </c>
      <c r="AU226" s="60">
        <f>IF(C226="","",IF(OR(AT226="",B226=""),"",AT226-B226))</f>
        <v/>
      </c>
      <c r="AV226" s="60">
        <f>IF(C226="","",IFERROR(INDEX('Saisie'!$L$5:$L$2004,_xlfn.MAXIFS('Saisie'!$AS$5:$AS$2004,'Saisie'!$C$5:$C$2004,C226,'Saisie'!$L$5:$L$2004,"&lt;&gt;")-4),""))</f>
        <v/>
      </c>
      <c r="AW226" s="106">
        <f>IF(C226="","",IF(D226&lt;&gt;"Perdu","",IFERROR(1/(1/_xlfn.MAXIFS('Saisie'!$A$5:$A$2004,'Saisie'!$C$5:$C$2004,C226,'Saisie'!$E$5:$E$2004,"Perdu")),"")))</f>
        <v/>
      </c>
      <c r="AX226" s="106">
        <f>IF(C226="","",IF(AW226="","",AW226+'Paramètres'!$B$28))</f>
        <v/>
      </c>
      <c r="AY226" s="60">
        <f>IF(C226="","",SUMIFS('Saisie'!$H$5:$H$2004,'Saisie'!$C$5:$C$2004,C226))</f>
        <v/>
      </c>
      <c r="AZ226" s="60">
        <f>IF(C226="","",IFERROR(INDEX('Paramètres'!$W$6:$W$20,MATCH(S226,'Paramètres'!$V$6:$V$20,0))&amp;"",""))</f>
        <v/>
      </c>
      <c r="BA226" s="60">
        <f>IF(C226="","",MAX(1,_xlfn.MAXIFS('Saisie'!$AT$5:$AT$2004,'Saisie'!$C$5:$C$2004,C226)))</f>
        <v/>
      </c>
      <c r="BB226" s="60">
        <f>IF(C226="","",IFERROR(INDEX('Saisie'!$X$5:$X$2004,_xlfn.MAXIFS('Saisie'!$AS$5:$AS$2004,'Saisie'!$C$5:$C$2004,C226,'Saisie'!$X$5:$X$2004,"&lt;&gt;")-4),""))</f>
        <v/>
      </c>
      <c r="BC226" s="60">
        <f>IF(C226="","",IFERROR(INDEX('Saisie'!$Y$5:$Y$2004,_xlfn.MAXIFS('Saisie'!$AS$5:$AS$2004,'Saisie'!$C$5:$C$2004,C226,'Saisie'!$Y$5:$Y$2004,"&lt;&gt;")-4),""))</f>
        <v/>
      </c>
      <c r="BD226" s="106">
        <f>IF(C226="","",IFERROR(1/(1/_xlfn.MINIFS('Saisie'!$A$5:$A$2004,'Saisie'!$C$5:$C$2004,C226,'Saisie'!$AT$5:$AT$2004,"&gt;=2")),""))</f>
        <v/>
      </c>
      <c r="BE226" s="106">
        <f>IF(C226="","",IFERROR(1/(1/_xlfn.MINIFS('Saisie'!$A$5:$A$2004,'Saisie'!$C$5:$C$2004,C226,'Saisie'!$AT$5:$AT$2004,"&gt;=3")),""))</f>
        <v/>
      </c>
      <c r="BF226" s="106">
        <f>IF(C226="","",IFERROR(1/(1/_xlfn.MINIFS('Saisie'!$A$5:$A$2004,'Saisie'!$C$5:$C$2004,C226,'Saisie'!$AT$5:$AT$2004,"&gt;=4")),""))</f>
        <v/>
      </c>
      <c r="BG226" s="106">
        <f>IF(C226="","",IFERROR(1/(1/_xlfn.MINIFS('Saisie'!$A$5:$A$2004,'Saisie'!$C$5:$C$2004,C226,'Saisie'!$AT$5:$AT$2004,"&gt;=5")),""))</f>
        <v/>
      </c>
      <c r="BH226" s="106">
        <f>IF(C226="","",IFERROR(1/(1/_xlfn.MINIFS('Saisie'!$A$5:$A$2004,'Saisie'!$C$5:$C$2004,C226,'Saisie'!$AT$5:$AT$2004,"&gt;=6")),""))</f>
        <v/>
      </c>
      <c r="BI226" s="106">
        <f>IF(C226="","",IFERROR(1/(1/_xlfn.MINIFS('Saisie'!$A$5:$A$2004,'Saisie'!$C$5:$C$2004,C226,'Saisie'!$AT$5:$AT$2004,"&gt;=7")),""))</f>
        <v/>
      </c>
      <c r="BJ226" s="60">
        <f>IF(OR(BD226="",B226=""),"",BD226-B226)</f>
        <v/>
      </c>
      <c r="BK226" s="60">
        <f>IF(OR(BE226="",BD226=""),"",BE226-BD226)</f>
        <v/>
      </c>
      <c r="BL226" s="60">
        <f>IF(OR(BF226="",BE226=""),"",BF226-BE226)</f>
        <v/>
      </c>
      <c r="BM226" s="60">
        <f>IF(OR(BG226="",BF226=""),"",BG226-BF226)</f>
        <v/>
      </c>
      <c r="BN226" s="60">
        <f>IF(OR(BH226="",BG226=""),"",BH226-BG226)</f>
        <v/>
      </c>
      <c r="BO226" s="60">
        <f>IF(OR(BI226="",BH226=""),"",BI226-BH226)</f>
        <v/>
      </c>
      <c r="BP226" s="60">
        <f>IF(C226="","",_xlfn.MAXIFS('Saisie'!$AS$5:$AS$2004,'Saisie'!$C$5:$C$2004,C226,'Saisie'!$J$5:$J$2004,"&lt;&gt;"))</f>
        <v/>
      </c>
      <c r="BQ226" s="60">
        <f>IF(C226="","",_xlfn.MAXIFS('Saisie'!$AS$5:$AS$2004,'Saisie'!$C$5:$C$2004,C226))</f>
        <v/>
      </c>
      <c r="BR226" s="60">
        <f>IF(C226="","",_xlfn.MAXIFS('Saisie'!$AS$5:$AS$2004,'Saisie'!$C$5:$C$2004,C226,'Saisie'!$E$5:$E$2004,"Perdu"))</f>
        <v/>
      </c>
      <c r="BS226" s="60">
        <f>IF(C226="","",_xlfn.MAXIFS('Saisie'!$AS$5:$AS$2004,'Saisie'!$C$5:$C$2004,C226,'Saisie'!$AT$5:$AT$2004,"&gt;0"))</f>
        <v/>
      </c>
      <c r="BT226" s="109">
        <f>IF(AND(C226&lt;&gt;"",OR(D226="Nouveau",D226="Contacté",D226="Qualifié"),OR(G226="",N(G226)&lt;=TODAY()),NOT(AND(O226&gt;='Paramètres'!$B$21,P226=0))),E226+222/10000,"")</f>
        <v/>
      </c>
      <c r="BU226" s="60">
        <f>IF(AND(G226&lt;&gt;"",N(G226)&lt;=TODAY()),MAX($BU$4:BU225)+1,"")</f>
        <v/>
      </c>
      <c r="BV226" s="60">
        <f>IF(AND(F226&lt;&gt;"",F226&lt;&gt;"Relance en retard"),MAX($BV$4:BV225)+1,"")</f>
        <v/>
      </c>
      <c r="BW226" s="60">
        <f>IF(C226="","",IF(AND(B226&gt;='Tableau de bord'!$R$4,B226&lt;='Tableau de bord'!$S$4,OR('Tableau de bord'!$G$4="Tous",N226='Tableau de bord'!$G$4)),1,0))</f>
        <v/>
      </c>
      <c r="BX226" s="60">
        <f>IF(AND(C226&lt;&gt;"",N(BA226)=7),MAX($BX$4:BX225)+1,"")</f>
        <v/>
      </c>
    </row>
    <row r="227">
      <c r="A227" s="60">
        <f>IF(C227="","","P-"&amp;TEXT(223,"000"))</f>
        <v/>
      </c>
      <c r="B227" s="106">
        <f>IF(C227="","",IFERROR(1/(1/_xlfn.MINIFS('Saisie'!$A$5:$A$2004,'Saisie'!$C$5:$C$2004,C227)),""))</f>
        <v/>
      </c>
      <c r="C227" s="60">
        <f>IFERROR(INDEX('Saisie'!$C$5:$C$2004,MATCH(223,'Saisie'!$AX$5:$AX$2004,0)),"")</f>
        <v/>
      </c>
      <c r="D227" s="60">
        <f>IF(C227="","",IF(AND(BR227&gt;0,BR227&gt;BS227,BA227&lt;7),"Perdu",INDEX('Paramètres'!$F$6:$F$13,BA227)))</f>
        <v/>
      </c>
      <c r="E227" s="61">
        <f>IF(C227="","",MIN(100,(Z227="Oui")*'Paramètres'!$B$38+(AB227="Régulière")*'Paramètres'!$B$39+IF(AND(N(AA227)&gt;0,TODAY()-N(AA227)&lt;=30),'Paramètres'!$B$40,0)+(W227="")*'Paramètres'!$B$41+(AC227="Absente")*'Paramètres'!$B$42+(AC227="Faible")*'Paramètres'!$B$43+IF(AND(N(AD227)&gt;0,N(AD227)&lt;4),'Paramètres'!$B$44,0)+(AF227="Moyenne")*'Paramètres'!$B$45+(AF227="Grande")*'Paramètres'!$B$46+(Y227&lt;&gt;"")*'Paramètres'!$B$47))</f>
        <v/>
      </c>
      <c r="F227" s="60">
        <f>IF(C227="","",IF(D227="Gagné","",IF(D227="Perdu",IF(AND(AX227&lt;&gt;"",AX227&lt;=TODAY()),"À recontacter (perdu)",""),IF(AND(O227&gt;='Paramètres'!$B$21,P227=0),"Stop : "&amp;'Paramètres'!$B$21&amp;" tentatives sans réponse",IF(AND(D227="Proposition",AR227&lt;&gt;"",TODAY()&gt;N(AR227)),"Proposition expirée",IF(AND(D227="Proposition",N(R227)&gt;='Paramètres'!$B$25),"Proposition sans réponse",IF(AND(G227&lt;&gt;"",N(G227)&lt;TODAY()),"Relance en retard",IF(N(R227)&gt;='Paramètres'!$B$24,"Sans action depuis "&amp;R227&amp;" j",""))))))))</f>
        <v/>
      </c>
      <c r="G227" s="106">
        <f>IF(OR(C227="",D227="Gagné",D227="Perdu"),"",IF(AND(BP227&gt;0,BP227=BQ227),INDEX('Saisie'!$J$5:$J$2004,BP227-4),IF(OR(O227=0,AND(O227&gt;='Paramètres'!$B$21,P227=0)),"",Q227+IF(O227&lt;=1,'Paramètres'!$B$18,IF(O227=2,'Paramètres'!$B$19,'Paramètres'!$B$20)))))</f>
        <v/>
      </c>
      <c r="H227" s="107">
        <f>IF(OR(G227="",BP227&lt;&gt;BQ227),"",IF(INDEX('Saisie'!$K$5:$K$2004,BP227-4)="","",INDEX('Saisie'!$K$5:$K$2004,BP227-4)))</f>
        <v/>
      </c>
      <c r="I227" s="60">
        <f>IF(C227="","",IF(OR(D227="Gagné",D227="Perdu"),"",IFERROR(INDEX('Saisie'!$I$5:$I$2004,_xlfn.MAXIFS('Saisie'!$AS$5:$AS$2004,'Saisie'!$C$5:$C$2004,C227,'Saisie'!$I$5:$I$2004,"&lt;&gt;")-4),"")))</f>
        <v/>
      </c>
      <c r="J227" s="60">
        <f>IF(C227="","",IFERROR(INDEX('Saisie'!$U$5:$U$2004,_xlfn.MAXIFS('Saisie'!$AS$5:$AS$2004,'Saisie'!$C$5:$C$2004,C227,'Saisie'!$U$5:$U$2004,"&lt;&gt;")-4),""))</f>
        <v/>
      </c>
      <c r="K227" s="60">
        <f>IF(C227="","",IFERROR(INDEX('Saisie'!$W$5:$W$2004,_xlfn.MAXIFS('Saisie'!$AS$5:$AS$2004,'Saisie'!$C$5:$C$2004,C227,'Saisie'!$W$5:$W$2004,"&lt;&gt;")-4),""))</f>
        <v/>
      </c>
      <c r="L227" s="60">
        <f>IF(IF(BB227&lt;&gt;"",BB227,K227)="","",HYPERLINK("https://wa.me/"&amp;IF(LEFT(SUBSTITUTE(SUBSTITUTE(SUBSTITUTE(IF(BB227&lt;&gt;"",BB227,K227)," ",""),".",""),"+",""),1)="0",'Paramètres'!$B$35&amp;MID(SUBSTITUTE(SUBSTITUTE(SUBSTITUTE(IF(BB227&lt;&gt;"",BB227,K227)," ",""),".",""),"+",""),2,20),SUBSTITUTE(SUBSTITUTE(SUBSTITUTE(IF(BB227&lt;&gt;"",BB227,K227)," ",""),".",""),"+","")),"WhatsApp"))</f>
        <v/>
      </c>
      <c r="M227" s="60">
        <f>IF(BC227="","",HYPERLINK(IF(LEFT(BC227,4)="http",BC227,"https://www.instagram.com/"&amp;SUBSTITUTE(SUBSTITUTE(BC227,"@","")," ","")),BC227))</f>
        <v/>
      </c>
      <c r="N227" s="60">
        <f>IF(C227="","",IFERROR(INDEX('Saisie'!$D$5:$D$2004,_xlfn.MINIFS('Saisie'!$AS$5:$AS$2004,'Saisie'!$C$5:$C$2004,C227,'Saisie'!$AU$5:$AU$2004,1)-4),IFERROR(INDEX('Saisie'!$D$5:$D$2004,_xlfn.MINIFS('Saisie'!$AS$5:$AS$2004,'Saisie'!$C$5:$C$2004,C227,'Saisie'!$D$5:$D$2004,"&lt;&gt;")-4),"")))</f>
        <v/>
      </c>
      <c r="O227" s="60">
        <f>IF(C227="","",COUNTIFS('Saisie'!$C$5:$C$2004,C227,'Saisie'!$AU$5:$AU$2004,1))</f>
        <v/>
      </c>
      <c r="P227" s="60">
        <f>IF(C227="","",COUNTIFS('Saisie'!$C$5:$C$2004,C227,'Saisie'!$AV$5:$AV$2004,1))</f>
        <v/>
      </c>
      <c r="Q227" s="106">
        <f>IF(C227="","",IFERROR(1/(1/_xlfn.MAXIFS('Saisie'!$A$5:$A$2004,'Saisie'!$C$5:$C$2004,C227)),""))</f>
        <v/>
      </c>
      <c r="R227" s="61">
        <f>IF(C227="","",IF(Q227="","",TODAY()-Q227))</f>
        <v/>
      </c>
      <c r="S227" s="60">
        <f>IF(C227="","",IFERROR(INDEX('Saisie'!$R$5:$R$2004,_xlfn.MAXIFS('Saisie'!$AS$5:$AS$2004,'Saisie'!$C$5:$C$2004,C227,'Saisie'!$R$5:$R$2004,"&lt;&gt;")-4),""))</f>
        <v/>
      </c>
      <c r="T227" s="60">
        <f>IF(C227="","",IFERROR(INDEX('Saisie'!$S$5:$S$2004,_xlfn.MAXIFS('Saisie'!$AS$5:$AS$2004,'Saisie'!$C$5:$C$2004,C227,'Saisie'!$S$5:$S$2004,"&lt;&gt;")-4),""))</f>
        <v/>
      </c>
      <c r="U227" s="60">
        <f>IF(C227="","",IFERROR(INDEX('Saisie'!$T$5:$T$2004,_xlfn.MAXIFS('Saisie'!$AS$5:$AS$2004,'Saisie'!$C$5:$C$2004,C227,'Saisie'!$T$5:$T$2004,"&lt;&gt;")-4),""))</f>
        <v/>
      </c>
      <c r="V227" s="60">
        <f>IF(C227="","",IFERROR(INDEX('Saisie'!$V$5:$V$2004,_xlfn.MAXIFS('Saisie'!$AS$5:$AS$2004,'Saisie'!$C$5:$C$2004,C227,'Saisie'!$V$5:$V$2004,"&lt;&gt;")-4),""))</f>
        <v/>
      </c>
      <c r="W227" s="60">
        <f>IF(C227="","",IFERROR(INDEX('Saisie'!$Z$5:$Z$2004,_xlfn.MAXIFS('Saisie'!$AS$5:$AS$2004,'Saisie'!$C$5:$C$2004,C227,'Saisie'!$Z$5:$Z$2004,"&lt;&gt;")-4),""))</f>
        <v/>
      </c>
      <c r="X227" s="60">
        <f>IF(C227="","",IFERROR(INDEX('Saisie'!$AA$5:$AA$2004,_xlfn.MAXIFS('Saisie'!$AS$5:$AS$2004,'Saisie'!$C$5:$C$2004,C227,'Saisie'!$AA$5:$AA$2004,"&lt;&gt;")-4),""))</f>
        <v/>
      </c>
      <c r="Y227" s="60">
        <f>IF(C227="","",IFERROR(INDEX('Saisie'!$AB$5:$AB$2004,_xlfn.MAXIFS('Saisie'!$AS$5:$AS$2004,'Saisie'!$C$5:$C$2004,C227,'Saisie'!$AB$5:$AB$2004,"&lt;&gt;")-4),""))</f>
        <v/>
      </c>
      <c r="Z227" s="60">
        <f>IF(C227="","",IFERROR(INDEX('Saisie'!$AC$5:$AC$2004,_xlfn.MAXIFS('Saisie'!$AS$5:$AS$2004,'Saisie'!$C$5:$C$2004,C227,'Saisie'!$AC$5:$AC$2004,"&lt;&gt;")-4),""))</f>
        <v/>
      </c>
      <c r="AA227" s="106">
        <f>IF(C227="","",IFERROR(INDEX('Saisie'!$AD$5:$AD$2004,_xlfn.MAXIFS('Saisie'!$AS$5:$AS$2004,'Saisie'!$C$5:$C$2004,C227,'Saisie'!$AD$5:$AD$2004,"&lt;&gt;")-4),""))</f>
        <v/>
      </c>
      <c r="AB227" s="60">
        <f>IF(C227="","",IFERROR(INDEX('Saisie'!$AE$5:$AE$2004,_xlfn.MAXIFS('Saisie'!$AS$5:$AS$2004,'Saisie'!$C$5:$C$2004,C227,'Saisie'!$AE$5:$AE$2004,"&lt;&gt;")-4),""))</f>
        <v/>
      </c>
      <c r="AC227" s="60">
        <f>IF(C227="","",IFERROR(INDEX('Saisie'!$AF$5:$AF$2004,_xlfn.MAXIFS('Saisie'!$AS$5:$AS$2004,'Saisie'!$C$5:$C$2004,C227,'Saisie'!$AF$5:$AF$2004,"&lt;&gt;")-4),""))</f>
        <v/>
      </c>
      <c r="AD227" s="108">
        <f>IF(C227="","",IFERROR(INDEX('Saisie'!$AG$5:$AG$2004,_xlfn.MAXIFS('Saisie'!$AS$5:$AS$2004,'Saisie'!$C$5:$C$2004,C227,'Saisie'!$AG$5:$AG$2004,"&lt;&gt;")-4),""))</f>
        <v/>
      </c>
      <c r="AE227" s="60">
        <f>IF(C227="","",IFERROR(INDEX('Saisie'!$AH$5:$AH$2004,_xlfn.MAXIFS('Saisie'!$AS$5:$AS$2004,'Saisie'!$C$5:$C$2004,C227,'Saisie'!$AH$5:$AH$2004,"&lt;&gt;")-4),""))</f>
        <v/>
      </c>
      <c r="AF227" s="60">
        <f>IF(C227="","",IFERROR(INDEX('Saisie'!$AI$5:$AI$2004,_xlfn.MAXIFS('Saisie'!$AS$5:$AS$2004,'Saisie'!$C$5:$C$2004,C227,'Saisie'!$AI$5:$AI$2004,"&lt;&gt;")-4),""))</f>
        <v/>
      </c>
      <c r="AG227" s="60">
        <f>IF(C227="","",IFERROR(INDEX('Saisie'!$AJ$5:$AJ$2004,_xlfn.MAXIFS('Saisie'!$AS$5:$AS$2004,'Saisie'!$C$5:$C$2004,C227,'Saisie'!$AJ$5:$AJ$2004,"&lt;&gt;")-4),""))</f>
        <v/>
      </c>
      <c r="AH227" s="60">
        <f>IF(C227="","",IFERROR(INDEX('Saisie'!$AK$5:$AK$2004,_xlfn.MAXIFS('Saisie'!$AS$5:$AS$2004,'Saisie'!$C$5:$C$2004,C227,'Saisie'!$AK$5:$AK$2004,"&lt;&gt;")-4),""))</f>
        <v/>
      </c>
      <c r="AI227" s="60">
        <f>IF(C227="","",IFERROR(INDEX('Saisie'!$AN$5:$AN$2004,_xlfn.MAXIFS('Saisie'!$AS$5:$AS$2004,'Saisie'!$C$5:$C$2004,C227,'Saisie'!$AN$5:$AN$2004,"&lt;&gt;")-4),""))</f>
        <v/>
      </c>
      <c r="AJ227" s="60">
        <f>IF(C227="","",IFERROR(INDEX('Saisie'!$AO$5:$AO$2004,_xlfn.MAXIFS('Saisie'!$AS$5:$AS$2004,'Saisie'!$C$5:$C$2004,C227,'Saisie'!$AO$5:$AO$2004,"&lt;&gt;")-4),""))</f>
        <v/>
      </c>
      <c r="AK227" s="60">
        <f>IF(C227="","",IFERROR(INDEX('Saisie'!$AP$5:$AP$2004,_xlfn.MAXIFS('Saisie'!$AS$5:$AS$2004,'Saisie'!$C$5:$C$2004,C227,'Saisie'!$AP$5:$AP$2004,"&lt;&gt;")-4),""))</f>
        <v/>
      </c>
      <c r="AL227" s="60">
        <f>IF(C227="","",IFERROR(INDEX('Saisie'!$AQ$5:$AQ$2004,_xlfn.MAXIFS('Saisie'!$AS$5:$AS$2004,'Saisie'!$C$5:$C$2004,C227,'Saisie'!$AQ$5:$AQ$2004,"&lt;&gt;")-4),""))</f>
        <v/>
      </c>
      <c r="AM227" s="60">
        <f>IF(C227="","",((AI227="Oui")+(AJ227="Oui")+(AK227="Oui")+OR(AL227="Immédiat",AL227="&lt; 1 mois"))&amp;"/4")</f>
        <v/>
      </c>
      <c r="AN227" s="60">
        <f>IF(C227="","",IFERROR(INDEX('Saisie'!$AL$5:$AL$2004,_xlfn.MAXIFS('Saisie'!$AS$5:$AS$2004,'Saisie'!$C$5:$C$2004,C227,'Saisie'!$AL$5:$AL$2004,"&lt;&gt;")-4),""))</f>
        <v/>
      </c>
      <c r="AO227" s="62">
        <f>IF(C227="","",IF(IFERROR(INDEX('Saisie'!$AM$5:$AM$2004,_xlfn.MAXIFS('Saisie'!$AS$5:$AS$2004,'Saisie'!$C$5:$C$2004,C227,'Saisie'!$AM$5:$AM$2004,"&lt;&gt;")-4),"")&lt;&gt;"",IFERROR(INDEX('Saisie'!$AM$5:$AM$2004,_xlfn.MAXIFS('Saisie'!$AS$5:$AS$2004,'Saisie'!$C$5:$C$2004,C227,'Saisie'!$AM$5:$AM$2004,"&lt;&gt;")-4),""),IFERROR(INDEX('Paramètres'!$S$6:$S$15,MATCH(AN227,'Paramètres'!$Q$6:$Q$15,0)),"")))</f>
        <v/>
      </c>
      <c r="AP227" s="62">
        <f>IF(C227="","",IFERROR(INDEX('Saisie'!$AW$5:$AW$2004,_xlfn.MAXIFS('Saisie'!$AS$5:$AS$2004,'Saisie'!$C$5:$C$2004,C227,'Saisie'!$E$5:$E$2004,"Proposition envoyée")-4),""))</f>
        <v/>
      </c>
      <c r="AQ227" s="106">
        <f>IF(C227="","",IFERROR(1/(1/_xlfn.MAXIFS('Saisie'!$A$5:$A$2004,'Saisie'!$C$5:$C$2004,C227,'Saisie'!$E$5:$E$2004,"Proposition envoyée")),""))</f>
        <v/>
      </c>
      <c r="AR227" s="106">
        <f>IF(C227="","",IF(AQ227="","",AQ227+'Paramètres'!$B$26))</f>
        <v/>
      </c>
      <c r="AS227" s="62">
        <f>IF(OR(C227="",D227="Gagné",D227="Perdu"),0,N(AP227)*IFERROR(INDEX('Paramètres'!$G$6:$G$13,MATCH(D227,'Paramètres'!$F$6:$F$13,0)),0))</f>
        <v/>
      </c>
      <c r="AT227" s="106">
        <f>IF(C227="","",IFERROR(1/(1/_xlfn.MINIFS('Saisie'!$A$5:$A$2004,'Saisie'!$C$5:$C$2004,C227,'Saisie'!$E$5:$E$2004,"Signature")),""))</f>
        <v/>
      </c>
      <c r="AU227" s="60">
        <f>IF(C227="","",IF(OR(AT227="",B227=""),"",AT227-B227))</f>
        <v/>
      </c>
      <c r="AV227" s="60">
        <f>IF(C227="","",IFERROR(INDEX('Saisie'!$L$5:$L$2004,_xlfn.MAXIFS('Saisie'!$AS$5:$AS$2004,'Saisie'!$C$5:$C$2004,C227,'Saisie'!$L$5:$L$2004,"&lt;&gt;")-4),""))</f>
        <v/>
      </c>
      <c r="AW227" s="106">
        <f>IF(C227="","",IF(D227&lt;&gt;"Perdu","",IFERROR(1/(1/_xlfn.MAXIFS('Saisie'!$A$5:$A$2004,'Saisie'!$C$5:$C$2004,C227,'Saisie'!$E$5:$E$2004,"Perdu")),"")))</f>
        <v/>
      </c>
      <c r="AX227" s="106">
        <f>IF(C227="","",IF(AW227="","",AW227+'Paramètres'!$B$28))</f>
        <v/>
      </c>
      <c r="AY227" s="60">
        <f>IF(C227="","",SUMIFS('Saisie'!$H$5:$H$2004,'Saisie'!$C$5:$C$2004,C227))</f>
        <v/>
      </c>
      <c r="AZ227" s="60">
        <f>IF(C227="","",IFERROR(INDEX('Paramètres'!$W$6:$W$20,MATCH(S227,'Paramètres'!$V$6:$V$20,0))&amp;"",""))</f>
        <v/>
      </c>
      <c r="BA227" s="60">
        <f>IF(C227="","",MAX(1,_xlfn.MAXIFS('Saisie'!$AT$5:$AT$2004,'Saisie'!$C$5:$C$2004,C227)))</f>
        <v/>
      </c>
      <c r="BB227" s="60">
        <f>IF(C227="","",IFERROR(INDEX('Saisie'!$X$5:$X$2004,_xlfn.MAXIFS('Saisie'!$AS$5:$AS$2004,'Saisie'!$C$5:$C$2004,C227,'Saisie'!$X$5:$X$2004,"&lt;&gt;")-4),""))</f>
        <v/>
      </c>
      <c r="BC227" s="60">
        <f>IF(C227="","",IFERROR(INDEX('Saisie'!$Y$5:$Y$2004,_xlfn.MAXIFS('Saisie'!$AS$5:$AS$2004,'Saisie'!$C$5:$C$2004,C227,'Saisie'!$Y$5:$Y$2004,"&lt;&gt;")-4),""))</f>
        <v/>
      </c>
      <c r="BD227" s="106">
        <f>IF(C227="","",IFERROR(1/(1/_xlfn.MINIFS('Saisie'!$A$5:$A$2004,'Saisie'!$C$5:$C$2004,C227,'Saisie'!$AT$5:$AT$2004,"&gt;=2")),""))</f>
        <v/>
      </c>
      <c r="BE227" s="106">
        <f>IF(C227="","",IFERROR(1/(1/_xlfn.MINIFS('Saisie'!$A$5:$A$2004,'Saisie'!$C$5:$C$2004,C227,'Saisie'!$AT$5:$AT$2004,"&gt;=3")),""))</f>
        <v/>
      </c>
      <c r="BF227" s="106">
        <f>IF(C227="","",IFERROR(1/(1/_xlfn.MINIFS('Saisie'!$A$5:$A$2004,'Saisie'!$C$5:$C$2004,C227,'Saisie'!$AT$5:$AT$2004,"&gt;=4")),""))</f>
        <v/>
      </c>
      <c r="BG227" s="106">
        <f>IF(C227="","",IFERROR(1/(1/_xlfn.MINIFS('Saisie'!$A$5:$A$2004,'Saisie'!$C$5:$C$2004,C227,'Saisie'!$AT$5:$AT$2004,"&gt;=5")),""))</f>
        <v/>
      </c>
      <c r="BH227" s="106">
        <f>IF(C227="","",IFERROR(1/(1/_xlfn.MINIFS('Saisie'!$A$5:$A$2004,'Saisie'!$C$5:$C$2004,C227,'Saisie'!$AT$5:$AT$2004,"&gt;=6")),""))</f>
        <v/>
      </c>
      <c r="BI227" s="106">
        <f>IF(C227="","",IFERROR(1/(1/_xlfn.MINIFS('Saisie'!$A$5:$A$2004,'Saisie'!$C$5:$C$2004,C227,'Saisie'!$AT$5:$AT$2004,"&gt;=7")),""))</f>
        <v/>
      </c>
      <c r="BJ227" s="60">
        <f>IF(OR(BD227="",B227=""),"",BD227-B227)</f>
        <v/>
      </c>
      <c r="BK227" s="60">
        <f>IF(OR(BE227="",BD227=""),"",BE227-BD227)</f>
        <v/>
      </c>
      <c r="BL227" s="60">
        <f>IF(OR(BF227="",BE227=""),"",BF227-BE227)</f>
        <v/>
      </c>
      <c r="BM227" s="60">
        <f>IF(OR(BG227="",BF227=""),"",BG227-BF227)</f>
        <v/>
      </c>
      <c r="BN227" s="60">
        <f>IF(OR(BH227="",BG227=""),"",BH227-BG227)</f>
        <v/>
      </c>
      <c r="BO227" s="60">
        <f>IF(OR(BI227="",BH227=""),"",BI227-BH227)</f>
        <v/>
      </c>
      <c r="BP227" s="60">
        <f>IF(C227="","",_xlfn.MAXIFS('Saisie'!$AS$5:$AS$2004,'Saisie'!$C$5:$C$2004,C227,'Saisie'!$J$5:$J$2004,"&lt;&gt;"))</f>
        <v/>
      </c>
      <c r="BQ227" s="60">
        <f>IF(C227="","",_xlfn.MAXIFS('Saisie'!$AS$5:$AS$2004,'Saisie'!$C$5:$C$2004,C227))</f>
        <v/>
      </c>
      <c r="BR227" s="60">
        <f>IF(C227="","",_xlfn.MAXIFS('Saisie'!$AS$5:$AS$2004,'Saisie'!$C$5:$C$2004,C227,'Saisie'!$E$5:$E$2004,"Perdu"))</f>
        <v/>
      </c>
      <c r="BS227" s="60">
        <f>IF(C227="","",_xlfn.MAXIFS('Saisie'!$AS$5:$AS$2004,'Saisie'!$C$5:$C$2004,C227,'Saisie'!$AT$5:$AT$2004,"&gt;0"))</f>
        <v/>
      </c>
      <c r="BT227" s="109">
        <f>IF(AND(C227&lt;&gt;"",OR(D227="Nouveau",D227="Contacté",D227="Qualifié"),OR(G227="",N(G227)&lt;=TODAY()),NOT(AND(O227&gt;='Paramètres'!$B$21,P227=0))),E227+223/10000,"")</f>
        <v/>
      </c>
      <c r="BU227" s="60">
        <f>IF(AND(G227&lt;&gt;"",N(G227)&lt;=TODAY()),MAX($BU$4:BU226)+1,"")</f>
        <v/>
      </c>
      <c r="BV227" s="60">
        <f>IF(AND(F227&lt;&gt;"",F227&lt;&gt;"Relance en retard"),MAX($BV$4:BV226)+1,"")</f>
        <v/>
      </c>
      <c r="BW227" s="60">
        <f>IF(C227="","",IF(AND(B227&gt;='Tableau de bord'!$R$4,B227&lt;='Tableau de bord'!$S$4,OR('Tableau de bord'!$G$4="Tous",N227='Tableau de bord'!$G$4)),1,0))</f>
        <v/>
      </c>
      <c r="BX227" s="60">
        <f>IF(AND(C227&lt;&gt;"",N(BA227)=7),MAX($BX$4:BX226)+1,"")</f>
        <v/>
      </c>
    </row>
    <row r="228">
      <c r="A228" s="60">
        <f>IF(C228="","","P-"&amp;TEXT(224,"000"))</f>
        <v/>
      </c>
      <c r="B228" s="106">
        <f>IF(C228="","",IFERROR(1/(1/_xlfn.MINIFS('Saisie'!$A$5:$A$2004,'Saisie'!$C$5:$C$2004,C228)),""))</f>
        <v/>
      </c>
      <c r="C228" s="60">
        <f>IFERROR(INDEX('Saisie'!$C$5:$C$2004,MATCH(224,'Saisie'!$AX$5:$AX$2004,0)),"")</f>
        <v/>
      </c>
      <c r="D228" s="60">
        <f>IF(C228="","",IF(AND(BR228&gt;0,BR228&gt;BS228,BA228&lt;7),"Perdu",INDEX('Paramètres'!$F$6:$F$13,BA228)))</f>
        <v/>
      </c>
      <c r="E228" s="61">
        <f>IF(C228="","",MIN(100,(Z228="Oui")*'Paramètres'!$B$38+(AB228="Régulière")*'Paramètres'!$B$39+IF(AND(N(AA228)&gt;0,TODAY()-N(AA228)&lt;=30),'Paramètres'!$B$40,0)+(W228="")*'Paramètres'!$B$41+(AC228="Absente")*'Paramètres'!$B$42+(AC228="Faible")*'Paramètres'!$B$43+IF(AND(N(AD228)&gt;0,N(AD228)&lt;4),'Paramètres'!$B$44,0)+(AF228="Moyenne")*'Paramètres'!$B$45+(AF228="Grande")*'Paramètres'!$B$46+(Y228&lt;&gt;"")*'Paramètres'!$B$47))</f>
        <v/>
      </c>
      <c r="F228" s="60">
        <f>IF(C228="","",IF(D228="Gagné","",IF(D228="Perdu",IF(AND(AX228&lt;&gt;"",AX228&lt;=TODAY()),"À recontacter (perdu)",""),IF(AND(O228&gt;='Paramètres'!$B$21,P228=0),"Stop : "&amp;'Paramètres'!$B$21&amp;" tentatives sans réponse",IF(AND(D228="Proposition",AR228&lt;&gt;"",TODAY()&gt;N(AR228)),"Proposition expirée",IF(AND(D228="Proposition",N(R228)&gt;='Paramètres'!$B$25),"Proposition sans réponse",IF(AND(G228&lt;&gt;"",N(G228)&lt;TODAY()),"Relance en retard",IF(N(R228)&gt;='Paramètres'!$B$24,"Sans action depuis "&amp;R228&amp;" j",""))))))))</f>
        <v/>
      </c>
      <c r="G228" s="106">
        <f>IF(OR(C228="",D228="Gagné",D228="Perdu"),"",IF(AND(BP228&gt;0,BP228=BQ228),INDEX('Saisie'!$J$5:$J$2004,BP228-4),IF(OR(O228=0,AND(O228&gt;='Paramètres'!$B$21,P228=0)),"",Q228+IF(O228&lt;=1,'Paramètres'!$B$18,IF(O228=2,'Paramètres'!$B$19,'Paramètres'!$B$20)))))</f>
        <v/>
      </c>
      <c r="H228" s="107">
        <f>IF(OR(G228="",BP228&lt;&gt;BQ228),"",IF(INDEX('Saisie'!$K$5:$K$2004,BP228-4)="","",INDEX('Saisie'!$K$5:$K$2004,BP228-4)))</f>
        <v/>
      </c>
      <c r="I228" s="60">
        <f>IF(C228="","",IF(OR(D228="Gagné",D228="Perdu"),"",IFERROR(INDEX('Saisie'!$I$5:$I$2004,_xlfn.MAXIFS('Saisie'!$AS$5:$AS$2004,'Saisie'!$C$5:$C$2004,C228,'Saisie'!$I$5:$I$2004,"&lt;&gt;")-4),"")))</f>
        <v/>
      </c>
      <c r="J228" s="60">
        <f>IF(C228="","",IFERROR(INDEX('Saisie'!$U$5:$U$2004,_xlfn.MAXIFS('Saisie'!$AS$5:$AS$2004,'Saisie'!$C$5:$C$2004,C228,'Saisie'!$U$5:$U$2004,"&lt;&gt;")-4),""))</f>
        <v/>
      </c>
      <c r="K228" s="60">
        <f>IF(C228="","",IFERROR(INDEX('Saisie'!$W$5:$W$2004,_xlfn.MAXIFS('Saisie'!$AS$5:$AS$2004,'Saisie'!$C$5:$C$2004,C228,'Saisie'!$W$5:$W$2004,"&lt;&gt;")-4),""))</f>
        <v/>
      </c>
      <c r="L228" s="60">
        <f>IF(IF(BB228&lt;&gt;"",BB228,K228)="","",HYPERLINK("https://wa.me/"&amp;IF(LEFT(SUBSTITUTE(SUBSTITUTE(SUBSTITUTE(IF(BB228&lt;&gt;"",BB228,K228)," ",""),".",""),"+",""),1)="0",'Paramètres'!$B$35&amp;MID(SUBSTITUTE(SUBSTITUTE(SUBSTITUTE(IF(BB228&lt;&gt;"",BB228,K228)," ",""),".",""),"+",""),2,20),SUBSTITUTE(SUBSTITUTE(SUBSTITUTE(IF(BB228&lt;&gt;"",BB228,K228)," ",""),".",""),"+","")),"WhatsApp"))</f>
        <v/>
      </c>
      <c r="M228" s="60">
        <f>IF(BC228="","",HYPERLINK(IF(LEFT(BC228,4)="http",BC228,"https://www.instagram.com/"&amp;SUBSTITUTE(SUBSTITUTE(BC228,"@","")," ","")),BC228))</f>
        <v/>
      </c>
      <c r="N228" s="60">
        <f>IF(C228="","",IFERROR(INDEX('Saisie'!$D$5:$D$2004,_xlfn.MINIFS('Saisie'!$AS$5:$AS$2004,'Saisie'!$C$5:$C$2004,C228,'Saisie'!$AU$5:$AU$2004,1)-4),IFERROR(INDEX('Saisie'!$D$5:$D$2004,_xlfn.MINIFS('Saisie'!$AS$5:$AS$2004,'Saisie'!$C$5:$C$2004,C228,'Saisie'!$D$5:$D$2004,"&lt;&gt;")-4),"")))</f>
        <v/>
      </c>
      <c r="O228" s="60">
        <f>IF(C228="","",COUNTIFS('Saisie'!$C$5:$C$2004,C228,'Saisie'!$AU$5:$AU$2004,1))</f>
        <v/>
      </c>
      <c r="P228" s="60">
        <f>IF(C228="","",COUNTIFS('Saisie'!$C$5:$C$2004,C228,'Saisie'!$AV$5:$AV$2004,1))</f>
        <v/>
      </c>
      <c r="Q228" s="106">
        <f>IF(C228="","",IFERROR(1/(1/_xlfn.MAXIFS('Saisie'!$A$5:$A$2004,'Saisie'!$C$5:$C$2004,C228)),""))</f>
        <v/>
      </c>
      <c r="R228" s="61">
        <f>IF(C228="","",IF(Q228="","",TODAY()-Q228))</f>
        <v/>
      </c>
      <c r="S228" s="60">
        <f>IF(C228="","",IFERROR(INDEX('Saisie'!$R$5:$R$2004,_xlfn.MAXIFS('Saisie'!$AS$5:$AS$2004,'Saisie'!$C$5:$C$2004,C228,'Saisie'!$R$5:$R$2004,"&lt;&gt;")-4),""))</f>
        <v/>
      </c>
      <c r="T228" s="60">
        <f>IF(C228="","",IFERROR(INDEX('Saisie'!$S$5:$S$2004,_xlfn.MAXIFS('Saisie'!$AS$5:$AS$2004,'Saisie'!$C$5:$C$2004,C228,'Saisie'!$S$5:$S$2004,"&lt;&gt;")-4),""))</f>
        <v/>
      </c>
      <c r="U228" s="60">
        <f>IF(C228="","",IFERROR(INDEX('Saisie'!$T$5:$T$2004,_xlfn.MAXIFS('Saisie'!$AS$5:$AS$2004,'Saisie'!$C$5:$C$2004,C228,'Saisie'!$T$5:$T$2004,"&lt;&gt;")-4),""))</f>
        <v/>
      </c>
      <c r="V228" s="60">
        <f>IF(C228="","",IFERROR(INDEX('Saisie'!$V$5:$V$2004,_xlfn.MAXIFS('Saisie'!$AS$5:$AS$2004,'Saisie'!$C$5:$C$2004,C228,'Saisie'!$V$5:$V$2004,"&lt;&gt;")-4),""))</f>
        <v/>
      </c>
      <c r="W228" s="60">
        <f>IF(C228="","",IFERROR(INDEX('Saisie'!$Z$5:$Z$2004,_xlfn.MAXIFS('Saisie'!$AS$5:$AS$2004,'Saisie'!$C$5:$C$2004,C228,'Saisie'!$Z$5:$Z$2004,"&lt;&gt;")-4),""))</f>
        <v/>
      </c>
      <c r="X228" s="60">
        <f>IF(C228="","",IFERROR(INDEX('Saisie'!$AA$5:$AA$2004,_xlfn.MAXIFS('Saisie'!$AS$5:$AS$2004,'Saisie'!$C$5:$C$2004,C228,'Saisie'!$AA$5:$AA$2004,"&lt;&gt;")-4),""))</f>
        <v/>
      </c>
      <c r="Y228" s="60">
        <f>IF(C228="","",IFERROR(INDEX('Saisie'!$AB$5:$AB$2004,_xlfn.MAXIFS('Saisie'!$AS$5:$AS$2004,'Saisie'!$C$5:$C$2004,C228,'Saisie'!$AB$5:$AB$2004,"&lt;&gt;")-4),""))</f>
        <v/>
      </c>
      <c r="Z228" s="60">
        <f>IF(C228="","",IFERROR(INDEX('Saisie'!$AC$5:$AC$2004,_xlfn.MAXIFS('Saisie'!$AS$5:$AS$2004,'Saisie'!$C$5:$C$2004,C228,'Saisie'!$AC$5:$AC$2004,"&lt;&gt;")-4),""))</f>
        <v/>
      </c>
      <c r="AA228" s="106">
        <f>IF(C228="","",IFERROR(INDEX('Saisie'!$AD$5:$AD$2004,_xlfn.MAXIFS('Saisie'!$AS$5:$AS$2004,'Saisie'!$C$5:$C$2004,C228,'Saisie'!$AD$5:$AD$2004,"&lt;&gt;")-4),""))</f>
        <v/>
      </c>
      <c r="AB228" s="60">
        <f>IF(C228="","",IFERROR(INDEX('Saisie'!$AE$5:$AE$2004,_xlfn.MAXIFS('Saisie'!$AS$5:$AS$2004,'Saisie'!$C$5:$C$2004,C228,'Saisie'!$AE$5:$AE$2004,"&lt;&gt;")-4),""))</f>
        <v/>
      </c>
      <c r="AC228" s="60">
        <f>IF(C228="","",IFERROR(INDEX('Saisie'!$AF$5:$AF$2004,_xlfn.MAXIFS('Saisie'!$AS$5:$AS$2004,'Saisie'!$C$5:$C$2004,C228,'Saisie'!$AF$5:$AF$2004,"&lt;&gt;")-4),""))</f>
        <v/>
      </c>
      <c r="AD228" s="108">
        <f>IF(C228="","",IFERROR(INDEX('Saisie'!$AG$5:$AG$2004,_xlfn.MAXIFS('Saisie'!$AS$5:$AS$2004,'Saisie'!$C$5:$C$2004,C228,'Saisie'!$AG$5:$AG$2004,"&lt;&gt;")-4),""))</f>
        <v/>
      </c>
      <c r="AE228" s="60">
        <f>IF(C228="","",IFERROR(INDEX('Saisie'!$AH$5:$AH$2004,_xlfn.MAXIFS('Saisie'!$AS$5:$AS$2004,'Saisie'!$C$5:$C$2004,C228,'Saisie'!$AH$5:$AH$2004,"&lt;&gt;")-4),""))</f>
        <v/>
      </c>
      <c r="AF228" s="60">
        <f>IF(C228="","",IFERROR(INDEX('Saisie'!$AI$5:$AI$2004,_xlfn.MAXIFS('Saisie'!$AS$5:$AS$2004,'Saisie'!$C$5:$C$2004,C228,'Saisie'!$AI$5:$AI$2004,"&lt;&gt;")-4),""))</f>
        <v/>
      </c>
      <c r="AG228" s="60">
        <f>IF(C228="","",IFERROR(INDEX('Saisie'!$AJ$5:$AJ$2004,_xlfn.MAXIFS('Saisie'!$AS$5:$AS$2004,'Saisie'!$C$5:$C$2004,C228,'Saisie'!$AJ$5:$AJ$2004,"&lt;&gt;")-4),""))</f>
        <v/>
      </c>
      <c r="AH228" s="60">
        <f>IF(C228="","",IFERROR(INDEX('Saisie'!$AK$5:$AK$2004,_xlfn.MAXIFS('Saisie'!$AS$5:$AS$2004,'Saisie'!$C$5:$C$2004,C228,'Saisie'!$AK$5:$AK$2004,"&lt;&gt;")-4),""))</f>
        <v/>
      </c>
      <c r="AI228" s="60">
        <f>IF(C228="","",IFERROR(INDEX('Saisie'!$AN$5:$AN$2004,_xlfn.MAXIFS('Saisie'!$AS$5:$AS$2004,'Saisie'!$C$5:$C$2004,C228,'Saisie'!$AN$5:$AN$2004,"&lt;&gt;")-4),""))</f>
        <v/>
      </c>
      <c r="AJ228" s="60">
        <f>IF(C228="","",IFERROR(INDEX('Saisie'!$AO$5:$AO$2004,_xlfn.MAXIFS('Saisie'!$AS$5:$AS$2004,'Saisie'!$C$5:$C$2004,C228,'Saisie'!$AO$5:$AO$2004,"&lt;&gt;")-4),""))</f>
        <v/>
      </c>
      <c r="AK228" s="60">
        <f>IF(C228="","",IFERROR(INDEX('Saisie'!$AP$5:$AP$2004,_xlfn.MAXIFS('Saisie'!$AS$5:$AS$2004,'Saisie'!$C$5:$C$2004,C228,'Saisie'!$AP$5:$AP$2004,"&lt;&gt;")-4),""))</f>
        <v/>
      </c>
      <c r="AL228" s="60">
        <f>IF(C228="","",IFERROR(INDEX('Saisie'!$AQ$5:$AQ$2004,_xlfn.MAXIFS('Saisie'!$AS$5:$AS$2004,'Saisie'!$C$5:$C$2004,C228,'Saisie'!$AQ$5:$AQ$2004,"&lt;&gt;")-4),""))</f>
        <v/>
      </c>
      <c r="AM228" s="60">
        <f>IF(C228="","",((AI228="Oui")+(AJ228="Oui")+(AK228="Oui")+OR(AL228="Immédiat",AL228="&lt; 1 mois"))&amp;"/4")</f>
        <v/>
      </c>
      <c r="AN228" s="60">
        <f>IF(C228="","",IFERROR(INDEX('Saisie'!$AL$5:$AL$2004,_xlfn.MAXIFS('Saisie'!$AS$5:$AS$2004,'Saisie'!$C$5:$C$2004,C228,'Saisie'!$AL$5:$AL$2004,"&lt;&gt;")-4),""))</f>
        <v/>
      </c>
      <c r="AO228" s="62">
        <f>IF(C228="","",IF(IFERROR(INDEX('Saisie'!$AM$5:$AM$2004,_xlfn.MAXIFS('Saisie'!$AS$5:$AS$2004,'Saisie'!$C$5:$C$2004,C228,'Saisie'!$AM$5:$AM$2004,"&lt;&gt;")-4),"")&lt;&gt;"",IFERROR(INDEX('Saisie'!$AM$5:$AM$2004,_xlfn.MAXIFS('Saisie'!$AS$5:$AS$2004,'Saisie'!$C$5:$C$2004,C228,'Saisie'!$AM$5:$AM$2004,"&lt;&gt;")-4),""),IFERROR(INDEX('Paramètres'!$S$6:$S$15,MATCH(AN228,'Paramètres'!$Q$6:$Q$15,0)),"")))</f>
        <v/>
      </c>
      <c r="AP228" s="62">
        <f>IF(C228="","",IFERROR(INDEX('Saisie'!$AW$5:$AW$2004,_xlfn.MAXIFS('Saisie'!$AS$5:$AS$2004,'Saisie'!$C$5:$C$2004,C228,'Saisie'!$E$5:$E$2004,"Proposition envoyée")-4),""))</f>
        <v/>
      </c>
      <c r="AQ228" s="106">
        <f>IF(C228="","",IFERROR(1/(1/_xlfn.MAXIFS('Saisie'!$A$5:$A$2004,'Saisie'!$C$5:$C$2004,C228,'Saisie'!$E$5:$E$2004,"Proposition envoyée")),""))</f>
        <v/>
      </c>
      <c r="AR228" s="106">
        <f>IF(C228="","",IF(AQ228="","",AQ228+'Paramètres'!$B$26))</f>
        <v/>
      </c>
      <c r="AS228" s="62">
        <f>IF(OR(C228="",D228="Gagné",D228="Perdu"),0,N(AP228)*IFERROR(INDEX('Paramètres'!$G$6:$G$13,MATCH(D228,'Paramètres'!$F$6:$F$13,0)),0))</f>
        <v/>
      </c>
      <c r="AT228" s="106">
        <f>IF(C228="","",IFERROR(1/(1/_xlfn.MINIFS('Saisie'!$A$5:$A$2004,'Saisie'!$C$5:$C$2004,C228,'Saisie'!$E$5:$E$2004,"Signature")),""))</f>
        <v/>
      </c>
      <c r="AU228" s="60">
        <f>IF(C228="","",IF(OR(AT228="",B228=""),"",AT228-B228))</f>
        <v/>
      </c>
      <c r="AV228" s="60">
        <f>IF(C228="","",IFERROR(INDEX('Saisie'!$L$5:$L$2004,_xlfn.MAXIFS('Saisie'!$AS$5:$AS$2004,'Saisie'!$C$5:$C$2004,C228,'Saisie'!$L$5:$L$2004,"&lt;&gt;")-4),""))</f>
        <v/>
      </c>
      <c r="AW228" s="106">
        <f>IF(C228="","",IF(D228&lt;&gt;"Perdu","",IFERROR(1/(1/_xlfn.MAXIFS('Saisie'!$A$5:$A$2004,'Saisie'!$C$5:$C$2004,C228,'Saisie'!$E$5:$E$2004,"Perdu")),"")))</f>
        <v/>
      </c>
      <c r="AX228" s="106">
        <f>IF(C228="","",IF(AW228="","",AW228+'Paramètres'!$B$28))</f>
        <v/>
      </c>
      <c r="AY228" s="60">
        <f>IF(C228="","",SUMIFS('Saisie'!$H$5:$H$2004,'Saisie'!$C$5:$C$2004,C228))</f>
        <v/>
      </c>
      <c r="AZ228" s="60">
        <f>IF(C228="","",IFERROR(INDEX('Paramètres'!$W$6:$W$20,MATCH(S228,'Paramètres'!$V$6:$V$20,0))&amp;"",""))</f>
        <v/>
      </c>
      <c r="BA228" s="60">
        <f>IF(C228="","",MAX(1,_xlfn.MAXIFS('Saisie'!$AT$5:$AT$2004,'Saisie'!$C$5:$C$2004,C228)))</f>
        <v/>
      </c>
      <c r="BB228" s="60">
        <f>IF(C228="","",IFERROR(INDEX('Saisie'!$X$5:$X$2004,_xlfn.MAXIFS('Saisie'!$AS$5:$AS$2004,'Saisie'!$C$5:$C$2004,C228,'Saisie'!$X$5:$X$2004,"&lt;&gt;")-4),""))</f>
        <v/>
      </c>
      <c r="BC228" s="60">
        <f>IF(C228="","",IFERROR(INDEX('Saisie'!$Y$5:$Y$2004,_xlfn.MAXIFS('Saisie'!$AS$5:$AS$2004,'Saisie'!$C$5:$C$2004,C228,'Saisie'!$Y$5:$Y$2004,"&lt;&gt;")-4),""))</f>
        <v/>
      </c>
      <c r="BD228" s="106">
        <f>IF(C228="","",IFERROR(1/(1/_xlfn.MINIFS('Saisie'!$A$5:$A$2004,'Saisie'!$C$5:$C$2004,C228,'Saisie'!$AT$5:$AT$2004,"&gt;=2")),""))</f>
        <v/>
      </c>
      <c r="BE228" s="106">
        <f>IF(C228="","",IFERROR(1/(1/_xlfn.MINIFS('Saisie'!$A$5:$A$2004,'Saisie'!$C$5:$C$2004,C228,'Saisie'!$AT$5:$AT$2004,"&gt;=3")),""))</f>
        <v/>
      </c>
      <c r="BF228" s="106">
        <f>IF(C228="","",IFERROR(1/(1/_xlfn.MINIFS('Saisie'!$A$5:$A$2004,'Saisie'!$C$5:$C$2004,C228,'Saisie'!$AT$5:$AT$2004,"&gt;=4")),""))</f>
        <v/>
      </c>
      <c r="BG228" s="106">
        <f>IF(C228="","",IFERROR(1/(1/_xlfn.MINIFS('Saisie'!$A$5:$A$2004,'Saisie'!$C$5:$C$2004,C228,'Saisie'!$AT$5:$AT$2004,"&gt;=5")),""))</f>
        <v/>
      </c>
      <c r="BH228" s="106">
        <f>IF(C228="","",IFERROR(1/(1/_xlfn.MINIFS('Saisie'!$A$5:$A$2004,'Saisie'!$C$5:$C$2004,C228,'Saisie'!$AT$5:$AT$2004,"&gt;=6")),""))</f>
        <v/>
      </c>
      <c r="BI228" s="106">
        <f>IF(C228="","",IFERROR(1/(1/_xlfn.MINIFS('Saisie'!$A$5:$A$2004,'Saisie'!$C$5:$C$2004,C228,'Saisie'!$AT$5:$AT$2004,"&gt;=7")),""))</f>
        <v/>
      </c>
      <c r="BJ228" s="60">
        <f>IF(OR(BD228="",B228=""),"",BD228-B228)</f>
        <v/>
      </c>
      <c r="BK228" s="60">
        <f>IF(OR(BE228="",BD228=""),"",BE228-BD228)</f>
        <v/>
      </c>
      <c r="BL228" s="60">
        <f>IF(OR(BF228="",BE228=""),"",BF228-BE228)</f>
        <v/>
      </c>
      <c r="BM228" s="60">
        <f>IF(OR(BG228="",BF228=""),"",BG228-BF228)</f>
        <v/>
      </c>
      <c r="BN228" s="60">
        <f>IF(OR(BH228="",BG228=""),"",BH228-BG228)</f>
        <v/>
      </c>
      <c r="BO228" s="60">
        <f>IF(OR(BI228="",BH228=""),"",BI228-BH228)</f>
        <v/>
      </c>
      <c r="BP228" s="60">
        <f>IF(C228="","",_xlfn.MAXIFS('Saisie'!$AS$5:$AS$2004,'Saisie'!$C$5:$C$2004,C228,'Saisie'!$J$5:$J$2004,"&lt;&gt;"))</f>
        <v/>
      </c>
      <c r="BQ228" s="60">
        <f>IF(C228="","",_xlfn.MAXIFS('Saisie'!$AS$5:$AS$2004,'Saisie'!$C$5:$C$2004,C228))</f>
        <v/>
      </c>
      <c r="BR228" s="60">
        <f>IF(C228="","",_xlfn.MAXIFS('Saisie'!$AS$5:$AS$2004,'Saisie'!$C$5:$C$2004,C228,'Saisie'!$E$5:$E$2004,"Perdu"))</f>
        <v/>
      </c>
      <c r="BS228" s="60">
        <f>IF(C228="","",_xlfn.MAXIFS('Saisie'!$AS$5:$AS$2004,'Saisie'!$C$5:$C$2004,C228,'Saisie'!$AT$5:$AT$2004,"&gt;0"))</f>
        <v/>
      </c>
      <c r="BT228" s="109">
        <f>IF(AND(C228&lt;&gt;"",OR(D228="Nouveau",D228="Contacté",D228="Qualifié"),OR(G228="",N(G228)&lt;=TODAY()),NOT(AND(O228&gt;='Paramètres'!$B$21,P228=0))),E228+224/10000,"")</f>
        <v/>
      </c>
      <c r="BU228" s="60">
        <f>IF(AND(G228&lt;&gt;"",N(G228)&lt;=TODAY()),MAX($BU$4:BU227)+1,"")</f>
        <v/>
      </c>
      <c r="BV228" s="60">
        <f>IF(AND(F228&lt;&gt;"",F228&lt;&gt;"Relance en retard"),MAX($BV$4:BV227)+1,"")</f>
        <v/>
      </c>
      <c r="BW228" s="60">
        <f>IF(C228="","",IF(AND(B228&gt;='Tableau de bord'!$R$4,B228&lt;='Tableau de bord'!$S$4,OR('Tableau de bord'!$G$4="Tous",N228='Tableau de bord'!$G$4)),1,0))</f>
        <v/>
      </c>
      <c r="BX228" s="60">
        <f>IF(AND(C228&lt;&gt;"",N(BA228)=7),MAX($BX$4:BX227)+1,"")</f>
        <v/>
      </c>
    </row>
    <row r="229">
      <c r="A229" s="60">
        <f>IF(C229="","","P-"&amp;TEXT(225,"000"))</f>
        <v/>
      </c>
      <c r="B229" s="106">
        <f>IF(C229="","",IFERROR(1/(1/_xlfn.MINIFS('Saisie'!$A$5:$A$2004,'Saisie'!$C$5:$C$2004,C229)),""))</f>
        <v/>
      </c>
      <c r="C229" s="60">
        <f>IFERROR(INDEX('Saisie'!$C$5:$C$2004,MATCH(225,'Saisie'!$AX$5:$AX$2004,0)),"")</f>
        <v/>
      </c>
      <c r="D229" s="60">
        <f>IF(C229="","",IF(AND(BR229&gt;0,BR229&gt;BS229,BA229&lt;7),"Perdu",INDEX('Paramètres'!$F$6:$F$13,BA229)))</f>
        <v/>
      </c>
      <c r="E229" s="61">
        <f>IF(C229="","",MIN(100,(Z229="Oui")*'Paramètres'!$B$38+(AB229="Régulière")*'Paramètres'!$B$39+IF(AND(N(AA229)&gt;0,TODAY()-N(AA229)&lt;=30),'Paramètres'!$B$40,0)+(W229="")*'Paramètres'!$B$41+(AC229="Absente")*'Paramètres'!$B$42+(AC229="Faible")*'Paramètres'!$B$43+IF(AND(N(AD229)&gt;0,N(AD229)&lt;4),'Paramètres'!$B$44,0)+(AF229="Moyenne")*'Paramètres'!$B$45+(AF229="Grande")*'Paramètres'!$B$46+(Y229&lt;&gt;"")*'Paramètres'!$B$47))</f>
        <v/>
      </c>
      <c r="F229" s="60">
        <f>IF(C229="","",IF(D229="Gagné","",IF(D229="Perdu",IF(AND(AX229&lt;&gt;"",AX229&lt;=TODAY()),"À recontacter (perdu)",""),IF(AND(O229&gt;='Paramètres'!$B$21,P229=0),"Stop : "&amp;'Paramètres'!$B$21&amp;" tentatives sans réponse",IF(AND(D229="Proposition",AR229&lt;&gt;"",TODAY()&gt;N(AR229)),"Proposition expirée",IF(AND(D229="Proposition",N(R229)&gt;='Paramètres'!$B$25),"Proposition sans réponse",IF(AND(G229&lt;&gt;"",N(G229)&lt;TODAY()),"Relance en retard",IF(N(R229)&gt;='Paramètres'!$B$24,"Sans action depuis "&amp;R229&amp;" j",""))))))))</f>
        <v/>
      </c>
      <c r="G229" s="106">
        <f>IF(OR(C229="",D229="Gagné",D229="Perdu"),"",IF(AND(BP229&gt;0,BP229=BQ229),INDEX('Saisie'!$J$5:$J$2004,BP229-4),IF(OR(O229=0,AND(O229&gt;='Paramètres'!$B$21,P229=0)),"",Q229+IF(O229&lt;=1,'Paramètres'!$B$18,IF(O229=2,'Paramètres'!$B$19,'Paramètres'!$B$20)))))</f>
        <v/>
      </c>
      <c r="H229" s="107">
        <f>IF(OR(G229="",BP229&lt;&gt;BQ229),"",IF(INDEX('Saisie'!$K$5:$K$2004,BP229-4)="","",INDEX('Saisie'!$K$5:$K$2004,BP229-4)))</f>
        <v/>
      </c>
      <c r="I229" s="60">
        <f>IF(C229="","",IF(OR(D229="Gagné",D229="Perdu"),"",IFERROR(INDEX('Saisie'!$I$5:$I$2004,_xlfn.MAXIFS('Saisie'!$AS$5:$AS$2004,'Saisie'!$C$5:$C$2004,C229,'Saisie'!$I$5:$I$2004,"&lt;&gt;")-4),"")))</f>
        <v/>
      </c>
      <c r="J229" s="60">
        <f>IF(C229="","",IFERROR(INDEX('Saisie'!$U$5:$U$2004,_xlfn.MAXIFS('Saisie'!$AS$5:$AS$2004,'Saisie'!$C$5:$C$2004,C229,'Saisie'!$U$5:$U$2004,"&lt;&gt;")-4),""))</f>
        <v/>
      </c>
      <c r="K229" s="60">
        <f>IF(C229="","",IFERROR(INDEX('Saisie'!$W$5:$W$2004,_xlfn.MAXIFS('Saisie'!$AS$5:$AS$2004,'Saisie'!$C$5:$C$2004,C229,'Saisie'!$W$5:$W$2004,"&lt;&gt;")-4),""))</f>
        <v/>
      </c>
      <c r="L229" s="60">
        <f>IF(IF(BB229&lt;&gt;"",BB229,K229)="","",HYPERLINK("https://wa.me/"&amp;IF(LEFT(SUBSTITUTE(SUBSTITUTE(SUBSTITUTE(IF(BB229&lt;&gt;"",BB229,K229)," ",""),".",""),"+",""),1)="0",'Paramètres'!$B$35&amp;MID(SUBSTITUTE(SUBSTITUTE(SUBSTITUTE(IF(BB229&lt;&gt;"",BB229,K229)," ",""),".",""),"+",""),2,20),SUBSTITUTE(SUBSTITUTE(SUBSTITUTE(IF(BB229&lt;&gt;"",BB229,K229)," ",""),".",""),"+","")),"WhatsApp"))</f>
        <v/>
      </c>
      <c r="M229" s="60">
        <f>IF(BC229="","",HYPERLINK(IF(LEFT(BC229,4)="http",BC229,"https://www.instagram.com/"&amp;SUBSTITUTE(SUBSTITUTE(BC229,"@","")," ","")),BC229))</f>
        <v/>
      </c>
      <c r="N229" s="60">
        <f>IF(C229="","",IFERROR(INDEX('Saisie'!$D$5:$D$2004,_xlfn.MINIFS('Saisie'!$AS$5:$AS$2004,'Saisie'!$C$5:$C$2004,C229,'Saisie'!$AU$5:$AU$2004,1)-4),IFERROR(INDEX('Saisie'!$D$5:$D$2004,_xlfn.MINIFS('Saisie'!$AS$5:$AS$2004,'Saisie'!$C$5:$C$2004,C229,'Saisie'!$D$5:$D$2004,"&lt;&gt;")-4),"")))</f>
        <v/>
      </c>
      <c r="O229" s="60">
        <f>IF(C229="","",COUNTIFS('Saisie'!$C$5:$C$2004,C229,'Saisie'!$AU$5:$AU$2004,1))</f>
        <v/>
      </c>
      <c r="P229" s="60">
        <f>IF(C229="","",COUNTIFS('Saisie'!$C$5:$C$2004,C229,'Saisie'!$AV$5:$AV$2004,1))</f>
        <v/>
      </c>
      <c r="Q229" s="106">
        <f>IF(C229="","",IFERROR(1/(1/_xlfn.MAXIFS('Saisie'!$A$5:$A$2004,'Saisie'!$C$5:$C$2004,C229)),""))</f>
        <v/>
      </c>
      <c r="R229" s="61">
        <f>IF(C229="","",IF(Q229="","",TODAY()-Q229))</f>
        <v/>
      </c>
      <c r="S229" s="60">
        <f>IF(C229="","",IFERROR(INDEX('Saisie'!$R$5:$R$2004,_xlfn.MAXIFS('Saisie'!$AS$5:$AS$2004,'Saisie'!$C$5:$C$2004,C229,'Saisie'!$R$5:$R$2004,"&lt;&gt;")-4),""))</f>
        <v/>
      </c>
      <c r="T229" s="60">
        <f>IF(C229="","",IFERROR(INDEX('Saisie'!$S$5:$S$2004,_xlfn.MAXIFS('Saisie'!$AS$5:$AS$2004,'Saisie'!$C$5:$C$2004,C229,'Saisie'!$S$5:$S$2004,"&lt;&gt;")-4),""))</f>
        <v/>
      </c>
      <c r="U229" s="60">
        <f>IF(C229="","",IFERROR(INDEX('Saisie'!$T$5:$T$2004,_xlfn.MAXIFS('Saisie'!$AS$5:$AS$2004,'Saisie'!$C$5:$C$2004,C229,'Saisie'!$T$5:$T$2004,"&lt;&gt;")-4),""))</f>
        <v/>
      </c>
      <c r="V229" s="60">
        <f>IF(C229="","",IFERROR(INDEX('Saisie'!$V$5:$V$2004,_xlfn.MAXIFS('Saisie'!$AS$5:$AS$2004,'Saisie'!$C$5:$C$2004,C229,'Saisie'!$V$5:$V$2004,"&lt;&gt;")-4),""))</f>
        <v/>
      </c>
      <c r="W229" s="60">
        <f>IF(C229="","",IFERROR(INDEX('Saisie'!$Z$5:$Z$2004,_xlfn.MAXIFS('Saisie'!$AS$5:$AS$2004,'Saisie'!$C$5:$C$2004,C229,'Saisie'!$Z$5:$Z$2004,"&lt;&gt;")-4),""))</f>
        <v/>
      </c>
      <c r="X229" s="60">
        <f>IF(C229="","",IFERROR(INDEX('Saisie'!$AA$5:$AA$2004,_xlfn.MAXIFS('Saisie'!$AS$5:$AS$2004,'Saisie'!$C$5:$C$2004,C229,'Saisie'!$AA$5:$AA$2004,"&lt;&gt;")-4),""))</f>
        <v/>
      </c>
      <c r="Y229" s="60">
        <f>IF(C229="","",IFERROR(INDEX('Saisie'!$AB$5:$AB$2004,_xlfn.MAXIFS('Saisie'!$AS$5:$AS$2004,'Saisie'!$C$5:$C$2004,C229,'Saisie'!$AB$5:$AB$2004,"&lt;&gt;")-4),""))</f>
        <v/>
      </c>
      <c r="Z229" s="60">
        <f>IF(C229="","",IFERROR(INDEX('Saisie'!$AC$5:$AC$2004,_xlfn.MAXIFS('Saisie'!$AS$5:$AS$2004,'Saisie'!$C$5:$C$2004,C229,'Saisie'!$AC$5:$AC$2004,"&lt;&gt;")-4),""))</f>
        <v/>
      </c>
      <c r="AA229" s="106">
        <f>IF(C229="","",IFERROR(INDEX('Saisie'!$AD$5:$AD$2004,_xlfn.MAXIFS('Saisie'!$AS$5:$AS$2004,'Saisie'!$C$5:$C$2004,C229,'Saisie'!$AD$5:$AD$2004,"&lt;&gt;")-4),""))</f>
        <v/>
      </c>
      <c r="AB229" s="60">
        <f>IF(C229="","",IFERROR(INDEX('Saisie'!$AE$5:$AE$2004,_xlfn.MAXIFS('Saisie'!$AS$5:$AS$2004,'Saisie'!$C$5:$C$2004,C229,'Saisie'!$AE$5:$AE$2004,"&lt;&gt;")-4),""))</f>
        <v/>
      </c>
      <c r="AC229" s="60">
        <f>IF(C229="","",IFERROR(INDEX('Saisie'!$AF$5:$AF$2004,_xlfn.MAXIFS('Saisie'!$AS$5:$AS$2004,'Saisie'!$C$5:$C$2004,C229,'Saisie'!$AF$5:$AF$2004,"&lt;&gt;")-4),""))</f>
        <v/>
      </c>
      <c r="AD229" s="108">
        <f>IF(C229="","",IFERROR(INDEX('Saisie'!$AG$5:$AG$2004,_xlfn.MAXIFS('Saisie'!$AS$5:$AS$2004,'Saisie'!$C$5:$C$2004,C229,'Saisie'!$AG$5:$AG$2004,"&lt;&gt;")-4),""))</f>
        <v/>
      </c>
      <c r="AE229" s="60">
        <f>IF(C229="","",IFERROR(INDEX('Saisie'!$AH$5:$AH$2004,_xlfn.MAXIFS('Saisie'!$AS$5:$AS$2004,'Saisie'!$C$5:$C$2004,C229,'Saisie'!$AH$5:$AH$2004,"&lt;&gt;")-4),""))</f>
        <v/>
      </c>
      <c r="AF229" s="60">
        <f>IF(C229="","",IFERROR(INDEX('Saisie'!$AI$5:$AI$2004,_xlfn.MAXIFS('Saisie'!$AS$5:$AS$2004,'Saisie'!$C$5:$C$2004,C229,'Saisie'!$AI$5:$AI$2004,"&lt;&gt;")-4),""))</f>
        <v/>
      </c>
      <c r="AG229" s="60">
        <f>IF(C229="","",IFERROR(INDEX('Saisie'!$AJ$5:$AJ$2004,_xlfn.MAXIFS('Saisie'!$AS$5:$AS$2004,'Saisie'!$C$5:$C$2004,C229,'Saisie'!$AJ$5:$AJ$2004,"&lt;&gt;")-4),""))</f>
        <v/>
      </c>
      <c r="AH229" s="60">
        <f>IF(C229="","",IFERROR(INDEX('Saisie'!$AK$5:$AK$2004,_xlfn.MAXIFS('Saisie'!$AS$5:$AS$2004,'Saisie'!$C$5:$C$2004,C229,'Saisie'!$AK$5:$AK$2004,"&lt;&gt;")-4),""))</f>
        <v/>
      </c>
      <c r="AI229" s="60">
        <f>IF(C229="","",IFERROR(INDEX('Saisie'!$AN$5:$AN$2004,_xlfn.MAXIFS('Saisie'!$AS$5:$AS$2004,'Saisie'!$C$5:$C$2004,C229,'Saisie'!$AN$5:$AN$2004,"&lt;&gt;")-4),""))</f>
        <v/>
      </c>
      <c r="AJ229" s="60">
        <f>IF(C229="","",IFERROR(INDEX('Saisie'!$AO$5:$AO$2004,_xlfn.MAXIFS('Saisie'!$AS$5:$AS$2004,'Saisie'!$C$5:$C$2004,C229,'Saisie'!$AO$5:$AO$2004,"&lt;&gt;")-4),""))</f>
        <v/>
      </c>
      <c r="AK229" s="60">
        <f>IF(C229="","",IFERROR(INDEX('Saisie'!$AP$5:$AP$2004,_xlfn.MAXIFS('Saisie'!$AS$5:$AS$2004,'Saisie'!$C$5:$C$2004,C229,'Saisie'!$AP$5:$AP$2004,"&lt;&gt;")-4),""))</f>
        <v/>
      </c>
      <c r="AL229" s="60">
        <f>IF(C229="","",IFERROR(INDEX('Saisie'!$AQ$5:$AQ$2004,_xlfn.MAXIFS('Saisie'!$AS$5:$AS$2004,'Saisie'!$C$5:$C$2004,C229,'Saisie'!$AQ$5:$AQ$2004,"&lt;&gt;")-4),""))</f>
        <v/>
      </c>
      <c r="AM229" s="60">
        <f>IF(C229="","",((AI229="Oui")+(AJ229="Oui")+(AK229="Oui")+OR(AL229="Immédiat",AL229="&lt; 1 mois"))&amp;"/4")</f>
        <v/>
      </c>
      <c r="AN229" s="60">
        <f>IF(C229="","",IFERROR(INDEX('Saisie'!$AL$5:$AL$2004,_xlfn.MAXIFS('Saisie'!$AS$5:$AS$2004,'Saisie'!$C$5:$C$2004,C229,'Saisie'!$AL$5:$AL$2004,"&lt;&gt;")-4),""))</f>
        <v/>
      </c>
      <c r="AO229" s="62">
        <f>IF(C229="","",IF(IFERROR(INDEX('Saisie'!$AM$5:$AM$2004,_xlfn.MAXIFS('Saisie'!$AS$5:$AS$2004,'Saisie'!$C$5:$C$2004,C229,'Saisie'!$AM$5:$AM$2004,"&lt;&gt;")-4),"")&lt;&gt;"",IFERROR(INDEX('Saisie'!$AM$5:$AM$2004,_xlfn.MAXIFS('Saisie'!$AS$5:$AS$2004,'Saisie'!$C$5:$C$2004,C229,'Saisie'!$AM$5:$AM$2004,"&lt;&gt;")-4),""),IFERROR(INDEX('Paramètres'!$S$6:$S$15,MATCH(AN229,'Paramètres'!$Q$6:$Q$15,0)),"")))</f>
        <v/>
      </c>
      <c r="AP229" s="62">
        <f>IF(C229="","",IFERROR(INDEX('Saisie'!$AW$5:$AW$2004,_xlfn.MAXIFS('Saisie'!$AS$5:$AS$2004,'Saisie'!$C$5:$C$2004,C229,'Saisie'!$E$5:$E$2004,"Proposition envoyée")-4),""))</f>
        <v/>
      </c>
      <c r="AQ229" s="106">
        <f>IF(C229="","",IFERROR(1/(1/_xlfn.MAXIFS('Saisie'!$A$5:$A$2004,'Saisie'!$C$5:$C$2004,C229,'Saisie'!$E$5:$E$2004,"Proposition envoyée")),""))</f>
        <v/>
      </c>
      <c r="AR229" s="106">
        <f>IF(C229="","",IF(AQ229="","",AQ229+'Paramètres'!$B$26))</f>
        <v/>
      </c>
      <c r="AS229" s="62">
        <f>IF(OR(C229="",D229="Gagné",D229="Perdu"),0,N(AP229)*IFERROR(INDEX('Paramètres'!$G$6:$G$13,MATCH(D229,'Paramètres'!$F$6:$F$13,0)),0))</f>
        <v/>
      </c>
      <c r="AT229" s="106">
        <f>IF(C229="","",IFERROR(1/(1/_xlfn.MINIFS('Saisie'!$A$5:$A$2004,'Saisie'!$C$5:$C$2004,C229,'Saisie'!$E$5:$E$2004,"Signature")),""))</f>
        <v/>
      </c>
      <c r="AU229" s="60">
        <f>IF(C229="","",IF(OR(AT229="",B229=""),"",AT229-B229))</f>
        <v/>
      </c>
      <c r="AV229" s="60">
        <f>IF(C229="","",IFERROR(INDEX('Saisie'!$L$5:$L$2004,_xlfn.MAXIFS('Saisie'!$AS$5:$AS$2004,'Saisie'!$C$5:$C$2004,C229,'Saisie'!$L$5:$L$2004,"&lt;&gt;")-4),""))</f>
        <v/>
      </c>
      <c r="AW229" s="106">
        <f>IF(C229="","",IF(D229&lt;&gt;"Perdu","",IFERROR(1/(1/_xlfn.MAXIFS('Saisie'!$A$5:$A$2004,'Saisie'!$C$5:$C$2004,C229,'Saisie'!$E$5:$E$2004,"Perdu")),"")))</f>
        <v/>
      </c>
      <c r="AX229" s="106">
        <f>IF(C229="","",IF(AW229="","",AW229+'Paramètres'!$B$28))</f>
        <v/>
      </c>
      <c r="AY229" s="60">
        <f>IF(C229="","",SUMIFS('Saisie'!$H$5:$H$2004,'Saisie'!$C$5:$C$2004,C229))</f>
        <v/>
      </c>
      <c r="AZ229" s="60">
        <f>IF(C229="","",IFERROR(INDEX('Paramètres'!$W$6:$W$20,MATCH(S229,'Paramètres'!$V$6:$V$20,0))&amp;"",""))</f>
        <v/>
      </c>
      <c r="BA229" s="60">
        <f>IF(C229="","",MAX(1,_xlfn.MAXIFS('Saisie'!$AT$5:$AT$2004,'Saisie'!$C$5:$C$2004,C229)))</f>
        <v/>
      </c>
      <c r="BB229" s="60">
        <f>IF(C229="","",IFERROR(INDEX('Saisie'!$X$5:$X$2004,_xlfn.MAXIFS('Saisie'!$AS$5:$AS$2004,'Saisie'!$C$5:$C$2004,C229,'Saisie'!$X$5:$X$2004,"&lt;&gt;")-4),""))</f>
        <v/>
      </c>
      <c r="BC229" s="60">
        <f>IF(C229="","",IFERROR(INDEX('Saisie'!$Y$5:$Y$2004,_xlfn.MAXIFS('Saisie'!$AS$5:$AS$2004,'Saisie'!$C$5:$C$2004,C229,'Saisie'!$Y$5:$Y$2004,"&lt;&gt;")-4),""))</f>
        <v/>
      </c>
      <c r="BD229" s="106">
        <f>IF(C229="","",IFERROR(1/(1/_xlfn.MINIFS('Saisie'!$A$5:$A$2004,'Saisie'!$C$5:$C$2004,C229,'Saisie'!$AT$5:$AT$2004,"&gt;=2")),""))</f>
        <v/>
      </c>
      <c r="BE229" s="106">
        <f>IF(C229="","",IFERROR(1/(1/_xlfn.MINIFS('Saisie'!$A$5:$A$2004,'Saisie'!$C$5:$C$2004,C229,'Saisie'!$AT$5:$AT$2004,"&gt;=3")),""))</f>
        <v/>
      </c>
      <c r="BF229" s="106">
        <f>IF(C229="","",IFERROR(1/(1/_xlfn.MINIFS('Saisie'!$A$5:$A$2004,'Saisie'!$C$5:$C$2004,C229,'Saisie'!$AT$5:$AT$2004,"&gt;=4")),""))</f>
        <v/>
      </c>
      <c r="BG229" s="106">
        <f>IF(C229="","",IFERROR(1/(1/_xlfn.MINIFS('Saisie'!$A$5:$A$2004,'Saisie'!$C$5:$C$2004,C229,'Saisie'!$AT$5:$AT$2004,"&gt;=5")),""))</f>
        <v/>
      </c>
      <c r="BH229" s="106">
        <f>IF(C229="","",IFERROR(1/(1/_xlfn.MINIFS('Saisie'!$A$5:$A$2004,'Saisie'!$C$5:$C$2004,C229,'Saisie'!$AT$5:$AT$2004,"&gt;=6")),""))</f>
        <v/>
      </c>
      <c r="BI229" s="106">
        <f>IF(C229="","",IFERROR(1/(1/_xlfn.MINIFS('Saisie'!$A$5:$A$2004,'Saisie'!$C$5:$C$2004,C229,'Saisie'!$AT$5:$AT$2004,"&gt;=7")),""))</f>
        <v/>
      </c>
      <c r="BJ229" s="60">
        <f>IF(OR(BD229="",B229=""),"",BD229-B229)</f>
        <v/>
      </c>
      <c r="BK229" s="60">
        <f>IF(OR(BE229="",BD229=""),"",BE229-BD229)</f>
        <v/>
      </c>
      <c r="BL229" s="60">
        <f>IF(OR(BF229="",BE229=""),"",BF229-BE229)</f>
        <v/>
      </c>
      <c r="BM229" s="60">
        <f>IF(OR(BG229="",BF229=""),"",BG229-BF229)</f>
        <v/>
      </c>
      <c r="BN229" s="60">
        <f>IF(OR(BH229="",BG229=""),"",BH229-BG229)</f>
        <v/>
      </c>
      <c r="BO229" s="60">
        <f>IF(OR(BI229="",BH229=""),"",BI229-BH229)</f>
        <v/>
      </c>
      <c r="BP229" s="60">
        <f>IF(C229="","",_xlfn.MAXIFS('Saisie'!$AS$5:$AS$2004,'Saisie'!$C$5:$C$2004,C229,'Saisie'!$J$5:$J$2004,"&lt;&gt;"))</f>
        <v/>
      </c>
      <c r="BQ229" s="60">
        <f>IF(C229="","",_xlfn.MAXIFS('Saisie'!$AS$5:$AS$2004,'Saisie'!$C$5:$C$2004,C229))</f>
        <v/>
      </c>
      <c r="BR229" s="60">
        <f>IF(C229="","",_xlfn.MAXIFS('Saisie'!$AS$5:$AS$2004,'Saisie'!$C$5:$C$2004,C229,'Saisie'!$E$5:$E$2004,"Perdu"))</f>
        <v/>
      </c>
      <c r="BS229" s="60">
        <f>IF(C229="","",_xlfn.MAXIFS('Saisie'!$AS$5:$AS$2004,'Saisie'!$C$5:$C$2004,C229,'Saisie'!$AT$5:$AT$2004,"&gt;0"))</f>
        <v/>
      </c>
      <c r="BT229" s="109">
        <f>IF(AND(C229&lt;&gt;"",OR(D229="Nouveau",D229="Contacté",D229="Qualifié"),OR(G229="",N(G229)&lt;=TODAY()),NOT(AND(O229&gt;='Paramètres'!$B$21,P229=0))),E229+225/10000,"")</f>
        <v/>
      </c>
      <c r="BU229" s="60">
        <f>IF(AND(G229&lt;&gt;"",N(G229)&lt;=TODAY()),MAX($BU$4:BU228)+1,"")</f>
        <v/>
      </c>
      <c r="BV229" s="60">
        <f>IF(AND(F229&lt;&gt;"",F229&lt;&gt;"Relance en retard"),MAX($BV$4:BV228)+1,"")</f>
        <v/>
      </c>
      <c r="BW229" s="60">
        <f>IF(C229="","",IF(AND(B229&gt;='Tableau de bord'!$R$4,B229&lt;='Tableau de bord'!$S$4,OR('Tableau de bord'!$G$4="Tous",N229='Tableau de bord'!$G$4)),1,0))</f>
        <v/>
      </c>
      <c r="BX229" s="60">
        <f>IF(AND(C229&lt;&gt;"",N(BA229)=7),MAX($BX$4:BX228)+1,"")</f>
        <v/>
      </c>
    </row>
    <row r="230">
      <c r="A230" s="60">
        <f>IF(C230="","","P-"&amp;TEXT(226,"000"))</f>
        <v/>
      </c>
      <c r="B230" s="106">
        <f>IF(C230="","",IFERROR(1/(1/_xlfn.MINIFS('Saisie'!$A$5:$A$2004,'Saisie'!$C$5:$C$2004,C230)),""))</f>
        <v/>
      </c>
      <c r="C230" s="60">
        <f>IFERROR(INDEX('Saisie'!$C$5:$C$2004,MATCH(226,'Saisie'!$AX$5:$AX$2004,0)),"")</f>
        <v/>
      </c>
      <c r="D230" s="60">
        <f>IF(C230="","",IF(AND(BR230&gt;0,BR230&gt;BS230,BA230&lt;7),"Perdu",INDEX('Paramètres'!$F$6:$F$13,BA230)))</f>
        <v/>
      </c>
      <c r="E230" s="61">
        <f>IF(C230="","",MIN(100,(Z230="Oui")*'Paramètres'!$B$38+(AB230="Régulière")*'Paramètres'!$B$39+IF(AND(N(AA230)&gt;0,TODAY()-N(AA230)&lt;=30),'Paramètres'!$B$40,0)+(W230="")*'Paramètres'!$B$41+(AC230="Absente")*'Paramètres'!$B$42+(AC230="Faible")*'Paramètres'!$B$43+IF(AND(N(AD230)&gt;0,N(AD230)&lt;4),'Paramètres'!$B$44,0)+(AF230="Moyenne")*'Paramètres'!$B$45+(AF230="Grande")*'Paramètres'!$B$46+(Y230&lt;&gt;"")*'Paramètres'!$B$47))</f>
        <v/>
      </c>
      <c r="F230" s="60">
        <f>IF(C230="","",IF(D230="Gagné","",IF(D230="Perdu",IF(AND(AX230&lt;&gt;"",AX230&lt;=TODAY()),"À recontacter (perdu)",""),IF(AND(O230&gt;='Paramètres'!$B$21,P230=0),"Stop : "&amp;'Paramètres'!$B$21&amp;" tentatives sans réponse",IF(AND(D230="Proposition",AR230&lt;&gt;"",TODAY()&gt;N(AR230)),"Proposition expirée",IF(AND(D230="Proposition",N(R230)&gt;='Paramètres'!$B$25),"Proposition sans réponse",IF(AND(G230&lt;&gt;"",N(G230)&lt;TODAY()),"Relance en retard",IF(N(R230)&gt;='Paramètres'!$B$24,"Sans action depuis "&amp;R230&amp;" j",""))))))))</f>
        <v/>
      </c>
      <c r="G230" s="106">
        <f>IF(OR(C230="",D230="Gagné",D230="Perdu"),"",IF(AND(BP230&gt;0,BP230=BQ230),INDEX('Saisie'!$J$5:$J$2004,BP230-4),IF(OR(O230=0,AND(O230&gt;='Paramètres'!$B$21,P230=0)),"",Q230+IF(O230&lt;=1,'Paramètres'!$B$18,IF(O230=2,'Paramètres'!$B$19,'Paramètres'!$B$20)))))</f>
        <v/>
      </c>
      <c r="H230" s="107">
        <f>IF(OR(G230="",BP230&lt;&gt;BQ230),"",IF(INDEX('Saisie'!$K$5:$K$2004,BP230-4)="","",INDEX('Saisie'!$K$5:$K$2004,BP230-4)))</f>
        <v/>
      </c>
      <c r="I230" s="60">
        <f>IF(C230="","",IF(OR(D230="Gagné",D230="Perdu"),"",IFERROR(INDEX('Saisie'!$I$5:$I$2004,_xlfn.MAXIFS('Saisie'!$AS$5:$AS$2004,'Saisie'!$C$5:$C$2004,C230,'Saisie'!$I$5:$I$2004,"&lt;&gt;")-4),"")))</f>
        <v/>
      </c>
      <c r="J230" s="60">
        <f>IF(C230="","",IFERROR(INDEX('Saisie'!$U$5:$U$2004,_xlfn.MAXIFS('Saisie'!$AS$5:$AS$2004,'Saisie'!$C$5:$C$2004,C230,'Saisie'!$U$5:$U$2004,"&lt;&gt;")-4),""))</f>
        <v/>
      </c>
      <c r="K230" s="60">
        <f>IF(C230="","",IFERROR(INDEX('Saisie'!$W$5:$W$2004,_xlfn.MAXIFS('Saisie'!$AS$5:$AS$2004,'Saisie'!$C$5:$C$2004,C230,'Saisie'!$W$5:$W$2004,"&lt;&gt;")-4),""))</f>
        <v/>
      </c>
      <c r="L230" s="60">
        <f>IF(IF(BB230&lt;&gt;"",BB230,K230)="","",HYPERLINK("https://wa.me/"&amp;IF(LEFT(SUBSTITUTE(SUBSTITUTE(SUBSTITUTE(IF(BB230&lt;&gt;"",BB230,K230)," ",""),".",""),"+",""),1)="0",'Paramètres'!$B$35&amp;MID(SUBSTITUTE(SUBSTITUTE(SUBSTITUTE(IF(BB230&lt;&gt;"",BB230,K230)," ",""),".",""),"+",""),2,20),SUBSTITUTE(SUBSTITUTE(SUBSTITUTE(IF(BB230&lt;&gt;"",BB230,K230)," ",""),".",""),"+","")),"WhatsApp"))</f>
        <v/>
      </c>
      <c r="M230" s="60">
        <f>IF(BC230="","",HYPERLINK(IF(LEFT(BC230,4)="http",BC230,"https://www.instagram.com/"&amp;SUBSTITUTE(SUBSTITUTE(BC230,"@","")," ","")),BC230))</f>
        <v/>
      </c>
      <c r="N230" s="60">
        <f>IF(C230="","",IFERROR(INDEX('Saisie'!$D$5:$D$2004,_xlfn.MINIFS('Saisie'!$AS$5:$AS$2004,'Saisie'!$C$5:$C$2004,C230,'Saisie'!$AU$5:$AU$2004,1)-4),IFERROR(INDEX('Saisie'!$D$5:$D$2004,_xlfn.MINIFS('Saisie'!$AS$5:$AS$2004,'Saisie'!$C$5:$C$2004,C230,'Saisie'!$D$5:$D$2004,"&lt;&gt;")-4),"")))</f>
        <v/>
      </c>
      <c r="O230" s="60">
        <f>IF(C230="","",COUNTIFS('Saisie'!$C$5:$C$2004,C230,'Saisie'!$AU$5:$AU$2004,1))</f>
        <v/>
      </c>
      <c r="P230" s="60">
        <f>IF(C230="","",COUNTIFS('Saisie'!$C$5:$C$2004,C230,'Saisie'!$AV$5:$AV$2004,1))</f>
        <v/>
      </c>
      <c r="Q230" s="106">
        <f>IF(C230="","",IFERROR(1/(1/_xlfn.MAXIFS('Saisie'!$A$5:$A$2004,'Saisie'!$C$5:$C$2004,C230)),""))</f>
        <v/>
      </c>
      <c r="R230" s="61">
        <f>IF(C230="","",IF(Q230="","",TODAY()-Q230))</f>
        <v/>
      </c>
      <c r="S230" s="60">
        <f>IF(C230="","",IFERROR(INDEX('Saisie'!$R$5:$R$2004,_xlfn.MAXIFS('Saisie'!$AS$5:$AS$2004,'Saisie'!$C$5:$C$2004,C230,'Saisie'!$R$5:$R$2004,"&lt;&gt;")-4),""))</f>
        <v/>
      </c>
      <c r="T230" s="60">
        <f>IF(C230="","",IFERROR(INDEX('Saisie'!$S$5:$S$2004,_xlfn.MAXIFS('Saisie'!$AS$5:$AS$2004,'Saisie'!$C$5:$C$2004,C230,'Saisie'!$S$5:$S$2004,"&lt;&gt;")-4),""))</f>
        <v/>
      </c>
      <c r="U230" s="60">
        <f>IF(C230="","",IFERROR(INDEX('Saisie'!$T$5:$T$2004,_xlfn.MAXIFS('Saisie'!$AS$5:$AS$2004,'Saisie'!$C$5:$C$2004,C230,'Saisie'!$T$5:$T$2004,"&lt;&gt;")-4),""))</f>
        <v/>
      </c>
      <c r="V230" s="60">
        <f>IF(C230="","",IFERROR(INDEX('Saisie'!$V$5:$V$2004,_xlfn.MAXIFS('Saisie'!$AS$5:$AS$2004,'Saisie'!$C$5:$C$2004,C230,'Saisie'!$V$5:$V$2004,"&lt;&gt;")-4),""))</f>
        <v/>
      </c>
      <c r="W230" s="60">
        <f>IF(C230="","",IFERROR(INDEX('Saisie'!$Z$5:$Z$2004,_xlfn.MAXIFS('Saisie'!$AS$5:$AS$2004,'Saisie'!$C$5:$C$2004,C230,'Saisie'!$Z$5:$Z$2004,"&lt;&gt;")-4),""))</f>
        <v/>
      </c>
      <c r="X230" s="60">
        <f>IF(C230="","",IFERROR(INDEX('Saisie'!$AA$5:$AA$2004,_xlfn.MAXIFS('Saisie'!$AS$5:$AS$2004,'Saisie'!$C$5:$C$2004,C230,'Saisie'!$AA$5:$AA$2004,"&lt;&gt;")-4),""))</f>
        <v/>
      </c>
      <c r="Y230" s="60">
        <f>IF(C230="","",IFERROR(INDEX('Saisie'!$AB$5:$AB$2004,_xlfn.MAXIFS('Saisie'!$AS$5:$AS$2004,'Saisie'!$C$5:$C$2004,C230,'Saisie'!$AB$5:$AB$2004,"&lt;&gt;")-4),""))</f>
        <v/>
      </c>
      <c r="Z230" s="60">
        <f>IF(C230="","",IFERROR(INDEX('Saisie'!$AC$5:$AC$2004,_xlfn.MAXIFS('Saisie'!$AS$5:$AS$2004,'Saisie'!$C$5:$C$2004,C230,'Saisie'!$AC$5:$AC$2004,"&lt;&gt;")-4),""))</f>
        <v/>
      </c>
      <c r="AA230" s="106">
        <f>IF(C230="","",IFERROR(INDEX('Saisie'!$AD$5:$AD$2004,_xlfn.MAXIFS('Saisie'!$AS$5:$AS$2004,'Saisie'!$C$5:$C$2004,C230,'Saisie'!$AD$5:$AD$2004,"&lt;&gt;")-4),""))</f>
        <v/>
      </c>
      <c r="AB230" s="60">
        <f>IF(C230="","",IFERROR(INDEX('Saisie'!$AE$5:$AE$2004,_xlfn.MAXIFS('Saisie'!$AS$5:$AS$2004,'Saisie'!$C$5:$C$2004,C230,'Saisie'!$AE$5:$AE$2004,"&lt;&gt;")-4),""))</f>
        <v/>
      </c>
      <c r="AC230" s="60">
        <f>IF(C230="","",IFERROR(INDEX('Saisie'!$AF$5:$AF$2004,_xlfn.MAXIFS('Saisie'!$AS$5:$AS$2004,'Saisie'!$C$5:$C$2004,C230,'Saisie'!$AF$5:$AF$2004,"&lt;&gt;")-4),""))</f>
        <v/>
      </c>
      <c r="AD230" s="108">
        <f>IF(C230="","",IFERROR(INDEX('Saisie'!$AG$5:$AG$2004,_xlfn.MAXIFS('Saisie'!$AS$5:$AS$2004,'Saisie'!$C$5:$C$2004,C230,'Saisie'!$AG$5:$AG$2004,"&lt;&gt;")-4),""))</f>
        <v/>
      </c>
      <c r="AE230" s="60">
        <f>IF(C230="","",IFERROR(INDEX('Saisie'!$AH$5:$AH$2004,_xlfn.MAXIFS('Saisie'!$AS$5:$AS$2004,'Saisie'!$C$5:$C$2004,C230,'Saisie'!$AH$5:$AH$2004,"&lt;&gt;")-4),""))</f>
        <v/>
      </c>
      <c r="AF230" s="60">
        <f>IF(C230="","",IFERROR(INDEX('Saisie'!$AI$5:$AI$2004,_xlfn.MAXIFS('Saisie'!$AS$5:$AS$2004,'Saisie'!$C$5:$C$2004,C230,'Saisie'!$AI$5:$AI$2004,"&lt;&gt;")-4),""))</f>
        <v/>
      </c>
      <c r="AG230" s="60">
        <f>IF(C230="","",IFERROR(INDEX('Saisie'!$AJ$5:$AJ$2004,_xlfn.MAXIFS('Saisie'!$AS$5:$AS$2004,'Saisie'!$C$5:$C$2004,C230,'Saisie'!$AJ$5:$AJ$2004,"&lt;&gt;")-4),""))</f>
        <v/>
      </c>
      <c r="AH230" s="60">
        <f>IF(C230="","",IFERROR(INDEX('Saisie'!$AK$5:$AK$2004,_xlfn.MAXIFS('Saisie'!$AS$5:$AS$2004,'Saisie'!$C$5:$C$2004,C230,'Saisie'!$AK$5:$AK$2004,"&lt;&gt;")-4),""))</f>
        <v/>
      </c>
      <c r="AI230" s="60">
        <f>IF(C230="","",IFERROR(INDEX('Saisie'!$AN$5:$AN$2004,_xlfn.MAXIFS('Saisie'!$AS$5:$AS$2004,'Saisie'!$C$5:$C$2004,C230,'Saisie'!$AN$5:$AN$2004,"&lt;&gt;")-4),""))</f>
        <v/>
      </c>
      <c r="AJ230" s="60">
        <f>IF(C230="","",IFERROR(INDEX('Saisie'!$AO$5:$AO$2004,_xlfn.MAXIFS('Saisie'!$AS$5:$AS$2004,'Saisie'!$C$5:$C$2004,C230,'Saisie'!$AO$5:$AO$2004,"&lt;&gt;")-4),""))</f>
        <v/>
      </c>
      <c r="AK230" s="60">
        <f>IF(C230="","",IFERROR(INDEX('Saisie'!$AP$5:$AP$2004,_xlfn.MAXIFS('Saisie'!$AS$5:$AS$2004,'Saisie'!$C$5:$C$2004,C230,'Saisie'!$AP$5:$AP$2004,"&lt;&gt;")-4),""))</f>
        <v/>
      </c>
      <c r="AL230" s="60">
        <f>IF(C230="","",IFERROR(INDEX('Saisie'!$AQ$5:$AQ$2004,_xlfn.MAXIFS('Saisie'!$AS$5:$AS$2004,'Saisie'!$C$5:$C$2004,C230,'Saisie'!$AQ$5:$AQ$2004,"&lt;&gt;")-4),""))</f>
        <v/>
      </c>
      <c r="AM230" s="60">
        <f>IF(C230="","",((AI230="Oui")+(AJ230="Oui")+(AK230="Oui")+OR(AL230="Immédiat",AL230="&lt; 1 mois"))&amp;"/4")</f>
        <v/>
      </c>
      <c r="AN230" s="60">
        <f>IF(C230="","",IFERROR(INDEX('Saisie'!$AL$5:$AL$2004,_xlfn.MAXIFS('Saisie'!$AS$5:$AS$2004,'Saisie'!$C$5:$C$2004,C230,'Saisie'!$AL$5:$AL$2004,"&lt;&gt;")-4),""))</f>
        <v/>
      </c>
      <c r="AO230" s="62">
        <f>IF(C230="","",IF(IFERROR(INDEX('Saisie'!$AM$5:$AM$2004,_xlfn.MAXIFS('Saisie'!$AS$5:$AS$2004,'Saisie'!$C$5:$C$2004,C230,'Saisie'!$AM$5:$AM$2004,"&lt;&gt;")-4),"")&lt;&gt;"",IFERROR(INDEX('Saisie'!$AM$5:$AM$2004,_xlfn.MAXIFS('Saisie'!$AS$5:$AS$2004,'Saisie'!$C$5:$C$2004,C230,'Saisie'!$AM$5:$AM$2004,"&lt;&gt;")-4),""),IFERROR(INDEX('Paramètres'!$S$6:$S$15,MATCH(AN230,'Paramètres'!$Q$6:$Q$15,0)),"")))</f>
        <v/>
      </c>
      <c r="AP230" s="62">
        <f>IF(C230="","",IFERROR(INDEX('Saisie'!$AW$5:$AW$2004,_xlfn.MAXIFS('Saisie'!$AS$5:$AS$2004,'Saisie'!$C$5:$C$2004,C230,'Saisie'!$E$5:$E$2004,"Proposition envoyée")-4),""))</f>
        <v/>
      </c>
      <c r="AQ230" s="106">
        <f>IF(C230="","",IFERROR(1/(1/_xlfn.MAXIFS('Saisie'!$A$5:$A$2004,'Saisie'!$C$5:$C$2004,C230,'Saisie'!$E$5:$E$2004,"Proposition envoyée")),""))</f>
        <v/>
      </c>
      <c r="AR230" s="106">
        <f>IF(C230="","",IF(AQ230="","",AQ230+'Paramètres'!$B$26))</f>
        <v/>
      </c>
      <c r="AS230" s="62">
        <f>IF(OR(C230="",D230="Gagné",D230="Perdu"),0,N(AP230)*IFERROR(INDEX('Paramètres'!$G$6:$G$13,MATCH(D230,'Paramètres'!$F$6:$F$13,0)),0))</f>
        <v/>
      </c>
      <c r="AT230" s="106">
        <f>IF(C230="","",IFERROR(1/(1/_xlfn.MINIFS('Saisie'!$A$5:$A$2004,'Saisie'!$C$5:$C$2004,C230,'Saisie'!$E$5:$E$2004,"Signature")),""))</f>
        <v/>
      </c>
      <c r="AU230" s="60">
        <f>IF(C230="","",IF(OR(AT230="",B230=""),"",AT230-B230))</f>
        <v/>
      </c>
      <c r="AV230" s="60">
        <f>IF(C230="","",IFERROR(INDEX('Saisie'!$L$5:$L$2004,_xlfn.MAXIFS('Saisie'!$AS$5:$AS$2004,'Saisie'!$C$5:$C$2004,C230,'Saisie'!$L$5:$L$2004,"&lt;&gt;")-4),""))</f>
        <v/>
      </c>
      <c r="AW230" s="106">
        <f>IF(C230="","",IF(D230&lt;&gt;"Perdu","",IFERROR(1/(1/_xlfn.MAXIFS('Saisie'!$A$5:$A$2004,'Saisie'!$C$5:$C$2004,C230,'Saisie'!$E$5:$E$2004,"Perdu")),"")))</f>
        <v/>
      </c>
      <c r="AX230" s="106">
        <f>IF(C230="","",IF(AW230="","",AW230+'Paramètres'!$B$28))</f>
        <v/>
      </c>
      <c r="AY230" s="60">
        <f>IF(C230="","",SUMIFS('Saisie'!$H$5:$H$2004,'Saisie'!$C$5:$C$2004,C230))</f>
        <v/>
      </c>
      <c r="AZ230" s="60">
        <f>IF(C230="","",IFERROR(INDEX('Paramètres'!$W$6:$W$20,MATCH(S230,'Paramètres'!$V$6:$V$20,0))&amp;"",""))</f>
        <v/>
      </c>
      <c r="BA230" s="60">
        <f>IF(C230="","",MAX(1,_xlfn.MAXIFS('Saisie'!$AT$5:$AT$2004,'Saisie'!$C$5:$C$2004,C230)))</f>
        <v/>
      </c>
      <c r="BB230" s="60">
        <f>IF(C230="","",IFERROR(INDEX('Saisie'!$X$5:$X$2004,_xlfn.MAXIFS('Saisie'!$AS$5:$AS$2004,'Saisie'!$C$5:$C$2004,C230,'Saisie'!$X$5:$X$2004,"&lt;&gt;")-4),""))</f>
        <v/>
      </c>
      <c r="BC230" s="60">
        <f>IF(C230="","",IFERROR(INDEX('Saisie'!$Y$5:$Y$2004,_xlfn.MAXIFS('Saisie'!$AS$5:$AS$2004,'Saisie'!$C$5:$C$2004,C230,'Saisie'!$Y$5:$Y$2004,"&lt;&gt;")-4),""))</f>
        <v/>
      </c>
      <c r="BD230" s="106">
        <f>IF(C230="","",IFERROR(1/(1/_xlfn.MINIFS('Saisie'!$A$5:$A$2004,'Saisie'!$C$5:$C$2004,C230,'Saisie'!$AT$5:$AT$2004,"&gt;=2")),""))</f>
        <v/>
      </c>
      <c r="BE230" s="106">
        <f>IF(C230="","",IFERROR(1/(1/_xlfn.MINIFS('Saisie'!$A$5:$A$2004,'Saisie'!$C$5:$C$2004,C230,'Saisie'!$AT$5:$AT$2004,"&gt;=3")),""))</f>
        <v/>
      </c>
      <c r="BF230" s="106">
        <f>IF(C230="","",IFERROR(1/(1/_xlfn.MINIFS('Saisie'!$A$5:$A$2004,'Saisie'!$C$5:$C$2004,C230,'Saisie'!$AT$5:$AT$2004,"&gt;=4")),""))</f>
        <v/>
      </c>
      <c r="BG230" s="106">
        <f>IF(C230="","",IFERROR(1/(1/_xlfn.MINIFS('Saisie'!$A$5:$A$2004,'Saisie'!$C$5:$C$2004,C230,'Saisie'!$AT$5:$AT$2004,"&gt;=5")),""))</f>
        <v/>
      </c>
      <c r="BH230" s="106">
        <f>IF(C230="","",IFERROR(1/(1/_xlfn.MINIFS('Saisie'!$A$5:$A$2004,'Saisie'!$C$5:$C$2004,C230,'Saisie'!$AT$5:$AT$2004,"&gt;=6")),""))</f>
        <v/>
      </c>
      <c r="BI230" s="106">
        <f>IF(C230="","",IFERROR(1/(1/_xlfn.MINIFS('Saisie'!$A$5:$A$2004,'Saisie'!$C$5:$C$2004,C230,'Saisie'!$AT$5:$AT$2004,"&gt;=7")),""))</f>
        <v/>
      </c>
      <c r="BJ230" s="60">
        <f>IF(OR(BD230="",B230=""),"",BD230-B230)</f>
        <v/>
      </c>
      <c r="BK230" s="60">
        <f>IF(OR(BE230="",BD230=""),"",BE230-BD230)</f>
        <v/>
      </c>
      <c r="BL230" s="60">
        <f>IF(OR(BF230="",BE230=""),"",BF230-BE230)</f>
        <v/>
      </c>
      <c r="BM230" s="60">
        <f>IF(OR(BG230="",BF230=""),"",BG230-BF230)</f>
        <v/>
      </c>
      <c r="BN230" s="60">
        <f>IF(OR(BH230="",BG230=""),"",BH230-BG230)</f>
        <v/>
      </c>
      <c r="BO230" s="60">
        <f>IF(OR(BI230="",BH230=""),"",BI230-BH230)</f>
        <v/>
      </c>
      <c r="BP230" s="60">
        <f>IF(C230="","",_xlfn.MAXIFS('Saisie'!$AS$5:$AS$2004,'Saisie'!$C$5:$C$2004,C230,'Saisie'!$J$5:$J$2004,"&lt;&gt;"))</f>
        <v/>
      </c>
      <c r="BQ230" s="60">
        <f>IF(C230="","",_xlfn.MAXIFS('Saisie'!$AS$5:$AS$2004,'Saisie'!$C$5:$C$2004,C230))</f>
        <v/>
      </c>
      <c r="BR230" s="60">
        <f>IF(C230="","",_xlfn.MAXIFS('Saisie'!$AS$5:$AS$2004,'Saisie'!$C$5:$C$2004,C230,'Saisie'!$E$5:$E$2004,"Perdu"))</f>
        <v/>
      </c>
      <c r="BS230" s="60">
        <f>IF(C230="","",_xlfn.MAXIFS('Saisie'!$AS$5:$AS$2004,'Saisie'!$C$5:$C$2004,C230,'Saisie'!$AT$5:$AT$2004,"&gt;0"))</f>
        <v/>
      </c>
      <c r="BT230" s="109">
        <f>IF(AND(C230&lt;&gt;"",OR(D230="Nouveau",D230="Contacté",D230="Qualifié"),OR(G230="",N(G230)&lt;=TODAY()),NOT(AND(O230&gt;='Paramètres'!$B$21,P230=0))),E230+226/10000,"")</f>
        <v/>
      </c>
      <c r="BU230" s="60">
        <f>IF(AND(G230&lt;&gt;"",N(G230)&lt;=TODAY()),MAX($BU$4:BU229)+1,"")</f>
        <v/>
      </c>
      <c r="BV230" s="60">
        <f>IF(AND(F230&lt;&gt;"",F230&lt;&gt;"Relance en retard"),MAX($BV$4:BV229)+1,"")</f>
        <v/>
      </c>
      <c r="BW230" s="60">
        <f>IF(C230="","",IF(AND(B230&gt;='Tableau de bord'!$R$4,B230&lt;='Tableau de bord'!$S$4,OR('Tableau de bord'!$G$4="Tous",N230='Tableau de bord'!$G$4)),1,0))</f>
        <v/>
      </c>
      <c r="BX230" s="60">
        <f>IF(AND(C230&lt;&gt;"",N(BA230)=7),MAX($BX$4:BX229)+1,"")</f>
        <v/>
      </c>
    </row>
    <row r="231">
      <c r="A231" s="60">
        <f>IF(C231="","","P-"&amp;TEXT(227,"000"))</f>
        <v/>
      </c>
      <c r="B231" s="106">
        <f>IF(C231="","",IFERROR(1/(1/_xlfn.MINIFS('Saisie'!$A$5:$A$2004,'Saisie'!$C$5:$C$2004,C231)),""))</f>
        <v/>
      </c>
      <c r="C231" s="60">
        <f>IFERROR(INDEX('Saisie'!$C$5:$C$2004,MATCH(227,'Saisie'!$AX$5:$AX$2004,0)),"")</f>
        <v/>
      </c>
      <c r="D231" s="60">
        <f>IF(C231="","",IF(AND(BR231&gt;0,BR231&gt;BS231,BA231&lt;7),"Perdu",INDEX('Paramètres'!$F$6:$F$13,BA231)))</f>
        <v/>
      </c>
      <c r="E231" s="61">
        <f>IF(C231="","",MIN(100,(Z231="Oui")*'Paramètres'!$B$38+(AB231="Régulière")*'Paramètres'!$B$39+IF(AND(N(AA231)&gt;0,TODAY()-N(AA231)&lt;=30),'Paramètres'!$B$40,0)+(W231="")*'Paramètres'!$B$41+(AC231="Absente")*'Paramètres'!$B$42+(AC231="Faible")*'Paramètres'!$B$43+IF(AND(N(AD231)&gt;0,N(AD231)&lt;4),'Paramètres'!$B$44,0)+(AF231="Moyenne")*'Paramètres'!$B$45+(AF231="Grande")*'Paramètres'!$B$46+(Y231&lt;&gt;"")*'Paramètres'!$B$47))</f>
        <v/>
      </c>
      <c r="F231" s="60">
        <f>IF(C231="","",IF(D231="Gagné","",IF(D231="Perdu",IF(AND(AX231&lt;&gt;"",AX231&lt;=TODAY()),"À recontacter (perdu)",""),IF(AND(O231&gt;='Paramètres'!$B$21,P231=0),"Stop : "&amp;'Paramètres'!$B$21&amp;" tentatives sans réponse",IF(AND(D231="Proposition",AR231&lt;&gt;"",TODAY()&gt;N(AR231)),"Proposition expirée",IF(AND(D231="Proposition",N(R231)&gt;='Paramètres'!$B$25),"Proposition sans réponse",IF(AND(G231&lt;&gt;"",N(G231)&lt;TODAY()),"Relance en retard",IF(N(R231)&gt;='Paramètres'!$B$24,"Sans action depuis "&amp;R231&amp;" j",""))))))))</f>
        <v/>
      </c>
      <c r="G231" s="106">
        <f>IF(OR(C231="",D231="Gagné",D231="Perdu"),"",IF(AND(BP231&gt;0,BP231=BQ231),INDEX('Saisie'!$J$5:$J$2004,BP231-4),IF(OR(O231=0,AND(O231&gt;='Paramètres'!$B$21,P231=0)),"",Q231+IF(O231&lt;=1,'Paramètres'!$B$18,IF(O231=2,'Paramètres'!$B$19,'Paramètres'!$B$20)))))</f>
        <v/>
      </c>
      <c r="H231" s="107">
        <f>IF(OR(G231="",BP231&lt;&gt;BQ231),"",IF(INDEX('Saisie'!$K$5:$K$2004,BP231-4)="","",INDEX('Saisie'!$K$5:$K$2004,BP231-4)))</f>
        <v/>
      </c>
      <c r="I231" s="60">
        <f>IF(C231="","",IF(OR(D231="Gagné",D231="Perdu"),"",IFERROR(INDEX('Saisie'!$I$5:$I$2004,_xlfn.MAXIFS('Saisie'!$AS$5:$AS$2004,'Saisie'!$C$5:$C$2004,C231,'Saisie'!$I$5:$I$2004,"&lt;&gt;")-4),"")))</f>
        <v/>
      </c>
      <c r="J231" s="60">
        <f>IF(C231="","",IFERROR(INDEX('Saisie'!$U$5:$U$2004,_xlfn.MAXIFS('Saisie'!$AS$5:$AS$2004,'Saisie'!$C$5:$C$2004,C231,'Saisie'!$U$5:$U$2004,"&lt;&gt;")-4),""))</f>
        <v/>
      </c>
      <c r="K231" s="60">
        <f>IF(C231="","",IFERROR(INDEX('Saisie'!$W$5:$W$2004,_xlfn.MAXIFS('Saisie'!$AS$5:$AS$2004,'Saisie'!$C$5:$C$2004,C231,'Saisie'!$W$5:$W$2004,"&lt;&gt;")-4),""))</f>
        <v/>
      </c>
      <c r="L231" s="60">
        <f>IF(IF(BB231&lt;&gt;"",BB231,K231)="","",HYPERLINK("https://wa.me/"&amp;IF(LEFT(SUBSTITUTE(SUBSTITUTE(SUBSTITUTE(IF(BB231&lt;&gt;"",BB231,K231)," ",""),".",""),"+",""),1)="0",'Paramètres'!$B$35&amp;MID(SUBSTITUTE(SUBSTITUTE(SUBSTITUTE(IF(BB231&lt;&gt;"",BB231,K231)," ",""),".",""),"+",""),2,20),SUBSTITUTE(SUBSTITUTE(SUBSTITUTE(IF(BB231&lt;&gt;"",BB231,K231)," ",""),".",""),"+","")),"WhatsApp"))</f>
        <v/>
      </c>
      <c r="M231" s="60">
        <f>IF(BC231="","",HYPERLINK(IF(LEFT(BC231,4)="http",BC231,"https://www.instagram.com/"&amp;SUBSTITUTE(SUBSTITUTE(BC231,"@","")," ","")),BC231))</f>
        <v/>
      </c>
      <c r="N231" s="60">
        <f>IF(C231="","",IFERROR(INDEX('Saisie'!$D$5:$D$2004,_xlfn.MINIFS('Saisie'!$AS$5:$AS$2004,'Saisie'!$C$5:$C$2004,C231,'Saisie'!$AU$5:$AU$2004,1)-4),IFERROR(INDEX('Saisie'!$D$5:$D$2004,_xlfn.MINIFS('Saisie'!$AS$5:$AS$2004,'Saisie'!$C$5:$C$2004,C231,'Saisie'!$D$5:$D$2004,"&lt;&gt;")-4),"")))</f>
        <v/>
      </c>
      <c r="O231" s="60">
        <f>IF(C231="","",COUNTIFS('Saisie'!$C$5:$C$2004,C231,'Saisie'!$AU$5:$AU$2004,1))</f>
        <v/>
      </c>
      <c r="P231" s="60">
        <f>IF(C231="","",COUNTIFS('Saisie'!$C$5:$C$2004,C231,'Saisie'!$AV$5:$AV$2004,1))</f>
        <v/>
      </c>
      <c r="Q231" s="106">
        <f>IF(C231="","",IFERROR(1/(1/_xlfn.MAXIFS('Saisie'!$A$5:$A$2004,'Saisie'!$C$5:$C$2004,C231)),""))</f>
        <v/>
      </c>
      <c r="R231" s="61">
        <f>IF(C231="","",IF(Q231="","",TODAY()-Q231))</f>
        <v/>
      </c>
      <c r="S231" s="60">
        <f>IF(C231="","",IFERROR(INDEX('Saisie'!$R$5:$R$2004,_xlfn.MAXIFS('Saisie'!$AS$5:$AS$2004,'Saisie'!$C$5:$C$2004,C231,'Saisie'!$R$5:$R$2004,"&lt;&gt;")-4),""))</f>
        <v/>
      </c>
      <c r="T231" s="60">
        <f>IF(C231="","",IFERROR(INDEX('Saisie'!$S$5:$S$2004,_xlfn.MAXIFS('Saisie'!$AS$5:$AS$2004,'Saisie'!$C$5:$C$2004,C231,'Saisie'!$S$5:$S$2004,"&lt;&gt;")-4),""))</f>
        <v/>
      </c>
      <c r="U231" s="60">
        <f>IF(C231="","",IFERROR(INDEX('Saisie'!$T$5:$T$2004,_xlfn.MAXIFS('Saisie'!$AS$5:$AS$2004,'Saisie'!$C$5:$C$2004,C231,'Saisie'!$T$5:$T$2004,"&lt;&gt;")-4),""))</f>
        <v/>
      </c>
      <c r="V231" s="60">
        <f>IF(C231="","",IFERROR(INDEX('Saisie'!$V$5:$V$2004,_xlfn.MAXIFS('Saisie'!$AS$5:$AS$2004,'Saisie'!$C$5:$C$2004,C231,'Saisie'!$V$5:$V$2004,"&lt;&gt;")-4),""))</f>
        <v/>
      </c>
      <c r="W231" s="60">
        <f>IF(C231="","",IFERROR(INDEX('Saisie'!$Z$5:$Z$2004,_xlfn.MAXIFS('Saisie'!$AS$5:$AS$2004,'Saisie'!$C$5:$C$2004,C231,'Saisie'!$Z$5:$Z$2004,"&lt;&gt;")-4),""))</f>
        <v/>
      </c>
      <c r="X231" s="60">
        <f>IF(C231="","",IFERROR(INDEX('Saisie'!$AA$5:$AA$2004,_xlfn.MAXIFS('Saisie'!$AS$5:$AS$2004,'Saisie'!$C$5:$C$2004,C231,'Saisie'!$AA$5:$AA$2004,"&lt;&gt;")-4),""))</f>
        <v/>
      </c>
      <c r="Y231" s="60">
        <f>IF(C231="","",IFERROR(INDEX('Saisie'!$AB$5:$AB$2004,_xlfn.MAXIFS('Saisie'!$AS$5:$AS$2004,'Saisie'!$C$5:$C$2004,C231,'Saisie'!$AB$5:$AB$2004,"&lt;&gt;")-4),""))</f>
        <v/>
      </c>
      <c r="Z231" s="60">
        <f>IF(C231="","",IFERROR(INDEX('Saisie'!$AC$5:$AC$2004,_xlfn.MAXIFS('Saisie'!$AS$5:$AS$2004,'Saisie'!$C$5:$C$2004,C231,'Saisie'!$AC$5:$AC$2004,"&lt;&gt;")-4),""))</f>
        <v/>
      </c>
      <c r="AA231" s="106">
        <f>IF(C231="","",IFERROR(INDEX('Saisie'!$AD$5:$AD$2004,_xlfn.MAXIFS('Saisie'!$AS$5:$AS$2004,'Saisie'!$C$5:$C$2004,C231,'Saisie'!$AD$5:$AD$2004,"&lt;&gt;")-4),""))</f>
        <v/>
      </c>
      <c r="AB231" s="60">
        <f>IF(C231="","",IFERROR(INDEX('Saisie'!$AE$5:$AE$2004,_xlfn.MAXIFS('Saisie'!$AS$5:$AS$2004,'Saisie'!$C$5:$C$2004,C231,'Saisie'!$AE$5:$AE$2004,"&lt;&gt;")-4),""))</f>
        <v/>
      </c>
      <c r="AC231" s="60">
        <f>IF(C231="","",IFERROR(INDEX('Saisie'!$AF$5:$AF$2004,_xlfn.MAXIFS('Saisie'!$AS$5:$AS$2004,'Saisie'!$C$5:$C$2004,C231,'Saisie'!$AF$5:$AF$2004,"&lt;&gt;")-4),""))</f>
        <v/>
      </c>
      <c r="AD231" s="108">
        <f>IF(C231="","",IFERROR(INDEX('Saisie'!$AG$5:$AG$2004,_xlfn.MAXIFS('Saisie'!$AS$5:$AS$2004,'Saisie'!$C$5:$C$2004,C231,'Saisie'!$AG$5:$AG$2004,"&lt;&gt;")-4),""))</f>
        <v/>
      </c>
      <c r="AE231" s="60">
        <f>IF(C231="","",IFERROR(INDEX('Saisie'!$AH$5:$AH$2004,_xlfn.MAXIFS('Saisie'!$AS$5:$AS$2004,'Saisie'!$C$5:$C$2004,C231,'Saisie'!$AH$5:$AH$2004,"&lt;&gt;")-4),""))</f>
        <v/>
      </c>
      <c r="AF231" s="60">
        <f>IF(C231="","",IFERROR(INDEX('Saisie'!$AI$5:$AI$2004,_xlfn.MAXIFS('Saisie'!$AS$5:$AS$2004,'Saisie'!$C$5:$C$2004,C231,'Saisie'!$AI$5:$AI$2004,"&lt;&gt;")-4),""))</f>
        <v/>
      </c>
      <c r="AG231" s="60">
        <f>IF(C231="","",IFERROR(INDEX('Saisie'!$AJ$5:$AJ$2004,_xlfn.MAXIFS('Saisie'!$AS$5:$AS$2004,'Saisie'!$C$5:$C$2004,C231,'Saisie'!$AJ$5:$AJ$2004,"&lt;&gt;")-4),""))</f>
        <v/>
      </c>
      <c r="AH231" s="60">
        <f>IF(C231="","",IFERROR(INDEX('Saisie'!$AK$5:$AK$2004,_xlfn.MAXIFS('Saisie'!$AS$5:$AS$2004,'Saisie'!$C$5:$C$2004,C231,'Saisie'!$AK$5:$AK$2004,"&lt;&gt;")-4),""))</f>
        <v/>
      </c>
      <c r="AI231" s="60">
        <f>IF(C231="","",IFERROR(INDEX('Saisie'!$AN$5:$AN$2004,_xlfn.MAXIFS('Saisie'!$AS$5:$AS$2004,'Saisie'!$C$5:$C$2004,C231,'Saisie'!$AN$5:$AN$2004,"&lt;&gt;")-4),""))</f>
        <v/>
      </c>
      <c r="AJ231" s="60">
        <f>IF(C231="","",IFERROR(INDEX('Saisie'!$AO$5:$AO$2004,_xlfn.MAXIFS('Saisie'!$AS$5:$AS$2004,'Saisie'!$C$5:$C$2004,C231,'Saisie'!$AO$5:$AO$2004,"&lt;&gt;")-4),""))</f>
        <v/>
      </c>
      <c r="AK231" s="60">
        <f>IF(C231="","",IFERROR(INDEX('Saisie'!$AP$5:$AP$2004,_xlfn.MAXIFS('Saisie'!$AS$5:$AS$2004,'Saisie'!$C$5:$C$2004,C231,'Saisie'!$AP$5:$AP$2004,"&lt;&gt;")-4),""))</f>
        <v/>
      </c>
      <c r="AL231" s="60">
        <f>IF(C231="","",IFERROR(INDEX('Saisie'!$AQ$5:$AQ$2004,_xlfn.MAXIFS('Saisie'!$AS$5:$AS$2004,'Saisie'!$C$5:$C$2004,C231,'Saisie'!$AQ$5:$AQ$2004,"&lt;&gt;")-4),""))</f>
        <v/>
      </c>
      <c r="AM231" s="60">
        <f>IF(C231="","",((AI231="Oui")+(AJ231="Oui")+(AK231="Oui")+OR(AL231="Immédiat",AL231="&lt; 1 mois"))&amp;"/4")</f>
        <v/>
      </c>
      <c r="AN231" s="60">
        <f>IF(C231="","",IFERROR(INDEX('Saisie'!$AL$5:$AL$2004,_xlfn.MAXIFS('Saisie'!$AS$5:$AS$2004,'Saisie'!$C$5:$C$2004,C231,'Saisie'!$AL$5:$AL$2004,"&lt;&gt;")-4),""))</f>
        <v/>
      </c>
      <c r="AO231" s="62">
        <f>IF(C231="","",IF(IFERROR(INDEX('Saisie'!$AM$5:$AM$2004,_xlfn.MAXIFS('Saisie'!$AS$5:$AS$2004,'Saisie'!$C$5:$C$2004,C231,'Saisie'!$AM$5:$AM$2004,"&lt;&gt;")-4),"")&lt;&gt;"",IFERROR(INDEX('Saisie'!$AM$5:$AM$2004,_xlfn.MAXIFS('Saisie'!$AS$5:$AS$2004,'Saisie'!$C$5:$C$2004,C231,'Saisie'!$AM$5:$AM$2004,"&lt;&gt;")-4),""),IFERROR(INDEX('Paramètres'!$S$6:$S$15,MATCH(AN231,'Paramètres'!$Q$6:$Q$15,0)),"")))</f>
        <v/>
      </c>
      <c r="AP231" s="62">
        <f>IF(C231="","",IFERROR(INDEX('Saisie'!$AW$5:$AW$2004,_xlfn.MAXIFS('Saisie'!$AS$5:$AS$2004,'Saisie'!$C$5:$C$2004,C231,'Saisie'!$E$5:$E$2004,"Proposition envoyée")-4),""))</f>
        <v/>
      </c>
      <c r="AQ231" s="106">
        <f>IF(C231="","",IFERROR(1/(1/_xlfn.MAXIFS('Saisie'!$A$5:$A$2004,'Saisie'!$C$5:$C$2004,C231,'Saisie'!$E$5:$E$2004,"Proposition envoyée")),""))</f>
        <v/>
      </c>
      <c r="AR231" s="106">
        <f>IF(C231="","",IF(AQ231="","",AQ231+'Paramètres'!$B$26))</f>
        <v/>
      </c>
      <c r="AS231" s="62">
        <f>IF(OR(C231="",D231="Gagné",D231="Perdu"),0,N(AP231)*IFERROR(INDEX('Paramètres'!$G$6:$G$13,MATCH(D231,'Paramètres'!$F$6:$F$13,0)),0))</f>
        <v/>
      </c>
      <c r="AT231" s="106">
        <f>IF(C231="","",IFERROR(1/(1/_xlfn.MINIFS('Saisie'!$A$5:$A$2004,'Saisie'!$C$5:$C$2004,C231,'Saisie'!$E$5:$E$2004,"Signature")),""))</f>
        <v/>
      </c>
      <c r="AU231" s="60">
        <f>IF(C231="","",IF(OR(AT231="",B231=""),"",AT231-B231))</f>
        <v/>
      </c>
      <c r="AV231" s="60">
        <f>IF(C231="","",IFERROR(INDEX('Saisie'!$L$5:$L$2004,_xlfn.MAXIFS('Saisie'!$AS$5:$AS$2004,'Saisie'!$C$5:$C$2004,C231,'Saisie'!$L$5:$L$2004,"&lt;&gt;")-4),""))</f>
        <v/>
      </c>
      <c r="AW231" s="106">
        <f>IF(C231="","",IF(D231&lt;&gt;"Perdu","",IFERROR(1/(1/_xlfn.MAXIFS('Saisie'!$A$5:$A$2004,'Saisie'!$C$5:$C$2004,C231,'Saisie'!$E$5:$E$2004,"Perdu")),"")))</f>
        <v/>
      </c>
      <c r="AX231" s="106">
        <f>IF(C231="","",IF(AW231="","",AW231+'Paramètres'!$B$28))</f>
        <v/>
      </c>
      <c r="AY231" s="60">
        <f>IF(C231="","",SUMIFS('Saisie'!$H$5:$H$2004,'Saisie'!$C$5:$C$2004,C231))</f>
        <v/>
      </c>
      <c r="AZ231" s="60">
        <f>IF(C231="","",IFERROR(INDEX('Paramètres'!$W$6:$W$20,MATCH(S231,'Paramètres'!$V$6:$V$20,0))&amp;"",""))</f>
        <v/>
      </c>
      <c r="BA231" s="60">
        <f>IF(C231="","",MAX(1,_xlfn.MAXIFS('Saisie'!$AT$5:$AT$2004,'Saisie'!$C$5:$C$2004,C231)))</f>
        <v/>
      </c>
      <c r="BB231" s="60">
        <f>IF(C231="","",IFERROR(INDEX('Saisie'!$X$5:$X$2004,_xlfn.MAXIFS('Saisie'!$AS$5:$AS$2004,'Saisie'!$C$5:$C$2004,C231,'Saisie'!$X$5:$X$2004,"&lt;&gt;")-4),""))</f>
        <v/>
      </c>
      <c r="BC231" s="60">
        <f>IF(C231="","",IFERROR(INDEX('Saisie'!$Y$5:$Y$2004,_xlfn.MAXIFS('Saisie'!$AS$5:$AS$2004,'Saisie'!$C$5:$C$2004,C231,'Saisie'!$Y$5:$Y$2004,"&lt;&gt;")-4),""))</f>
        <v/>
      </c>
      <c r="BD231" s="106">
        <f>IF(C231="","",IFERROR(1/(1/_xlfn.MINIFS('Saisie'!$A$5:$A$2004,'Saisie'!$C$5:$C$2004,C231,'Saisie'!$AT$5:$AT$2004,"&gt;=2")),""))</f>
        <v/>
      </c>
      <c r="BE231" s="106">
        <f>IF(C231="","",IFERROR(1/(1/_xlfn.MINIFS('Saisie'!$A$5:$A$2004,'Saisie'!$C$5:$C$2004,C231,'Saisie'!$AT$5:$AT$2004,"&gt;=3")),""))</f>
        <v/>
      </c>
      <c r="BF231" s="106">
        <f>IF(C231="","",IFERROR(1/(1/_xlfn.MINIFS('Saisie'!$A$5:$A$2004,'Saisie'!$C$5:$C$2004,C231,'Saisie'!$AT$5:$AT$2004,"&gt;=4")),""))</f>
        <v/>
      </c>
      <c r="BG231" s="106">
        <f>IF(C231="","",IFERROR(1/(1/_xlfn.MINIFS('Saisie'!$A$5:$A$2004,'Saisie'!$C$5:$C$2004,C231,'Saisie'!$AT$5:$AT$2004,"&gt;=5")),""))</f>
        <v/>
      </c>
      <c r="BH231" s="106">
        <f>IF(C231="","",IFERROR(1/(1/_xlfn.MINIFS('Saisie'!$A$5:$A$2004,'Saisie'!$C$5:$C$2004,C231,'Saisie'!$AT$5:$AT$2004,"&gt;=6")),""))</f>
        <v/>
      </c>
      <c r="BI231" s="106">
        <f>IF(C231="","",IFERROR(1/(1/_xlfn.MINIFS('Saisie'!$A$5:$A$2004,'Saisie'!$C$5:$C$2004,C231,'Saisie'!$AT$5:$AT$2004,"&gt;=7")),""))</f>
        <v/>
      </c>
      <c r="BJ231" s="60">
        <f>IF(OR(BD231="",B231=""),"",BD231-B231)</f>
        <v/>
      </c>
      <c r="BK231" s="60">
        <f>IF(OR(BE231="",BD231=""),"",BE231-BD231)</f>
        <v/>
      </c>
      <c r="BL231" s="60">
        <f>IF(OR(BF231="",BE231=""),"",BF231-BE231)</f>
        <v/>
      </c>
      <c r="BM231" s="60">
        <f>IF(OR(BG231="",BF231=""),"",BG231-BF231)</f>
        <v/>
      </c>
      <c r="BN231" s="60">
        <f>IF(OR(BH231="",BG231=""),"",BH231-BG231)</f>
        <v/>
      </c>
      <c r="BO231" s="60">
        <f>IF(OR(BI231="",BH231=""),"",BI231-BH231)</f>
        <v/>
      </c>
      <c r="BP231" s="60">
        <f>IF(C231="","",_xlfn.MAXIFS('Saisie'!$AS$5:$AS$2004,'Saisie'!$C$5:$C$2004,C231,'Saisie'!$J$5:$J$2004,"&lt;&gt;"))</f>
        <v/>
      </c>
      <c r="BQ231" s="60">
        <f>IF(C231="","",_xlfn.MAXIFS('Saisie'!$AS$5:$AS$2004,'Saisie'!$C$5:$C$2004,C231))</f>
        <v/>
      </c>
      <c r="BR231" s="60">
        <f>IF(C231="","",_xlfn.MAXIFS('Saisie'!$AS$5:$AS$2004,'Saisie'!$C$5:$C$2004,C231,'Saisie'!$E$5:$E$2004,"Perdu"))</f>
        <v/>
      </c>
      <c r="BS231" s="60">
        <f>IF(C231="","",_xlfn.MAXIFS('Saisie'!$AS$5:$AS$2004,'Saisie'!$C$5:$C$2004,C231,'Saisie'!$AT$5:$AT$2004,"&gt;0"))</f>
        <v/>
      </c>
      <c r="BT231" s="109">
        <f>IF(AND(C231&lt;&gt;"",OR(D231="Nouveau",D231="Contacté",D231="Qualifié"),OR(G231="",N(G231)&lt;=TODAY()),NOT(AND(O231&gt;='Paramètres'!$B$21,P231=0))),E231+227/10000,"")</f>
        <v/>
      </c>
      <c r="BU231" s="60">
        <f>IF(AND(G231&lt;&gt;"",N(G231)&lt;=TODAY()),MAX($BU$4:BU230)+1,"")</f>
        <v/>
      </c>
      <c r="BV231" s="60">
        <f>IF(AND(F231&lt;&gt;"",F231&lt;&gt;"Relance en retard"),MAX($BV$4:BV230)+1,"")</f>
        <v/>
      </c>
      <c r="BW231" s="60">
        <f>IF(C231="","",IF(AND(B231&gt;='Tableau de bord'!$R$4,B231&lt;='Tableau de bord'!$S$4,OR('Tableau de bord'!$G$4="Tous",N231='Tableau de bord'!$G$4)),1,0))</f>
        <v/>
      </c>
      <c r="BX231" s="60">
        <f>IF(AND(C231&lt;&gt;"",N(BA231)=7),MAX($BX$4:BX230)+1,"")</f>
        <v/>
      </c>
    </row>
    <row r="232">
      <c r="A232" s="60">
        <f>IF(C232="","","P-"&amp;TEXT(228,"000"))</f>
        <v/>
      </c>
      <c r="B232" s="106">
        <f>IF(C232="","",IFERROR(1/(1/_xlfn.MINIFS('Saisie'!$A$5:$A$2004,'Saisie'!$C$5:$C$2004,C232)),""))</f>
        <v/>
      </c>
      <c r="C232" s="60">
        <f>IFERROR(INDEX('Saisie'!$C$5:$C$2004,MATCH(228,'Saisie'!$AX$5:$AX$2004,0)),"")</f>
        <v/>
      </c>
      <c r="D232" s="60">
        <f>IF(C232="","",IF(AND(BR232&gt;0,BR232&gt;BS232,BA232&lt;7),"Perdu",INDEX('Paramètres'!$F$6:$F$13,BA232)))</f>
        <v/>
      </c>
      <c r="E232" s="61">
        <f>IF(C232="","",MIN(100,(Z232="Oui")*'Paramètres'!$B$38+(AB232="Régulière")*'Paramètres'!$B$39+IF(AND(N(AA232)&gt;0,TODAY()-N(AA232)&lt;=30),'Paramètres'!$B$40,0)+(W232="")*'Paramètres'!$B$41+(AC232="Absente")*'Paramètres'!$B$42+(AC232="Faible")*'Paramètres'!$B$43+IF(AND(N(AD232)&gt;0,N(AD232)&lt;4),'Paramètres'!$B$44,0)+(AF232="Moyenne")*'Paramètres'!$B$45+(AF232="Grande")*'Paramètres'!$B$46+(Y232&lt;&gt;"")*'Paramètres'!$B$47))</f>
        <v/>
      </c>
      <c r="F232" s="60">
        <f>IF(C232="","",IF(D232="Gagné","",IF(D232="Perdu",IF(AND(AX232&lt;&gt;"",AX232&lt;=TODAY()),"À recontacter (perdu)",""),IF(AND(O232&gt;='Paramètres'!$B$21,P232=0),"Stop : "&amp;'Paramètres'!$B$21&amp;" tentatives sans réponse",IF(AND(D232="Proposition",AR232&lt;&gt;"",TODAY()&gt;N(AR232)),"Proposition expirée",IF(AND(D232="Proposition",N(R232)&gt;='Paramètres'!$B$25),"Proposition sans réponse",IF(AND(G232&lt;&gt;"",N(G232)&lt;TODAY()),"Relance en retard",IF(N(R232)&gt;='Paramètres'!$B$24,"Sans action depuis "&amp;R232&amp;" j",""))))))))</f>
        <v/>
      </c>
      <c r="G232" s="106">
        <f>IF(OR(C232="",D232="Gagné",D232="Perdu"),"",IF(AND(BP232&gt;0,BP232=BQ232),INDEX('Saisie'!$J$5:$J$2004,BP232-4),IF(OR(O232=0,AND(O232&gt;='Paramètres'!$B$21,P232=0)),"",Q232+IF(O232&lt;=1,'Paramètres'!$B$18,IF(O232=2,'Paramètres'!$B$19,'Paramètres'!$B$20)))))</f>
        <v/>
      </c>
      <c r="H232" s="107">
        <f>IF(OR(G232="",BP232&lt;&gt;BQ232),"",IF(INDEX('Saisie'!$K$5:$K$2004,BP232-4)="","",INDEX('Saisie'!$K$5:$K$2004,BP232-4)))</f>
        <v/>
      </c>
      <c r="I232" s="60">
        <f>IF(C232="","",IF(OR(D232="Gagné",D232="Perdu"),"",IFERROR(INDEX('Saisie'!$I$5:$I$2004,_xlfn.MAXIFS('Saisie'!$AS$5:$AS$2004,'Saisie'!$C$5:$C$2004,C232,'Saisie'!$I$5:$I$2004,"&lt;&gt;")-4),"")))</f>
        <v/>
      </c>
      <c r="J232" s="60">
        <f>IF(C232="","",IFERROR(INDEX('Saisie'!$U$5:$U$2004,_xlfn.MAXIFS('Saisie'!$AS$5:$AS$2004,'Saisie'!$C$5:$C$2004,C232,'Saisie'!$U$5:$U$2004,"&lt;&gt;")-4),""))</f>
        <v/>
      </c>
      <c r="K232" s="60">
        <f>IF(C232="","",IFERROR(INDEX('Saisie'!$W$5:$W$2004,_xlfn.MAXIFS('Saisie'!$AS$5:$AS$2004,'Saisie'!$C$5:$C$2004,C232,'Saisie'!$W$5:$W$2004,"&lt;&gt;")-4),""))</f>
        <v/>
      </c>
      <c r="L232" s="60">
        <f>IF(IF(BB232&lt;&gt;"",BB232,K232)="","",HYPERLINK("https://wa.me/"&amp;IF(LEFT(SUBSTITUTE(SUBSTITUTE(SUBSTITUTE(IF(BB232&lt;&gt;"",BB232,K232)," ",""),".",""),"+",""),1)="0",'Paramètres'!$B$35&amp;MID(SUBSTITUTE(SUBSTITUTE(SUBSTITUTE(IF(BB232&lt;&gt;"",BB232,K232)," ",""),".",""),"+",""),2,20),SUBSTITUTE(SUBSTITUTE(SUBSTITUTE(IF(BB232&lt;&gt;"",BB232,K232)," ",""),".",""),"+","")),"WhatsApp"))</f>
        <v/>
      </c>
      <c r="M232" s="60">
        <f>IF(BC232="","",HYPERLINK(IF(LEFT(BC232,4)="http",BC232,"https://www.instagram.com/"&amp;SUBSTITUTE(SUBSTITUTE(BC232,"@","")," ","")),BC232))</f>
        <v/>
      </c>
      <c r="N232" s="60">
        <f>IF(C232="","",IFERROR(INDEX('Saisie'!$D$5:$D$2004,_xlfn.MINIFS('Saisie'!$AS$5:$AS$2004,'Saisie'!$C$5:$C$2004,C232,'Saisie'!$AU$5:$AU$2004,1)-4),IFERROR(INDEX('Saisie'!$D$5:$D$2004,_xlfn.MINIFS('Saisie'!$AS$5:$AS$2004,'Saisie'!$C$5:$C$2004,C232,'Saisie'!$D$5:$D$2004,"&lt;&gt;")-4),"")))</f>
        <v/>
      </c>
      <c r="O232" s="60">
        <f>IF(C232="","",COUNTIFS('Saisie'!$C$5:$C$2004,C232,'Saisie'!$AU$5:$AU$2004,1))</f>
        <v/>
      </c>
      <c r="P232" s="60">
        <f>IF(C232="","",COUNTIFS('Saisie'!$C$5:$C$2004,C232,'Saisie'!$AV$5:$AV$2004,1))</f>
        <v/>
      </c>
      <c r="Q232" s="106">
        <f>IF(C232="","",IFERROR(1/(1/_xlfn.MAXIFS('Saisie'!$A$5:$A$2004,'Saisie'!$C$5:$C$2004,C232)),""))</f>
        <v/>
      </c>
      <c r="R232" s="61">
        <f>IF(C232="","",IF(Q232="","",TODAY()-Q232))</f>
        <v/>
      </c>
      <c r="S232" s="60">
        <f>IF(C232="","",IFERROR(INDEX('Saisie'!$R$5:$R$2004,_xlfn.MAXIFS('Saisie'!$AS$5:$AS$2004,'Saisie'!$C$5:$C$2004,C232,'Saisie'!$R$5:$R$2004,"&lt;&gt;")-4),""))</f>
        <v/>
      </c>
      <c r="T232" s="60">
        <f>IF(C232="","",IFERROR(INDEX('Saisie'!$S$5:$S$2004,_xlfn.MAXIFS('Saisie'!$AS$5:$AS$2004,'Saisie'!$C$5:$C$2004,C232,'Saisie'!$S$5:$S$2004,"&lt;&gt;")-4),""))</f>
        <v/>
      </c>
      <c r="U232" s="60">
        <f>IF(C232="","",IFERROR(INDEX('Saisie'!$T$5:$T$2004,_xlfn.MAXIFS('Saisie'!$AS$5:$AS$2004,'Saisie'!$C$5:$C$2004,C232,'Saisie'!$T$5:$T$2004,"&lt;&gt;")-4),""))</f>
        <v/>
      </c>
      <c r="V232" s="60">
        <f>IF(C232="","",IFERROR(INDEX('Saisie'!$V$5:$V$2004,_xlfn.MAXIFS('Saisie'!$AS$5:$AS$2004,'Saisie'!$C$5:$C$2004,C232,'Saisie'!$V$5:$V$2004,"&lt;&gt;")-4),""))</f>
        <v/>
      </c>
      <c r="W232" s="60">
        <f>IF(C232="","",IFERROR(INDEX('Saisie'!$Z$5:$Z$2004,_xlfn.MAXIFS('Saisie'!$AS$5:$AS$2004,'Saisie'!$C$5:$C$2004,C232,'Saisie'!$Z$5:$Z$2004,"&lt;&gt;")-4),""))</f>
        <v/>
      </c>
      <c r="X232" s="60">
        <f>IF(C232="","",IFERROR(INDEX('Saisie'!$AA$5:$AA$2004,_xlfn.MAXIFS('Saisie'!$AS$5:$AS$2004,'Saisie'!$C$5:$C$2004,C232,'Saisie'!$AA$5:$AA$2004,"&lt;&gt;")-4),""))</f>
        <v/>
      </c>
      <c r="Y232" s="60">
        <f>IF(C232="","",IFERROR(INDEX('Saisie'!$AB$5:$AB$2004,_xlfn.MAXIFS('Saisie'!$AS$5:$AS$2004,'Saisie'!$C$5:$C$2004,C232,'Saisie'!$AB$5:$AB$2004,"&lt;&gt;")-4),""))</f>
        <v/>
      </c>
      <c r="Z232" s="60">
        <f>IF(C232="","",IFERROR(INDEX('Saisie'!$AC$5:$AC$2004,_xlfn.MAXIFS('Saisie'!$AS$5:$AS$2004,'Saisie'!$C$5:$C$2004,C232,'Saisie'!$AC$5:$AC$2004,"&lt;&gt;")-4),""))</f>
        <v/>
      </c>
      <c r="AA232" s="106">
        <f>IF(C232="","",IFERROR(INDEX('Saisie'!$AD$5:$AD$2004,_xlfn.MAXIFS('Saisie'!$AS$5:$AS$2004,'Saisie'!$C$5:$C$2004,C232,'Saisie'!$AD$5:$AD$2004,"&lt;&gt;")-4),""))</f>
        <v/>
      </c>
      <c r="AB232" s="60">
        <f>IF(C232="","",IFERROR(INDEX('Saisie'!$AE$5:$AE$2004,_xlfn.MAXIFS('Saisie'!$AS$5:$AS$2004,'Saisie'!$C$5:$C$2004,C232,'Saisie'!$AE$5:$AE$2004,"&lt;&gt;")-4),""))</f>
        <v/>
      </c>
      <c r="AC232" s="60">
        <f>IF(C232="","",IFERROR(INDEX('Saisie'!$AF$5:$AF$2004,_xlfn.MAXIFS('Saisie'!$AS$5:$AS$2004,'Saisie'!$C$5:$C$2004,C232,'Saisie'!$AF$5:$AF$2004,"&lt;&gt;")-4),""))</f>
        <v/>
      </c>
      <c r="AD232" s="108">
        <f>IF(C232="","",IFERROR(INDEX('Saisie'!$AG$5:$AG$2004,_xlfn.MAXIFS('Saisie'!$AS$5:$AS$2004,'Saisie'!$C$5:$C$2004,C232,'Saisie'!$AG$5:$AG$2004,"&lt;&gt;")-4),""))</f>
        <v/>
      </c>
      <c r="AE232" s="60">
        <f>IF(C232="","",IFERROR(INDEX('Saisie'!$AH$5:$AH$2004,_xlfn.MAXIFS('Saisie'!$AS$5:$AS$2004,'Saisie'!$C$5:$C$2004,C232,'Saisie'!$AH$5:$AH$2004,"&lt;&gt;")-4),""))</f>
        <v/>
      </c>
      <c r="AF232" s="60">
        <f>IF(C232="","",IFERROR(INDEX('Saisie'!$AI$5:$AI$2004,_xlfn.MAXIFS('Saisie'!$AS$5:$AS$2004,'Saisie'!$C$5:$C$2004,C232,'Saisie'!$AI$5:$AI$2004,"&lt;&gt;")-4),""))</f>
        <v/>
      </c>
      <c r="AG232" s="60">
        <f>IF(C232="","",IFERROR(INDEX('Saisie'!$AJ$5:$AJ$2004,_xlfn.MAXIFS('Saisie'!$AS$5:$AS$2004,'Saisie'!$C$5:$C$2004,C232,'Saisie'!$AJ$5:$AJ$2004,"&lt;&gt;")-4),""))</f>
        <v/>
      </c>
      <c r="AH232" s="60">
        <f>IF(C232="","",IFERROR(INDEX('Saisie'!$AK$5:$AK$2004,_xlfn.MAXIFS('Saisie'!$AS$5:$AS$2004,'Saisie'!$C$5:$C$2004,C232,'Saisie'!$AK$5:$AK$2004,"&lt;&gt;")-4),""))</f>
        <v/>
      </c>
      <c r="AI232" s="60">
        <f>IF(C232="","",IFERROR(INDEX('Saisie'!$AN$5:$AN$2004,_xlfn.MAXIFS('Saisie'!$AS$5:$AS$2004,'Saisie'!$C$5:$C$2004,C232,'Saisie'!$AN$5:$AN$2004,"&lt;&gt;")-4),""))</f>
        <v/>
      </c>
      <c r="AJ232" s="60">
        <f>IF(C232="","",IFERROR(INDEX('Saisie'!$AO$5:$AO$2004,_xlfn.MAXIFS('Saisie'!$AS$5:$AS$2004,'Saisie'!$C$5:$C$2004,C232,'Saisie'!$AO$5:$AO$2004,"&lt;&gt;")-4),""))</f>
        <v/>
      </c>
      <c r="AK232" s="60">
        <f>IF(C232="","",IFERROR(INDEX('Saisie'!$AP$5:$AP$2004,_xlfn.MAXIFS('Saisie'!$AS$5:$AS$2004,'Saisie'!$C$5:$C$2004,C232,'Saisie'!$AP$5:$AP$2004,"&lt;&gt;")-4),""))</f>
        <v/>
      </c>
      <c r="AL232" s="60">
        <f>IF(C232="","",IFERROR(INDEX('Saisie'!$AQ$5:$AQ$2004,_xlfn.MAXIFS('Saisie'!$AS$5:$AS$2004,'Saisie'!$C$5:$C$2004,C232,'Saisie'!$AQ$5:$AQ$2004,"&lt;&gt;")-4),""))</f>
        <v/>
      </c>
      <c r="AM232" s="60">
        <f>IF(C232="","",((AI232="Oui")+(AJ232="Oui")+(AK232="Oui")+OR(AL232="Immédiat",AL232="&lt; 1 mois"))&amp;"/4")</f>
        <v/>
      </c>
      <c r="AN232" s="60">
        <f>IF(C232="","",IFERROR(INDEX('Saisie'!$AL$5:$AL$2004,_xlfn.MAXIFS('Saisie'!$AS$5:$AS$2004,'Saisie'!$C$5:$C$2004,C232,'Saisie'!$AL$5:$AL$2004,"&lt;&gt;")-4),""))</f>
        <v/>
      </c>
      <c r="AO232" s="62">
        <f>IF(C232="","",IF(IFERROR(INDEX('Saisie'!$AM$5:$AM$2004,_xlfn.MAXIFS('Saisie'!$AS$5:$AS$2004,'Saisie'!$C$5:$C$2004,C232,'Saisie'!$AM$5:$AM$2004,"&lt;&gt;")-4),"")&lt;&gt;"",IFERROR(INDEX('Saisie'!$AM$5:$AM$2004,_xlfn.MAXIFS('Saisie'!$AS$5:$AS$2004,'Saisie'!$C$5:$C$2004,C232,'Saisie'!$AM$5:$AM$2004,"&lt;&gt;")-4),""),IFERROR(INDEX('Paramètres'!$S$6:$S$15,MATCH(AN232,'Paramètres'!$Q$6:$Q$15,0)),"")))</f>
        <v/>
      </c>
      <c r="AP232" s="62">
        <f>IF(C232="","",IFERROR(INDEX('Saisie'!$AW$5:$AW$2004,_xlfn.MAXIFS('Saisie'!$AS$5:$AS$2004,'Saisie'!$C$5:$C$2004,C232,'Saisie'!$E$5:$E$2004,"Proposition envoyée")-4),""))</f>
        <v/>
      </c>
      <c r="AQ232" s="106">
        <f>IF(C232="","",IFERROR(1/(1/_xlfn.MAXIFS('Saisie'!$A$5:$A$2004,'Saisie'!$C$5:$C$2004,C232,'Saisie'!$E$5:$E$2004,"Proposition envoyée")),""))</f>
        <v/>
      </c>
      <c r="AR232" s="106">
        <f>IF(C232="","",IF(AQ232="","",AQ232+'Paramètres'!$B$26))</f>
        <v/>
      </c>
      <c r="AS232" s="62">
        <f>IF(OR(C232="",D232="Gagné",D232="Perdu"),0,N(AP232)*IFERROR(INDEX('Paramètres'!$G$6:$G$13,MATCH(D232,'Paramètres'!$F$6:$F$13,0)),0))</f>
        <v/>
      </c>
      <c r="AT232" s="106">
        <f>IF(C232="","",IFERROR(1/(1/_xlfn.MINIFS('Saisie'!$A$5:$A$2004,'Saisie'!$C$5:$C$2004,C232,'Saisie'!$E$5:$E$2004,"Signature")),""))</f>
        <v/>
      </c>
      <c r="AU232" s="60">
        <f>IF(C232="","",IF(OR(AT232="",B232=""),"",AT232-B232))</f>
        <v/>
      </c>
      <c r="AV232" s="60">
        <f>IF(C232="","",IFERROR(INDEX('Saisie'!$L$5:$L$2004,_xlfn.MAXIFS('Saisie'!$AS$5:$AS$2004,'Saisie'!$C$5:$C$2004,C232,'Saisie'!$L$5:$L$2004,"&lt;&gt;")-4),""))</f>
        <v/>
      </c>
      <c r="AW232" s="106">
        <f>IF(C232="","",IF(D232&lt;&gt;"Perdu","",IFERROR(1/(1/_xlfn.MAXIFS('Saisie'!$A$5:$A$2004,'Saisie'!$C$5:$C$2004,C232,'Saisie'!$E$5:$E$2004,"Perdu")),"")))</f>
        <v/>
      </c>
      <c r="AX232" s="106">
        <f>IF(C232="","",IF(AW232="","",AW232+'Paramètres'!$B$28))</f>
        <v/>
      </c>
      <c r="AY232" s="60">
        <f>IF(C232="","",SUMIFS('Saisie'!$H$5:$H$2004,'Saisie'!$C$5:$C$2004,C232))</f>
        <v/>
      </c>
      <c r="AZ232" s="60">
        <f>IF(C232="","",IFERROR(INDEX('Paramètres'!$W$6:$W$20,MATCH(S232,'Paramètres'!$V$6:$V$20,0))&amp;"",""))</f>
        <v/>
      </c>
      <c r="BA232" s="60">
        <f>IF(C232="","",MAX(1,_xlfn.MAXIFS('Saisie'!$AT$5:$AT$2004,'Saisie'!$C$5:$C$2004,C232)))</f>
        <v/>
      </c>
      <c r="BB232" s="60">
        <f>IF(C232="","",IFERROR(INDEX('Saisie'!$X$5:$X$2004,_xlfn.MAXIFS('Saisie'!$AS$5:$AS$2004,'Saisie'!$C$5:$C$2004,C232,'Saisie'!$X$5:$X$2004,"&lt;&gt;")-4),""))</f>
        <v/>
      </c>
      <c r="BC232" s="60">
        <f>IF(C232="","",IFERROR(INDEX('Saisie'!$Y$5:$Y$2004,_xlfn.MAXIFS('Saisie'!$AS$5:$AS$2004,'Saisie'!$C$5:$C$2004,C232,'Saisie'!$Y$5:$Y$2004,"&lt;&gt;")-4),""))</f>
        <v/>
      </c>
      <c r="BD232" s="106">
        <f>IF(C232="","",IFERROR(1/(1/_xlfn.MINIFS('Saisie'!$A$5:$A$2004,'Saisie'!$C$5:$C$2004,C232,'Saisie'!$AT$5:$AT$2004,"&gt;=2")),""))</f>
        <v/>
      </c>
      <c r="BE232" s="106">
        <f>IF(C232="","",IFERROR(1/(1/_xlfn.MINIFS('Saisie'!$A$5:$A$2004,'Saisie'!$C$5:$C$2004,C232,'Saisie'!$AT$5:$AT$2004,"&gt;=3")),""))</f>
        <v/>
      </c>
      <c r="BF232" s="106">
        <f>IF(C232="","",IFERROR(1/(1/_xlfn.MINIFS('Saisie'!$A$5:$A$2004,'Saisie'!$C$5:$C$2004,C232,'Saisie'!$AT$5:$AT$2004,"&gt;=4")),""))</f>
        <v/>
      </c>
      <c r="BG232" s="106">
        <f>IF(C232="","",IFERROR(1/(1/_xlfn.MINIFS('Saisie'!$A$5:$A$2004,'Saisie'!$C$5:$C$2004,C232,'Saisie'!$AT$5:$AT$2004,"&gt;=5")),""))</f>
        <v/>
      </c>
      <c r="BH232" s="106">
        <f>IF(C232="","",IFERROR(1/(1/_xlfn.MINIFS('Saisie'!$A$5:$A$2004,'Saisie'!$C$5:$C$2004,C232,'Saisie'!$AT$5:$AT$2004,"&gt;=6")),""))</f>
        <v/>
      </c>
      <c r="BI232" s="106">
        <f>IF(C232="","",IFERROR(1/(1/_xlfn.MINIFS('Saisie'!$A$5:$A$2004,'Saisie'!$C$5:$C$2004,C232,'Saisie'!$AT$5:$AT$2004,"&gt;=7")),""))</f>
        <v/>
      </c>
      <c r="BJ232" s="60">
        <f>IF(OR(BD232="",B232=""),"",BD232-B232)</f>
        <v/>
      </c>
      <c r="BK232" s="60">
        <f>IF(OR(BE232="",BD232=""),"",BE232-BD232)</f>
        <v/>
      </c>
      <c r="BL232" s="60">
        <f>IF(OR(BF232="",BE232=""),"",BF232-BE232)</f>
        <v/>
      </c>
      <c r="BM232" s="60">
        <f>IF(OR(BG232="",BF232=""),"",BG232-BF232)</f>
        <v/>
      </c>
      <c r="BN232" s="60">
        <f>IF(OR(BH232="",BG232=""),"",BH232-BG232)</f>
        <v/>
      </c>
      <c r="BO232" s="60">
        <f>IF(OR(BI232="",BH232=""),"",BI232-BH232)</f>
        <v/>
      </c>
      <c r="BP232" s="60">
        <f>IF(C232="","",_xlfn.MAXIFS('Saisie'!$AS$5:$AS$2004,'Saisie'!$C$5:$C$2004,C232,'Saisie'!$J$5:$J$2004,"&lt;&gt;"))</f>
        <v/>
      </c>
      <c r="BQ232" s="60">
        <f>IF(C232="","",_xlfn.MAXIFS('Saisie'!$AS$5:$AS$2004,'Saisie'!$C$5:$C$2004,C232))</f>
        <v/>
      </c>
      <c r="BR232" s="60">
        <f>IF(C232="","",_xlfn.MAXIFS('Saisie'!$AS$5:$AS$2004,'Saisie'!$C$5:$C$2004,C232,'Saisie'!$E$5:$E$2004,"Perdu"))</f>
        <v/>
      </c>
      <c r="BS232" s="60">
        <f>IF(C232="","",_xlfn.MAXIFS('Saisie'!$AS$5:$AS$2004,'Saisie'!$C$5:$C$2004,C232,'Saisie'!$AT$5:$AT$2004,"&gt;0"))</f>
        <v/>
      </c>
      <c r="BT232" s="109">
        <f>IF(AND(C232&lt;&gt;"",OR(D232="Nouveau",D232="Contacté",D232="Qualifié"),OR(G232="",N(G232)&lt;=TODAY()),NOT(AND(O232&gt;='Paramètres'!$B$21,P232=0))),E232+228/10000,"")</f>
        <v/>
      </c>
      <c r="BU232" s="60">
        <f>IF(AND(G232&lt;&gt;"",N(G232)&lt;=TODAY()),MAX($BU$4:BU231)+1,"")</f>
        <v/>
      </c>
      <c r="BV232" s="60">
        <f>IF(AND(F232&lt;&gt;"",F232&lt;&gt;"Relance en retard"),MAX($BV$4:BV231)+1,"")</f>
        <v/>
      </c>
      <c r="BW232" s="60">
        <f>IF(C232="","",IF(AND(B232&gt;='Tableau de bord'!$R$4,B232&lt;='Tableau de bord'!$S$4,OR('Tableau de bord'!$G$4="Tous",N232='Tableau de bord'!$G$4)),1,0))</f>
        <v/>
      </c>
      <c r="BX232" s="60">
        <f>IF(AND(C232&lt;&gt;"",N(BA232)=7),MAX($BX$4:BX231)+1,"")</f>
        <v/>
      </c>
    </row>
    <row r="233">
      <c r="A233" s="60">
        <f>IF(C233="","","P-"&amp;TEXT(229,"000"))</f>
        <v/>
      </c>
      <c r="B233" s="106">
        <f>IF(C233="","",IFERROR(1/(1/_xlfn.MINIFS('Saisie'!$A$5:$A$2004,'Saisie'!$C$5:$C$2004,C233)),""))</f>
        <v/>
      </c>
      <c r="C233" s="60">
        <f>IFERROR(INDEX('Saisie'!$C$5:$C$2004,MATCH(229,'Saisie'!$AX$5:$AX$2004,0)),"")</f>
        <v/>
      </c>
      <c r="D233" s="60">
        <f>IF(C233="","",IF(AND(BR233&gt;0,BR233&gt;BS233,BA233&lt;7),"Perdu",INDEX('Paramètres'!$F$6:$F$13,BA233)))</f>
        <v/>
      </c>
      <c r="E233" s="61">
        <f>IF(C233="","",MIN(100,(Z233="Oui")*'Paramètres'!$B$38+(AB233="Régulière")*'Paramètres'!$B$39+IF(AND(N(AA233)&gt;0,TODAY()-N(AA233)&lt;=30),'Paramètres'!$B$40,0)+(W233="")*'Paramètres'!$B$41+(AC233="Absente")*'Paramètres'!$B$42+(AC233="Faible")*'Paramètres'!$B$43+IF(AND(N(AD233)&gt;0,N(AD233)&lt;4),'Paramètres'!$B$44,0)+(AF233="Moyenne")*'Paramètres'!$B$45+(AF233="Grande")*'Paramètres'!$B$46+(Y233&lt;&gt;"")*'Paramètres'!$B$47))</f>
        <v/>
      </c>
      <c r="F233" s="60">
        <f>IF(C233="","",IF(D233="Gagné","",IF(D233="Perdu",IF(AND(AX233&lt;&gt;"",AX233&lt;=TODAY()),"À recontacter (perdu)",""),IF(AND(O233&gt;='Paramètres'!$B$21,P233=0),"Stop : "&amp;'Paramètres'!$B$21&amp;" tentatives sans réponse",IF(AND(D233="Proposition",AR233&lt;&gt;"",TODAY()&gt;N(AR233)),"Proposition expirée",IF(AND(D233="Proposition",N(R233)&gt;='Paramètres'!$B$25),"Proposition sans réponse",IF(AND(G233&lt;&gt;"",N(G233)&lt;TODAY()),"Relance en retard",IF(N(R233)&gt;='Paramètres'!$B$24,"Sans action depuis "&amp;R233&amp;" j",""))))))))</f>
        <v/>
      </c>
      <c r="G233" s="106">
        <f>IF(OR(C233="",D233="Gagné",D233="Perdu"),"",IF(AND(BP233&gt;0,BP233=BQ233),INDEX('Saisie'!$J$5:$J$2004,BP233-4),IF(OR(O233=0,AND(O233&gt;='Paramètres'!$B$21,P233=0)),"",Q233+IF(O233&lt;=1,'Paramètres'!$B$18,IF(O233=2,'Paramètres'!$B$19,'Paramètres'!$B$20)))))</f>
        <v/>
      </c>
      <c r="H233" s="107">
        <f>IF(OR(G233="",BP233&lt;&gt;BQ233),"",IF(INDEX('Saisie'!$K$5:$K$2004,BP233-4)="","",INDEX('Saisie'!$K$5:$K$2004,BP233-4)))</f>
        <v/>
      </c>
      <c r="I233" s="60">
        <f>IF(C233="","",IF(OR(D233="Gagné",D233="Perdu"),"",IFERROR(INDEX('Saisie'!$I$5:$I$2004,_xlfn.MAXIFS('Saisie'!$AS$5:$AS$2004,'Saisie'!$C$5:$C$2004,C233,'Saisie'!$I$5:$I$2004,"&lt;&gt;")-4),"")))</f>
        <v/>
      </c>
      <c r="J233" s="60">
        <f>IF(C233="","",IFERROR(INDEX('Saisie'!$U$5:$U$2004,_xlfn.MAXIFS('Saisie'!$AS$5:$AS$2004,'Saisie'!$C$5:$C$2004,C233,'Saisie'!$U$5:$U$2004,"&lt;&gt;")-4),""))</f>
        <v/>
      </c>
      <c r="K233" s="60">
        <f>IF(C233="","",IFERROR(INDEX('Saisie'!$W$5:$W$2004,_xlfn.MAXIFS('Saisie'!$AS$5:$AS$2004,'Saisie'!$C$5:$C$2004,C233,'Saisie'!$W$5:$W$2004,"&lt;&gt;")-4),""))</f>
        <v/>
      </c>
      <c r="L233" s="60">
        <f>IF(IF(BB233&lt;&gt;"",BB233,K233)="","",HYPERLINK("https://wa.me/"&amp;IF(LEFT(SUBSTITUTE(SUBSTITUTE(SUBSTITUTE(IF(BB233&lt;&gt;"",BB233,K233)," ",""),".",""),"+",""),1)="0",'Paramètres'!$B$35&amp;MID(SUBSTITUTE(SUBSTITUTE(SUBSTITUTE(IF(BB233&lt;&gt;"",BB233,K233)," ",""),".",""),"+",""),2,20),SUBSTITUTE(SUBSTITUTE(SUBSTITUTE(IF(BB233&lt;&gt;"",BB233,K233)," ",""),".",""),"+","")),"WhatsApp"))</f>
        <v/>
      </c>
      <c r="M233" s="60">
        <f>IF(BC233="","",HYPERLINK(IF(LEFT(BC233,4)="http",BC233,"https://www.instagram.com/"&amp;SUBSTITUTE(SUBSTITUTE(BC233,"@","")," ","")),BC233))</f>
        <v/>
      </c>
      <c r="N233" s="60">
        <f>IF(C233="","",IFERROR(INDEX('Saisie'!$D$5:$D$2004,_xlfn.MINIFS('Saisie'!$AS$5:$AS$2004,'Saisie'!$C$5:$C$2004,C233,'Saisie'!$AU$5:$AU$2004,1)-4),IFERROR(INDEX('Saisie'!$D$5:$D$2004,_xlfn.MINIFS('Saisie'!$AS$5:$AS$2004,'Saisie'!$C$5:$C$2004,C233,'Saisie'!$D$5:$D$2004,"&lt;&gt;")-4),"")))</f>
        <v/>
      </c>
      <c r="O233" s="60">
        <f>IF(C233="","",COUNTIFS('Saisie'!$C$5:$C$2004,C233,'Saisie'!$AU$5:$AU$2004,1))</f>
        <v/>
      </c>
      <c r="P233" s="60">
        <f>IF(C233="","",COUNTIFS('Saisie'!$C$5:$C$2004,C233,'Saisie'!$AV$5:$AV$2004,1))</f>
        <v/>
      </c>
      <c r="Q233" s="106">
        <f>IF(C233="","",IFERROR(1/(1/_xlfn.MAXIFS('Saisie'!$A$5:$A$2004,'Saisie'!$C$5:$C$2004,C233)),""))</f>
        <v/>
      </c>
      <c r="R233" s="61">
        <f>IF(C233="","",IF(Q233="","",TODAY()-Q233))</f>
        <v/>
      </c>
      <c r="S233" s="60">
        <f>IF(C233="","",IFERROR(INDEX('Saisie'!$R$5:$R$2004,_xlfn.MAXIFS('Saisie'!$AS$5:$AS$2004,'Saisie'!$C$5:$C$2004,C233,'Saisie'!$R$5:$R$2004,"&lt;&gt;")-4),""))</f>
        <v/>
      </c>
      <c r="T233" s="60">
        <f>IF(C233="","",IFERROR(INDEX('Saisie'!$S$5:$S$2004,_xlfn.MAXIFS('Saisie'!$AS$5:$AS$2004,'Saisie'!$C$5:$C$2004,C233,'Saisie'!$S$5:$S$2004,"&lt;&gt;")-4),""))</f>
        <v/>
      </c>
      <c r="U233" s="60">
        <f>IF(C233="","",IFERROR(INDEX('Saisie'!$T$5:$T$2004,_xlfn.MAXIFS('Saisie'!$AS$5:$AS$2004,'Saisie'!$C$5:$C$2004,C233,'Saisie'!$T$5:$T$2004,"&lt;&gt;")-4),""))</f>
        <v/>
      </c>
      <c r="V233" s="60">
        <f>IF(C233="","",IFERROR(INDEX('Saisie'!$V$5:$V$2004,_xlfn.MAXIFS('Saisie'!$AS$5:$AS$2004,'Saisie'!$C$5:$C$2004,C233,'Saisie'!$V$5:$V$2004,"&lt;&gt;")-4),""))</f>
        <v/>
      </c>
      <c r="W233" s="60">
        <f>IF(C233="","",IFERROR(INDEX('Saisie'!$Z$5:$Z$2004,_xlfn.MAXIFS('Saisie'!$AS$5:$AS$2004,'Saisie'!$C$5:$C$2004,C233,'Saisie'!$Z$5:$Z$2004,"&lt;&gt;")-4),""))</f>
        <v/>
      </c>
      <c r="X233" s="60">
        <f>IF(C233="","",IFERROR(INDEX('Saisie'!$AA$5:$AA$2004,_xlfn.MAXIFS('Saisie'!$AS$5:$AS$2004,'Saisie'!$C$5:$C$2004,C233,'Saisie'!$AA$5:$AA$2004,"&lt;&gt;")-4),""))</f>
        <v/>
      </c>
      <c r="Y233" s="60">
        <f>IF(C233="","",IFERROR(INDEX('Saisie'!$AB$5:$AB$2004,_xlfn.MAXIFS('Saisie'!$AS$5:$AS$2004,'Saisie'!$C$5:$C$2004,C233,'Saisie'!$AB$5:$AB$2004,"&lt;&gt;")-4),""))</f>
        <v/>
      </c>
      <c r="Z233" s="60">
        <f>IF(C233="","",IFERROR(INDEX('Saisie'!$AC$5:$AC$2004,_xlfn.MAXIFS('Saisie'!$AS$5:$AS$2004,'Saisie'!$C$5:$C$2004,C233,'Saisie'!$AC$5:$AC$2004,"&lt;&gt;")-4),""))</f>
        <v/>
      </c>
      <c r="AA233" s="106">
        <f>IF(C233="","",IFERROR(INDEX('Saisie'!$AD$5:$AD$2004,_xlfn.MAXIFS('Saisie'!$AS$5:$AS$2004,'Saisie'!$C$5:$C$2004,C233,'Saisie'!$AD$5:$AD$2004,"&lt;&gt;")-4),""))</f>
        <v/>
      </c>
      <c r="AB233" s="60">
        <f>IF(C233="","",IFERROR(INDEX('Saisie'!$AE$5:$AE$2004,_xlfn.MAXIFS('Saisie'!$AS$5:$AS$2004,'Saisie'!$C$5:$C$2004,C233,'Saisie'!$AE$5:$AE$2004,"&lt;&gt;")-4),""))</f>
        <v/>
      </c>
      <c r="AC233" s="60">
        <f>IF(C233="","",IFERROR(INDEX('Saisie'!$AF$5:$AF$2004,_xlfn.MAXIFS('Saisie'!$AS$5:$AS$2004,'Saisie'!$C$5:$C$2004,C233,'Saisie'!$AF$5:$AF$2004,"&lt;&gt;")-4),""))</f>
        <v/>
      </c>
      <c r="AD233" s="108">
        <f>IF(C233="","",IFERROR(INDEX('Saisie'!$AG$5:$AG$2004,_xlfn.MAXIFS('Saisie'!$AS$5:$AS$2004,'Saisie'!$C$5:$C$2004,C233,'Saisie'!$AG$5:$AG$2004,"&lt;&gt;")-4),""))</f>
        <v/>
      </c>
      <c r="AE233" s="60">
        <f>IF(C233="","",IFERROR(INDEX('Saisie'!$AH$5:$AH$2004,_xlfn.MAXIFS('Saisie'!$AS$5:$AS$2004,'Saisie'!$C$5:$C$2004,C233,'Saisie'!$AH$5:$AH$2004,"&lt;&gt;")-4),""))</f>
        <v/>
      </c>
      <c r="AF233" s="60">
        <f>IF(C233="","",IFERROR(INDEX('Saisie'!$AI$5:$AI$2004,_xlfn.MAXIFS('Saisie'!$AS$5:$AS$2004,'Saisie'!$C$5:$C$2004,C233,'Saisie'!$AI$5:$AI$2004,"&lt;&gt;")-4),""))</f>
        <v/>
      </c>
      <c r="AG233" s="60">
        <f>IF(C233="","",IFERROR(INDEX('Saisie'!$AJ$5:$AJ$2004,_xlfn.MAXIFS('Saisie'!$AS$5:$AS$2004,'Saisie'!$C$5:$C$2004,C233,'Saisie'!$AJ$5:$AJ$2004,"&lt;&gt;")-4),""))</f>
        <v/>
      </c>
      <c r="AH233" s="60">
        <f>IF(C233="","",IFERROR(INDEX('Saisie'!$AK$5:$AK$2004,_xlfn.MAXIFS('Saisie'!$AS$5:$AS$2004,'Saisie'!$C$5:$C$2004,C233,'Saisie'!$AK$5:$AK$2004,"&lt;&gt;")-4),""))</f>
        <v/>
      </c>
      <c r="AI233" s="60">
        <f>IF(C233="","",IFERROR(INDEX('Saisie'!$AN$5:$AN$2004,_xlfn.MAXIFS('Saisie'!$AS$5:$AS$2004,'Saisie'!$C$5:$C$2004,C233,'Saisie'!$AN$5:$AN$2004,"&lt;&gt;")-4),""))</f>
        <v/>
      </c>
      <c r="AJ233" s="60">
        <f>IF(C233="","",IFERROR(INDEX('Saisie'!$AO$5:$AO$2004,_xlfn.MAXIFS('Saisie'!$AS$5:$AS$2004,'Saisie'!$C$5:$C$2004,C233,'Saisie'!$AO$5:$AO$2004,"&lt;&gt;")-4),""))</f>
        <v/>
      </c>
      <c r="AK233" s="60">
        <f>IF(C233="","",IFERROR(INDEX('Saisie'!$AP$5:$AP$2004,_xlfn.MAXIFS('Saisie'!$AS$5:$AS$2004,'Saisie'!$C$5:$C$2004,C233,'Saisie'!$AP$5:$AP$2004,"&lt;&gt;")-4),""))</f>
        <v/>
      </c>
      <c r="AL233" s="60">
        <f>IF(C233="","",IFERROR(INDEX('Saisie'!$AQ$5:$AQ$2004,_xlfn.MAXIFS('Saisie'!$AS$5:$AS$2004,'Saisie'!$C$5:$C$2004,C233,'Saisie'!$AQ$5:$AQ$2004,"&lt;&gt;")-4),""))</f>
        <v/>
      </c>
      <c r="AM233" s="60">
        <f>IF(C233="","",((AI233="Oui")+(AJ233="Oui")+(AK233="Oui")+OR(AL233="Immédiat",AL233="&lt; 1 mois"))&amp;"/4")</f>
        <v/>
      </c>
      <c r="AN233" s="60">
        <f>IF(C233="","",IFERROR(INDEX('Saisie'!$AL$5:$AL$2004,_xlfn.MAXIFS('Saisie'!$AS$5:$AS$2004,'Saisie'!$C$5:$C$2004,C233,'Saisie'!$AL$5:$AL$2004,"&lt;&gt;")-4),""))</f>
        <v/>
      </c>
      <c r="AO233" s="62">
        <f>IF(C233="","",IF(IFERROR(INDEX('Saisie'!$AM$5:$AM$2004,_xlfn.MAXIFS('Saisie'!$AS$5:$AS$2004,'Saisie'!$C$5:$C$2004,C233,'Saisie'!$AM$5:$AM$2004,"&lt;&gt;")-4),"")&lt;&gt;"",IFERROR(INDEX('Saisie'!$AM$5:$AM$2004,_xlfn.MAXIFS('Saisie'!$AS$5:$AS$2004,'Saisie'!$C$5:$C$2004,C233,'Saisie'!$AM$5:$AM$2004,"&lt;&gt;")-4),""),IFERROR(INDEX('Paramètres'!$S$6:$S$15,MATCH(AN233,'Paramètres'!$Q$6:$Q$15,0)),"")))</f>
        <v/>
      </c>
      <c r="AP233" s="62">
        <f>IF(C233="","",IFERROR(INDEX('Saisie'!$AW$5:$AW$2004,_xlfn.MAXIFS('Saisie'!$AS$5:$AS$2004,'Saisie'!$C$5:$C$2004,C233,'Saisie'!$E$5:$E$2004,"Proposition envoyée")-4),""))</f>
        <v/>
      </c>
      <c r="AQ233" s="106">
        <f>IF(C233="","",IFERROR(1/(1/_xlfn.MAXIFS('Saisie'!$A$5:$A$2004,'Saisie'!$C$5:$C$2004,C233,'Saisie'!$E$5:$E$2004,"Proposition envoyée")),""))</f>
        <v/>
      </c>
      <c r="AR233" s="106">
        <f>IF(C233="","",IF(AQ233="","",AQ233+'Paramètres'!$B$26))</f>
        <v/>
      </c>
      <c r="AS233" s="62">
        <f>IF(OR(C233="",D233="Gagné",D233="Perdu"),0,N(AP233)*IFERROR(INDEX('Paramètres'!$G$6:$G$13,MATCH(D233,'Paramètres'!$F$6:$F$13,0)),0))</f>
        <v/>
      </c>
      <c r="AT233" s="106">
        <f>IF(C233="","",IFERROR(1/(1/_xlfn.MINIFS('Saisie'!$A$5:$A$2004,'Saisie'!$C$5:$C$2004,C233,'Saisie'!$E$5:$E$2004,"Signature")),""))</f>
        <v/>
      </c>
      <c r="AU233" s="60">
        <f>IF(C233="","",IF(OR(AT233="",B233=""),"",AT233-B233))</f>
        <v/>
      </c>
      <c r="AV233" s="60">
        <f>IF(C233="","",IFERROR(INDEX('Saisie'!$L$5:$L$2004,_xlfn.MAXIFS('Saisie'!$AS$5:$AS$2004,'Saisie'!$C$5:$C$2004,C233,'Saisie'!$L$5:$L$2004,"&lt;&gt;")-4),""))</f>
        <v/>
      </c>
      <c r="AW233" s="106">
        <f>IF(C233="","",IF(D233&lt;&gt;"Perdu","",IFERROR(1/(1/_xlfn.MAXIFS('Saisie'!$A$5:$A$2004,'Saisie'!$C$5:$C$2004,C233,'Saisie'!$E$5:$E$2004,"Perdu")),"")))</f>
        <v/>
      </c>
      <c r="AX233" s="106">
        <f>IF(C233="","",IF(AW233="","",AW233+'Paramètres'!$B$28))</f>
        <v/>
      </c>
      <c r="AY233" s="60">
        <f>IF(C233="","",SUMIFS('Saisie'!$H$5:$H$2004,'Saisie'!$C$5:$C$2004,C233))</f>
        <v/>
      </c>
      <c r="AZ233" s="60">
        <f>IF(C233="","",IFERROR(INDEX('Paramètres'!$W$6:$W$20,MATCH(S233,'Paramètres'!$V$6:$V$20,0))&amp;"",""))</f>
        <v/>
      </c>
      <c r="BA233" s="60">
        <f>IF(C233="","",MAX(1,_xlfn.MAXIFS('Saisie'!$AT$5:$AT$2004,'Saisie'!$C$5:$C$2004,C233)))</f>
        <v/>
      </c>
      <c r="BB233" s="60">
        <f>IF(C233="","",IFERROR(INDEX('Saisie'!$X$5:$X$2004,_xlfn.MAXIFS('Saisie'!$AS$5:$AS$2004,'Saisie'!$C$5:$C$2004,C233,'Saisie'!$X$5:$X$2004,"&lt;&gt;")-4),""))</f>
        <v/>
      </c>
      <c r="BC233" s="60">
        <f>IF(C233="","",IFERROR(INDEX('Saisie'!$Y$5:$Y$2004,_xlfn.MAXIFS('Saisie'!$AS$5:$AS$2004,'Saisie'!$C$5:$C$2004,C233,'Saisie'!$Y$5:$Y$2004,"&lt;&gt;")-4),""))</f>
        <v/>
      </c>
      <c r="BD233" s="106">
        <f>IF(C233="","",IFERROR(1/(1/_xlfn.MINIFS('Saisie'!$A$5:$A$2004,'Saisie'!$C$5:$C$2004,C233,'Saisie'!$AT$5:$AT$2004,"&gt;=2")),""))</f>
        <v/>
      </c>
      <c r="BE233" s="106">
        <f>IF(C233="","",IFERROR(1/(1/_xlfn.MINIFS('Saisie'!$A$5:$A$2004,'Saisie'!$C$5:$C$2004,C233,'Saisie'!$AT$5:$AT$2004,"&gt;=3")),""))</f>
        <v/>
      </c>
      <c r="BF233" s="106">
        <f>IF(C233="","",IFERROR(1/(1/_xlfn.MINIFS('Saisie'!$A$5:$A$2004,'Saisie'!$C$5:$C$2004,C233,'Saisie'!$AT$5:$AT$2004,"&gt;=4")),""))</f>
        <v/>
      </c>
      <c r="BG233" s="106">
        <f>IF(C233="","",IFERROR(1/(1/_xlfn.MINIFS('Saisie'!$A$5:$A$2004,'Saisie'!$C$5:$C$2004,C233,'Saisie'!$AT$5:$AT$2004,"&gt;=5")),""))</f>
        <v/>
      </c>
      <c r="BH233" s="106">
        <f>IF(C233="","",IFERROR(1/(1/_xlfn.MINIFS('Saisie'!$A$5:$A$2004,'Saisie'!$C$5:$C$2004,C233,'Saisie'!$AT$5:$AT$2004,"&gt;=6")),""))</f>
        <v/>
      </c>
      <c r="BI233" s="106">
        <f>IF(C233="","",IFERROR(1/(1/_xlfn.MINIFS('Saisie'!$A$5:$A$2004,'Saisie'!$C$5:$C$2004,C233,'Saisie'!$AT$5:$AT$2004,"&gt;=7")),""))</f>
        <v/>
      </c>
      <c r="BJ233" s="60">
        <f>IF(OR(BD233="",B233=""),"",BD233-B233)</f>
        <v/>
      </c>
      <c r="BK233" s="60">
        <f>IF(OR(BE233="",BD233=""),"",BE233-BD233)</f>
        <v/>
      </c>
      <c r="BL233" s="60">
        <f>IF(OR(BF233="",BE233=""),"",BF233-BE233)</f>
        <v/>
      </c>
      <c r="BM233" s="60">
        <f>IF(OR(BG233="",BF233=""),"",BG233-BF233)</f>
        <v/>
      </c>
      <c r="BN233" s="60">
        <f>IF(OR(BH233="",BG233=""),"",BH233-BG233)</f>
        <v/>
      </c>
      <c r="BO233" s="60">
        <f>IF(OR(BI233="",BH233=""),"",BI233-BH233)</f>
        <v/>
      </c>
      <c r="BP233" s="60">
        <f>IF(C233="","",_xlfn.MAXIFS('Saisie'!$AS$5:$AS$2004,'Saisie'!$C$5:$C$2004,C233,'Saisie'!$J$5:$J$2004,"&lt;&gt;"))</f>
        <v/>
      </c>
      <c r="BQ233" s="60">
        <f>IF(C233="","",_xlfn.MAXIFS('Saisie'!$AS$5:$AS$2004,'Saisie'!$C$5:$C$2004,C233))</f>
        <v/>
      </c>
      <c r="BR233" s="60">
        <f>IF(C233="","",_xlfn.MAXIFS('Saisie'!$AS$5:$AS$2004,'Saisie'!$C$5:$C$2004,C233,'Saisie'!$E$5:$E$2004,"Perdu"))</f>
        <v/>
      </c>
      <c r="BS233" s="60">
        <f>IF(C233="","",_xlfn.MAXIFS('Saisie'!$AS$5:$AS$2004,'Saisie'!$C$5:$C$2004,C233,'Saisie'!$AT$5:$AT$2004,"&gt;0"))</f>
        <v/>
      </c>
      <c r="BT233" s="109">
        <f>IF(AND(C233&lt;&gt;"",OR(D233="Nouveau",D233="Contacté",D233="Qualifié"),OR(G233="",N(G233)&lt;=TODAY()),NOT(AND(O233&gt;='Paramètres'!$B$21,P233=0))),E233+229/10000,"")</f>
        <v/>
      </c>
      <c r="BU233" s="60">
        <f>IF(AND(G233&lt;&gt;"",N(G233)&lt;=TODAY()),MAX($BU$4:BU232)+1,"")</f>
        <v/>
      </c>
      <c r="BV233" s="60">
        <f>IF(AND(F233&lt;&gt;"",F233&lt;&gt;"Relance en retard"),MAX($BV$4:BV232)+1,"")</f>
        <v/>
      </c>
      <c r="BW233" s="60">
        <f>IF(C233="","",IF(AND(B233&gt;='Tableau de bord'!$R$4,B233&lt;='Tableau de bord'!$S$4,OR('Tableau de bord'!$G$4="Tous",N233='Tableau de bord'!$G$4)),1,0))</f>
        <v/>
      </c>
      <c r="BX233" s="60">
        <f>IF(AND(C233&lt;&gt;"",N(BA233)=7),MAX($BX$4:BX232)+1,"")</f>
        <v/>
      </c>
    </row>
    <row r="234">
      <c r="A234" s="60">
        <f>IF(C234="","","P-"&amp;TEXT(230,"000"))</f>
        <v/>
      </c>
      <c r="B234" s="106">
        <f>IF(C234="","",IFERROR(1/(1/_xlfn.MINIFS('Saisie'!$A$5:$A$2004,'Saisie'!$C$5:$C$2004,C234)),""))</f>
        <v/>
      </c>
      <c r="C234" s="60">
        <f>IFERROR(INDEX('Saisie'!$C$5:$C$2004,MATCH(230,'Saisie'!$AX$5:$AX$2004,0)),"")</f>
        <v/>
      </c>
      <c r="D234" s="60">
        <f>IF(C234="","",IF(AND(BR234&gt;0,BR234&gt;BS234,BA234&lt;7),"Perdu",INDEX('Paramètres'!$F$6:$F$13,BA234)))</f>
        <v/>
      </c>
      <c r="E234" s="61">
        <f>IF(C234="","",MIN(100,(Z234="Oui")*'Paramètres'!$B$38+(AB234="Régulière")*'Paramètres'!$B$39+IF(AND(N(AA234)&gt;0,TODAY()-N(AA234)&lt;=30),'Paramètres'!$B$40,0)+(W234="")*'Paramètres'!$B$41+(AC234="Absente")*'Paramètres'!$B$42+(AC234="Faible")*'Paramètres'!$B$43+IF(AND(N(AD234)&gt;0,N(AD234)&lt;4),'Paramètres'!$B$44,0)+(AF234="Moyenne")*'Paramètres'!$B$45+(AF234="Grande")*'Paramètres'!$B$46+(Y234&lt;&gt;"")*'Paramètres'!$B$47))</f>
        <v/>
      </c>
      <c r="F234" s="60">
        <f>IF(C234="","",IF(D234="Gagné","",IF(D234="Perdu",IF(AND(AX234&lt;&gt;"",AX234&lt;=TODAY()),"À recontacter (perdu)",""),IF(AND(O234&gt;='Paramètres'!$B$21,P234=0),"Stop : "&amp;'Paramètres'!$B$21&amp;" tentatives sans réponse",IF(AND(D234="Proposition",AR234&lt;&gt;"",TODAY()&gt;N(AR234)),"Proposition expirée",IF(AND(D234="Proposition",N(R234)&gt;='Paramètres'!$B$25),"Proposition sans réponse",IF(AND(G234&lt;&gt;"",N(G234)&lt;TODAY()),"Relance en retard",IF(N(R234)&gt;='Paramètres'!$B$24,"Sans action depuis "&amp;R234&amp;" j",""))))))))</f>
        <v/>
      </c>
      <c r="G234" s="106">
        <f>IF(OR(C234="",D234="Gagné",D234="Perdu"),"",IF(AND(BP234&gt;0,BP234=BQ234),INDEX('Saisie'!$J$5:$J$2004,BP234-4),IF(OR(O234=0,AND(O234&gt;='Paramètres'!$B$21,P234=0)),"",Q234+IF(O234&lt;=1,'Paramètres'!$B$18,IF(O234=2,'Paramètres'!$B$19,'Paramètres'!$B$20)))))</f>
        <v/>
      </c>
      <c r="H234" s="107">
        <f>IF(OR(G234="",BP234&lt;&gt;BQ234),"",IF(INDEX('Saisie'!$K$5:$K$2004,BP234-4)="","",INDEX('Saisie'!$K$5:$K$2004,BP234-4)))</f>
        <v/>
      </c>
      <c r="I234" s="60">
        <f>IF(C234="","",IF(OR(D234="Gagné",D234="Perdu"),"",IFERROR(INDEX('Saisie'!$I$5:$I$2004,_xlfn.MAXIFS('Saisie'!$AS$5:$AS$2004,'Saisie'!$C$5:$C$2004,C234,'Saisie'!$I$5:$I$2004,"&lt;&gt;")-4),"")))</f>
        <v/>
      </c>
      <c r="J234" s="60">
        <f>IF(C234="","",IFERROR(INDEX('Saisie'!$U$5:$U$2004,_xlfn.MAXIFS('Saisie'!$AS$5:$AS$2004,'Saisie'!$C$5:$C$2004,C234,'Saisie'!$U$5:$U$2004,"&lt;&gt;")-4),""))</f>
        <v/>
      </c>
      <c r="K234" s="60">
        <f>IF(C234="","",IFERROR(INDEX('Saisie'!$W$5:$W$2004,_xlfn.MAXIFS('Saisie'!$AS$5:$AS$2004,'Saisie'!$C$5:$C$2004,C234,'Saisie'!$W$5:$W$2004,"&lt;&gt;")-4),""))</f>
        <v/>
      </c>
      <c r="L234" s="60">
        <f>IF(IF(BB234&lt;&gt;"",BB234,K234)="","",HYPERLINK("https://wa.me/"&amp;IF(LEFT(SUBSTITUTE(SUBSTITUTE(SUBSTITUTE(IF(BB234&lt;&gt;"",BB234,K234)," ",""),".",""),"+",""),1)="0",'Paramètres'!$B$35&amp;MID(SUBSTITUTE(SUBSTITUTE(SUBSTITUTE(IF(BB234&lt;&gt;"",BB234,K234)," ",""),".",""),"+",""),2,20),SUBSTITUTE(SUBSTITUTE(SUBSTITUTE(IF(BB234&lt;&gt;"",BB234,K234)," ",""),".",""),"+","")),"WhatsApp"))</f>
        <v/>
      </c>
      <c r="M234" s="60">
        <f>IF(BC234="","",HYPERLINK(IF(LEFT(BC234,4)="http",BC234,"https://www.instagram.com/"&amp;SUBSTITUTE(SUBSTITUTE(BC234,"@","")," ","")),BC234))</f>
        <v/>
      </c>
      <c r="N234" s="60">
        <f>IF(C234="","",IFERROR(INDEX('Saisie'!$D$5:$D$2004,_xlfn.MINIFS('Saisie'!$AS$5:$AS$2004,'Saisie'!$C$5:$C$2004,C234,'Saisie'!$AU$5:$AU$2004,1)-4),IFERROR(INDEX('Saisie'!$D$5:$D$2004,_xlfn.MINIFS('Saisie'!$AS$5:$AS$2004,'Saisie'!$C$5:$C$2004,C234,'Saisie'!$D$5:$D$2004,"&lt;&gt;")-4),"")))</f>
        <v/>
      </c>
      <c r="O234" s="60">
        <f>IF(C234="","",COUNTIFS('Saisie'!$C$5:$C$2004,C234,'Saisie'!$AU$5:$AU$2004,1))</f>
        <v/>
      </c>
      <c r="P234" s="60">
        <f>IF(C234="","",COUNTIFS('Saisie'!$C$5:$C$2004,C234,'Saisie'!$AV$5:$AV$2004,1))</f>
        <v/>
      </c>
      <c r="Q234" s="106">
        <f>IF(C234="","",IFERROR(1/(1/_xlfn.MAXIFS('Saisie'!$A$5:$A$2004,'Saisie'!$C$5:$C$2004,C234)),""))</f>
        <v/>
      </c>
      <c r="R234" s="61">
        <f>IF(C234="","",IF(Q234="","",TODAY()-Q234))</f>
        <v/>
      </c>
      <c r="S234" s="60">
        <f>IF(C234="","",IFERROR(INDEX('Saisie'!$R$5:$R$2004,_xlfn.MAXIFS('Saisie'!$AS$5:$AS$2004,'Saisie'!$C$5:$C$2004,C234,'Saisie'!$R$5:$R$2004,"&lt;&gt;")-4),""))</f>
        <v/>
      </c>
      <c r="T234" s="60">
        <f>IF(C234="","",IFERROR(INDEX('Saisie'!$S$5:$S$2004,_xlfn.MAXIFS('Saisie'!$AS$5:$AS$2004,'Saisie'!$C$5:$C$2004,C234,'Saisie'!$S$5:$S$2004,"&lt;&gt;")-4),""))</f>
        <v/>
      </c>
      <c r="U234" s="60">
        <f>IF(C234="","",IFERROR(INDEX('Saisie'!$T$5:$T$2004,_xlfn.MAXIFS('Saisie'!$AS$5:$AS$2004,'Saisie'!$C$5:$C$2004,C234,'Saisie'!$T$5:$T$2004,"&lt;&gt;")-4),""))</f>
        <v/>
      </c>
      <c r="V234" s="60">
        <f>IF(C234="","",IFERROR(INDEX('Saisie'!$V$5:$V$2004,_xlfn.MAXIFS('Saisie'!$AS$5:$AS$2004,'Saisie'!$C$5:$C$2004,C234,'Saisie'!$V$5:$V$2004,"&lt;&gt;")-4),""))</f>
        <v/>
      </c>
      <c r="W234" s="60">
        <f>IF(C234="","",IFERROR(INDEX('Saisie'!$Z$5:$Z$2004,_xlfn.MAXIFS('Saisie'!$AS$5:$AS$2004,'Saisie'!$C$5:$C$2004,C234,'Saisie'!$Z$5:$Z$2004,"&lt;&gt;")-4),""))</f>
        <v/>
      </c>
      <c r="X234" s="60">
        <f>IF(C234="","",IFERROR(INDEX('Saisie'!$AA$5:$AA$2004,_xlfn.MAXIFS('Saisie'!$AS$5:$AS$2004,'Saisie'!$C$5:$C$2004,C234,'Saisie'!$AA$5:$AA$2004,"&lt;&gt;")-4),""))</f>
        <v/>
      </c>
      <c r="Y234" s="60">
        <f>IF(C234="","",IFERROR(INDEX('Saisie'!$AB$5:$AB$2004,_xlfn.MAXIFS('Saisie'!$AS$5:$AS$2004,'Saisie'!$C$5:$C$2004,C234,'Saisie'!$AB$5:$AB$2004,"&lt;&gt;")-4),""))</f>
        <v/>
      </c>
      <c r="Z234" s="60">
        <f>IF(C234="","",IFERROR(INDEX('Saisie'!$AC$5:$AC$2004,_xlfn.MAXIFS('Saisie'!$AS$5:$AS$2004,'Saisie'!$C$5:$C$2004,C234,'Saisie'!$AC$5:$AC$2004,"&lt;&gt;")-4),""))</f>
        <v/>
      </c>
      <c r="AA234" s="106">
        <f>IF(C234="","",IFERROR(INDEX('Saisie'!$AD$5:$AD$2004,_xlfn.MAXIFS('Saisie'!$AS$5:$AS$2004,'Saisie'!$C$5:$C$2004,C234,'Saisie'!$AD$5:$AD$2004,"&lt;&gt;")-4),""))</f>
        <v/>
      </c>
      <c r="AB234" s="60">
        <f>IF(C234="","",IFERROR(INDEX('Saisie'!$AE$5:$AE$2004,_xlfn.MAXIFS('Saisie'!$AS$5:$AS$2004,'Saisie'!$C$5:$C$2004,C234,'Saisie'!$AE$5:$AE$2004,"&lt;&gt;")-4),""))</f>
        <v/>
      </c>
      <c r="AC234" s="60">
        <f>IF(C234="","",IFERROR(INDEX('Saisie'!$AF$5:$AF$2004,_xlfn.MAXIFS('Saisie'!$AS$5:$AS$2004,'Saisie'!$C$5:$C$2004,C234,'Saisie'!$AF$5:$AF$2004,"&lt;&gt;")-4),""))</f>
        <v/>
      </c>
      <c r="AD234" s="108">
        <f>IF(C234="","",IFERROR(INDEX('Saisie'!$AG$5:$AG$2004,_xlfn.MAXIFS('Saisie'!$AS$5:$AS$2004,'Saisie'!$C$5:$C$2004,C234,'Saisie'!$AG$5:$AG$2004,"&lt;&gt;")-4),""))</f>
        <v/>
      </c>
      <c r="AE234" s="60">
        <f>IF(C234="","",IFERROR(INDEX('Saisie'!$AH$5:$AH$2004,_xlfn.MAXIFS('Saisie'!$AS$5:$AS$2004,'Saisie'!$C$5:$C$2004,C234,'Saisie'!$AH$5:$AH$2004,"&lt;&gt;")-4),""))</f>
        <v/>
      </c>
      <c r="AF234" s="60">
        <f>IF(C234="","",IFERROR(INDEX('Saisie'!$AI$5:$AI$2004,_xlfn.MAXIFS('Saisie'!$AS$5:$AS$2004,'Saisie'!$C$5:$C$2004,C234,'Saisie'!$AI$5:$AI$2004,"&lt;&gt;")-4),""))</f>
        <v/>
      </c>
      <c r="AG234" s="60">
        <f>IF(C234="","",IFERROR(INDEX('Saisie'!$AJ$5:$AJ$2004,_xlfn.MAXIFS('Saisie'!$AS$5:$AS$2004,'Saisie'!$C$5:$C$2004,C234,'Saisie'!$AJ$5:$AJ$2004,"&lt;&gt;")-4),""))</f>
        <v/>
      </c>
      <c r="AH234" s="60">
        <f>IF(C234="","",IFERROR(INDEX('Saisie'!$AK$5:$AK$2004,_xlfn.MAXIFS('Saisie'!$AS$5:$AS$2004,'Saisie'!$C$5:$C$2004,C234,'Saisie'!$AK$5:$AK$2004,"&lt;&gt;")-4),""))</f>
        <v/>
      </c>
      <c r="AI234" s="60">
        <f>IF(C234="","",IFERROR(INDEX('Saisie'!$AN$5:$AN$2004,_xlfn.MAXIFS('Saisie'!$AS$5:$AS$2004,'Saisie'!$C$5:$C$2004,C234,'Saisie'!$AN$5:$AN$2004,"&lt;&gt;")-4),""))</f>
        <v/>
      </c>
      <c r="AJ234" s="60">
        <f>IF(C234="","",IFERROR(INDEX('Saisie'!$AO$5:$AO$2004,_xlfn.MAXIFS('Saisie'!$AS$5:$AS$2004,'Saisie'!$C$5:$C$2004,C234,'Saisie'!$AO$5:$AO$2004,"&lt;&gt;")-4),""))</f>
        <v/>
      </c>
      <c r="AK234" s="60">
        <f>IF(C234="","",IFERROR(INDEX('Saisie'!$AP$5:$AP$2004,_xlfn.MAXIFS('Saisie'!$AS$5:$AS$2004,'Saisie'!$C$5:$C$2004,C234,'Saisie'!$AP$5:$AP$2004,"&lt;&gt;")-4),""))</f>
        <v/>
      </c>
      <c r="AL234" s="60">
        <f>IF(C234="","",IFERROR(INDEX('Saisie'!$AQ$5:$AQ$2004,_xlfn.MAXIFS('Saisie'!$AS$5:$AS$2004,'Saisie'!$C$5:$C$2004,C234,'Saisie'!$AQ$5:$AQ$2004,"&lt;&gt;")-4),""))</f>
        <v/>
      </c>
      <c r="AM234" s="60">
        <f>IF(C234="","",((AI234="Oui")+(AJ234="Oui")+(AK234="Oui")+OR(AL234="Immédiat",AL234="&lt; 1 mois"))&amp;"/4")</f>
        <v/>
      </c>
      <c r="AN234" s="60">
        <f>IF(C234="","",IFERROR(INDEX('Saisie'!$AL$5:$AL$2004,_xlfn.MAXIFS('Saisie'!$AS$5:$AS$2004,'Saisie'!$C$5:$C$2004,C234,'Saisie'!$AL$5:$AL$2004,"&lt;&gt;")-4),""))</f>
        <v/>
      </c>
      <c r="AO234" s="62">
        <f>IF(C234="","",IF(IFERROR(INDEX('Saisie'!$AM$5:$AM$2004,_xlfn.MAXIFS('Saisie'!$AS$5:$AS$2004,'Saisie'!$C$5:$C$2004,C234,'Saisie'!$AM$5:$AM$2004,"&lt;&gt;")-4),"")&lt;&gt;"",IFERROR(INDEX('Saisie'!$AM$5:$AM$2004,_xlfn.MAXIFS('Saisie'!$AS$5:$AS$2004,'Saisie'!$C$5:$C$2004,C234,'Saisie'!$AM$5:$AM$2004,"&lt;&gt;")-4),""),IFERROR(INDEX('Paramètres'!$S$6:$S$15,MATCH(AN234,'Paramètres'!$Q$6:$Q$15,0)),"")))</f>
        <v/>
      </c>
      <c r="AP234" s="62">
        <f>IF(C234="","",IFERROR(INDEX('Saisie'!$AW$5:$AW$2004,_xlfn.MAXIFS('Saisie'!$AS$5:$AS$2004,'Saisie'!$C$5:$C$2004,C234,'Saisie'!$E$5:$E$2004,"Proposition envoyée")-4),""))</f>
        <v/>
      </c>
      <c r="AQ234" s="106">
        <f>IF(C234="","",IFERROR(1/(1/_xlfn.MAXIFS('Saisie'!$A$5:$A$2004,'Saisie'!$C$5:$C$2004,C234,'Saisie'!$E$5:$E$2004,"Proposition envoyée")),""))</f>
        <v/>
      </c>
      <c r="AR234" s="106">
        <f>IF(C234="","",IF(AQ234="","",AQ234+'Paramètres'!$B$26))</f>
        <v/>
      </c>
      <c r="AS234" s="62">
        <f>IF(OR(C234="",D234="Gagné",D234="Perdu"),0,N(AP234)*IFERROR(INDEX('Paramètres'!$G$6:$G$13,MATCH(D234,'Paramètres'!$F$6:$F$13,0)),0))</f>
        <v/>
      </c>
      <c r="AT234" s="106">
        <f>IF(C234="","",IFERROR(1/(1/_xlfn.MINIFS('Saisie'!$A$5:$A$2004,'Saisie'!$C$5:$C$2004,C234,'Saisie'!$E$5:$E$2004,"Signature")),""))</f>
        <v/>
      </c>
      <c r="AU234" s="60">
        <f>IF(C234="","",IF(OR(AT234="",B234=""),"",AT234-B234))</f>
        <v/>
      </c>
      <c r="AV234" s="60">
        <f>IF(C234="","",IFERROR(INDEX('Saisie'!$L$5:$L$2004,_xlfn.MAXIFS('Saisie'!$AS$5:$AS$2004,'Saisie'!$C$5:$C$2004,C234,'Saisie'!$L$5:$L$2004,"&lt;&gt;")-4),""))</f>
        <v/>
      </c>
      <c r="AW234" s="106">
        <f>IF(C234="","",IF(D234&lt;&gt;"Perdu","",IFERROR(1/(1/_xlfn.MAXIFS('Saisie'!$A$5:$A$2004,'Saisie'!$C$5:$C$2004,C234,'Saisie'!$E$5:$E$2004,"Perdu")),"")))</f>
        <v/>
      </c>
      <c r="AX234" s="106">
        <f>IF(C234="","",IF(AW234="","",AW234+'Paramètres'!$B$28))</f>
        <v/>
      </c>
      <c r="AY234" s="60">
        <f>IF(C234="","",SUMIFS('Saisie'!$H$5:$H$2004,'Saisie'!$C$5:$C$2004,C234))</f>
        <v/>
      </c>
      <c r="AZ234" s="60">
        <f>IF(C234="","",IFERROR(INDEX('Paramètres'!$W$6:$W$20,MATCH(S234,'Paramètres'!$V$6:$V$20,0))&amp;"",""))</f>
        <v/>
      </c>
      <c r="BA234" s="60">
        <f>IF(C234="","",MAX(1,_xlfn.MAXIFS('Saisie'!$AT$5:$AT$2004,'Saisie'!$C$5:$C$2004,C234)))</f>
        <v/>
      </c>
      <c r="BB234" s="60">
        <f>IF(C234="","",IFERROR(INDEX('Saisie'!$X$5:$X$2004,_xlfn.MAXIFS('Saisie'!$AS$5:$AS$2004,'Saisie'!$C$5:$C$2004,C234,'Saisie'!$X$5:$X$2004,"&lt;&gt;")-4),""))</f>
        <v/>
      </c>
      <c r="BC234" s="60">
        <f>IF(C234="","",IFERROR(INDEX('Saisie'!$Y$5:$Y$2004,_xlfn.MAXIFS('Saisie'!$AS$5:$AS$2004,'Saisie'!$C$5:$C$2004,C234,'Saisie'!$Y$5:$Y$2004,"&lt;&gt;")-4),""))</f>
        <v/>
      </c>
      <c r="BD234" s="106">
        <f>IF(C234="","",IFERROR(1/(1/_xlfn.MINIFS('Saisie'!$A$5:$A$2004,'Saisie'!$C$5:$C$2004,C234,'Saisie'!$AT$5:$AT$2004,"&gt;=2")),""))</f>
        <v/>
      </c>
      <c r="BE234" s="106">
        <f>IF(C234="","",IFERROR(1/(1/_xlfn.MINIFS('Saisie'!$A$5:$A$2004,'Saisie'!$C$5:$C$2004,C234,'Saisie'!$AT$5:$AT$2004,"&gt;=3")),""))</f>
        <v/>
      </c>
      <c r="BF234" s="106">
        <f>IF(C234="","",IFERROR(1/(1/_xlfn.MINIFS('Saisie'!$A$5:$A$2004,'Saisie'!$C$5:$C$2004,C234,'Saisie'!$AT$5:$AT$2004,"&gt;=4")),""))</f>
        <v/>
      </c>
      <c r="BG234" s="106">
        <f>IF(C234="","",IFERROR(1/(1/_xlfn.MINIFS('Saisie'!$A$5:$A$2004,'Saisie'!$C$5:$C$2004,C234,'Saisie'!$AT$5:$AT$2004,"&gt;=5")),""))</f>
        <v/>
      </c>
      <c r="BH234" s="106">
        <f>IF(C234="","",IFERROR(1/(1/_xlfn.MINIFS('Saisie'!$A$5:$A$2004,'Saisie'!$C$5:$C$2004,C234,'Saisie'!$AT$5:$AT$2004,"&gt;=6")),""))</f>
        <v/>
      </c>
      <c r="BI234" s="106">
        <f>IF(C234="","",IFERROR(1/(1/_xlfn.MINIFS('Saisie'!$A$5:$A$2004,'Saisie'!$C$5:$C$2004,C234,'Saisie'!$AT$5:$AT$2004,"&gt;=7")),""))</f>
        <v/>
      </c>
      <c r="BJ234" s="60">
        <f>IF(OR(BD234="",B234=""),"",BD234-B234)</f>
        <v/>
      </c>
      <c r="BK234" s="60">
        <f>IF(OR(BE234="",BD234=""),"",BE234-BD234)</f>
        <v/>
      </c>
      <c r="BL234" s="60">
        <f>IF(OR(BF234="",BE234=""),"",BF234-BE234)</f>
        <v/>
      </c>
      <c r="BM234" s="60">
        <f>IF(OR(BG234="",BF234=""),"",BG234-BF234)</f>
        <v/>
      </c>
      <c r="BN234" s="60">
        <f>IF(OR(BH234="",BG234=""),"",BH234-BG234)</f>
        <v/>
      </c>
      <c r="BO234" s="60">
        <f>IF(OR(BI234="",BH234=""),"",BI234-BH234)</f>
        <v/>
      </c>
      <c r="BP234" s="60">
        <f>IF(C234="","",_xlfn.MAXIFS('Saisie'!$AS$5:$AS$2004,'Saisie'!$C$5:$C$2004,C234,'Saisie'!$J$5:$J$2004,"&lt;&gt;"))</f>
        <v/>
      </c>
      <c r="BQ234" s="60">
        <f>IF(C234="","",_xlfn.MAXIFS('Saisie'!$AS$5:$AS$2004,'Saisie'!$C$5:$C$2004,C234))</f>
        <v/>
      </c>
      <c r="BR234" s="60">
        <f>IF(C234="","",_xlfn.MAXIFS('Saisie'!$AS$5:$AS$2004,'Saisie'!$C$5:$C$2004,C234,'Saisie'!$E$5:$E$2004,"Perdu"))</f>
        <v/>
      </c>
      <c r="BS234" s="60">
        <f>IF(C234="","",_xlfn.MAXIFS('Saisie'!$AS$5:$AS$2004,'Saisie'!$C$5:$C$2004,C234,'Saisie'!$AT$5:$AT$2004,"&gt;0"))</f>
        <v/>
      </c>
      <c r="BT234" s="109">
        <f>IF(AND(C234&lt;&gt;"",OR(D234="Nouveau",D234="Contacté",D234="Qualifié"),OR(G234="",N(G234)&lt;=TODAY()),NOT(AND(O234&gt;='Paramètres'!$B$21,P234=0))),E234+230/10000,"")</f>
        <v/>
      </c>
      <c r="BU234" s="60">
        <f>IF(AND(G234&lt;&gt;"",N(G234)&lt;=TODAY()),MAX($BU$4:BU233)+1,"")</f>
        <v/>
      </c>
      <c r="BV234" s="60">
        <f>IF(AND(F234&lt;&gt;"",F234&lt;&gt;"Relance en retard"),MAX($BV$4:BV233)+1,"")</f>
        <v/>
      </c>
      <c r="BW234" s="60">
        <f>IF(C234="","",IF(AND(B234&gt;='Tableau de bord'!$R$4,B234&lt;='Tableau de bord'!$S$4,OR('Tableau de bord'!$G$4="Tous",N234='Tableau de bord'!$G$4)),1,0))</f>
        <v/>
      </c>
      <c r="BX234" s="60">
        <f>IF(AND(C234&lt;&gt;"",N(BA234)=7),MAX($BX$4:BX233)+1,"")</f>
        <v/>
      </c>
    </row>
    <row r="235">
      <c r="A235" s="60">
        <f>IF(C235="","","P-"&amp;TEXT(231,"000"))</f>
        <v/>
      </c>
      <c r="B235" s="106">
        <f>IF(C235="","",IFERROR(1/(1/_xlfn.MINIFS('Saisie'!$A$5:$A$2004,'Saisie'!$C$5:$C$2004,C235)),""))</f>
        <v/>
      </c>
      <c r="C235" s="60">
        <f>IFERROR(INDEX('Saisie'!$C$5:$C$2004,MATCH(231,'Saisie'!$AX$5:$AX$2004,0)),"")</f>
        <v/>
      </c>
      <c r="D235" s="60">
        <f>IF(C235="","",IF(AND(BR235&gt;0,BR235&gt;BS235,BA235&lt;7),"Perdu",INDEX('Paramètres'!$F$6:$F$13,BA235)))</f>
        <v/>
      </c>
      <c r="E235" s="61">
        <f>IF(C235="","",MIN(100,(Z235="Oui")*'Paramètres'!$B$38+(AB235="Régulière")*'Paramètres'!$B$39+IF(AND(N(AA235)&gt;0,TODAY()-N(AA235)&lt;=30),'Paramètres'!$B$40,0)+(W235="")*'Paramètres'!$B$41+(AC235="Absente")*'Paramètres'!$B$42+(AC235="Faible")*'Paramètres'!$B$43+IF(AND(N(AD235)&gt;0,N(AD235)&lt;4),'Paramètres'!$B$44,0)+(AF235="Moyenne")*'Paramètres'!$B$45+(AF235="Grande")*'Paramètres'!$B$46+(Y235&lt;&gt;"")*'Paramètres'!$B$47))</f>
        <v/>
      </c>
      <c r="F235" s="60">
        <f>IF(C235="","",IF(D235="Gagné","",IF(D235="Perdu",IF(AND(AX235&lt;&gt;"",AX235&lt;=TODAY()),"À recontacter (perdu)",""),IF(AND(O235&gt;='Paramètres'!$B$21,P235=0),"Stop : "&amp;'Paramètres'!$B$21&amp;" tentatives sans réponse",IF(AND(D235="Proposition",AR235&lt;&gt;"",TODAY()&gt;N(AR235)),"Proposition expirée",IF(AND(D235="Proposition",N(R235)&gt;='Paramètres'!$B$25),"Proposition sans réponse",IF(AND(G235&lt;&gt;"",N(G235)&lt;TODAY()),"Relance en retard",IF(N(R235)&gt;='Paramètres'!$B$24,"Sans action depuis "&amp;R235&amp;" j",""))))))))</f>
        <v/>
      </c>
      <c r="G235" s="106">
        <f>IF(OR(C235="",D235="Gagné",D235="Perdu"),"",IF(AND(BP235&gt;0,BP235=BQ235),INDEX('Saisie'!$J$5:$J$2004,BP235-4),IF(OR(O235=0,AND(O235&gt;='Paramètres'!$B$21,P235=0)),"",Q235+IF(O235&lt;=1,'Paramètres'!$B$18,IF(O235=2,'Paramètres'!$B$19,'Paramètres'!$B$20)))))</f>
        <v/>
      </c>
      <c r="H235" s="107">
        <f>IF(OR(G235="",BP235&lt;&gt;BQ235),"",IF(INDEX('Saisie'!$K$5:$K$2004,BP235-4)="","",INDEX('Saisie'!$K$5:$K$2004,BP235-4)))</f>
        <v/>
      </c>
      <c r="I235" s="60">
        <f>IF(C235="","",IF(OR(D235="Gagné",D235="Perdu"),"",IFERROR(INDEX('Saisie'!$I$5:$I$2004,_xlfn.MAXIFS('Saisie'!$AS$5:$AS$2004,'Saisie'!$C$5:$C$2004,C235,'Saisie'!$I$5:$I$2004,"&lt;&gt;")-4),"")))</f>
        <v/>
      </c>
      <c r="J235" s="60">
        <f>IF(C235="","",IFERROR(INDEX('Saisie'!$U$5:$U$2004,_xlfn.MAXIFS('Saisie'!$AS$5:$AS$2004,'Saisie'!$C$5:$C$2004,C235,'Saisie'!$U$5:$U$2004,"&lt;&gt;")-4),""))</f>
        <v/>
      </c>
      <c r="K235" s="60">
        <f>IF(C235="","",IFERROR(INDEX('Saisie'!$W$5:$W$2004,_xlfn.MAXIFS('Saisie'!$AS$5:$AS$2004,'Saisie'!$C$5:$C$2004,C235,'Saisie'!$W$5:$W$2004,"&lt;&gt;")-4),""))</f>
        <v/>
      </c>
      <c r="L235" s="60">
        <f>IF(IF(BB235&lt;&gt;"",BB235,K235)="","",HYPERLINK("https://wa.me/"&amp;IF(LEFT(SUBSTITUTE(SUBSTITUTE(SUBSTITUTE(IF(BB235&lt;&gt;"",BB235,K235)," ",""),".",""),"+",""),1)="0",'Paramètres'!$B$35&amp;MID(SUBSTITUTE(SUBSTITUTE(SUBSTITUTE(IF(BB235&lt;&gt;"",BB235,K235)," ",""),".",""),"+",""),2,20),SUBSTITUTE(SUBSTITUTE(SUBSTITUTE(IF(BB235&lt;&gt;"",BB235,K235)," ",""),".",""),"+","")),"WhatsApp"))</f>
        <v/>
      </c>
      <c r="M235" s="60">
        <f>IF(BC235="","",HYPERLINK(IF(LEFT(BC235,4)="http",BC235,"https://www.instagram.com/"&amp;SUBSTITUTE(SUBSTITUTE(BC235,"@","")," ","")),BC235))</f>
        <v/>
      </c>
      <c r="N235" s="60">
        <f>IF(C235="","",IFERROR(INDEX('Saisie'!$D$5:$D$2004,_xlfn.MINIFS('Saisie'!$AS$5:$AS$2004,'Saisie'!$C$5:$C$2004,C235,'Saisie'!$AU$5:$AU$2004,1)-4),IFERROR(INDEX('Saisie'!$D$5:$D$2004,_xlfn.MINIFS('Saisie'!$AS$5:$AS$2004,'Saisie'!$C$5:$C$2004,C235,'Saisie'!$D$5:$D$2004,"&lt;&gt;")-4),"")))</f>
        <v/>
      </c>
      <c r="O235" s="60">
        <f>IF(C235="","",COUNTIFS('Saisie'!$C$5:$C$2004,C235,'Saisie'!$AU$5:$AU$2004,1))</f>
        <v/>
      </c>
      <c r="P235" s="60">
        <f>IF(C235="","",COUNTIFS('Saisie'!$C$5:$C$2004,C235,'Saisie'!$AV$5:$AV$2004,1))</f>
        <v/>
      </c>
      <c r="Q235" s="106">
        <f>IF(C235="","",IFERROR(1/(1/_xlfn.MAXIFS('Saisie'!$A$5:$A$2004,'Saisie'!$C$5:$C$2004,C235)),""))</f>
        <v/>
      </c>
      <c r="R235" s="61">
        <f>IF(C235="","",IF(Q235="","",TODAY()-Q235))</f>
        <v/>
      </c>
      <c r="S235" s="60">
        <f>IF(C235="","",IFERROR(INDEX('Saisie'!$R$5:$R$2004,_xlfn.MAXIFS('Saisie'!$AS$5:$AS$2004,'Saisie'!$C$5:$C$2004,C235,'Saisie'!$R$5:$R$2004,"&lt;&gt;")-4),""))</f>
        <v/>
      </c>
      <c r="T235" s="60">
        <f>IF(C235="","",IFERROR(INDEX('Saisie'!$S$5:$S$2004,_xlfn.MAXIFS('Saisie'!$AS$5:$AS$2004,'Saisie'!$C$5:$C$2004,C235,'Saisie'!$S$5:$S$2004,"&lt;&gt;")-4),""))</f>
        <v/>
      </c>
      <c r="U235" s="60">
        <f>IF(C235="","",IFERROR(INDEX('Saisie'!$T$5:$T$2004,_xlfn.MAXIFS('Saisie'!$AS$5:$AS$2004,'Saisie'!$C$5:$C$2004,C235,'Saisie'!$T$5:$T$2004,"&lt;&gt;")-4),""))</f>
        <v/>
      </c>
      <c r="V235" s="60">
        <f>IF(C235="","",IFERROR(INDEX('Saisie'!$V$5:$V$2004,_xlfn.MAXIFS('Saisie'!$AS$5:$AS$2004,'Saisie'!$C$5:$C$2004,C235,'Saisie'!$V$5:$V$2004,"&lt;&gt;")-4),""))</f>
        <v/>
      </c>
      <c r="W235" s="60">
        <f>IF(C235="","",IFERROR(INDEX('Saisie'!$Z$5:$Z$2004,_xlfn.MAXIFS('Saisie'!$AS$5:$AS$2004,'Saisie'!$C$5:$C$2004,C235,'Saisie'!$Z$5:$Z$2004,"&lt;&gt;")-4),""))</f>
        <v/>
      </c>
      <c r="X235" s="60">
        <f>IF(C235="","",IFERROR(INDEX('Saisie'!$AA$5:$AA$2004,_xlfn.MAXIFS('Saisie'!$AS$5:$AS$2004,'Saisie'!$C$5:$C$2004,C235,'Saisie'!$AA$5:$AA$2004,"&lt;&gt;")-4),""))</f>
        <v/>
      </c>
      <c r="Y235" s="60">
        <f>IF(C235="","",IFERROR(INDEX('Saisie'!$AB$5:$AB$2004,_xlfn.MAXIFS('Saisie'!$AS$5:$AS$2004,'Saisie'!$C$5:$C$2004,C235,'Saisie'!$AB$5:$AB$2004,"&lt;&gt;")-4),""))</f>
        <v/>
      </c>
      <c r="Z235" s="60">
        <f>IF(C235="","",IFERROR(INDEX('Saisie'!$AC$5:$AC$2004,_xlfn.MAXIFS('Saisie'!$AS$5:$AS$2004,'Saisie'!$C$5:$C$2004,C235,'Saisie'!$AC$5:$AC$2004,"&lt;&gt;")-4),""))</f>
        <v/>
      </c>
      <c r="AA235" s="106">
        <f>IF(C235="","",IFERROR(INDEX('Saisie'!$AD$5:$AD$2004,_xlfn.MAXIFS('Saisie'!$AS$5:$AS$2004,'Saisie'!$C$5:$C$2004,C235,'Saisie'!$AD$5:$AD$2004,"&lt;&gt;")-4),""))</f>
        <v/>
      </c>
      <c r="AB235" s="60">
        <f>IF(C235="","",IFERROR(INDEX('Saisie'!$AE$5:$AE$2004,_xlfn.MAXIFS('Saisie'!$AS$5:$AS$2004,'Saisie'!$C$5:$C$2004,C235,'Saisie'!$AE$5:$AE$2004,"&lt;&gt;")-4),""))</f>
        <v/>
      </c>
      <c r="AC235" s="60">
        <f>IF(C235="","",IFERROR(INDEX('Saisie'!$AF$5:$AF$2004,_xlfn.MAXIFS('Saisie'!$AS$5:$AS$2004,'Saisie'!$C$5:$C$2004,C235,'Saisie'!$AF$5:$AF$2004,"&lt;&gt;")-4),""))</f>
        <v/>
      </c>
      <c r="AD235" s="108">
        <f>IF(C235="","",IFERROR(INDEX('Saisie'!$AG$5:$AG$2004,_xlfn.MAXIFS('Saisie'!$AS$5:$AS$2004,'Saisie'!$C$5:$C$2004,C235,'Saisie'!$AG$5:$AG$2004,"&lt;&gt;")-4),""))</f>
        <v/>
      </c>
      <c r="AE235" s="60">
        <f>IF(C235="","",IFERROR(INDEX('Saisie'!$AH$5:$AH$2004,_xlfn.MAXIFS('Saisie'!$AS$5:$AS$2004,'Saisie'!$C$5:$C$2004,C235,'Saisie'!$AH$5:$AH$2004,"&lt;&gt;")-4),""))</f>
        <v/>
      </c>
      <c r="AF235" s="60">
        <f>IF(C235="","",IFERROR(INDEX('Saisie'!$AI$5:$AI$2004,_xlfn.MAXIFS('Saisie'!$AS$5:$AS$2004,'Saisie'!$C$5:$C$2004,C235,'Saisie'!$AI$5:$AI$2004,"&lt;&gt;")-4),""))</f>
        <v/>
      </c>
      <c r="AG235" s="60">
        <f>IF(C235="","",IFERROR(INDEX('Saisie'!$AJ$5:$AJ$2004,_xlfn.MAXIFS('Saisie'!$AS$5:$AS$2004,'Saisie'!$C$5:$C$2004,C235,'Saisie'!$AJ$5:$AJ$2004,"&lt;&gt;")-4),""))</f>
        <v/>
      </c>
      <c r="AH235" s="60">
        <f>IF(C235="","",IFERROR(INDEX('Saisie'!$AK$5:$AK$2004,_xlfn.MAXIFS('Saisie'!$AS$5:$AS$2004,'Saisie'!$C$5:$C$2004,C235,'Saisie'!$AK$5:$AK$2004,"&lt;&gt;")-4),""))</f>
        <v/>
      </c>
      <c r="AI235" s="60">
        <f>IF(C235="","",IFERROR(INDEX('Saisie'!$AN$5:$AN$2004,_xlfn.MAXIFS('Saisie'!$AS$5:$AS$2004,'Saisie'!$C$5:$C$2004,C235,'Saisie'!$AN$5:$AN$2004,"&lt;&gt;")-4),""))</f>
        <v/>
      </c>
      <c r="AJ235" s="60">
        <f>IF(C235="","",IFERROR(INDEX('Saisie'!$AO$5:$AO$2004,_xlfn.MAXIFS('Saisie'!$AS$5:$AS$2004,'Saisie'!$C$5:$C$2004,C235,'Saisie'!$AO$5:$AO$2004,"&lt;&gt;")-4),""))</f>
        <v/>
      </c>
      <c r="AK235" s="60">
        <f>IF(C235="","",IFERROR(INDEX('Saisie'!$AP$5:$AP$2004,_xlfn.MAXIFS('Saisie'!$AS$5:$AS$2004,'Saisie'!$C$5:$C$2004,C235,'Saisie'!$AP$5:$AP$2004,"&lt;&gt;")-4),""))</f>
        <v/>
      </c>
      <c r="AL235" s="60">
        <f>IF(C235="","",IFERROR(INDEX('Saisie'!$AQ$5:$AQ$2004,_xlfn.MAXIFS('Saisie'!$AS$5:$AS$2004,'Saisie'!$C$5:$C$2004,C235,'Saisie'!$AQ$5:$AQ$2004,"&lt;&gt;")-4),""))</f>
        <v/>
      </c>
      <c r="AM235" s="60">
        <f>IF(C235="","",((AI235="Oui")+(AJ235="Oui")+(AK235="Oui")+OR(AL235="Immédiat",AL235="&lt; 1 mois"))&amp;"/4")</f>
        <v/>
      </c>
      <c r="AN235" s="60">
        <f>IF(C235="","",IFERROR(INDEX('Saisie'!$AL$5:$AL$2004,_xlfn.MAXIFS('Saisie'!$AS$5:$AS$2004,'Saisie'!$C$5:$C$2004,C235,'Saisie'!$AL$5:$AL$2004,"&lt;&gt;")-4),""))</f>
        <v/>
      </c>
      <c r="AO235" s="62">
        <f>IF(C235="","",IF(IFERROR(INDEX('Saisie'!$AM$5:$AM$2004,_xlfn.MAXIFS('Saisie'!$AS$5:$AS$2004,'Saisie'!$C$5:$C$2004,C235,'Saisie'!$AM$5:$AM$2004,"&lt;&gt;")-4),"")&lt;&gt;"",IFERROR(INDEX('Saisie'!$AM$5:$AM$2004,_xlfn.MAXIFS('Saisie'!$AS$5:$AS$2004,'Saisie'!$C$5:$C$2004,C235,'Saisie'!$AM$5:$AM$2004,"&lt;&gt;")-4),""),IFERROR(INDEX('Paramètres'!$S$6:$S$15,MATCH(AN235,'Paramètres'!$Q$6:$Q$15,0)),"")))</f>
        <v/>
      </c>
      <c r="AP235" s="62">
        <f>IF(C235="","",IFERROR(INDEX('Saisie'!$AW$5:$AW$2004,_xlfn.MAXIFS('Saisie'!$AS$5:$AS$2004,'Saisie'!$C$5:$C$2004,C235,'Saisie'!$E$5:$E$2004,"Proposition envoyée")-4),""))</f>
        <v/>
      </c>
      <c r="AQ235" s="106">
        <f>IF(C235="","",IFERROR(1/(1/_xlfn.MAXIFS('Saisie'!$A$5:$A$2004,'Saisie'!$C$5:$C$2004,C235,'Saisie'!$E$5:$E$2004,"Proposition envoyée")),""))</f>
        <v/>
      </c>
      <c r="AR235" s="106">
        <f>IF(C235="","",IF(AQ235="","",AQ235+'Paramètres'!$B$26))</f>
        <v/>
      </c>
      <c r="AS235" s="62">
        <f>IF(OR(C235="",D235="Gagné",D235="Perdu"),0,N(AP235)*IFERROR(INDEX('Paramètres'!$G$6:$G$13,MATCH(D235,'Paramètres'!$F$6:$F$13,0)),0))</f>
        <v/>
      </c>
      <c r="AT235" s="106">
        <f>IF(C235="","",IFERROR(1/(1/_xlfn.MINIFS('Saisie'!$A$5:$A$2004,'Saisie'!$C$5:$C$2004,C235,'Saisie'!$E$5:$E$2004,"Signature")),""))</f>
        <v/>
      </c>
      <c r="AU235" s="60">
        <f>IF(C235="","",IF(OR(AT235="",B235=""),"",AT235-B235))</f>
        <v/>
      </c>
      <c r="AV235" s="60">
        <f>IF(C235="","",IFERROR(INDEX('Saisie'!$L$5:$L$2004,_xlfn.MAXIFS('Saisie'!$AS$5:$AS$2004,'Saisie'!$C$5:$C$2004,C235,'Saisie'!$L$5:$L$2004,"&lt;&gt;")-4),""))</f>
        <v/>
      </c>
      <c r="AW235" s="106">
        <f>IF(C235="","",IF(D235&lt;&gt;"Perdu","",IFERROR(1/(1/_xlfn.MAXIFS('Saisie'!$A$5:$A$2004,'Saisie'!$C$5:$C$2004,C235,'Saisie'!$E$5:$E$2004,"Perdu")),"")))</f>
        <v/>
      </c>
      <c r="AX235" s="106">
        <f>IF(C235="","",IF(AW235="","",AW235+'Paramètres'!$B$28))</f>
        <v/>
      </c>
      <c r="AY235" s="60">
        <f>IF(C235="","",SUMIFS('Saisie'!$H$5:$H$2004,'Saisie'!$C$5:$C$2004,C235))</f>
        <v/>
      </c>
      <c r="AZ235" s="60">
        <f>IF(C235="","",IFERROR(INDEX('Paramètres'!$W$6:$W$20,MATCH(S235,'Paramètres'!$V$6:$V$20,0))&amp;"",""))</f>
        <v/>
      </c>
      <c r="BA235" s="60">
        <f>IF(C235="","",MAX(1,_xlfn.MAXIFS('Saisie'!$AT$5:$AT$2004,'Saisie'!$C$5:$C$2004,C235)))</f>
        <v/>
      </c>
      <c r="BB235" s="60">
        <f>IF(C235="","",IFERROR(INDEX('Saisie'!$X$5:$X$2004,_xlfn.MAXIFS('Saisie'!$AS$5:$AS$2004,'Saisie'!$C$5:$C$2004,C235,'Saisie'!$X$5:$X$2004,"&lt;&gt;")-4),""))</f>
        <v/>
      </c>
      <c r="BC235" s="60">
        <f>IF(C235="","",IFERROR(INDEX('Saisie'!$Y$5:$Y$2004,_xlfn.MAXIFS('Saisie'!$AS$5:$AS$2004,'Saisie'!$C$5:$C$2004,C235,'Saisie'!$Y$5:$Y$2004,"&lt;&gt;")-4),""))</f>
        <v/>
      </c>
      <c r="BD235" s="106">
        <f>IF(C235="","",IFERROR(1/(1/_xlfn.MINIFS('Saisie'!$A$5:$A$2004,'Saisie'!$C$5:$C$2004,C235,'Saisie'!$AT$5:$AT$2004,"&gt;=2")),""))</f>
        <v/>
      </c>
      <c r="BE235" s="106">
        <f>IF(C235="","",IFERROR(1/(1/_xlfn.MINIFS('Saisie'!$A$5:$A$2004,'Saisie'!$C$5:$C$2004,C235,'Saisie'!$AT$5:$AT$2004,"&gt;=3")),""))</f>
        <v/>
      </c>
      <c r="BF235" s="106">
        <f>IF(C235="","",IFERROR(1/(1/_xlfn.MINIFS('Saisie'!$A$5:$A$2004,'Saisie'!$C$5:$C$2004,C235,'Saisie'!$AT$5:$AT$2004,"&gt;=4")),""))</f>
        <v/>
      </c>
      <c r="BG235" s="106">
        <f>IF(C235="","",IFERROR(1/(1/_xlfn.MINIFS('Saisie'!$A$5:$A$2004,'Saisie'!$C$5:$C$2004,C235,'Saisie'!$AT$5:$AT$2004,"&gt;=5")),""))</f>
        <v/>
      </c>
      <c r="BH235" s="106">
        <f>IF(C235="","",IFERROR(1/(1/_xlfn.MINIFS('Saisie'!$A$5:$A$2004,'Saisie'!$C$5:$C$2004,C235,'Saisie'!$AT$5:$AT$2004,"&gt;=6")),""))</f>
        <v/>
      </c>
      <c r="BI235" s="106">
        <f>IF(C235="","",IFERROR(1/(1/_xlfn.MINIFS('Saisie'!$A$5:$A$2004,'Saisie'!$C$5:$C$2004,C235,'Saisie'!$AT$5:$AT$2004,"&gt;=7")),""))</f>
        <v/>
      </c>
      <c r="BJ235" s="60">
        <f>IF(OR(BD235="",B235=""),"",BD235-B235)</f>
        <v/>
      </c>
      <c r="BK235" s="60">
        <f>IF(OR(BE235="",BD235=""),"",BE235-BD235)</f>
        <v/>
      </c>
      <c r="BL235" s="60">
        <f>IF(OR(BF235="",BE235=""),"",BF235-BE235)</f>
        <v/>
      </c>
      <c r="BM235" s="60">
        <f>IF(OR(BG235="",BF235=""),"",BG235-BF235)</f>
        <v/>
      </c>
      <c r="BN235" s="60">
        <f>IF(OR(BH235="",BG235=""),"",BH235-BG235)</f>
        <v/>
      </c>
      <c r="BO235" s="60">
        <f>IF(OR(BI235="",BH235=""),"",BI235-BH235)</f>
        <v/>
      </c>
      <c r="BP235" s="60">
        <f>IF(C235="","",_xlfn.MAXIFS('Saisie'!$AS$5:$AS$2004,'Saisie'!$C$5:$C$2004,C235,'Saisie'!$J$5:$J$2004,"&lt;&gt;"))</f>
        <v/>
      </c>
      <c r="BQ235" s="60">
        <f>IF(C235="","",_xlfn.MAXIFS('Saisie'!$AS$5:$AS$2004,'Saisie'!$C$5:$C$2004,C235))</f>
        <v/>
      </c>
      <c r="BR235" s="60">
        <f>IF(C235="","",_xlfn.MAXIFS('Saisie'!$AS$5:$AS$2004,'Saisie'!$C$5:$C$2004,C235,'Saisie'!$E$5:$E$2004,"Perdu"))</f>
        <v/>
      </c>
      <c r="BS235" s="60">
        <f>IF(C235="","",_xlfn.MAXIFS('Saisie'!$AS$5:$AS$2004,'Saisie'!$C$5:$C$2004,C235,'Saisie'!$AT$5:$AT$2004,"&gt;0"))</f>
        <v/>
      </c>
      <c r="BT235" s="109">
        <f>IF(AND(C235&lt;&gt;"",OR(D235="Nouveau",D235="Contacté",D235="Qualifié"),OR(G235="",N(G235)&lt;=TODAY()),NOT(AND(O235&gt;='Paramètres'!$B$21,P235=0))),E235+231/10000,"")</f>
        <v/>
      </c>
      <c r="BU235" s="60">
        <f>IF(AND(G235&lt;&gt;"",N(G235)&lt;=TODAY()),MAX($BU$4:BU234)+1,"")</f>
        <v/>
      </c>
      <c r="BV235" s="60">
        <f>IF(AND(F235&lt;&gt;"",F235&lt;&gt;"Relance en retard"),MAX($BV$4:BV234)+1,"")</f>
        <v/>
      </c>
      <c r="BW235" s="60">
        <f>IF(C235="","",IF(AND(B235&gt;='Tableau de bord'!$R$4,B235&lt;='Tableau de bord'!$S$4,OR('Tableau de bord'!$G$4="Tous",N235='Tableau de bord'!$G$4)),1,0))</f>
        <v/>
      </c>
      <c r="BX235" s="60">
        <f>IF(AND(C235&lt;&gt;"",N(BA235)=7),MAX($BX$4:BX234)+1,"")</f>
        <v/>
      </c>
    </row>
    <row r="236">
      <c r="A236" s="60">
        <f>IF(C236="","","P-"&amp;TEXT(232,"000"))</f>
        <v/>
      </c>
      <c r="B236" s="106">
        <f>IF(C236="","",IFERROR(1/(1/_xlfn.MINIFS('Saisie'!$A$5:$A$2004,'Saisie'!$C$5:$C$2004,C236)),""))</f>
        <v/>
      </c>
      <c r="C236" s="60">
        <f>IFERROR(INDEX('Saisie'!$C$5:$C$2004,MATCH(232,'Saisie'!$AX$5:$AX$2004,0)),"")</f>
        <v/>
      </c>
      <c r="D236" s="60">
        <f>IF(C236="","",IF(AND(BR236&gt;0,BR236&gt;BS236,BA236&lt;7),"Perdu",INDEX('Paramètres'!$F$6:$F$13,BA236)))</f>
        <v/>
      </c>
      <c r="E236" s="61">
        <f>IF(C236="","",MIN(100,(Z236="Oui")*'Paramètres'!$B$38+(AB236="Régulière")*'Paramètres'!$B$39+IF(AND(N(AA236)&gt;0,TODAY()-N(AA236)&lt;=30),'Paramètres'!$B$40,0)+(W236="")*'Paramètres'!$B$41+(AC236="Absente")*'Paramètres'!$B$42+(AC236="Faible")*'Paramètres'!$B$43+IF(AND(N(AD236)&gt;0,N(AD236)&lt;4),'Paramètres'!$B$44,0)+(AF236="Moyenne")*'Paramètres'!$B$45+(AF236="Grande")*'Paramètres'!$B$46+(Y236&lt;&gt;"")*'Paramètres'!$B$47))</f>
        <v/>
      </c>
      <c r="F236" s="60">
        <f>IF(C236="","",IF(D236="Gagné","",IF(D236="Perdu",IF(AND(AX236&lt;&gt;"",AX236&lt;=TODAY()),"À recontacter (perdu)",""),IF(AND(O236&gt;='Paramètres'!$B$21,P236=0),"Stop : "&amp;'Paramètres'!$B$21&amp;" tentatives sans réponse",IF(AND(D236="Proposition",AR236&lt;&gt;"",TODAY()&gt;N(AR236)),"Proposition expirée",IF(AND(D236="Proposition",N(R236)&gt;='Paramètres'!$B$25),"Proposition sans réponse",IF(AND(G236&lt;&gt;"",N(G236)&lt;TODAY()),"Relance en retard",IF(N(R236)&gt;='Paramètres'!$B$24,"Sans action depuis "&amp;R236&amp;" j",""))))))))</f>
        <v/>
      </c>
      <c r="G236" s="106">
        <f>IF(OR(C236="",D236="Gagné",D236="Perdu"),"",IF(AND(BP236&gt;0,BP236=BQ236),INDEX('Saisie'!$J$5:$J$2004,BP236-4),IF(OR(O236=0,AND(O236&gt;='Paramètres'!$B$21,P236=0)),"",Q236+IF(O236&lt;=1,'Paramètres'!$B$18,IF(O236=2,'Paramètres'!$B$19,'Paramètres'!$B$20)))))</f>
        <v/>
      </c>
      <c r="H236" s="107">
        <f>IF(OR(G236="",BP236&lt;&gt;BQ236),"",IF(INDEX('Saisie'!$K$5:$K$2004,BP236-4)="","",INDEX('Saisie'!$K$5:$K$2004,BP236-4)))</f>
        <v/>
      </c>
      <c r="I236" s="60">
        <f>IF(C236="","",IF(OR(D236="Gagné",D236="Perdu"),"",IFERROR(INDEX('Saisie'!$I$5:$I$2004,_xlfn.MAXIFS('Saisie'!$AS$5:$AS$2004,'Saisie'!$C$5:$C$2004,C236,'Saisie'!$I$5:$I$2004,"&lt;&gt;")-4),"")))</f>
        <v/>
      </c>
      <c r="J236" s="60">
        <f>IF(C236="","",IFERROR(INDEX('Saisie'!$U$5:$U$2004,_xlfn.MAXIFS('Saisie'!$AS$5:$AS$2004,'Saisie'!$C$5:$C$2004,C236,'Saisie'!$U$5:$U$2004,"&lt;&gt;")-4),""))</f>
        <v/>
      </c>
      <c r="K236" s="60">
        <f>IF(C236="","",IFERROR(INDEX('Saisie'!$W$5:$W$2004,_xlfn.MAXIFS('Saisie'!$AS$5:$AS$2004,'Saisie'!$C$5:$C$2004,C236,'Saisie'!$W$5:$W$2004,"&lt;&gt;")-4),""))</f>
        <v/>
      </c>
      <c r="L236" s="60">
        <f>IF(IF(BB236&lt;&gt;"",BB236,K236)="","",HYPERLINK("https://wa.me/"&amp;IF(LEFT(SUBSTITUTE(SUBSTITUTE(SUBSTITUTE(IF(BB236&lt;&gt;"",BB236,K236)," ",""),".",""),"+",""),1)="0",'Paramètres'!$B$35&amp;MID(SUBSTITUTE(SUBSTITUTE(SUBSTITUTE(IF(BB236&lt;&gt;"",BB236,K236)," ",""),".",""),"+",""),2,20),SUBSTITUTE(SUBSTITUTE(SUBSTITUTE(IF(BB236&lt;&gt;"",BB236,K236)," ",""),".",""),"+","")),"WhatsApp"))</f>
        <v/>
      </c>
      <c r="M236" s="60">
        <f>IF(BC236="","",HYPERLINK(IF(LEFT(BC236,4)="http",BC236,"https://www.instagram.com/"&amp;SUBSTITUTE(SUBSTITUTE(BC236,"@","")," ","")),BC236))</f>
        <v/>
      </c>
      <c r="N236" s="60">
        <f>IF(C236="","",IFERROR(INDEX('Saisie'!$D$5:$D$2004,_xlfn.MINIFS('Saisie'!$AS$5:$AS$2004,'Saisie'!$C$5:$C$2004,C236,'Saisie'!$AU$5:$AU$2004,1)-4),IFERROR(INDEX('Saisie'!$D$5:$D$2004,_xlfn.MINIFS('Saisie'!$AS$5:$AS$2004,'Saisie'!$C$5:$C$2004,C236,'Saisie'!$D$5:$D$2004,"&lt;&gt;")-4),"")))</f>
        <v/>
      </c>
      <c r="O236" s="60">
        <f>IF(C236="","",COUNTIFS('Saisie'!$C$5:$C$2004,C236,'Saisie'!$AU$5:$AU$2004,1))</f>
        <v/>
      </c>
      <c r="P236" s="60">
        <f>IF(C236="","",COUNTIFS('Saisie'!$C$5:$C$2004,C236,'Saisie'!$AV$5:$AV$2004,1))</f>
        <v/>
      </c>
      <c r="Q236" s="106">
        <f>IF(C236="","",IFERROR(1/(1/_xlfn.MAXIFS('Saisie'!$A$5:$A$2004,'Saisie'!$C$5:$C$2004,C236)),""))</f>
        <v/>
      </c>
      <c r="R236" s="61">
        <f>IF(C236="","",IF(Q236="","",TODAY()-Q236))</f>
        <v/>
      </c>
      <c r="S236" s="60">
        <f>IF(C236="","",IFERROR(INDEX('Saisie'!$R$5:$R$2004,_xlfn.MAXIFS('Saisie'!$AS$5:$AS$2004,'Saisie'!$C$5:$C$2004,C236,'Saisie'!$R$5:$R$2004,"&lt;&gt;")-4),""))</f>
        <v/>
      </c>
      <c r="T236" s="60">
        <f>IF(C236="","",IFERROR(INDEX('Saisie'!$S$5:$S$2004,_xlfn.MAXIFS('Saisie'!$AS$5:$AS$2004,'Saisie'!$C$5:$C$2004,C236,'Saisie'!$S$5:$S$2004,"&lt;&gt;")-4),""))</f>
        <v/>
      </c>
      <c r="U236" s="60">
        <f>IF(C236="","",IFERROR(INDEX('Saisie'!$T$5:$T$2004,_xlfn.MAXIFS('Saisie'!$AS$5:$AS$2004,'Saisie'!$C$5:$C$2004,C236,'Saisie'!$T$5:$T$2004,"&lt;&gt;")-4),""))</f>
        <v/>
      </c>
      <c r="V236" s="60">
        <f>IF(C236="","",IFERROR(INDEX('Saisie'!$V$5:$V$2004,_xlfn.MAXIFS('Saisie'!$AS$5:$AS$2004,'Saisie'!$C$5:$C$2004,C236,'Saisie'!$V$5:$V$2004,"&lt;&gt;")-4),""))</f>
        <v/>
      </c>
      <c r="W236" s="60">
        <f>IF(C236="","",IFERROR(INDEX('Saisie'!$Z$5:$Z$2004,_xlfn.MAXIFS('Saisie'!$AS$5:$AS$2004,'Saisie'!$C$5:$C$2004,C236,'Saisie'!$Z$5:$Z$2004,"&lt;&gt;")-4),""))</f>
        <v/>
      </c>
      <c r="X236" s="60">
        <f>IF(C236="","",IFERROR(INDEX('Saisie'!$AA$5:$AA$2004,_xlfn.MAXIFS('Saisie'!$AS$5:$AS$2004,'Saisie'!$C$5:$C$2004,C236,'Saisie'!$AA$5:$AA$2004,"&lt;&gt;")-4),""))</f>
        <v/>
      </c>
      <c r="Y236" s="60">
        <f>IF(C236="","",IFERROR(INDEX('Saisie'!$AB$5:$AB$2004,_xlfn.MAXIFS('Saisie'!$AS$5:$AS$2004,'Saisie'!$C$5:$C$2004,C236,'Saisie'!$AB$5:$AB$2004,"&lt;&gt;")-4),""))</f>
        <v/>
      </c>
      <c r="Z236" s="60">
        <f>IF(C236="","",IFERROR(INDEX('Saisie'!$AC$5:$AC$2004,_xlfn.MAXIFS('Saisie'!$AS$5:$AS$2004,'Saisie'!$C$5:$C$2004,C236,'Saisie'!$AC$5:$AC$2004,"&lt;&gt;")-4),""))</f>
        <v/>
      </c>
      <c r="AA236" s="106">
        <f>IF(C236="","",IFERROR(INDEX('Saisie'!$AD$5:$AD$2004,_xlfn.MAXIFS('Saisie'!$AS$5:$AS$2004,'Saisie'!$C$5:$C$2004,C236,'Saisie'!$AD$5:$AD$2004,"&lt;&gt;")-4),""))</f>
        <v/>
      </c>
      <c r="AB236" s="60">
        <f>IF(C236="","",IFERROR(INDEX('Saisie'!$AE$5:$AE$2004,_xlfn.MAXIFS('Saisie'!$AS$5:$AS$2004,'Saisie'!$C$5:$C$2004,C236,'Saisie'!$AE$5:$AE$2004,"&lt;&gt;")-4),""))</f>
        <v/>
      </c>
      <c r="AC236" s="60">
        <f>IF(C236="","",IFERROR(INDEX('Saisie'!$AF$5:$AF$2004,_xlfn.MAXIFS('Saisie'!$AS$5:$AS$2004,'Saisie'!$C$5:$C$2004,C236,'Saisie'!$AF$5:$AF$2004,"&lt;&gt;")-4),""))</f>
        <v/>
      </c>
      <c r="AD236" s="108">
        <f>IF(C236="","",IFERROR(INDEX('Saisie'!$AG$5:$AG$2004,_xlfn.MAXIFS('Saisie'!$AS$5:$AS$2004,'Saisie'!$C$5:$C$2004,C236,'Saisie'!$AG$5:$AG$2004,"&lt;&gt;")-4),""))</f>
        <v/>
      </c>
      <c r="AE236" s="60">
        <f>IF(C236="","",IFERROR(INDEX('Saisie'!$AH$5:$AH$2004,_xlfn.MAXIFS('Saisie'!$AS$5:$AS$2004,'Saisie'!$C$5:$C$2004,C236,'Saisie'!$AH$5:$AH$2004,"&lt;&gt;")-4),""))</f>
        <v/>
      </c>
      <c r="AF236" s="60">
        <f>IF(C236="","",IFERROR(INDEX('Saisie'!$AI$5:$AI$2004,_xlfn.MAXIFS('Saisie'!$AS$5:$AS$2004,'Saisie'!$C$5:$C$2004,C236,'Saisie'!$AI$5:$AI$2004,"&lt;&gt;")-4),""))</f>
        <v/>
      </c>
      <c r="AG236" s="60">
        <f>IF(C236="","",IFERROR(INDEX('Saisie'!$AJ$5:$AJ$2004,_xlfn.MAXIFS('Saisie'!$AS$5:$AS$2004,'Saisie'!$C$5:$C$2004,C236,'Saisie'!$AJ$5:$AJ$2004,"&lt;&gt;")-4),""))</f>
        <v/>
      </c>
      <c r="AH236" s="60">
        <f>IF(C236="","",IFERROR(INDEX('Saisie'!$AK$5:$AK$2004,_xlfn.MAXIFS('Saisie'!$AS$5:$AS$2004,'Saisie'!$C$5:$C$2004,C236,'Saisie'!$AK$5:$AK$2004,"&lt;&gt;")-4),""))</f>
        <v/>
      </c>
      <c r="AI236" s="60">
        <f>IF(C236="","",IFERROR(INDEX('Saisie'!$AN$5:$AN$2004,_xlfn.MAXIFS('Saisie'!$AS$5:$AS$2004,'Saisie'!$C$5:$C$2004,C236,'Saisie'!$AN$5:$AN$2004,"&lt;&gt;")-4),""))</f>
        <v/>
      </c>
      <c r="AJ236" s="60">
        <f>IF(C236="","",IFERROR(INDEX('Saisie'!$AO$5:$AO$2004,_xlfn.MAXIFS('Saisie'!$AS$5:$AS$2004,'Saisie'!$C$5:$C$2004,C236,'Saisie'!$AO$5:$AO$2004,"&lt;&gt;")-4),""))</f>
        <v/>
      </c>
      <c r="AK236" s="60">
        <f>IF(C236="","",IFERROR(INDEX('Saisie'!$AP$5:$AP$2004,_xlfn.MAXIFS('Saisie'!$AS$5:$AS$2004,'Saisie'!$C$5:$C$2004,C236,'Saisie'!$AP$5:$AP$2004,"&lt;&gt;")-4),""))</f>
        <v/>
      </c>
      <c r="AL236" s="60">
        <f>IF(C236="","",IFERROR(INDEX('Saisie'!$AQ$5:$AQ$2004,_xlfn.MAXIFS('Saisie'!$AS$5:$AS$2004,'Saisie'!$C$5:$C$2004,C236,'Saisie'!$AQ$5:$AQ$2004,"&lt;&gt;")-4),""))</f>
        <v/>
      </c>
      <c r="AM236" s="60">
        <f>IF(C236="","",((AI236="Oui")+(AJ236="Oui")+(AK236="Oui")+OR(AL236="Immédiat",AL236="&lt; 1 mois"))&amp;"/4")</f>
        <v/>
      </c>
      <c r="AN236" s="60">
        <f>IF(C236="","",IFERROR(INDEX('Saisie'!$AL$5:$AL$2004,_xlfn.MAXIFS('Saisie'!$AS$5:$AS$2004,'Saisie'!$C$5:$C$2004,C236,'Saisie'!$AL$5:$AL$2004,"&lt;&gt;")-4),""))</f>
        <v/>
      </c>
      <c r="AO236" s="62">
        <f>IF(C236="","",IF(IFERROR(INDEX('Saisie'!$AM$5:$AM$2004,_xlfn.MAXIFS('Saisie'!$AS$5:$AS$2004,'Saisie'!$C$5:$C$2004,C236,'Saisie'!$AM$5:$AM$2004,"&lt;&gt;")-4),"")&lt;&gt;"",IFERROR(INDEX('Saisie'!$AM$5:$AM$2004,_xlfn.MAXIFS('Saisie'!$AS$5:$AS$2004,'Saisie'!$C$5:$C$2004,C236,'Saisie'!$AM$5:$AM$2004,"&lt;&gt;")-4),""),IFERROR(INDEX('Paramètres'!$S$6:$S$15,MATCH(AN236,'Paramètres'!$Q$6:$Q$15,0)),"")))</f>
        <v/>
      </c>
      <c r="AP236" s="62">
        <f>IF(C236="","",IFERROR(INDEX('Saisie'!$AW$5:$AW$2004,_xlfn.MAXIFS('Saisie'!$AS$5:$AS$2004,'Saisie'!$C$5:$C$2004,C236,'Saisie'!$E$5:$E$2004,"Proposition envoyée")-4),""))</f>
        <v/>
      </c>
      <c r="AQ236" s="106">
        <f>IF(C236="","",IFERROR(1/(1/_xlfn.MAXIFS('Saisie'!$A$5:$A$2004,'Saisie'!$C$5:$C$2004,C236,'Saisie'!$E$5:$E$2004,"Proposition envoyée")),""))</f>
        <v/>
      </c>
      <c r="AR236" s="106">
        <f>IF(C236="","",IF(AQ236="","",AQ236+'Paramètres'!$B$26))</f>
        <v/>
      </c>
      <c r="AS236" s="62">
        <f>IF(OR(C236="",D236="Gagné",D236="Perdu"),0,N(AP236)*IFERROR(INDEX('Paramètres'!$G$6:$G$13,MATCH(D236,'Paramètres'!$F$6:$F$13,0)),0))</f>
        <v/>
      </c>
      <c r="AT236" s="106">
        <f>IF(C236="","",IFERROR(1/(1/_xlfn.MINIFS('Saisie'!$A$5:$A$2004,'Saisie'!$C$5:$C$2004,C236,'Saisie'!$E$5:$E$2004,"Signature")),""))</f>
        <v/>
      </c>
      <c r="AU236" s="60">
        <f>IF(C236="","",IF(OR(AT236="",B236=""),"",AT236-B236))</f>
        <v/>
      </c>
      <c r="AV236" s="60">
        <f>IF(C236="","",IFERROR(INDEX('Saisie'!$L$5:$L$2004,_xlfn.MAXIFS('Saisie'!$AS$5:$AS$2004,'Saisie'!$C$5:$C$2004,C236,'Saisie'!$L$5:$L$2004,"&lt;&gt;")-4),""))</f>
        <v/>
      </c>
      <c r="AW236" s="106">
        <f>IF(C236="","",IF(D236&lt;&gt;"Perdu","",IFERROR(1/(1/_xlfn.MAXIFS('Saisie'!$A$5:$A$2004,'Saisie'!$C$5:$C$2004,C236,'Saisie'!$E$5:$E$2004,"Perdu")),"")))</f>
        <v/>
      </c>
      <c r="AX236" s="106">
        <f>IF(C236="","",IF(AW236="","",AW236+'Paramètres'!$B$28))</f>
        <v/>
      </c>
      <c r="AY236" s="60">
        <f>IF(C236="","",SUMIFS('Saisie'!$H$5:$H$2004,'Saisie'!$C$5:$C$2004,C236))</f>
        <v/>
      </c>
      <c r="AZ236" s="60">
        <f>IF(C236="","",IFERROR(INDEX('Paramètres'!$W$6:$W$20,MATCH(S236,'Paramètres'!$V$6:$V$20,0))&amp;"",""))</f>
        <v/>
      </c>
      <c r="BA236" s="60">
        <f>IF(C236="","",MAX(1,_xlfn.MAXIFS('Saisie'!$AT$5:$AT$2004,'Saisie'!$C$5:$C$2004,C236)))</f>
        <v/>
      </c>
      <c r="BB236" s="60">
        <f>IF(C236="","",IFERROR(INDEX('Saisie'!$X$5:$X$2004,_xlfn.MAXIFS('Saisie'!$AS$5:$AS$2004,'Saisie'!$C$5:$C$2004,C236,'Saisie'!$X$5:$X$2004,"&lt;&gt;")-4),""))</f>
        <v/>
      </c>
      <c r="BC236" s="60">
        <f>IF(C236="","",IFERROR(INDEX('Saisie'!$Y$5:$Y$2004,_xlfn.MAXIFS('Saisie'!$AS$5:$AS$2004,'Saisie'!$C$5:$C$2004,C236,'Saisie'!$Y$5:$Y$2004,"&lt;&gt;")-4),""))</f>
        <v/>
      </c>
      <c r="BD236" s="106">
        <f>IF(C236="","",IFERROR(1/(1/_xlfn.MINIFS('Saisie'!$A$5:$A$2004,'Saisie'!$C$5:$C$2004,C236,'Saisie'!$AT$5:$AT$2004,"&gt;=2")),""))</f>
        <v/>
      </c>
      <c r="BE236" s="106">
        <f>IF(C236="","",IFERROR(1/(1/_xlfn.MINIFS('Saisie'!$A$5:$A$2004,'Saisie'!$C$5:$C$2004,C236,'Saisie'!$AT$5:$AT$2004,"&gt;=3")),""))</f>
        <v/>
      </c>
      <c r="BF236" s="106">
        <f>IF(C236="","",IFERROR(1/(1/_xlfn.MINIFS('Saisie'!$A$5:$A$2004,'Saisie'!$C$5:$C$2004,C236,'Saisie'!$AT$5:$AT$2004,"&gt;=4")),""))</f>
        <v/>
      </c>
      <c r="BG236" s="106">
        <f>IF(C236="","",IFERROR(1/(1/_xlfn.MINIFS('Saisie'!$A$5:$A$2004,'Saisie'!$C$5:$C$2004,C236,'Saisie'!$AT$5:$AT$2004,"&gt;=5")),""))</f>
        <v/>
      </c>
      <c r="BH236" s="106">
        <f>IF(C236="","",IFERROR(1/(1/_xlfn.MINIFS('Saisie'!$A$5:$A$2004,'Saisie'!$C$5:$C$2004,C236,'Saisie'!$AT$5:$AT$2004,"&gt;=6")),""))</f>
        <v/>
      </c>
      <c r="BI236" s="106">
        <f>IF(C236="","",IFERROR(1/(1/_xlfn.MINIFS('Saisie'!$A$5:$A$2004,'Saisie'!$C$5:$C$2004,C236,'Saisie'!$AT$5:$AT$2004,"&gt;=7")),""))</f>
        <v/>
      </c>
      <c r="BJ236" s="60">
        <f>IF(OR(BD236="",B236=""),"",BD236-B236)</f>
        <v/>
      </c>
      <c r="BK236" s="60">
        <f>IF(OR(BE236="",BD236=""),"",BE236-BD236)</f>
        <v/>
      </c>
      <c r="BL236" s="60">
        <f>IF(OR(BF236="",BE236=""),"",BF236-BE236)</f>
        <v/>
      </c>
      <c r="BM236" s="60">
        <f>IF(OR(BG236="",BF236=""),"",BG236-BF236)</f>
        <v/>
      </c>
      <c r="BN236" s="60">
        <f>IF(OR(BH236="",BG236=""),"",BH236-BG236)</f>
        <v/>
      </c>
      <c r="BO236" s="60">
        <f>IF(OR(BI236="",BH236=""),"",BI236-BH236)</f>
        <v/>
      </c>
      <c r="BP236" s="60">
        <f>IF(C236="","",_xlfn.MAXIFS('Saisie'!$AS$5:$AS$2004,'Saisie'!$C$5:$C$2004,C236,'Saisie'!$J$5:$J$2004,"&lt;&gt;"))</f>
        <v/>
      </c>
      <c r="BQ236" s="60">
        <f>IF(C236="","",_xlfn.MAXIFS('Saisie'!$AS$5:$AS$2004,'Saisie'!$C$5:$C$2004,C236))</f>
        <v/>
      </c>
      <c r="BR236" s="60">
        <f>IF(C236="","",_xlfn.MAXIFS('Saisie'!$AS$5:$AS$2004,'Saisie'!$C$5:$C$2004,C236,'Saisie'!$E$5:$E$2004,"Perdu"))</f>
        <v/>
      </c>
      <c r="BS236" s="60">
        <f>IF(C236="","",_xlfn.MAXIFS('Saisie'!$AS$5:$AS$2004,'Saisie'!$C$5:$C$2004,C236,'Saisie'!$AT$5:$AT$2004,"&gt;0"))</f>
        <v/>
      </c>
      <c r="BT236" s="109">
        <f>IF(AND(C236&lt;&gt;"",OR(D236="Nouveau",D236="Contacté",D236="Qualifié"),OR(G236="",N(G236)&lt;=TODAY()),NOT(AND(O236&gt;='Paramètres'!$B$21,P236=0))),E236+232/10000,"")</f>
        <v/>
      </c>
      <c r="BU236" s="60">
        <f>IF(AND(G236&lt;&gt;"",N(G236)&lt;=TODAY()),MAX($BU$4:BU235)+1,"")</f>
        <v/>
      </c>
      <c r="BV236" s="60">
        <f>IF(AND(F236&lt;&gt;"",F236&lt;&gt;"Relance en retard"),MAX($BV$4:BV235)+1,"")</f>
        <v/>
      </c>
      <c r="BW236" s="60">
        <f>IF(C236="","",IF(AND(B236&gt;='Tableau de bord'!$R$4,B236&lt;='Tableau de bord'!$S$4,OR('Tableau de bord'!$G$4="Tous",N236='Tableau de bord'!$G$4)),1,0))</f>
        <v/>
      </c>
      <c r="BX236" s="60">
        <f>IF(AND(C236&lt;&gt;"",N(BA236)=7),MAX($BX$4:BX235)+1,"")</f>
        <v/>
      </c>
    </row>
    <row r="237">
      <c r="A237" s="60">
        <f>IF(C237="","","P-"&amp;TEXT(233,"000"))</f>
        <v/>
      </c>
      <c r="B237" s="106">
        <f>IF(C237="","",IFERROR(1/(1/_xlfn.MINIFS('Saisie'!$A$5:$A$2004,'Saisie'!$C$5:$C$2004,C237)),""))</f>
        <v/>
      </c>
      <c r="C237" s="60">
        <f>IFERROR(INDEX('Saisie'!$C$5:$C$2004,MATCH(233,'Saisie'!$AX$5:$AX$2004,0)),"")</f>
        <v/>
      </c>
      <c r="D237" s="60">
        <f>IF(C237="","",IF(AND(BR237&gt;0,BR237&gt;BS237,BA237&lt;7),"Perdu",INDEX('Paramètres'!$F$6:$F$13,BA237)))</f>
        <v/>
      </c>
      <c r="E237" s="61">
        <f>IF(C237="","",MIN(100,(Z237="Oui")*'Paramètres'!$B$38+(AB237="Régulière")*'Paramètres'!$B$39+IF(AND(N(AA237)&gt;0,TODAY()-N(AA237)&lt;=30),'Paramètres'!$B$40,0)+(W237="")*'Paramètres'!$B$41+(AC237="Absente")*'Paramètres'!$B$42+(AC237="Faible")*'Paramètres'!$B$43+IF(AND(N(AD237)&gt;0,N(AD237)&lt;4),'Paramètres'!$B$44,0)+(AF237="Moyenne")*'Paramètres'!$B$45+(AF237="Grande")*'Paramètres'!$B$46+(Y237&lt;&gt;"")*'Paramètres'!$B$47))</f>
        <v/>
      </c>
      <c r="F237" s="60">
        <f>IF(C237="","",IF(D237="Gagné","",IF(D237="Perdu",IF(AND(AX237&lt;&gt;"",AX237&lt;=TODAY()),"À recontacter (perdu)",""),IF(AND(O237&gt;='Paramètres'!$B$21,P237=0),"Stop : "&amp;'Paramètres'!$B$21&amp;" tentatives sans réponse",IF(AND(D237="Proposition",AR237&lt;&gt;"",TODAY()&gt;N(AR237)),"Proposition expirée",IF(AND(D237="Proposition",N(R237)&gt;='Paramètres'!$B$25),"Proposition sans réponse",IF(AND(G237&lt;&gt;"",N(G237)&lt;TODAY()),"Relance en retard",IF(N(R237)&gt;='Paramètres'!$B$24,"Sans action depuis "&amp;R237&amp;" j",""))))))))</f>
        <v/>
      </c>
      <c r="G237" s="106">
        <f>IF(OR(C237="",D237="Gagné",D237="Perdu"),"",IF(AND(BP237&gt;0,BP237=BQ237),INDEX('Saisie'!$J$5:$J$2004,BP237-4),IF(OR(O237=0,AND(O237&gt;='Paramètres'!$B$21,P237=0)),"",Q237+IF(O237&lt;=1,'Paramètres'!$B$18,IF(O237=2,'Paramètres'!$B$19,'Paramètres'!$B$20)))))</f>
        <v/>
      </c>
      <c r="H237" s="107">
        <f>IF(OR(G237="",BP237&lt;&gt;BQ237),"",IF(INDEX('Saisie'!$K$5:$K$2004,BP237-4)="","",INDEX('Saisie'!$K$5:$K$2004,BP237-4)))</f>
        <v/>
      </c>
      <c r="I237" s="60">
        <f>IF(C237="","",IF(OR(D237="Gagné",D237="Perdu"),"",IFERROR(INDEX('Saisie'!$I$5:$I$2004,_xlfn.MAXIFS('Saisie'!$AS$5:$AS$2004,'Saisie'!$C$5:$C$2004,C237,'Saisie'!$I$5:$I$2004,"&lt;&gt;")-4),"")))</f>
        <v/>
      </c>
      <c r="J237" s="60">
        <f>IF(C237="","",IFERROR(INDEX('Saisie'!$U$5:$U$2004,_xlfn.MAXIFS('Saisie'!$AS$5:$AS$2004,'Saisie'!$C$5:$C$2004,C237,'Saisie'!$U$5:$U$2004,"&lt;&gt;")-4),""))</f>
        <v/>
      </c>
      <c r="K237" s="60">
        <f>IF(C237="","",IFERROR(INDEX('Saisie'!$W$5:$W$2004,_xlfn.MAXIFS('Saisie'!$AS$5:$AS$2004,'Saisie'!$C$5:$C$2004,C237,'Saisie'!$W$5:$W$2004,"&lt;&gt;")-4),""))</f>
        <v/>
      </c>
      <c r="L237" s="60">
        <f>IF(IF(BB237&lt;&gt;"",BB237,K237)="","",HYPERLINK("https://wa.me/"&amp;IF(LEFT(SUBSTITUTE(SUBSTITUTE(SUBSTITUTE(IF(BB237&lt;&gt;"",BB237,K237)," ",""),".",""),"+",""),1)="0",'Paramètres'!$B$35&amp;MID(SUBSTITUTE(SUBSTITUTE(SUBSTITUTE(IF(BB237&lt;&gt;"",BB237,K237)," ",""),".",""),"+",""),2,20),SUBSTITUTE(SUBSTITUTE(SUBSTITUTE(IF(BB237&lt;&gt;"",BB237,K237)," ",""),".",""),"+","")),"WhatsApp"))</f>
        <v/>
      </c>
      <c r="M237" s="60">
        <f>IF(BC237="","",HYPERLINK(IF(LEFT(BC237,4)="http",BC237,"https://www.instagram.com/"&amp;SUBSTITUTE(SUBSTITUTE(BC237,"@","")," ","")),BC237))</f>
        <v/>
      </c>
      <c r="N237" s="60">
        <f>IF(C237="","",IFERROR(INDEX('Saisie'!$D$5:$D$2004,_xlfn.MINIFS('Saisie'!$AS$5:$AS$2004,'Saisie'!$C$5:$C$2004,C237,'Saisie'!$AU$5:$AU$2004,1)-4),IFERROR(INDEX('Saisie'!$D$5:$D$2004,_xlfn.MINIFS('Saisie'!$AS$5:$AS$2004,'Saisie'!$C$5:$C$2004,C237,'Saisie'!$D$5:$D$2004,"&lt;&gt;")-4),"")))</f>
        <v/>
      </c>
      <c r="O237" s="60">
        <f>IF(C237="","",COUNTIFS('Saisie'!$C$5:$C$2004,C237,'Saisie'!$AU$5:$AU$2004,1))</f>
        <v/>
      </c>
      <c r="P237" s="60">
        <f>IF(C237="","",COUNTIFS('Saisie'!$C$5:$C$2004,C237,'Saisie'!$AV$5:$AV$2004,1))</f>
        <v/>
      </c>
      <c r="Q237" s="106">
        <f>IF(C237="","",IFERROR(1/(1/_xlfn.MAXIFS('Saisie'!$A$5:$A$2004,'Saisie'!$C$5:$C$2004,C237)),""))</f>
        <v/>
      </c>
      <c r="R237" s="61">
        <f>IF(C237="","",IF(Q237="","",TODAY()-Q237))</f>
        <v/>
      </c>
      <c r="S237" s="60">
        <f>IF(C237="","",IFERROR(INDEX('Saisie'!$R$5:$R$2004,_xlfn.MAXIFS('Saisie'!$AS$5:$AS$2004,'Saisie'!$C$5:$C$2004,C237,'Saisie'!$R$5:$R$2004,"&lt;&gt;")-4),""))</f>
        <v/>
      </c>
      <c r="T237" s="60">
        <f>IF(C237="","",IFERROR(INDEX('Saisie'!$S$5:$S$2004,_xlfn.MAXIFS('Saisie'!$AS$5:$AS$2004,'Saisie'!$C$5:$C$2004,C237,'Saisie'!$S$5:$S$2004,"&lt;&gt;")-4),""))</f>
        <v/>
      </c>
      <c r="U237" s="60">
        <f>IF(C237="","",IFERROR(INDEX('Saisie'!$T$5:$T$2004,_xlfn.MAXIFS('Saisie'!$AS$5:$AS$2004,'Saisie'!$C$5:$C$2004,C237,'Saisie'!$T$5:$T$2004,"&lt;&gt;")-4),""))</f>
        <v/>
      </c>
      <c r="V237" s="60">
        <f>IF(C237="","",IFERROR(INDEX('Saisie'!$V$5:$V$2004,_xlfn.MAXIFS('Saisie'!$AS$5:$AS$2004,'Saisie'!$C$5:$C$2004,C237,'Saisie'!$V$5:$V$2004,"&lt;&gt;")-4),""))</f>
        <v/>
      </c>
      <c r="W237" s="60">
        <f>IF(C237="","",IFERROR(INDEX('Saisie'!$Z$5:$Z$2004,_xlfn.MAXIFS('Saisie'!$AS$5:$AS$2004,'Saisie'!$C$5:$C$2004,C237,'Saisie'!$Z$5:$Z$2004,"&lt;&gt;")-4),""))</f>
        <v/>
      </c>
      <c r="X237" s="60">
        <f>IF(C237="","",IFERROR(INDEX('Saisie'!$AA$5:$AA$2004,_xlfn.MAXIFS('Saisie'!$AS$5:$AS$2004,'Saisie'!$C$5:$C$2004,C237,'Saisie'!$AA$5:$AA$2004,"&lt;&gt;")-4),""))</f>
        <v/>
      </c>
      <c r="Y237" s="60">
        <f>IF(C237="","",IFERROR(INDEX('Saisie'!$AB$5:$AB$2004,_xlfn.MAXIFS('Saisie'!$AS$5:$AS$2004,'Saisie'!$C$5:$C$2004,C237,'Saisie'!$AB$5:$AB$2004,"&lt;&gt;")-4),""))</f>
        <v/>
      </c>
      <c r="Z237" s="60">
        <f>IF(C237="","",IFERROR(INDEX('Saisie'!$AC$5:$AC$2004,_xlfn.MAXIFS('Saisie'!$AS$5:$AS$2004,'Saisie'!$C$5:$C$2004,C237,'Saisie'!$AC$5:$AC$2004,"&lt;&gt;")-4),""))</f>
        <v/>
      </c>
      <c r="AA237" s="106">
        <f>IF(C237="","",IFERROR(INDEX('Saisie'!$AD$5:$AD$2004,_xlfn.MAXIFS('Saisie'!$AS$5:$AS$2004,'Saisie'!$C$5:$C$2004,C237,'Saisie'!$AD$5:$AD$2004,"&lt;&gt;")-4),""))</f>
        <v/>
      </c>
      <c r="AB237" s="60">
        <f>IF(C237="","",IFERROR(INDEX('Saisie'!$AE$5:$AE$2004,_xlfn.MAXIFS('Saisie'!$AS$5:$AS$2004,'Saisie'!$C$5:$C$2004,C237,'Saisie'!$AE$5:$AE$2004,"&lt;&gt;")-4),""))</f>
        <v/>
      </c>
      <c r="AC237" s="60">
        <f>IF(C237="","",IFERROR(INDEX('Saisie'!$AF$5:$AF$2004,_xlfn.MAXIFS('Saisie'!$AS$5:$AS$2004,'Saisie'!$C$5:$C$2004,C237,'Saisie'!$AF$5:$AF$2004,"&lt;&gt;")-4),""))</f>
        <v/>
      </c>
      <c r="AD237" s="108">
        <f>IF(C237="","",IFERROR(INDEX('Saisie'!$AG$5:$AG$2004,_xlfn.MAXIFS('Saisie'!$AS$5:$AS$2004,'Saisie'!$C$5:$C$2004,C237,'Saisie'!$AG$5:$AG$2004,"&lt;&gt;")-4),""))</f>
        <v/>
      </c>
      <c r="AE237" s="60">
        <f>IF(C237="","",IFERROR(INDEX('Saisie'!$AH$5:$AH$2004,_xlfn.MAXIFS('Saisie'!$AS$5:$AS$2004,'Saisie'!$C$5:$C$2004,C237,'Saisie'!$AH$5:$AH$2004,"&lt;&gt;")-4),""))</f>
        <v/>
      </c>
      <c r="AF237" s="60">
        <f>IF(C237="","",IFERROR(INDEX('Saisie'!$AI$5:$AI$2004,_xlfn.MAXIFS('Saisie'!$AS$5:$AS$2004,'Saisie'!$C$5:$C$2004,C237,'Saisie'!$AI$5:$AI$2004,"&lt;&gt;")-4),""))</f>
        <v/>
      </c>
      <c r="AG237" s="60">
        <f>IF(C237="","",IFERROR(INDEX('Saisie'!$AJ$5:$AJ$2004,_xlfn.MAXIFS('Saisie'!$AS$5:$AS$2004,'Saisie'!$C$5:$C$2004,C237,'Saisie'!$AJ$5:$AJ$2004,"&lt;&gt;")-4),""))</f>
        <v/>
      </c>
      <c r="AH237" s="60">
        <f>IF(C237="","",IFERROR(INDEX('Saisie'!$AK$5:$AK$2004,_xlfn.MAXIFS('Saisie'!$AS$5:$AS$2004,'Saisie'!$C$5:$C$2004,C237,'Saisie'!$AK$5:$AK$2004,"&lt;&gt;")-4),""))</f>
        <v/>
      </c>
      <c r="AI237" s="60">
        <f>IF(C237="","",IFERROR(INDEX('Saisie'!$AN$5:$AN$2004,_xlfn.MAXIFS('Saisie'!$AS$5:$AS$2004,'Saisie'!$C$5:$C$2004,C237,'Saisie'!$AN$5:$AN$2004,"&lt;&gt;")-4),""))</f>
        <v/>
      </c>
      <c r="AJ237" s="60">
        <f>IF(C237="","",IFERROR(INDEX('Saisie'!$AO$5:$AO$2004,_xlfn.MAXIFS('Saisie'!$AS$5:$AS$2004,'Saisie'!$C$5:$C$2004,C237,'Saisie'!$AO$5:$AO$2004,"&lt;&gt;")-4),""))</f>
        <v/>
      </c>
      <c r="AK237" s="60">
        <f>IF(C237="","",IFERROR(INDEX('Saisie'!$AP$5:$AP$2004,_xlfn.MAXIFS('Saisie'!$AS$5:$AS$2004,'Saisie'!$C$5:$C$2004,C237,'Saisie'!$AP$5:$AP$2004,"&lt;&gt;")-4),""))</f>
        <v/>
      </c>
      <c r="AL237" s="60">
        <f>IF(C237="","",IFERROR(INDEX('Saisie'!$AQ$5:$AQ$2004,_xlfn.MAXIFS('Saisie'!$AS$5:$AS$2004,'Saisie'!$C$5:$C$2004,C237,'Saisie'!$AQ$5:$AQ$2004,"&lt;&gt;")-4),""))</f>
        <v/>
      </c>
      <c r="AM237" s="60">
        <f>IF(C237="","",((AI237="Oui")+(AJ237="Oui")+(AK237="Oui")+OR(AL237="Immédiat",AL237="&lt; 1 mois"))&amp;"/4")</f>
        <v/>
      </c>
      <c r="AN237" s="60">
        <f>IF(C237="","",IFERROR(INDEX('Saisie'!$AL$5:$AL$2004,_xlfn.MAXIFS('Saisie'!$AS$5:$AS$2004,'Saisie'!$C$5:$C$2004,C237,'Saisie'!$AL$5:$AL$2004,"&lt;&gt;")-4),""))</f>
        <v/>
      </c>
      <c r="AO237" s="62">
        <f>IF(C237="","",IF(IFERROR(INDEX('Saisie'!$AM$5:$AM$2004,_xlfn.MAXIFS('Saisie'!$AS$5:$AS$2004,'Saisie'!$C$5:$C$2004,C237,'Saisie'!$AM$5:$AM$2004,"&lt;&gt;")-4),"")&lt;&gt;"",IFERROR(INDEX('Saisie'!$AM$5:$AM$2004,_xlfn.MAXIFS('Saisie'!$AS$5:$AS$2004,'Saisie'!$C$5:$C$2004,C237,'Saisie'!$AM$5:$AM$2004,"&lt;&gt;")-4),""),IFERROR(INDEX('Paramètres'!$S$6:$S$15,MATCH(AN237,'Paramètres'!$Q$6:$Q$15,0)),"")))</f>
        <v/>
      </c>
      <c r="AP237" s="62">
        <f>IF(C237="","",IFERROR(INDEX('Saisie'!$AW$5:$AW$2004,_xlfn.MAXIFS('Saisie'!$AS$5:$AS$2004,'Saisie'!$C$5:$C$2004,C237,'Saisie'!$E$5:$E$2004,"Proposition envoyée")-4),""))</f>
        <v/>
      </c>
      <c r="AQ237" s="106">
        <f>IF(C237="","",IFERROR(1/(1/_xlfn.MAXIFS('Saisie'!$A$5:$A$2004,'Saisie'!$C$5:$C$2004,C237,'Saisie'!$E$5:$E$2004,"Proposition envoyée")),""))</f>
        <v/>
      </c>
      <c r="AR237" s="106">
        <f>IF(C237="","",IF(AQ237="","",AQ237+'Paramètres'!$B$26))</f>
        <v/>
      </c>
      <c r="AS237" s="62">
        <f>IF(OR(C237="",D237="Gagné",D237="Perdu"),0,N(AP237)*IFERROR(INDEX('Paramètres'!$G$6:$G$13,MATCH(D237,'Paramètres'!$F$6:$F$13,0)),0))</f>
        <v/>
      </c>
      <c r="AT237" s="106">
        <f>IF(C237="","",IFERROR(1/(1/_xlfn.MINIFS('Saisie'!$A$5:$A$2004,'Saisie'!$C$5:$C$2004,C237,'Saisie'!$E$5:$E$2004,"Signature")),""))</f>
        <v/>
      </c>
      <c r="AU237" s="60">
        <f>IF(C237="","",IF(OR(AT237="",B237=""),"",AT237-B237))</f>
        <v/>
      </c>
      <c r="AV237" s="60">
        <f>IF(C237="","",IFERROR(INDEX('Saisie'!$L$5:$L$2004,_xlfn.MAXIFS('Saisie'!$AS$5:$AS$2004,'Saisie'!$C$5:$C$2004,C237,'Saisie'!$L$5:$L$2004,"&lt;&gt;")-4),""))</f>
        <v/>
      </c>
      <c r="AW237" s="106">
        <f>IF(C237="","",IF(D237&lt;&gt;"Perdu","",IFERROR(1/(1/_xlfn.MAXIFS('Saisie'!$A$5:$A$2004,'Saisie'!$C$5:$C$2004,C237,'Saisie'!$E$5:$E$2004,"Perdu")),"")))</f>
        <v/>
      </c>
      <c r="AX237" s="106">
        <f>IF(C237="","",IF(AW237="","",AW237+'Paramètres'!$B$28))</f>
        <v/>
      </c>
      <c r="AY237" s="60">
        <f>IF(C237="","",SUMIFS('Saisie'!$H$5:$H$2004,'Saisie'!$C$5:$C$2004,C237))</f>
        <v/>
      </c>
      <c r="AZ237" s="60">
        <f>IF(C237="","",IFERROR(INDEX('Paramètres'!$W$6:$W$20,MATCH(S237,'Paramètres'!$V$6:$V$20,0))&amp;"",""))</f>
        <v/>
      </c>
      <c r="BA237" s="60">
        <f>IF(C237="","",MAX(1,_xlfn.MAXIFS('Saisie'!$AT$5:$AT$2004,'Saisie'!$C$5:$C$2004,C237)))</f>
        <v/>
      </c>
      <c r="BB237" s="60">
        <f>IF(C237="","",IFERROR(INDEX('Saisie'!$X$5:$X$2004,_xlfn.MAXIFS('Saisie'!$AS$5:$AS$2004,'Saisie'!$C$5:$C$2004,C237,'Saisie'!$X$5:$X$2004,"&lt;&gt;")-4),""))</f>
        <v/>
      </c>
      <c r="BC237" s="60">
        <f>IF(C237="","",IFERROR(INDEX('Saisie'!$Y$5:$Y$2004,_xlfn.MAXIFS('Saisie'!$AS$5:$AS$2004,'Saisie'!$C$5:$C$2004,C237,'Saisie'!$Y$5:$Y$2004,"&lt;&gt;")-4),""))</f>
        <v/>
      </c>
      <c r="BD237" s="106">
        <f>IF(C237="","",IFERROR(1/(1/_xlfn.MINIFS('Saisie'!$A$5:$A$2004,'Saisie'!$C$5:$C$2004,C237,'Saisie'!$AT$5:$AT$2004,"&gt;=2")),""))</f>
        <v/>
      </c>
      <c r="BE237" s="106">
        <f>IF(C237="","",IFERROR(1/(1/_xlfn.MINIFS('Saisie'!$A$5:$A$2004,'Saisie'!$C$5:$C$2004,C237,'Saisie'!$AT$5:$AT$2004,"&gt;=3")),""))</f>
        <v/>
      </c>
      <c r="BF237" s="106">
        <f>IF(C237="","",IFERROR(1/(1/_xlfn.MINIFS('Saisie'!$A$5:$A$2004,'Saisie'!$C$5:$C$2004,C237,'Saisie'!$AT$5:$AT$2004,"&gt;=4")),""))</f>
        <v/>
      </c>
      <c r="BG237" s="106">
        <f>IF(C237="","",IFERROR(1/(1/_xlfn.MINIFS('Saisie'!$A$5:$A$2004,'Saisie'!$C$5:$C$2004,C237,'Saisie'!$AT$5:$AT$2004,"&gt;=5")),""))</f>
        <v/>
      </c>
      <c r="BH237" s="106">
        <f>IF(C237="","",IFERROR(1/(1/_xlfn.MINIFS('Saisie'!$A$5:$A$2004,'Saisie'!$C$5:$C$2004,C237,'Saisie'!$AT$5:$AT$2004,"&gt;=6")),""))</f>
        <v/>
      </c>
      <c r="BI237" s="106">
        <f>IF(C237="","",IFERROR(1/(1/_xlfn.MINIFS('Saisie'!$A$5:$A$2004,'Saisie'!$C$5:$C$2004,C237,'Saisie'!$AT$5:$AT$2004,"&gt;=7")),""))</f>
        <v/>
      </c>
      <c r="BJ237" s="60">
        <f>IF(OR(BD237="",B237=""),"",BD237-B237)</f>
        <v/>
      </c>
      <c r="BK237" s="60">
        <f>IF(OR(BE237="",BD237=""),"",BE237-BD237)</f>
        <v/>
      </c>
      <c r="BL237" s="60">
        <f>IF(OR(BF237="",BE237=""),"",BF237-BE237)</f>
        <v/>
      </c>
      <c r="BM237" s="60">
        <f>IF(OR(BG237="",BF237=""),"",BG237-BF237)</f>
        <v/>
      </c>
      <c r="BN237" s="60">
        <f>IF(OR(BH237="",BG237=""),"",BH237-BG237)</f>
        <v/>
      </c>
      <c r="BO237" s="60">
        <f>IF(OR(BI237="",BH237=""),"",BI237-BH237)</f>
        <v/>
      </c>
      <c r="BP237" s="60">
        <f>IF(C237="","",_xlfn.MAXIFS('Saisie'!$AS$5:$AS$2004,'Saisie'!$C$5:$C$2004,C237,'Saisie'!$J$5:$J$2004,"&lt;&gt;"))</f>
        <v/>
      </c>
      <c r="BQ237" s="60">
        <f>IF(C237="","",_xlfn.MAXIFS('Saisie'!$AS$5:$AS$2004,'Saisie'!$C$5:$C$2004,C237))</f>
        <v/>
      </c>
      <c r="BR237" s="60">
        <f>IF(C237="","",_xlfn.MAXIFS('Saisie'!$AS$5:$AS$2004,'Saisie'!$C$5:$C$2004,C237,'Saisie'!$E$5:$E$2004,"Perdu"))</f>
        <v/>
      </c>
      <c r="BS237" s="60">
        <f>IF(C237="","",_xlfn.MAXIFS('Saisie'!$AS$5:$AS$2004,'Saisie'!$C$5:$C$2004,C237,'Saisie'!$AT$5:$AT$2004,"&gt;0"))</f>
        <v/>
      </c>
      <c r="BT237" s="109">
        <f>IF(AND(C237&lt;&gt;"",OR(D237="Nouveau",D237="Contacté",D237="Qualifié"),OR(G237="",N(G237)&lt;=TODAY()),NOT(AND(O237&gt;='Paramètres'!$B$21,P237=0))),E237+233/10000,"")</f>
        <v/>
      </c>
      <c r="BU237" s="60">
        <f>IF(AND(G237&lt;&gt;"",N(G237)&lt;=TODAY()),MAX($BU$4:BU236)+1,"")</f>
        <v/>
      </c>
      <c r="BV237" s="60">
        <f>IF(AND(F237&lt;&gt;"",F237&lt;&gt;"Relance en retard"),MAX($BV$4:BV236)+1,"")</f>
        <v/>
      </c>
      <c r="BW237" s="60">
        <f>IF(C237="","",IF(AND(B237&gt;='Tableau de bord'!$R$4,B237&lt;='Tableau de bord'!$S$4,OR('Tableau de bord'!$G$4="Tous",N237='Tableau de bord'!$G$4)),1,0))</f>
        <v/>
      </c>
      <c r="BX237" s="60">
        <f>IF(AND(C237&lt;&gt;"",N(BA237)=7),MAX($BX$4:BX236)+1,"")</f>
        <v/>
      </c>
    </row>
    <row r="238">
      <c r="A238" s="60">
        <f>IF(C238="","","P-"&amp;TEXT(234,"000"))</f>
        <v/>
      </c>
      <c r="B238" s="106">
        <f>IF(C238="","",IFERROR(1/(1/_xlfn.MINIFS('Saisie'!$A$5:$A$2004,'Saisie'!$C$5:$C$2004,C238)),""))</f>
        <v/>
      </c>
      <c r="C238" s="60">
        <f>IFERROR(INDEX('Saisie'!$C$5:$C$2004,MATCH(234,'Saisie'!$AX$5:$AX$2004,0)),"")</f>
        <v/>
      </c>
      <c r="D238" s="60">
        <f>IF(C238="","",IF(AND(BR238&gt;0,BR238&gt;BS238,BA238&lt;7),"Perdu",INDEX('Paramètres'!$F$6:$F$13,BA238)))</f>
        <v/>
      </c>
      <c r="E238" s="61">
        <f>IF(C238="","",MIN(100,(Z238="Oui")*'Paramètres'!$B$38+(AB238="Régulière")*'Paramètres'!$B$39+IF(AND(N(AA238)&gt;0,TODAY()-N(AA238)&lt;=30),'Paramètres'!$B$40,0)+(W238="")*'Paramètres'!$B$41+(AC238="Absente")*'Paramètres'!$B$42+(AC238="Faible")*'Paramètres'!$B$43+IF(AND(N(AD238)&gt;0,N(AD238)&lt;4),'Paramètres'!$B$44,0)+(AF238="Moyenne")*'Paramètres'!$B$45+(AF238="Grande")*'Paramètres'!$B$46+(Y238&lt;&gt;"")*'Paramètres'!$B$47))</f>
        <v/>
      </c>
      <c r="F238" s="60">
        <f>IF(C238="","",IF(D238="Gagné","",IF(D238="Perdu",IF(AND(AX238&lt;&gt;"",AX238&lt;=TODAY()),"À recontacter (perdu)",""),IF(AND(O238&gt;='Paramètres'!$B$21,P238=0),"Stop : "&amp;'Paramètres'!$B$21&amp;" tentatives sans réponse",IF(AND(D238="Proposition",AR238&lt;&gt;"",TODAY()&gt;N(AR238)),"Proposition expirée",IF(AND(D238="Proposition",N(R238)&gt;='Paramètres'!$B$25),"Proposition sans réponse",IF(AND(G238&lt;&gt;"",N(G238)&lt;TODAY()),"Relance en retard",IF(N(R238)&gt;='Paramètres'!$B$24,"Sans action depuis "&amp;R238&amp;" j",""))))))))</f>
        <v/>
      </c>
      <c r="G238" s="106">
        <f>IF(OR(C238="",D238="Gagné",D238="Perdu"),"",IF(AND(BP238&gt;0,BP238=BQ238),INDEX('Saisie'!$J$5:$J$2004,BP238-4),IF(OR(O238=0,AND(O238&gt;='Paramètres'!$B$21,P238=0)),"",Q238+IF(O238&lt;=1,'Paramètres'!$B$18,IF(O238=2,'Paramètres'!$B$19,'Paramètres'!$B$20)))))</f>
        <v/>
      </c>
      <c r="H238" s="107">
        <f>IF(OR(G238="",BP238&lt;&gt;BQ238),"",IF(INDEX('Saisie'!$K$5:$K$2004,BP238-4)="","",INDEX('Saisie'!$K$5:$K$2004,BP238-4)))</f>
        <v/>
      </c>
      <c r="I238" s="60">
        <f>IF(C238="","",IF(OR(D238="Gagné",D238="Perdu"),"",IFERROR(INDEX('Saisie'!$I$5:$I$2004,_xlfn.MAXIFS('Saisie'!$AS$5:$AS$2004,'Saisie'!$C$5:$C$2004,C238,'Saisie'!$I$5:$I$2004,"&lt;&gt;")-4),"")))</f>
        <v/>
      </c>
      <c r="J238" s="60">
        <f>IF(C238="","",IFERROR(INDEX('Saisie'!$U$5:$U$2004,_xlfn.MAXIFS('Saisie'!$AS$5:$AS$2004,'Saisie'!$C$5:$C$2004,C238,'Saisie'!$U$5:$U$2004,"&lt;&gt;")-4),""))</f>
        <v/>
      </c>
      <c r="K238" s="60">
        <f>IF(C238="","",IFERROR(INDEX('Saisie'!$W$5:$W$2004,_xlfn.MAXIFS('Saisie'!$AS$5:$AS$2004,'Saisie'!$C$5:$C$2004,C238,'Saisie'!$W$5:$W$2004,"&lt;&gt;")-4),""))</f>
        <v/>
      </c>
      <c r="L238" s="60">
        <f>IF(IF(BB238&lt;&gt;"",BB238,K238)="","",HYPERLINK("https://wa.me/"&amp;IF(LEFT(SUBSTITUTE(SUBSTITUTE(SUBSTITUTE(IF(BB238&lt;&gt;"",BB238,K238)," ",""),".",""),"+",""),1)="0",'Paramètres'!$B$35&amp;MID(SUBSTITUTE(SUBSTITUTE(SUBSTITUTE(IF(BB238&lt;&gt;"",BB238,K238)," ",""),".",""),"+",""),2,20),SUBSTITUTE(SUBSTITUTE(SUBSTITUTE(IF(BB238&lt;&gt;"",BB238,K238)," ",""),".",""),"+","")),"WhatsApp"))</f>
        <v/>
      </c>
      <c r="M238" s="60">
        <f>IF(BC238="","",HYPERLINK(IF(LEFT(BC238,4)="http",BC238,"https://www.instagram.com/"&amp;SUBSTITUTE(SUBSTITUTE(BC238,"@","")," ","")),BC238))</f>
        <v/>
      </c>
      <c r="N238" s="60">
        <f>IF(C238="","",IFERROR(INDEX('Saisie'!$D$5:$D$2004,_xlfn.MINIFS('Saisie'!$AS$5:$AS$2004,'Saisie'!$C$5:$C$2004,C238,'Saisie'!$AU$5:$AU$2004,1)-4),IFERROR(INDEX('Saisie'!$D$5:$D$2004,_xlfn.MINIFS('Saisie'!$AS$5:$AS$2004,'Saisie'!$C$5:$C$2004,C238,'Saisie'!$D$5:$D$2004,"&lt;&gt;")-4),"")))</f>
        <v/>
      </c>
      <c r="O238" s="60">
        <f>IF(C238="","",COUNTIFS('Saisie'!$C$5:$C$2004,C238,'Saisie'!$AU$5:$AU$2004,1))</f>
        <v/>
      </c>
      <c r="P238" s="60">
        <f>IF(C238="","",COUNTIFS('Saisie'!$C$5:$C$2004,C238,'Saisie'!$AV$5:$AV$2004,1))</f>
        <v/>
      </c>
      <c r="Q238" s="106">
        <f>IF(C238="","",IFERROR(1/(1/_xlfn.MAXIFS('Saisie'!$A$5:$A$2004,'Saisie'!$C$5:$C$2004,C238)),""))</f>
        <v/>
      </c>
      <c r="R238" s="61">
        <f>IF(C238="","",IF(Q238="","",TODAY()-Q238))</f>
        <v/>
      </c>
      <c r="S238" s="60">
        <f>IF(C238="","",IFERROR(INDEX('Saisie'!$R$5:$R$2004,_xlfn.MAXIFS('Saisie'!$AS$5:$AS$2004,'Saisie'!$C$5:$C$2004,C238,'Saisie'!$R$5:$R$2004,"&lt;&gt;")-4),""))</f>
        <v/>
      </c>
      <c r="T238" s="60">
        <f>IF(C238="","",IFERROR(INDEX('Saisie'!$S$5:$S$2004,_xlfn.MAXIFS('Saisie'!$AS$5:$AS$2004,'Saisie'!$C$5:$C$2004,C238,'Saisie'!$S$5:$S$2004,"&lt;&gt;")-4),""))</f>
        <v/>
      </c>
      <c r="U238" s="60">
        <f>IF(C238="","",IFERROR(INDEX('Saisie'!$T$5:$T$2004,_xlfn.MAXIFS('Saisie'!$AS$5:$AS$2004,'Saisie'!$C$5:$C$2004,C238,'Saisie'!$T$5:$T$2004,"&lt;&gt;")-4),""))</f>
        <v/>
      </c>
      <c r="V238" s="60">
        <f>IF(C238="","",IFERROR(INDEX('Saisie'!$V$5:$V$2004,_xlfn.MAXIFS('Saisie'!$AS$5:$AS$2004,'Saisie'!$C$5:$C$2004,C238,'Saisie'!$V$5:$V$2004,"&lt;&gt;")-4),""))</f>
        <v/>
      </c>
      <c r="W238" s="60">
        <f>IF(C238="","",IFERROR(INDEX('Saisie'!$Z$5:$Z$2004,_xlfn.MAXIFS('Saisie'!$AS$5:$AS$2004,'Saisie'!$C$5:$C$2004,C238,'Saisie'!$Z$5:$Z$2004,"&lt;&gt;")-4),""))</f>
        <v/>
      </c>
      <c r="X238" s="60">
        <f>IF(C238="","",IFERROR(INDEX('Saisie'!$AA$5:$AA$2004,_xlfn.MAXIFS('Saisie'!$AS$5:$AS$2004,'Saisie'!$C$5:$C$2004,C238,'Saisie'!$AA$5:$AA$2004,"&lt;&gt;")-4),""))</f>
        <v/>
      </c>
      <c r="Y238" s="60">
        <f>IF(C238="","",IFERROR(INDEX('Saisie'!$AB$5:$AB$2004,_xlfn.MAXIFS('Saisie'!$AS$5:$AS$2004,'Saisie'!$C$5:$C$2004,C238,'Saisie'!$AB$5:$AB$2004,"&lt;&gt;")-4),""))</f>
        <v/>
      </c>
      <c r="Z238" s="60">
        <f>IF(C238="","",IFERROR(INDEX('Saisie'!$AC$5:$AC$2004,_xlfn.MAXIFS('Saisie'!$AS$5:$AS$2004,'Saisie'!$C$5:$C$2004,C238,'Saisie'!$AC$5:$AC$2004,"&lt;&gt;")-4),""))</f>
        <v/>
      </c>
      <c r="AA238" s="106">
        <f>IF(C238="","",IFERROR(INDEX('Saisie'!$AD$5:$AD$2004,_xlfn.MAXIFS('Saisie'!$AS$5:$AS$2004,'Saisie'!$C$5:$C$2004,C238,'Saisie'!$AD$5:$AD$2004,"&lt;&gt;")-4),""))</f>
        <v/>
      </c>
      <c r="AB238" s="60">
        <f>IF(C238="","",IFERROR(INDEX('Saisie'!$AE$5:$AE$2004,_xlfn.MAXIFS('Saisie'!$AS$5:$AS$2004,'Saisie'!$C$5:$C$2004,C238,'Saisie'!$AE$5:$AE$2004,"&lt;&gt;")-4),""))</f>
        <v/>
      </c>
      <c r="AC238" s="60">
        <f>IF(C238="","",IFERROR(INDEX('Saisie'!$AF$5:$AF$2004,_xlfn.MAXIFS('Saisie'!$AS$5:$AS$2004,'Saisie'!$C$5:$C$2004,C238,'Saisie'!$AF$5:$AF$2004,"&lt;&gt;")-4),""))</f>
        <v/>
      </c>
      <c r="AD238" s="108">
        <f>IF(C238="","",IFERROR(INDEX('Saisie'!$AG$5:$AG$2004,_xlfn.MAXIFS('Saisie'!$AS$5:$AS$2004,'Saisie'!$C$5:$C$2004,C238,'Saisie'!$AG$5:$AG$2004,"&lt;&gt;")-4),""))</f>
        <v/>
      </c>
      <c r="AE238" s="60">
        <f>IF(C238="","",IFERROR(INDEX('Saisie'!$AH$5:$AH$2004,_xlfn.MAXIFS('Saisie'!$AS$5:$AS$2004,'Saisie'!$C$5:$C$2004,C238,'Saisie'!$AH$5:$AH$2004,"&lt;&gt;")-4),""))</f>
        <v/>
      </c>
      <c r="AF238" s="60">
        <f>IF(C238="","",IFERROR(INDEX('Saisie'!$AI$5:$AI$2004,_xlfn.MAXIFS('Saisie'!$AS$5:$AS$2004,'Saisie'!$C$5:$C$2004,C238,'Saisie'!$AI$5:$AI$2004,"&lt;&gt;")-4),""))</f>
        <v/>
      </c>
      <c r="AG238" s="60">
        <f>IF(C238="","",IFERROR(INDEX('Saisie'!$AJ$5:$AJ$2004,_xlfn.MAXIFS('Saisie'!$AS$5:$AS$2004,'Saisie'!$C$5:$C$2004,C238,'Saisie'!$AJ$5:$AJ$2004,"&lt;&gt;")-4),""))</f>
        <v/>
      </c>
      <c r="AH238" s="60">
        <f>IF(C238="","",IFERROR(INDEX('Saisie'!$AK$5:$AK$2004,_xlfn.MAXIFS('Saisie'!$AS$5:$AS$2004,'Saisie'!$C$5:$C$2004,C238,'Saisie'!$AK$5:$AK$2004,"&lt;&gt;")-4),""))</f>
        <v/>
      </c>
      <c r="AI238" s="60">
        <f>IF(C238="","",IFERROR(INDEX('Saisie'!$AN$5:$AN$2004,_xlfn.MAXIFS('Saisie'!$AS$5:$AS$2004,'Saisie'!$C$5:$C$2004,C238,'Saisie'!$AN$5:$AN$2004,"&lt;&gt;")-4),""))</f>
        <v/>
      </c>
      <c r="AJ238" s="60">
        <f>IF(C238="","",IFERROR(INDEX('Saisie'!$AO$5:$AO$2004,_xlfn.MAXIFS('Saisie'!$AS$5:$AS$2004,'Saisie'!$C$5:$C$2004,C238,'Saisie'!$AO$5:$AO$2004,"&lt;&gt;")-4),""))</f>
        <v/>
      </c>
      <c r="AK238" s="60">
        <f>IF(C238="","",IFERROR(INDEX('Saisie'!$AP$5:$AP$2004,_xlfn.MAXIFS('Saisie'!$AS$5:$AS$2004,'Saisie'!$C$5:$C$2004,C238,'Saisie'!$AP$5:$AP$2004,"&lt;&gt;")-4),""))</f>
        <v/>
      </c>
      <c r="AL238" s="60">
        <f>IF(C238="","",IFERROR(INDEX('Saisie'!$AQ$5:$AQ$2004,_xlfn.MAXIFS('Saisie'!$AS$5:$AS$2004,'Saisie'!$C$5:$C$2004,C238,'Saisie'!$AQ$5:$AQ$2004,"&lt;&gt;")-4),""))</f>
        <v/>
      </c>
      <c r="AM238" s="60">
        <f>IF(C238="","",((AI238="Oui")+(AJ238="Oui")+(AK238="Oui")+OR(AL238="Immédiat",AL238="&lt; 1 mois"))&amp;"/4")</f>
        <v/>
      </c>
      <c r="AN238" s="60">
        <f>IF(C238="","",IFERROR(INDEX('Saisie'!$AL$5:$AL$2004,_xlfn.MAXIFS('Saisie'!$AS$5:$AS$2004,'Saisie'!$C$5:$C$2004,C238,'Saisie'!$AL$5:$AL$2004,"&lt;&gt;")-4),""))</f>
        <v/>
      </c>
      <c r="AO238" s="62">
        <f>IF(C238="","",IF(IFERROR(INDEX('Saisie'!$AM$5:$AM$2004,_xlfn.MAXIFS('Saisie'!$AS$5:$AS$2004,'Saisie'!$C$5:$C$2004,C238,'Saisie'!$AM$5:$AM$2004,"&lt;&gt;")-4),"")&lt;&gt;"",IFERROR(INDEX('Saisie'!$AM$5:$AM$2004,_xlfn.MAXIFS('Saisie'!$AS$5:$AS$2004,'Saisie'!$C$5:$C$2004,C238,'Saisie'!$AM$5:$AM$2004,"&lt;&gt;")-4),""),IFERROR(INDEX('Paramètres'!$S$6:$S$15,MATCH(AN238,'Paramètres'!$Q$6:$Q$15,0)),"")))</f>
        <v/>
      </c>
      <c r="AP238" s="62">
        <f>IF(C238="","",IFERROR(INDEX('Saisie'!$AW$5:$AW$2004,_xlfn.MAXIFS('Saisie'!$AS$5:$AS$2004,'Saisie'!$C$5:$C$2004,C238,'Saisie'!$E$5:$E$2004,"Proposition envoyée")-4),""))</f>
        <v/>
      </c>
      <c r="AQ238" s="106">
        <f>IF(C238="","",IFERROR(1/(1/_xlfn.MAXIFS('Saisie'!$A$5:$A$2004,'Saisie'!$C$5:$C$2004,C238,'Saisie'!$E$5:$E$2004,"Proposition envoyée")),""))</f>
        <v/>
      </c>
      <c r="AR238" s="106">
        <f>IF(C238="","",IF(AQ238="","",AQ238+'Paramètres'!$B$26))</f>
        <v/>
      </c>
      <c r="AS238" s="62">
        <f>IF(OR(C238="",D238="Gagné",D238="Perdu"),0,N(AP238)*IFERROR(INDEX('Paramètres'!$G$6:$G$13,MATCH(D238,'Paramètres'!$F$6:$F$13,0)),0))</f>
        <v/>
      </c>
      <c r="AT238" s="106">
        <f>IF(C238="","",IFERROR(1/(1/_xlfn.MINIFS('Saisie'!$A$5:$A$2004,'Saisie'!$C$5:$C$2004,C238,'Saisie'!$E$5:$E$2004,"Signature")),""))</f>
        <v/>
      </c>
      <c r="AU238" s="60">
        <f>IF(C238="","",IF(OR(AT238="",B238=""),"",AT238-B238))</f>
        <v/>
      </c>
      <c r="AV238" s="60">
        <f>IF(C238="","",IFERROR(INDEX('Saisie'!$L$5:$L$2004,_xlfn.MAXIFS('Saisie'!$AS$5:$AS$2004,'Saisie'!$C$5:$C$2004,C238,'Saisie'!$L$5:$L$2004,"&lt;&gt;")-4),""))</f>
        <v/>
      </c>
      <c r="AW238" s="106">
        <f>IF(C238="","",IF(D238&lt;&gt;"Perdu","",IFERROR(1/(1/_xlfn.MAXIFS('Saisie'!$A$5:$A$2004,'Saisie'!$C$5:$C$2004,C238,'Saisie'!$E$5:$E$2004,"Perdu")),"")))</f>
        <v/>
      </c>
      <c r="AX238" s="106">
        <f>IF(C238="","",IF(AW238="","",AW238+'Paramètres'!$B$28))</f>
        <v/>
      </c>
      <c r="AY238" s="60">
        <f>IF(C238="","",SUMIFS('Saisie'!$H$5:$H$2004,'Saisie'!$C$5:$C$2004,C238))</f>
        <v/>
      </c>
      <c r="AZ238" s="60">
        <f>IF(C238="","",IFERROR(INDEX('Paramètres'!$W$6:$W$20,MATCH(S238,'Paramètres'!$V$6:$V$20,0))&amp;"",""))</f>
        <v/>
      </c>
      <c r="BA238" s="60">
        <f>IF(C238="","",MAX(1,_xlfn.MAXIFS('Saisie'!$AT$5:$AT$2004,'Saisie'!$C$5:$C$2004,C238)))</f>
        <v/>
      </c>
      <c r="BB238" s="60">
        <f>IF(C238="","",IFERROR(INDEX('Saisie'!$X$5:$X$2004,_xlfn.MAXIFS('Saisie'!$AS$5:$AS$2004,'Saisie'!$C$5:$C$2004,C238,'Saisie'!$X$5:$X$2004,"&lt;&gt;")-4),""))</f>
        <v/>
      </c>
      <c r="BC238" s="60">
        <f>IF(C238="","",IFERROR(INDEX('Saisie'!$Y$5:$Y$2004,_xlfn.MAXIFS('Saisie'!$AS$5:$AS$2004,'Saisie'!$C$5:$C$2004,C238,'Saisie'!$Y$5:$Y$2004,"&lt;&gt;")-4),""))</f>
        <v/>
      </c>
      <c r="BD238" s="106">
        <f>IF(C238="","",IFERROR(1/(1/_xlfn.MINIFS('Saisie'!$A$5:$A$2004,'Saisie'!$C$5:$C$2004,C238,'Saisie'!$AT$5:$AT$2004,"&gt;=2")),""))</f>
        <v/>
      </c>
      <c r="BE238" s="106">
        <f>IF(C238="","",IFERROR(1/(1/_xlfn.MINIFS('Saisie'!$A$5:$A$2004,'Saisie'!$C$5:$C$2004,C238,'Saisie'!$AT$5:$AT$2004,"&gt;=3")),""))</f>
        <v/>
      </c>
      <c r="BF238" s="106">
        <f>IF(C238="","",IFERROR(1/(1/_xlfn.MINIFS('Saisie'!$A$5:$A$2004,'Saisie'!$C$5:$C$2004,C238,'Saisie'!$AT$5:$AT$2004,"&gt;=4")),""))</f>
        <v/>
      </c>
      <c r="BG238" s="106">
        <f>IF(C238="","",IFERROR(1/(1/_xlfn.MINIFS('Saisie'!$A$5:$A$2004,'Saisie'!$C$5:$C$2004,C238,'Saisie'!$AT$5:$AT$2004,"&gt;=5")),""))</f>
        <v/>
      </c>
      <c r="BH238" s="106">
        <f>IF(C238="","",IFERROR(1/(1/_xlfn.MINIFS('Saisie'!$A$5:$A$2004,'Saisie'!$C$5:$C$2004,C238,'Saisie'!$AT$5:$AT$2004,"&gt;=6")),""))</f>
        <v/>
      </c>
      <c r="BI238" s="106">
        <f>IF(C238="","",IFERROR(1/(1/_xlfn.MINIFS('Saisie'!$A$5:$A$2004,'Saisie'!$C$5:$C$2004,C238,'Saisie'!$AT$5:$AT$2004,"&gt;=7")),""))</f>
        <v/>
      </c>
      <c r="BJ238" s="60">
        <f>IF(OR(BD238="",B238=""),"",BD238-B238)</f>
        <v/>
      </c>
      <c r="BK238" s="60">
        <f>IF(OR(BE238="",BD238=""),"",BE238-BD238)</f>
        <v/>
      </c>
      <c r="BL238" s="60">
        <f>IF(OR(BF238="",BE238=""),"",BF238-BE238)</f>
        <v/>
      </c>
      <c r="BM238" s="60">
        <f>IF(OR(BG238="",BF238=""),"",BG238-BF238)</f>
        <v/>
      </c>
      <c r="BN238" s="60">
        <f>IF(OR(BH238="",BG238=""),"",BH238-BG238)</f>
        <v/>
      </c>
      <c r="BO238" s="60">
        <f>IF(OR(BI238="",BH238=""),"",BI238-BH238)</f>
        <v/>
      </c>
      <c r="BP238" s="60">
        <f>IF(C238="","",_xlfn.MAXIFS('Saisie'!$AS$5:$AS$2004,'Saisie'!$C$5:$C$2004,C238,'Saisie'!$J$5:$J$2004,"&lt;&gt;"))</f>
        <v/>
      </c>
      <c r="BQ238" s="60">
        <f>IF(C238="","",_xlfn.MAXIFS('Saisie'!$AS$5:$AS$2004,'Saisie'!$C$5:$C$2004,C238))</f>
        <v/>
      </c>
      <c r="BR238" s="60">
        <f>IF(C238="","",_xlfn.MAXIFS('Saisie'!$AS$5:$AS$2004,'Saisie'!$C$5:$C$2004,C238,'Saisie'!$E$5:$E$2004,"Perdu"))</f>
        <v/>
      </c>
      <c r="BS238" s="60">
        <f>IF(C238="","",_xlfn.MAXIFS('Saisie'!$AS$5:$AS$2004,'Saisie'!$C$5:$C$2004,C238,'Saisie'!$AT$5:$AT$2004,"&gt;0"))</f>
        <v/>
      </c>
      <c r="BT238" s="109">
        <f>IF(AND(C238&lt;&gt;"",OR(D238="Nouveau",D238="Contacté",D238="Qualifié"),OR(G238="",N(G238)&lt;=TODAY()),NOT(AND(O238&gt;='Paramètres'!$B$21,P238=0))),E238+234/10000,"")</f>
        <v/>
      </c>
      <c r="BU238" s="60">
        <f>IF(AND(G238&lt;&gt;"",N(G238)&lt;=TODAY()),MAX($BU$4:BU237)+1,"")</f>
        <v/>
      </c>
      <c r="BV238" s="60">
        <f>IF(AND(F238&lt;&gt;"",F238&lt;&gt;"Relance en retard"),MAX($BV$4:BV237)+1,"")</f>
        <v/>
      </c>
      <c r="BW238" s="60">
        <f>IF(C238="","",IF(AND(B238&gt;='Tableau de bord'!$R$4,B238&lt;='Tableau de bord'!$S$4,OR('Tableau de bord'!$G$4="Tous",N238='Tableau de bord'!$G$4)),1,0))</f>
        <v/>
      </c>
      <c r="BX238" s="60">
        <f>IF(AND(C238&lt;&gt;"",N(BA238)=7),MAX($BX$4:BX237)+1,"")</f>
        <v/>
      </c>
    </row>
    <row r="239">
      <c r="A239" s="60">
        <f>IF(C239="","","P-"&amp;TEXT(235,"000"))</f>
        <v/>
      </c>
      <c r="B239" s="106">
        <f>IF(C239="","",IFERROR(1/(1/_xlfn.MINIFS('Saisie'!$A$5:$A$2004,'Saisie'!$C$5:$C$2004,C239)),""))</f>
        <v/>
      </c>
      <c r="C239" s="60">
        <f>IFERROR(INDEX('Saisie'!$C$5:$C$2004,MATCH(235,'Saisie'!$AX$5:$AX$2004,0)),"")</f>
        <v/>
      </c>
      <c r="D239" s="60">
        <f>IF(C239="","",IF(AND(BR239&gt;0,BR239&gt;BS239,BA239&lt;7),"Perdu",INDEX('Paramètres'!$F$6:$F$13,BA239)))</f>
        <v/>
      </c>
      <c r="E239" s="61">
        <f>IF(C239="","",MIN(100,(Z239="Oui")*'Paramètres'!$B$38+(AB239="Régulière")*'Paramètres'!$B$39+IF(AND(N(AA239)&gt;0,TODAY()-N(AA239)&lt;=30),'Paramètres'!$B$40,0)+(W239="")*'Paramètres'!$B$41+(AC239="Absente")*'Paramètres'!$B$42+(AC239="Faible")*'Paramètres'!$B$43+IF(AND(N(AD239)&gt;0,N(AD239)&lt;4),'Paramètres'!$B$44,0)+(AF239="Moyenne")*'Paramètres'!$B$45+(AF239="Grande")*'Paramètres'!$B$46+(Y239&lt;&gt;"")*'Paramètres'!$B$47))</f>
        <v/>
      </c>
      <c r="F239" s="60">
        <f>IF(C239="","",IF(D239="Gagné","",IF(D239="Perdu",IF(AND(AX239&lt;&gt;"",AX239&lt;=TODAY()),"À recontacter (perdu)",""),IF(AND(O239&gt;='Paramètres'!$B$21,P239=0),"Stop : "&amp;'Paramètres'!$B$21&amp;" tentatives sans réponse",IF(AND(D239="Proposition",AR239&lt;&gt;"",TODAY()&gt;N(AR239)),"Proposition expirée",IF(AND(D239="Proposition",N(R239)&gt;='Paramètres'!$B$25),"Proposition sans réponse",IF(AND(G239&lt;&gt;"",N(G239)&lt;TODAY()),"Relance en retard",IF(N(R239)&gt;='Paramètres'!$B$24,"Sans action depuis "&amp;R239&amp;" j",""))))))))</f>
        <v/>
      </c>
      <c r="G239" s="106">
        <f>IF(OR(C239="",D239="Gagné",D239="Perdu"),"",IF(AND(BP239&gt;0,BP239=BQ239),INDEX('Saisie'!$J$5:$J$2004,BP239-4),IF(OR(O239=0,AND(O239&gt;='Paramètres'!$B$21,P239=0)),"",Q239+IF(O239&lt;=1,'Paramètres'!$B$18,IF(O239=2,'Paramètres'!$B$19,'Paramètres'!$B$20)))))</f>
        <v/>
      </c>
      <c r="H239" s="107">
        <f>IF(OR(G239="",BP239&lt;&gt;BQ239),"",IF(INDEX('Saisie'!$K$5:$K$2004,BP239-4)="","",INDEX('Saisie'!$K$5:$K$2004,BP239-4)))</f>
        <v/>
      </c>
      <c r="I239" s="60">
        <f>IF(C239="","",IF(OR(D239="Gagné",D239="Perdu"),"",IFERROR(INDEX('Saisie'!$I$5:$I$2004,_xlfn.MAXIFS('Saisie'!$AS$5:$AS$2004,'Saisie'!$C$5:$C$2004,C239,'Saisie'!$I$5:$I$2004,"&lt;&gt;")-4),"")))</f>
        <v/>
      </c>
      <c r="J239" s="60">
        <f>IF(C239="","",IFERROR(INDEX('Saisie'!$U$5:$U$2004,_xlfn.MAXIFS('Saisie'!$AS$5:$AS$2004,'Saisie'!$C$5:$C$2004,C239,'Saisie'!$U$5:$U$2004,"&lt;&gt;")-4),""))</f>
        <v/>
      </c>
      <c r="K239" s="60">
        <f>IF(C239="","",IFERROR(INDEX('Saisie'!$W$5:$W$2004,_xlfn.MAXIFS('Saisie'!$AS$5:$AS$2004,'Saisie'!$C$5:$C$2004,C239,'Saisie'!$W$5:$W$2004,"&lt;&gt;")-4),""))</f>
        <v/>
      </c>
      <c r="L239" s="60">
        <f>IF(IF(BB239&lt;&gt;"",BB239,K239)="","",HYPERLINK("https://wa.me/"&amp;IF(LEFT(SUBSTITUTE(SUBSTITUTE(SUBSTITUTE(IF(BB239&lt;&gt;"",BB239,K239)," ",""),".",""),"+",""),1)="0",'Paramètres'!$B$35&amp;MID(SUBSTITUTE(SUBSTITUTE(SUBSTITUTE(IF(BB239&lt;&gt;"",BB239,K239)," ",""),".",""),"+",""),2,20),SUBSTITUTE(SUBSTITUTE(SUBSTITUTE(IF(BB239&lt;&gt;"",BB239,K239)," ",""),".",""),"+","")),"WhatsApp"))</f>
        <v/>
      </c>
      <c r="M239" s="60">
        <f>IF(BC239="","",HYPERLINK(IF(LEFT(BC239,4)="http",BC239,"https://www.instagram.com/"&amp;SUBSTITUTE(SUBSTITUTE(BC239,"@","")," ","")),BC239))</f>
        <v/>
      </c>
      <c r="N239" s="60">
        <f>IF(C239="","",IFERROR(INDEX('Saisie'!$D$5:$D$2004,_xlfn.MINIFS('Saisie'!$AS$5:$AS$2004,'Saisie'!$C$5:$C$2004,C239,'Saisie'!$AU$5:$AU$2004,1)-4),IFERROR(INDEX('Saisie'!$D$5:$D$2004,_xlfn.MINIFS('Saisie'!$AS$5:$AS$2004,'Saisie'!$C$5:$C$2004,C239,'Saisie'!$D$5:$D$2004,"&lt;&gt;")-4),"")))</f>
        <v/>
      </c>
      <c r="O239" s="60">
        <f>IF(C239="","",COUNTIFS('Saisie'!$C$5:$C$2004,C239,'Saisie'!$AU$5:$AU$2004,1))</f>
        <v/>
      </c>
      <c r="P239" s="60">
        <f>IF(C239="","",COUNTIFS('Saisie'!$C$5:$C$2004,C239,'Saisie'!$AV$5:$AV$2004,1))</f>
        <v/>
      </c>
      <c r="Q239" s="106">
        <f>IF(C239="","",IFERROR(1/(1/_xlfn.MAXIFS('Saisie'!$A$5:$A$2004,'Saisie'!$C$5:$C$2004,C239)),""))</f>
        <v/>
      </c>
      <c r="R239" s="61">
        <f>IF(C239="","",IF(Q239="","",TODAY()-Q239))</f>
        <v/>
      </c>
      <c r="S239" s="60">
        <f>IF(C239="","",IFERROR(INDEX('Saisie'!$R$5:$R$2004,_xlfn.MAXIFS('Saisie'!$AS$5:$AS$2004,'Saisie'!$C$5:$C$2004,C239,'Saisie'!$R$5:$R$2004,"&lt;&gt;")-4),""))</f>
        <v/>
      </c>
      <c r="T239" s="60">
        <f>IF(C239="","",IFERROR(INDEX('Saisie'!$S$5:$S$2004,_xlfn.MAXIFS('Saisie'!$AS$5:$AS$2004,'Saisie'!$C$5:$C$2004,C239,'Saisie'!$S$5:$S$2004,"&lt;&gt;")-4),""))</f>
        <v/>
      </c>
      <c r="U239" s="60">
        <f>IF(C239="","",IFERROR(INDEX('Saisie'!$T$5:$T$2004,_xlfn.MAXIFS('Saisie'!$AS$5:$AS$2004,'Saisie'!$C$5:$C$2004,C239,'Saisie'!$T$5:$T$2004,"&lt;&gt;")-4),""))</f>
        <v/>
      </c>
      <c r="V239" s="60">
        <f>IF(C239="","",IFERROR(INDEX('Saisie'!$V$5:$V$2004,_xlfn.MAXIFS('Saisie'!$AS$5:$AS$2004,'Saisie'!$C$5:$C$2004,C239,'Saisie'!$V$5:$V$2004,"&lt;&gt;")-4),""))</f>
        <v/>
      </c>
      <c r="W239" s="60">
        <f>IF(C239="","",IFERROR(INDEX('Saisie'!$Z$5:$Z$2004,_xlfn.MAXIFS('Saisie'!$AS$5:$AS$2004,'Saisie'!$C$5:$C$2004,C239,'Saisie'!$Z$5:$Z$2004,"&lt;&gt;")-4),""))</f>
        <v/>
      </c>
      <c r="X239" s="60">
        <f>IF(C239="","",IFERROR(INDEX('Saisie'!$AA$5:$AA$2004,_xlfn.MAXIFS('Saisie'!$AS$5:$AS$2004,'Saisie'!$C$5:$C$2004,C239,'Saisie'!$AA$5:$AA$2004,"&lt;&gt;")-4),""))</f>
        <v/>
      </c>
      <c r="Y239" s="60">
        <f>IF(C239="","",IFERROR(INDEX('Saisie'!$AB$5:$AB$2004,_xlfn.MAXIFS('Saisie'!$AS$5:$AS$2004,'Saisie'!$C$5:$C$2004,C239,'Saisie'!$AB$5:$AB$2004,"&lt;&gt;")-4),""))</f>
        <v/>
      </c>
      <c r="Z239" s="60">
        <f>IF(C239="","",IFERROR(INDEX('Saisie'!$AC$5:$AC$2004,_xlfn.MAXIFS('Saisie'!$AS$5:$AS$2004,'Saisie'!$C$5:$C$2004,C239,'Saisie'!$AC$5:$AC$2004,"&lt;&gt;")-4),""))</f>
        <v/>
      </c>
      <c r="AA239" s="106">
        <f>IF(C239="","",IFERROR(INDEX('Saisie'!$AD$5:$AD$2004,_xlfn.MAXIFS('Saisie'!$AS$5:$AS$2004,'Saisie'!$C$5:$C$2004,C239,'Saisie'!$AD$5:$AD$2004,"&lt;&gt;")-4),""))</f>
        <v/>
      </c>
      <c r="AB239" s="60">
        <f>IF(C239="","",IFERROR(INDEX('Saisie'!$AE$5:$AE$2004,_xlfn.MAXIFS('Saisie'!$AS$5:$AS$2004,'Saisie'!$C$5:$C$2004,C239,'Saisie'!$AE$5:$AE$2004,"&lt;&gt;")-4),""))</f>
        <v/>
      </c>
      <c r="AC239" s="60">
        <f>IF(C239="","",IFERROR(INDEX('Saisie'!$AF$5:$AF$2004,_xlfn.MAXIFS('Saisie'!$AS$5:$AS$2004,'Saisie'!$C$5:$C$2004,C239,'Saisie'!$AF$5:$AF$2004,"&lt;&gt;")-4),""))</f>
        <v/>
      </c>
      <c r="AD239" s="108">
        <f>IF(C239="","",IFERROR(INDEX('Saisie'!$AG$5:$AG$2004,_xlfn.MAXIFS('Saisie'!$AS$5:$AS$2004,'Saisie'!$C$5:$C$2004,C239,'Saisie'!$AG$5:$AG$2004,"&lt;&gt;")-4),""))</f>
        <v/>
      </c>
      <c r="AE239" s="60">
        <f>IF(C239="","",IFERROR(INDEX('Saisie'!$AH$5:$AH$2004,_xlfn.MAXIFS('Saisie'!$AS$5:$AS$2004,'Saisie'!$C$5:$C$2004,C239,'Saisie'!$AH$5:$AH$2004,"&lt;&gt;")-4),""))</f>
        <v/>
      </c>
      <c r="AF239" s="60">
        <f>IF(C239="","",IFERROR(INDEX('Saisie'!$AI$5:$AI$2004,_xlfn.MAXIFS('Saisie'!$AS$5:$AS$2004,'Saisie'!$C$5:$C$2004,C239,'Saisie'!$AI$5:$AI$2004,"&lt;&gt;")-4),""))</f>
        <v/>
      </c>
      <c r="AG239" s="60">
        <f>IF(C239="","",IFERROR(INDEX('Saisie'!$AJ$5:$AJ$2004,_xlfn.MAXIFS('Saisie'!$AS$5:$AS$2004,'Saisie'!$C$5:$C$2004,C239,'Saisie'!$AJ$5:$AJ$2004,"&lt;&gt;")-4),""))</f>
        <v/>
      </c>
      <c r="AH239" s="60">
        <f>IF(C239="","",IFERROR(INDEX('Saisie'!$AK$5:$AK$2004,_xlfn.MAXIFS('Saisie'!$AS$5:$AS$2004,'Saisie'!$C$5:$C$2004,C239,'Saisie'!$AK$5:$AK$2004,"&lt;&gt;")-4),""))</f>
        <v/>
      </c>
      <c r="AI239" s="60">
        <f>IF(C239="","",IFERROR(INDEX('Saisie'!$AN$5:$AN$2004,_xlfn.MAXIFS('Saisie'!$AS$5:$AS$2004,'Saisie'!$C$5:$C$2004,C239,'Saisie'!$AN$5:$AN$2004,"&lt;&gt;")-4),""))</f>
        <v/>
      </c>
      <c r="AJ239" s="60">
        <f>IF(C239="","",IFERROR(INDEX('Saisie'!$AO$5:$AO$2004,_xlfn.MAXIFS('Saisie'!$AS$5:$AS$2004,'Saisie'!$C$5:$C$2004,C239,'Saisie'!$AO$5:$AO$2004,"&lt;&gt;")-4),""))</f>
        <v/>
      </c>
      <c r="AK239" s="60">
        <f>IF(C239="","",IFERROR(INDEX('Saisie'!$AP$5:$AP$2004,_xlfn.MAXIFS('Saisie'!$AS$5:$AS$2004,'Saisie'!$C$5:$C$2004,C239,'Saisie'!$AP$5:$AP$2004,"&lt;&gt;")-4),""))</f>
        <v/>
      </c>
      <c r="AL239" s="60">
        <f>IF(C239="","",IFERROR(INDEX('Saisie'!$AQ$5:$AQ$2004,_xlfn.MAXIFS('Saisie'!$AS$5:$AS$2004,'Saisie'!$C$5:$C$2004,C239,'Saisie'!$AQ$5:$AQ$2004,"&lt;&gt;")-4),""))</f>
        <v/>
      </c>
      <c r="AM239" s="60">
        <f>IF(C239="","",((AI239="Oui")+(AJ239="Oui")+(AK239="Oui")+OR(AL239="Immédiat",AL239="&lt; 1 mois"))&amp;"/4")</f>
        <v/>
      </c>
      <c r="AN239" s="60">
        <f>IF(C239="","",IFERROR(INDEX('Saisie'!$AL$5:$AL$2004,_xlfn.MAXIFS('Saisie'!$AS$5:$AS$2004,'Saisie'!$C$5:$C$2004,C239,'Saisie'!$AL$5:$AL$2004,"&lt;&gt;")-4),""))</f>
        <v/>
      </c>
      <c r="AO239" s="62">
        <f>IF(C239="","",IF(IFERROR(INDEX('Saisie'!$AM$5:$AM$2004,_xlfn.MAXIFS('Saisie'!$AS$5:$AS$2004,'Saisie'!$C$5:$C$2004,C239,'Saisie'!$AM$5:$AM$2004,"&lt;&gt;")-4),"")&lt;&gt;"",IFERROR(INDEX('Saisie'!$AM$5:$AM$2004,_xlfn.MAXIFS('Saisie'!$AS$5:$AS$2004,'Saisie'!$C$5:$C$2004,C239,'Saisie'!$AM$5:$AM$2004,"&lt;&gt;")-4),""),IFERROR(INDEX('Paramètres'!$S$6:$S$15,MATCH(AN239,'Paramètres'!$Q$6:$Q$15,0)),"")))</f>
        <v/>
      </c>
      <c r="AP239" s="62">
        <f>IF(C239="","",IFERROR(INDEX('Saisie'!$AW$5:$AW$2004,_xlfn.MAXIFS('Saisie'!$AS$5:$AS$2004,'Saisie'!$C$5:$C$2004,C239,'Saisie'!$E$5:$E$2004,"Proposition envoyée")-4),""))</f>
        <v/>
      </c>
      <c r="AQ239" s="106">
        <f>IF(C239="","",IFERROR(1/(1/_xlfn.MAXIFS('Saisie'!$A$5:$A$2004,'Saisie'!$C$5:$C$2004,C239,'Saisie'!$E$5:$E$2004,"Proposition envoyée")),""))</f>
        <v/>
      </c>
      <c r="AR239" s="106">
        <f>IF(C239="","",IF(AQ239="","",AQ239+'Paramètres'!$B$26))</f>
        <v/>
      </c>
      <c r="AS239" s="62">
        <f>IF(OR(C239="",D239="Gagné",D239="Perdu"),0,N(AP239)*IFERROR(INDEX('Paramètres'!$G$6:$G$13,MATCH(D239,'Paramètres'!$F$6:$F$13,0)),0))</f>
        <v/>
      </c>
      <c r="AT239" s="106">
        <f>IF(C239="","",IFERROR(1/(1/_xlfn.MINIFS('Saisie'!$A$5:$A$2004,'Saisie'!$C$5:$C$2004,C239,'Saisie'!$E$5:$E$2004,"Signature")),""))</f>
        <v/>
      </c>
      <c r="AU239" s="60">
        <f>IF(C239="","",IF(OR(AT239="",B239=""),"",AT239-B239))</f>
        <v/>
      </c>
      <c r="AV239" s="60">
        <f>IF(C239="","",IFERROR(INDEX('Saisie'!$L$5:$L$2004,_xlfn.MAXIFS('Saisie'!$AS$5:$AS$2004,'Saisie'!$C$5:$C$2004,C239,'Saisie'!$L$5:$L$2004,"&lt;&gt;")-4),""))</f>
        <v/>
      </c>
      <c r="AW239" s="106">
        <f>IF(C239="","",IF(D239&lt;&gt;"Perdu","",IFERROR(1/(1/_xlfn.MAXIFS('Saisie'!$A$5:$A$2004,'Saisie'!$C$5:$C$2004,C239,'Saisie'!$E$5:$E$2004,"Perdu")),"")))</f>
        <v/>
      </c>
      <c r="AX239" s="106">
        <f>IF(C239="","",IF(AW239="","",AW239+'Paramètres'!$B$28))</f>
        <v/>
      </c>
      <c r="AY239" s="60">
        <f>IF(C239="","",SUMIFS('Saisie'!$H$5:$H$2004,'Saisie'!$C$5:$C$2004,C239))</f>
        <v/>
      </c>
      <c r="AZ239" s="60">
        <f>IF(C239="","",IFERROR(INDEX('Paramètres'!$W$6:$W$20,MATCH(S239,'Paramètres'!$V$6:$V$20,0))&amp;"",""))</f>
        <v/>
      </c>
      <c r="BA239" s="60">
        <f>IF(C239="","",MAX(1,_xlfn.MAXIFS('Saisie'!$AT$5:$AT$2004,'Saisie'!$C$5:$C$2004,C239)))</f>
        <v/>
      </c>
      <c r="BB239" s="60">
        <f>IF(C239="","",IFERROR(INDEX('Saisie'!$X$5:$X$2004,_xlfn.MAXIFS('Saisie'!$AS$5:$AS$2004,'Saisie'!$C$5:$C$2004,C239,'Saisie'!$X$5:$X$2004,"&lt;&gt;")-4),""))</f>
        <v/>
      </c>
      <c r="BC239" s="60">
        <f>IF(C239="","",IFERROR(INDEX('Saisie'!$Y$5:$Y$2004,_xlfn.MAXIFS('Saisie'!$AS$5:$AS$2004,'Saisie'!$C$5:$C$2004,C239,'Saisie'!$Y$5:$Y$2004,"&lt;&gt;")-4),""))</f>
        <v/>
      </c>
      <c r="BD239" s="106">
        <f>IF(C239="","",IFERROR(1/(1/_xlfn.MINIFS('Saisie'!$A$5:$A$2004,'Saisie'!$C$5:$C$2004,C239,'Saisie'!$AT$5:$AT$2004,"&gt;=2")),""))</f>
        <v/>
      </c>
      <c r="BE239" s="106">
        <f>IF(C239="","",IFERROR(1/(1/_xlfn.MINIFS('Saisie'!$A$5:$A$2004,'Saisie'!$C$5:$C$2004,C239,'Saisie'!$AT$5:$AT$2004,"&gt;=3")),""))</f>
        <v/>
      </c>
      <c r="BF239" s="106">
        <f>IF(C239="","",IFERROR(1/(1/_xlfn.MINIFS('Saisie'!$A$5:$A$2004,'Saisie'!$C$5:$C$2004,C239,'Saisie'!$AT$5:$AT$2004,"&gt;=4")),""))</f>
        <v/>
      </c>
      <c r="BG239" s="106">
        <f>IF(C239="","",IFERROR(1/(1/_xlfn.MINIFS('Saisie'!$A$5:$A$2004,'Saisie'!$C$5:$C$2004,C239,'Saisie'!$AT$5:$AT$2004,"&gt;=5")),""))</f>
        <v/>
      </c>
      <c r="BH239" s="106">
        <f>IF(C239="","",IFERROR(1/(1/_xlfn.MINIFS('Saisie'!$A$5:$A$2004,'Saisie'!$C$5:$C$2004,C239,'Saisie'!$AT$5:$AT$2004,"&gt;=6")),""))</f>
        <v/>
      </c>
      <c r="BI239" s="106">
        <f>IF(C239="","",IFERROR(1/(1/_xlfn.MINIFS('Saisie'!$A$5:$A$2004,'Saisie'!$C$5:$C$2004,C239,'Saisie'!$AT$5:$AT$2004,"&gt;=7")),""))</f>
        <v/>
      </c>
      <c r="BJ239" s="60">
        <f>IF(OR(BD239="",B239=""),"",BD239-B239)</f>
        <v/>
      </c>
      <c r="BK239" s="60">
        <f>IF(OR(BE239="",BD239=""),"",BE239-BD239)</f>
        <v/>
      </c>
      <c r="BL239" s="60">
        <f>IF(OR(BF239="",BE239=""),"",BF239-BE239)</f>
        <v/>
      </c>
      <c r="BM239" s="60">
        <f>IF(OR(BG239="",BF239=""),"",BG239-BF239)</f>
        <v/>
      </c>
      <c r="BN239" s="60">
        <f>IF(OR(BH239="",BG239=""),"",BH239-BG239)</f>
        <v/>
      </c>
      <c r="BO239" s="60">
        <f>IF(OR(BI239="",BH239=""),"",BI239-BH239)</f>
        <v/>
      </c>
      <c r="BP239" s="60">
        <f>IF(C239="","",_xlfn.MAXIFS('Saisie'!$AS$5:$AS$2004,'Saisie'!$C$5:$C$2004,C239,'Saisie'!$J$5:$J$2004,"&lt;&gt;"))</f>
        <v/>
      </c>
      <c r="BQ239" s="60">
        <f>IF(C239="","",_xlfn.MAXIFS('Saisie'!$AS$5:$AS$2004,'Saisie'!$C$5:$C$2004,C239))</f>
        <v/>
      </c>
      <c r="BR239" s="60">
        <f>IF(C239="","",_xlfn.MAXIFS('Saisie'!$AS$5:$AS$2004,'Saisie'!$C$5:$C$2004,C239,'Saisie'!$E$5:$E$2004,"Perdu"))</f>
        <v/>
      </c>
      <c r="BS239" s="60">
        <f>IF(C239="","",_xlfn.MAXIFS('Saisie'!$AS$5:$AS$2004,'Saisie'!$C$5:$C$2004,C239,'Saisie'!$AT$5:$AT$2004,"&gt;0"))</f>
        <v/>
      </c>
      <c r="BT239" s="109">
        <f>IF(AND(C239&lt;&gt;"",OR(D239="Nouveau",D239="Contacté",D239="Qualifié"),OR(G239="",N(G239)&lt;=TODAY()),NOT(AND(O239&gt;='Paramètres'!$B$21,P239=0))),E239+235/10000,"")</f>
        <v/>
      </c>
      <c r="BU239" s="60">
        <f>IF(AND(G239&lt;&gt;"",N(G239)&lt;=TODAY()),MAX($BU$4:BU238)+1,"")</f>
        <v/>
      </c>
      <c r="BV239" s="60">
        <f>IF(AND(F239&lt;&gt;"",F239&lt;&gt;"Relance en retard"),MAX($BV$4:BV238)+1,"")</f>
        <v/>
      </c>
      <c r="BW239" s="60">
        <f>IF(C239="","",IF(AND(B239&gt;='Tableau de bord'!$R$4,B239&lt;='Tableau de bord'!$S$4,OR('Tableau de bord'!$G$4="Tous",N239='Tableau de bord'!$G$4)),1,0))</f>
        <v/>
      </c>
      <c r="BX239" s="60">
        <f>IF(AND(C239&lt;&gt;"",N(BA239)=7),MAX($BX$4:BX238)+1,"")</f>
        <v/>
      </c>
    </row>
    <row r="240">
      <c r="A240" s="60">
        <f>IF(C240="","","P-"&amp;TEXT(236,"000"))</f>
        <v/>
      </c>
      <c r="B240" s="106">
        <f>IF(C240="","",IFERROR(1/(1/_xlfn.MINIFS('Saisie'!$A$5:$A$2004,'Saisie'!$C$5:$C$2004,C240)),""))</f>
        <v/>
      </c>
      <c r="C240" s="60">
        <f>IFERROR(INDEX('Saisie'!$C$5:$C$2004,MATCH(236,'Saisie'!$AX$5:$AX$2004,0)),"")</f>
        <v/>
      </c>
      <c r="D240" s="60">
        <f>IF(C240="","",IF(AND(BR240&gt;0,BR240&gt;BS240,BA240&lt;7),"Perdu",INDEX('Paramètres'!$F$6:$F$13,BA240)))</f>
        <v/>
      </c>
      <c r="E240" s="61">
        <f>IF(C240="","",MIN(100,(Z240="Oui")*'Paramètres'!$B$38+(AB240="Régulière")*'Paramètres'!$B$39+IF(AND(N(AA240)&gt;0,TODAY()-N(AA240)&lt;=30),'Paramètres'!$B$40,0)+(W240="")*'Paramètres'!$B$41+(AC240="Absente")*'Paramètres'!$B$42+(AC240="Faible")*'Paramètres'!$B$43+IF(AND(N(AD240)&gt;0,N(AD240)&lt;4),'Paramètres'!$B$44,0)+(AF240="Moyenne")*'Paramètres'!$B$45+(AF240="Grande")*'Paramètres'!$B$46+(Y240&lt;&gt;"")*'Paramètres'!$B$47))</f>
        <v/>
      </c>
      <c r="F240" s="60">
        <f>IF(C240="","",IF(D240="Gagné","",IF(D240="Perdu",IF(AND(AX240&lt;&gt;"",AX240&lt;=TODAY()),"À recontacter (perdu)",""),IF(AND(O240&gt;='Paramètres'!$B$21,P240=0),"Stop : "&amp;'Paramètres'!$B$21&amp;" tentatives sans réponse",IF(AND(D240="Proposition",AR240&lt;&gt;"",TODAY()&gt;N(AR240)),"Proposition expirée",IF(AND(D240="Proposition",N(R240)&gt;='Paramètres'!$B$25),"Proposition sans réponse",IF(AND(G240&lt;&gt;"",N(G240)&lt;TODAY()),"Relance en retard",IF(N(R240)&gt;='Paramètres'!$B$24,"Sans action depuis "&amp;R240&amp;" j",""))))))))</f>
        <v/>
      </c>
      <c r="G240" s="106">
        <f>IF(OR(C240="",D240="Gagné",D240="Perdu"),"",IF(AND(BP240&gt;0,BP240=BQ240),INDEX('Saisie'!$J$5:$J$2004,BP240-4),IF(OR(O240=0,AND(O240&gt;='Paramètres'!$B$21,P240=0)),"",Q240+IF(O240&lt;=1,'Paramètres'!$B$18,IF(O240=2,'Paramètres'!$B$19,'Paramètres'!$B$20)))))</f>
        <v/>
      </c>
      <c r="H240" s="107">
        <f>IF(OR(G240="",BP240&lt;&gt;BQ240),"",IF(INDEX('Saisie'!$K$5:$K$2004,BP240-4)="","",INDEX('Saisie'!$K$5:$K$2004,BP240-4)))</f>
        <v/>
      </c>
      <c r="I240" s="60">
        <f>IF(C240="","",IF(OR(D240="Gagné",D240="Perdu"),"",IFERROR(INDEX('Saisie'!$I$5:$I$2004,_xlfn.MAXIFS('Saisie'!$AS$5:$AS$2004,'Saisie'!$C$5:$C$2004,C240,'Saisie'!$I$5:$I$2004,"&lt;&gt;")-4),"")))</f>
        <v/>
      </c>
      <c r="J240" s="60">
        <f>IF(C240="","",IFERROR(INDEX('Saisie'!$U$5:$U$2004,_xlfn.MAXIFS('Saisie'!$AS$5:$AS$2004,'Saisie'!$C$5:$C$2004,C240,'Saisie'!$U$5:$U$2004,"&lt;&gt;")-4),""))</f>
        <v/>
      </c>
      <c r="K240" s="60">
        <f>IF(C240="","",IFERROR(INDEX('Saisie'!$W$5:$W$2004,_xlfn.MAXIFS('Saisie'!$AS$5:$AS$2004,'Saisie'!$C$5:$C$2004,C240,'Saisie'!$W$5:$W$2004,"&lt;&gt;")-4),""))</f>
        <v/>
      </c>
      <c r="L240" s="60">
        <f>IF(IF(BB240&lt;&gt;"",BB240,K240)="","",HYPERLINK("https://wa.me/"&amp;IF(LEFT(SUBSTITUTE(SUBSTITUTE(SUBSTITUTE(IF(BB240&lt;&gt;"",BB240,K240)," ",""),".",""),"+",""),1)="0",'Paramètres'!$B$35&amp;MID(SUBSTITUTE(SUBSTITUTE(SUBSTITUTE(IF(BB240&lt;&gt;"",BB240,K240)," ",""),".",""),"+",""),2,20),SUBSTITUTE(SUBSTITUTE(SUBSTITUTE(IF(BB240&lt;&gt;"",BB240,K240)," ",""),".",""),"+","")),"WhatsApp"))</f>
        <v/>
      </c>
      <c r="M240" s="60">
        <f>IF(BC240="","",HYPERLINK(IF(LEFT(BC240,4)="http",BC240,"https://www.instagram.com/"&amp;SUBSTITUTE(SUBSTITUTE(BC240,"@","")," ","")),BC240))</f>
        <v/>
      </c>
      <c r="N240" s="60">
        <f>IF(C240="","",IFERROR(INDEX('Saisie'!$D$5:$D$2004,_xlfn.MINIFS('Saisie'!$AS$5:$AS$2004,'Saisie'!$C$5:$C$2004,C240,'Saisie'!$AU$5:$AU$2004,1)-4),IFERROR(INDEX('Saisie'!$D$5:$D$2004,_xlfn.MINIFS('Saisie'!$AS$5:$AS$2004,'Saisie'!$C$5:$C$2004,C240,'Saisie'!$D$5:$D$2004,"&lt;&gt;")-4),"")))</f>
        <v/>
      </c>
      <c r="O240" s="60">
        <f>IF(C240="","",COUNTIFS('Saisie'!$C$5:$C$2004,C240,'Saisie'!$AU$5:$AU$2004,1))</f>
        <v/>
      </c>
      <c r="P240" s="60">
        <f>IF(C240="","",COUNTIFS('Saisie'!$C$5:$C$2004,C240,'Saisie'!$AV$5:$AV$2004,1))</f>
        <v/>
      </c>
      <c r="Q240" s="106">
        <f>IF(C240="","",IFERROR(1/(1/_xlfn.MAXIFS('Saisie'!$A$5:$A$2004,'Saisie'!$C$5:$C$2004,C240)),""))</f>
        <v/>
      </c>
      <c r="R240" s="61">
        <f>IF(C240="","",IF(Q240="","",TODAY()-Q240))</f>
        <v/>
      </c>
      <c r="S240" s="60">
        <f>IF(C240="","",IFERROR(INDEX('Saisie'!$R$5:$R$2004,_xlfn.MAXIFS('Saisie'!$AS$5:$AS$2004,'Saisie'!$C$5:$C$2004,C240,'Saisie'!$R$5:$R$2004,"&lt;&gt;")-4),""))</f>
        <v/>
      </c>
      <c r="T240" s="60">
        <f>IF(C240="","",IFERROR(INDEX('Saisie'!$S$5:$S$2004,_xlfn.MAXIFS('Saisie'!$AS$5:$AS$2004,'Saisie'!$C$5:$C$2004,C240,'Saisie'!$S$5:$S$2004,"&lt;&gt;")-4),""))</f>
        <v/>
      </c>
      <c r="U240" s="60">
        <f>IF(C240="","",IFERROR(INDEX('Saisie'!$T$5:$T$2004,_xlfn.MAXIFS('Saisie'!$AS$5:$AS$2004,'Saisie'!$C$5:$C$2004,C240,'Saisie'!$T$5:$T$2004,"&lt;&gt;")-4),""))</f>
        <v/>
      </c>
      <c r="V240" s="60">
        <f>IF(C240="","",IFERROR(INDEX('Saisie'!$V$5:$V$2004,_xlfn.MAXIFS('Saisie'!$AS$5:$AS$2004,'Saisie'!$C$5:$C$2004,C240,'Saisie'!$V$5:$V$2004,"&lt;&gt;")-4),""))</f>
        <v/>
      </c>
      <c r="W240" s="60">
        <f>IF(C240="","",IFERROR(INDEX('Saisie'!$Z$5:$Z$2004,_xlfn.MAXIFS('Saisie'!$AS$5:$AS$2004,'Saisie'!$C$5:$C$2004,C240,'Saisie'!$Z$5:$Z$2004,"&lt;&gt;")-4),""))</f>
        <v/>
      </c>
      <c r="X240" s="60">
        <f>IF(C240="","",IFERROR(INDEX('Saisie'!$AA$5:$AA$2004,_xlfn.MAXIFS('Saisie'!$AS$5:$AS$2004,'Saisie'!$C$5:$C$2004,C240,'Saisie'!$AA$5:$AA$2004,"&lt;&gt;")-4),""))</f>
        <v/>
      </c>
      <c r="Y240" s="60">
        <f>IF(C240="","",IFERROR(INDEX('Saisie'!$AB$5:$AB$2004,_xlfn.MAXIFS('Saisie'!$AS$5:$AS$2004,'Saisie'!$C$5:$C$2004,C240,'Saisie'!$AB$5:$AB$2004,"&lt;&gt;")-4),""))</f>
        <v/>
      </c>
      <c r="Z240" s="60">
        <f>IF(C240="","",IFERROR(INDEX('Saisie'!$AC$5:$AC$2004,_xlfn.MAXIFS('Saisie'!$AS$5:$AS$2004,'Saisie'!$C$5:$C$2004,C240,'Saisie'!$AC$5:$AC$2004,"&lt;&gt;")-4),""))</f>
        <v/>
      </c>
      <c r="AA240" s="106">
        <f>IF(C240="","",IFERROR(INDEX('Saisie'!$AD$5:$AD$2004,_xlfn.MAXIFS('Saisie'!$AS$5:$AS$2004,'Saisie'!$C$5:$C$2004,C240,'Saisie'!$AD$5:$AD$2004,"&lt;&gt;")-4),""))</f>
        <v/>
      </c>
      <c r="AB240" s="60">
        <f>IF(C240="","",IFERROR(INDEX('Saisie'!$AE$5:$AE$2004,_xlfn.MAXIFS('Saisie'!$AS$5:$AS$2004,'Saisie'!$C$5:$C$2004,C240,'Saisie'!$AE$5:$AE$2004,"&lt;&gt;")-4),""))</f>
        <v/>
      </c>
      <c r="AC240" s="60">
        <f>IF(C240="","",IFERROR(INDEX('Saisie'!$AF$5:$AF$2004,_xlfn.MAXIFS('Saisie'!$AS$5:$AS$2004,'Saisie'!$C$5:$C$2004,C240,'Saisie'!$AF$5:$AF$2004,"&lt;&gt;")-4),""))</f>
        <v/>
      </c>
      <c r="AD240" s="108">
        <f>IF(C240="","",IFERROR(INDEX('Saisie'!$AG$5:$AG$2004,_xlfn.MAXIFS('Saisie'!$AS$5:$AS$2004,'Saisie'!$C$5:$C$2004,C240,'Saisie'!$AG$5:$AG$2004,"&lt;&gt;")-4),""))</f>
        <v/>
      </c>
      <c r="AE240" s="60">
        <f>IF(C240="","",IFERROR(INDEX('Saisie'!$AH$5:$AH$2004,_xlfn.MAXIFS('Saisie'!$AS$5:$AS$2004,'Saisie'!$C$5:$C$2004,C240,'Saisie'!$AH$5:$AH$2004,"&lt;&gt;")-4),""))</f>
        <v/>
      </c>
      <c r="AF240" s="60">
        <f>IF(C240="","",IFERROR(INDEX('Saisie'!$AI$5:$AI$2004,_xlfn.MAXIFS('Saisie'!$AS$5:$AS$2004,'Saisie'!$C$5:$C$2004,C240,'Saisie'!$AI$5:$AI$2004,"&lt;&gt;")-4),""))</f>
        <v/>
      </c>
      <c r="AG240" s="60">
        <f>IF(C240="","",IFERROR(INDEX('Saisie'!$AJ$5:$AJ$2004,_xlfn.MAXIFS('Saisie'!$AS$5:$AS$2004,'Saisie'!$C$5:$C$2004,C240,'Saisie'!$AJ$5:$AJ$2004,"&lt;&gt;")-4),""))</f>
        <v/>
      </c>
      <c r="AH240" s="60">
        <f>IF(C240="","",IFERROR(INDEX('Saisie'!$AK$5:$AK$2004,_xlfn.MAXIFS('Saisie'!$AS$5:$AS$2004,'Saisie'!$C$5:$C$2004,C240,'Saisie'!$AK$5:$AK$2004,"&lt;&gt;")-4),""))</f>
        <v/>
      </c>
      <c r="AI240" s="60">
        <f>IF(C240="","",IFERROR(INDEX('Saisie'!$AN$5:$AN$2004,_xlfn.MAXIFS('Saisie'!$AS$5:$AS$2004,'Saisie'!$C$5:$C$2004,C240,'Saisie'!$AN$5:$AN$2004,"&lt;&gt;")-4),""))</f>
        <v/>
      </c>
      <c r="AJ240" s="60">
        <f>IF(C240="","",IFERROR(INDEX('Saisie'!$AO$5:$AO$2004,_xlfn.MAXIFS('Saisie'!$AS$5:$AS$2004,'Saisie'!$C$5:$C$2004,C240,'Saisie'!$AO$5:$AO$2004,"&lt;&gt;")-4),""))</f>
        <v/>
      </c>
      <c r="AK240" s="60">
        <f>IF(C240="","",IFERROR(INDEX('Saisie'!$AP$5:$AP$2004,_xlfn.MAXIFS('Saisie'!$AS$5:$AS$2004,'Saisie'!$C$5:$C$2004,C240,'Saisie'!$AP$5:$AP$2004,"&lt;&gt;")-4),""))</f>
        <v/>
      </c>
      <c r="AL240" s="60">
        <f>IF(C240="","",IFERROR(INDEX('Saisie'!$AQ$5:$AQ$2004,_xlfn.MAXIFS('Saisie'!$AS$5:$AS$2004,'Saisie'!$C$5:$C$2004,C240,'Saisie'!$AQ$5:$AQ$2004,"&lt;&gt;")-4),""))</f>
        <v/>
      </c>
      <c r="AM240" s="60">
        <f>IF(C240="","",((AI240="Oui")+(AJ240="Oui")+(AK240="Oui")+OR(AL240="Immédiat",AL240="&lt; 1 mois"))&amp;"/4")</f>
        <v/>
      </c>
      <c r="AN240" s="60">
        <f>IF(C240="","",IFERROR(INDEX('Saisie'!$AL$5:$AL$2004,_xlfn.MAXIFS('Saisie'!$AS$5:$AS$2004,'Saisie'!$C$5:$C$2004,C240,'Saisie'!$AL$5:$AL$2004,"&lt;&gt;")-4),""))</f>
        <v/>
      </c>
      <c r="AO240" s="62">
        <f>IF(C240="","",IF(IFERROR(INDEX('Saisie'!$AM$5:$AM$2004,_xlfn.MAXIFS('Saisie'!$AS$5:$AS$2004,'Saisie'!$C$5:$C$2004,C240,'Saisie'!$AM$5:$AM$2004,"&lt;&gt;")-4),"")&lt;&gt;"",IFERROR(INDEX('Saisie'!$AM$5:$AM$2004,_xlfn.MAXIFS('Saisie'!$AS$5:$AS$2004,'Saisie'!$C$5:$C$2004,C240,'Saisie'!$AM$5:$AM$2004,"&lt;&gt;")-4),""),IFERROR(INDEX('Paramètres'!$S$6:$S$15,MATCH(AN240,'Paramètres'!$Q$6:$Q$15,0)),"")))</f>
        <v/>
      </c>
      <c r="AP240" s="62">
        <f>IF(C240="","",IFERROR(INDEX('Saisie'!$AW$5:$AW$2004,_xlfn.MAXIFS('Saisie'!$AS$5:$AS$2004,'Saisie'!$C$5:$C$2004,C240,'Saisie'!$E$5:$E$2004,"Proposition envoyée")-4),""))</f>
        <v/>
      </c>
      <c r="AQ240" s="106">
        <f>IF(C240="","",IFERROR(1/(1/_xlfn.MAXIFS('Saisie'!$A$5:$A$2004,'Saisie'!$C$5:$C$2004,C240,'Saisie'!$E$5:$E$2004,"Proposition envoyée")),""))</f>
        <v/>
      </c>
      <c r="AR240" s="106">
        <f>IF(C240="","",IF(AQ240="","",AQ240+'Paramètres'!$B$26))</f>
        <v/>
      </c>
      <c r="AS240" s="62">
        <f>IF(OR(C240="",D240="Gagné",D240="Perdu"),0,N(AP240)*IFERROR(INDEX('Paramètres'!$G$6:$G$13,MATCH(D240,'Paramètres'!$F$6:$F$13,0)),0))</f>
        <v/>
      </c>
      <c r="AT240" s="106">
        <f>IF(C240="","",IFERROR(1/(1/_xlfn.MINIFS('Saisie'!$A$5:$A$2004,'Saisie'!$C$5:$C$2004,C240,'Saisie'!$E$5:$E$2004,"Signature")),""))</f>
        <v/>
      </c>
      <c r="AU240" s="60">
        <f>IF(C240="","",IF(OR(AT240="",B240=""),"",AT240-B240))</f>
        <v/>
      </c>
      <c r="AV240" s="60">
        <f>IF(C240="","",IFERROR(INDEX('Saisie'!$L$5:$L$2004,_xlfn.MAXIFS('Saisie'!$AS$5:$AS$2004,'Saisie'!$C$5:$C$2004,C240,'Saisie'!$L$5:$L$2004,"&lt;&gt;")-4),""))</f>
        <v/>
      </c>
      <c r="AW240" s="106">
        <f>IF(C240="","",IF(D240&lt;&gt;"Perdu","",IFERROR(1/(1/_xlfn.MAXIFS('Saisie'!$A$5:$A$2004,'Saisie'!$C$5:$C$2004,C240,'Saisie'!$E$5:$E$2004,"Perdu")),"")))</f>
        <v/>
      </c>
      <c r="AX240" s="106">
        <f>IF(C240="","",IF(AW240="","",AW240+'Paramètres'!$B$28))</f>
        <v/>
      </c>
      <c r="AY240" s="60">
        <f>IF(C240="","",SUMIFS('Saisie'!$H$5:$H$2004,'Saisie'!$C$5:$C$2004,C240))</f>
        <v/>
      </c>
      <c r="AZ240" s="60">
        <f>IF(C240="","",IFERROR(INDEX('Paramètres'!$W$6:$W$20,MATCH(S240,'Paramètres'!$V$6:$V$20,0))&amp;"",""))</f>
        <v/>
      </c>
      <c r="BA240" s="60">
        <f>IF(C240="","",MAX(1,_xlfn.MAXIFS('Saisie'!$AT$5:$AT$2004,'Saisie'!$C$5:$C$2004,C240)))</f>
        <v/>
      </c>
      <c r="BB240" s="60">
        <f>IF(C240="","",IFERROR(INDEX('Saisie'!$X$5:$X$2004,_xlfn.MAXIFS('Saisie'!$AS$5:$AS$2004,'Saisie'!$C$5:$C$2004,C240,'Saisie'!$X$5:$X$2004,"&lt;&gt;")-4),""))</f>
        <v/>
      </c>
      <c r="BC240" s="60">
        <f>IF(C240="","",IFERROR(INDEX('Saisie'!$Y$5:$Y$2004,_xlfn.MAXIFS('Saisie'!$AS$5:$AS$2004,'Saisie'!$C$5:$C$2004,C240,'Saisie'!$Y$5:$Y$2004,"&lt;&gt;")-4),""))</f>
        <v/>
      </c>
      <c r="BD240" s="106">
        <f>IF(C240="","",IFERROR(1/(1/_xlfn.MINIFS('Saisie'!$A$5:$A$2004,'Saisie'!$C$5:$C$2004,C240,'Saisie'!$AT$5:$AT$2004,"&gt;=2")),""))</f>
        <v/>
      </c>
      <c r="BE240" s="106">
        <f>IF(C240="","",IFERROR(1/(1/_xlfn.MINIFS('Saisie'!$A$5:$A$2004,'Saisie'!$C$5:$C$2004,C240,'Saisie'!$AT$5:$AT$2004,"&gt;=3")),""))</f>
        <v/>
      </c>
      <c r="BF240" s="106">
        <f>IF(C240="","",IFERROR(1/(1/_xlfn.MINIFS('Saisie'!$A$5:$A$2004,'Saisie'!$C$5:$C$2004,C240,'Saisie'!$AT$5:$AT$2004,"&gt;=4")),""))</f>
        <v/>
      </c>
      <c r="BG240" s="106">
        <f>IF(C240="","",IFERROR(1/(1/_xlfn.MINIFS('Saisie'!$A$5:$A$2004,'Saisie'!$C$5:$C$2004,C240,'Saisie'!$AT$5:$AT$2004,"&gt;=5")),""))</f>
        <v/>
      </c>
      <c r="BH240" s="106">
        <f>IF(C240="","",IFERROR(1/(1/_xlfn.MINIFS('Saisie'!$A$5:$A$2004,'Saisie'!$C$5:$C$2004,C240,'Saisie'!$AT$5:$AT$2004,"&gt;=6")),""))</f>
        <v/>
      </c>
      <c r="BI240" s="106">
        <f>IF(C240="","",IFERROR(1/(1/_xlfn.MINIFS('Saisie'!$A$5:$A$2004,'Saisie'!$C$5:$C$2004,C240,'Saisie'!$AT$5:$AT$2004,"&gt;=7")),""))</f>
        <v/>
      </c>
      <c r="BJ240" s="60">
        <f>IF(OR(BD240="",B240=""),"",BD240-B240)</f>
        <v/>
      </c>
      <c r="BK240" s="60">
        <f>IF(OR(BE240="",BD240=""),"",BE240-BD240)</f>
        <v/>
      </c>
      <c r="BL240" s="60">
        <f>IF(OR(BF240="",BE240=""),"",BF240-BE240)</f>
        <v/>
      </c>
      <c r="BM240" s="60">
        <f>IF(OR(BG240="",BF240=""),"",BG240-BF240)</f>
        <v/>
      </c>
      <c r="BN240" s="60">
        <f>IF(OR(BH240="",BG240=""),"",BH240-BG240)</f>
        <v/>
      </c>
      <c r="BO240" s="60">
        <f>IF(OR(BI240="",BH240=""),"",BI240-BH240)</f>
        <v/>
      </c>
      <c r="BP240" s="60">
        <f>IF(C240="","",_xlfn.MAXIFS('Saisie'!$AS$5:$AS$2004,'Saisie'!$C$5:$C$2004,C240,'Saisie'!$J$5:$J$2004,"&lt;&gt;"))</f>
        <v/>
      </c>
      <c r="BQ240" s="60">
        <f>IF(C240="","",_xlfn.MAXIFS('Saisie'!$AS$5:$AS$2004,'Saisie'!$C$5:$C$2004,C240))</f>
        <v/>
      </c>
      <c r="BR240" s="60">
        <f>IF(C240="","",_xlfn.MAXIFS('Saisie'!$AS$5:$AS$2004,'Saisie'!$C$5:$C$2004,C240,'Saisie'!$E$5:$E$2004,"Perdu"))</f>
        <v/>
      </c>
      <c r="BS240" s="60">
        <f>IF(C240="","",_xlfn.MAXIFS('Saisie'!$AS$5:$AS$2004,'Saisie'!$C$5:$C$2004,C240,'Saisie'!$AT$5:$AT$2004,"&gt;0"))</f>
        <v/>
      </c>
      <c r="BT240" s="109">
        <f>IF(AND(C240&lt;&gt;"",OR(D240="Nouveau",D240="Contacté",D240="Qualifié"),OR(G240="",N(G240)&lt;=TODAY()),NOT(AND(O240&gt;='Paramètres'!$B$21,P240=0))),E240+236/10000,"")</f>
        <v/>
      </c>
      <c r="BU240" s="60">
        <f>IF(AND(G240&lt;&gt;"",N(G240)&lt;=TODAY()),MAX($BU$4:BU239)+1,"")</f>
        <v/>
      </c>
      <c r="BV240" s="60">
        <f>IF(AND(F240&lt;&gt;"",F240&lt;&gt;"Relance en retard"),MAX($BV$4:BV239)+1,"")</f>
        <v/>
      </c>
      <c r="BW240" s="60">
        <f>IF(C240="","",IF(AND(B240&gt;='Tableau de bord'!$R$4,B240&lt;='Tableau de bord'!$S$4,OR('Tableau de bord'!$G$4="Tous",N240='Tableau de bord'!$G$4)),1,0))</f>
        <v/>
      </c>
      <c r="BX240" s="60">
        <f>IF(AND(C240&lt;&gt;"",N(BA240)=7),MAX($BX$4:BX239)+1,"")</f>
        <v/>
      </c>
    </row>
    <row r="241">
      <c r="A241" s="60">
        <f>IF(C241="","","P-"&amp;TEXT(237,"000"))</f>
        <v/>
      </c>
      <c r="B241" s="106">
        <f>IF(C241="","",IFERROR(1/(1/_xlfn.MINIFS('Saisie'!$A$5:$A$2004,'Saisie'!$C$5:$C$2004,C241)),""))</f>
        <v/>
      </c>
      <c r="C241" s="60">
        <f>IFERROR(INDEX('Saisie'!$C$5:$C$2004,MATCH(237,'Saisie'!$AX$5:$AX$2004,0)),"")</f>
        <v/>
      </c>
      <c r="D241" s="60">
        <f>IF(C241="","",IF(AND(BR241&gt;0,BR241&gt;BS241,BA241&lt;7),"Perdu",INDEX('Paramètres'!$F$6:$F$13,BA241)))</f>
        <v/>
      </c>
      <c r="E241" s="61">
        <f>IF(C241="","",MIN(100,(Z241="Oui")*'Paramètres'!$B$38+(AB241="Régulière")*'Paramètres'!$B$39+IF(AND(N(AA241)&gt;0,TODAY()-N(AA241)&lt;=30),'Paramètres'!$B$40,0)+(W241="")*'Paramètres'!$B$41+(AC241="Absente")*'Paramètres'!$B$42+(AC241="Faible")*'Paramètres'!$B$43+IF(AND(N(AD241)&gt;0,N(AD241)&lt;4),'Paramètres'!$B$44,0)+(AF241="Moyenne")*'Paramètres'!$B$45+(AF241="Grande")*'Paramètres'!$B$46+(Y241&lt;&gt;"")*'Paramètres'!$B$47))</f>
        <v/>
      </c>
      <c r="F241" s="60">
        <f>IF(C241="","",IF(D241="Gagné","",IF(D241="Perdu",IF(AND(AX241&lt;&gt;"",AX241&lt;=TODAY()),"À recontacter (perdu)",""),IF(AND(O241&gt;='Paramètres'!$B$21,P241=0),"Stop : "&amp;'Paramètres'!$B$21&amp;" tentatives sans réponse",IF(AND(D241="Proposition",AR241&lt;&gt;"",TODAY()&gt;N(AR241)),"Proposition expirée",IF(AND(D241="Proposition",N(R241)&gt;='Paramètres'!$B$25),"Proposition sans réponse",IF(AND(G241&lt;&gt;"",N(G241)&lt;TODAY()),"Relance en retard",IF(N(R241)&gt;='Paramètres'!$B$24,"Sans action depuis "&amp;R241&amp;" j",""))))))))</f>
        <v/>
      </c>
      <c r="G241" s="106">
        <f>IF(OR(C241="",D241="Gagné",D241="Perdu"),"",IF(AND(BP241&gt;0,BP241=BQ241),INDEX('Saisie'!$J$5:$J$2004,BP241-4),IF(OR(O241=0,AND(O241&gt;='Paramètres'!$B$21,P241=0)),"",Q241+IF(O241&lt;=1,'Paramètres'!$B$18,IF(O241=2,'Paramètres'!$B$19,'Paramètres'!$B$20)))))</f>
        <v/>
      </c>
      <c r="H241" s="107">
        <f>IF(OR(G241="",BP241&lt;&gt;BQ241),"",IF(INDEX('Saisie'!$K$5:$K$2004,BP241-4)="","",INDEX('Saisie'!$K$5:$K$2004,BP241-4)))</f>
        <v/>
      </c>
      <c r="I241" s="60">
        <f>IF(C241="","",IF(OR(D241="Gagné",D241="Perdu"),"",IFERROR(INDEX('Saisie'!$I$5:$I$2004,_xlfn.MAXIFS('Saisie'!$AS$5:$AS$2004,'Saisie'!$C$5:$C$2004,C241,'Saisie'!$I$5:$I$2004,"&lt;&gt;")-4),"")))</f>
        <v/>
      </c>
      <c r="J241" s="60">
        <f>IF(C241="","",IFERROR(INDEX('Saisie'!$U$5:$U$2004,_xlfn.MAXIFS('Saisie'!$AS$5:$AS$2004,'Saisie'!$C$5:$C$2004,C241,'Saisie'!$U$5:$U$2004,"&lt;&gt;")-4),""))</f>
        <v/>
      </c>
      <c r="K241" s="60">
        <f>IF(C241="","",IFERROR(INDEX('Saisie'!$W$5:$W$2004,_xlfn.MAXIFS('Saisie'!$AS$5:$AS$2004,'Saisie'!$C$5:$C$2004,C241,'Saisie'!$W$5:$W$2004,"&lt;&gt;")-4),""))</f>
        <v/>
      </c>
      <c r="L241" s="60">
        <f>IF(IF(BB241&lt;&gt;"",BB241,K241)="","",HYPERLINK("https://wa.me/"&amp;IF(LEFT(SUBSTITUTE(SUBSTITUTE(SUBSTITUTE(IF(BB241&lt;&gt;"",BB241,K241)," ",""),".",""),"+",""),1)="0",'Paramètres'!$B$35&amp;MID(SUBSTITUTE(SUBSTITUTE(SUBSTITUTE(IF(BB241&lt;&gt;"",BB241,K241)," ",""),".",""),"+",""),2,20),SUBSTITUTE(SUBSTITUTE(SUBSTITUTE(IF(BB241&lt;&gt;"",BB241,K241)," ",""),".",""),"+","")),"WhatsApp"))</f>
        <v/>
      </c>
      <c r="M241" s="60">
        <f>IF(BC241="","",HYPERLINK(IF(LEFT(BC241,4)="http",BC241,"https://www.instagram.com/"&amp;SUBSTITUTE(SUBSTITUTE(BC241,"@","")," ","")),BC241))</f>
        <v/>
      </c>
      <c r="N241" s="60">
        <f>IF(C241="","",IFERROR(INDEX('Saisie'!$D$5:$D$2004,_xlfn.MINIFS('Saisie'!$AS$5:$AS$2004,'Saisie'!$C$5:$C$2004,C241,'Saisie'!$AU$5:$AU$2004,1)-4),IFERROR(INDEX('Saisie'!$D$5:$D$2004,_xlfn.MINIFS('Saisie'!$AS$5:$AS$2004,'Saisie'!$C$5:$C$2004,C241,'Saisie'!$D$5:$D$2004,"&lt;&gt;")-4),"")))</f>
        <v/>
      </c>
      <c r="O241" s="60">
        <f>IF(C241="","",COUNTIFS('Saisie'!$C$5:$C$2004,C241,'Saisie'!$AU$5:$AU$2004,1))</f>
        <v/>
      </c>
      <c r="P241" s="60">
        <f>IF(C241="","",COUNTIFS('Saisie'!$C$5:$C$2004,C241,'Saisie'!$AV$5:$AV$2004,1))</f>
        <v/>
      </c>
      <c r="Q241" s="106">
        <f>IF(C241="","",IFERROR(1/(1/_xlfn.MAXIFS('Saisie'!$A$5:$A$2004,'Saisie'!$C$5:$C$2004,C241)),""))</f>
        <v/>
      </c>
      <c r="R241" s="61">
        <f>IF(C241="","",IF(Q241="","",TODAY()-Q241))</f>
        <v/>
      </c>
      <c r="S241" s="60">
        <f>IF(C241="","",IFERROR(INDEX('Saisie'!$R$5:$R$2004,_xlfn.MAXIFS('Saisie'!$AS$5:$AS$2004,'Saisie'!$C$5:$C$2004,C241,'Saisie'!$R$5:$R$2004,"&lt;&gt;")-4),""))</f>
        <v/>
      </c>
      <c r="T241" s="60">
        <f>IF(C241="","",IFERROR(INDEX('Saisie'!$S$5:$S$2004,_xlfn.MAXIFS('Saisie'!$AS$5:$AS$2004,'Saisie'!$C$5:$C$2004,C241,'Saisie'!$S$5:$S$2004,"&lt;&gt;")-4),""))</f>
        <v/>
      </c>
      <c r="U241" s="60">
        <f>IF(C241="","",IFERROR(INDEX('Saisie'!$T$5:$T$2004,_xlfn.MAXIFS('Saisie'!$AS$5:$AS$2004,'Saisie'!$C$5:$C$2004,C241,'Saisie'!$T$5:$T$2004,"&lt;&gt;")-4),""))</f>
        <v/>
      </c>
      <c r="V241" s="60">
        <f>IF(C241="","",IFERROR(INDEX('Saisie'!$V$5:$V$2004,_xlfn.MAXIFS('Saisie'!$AS$5:$AS$2004,'Saisie'!$C$5:$C$2004,C241,'Saisie'!$V$5:$V$2004,"&lt;&gt;")-4),""))</f>
        <v/>
      </c>
      <c r="W241" s="60">
        <f>IF(C241="","",IFERROR(INDEX('Saisie'!$Z$5:$Z$2004,_xlfn.MAXIFS('Saisie'!$AS$5:$AS$2004,'Saisie'!$C$5:$C$2004,C241,'Saisie'!$Z$5:$Z$2004,"&lt;&gt;")-4),""))</f>
        <v/>
      </c>
      <c r="X241" s="60">
        <f>IF(C241="","",IFERROR(INDEX('Saisie'!$AA$5:$AA$2004,_xlfn.MAXIFS('Saisie'!$AS$5:$AS$2004,'Saisie'!$C$5:$C$2004,C241,'Saisie'!$AA$5:$AA$2004,"&lt;&gt;")-4),""))</f>
        <v/>
      </c>
      <c r="Y241" s="60">
        <f>IF(C241="","",IFERROR(INDEX('Saisie'!$AB$5:$AB$2004,_xlfn.MAXIFS('Saisie'!$AS$5:$AS$2004,'Saisie'!$C$5:$C$2004,C241,'Saisie'!$AB$5:$AB$2004,"&lt;&gt;")-4),""))</f>
        <v/>
      </c>
      <c r="Z241" s="60">
        <f>IF(C241="","",IFERROR(INDEX('Saisie'!$AC$5:$AC$2004,_xlfn.MAXIFS('Saisie'!$AS$5:$AS$2004,'Saisie'!$C$5:$C$2004,C241,'Saisie'!$AC$5:$AC$2004,"&lt;&gt;")-4),""))</f>
        <v/>
      </c>
      <c r="AA241" s="106">
        <f>IF(C241="","",IFERROR(INDEX('Saisie'!$AD$5:$AD$2004,_xlfn.MAXIFS('Saisie'!$AS$5:$AS$2004,'Saisie'!$C$5:$C$2004,C241,'Saisie'!$AD$5:$AD$2004,"&lt;&gt;")-4),""))</f>
        <v/>
      </c>
      <c r="AB241" s="60">
        <f>IF(C241="","",IFERROR(INDEX('Saisie'!$AE$5:$AE$2004,_xlfn.MAXIFS('Saisie'!$AS$5:$AS$2004,'Saisie'!$C$5:$C$2004,C241,'Saisie'!$AE$5:$AE$2004,"&lt;&gt;")-4),""))</f>
        <v/>
      </c>
      <c r="AC241" s="60">
        <f>IF(C241="","",IFERROR(INDEX('Saisie'!$AF$5:$AF$2004,_xlfn.MAXIFS('Saisie'!$AS$5:$AS$2004,'Saisie'!$C$5:$C$2004,C241,'Saisie'!$AF$5:$AF$2004,"&lt;&gt;")-4),""))</f>
        <v/>
      </c>
      <c r="AD241" s="108">
        <f>IF(C241="","",IFERROR(INDEX('Saisie'!$AG$5:$AG$2004,_xlfn.MAXIFS('Saisie'!$AS$5:$AS$2004,'Saisie'!$C$5:$C$2004,C241,'Saisie'!$AG$5:$AG$2004,"&lt;&gt;")-4),""))</f>
        <v/>
      </c>
      <c r="AE241" s="60">
        <f>IF(C241="","",IFERROR(INDEX('Saisie'!$AH$5:$AH$2004,_xlfn.MAXIFS('Saisie'!$AS$5:$AS$2004,'Saisie'!$C$5:$C$2004,C241,'Saisie'!$AH$5:$AH$2004,"&lt;&gt;")-4),""))</f>
        <v/>
      </c>
      <c r="AF241" s="60">
        <f>IF(C241="","",IFERROR(INDEX('Saisie'!$AI$5:$AI$2004,_xlfn.MAXIFS('Saisie'!$AS$5:$AS$2004,'Saisie'!$C$5:$C$2004,C241,'Saisie'!$AI$5:$AI$2004,"&lt;&gt;")-4),""))</f>
        <v/>
      </c>
      <c r="AG241" s="60">
        <f>IF(C241="","",IFERROR(INDEX('Saisie'!$AJ$5:$AJ$2004,_xlfn.MAXIFS('Saisie'!$AS$5:$AS$2004,'Saisie'!$C$5:$C$2004,C241,'Saisie'!$AJ$5:$AJ$2004,"&lt;&gt;")-4),""))</f>
        <v/>
      </c>
      <c r="AH241" s="60">
        <f>IF(C241="","",IFERROR(INDEX('Saisie'!$AK$5:$AK$2004,_xlfn.MAXIFS('Saisie'!$AS$5:$AS$2004,'Saisie'!$C$5:$C$2004,C241,'Saisie'!$AK$5:$AK$2004,"&lt;&gt;")-4),""))</f>
        <v/>
      </c>
      <c r="AI241" s="60">
        <f>IF(C241="","",IFERROR(INDEX('Saisie'!$AN$5:$AN$2004,_xlfn.MAXIFS('Saisie'!$AS$5:$AS$2004,'Saisie'!$C$5:$C$2004,C241,'Saisie'!$AN$5:$AN$2004,"&lt;&gt;")-4),""))</f>
        <v/>
      </c>
      <c r="AJ241" s="60">
        <f>IF(C241="","",IFERROR(INDEX('Saisie'!$AO$5:$AO$2004,_xlfn.MAXIFS('Saisie'!$AS$5:$AS$2004,'Saisie'!$C$5:$C$2004,C241,'Saisie'!$AO$5:$AO$2004,"&lt;&gt;")-4),""))</f>
        <v/>
      </c>
      <c r="AK241" s="60">
        <f>IF(C241="","",IFERROR(INDEX('Saisie'!$AP$5:$AP$2004,_xlfn.MAXIFS('Saisie'!$AS$5:$AS$2004,'Saisie'!$C$5:$C$2004,C241,'Saisie'!$AP$5:$AP$2004,"&lt;&gt;")-4),""))</f>
        <v/>
      </c>
      <c r="AL241" s="60">
        <f>IF(C241="","",IFERROR(INDEX('Saisie'!$AQ$5:$AQ$2004,_xlfn.MAXIFS('Saisie'!$AS$5:$AS$2004,'Saisie'!$C$5:$C$2004,C241,'Saisie'!$AQ$5:$AQ$2004,"&lt;&gt;")-4),""))</f>
        <v/>
      </c>
      <c r="AM241" s="60">
        <f>IF(C241="","",((AI241="Oui")+(AJ241="Oui")+(AK241="Oui")+OR(AL241="Immédiat",AL241="&lt; 1 mois"))&amp;"/4")</f>
        <v/>
      </c>
      <c r="AN241" s="60">
        <f>IF(C241="","",IFERROR(INDEX('Saisie'!$AL$5:$AL$2004,_xlfn.MAXIFS('Saisie'!$AS$5:$AS$2004,'Saisie'!$C$5:$C$2004,C241,'Saisie'!$AL$5:$AL$2004,"&lt;&gt;")-4),""))</f>
        <v/>
      </c>
      <c r="AO241" s="62">
        <f>IF(C241="","",IF(IFERROR(INDEX('Saisie'!$AM$5:$AM$2004,_xlfn.MAXIFS('Saisie'!$AS$5:$AS$2004,'Saisie'!$C$5:$C$2004,C241,'Saisie'!$AM$5:$AM$2004,"&lt;&gt;")-4),"")&lt;&gt;"",IFERROR(INDEX('Saisie'!$AM$5:$AM$2004,_xlfn.MAXIFS('Saisie'!$AS$5:$AS$2004,'Saisie'!$C$5:$C$2004,C241,'Saisie'!$AM$5:$AM$2004,"&lt;&gt;")-4),""),IFERROR(INDEX('Paramètres'!$S$6:$S$15,MATCH(AN241,'Paramètres'!$Q$6:$Q$15,0)),"")))</f>
        <v/>
      </c>
      <c r="AP241" s="62">
        <f>IF(C241="","",IFERROR(INDEX('Saisie'!$AW$5:$AW$2004,_xlfn.MAXIFS('Saisie'!$AS$5:$AS$2004,'Saisie'!$C$5:$C$2004,C241,'Saisie'!$E$5:$E$2004,"Proposition envoyée")-4),""))</f>
        <v/>
      </c>
      <c r="AQ241" s="106">
        <f>IF(C241="","",IFERROR(1/(1/_xlfn.MAXIFS('Saisie'!$A$5:$A$2004,'Saisie'!$C$5:$C$2004,C241,'Saisie'!$E$5:$E$2004,"Proposition envoyée")),""))</f>
        <v/>
      </c>
      <c r="AR241" s="106">
        <f>IF(C241="","",IF(AQ241="","",AQ241+'Paramètres'!$B$26))</f>
        <v/>
      </c>
      <c r="AS241" s="62">
        <f>IF(OR(C241="",D241="Gagné",D241="Perdu"),0,N(AP241)*IFERROR(INDEX('Paramètres'!$G$6:$G$13,MATCH(D241,'Paramètres'!$F$6:$F$13,0)),0))</f>
        <v/>
      </c>
      <c r="AT241" s="106">
        <f>IF(C241="","",IFERROR(1/(1/_xlfn.MINIFS('Saisie'!$A$5:$A$2004,'Saisie'!$C$5:$C$2004,C241,'Saisie'!$E$5:$E$2004,"Signature")),""))</f>
        <v/>
      </c>
      <c r="AU241" s="60">
        <f>IF(C241="","",IF(OR(AT241="",B241=""),"",AT241-B241))</f>
        <v/>
      </c>
      <c r="AV241" s="60">
        <f>IF(C241="","",IFERROR(INDEX('Saisie'!$L$5:$L$2004,_xlfn.MAXIFS('Saisie'!$AS$5:$AS$2004,'Saisie'!$C$5:$C$2004,C241,'Saisie'!$L$5:$L$2004,"&lt;&gt;")-4),""))</f>
        <v/>
      </c>
      <c r="AW241" s="106">
        <f>IF(C241="","",IF(D241&lt;&gt;"Perdu","",IFERROR(1/(1/_xlfn.MAXIFS('Saisie'!$A$5:$A$2004,'Saisie'!$C$5:$C$2004,C241,'Saisie'!$E$5:$E$2004,"Perdu")),"")))</f>
        <v/>
      </c>
      <c r="AX241" s="106">
        <f>IF(C241="","",IF(AW241="","",AW241+'Paramètres'!$B$28))</f>
        <v/>
      </c>
      <c r="AY241" s="60">
        <f>IF(C241="","",SUMIFS('Saisie'!$H$5:$H$2004,'Saisie'!$C$5:$C$2004,C241))</f>
        <v/>
      </c>
      <c r="AZ241" s="60">
        <f>IF(C241="","",IFERROR(INDEX('Paramètres'!$W$6:$W$20,MATCH(S241,'Paramètres'!$V$6:$V$20,0))&amp;"",""))</f>
        <v/>
      </c>
      <c r="BA241" s="60">
        <f>IF(C241="","",MAX(1,_xlfn.MAXIFS('Saisie'!$AT$5:$AT$2004,'Saisie'!$C$5:$C$2004,C241)))</f>
        <v/>
      </c>
      <c r="BB241" s="60">
        <f>IF(C241="","",IFERROR(INDEX('Saisie'!$X$5:$X$2004,_xlfn.MAXIFS('Saisie'!$AS$5:$AS$2004,'Saisie'!$C$5:$C$2004,C241,'Saisie'!$X$5:$X$2004,"&lt;&gt;")-4),""))</f>
        <v/>
      </c>
      <c r="BC241" s="60">
        <f>IF(C241="","",IFERROR(INDEX('Saisie'!$Y$5:$Y$2004,_xlfn.MAXIFS('Saisie'!$AS$5:$AS$2004,'Saisie'!$C$5:$C$2004,C241,'Saisie'!$Y$5:$Y$2004,"&lt;&gt;")-4),""))</f>
        <v/>
      </c>
      <c r="BD241" s="106">
        <f>IF(C241="","",IFERROR(1/(1/_xlfn.MINIFS('Saisie'!$A$5:$A$2004,'Saisie'!$C$5:$C$2004,C241,'Saisie'!$AT$5:$AT$2004,"&gt;=2")),""))</f>
        <v/>
      </c>
      <c r="BE241" s="106">
        <f>IF(C241="","",IFERROR(1/(1/_xlfn.MINIFS('Saisie'!$A$5:$A$2004,'Saisie'!$C$5:$C$2004,C241,'Saisie'!$AT$5:$AT$2004,"&gt;=3")),""))</f>
        <v/>
      </c>
      <c r="BF241" s="106">
        <f>IF(C241="","",IFERROR(1/(1/_xlfn.MINIFS('Saisie'!$A$5:$A$2004,'Saisie'!$C$5:$C$2004,C241,'Saisie'!$AT$5:$AT$2004,"&gt;=4")),""))</f>
        <v/>
      </c>
      <c r="BG241" s="106">
        <f>IF(C241="","",IFERROR(1/(1/_xlfn.MINIFS('Saisie'!$A$5:$A$2004,'Saisie'!$C$5:$C$2004,C241,'Saisie'!$AT$5:$AT$2004,"&gt;=5")),""))</f>
        <v/>
      </c>
      <c r="BH241" s="106">
        <f>IF(C241="","",IFERROR(1/(1/_xlfn.MINIFS('Saisie'!$A$5:$A$2004,'Saisie'!$C$5:$C$2004,C241,'Saisie'!$AT$5:$AT$2004,"&gt;=6")),""))</f>
        <v/>
      </c>
      <c r="BI241" s="106">
        <f>IF(C241="","",IFERROR(1/(1/_xlfn.MINIFS('Saisie'!$A$5:$A$2004,'Saisie'!$C$5:$C$2004,C241,'Saisie'!$AT$5:$AT$2004,"&gt;=7")),""))</f>
        <v/>
      </c>
      <c r="BJ241" s="60">
        <f>IF(OR(BD241="",B241=""),"",BD241-B241)</f>
        <v/>
      </c>
      <c r="BK241" s="60">
        <f>IF(OR(BE241="",BD241=""),"",BE241-BD241)</f>
        <v/>
      </c>
      <c r="BL241" s="60">
        <f>IF(OR(BF241="",BE241=""),"",BF241-BE241)</f>
        <v/>
      </c>
      <c r="BM241" s="60">
        <f>IF(OR(BG241="",BF241=""),"",BG241-BF241)</f>
        <v/>
      </c>
      <c r="BN241" s="60">
        <f>IF(OR(BH241="",BG241=""),"",BH241-BG241)</f>
        <v/>
      </c>
      <c r="BO241" s="60">
        <f>IF(OR(BI241="",BH241=""),"",BI241-BH241)</f>
        <v/>
      </c>
      <c r="BP241" s="60">
        <f>IF(C241="","",_xlfn.MAXIFS('Saisie'!$AS$5:$AS$2004,'Saisie'!$C$5:$C$2004,C241,'Saisie'!$J$5:$J$2004,"&lt;&gt;"))</f>
        <v/>
      </c>
      <c r="BQ241" s="60">
        <f>IF(C241="","",_xlfn.MAXIFS('Saisie'!$AS$5:$AS$2004,'Saisie'!$C$5:$C$2004,C241))</f>
        <v/>
      </c>
      <c r="BR241" s="60">
        <f>IF(C241="","",_xlfn.MAXIFS('Saisie'!$AS$5:$AS$2004,'Saisie'!$C$5:$C$2004,C241,'Saisie'!$E$5:$E$2004,"Perdu"))</f>
        <v/>
      </c>
      <c r="BS241" s="60">
        <f>IF(C241="","",_xlfn.MAXIFS('Saisie'!$AS$5:$AS$2004,'Saisie'!$C$5:$C$2004,C241,'Saisie'!$AT$5:$AT$2004,"&gt;0"))</f>
        <v/>
      </c>
      <c r="BT241" s="109">
        <f>IF(AND(C241&lt;&gt;"",OR(D241="Nouveau",D241="Contacté",D241="Qualifié"),OR(G241="",N(G241)&lt;=TODAY()),NOT(AND(O241&gt;='Paramètres'!$B$21,P241=0))),E241+237/10000,"")</f>
        <v/>
      </c>
      <c r="BU241" s="60">
        <f>IF(AND(G241&lt;&gt;"",N(G241)&lt;=TODAY()),MAX($BU$4:BU240)+1,"")</f>
        <v/>
      </c>
      <c r="BV241" s="60">
        <f>IF(AND(F241&lt;&gt;"",F241&lt;&gt;"Relance en retard"),MAX($BV$4:BV240)+1,"")</f>
        <v/>
      </c>
      <c r="BW241" s="60">
        <f>IF(C241="","",IF(AND(B241&gt;='Tableau de bord'!$R$4,B241&lt;='Tableau de bord'!$S$4,OR('Tableau de bord'!$G$4="Tous",N241='Tableau de bord'!$G$4)),1,0))</f>
        <v/>
      </c>
      <c r="BX241" s="60">
        <f>IF(AND(C241&lt;&gt;"",N(BA241)=7),MAX($BX$4:BX240)+1,"")</f>
        <v/>
      </c>
    </row>
    <row r="242">
      <c r="A242" s="60">
        <f>IF(C242="","","P-"&amp;TEXT(238,"000"))</f>
        <v/>
      </c>
      <c r="B242" s="106">
        <f>IF(C242="","",IFERROR(1/(1/_xlfn.MINIFS('Saisie'!$A$5:$A$2004,'Saisie'!$C$5:$C$2004,C242)),""))</f>
        <v/>
      </c>
      <c r="C242" s="60">
        <f>IFERROR(INDEX('Saisie'!$C$5:$C$2004,MATCH(238,'Saisie'!$AX$5:$AX$2004,0)),"")</f>
        <v/>
      </c>
      <c r="D242" s="60">
        <f>IF(C242="","",IF(AND(BR242&gt;0,BR242&gt;BS242,BA242&lt;7),"Perdu",INDEX('Paramètres'!$F$6:$F$13,BA242)))</f>
        <v/>
      </c>
      <c r="E242" s="61">
        <f>IF(C242="","",MIN(100,(Z242="Oui")*'Paramètres'!$B$38+(AB242="Régulière")*'Paramètres'!$B$39+IF(AND(N(AA242)&gt;0,TODAY()-N(AA242)&lt;=30),'Paramètres'!$B$40,0)+(W242="")*'Paramètres'!$B$41+(AC242="Absente")*'Paramètres'!$B$42+(AC242="Faible")*'Paramètres'!$B$43+IF(AND(N(AD242)&gt;0,N(AD242)&lt;4),'Paramètres'!$B$44,0)+(AF242="Moyenne")*'Paramètres'!$B$45+(AF242="Grande")*'Paramètres'!$B$46+(Y242&lt;&gt;"")*'Paramètres'!$B$47))</f>
        <v/>
      </c>
      <c r="F242" s="60">
        <f>IF(C242="","",IF(D242="Gagné","",IF(D242="Perdu",IF(AND(AX242&lt;&gt;"",AX242&lt;=TODAY()),"À recontacter (perdu)",""),IF(AND(O242&gt;='Paramètres'!$B$21,P242=0),"Stop : "&amp;'Paramètres'!$B$21&amp;" tentatives sans réponse",IF(AND(D242="Proposition",AR242&lt;&gt;"",TODAY()&gt;N(AR242)),"Proposition expirée",IF(AND(D242="Proposition",N(R242)&gt;='Paramètres'!$B$25),"Proposition sans réponse",IF(AND(G242&lt;&gt;"",N(G242)&lt;TODAY()),"Relance en retard",IF(N(R242)&gt;='Paramètres'!$B$24,"Sans action depuis "&amp;R242&amp;" j",""))))))))</f>
        <v/>
      </c>
      <c r="G242" s="106">
        <f>IF(OR(C242="",D242="Gagné",D242="Perdu"),"",IF(AND(BP242&gt;0,BP242=BQ242),INDEX('Saisie'!$J$5:$J$2004,BP242-4),IF(OR(O242=0,AND(O242&gt;='Paramètres'!$B$21,P242=0)),"",Q242+IF(O242&lt;=1,'Paramètres'!$B$18,IF(O242=2,'Paramètres'!$B$19,'Paramètres'!$B$20)))))</f>
        <v/>
      </c>
      <c r="H242" s="107">
        <f>IF(OR(G242="",BP242&lt;&gt;BQ242),"",IF(INDEX('Saisie'!$K$5:$K$2004,BP242-4)="","",INDEX('Saisie'!$K$5:$K$2004,BP242-4)))</f>
        <v/>
      </c>
      <c r="I242" s="60">
        <f>IF(C242="","",IF(OR(D242="Gagné",D242="Perdu"),"",IFERROR(INDEX('Saisie'!$I$5:$I$2004,_xlfn.MAXIFS('Saisie'!$AS$5:$AS$2004,'Saisie'!$C$5:$C$2004,C242,'Saisie'!$I$5:$I$2004,"&lt;&gt;")-4),"")))</f>
        <v/>
      </c>
      <c r="J242" s="60">
        <f>IF(C242="","",IFERROR(INDEX('Saisie'!$U$5:$U$2004,_xlfn.MAXIFS('Saisie'!$AS$5:$AS$2004,'Saisie'!$C$5:$C$2004,C242,'Saisie'!$U$5:$U$2004,"&lt;&gt;")-4),""))</f>
        <v/>
      </c>
      <c r="K242" s="60">
        <f>IF(C242="","",IFERROR(INDEX('Saisie'!$W$5:$W$2004,_xlfn.MAXIFS('Saisie'!$AS$5:$AS$2004,'Saisie'!$C$5:$C$2004,C242,'Saisie'!$W$5:$W$2004,"&lt;&gt;")-4),""))</f>
        <v/>
      </c>
      <c r="L242" s="60">
        <f>IF(IF(BB242&lt;&gt;"",BB242,K242)="","",HYPERLINK("https://wa.me/"&amp;IF(LEFT(SUBSTITUTE(SUBSTITUTE(SUBSTITUTE(IF(BB242&lt;&gt;"",BB242,K242)," ",""),".",""),"+",""),1)="0",'Paramètres'!$B$35&amp;MID(SUBSTITUTE(SUBSTITUTE(SUBSTITUTE(IF(BB242&lt;&gt;"",BB242,K242)," ",""),".",""),"+",""),2,20),SUBSTITUTE(SUBSTITUTE(SUBSTITUTE(IF(BB242&lt;&gt;"",BB242,K242)," ",""),".",""),"+","")),"WhatsApp"))</f>
        <v/>
      </c>
      <c r="M242" s="60">
        <f>IF(BC242="","",HYPERLINK(IF(LEFT(BC242,4)="http",BC242,"https://www.instagram.com/"&amp;SUBSTITUTE(SUBSTITUTE(BC242,"@","")," ","")),BC242))</f>
        <v/>
      </c>
      <c r="N242" s="60">
        <f>IF(C242="","",IFERROR(INDEX('Saisie'!$D$5:$D$2004,_xlfn.MINIFS('Saisie'!$AS$5:$AS$2004,'Saisie'!$C$5:$C$2004,C242,'Saisie'!$AU$5:$AU$2004,1)-4),IFERROR(INDEX('Saisie'!$D$5:$D$2004,_xlfn.MINIFS('Saisie'!$AS$5:$AS$2004,'Saisie'!$C$5:$C$2004,C242,'Saisie'!$D$5:$D$2004,"&lt;&gt;")-4),"")))</f>
        <v/>
      </c>
      <c r="O242" s="60">
        <f>IF(C242="","",COUNTIFS('Saisie'!$C$5:$C$2004,C242,'Saisie'!$AU$5:$AU$2004,1))</f>
        <v/>
      </c>
      <c r="P242" s="60">
        <f>IF(C242="","",COUNTIFS('Saisie'!$C$5:$C$2004,C242,'Saisie'!$AV$5:$AV$2004,1))</f>
        <v/>
      </c>
      <c r="Q242" s="106">
        <f>IF(C242="","",IFERROR(1/(1/_xlfn.MAXIFS('Saisie'!$A$5:$A$2004,'Saisie'!$C$5:$C$2004,C242)),""))</f>
        <v/>
      </c>
      <c r="R242" s="61">
        <f>IF(C242="","",IF(Q242="","",TODAY()-Q242))</f>
        <v/>
      </c>
      <c r="S242" s="60">
        <f>IF(C242="","",IFERROR(INDEX('Saisie'!$R$5:$R$2004,_xlfn.MAXIFS('Saisie'!$AS$5:$AS$2004,'Saisie'!$C$5:$C$2004,C242,'Saisie'!$R$5:$R$2004,"&lt;&gt;")-4),""))</f>
        <v/>
      </c>
      <c r="T242" s="60">
        <f>IF(C242="","",IFERROR(INDEX('Saisie'!$S$5:$S$2004,_xlfn.MAXIFS('Saisie'!$AS$5:$AS$2004,'Saisie'!$C$5:$C$2004,C242,'Saisie'!$S$5:$S$2004,"&lt;&gt;")-4),""))</f>
        <v/>
      </c>
      <c r="U242" s="60">
        <f>IF(C242="","",IFERROR(INDEX('Saisie'!$T$5:$T$2004,_xlfn.MAXIFS('Saisie'!$AS$5:$AS$2004,'Saisie'!$C$5:$C$2004,C242,'Saisie'!$T$5:$T$2004,"&lt;&gt;")-4),""))</f>
        <v/>
      </c>
      <c r="V242" s="60">
        <f>IF(C242="","",IFERROR(INDEX('Saisie'!$V$5:$V$2004,_xlfn.MAXIFS('Saisie'!$AS$5:$AS$2004,'Saisie'!$C$5:$C$2004,C242,'Saisie'!$V$5:$V$2004,"&lt;&gt;")-4),""))</f>
        <v/>
      </c>
      <c r="W242" s="60">
        <f>IF(C242="","",IFERROR(INDEX('Saisie'!$Z$5:$Z$2004,_xlfn.MAXIFS('Saisie'!$AS$5:$AS$2004,'Saisie'!$C$5:$C$2004,C242,'Saisie'!$Z$5:$Z$2004,"&lt;&gt;")-4),""))</f>
        <v/>
      </c>
      <c r="X242" s="60">
        <f>IF(C242="","",IFERROR(INDEX('Saisie'!$AA$5:$AA$2004,_xlfn.MAXIFS('Saisie'!$AS$5:$AS$2004,'Saisie'!$C$5:$C$2004,C242,'Saisie'!$AA$5:$AA$2004,"&lt;&gt;")-4),""))</f>
        <v/>
      </c>
      <c r="Y242" s="60">
        <f>IF(C242="","",IFERROR(INDEX('Saisie'!$AB$5:$AB$2004,_xlfn.MAXIFS('Saisie'!$AS$5:$AS$2004,'Saisie'!$C$5:$C$2004,C242,'Saisie'!$AB$5:$AB$2004,"&lt;&gt;")-4),""))</f>
        <v/>
      </c>
      <c r="Z242" s="60">
        <f>IF(C242="","",IFERROR(INDEX('Saisie'!$AC$5:$AC$2004,_xlfn.MAXIFS('Saisie'!$AS$5:$AS$2004,'Saisie'!$C$5:$C$2004,C242,'Saisie'!$AC$5:$AC$2004,"&lt;&gt;")-4),""))</f>
        <v/>
      </c>
      <c r="AA242" s="106">
        <f>IF(C242="","",IFERROR(INDEX('Saisie'!$AD$5:$AD$2004,_xlfn.MAXIFS('Saisie'!$AS$5:$AS$2004,'Saisie'!$C$5:$C$2004,C242,'Saisie'!$AD$5:$AD$2004,"&lt;&gt;")-4),""))</f>
        <v/>
      </c>
      <c r="AB242" s="60">
        <f>IF(C242="","",IFERROR(INDEX('Saisie'!$AE$5:$AE$2004,_xlfn.MAXIFS('Saisie'!$AS$5:$AS$2004,'Saisie'!$C$5:$C$2004,C242,'Saisie'!$AE$5:$AE$2004,"&lt;&gt;")-4),""))</f>
        <v/>
      </c>
      <c r="AC242" s="60">
        <f>IF(C242="","",IFERROR(INDEX('Saisie'!$AF$5:$AF$2004,_xlfn.MAXIFS('Saisie'!$AS$5:$AS$2004,'Saisie'!$C$5:$C$2004,C242,'Saisie'!$AF$5:$AF$2004,"&lt;&gt;")-4),""))</f>
        <v/>
      </c>
      <c r="AD242" s="108">
        <f>IF(C242="","",IFERROR(INDEX('Saisie'!$AG$5:$AG$2004,_xlfn.MAXIFS('Saisie'!$AS$5:$AS$2004,'Saisie'!$C$5:$C$2004,C242,'Saisie'!$AG$5:$AG$2004,"&lt;&gt;")-4),""))</f>
        <v/>
      </c>
      <c r="AE242" s="60">
        <f>IF(C242="","",IFERROR(INDEX('Saisie'!$AH$5:$AH$2004,_xlfn.MAXIFS('Saisie'!$AS$5:$AS$2004,'Saisie'!$C$5:$C$2004,C242,'Saisie'!$AH$5:$AH$2004,"&lt;&gt;")-4),""))</f>
        <v/>
      </c>
      <c r="AF242" s="60">
        <f>IF(C242="","",IFERROR(INDEX('Saisie'!$AI$5:$AI$2004,_xlfn.MAXIFS('Saisie'!$AS$5:$AS$2004,'Saisie'!$C$5:$C$2004,C242,'Saisie'!$AI$5:$AI$2004,"&lt;&gt;")-4),""))</f>
        <v/>
      </c>
      <c r="AG242" s="60">
        <f>IF(C242="","",IFERROR(INDEX('Saisie'!$AJ$5:$AJ$2004,_xlfn.MAXIFS('Saisie'!$AS$5:$AS$2004,'Saisie'!$C$5:$C$2004,C242,'Saisie'!$AJ$5:$AJ$2004,"&lt;&gt;")-4),""))</f>
        <v/>
      </c>
      <c r="AH242" s="60">
        <f>IF(C242="","",IFERROR(INDEX('Saisie'!$AK$5:$AK$2004,_xlfn.MAXIFS('Saisie'!$AS$5:$AS$2004,'Saisie'!$C$5:$C$2004,C242,'Saisie'!$AK$5:$AK$2004,"&lt;&gt;")-4),""))</f>
        <v/>
      </c>
      <c r="AI242" s="60">
        <f>IF(C242="","",IFERROR(INDEX('Saisie'!$AN$5:$AN$2004,_xlfn.MAXIFS('Saisie'!$AS$5:$AS$2004,'Saisie'!$C$5:$C$2004,C242,'Saisie'!$AN$5:$AN$2004,"&lt;&gt;")-4),""))</f>
        <v/>
      </c>
      <c r="AJ242" s="60">
        <f>IF(C242="","",IFERROR(INDEX('Saisie'!$AO$5:$AO$2004,_xlfn.MAXIFS('Saisie'!$AS$5:$AS$2004,'Saisie'!$C$5:$C$2004,C242,'Saisie'!$AO$5:$AO$2004,"&lt;&gt;")-4),""))</f>
        <v/>
      </c>
      <c r="AK242" s="60">
        <f>IF(C242="","",IFERROR(INDEX('Saisie'!$AP$5:$AP$2004,_xlfn.MAXIFS('Saisie'!$AS$5:$AS$2004,'Saisie'!$C$5:$C$2004,C242,'Saisie'!$AP$5:$AP$2004,"&lt;&gt;")-4),""))</f>
        <v/>
      </c>
      <c r="AL242" s="60">
        <f>IF(C242="","",IFERROR(INDEX('Saisie'!$AQ$5:$AQ$2004,_xlfn.MAXIFS('Saisie'!$AS$5:$AS$2004,'Saisie'!$C$5:$C$2004,C242,'Saisie'!$AQ$5:$AQ$2004,"&lt;&gt;")-4),""))</f>
        <v/>
      </c>
      <c r="AM242" s="60">
        <f>IF(C242="","",((AI242="Oui")+(AJ242="Oui")+(AK242="Oui")+OR(AL242="Immédiat",AL242="&lt; 1 mois"))&amp;"/4")</f>
        <v/>
      </c>
      <c r="AN242" s="60">
        <f>IF(C242="","",IFERROR(INDEX('Saisie'!$AL$5:$AL$2004,_xlfn.MAXIFS('Saisie'!$AS$5:$AS$2004,'Saisie'!$C$5:$C$2004,C242,'Saisie'!$AL$5:$AL$2004,"&lt;&gt;")-4),""))</f>
        <v/>
      </c>
      <c r="AO242" s="62">
        <f>IF(C242="","",IF(IFERROR(INDEX('Saisie'!$AM$5:$AM$2004,_xlfn.MAXIFS('Saisie'!$AS$5:$AS$2004,'Saisie'!$C$5:$C$2004,C242,'Saisie'!$AM$5:$AM$2004,"&lt;&gt;")-4),"")&lt;&gt;"",IFERROR(INDEX('Saisie'!$AM$5:$AM$2004,_xlfn.MAXIFS('Saisie'!$AS$5:$AS$2004,'Saisie'!$C$5:$C$2004,C242,'Saisie'!$AM$5:$AM$2004,"&lt;&gt;")-4),""),IFERROR(INDEX('Paramètres'!$S$6:$S$15,MATCH(AN242,'Paramètres'!$Q$6:$Q$15,0)),"")))</f>
        <v/>
      </c>
      <c r="AP242" s="62">
        <f>IF(C242="","",IFERROR(INDEX('Saisie'!$AW$5:$AW$2004,_xlfn.MAXIFS('Saisie'!$AS$5:$AS$2004,'Saisie'!$C$5:$C$2004,C242,'Saisie'!$E$5:$E$2004,"Proposition envoyée")-4),""))</f>
        <v/>
      </c>
      <c r="AQ242" s="106">
        <f>IF(C242="","",IFERROR(1/(1/_xlfn.MAXIFS('Saisie'!$A$5:$A$2004,'Saisie'!$C$5:$C$2004,C242,'Saisie'!$E$5:$E$2004,"Proposition envoyée")),""))</f>
        <v/>
      </c>
      <c r="AR242" s="106">
        <f>IF(C242="","",IF(AQ242="","",AQ242+'Paramètres'!$B$26))</f>
        <v/>
      </c>
      <c r="AS242" s="62">
        <f>IF(OR(C242="",D242="Gagné",D242="Perdu"),0,N(AP242)*IFERROR(INDEX('Paramètres'!$G$6:$G$13,MATCH(D242,'Paramètres'!$F$6:$F$13,0)),0))</f>
        <v/>
      </c>
      <c r="AT242" s="106">
        <f>IF(C242="","",IFERROR(1/(1/_xlfn.MINIFS('Saisie'!$A$5:$A$2004,'Saisie'!$C$5:$C$2004,C242,'Saisie'!$E$5:$E$2004,"Signature")),""))</f>
        <v/>
      </c>
      <c r="AU242" s="60">
        <f>IF(C242="","",IF(OR(AT242="",B242=""),"",AT242-B242))</f>
        <v/>
      </c>
      <c r="AV242" s="60">
        <f>IF(C242="","",IFERROR(INDEX('Saisie'!$L$5:$L$2004,_xlfn.MAXIFS('Saisie'!$AS$5:$AS$2004,'Saisie'!$C$5:$C$2004,C242,'Saisie'!$L$5:$L$2004,"&lt;&gt;")-4),""))</f>
        <v/>
      </c>
      <c r="AW242" s="106">
        <f>IF(C242="","",IF(D242&lt;&gt;"Perdu","",IFERROR(1/(1/_xlfn.MAXIFS('Saisie'!$A$5:$A$2004,'Saisie'!$C$5:$C$2004,C242,'Saisie'!$E$5:$E$2004,"Perdu")),"")))</f>
        <v/>
      </c>
      <c r="AX242" s="106">
        <f>IF(C242="","",IF(AW242="","",AW242+'Paramètres'!$B$28))</f>
        <v/>
      </c>
      <c r="AY242" s="60">
        <f>IF(C242="","",SUMIFS('Saisie'!$H$5:$H$2004,'Saisie'!$C$5:$C$2004,C242))</f>
        <v/>
      </c>
      <c r="AZ242" s="60">
        <f>IF(C242="","",IFERROR(INDEX('Paramètres'!$W$6:$W$20,MATCH(S242,'Paramètres'!$V$6:$V$20,0))&amp;"",""))</f>
        <v/>
      </c>
      <c r="BA242" s="60">
        <f>IF(C242="","",MAX(1,_xlfn.MAXIFS('Saisie'!$AT$5:$AT$2004,'Saisie'!$C$5:$C$2004,C242)))</f>
        <v/>
      </c>
      <c r="BB242" s="60">
        <f>IF(C242="","",IFERROR(INDEX('Saisie'!$X$5:$X$2004,_xlfn.MAXIFS('Saisie'!$AS$5:$AS$2004,'Saisie'!$C$5:$C$2004,C242,'Saisie'!$X$5:$X$2004,"&lt;&gt;")-4),""))</f>
        <v/>
      </c>
      <c r="BC242" s="60">
        <f>IF(C242="","",IFERROR(INDEX('Saisie'!$Y$5:$Y$2004,_xlfn.MAXIFS('Saisie'!$AS$5:$AS$2004,'Saisie'!$C$5:$C$2004,C242,'Saisie'!$Y$5:$Y$2004,"&lt;&gt;")-4),""))</f>
        <v/>
      </c>
      <c r="BD242" s="106">
        <f>IF(C242="","",IFERROR(1/(1/_xlfn.MINIFS('Saisie'!$A$5:$A$2004,'Saisie'!$C$5:$C$2004,C242,'Saisie'!$AT$5:$AT$2004,"&gt;=2")),""))</f>
        <v/>
      </c>
      <c r="BE242" s="106">
        <f>IF(C242="","",IFERROR(1/(1/_xlfn.MINIFS('Saisie'!$A$5:$A$2004,'Saisie'!$C$5:$C$2004,C242,'Saisie'!$AT$5:$AT$2004,"&gt;=3")),""))</f>
        <v/>
      </c>
      <c r="BF242" s="106">
        <f>IF(C242="","",IFERROR(1/(1/_xlfn.MINIFS('Saisie'!$A$5:$A$2004,'Saisie'!$C$5:$C$2004,C242,'Saisie'!$AT$5:$AT$2004,"&gt;=4")),""))</f>
        <v/>
      </c>
      <c r="BG242" s="106">
        <f>IF(C242="","",IFERROR(1/(1/_xlfn.MINIFS('Saisie'!$A$5:$A$2004,'Saisie'!$C$5:$C$2004,C242,'Saisie'!$AT$5:$AT$2004,"&gt;=5")),""))</f>
        <v/>
      </c>
      <c r="BH242" s="106">
        <f>IF(C242="","",IFERROR(1/(1/_xlfn.MINIFS('Saisie'!$A$5:$A$2004,'Saisie'!$C$5:$C$2004,C242,'Saisie'!$AT$5:$AT$2004,"&gt;=6")),""))</f>
        <v/>
      </c>
      <c r="BI242" s="106">
        <f>IF(C242="","",IFERROR(1/(1/_xlfn.MINIFS('Saisie'!$A$5:$A$2004,'Saisie'!$C$5:$C$2004,C242,'Saisie'!$AT$5:$AT$2004,"&gt;=7")),""))</f>
        <v/>
      </c>
      <c r="BJ242" s="60">
        <f>IF(OR(BD242="",B242=""),"",BD242-B242)</f>
        <v/>
      </c>
      <c r="BK242" s="60">
        <f>IF(OR(BE242="",BD242=""),"",BE242-BD242)</f>
        <v/>
      </c>
      <c r="BL242" s="60">
        <f>IF(OR(BF242="",BE242=""),"",BF242-BE242)</f>
        <v/>
      </c>
      <c r="BM242" s="60">
        <f>IF(OR(BG242="",BF242=""),"",BG242-BF242)</f>
        <v/>
      </c>
      <c r="BN242" s="60">
        <f>IF(OR(BH242="",BG242=""),"",BH242-BG242)</f>
        <v/>
      </c>
      <c r="BO242" s="60">
        <f>IF(OR(BI242="",BH242=""),"",BI242-BH242)</f>
        <v/>
      </c>
      <c r="BP242" s="60">
        <f>IF(C242="","",_xlfn.MAXIFS('Saisie'!$AS$5:$AS$2004,'Saisie'!$C$5:$C$2004,C242,'Saisie'!$J$5:$J$2004,"&lt;&gt;"))</f>
        <v/>
      </c>
      <c r="BQ242" s="60">
        <f>IF(C242="","",_xlfn.MAXIFS('Saisie'!$AS$5:$AS$2004,'Saisie'!$C$5:$C$2004,C242))</f>
        <v/>
      </c>
      <c r="BR242" s="60">
        <f>IF(C242="","",_xlfn.MAXIFS('Saisie'!$AS$5:$AS$2004,'Saisie'!$C$5:$C$2004,C242,'Saisie'!$E$5:$E$2004,"Perdu"))</f>
        <v/>
      </c>
      <c r="BS242" s="60">
        <f>IF(C242="","",_xlfn.MAXIFS('Saisie'!$AS$5:$AS$2004,'Saisie'!$C$5:$C$2004,C242,'Saisie'!$AT$5:$AT$2004,"&gt;0"))</f>
        <v/>
      </c>
      <c r="BT242" s="109">
        <f>IF(AND(C242&lt;&gt;"",OR(D242="Nouveau",D242="Contacté",D242="Qualifié"),OR(G242="",N(G242)&lt;=TODAY()),NOT(AND(O242&gt;='Paramètres'!$B$21,P242=0))),E242+238/10000,"")</f>
        <v/>
      </c>
      <c r="BU242" s="60">
        <f>IF(AND(G242&lt;&gt;"",N(G242)&lt;=TODAY()),MAX($BU$4:BU241)+1,"")</f>
        <v/>
      </c>
      <c r="BV242" s="60">
        <f>IF(AND(F242&lt;&gt;"",F242&lt;&gt;"Relance en retard"),MAX($BV$4:BV241)+1,"")</f>
        <v/>
      </c>
      <c r="BW242" s="60">
        <f>IF(C242="","",IF(AND(B242&gt;='Tableau de bord'!$R$4,B242&lt;='Tableau de bord'!$S$4,OR('Tableau de bord'!$G$4="Tous",N242='Tableau de bord'!$G$4)),1,0))</f>
        <v/>
      </c>
      <c r="BX242" s="60">
        <f>IF(AND(C242&lt;&gt;"",N(BA242)=7),MAX($BX$4:BX241)+1,"")</f>
        <v/>
      </c>
    </row>
    <row r="243">
      <c r="A243" s="60">
        <f>IF(C243="","","P-"&amp;TEXT(239,"000"))</f>
        <v/>
      </c>
      <c r="B243" s="106">
        <f>IF(C243="","",IFERROR(1/(1/_xlfn.MINIFS('Saisie'!$A$5:$A$2004,'Saisie'!$C$5:$C$2004,C243)),""))</f>
        <v/>
      </c>
      <c r="C243" s="60">
        <f>IFERROR(INDEX('Saisie'!$C$5:$C$2004,MATCH(239,'Saisie'!$AX$5:$AX$2004,0)),"")</f>
        <v/>
      </c>
      <c r="D243" s="60">
        <f>IF(C243="","",IF(AND(BR243&gt;0,BR243&gt;BS243,BA243&lt;7),"Perdu",INDEX('Paramètres'!$F$6:$F$13,BA243)))</f>
        <v/>
      </c>
      <c r="E243" s="61">
        <f>IF(C243="","",MIN(100,(Z243="Oui")*'Paramètres'!$B$38+(AB243="Régulière")*'Paramètres'!$B$39+IF(AND(N(AA243)&gt;0,TODAY()-N(AA243)&lt;=30),'Paramètres'!$B$40,0)+(W243="")*'Paramètres'!$B$41+(AC243="Absente")*'Paramètres'!$B$42+(AC243="Faible")*'Paramètres'!$B$43+IF(AND(N(AD243)&gt;0,N(AD243)&lt;4),'Paramètres'!$B$44,0)+(AF243="Moyenne")*'Paramètres'!$B$45+(AF243="Grande")*'Paramètres'!$B$46+(Y243&lt;&gt;"")*'Paramètres'!$B$47))</f>
        <v/>
      </c>
      <c r="F243" s="60">
        <f>IF(C243="","",IF(D243="Gagné","",IF(D243="Perdu",IF(AND(AX243&lt;&gt;"",AX243&lt;=TODAY()),"À recontacter (perdu)",""),IF(AND(O243&gt;='Paramètres'!$B$21,P243=0),"Stop : "&amp;'Paramètres'!$B$21&amp;" tentatives sans réponse",IF(AND(D243="Proposition",AR243&lt;&gt;"",TODAY()&gt;N(AR243)),"Proposition expirée",IF(AND(D243="Proposition",N(R243)&gt;='Paramètres'!$B$25),"Proposition sans réponse",IF(AND(G243&lt;&gt;"",N(G243)&lt;TODAY()),"Relance en retard",IF(N(R243)&gt;='Paramètres'!$B$24,"Sans action depuis "&amp;R243&amp;" j",""))))))))</f>
        <v/>
      </c>
      <c r="G243" s="106">
        <f>IF(OR(C243="",D243="Gagné",D243="Perdu"),"",IF(AND(BP243&gt;0,BP243=BQ243),INDEX('Saisie'!$J$5:$J$2004,BP243-4),IF(OR(O243=0,AND(O243&gt;='Paramètres'!$B$21,P243=0)),"",Q243+IF(O243&lt;=1,'Paramètres'!$B$18,IF(O243=2,'Paramètres'!$B$19,'Paramètres'!$B$20)))))</f>
        <v/>
      </c>
      <c r="H243" s="107">
        <f>IF(OR(G243="",BP243&lt;&gt;BQ243),"",IF(INDEX('Saisie'!$K$5:$K$2004,BP243-4)="","",INDEX('Saisie'!$K$5:$K$2004,BP243-4)))</f>
        <v/>
      </c>
      <c r="I243" s="60">
        <f>IF(C243="","",IF(OR(D243="Gagné",D243="Perdu"),"",IFERROR(INDEX('Saisie'!$I$5:$I$2004,_xlfn.MAXIFS('Saisie'!$AS$5:$AS$2004,'Saisie'!$C$5:$C$2004,C243,'Saisie'!$I$5:$I$2004,"&lt;&gt;")-4),"")))</f>
        <v/>
      </c>
      <c r="J243" s="60">
        <f>IF(C243="","",IFERROR(INDEX('Saisie'!$U$5:$U$2004,_xlfn.MAXIFS('Saisie'!$AS$5:$AS$2004,'Saisie'!$C$5:$C$2004,C243,'Saisie'!$U$5:$U$2004,"&lt;&gt;")-4),""))</f>
        <v/>
      </c>
      <c r="K243" s="60">
        <f>IF(C243="","",IFERROR(INDEX('Saisie'!$W$5:$W$2004,_xlfn.MAXIFS('Saisie'!$AS$5:$AS$2004,'Saisie'!$C$5:$C$2004,C243,'Saisie'!$W$5:$W$2004,"&lt;&gt;")-4),""))</f>
        <v/>
      </c>
      <c r="L243" s="60">
        <f>IF(IF(BB243&lt;&gt;"",BB243,K243)="","",HYPERLINK("https://wa.me/"&amp;IF(LEFT(SUBSTITUTE(SUBSTITUTE(SUBSTITUTE(IF(BB243&lt;&gt;"",BB243,K243)," ",""),".",""),"+",""),1)="0",'Paramètres'!$B$35&amp;MID(SUBSTITUTE(SUBSTITUTE(SUBSTITUTE(IF(BB243&lt;&gt;"",BB243,K243)," ",""),".",""),"+",""),2,20),SUBSTITUTE(SUBSTITUTE(SUBSTITUTE(IF(BB243&lt;&gt;"",BB243,K243)," ",""),".",""),"+","")),"WhatsApp"))</f>
        <v/>
      </c>
      <c r="M243" s="60">
        <f>IF(BC243="","",HYPERLINK(IF(LEFT(BC243,4)="http",BC243,"https://www.instagram.com/"&amp;SUBSTITUTE(SUBSTITUTE(BC243,"@","")," ","")),BC243))</f>
        <v/>
      </c>
      <c r="N243" s="60">
        <f>IF(C243="","",IFERROR(INDEX('Saisie'!$D$5:$D$2004,_xlfn.MINIFS('Saisie'!$AS$5:$AS$2004,'Saisie'!$C$5:$C$2004,C243,'Saisie'!$AU$5:$AU$2004,1)-4),IFERROR(INDEX('Saisie'!$D$5:$D$2004,_xlfn.MINIFS('Saisie'!$AS$5:$AS$2004,'Saisie'!$C$5:$C$2004,C243,'Saisie'!$D$5:$D$2004,"&lt;&gt;")-4),"")))</f>
        <v/>
      </c>
      <c r="O243" s="60">
        <f>IF(C243="","",COUNTIFS('Saisie'!$C$5:$C$2004,C243,'Saisie'!$AU$5:$AU$2004,1))</f>
        <v/>
      </c>
      <c r="P243" s="60">
        <f>IF(C243="","",COUNTIFS('Saisie'!$C$5:$C$2004,C243,'Saisie'!$AV$5:$AV$2004,1))</f>
        <v/>
      </c>
      <c r="Q243" s="106">
        <f>IF(C243="","",IFERROR(1/(1/_xlfn.MAXIFS('Saisie'!$A$5:$A$2004,'Saisie'!$C$5:$C$2004,C243)),""))</f>
        <v/>
      </c>
      <c r="R243" s="61">
        <f>IF(C243="","",IF(Q243="","",TODAY()-Q243))</f>
        <v/>
      </c>
      <c r="S243" s="60">
        <f>IF(C243="","",IFERROR(INDEX('Saisie'!$R$5:$R$2004,_xlfn.MAXIFS('Saisie'!$AS$5:$AS$2004,'Saisie'!$C$5:$C$2004,C243,'Saisie'!$R$5:$R$2004,"&lt;&gt;")-4),""))</f>
        <v/>
      </c>
      <c r="T243" s="60">
        <f>IF(C243="","",IFERROR(INDEX('Saisie'!$S$5:$S$2004,_xlfn.MAXIFS('Saisie'!$AS$5:$AS$2004,'Saisie'!$C$5:$C$2004,C243,'Saisie'!$S$5:$S$2004,"&lt;&gt;")-4),""))</f>
        <v/>
      </c>
      <c r="U243" s="60">
        <f>IF(C243="","",IFERROR(INDEX('Saisie'!$T$5:$T$2004,_xlfn.MAXIFS('Saisie'!$AS$5:$AS$2004,'Saisie'!$C$5:$C$2004,C243,'Saisie'!$T$5:$T$2004,"&lt;&gt;")-4),""))</f>
        <v/>
      </c>
      <c r="V243" s="60">
        <f>IF(C243="","",IFERROR(INDEX('Saisie'!$V$5:$V$2004,_xlfn.MAXIFS('Saisie'!$AS$5:$AS$2004,'Saisie'!$C$5:$C$2004,C243,'Saisie'!$V$5:$V$2004,"&lt;&gt;")-4),""))</f>
        <v/>
      </c>
      <c r="W243" s="60">
        <f>IF(C243="","",IFERROR(INDEX('Saisie'!$Z$5:$Z$2004,_xlfn.MAXIFS('Saisie'!$AS$5:$AS$2004,'Saisie'!$C$5:$C$2004,C243,'Saisie'!$Z$5:$Z$2004,"&lt;&gt;")-4),""))</f>
        <v/>
      </c>
      <c r="X243" s="60">
        <f>IF(C243="","",IFERROR(INDEX('Saisie'!$AA$5:$AA$2004,_xlfn.MAXIFS('Saisie'!$AS$5:$AS$2004,'Saisie'!$C$5:$C$2004,C243,'Saisie'!$AA$5:$AA$2004,"&lt;&gt;")-4),""))</f>
        <v/>
      </c>
      <c r="Y243" s="60">
        <f>IF(C243="","",IFERROR(INDEX('Saisie'!$AB$5:$AB$2004,_xlfn.MAXIFS('Saisie'!$AS$5:$AS$2004,'Saisie'!$C$5:$C$2004,C243,'Saisie'!$AB$5:$AB$2004,"&lt;&gt;")-4),""))</f>
        <v/>
      </c>
      <c r="Z243" s="60">
        <f>IF(C243="","",IFERROR(INDEX('Saisie'!$AC$5:$AC$2004,_xlfn.MAXIFS('Saisie'!$AS$5:$AS$2004,'Saisie'!$C$5:$C$2004,C243,'Saisie'!$AC$5:$AC$2004,"&lt;&gt;")-4),""))</f>
        <v/>
      </c>
      <c r="AA243" s="106">
        <f>IF(C243="","",IFERROR(INDEX('Saisie'!$AD$5:$AD$2004,_xlfn.MAXIFS('Saisie'!$AS$5:$AS$2004,'Saisie'!$C$5:$C$2004,C243,'Saisie'!$AD$5:$AD$2004,"&lt;&gt;")-4),""))</f>
        <v/>
      </c>
      <c r="AB243" s="60">
        <f>IF(C243="","",IFERROR(INDEX('Saisie'!$AE$5:$AE$2004,_xlfn.MAXIFS('Saisie'!$AS$5:$AS$2004,'Saisie'!$C$5:$C$2004,C243,'Saisie'!$AE$5:$AE$2004,"&lt;&gt;")-4),""))</f>
        <v/>
      </c>
      <c r="AC243" s="60">
        <f>IF(C243="","",IFERROR(INDEX('Saisie'!$AF$5:$AF$2004,_xlfn.MAXIFS('Saisie'!$AS$5:$AS$2004,'Saisie'!$C$5:$C$2004,C243,'Saisie'!$AF$5:$AF$2004,"&lt;&gt;")-4),""))</f>
        <v/>
      </c>
      <c r="AD243" s="108">
        <f>IF(C243="","",IFERROR(INDEX('Saisie'!$AG$5:$AG$2004,_xlfn.MAXIFS('Saisie'!$AS$5:$AS$2004,'Saisie'!$C$5:$C$2004,C243,'Saisie'!$AG$5:$AG$2004,"&lt;&gt;")-4),""))</f>
        <v/>
      </c>
      <c r="AE243" s="60">
        <f>IF(C243="","",IFERROR(INDEX('Saisie'!$AH$5:$AH$2004,_xlfn.MAXIFS('Saisie'!$AS$5:$AS$2004,'Saisie'!$C$5:$C$2004,C243,'Saisie'!$AH$5:$AH$2004,"&lt;&gt;")-4),""))</f>
        <v/>
      </c>
      <c r="AF243" s="60">
        <f>IF(C243="","",IFERROR(INDEX('Saisie'!$AI$5:$AI$2004,_xlfn.MAXIFS('Saisie'!$AS$5:$AS$2004,'Saisie'!$C$5:$C$2004,C243,'Saisie'!$AI$5:$AI$2004,"&lt;&gt;")-4),""))</f>
        <v/>
      </c>
      <c r="AG243" s="60">
        <f>IF(C243="","",IFERROR(INDEX('Saisie'!$AJ$5:$AJ$2004,_xlfn.MAXIFS('Saisie'!$AS$5:$AS$2004,'Saisie'!$C$5:$C$2004,C243,'Saisie'!$AJ$5:$AJ$2004,"&lt;&gt;")-4),""))</f>
        <v/>
      </c>
      <c r="AH243" s="60">
        <f>IF(C243="","",IFERROR(INDEX('Saisie'!$AK$5:$AK$2004,_xlfn.MAXIFS('Saisie'!$AS$5:$AS$2004,'Saisie'!$C$5:$C$2004,C243,'Saisie'!$AK$5:$AK$2004,"&lt;&gt;")-4),""))</f>
        <v/>
      </c>
      <c r="AI243" s="60">
        <f>IF(C243="","",IFERROR(INDEX('Saisie'!$AN$5:$AN$2004,_xlfn.MAXIFS('Saisie'!$AS$5:$AS$2004,'Saisie'!$C$5:$C$2004,C243,'Saisie'!$AN$5:$AN$2004,"&lt;&gt;")-4),""))</f>
        <v/>
      </c>
      <c r="AJ243" s="60">
        <f>IF(C243="","",IFERROR(INDEX('Saisie'!$AO$5:$AO$2004,_xlfn.MAXIFS('Saisie'!$AS$5:$AS$2004,'Saisie'!$C$5:$C$2004,C243,'Saisie'!$AO$5:$AO$2004,"&lt;&gt;")-4),""))</f>
        <v/>
      </c>
      <c r="AK243" s="60">
        <f>IF(C243="","",IFERROR(INDEX('Saisie'!$AP$5:$AP$2004,_xlfn.MAXIFS('Saisie'!$AS$5:$AS$2004,'Saisie'!$C$5:$C$2004,C243,'Saisie'!$AP$5:$AP$2004,"&lt;&gt;")-4),""))</f>
        <v/>
      </c>
      <c r="AL243" s="60">
        <f>IF(C243="","",IFERROR(INDEX('Saisie'!$AQ$5:$AQ$2004,_xlfn.MAXIFS('Saisie'!$AS$5:$AS$2004,'Saisie'!$C$5:$C$2004,C243,'Saisie'!$AQ$5:$AQ$2004,"&lt;&gt;")-4),""))</f>
        <v/>
      </c>
      <c r="AM243" s="60">
        <f>IF(C243="","",((AI243="Oui")+(AJ243="Oui")+(AK243="Oui")+OR(AL243="Immédiat",AL243="&lt; 1 mois"))&amp;"/4")</f>
        <v/>
      </c>
      <c r="AN243" s="60">
        <f>IF(C243="","",IFERROR(INDEX('Saisie'!$AL$5:$AL$2004,_xlfn.MAXIFS('Saisie'!$AS$5:$AS$2004,'Saisie'!$C$5:$C$2004,C243,'Saisie'!$AL$5:$AL$2004,"&lt;&gt;")-4),""))</f>
        <v/>
      </c>
      <c r="AO243" s="62">
        <f>IF(C243="","",IF(IFERROR(INDEX('Saisie'!$AM$5:$AM$2004,_xlfn.MAXIFS('Saisie'!$AS$5:$AS$2004,'Saisie'!$C$5:$C$2004,C243,'Saisie'!$AM$5:$AM$2004,"&lt;&gt;")-4),"")&lt;&gt;"",IFERROR(INDEX('Saisie'!$AM$5:$AM$2004,_xlfn.MAXIFS('Saisie'!$AS$5:$AS$2004,'Saisie'!$C$5:$C$2004,C243,'Saisie'!$AM$5:$AM$2004,"&lt;&gt;")-4),""),IFERROR(INDEX('Paramètres'!$S$6:$S$15,MATCH(AN243,'Paramètres'!$Q$6:$Q$15,0)),"")))</f>
        <v/>
      </c>
      <c r="AP243" s="62">
        <f>IF(C243="","",IFERROR(INDEX('Saisie'!$AW$5:$AW$2004,_xlfn.MAXIFS('Saisie'!$AS$5:$AS$2004,'Saisie'!$C$5:$C$2004,C243,'Saisie'!$E$5:$E$2004,"Proposition envoyée")-4),""))</f>
        <v/>
      </c>
      <c r="AQ243" s="106">
        <f>IF(C243="","",IFERROR(1/(1/_xlfn.MAXIFS('Saisie'!$A$5:$A$2004,'Saisie'!$C$5:$C$2004,C243,'Saisie'!$E$5:$E$2004,"Proposition envoyée")),""))</f>
        <v/>
      </c>
      <c r="AR243" s="106">
        <f>IF(C243="","",IF(AQ243="","",AQ243+'Paramètres'!$B$26))</f>
        <v/>
      </c>
      <c r="AS243" s="62">
        <f>IF(OR(C243="",D243="Gagné",D243="Perdu"),0,N(AP243)*IFERROR(INDEX('Paramètres'!$G$6:$G$13,MATCH(D243,'Paramètres'!$F$6:$F$13,0)),0))</f>
        <v/>
      </c>
      <c r="AT243" s="106">
        <f>IF(C243="","",IFERROR(1/(1/_xlfn.MINIFS('Saisie'!$A$5:$A$2004,'Saisie'!$C$5:$C$2004,C243,'Saisie'!$E$5:$E$2004,"Signature")),""))</f>
        <v/>
      </c>
      <c r="AU243" s="60">
        <f>IF(C243="","",IF(OR(AT243="",B243=""),"",AT243-B243))</f>
        <v/>
      </c>
      <c r="AV243" s="60">
        <f>IF(C243="","",IFERROR(INDEX('Saisie'!$L$5:$L$2004,_xlfn.MAXIFS('Saisie'!$AS$5:$AS$2004,'Saisie'!$C$5:$C$2004,C243,'Saisie'!$L$5:$L$2004,"&lt;&gt;")-4),""))</f>
        <v/>
      </c>
      <c r="AW243" s="106">
        <f>IF(C243="","",IF(D243&lt;&gt;"Perdu","",IFERROR(1/(1/_xlfn.MAXIFS('Saisie'!$A$5:$A$2004,'Saisie'!$C$5:$C$2004,C243,'Saisie'!$E$5:$E$2004,"Perdu")),"")))</f>
        <v/>
      </c>
      <c r="AX243" s="106">
        <f>IF(C243="","",IF(AW243="","",AW243+'Paramètres'!$B$28))</f>
        <v/>
      </c>
      <c r="AY243" s="60">
        <f>IF(C243="","",SUMIFS('Saisie'!$H$5:$H$2004,'Saisie'!$C$5:$C$2004,C243))</f>
        <v/>
      </c>
      <c r="AZ243" s="60">
        <f>IF(C243="","",IFERROR(INDEX('Paramètres'!$W$6:$W$20,MATCH(S243,'Paramètres'!$V$6:$V$20,0))&amp;"",""))</f>
        <v/>
      </c>
      <c r="BA243" s="60">
        <f>IF(C243="","",MAX(1,_xlfn.MAXIFS('Saisie'!$AT$5:$AT$2004,'Saisie'!$C$5:$C$2004,C243)))</f>
        <v/>
      </c>
      <c r="BB243" s="60">
        <f>IF(C243="","",IFERROR(INDEX('Saisie'!$X$5:$X$2004,_xlfn.MAXIFS('Saisie'!$AS$5:$AS$2004,'Saisie'!$C$5:$C$2004,C243,'Saisie'!$X$5:$X$2004,"&lt;&gt;")-4),""))</f>
        <v/>
      </c>
      <c r="BC243" s="60">
        <f>IF(C243="","",IFERROR(INDEX('Saisie'!$Y$5:$Y$2004,_xlfn.MAXIFS('Saisie'!$AS$5:$AS$2004,'Saisie'!$C$5:$C$2004,C243,'Saisie'!$Y$5:$Y$2004,"&lt;&gt;")-4),""))</f>
        <v/>
      </c>
      <c r="BD243" s="106">
        <f>IF(C243="","",IFERROR(1/(1/_xlfn.MINIFS('Saisie'!$A$5:$A$2004,'Saisie'!$C$5:$C$2004,C243,'Saisie'!$AT$5:$AT$2004,"&gt;=2")),""))</f>
        <v/>
      </c>
      <c r="BE243" s="106">
        <f>IF(C243="","",IFERROR(1/(1/_xlfn.MINIFS('Saisie'!$A$5:$A$2004,'Saisie'!$C$5:$C$2004,C243,'Saisie'!$AT$5:$AT$2004,"&gt;=3")),""))</f>
        <v/>
      </c>
      <c r="BF243" s="106">
        <f>IF(C243="","",IFERROR(1/(1/_xlfn.MINIFS('Saisie'!$A$5:$A$2004,'Saisie'!$C$5:$C$2004,C243,'Saisie'!$AT$5:$AT$2004,"&gt;=4")),""))</f>
        <v/>
      </c>
      <c r="BG243" s="106">
        <f>IF(C243="","",IFERROR(1/(1/_xlfn.MINIFS('Saisie'!$A$5:$A$2004,'Saisie'!$C$5:$C$2004,C243,'Saisie'!$AT$5:$AT$2004,"&gt;=5")),""))</f>
        <v/>
      </c>
      <c r="BH243" s="106">
        <f>IF(C243="","",IFERROR(1/(1/_xlfn.MINIFS('Saisie'!$A$5:$A$2004,'Saisie'!$C$5:$C$2004,C243,'Saisie'!$AT$5:$AT$2004,"&gt;=6")),""))</f>
        <v/>
      </c>
      <c r="BI243" s="106">
        <f>IF(C243="","",IFERROR(1/(1/_xlfn.MINIFS('Saisie'!$A$5:$A$2004,'Saisie'!$C$5:$C$2004,C243,'Saisie'!$AT$5:$AT$2004,"&gt;=7")),""))</f>
        <v/>
      </c>
      <c r="BJ243" s="60">
        <f>IF(OR(BD243="",B243=""),"",BD243-B243)</f>
        <v/>
      </c>
      <c r="BK243" s="60">
        <f>IF(OR(BE243="",BD243=""),"",BE243-BD243)</f>
        <v/>
      </c>
      <c r="BL243" s="60">
        <f>IF(OR(BF243="",BE243=""),"",BF243-BE243)</f>
        <v/>
      </c>
      <c r="BM243" s="60">
        <f>IF(OR(BG243="",BF243=""),"",BG243-BF243)</f>
        <v/>
      </c>
      <c r="BN243" s="60">
        <f>IF(OR(BH243="",BG243=""),"",BH243-BG243)</f>
        <v/>
      </c>
      <c r="BO243" s="60">
        <f>IF(OR(BI243="",BH243=""),"",BI243-BH243)</f>
        <v/>
      </c>
      <c r="BP243" s="60">
        <f>IF(C243="","",_xlfn.MAXIFS('Saisie'!$AS$5:$AS$2004,'Saisie'!$C$5:$C$2004,C243,'Saisie'!$J$5:$J$2004,"&lt;&gt;"))</f>
        <v/>
      </c>
      <c r="BQ243" s="60">
        <f>IF(C243="","",_xlfn.MAXIFS('Saisie'!$AS$5:$AS$2004,'Saisie'!$C$5:$C$2004,C243))</f>
        <v/>
      </c>
      <c r="BR243" s="60">
        <f>IF(C243="","",_xlfn.MAXIFS('Saisie'!$AS$5:$AS$2004,'Saisie'!$C$5:$C$2004,C243,'Saisie'!$E$5:$E$2004,"Perdu"))</f>
        <v/>
      </c>
      <c r="BS243" s="60">
        <f>IF(C243="","",_xlfn.MAXIFS('Saisie'!$AS$5:$AS$2004,'Saisie'!$C$5:$C$2004,C243,'Saisie'!$AT$5:$AT$2004,"&gt;0"))</f>
        <v/>
      </c>
      <c r="BT243" s="109">
        <f>IF(AND(C243&lt;&gt;"",OR(D243="Nouveau",D243="Contacté",D243="Qualifié"),OR(G243="",N(G243)&lt;=TODAY()),NOT(AND(O243&gt;='Paramètres'!$B$21,P243=0))),E243+239/10000,"")</f>
        <v/>
      </c>
      <c r="BU243" s="60">
        <f>IF(AND(G243&lt;&gt;"",N(G243)&lt;=TODAY()),MAX($BU$4:BU242)+1,"")</f>
        <v/>
      </c>
      <c r="BV243" s="60">
        <f>IF(AND(F243&lt;&gt;"",F243&lt;&gt;"Relance en retard"),MAX($BV$4:BV242)+1,"")</f>
        <v/>
      </c>
      <c r="BW243" s="60">
        <f>IF(C243="","",IF(AND(B243&gt;='Tableau de bord'!$R$4,B243&lt;='Tableau de bord'!$S$4,OR('Tableau de bord'!$G$4="Tous",N243='Tableau de bord'!$G$4)),1,0))</f>
        <v/>
      </c>
      <c r="BX243" s="60">
        <f>IF(AND(C243&lt;&gt;"",N(BA243)=7),MAX($BX$4:BX242)+1,"")</f>
        <v/>
      </c>
    </row>
    <row r="244">
      <c r="A244" s="60">
        <f>IF(C244="","","P-"&amp;TEXT(240,"000"))</f>
        <v/>
      </c>
      <c r="B244" s="106">
        <f>IF(C244="","",IFERROR(1/(1/_xlfn.MINIFS('Saisie'!$A$5:$A$2004,'Saisie'!$C$5:$C$2004,C244)),""))</f>
        <v/>
      </c>
      <c r="C244" s="60">
        <f>IFERROR(INDEX('Saisie'!$C$5:$C$2004,MATCH(240,'Saisie'!$AX$5:$AX$2004,0)),"")</f>
        <v/>
      </c>
      <c r="D244" s="60">
        <f>IF(C244="","",IF(AND(BR244&gt;0,BR244&gt;BS244,BA244&lt;7),"Perdu",INDEX('Paramètres'!$F$6:$F$13,BA244)))</f>
        <v/>
      </c>
      <c r="E244" s="61">
        <f>IF(C244="","",MIN(100,(Z244="Oui")*'Paramètres'!$B$38+(AB244="Régulière")*'Paramètres'!$B$39+IF(AND(N(AA244)&gt;0,TODAY()-N(AA244)&lt;=30),'Paramètres'!$B$40,0)+(W244="")*'Paramètres'!$B$41+(AC244="Absente")*'Paramètres'!$B$42+(AC244="Faible")*'Paramètres'!$B$43+IF(AND(N(AD244)&gt;0,N(AD244)&lt;4),'Paramètres'!$B$44,0)+(AF244="Moyenne")*'Paramètres'!$B$45+(AF244="Grande")*'Paramètres'!$B$46+(Y244&lt;&gt;"")*'Paramètres'!$B$47))</f>
        <v/>
      </c>
      <c r="F244" s="60">
        <f>IF(C244="","",IF(D244="Gagné","",IF(D244="Perdu",IF(AND(AX244&lt;&gt;"",AX244&lt;=TODAY()),"À recontacter (perdu)",""),IF(AND(O244&gt;='Paramètres'!$B$21,P244=0),"Stop : "&amp;'Paramètres'!$B$21&amp;" tentatives sans réponse",IF(AND(D244="Proposition",AR244&lt;&gt;"",TODAY()&gt;N(AR244)),"Proposition expirée",IF(AND(D244="Proposition",N(R244)&gt;='Paramètres'!$B$25),"Proposition sans réponse",IF(AND(G244&lt;&gt;"",N(G244)&lt;TODAY()),"Relance en retard",IF(N(R244)&gt;='Paramètres'!$B$24,"Sans action depuis "&amp;R244&amp;" j",""))))))))</f>
        <v/>
      </c>
      <c r="G244" s="106">
        <f>IF(OR(C244="",D244="Gagné",D244="Perdu"),"",IF(AND(BP244&gt;0,BP244=BQ244),INDEX('Saisie'!$J$5:$J$2004,BP244-4),IF(OR(O244=0,AND(O244&gt;='Paramètres'!$B$21,P244=0)),"",Q244+IF(O244&lt;=1,'Paramètres'!$B$18,IF(O244=2,'Paramètres'!$B$19,'Paramètres'!$B$20)))))</f>
        <v/>
      </c>
      <c r="H244" s="107">
        <f>IF(OR(G244="",BP244&lt;&gt;BQ244),"",IF(INDEX('Saisie'!$K$5:$K$2004,BP244-4)="","",INDEX('Saisie'!$K$5:$K$2004,BP244-4)))</f>
        <v/>
      </c>
      <c r="I244" s="60">
        <f>IF(C244="","",IF(OR(D244="Gagné",D244="Perdu"),"",IFERROR(INDEX('Saisie'!$I$5:$I$2004,_xlfn.MAXIFS('Saisie'!$AS$5:$AS$2004,'Saisie'!$C$5:$C$2004,C244,'Saisie'!$I$5:$I$2004,"&lt;&gt;")-4),"")))</f>
        <v/>
      </c>
      <c r="J244" s="60">
        <f>IF(C244="","",IFERROR(INDEX('Saisie'!$U$5:$U$2004,_xlfn.MAXIFS('Saisie'!$AS$5:$AS$2004,'Saisie'!$C$5:$C$2004,C244,'Saisie'!$U$5:$U$2004,"&lt;&gt;")-4),""))</f>
        <v/>
      </c>
      <c r="K244" s="60">
        <f>IF(C244="","",IFERROR(INDEX('Saisie'!$W$5:$W$2004,_xlfn.MAXIFS('Saisie'!$AS$5:$AS$2004,'Saisie'!$C$5:$C$2004,C244,'Saisie'!$W$5:$W$2004,"&lt;&gt;")-4),""))</f>
        <v/>
      </c>
      <c r="L244" s="60">
        <f>IF(IF(BB244&lt;&gt;"",BB244,K244)="","",HYPERLINK("https://wa.me/"&amp;IF(LEFT(SUBSTITUTE(SUBSTITUTE(SUBSTITUTE(IF(BB244&lt;&gt;"",BB244,K244)," ",""),".",""),"+",""),1)="0",'Paramètres'!$B$35&amp;MID(SUBSTITUTE(SUBSTITUTE(SUBSTITUTE(IF(BB244&lt;&gt;"",BB244,K244)," ",""),".",""),"+",""),2,20),SUBSTITUTE(SUBSTITUTE(SUBSTITUTE(IF(BB244&lt;&gt;"",BB244,K244)," ",""),".",""),"+","")),"WhatsApp"))</f>
        <v/>
      </c>
      <c r="M244" s="60">
        <f>IF(BC244="","",HYPERLINK(IF(LEFT(BC244,4)="http",BC244,"https://www.instagram.com/"&amp;SUBSTITUTE(SUBSTITUTE(BC244,"@","")," ","")),BC244))</f>
        <v/>
      </c>
      <c r="N244" s="60">
        <f>IF(C244="","",IFERROR(INDEX('Saisie'!$D$5:$D$2004,_xlfn.MINIFS('Saisie'!$AS$5:$AS$2004,'Saisie'!$C$5:$C$2004,C244,'Saisie'!$AU$5:$AU$2004,1)-4),IFERROR(INDEX('Saisie'!$D$5:$D$2004,_xlfn.MINIFS('Saisie'!$AS$5:$AS$2004,'Saisie'!$C$5:$C$2004,C244,'Saisie'!$D$5:$D$2004,"&lt;&gt;")-4),"")))</f>
        <v/>
      </c>
      <c r="O244" s="60">
        <f>IF(C244="","",COUNTIFS('Saisie'!$C$5:$C$2004,C244,'Saisie'!$AU$5:$AU$2004,1))</f>
        <v/>
      </c>
      <c r="P244" s="60">
        <f>IF(C244="","",COUNTIFS('Saisie'!$C$5:$C$2004,C244,'Saisie'!$AV$5:$AV$2004,1))</f>
        <v/>
      </c>
      <c r="Q244" s="106">
        <f>IF(C244="","",IFERROR(1/(1/_xlfn.MAXIFS('Saisie'!$A$5:$A$2004,'Saisie'!$C$5:$C$2004,C244)),""))</f>
        <v/>
      </c>
      <c r="R244" s="61">
        <f>IF(C244="","",IF(Q244="","",TODAY()-Q244))</f>
        <v/>
      </c>
      <c r="S244" s="60">
        <f>IF(C244="","",IFERROR(INDEX('Saisie'!$R$5:$R$2004,_xlfn.MAXIFS('Saisie'!$AS$5:$AS$2004,'Saisie'!$C$5:$C$2004,C244,'Saisie'!$R$5:$R$2004,"&lt;&gt;")-4),""))</f>
        <v/>
      </c>
      <c r="T244" s="60">
        <f>IF(C244="","",IFERROR(INDEX('Saisie'!$S$5:$S$2004,_xlfn.MAXIFS('Saisie'!$AS$5:$AS$2004,'Saisie'!$C$5:$C$2004,C244,'Saisie'!$S$5:$S$2004,"&lt;&gt;")-4),""))</f>
        <v/>
      </c>
      <c r="U244" s="60">
        <f>IF(C244="","",IFERROR(INDEX('Saisie'!$T$5:$T$2004,_xlfn.MAXIFS('Saisie'!$AS$5:$AS$2004,'Saisie'!$C$5:$C$2004,C244,'Saisie'!$T$5:$T$2004,"&lt;&gt;")-4),""))</f>
        <v/>
      </c>
      <c r="V244" s="60">
        <f>IF(C244="","",IFERROR(INDEX('Saisie'!$V$5:$V$2004,_xlfn.MAXIFS('Saisie'!$AS$5:$AS$2004,'Saisie'!$C$5:$C$2004,C244,'Saisie'!$V$5:$V$2004,"&lt;&gt;")-4),""))</f>
        <v/>
      </c>
      <c r="W244" s="60">
        <f>IF(C244="","",IFERROR(INDEX('Saisie'!$Z$5:$Z$2004,_xlfn.MAXIFS('Saisie'!$AS$5:$AS$2004,'Saisie'!$C$5:$C$2004,C244,'Saisie'!$Z$5:$Z$2004,"&lt;&gt;")-4),""))</f>
        <v/>
      </c>
      <c r="X244" s="60">
        <f>IF(C244="","",IFERROR(INDEX('Saisie'!$AA$5:$AA$2004,_xlfn.MAXIFS('Saisie'!$AS$5:$AS$2004,'Saisie'!$C$5:$C$2004,C244,'Saisie'!$AA$5:$AA$2004,"&lt;&gt;")-4),""))</f>
        <v/>
      </c>
      <c r="Y244" s="60">
        <f>IF(C244="","",IFERROR(INDEX('Saisie'!$AB$5:$AB$2004,_xlfn.MAXIFS('Saisie'!$AS$5:$AS$2004,'Saisie'!$C$5:$C$2004,C244,'Saisie'!$AB$5:$AB$2004,"&lt;&gt;")-4),""))</f>
        <v/>
      </c>
      <c r="Z244" s="60">
        <f>IF(C244="","",IFERROR(INDEX('Saisie'!$AC$5:$AC$2004,_xlfn.MAXIFS('Saisie'!$AS$5:$AS$2004,'Saisie'!$C$5:$C$2004,C244,'Saisie'!$AC$5:$AC$2004,"&lt;&gt;")-4),""))</f>
        <v/>
      </c>
      <c r="AA244" s="106">
        <f>IF(C244="","",IFERROR(INDEX('Saisie'!$AD$5:$AD$2004,_xlfn.MAXIFS('Saisie'!$AS$5:$AS$2004,'Saisie'!$C$5:$C$2004,C244,'Saisie'!$AD$5:$AD$2004,"&lt;&gt;")-4),""))</f>
        <v/>
      </c>
      <c r="AB244" s="60">
        <f>IF(C244="","",IFERROR(INDEX('Saisie'!$AE$5:$AE$2004,_xlfn.MAXIFS('Saisie'!$AS$5:$AS$2004,'Saisie'!$C$5:$C$2004,C244,'Saisie'!$AE$5:$AE$2004,"&lt;&gt;")-4),""))</f>
        <v/>
      </c>
      <c r="AC244" s="60">
        <f>IF(C244="","",IFERROR(INDEX('Saisie'!$AF$5:$AF$2004,_xlfn.MAXIFS('Saisie'!$AS$5:$AS$2004,'Saisie'!$C$5:$C$2004,C244,'Saisie'!$AF$5:$AF$2004,"&lt;&gt;")-4),""))</f>
        <v/>
      </c>
      <c r="AD244" s="108">
        <f>IF(C244="","",IFERROR(INDEX('Saisie'!$AG$5:$AG$2004,_xlfn.MAXIFS('Saisie'!$AS$5:$AS$2004,'Saisie'!$C$5:$C$2004,C244,'Saisie'!$AG$5:$AG$2004,"&lt;&gt;")-4),""))</f>
        <v/>
      </c>
      <c r="AE244" s="60">
        <f>IF(C244="","",IFERROR(INDEX('Saisie'!$AH$5:$AH$2004,_xlfn.MAXIFS('Saisie'!$AS$5:$AS$2004,'Saisie'!$C$5:$C$2004,C244,'Saisie'!$AH$5:$AH$2004,"&lt;&gt;")-4),""))</f>
        <v/>
      </c>
      <c r="AF244" s="60">
        <f>IF(C244="","",IFERROR(INDEX('Saisie'!$AI$5:$AI$2004,_xlfn.MAXIFS('Saisie'!$AS$5:$AS$2004,'Saisie'!$C$5:$C$2004,C244,'Saisie'!$AI$5:$AI$2004,"&lt;&gt;")-4),""))</f>
        <v/>
      </c>
      <c r="AG244" s="60">
        <f>IF(C244="","",IFERROR(INDEX('Saisie'!$AJ$5:$AJ$2004,_xlfn.MAXIFS('Saisie'!$AS$5:$AS$2004,'Saisie'!$C$5:$C$2004,C244,'Saisie'!$AJ$5:$AJ$2004,"&lt;&gt;")-4),""))</f>
        <v/>
      </c>
      <c r="AH244" s="60">
        <f>IF(C244="","",IFERROR(INDEX('Saisie'!$AK$5:$AK$2004,_xlfn.MAXIFS('Saisie'!$AS$5:$AS$2004,'Saisie'!$C$5:$C$2004,C244,'Saisie'!$AK$5:$AK$2004,"&lt;&gt;")-4),""))</f>
        <v/>
      </c>
      <c r="AI244" s="60">
        <f>IF(C244="","",IFERROR(INDEX('Saisie'!$AN$5:$AN$2004,_xlfn.MAXIFS('Saisie'!$AS$5:$AS$2004,'Saisie'!$C$5:$C$2004,C244,'Saisie'!$AN$5:$AN$2004,"&lt;&gt;")-4),""))</f>
        <v/>
      </c>
      <c r="AJ244" s="60">
        <f>IF(C244="","",IFERROR(INDEX('Saisie'!$AO$5:$AO$2004,_xlfn.MAXIFS('Saisie'!$AS$5:$AS$2004,'Saisie'!$C$5:$C$2004,C244,'Saisie'!$AO$5:$AO$2004,"&lt;&gt;")-4),""))</f>
        <v/>
      </c>
      <c r="AK244" s="60">
        <f>IF(C244="","",IFERROR(INDEX('Saisie'!$AP$5:$AP$2004,_xlfn.MAXIFS('Saisie'!$AS$5:$AS$2004,'Saisie'!$C$5:$C$2004,C244,'Saisie'!$AP$5:$AP$2004,"&lt;&gt;")-4),""))</f>
        <v/>
      </c>
      <c r="AL244" s="60">
        <f>IF(C244="","",IFERROR(INDEX('Saisie'!$AQ$5:$AQ$2004,_xlfn.MAXIFS('Saisie'!$AS$5:$AS$2004,'Saisie'!$C$5:$C$2004,C244,'Saisie'!$AQ$5:$AQ$2004,"&lt;&gt;")-4),""))</f>
        <v/>
      </c>
      <c r="AM244" s="60">
        <f>IF(C244="","",((AI244="Oui")+(AJ244="Oui")+(AK244="Oui")+OR(AL244="Immédiat",AL244="&lt; 1 mois"))&amp;"/4")</f>
        <v/>
      </c>
      <c r="AN244" s="60">
        <f>IF(C244="","",IFERROR(INDEX('Saisie'!$AL$5:$AL$2004,_xlfn.MAXIFS('Saisie'!$AS$5:$AS$2004,'Saisie'!$C$5:$C$2004,C244,'Saisie'!$AL$5:$AL$2004,"&lt;&gt;")-4),""))</f>
        <v/>
      </c>
      <c r="AO244" s="62">
        <f>IF(C244="","",IF(IFERROR(INDEX('Saisie'!$AM$5:$AM$2004,_xlfn.MAXIFS('Saisie'!$AS$5:$AS$2004,'Saisie'!$C$5:$C$2004,C244,'Saisie'!$AM$5:$AM$2004,"&lt;&gt;")-4),"")&lt;&gt;"",IFERROR(INDEX('Saisie'!$AM$5:$AM$2004,_xlfn.MAXIFS('Saisie'!$AS$5:$AS$2004,'Saisie'!$C$5:$C$2004,C244,'Saisie'!$AM$5:$AM$2004,"&lt;&gt;")-4),""),IFERROR(INDEX('Paramètres'!$S$6:$S$15,MATCH(AN244,'Paramètres'!$Q$6:$Q$15,0)),"")))</f>
        <v/>
      </c>
      <c r="AP244" s="62">
        <f>IF(C244="","",IFERROR(INDEX('Saisie'!$AW$5:$AW$2004,_xlfn.MAXIFS('Saisie'!$AS$5:$AS$2004,'Saisie'!$C$5:$C$2004,C244,'Saisie'!$E$5:$E$2004,"Proposition envoyée")-4),""))</f>
        <v/>
      </c>
      <c r="AQ244" s="106">
        <f>IF(C244="","",IFERROR(1/(1/_xlfn.MAXIFS('Saisie'!$A$5:$A$2004,'Saisie'!$C$5:$C$2004,C244,'Saisie'!$E$5:$E$2004,"Proposition envoyée")),""))</f>
        <v/>
      </c>
      <c r="AR244" s="106">
        <f>IF(C244="","",IF(AQ244="","",AQ244+'Paramètres'!$B$26))</f>
        <v/>
      </c>
      <c r="AS244" s="62">
        <f>IF(OR(C244="",D244="Gagné",D244="Perdu"),0,N(AP244)*IFERROR(INDEX('Paramètres'!$G$6:$G$13,MATCH(D244,'Paramètres'!$F$6:$F$13,0)),0))</f>
        <v/>
      </c>
      <c r="AT244" s="106">
        <f>IF(C244="","",IFERROR(1/(1/_xlfn.MINIFS('Saisie'!$A$5:$A$2004,'Saisie'!$C$5:$C$2004,C244,'Saisie'!$E$5:$E$2004,"Signature")),""))</f>
        <v/>
      </c>
      <c r="AU244" s="60">
        <f>IF(C244="","",IF(OR(AT244="",B244=""),"",AT244-B244))</f>
        <v/>
      </c>
      <c r="AV244" s="60">
        <f>IF(C244="","",IFERROR(INDEX('Saisie'!$L$5:$L$2004,_xlfn.MAXIFS('Saisie'!$AS$5:$AS$2004,'Saisie'!$C$5:$C$2004,C244,'Saisie'!$L$5:$L$2004,"&lt;&gt;")-4),""))</f>
        <v/>
      </c>
      <c r="AW244" s="106">
        <f>IF(C244="","",IF(D244&lt;&gt;"Perdu","",IFERROR(1/(1/_xlfn.MAXIFS('Saisie'!$A$5:$A$2004,'Saisie'!$C$5:$C$2004,C244,'Saisie'!$E$5:$E$2004,"Perdu")),"")))</f>
        <v/>
      </c>
      <c r="AX244" s="106">
        <f>IF(C244="","",IF(AW244="","",AW244+'Paramètres'!$B$28))</f>
        <v/>
      </c>
      <c r="AY244" s="60">
        <f>IF(C244="","",SUMIFS('Saisie'!$H$5:$H$2004,'Saisie'!$C$5:$C$2004,C244))</f>
        <v/>
      </c>
      <c r="AZ244" s="60">
        <f>IF(C244="","",IFERROR(INDEX('Paramètres'!$W$6:$W$20,MATCH(S244,'Paramètres'!$V$6:$V$20,0))&amp;"",""))</f>
        <v/>
      </c>
      <c r="BA244" s="60">
        <f>IF(C244="","",MAX(1,_xlfn.MAXIFS('Saisie'!$AT$5:$AT$2004,'Saisie'!$C$5:$C$2004,C244)))</f>
        <v/>
      </c>
      <c r="BB244" s="60">
        <f>IF(C244="","",IFERROR(INDEX('Saisie'!$X$5:$X$2004,_xlfn.MAXIFS('Saisie'!$AS$5:$AS$2004,'Saisie'!$C$5:$C$2004,C244,'Saisie'!$X$5:$X$2004,"&lt;&gt;")-4),""))</f>
        <v/>
      </c>
      <c r="BC244" s="60">
        <f>IF(C244="","",IFERROR(INDEX('Saisie'!$Y$5:$Y$2004,_xlfn.MAXIFS('Saisie'!$AS$5:$AS$2004,'Saisie'!$C$5:$C$2004,C244,'Saisie'!$Y$5:$Y$2004,"&lt;&gt;")-4),""))</f>
        <v/>
      </c>
      <c r="BD244" s="106">
        <f>IF(C244="","",IFERROR(1/(1/_xlfn.MINIFS('Saisie'!$A$5:$A$2004,'Saisie'!$C$5:$C$2004,C244,'Saisie'!$AT$5:$AT$2004,"&gt;=2")),""))</f>
        <v/>
      </c>
      <c r="BE244" s="106">
        <f>IF(C244="","",IFERROR(1/(1/_xlfn.MINIFS('Saisie'!$A$5:$A$2004,'Saisie'!$C$5:$C$2004,C244,'Saisie'!$AT$5:$AT$2004,"&gt;=3")),""))</f>
        <v/>
      </c>
      <c r="BF244" s="106">
        <f>IF(C244="","",IFERROR(1/(1/_xlfn.MINIFS('Saisie'!$A$5:$A$2004,'Saisie'!$C$5:$C$2004,C244,'Saisie'!$AT$5:$AT$2004,"&gt;=4")),""))</f>
        <v/>
      </c>
      <c r="BG244" s="106">
        <f>IF(C244="","",IFERROR(1/(1/_xlfn.MINIFS('Saisie'!$A$5:$A$2004,'Saisie'!$C$5:$C$2004,C244,'Saisie'!$AT$5:$AT$2004,"&gt;=5")),""))</f>
        <v/>
      </c>
      <c r="BH244" s="106">
        <f>IF(C244="","",IFERROR(1/(1/_xlfn.MINIFS('Saisie'!$A$5:$A$2004,'Saisie'!$C$5:$C$2004,C244,'Saisie'!$AT$5:$AT$2004,"&gt;=6")),""))</f>
        <v/>
      </c>
      <c r="BI244" s="106">
        <f>IF(C244="","",IFERROR(1/(1/_xlfn.MINIFS('Saisie'!$A$5:$A$2004,'Saisie'!$C$5:$C$2004,C244,'Saisie'!$AT$5:$AT$2004,"&gt;=7")),""))</f>
        <v/>
      </c>
      <c r="BJ244" s="60">
        <f>IF(OR(BD244="",B244=""),"",BD244-B244)</f>
        <v/>
      </c>
      <c r="BK244" s="60">
        <f>IF(OR(BE244="",BD244=""),"",BE244-BD244)</f>
        <v/>
      </c>
      <c r="BL244" s="60">
        <f>IF(OR(BF244="",BE244=""),"",BF244-BE244)</f>
        <v/>
      </c>
      <c r="BM244" s="60">
        <f>IF(OR(BG244="",BF244=""),"",BG244-BF244)</f>
        <v/>
      </c>
      <c r="BN244" s="60">
        <f>IF(OR(BH244="",BG244=""),"",BH244-BG244)</f>
        <v/>
      </c>
      <c r="BO244" s="60">
        <f>IF(OR(BI244="",BH244=""),"",BI244-BH244)</f>
        <v/>
      </c>
      <c r="BP244" s="60">
        <f>IF(C244="","",_xlfn.MAXIFS('Saisie'!$AS$5:$AS$2004,'Saisie'!$C$5:$C$2004,C244,'Saisie'!$J$5:$J$2004,"&lt;&gt;"))</f>
        <v/>
      </c>
      <c r="BQ244" s="60">
        <f>IF(C244="","",_xlfn.MAXIFS('Saisie'!$AS$5:$AS$2004,'Saisie'!$C$5:$C$2004,C244))</f>
        <v/>
      </c>
      <c r="BR244" s="60">
        <f>IF(C244="","",_xlfn.MAXIFS('Saisie'!$AS$5:$AS$2004,'Saisie'!$C$5:$C$2004,C244,'Saisie'!$E$5:$E$2004,"Perdu"))</f>
        <v/>
      </c>
      <c r="BS244" s="60">
        <f>IF(C244="","",_xlfn.MAXIFS('Saisie'!$AS$5:$AS$2004,'Saisie'!$C$5:$C$2004,C244,'Saisie'!$AT$5:$AT$2004,"&gt;0"))</f>
        <v/>
      </c>
      <c r="BT244" s="109">
        <f>IF(AND(C244&lt;&gt;"",OR(D244="Nouveau",D244="Contacté",D244="Qualifié"),OR(G244="",N(G244)&lt;=TODAY()),NOT(AND(O244&gt;='Paramètres'!$B$21,P244=0))),E244+240/10000,"")</f>
        <v/>
      </c>
      <c r="BU244" s="60">
        <f>IF(AND(G244&lt;&gt;"",N(G244)&lt;=TODAY()),MAX($BU$4:BU243)+1,"")</f>
        <v/>
      </c>
      <c r="BV244" s="60">
        <f>IF(AND(F244&lt;&gt;"",F244&lt;&gt;"Relance en retard"),MAX($BV$4:BV243)+1,"")</f>
        <v/>
      </c>
      <c r="BW244" s="60">
        <f>IF(C244="","",IF(AND(B244&gt;='Tableau de bord'!$R$4,B244&lt;='Tableau de bord'!$S$4,OR('Tableau de bord'!$G$4="Tous",N244='Tableau de bord'!$G$4)),1,0))</f>
        <v/>
      </c>
      <c r="BX244" s="60">
        <f>IF(AND(C244&lt;&gt;"",N(BA244)=7),MAX($BX$4:BX243)+1,"")</f>
        <v/>
      </c>
    </row>
    <row r="245">
      <c r="A245" s="60">
        <f>IF(C245="","","P-"&amp;TEXT(241,"000"))</f>
        <v/>
      </c>
      <c r="B245" s="106">
        <f>IF(C245="","",IFERROR(1/(1/_xlfn.MINIFS('Saisie'!$A$5:$A$2004,'Saisie'!$C$5:$C$2004,C245)),""))</f>
        <v/>
      </c>
      <c r="C245" s="60">
        <f>IFERROR(INDEX('Saisie'!$C$5:$C$2004,MATCH(241,'Saisie'!$AX$5:$AX$2004,0)),"")</f>
        <v/>
      </c>
      <c r="D245" s="60">
        <f>IF(C245="","",IF(AND(BR245&gt;0,BR245&gt;BS245,BA245&lt;7),"Perdu",INDEX('Paramètres'!$F$6:$F$13,BA245)))</f>
        <v/>
      </c>
      <c r="E245" s="61">
        <f>IF(C245="","",MIN(100,(Z245="Oui")*'Paramètres'!$B$38+(AB245="Régulière")*'Paramètres'!$B$39+IF(AND(N(AA245)&gt;0,TODAY()-N(AA245)&lt;=30),'Paramètres'!$B$40,0)+(W245="")*'Paramètres'!$B$41+(AC245="Absente")*'Paramètres'!$B$42+(AC245="Faible")*'Paramètres'!$B$43+IF(AND(N(AD245)&gt;0,N(AD245)&lt;4),'Paramètres'!$B$44,0)+(AF245="Moyenne")*'Paramètres'!$B$45+(AF245="Grande")*'Paramètres'!$B$46+(Y245&lt;&gt;"")*'Paramètres'!$B$47))</f>
        <v/>
      </c>
      <c r="F245" s="60">
        <f>IF(C245="","",IF(D245="Gagné","",IF(D245="Perdu",IF(AND(AX245&lt;&gt;"",AX245&lt;=TODAY()),"À recontacter (perdu)",""),IF(AND(O245&gt;='Paramètres'!$B$21,P245=0),"Stop : "&amp;'Paramètres'!$B$21&amp;" tentatives sans réponse",IF(AND(D245="Proposition",AR245&lt;&gt;"",TODAY()&gt;N(AR245)),"Proposition expirée",IF(AND(D245="Proposition",N(R245)&gt;='Paramètres'!$B$25),"Proposition sans réponse",IF(AND(G245&lt;&gt;"",N(G245)&lt;TODAY()),"Relance en retard",IF(N(R245)&gt;='Paramètres'!$B$24,"Sans action depuis "&amp;R245&amp;" j",""))))))))</f>
        <v/>
      </c>
      <c r="G245" s="106">
        <f>IF(OR(C245="",D245="Gagné",D245="Perdu"),"",IF(AND(BP245&gt;0,BP245=BQ245),INDEX('Saisie'!$J$5:$J$2004,BP245-4),IF(OR(O245=0,AND(O245&gt;='Paramètres'!$B$21,P245=0)),"",Q245+IF(O245&lt;=1,'Paramètres'!$B$18,IF(O245=2,'Paramètres'!$B$19,'Paramètres'!$B$20)))))</f>
        <v/>
      </c>
      <c r="H245" s="107">
        <f>IF(OR(G245="",BP245&lt;&gt;BQ245),"",IF(INDEX('Saisie'!$K$5:$K$2004,BP245-4)="","",INDEX('Saisie'!$K$5:$K$2004,BP245-4)))</f>
        <v/>
      </c>
      <c r="I245" s="60">
        <f>IF(C245="","",IF(OR(D245="Gagné",D245="Perdu"),"",IFERROR(INDEX('Saisie'!$I$5:$I$2004,_xlfn.MAXIFS('Saisie'!$AS$5:$AS$2004,'Saisie'!$C$5:$C$2004,C245,'Saisie'!$I$5:$I$2004,"&lt;&gt;")-4),"")))</f>
        <v/>
      </c>
      <c r="J245" s="60">
        <f>IF(C245="","",IFERROR(INDEX('Saisie'!$U$5:$U$2004,_xlfn.MAXIFS('Saisie'!$AS$5:$AS$2004,'Saisie'!$C$5:$C$2004,C245,'Saisie'!$U$5:$U$2004,"&lt;&gt;")-4),""))</f>
        <v/>
      </c>
      <c r="K245" s="60">
        <f>IF(C245="","",IFERROR(INDEX('Saisie'!$W$5:$W$2004,_xlfn.MAXIFS('Saisie'!$AS$5:$AS$2004,'Saisie'!$C$5:$C$2004,C245,'Saisie'!$W$5:$W$2004,"&lt;&gt;")-4),""))</f>
        <v/>
      </c>
      <c r="L245" s="60">
        <f>IF(IF(BB245&lt;&gt;"",BB245,K245)="","",HYPERLINK("https://wa.me/"&amp;IF(LEFT(SUBSTITUTE(SUBSTITUTE(SUBSTITUTE(IF(BB245&lt;&gt;"",BB245,K245)," ",""),".",""),"+",""),1)="0",'Paramètres'!$B$35&amp;MID(SUBSTITUTE(SUBSTITUTE(SUBSTITUTE(IF(BB245&lt;&gt;"",BB245,K245)," ",""),".",""),"+",""),2,20),SUBSTITUTE(SUBSTITUTE(SUBSTITUTE(IF(BB245&lt;&gt;"",BB245,K245)," ",""),".",""),"+","")),"WhatsApp"))</f>
        <v/>
      </c>
      <c r="M245" s="60">
        <f>IF(BC245="","",HYPERLINK(IF(LEFT(BC245,4)="http",BC245,"https://www.instagram.com/"&amp;SUBSTITUTE(SUBSTITUTE(BC245,"@","")," ","")),BC245))</f>
        <v/>
      </c>
      <c r="N245" s="60">
        <f>IF(C245="","",IFERROR(INDEX('Saisie'!$D$5:$D$2004,_xlfn.MINIFS('Saisie'!$AS$5:$AS$2004,'Saisie'!$C$5:$C$2004,C245,'Saisie'!$AU$5:$AU$2004,1)-4),IFERROR(INDEX('Saisie'!$D$5:$D$2004,_xlfn.MINIFS('Saisie'!$AS$5:$AS$2004,'Saisie'!$C$5:$C$2004,C245,'Saisie'!$D$5:$D$2004,"&lt;&gt;")-4),"")))</f>
        <v/>
      </c>
      <c r="O245" s="60">
        <f>IF(C245="","",COUNTIFS('Saisie'!$C$5:$C$2004,C245,'Saisie'!$AU$5:$AU$2004,1))</f>
        <v/>
      </c>
      <c r="P245" s="60">
        <f>IF(C245="","",COUNTIFS('Saisie'!$C$5:$C$2004,C245,'Saisie'!$AV$5:$AV$2004,1))</f>
        <v/>
      </c>
      <c r="Q245" s="106">
        <f>IF(C245="","",IFERROR(1/(1/_xlfn.MAXIFS('Saisie'!$A$5:$A$2004,'Saisie'!$C$5:$C$2004,C245)),""))</f>
        <v/>
      </c>
      <c r="R245" s="61">
        <f>IF(C245="","",IF(Q245="","",TODAY()-Q245))</f>
        <v/>
      </c>
      <c r="S245" s="60">
        <f>IF(C245="","",IFERROR(INDEX('Saisie'!$R$5:$R$2004,_xlfn.MAXIFS('Saisie'!$AS$5:$AS$2004,'Saisie'!$C$5:$C$2004,C245,'Saisie'!$R$5:$R$2004,"&lt;&gt;")-4),""))</f>
        <v/>
      </c>
      <c r="T245" s="60">
        <f>IF(C245="","",IFERROR(INDEX('Saisie'!$S$5:$S$2004,_xlfn.MAXIFS('Saisie'!$AS$5:$AS$2004,'Saisie'!$C$5:$C$2004,C245,'Saisie'!$S$5:$S$2004,"&lt;&gt;")-4),""))</f>
        <v/>
      </c>
      <c r="U245" s="60">
        <f>IF(C245="","",IFERROR(INDEX('Saisie'!$T$5:$T$2004,_xlfn.MAXIFS('Saisie'!$AS$5:$AS$2004,'Saisie'!$C$5:$C$2004,C245,'Saisie'!$T$5:$T$2004,"&lt;&gt;")-4),""))</f>
        <v/>
      </c>
      <c r="V245" s="60">
        <f>IF(C245="","",IFERROR(INDEX('Saisie'!$V$5:$V$2004,_xlfn.MAXIFS('Saisie'!$AS$5:$AS$2004,'Saisie'!$C$5:$C$2004,C245,'Saisie'!$V$5:$V$2004,"&lt;&gt;")-4),""))</f>
        <v/>
      </c>
      <c r="W245" s="60">
        <f>IF(C245="","",IFERROR(INDEX('Saisie'!$Z$5:$Z$2004,_xlfn.MAXIFS('Saisie'!$AS$5:$AS$2004,'Saisie'!$C$5:$C$2004,C245,'Saisie'!$Z$5:$Z$2004,"&lt;&gt;")-4),""))</f>
        <v/>
      </c>
      <c r="X245" s="60">
        <f>IF(C245="","",IFERROR(INDEX('Saisie'!$AA$5:$AA$2004,_xlfn.MAXIFS('Saisie'!$AS$5:$AS$2004,'Saisie'!$C$5:$C$2004,C245,'Saisie'!$AA$5:$AA$2004,"&lt;&gt;")-4),""))</f>
        <v/>
      </c>
      <c r="Y245" s="60">
        <f>IF(C245="","",IFERROR(INDEX('Saisie'!$AB$5:$AB$2004,_xlfn.MAXIFS('Saisie'!$AS$5:$AS$2004,'Saisie'!$C$5:$C$2004,C245,'Saisie'!$AB$5:$AB$2004,"&lt;&gt;")-4),""))</f>
        <v/>
      </c>
      <c r="Z245" s="60">
        <f>IF(C245="","",IFERROR(INDEX('Saisie'!$AC$5:$AC$2004,_xlfn.MAXIFS('Saisie'!$AS$5:$AS$2004,'Saisie'!$C$5:$C$2004,C245,'Saisie'!$AC$5:$AC$2004,"&lt;&gt;")-4),""))</f>
        <v/>
      </c>
      <c r="AA245" s="106">
        <f>IF(C245="","",IFERROR(INDEX('Saisie'!$AD$5:$AD$2004,_xlfn.MAXIFS('Saisie'!$AS$5:$AS$2004,'Saisie'!$C$5:$C$2004,C245,'Saisie'!$AD$5:$AD$2004,"&lt;&gt;")-4),""))</f>
        <v/>
      </c>
      <c r="AB245" s="60">
        <f>IF(C245="","",IFERROR(INDEX('Saisie'!$AE$5:$AE$2004,_xlfn.MAXIFS('Saisie'!$AS$5:$AS$2004,'Saisie'!$C$5:$C$2004,C245,'Saisie'!$AE$5:$AE$2004,"&lt;&gt;")-4),""))</f>
        <v/>
      </c>
      <c r="AC245" s="60">
        <f>IF(C245="","",IFERROR(INDEX('Saisie'!$AF$5:$AF$2004,_xlfn.MAXIFS('Saisie'!$AS$5:$AS$2004,'Saisie'!$C$5:$C$2004,C245,'Saisie'!$AF$5:$AF$2004,"&lt;&gt;")-4),""))</f>
        <v/>
      </c>
      <c r="AD245" s="108">
        <f>IF(C245="","",IFERROR(INDEX('Saisie'!$AG$5:$AG$2004,_xlfn.MAXIFS('Saisie'!$AS$5:$AS$2004,'Saisie'!$C$5:$C$2004,C245,'Saisie'!$AG$5:$AG$2004,"&lt;&gt;")-4),""))</f>
        <v/>
      </c>
      <c r="AE245" s="60">
        <f>IF(C245="","",IFERROR(INDEX('Saisie'!$AH$5:$AH$2004,_xlfn.MAXIFS('Saisie'!$AS$5:$AS$2004,'Saisie'!$C$5:$C$2004,C245,'Saisie'!$AH$5:$AH$2004,"&lt;&gt;")-4),""))</f>
        <v/>
      </c>
      <c r="AF245" s="60">
        <f>IF(C245="","",IFERROR(INDEX('Saisie'!$AI$5:$AI$2004,_xlfn.MAXIFS('Saisie'!$AS$5:$AS$2004,'Saisie'!$C$5:$C$2004,C245,'Saisie'!$AI$5:$AI$2004,"&lt;&gt;")-4),""))</f>
        <v/>
      </c>
      <c r="AG245" s="60">
        <f>IF(C245="","",IFERROR(INDEX('Saisie'!$AJ$5:$AJ$2004,_xlfn.MAXIFS('Saisie'!$AS$5:$AS$2004,'Saisie'!$C$5:$C$2004,C245,'Saisie'!$AJ$5:$AJ$2004,"&lt;&gt;")-4),""))</f>
        <v/>
      </c>
      <c r="AH245" s="60">
        <f>IF(C245="","",IFERROR(INDEX('Saisie'!$AK$5:$AK$2004,_xlfn.MAXIFS('Saisie'!$AS$5:$AS$2004,'Saisie'!$C$5:$C$2004,C245,'Saisie'!$AK$5:$AK$2004,"&lt;&gt;")-4),""))</f>
        <v/>
      </c>
      <c r="AI245" s="60">
        <f>IF(C245="","",IFERROR(INDEX('Saisie'!$AN$5:$AN$2004,_xlfn.MAXIFS('Saisie'!$AS$5:$AS$2004,'Saisie'!$C$5:$C$2004,C245,'Saisie'!$AN$5:$AN$2004,"&lt;&gt;")-4),""))</f>
        <v/>
      </c>
      <c r="AJ245" s="60">
        <f>IF(C245="","",IFERROR(INDEX('Saisie'!$AO$5:$AO$2004,_xlfn.MAXIFS('Saisie'!$AS$5:$AS$2004,'Saisie'!$C$5:$C$2004,C245,'Saisie'!$AO$5:$AO$2004,"&lt;&gt;")-4),""))</f>
        <v/>
      </c>
      <c r="AK245" s="60">
        <f>IF(C245="","",IFERROR(INDEX('Saisie'!$AP$5:$AP$2004,_xlfn.MAXIFS('Saisie'!$AS$5:$AS$2004,'Saisie'!$C$5:$C$2004,C245,'Saisie'!$AP$5:$AP$2004,"&lt;&gt;")-4),""))</f>
        <v/>
      </c>
      <c r="AL245" s="60">
        <f>IF(C245="","",IFERROR(INDEX('Saisie'!$AQ$5:$AQ$2004,_xlfn.MAXIFS('Saisie'!$AS$5:$AS$2004,'Saisie'!$C$5:$C$2004,C245,'Saisie'!$AQ$5:$AQ$2004,"&lt;&gt;")-4),""))</f>
        <v/>
      </c>
      <c r="AM245" s="60">
        <f>IF(C245="","",((AI245="Oui")+(AJ245="Oui")+(AK245="Oui")+OR(AL245="Immédiat",AL245="&lt; 1 mois"))&amp;"/4")</f>
        <v/>
      </c>
      <c r="AN245" s="60">
        <f>IF(C245="","",IFERROR(INDEX('Saisie'!$AL$5:$AL$2004,_xlfn.MAXIFS('Saisie'!$AS$5:$AS$2004,'Saisie'!$C$5:$C$2004,C245,'Saisie'!$AL$5:$AL$2004,"&lt;&gt;")-4),""))</f>
        <v/>
      </c>
      <c r="AO245" s="62">
        <f>IF(C245="","",IF(IFERROR(INDEX('Saisie'!$AM$5:$AM$2004,_xlfn.MAXIFS('Saisie'!$AS$5:$AS$2004,'Saisie'!$C$5:$C$2004,C245,'Saisie'!$AM$5:$AM$2004,"&lt;&gt;")-4),"")&lt;&gt;"",IFERROR(INDEX('Saisie'!$AM$5:$AM$2004,_xlfn.MAXIFS('Saisie'!$AS$5:$AS$2004,'Saisie'!$C$5:$C$2004,C245,'Saisie'!$AM$5:$AM$2004,"&lt;&gt;")-4),""),IFERROR(INDEX('Paramètres'!$S$6:$S$15,MATCH(AN245,'Paramètres'!$Q$6:$Q$15,0)),"")))</f>
        <v/>
      </c>
      <c r="AP245" s="62">
        <f>IF(C245="","",IFERROR(INDEX('Saisie'!$AW$5:$AW$2004,_xlfn.MAXIFS('Saisie'!$AS$5:$AS$2004,'Saisie'!$C$5:$C$2004,C245,'Saisie'!$E$5:$E$2004,"Proposition envoyée")-4),""))</f>
        <v/>
      </c>
      <c r="AQ245" s="106">
        <f>IF(C245="","",IFERROR(1/(1/_xlfn.MAXIFS('Saisie'!$A$5:$A$2004,'Saisie'!$C$5:$C$2004,C245,'Saisie'!$E$5:$E$2004,"Proposition envoyée")),""))</f>
        <v/>
      </c>
      <c r="AR245" s="106">
        <f>IF(C245="","",IF(AQ245="","",AQ245+'Paramètres'!$B$26))</f>
        <v/>
      </c>
      <c r="AS245" s="62">
        <f>IF(OR(C245="",D245="Gagné",D245="Perdu"),0,N(AP245)*IFERROR(INDEX('Paramètres'!$G$6:$G$13,MATCH(D245,'Paramètres'!$F$6:$F$13,0)),0))</f>
        <v/>
      </c>
      <c r="AT245" s="106">
        <f>IF(C245="","",IFERROR(1/(1/_xlfn.MINIFS('Saisie'!$A$5:$A$2004,'Saisie'!$C$5:$C$2004,C245,'Saisie'!$E$5:$E$2004,"Signature")),""))</f>
        <v/>
      </c>
      <c r="AU245" s="60">
        <f>IF(C245="","",IF(OR(AT245="",B245=""),"",AT245-B245))</f>
        <v/>
      </c>
      <c r="AV245" s="60">
        <f>IF(C245="","",IFERROR(INDEX('Saisie'!$L$5:$L$2004,_xlfn.MAXIFS('Saisie'!$AS$5:$AS$2004,'Saisie'!$C$5:$C$2004,C245,'Saisie'!$L$5:$L$2004,"&lt;&gt;")-4),""))</f>
        <v/>
      </c>
      <c r="AW245" s="106">
        <f>IF(C245="","",IF(D245&lt;&gt;"Perdu","",IFERROR(1/(1/_xlfn.MAXIFS('Saisie'!$A$5:$A$2004,'Saisie'!$C$5:$C$2004,C245,'Saisie'!$E$5:$E$2004,"Perdu")),"")))</f>
        <v/>
      </c>
      <c r="AX245" s="106">
        <f>IF(C245="","",IF(AW245="","",AW245+'Paramètres'!$B$28))</f>
        <v/>
      </c>
      <c r="AY245" s="60">
        <f>IF(C245="","",SUMIFS('Saisie'!$H$5:$H$2004,'Saisie'!$C$5:$C$2004,C245))</f>
        <v/>
      </c>
      <c r="AZ245" s="60">
        <f>IF(C245="","",IFERROR(INDEX('Paramètres'!$W$6:$W$20,MATCH(S245,'Paramètres'!$V$6:$V$20,0))&amp;"",""))</f>
        <v/>
      </c>
      <c r="BA245" s="60">
        <f>IF(C245="","",MAX(1,_xlfn.MAXIFS('Saisie'!$AT$5:$AT$2004,'Saisie'!$C$5:$C$2004,C245)))</f>
        <v/>
      </c>
      <c r="BB245" s="60">
        <f>IF(C245="","",IFERROR(INDEX('Saisie'!$X$5:$X$2004,_xlfn.MAXIFS('Saisie'!$AS$5:$AS$2004,'Saisie'!$C$5:$C$2004,C245,'Saisie'!$X$5:$X$2004,"&lt;&gt;")-4),""))</f>
        <v/>
      </c>
      <c r="BC245" s="60">
        <f>IF(C245="","",IFERROR(INDEX('Saisie'!$Y$5:$Y$2004,_xlfn.MAXIFS('Saisie'!$AS$5:$AS$2004,'Saisie'!$C$5:$C$2004,C245,'Saisie'!$Y$5:$Y$2004,"&lt;&gt;")-4),""))</f>
        <v/>
      </c>
      <c r="BD245" s="106">
        <f>IF(C245="","",IFERROR(1/(1/_xlfn.MINIFS('Saisie'!$A$5:$A$2004,'Saisie'!$C$5:$C$2004,C245,'Saisie'!$AT$5:$AT$2004,"&gt;=2")),""))</f>
        <v/>
      </c>
      <c r="BE245" s="106">
        <f>IF(C245="","",IFERROR(1/(1/_xlfn.MINIFS('Saisie'!$A$5:$A$2004,'Saisie'!$C$5:$C$2004,C245,'Saisie'!$AT$5:$AT$2004,"&gt;=3")),""))</f>
        <v/>
      </c>
      <c r="BF245" s="106">
        <f>IF(C245="","",IFERROR(1/(1/_xlfn.MINIFS('Saisie'!$A$5:$A$2004,'Saisie'!$C$5:$C$2004,C245,'Saisie'!$AT$5:$AT$2004,"&gt;=4")),""))</f>
        <v/>
      </c>
      <c r="BG245" s="106">
        <f>IF(C245="","",IFERROR(1/(1/_xlfn.MINIFS('Saisie'!$A$5:$A$2004,'Saisie'!$C$5:$C$2004,C245,'Saisie'!$AT$5:$AT$2004,"&gt;=5")),""))</f>
        <v/>
      </c>
      <c r="BH245" s="106">
        <f>IF(C245="","",IFERROR(1/(1/_xlfn.MINIFS('Saisie'!$A$5:$A$2004,'Saisie'!$C$5:$C$2004,C245,'Saisie'!$AT$5:$AT$2004,"&gt;=6")),""))</f>
        <v/>
      </c>
      <c r="BI245" s="106">
        <f>IF(C245="","",IFERROR(1/(1/_xlfn.MINIFS('Saisie'!$A$5:$A$2004,'Saisie'!$C$5:$C$2004,C245,'Saisie'!$AT$5:$AT$2004,"&gt;=7")),""))</f>
        <v/>
      </c>
      <c r="BJ245" s="60">
        <f>IF(OR(BD245="",B245=""),"",BD245-B245)</f>
        <v/>
      </c>
      <c r="BK245" s="60">
        <f>IF(OR(BE245="",BD245=""),"",BE245-BD245)</f>
        <v/>
      </c>
      <c r="BL245" s="60">
        <f>IF(OR(BF245="",BE245=""),"",BF245-BE245)</f>
        <v/>
      </c>
      <c r="BM245" s="60">
        <f>IF(OR(BG245="",BF245=""),"",BG245-BF245)</f>
        <v/>
      </c>
      <c r="BN245" s="60">
        <f>IF(OR(BH245="",BG245=""),"",BH245-BG245)</f>
        <v/>
      </c>
      <c r="BO245" s="60">
        <f>IF(OR(BI245="",BH245=""),"",BI245-BH245)</f>
        <v/>
      </c>
      <c r="BP245" s="60">
        <f>IF(C245="","",_xlfn.MAXIFS('Saisie'!$AS$5:$AS$2004,'Saisie'!$C$5:$C$2004,C245,'Saisie'!$J$5:$J$2004,"&lt;&gt;"))</f>
        <v/>
      </c>
      <c r="BQ245" s="60">
        <f>IF(C245="","",_xlfn.MAXIFS('Saisie'!$AS$5:$AS$2004,'Saisie'!$C$5:$C$2004,C245))</f>
        <v/>
      </c>
      <c r="BR245" s="60">
        <f>IF(C245="","",_xlfn.MAXIFS('Saisie'!$AS$5:$AS$2004,'Saisie'!$C$5:$C$2004,C245,'Saisie'!$E$5:$E$2004,"Perdu"))</f>
        <v/>
      </c>
      <c r="BS245" s="60">
        <f>IF(C245="","",_xlfn.MAXIFS('Saisie'!$AS$5:$AS$2004,'Saisie'!$C$5:$C$2004,C245,'Saisie'!$AT$5:$AT$2004,"&gt;0"))</f>
        <v/>
      </c>
      <c r="BT245" s="109">
        <f>IF(AND(C245&lt;&gt;"",OR(D245="Nouveau",D245="Contacté",D245="Qualifié"),OR(G245="",N(G245)&lt;=TODAY()),NOT(AND(O245&gt;='Paramètres'!$B$21,P245=0))),E245+241/10000,"")</f>
        <v/>
      </c>
      <c r="BU245" s="60">
        <f>IF(AND(G245&lt;&gt;"",N(G245)&lt;=TODAY()),MAX($BU$4:BU244)+1,"")</f>
        <v/>
      </c>
      <c r="BV245" s="60">
        <f>IF(AND(F245&lt;&gt;"",F245&lt;&gt;"Relance en retard"),MAX($BV$4:BV244)+1,"")</f>
        <v/>
      </c>
      <c r="BW245" s="60">
        <f>IF(C245="","",IF(AND(B245&gt;='Tableau de bord'!$R$4,B245&lt;='Tableau de bord'!$S$4,OR('Tableau de bord'!$G$4="Tous",N245='Tableau de bord'!$G$4)),1,0))</f>
        <v/>
      </c>
      <c r="BX245" s="60">
        <f>IF(AND(C245&lt;&gt;"",N(BA245)=7),MAX($BX$4:BX244)+1,"")</f>
        <v/>
      </c>
    </row>
    <row r="246">
      <c r="A246" s="60">
        <f>IF(C246="","","P-"&amp;TEXT(242,"000"))</f>
        <v/>
      </c>
      <c r="B246" s="106">
        <f>IF(C246="","",IFERROR(1/(1/_xlfn.MINIFS('Saisie'!$A$5:$A$2004,'Saisie'!$C$5:$C$2004,C246)),""))</f>
        <v/>
      </c>
      <c r="C246" s="60">
        <f>IFERROR(INDEX('Saisie'!$C$5:$C$2004,MATCH(242,'Saisie'!$AX$5:$AX$2004,0)),"")</f>
        <v/>
      </c>
      <c r="D246" s="60">
        <f>IF(C246="","",IF(AND(BR246&gt;0,BR246&gt;BS246,BA246&lt;7),"Perdu",INDEX('Paramètres'!$F$6:$F$13,BA246)))</f>
        <v/>
      </c>
      <c r="E246" s="61">
        <f>IF(C246="","",MIN(100,(Z246="Oui")*'Paramètres'!$B$38+(AB246="Régulière")*'Paramètres'!$B$39+IF(AND(N(AA246)&gt;0,TODAY()-N(AA246)&lt;=30),'Paramètres'!$B$40,0)+(W246="")*'Paramètres'!$B$41+(AC246="Absente")*'Paramètres'!$B$42+(AC246="Faible")*'Paramètres'!$B$43+IF(AND(N(AD246)&gt;0,N(AD246)&lt;4),'Paramètres'!$B$44,0)+(AF246="Moyenne")*'Paramètres'!$B$45+(AF246="Grande")*'Paramètres'!$B$46+(Y246&lt;&gt;"")*'Paramètres'!$B$47))</f>
        <v/>
      </c>
      <c r="F246" s="60">
        <f>IF(C246="","",IF(D246="Gagné","",IF(D246="Perdu",IF(AND(AX246&lt;&gt;"",AX246&lt;=TODAY()),"À recontacter (perdu)",""),IF(AND(O246&gt;='Paramètres'!$B$21,P246=0),"Stop : "&amp;'Paramètres'!$B$21&amp;" tentatives sans réponse",IF(AND(D246="Proposition",AR246&lt;&gt;"",TODAY()&gt;N(AR246)),"Proposition expirée",IF(AND(D246="Proposition",N(R246)&gt;='Paramètres'!$B$25),"Proposition sans réponse",IF(AND(G246&lt;&gt;"",N(G246)&lt;TODAY()),"Relance en retard",IF(N(R246)&gt;='Paramètres'!$B$24,"Sans action depuis "&amp;R246&amp;" j",""))))))))</f>
        <v/>
      </c>
      <c r="G246" s="106">
        <f>IF(OR(C246="",D246="Gagné",D246="Perdu"),"",IF(AND(BP246&gt;0,BP246=BQ246),INDEX('Saisie'!$J$5:$J$2004,BP246-4),IF(OR(O246=0,AND(O246&gt;='Paramètres'!$B$21,P246=0)),"",Q246+IF(O246&lt;=1,'Paramètres'!$B$18,IF(O246=2,'Paramètres'!$B$19,'Paramètres'!$B$20)))))</f>
        <v/>
      </c>
      <c r="H246" s="107">
        <f>IF(OR(G246="",BP246&lt;&gt;BQ246),"",IF(INDEX('Saisie'!$K$5:$K$2004,BP246-4)="","",INDEX('Saisie'!$K$5:$K$2004,BP246-4)))</f>
        <v/>
      </c>
      <c r="I246" s="60">
        <f>IF(C246="","",IF(OR(D246="Gagné",D246="Perdu"),"",IFERROR(INDEX('Saisie'!$I$5:$I$2004,_xlfn.MAXIFS('Saisie'!$AS$5:$AS$2004,'Saisie'!$C$5:$C$2004,C246,'Saisie'!$I$5:$I$2004,"&lt;&gt;")-4),"")))</f>
        <v/>
      </c>
      <c r="J246" s="60">
        <f>IF(C246="","",IFERROR(INDEX('Saisie'!$U$5:$U$2004,_xlfn.MAXIFS('Saisie'!$AS$5:$AS$2004,'Saisie'!$C$5:$C$2004,C246,'Saisie'!$U$5:$U$2004,"&lt;&gt;")-4),""))</f>
        <v/>
      </c>
      <c r="K246" s="60">
        <f>IF(C246="","",IFERROR(INDEX('Saisie'!$W$5:$W$2004,_xlfn.MAXIFS('Saisie'!$AS$5:$AS$2004,'Saisie'!$C$5:$C$2004,C246,'Saisie'!$W$5:$W$2004,"&lt;&gt;")-4),""))</f>
        <v/>
      </c>
      <c r="L246" s="60">
        <f>IF(IF(BB246&lt;&gt;"",BB246,K246)="","",HYPERLINK("https://wa.me/"&amp;IF(LEFT(SUBSTITUTE(SUBSTITUTE(SUBSTITUTE(IF(BB246&lt;&gt;"",BB246,K246)," ",""),".",""),"+",""),1)="0",'Paramètres'!$B$35&amp;MID(SUBSTITUTE(SUBSTITUTE(SUBSTITUTE(IF(BB246&lt;&gt;"",BB246,K246)," ",""),".",""),"+",""),2,20),SUBSTITUTE(SUBSTITUTE(SUBSTITUTE(IF(BB246&lt;&gt;"",BB246,K246)," ",""),".",""),"+","")),"WhatsApp"))</f>
        <v/>
      </c>
      <c r="M246" s="60">
        <f>IF(BC246="","",HYPERLINK(IF(LEFT(BC246,4)="http",BC246,"https://www.instagram.com/"&amp;SUBSTITUTE(SUBSTITUTE(BC246,"@","")," ","")),BC246))</f>
        <v/>
      </c>
      <c r="N246" s="60">
        <f>IF(C246="","",IFERROR(INDEX('Saisie'!$D$5:$D$2004,_xlfn.MINIFS('Saisie'!$AS$5:$AS$2004,'Saisie'!$C$5:$C$2004,C246,'Saisie'!$AU$5:$AU$2004,1)-4),IFERROR(INDEX('Saisie'!$D$5:$D$2004,_xlfn.MINIFS('Saisie'!$AS$5:$AS$2004,'Saisie'!$C$5:$C$2004,C246,'Saisie'!$D$5:$D$2004,"&lt;&gt;")-4),"")))</f>
        <v/>
      </c>
      <c r="O246" s="60">
        <f>IF(C246="","",COUNTIFS('Saisie'!$C$5:$C$2004,C246,'Saisie'!$AU$5:$AU$2004,1))</f>
        <v/>
      </c>
      <c r="P246" s="60">
        <f>IF(C246="","",COUNTIFS('Saisie'!$C$5:$C$2004,C246,'Saisie'!$AV$5:$AV$2004,1))</f>
        <v/>
      </c>
      <c r="Q246" s="106">
        <f>IF(C246="","",IFERROR(1/(1/_xlfn.MAXIFS('Saisie'!$A$5:$A$2004,'Saisie'!$C$5:$C$2004,C246)),""))</f>
        <v/>
      </c>
      <c r="R246" s="61">
        <f>IF(C246="","",IF(Q246="","",TODAY()-Q246))</f>
        <v/>
      </c>
      <c r="S246" s="60">
        <f>IF(C246="","",IFERROR(INDEX('Saisie'!$R$5:$R$2004,_xlfn.MAXIFS('Saisie'!$AS$5:$AS$2004,'Saisie'!$C$5:$C$2004,C246,'Saisie'!$R$5:$R$2004,"&lt;&gt;")-4),""))</f>
        <v/>
      </c>
      <c r="T246" s="60">
        <f>IF(C246="","",IFERROR(INDEX('Saisie'!$S$5:$S$2004,_xlfn.MAXIFS('Saisie'!$AS$5:$AS$2004,'Saisie'!$C$5:$C$2004,C246,'Saisie'!$S$5:$S$2004,"&lt;&gt;")-4),""))</f>
        <v/>
      </c>
      <c r="U246" s="60">
        <f>IF(C246="","",IFERROR(INDEX('Saisie'!$T$5:$T$2004,_xlfn.MAXIFS('Saisie'!$AS$5:$AS$2004,'Saisie'!$C$5:$C$2004,C246,'Saisie'!$T$5:$T$2004,"&lt;&gt;")-4),""))</f>
        <v/>
      </c>
      <c r="V246" s="60">
        <f>IF(C246="","",IFERROR(INDEX('Saisie'!$V$5:$V$2004,_xlfn.MAXIFS('Saisie'!$AS$5:$AS$2004,'Saisie'!$C$5:$C$2004,C246,'Saisie'!$V$5:$V$2004,"&lt;&gt;")-4),""))</f>
        <v/>
      </c>
      <c r="W246" s="60">
        <f>IF(C246="","",IFERROR(INDEX('Saisie'!$Z$5:$Z$2004,_xlfn.MAXIFS('Saisie'!$AS$5:$AS$2004,'Saisie'!$C$5:$C$2004,C246,'Saisie'!$Z$5:$Z$2004,"&lt;&gt;")-4),""))</f>
        <v/>
      </c>
      <c r="X246" s="60">
        <f>IF(C246="","",IFERROR(INDEX('Saisie'!$AA$5:$AA$2004,_xlfn.MAXIFS('Saisie'!$AS$5:$AS$2004,'Saisie'!$C$5:$C$2004,C246,'Saisie'!$AA$5:$AA$2004,"&lt;&gt;")-4),""))</f>
        <v/>
      </c>
      <c r="Y246" s="60">
        <f>IF(C246="","",IFERROR(INDEX('Saisie'!$AB$5:$AB$2004,_xlfn.MAXIFS('Saisie'!$AS$5:$AS$2004,'Saisie'!$C$5:$C$2004,C246,'Saisie'!$AB$5:$AB$2004,"&lt;&gt;")-4),""))</f>
        <v/>
      </c>
      <c r="Z246" s="60">
        <f>IF(C246="","",IFERROR(INDEX('Saisie'!$AC$5:$AC$2004,_xlfn.MAXIFS('Saisie'!$AS$5:$AS$2004,'Saisie'!$C$5:$C$2004,C246,'Saisie'!$AC$5:$AC$2004,"&lt;&gt;")-4),""))</f>
        <v/>
      </c>
      <c r="AA246" s="106">
        <f>IF(C246="","",IFERROR(INDEX('Saisie'!$AD$5:$AD$2004,_xlfn.MAXIFS('Saisie'!$AS$5:$AS$2004,'Saisie'!$C$5:$C$2004,C246,'Saisie'!$AD$5:$AD$2004,"&lt;&gt;")-4),""))</f>
        <v/>
      </c>
      <c r="AB246" s="60">
        <f>IF(C246="","",IFERROR(INDEX('Saisie'!$AE$5:$AE$2004,_xlfn.MAXIFS('Saisie'!$AS$5:$AS$2004,'Saisie'!$C$5:$C$2004,C246,'Saisie'!$AE$5:$AE$2004,"&lt;&gt;")-4),""))</f>
        <v/>
      </c>
      <c r="AC246" s="60">
        <f>IF(C246="","",IFERROR(INDEX('Saisie'!$AF$5:$AF$2004,_xlfn.MAXIFS('Saisie'!$AS$5:$AS$2004,'Saisie'!$C$5:$C$2004,C246,'Saisie'!$AF$5:$AF$2004,"&lt;&gt;")-4),""))</f>
        <v/>
      </c>
      <c r="AD246" s="108">
        <f>IF(C246="","",IFERROR(INDEX('Saisie'!$AG$5:$AG$2004,_xlfn.MAXIFS('Saisie'!$AS$5:$AS$2004,'Saisie'!$C$5:$C$2004,C246,'Saisie'!$AG$5:$AG$2004,"&lt;&gt;")-4),""))</f>
        <v/>
      </c>
      <c r="AE246" s="60">
        <f>IF(C246="","",IFERROR(INDEX('Saisie'!$AH$5:$AH$2004,_xlfn.MAXIFS('Saisie'!$AS$5:$AS$2004,'Saisie'!$C$5:$C$2004,C246,'Saisie'!$AH$5:$AH$2004,"&lt;&gt;")-4),""))</f>
        <v/>
      </c>
      <c r="AF246" s="60">
        <f>IF(C246="","",IFERROR(INDEX('Saisie'!$AI$5:$AI$2004,_xlfn.MAXIFS('Saisie'!$AS$5:$AS$2004,'Saisie'!$C$5:$C$2004,C246,'Saisie'!$AI$5:$AI$2004,"&lt;&gt;")-4),""))</f>
        <v/>
      </c>
      <c r="AG246" s="60">
        <f>IF(C246="","",IFERROR(INDEX('Saisie'!$AJ$5:$AJ$2004,_xlfn.MAXIFS('Saisie'!$AS$5:$AS$2004,'Saisie'!$C$5:$C$2004,C246,'Saisie'!$AJ$5:$AJ$2004,"&lt;&gt;")-4),""))</f>
        <v/>
      </c>
      <c r="AH246" s="60">
        <f>IF(C246="","",IFERROR(INDEX('Saisie'!$AK$5:$AK$2004,_xlfn.MAXIFS('Saisie'!$AS$5:$AS$2004,'Saisie'!$C$5:$C$2004,C246,'Saisie'!$AK$5:$AK$2004,"&lt;&gt;")-4),""))</f>
        <v/>
      </c>
      <c r="AI246" s="60">
        <f>IF(C246="","",IFERROR(INDEX('Saisie'!$AN$5:$AN$2004,_xlfn.MAXIFS('Saisie'!$AS$5:$AS$2004,'Saisie'!$C$5:$C$2004,C246,'Saisie'!$AN$5:$AN$2004,"&lt;&gt;")-4),""))</f>
        <v/>
      </c>
      <c r="AJ246" s="60">
        <f>IF(C246="","",IFERROR(INDEX('Saisie'!$AO$5:$AO$2004,_xlfn.MAXIFS('Saisie'!$AS$5:$AS$2004,'Saisie'!$C$5:$C$2004,C246,'Saisie'!$AO$5:$AO$2004,"&lt;&gt;")-4),""))</f>
        <v/>
      </c>
      <c r="AK246" s="60">
        <f>IF(C246="","",IFERROR(INDEX('Saisie'!$AP$5:$AP$2004,_xlfn.MAXIFS('Saisie'!$AS$5:$AS$2004,'Saisie'!$C$5:$C$2004,C246,'Saisie'!$AP$5:$AP$2004,"&lt;&gt;")-4),""))</f>
        <v/>
      </c>
      <c r="AL246" s="60">
        <f>IF(C246="","",IFERROR(INDEX('Saisie'!$AQ$5:$AQ$2004,_xlfn.MAXIFS('Saisie'!$AS$5:$AS$2004,'Saisie'!$C$5:$C$2004,C246,'Saisie'!$AQ$5:$AQ$2004,"&lt;&gt;")-4),""))</f>
        <v/>
      </c>
      <c r="AM246" s="60">
        <f>IF(C246="","",((AI246="Oui")+(AJ246="Oui")+(AK246="Oui")+OR(AL246="Immédiat",AL246="&lt; 1 mois"))&amp;"/4")</f>
        <v/>
      </c>
      <c r="AN246" s="60">
        <f>IF(C246="","",IFERROR(INDEX('Saisie'!$AL$5:$AL$2004,_xlfn.MAXIFS('Saisie'!$AS$5:$AS$2004,'Saisie'!$C$5:$C$2004,C246,'Saisie'!$AL$5:$AL$2004,"&lt;&gt;")-4),""))</f>
        <v/>
      </c>
      <c r="AO246" s="62">
        <f>IF(C246="","",IF(IFERROR(INDEX('Saisie'!$AM$5:$AM$2004,_xlfn.MAXIFS('Saisie'!$AS$5:$AS$2004,'Saisie'!$C$5:$C$2004,C246,'Saisie'!$AM$5:$AM$2004,"&lt;&gt;")-4),"")&lt;&gt;"",IFERROR(INDEX('Saisie'!$AM$5:$AM$2004,_xlfn.MAXIFS('Saisie'!$AS$5:$AS$2004,'Saisie'!$C$5:$C$2004,C246,'Saisie'!$AM$5:$AM$2004,"&lt;&gt;")-4),""),IFERROR(INDEX('Paramètres'!$S$6:$S$15,MATCH(AN246,'Paramètres'!$Q$6:$Q$15,0)),"")))</f>
        <v/>
      </c>
      <c r="AP246" s="62">
        <f>IF(C246="","",IFERROR(INDEX('Saisie'!$AW$5:$AW$2004,_xlfn.MAXIFS('Saisie'!$AS$5:$AS$2004,'Saisie'!$C$5:$C$2004,C246,'Saisie'!$E$5:$E$2004,"Proposition envoyée")-4),""))</f>
        <v/>
      </c>
      <c r="AQ246" s="106">
        <f>IF(C246="","",IFERROR(1/(1/_xlfn.MAXIFS('Saisie'!$A$5:$A$2004,'Saisie'!$C$5:$C$2004,C246,'Saisie'!$E$5:$E$2004,"Proposition envoyée")),""))</f>
        <v/>
      </c>
      <c r="AR246" s="106">
        <f>IF(C246="","",IF(AQ246="","",AQ246+'Paramètres'!$B$26))</f>
        <v/>
      </c>
      <c r="AS246" s="62">
        <f>IF(OR(C246="",D246="Gagné",D246="Perdu"),0,N(AP246)*IFERROR(INDEX('Paramètres'!$G$6:$G$13,MATCH(D246,'Paramètres'!$F$6:$F$13,0)),0))</f>
        <v/>
      </c>
      <c r="AT246" s="106">
        <f>IF(C246="","",IFERROR(1/(1/_xlfn.MINIFS('Saisie'!$A$5:$A$2004,'Saisie'!$C$5:$C$2004,C246,'Saisie'!$E$5:$E$2004,"Signature")),""))</f>
        <v/>
      </c>
      <c r="AU246" s="60">
        <f>IF(C246="","",IF(OR(AT246="",B246=""),"",AT246-B246))</f>
        <v/>
      </c>
      <c r="AV246" s="60">
        <f>IF(C246="","",IFERROR(INDEX('Saisie'!$L$5:$L$2004,_xlfn.MAXIFS('Saisie'!$AS$5:$AS$2004,'Saisie'!$C$5:$C$2004,C246,'Saisie'!$L$5:$L$2004,"&lt;&gt;")-4),""))</f>
        <v/>
      </c>
      <c r="AW246" s="106">
        <f>IF(C246="","",IF(D246&lt;&gt;"Perdu","",IFERROR(1/(1/_xlfn.MAXIFS('Saisie'!$A$5:$A$2004,'Saisie'!$C$5:$C$2004,C246,'Saisie'!$E$5:$E$2004,"Perdu")),"")))</f>
        <v/>
      </c>
      <c r="AX246" s="106">
        <f>IF(C246="","",IF(AW246="","",AW246+'Paramètres'!$B$28))</f>
        <v/>
      </c>
      <c r="AY246" s="60">
        <f>IF(C246="","",SUMIFS('Saisie'!$H$5:$H$2004,'Saisie'!$C$5:$C$2004,C246))</f>
        <v/>
      </c>
      <c r="AZ246" s="60">
        <f>IF(C246="","",IFERROR(INDEX('Paramètres'!$W$6:$W$20,MATCH(S246,'Paramètres'!$V$6:$V$20,0))&amp;"",""))</f>
        <v/>
      </c>
      <c r="BA246" s="60">
        <f>IF(C246="","",MAX(1,_xlfn.MAXIFS('Saisie'!$AT$5:$AT$2004,'Saisie'!$C$5:$C$2004,C246)))</f>
        <v/>
      </c>
      <c r="BB246" s="60">
        <f>IF(C246="","",IFERROR(INDEX('Saisie'!$X$5:$X$2004,_xlfn.MAXIFS('Saisie'!$AS$5:$AS$2004,'Saisie'!$C$5:$C$2004,C246,'Saisie'!$X$5:$X$2004,"&lt;&gt;")-4),""))</f>
        <v/>
      </c>
      <c r="BC246" s="60">
        <f>IF(C246="","",IFERROR(INDEX('Saisie'!$Y$5:$Y$2004,_xlfn.MAXIFS('Saisie'!$AS$5:$AS$2004,'Saisie'!$C$5:$C$2004,C246,'Saisie'!$Y$5:$Y$2004,"&lt;&gt;")-4),""))</f>
        <v/>
      </c>
      <c r="BD246" s="106">
        <f>IF(C246="","",IFERROR(1/(1/_xlfn.MINIFS('Saisie'!$A$5:$A$2004,'Saisie'!$C$5:$C$2004,C246,'Saisie'!$AT$5:$AT$2004,"&gt;=2")),""))</f>
        <v/>
      </c>
      <c r="BE246" s="106">
        <f>IF(C246="","",IFERROR(1/(1/_xlfn.MINIFS('Saisie'!$A$5:$A$2004,'Saisie'!$C$5:$C$2004,C246,'Saisie'!$AT$5:$AT$2004,"&gt;=3")),""))</f>
        <v/>
      </c>
      <c r="BF246" s="106">
        <f>IF(C246="","",IFERROR(1/(1/_xlfn.MINIFS('Saisie'!$A$5:$A$2004,'Saisie'!$C$5:$C$2004,C246,'Saisie'!$AT$5:$AT$2004,"&gt;=4")),""))</f>
        <v/>
      </c>
      <c r="BG246" s="106">
        <f>IF(C246="","",IFERROR(1/(1/_xlfn.MINIFS('Saisie'!$A$5:$A$2004,'Saisie'!$C$5:$C$2004,C246,'Saisie'!$AT$5:$AT$2004,"&gt;=5")),""))</f>
        <v/>
      </c>
      <c r="BH246" s="106">
        <f>IF(C246="","",IFERROR(1/(1/_xlfn.MINIFS('Saisie'!$A$5:$A$2004,'Saisie'!$C$5:$C$2004,C246,'Saisie'!$AT$5:$AT$2004,"&gt;=6")),""))</f>
        <v/>
      </c>
      <c r="BI246" s="106">
        <f>IF(C246="","",IFERROR(1/(1/_xlfn.MINIFS('Saisie'!$A$5:$A$2004,'Saisie'!$C$5:$C$2004,C246,'Saisie'!$AT$5:$AT$2004,"&gt;=7")),""))</f>
        <v/>
      </c>
      <c r="BJ246" s="60">
        <f>IF(OR(BD246="",B246=""),"",BD246-B246)</f>
        <v/>
      </c>
      <c r="BK246" s="60">
        <f>IF(OR(BE246="",BD246=""),"",BE246-BD246)</f>
        <v/>
      </c>
      <c r="BL246" s="60">
        <f>IF(OR(BF246="",BE246=""),"",BF246-BE246)</f>
        <v/>
      </c>
      <c r="BM246" s="60">
        <f>IF(OR(BG246="",BF246=""),"",BG246-BF246)</f>
        <v/>
      </c>
      <c r="BN246" s="60">
        <f>IF(OR(BH246="",BG246=""),"",BH246-BG246)</f>
        <v/>
      </c>
      <c r="BO246" s="60">
        <f>IF(OR(BI246="",BH246=""),"",BI246-BH246)</f>
        <v/>
      </c>
      <c r="BP246" s="60">
        <f>IF(C246="","",_xlfn.MAXIFS('Saisie'!$AS$5:$AS$2004,'Saisie'!$C$5:$C$2004,C246,'Saisie'!$J$5:$J$2004,"&lt;&gt;"))</f>
        <v/>
      </c>
      <c r="BQ246" s="60">
        <f>IF(C246="","",_xlfn.MAXIFS('Saisie'!$AS$5:$AS$2004,'Saisie'!$C$5:$C$2004,C246))</f>
        <v/>
      </c>
      <c r="BR246" s="60">
        <f>IF(C246="","",_xlfn.MAXIFS('Saisie'!$AS$5:$AS$2004,'Saisie'!$C$5:$C$2004,C246,'Saisie'!$E$5:$E$2004,"Perdu"))</f>
        <v/>
      </c>
      <c r="BS246" s="60">
        <f>IF(C246="","",_xlfn.MAXIFS('Saisie'!$AS$5:$AS$2004,'Saisie'!$C$5:$C$2004,C246,'Saisie'!$AT$5:$AT$2004,"&gt;0"))</f>
        <v/>
      </c>
      <c r="BT246" s="109">
        <f>IF(AND(C246&lt;&gt;"",OR(D246="Nouveau",D246="Contacté",D246="Qualifié"),OR(G246="",N(G246)&lt;=TODAY()),NOT(AND(O246&gt;='Paramètres'!$B$21,P246=0))),E246+242/10000,"")</f>
        <v/>
      </c>
      <c r="BU246" s="60">
        <f>IF(AND(G246&lt;&gt;"",N(G246)&lt;=TODAY()),MAX($BU$4:BU245)+1,"")</f>
        <v/>
      </c>
      <c r="BV246" s="60">
        <f>IF(AND(F246&lt;&gt;"",F246&lt;&gt;"Relance en retard"),MAX($BV$4:BV245)+1,"")</f>
        <v/>
      </c>
      <c r="BW246" s="60">
        <f>IF(C246="","",IF(AND(B246&gt;='Tableau de bord'!$R$4,B246&lt;='Tableau de bord'!$S$4,OR('Tableau de bord'!$G$4="Tous",N246='Tableau de bord'!$G$4)),1,0))</f>
        <v/>
      </c>
      <c r="BX246" s="60">
        <f>IF(AND(C246&lt;&gt;"",N(BA246)=7),MAX($BX$4:BX245)+1,"")</f>
        <v/>
      </c>
    </row>
    <row r="247">
      <c r="A247" s="60">
        <f>IF(C247="","","P-"&amp;TEXT(243,"000"))</f>
        <v/>
      </c>
      <c r="B247" s="106">
        <f>IF(C247="","",IFERROR(1/(1/_xlfn.MINIFS('Saisie'!$A$5:$A$2004,'Saisie'!$C$5:$C$2004,C247)),""))</f>
        <v/>
      </c>
      <c r="C247" s="60">
        <f>IFERROR(INDEX('Saisie'!$C$5:$C$2004,MATCH(243,'Saisie'!$AX$5:$AX$2004,0)),"")</f>
        <v/>
      </c>
      <c r="D247" s="60">
        <f>IF(C247="","",IF(AND(BR247&gt;0,BR247&gt;BS247,BA247&lt;7),"Perdu",INDEX('Paramètres'!$F$6:$F$13,BA247)))</f>
        <v/>
      </c>
      <c r="E247" s="61">
        <f>IF(C247="","",MIN(100,(Z247="Oui")*'Paramètres'!$B$38+(AB247="Régulière")*'Paramètres'!$B$39+IF(AND(N(AA247)&gt;0,TODAY()-N(AA247)&lt;=30),'Paramètres'!$B$40,0)+(W247="")*'Paramètres'!$B$41+(AC247="Absente")*'Paramètres'!$B$42+(AC247="Faible")*'Paramètres'!$B$43+IF(AND(N(AD247)&gt;0,N(AD247)&lt;4),'Paramètres'!$B$44,0)+(AF247="Moyenne")*'Paramètres'!$B$45+(AF247="Grande")*'Paramètres'!$B$46+(Y247&lt;&gt;"")*'Paramètres'!$B$47))</f>
        <v/>
      </c>
      <c r="F247" s="60">
        <f>IF(C247="","",IF(D247="Gagné","",IF(D247="Perdu",IF(AND(AX247&lt;&gt;"",AX247&lt;=TODAY()),"À recontacter (perdu)",""),IF(AND(O247&gt;='Paramètres'!$B$21,P247=0),"Stop : "&amp;'Paramètres'!$B$21&amp;" tentatives sans réponse",IF(AND(D247="Proposition",AR247&lt;&gt;"",TODAY()&gt;N(AR247)),"Proposition expirée",IF(AND(D247="Proposition",N(R247)&gt;='Paramètres'!$B$25),"Proposition sans réponse",IF(AND(G247&lt;&gt;"",N(G247)&lt;TODAY()),"Relance en retard",IF(N(R247)&gt;='Paramètres'!$B$24,"Sans action depuis "&amp;R247&amp;" j",""))))))))</f>
        <v/>
      </c>
      <c r="G247" s="106">
        <f>IF(OR(C247="",D247="Gagné",D247="Perdu"),"",IF(AND(BP247&gt;0,BP247=BQ247),INDEX('Saisie'!$J$5:$J$2004,BP247-4),IF(OR(O247=0,AND(O247&gt;='Paramètres'!$B$21,P247=0)),"",Q247+IF(O247&lt;=1,'Paramètres'!$B$18,IF(O247=2,'Paramètres'!$B$19,'Paramètres'!$B$20)))))</f>
        <v/>
      </c>
      <c r="H247" s="107">
        <f>IF(OR(G247="",BP247&lt;&gt;BQ247),"",IF(INDEX('Saisie'!$K$5:$K$2004,BP247-4)="","",INDEX('Saisie'!$K$5:$K$2004,BP247-4)))</f>
        <v/>
      </c>
      <c r="I247" s="60">
        <f>IF(C247="","",IF(OR(D247="Gagné",D247="Perdu"),"",IFERROR(INDEX('Saisie'!$I$5:$I$2004,_xlfn.MAXIFS('Saisie'!$AS$5:$AS$2004,'Saisie'!$C$5:$C$2004,C247,'Saisie'!$I$5:$I$2004,"&lt;&gt;")-4),"")))</f>
        <v/>
      </c>
      <c r="J247" s="60">
        <f>IF(C247="","",IFERROR(INDEX('Saisie'!$U$5:$U$2004,_xlfn.MAXIFS('Saisie'!$AS$5:$AS$2004,'Saisie'!$C$5:$C$2004,C247,'Saisie'!$U$5:$U$2004,"&lt;&gt;")-4),""))</f>
        <v/>
      </c>
      <c r="K247" s="60">
        <f>IF(C247="","",IFERROR(INDEX('Saisie'!$W$5:$W$2004,_xlfn.MAXIFS('Saisie'!$AS$5:$AS$2004,'Saisie'!$C$5:$C$2004,C247,'Saisie'!$W$5:$W$2004,"&lt;&gt;")-4),""))</f>
        <v/>
      </c>
      <c r="L247" s="60">
        <f>IF(IF(BB247&lt;&gt;"",BB247,K247)="","",HYPERLINK("https://wa.me/"&amp;IF(LEFT(SUBSTITUTE(SUBSTITUTE(SUBSTITUTE(IF(BB247&lt;&gt;"",BB247,K247)," ",""),".",""),"+",""),1)="0",'Paramètres'!$B$35&amp;MID(SUBSTITUTE(SUBSTITUTE(SUBSTITUTE(IF(BB247&lt;&gt;"",BB247,K247)," ",""),".",""),"+",""),2,20),SUBSTITUTE(SUBSTITUTE(SUBSTITUTE(IF(BB247&lt;&gt;"",BB247,K247)," ",""),".",""),"+","")),"WhatsApp"))</f>
        <v/>
      </c>
      <c r="M247" s="60">
        <f>IF(BC247="","",HYPERLINK(IF(LEFT(BC247,4)="http",BC247,"https://www.instagram.com/"&amp;SUBSTITUTE(SUBSTITUTE(BC247,"@","")," ","")),BC247))</f>
        <v/>
      </c>
      <c r="N247" s="60">
        <f>IF(C247="","",IFERROR(INDEX('Saisie'!$D$5:$D$2004,_xlfn.MINIFS('Saisie'!$AS$5:$AS$2004,'Saisie'!$C$5:$C$2004,C247,'Saisie'!$AU$5:$AU$2004,1)-4),IFERROR(INDEX('Saisie'!$D$5:$D$2004,_xlfn.MINIFS('Saisie'!$AS$5:$AS$2004,'Saisie'!$C$5:$C$2004,C247,'Saisie'!$D$5:$D$2004,"&lt;&gt;")-4),"")))</f>
        <v/>
      </c>
      <c r="O247" s="60">
        <f>IF(C247="","",COUNTIFS('Saisie'!$C$5:$C$2004,C247,'Saisie'!$AU$5:$AU$2004,1))</f>
        <v/>
      </c>
      <c r="P247" s="60">
        <f>IF(C247="","",COUNTIFS('Saisie'!$C$5:$C$2004,C247,'Saisie'!$AV$5:$AV$2004,1))</f>
        <v/>
      </c>
      <c r="Q247" s="106">
        <f>IF(C247="","",IFERROR(1/(1/_xlfn.MAXIFS('Saisie'!$A$5:$A$2004,'Saisie'!$C$5:$C$2004,C247)),""))</f>
        <v/>
      </c>
      <c r="R247" s="61">
        <f>IF(C247="","",IF(Q247="","",TODAY()-Q247))</f>
        <v/>
      </c>
      <c r="S247" s="60">
        <f>IF(C247="","",IFERROR(INDEX('Saisie'!$R$5:$R$2004,_xlfn.MAXIFS('Saisie'!$AS$5:$AS$2004,'Saisie'!$C$5:$C$2004,C247,'Saisie'!$R$5:$R$2004,"&lt;&gt;")-4),""))</f>
        <v/>
      </c>
      <c r="T247" s="60">
        <f>IF(C247="","",IFERROR(INDEX('Saisie'!$S$5:$S$2004,_xlfn.MAXIFS('Saisie'!$AS$5:$AS$2004,'Saisie'!$C$5:$C$2004,C247,'Saisie'!$S$5:$S$2004,"&lt;&gt;")-4),""))</f>
        <v/>
      </c>
      <c r="U247" s="60">
        <f>IF(C247="","",IFERROR(INDEX('Saisie'!$T$5:$T$2004,_xlfn.MAXIFS('Saisie'!$AS$5:$AS$2004,'Saisie'!$C$5:$C$2004,C247,'Saisie'!$T$5:$T$2004,"&lt;&gt;")-4),""))</f>
        <v/>
      </c>
      <c r="V247" s="60">
        <f>IF(C247="","",IFERROR(INDEX('Saisie'!$V$5:$V$2004,_xlfn.MAXIFS('Saisie'!$AS$5:$AS$2004,'Saisie'!$C$5:$C$2004,C247,'Saisie'!$V$5:$V$2004,"&lt;&gt;")-4),""))</f>
        <v/>
      </c>
      <c r="W247" s="60">
        <f>IF(C247="","",IFERROR(INDEX('Saisie'!$Z$5:$Z$2004,_xlfn.MAXIFS('Saisie'!$AS$5:$AS$2004,'Saisie'!$C$5:$C$2004,C247,'Saisie'!$Z$5:$Z$2004,"&lt;&gt;")-4),""))</f>
        <v/>
      </c>
      <c r="X247" s="60">
        <f>IF(C247="","",IFERROR(INDEX('Saisie'!$AA$5:$AA$2004,_xlfn.MAXIFS('Saisie'!$AS$5:$AS$2004,'Saisie'!$C$5:$C$2004,C247,'Saisie'!$AA$5:$AA$2004,"&lt;&gt;")-4),""))</f>
        <v/>
      </c>
      <c r="Y247" s="60">
        <f>IF(C247="","",IFERROR(INDEX('Saisie'!$AB$5:$AB$2004,_xlfn.MAXIFS('Saisie'!$AS$5:$AS$2004,'Saisie'!$C$5:$C$2004,C247,'Saisie'!$AB$5:$AB$2004,"&lt;&gt;")-4),""))</f>
        <v/>
      </c>
      <c r="Z247" s="60">
        <f>IF(C247="","",IFERROR(INDEX('Saisie'!$AC$5:$AC$2004,_xlfn.MAXIFS('Saisie'!$AS$5:$AS$2004,'Saisie'!$C$5:$C$2004,C247,'Saisie'!$AC$5:$AC$2004,"&lt;&gt;")-4),""))</f>
        <v/>
      </c>
      <c r="AA247" s="106">
        <f>IF(C247="","",IFERROR(INDEX('Saisie'!$AD$5:$AD$2004,_xlfn.MAXIFS('Saisie'!$AS$5:$AS$2004,'Saisie'!$C$5:$C$2004,C247,'Saisie'!$AD$5:$AD$2004,"&lt;&gt;")-4),""))</f>
        <v/>
      </c>
      <c r="AB247" s="60">
        <f>IF(C247="","",IFERROR(INDEX('Saisie'!$AE$5:$AE$2004,_xlfn.MAXIFS('Saisie'!$AS$5:$AS$2004,'Saisie'!$C$5:$C$2004,C247,'Saisie'!$AE$5:$AE$2004,"&lt;&gt;")-4),""))</f>
        <v/>
      </c>
      <c r="AC247" s="60">
        <f>IF(C247="","",IFERROR(INDEX('Saisie'!$AF$5:$AF$2004,_xlfn.MAXIFS('Saisie'!$AS$5:$AS$2004,'Saisie'!$C$5:$C$2004,C247,'Saisie'!$AF$5:$AF$2004,"&lt;&gt;")-4),""))</f>
        <v/>
      </c>
      <c r="AD247" s="108">
        <f>IF(C247="","",IFERROR(INDEX('Saisie'!$AG$5:$AG$2004,_xlfn.MAXIFS('Saisie'!$AS$5:$AS$2004,'Saisie'!$C$5:$C$2004,C247,'Saisie'!$AG$5:$AG$2004,"&lt;&gt;")-4),""))</f>
        <v/>
      </c>
      <c r="AE247" s="60">
        <f>IF(C247="","",IFERROR(INDEX('Saisie'!$AH$5:$AH$2004,_xlfn.MAXIFS('Saisie'!$AS$5:$AS$2004,'Saisie'!$C$5:$C$2004,C247,'Saisie'!$AH$5:$AH$2004,"&lt;&gt;")-4),""))</f>
        <v/>
      </c>
      <c r="AF247" s="60">
        <f>IF(C247="","",IFERROR(INDEX('Saisie'!$AI$5:$AI$2004,_xlfn.MAXIFS('Saisie'!$AS$5:$AS$2004,'Saisie'!$C$5:$C$2004,C247,'Saisie'!$AI$5:$AI$2004,"&lt;&gt;")-4),""))</f>
        <v/>
      </c>
      <c r="AG247" s="60">
        <f>IF(C247="","",IFERROR(INDEX('Saisie'!$AJ$5:$AJ$2004,_xlfn.MAXIFS('Saisie'!$AS$5:$AS$2004,'Saisie'!$C$5:$C$2004,C247,'Saisie'!$AJ$5:$AJ$2004,"&lt;&gt;")-4),""))</f>
        <v/>
      </c>
      <c r="AH247" s="60">
        <f>IF(C247="","",IFERROR(INDEX('Saisie'!$AK$5:$AK$2004,_xlfn.MAXIFS('Saisie'!$AS$5:$AS$2004,'Saisie'!$C$5:$C$2004,C247,'Saisie'!$AK$5:$AK$2004,"&lt;&gt;")-4),""))</f>
        <v/>
      </c>
      <c r="AI247" s="60">
        <f>IF(C247="","",IFERROR(INDEX('Saisie'!$AN$5:$AN$2004,_xlfn.MAXIFS('Saisie'!$AS$5:$AS$2004,'Saisie'!$C$5:$C$2004,C247,'Saisie'!$AN$5:$AN$2004,"&lt;&gt;")-4),""))</f>
        <v/>
      </c>
      <c r="AJ247" s="60">
        <f>IF(C247="","",IFERROR(INDEX('Saisie'!$AO$5:$AO$2004,_xlfn.MAXIFS('Saisie'!$AS$5:$AS$2004,'Saisie'!$C$5:$C$2004,C247,'Saisie'!$AO$5:$AO$2004,"&lt;&gt;")-4),""))</f>
        <v/>
      </c>
      <c r="AK247" s="60">
        <f>IF(C247="","",IFERROR(INDEX('Saisie'!$AP$5:$AP$2004,_xlfn.MAXIFS('Saisie'!$AS$5:$AS$2004,'Saisie'!$C$5:$C$2004,C247,'Saisie'!$AP$5:$AP$2004,"&lt;&gt;")-4),""))</f>
        <v/>
      </c>
      <c r="AL247" s="60">
        <f>IF(C247="","",IFERROR(INDEX('Saisie'!$AQ$5:$AQ$2004,_xlfn.MAXIFS('Saisie'!$AS$5:$AS$2004,'Saisie'!$C$5:$C$2004,C247,'Saisie'!$AQ$5:$AQ$2004,"&lt;&gt;")-4),""))</f>
        <v/>
      </c>
      <c r="AM247" s="60">
        <f>IF(C247="","",((AI247="Oui")+(AJ247="Oui")+(AK247="Oui")+OR(AL247="Immédiat",AL247="&lt; 1 mois"))&amp;"/4")</f>
        <v/>
      </c>
      <c r="AN247" s="60">
        <f>IF(C247="","",IFERROR(INDEX('Saisie'!$AL$5:$AL$2004,_xlfn.MAXIFS('Saisie'!$AS$5:$AS$2004,'Saisie'!$C$5:$C$2004,C247,'Saisie'!$AL$5:$AL$2004,"&lt;&gt;")-4),""))</f>
        <v/>
      </c>
      <c r="AO247" s="62">
        <f>IF(C247="","",IF(IFERROR(INDEX('Saisie'!$AM$5:$AM$2004,_xlfn.MAXIFS('Saisie'!$AS$5:$AS$2004,'Saisie'!$C$5:$C$2004,C247,'Saisie'!$AM$5:$AM$2004,"&lt;&gt;")-4),"")&lt;&gt;"",IFERROR(INDEX('Saisie'!$AM$5:$AM$2004,_xlfn.MAXIFS('Saisie'!$AS$5:$AS$2004,'Saisie'!$C$5:$C$2004,C247,'Saisie'!$AM$5:$AM$2004,"&lt;&gt;")-4),""),IFERROR(INDEX('Paramètres'!$S$6:$S$15,MATCH(AN247,'Paramètres'!$Q$6:$Q$15,0)),"")))</f>
        <v/>
      </c>
      <c r="AP247" s="62">
        <f>IF(C247="","",IFERROR(INDEX('Saisie'!$AW$5:$AW$2004,_xlfn.MAXIFS('Saisie'!$AS$5:$AS$2004,'Saisie'!$C$5:$C$2004,C247,'Saisie'!$E$5:$E$2004,"Proposition envoyée")-4),""))</f>
        <v/>
      </c>
      <c r="AQ247" s="106">
        <f>IF(C247="","",IFERROR(1/(1/_xlfn.MAXIFS('Saisie'!$A$5:$A$2004,'Saisie'!$C$5:$C$2004,C247,'Saisie'!$E$5:$E$2004,"Proposition envoyée")),""))</f>
        <v/>
      </c>
      <c r="AR247" s="106">
        <f>IF(C247="","",IF(AQ247="","",AQ247+'Paramètres'!$B$26))</f>
        <v/>
      </c>
      <c r="AS247" s="62">
        <f>IF(OR(C247="",D247="Gagné",D247="Perdu"),0,N(AP247)*IFERROR(INDEX('Paramètres'!$G$6:$G$13,MATCH(D247,'Paramètres'!$F$6:$F$13,0)),0))</f>
        <v/>
      </c>
      <c r="AT247" s="106">
        <f>IF(C247="","",IFERROR(1/(1/_xlfn.MINIFS('Saisie'!$A$5:$A$2004,'Saisie'!$C$5:$C$2004,C247,'Saisie'!$E$5:$E$2004,"Signature")),""))</f>
        <v/>
      </c>
      <c r="AU247" s="60">
        <f>IF(C247="","",IF(OR(AT247="",B247=""),"",AT247-B247))</f>
        <v/>
      </c>
      <c r="AV247" s="60">
        <f>IF(C247="","",IFERROR(INDEX('Saisie'!$L$5:$L$2004,_xlfn.MAXIFS('Saisie'!$AS$5:$AS$2004,'Saisie'!$C$5:$C$2004,C247,'Saisie'!$L$5:$L$2004,"&lt;&gt;")-4),""))</f>
        <v/>
      </c>
      <c r="AW247" s="106">
        <f>IF(C247="","",IF(D247&lt;&gt;"Perdu","",IFERROR(1/(1/_xlfn.MAXIFS('Saisie'!$A$5:$A$2004,'Saisie'!$C$5:$C$2004,C247,'Saisie'!$E$5:$E$2004,"Perdu")),"")))</f>
        <v/>
      </c>
      <c r="AX247" s="106">
        <f>IF(C247="","",IF(AW247="","",AW247+'Paramètres'!$B$28))</f>
        <v/>
      </c>
      <c r="AY247" s="60">
        <f>IF(C247="","",SUMIFS('Saisie'!$H$5:$H$2004,'Saisie'!$C$5:$C$2004,C247))</f>
        <v/>
      </c>
      <c r="AZ247" s="60">
        <f>IF(C247="","",IFERROR(INDEX('Paramètres'!$W$6:$W$20,MATCH(S247,'Paramètres'!$V$6:$V$20,0))&amp;"",""))</f>
        <v/>
      </c>
      <c r="BA247" s="60">
        <f>IF(C247="","",MAX(1,_xlfn.MAXIFS('Saisie'!$AT$5:$AT$2004,'Saisie'!$C$5:$C$2004,C247)))</f>
        <v/>
      </c>
      <c r="BB247" s="60">
        <f>IF(C247="","",IFERROR(INDEX('Saisie'!$X$5:$X$2004,_xlfn.MAXIFS('Saisie'!$AS$5:$AS$2004,'Saisie'!$C$5:$C$2004,C247,'Saisie'!$X$5:$X$2004,"&lt;&gt;")-4),""))</f>
        <v/>
      </c>
      <c r="BC247" s="60">
        <f>IF(C247="","",IFERROR(INDEX('Saisie'!$Y$5:$Y$2004,_xlfn.MAXIFS('Saisie'!$AS$5:$AS$2004,'Saisie'!$C$5:$C$2004,C247,'Saisie'!$Y$5:$Y$2004,"&lt;&gt;")-4),""))</f>
        <v/>
      </c>
      <c r="BD247" s="106">
        <f>IF(C247="","",IFERROR(1/(1/_xlfn.MINIFS('Saisie'!$A$5:$A$2004,'Saisie'!$C$5:$C$2004,C247,'Saisie'!$AT$5:$AT$2004,"&gt;=2")),""))</f>
        <v/>
      </c>
      <c r="BE247" s="106">
        <f>IF(C247="","",IFERROR(1/(1/_xlfn.MINIFS('Saisie'!$A$5:$A$2004,'Saisie'!$C$5:$C$2004,C247,'Saisie'!$AT$5:$AT$2004,"&gt;=3")),""))</f>
        <v/>
      </c>
      <c r="BF247" s="106">
        <f>IF(C247="","",IFERROR(1/(1/_xlfn.MINIFS('Saisie'!$A$5:$A$2004,'Saisie'!$C$5:$C$2004,C247,'Saisie'!$AT$5:$AT$2004,"&gt;=4")),""))</f>
        <v/>
      </c>
      <c r="BG247" s="106">
        <f>IF(C247="","",IFERROR(1/(1/_xlfn.MINIFS('Saisie'!$A$5:$A$2004,'Saisie'!$C$5:$C$2004,C247,'Saisie'!$AT$5:$AT$2004,"&gt;=5")),""))</f>
        <v/>
      </c>
      <c r="BH247" s="106">
        <f>IF(C247="","",IFERROR(1/(1/_xlfn.MINIFS('Saisie'!$A$5:$A$2004,'Saisie'!$C$5:$C$2004,C247,'Saisie'!$AT$5:$AT$2004,"&gt;=6")),""))</f>
        <v/>
      </c>
      <c r="BI247" s="106">
        <f>IF(C247="","",IFERROR(1/(1/_xlfn.MINIFS('Saisie'!$A$5:$A$2004,'Saisie'!$C$5:$C$2004,C247,'Saisie'!$AT$5:$AT$2004,"&gt;=7")),""))</f>
        <v/>
      </c>
      <c r="BJ247" s="60">
        <f>IF(OR(BD247="",B247=""),"",BD247-B247)</f>
        <v/>
      </c>
      <c r="BK247" s="60">
        <f>IF(OR(BE247="",BD247=""),"",BE247-BD247)</f>
        <v/>
      </c>
      <c r="BL247" s="60">
        <f>IF(OR(BF247="",BE247=""),"",BF247-BE247)</f>
        <v/>
      </c>
      <c r="BM247" s="60">
        <f>IF(OR(BG247="",BF247=""),"",BG247-BF247)</f>
        <v/>
      </c>
      <c r="BN247" s="60">
        <f>IF(OR(BH247="",BG247=""),"",BH247-BG247)</f>
        <v/>
      </c>
      <c r="BO247" s="60">
        <f>IF(OR(BI247="",BH247=""),"",BI247-BH247)</f>
        <v/>
      </c>
      <c r="BP247" s="60">
        <f>IF(C247="","",_xlfn.MAXIFS('Saisie'!$AS$5:$AS$2004,'Saisie'!$C$5:$C$2004,C247,'Saisie'!$J$5:$J$2004,"&lt;&gt;"))</f>
        <v/>
      </c>
      <c r="BQ247" s="60">
        <f>IF(C247="","",_xlfn.MAXIFS('Saisie'!$AS$5:$AS$2004,'Saisie'!$C$5:$C$2004,C247))</f>
        <v/>
      </c>
      <c r="BR247" s="60">
        <f>IF(C247="","",_xlfn.MAXIFS('Saisie'!$AS$5:$AS$2004,'Saisie'!$C$5:$C$2004,C247,'Saisie'!$E$5:$E$2004,"Perdu"))</f>
        <v/>
      </c>
      <c r="BS247" s="60">
        <f>IF(C247="","",_xlfn.MAXIFS('Saisie'!$AS$5:$AS$2004,'Saisie'!$C$5:$C$2004,C247,'Saisie'!$AT$5:$AT$2004,"&gt;0"))</f>
        <v/>
      </c>
      <c r="BT247" s="109">
        <f>IF(AND(C247&lt;&gt;"",OR(D247="Nouveau",D247="Contacté",D247="Qualifié"),OR(G247="",N(G247)&lt;=TODAY()),NOT(AND(O247&gt;='Paramètres'!$B$21,P247=0))),E247+243/10000,"")</f>
        <v/>
      </c>
      <c r="BU247" s="60">
        <f>IF(AND(G247&lt;&gt;"",N(G247)&lt;=TODAY()),MAX($BU$4:BU246)+1,"")</f>
        <v/>
      </c>
      <c r="BV247" s="60">
        <f>IF(AND(F247&lt;&gt;"",F247&lt;&gt;"Relance en retard"),MAX($BV$4:BV246)+1,"")</f>
        <v/>
      </c>
      <c r="BW247" s="60">
        <f>IF(C247="","",IF(AND(B247&gt;='Tableau de bord'!$R$4,B247&lt;='Tableau de bord'!$S$4,OR('Tableau de bord'!$G$4="Tous",N247='Tableau de bord'!$G$4)),1,0))</f>
        <v/>
      </c>
      <c r="BX247" s="60">
        <f>IF(AND(C247&lt;&gt;"",N(BA247)=7),MAX($BX$4:BX246)+1,"")</f>
        <v/>
      </c>
    </row>
    <row r="248">
      <c r="A248" s="60">
        <f>IF(C248="","","P-"&amp;TEXT(244,"000"))</f>
        <v/>
      </c>
      <c r="B248" s="106">
        <f>IF(C248="","",IFERROR(1/(1/_xlfn.MINIFS('Saisie'!$A$5:$A$2004,'Saisie'!$C$5:$C$2004,C248)),""))</f>
        <v/>
      </c>
      <c r="C248" s="60">
        <f>IFERROR(INDEX('Saisie'!$C$5:$C$2004,MATCH(244,'Saisie'!$AX$5:$AX$2004,0)),"")</f>
        <v/>
      </c>
      <c r="D248" s="60">
        <f>IF(C248="","",IF(AND(BR248&gt;0,BR248&gt;BS248,BA248&lt;7),"Perdu",INDEX('Paramètres'!$F$6:$F$13,BA248)))</f>
        <v/>
      </c>
      <c r="E248" s="61">
        <f>IF(C248="","",MIN(100,(Z248="Oui")*'Paramètres'!$B$38+(AB248="Régulière")*'Paramètres'!$B$39+IF(AND(N(AA248)&gt;0,TODAY()-N(AA248)&lt;=30),'Paramètres'!$B$40,0)+(W248="")*'Paramètres'!$B$41+(AC248="Absente")*'Paramètres'!$B$42+(AC248="Faible")*'Paramètres'!$B$43+IF(AND(N(AD248)&gt;0,N(AD248)&lt;4),'Paramètres'!$B$44,0)+(AF248="Moyenne")*'Paramètres'!$B$45+(AF248="Grande")*'Paramètres'!$B$46+(Y248&lt;&gt;"")*'Paramètres'!$B$47))</f>
        <v/>
      </c>
      <c r="F248" s="60">
        <f>IF(C248="","",IF(D248="Gagné","",IF(D248="Perdu",IF(AND(AX248&lt;&gt;"",AX248&lt;=TODAY()),"À recontacter (perdu)",""),IF(AND(O248&gt;='Paramètres'!$B$21,P248=0),"Stop : "&amp;'Paramètres'!$B$21&amp;" tentatives sans réponse",IF(AND(D248="Proposition",AR248&lt;&gt;"",TODAY()&gt;N(AR248)),"Proposition expirée",IF(AND(D248="Proposition",N(R248)&gt;='Paramètres'!$B$25),"Proposition sans réponse",IF(AND(G248&lt;&gt;"",N(G248)&lt;TODAY()),"Relance en retard",IF(N(R248)&gt;='Paramètres'!$B$24,"Sans action depuis "&amp;R248&amp;" j",""))))))))</f>
        <v/>
      </c>
      <c r="G248" s="106">
        <f>IF(OR(C248="",D248="Gagné",D248="Perdu"),"",IF(AND(BP248&gt;0,BP248=BQ248),INDEX('Saisie'!$J$5:$J$2004,BP248-4),IF(OR(O248=0,AND(O248&gt;='Paramètres'!$B$21,P248=0)),"",Q248+IF(O248&lt;=1,'Paramètres'!$B$18,IF(O248=2,'Paramètres'!$B$19,'Paramètres'!$B$20)))))</f>
        <v/>
      </c>
      <c r="H248" s="107">
        <f>IF(OR(G248="",BP248&lt;&gt;BQ248),"",IF(INDEX('Saisie'!$K$5:$K$2004,BP248-4)="","",INDEX('Saisie'!$K$5:$K$2004,BP248-4)))</f>
        <v/>
      </c>
      <c r="I248" s="60">
        <f>IF(C248="","",IF(OR(D248="Gagné",D248="Perdu"),"",IFERROR(INDEX('Saisie'!$I$5:$I$2004,_xlfn.MAXIFS('Saisie'!$AS$5:$AS$2004,'Saisie'!$C$5:$C$2004,C248,'Saisie'!$I$5:$I$2004,"&lt;&gt;")-4),"")))</f>
        <v/>
      </c>
      <c r="J248" s="60">
        <f>IF(C248="","",IFERROR(INDEX('Saisie'!$U$5:$U$2004,_xlfn.MAXIFS('Saisie'!$AS$5:$AS$2004,'Saisie'!$C$5:$C$2004,C248,'Saisie'!$U$5:$U$2004,"&lt;&gt;")-4),""))</f>
        <v/>
      </c>
      <c r="K248" s="60">
        <f>IF(C248="","",IFERROR(INDEX('Saisie'!$W$5:$W$2004,_xlfn.MAXIFS('Saisie'!$AS$5:$AS$2004,'Saisie'!$C$5:$C$2004,C248,'Saisie'!$W$5:$W$2004,"&lt;&gt;")-4),""))</f>
        <v/>
      </c>
      <c r="L248" s="60">
        <f>IF(IF(BB248&lt;&gt;"",BB248,K248)="","",HYPERLINK("https://wa.me/"&amp;IF(LEFT(SUBSTITUTE(SUBSTITUTE(SUBSTITUTE(IF(BB248&lt;&gt;"",BB248,K248)," ",""),".",""),"+",""),1)="0",'Paramètres'!$B$35&amp;MID(SUBSTITUTE(SUBSTITUTE(SUBSTITUTE(IF(BB248&lt;&gt;"",BB248,K248)," ",""),".",""),"+",""),2,20),SUBSTITUTE(SUBSTITUTE(SUBSTITUTE(IF(BB248&lt;&gt;"",BB248,K248)," ",""),".",""),"+","")),"WhatsApp"))</f>
        <v/>
      </c>
      <c r="M248" s="60">
        <f>IF(BC248="","",HYPERLINK(IF(LEFT(BC248,4)="http",BC248,"https://www.instagram.com/"&amp;SUBSTITUTE(SUBSTITUTE(BC248,"@","")," ","")),BC248))</f>
        <v/>
      </c>
      <c r="N248" s="60">
        <f>IF(C248="","",IFERROR(INDEX('Saisie'!$D$5:$D$2004,_xlfn.MINIFS('Saisie'!$AS$5:$AS$2004,'Saisie'!$C$5:$C$2004,C248,'Saisie'!$AU$5:$AU$2004,1)-4),IFERROR(INDEX('Saisie'!$D$5:$D$2004,_xlfn.MINIFS('Saisie'!$AS$5:$AS$2004,'Saisie'!$C$5:$C$2004,C248,'Saisie'!$D$5:$D$2004,"&lt;&gt;")-4),"")))</f>
        <v/>
      </c>
      <c r="O248" s="60">
        <f>IF(C248="","",COUNTIFS('Saisie'!$C$5:$C$2004,C248,'Saisie'!$AU$5:$AU$2004,1))</f>
        <v/>
      </c>
      <c r="P248" s="60">
        <f>IF(C248="","",COUNTIFS('Saisie'!$C$5:$C$2004,C248,'Saisie'!$AV$5:$AV$2004,1))</f>
        <v/>
      </c>
      <c r="Q248" s="106">
        <f>IF(C248="","",IFERROR(1/(1/_xlfn.MAXIFS('Saisie'!$A$5:$A$2004,'Saisie'!$C$5:$C$2004,C248)),""))</f>
        <v/>
      </c>
      <c r="R248" s="61">
        <f>IF(C248="","",IF(Q248="","",TODAY()-Q248))</f>
        <v/>
      </c>
      <c r="S248" s="60">
        <f>IF(C248="","",IFERROR(INDEX('Saisie'!$R$5:$R$2004,_xlfn.MAXIFS('Saisie'!$AS$5:$AS$2004,'Saisie'!$C$5:$C$2004,C248,'Saisie'!$R$5:$R$2004,"&lt;&gt;")-4),""))</f>
        <v/>
      </c>
      <c r="T248" s="60">
        <f>IF(C248="","",IFERROR(INDEX('Saisie'!$S$5:$S$2004,_xlfn.MAXIFS('Saisie'!$AS$5:$AS$2004,'Saisie'!$C$5:$C$2004,C248,'Saisie'!$S$5:$S$2004,"&lt;&gt;")-4),""))</f>
        <v/>
      </c>
      <c r="U248" s="60">
        <f>IF(C248="","",IFERROR(INDEX('Saisie'!$T$5:$T$2004,_xlfn.MAXIFS('Saisie'!$AS$5:$AS$2004,'Saisie'!$C$5:$C$2004,C248,'Saisie'!$T$5:$T$2004,"&lt;&gt;")-4),""))</f>
        <v/>
      </c>
      <c r="V248" s="60">
        <f>IF(C248="","",IFERROR(INDEX('Saisie'!$V$5:$V$2004,_xlfn.MAXIFS('Saisie'!$AS$5:$AS$2004,'Saisie'!$C$5:$C$2004,C248,'Saisie'!$V$5:$V$2004,"&lt;&gt;")-4),""))</f>
        <v/>
      </c>
      <c r="W248" s="60">
        <f>IF(C248="","",IFERROR(INDEX('Saisie'!$Z$5:$Z$2004,_xlfn.MAXIFS('Saisie'!$AS$5:$AS$2004,'Saisie'!$C$5:$C$2004,C248,'Saisie'!$Z$5:$Z$2004,"&lt;&gt;")-4),""))</f>
        <v/>
      </c>
      <c r="X248" s="60">
        <f>IF(C248="","",IFERROR(INDEX('Saisie'!$AA$5:$AA$2004,_xlfn.MAXIFS('Saisie'!$AS$5:$AS$2004,'Saisie'!$C$5:$C$2004,C248,'Saisie'!$AA$5:$AA$2004,"&lt;&gt;")-4),""))</f>
        <v/>
      </c>
      <c r="Y248" s="60">
        <f>IF(C248="","",IFERROR(INDEX('Saisie'!$AB$5:$AB$2004,_xlfn.MAXIFS('Saisie'!$AS$5:$AS$2004,'Saisie'!$C$5:$C$2004,C248,'Saisie'!$AB$5:$AB$2004,"&lt;&gt;")-4),""))</f>
        <v/>
      </c>
      <c r="Z248" s="60">
        <f>IF(C248="","",IFERROR(INDEX('Saisie'!$AC$5:$AC$2004,_xlfn.MAXIFS('Saisie'!$AS$5:$AS$2004,'Saisie'!$C$5:$C$2004,C248,'Saisie'!$AC$5:$AC$2004,"&lt;&gt;")-4),""))</f>
        <v/>
      </c>
      <c r="AA248" s="106">
        <f>IF(C248="","",IFERROR(INDEX('Saisie'!$AD$5:$AD$2004,_xlfn.MAXIFS('Saisie'!$AS$5:$AS$2004,'Saisie'!$C$5:$C$2004,C248,'Saisie'!$AD$5:$AD$2004,"&lt;&gt;")-4),""))</f>
        <v/>
      </c>
      <c r="AB248" s="60">
        <f>IF(C248="","",IFERROR(INDEX('Saisie'!$AE$5:$AE$2004,_xlfn.MAXIFS('Saisie'!$AS$5:$AS$2004,'Saisie'!$C$5:$C$2004,C248,'Saisie'!$AE$5:$AE$2004,"&lt;&gt;")-4),""))</f>
        <v/>
      </c>
      <c r="AC248" s="60">
        <f>IF(C248="","",IFERROR(INDEX('Saisie'!$AF$5:$AF$2004,_xlfn.MAXIFS('Saisie'!$AS$5:$AS$2004,'Saisie'!$C$5:$C$2004,C248,'Saisie'!$AF$5:$AF$2004,"&lt;&gt;")-4),""))</f>
        <v/>
      </c>
      <c r="AD248" s="108">
        <f>IF(C248="","",IFERROR(INDEX('Saisie'!$AG$5:$AG$2004,_xlfn.MAXIFS('Saisie'!$AS$5:$AS$2004,'Saisie'!$C$5:$C$2004,C248,'Saisie'!$AG$5:$AG$2004,"&lt;&gt;")-4),""))</f>
        <v/>
      </c>
      <c r="AE248" s="60">
        <f>IF(C248="","",IFERROR(INDEX('Saisie'!$AH$5:$AH$2004,_xlfn.MAXIFS('Saisie'!$AS$5:$AS$2004,'Saisie'!$C$5:$C$2004,C248,'Saisie'!$AH$5:$AH$2004,"&lt;&gt;")-4),""))</f>
        <v/>
      </c>
      <c r="AF248" s="60">
        <f>IF(C248="","",IFERROR(INDEX('Saisie'!$AI$5:$AI$2004,_xlfn.MAXIFS('Saisie'!$AS$5:$AS$2004,'Saisie'!$C$5:$C$2004,C248,'Saisie'!$AI$5:$AI$2004,"&lt;&gt;")-4),""))</f>
        <v/>
      </c>
      <c r="AG248" s="60">
        <f>IF(C248="","",IFERROR(INDEX('Saisie'!$AJ$5:$AJ$2004,_xlfn.MAXIFS('Saisie'!$AS$5:$AS$2004,'Saisie'!$C$5:$C$2004,C248,'Saisie'!$AJ$5:$AJ$2004,"&lt;&gt;")-4),""))</f>
        <v/>
      </c>
      <c r="AH248" s="60">
        <f>IF(C248="","",IFERROR(INDEX('Saisie'!$AK$5:$AK$2004,_xlfn.MAXIFS('Saisie'!$AS$5:$AS$2004,'Saisie'!$C$5:$C$2004,C248,'Saisie'!$AK$5:$AK$2004,"&lt;&gt;")-4),""))</f>
        <v/>
      </c>
      <c r="AI248" s="60">
        <f>IF(C248="","",IFERROR(INDEX('Saisie'!$AN$5:$AN$2004,_xlfn.MAXIFS('Saisie'!$AS$5:$AS$2004,'Saisie'!$C$5:$C$2004,C248,'Saisie'!$AN$5:$AN$2004,"&lt;&gt;")-4),""))</f>
        <v/>
      </c>
      <c r="AJ248" s="60">
        <f>IF(C248="","",IFERROR(INDEX('Saisie'!$AO$5:$AO$2004,_xlfn.MAXIFS('Saisie'!$AS$5:$AS$2004,'Saisie'!$C$5:$C$2004,C248,'Saisie'!$AO$5:$AO$2004,"&lt;&gt;")-4),""))</f>
        <v/>
      </c>
      <c r="AK248" s="60">
        <f>IF(C248="","",IFERROR(INDEX('Saisie'!$AP$5:$AP$2004,_xlfn.MAXIFS('Saisie'!$AS$5:$AS$2004,'Saisie'!$C$5:$C$2004,C248,'Saisie'!$AP$5:$AP$2004,"&lt;&gt;")-4),""))</f>
        <v/>
      </c>
      <c r="AL248" s="60">
        <f>IF(C248="","",IFERROR(INDEX('Saisie'!$AQ$5:$AQ$2004,_xlfn.MAXIFS('Saisie'!$AS$5:$AS$2004,'Saisie'!$C$5:$C$2004,C248,'Saisie'!$AQ$5:$AQ$2004,"&lt;&gt;")-4),""))</f>
        <v/>
      </c>
      <c r="AM248" s="60">
        <f>IF(C248="","",((AI248="Oui")+(AJ248="Oui")+(AK248="Oui")+OR(AL248="Immédiat",AL248="&lt; 1 mois"))&amp;"/4")</f>
        <v/>
      </c>
      <c r="AN248" s="60">
        <f>IF(C248="","",IFERROR(INDEX('Saisie'!$AL$5:$AL$2004,_xlfn.MAXIFS('Saisie'!$AS$5:$AS$2004,'Saisie'!$C$5:$C$2004,C248,'Saisie'!$AL$5:$AL$2004,"&lt;&gt;")-4),""))</f>
        <v/>
      </c>
      <c r="AO248" s="62">
        <f>IF(C248="","",IF(IFERROR(INDEX('Saisie'!$AM$5:$AM$2004,_xlfn.MAXIFS('Saisie'!$AS$5:$AS$2004,'Saisie'!$C$5:$C$2004,C248,'Saisie'!$AM$5:$AM$2004,"&lt;&gt;")-4),"")&lt;&gt;"",IFERROR(INDEX('Saisie'!$AM$5:$AM$2004,_xlfn.MAXIFS('Saisie'!$AS$5:$AS$2004,'Saisie'!$C$5:$C$2004,C248,'Saisie'!$AM$5:$AM$2004,"&lt;&gt;")-4),""),IFERROR(INDEX('Paramètres'!$S$6:$S$15,MATCH(AN248,'Paramètres'!$Q$6:$Q$15,0)),"")))</f>
        <v/>
      </c>
      <c r="AP248" s="62">
        <f>IF(C248="","",IFERROR(INDEX('Saisie'!$AW$5:$AW$2004,_xlfn.MAXIFS('Saisie'!$AS$5:$AS$2004,'Saisie'!$C$5:$C$2004,C248,'Saisie'!$E$5:$E$2004,"Proposition envoyée")-4),""))</f>
        <v/>
      </c>
      <c r="AQ248" s="106">
        <f>IF(C248="","",IFERROR(1/(1/_xlfn.MAXIFS('Saisie'!$A$5:$A$2004,'Saisie'!$C$5:$C$2004,C248,'Saisie'!$E$5:$E$2004,"Proposition envoyée")),""))</f>
        <v/>
      </c>
      <c r="AR248" s="106">
        <f>IF(C248="","",IF(AQ248="","",AQ248+'Paramètres'!$B$26))</f>
        <v/>
      </c>
      <c r="AS248" s="62">
        <f>IF(OR(C248="",D248="Gagné",D248="Perdu"),0,N(AP248)*IFERROR(INDEX('Paramètres'!$G$6:$G$13,MATCH(D248,'Paramètres'!$F$6:$F$13,0)),0))</f>
        <v/>
      </c>
      <c r="AT248" s="106">
        <f>IF(C248="","",IFERROR(1/(1/_xlfn.MINIFS('Saisie'!$A$5:$A$2004,'Saisie'!$C$5:$C$2004,C248,'Saisie'!$E$5:$E$2004,"Signature")),""))</f>
        <v/>
      </c>
      <c r="AU248" s="60">
        <f>IF(C248="","",IF(OR(AT248="",B248=""),"",AT248-B248))</f>
        <v/>
      </c>
      <c r="AV248" s="60">
        <f>IF(C248="","",IFERROR(INDEX('Saisie'!$L$5:$L$2004,_xlfn.MAXIFS('Saisie'!$AS$5:$AS$2004,'Saisie'!$C$5:$C$2004,C248,'Saisie'!$L$5:$L$2004,"&lt;&gt;")-4),""))</f>
        <v/>
      </c>
      <c r="AW248" s="106">
        <f>IF(C248="","",IF(D248&lt;&gt;"Perdu","",IFERROR(1/(1/_xlfn.MAXIFS('Saisie'!$A$5:$A$2004,'Saisie'!$C$5:$C$2004,C248,'Saisie'!$E$5:$E$2004,"Perdu")),"")))</f>
        <v/>
      </c>
      <c r="AX248" s="106">
        <f>IF(C248="","",IF(AW248="","",AW248+'Paramètres'!$B$28))</f>
        <v/>
      </c>
      <c r="AY248" s="60">
        <f>IF(C248="","",SUMIFS('Saisie'!$H$5:$H$2004,'Saisie'!$C$5:$C$2004,C248))</f>
        <v/>
      </c>
      <c r="AZ248" s="60">
        <f>IF(C248="","",IFERROR(INDEX('Paramètres'!$W$6:$W$20,MATCH(S248,'Paramètres'!$V$6:$V$20,0))&amp;"",""))</f>
        <v/>
      </c>
      <c r="BA248" s="60">
        <f>IF(C248="","",MAX(1,_xlfn.MAXIFS('Saisie'!$AT$5:$AT$2004,'Saisie'!$C$5:$C$2004,C248)))</f>
        <v/>
      </c>
      <c r="BB248" s="60">
        <f>IF(C248="","",IFERROR(INDEX('Saisie'!$X$5:$X$2004,_xlfn.MAXIFS('Saisie'!$AS$5:$AS$2004,'Saisie'!$C$5:$C$2004,C248,'Saisie'!$X$5:$X$2004,"&lt;&gt;")-4),""))</f>
        <v/>
      </c>
      <c r="BC248" s="60">
        <f>IF(C248="","",IFERROR(INDEX('Saisie'!$Y$5:$Y$2004,_xlfn.MAXIFS('Saisie'!$AS$5:$AS$2004,'Saisie'!$C$5:$C$2004,C248,'Saisie'!$Y$5:$Y$2004,"&lt;&gt;")-4),""))</f>
        <v/>
      </c>
      <c r="BD248" s="106">
        <f>IF(C248="","",IFERROR(1/(1/_xlfn.MINIFS('Saisie'!$A$5:$A$2004,'Saisie'!$C$5:$C$2004,C248,'Saisie'!$AT$5:$AT$2004,"&gt;=2")),""))</f>
        <v/>
      </c>
      <c r="BE248" s="106">
        <f>IF(C248="","",IFERROR(1/(1/_xlfn.MINIFS('Saisie'!$A$5:$A$2004,'Saisie'!$C$5:$C$2004,C248,'Saisie'!$AT$5:$AT$2004,"&gt;=3")),""))</f>
        <v/>
      </c>
      <c r="BF248" s="106">
        <f>IF(C248="","",IFERROR(1/(1/_xlfn.MINIFS('Saisie'!$A$5:$A$2004,'Saisie'!$C$5:$C$2004,C248,'Saisie'!$AT$5:$AT$2004,"&gt;=4")),""))</f>
        <v/>
      </c>
      <c r="BG248" s="106">
        <f>IF(C248="","",IFERROR(1/(1/_xlfn.MINIFS('Saisie'!$A$5:$A$2004,'Saisie'!$C$5:$C$2004,C248,'Saisie'!$AT$5:$AT$2004,"&gt;=5")),""))</f>
        <v/>
      </c>
      <c r="BH248" s="106">
        <f>IF(C248="","",IFERROR(1/(1/_xlfn.MINIFS('Saisie'!$A$5:$A$2004,'Saisie'!$C$5:$C$2004,C248,'Saisie'!$AT$5:$AT$2004,"&gt;=6")),""))</f>
        <v/>
      </c>
      <c r="BI248" s="106">
        <f>IF(C248="","",IFERROR(1/(1/_xlfn.MINIFS('Saisie'!$A$5:$A$2004,'Saisie'!$C$5:$C$2004,C248,'Saisie'!$AT$5:$AT$2004,"&gt;=7")),""))</f>
        <v/>
      </c>
      <c r="BJ248" s="60">
        <f>IF(OR(BD248="",B248=""),"",BD248-B248)</f>
        <v/>
      </c>
      <c r="BK248" s="60">
        <f>IF(OR(BE248="",BD248=""),"",BE248-BD248)</f>
        <v/>
      </c>
      <c r="BL248" s="60">
        <f>IF(OR(BF248="",BE248=""),"",BF248-BE248)</f>
        <v/>
      </c>
      <c r="BM248" s="60">
        <f>IF(OR(BG248="",BF248=""),"",BG248-BF248)</f>
        <v/>
      </c>
      <c r="BN248" s="60">
        <f>IF(OR(BH248="",BG248=""),"",BH248-BG248)</f>
        <v/>
      </c>
      <c r="BO248" s="60">
        <f>IF(OR(BI248="",BH248=""),"",BI248-BH248)</f>
        <v/>
      </c>
      <c r="BP248" s="60">
        <f>IF(C248="","",_xlfn.MAXIFS('Saisie'!$AS$5:$AS$2004,'Saisie'!$C$5:$C$2004,C248,'Saisie'!$J$5:$J$2004,"&lt;&gt;"))</f>
        <v/>
      </c>
      <c r="BQ248" s="60">
        <f>IF(C248="","",_xlfn.MAXIFS('Saisie'!$AS$5:$AS$2004,'Saisie'!$C$5:$C$2004,C248))</f>
        <v/>
      </c>
      <c r="BR248" s="60">
        <f>IF(C248="","",_xlfn.MAXIFS('Saisie'!$AS$5:$AS$2004,'Saisie'!$C$5:$C$2004,C248,'Saisie'!$E$5:$E$2004,"Perdu"))</f>
        <v/>
      </c>
      <c r="BS248" s="60">
        <f>IF(C248="","",_xlfn.MAXIFS('Saisie'!$AS$5:$AS$2004,'Saisie'!$C$5:$C$2004,C248,'Saisie'!$AT$5:$AT$2004,"&gt;0"))</f>
        <v/>
      </c>
      <c r="BT248" s="109">
        <f>IF(AND(C248&lt;&gt;"",OR(D248="Nouveau",D248="Contacté",D248="Qualifié"),OR(G248="",N(G248)&lt;=TODAY()),NOT(AND(O248&gt;='Paramètres'!$B$21,P248=0))),E248+244/10000,"")</f>
        <v/>
      </c>
      <c r="BU248" s="60">
        <f>IF(AND(G248&lt;&gt;"",N(G248)&lt;=TODAY()),MAX($BU$4:BU247)+1,"")</f>
        <v/>
      </c>
      <c r="BV248" s="60">
        <f>IF(AND(F248&lt;&gt;"",F248&lt;&gt;"Relance en retard"),MAX($BV$4:BV247)+1,"")</f>
        <v/>
      </c>
      <c r="BW248" s="60">
        <f>IF(C248="","",IF(AND(B248&gt;='Tableau de bord'!$R$4,B248&lt;='Tableau de bord'!$S$4,OR('Tableau de bord'!$G$4="Tous",N248='Tableau de bord'!$G$4)),1,0))</f>
        <v/>
      </c>
      <c r="BX248" s="60">
        <f>IF(AND(C248&lt;&gt;"",N(BA248)=7),MAX($BX$4:BX247)+1,"")</f>
        <v/>
      </c>
    </row>
    <row r="249">
      <c r="A249" s="60">
        <f>IF(C249="","","P-"&amp;TEXT(245,"000"))</f>
        <v/>
      </c>
      <c r="B249" s="106">
        <f>IF(C249="","",IFERROR(1/(1/_xlfn.MINIFS('Saisie'!$A$5:$A$2004,'Saisie'!$C$5:$C$2004,C249)),""))</f>
        <v/>
      </c>
      <c r="C249" s="60">
        <f>IFERROR(INDEX('Saisie'!$C$5:$C$2004,MATCH(245,'Saisie'!$AX$5:$AX$2004,0)),"")</f>
        <v/>
      </c>
      <c r="D249" s="60">
        <f>IF(C249="","",IF(AND(BR249&gt;0,BR249&gt;BS249,BA249&lt;7),"Perdu",INDEX('Paramètres'!$F$6:$F$13,BA249)))</f>
        <v/>
      </c>
      <c r="E249" s="61">
        <f>IF(C249="","",MIN(100,(Z249="Oui")*'Paramètres'!$B$38+(AB249="Régulière")*'Paramètres'!$B$39+IF(AND(N(AA249)&gt;0,TODAY()-N(AA249)&lt;=30),'Paramètres'!$B$40,0)+(W249="")*'Paramètres'!$B$41+(AC249="Absente")*'Paramètres'!$B$42+(AC249="Faible")*'Paramètres'!$B$43+IF(AND(N(AD249)&gt;0,N(AD249)&lt;4),'Paramètres'!$B$44,0)+(AF249="Moyenne")*'Paramètres'!$B$45+(AF249="Grande")*'Paramètres'!$B$46+(Y249&lt;&gt;"")*'Paramètres'!$B$47))</f>
        <v/>
      </c>
      <c r="F249" s="60">
        <f>IF(C249="","",IF(D249="Gagné","",IF(D249="Perdu",IF(AND(AX249&lt;&gt;"",AX249&lt;=TODAY()),"À recontacter (perdu)",""),IF(AND(O249&gt;='Paramètres'!$B$21,P249=0),"Stop : "&amp;'Paramètres'!$B$21&amp;" tentatives sans réponse",IF(AND(D249="Proposition",AR249&lt;&gt;"",TODAY()&gt;N(AR249)),"Proposition expirée",IF(AND(D249="Proposition",N(R249)&gt;='Paramètres'!$B$25),"Proposition sans réponse",IF(AND(G249&lt;&gt;"",N(G249)&lt;TODAY()),"Relance en retard",IF(N(R249)&gt;='Paramètres'!$B$24,"Sans action depuis "&amp;R249&amp;" j",""))))))))</f>
        <v/>
      </c>
      <c r="G249" s="106">
        <f>IF(OR(C249="",D249="Gagné",D249="Perdu"),"",IF(AND(BP249&gt;0,BP249=BQ249),INDEX('Saisie'!$J$5:$J$2004,BP249-4),IF(OR(O249=0,AND(O249&gt;='Paramètres'!$B$21,P249=0)),"",Q249+IF(O249&lt;=1,'Paramètres'!$B$18,IF(O249=2,'Paramètres'!$B$19,'Paramètres'!$B$20)))))</f>
        <v/>
      </c>
      <c r="H249" s="107">
        <f>IF(OR(G249="",BP249&lt;&gt;BQ249),"",IF(INDEX('Saisie'!$K$5:$K$2004,BP249-4)="","",INDEX('Saisie'!$K$5:$K$2004,BP249-4)))</f>
        <v/>
      </c>
      <c r="I249" s="60">
        <f>IF(C249="","",IF(OR(D249="Gagné",D249="Perdu"),"",IFERROR(INDEX('Saisie'!$I$5:$I$2004,_xlfn.MAXIFS('Saisie'!$AS$5:$AS$2004,'Saisie'!$C$5:$C$2004,C249,'Saisie'!$I$5:$I$2004,"&lt;&gt;")-4),"")))</f>
        <v/>
      </c>
      <c r="J249" s="60">
        <f>IF(C249="","",IFERROR(INDEX('Saisie'!$U$5:$U$2004,_xlfn.MAXIFS('Saisie'!$AS$5:$AS$2004,'Saisie'!$C$5:$C$2004,C249,'Saisie'!$U$5:$U$2004,"&lt;&gt;")-4),""))</f>
        <v/>
      </c>
      <c r="K249" s="60">
        <f>IF(C249="","",IFERROR(INDEX('Saisie'!$W$5:$W$2004,_xlfn.MAXIFS('Saisie'!$AS$5:$AS$2004,'Saisie'!$C$5:$C$2004,C249,'Saisie'!$W$5:$W$2004,"&lt;&gt;")-4),""))</f>
        <v/>
      </c>
      <c r="L249" s="60">
        <f>IF(IF(BB249&lt;&gt;"",BB249,K249)="","",HYPERLINK("https://wa.me/"&amp;IF(LEFT(SUBSTITUTE(SUBSTITUTE(SUBSTITUTE(IF(BB249&lt;&gt;"",BB249,K249)," ",""),".",""),"+",""),1)="0",'Paramètres'!$B$35&amp;MID(SUBSTITUTE(SUBSTITUTE(SUBSTITUTE(IF(BB249&lt;&gt;"",BB249,K249)," ",""),".",""),"+",""),2,20),SUBSTITUTE(SUBSTITUTE(SUBSTITUTE(IF(BB249&lt;&gt;"",BB249,K249)," ",""),".",""),"+","")),"WhatsApp"))</f>
        <v/>
      </c>
      <c r="M249" s="60">
        <f>IF(BC249="","",HYPERLINK(IF(LEFT(BC249,4)="http",BC249,"https://www.instagram.com/"&amp;SUBSTITUTE(SUBSTITUTE(BC249,"@","")," ","")),BC249))</f>
        <v/>
      </c>
      <c r="N249" s="60">
        <f>IF(C249="","",IFERROR(INDEX('Saisie'!$D$5:$D$2004,_xlfn.MINIFS('Saisie'!$AS$5:$AS$2004,'Saisie'!$C$5:$C$2004,C249,'Saisie'!$AU$5:$AU$2004,1)-4),IFERROR(INDEX('Saisie'!$D$5:$D$2004,_xlfn.MINIFS('Saisie'!$AS$5:$AS$2004,'Saisie'!$C$5:$C$2004,C249,'Saisie'!$D$5:$D$2004,"&lt;&gt;")-4),"")))</f>
        <v/>
      </c>
      <c r="O249" s="60">
        <f>IF(C249="","",COUNTIFS('Saisie'!$C$5:$C$2004,C249,'Saisie'!$AU$5:$AU$2004,1))</f>
        <v/>
      </c>
      <c r="P249" s="60">
        <f>IF(C249="","",COUNTIFS('Saisie'!$C$5:$C$2004,C249,'Saisie'!$AV$5:$AV$2004,1))</f>
        <v/>
      </c>
      <c r="Q249" s="106">
        <f>IF(C249="","",IFERROR(1/(1/_xlfn.MAXIFS('Saisie'!$A$5:$A$2004,'Saisie'!$C$5:$C$2004,C249)),""))</f>
        <v/>
      </c>
      <c r="R249" s="61">
        <f>IF(C249="","",IF(Q249="","",TODAY()-Q249))</f>
        <v/>
      </c>
      <c r="S249" s="60">
        <f>IF(C249="","",IFERROR(INDEX('Saisie'!$R$5:$R$2004,_xlfn.MAXIFS('Saisie'!$AS$5:$AS$2004,'Saisie'!$C$5:$C$2004,C249,'Saisie'!$R$5:$R$2004,"&lt;&gt;")-4),""))</f>
        <v/>
      </c>
      <c r="T249" s="60">
        <f>IF(C249="","",IFERROR(INDEX('Saisie'!$S$5:$S$2004,_xlfn.MAXIFS('Saisie'!$AS$5:$AS$2004,'Saisie'!$C$5:$C$2004,C249,'Saisie'!$S$5:$S$2004,"&lt;&gt;")-4),""))</f>
        <v/>
      </c>
      <c r="U249" s="60">
        <f>IF(C249="","",IFERROR(INDEX('Saisie'!$T$5:$T$2004,_xlfn.MAXIFS('Saisie'!$AS$5:$AS$2004,'Saisie'!$C$5:$C$2004,C249,'Saisie'!$T$5:$T$2004,"&lt;&gt;")-4),""))</f>
        <v/>
      </c>
      <c r="V249" s="60">
        <f>IF(C249="","",IFERROR(INDEX('Saisie'!$V$5:$V$2004,_xlfn.MAXIFS('Saisie'!$AS$5:$AS$2004,'Saisie'!$C$5:$C$2004,C249,'Saisie'!$V$5:$V$2004,"&lt;&gt;")-4),""))</f>
        <v/>
      </c>
      <c r="W249" s="60">
        <f>IF(C249="","",IFERROR(INDEX('Saisie'!$Z$5:$Z$2004,_xlfn.MAXIFS('Saisie'!$AS$5:$AS$2004,'Saisie'!$C$5:$C$2004,C249,'Saisie'!$Z$5:$Z$2004,"&lt;&gt;")-4),""))</f>
        <v/>
      </c>
      <c r="X249" s="60">
        <f>IF(C249="","",IFERROR(INDEX('Saisie'!$AA$5:$AA$2004,_xlfn.MAXIFS('Saisie'!$AS$5:$AS$2004,'Saisie'!$C$5:$C$2004,C249,'Saisie'!$AA$5:$AA$2004,"&lt;&gt;")-4),""))</f>
        <v/>
      </c>
      <c r="Y249" s="60">
        <f>IF(C249="","",IFERROR(INDEX('Saisie'!$AB$5:$AB$2004,_xlfn.MAXIFS('Saisie'!$AS$5:$AS$2004,'Saisie'!$C$5:$C$2004,C249,'Saisie'!$AB$5:$AB$2004,"&lt;&gt;")-4),""))</f>
        <v/>
      </c>
      <c r="Z249" s="60">
        <f>IF(C249="","",IFERROR(INDEX('Saisie'!$AC$5:$AC$2004,_xlfn.MAXIFS('Saisie'!$AS$5:$AS$2004,'Saisie'!$C$5:$C$2004,C249,'Saisie'!$AC$5:$AC$2004,"&lt;&gt;")-4),""))</f>
        <v/>
      </c>
      <c r="AA249" s="106">
        <f>IF(C249="","",IFERROR(INDEX('Saisie'!$AD$5:$AD$2004,_xlfn.MAXIFS('Saisie'!$AS$5:$AS$2004,'Saisie'!$C$5:$C$2004,C249,'Saisie'!$AD$5:$AD$2004,"&lt;&gt;")-4),""))</f>
        <v/>
      </c>
      <c r="AB249" s="60">
        <f>IF(C249="","",IFERROR(INDEX('Saisie'!$AE$5:$AE$2004,_xlfn.MAXIFS('Saisie'!$AS$5:$AS$2004,'Saisie'!$C$5:$C$2004,C249,'Saisie'!$AE$5:$AE$2004,"&lt;&gt;")-4),""))</f>
        <v/>
      </c>
      <c r="AC249" s="60">
        <f>IF(C249="","",IFERROR(INDEX('Saisie'!$AF$5:$AF$2004,_xlfn.MAXIFS('Saisie'!$AS$5:$AS$2004,'Saisie'!$C$5:$C$2004,C249,'Saisie'!$AF$5:$AF$2004,"&lt;&gt;")-4),""))</f>
        <v/>
      </c>
      <c r="AD249" s="108">
        <f>IF(C249="","",IFERROR(INDEX('Saisie'!$AG$5:$AG$2004,_xlfn.MAXIFS('Saisie'!$AS$5:$AS$2004,'Saisie'!$C$5:$C$2004,C249,'Saisie'!$AG$5:$AG$2004,"&lt;&gt;")-4),""))</f>
        <v/>
      </c>
      <c r="AE249" s="60">
        <f>IF(C249="","",IFERROR(INDEX('Saisie'!$AH$5:$AH$2004,_xlfn.MAXIFS('Saisie'!$AS$5:$AS$2004,'Saisie'!$C$5:$C$2004,C249,'Saisie'!$AH$5:$AH$2004,"&lt;&gt;")-4),""))</f>
        <v/>
      </c>
      <c r="AF249" s="60">
        <f>IF(C249="","",IFERROR(INDEX('Saisie'!$AI$5:$AI$2004,_xlfn.MAXIFS('Saisie'!$AS$5:$AS$2004,'Saisie'!$C$5:$C$2004,C249,'Saisie'!$AI$5:$AI$2004,"&lt;&gt;")-4),""))</f>
        <v/>
      </c>
      <c r="AG249" s="60">
        <f>IF(C249="","",IFERROR(INDEX('Saisie'!$AJ$5:$AJ$2004,_xlfn.MAXIFS('Saisie'!$AS$5:$AS$2004,'Saisie'!$C$5:$C$2004,C249,'Saisie'!$AJ$5:$AJ$2004,"&lt;&gt;")-4),""))</f>
        <v/>
      </c>
      <c r="AH249" s="60">
        <f>IF(C249="","",IFERROR(INDEX('Saisie'!$AK$5:$AK$2004,_xlfn.MAXIFS('Saisie'!$AS$5:$AS$2004,'Saisie'!$C$5:$C$2004,C249,'Saisie'!$AK$5:$AK$2004,"&lt;&gt;")-4),""))</f>
        <v/>
      </c>
      <c r="AI249" s="60">
        <f>IF(C249="","",IFERROR(INDEX('Saisie'!$AN$5:$AN$2004,_xlfn.MAXIFS('Saisie'!$AS$5:$AS$2004,'Saisie'!$C$5:$C$2004,C249,'Saisie'!$AN$5:$AN$2004,"&lt;&gt;")-4),""))</f>
        <v/>
      </c>
      <c r="AJ249" s="60">
        <f>IF(C249="","",IFERROR(INDEX('Saisie'!$AO$5:$AO$2004,_xlfn.MAXIFS('Saisie'!$AS$5:$AS$2004,'Saisie'!$C$5:$C$2004,C249,'Saisie'!$AO$5:$AO$2004,"&lt;&gt;")-4),""))</f>
        <v/>
      </c>
      <c r="AK249" s="60">
        <f>IF(C249="","",IFERROR(INDEX('Saisie'!$AP$5:$AP$2004,_xlfn.MAXIFS('Saisie'!$AS$5:$AS$2004,'Saisie'!$C$5:$C$2004,C249,'Saisie'!$AP$5:$AP$2004,"&lt;&gt;")-4),""))</f>
        <v/>
      </c>
      <c r="AL249" s="60">
        <f>IF(C249="","",IFERROR(INDEX('Saisie'!$AQ$5:$AQ$2004,_xlfn.MAXIFS('Saisie'!$AS$5:$AS$2004,'Saisie'!$C$5:$C$2004,C249,'Saisie'!$AQ$5:$AQ$2004,"&lt;&gt;")-4),""))</f>
        <v/>
      </c>
      <c r="AM249" s="60">
        <f>IF(C249="","",((AI249="Oui")+(AJ249="Oui")+(AK249="Oui")+OR(AL249="Immédiat",AL249="&lt; 1 mois"))&amp;"/4")</f>
        <v/>
      </c>
      <c r="AN249" s="60">
        <f>IF(C249="","",IFERROR(INDEX('Saisie'!$AL$5:$AL$2004,_xlfn.MAXIFS('Saisie'!$AS$5:$AS$2004,'Saisie'!$C$5:$C$2004,C249,'Saisie'!$AL$5:$AL$2004,"&lt;&gt;")-4),""))</f>
        <v/>
      </c>
      <c r="AO249" s="62">
        <f>IF(C249="","",IF(IFERROR(INDEX('Saisie'!$AM$5:$AM$2004,_xlfn.MAXIFS('Saisie'!$AS$5:$AS$2004,'Saisie'!$C$5:$C$2004,C249,'Saisie'!$AM$5:$AM$2004,"&lt;&gt;")-4),"")&lt;&gt;"",IFERROR(INDEX('Saisie'!$AM$5:$AM$2004,_xlfn.MAXIFS('Saisie'!$AS$5:$AS$2004,'Saisie'!$C$5:$C$2004,C249,'Saisie'!$AM$5:$AM$2004,"&lt;&gt;")-4),""),IFERROR(INDEX('Paramètres'!$S$6:$S$15,MATCH(AN249,'Paramètres'!$Q$6:$Q$15,0)),"")))</f>
        <v/>
      </c>
      <c r="AP249" s="62">
        <f>IF(C249="","",IFERROR(INDEX('Saisie'!$AW$5:$AW$2004,_xlfn.MAXIFS('Saisie'!$AS$5:$AS$2004,'Saisie'!$C$5:$C$2004,C249,'Saisie'!$E$5:$E$2004,"Proposition envoyée")-4),""))</f>
        <v/>
      </c>
      <c r="AQ249" s="106">
        <f>IF(C249="","",IFERROR(1/(1/_xlfn.MAXIFS('Saisie'!$A$5:$A$2004,'Saisie'!$C$5:$C$2004,C249,'Saisie'!$E$5:$E$2004,"Proposition envoyée")),""))</f>
        <v/>
      </c>
      <c r="AR249" s="106">
        <f>IF(C249="","",IF(AQ249="","",AQ249+'Paramètres'!$B$26))</f>
        <v/>
      </c>
      <c r="AS249" s="62">
        <f>IF(OR(C249="",D249="Gagné",D249="Perdu"),0,N(AP249)*IFERROR(INDEX('Paramètres'!$G$6:$G$13,MATCH(D249,'Paramètres'!$F$6:$F$13,0)),0))</f>
        <v/>
      </c>
      <c r="AT249" s="106">
        <f>IF(C249="","",IFERROR(1/(1/_xlfn.MINIFS('Saisie'!$A$5:$A$2004,'Saisie'!$C$5:$C$2004,C249,'Saisie'!$E$5:$E$2004,"Signature")),""))</f>
        <v/>
      </c>
      <c r="AU249" s="60">
        <f>IF(C249="","",IF(OR(AT249="",B249=""),"",AT249-B249))</f>
        <v/>
      </c>
      <c r="AV249" s="60">
        <f>IF(C249="","",IFERROR(INDEX('Saisie'!$L$5:$L$2004,_xlfn.MAXIFS('Saisie'!$AS$5:$AS$2004,'Saisie'!$C$5:$C$2004,C249,'Saisie'!$L$5:$L$2004,"&lt;&gt;")-4),""))</f>
        <v/>
      </c>
      <c r="AW249" s="106">
        <f>IF(C249="","",IF(D249&lt;&gt;"Perdu","",IFERROR(1/(1/_xlfn.MAXIFS('Saisie'!$A$5:$A$2004,'Saisie'!$C$5:$C$2004,C249,'Saisie'!$E$5:$E$2004,"Perdu")),"")))</f>
        <v/>
      </c>
      <c r="AX249" s="106">
        <f>IF(C249="","",IF(AW249="","",AW249+'Paramètres'!$B$28))</f>
        <v/>
      </c>
      <c r="AY249" s="60">
        <f>IF(C249="","",SUMIFS('Saisie'!$H$5:$H$2004,'Saisie'!$C$5:$C$2004,C249))</f>
        <v/>
      </c>
      <c r="AZ249" s="60">
        <f>IF(C249="","",IFERROR(INDEX('Paramètres'!$W$6:$W$20,MATCH(S249,'Paramètres'!$V$6:$V$20,0))&amp;"",""))</f>
        <v/>
      </c>
      <c r="BA249" s="60">
        <f>IF(C249="","",MAX(1,_xlfn.MAXIFS('Saisie'!$AT$5:$AT$2004,'Saisie'!$C$5:$C$2004,C249)))</f>
        <v/>
      </c>
      <c r="BB249" s="60">
        <f>IF(C249="","",IFERROR(INDEX('Saisie'!$X$5:$X$2004,_xlfn.MAXIFS('Saisie'!$AS$5:$AS$2004,'Saisie'!$C$5:$C$2004,C249,'Saisie'!$X$5:$X$2004,"&lt;&gt;")-4),""))</f>
        <v/>
      </c>
      <c r="BC249" s="60">
        <f>IF(C249="","",IFERROR(INDEX('Saisie'!$Y$5:$Y$2004,_xlfn.MAXIFS('Saisie'!$AS$5:$AS$2004,'Saisie'!$C$5:$C$2004,C249,'Saisie'!$Y$5:$Y$2004,"&lt;&gt;")-4),""))</f>
        <v/>
      </c>
      <c r="BD249" s="106">
        <f>IF(C249="","",IFERROR(1/(1/_xlfn.MINIFS('Saisie'!$A$5:$A$2004,'Saisie'!$C$5:$C$2004,C249,'Saisie'!$AT$5:$AT$2004,"&gt;=2")),""))</f>
        <v/>
      </c>
      <c r="BE249" s="106">
        <f>IF(C249="","",IFERROR(1/(1/_xlfn.MINIFS('Saisie'!$A$5:$A$2004,'Saisie'!$C$5:$C$2004,C249,'Saisie'!$AT$5:$AT$2004,"&gt;=3")),""))</f>
        <v/>
      </c>
      <c r="BF249" s="106">
        <f>IF(C249="","",IFERROR(1/(1/_xlfn.MINIFS('Saisie'!$A$5:$A$2004,'Saisie'!$C$5:$C$2004,C249,'Saisie'!$AT$5:$AT$2004,"&gt;=4")),""))</f>
        <v/>
      </c>
      <c r="BG249" s="106">
        <f>IF(C249="","",IFERROR(1/(1/_xlfn.MINIFS('Saisie'!$A$5:$A$2004,'Saisie'!$C$5:$C$2004,C249,'Saisie'!$AT$5:$AT$2004,"&gt;=5")),""))</f>
        <v/>
      </c>
      <c r="BH249" s="106">
        <f>IF(C249="","",IFERROR(1/(1/_xlfn.MINIFS('Saisie'!$A$5:$A$2004,'Saisie'!$C$5:$C$2004,C249,'Saisie'!$AT$5:$AT$2004,"&gt;=6")),""))</f>
        <v/>
      </c>
      <c r="BI249" s="106">
        <f>IF(C249="","",IFERROR(1/(1/_xlfn.MINIFS('Saisie'!$A$5:$A$2004,'Saisie'!$C$5:$C$2004,C249,'Saisie'!$AT$5:$AT$2004,"&gt;=7")),""))</f>
        <v/>
      </c>
      <c r="BJ249" s="60">
        <f>IF(OR(BD249="",B249=""),"",BD249-B249)</f>
        <v/>
      </c>
      <c r="BK249" s="60">
        <f>IF(OR(BE249="",BD249=""),"",BE249-BD249)</f>
        <v/>
      </c>
      <c r="BL249" s="60">
        <f>IF(OR(BF249="",BE249=""),"",BF249-BE249)</f>
        <v/>
      </c>
      <c r="BM249" s="60">
        <f>IF(OR(BG249="",BF249=""),"",BG249-BF249)</f>
        <v/>
      </c>
      <c r="BN249" s="60">
        <f>IF(OR(BH249="",BG249=""),"",BH249-BG249)</f>
        <v/>
      </c>
      <c r="BO249" s="60">
        <f>IF(OR(BI249="",BH249=""),"",BI249-BH249)</f>
        <v/>
      </c>
      <c r="BP249" s="60">
        <f>IF(C249="","",_xlfn.MAXIFS('Saisie'!$AS$5:$AS$2004,'Saisie'!$C$5:$C$2004,C249,'Saisie'!$J$5:$J$2004,"&lt;&gt;"))</f>
        <v/>
      </c>
      <c r="BQ249" s="60">
        <f>IF(C249="","",_xlfn.MAXIFS('Saisie'!$AS$5:$AS$2004,'Saisie'!$C$5:$C$2004,C249))</f>
        <v/>
      </c>
      <c r="BR249" s="60">
        <f>IF(C249="","",_xlfn.MAXIFS('Saisie'!$AS$5:$AS$2004,'Saisie'!$C$5:$C$2004,C249,'Saisie'!$E$5:$E$2004,"Perdu"))</f>
        <v/>
      </c>
      <c r="BS249" s="60">
        <f>IF(C249="","",_xlfn.MAXIFS('Saisie'!$AS$5:$AS$2004,'Saisie'!$C$5:$C$2004,C249,'Saisie'!$AT$5:$AT$2004,"&gt;0"))</f>
        <v/>
      </c>
      <c r="BT249" s="109">
        <f>IF(AND(C249&lt;&gt;"",OR(D249="Nouveau",D249="Contacté",D249="Qualifié"),OR(G249="",N(G249)&lt;=TODAY()),NOT(AND(O249&gt;='Paramètres'!$B$21,P249=0))),E249+245/10000,"")</f>
        <v/>
      </c>
      <c r="BU249" s="60">
        <f>IF(AND(G249&lt;&gt;"",N(G249)&lt;=TODAY()),MAX($BU$4:BU248)+1,"")</f>
        <v/>
      </c>
      <c r="BV249" s="60">
        <f>IF(AND(F249&lt;&gt;"",F249&lt;&gt;"Relance en retard"),MAX($BV$4:BV248)+1,"")</f>
        <v/>
      </c>
      <c r="BW249" s="60">
        <f>IF(C249="","",IF(AND(B249&gt;='Tableau de bord'!$R$4,B249&lt;='Tableau de bord'!$S$4,OR('Tableau de bord'!$G$4="Tous",N249='Tableau de bord'!$G$4)),1,0))</f>
        <v/>
      </c>
      <c r="BX249" s="60">
        <f>IF(AND(C249&lt;&gt;"",N(BA249)=7),MAX($BX$4:BX248)+1,"")</f>
        <v/>
      </c>
    </row>
    <row r="250">
      <c r="A250" s="60">
        <f>IF(C250="","","P-"&amp;TEXT(246,"000"))</f>
        <v/>
      </c>
      <c r="B250" s="106">
        <f>IF(C250="","",IFERROR(1/(1/_xlfn.MINIFS('Saisie'!$A$5:$A$2004,'Saisie'!$C$5:$C$2004,C250)),""))</f>
        <v/>
      </c>
      <c r="C250" s="60">
        <f>IFERROR(INDEX('Saisie'!$C$5:$C$2004,MATCH(246,'Saisie'!$AX$5:$AX$2004,0)),"")</f>
        <v/>
      </c>
      <c r="D250" s="60">
        <f>IF(C250="","",IF(AND(BR250&gt;0,BR250&gt;BS250,BA250&lt;7),"Perdu",INDEX('Paramètres'!$F$6:$F$13,BA250)))</f>
        <v/>
      </c>
      <c r="E250" s="61">
        <f>IF(C250="","",MIN(100,(Z250="Oui")*'Paramètres'!$B$38+(AB250="Régulière")*'Paramètres'!$B$39+IF(AND(N(AA250)&gt;0,TODAY()-N(AA250)&lt;=30),'Paramètres'!$B$40,0)+(W250="")*'Paramètres'!$B$41+(AC250="Absente")*'Paramètres'!$B$42+(AC250="Faible")*'Paramètres'!$B$43+IF(AND(N(AD250)&gt;0,N(AD250)&lt;4),'Paramètres'!$B$44,0)+(AF250="Moyenne")*'Paramètres'!$B$45+(AF250="Grande")*'Paramètres'!$B$46+(Y250&lt;&gt;"")*'Paramètres'!$B$47))</f>
        <v/>
      </c>
      <c r="F250" s="60">
        <f>IF(C250="","",IF(D250="Gagné","",IF(D250="Perdu",IF(AND(AX250&lt;&gt;"",AX250&lt;=TODAY()),"À recontacter (perdu)",""),IF(AND(O250&gt;='Paramètres'!$B$21,P250=0),"Stop : "&amp;'Paramètres'!$B$21&amp;" tentatives sans réponse",IF(AND(D250="Proposition",AR250&lt;&gt;"",TODAY()&gt;N(AR250)),"Proposition expirée",IF(AND(D250="Proposition",N(R250)&gt;='Paramètres'!$B$25),"Proposition sans réponse",IF(AND(G250&lt;&gt;"",N(G250)&lt;TODAY()),"Relance en retard",IF(N(R250)&gt;='Paramètres'!$B$24,"Sans action depuis "&amp;R250&amp;" j",""))))))))</f>
        <v/>
      </c>
      <c r="G250" s="106">
        <f>IF(OR(C250="",D250="Gagné",D250="Perdu"),"",IF(AND(BP250&gt;0,BP250=BQ250),INDEX('Saisie'!$J$5:$J$2004,BP250-4),IF(OR(O250=0,AND(O250&gt;='Paramètres'!$B$21,P250=0)),"",Q250+IF(O250&lt;=1,'Paramètres'!$B$18,IF(O250=2,'Paramètres'!$B$19,'Paramètres'!$B$20)))))</f>
        <v/>
      </c>
      <c r="H250" s="107">
        <f>IF(OR(G250="",BP250&lt;&gt;BQ250),"",IF(INDEX('Saisie'!$K$5:$K$2004,BP250-4)="","",INDEX('Saisie'!$K$5:$K$2004,BP250-4)))</f>
        <v/>
      </c>
      <c r="I250" s="60">
        <f>IF(C250="","",IF(OR(D250="Gagné",D250="Perdu"),"",IFERROR(INDEX('Saisie'!$I$5:$I$2004,_xlfn.MAXIFS('Saisie'!$AS$5:$AS$2004,'Saisie'!$C$5:$C$2004,C250,'Saisie'!$I$5:$I$2004,"&lt;&gt;")-4),"")))</f>
        <v/>
      </c>
      <c r="J250" s="60">
        <f>IF(C250="","",IFERROR(INDEX('Saisie'!$U$5:$U$2004,_xlfn.MAXIFS('Saisie'!$AS$5:$AS$2004,'Saisie'!$C$5:$C$2004,C250,'Saisie'!$U$5:$U$2004,"&lt;&gt;")-4),""))</f>
        <v/>
      </c>
      <c r="K250" s="60">
        <f>IF(C250="","",IFERROR(INDEX('Saisie'!$W$5:$W$2004,_xlfn.MAXIFS('Saisie'!$AS$5:$AS$2004,'Saisie'!$C$5:$C$2004,C250,'Saisie'!$W$5:$W$2004,"&lt;&gt;")-4),""))</f>
        <v/>
      </c>
      <c r="L250" s="60">
        <f>IF(IF(BB250&lt;&gt;"",BB250,K250)="","",HYPERLINK("https://wa.me/"&amp;IF(LEFT(SUBSTITUTE(SUBSTITUTE(SUBSTITUTE(IF(BB250&lt;&gt;"",BB250,K250)," ",""),".",""),"+",""),1)="0",'Paramètres'!$B$35&amp;MID(SUBSTITUTE(SUBSTITUTE(SUBSTITUTE(IF(BB250&lt;&gt;"",BB250,K250)," ",""),".",""),"+",""),2,20),SUBSTITUTE(SUBSTITUTE(SUBSTITUTE(IF(BB250&lt;&gt;"",BB250,K250)," ",""),".",""),"+","")),"WhatsApp"))</f>
        <v/>
      </c>
      <c r="M250" s="60">
        <f>IF(BC250="","",HYPERLINK(IF(LEFT(BC250,4)="http",BC250,"https://www.instagram.com/"&amp;SUBSTITUTE(SUBSTITUTE(BC250,"@","")," ","")),BC250))</f>
        <v/>
      </c>
      <c r="N250" s="60">
        <f>IF(C250="","",IFERROR(INDEX('Saisie'!$D$5:$D$2004,_xlfn.MINIFS('Saisie'!$AS$5:$AS$2004,'Saisie'!$C$5:$C$2004,C250,'Saisie'!$AU$5:$AU$2004,1)-4),IFERROR(INDEX('Saisie'!$D$5:$D$2004,_xlfn.MINIFS('Saisie'!$AS$5:$AS$2004,'Saisie'!$C$5:$C$2004,C250,'Saisie'!$D$5:$D$2004,"&lt;&gt;")-4),"")))</f>
        <v/>
      </c>
      <c r="O250" s="60">
        <f>IF(C250="","",COUNTIFS('Saisie'!$C$5:$C$2004,C250,'Saisie'!$AU$5:$AU$2004,1))</f>
        <v/>
      </c>
      <c r="P250" s="60">
        <f>IF(C250="","",COUNTIFS('Saisie'!$C$5:$C$2004,C250,'Saisie'!$AV$5:$AV$2004,1))</f>
        <v/>
      </c>
      <c r="Q250" s="106">
        <f>IF(C250="","",IFERROR(1/(1/_xlfn.MAXIFS('Saisie'!$A$5:$A$2004,'Saisie'!$C$5:$C$2004,C250)),""))</f>
        <v/>
      </c>
      <c r="R250" s="61">
        <f>IF(C250="","",IF(Q250="","",TODAY()-Q250))</f>
        <v/>
      </c>
      <c r="S250" s="60">
        <f>IF(C250="","",IFERROR(INDEX('Saisie'!$R$5:$R$2004,_xlfn.MAXIFS('Saisie'!$AS$5:$AS$2004,'Saisie'!$C$5:$C$2004,C250,'Saisie'!$R$5:$R$2004,"&lt;&gt;")-4),""))</f>
        <v/>
      </c>
      <c r="T250" s="60">
        <f>IF(C250="","",IFERROR(INDEX('Saisie'!$S$5:$S$2004,_xlfn.MAXIFS('Saisie'!$AS$5:$AS$2004,'Saisie'!$C$5:$C$2004,C250,'Saisie'!$S$5:$S$2004,"&lt;&gt;")-4),""))</f>
        <v/>
      </c>
      <c r="U250" s="60">
        <f>IF(C250="","",IFERROR(INDEX('Saisie'!$T$5:$T$2004,_xlfn.MAXIFS('Saisie'!$AS$5:$AS$2004,'Saisie'!$C$5:$C$2004,C250,'Saisie'!$T$5:$T$2004,"&lt;&gt;")-4),""))</f>
        <v/>
      </c>
      <c r="V250" s="60">
        <f>IF(C250="","",IFERROR(INDEX('Saisie'!$V$5:$V$2004,_xlfn.MAXIFS('Saisie'!$AS$5:$AS$2004,'Saisie'!$C$5:$C$2004,C250,'Saisie'!$V$5:$V$2004,"&lt;&gt;")-4),""))</f>
        <v/>
      </c>
      <c r="W250" s="60">
        <f>IF(C250="","",IFERROR(INDEX('Saisie'!$Z$5:$Z$2004,_xlfn.MAXIFS('Saisie'!$AS$5:$AS$2004,'Saisie'!$C$5:$C$2004,C250,'Saisie'!$Z$5:$Z$2004,"&lt;&gt;")-4),""))</f>
        <v/>
      </c>
      <c r="X250" s="60">
        <f>IF(C250="","",IFERROR(INDEX('Saisie'!$AA$5:$AA$2004,_xlfn.MAXIFS('Saisie'!$AS$5:$AS$2004,'Saisie'!$C$5:$C$2004,C250,'Saisie'!$AA$5:$AA$2004,"&lt;&gt;")-4),""))</f>
        <v/>
      </c>
      <c r="Y250" s="60">
        <f>IF(C250="","",IFERROR(INDEX('Saisie'!$AB$5:$AB$2004,_xlfn.MAXIFS('Saisie'!$AS$5:$AS$2004,'Saisie'!$C$5:$C$2004,C250,'Saisie'!$AB$5:$AB$2004,"&lt;&gt;")-4),""))</f>
        <v/>
      </c>
      <c r="Z250" s="60">
        <f>IF(C250="","",IFERROR(INDEX('Saisie'!$AC$5:$AC$2004,_xlfn.MAXIFS('Saisie'!$AS$5:$AS$2004,'Saisie'!$C$5:$C$2004,C250,'Saisie'!$AC$5:$AC$2004,"&lt;&gt;")-4),""))</f>
        <v/>
      </c>
      <c r="AA250" s="106">
        <f>IF(C250="","",IFERROR(INDEX('Saisie'!$AD$5:$AD$2004,_xlfn.MAXIFS('Saisie'!$AS$5:$AS$2004,'Saisie'!$C$5:$C$2004,C250,'Saisie'!$AD$5:$AD$2004,"&lt;&gt;")-4),""))</f>
        <v/>
      </c>
      <c r="AB250" s="60">
        <f>IF(C250="","",IFERROR(INDEX('Saisie'!$AE$5:$AE$2004,_xlfn.MAXIFS('Saisie'!$AS$5:$AS$2004,'Saisie'!$C$5:$C$2004,C250,'Saisie'!$AE$5:$AE$2004,"&lt;&gt;")-4),""))</f>
        <v/>
      </c>
      <c r="AC250" s="60">
        <f>IF(C250="","",IFERROR(INDEX('Saisie'!$AF$5:$AF$2004,_xlfn.MAXIFS('Saisie'!$AS$5:$AS$2004,'Saisie'!$C$5:$C$2004,C250,'Saisie'!$AF$5:$AF$2004,"&lt;&gt;")-4),""))</f>
        <v/>
      </c>
      <c r="AD250" s="108">
        <f>IF(C250="","",IFERROR(INDEX('Saisie'!$AG$5:$AG$2004,_xlfn.MAXIFS('Saisie'!$AS$5:$AS$2004,'Saisie'!$C$5:$C$2004,C250,'Saisie'!$AG$5:$AG$2004,"&lt;&gt;")-4),""))</f>
        <v/>
      </c>
      <c r="AE250" s="60">
        <f>IF(C250="","",IFERROR(INDEX('Saisie'!$AH$5:$AH$2004,_xlfn.MAXIFS('Saisie'!$AS$5:$AS$2004,'Saisie'!$C$5:$C$2004,C250,'Saisie'!$AH$5:$AH$2004,"&lt;&gt;")-4),""))</f>
        <v/>
      </c>
      <c r="AF250" s="60">
        <f>IF(C250="","",IFERROR(INDEX('Saisie'!$AI$5:$AI$2004,_xlfn.MAXIFS('Saisie'!$AS$5:$AS$2004,'Saisie'!$C$5:$C$2004,C250,'Saisie'!$AI$5:$AI$2004,"&lt;&gt;")-4),""))</f>
        <v/>
      </c>
      <c r="AG250" s="60">
        <f>IF(C250="","",IFERROR(INDEX('Saisie'!$AJ$5:$AJ$2004,_xlfn.MAXIFS('Saisie'!$AS$5:$AS$2004,'Saisie'!$C$5:$C$2004,C250,'Saisie'!$AJ$5:$AJ$2004,"&lt;&gt;")-4),""))</f>
        <v/>
      </c>
      <c r="AH250" s="60">
        <f>IF(C250="","",IFERROR(INDEX('Saisie'!$AK$5:$AK$2004,_xlfn.MAXIFS('Saisie'!$AS$5:$AS$2004,'Saisie'!$C$5:$C$2004,C250,'Saisie'!$AK$5:$AK$2004,"&lt;&gt;")-4),""))</f>
        <v/>
      </c>
      <c r="AI250" s="60">
        <f>IF(C250="","",IFERROR(INDEX('Saisie'!$AN$5:$AN$2004,_xlfn.MAXIFS('Saisie'!$AS$5:$AS$2004,'Saisie'!$C$5:$C$2004,C250,'Saisie'!$AN$5:$AN$2004,"&lt;&gt;")-4),""))</f>
        <v/>
      </c>
      <c r="AJ250" s="60">
        <f>IF(C250="","",IFERROR(INDEX('Saisie'!$AO$5:$AO$2004,_xlfn.MAXIFS('Saisie'!$AS$5:$AS$2004,'Saisie'!$C$5:$C$2004,C250,'Saisie'!$AO$5:$AO$2004,"&lt;&gt;")-4),""))</f>
        <v/>
      </c>
      <c r="AK250" s="60">
        <f>IF(C250="","",IFERROR(INDEX('Saisie'!$AP$5:$AP$2004,_xlfn.MAXIFS('Saisie'!$AS$5:$AS$2004,'Saisie'!$C$5:$C$2004,C250,'Saisie'!$AP$5:$AP$2004,"&lt;&gt;")-4),""))</f>
        <v/>
      </c>
      <c r="AL250" s="60">
        <f>IF(C250="","",IFERROR(INDEX('Saisie'!$AQ$5:$AQ$2004,_xlfn.MAXIFS('Saisie'!$AS$5:$AS$2004,'Saisie'!$C$5:$C$2004,C250,'Saisie'!$AQ$5:$AQ$2004,"&lt;&gt;")-4),""))</f>
        <v/>
      </c>
      <c r="AM250" s="60">
        <f>IF(C250="","",((AI250="Oui")+(AJ250="Oui")+(AK250="Oui")+OR(AL250="Immédiat",AL250="&lt; 1 mois"))&amp;"/4")</f>
        <v/>
      </c>
      <c r="AN250" s="60">
        <f>IF(C250="","",IFERROR(INDEX('Saisie'!$AL$5:$AL$2004,_xlfn.MAXIFS('Saisie'!$AS$5:$AS$2004,'Saisie'!$C$5:$C$2004,C250,'Saisie'!$AL$5:$AL$2004,"&lt;&gt;")-4),""))</f>
        <v/>
      </c>
      <c r="AO250" s="62">
        <f>IF(C250="","",IF(IFERROR(INDEX('Saisie'!$AM$5:$AM$2004,_xlfn.MAXIFS('Saisie'!$AS$5:$AS$2004,'Saisie'!$C$5:$C$2004,C250,'Saisie'!$AM$5:$AM$2004,"&lt;&gt;")-4),"")&lt;&gt;"",IFERROR(INDEX('Saisie'!$AM$5:$AM$2004,_xlfn.MAXIFS('Saisie'!$AS$5:$AS$2004,'Saisie'!$C$5:$C$2004,C250,'Saisie'!$AM$5:$AM$2004,"&lt;&gt;")-4),""),IFERROR(INDEX('Paramètres'!$S$6:$S$15,MATCH(AN250,'Paramètres'!$Q$6:$Q$15,0)),"")))</f>
        <v/>
      </c>
      <c r="AP250" s="62">
        <f>IF(C250="","",IFERROR(INDEX('Saisie'!$AW$5:$AW$2004,_xlfn.MAXIFS('Saisie'!$AS$5:$AS$2004,'Saisie'!$C$5:$C$2004,C250,'Saisie'!$E$5:$E$2004,"Proposition envoyée")-4),""))</f>
        <v/>
      </c>
      <c r="AQ250" s="106">
        <f>IF(C250="","",IFERROR(1/(1/_xlfn.MAXIFS('Saisie'!$A$5:$A$2004,'Saisie'!$C$5:$C$2004,C250,'Saisie'!$E$5:$E$2004,"Proposition envoyée")),""))</f>
        <v/>
      </c>
      <c r="AR250" s="106">
        <f>IF(C250="","",IF(AQ250="","",AQ250+'Paramètres'!$B$26))</f>
        <v/>
      </c>
      <c r="AS250" s="62">
        <f>IF(OR(C250="",D250="Gagné",D250="Perdu"),0,N(AP250)*IFERROR(INDEX('Paramètres'!$G$6:$G$13,MATCH(D250,'Paramètres'!$F$6:$F$13,0)),0))</f>
        <v/>
      </c>
      <c r="AT250" s="106">
        <f>IF(C250="","",IFERROR(1/(1/_xlfn.MINIFS('Saisie'!$A$5:$A$2004,'Saisie'!$C$5:$C$2004,C250,'Saisie'!$E$5:$E$2004,"Signature")),""))</f>
        <v/>
      </c>
      <c r="AU250" s="60">
        <f>IF(C250="","",IF(OR(AT250="",B250=""),"",AT250-B250))</f>
        <v/>
      </c>
      <c r="AV250" s="60">
        <f>IF(C250="","",IFERROR(INDEX('Saisie'!$L$5:$L$2004,_xlfn.MAXIFS('Saisie'!$AS$5:$AS$2004,'Saisie'!$C$5:$C$2004,C250,'Saisie'!$L$5:$L$2004,"&lt;&gt;")-4),""))</f>
        <v/>
      </c>
      <c r="AW250" s="106">
        <f>IF(C250="","",IF(D250&lt;&gt;"Perdu","",IFERROR(1/(1/_xlfn.MAXIFS('Saisie'!$A$5:$A$2004,'Saisie'!$C$5:$C$2004,C250,'Saisie'!$E$5:$E$2004,"Perdu")),"")))</f>
        <v/>
      </c>
      <c r="AX250" s="106">
        <f>IF(C250="","",IF(AW250="","",AW250+'Paramètres'!$B$28))</f>
        <v/>
      </c>
      <c r="AY250" s="60">
        <f>IF(C250="","",SUMIFS('Saisie'!$H$5:$H$2004,'Saisie'!$C$5:$C$2004,C250))</f>
        <v/>
      </c>
      <c r="AZ250" s="60">
        <f>IF(C250="","",IFERROR(INDEX('Paramètres'!$W$6:$W$20,MATCH(S250,'Paramètres'!$V$6:$V$20,0))&amp;"",""))</f>
        <v/>
      </c>
      <c r="BA250" s="60">
        <f>IF(C250="","",MAX(1,_xlfn.MAXIFS('Saisie'!$AT$5:$AT$2004,'Saisie'!$C$5:$C$2004,C250)))</f>
        <v/>
      </c>
      <c r="BB250" s="60">
        <f>IF(C250="","",IFERROR(INDEX('Saisie'!$X$5:$X$2004,_xlfn.MAXIFS('Saisie'!$AS$5:$AS$2004,'Saisie'!$C$5:$C$2004,C250,'Saisie'!$X$5:$X$2004,"&lt;&gt;")-4),""))</f>
        <v/>
      </c>
      <c r="BC250" s="60">
        <f>IF(C250="","",IFERROR(INDEX('Saisie'!$Y$5:$Y$2004,_xlfn.MAXIFS('Saisie'!$AS$5:$AS$2004,'Saisie'!$C$5:$C$2004,C250,'Saisie'!$Y$5:$Y$2004,"&lt;&gt;")-4),""))</f>
        <v/>
      </c>
      <c r="BD250" s="106">
        <f>IF(C250="","",IFERROR(1/(1/_xlfn.MINIFS('Saisie'!$A$5:$A$2004,'Saisie'!$C$5:$C$2004,C250,'Saisie'!$AT$5:$AT$2004,"&gt;=2")),""))</f>
        <v/>
      </c>
      <c r="BE250" s="106">
        <f>IF(C250="","",IFERROR(1/(1/_xlfn.MINIFS('Saisie'!$A$5:$A$2004,'Saisie'!$C$5:$C$2004,C250,'Saisie'!$AT$5:$AT$2004,"&gt;=3")),""))</f>
        <v/>
      </c>
      <c r="BF250" s="106">
        <f>IF(C250="","",IFERROR(1/(1/_xlfn.MINIFS('Saisie'!$A$5:$A$2004,'Saisie'!$C$5:$C$2004,C250,'Saisie'!$AT$5:$AT$2004,"&gt;=4")),""))</f>
        <v/>
      </c>
      <c r="BG250" s="106">
        <f>IF(C250="","",IFERROR(1/(1/_xlfn.MINIFS('Saisie'!$A$5:$A$2004,'Saisie'!$C$5:$C$2004,C250,'Saisie'!$AT$5:$AT$2004,"&gt;=5")),""))</f>
        <v/>
      </c>
      <c r="BH250" s="106">
        <f>IF(C250="","",IFERROR(1/(1/_xlfn.MINIFS('Saisie'!$A$5:$A$2004,'Saisie'!$C$5:$C$2004,C250,'Saisie'!$AT$5:$AT$2004,"&gt;=6")),""))</f>
        <v/>
      </c>
      <c r="BI250" s="106">
        <f>IF(C250="","",IFERROR(1/(1/_xlfn.MINIFS('Saisie'!$A$5:$A$2004,'Saisie'!$C$5:$C$2004,C250,'Saisie'!$AT$5:$AT$2004,"&gt;=7")),""))</f>
        <v/>
      </c>
      <c r="BJ250" s="60">
        <f>IF(OR(BD250="",B250=""),"",BD250-B250)</f>
        <v/>
      </c>
      <c r="BK250" s="60">
        <f>IF(OR(BE250="",BD250=""),"",BE250-BD250)</f>
        <v/>
      </c>
      <c r="BL250" s="60">
        <f>IF(OR(BF250="",BE250=""),"",BF250-BE250)</f>
        <v/>
      </c>
      <c r="BM250" s="60">
        <f>IF(OR(BG250="",BF250=""),"",BG250-BF250)</f>
        <v/>
      </c>
      <c r="BN250" s="60">
        <f>IF(OR(BH250="",BG250=""),"",BH250-BG250)</f>
        <v/>
      </c>
      <c r="BO250" s="60">
        <f>IF(OR(BI250="",BH250=""),"",BI250-BH250)</f>
        <v/>
      </c>
      <c r="BP250" s="60">
        <f>IF(C250="","",_xlfn.MAXIFS('Saisie'!$AS$5:$AS$2004,'Saisie'!$C$5:$C$2004,C250,'Saisie'!$J$5:$J$2004,"&lt;&gt;"))</f>
        <v/>
      </c>
      <c r="BQ250" s="60">
        <f>IF(C250="","",_xlfn.MAXIFS('Saisie'!$AS$5:$AS$2004,'Saisie'!$C$5:$C$2004,C250))</f>
        <v/>
      </c>
      <c r="BR250" s="60">
        <f>IF(C250="","",_xlfn.MAXIFS('Saisie'!$AS$5:$AS$2004,'Saisie'!$C$5:$C$2004,C250,'Saisie'!$E$5:$E$2004,"Perdu"))</f>
        <v/>
      </c>
      <c r="BS250" s="60">
        <f>IF(C250="","",_xlfn.MAXIFS('Saisie'!$AS$5:$AS$2004,'Saisie'!$C$5:$C$2004,C250,'Saisie'!$AT$5:$AT$2004,"&gt;0"))</f>
        <v/>
      </c>
      <c r="BT250" s="109">
        <f>IF(AND(C250&lt;&gt;"",OR(D250="Nouveau",D250="Contacté",D250="Qualifié"),OR(G250="",N(G250)&lt;=TODAY()),NOT(AND(O250&gt;='Paramètres'!$B$21,P250=0))),E250+246/10000,"")</f>
        <v/>
      </c>
      <c r="BU250" s="60">
        <f>IF(AND(G250&lt;&gt;"",N(G250)&lt;=TODAY()),MAX($BU$4:BU249)+1,"")</f>
        <v/>
      </c>
      <c r="BV250" s="60">
        <f>IF(AND(F250&lt;&gt;"",F250&lt;&gt;"Relance en retard"),MAX($BV$4:BV249)+1,"")</f>
        <v/>
      </c>
      <c r="BW250" s="60">
        <f>IF(C250="","",IF(AND(B250&gt;='Tableau de bord'!$R$4,B250&lt;='Tableau de bord'!$S$4,OR('Tableau de bord'!$G$4="Tous",N250='Tableau de bord'!$G$4)),1,0))</f>
        <v/>
      </c>
      <c r="BX250" s="60">
        <f>IF(AND(C250&lt;&gt;"",N(BA250)=7),MAX($BX$4:BX249)+1,"")</f>
        <v/>
      </c>
    </row>
    <row r="251">
      <c r="A251" s="60">
        <f>IF(C251="","","P-"&amp;TEXT(247,"000"))</f>
        <v/>
      </c>
      <c r="B251" s="106">
        <f>IF(C251="","",IFERROR(1/(1/_xlfn.MINIFS('Saisie'!$A$5:$A$2004,'Saisie'!$C$5:$C$2004,C251)),""))</f>
        <v/>
      </c>
      <c r="C251" s="60">
        <f>IFERROR(INDEX('Saisie'!$C$5:$C$2004,MATCH(247,'Saisie'!$AX$5:$AX$2004,0)),"")</f>
        <v/>
      </c>
      <c r="D251" s="60">
        <f>IF(C251="","",IF(AND(BR251&gt;0,BR251&gt;BS251,BA251&lt;7),"Perdu",INDEX('Paramètres'!$F$6:$F$13,BA251)))</f>
        <v/>
      </c>
      <c r="E251" s="61">
        <f>IF(C251="","",MIN(100,(Z251="Oui")*'Paramètres'!$B$38+(AB251="Régulière")*'Paramètres'!$B$39+IF(AND(N(AA251)&gt;0,TODAY()-N(AA251)&lt;=30),'Paramètres'!$B$40,0)+(W251="")*'Paramètres'!$B$41+(AC251="Absente")*'Paramètres'!$B$42+(AC251="Faible")*'Paramètres'!$B$43+IF(AND(N(AD251)&gt;0,N(AD251)&lt;4),'Paramètres'!$B$44,0)+(AF251="Moyenne")*'Paramètres'!$B$45+(AF251="Grande")*'Paramètres'!$B$46+(Y251&lt;&gt;"")*'Paramètres'!$B$47))</f>
        <v/>
      </c>
      <c r="F251" s="60">
        <f>IF(C251="","",IF(D251="Gagné","",IF(D251="Perdu",IF(AND(AX251&lt;&gt;"",AX251&lt;=TODAY()),"À recontacter (perdu)",""),IF(AND(O251&gt;='Paramètres'!$B$21,P251=0),"Stop : "&amp;'Paramètres'!$B$21&amp;" tentatives sans réponse",IF(AND(D251="Proposition",AR251&lt;&gt;"",TODAY()&gt;N(AR251)),"Proposition expirée",IF(AND(D251="Proposition",N(R251)&gt;='Paramètres'!$B$25),"Proposition sans réponse",IF(AND(G251&lt;&gt;"",N(G251)&lt;TODAY()),"Relance en retard",IF(N(R251)&gt;='Paramètres'!$B$24,"Sans action depuis "&amp;R251&amp;" j",""))))))))</f>
        <v/>
      </c>
      <c r="G251" s="106">
        <f>IF(OR(C251="",D251="Gagné",D251="Perdu"),"",IF(AND(BP251&gt;0,BP251=BQ251),INDEX('Saisie'!$J$5:$J$2004,BP251-4),IF(OR(O251=0,AND(O251&gt;='Paramètres'!$B$21,P251=0)),"",Q251+IF(O251&lt;=1,'Paramètres'!$B$18,IF(O251=2,'Paramètres'!$B$19,'Paramètres'!$B$20)))))</f>
        <v/>
      </c>
      <c r="H251" s="107">
        <f>IF(OR(G251="",BP251&lt;&gt;BQ251),"",IF(INDEX('Saisie'!$K$5:$K$2004,BP251-4)="","",INDEX('Saisie'!$K$5:$K$2004,BP251-4)))</f>
        <v/>
      </c>
      <c r="I251" s="60">
        <f>IF(C251="","",IF(OR(D251="Gagné",D251="Perdu"),"",IFERROR(INDEX('Saisie'!$I$5:$I$2004,_xlfn.MAXIFS('Saisie'!$AS$5:$AS$2004,'Saisie'!$C$5:$C$2004,C251,'Saisie'!$I$5:$I$2004,"&lt;&gt;")-4),"")))</f>
        <v/>
      </c>
      <c r="J251" s="60">
        <f>IF(C251="","",IFERROR(INDEX('Saisie'!$U$5:$U$2004,_xlfn.MAXIFS('Saisie'!$AS$5:$AS$2004,'Saisie'!$C$5:$C$2004,C251,'Saisie'!$U$5:$U$2004,"&lt;&gt;")-4),""))</f>
        <v/>
      </c>
      <c r="K251" s="60">
        <f>IF(C251="","",IFERROR(INDEX('Saisie'!$W$5:$W$2004,_xlfn.MAXIFS('Saisie'!$AS$5:$AS$2004,'Saisie'!$C$5:$C$2004,C251,'Saisie'!$W$5:$W$2004,"&lt;&gt;")-4),""))</f>
        <v/>
      </c>
      <c r="L251" s="60">
        <f>IF(IF(BB251&lt;&gt;"",BB251,K251)="","",HYPERLINK("https://wa.me/"&amp;IF(LEFT(SUBSTITUTE(SUBSTITUTE(SUBSTITUTE(IF(BB251&lt;&gt;"",BB251,K251)," ",""),".",""),"+",""),1)="0",'Paramètres'!$B$35&amp;MID(SUBSTITUTE(SUBSTITUTE(SUBSTITUTE(IF(BB251&lt;&gt;"",BB251,K251)," ",""),".",""),"+",""),2,20),SUBSTITUTE(SUBSTITUTE(SUBSTITUTE(IF(BB251&lt;&gt;"",BB251,K251)," ",""),".",""),"+","")),"WhatsApp"))</f>
        <v/>
      </c>
      <c r="M251" s="60">
        <f>IF(BC251="","",HYPERLINK(IF(LEFT(BC251,4)="http",BC251,"https://www.instagram.com/"&amp;SUBSTITUTE(SUBSTITUTE(BC251,"@","")," ","")),BC251))</f>
        <v/>
      </c>
      <c r="N251" s="60">
        <f>IF(C251="","",IFERROR(INDEX('Saisie'!$D$5:$D$2004,_xlfn.MINIFS('Saisie'!$AS$5:$AS$2004,'Saisie'!$C$5:$C$2004,C251,'Saisie'!$AU$5:$AU$2004,1)-4),IFERROR(INDEX('Saisie'!$D$5:$D$2004,_xlfn.MINIFS('Saisie'!$AS$5:$AS$2004,'Saisie'!$C$5:$C$2004,C251,'Saisie'!$D$5:$D$2004,"&lt;&gt;")-4),"")))</f>
        <v/>
      </c>
      <c r="O251" s="60">
        <f>IF(C251="","",COUNTIFS('Saisie'!$C$5:$C$2004,C251,'Saisie'!$AU$5:$AU$2004,1))</f>
        <v/>
      </c>
      <c r="P251" s="60">
        <f>IF(C251="","",COUNTIFS('Saisie'!$C$5:$C$2004,C251,'Saisie'!$AV$5:$AV$2004,1))</f>
        <v/>
      </c>
      <c r="Q251" s="106">
        <f>IF(C251="","",IFERROR(1/(1/_xlfn.MAXIFS('Saisie'!$A$5:$A$2004,'Saisie'!$C$5:$C$2004,C251)),""))</f>
        <v/>
      </c>
      <c r="R251" s="61">
        <f>IF(C251="","",IF(Q251="","",TODAY()-Q251))</f>
        <v/>
      </c>
      <c r="S251" s="60">
        <f>IF(C251="","",IFERROR(INDEX('Saisie'!$R$5:$R$2004,_xlfn.MAXIFS('Saisie'!$AS$5:$AS$2004,'Saisie'!$C$5:$C$2004,C251,'Saisie'!$R$5:$R$2004,"&lt;&gt;")-4),""))</f>
        <v/>
      </c>
      <c r="T251" s="60">
        <f>IF(C251="","",IFERROR(INDEX('Saisie'!$S$5:$S$2004,_xlfn.MAXIFS('Saisie'!$AS$5:$AS$2004,'Saisie'!$C$5:$C$2004,C251,'Saisie'!$S$5:$S$2004,"&lt;&gt;")-4),""))</f>
        <v/>
      </c>
      <c r="U251" s="60">
        <f>IF(C251="","",IFERROR(INDEX('Saisie'!$T$5:$T$2004,_xlfn.MAXIFS('Saisie'!$AS$5:$AS$2004,'Saisie'!$C$5:$C$2004,C251,'Saisie'!$T$5:$T$2004,"&lt;&gt;")-4),""))</f>
        <v/>
      </c>
      <c r="V251" s="60">
        <f>IF(C251="","",IFERROR(INDEX('Saisie'!$V$5:$V$2004,_xlfn.MAXIFS('Saisie'!$AS$5:$AS$2004,'Saisie'!$C$5:$C$2004,C251,'Saisie'!$V$5:$V$2004,"&lt;&gt;")-4),""))</f>
        <v/>
      </c>
      <c r="W251" s="60">
        <f>IF(C251="","",IFERROR(INDEX('Saisie'!$Z$5:$Z$2004,_xlfn.MAXIFS('Saisie'!$AS$5:$AS$2004,'Saisie'!$C$5:$C$2004,C251,'Saisie'!$Z$5:$Z$2004,"&lt;&gt;")-4),""))</f>
        <v/>
      </c>
      <c r="X251" s="60">
        <f>IF(C251="","",IFERROR(INDEX('Saisie'!$AA$5:$AA$2004,_xlfn.MAXIFS('Saisie'!$AS$5:$AS$2004,'Saisie'!$C$5:$C$2004,C251,'Saisie'!$AA$5:$AA$2004,"&lt;&gt;")-4),""))</f>
        <v/>
      </c>
      <c r="Y251" s="60">
        <f>IF(C251="","",IFERROR(INDEX('Saisie'!$AB$5:$AB$2004,_xlfn.MAXIFS('Saisie'!$AS$5:$AS$2004,'Saisie'!$C$5:$C$2004,C251,'Saisie'!$AB$5:$AB$2004,"&lt;&gt;")-4),""))</f>
        <v/>
      </c>
      <c r="Z251" s="60">
        <f>IF(C251="","",IFERROR(INDEX('Saisie'!$AC$5:$AC$2004,_xlfn.MAXIFS('Saisie'!$AS$5:$AS$2004,'Saisie'!$C$5:$C$2004,C251,'Saisie'!$AC$5:$AC$2004,"&lt;&gt;")-4),""))</f>
        <v/>
      </c>
      <c r="AA251" s="106">
        <f>IF(C251="","",IFERROR(INDEX('Saisie'!$AD$5:$AD$2004,_xlfn.MAXIFS('Saisie'!$AS$5:$AS$2004,'Saisie'!$C$5:$C$2004,C251,'Saisie'!$AD$5:$AD$2004,"&lt;&gt;")-4),""))</f>
        <v/>
      </c>
      <c r="AB251" s="60">
        <f>IF(C251="","",IFERROR(INDEX('Saisie'!$AE$5:$AE$2004,_xlfn.MAXIFS('Saisie'!$AS$5:$AS$2004,'Saisie'!$C$5:$C$2004,C251,'Saisie'!$AE$5:$AE$2004,"&lt;&gt;")-4),""))</f>
        <v/>
      </c>
      <c r="AC251" s="60">
        <f>IF(C251="","",IFERROR(INDEX('Saisie'!$AF$5:$AF$2004,_xlfn.MAXIFS('Saisie'!$AS$5:$AS$2004,'Saisie'!$C$5:$C$2004,C251,'Saisie'!$AF$5:$AF$2004,"&lt;&gt;")-4),""))</f>
        <v/>
      </c>
      <c r="AD251" s="108">
        <f>IF(C251="","",IFERROR(INDEX('Saisie'!$AG$5:$AG$2004,_xlfn.MAXIFS('Saisie'!$AS$5:$AS$2004,'Saisie'!$C$5:$C$2004,C251,'Saisie'!$AG$5:$AG$2004,"&lt;&gt;")-4),""))</f>
        <v/>
      </c>
      <c r="AE251" s="60">
        <f>IF(C251="","",IFERROR(INDEX('Saisie'!$AH$5:$AH$2004,_xlfn.MAXIFS('Saisie'!$AS$5:$AS$2004,'Saisie'!$C$5:$C$2004,C251,'Saisie'!$AH$5:$AH$2004,"&lt;&gt;")-4),""))</f>
        <v/>
      </c>
      <c r="AF251" s="60">
        <f>IF(C251="","",IFERROR(INDEX('Saisie'!$AI$5:$AI$2004,_xlfn.MAXIFS('Saisie'!$AS$5:$AS$2004,'Saisie'!$C$5:$C$2004,C251,'Saisie'!$AI$5:$AI$2004,"&lt;&gt;")-4),""))</f>
        <v/>
      </c>
      <c r="AG251" s="60">
        <f>IF(C251="","",IFERROR(INDEX('Saisie'!$AJ$5:$AJ$2004,_xlfn.MAXIFS('Saisie'!$AS$5:$AS$2004,'Saisie'!$C$5:$C$2004,C251,'Saisie'!$AJ$5:$AJ$2004,"&lt;&gt;")-4),""))</f>
        <v/>
      </c>
      <c r="AH251" s="60">
        <f>IF(C251="","",IFERROR(INDEX('Saisie'!$AK$5:$AK$2004,_xlfn.MAXIFS('Saisie'!$AS$5:$AS$2004,'Saisie'!$C$5:$C$2004,C251,'Saisie'!$AK$5:$AK$2004,"&lt;&gt;")-4),""))</f>
        <v/>
      </c>
      <c r="AI251" s="60">
        <f>IF(C251="","",IFERROR(INDEX('Saisie'!$AN$5:$AN$2004,_xlfn.MAXIFS('Saisie'!$AS$5:$AS$2004,'Saisie'!$C$5:$C$2004,C251,'Saisie'!$AN$5:$AN$2004,"&lt;&gt;")-4),""))</f>
        <v/>
      </c>
      <c r="AJ251" s="60">
        <f>IF(C251="","",IFERROR(INDEX('Saisie'!$AO$5:$AO$2004,_xlfn.MAXIFS('Saisie'!$AS$5:$AS$2004,'Saisie'!$C$5:$C$2004,C251,'Saisie'!$AO$5:$AO$2004,"&lt;&gt;")-4),""))</f>
        <v/>
      </c>
      <c r="AK251" s="60">
        <f>IF(C251="","",IFERROR(INDEX('Saisie'!$AP$5:$AP$2004,_xlfn.MAXIFS('Saisie'!$AS$5:$AS$2004,'Saisie'!$C$5:$C$2004,C251,'Saisie'!$AP$5:$AP$2004,"&lt;&gt;")-4),""))</f>
        <v/>
      </c>
      <c r="AL251" s="60">
        <f>IF(C251="","",IFERROR(INDEX('Saisie'!$AQ$5:$AQ$2004,_xlfn.MAXIFS('Saisie'!$AS$5:$AS$2004,'Saisie'!$C$5:$C$2004,C251,'Saisie'!$AQ$5:$AQ$2004,"&lt;&gt;")-4),""))</f>
        <v/>
      </c>
      <c r="AM251" s="60">
        <f>IF(C251="","",((AI251="Oui")+(AJ251="Oui")+(AK251="Oui")+OR(AL251="Immédiat",AL251="&lt; 1 mois"))&amp;"/4")</f>
        <v/>
      </c>
      <c r="AN251" s="60">
        <f>IF(C251="","",IFERROR(INDEX('Saisie'!$AL$5:$AL$2004,_xlfn.MAXIFS('Saisie'!$AS$5:$AS$2004,'Saisie'!$C$5:$C$2004,C251,'Saisie'!$AL$5:$AL$2004,"&lt;&gt;")-4),""))</f>
        <v/>
      </c>
      <c r="AO251" s="62">
        <f>IF(C251="","",IF(IFERROR(INDEX('Saisie'!$AM$5:$AM$2004,_xlfn.MAXIFS('Saisie'!$AS$5:$AS$2004,'Saisie'!$C$5:$C$2004,C251,'Saisie'!$AM$5:$AM$2004,"&lt;&gt;")-4),"")&lt;&gt;"",IFERROR(INDEX('Saisie'!$AM$5:$AM$2004,_xlfn.MAXIFS('Saisie'!$AS$5:$AS$2004,'Saisie'!$C$5:$C$2004,C251,'Saisie'!$AM$5:$AM$2004,"&lt;&gt;")-4),""),IFERROR(INDEX('Paramètres'!$S$6:$S$15,MATCH(AN251,'Paramètres'!$Q$6:$Q$15,0)),"")))</f>
        <v/>
      </c>
      <c r="AP251" s="62">
        <f>IF(C251="","",IFERROR(INDEX('Saisie'!$AW$5:$AW$2004,_xlfn.MAXIFS('Saisie'!$AS$5:$AS$2004,'Saisie'!$C$5:$C$2004,C251,'Saisie'!$E$5:$E$2004,"Proposition envoyée")-4),""))</f>
        <v/>
      </c>
      <c r="AQ251" s="106">
        <f>IF(C251="","",IFERROR(1/(1/_xlfn.MAXIFS('Saisie'!$A$5:$A$2004,'Saisie'!$C$5:$C$2004,C251,'Saisie'!$E$5:$E$2004,"Proposition envoyée")),""))</f>
        <v/>
      </c>
      <c r="AR251" s="106">
        <f>IF(C251="","",IF(AQ251="","",AQ251+'Paramètres'!$B$26))</f>
        <v/>
      </c>
      <c r="AS251" s="62">
        <f>IF(OR(C251="",D251="Gagné",D251="Perdu"),0,N(AP251)*IFERROR(INDEX('Paramètres'!$G$6:$G$13,MATCH(D251,'Paramètres'!$F$6:$F$13,0)),0))</f>
        <v/>
      </c>
      <c r="AT251" s="106">
        <f>IF(C251="","",IFERROR(1/(1/_xlfn.MINIFS('Saisie'!$A$5:$A$2004,'Saisie'!$C$5:$C$2004,C251,'Saisie'!$E$5:$E$2004,"Signature")),""))</f>
        <v/>
      </c>
      <c r="AU251" s="60">
        <f>IF(C251="","",IF(OR(AT251="",B251=""),"",AT251-B251))</f>
        <v/>
      </c>
      <c r="AV251" s="60">
        <f>IF(C251="","",IFERROR(INDEX('Saisie'!$L$5:$L$2004,_xlfn.MAXIFS('Saisie'!$AS$5:$AS$2004,'Saisie'!$C$5:$C$2004,C251,'Saisie'!$L$5:$L$2004,"&lt;&gt;")-4),""))</f>
        <v/>
      </c>
      <c r="AW251" s="106">
        <f>IF(C251="","",IF(D251&lt;&gt;"Perdu","",IFERROR(1/(1/_xlfn.MAXIFS('Saisie'!$A$5:$A$2004,'Saisie'!$C$5:$C$2004,C251,'Saisie'!$E$5:$E$2004,"Perdu")),"")))</f>
        <v/>
      </c>
      <c r="AX251" s="106">
        <f>IF(C251="","",IF(AW251="","",AW251+'Paramètres'!$B$28))</f>
        <v/>
      </c>
      <c r="AY251" s="60">
        <f>IF(C251="","",SUMIFS('Saisie'!$H$5:$H$2004,'Saisie'!$C$5:$C$2004,C251))</f>
        <v/>
      </c>
      <c r="AZ251" s="60">
        <f>IF(C251="","",IFERROR(INDEX('Paramètres'!$W$6:$W$20,MATCH(S251,'Paramètres'!$V$6:$V$20,0))&amp;"",""))</f>
        <v/>
      </c>
      <c r="BA251" s="60">
        <f>IF(C251="","",MAX(1,_xlfn.MAXIFS('Saisie'!$AT$5:$AT$2004,'Saisie'!$C$5:$C$2004,C251)))</f>
        <v/>
      </c>
      <c r="BB251" s="60">
        <f>IF(C251="","",IFERROR(INDEX('Saisie'!$X$5:$X$2004,_xlfn.MAXIFS('Saisie'!$AS$5:$AS$2004,'Saisie'!$C$5:$C$2004,C251,'Saisie'!$X$5:$X$2004,"&lt;&gt;")-4),""))</f>
        <v/>
      </c>
      <c r="BC251" s="60">
        <f>IF(C251="","",IFERROR(INDEX('Saisie'!$Y$5:$Y$2004,_xlfn.MAXIFS('Saisie'!$AS$5:$AS$2004,'Saisie'!$C$5:$C$2004,C251,'Saisie'!$Y$5:$Y$2004,"&lt;&gt;")-4),""))</f>
        <v/>
      </c>
      <c r="BD251" s="106">
        <f>IF(C251="","",IFERROR(1/(1/_xlfn.MINIFS('Saisie'!$A$5:$A$2004,'Saisie'!$C$5:$C$2004,C251,'Saisie'!$AT$5:$AT$2004,"&gt;=2")),""))</f>
        <v/>
      </c>
      <c r="BE251" s="106">
        <f>IF(C251="","",IFERROR(1/(1/_xlfn.MINIFS('Saisie'!$A$5:$A$2004,'Saisie'!$C$5:$C$2004,C251,'Saisie'!$AT$5:$AT$2004,"&gt;=3")),""))</f>
        <v/>
      </c>
      <c r="BF251" s="106">
        <f>IF(C251="","",IFERROR(1/(1/_xlfn.MINIFS('Saisie'!$A$5:$A$2004,'Saisie'!$C$5:$C$2004,C251,'Saisie'!$AT$5:$AT$2004,"&gt;=4")),""))</f>
        <v/>
      </c>
      <c r="BG251" s="106">
        <f>IF(C251="","",IFERROR(1/(1/_xlfn.MINIFS('Saisie'!$A$5:$A$2004,'Saisie'!$C$5:$C$2004,C251,'Saisie'!$AT$5:$AT$2004,"&gt;=5")),""))</f>
        <v/>
      </c>
      <c r="BH251" s="106">
        <f>IF(C251="","",IFERROR(1/(1/_xlfn.MINIFS('Saisie'!$A$5:$A$2004,'Saisie'!$C$5:$C$2004,C251,'Saisie'!$AT$5:$AT$2004,"&gt;=6")),""))</f>
        <v/>
      </c>
      <c r="BI251" s="106">
        <f>IF(C251="","",IFERROR(1/(1/_xlfn.MINIFS('Saisie'!$A$5:$A$2004,'Saisie'!$C$5:$C$2004,C251,'Saisie'!$AT$5:$AT$2004,"&gt;=7")),""))</f>
        <v/>
      </c>
      <c r="BJ251" s="60">
        <f>IF(OR(BD251="",B251=""),"",BD251-B251)</f>
        <v/>
      </c>
      <c r="BK251" s="60">
        <f>IF(OR(BE251="",BD251=""),"",BE251-BD251)</f>
        <v/>
      </c>
      <c r="BL251" s="60">
        <f>IF(OR(BF251="",BE251=""),"",BF251-BE251)</f>
        <v/>
      </c>
      <c r="BM251" s="60">
        <f>IF(OR(BG251="",BF251=""),"",BG251-BF251)</f>
        <v/>
      </c>
      <c r="BN251" s="60">
        <f>IF(OR(BH251="",BG251=""),"",BH251-BG251)</f>
        <v/>
      </c>
      <c r="BO251" s="60">
        <f>IF(OR(BI251="",BH251=""),"",BI251-BH251)</f>
        <v/>
      </c>
      <c r="BP251" s="60">
        <f>IF(C251="","",_xlfn.MAXIFS('Saisie'!$AS$5:$AS$2004,'Saisie'!$C$5:$C$2004,C251,'Saisie'!$J$5:$J$2004,"&lt;&gt;"))</f>
        <v/>
      </c>
      <c r="BQ251" s="60">
        <f>IF(C251="","",_xlfn.MAXIFS('Saisie'!$AS$5:$AS$2004,'Saisie'!$C$5:$C$2004,C251))</f>
        <v/>
      </c>
      <c r="BR251" s="60">
        <f>IF(C251="","",_xlfn.MAXIFS('Saisie'!$AS$5:$AS$2004,'Saisie'!$C$5:$C$2004,C251,'Saisie'!$E$5:$E$2004,"Perdu"))</f>
        <v/>
      </c>
      <c r="BS251" s="60">
        <f>IF(C251="","",_xlfn.MAXIFS('Saisie'!$AS$5:$AS$2004,'Saisie'!$C$5:$C$2004,C251,'Saisie'!$AT$5:$AT$2004,"&gt;0"))</f>
        <v/>
      </c>
      <c r="BT251" s="109">
        <f>IF(AND(C251&lt;&gt;"",OR(D251="Nouveau",D251="Contacté",D251="Qualifié"),OR(G251="",N(G251)&lt;=TODAY()),NOT(AND(O251&gt;='Paramètres'!$B$21,P251=0))),E251+247/10000,"")</f>
        <v/>
      </c>
      <c r="BU251" s="60">
        <f>IF(AND(G251&lt;&gt;"",N(G251)&lt;=TODAY()),MAX($BU$4:BU250)+1,"")</f>
        <v/>
      </c>
      <c r="BV251" s="60">
        <f>IF(AND(F251&lt;&gt;"",F251&lt;&gt;"Relance en retard"),MAX($BV$4:BV250)+1,"")</f>
        <v/>
      </c>
      <c r="BW251" s="60">
        <f>IF(C251="","",IF(AND(B251&gt;='Tableau de bord'!$R$4,B251&lt;='Tableau de bord'!$S$4,OR('Tableau de bord'!$G$4="Tous",N251='Tableau de bord'!$G$4)),1,0))</f>
        <v/>
      </c>
      <c r="BX251" s="60">
        <f>IF(AND(C251&lt;&gt;"",N(BA251)=7),MAX($BX$4:BX250)+1,"")</f>
        <v/>
      </c>
    </row>
    <row r="252">
      <c r="A252" s="60">
        <f>IF(C252="","","P-"&amp;TEXT(248,"000"))</f>
        <v/>
      </c>
      <c r="B252" s="106">
        <f>IF(C252="","",IFERROR(1/(1/_xlfn.MINIFS('Saisie'!$A$5:$A$2004,'Saisie'!$C$5:$C$2004,C252)),""))</f>
        <v/>
      </c>
      <c r="C252" s="60">
        <f>IFERROR(INDEX('Saisie'!$C$5:$C$2004,MATCH(248,'Saisie'!$AX$5:$AX$2004,0)),"")</f>
        <v/>
      </c>
      <c r="D252" s="60">
        <f>IF(C252="","",IF(AND(BR252&gt;0,BR252&gt;BS252,BA252&lt;7),"Perdu",INDEX('Paramètres'!$F$6:$F$13,BA252)))</f>
        <v/>
      </c>
      <c r="E252" s="61">
        <f>IF(C252="","",MIN(100,(Z252="Oui")*'Paramètres'!$B$38+(AB252="Régulière")*'Paramètres'!$B$39+IF(AND(N(AA252)&gt;0,TODAY()-N(AA252)&lt;=30),'Paramètres'!$B$40,0)+(W252="")*'Paramètres'!$B$41+(AC252="Absente")*'Paramètres'!$B$42+(AC252="Faible")*'Paramètres'!$B$43+IF(AND(N(AD252)&gt;0,N(AD252)&lt;4),'Paramètres'!$B$44,0)+(AF252="Moyenne")*'Paramètres'!$B$45+(AF252="Grande")*'Paramètres'!$B$46+(Y252&lt;&gt;"")*'Paramètres'!$B$47))</f>
        <v/>
      </c>
      <c r="F252" s="60">
        <f>IF(C252="","",IF(D252="Gagné","",IF(D252="Perdu",IF(AND(AX252&lt;&gt;"",AX252&lt;=TODAY()),"À recontacter (perdu)",""),IF(AND(O252&gt;='Paramètres'!$B$21,P252=0),"Stop : "&amp;'Paramètres'!$B$21&amp;" tentatives sans réponse",IF(AND(D252="Proposition",AR252&lt;&gt;"",TODAY()&gt;N(AR252)),"Proposition expirée",IF(AND(D252="Proposition",N(R252)&gt;='Paramètres'!$B$25),"Proposition sans réponse",IF(AND(G252&lt;&gt;"",N(G252)&lt;TODAY()),"Relance en retard",IF(N(R252)&gt;='Paramètres'!$B$24,"Sans action depuis "&amp;R252&amp;" j",""))))))))</f>
        <v/>
      </c>
      <c r="G252" s="106">
        <f>IF(OR(C252="",D252="Gagné",D252="Perdu"),"",IF(AND(BP252&gt;0,BP252=BQ252),INDEX('Saisie'!$J$5:$J$2004,BP252-4),IF(OR(O252=0,AND(O252&gt;='Paramètres'!$B$21,P252=0)),"",Q252+IF(O252&lt;=1,'Paramètres'!$B$18,IF(O252=2,'Paramètres'!$B$19,'Paramètres'!$B$20)))))</f>
        <v/>
      </c>
      <c r="H252" s="107">
        <f>IF(OR(G252="",BP252&lt;&gt;BQ252),"",IF(INDEX('Saisie'!$K$5:$K$2004,BP252-4)="","",INDEX('Saisie'!$K$5:$K$2004,BP252-4)))</f>
        <v/>
      </c>
      <c r="I252" s="60">
        <f>IF(C252="","",IF(OR(D252="Gagné",D252="Perdu"),"",IFERROR(INDEX('Saisie'!$I$5:$I$2004,_xlfn.MAXIFS('Saisie'!$AS$5:$AS$2004,'Saisie'!$C$5:$C$2004,C252,'Saisie'!$I$5:$I$2004,"&lt;&gt;")-4),"")))</f>
        <v/>
      </c>
      <c r="J252" s="60">
        <f>IF(C252="","",IFERROR(INDEX('Saisie'!$U$5:$U$2004,_xlfn.MAXIFS('Saisie'!$AS$5:$AS$2004,'Saisie'!$C$5:$C$2004,C252,'Saisie'!$U$5:$U$2004,"&lt;&gt;")-4),""))</f>
        <v/>
      </c>
      <c r="K252" s="60">
        <f>IF(C252="","",IFERROR(INDEX('Saisie'!$W$5:$W$2004,_xlfn.MAXIFS('Saisie'!$AS$5:$AS$2004,'Saisie'!$C$5:$C$2004,C252,'Saisie'!$W$5:$W$2004,"&lt;&gt;")-4),""))</f>
        <v/>
      </c>
      <c r="L252" s="60">
        <f>IF(IF(BB252&lt;&gt;"",BB252,K252)="","",HYPERLINK("https://wa.me/"&amp;IF(LEFT(SUBSTITUTE(SUBSTITUTE(SUBSTITUTE(IF(BB252&lt;&gt;"",BB252,K252)," ",""),".",""),"+",""),1)="0",'Paramètres'!$B$35&amp;MID(SUBSTITUTE(SUBSTITUTE(SUBSTITUTE(IF(BB252&lt;&gt;"",BB252,K252)," ",""),".",""),"+",""),2,20),SUBSTITUTE(SUBSTITUTE(SUBSTITUTE(IF(BB252&lt;&gt;"",BB252,K252)," ",""),".",""),"+","")),"WhatsApp"))</f>
        <v/>
      </c>
      <c r="M252" s="60">
        <f>IF(BC252="","",HYPERLINK(IF(LEFT(BC252,4)="http",BC252,"https://www.instagram.com/"&amp;SUBSTITUTE(SUBSTITUTE(BC252,"@","")," ","")),BC252))</f>
        <v/>
      </c>
      <c r="N252" s="60">
        <f>IF(C252="","",IFERROR(INDEX('Saisie'!$D$5:$D$2004,_xlfn.MINIFS('Saisie'!$AS$5:$AS$2004,'Saisie'!$C$5:$C$2004,C252,'Saisie'!$AU$5:$AU$2004,1)-4),IFERROR(INDEX('Saisie'!$D$5:$D$2004,_xlfn.MINIFS('Saisie'!$AS$5:$AS$2004,'Saisie'!$C$5:$C$2004,C252,'Saisie'!$D$5:$D$2004,"&lt;&gt;")-4),"")))</f>
        <v/>
      </c>
      <c r="O252" s="60">
        <f>IF(C252="","",COUNTIFS('Saisie'!$C$5:$C$2004,C252,'Saisie'!$AU$5:$AU$2004,1))</f>
        <v/>
      </c>
      <c r="P252" s="60">
        <f>IF(C252="","",COUNTIFS('Saisie'!$C$5:$C$2004,C252,'Saisie'!$AV$5:$AV$2004,1))</f>
        <v/>
      </c>
      <c r="Q252" s="106">
        <f>IF(C252="","",IFERROR(1/(1/_xlfn.MAXIFS('Saisie'!$A$5:$A$2004,'Saisie'!$C$5:$C$2004,C252)),""))</f>
        <v/>
      </c>
      <c r="R252" s="61">
        <f>IF(C252="","",IF(Q252="","",TODAY()-Q252))</f>
        <v/>
      </c>
      <c r="S252" s="60">
        <f>IF(C252="","",IFERROR(INDEX('Saisie'!$R$5:$R$2004,_xlfn.MAXIFS('Saisie'!$AS$5:$AS$2004,'Saisie'!$C$5:$C$2004,C252,'Saisie'!$R$5:$R$2004,"&lt;&gt;")-4),""))</f>
        <v/>
      </c>
      <c r="T252" s="60">
        <f>IF(C252="","",IFERROR(INDEX('Saisie'!$S$5:$S$2004,_xlfn.MAXIFS('Saisie'!$AS$5:$AS$2004,'Saisie'!$C$5:$C$2004,C252,'Saisie'!$S$5:$S$2004,"&lt;&gt;")-4),""))</f>
        <v/>
      </c>
      <c r="U252" s="60">
        <f>IF(C252="","",IFERROR(INDEX('Saisie'!$T$5:$T$2004,_xlfn.MAXIFS('Saisie'!$AS$5:$AS$2004,'Saisie'!$C$5:$C$2004,C252,'Saisie'!$T$5:$T$2004,"&lt;&gt;")-4),""))</f>
        <v/>
      </c>
      <c r="V252" s="60">
        <f>IF(C252="","",IFERROR(INDEX('Saisie'!$V$5:$V$2004,_xlfn.MAXIFS('Saisie'!$AS$5:$AS$2004,'Saisie'!$C$5:$C$2004,C252,'Saisie'!$V$5:$V$2004,"&lt;&gt;")-4),""))</f>
        <v/>
      </c>
      <c r="W252" s="60">
        <f>IF(C252="","",IFERROR(INDEX('Saisie'!$Z$5:$Z$2004,_xlfn.MAXIFS('Saisie'!$AS$5:$AS$2004,'Saisie'!$C$5:$C$2004,C252,'Saisie'!$Z$5:$Z$2004,"&lt;&gt;")-4),""))</f>
        <v/>
      </c>
      <c r="X252" s="60">
        <f>IF(C252="","",IFERROR(INDEX('Saisie'!$AA$5:$AA$2004,_xlfn.MAXIFS('Saisie'!$AS$5:$AS$2004,'Saisie'!$C$5:$C$2004,C252,'Saisie'!$AA$5:$AA$2004,"&lt;&gt;")-4),""))</f>
        <v/>
      </c>
      <c r="Y252" s="60">
        <f>IF(C252="","",IFERROR(INDEX('Saisie'!$AB$5:$AB$2004,_xlfn.MAXIFS('Saisie'!$AS$5:$AS$2004,'Saisie'!$C$5:$C$2004,C252,'Saisie'!$AB$5:$AB$2004,"&lt;&gt;")-4),""))</f>
        <v/>
      </c>
      <c r="Z252" s="60">
        <f>IF(C252="","",IFERROR(INDEX('Saisie'!$AC$5:$AC$2004,_xlfn.MAXIFS('Saisie'!$AS$5:$AS$2004,'Saisie'!$C$5:$C$2004,C252,'Saisie'!$AC$5:$AC$2004,"&lt;&gt;")-4),""))</f>
        <v/>
      </c>
      <c r="AA252" s="106">
        <f>IF(C252="","",IFERROR(INDEX('Saisie'!$AD$5:$AD$2004,_xlfn.MAXIFS('Saisie'!$AS$5:$AS$2004,'Saisie'!$C$5:$C$2004,C252,'Saisie'!$AD$5:$AD$2004,"&lt;&gt;")-4),""))</f>
        <v/>
      </c>
      <c r="AB252" s="60">
        <f>IF(C252="","",IFERROR(INDEX('Saisie'!$AE$5:$AE$2004,_xlfn.MAXIFS('Saisie'!$AS$5:$AS$2004,'Saisie'!$C$5:$C$2004,C252,'Saisie'!$AE$5:$AE$2004,"&lt;&gt;")-4),""))</f>
        <v/>
      </c>
      <c r="AC252" s="60">
        <f>IF(C252="","",IFERROR(INDEX('Saisie'!$AF$5:$AF$2004,_xlfn.MAXIFS('Saisie'!$AS$5:$AS$2004,'Saisie'!$C$5:$C$2004,C252,'Saisie'!$AF$5:$AF$2004,"&lt;&gt;")-4),""))</f>
        <v/>
      </c>
      <c r="AD252" s="108">
        <f>IF(C252="","",IFERROR(INDEX('Saisie'!$AG$5:$AG$2004,_xlfn.MAXIFS('Saisie'!$AS$5:$AS$2004,'Saisie'!$C$5:$C$2004,C252,'Saisie'!$AG$5:$AG$2004,"&lt;&gt;")-4),""))</f>
        <v/>
      </c>
      <c r="AE252" s="60">
        <f>IF(C252="","",IFERROR(INDEX('Saisie'!$AH$5:$AH$2004,_xlfn.MAXIFS('Saisie'!$AS$5:$AS$2004,'Saisie'!$C$5:$C$2004,C252,'Saisie'!$AH$5:$AH$2004,"&lt;&gt;")-4),""))</f>
        <v/>
      </c>
      <c r="AF252" s="60">
        <f>IF(C252="","",IFERROR(INDEX('Saisie'!$AI$5:$AI$2004,_xlfn.MAXIFS('Saisie'!$AS$5:$AS$2004,'Saisie'!$C$5:$C$2004,C252,'Saisie'!$AI$5:$AI$2004,"&lt;&gt;")-4),""))</f>
        <v/>
      </c>
      <c r="AG252" s="60">
        <f>IF(C252="","",IFERROR(INDEX('Saisie'!$AJ$5:$AJ$2004,_xlfn.MAXIFS('Saisie'!$AS$5:$AS$2004,'Saisie'!$C$5:$C$2004,C252,'Saisie'!$AJ$5:$AJ$2004,"&lt;&gt;")-4),""))</f>
        <v/>
      </c>
      <c r="AH252" s="60">
        <f>IF(C252="","",IFERROR(INDEX('Saisie'!$AK$5:$AK$2004,_xlfn.MAXIFS('Saisie'!$AS$5:$AS$2004,'Saisie'!$C$5:$C$2004,C252,'Saisie'!$AK$5:$AK$2004,"&lt;&gt;")-4),""))</f>
        <v/>
      </c>
      <c r="AI252" s="60">
        <f>IF(C252="","",IFERROR(INDEX('Saisie'!$AN$5:$AN$2004,_xlfn.MAXIFS('Saisie'!$AS$5:$AS$2004,'Saisie'!$C$5:$C$2004,C252,'Saisie'!$AN$5:$AN$2004,"&lt;&gt;")-4),""))</f>
        <v/>
      </c>
      <c r="AJ252" s="60">
        <f>IF(C252="","",IFERROR(INDEX('Saisie'!$AO$5:$AO$2004,_xlfn.MAXIFS('Saisie'!$AS$5:$AS$2004,'Saisie'!$C$5:$C$2004,C252,'Saisie'!$AO$5:$AO$2004,"&lt;&gt;")-4),""))</f>
        <v/>
      </c>
      <c r="AK252" s="60">
        <f>IF(C252="","",IFERROR(INDEX('Saisie'!$AP$5:$AP$2004,_xlfn.MAXIFS('Saisie'!$AS$5:$AS$2004,'Saisie'!$C$5:$C$2004,C252,'Saisie'!$AP$5:$AP$2004,"&lt;&gt;")-4),""))</f>
        <v/>
      </c>
      <c r="AL252" s="60">
        <f>IF(C252="","",IFERROR(INDEX('Saisie'!$AQ$5:$AQ$2004,_xlfn.MAXIFS('Saisie'!$AS$5:$AS$2004,'Saisie'!$C$5:$C$2004,C252,'Saisie'!$AQ$5:$AQ$2004,"&lt;&gt;")-4),""))</f>
        <v/>
      </c>
      <c r="AM252" s="60">
        <f>IF(C252="","",((AI252="Oui")+(AJ252="Oui")+(AK252="Oui")+OR(AL252="Immédiat",AL252="&lt; 1 mois"))&amp;"/4")</f>
        <v/>
      </c>
      <c r="AN252" s="60">
        <f>IF(C252="","",IFERROR(INDEX('Saisie'!$AL$5:$AL$2004,_xlfn.MAXIFS('Saisie'!$AS$5:$AS$2004,'Saisie'!$C$5:$C$2004,C252,'Saisie'!$AL$5:$AL$2004,"&lt;&gt;")-4),""))</f>
        <v/>
      </c>
      <c r="AO252" s="62">
        <f>IF(C252="","",IF(IFERROR(INDEX('Saisie'!$AM$5:$AM$2004,_xlfn.MAXIFS('Saisie'!$AS$5:$AS$2004,'Saisie'!$C$5:$C$2004,C252,'Saisie'!$AM$5:$AM$2004,"&lt;&gt;")-4),"")&lt;&gt;"",IFERROR(INDEX('Saisie'!$AM$5:$AM$2004,_xlfn.MAXIFS('Saisie'!$AS$5:$AS$2004,'Saisie'!$C$5:$C$2004,C252,'Saisie'!$AM$5:$AM$2004,"&lt;&gt;")-4),""),IFERROR(INDEX('Paramètres'!$S$6:$S$15,MATCH(AN252,'Paramètres'!$Q$6:$Q$15,0)),"")))</f>
        <v/>
      </c>
      <c r="AP252" s="62">
        <f>IF(C252="","",IFERROR(INDEX('Saisie'!$AW$5:$AW$2004,_xlfn.MAXIFS('Saisie'!$AS$5:$AS$2004,'Saisie'!$C$5:$C$2004,C252,'Saisie'!$E$5:$E$2004,"Proposition envoyée")-4),""))</f>
        <v/>
      </c>
      <c r="AQ252" s="106">
        <f>IF(C252="","",IFERROR(1/(1/_xlfn.MAXIFS('Saisie'!$A$5:$A$2004,'Saisie'!$C$5:$C$2004,C252,'Saisie'!$E$5:$E$2004,"Proposition envoyée")),""))</f>
        <v/>
      </c>
      <c r="AR252" s="106">
        <f>IF(C252="","",IF(AQ252="","",AQ252+'Paramètres'!$B$26))</f>
        <v/>
      </c>
      <c r="AS252" s="62">
        <f>IF(OR(C252="",D252="Gagné",D252="Perdu"),0,N(AP252)*IFERROR(INDEX('Paramètres'!$G$6:$G$13,MATCH(D252,'Paramètres'!$F$6:$F$13,0)),0))</f>
        <v/>
      </c>
      <c r="AT252" s="106">
        <f>IF(C252="","",IFERROR(1/(1/_xlfn.MINIFS('Saisie'!$A$5:$A$2004,'Saisie'!$C$5:$C$2004,C252,'Saisie'!$E$5:$E$2004,"Signature")),""))</f>
        <v/>
      </c>
      <c r="AU252" s="60">
        <f>IF(C252="","",IF(OR(AT252="",B252=""),"",AT252-B252))</f>
        <v/>
      </c>
      <c r="AV252" s="60">
        <f>IF(C252="","",IFERROR(INDEX('Saisie'!$L$5:$L$2004,_xlfn.MAXIFS('Saisie'!$AS$5:$AS$2004,'Saisie'!$C$5:$C$2004,C252,'Saisie'!$L$5:$L$2004,"&lt;&gt;")-4),""))</f>
        <v/>
      </c>
      <c r="AW252" s="106">
        <f>IF(C252="","",IF(D252&lt;&gt;"Perdu","",IFERROR(1/(1/_xlfn.MAXIFS('Saisie'!$A$5:$A$2004,'Saisie'!$C$5:$C$2004,C252,'Saisie'!$E$5:$E$2004,"Perdu")),"")))</f>
        <v/>
      </c>
      <c r="AX252" s="106">
        <f>IF(C252="","",IF(AW252="","",AW252+'Paramètres'!$B$28))</f>
        <v/>
      </c>
      <c r="AY252" s="60">
        <f>IF(C252="","",SUMIFS('Saisie'!$H$5:$H$2004,'Saisie'!$C$5:$C$2004,C252))</f>
        <v/>
      </c>
      <c r="AZ252" s="60">
        <f>IF(C252="","",IFERROR(INDEX('Paramètres'!$W$6:$W$20,MATCH(S252,'Paramètres'!$V$6:$V$20,0))&amp;"",""))</f>
        <v/>
      </c>
      <c r="BA252" s="60">
        <f>IF(C252="","",MAX(1,_xlfn.MAXIFS('Saisie'!$AT$5:$AT$2004,'Saisie'!$C$5:$C$2004,C252)))</f>
        <v/>
      </c>
      <c r="BB252" s="60">
        <f>IF(C252="","",IFERROR(INDEX('Saisie'!$X$5:$X$2004,_xlfn.MAXIFS('Saisie'!$AS$5:$AS$2004,'Saisie'!$C$5:$C$2004,C252,'Saisie'!$X$5:$X$2004,"&lt;&gt;")-4),""))</f>
        <v/>
      </c>
      <c r="BC252" s="60">
        <f>IF(C252="","",IFERROR(INDEX('Saisie'!$Y$5:$Y$2004,_xlfn.MAXIFS('Saisie'!$AS$5:$AS$2004,'Saisie'!$C$5:$C$2004,C252,'Saisie'!$Y$5:$Y$2004,"&lt;&gt;")-4),""))</f>
        <v/>
      </c>
      <c r="BD252" s="106">
        <f>IF(C252="","",IFERROR(1/(1/_xlfn.MINIFS('Saisie'!$A$5:$A$2004,'Saisie'!$C$5:$C$2004,C252,'Saisie'!$AT$5:$AT$2004,"&gt;=2")),""))</f>
        <v/>
      </c>
      <c r="BE252" s="106">
        <f>IF(C252="","",IFERROR(1/(1/_xlfn.MINIFS('Saisie'!$A$5:$A$2004,'Saisie'!$C$5:$C$2004,C252,'Saisie'!$AT$5:$AT$2004,"&gt;=3")),""))</f>
        <v/>
      </c>
      <c r="BF252" s="106">
        <f>IF(C252="","",IFERROR(1/(1/_xlfn.MINIFS('Saisie'!$A$5:$A$2004,'Saisie'!$C$5:$C$2004,C252,'Saisie'!$AT$5:$AT$2004,"&gt;=4")),""))</f>
        <v/>
      </c>
      <c r="BG252" s="106">
        <f>IF(C252="","",IFERROR(1/(1/_xlfn.MINIFS('Saisie'!$A$5:$A$2004,'Saisie'!$C$5:$C$2004,C252,'Saisie'!$AT$5:$AT$2004,"&gt;=5")),""))</f>
        <v/>
      </c>
      <c r="BH252" s="106">
        <f>IF(C252="","",IFERROR(1/(1/_xlfn.MINIFS('Saisie'!$A$5:$A$2004,'Saisie'!$C$5:$C$2004,C252,'Saisie'!$AT$5:$AT$2004,"&gt;=6")),""))</f>
        <v/>
      </c>
      <c r="BI252" s="106">
        <f>IF(C252="","",IFERROR(1/(1/_xlfn.MINIFS('Saisie'!$A$5:$A$2004,'Saisie'!$C$5:$C$2004,C252,'Saisie'!$AT$5:$AT$2004,"&gt;=7")),""))</f>
        <v/>
      </c>
      <c r="BJ252" s="60">
        <f>IF(OR(BD252="",B252=""),"",BD252-B252)</f>
        <v/>
      </c>
      <c r="BK252" s="60">
        <f>IF(OR(BE252="",BD252=""),"",BE252-BD252)</f>
        <v/>
      </c>
      <c r="BL252" s="60">
        <f>IF(OR(BF252="",BE252=""),"",BF252-BE252)</f>
        <v/>
      </c>
      <c r="BM252" s="60">
        <f>IF(OR(BG252="",BF252=""),"",BG252-BF252)</f>
        <v/>
      </c>
      <c r="BN252" s="60">
        <f>IF(OR(BH252="",BG252=""),"",BH252-BG252)</f>
        <v/>
      </c>
      <c r="BO252" s="60">
        <f>IF(OR(BI252="",BH252=""),"",BI252-BH252)</f>
        <v/>
      </c>
      <c r="BP252" s="60">
        <f>IF(C252="","",_xlfn.MAXIFS('Saisie'!$AS$5:$AS$2004,'Saisie'!$C$5:$C$2004,C252,'Saisie'!$J$5:$J$2004,"&lt;&gt;"))</f>
        <v/>
      </c>
      <c r="BQ252" s="60">
        <f>IF(C252="","",_xlfn.MAXIFS('Saisie'!$AS$5:$AS$2004,'Saisie'!$C$5:$C$2004,C252))</f>
        <v/>
      </c>
      <c r="BR252" s="60">
        <f>IF(C252="","",_xlfn.MAXIFS('Saisie'!$AS$5:$AS$2004,'Saisie'!$C$5:$C$2004,C252,'Saisie'!$E$5:$E$2004,"Perdu"))</f>
        <v/>
      </c>
      <c r="BS252" s="60">
        <f>IF(C252="","",_xlfn.MAXIFS('Saisie'!$AS$5:$AS$2004,'Saisie'!$C$5:$C$2004,C252,'Saisie'!$AT$5:$AT$2004,"&gt;0"))</f>
        <v/>
      </c>
      <c r="BT252" s="109">
        <f>IF(AND(C252&lt;&gt;"",OR(D252="Nouveau",D252="Contacté",D252="Qualifié"),OR(G252="",N(G252)&lt;=TODAY()),NOT(AND(O252&gt;='Paramètres'!$B$21,P252=0))),E252+248/10000,"")</f>
        <v/>
      </c>
      <c r="BU252" s="60">
        <f>IF(AND(G252&lt;&gt;"",N(G252)&lt;=TODAY()),MAX($BU$4:BU251)+1,"")</f>
        <v/>
      </c>
      <c r="BV252" s="60">
        <f>IF(AND(F252&lt;&gt;"",F252&lt;&gt;"Relance en retard"),MAX($BV$4:BV251)+1,"")</f>
        <v/>
      </c>
      <c r="BW252" s="60">
        <f>IF(C252="","",IF(AND(B252&gt;='Tableau de bord'!$R$4,B252&lt;='Tableau de bord'!$S$4,OR('Tableau de bord'!$G$4="Tous",N252='Tableau de bord'!$G$4)),1,0))</f>
        <v/>
      </c>
      <c r="BX252" s="60">
        <f>IF(AND(C252&lt;&gt;"",N(BA252)=7),MAX($BX$4:BX251)+1,"")</f>
        <v/>
      </c>
    </row>
    <row r="253">
      <c r="A253" s="60">
        <f>IF(C253="","","P-"&amp;TEXT(249,"000"))</f>
        <v/>
      </c>
      <c r="B253" s="106">
        <f>IF(C253="","",IFERROR(1/(1/_xlfn.MINIFS('Saisie'!$A$5:$A$2004,'Saisie'!$C$5:$C$2004,C253)),""))</f>
        <v/>
      </c>
      <c r="C253" s="60">
        <f>IFERROR(INDEX('Saisie'!$C$5:$C$2004,MATCH(249,'Saisie'!$AX$5:$AX$2004,0)),"")</f>
        <v/>
      </c>
      <c r="D253" s="60">
        <f>IF(C253="","",IF(AND(BR253&gt;0,BR253&gt;BS253,BA253&lt;7),"Perdu",INDEX('Paramètres'!$F$6:$F$13,BA253)))</f>
        <v/>
      </c>
      <c r="E253" s="61">
        <f>IF(C253="","",MIN(100,(Z253="Oui")*'Paramètres'!$B$38+(AB253="Régulière")*'Paramètres'!$B$39+IF(AND(N(AA253)&gt;0,TODAY()-N(AA253)&lt;=30),'Paramètres'!$B$40,0)+(W253="")*'Paramètres'!$B$41+(AC253="Absente")*'Paramètres'!$B$42+(AC253="Faible")*'Paramètres'!$B$43+IF(AND(N(AD253)&gt;0,N(AD253)&lt;4),'Paramètres'!$B$44,0)+(AF253="Moyenne")*'Paramètres'!$B$45+(AF253="Grande")*'Paramètres'!$B$46+(Y253&lt;&gt;"")*'Paramètres'!$B$47))</f>
        <v/>
      </c>
      <c r="F253" s="60">
        <f>IF(C253="","",IF(D253="Gagné","",IF(D253="Perdu",IF(AND(AX253&lt;&gt;"",AX253&lt;=TODAY()),"À recontacter (perdu)",""),IF(AND(O253&gt;='Paramètres'!$B$21,P253=0),"Stop : "&amp;'Paramètres'!$B$21&amp;" tentatives sans réponse",IF(AND(D253="Proposition",AR253&lt;&gt;"",TODAY()&gt;N(AR253)),"Proposition expirée",IF(AND(D253="Proposition",N(R253)&gt;='Paramètres'!$B$25),"Proposition sans réponse",IF(AND(G253&lt;&gt;"",N(G253)&lt;TODAY()),"Relance en retard",IF(N(R253)&gt;='Paramètres'!$B$24,"Sans action depuis "&amp;R253&amp;" j",""))))))))</f>
        <v/>
      </c>
      <c r="G253" s="106">
        <f>IF(OR(C253="",D253="Gagné",D253="Perdu"),"",IF(AND(BP253&gt;0,BP253=BQ253),INDEX('Saisie'!$J$5:$J$2004,BP253-4),IF(OR(O253=0,AND(O253&gt;='Paramètres'!$B$21,P253=0)),"",Q253+IF(O253&lt;=1,'Paramètres'!$B$18,IF(O253=2,'Paramètres'!$B$19,'Paramètres'!$B$20)))))</f>
        <v/>
      </c>
      <c r="H253" s="107">
        <f>IF(OR(G253="",BP253&lt;&gt;BQ253),"",IF(INDEX('Saisie'!$K$5:$K$2004,BP253-4)="","",INDEX('Saisie'!$K$5:$K$2004,BP253-4)))</f>
        <v/>
      </c>
      <c r="I253" s="60">
        <f>IF(C253="","",IF(OR(D253="Gagné",D253="Perdu"),"",IFERROR(INDEX('Saisie'!$I$5:$I$2004,_xlfn.MAXIFS('Saisie'!$AS$5:$AS$2004,'Saisie'!$C$5:$C$2004,C253,'Saisie'!$I$5:$I$2004,"&lt;&gt;")-4),"")))</f>
        <v/>
      </c>
      <c r="J253" s="60">
        <f>IF(C253="","",IFERROR(INDEX('Saisie'!$U$5:$U$2004,_xlfn.MAXIFS('Saisie'!$AS$5:$AS$2004,'Saisie'!$C$5:$C$2004,C253,'Saisie'!$U$5:$U$2004,"&lt;&gt;")-4),""))</f>
        <v/>
      </c>
      <c r="K253" s="60">
        <f>IF(C253="","",IFERROR(INDEX('Saisie'!$W$5:$W$2004,_xlfn.MAXIFS('Saisie'!$AS$5:$AS$2004,'Saisie'!$C$5:$C$2004,C253,'Saisie'!$W$5:$W$2004,"&lt;&gt;")-4),""))</f>
        <v/>
      </c>
      <c r="L253" s="60">
        <f>IF(IF(BB253&lt;&gt;"",BB253,K253)="","",HYPERLINK("https://wa.me/"&amp;IF(LEFT(SUBSTITUTE(SUBSTITUTE(SUBSTITUTE(IF(BB253&lt;&gt;"",BB253,K253)," ",""),".",""),"+",""),1)="0",'Paramètres'!$B$35&amp;MID(SUBSTITUTE(SUBSTITUTE(SUBSTITUTE(IF(BB253&lt;&gt;"",BB253,K253)," ",""),".",""),"+",""),2,20),SUBSTITUTE(SUBSTITUTE(SUBSTITUTE(IF(BB253&lt;&gt;"",BB253,K253)," ",""),".",""),"+","")),"WhatsApp"))</f>
        <v/>
      </c>
      <c r="M253" s="60">
        <f>IF(BC253="","",HYPERLINK(IF(LEFT(BC253,4)="http",BC253,"https://www.instagram.com/"&amp;SUBSTITUTE(SUBSTITUTE(BC253,"@","")," ","")),BC253))</f>
        <v/>
      </c>
      <c r="N253" s="60">
        <f>IF(C253="","",IFERROR(INDEX('Saisie'!$D$5:$D$2004,_xlfn.MINIFS('Saisie'!$AS$5:$AS$2004,'Saisie'!$C$5:$C$2004,C253,'Saisie'!$AU$5:$AU$2004,1)-4),IFERROR(INDEX('Saisie'!$D$5:$D$2004,_xlfn.MINIFS('Saisie'!$AS$5:$AS$2004,'Saisie'!$C$5:$C$2004,C253,'Saisie'!$D$5:$D$2004,"&lt;&gt;")-4),"")))</f>
        <v/>
      </c>
      <c r="O253" s="60">
        <f>IF(C253="","",COUNTIFS('Saisie'!$C$5:$C$2004,C253,'Saisie'!$AU$5:$AU$2004,1))</f>
        <v/>
      </c>
      <c r="P253" s="60">
        <f>IF(C253="","",COUNTIFS('Saisie'!$C$5:$C$2004,C253,'Saisie'!$AV$5:$AV$2004,1))</f>
        <v/>
      </c>
      <c r="Q253" s="106">
        <f>IF(C253="","",IFERROR(1/(1/_xlfn.MAXIFS('Saisie'!$A$5:$A$2004,'Saisie'!$C$5:$C$2004,C253)),""))</f>
        <v/>
      </c>
      <c r="R253" s="61">
        <f>IF(C253="","",IF(Q253="","",TODAY()-Q253))</f>
        <v/>
      </c>
      <c r="S253" s="60">
        <f>IF(C253="","",IFERROR(INDEX('Saisie'!$R$5:$R$2004,_xlfn.MAXIFS('Saisie'!$AS$5:$AS$2004,'Saisie'!$C$5:$C$2004,C253,'Saisie'!$R$5:$R$2004,"&lt;&gt;")-4),""))</f>
        <v/>
      </c>
      <c r="T253" s="60">
        <f>IF(C253="","",IFERROR(INDEX('Saisie'!$S$5:$S$2004,_xlfn.MAXIFS('Saisie'!$AS$5:$AS$2004,'Saisie'!$C$5:$C$2004,C253,'Saisie'!$S$5:$S$2004,"&lt;&gt;")-4),""))</f>
        <v/>
      </c>
      <c r="U253" s="60">
        <f>IF(C253="","",IFERROR(INDEX('Saisie'!$T$5:$T$2004,_xlfn.MAXIFS('Saisie'!$AS$5:$AS$2004,'Saisie'!$C$5:$C$2004,C253,'Saisie'!$T$5:$T$2004,"&lt;&gt;")-4),""))</f>
        <v/>
      </c>
      <c r="V253" s="60">
        <f>IF(C253="","",IFERROR(INDEX('Saisie'!$V$5:$V$2004,_xlfn.MAXIFS('Saisie'!$AS$5:$AS$2004,'Saisie'!$C$5:$C$2004,C253,'Saisie'!$V$5:$V$2004,"&lt;&gt;")-4),""))</f>
        <v/>
      </c>
      <c r="W253" s="60">
        <f>IF(C253="","",IFERROR(INDEX('Saisie'!$Z$5:$Z$2004,_xlfn.MAXIFS('Saisie'!$AS$5:$AS$2004,'Saisie'!$C$5:$C$2004,C253,'Saisie'!$Z$5:$Z$2004,"&lt;&gt;")-4),""))</f>
        <v/>
      </c>
      <c r="X253" s="60">
        <f>IF(C253="","",IFERROR(INDEX('Saisie'!$AA$5:$AA$2004,_xlfn.MAXIFS('Saisie'!$AS$5:$AS$2004,'Saisie'!$C$5:$C$2004,C253,'Saisie'!$AA$5:$AA$2004,"&lt;&gt;")-4),""))</f>
        <v/>
      </c>
      <c r="Y253" s="60">
        <f>IF(C253="","",IFERROR(INDEX('Saisie'!$AB$5:$AB$2004,_xlfn.MAXIFS('Saisie'!$AS$5:$AS$2004,'Saisie'!$C$5:$C$2004,C253,'Saisie'!$AB$5:$AB$2004,"&lt;&gt;")-4),""))</f>
        <v/>
      </c>
      <c r="Z253" s="60">
        <f>IF(C253="","",IFERROR(INDEX('Saisie'!$AC$5:$AC$2004,_xlfn.MAXIFS('Saisie'!$AS$5:$AS$2004,'Saisie'!$C$5:$C$2004,C253,'Saisie'!$AC$5:$AC$2004,"&lt;&gt;")-4),""))</f>
        <v/>
      </c>
      <c r="AA253" s="106">
        <f>IF(C253="","",IFERROR(INDEX('Saisie'!$AD$5:$AD$2004,_xlfn.MAXIFS('Saisie'!$AS$5:$AS$2004,'Saisie'!$C$5:$C$2004,C253,'Saisie'!$AD$5:$AD$2004,"&lt;&gt;")-4),""))</f>
        <v/>
      </c>
      <c r="AB253" s="60">
        <f>IF(C253="","",IFERROR(INDEX('Saisie'!$AE$5:$AE$2004,_xlfn.MAXIFS('Saisie'!$AS$5:$AS$2004,'Saisie'!$C$5:$C$2004,C253,'Saisie'!$AE$5:$AE$2004,"&lt;&gt;")-4),""))</f>
        <v/>
      </c>
      <c r="AC253" s="60">
        <f>IF(C253="","",IFERROR(INDEX('Saisie'!$AF$5:$AF$2004,_xlfn.MAXIFS('Saisie'!$AS$5:$AS$2004,'Saisie'!$C$5:$C$2004,C253,'Saisie'!$AF$5:$AF$2004,"&lt;&gt;")-4),""))</f>
        <v/>
      </c>
      <c r="AD253" s="108">
        <f>IF(C253="","",IFERROR(INDEX('Saisie'!$AG$5:$AG$2004,_xlfn.MAXIFS('Saisie'!$AS$5:$AS$2004,'Saisie'!$C$5:$C$2004,C253,'Saisie'!$AG$5:$AG$2004,"&lt;&gt;")-4),""))</f>
        <v/>
      </c>
      <c r="AE253" s="60">
        <f>IF(C253="","",IFERROR(INDEX('Saisie'!$AH$5:$AH$2004,_xlfn.MAXIFS('Saisie'!$AS$5:$AS$2004,'Saisie'!$C$5:$C$2004,C253,'Saisie'!$AH$5:$AH$2004,"&lt;&gt;")-4),""))</f>
        <v/>
      </c>
      <c r="AF253" s="60">
        <f>IF(C253="","",IFERROR(INDEX('Saisie'!$AI$5:$AI$2004,_xlfn.MAXIFS('Saisie'!$AS$5:$AS$2004,'Saisie'!$C$5:$C$2004,C253,'Saisie'!$AI$5:$AI$2004,"&lt;&gt;")-4),""))</f>
        <v/>
      </c>
      <c r="AG253" s="60">
        <f>IF(C253="","",IFERROR(INDEX('Saisie'!$AJ$5:$AJ$2004,_xlfn.MAXIFS('Saisie'!$AS$5:$AS$2004,'Saisie'!$C$5:$C$2004,C253,'Saisie'!$AJ$5:$AJ$2004,"&lt;&gt;")-4),""))</f>
        <v/>
      </c>
      <c r="AH253" s="60">
        <f>IF(C253="","",IFERROR(INDEX('Saisie'!$AK$5:$AK$2004,_xlfn.MAXIFS('Saisie'!$AS$5:$AS$2004,'Saisie'!$C$5:$C$2004,C253,'Saisie'!$AK$5:$AK$2004,"&lt;&gt;")-4),""))</f>
        <v/>
      </c>
      <c r="AI253" s="60">
        <f>IF(C253="","",IFERROR(INDEX('Saisie'!$AN$5:$AN$2004,_xlfn.MAXIFS('Saisie'!$AS$5:$AS$2004,'Saisie'!$C$5:$C$2004,C253,'Saisie'!$AN$5:$AN$2004,"&lt;&gt;")-4),""))</f>
        <v/>
      </c>
      <c r="AJ253" s="60">
        <f>IF(C253="","",IFERROR(INDEX('Saisie'!$AO$5:$AO$2004,_xlfn.MAXIFS('Saisie'!$AS$5:$AS$2004,'Saisie'!$C$5:$C$2004,C253,'Saisie'!$AO$5:$AO$2004,"&lt;&gt;")-4),""))</f>
        <v/>
      </c>
      <c r="AK253" s="60">
        <f>IF(C253="","",IFERROR(INDEX('Saisie'!$AP$5:$AP$2004,_xlfn.MAXIFS('Saisie'!$AS$5:$AS$2004,'Saisie'!$C$5:$C$2004,C253,'Saisie'!$AP$5:$AP$2004,"&lt;&gt;")-4),""))</f>
        <v/>
      </c>
      <c r="AL253" s="60">
        <f>IF(C253="","",IFERROR(INDEX('Saisie'!$AQ$5:$AQ$2004,_xlfn.MAXIFS('Saisie'!$AS$5:$AS$2004,'Saisie'!$C$5:$C$2004,C253,'Saisie'!$AQ$5:$AQ$2004,"&lt;&gt;")-4),""))</f>
        <v/>
      </c>
      <c r="AM253" s="60">
        <f>IF(C253="","",((AI253="Oui")+(AJ253="Oui")+(AK253="Oui")+OR(AL253="Immédiat",AL253="&lt; 1 mois"))&amp;"/4")</f>
        <v/>
      </c>
      <c r="AN253" s="60">
        <f>IF(C253="","",IFERROR(INDEX('Saisie'!$AL$5:$AL$2004,_xlfn.MAXIFS('Saisie'!$AS$5:$AS$2004,'Saisie'!$C$5:$C$2004,C253,'Saisie'!$AL$5:$AL$2004,"&lt;&gt;")-4),""))</f>
        <v/>
      </c>
      <c r="AO253" s="62">
        <f>IF(C253="","",IF(IFERROR(INDEX('Saisie'!$AM$5:$AM$2004,_xlfn.MAXIFS('Saisie'!$AS$5:$AS$2004,'Saisie'!$C$5:$C$2004,C253,'Saisie'!$AM$5:$AM$2004,"&lt;&gt;")-4),"")&lt;&gt;"",IFERROR(INDEX('Saisie'!$AM$5:$AM$2004,_xlfn.MAXIFS('Saisie'!$AS$5:$AS$2004,'Saisie'!$C$5:$C$2004,C253,'Saisie'!$AM$5:$AM$2004,"&lt;&gt;")-4),""),IFERROR(INDEX('Paramètres'!$S$6:$S$15,MATCH(AN253,'Paramètres'!$Q$6:$Q$15,0)),"")))</f>
        <v/>
      </c>
      <c r="AP253" s="62">
        <f>IF(C253="","",IFERROR(INDEX('Saisie'!$AW$5:$AW$2004,_xlfn.MAXIFS('Saisie'!$AS$5:$AS$2004,'Saisie'!$C$5:$C$2004,C253,'Saisie'!$E$5:$E$2004,"Proposition envoyée")-4),""))</f>
        <v/>
      </c>
      <c r="AQ253" s="106">
        <f>IF(C253="","",IFERROR(1/(1/_xlfn.MAXIFS('Saisie'!$A$5:$A$2004,'Saisie'!$C$5:$C$2004,C253,'Saisie'!$E$5:$E$2004,"Proposition envoyée")),""))</f>
        <v/>
      </c>
      <c r="AR253" s="106">
        <f>IF(C253="","",IF(AQ253="","",AQ253+'Paramètres'!$B$26))</f>
        <v/>
      </c>
      <c r="AS253" s="62">
        <f>IF(OR(C253="",D253="Gagné",D253="Perdu"),0,N(AP253)*IFERROR(INDEX('Paramètres'!$G$6:$G$13,MATCH(D253,'Paramètres'!$F$6:$F$13,0)),0))</f>
        <v/>
      </c>
      <c r="AT253" s="106">
        <f>IF(C253="","",IFERROR(1/(1/_xlfn.MINIFS('Saisie'!$A$5:$A$2004,'Saisie'!$C$5:$C$2004,C253,'Saisie'!$E$5:$E$2004,"Signature")),""))</f>
        <v/>
      </c>
      <c r="AU253" s="60">
        <f>IF(C253="","",IF(OR(AT253="",B253=""),"",AT253-B253))</f>
        <v/>
      </c>
      <c r="AV253" s="60">
        <f>IF(C253="","",IFERROR(INDEX('Saisie'!$L$5:$L$2004,_xlfn.MAXIFS('Saisie'!$AS$5:$AS$2004,'Saisie'!$C$5:$C$2004,C253,'Saisie'!$L$5:$L$2004,"&lt;&gt;")-4),""))</f>
        <v/>
      </c>
      <c r="AW253" s="106">
        <f>IF(C253="","",IF(D253&lt;&gt;"Perdu","",IFERROR(1/(1/_xlfn.MAXIFS('Saisie'!$A$5:$A$2004,'Saisie'!$C$5:$C$2004,C253,'Saisie'!$E$5:$E$2004,"Perdu")),"")))</f>
        <v/>
      </c>
      <c r="AX253" s="106">
        <f>IF(C253="","",IF(AW253="","",AW253+'Paramètres'!$B$28))</f>
        <v/>
      </c>
      <c r="AY253" s="60">
        <f>IF(C253="","",SUMIFS('Saisie'!$H$5:$H$2004,'Saisie'!$C$5:$C$2004,C253))</f>
        <v/>
      </c>
      <c r="AZ253" s="60">
        <f>IF(C253="","",IFERROR(INDEX('Paramètres'!$W$6:$W$20,MATCH(S253,'Paramètres'!$V$6:$V$20,0))&amp;"",""))</f>
        <v/>
      </c>
      <c r="BA253" s="60">
        <f>IF(C253="","",MAX(1,_xlfn.MAXIFS('Saisie'!$AT$5:$AT$2004,'Saisie'!$C$5:$C$2004,C253)))</f>
        <v/>
      </c>
      <c r="BB253" s="60">
        <f>IF(C253="","",IFERROR(INDEX('Saisie'!$X$5:$X$2004,_xlfn.MAXIFS('Saisie'!$AS$5:$AS$2004,'Saisie'!$C$5:$C$2004,C253,'Saisie'!$X$5:$X$2004,"&lt;&gt;")-4),""))</f>
        <v/>
      </c>
      <c r="BC253" s="60">
        <f>IF(C253="","",IFERROR(INDEX('Saisie'!$Y$5:$Y$2004,_xlfn.MAXIFS('Saisie'!$AS$5:$AS$2004,'Saisie'!$C$5:$C$2004,C253,'Saisie'!$Y$5:$Y$2004,"&lt;&gt;")-4),""))</f>
        <v/>
      </c>
      <c r="BD253" s="106">
        <f>IF(C253="","",IFERROR(1/(1/_xlfn.MINIFS('Saisie'!$A$5:$A$2004,'Saisie'!$C$5:$C$2004,C253,'Saisie'!$AT$5:$AT$2004,"&gt;=2")),""))</f>
        <v/>
      </c>
      <c r="BE253" s="106">
        <f>IF(C253="","",IFERROR(1/(1/_xlfn.MINIFS('Saisie'!$A$5:$A$2004,'Saisie'!$C$5:$C$2004,C253,'Saisie'!$AT$5:$AT$2004,"&gt;=3")),""))</f>
        <v/>
      </c>
      <c r="BF253" s="106">
        <f>IF(C253="","",IFERROR(1/(1/_xlfn.MINIFS('Saisie'!$A$5:$A$2004,'Saisie'!$C$5:$C$2004,C253,'Saisie'!$AT$5:$AT$2004,"&gt;=4")),""))</f>
        <v/>
      </c>
      <c r="BG253" s="106">
        <f>IF(C253="","",IFERROR(1/(1/_xlfn.MINIFS('Saisie'!$A$5:$A$2004,'Saisie'!$C$5:$C$2004,C253,'Saisie'!$AT$5:$AT$2004,"&gt;=5")),""))</f>
        <v/>
      </c>
      <c r="BH253" s="106">
        <f>IF(C253="","",IFERROR(1/(1/_xlfn.MINIFS('Saisie'!$A$5:$A$2004,'Saisie'!$C$5:$C$2004,C253,'Saisie'!$AT$5:$AT$2004,"&gt;=6")),""))</f>
        <v/>
      </c>
      <c r="BI253" s="106">
        <f>IF(C253="","",IFERROR(1/(1/_xlfn.MINIFS('Saisie'!$A$5:$A$2004,'Saisie'!$C$5:$C$2004,C253,'Saisie'!$AT$5:$AT$2004,"&gt;=7")),""))</f>
        <v/>
      </c>
      <c r="BJ253" s="60">
        <f>IF(OR(BD253="",B253=""),"",BD253-B253)</f>
        <v/>
      </c>
      <c r="BK253" s="60">
        <f>IF(OR(BE253="",BD253=""),"",BE253-BD253)</f>
        <v/>
      </c>
      <c r="BL253" s="60">
        <f>IF(OR(BF253="",BE253=""),"",BF253-BE253)</f>
        <v/>
      </c>
      <c r="BM253" s="60">
        <f>IF(OR(BG253="",BF253=""),"",BG253-BF253)</f>
        <v/>
      </c>
      <c r="BN253" s="60">
        <f>IF(OR(BH253="",BG253=""),"",BH253-BG253)</f>
        <v/>
      </c>
      <c r="BO253" s="60">
        <f>IF(OR(BI253="",BH253=""),"",BI253-BH253)</f>
        <v/>
      </c>
      <c r="BP253" s="60">
        <f>IF(C253="","",_xlfn.MAXIFS('Saisie'!$AS$5:$AS$2004,'Saisie'!$C$5:$C$2004,C253,'Saisie'!$J$5:$J$2004,"&lt;&gt;"))</f>
        <v/>
      </c>
      <c r="BQ253" s="60">
        <f>IF(C253="","",_xlfn.MAXIFS('Saisie'!$AS$5:$AS$2004,'Saisie'!$C$5:$C$2004,C253))</f>
        <v/>
      </c>
      <c r="BR253" s="60">
        <f>IF(C253="","",_xlfn.MAXIFS('Saisie'!$AS$5:$AS$2004,'Saisie'!$C$5:$C$2004,C253,'Saisie'!$E$5:$E$2004,"Perdu"))</f>
        <v/>
      </c>
      <c r="BS253" s="60">
        <f>IF(C253="","",_xlfn.MAXIFS('Saisie'!$AS$5:$AS$2004,'Saisie'!$C$5:$C$2004,C253,'Saisie'!$AT$5:$AT$2004,"&gt;0"))</f>
        <v/>
      </c>
      <c r="BT253" s="109">
        <f>IF(AND(C253&lt;&gt;"",OR(D253="Nouveau",D253="Contacté",D253="Qualifié"),OR(G253="",N(G253)&lt;=TODAY()),NOT(AND(O253&gt;='Paramètres'!$B$21,P253=0))),E253+249/10000,"")</f>
        <v/>
      </c>
      <c r="BU253" s="60">
        <f>IF(AND(G253&lt;&gt;"",N(G253)&lt;=TODAY()),MAX($BU$4:BU252)+1,"")</f>
        <v/>
      </c>
      <c r="BV253" s="60">
        <f>IF(AND(F253&lt;&gt;"",F253&lt;&gt;"Relance en retard"),MAX($BV$4:BV252)+1,"")</f>
        <v/>
      </c>
      <c r="BW253" s="60">
        <f>IF(C253="","",IF(AND(B253&gt;='Tableau de bord'!$R$4,B253&lt;='Tableau de bord'!$S$4,OR('Tableau de bord'!$G$4="Tous",N253='Tableau de bord'!$G$4)),1,0))</f>
        <v/>
      </c>
      <c r="BX253" s="60">
        <f>IF(AND(C253&lt;&gt;"",N(BA253)=7),MAX($BX$4:BX252)+1,"")</f>
        <v/>
      </c>
    </row>
    <row r="254">
      <c r="A254" s="60">
        <f>IF(C254="","","P-"&amp;TEXT(250,"000"))</f>
        <v/>
      </c>
      <c r="B254" s="106">
        <f>IF(C254="","",IFERROR(1/(1/_xlfn.MINIFS('Saisie'!$A$5:$A$2004,'Saisie'!$C$5:$C$2004,C254)),""))</f>
        <v/>
      </c>
      <c r="C254" s="60">
        <f>IFERROR(INDEX('Saisie'!$C$5:$C$2004,MATCH(250,'Saisie'!$AX$5:$AX$2004,0)),"")</f>
        <v/>
      </c>
      <c r="D254" s="60">
        <f>IF(C254="","",IF(AND(BR254&gt;0,BR254&gt;BS254,BA254&lt;7),"Perdu",INDEX('Paramètres'!$F$6:$F$13,BA254)))</f>
        <v/>
      </c>
      <c r="E254" s="61">
        <f>IF(C254="","",MIN(100,(Z254="Oui")*'Paramètres'!$B$38+(AB254="Régulière")*'Paramètres'!$B$39+IF(AND(N(AA254)&gt;0,TODAY()-N(AA254)&lt;=30),'Paramètres'!$B$40,0)+(W254="")*'Paramètres'!$B$41+(AC254="Absente")*'Paramètres'!$B$42+(AC254="Faible")*'Paramètres'!$B$43+IF(AND(N(AD254)&gt;0,N(AD254)&lt;4),'Paramètres'!$B$44,0)+(AF254="Moyenne")*'Paramètres'!$B$45+(AF254="Grande")*'Paramètres'!$B$46+(Y254&lt;&gt;"")*'Paramètres'!$B$47))</f>
        <v/>
      </c>
      <c r="F254" s="60">
        <f>IF(C254="","",IF(D254="Gagné","",IF(D254="Perdu",IF(AND(AX254&lt;&gt;"",AX254&lt;=TODAY()),"À recontacter (perdu)",""),IF(AND(O254&gt;='Paramètres'!$B$21,P254=0),"Stop : "&amp;'Paramètres'!$B$21&amp;" tentatives sans réponse",IF(AND(D254="Proposition",AR254&lt;&gt;"",TODAY()&gt;N(AR254)),"Proposition expirée",IF(AND(D254="Proposition",N(R254)&gt;='Paramètres'!$B$25),"Proposition sans réponse",IF(AND(G254&lt;&gt;"",N(G254)&lt;TODAY()),"Relance en retard",IF(N(R254)&gt;='Paramètres'!$B$24,"Sans action depuis "&amp;R254&amp;" j",""))))))))</f>
        <v/>
      </c>
      <c r="G254" s="106">
        <f>IF(OR(C254="",D254="Gagné",D254="Perdu"),"",IF(AND(BP254&gt;0,BP254=BQ254),INDEX('Saisie'!$J$5:$J$2004,BP254-4),IF(OR(O254=0,AND(O254&gt;='Paramètres'!$B$21,P254=0)),"",Q254+IF(O254&lt;=1,'Paramètres'!$B$18,IF(O254=2,'Paramètres'!$B$19,'Paramètres'!$B$20)))))</f>
        <v/>
      </c>
      <c r="H254" s="107">
        <f>IF(OR(G254="",BP254&lt;&gt;BQ254),"",IF(INDEX('Saisie'!$K$5:$K$2004,BP254-4)="","",INDEX('Saisie'!$K$5:$K$2004,BP254-4)))</f>
        <v/>
      </c>
      <c r="I254" s="60">
        <f>IF(C254="","",IF(OR(D254="Gagné",D254="Perdu"),"",IFERROR(INDEX('Saisie'!$I$5:$I$2004,_xlfn.MAXIFS('Saisie'!$AS$5:$AS$2004,'Saisie'!$C$5:$C$2004,C254,'Saisie'!$I$5:$I$2004,"&lt;&gt;")-4),"")))</f>
        <v/>
      </c>
      <c r="J254" s="60">
        <f>IF(C254="","",IFERROR(INDEX('Saisie'!$U$5:$U$2004,_xlfn.MAXIFS('Saisie'!$AS$5:$AS$2004,'Saisie'!$C$5:$C$2004,C254,'Saisie'!$U$5:$U$2004,"&lt;&gt;")-4),""))</f>
        <v/>
      </c>
      <c r="K254" s="60">
        <f>IF(C254="","",IFERROR(INDEX('Saisie'!$W$5:$W$2004,_xlfn.MAXIFS('Saisie'!$AS$5:$AS$2004,'Saisie'!$C$5:$C$2004,C254,'Saisie'!$W$5:$W$2004,"&lt;&gt;")-4),""))</f>
        <v/>
      </c>
      <c r="L254" s="60">
        <f>IF(IF(BB254&lt;&gt;"",BB254,K254)="","",HYPERLINK("https://wa.me/"&amp;IF(LEFT(SUBSTITUTE(SUBSTITUTE(SUBSTITUTE(IF(BB254&lt;&gt;"",BB254,K254)," ",""),".",""),"+",""),1)="0",'Paramètres'!$B$35&amp;MID(SUBSTITUTE(SUBSTITUTE(SUBSTITUTE(IF(BB254&lt;&gt;"",BB254,K254)," ",""),".",""),"+",""),2,20),SUBSTITUTE(SUBSTITUTE(SUBSTITUTE(IF(BB254&lt;&gt;"",BB254,K254)," ",""),".",""),"+","")),"WhatsApp"))</f>
        <v/>
      </c>
      <c r="M254" s="60">
        <f>IF(BC254="","",HYPERLINK(IF(LEFT(BC254,4)="http",BC254,"https://www.instagram.com/"&amp;SUBSTITUTE(SUBSTITUTE(BC254,"@","")," ","")),BC254))</f>
        <v/>
      </c>
      <c r="N254" s="60">
        <f>IF(C254="","",IFERROR(INDEX('Saisie'!$D$5:$D$2004,_xlfn.MINIFS('Saisie'!$AS$5:$AS$2004,'Saisie'!$C$5:$C$2004,C254,'Saisie'!$AU$5:$AU$2004,1)-4),IFERROR(INDEX('Saisie'!$D$5:$D$2004,_xlfn.MINIFS('Saisie'!$AS$5:$AS$2004,'Saisie'!$C$5:$C$2004,C254,'Saisie'!$D$5:$D$2004,"&lt;&gt;")-4),"")))</f>
        <v/>
      </c>
      <c r="O254" s="60">
        <f>IF(C254="","",COUNTIFS('Saisie'!$C$5:$C$2004,C254,'Saisie'!$AU$5:$AU$2004,1))</f>
        <v/>
      </c>
      <c r="P254" s="60">
        <f>IF(C254="","",COUNTIFS('Saisie'!$C$5:$C$2004,C254,'Saisie'!$AV$5:$AV$2004,1))</f>
        <v/>
      </c>
      <c r="Q254" s="106">
        <f>IF(C254="","",IFERROR(1/(1/_xlfn.MAXIFS('Saisie'!$A$5:$A$2004,'Saisie'!$C$5:$C$2004,C254)),""))</f>
        <v/>
      </c>
      <c r="R254" s="61">
        <f>IF(C254="","",IF(Q254="","",TODAY()-Q254))</f>
        <v/>
      </c>
      <c r="S254" s="60">
        <f>IF(C254="","",IFERROR(INDEX('Saisie'!$R$5:$R$2004,_xlfn.MAXIFS('Saisie'!$AS$5:$AS$2004,'Saisie'!$C$5:$C$2004,C254,'Saisie'!$R$5:$R$2004,"&lt;&gt;")-4),""))</f>
        <v/>
      </c>
      <c r="T254" s="60">
        <f>IF(C254="","",IFERROR(INDEX('Saisie'!$S$5:$S$2004,_xlfn.MAXIFS('Saisie'!$AS$5:$AS$2004,'Saisie'!$C$5:$C$2004,C254,'Saisie'!$S$5:$S$2004,"&lt;&gt;")-4),""))</f>
        <v/>
      </c>
      <c r="U254" s="60">
        <f>IF(C254="","",IFERROR(INDEX('Saisie'!$T$5:$T$2004,_xlfn.MAXIFS('Saisie'!$AS$5:$AS$2004,'Saisie'!$C$5:$C$2004,C254,'Saisie'!$T$5:$T$2004,"&lt;&gt;")-4),""))</f>
        <v/>
      </c>
      <c r="V254" s="60">
        <f>IF(C254="","",IFERROR(INDEX('Saisie'!$V$5:$V$2004,_xlfn.MAXIFS('Saisie'!$AS$5:$AS$2004,'Saisie'!$C$5:$C$2004,C254,'Saisie'!$V$5:$V$2004,"&lt;&gt;")-4),""))</f>
        <v/>
      </c>
      <c r="W254" s="60">
        <f>IF(C254="","",IFERROR(INDEX('Saisie'!$Z$5:$Z$2004,_xlfn.MAXIFS('Saisie'!$AS$5:$AS$2004,'Saisie'!$C$5:$C$2004,C254,'Saisie'!$Z$5:$Z$2004,"&lt;&gt;")-4),""))</f>
        <v/>
      </c>
      <c r="X254" s="60">
        <f>IF(C254="","",IFERROR(INDEX('Saisie'!$AA$5:$AA$2004,_xlfn.MAXIFS('Saisie'!$AS$5:$AS$2004,'Saisie'!$C$5:$C$2004,C254,'Saisie'!$AA$5:$AA$2004,"&lt;&gt;")-4),""))</f>
        <v/>
      </c>
      <c r="Y254" s="60">
        <f>IF(C254="","",IFERROR(INDEX('Saisie'!$AB$5:$AB$2004,_xlfn.MAXIFS('Saisie'!$AS$5:$AS$2004,'Saisie'!$C$5:$C$2004,C254,'Saisie'!$AB$5:$AB$2004,"&lt;&gt;")-4),""))</f>
        <v/>
      </c>
      <c r="Z254" s="60">
        <f>IF(C254="","",IFERROR(INDEX('Saisie'!$AC$5:$AC$2004,_xlfn.MAXIFS('Saisie'!$AS$5:$AS$2004,'Saisie'!$C$5:$C$2004,C254,'Saisie'!$AC$5:$AC$2004,"&lt;&gt;")-4),""))</f>
        <v/>
      </c>
      <c r="AA254" s="106">
        <f>IF(C254="","",IFERROR(INDEX('Saisie'!$AD$5:$AD$2004,_xlfn.MAXIFS('Saisie'!$AS$5:$AS$2004,'Saisie'!$C$5:$C$2004,C254,'Saisie'!$AD$5:$AD$2004,"&lt;&gt;")-4),""))</f>
        <v/>
      </c>
      <c r="AB254" s="60">
        <f>IF(C254="","",IFERROR(INDEX('Saisie'!$AE$5:$AE$2004,_xlfn.MAXIFS('Saisie'!$AS$5:$AS$2004,'Saisie'!$C$5:$C$2004,C254,'Saisie'!$AE$5:$AE$2004,"&lt;&gt;")-4),""))</f>
        <v/>
      </c>
      <c r="AC254" s="60">
        <f>IF(C254="","",IFERROR(INDEX('Saisie'!$AF$5:$AF$2004,_xlfn.MAXIFS('Saisie'!$AS$5:$AS$2004,'Saisie'!$C$5:$C$2004,C254,'Saisie'!$AF$5:$AF$2004,"&lt;&gt;")-4),""))</f>
        <v/>
      </c>
      <c r="AD254" s="108">
        <f>IF(C254="","",IFERROR(INDEX('Saisie'!$AG$5:$AG$2004,_xlfn.MAXIFS('Saisie'!$AS$5:$AS$2004,'Saisie'!$C$5:$C$2004,C254,'Saisie'!$AG$5:$AG$2004,"&lt;&gt;")-4),""))</f>
        <v/>
      </c>
      <c r="AE254" s="60">
        <f>IF(C254="","",IFERROR(INDEX('Saisie'!$AH$5:$AH$2004,_xlfn.MAXIFS('Saisie'!$AS$5:$AS$2004,'Saisie'!$C$5:$C$2004,C254,'Saisie'!$AH$5:$AH$2004,"&lt;&gt;")-4),""))</f>
        <v/>
      </c>
      <c r="AF254" s="60">
        <f>IF(C254="","",IFERROR(INDEX('Saisie'!$AI$5:$AI$2004,_xlfn.MAXIFS('Saisie'!$AS$5:$AS$2004,'Saisie'!$C$5:$C$2004,C254,'Saisie'!$AI$5:$AI$2004,"&lt;&gt;")-4),""))</f>
        <v/>
      </c>
      <c r="AG254" s="60">
        <f>IF(C254="","",IFERROR(INDEX('Saisie'!$AJ$5:$AJ$2004,_xlfn.MAXIFS('Saisie'!$AS$5:$AS$2004,'Saisie'!$C$5:$C$2004,C254,'Saisie'!$AJ$5:$AJ$2004,"&lt;&gt;")-4),""))</f>
        <v/>
      </c>
      <c r="AH254" s="60">
        <f>IF(C254="","",IFERROR(INDEX('Saisie'!$AK$5:$AK$2004,_xlfn.MAXIFS('Saisie'!$AS$5:$AS$2004,'Saisie'!$C$5:$C$2004,C254,'Saisie'!$AK$5:$AK$2004,"&lt;&gt;")-4),""))</f>
        <v/>
      </c>
      <c r="AI254" s="60">
        <f>IF(C254="","",IFERROR(INDEX('Saisie'!$AN$5:$AN$2004,_xlfn.MAXIFS('Saisie'!$AS$5:$AS$2004,'Saisie'!$C$5:$C$2004,C254,'Saisie'!$AN$5:$AN$2004,"&lt;&gt;")-4),""))</f>
        <v/>
      </c>
      <c r="AJ254" s="60">
        <f>IF(C254="","",IFERROR(INDEX('Saisie'!$AO$5:$AO$2004,_xlfn.MAXIFS('Saisie'!$AS$5:$AS$2004,'Saisie'!$C$5:$C$2004,C254,'Saisie'!$AO$5:$AO$2004,"&lt;&gt;")-4),""))</f>
        <v/>
      </c>
      <c r="AK254" s="60">
        <f>IF(C254="","",IFERROR(INDEX('Saisie'!$AP$5:$AP$2004,_xlfn.MAXIFS('Saisie'!$AS$5:$AS$2004,'Saisie'!$C$5:$C$2004,C254,'Saisie'!$AP$5:$AP$2004,"&lt;&gt;")-4),""))</f>
        <v/>
      </c>
      <c r="AL254" s="60">
        <f>IF(C254="","",IFERROR(INDEX('Saisie'!$AQ$5:$AQ$2004,_xlfn.MAXIFS('Saisie'!$AS$5:$AS$2004,'Saisie'!$C$5:$C$2004,C254,'Saisie'!$AQ$5:$AQ$2004,"&lt;&gt;")-4),""))</f>
        <v/>
      </c>
      <c r="AM254" s="60">
        <f>IF(C254="","",((AI254="Oui")+(AJ254="Oui")+(AK254="Oui")+OR(AL254="Immédiat",AL254="&lt; 1 mois"))&amp;"/4")</f>
        <v/>
      </c>
      <c r="AN254" s="60">
        <f>IF(C254="","",IFERROR(INDEX('Saisie'!$AL$5:$AL$2004,_xlfn.MAXIFS('Saisie'!$AS$5:$AS$2004,'Saisie'!$C$5:$C$2004,C254,'Saisie'!$AL$5:$AL$2004,"&lt;&gt;")-4),""))</f>
        <v/>
      </c>
      <c r="AO254" s="62">
        <f>IF(C254="","",IF(IFERROR(INDEX('Saisie'!$AM$5:$AM$2004,_xlfn.MAXIFS('Saisie'!$AS$5:$AS$2004,'Saisie'!$C$5:$C$2004,C254,'Saisie'!$AM$5:$AM$2004,"&lt;&gt;")-4),"")&lt;&gt;"",IFERROR(INDEX('Saisie'!$AM$5:$AM$2004,_xlfn.MAXIFS('Saisie'!$AS$5:$AS$2004,'Saisie'!$C$5:$C$2004,C254,'Saisie'!$AM$5:$AM$2004,"&lt;&gt;")-4),""),IFERROR(INDEX('Paramètres'!$S$6:$S$15,MATCH(AN254,'Paramètres'!$Q$6:$Q$15,0)),"")))</f>
        <v/>
      </c>
      <c r="AP254" s="62">
        <f>IF(C254="","",IFERROR(INDEX('Saisie'!$AW$5:$AW$2004,_xlfn.MAXIFS('Saisie'!$AS$5:$AS$2004,'Saisie'!$C$5:$C$2004,C254,'Saisie'!$E$5:$E$2004,"Proposition envoyée")-4),""))</f>
        <v/>
      </c>
      <c r="AQ254" s="106">
        <f>IF(C254="","",IFERROR(1/(1/_xlfn.MAXIFS('Saisie'!$A$5:$A$2004,'Saisie'!$C$5:$C$2004,C254,'Saisie'!$E$5:$E$2004,"Proposition envoyée")),""))</f>
        <v/>
      </c>
      <c r="AR254" s="106">
        <f>IF(C254="","",IF(AQ254="","",AQ254+'Paramètres'!$B$26))</f>
        <v/>
      </c>
      <c r="AS254" s="62">
        <f>IF(OR(C254="",D254="Gagné",D254="Perdu"),0,N(AP254)*IFERROR(INDEX('Paramètres'!$G$6:$G$13,MATCH(D254,'Paramètres'!$F$6:$F$13,0)),0))</f>
        <v/>
      </c>
      <c r="AT254" s="106">
        <f>IF(C254="","",IFERROR(1/(1/_xlfn.MINIFS('Saisie'!$A$5:$A$2004,'Saisie'!$C$5:$C$2004,C254,'Saisie'!$E$5:$E$2004,"Signature")),""))</f>
        <v/>
      </c>
      <c r="AU254" s="60">
        <f>IF(C254="","",IF(OR(AT254="",B254=""),"",AT254-B254))</f>
        <v/>
      </c>
      <c r="AV254" s="60">
        <f>IF(C254="","",IFERROR(INDEX('Saisie'!$L$5:$L$2004,_xlfn.MAXIFS('Saisie'!$AS$5:$AS$2004,'Saisie'!$C$5:$C$2004,C254,'Saisie'!$L$5:$L$2004,"&lt;&gt;")-4),""))</f>
        <v/>
      </c>
      <c r="AW254" s="106">
        <f>IF(C254="","",IF(D254&lt;&gt;"Perdu","",IFERROR(1/(1/_xlfn.MAXIFS('Saisie'!$A$5:$A$2004,'Saisie'!$C$5:$C$2004,C254,'Saisie'!$E$5:$E$2004,"Perdu")),"")))</f>
        <v/>
      </c>
      <c r="AX254" s="106">
        <f>IF(C254="","",IF(AW254="","",AW254+'Paramètres'!$B$28))</f>
        <v/>
      </c>
      <c r="AY254" s="60">
        <f>IF(C254="","",SUMIFS('Saisie'!$H$5:$H$2004,'Saisie'!$C$5:$C$2004,C254))</f>
        <v/>
      </c>
      <c r="AZ254" s="60">
        <f>IF(C254="","",IFERROR(INDEX('Paramètres'!$W$6:$W$20,MATCH(S254,'Paramètres'!$V$6:$V$20,0))&amp;"",""))</f>
        <v/>
      </c>
      <c r="BA254" s="60">
        <f>IF(C254="","",MAX(1,_xlfn.MAXIFS('Saisie'!$AT$5:$AT$2004,'Saisie'!$C$5:$C$2004,C254)))</f>
        <v/>
      </c>
      <c r="BB254" s="60">
        <f>IF(C254="","",IFERROR(INDEX('Saisie'!$X$5:$X$2004,_xlfn.MAXIFS('Saisie'!$AS$5:$AS$2004,'Saisie'!$C$5:$C$2004,C254,'Saisie'!$X$5:$X$2004,"&lt;&gt;")-4),""))</f>
        <v/>
      </c>
      <c r="BC254" s="60">
        <f>IF(C254="","",IFERROR(INDEX('Saisie'!$Y$5:$Y$2004,_xlfn.MAXIFS('Saisie'!$AS$5:$AS$2004,'Saisie'!$C$5:$C$2004,C254,'Saisie'!$Y$5:$Y$2004,"&lt;&gt;")-4),""))</f>
        <v/>
      </c>
      <c r="BD254" s="106">
        <f>IF(C254="","",IFERROR(1/(1/_xlfn.MINIFS('Saisie'!$A$5:$A$2004,'Saisie'!$C$5:$C$2004,C254,'Saisie'!$AT$5:$AT$2004,"&gt;=2")),""))</f>
        <v/>
      </c>
      <c r="BE254" s="106">
        <f>IF(C254="","",IFERROR(1/(1/_xlfn.MINIFS('Saisie'!$A$5:$A$2004,'Saisie'!$C$5:$C$2004,C254,'Saisie'!$AT$5:$AT$2004,"&gt;=3")),""))</f>
        <v/>
      </c>
      <c r="BF254" s="106">
        <f>IF(C254="","",IFERROR(1/(1/_xlfn.MINIFS('Saisie'!$A$5:$A$2004,'Saisie'!$C$5:$C$2004,C254,'Saisie'!$AT$5:$AT$2004,"&gt;=4")),""))</f>
        <v/>
      </c>
      <c r="BG254" s="106">
        <f>IF(C254="","",IFERROR(1/(1/_xlfn.MINIFS('Saisie'!$A$5:$A$2004,'Saisie'!$C$5:$C$2004,C254,'Saisie'!$AT$5:$AT$2004,"&gt;=5")),""))</f>
        <v/>
      </c>
      <c r="BH254" s="106">
        <f>IF(C254="","",IFERROR(1/(1/_xlfn.MINIFS('Saisie'!$A$5:$A$2004,'Saisie'!$C$5:$C$2004,C254,'Saisie'!$AT$5:$AT$2004,"&gt;=6")),""))</f>
        <v/>
      </c>
      <c r="BI254" s="106">
        <f>IF(C254="","",IFERROR(1/(1/_xlfn.MINIFS('Saisie'!$A$5:$A$2004,'Saisie'!$C$5:$C$2004,C254,'Saisie'!$AT$5:$AT$2004,"&gt;=7")),""))</f>
        <v/>
      </c>
      <c r="BJ254" s="60">
        <f>IF(OR(BD254="",B254=""),"",BD254-B254)</f>
        <v/>
      </c>
      <c r="BK254" s="60">
        <f>IF(OR(BE254="",BD254=""),"",BE254-BD254)</f>
        <v/>
      </c>
      <c r="BL254" s="60">
        <f>IF(OR(BF254="",BE254=""),"",BF254-BE254)</f>
        <v/>
      </c>
      <c r="BM254" s="60">
        <f>IF(OR(BG254="",BF254=""),"",BG254-BF254)</f>
        <v/>
      </c>
      <c r="BN254" s="60">
        <f>IF(OR(BH254="",BG254=""),"",BH254-BG254)</f>
        <v/>
      </c>
      <c r="BO254" s="60">
        <f>IF(OR(BI254="",BH254=""),"",BI254-BH254)</f>
        <v/>
      </c>
      <c r="BP254" s="60">
        <f>IF(C254="","",_xlfn.MAXIFS('Saisie'!$AS$5:$AS$2004,'Saisie'!$C$5:$C$2004,C254,'Saisie'!$J$5:$J$2004,"&lt;&gt;"))</f>
        <v/>
      </c>
      <c r="BQ254" s="60">
        <f>IF(C254="","",_xlfn.MAXIFS('Saisie'!$AS$5:$AS$2004,'Saisie'!$C$5:$C$2004,C254))</f>
        <v/>
      </c>
      <c r="BR254" s="60">
        <f>IF(C254="","",_xlfn.MAXIFS('Saisie'!$AS$5:$AS$2004,'Saisie'!$C$5:$C$2004,C254,'Saisie'!$E$5:$E$2004,"Perdu"))</f>
        <v/>
      </c>
      <c r="BS254" s="60">
        <f>IF(C254="","",_xlfn.MAXIFS('Saisie'!$AS$5:$AS$2004,'Saisie'!$C$5:$C$2004,C254,'Saisie'!$AT$5:$AT$2004,"&gt;0"))</f>
        <v/>
      </c>
      <c r="BT254" s="109">
        <f>IF(AND(C254&lt;&gt;"",OR(D254="Nouveau",D254="Contacté",D254="Qualifié"),OR(G254="",N(G254)&lt;=TODAY()),NOT(AND(O254&gt;='Paramètres'!$B$21,P254=0))),E254+250/10000,"")</f>
        <v/>
      </c>
      <c r="BU254" s="60">
        <f>IF(AND(G254&lt;&gt;"",N(G254)&lt;=TODAY()),MAX($BU$4:BU253)+1,"")</f>
        <v/>
      </c>
      <c r="BV254" s="60">
        <f>IF(AND(F254&lt;&gt;"",F254&lt;&gt;"Relance en retard"),MAX($BV$4:BV253)+1,"")</f>
        <v/>
      </c>
      <c r="BW254" s="60">
        <f>IF(C254="","",IF(AND(B254&gt;='Tableau de bord'!$R$4,B254&lt;='Tableau de bord'!$S$4,OR('Tableau de bord'!$G$4="Tous",N254='Tableau de bord'!$G$4)),1,0))</f>
        <v/>
      </c>
      <c r="BX254" s="60">
        <f>IF(AND(C254&lt;&gt;"",N(BA254)=7),MAX($BX$4:BX253)+1,"")</f>
        <v/>
      </c>
    </row>
    <row r="255">
      <c r="A255" s="60">
        <f>IF(C255="","","P-"&amp;TEXT(251,"000"))</f>
        <v/>
      </c>
      <c r="B255" s="106">
        <f>IF(C255="","",IFERROR(1/(1/_xlfn.MINIFS('Saisie'!$A$5:$A$2004,'Saisie'!$C$5:$C$2004,C255)),""))</f>
        <v/>
      </c>
      <c r="C255" s="60">
        <f>IFERROR(INDEX('Saisie'!$C$5:$C$2004,MATCH(251,'Saisie'!$AX$5:$AX$2004,0)),"")</f>
        <v/>
      </c>
      <c r="D255" s="60">
        <f>IF(C255="","",IF(AND(BR255&gt;0,BR255&gt;BS255,BA255&lt;7),"Perdu",INDEX('Paramètres'!$F$6:$F$13,BA255)))</f>
        <v/>
      </c>
      <c r="E255" s="61">
        <f>IF(C255="","",MIN(100,(Z255="Oui")*'Paramètres'!$B$38+(AB255="Régulière")*'Paramètres'!$B$39+IF(AND(N(AA255)&gt;0,TODAY()-N(AA255)&lt;=30),'Paramètres'!$B$40,0)+(W255="")*'Paramètres'!$B$41+(AC255="Absente")*'Paramètres'!$B$42+(AC255="Faible")*'Paramètres'!$B$43+IF(AND(N(AD255)&gt;0,N(AD255)&lt;4),'Paramètres'!$B$44,0)+(AF255="Moyenne")*'Paramètres'!$B$45+(AF255="Grande")*'Paramètres'!$B$46+(Y255&lt;&gt;"")*'Paramètres'!$B$47))</f>
        <v/>
      </c>
      <c r="F255" s="60">
        <f>IF(C255="","",IF(D255="Gagné","",IF(D255="Perdu",IF(AND(AX255&lt;&gt;"",AX255&lt;=TODAY()),"À recontacter (perdu)",""),IF(AND(O255&gt;='Paramètres'!$B$21,P255=0),"Stop : "&amp;'Paramètres'!$B$21&amp;" tentatives sans réponse",IF(AND(D255="Proposition",AR255&lt;&gt;"",TODAY()&gt;N(AR255)),"Proposition expirée",IF(AND(D255="Proposition",N(R255)&gt;='Paramètres'!$B$25),"Proposition sans réponse",IF(AND(G255&lt;&gt;"",N(G255)&lt;TODAY()),"Relance en retard",IF(N(R255)&gt;='Paramètres'!$B$24,"Sans action depuis "&amp;R255&amp;" j",""))))))))</f>
        <v/>
      </c>
      <c r="G255" s="106">
        <f>IF(OR(C255="",D255="Gagné",D255="Perdu"),"",IF(AND(BP255&gt;0,BP255=BQ255),INDEX('Saisie'!$J$5:$J$2004,BP255-4),IF(OR(O255=0,AND(O255&gt;='Paramètres'!$B$21,P255=0)),"",Q255+IF(O255&lt;=1,'Paramètres'!$B$18,IF(O255=2,'Paramètres'!$B$19,'Paramètres'!$B$20)))))</f>
        <v/>
      </c>
      <c r="H255" s="107">
        <f>IF(OR(G255="",BP255&lt;&gt;BQ255),"",IF(INDEX('Saisie'!$K$5:$K$2004,BP255-4)="","",INDEX('Saisie'!$K$5:$K$2004,BP255-4)))</f>
        <v/>
      </c>
      <c r="I255" s="60">
        <f>IF(C255="","",IF(OR(D255="Gagné",D255="Perdu"),"",IFERROR(INDEX('Saisie'!$I$5:$I$2004,_xlfn.MAXIFS('Saisie'!$AS$5:$AS$2004,'Saisie'!$C$5:$C$2004,C255,'Saisie'!$I$5:$I$2004,"&lt;&gt;")-4),"")))</f>
        <v/>
      </c>
      <c r="J255" s="60">
        <f>IF(C255="","",IFERROR(INDEX('Saisie'!$U$5:$U$2004,_xlfn.MAXIFS('Saisie'!$AS$5:$AS$2004,'Saisie'!$C$5:$C$2004,C255,'Saisie'!$U$5:$U$2004,"&lt;&gt;")-4),""))</f>
        <v/>
      </c>
      <c r="K255" s="60">
        <f>IF(C255="","",IFERROR(INDEX('Saisie'!$W$5:$W$2004,_xlfn.MAXIFS('Saisie'!$AS$5:$AS$2004,'Saisie'!$C$5:$C$2004,C255,'Saisie'!$W$5:$W$2004,"&lt;&gt;")-4),""))</f>
        <v/>
      </c>
      <c r="L255" s="60">
        <f>IF(IF(BB255&lt;&gt;"",BB255,K255)="","",HYPERLINK("https://wa.me/"&amp;IF(LEFT(SUBSTITUTE(SUBSTITUTE(SUBSTITUTE(IF(BB255&lt;&gt;"",BB255,K255)," ",""),".",""),"+",""),1)="0",'Paramètres'!$B$35&amp;MID(SUBSTITUTE(SUBSTITUTE(SUBSTITUTE(IF(BB255&lt;&gt;"",BB255,K255)," ",""),".",""),"+",""),2,20),SUBSTITUTE(SUBSTITUTE(SUBSTITUTE(IF(BB255&lt;&gt;"",BB255,K255)," ",""),".",""),"+","")),"WhatsApp"))</f>
        <v/>
      </c>
      <c r="M255" s="60">
        <f>IF(BC255="","",HYPERLINK(IF(LEFT(BC255,4)="http",BC255,"https://www.instagram.com/"&amp;SUBSTITUTE(SUBSTITUTE(BC255,"@","")," ","")),BC255))</f>
        <v/>
      </c>
      <c r="N255" s="60">
        <f>IF(C255="","",IFERROR(INDEX('Saisie'!$D$5:$D$2004,_xlfn.MINIFS('Saisie'!$AS$5:$AS$2004,'Saisie'!$C$5:$C$2004,C255,'Saisie'!$AU$5:$AU$2004,1)-4),IFERROR(INDEX('Saisie'!$D$5:$D$2004,_xlfn.MINIFS('Saisie'!$AS$5:$AS$2004,'Saisie'!$C$5:$C$2004,C255,'Saisie'!$D$5:$D$2004,"&lt;&gt;")-4),"")))</f>
        <v/>
      </c>
      <c r="O255" s="60">
        <f>IF(C255="","",COUNTIFS('Saisie'!$C$5:$C$2004,C255,'Saisie'!$AU$5:$AU$2004,1))</f>
        <v/>
      </c>
      <c r="P255" s="60">
        <f>IF(C255="","",COUNTIFS('Saisie'!$C$5:$C$2004,C255,'Saisie'!$AV$5:$AV$2004,1))</f>
        <v/>
      </c>
      <c r="Q255" s="106">
        <f>IF(C255="","",IFERROR(1/(1/_xlfn.MAXIFS('Saisie'!$A$5:$A$2004,'Saisie'!$C$5:$C$2004,C255)),""))</f>
        <v/>
      </c>
      <c r="R255" s="61">
        <f>IF(C255="","",IF(Q255="","",TODAY()-Q255))</f>
        <v/>
      </c>
      <c r="S255" s="60">
        <f>IF(C255="","",IFERROR(INDEX('Saisie'!$R$5:$R$2004,_xlfn.MAXIFS('Saisie'!$AS$5:$AS$2004,'Saisie'!$C$5:$C$2004,C255,'Saisie'!$R$5:$R$2004,"&lt;&gt;")-4),""))</f>
        <v/>
      </c>
      <c r="T255" s="60">
        <f>IF(C255="","",IFERROR(INDEX('Saisie'!$S$5:$S$2004,_xlfn.MAXIFS('Saisie'!$AS$5:$AS$2004,'Saisie'!$C$5:$C$2004,C255,'Saisie'!$S$5:$S$2004,"&lt;&gt;")-4),""))</f>
        <v/>
      </c>
      <c r="U255" s="60">
        <f>IF(C255="","",IFERROR(INDEX('Saisie'!$T$5:$T$2004,_xlfn.MAXIFS('Saisie'!$AS$5:$AS$2004,'Saisie'!$C$5:$C$2004,C255,'Saisie'!$T$5:$T$2004,"&lt;&gt;")-4),""))</f>
        <v/>
      </c>
      <c r="V255" s="60">
        <f>IF(C255="","",IFERROR(INDEX('Saisie'!$V$5:$V$2004,_xlfn.MAXIFS('Saisie'!$AS$5:$AS$2004,'Saisie'!$C$5:$C$2004,C255,'Saisie'!$V$5:$V$2004,"&lt;&gt;")-4),""))</f>
        <v/>
      </c>
      <c r="W255" s="60">
        <f>IF(C255="","",IFERROR(INDEX('Saisie'!$Z$5:$Z$2004,_xlfn.MAXIFS('Saisie'!$AS$5:$AS$2004,'Saisie'!$C$5:$C$2004,C255,'Saisie'!$Z$5:$Z$2004,"&lt;&gt;")-4),""))</f>
        <v/>
      </c>
      <c r="X255" s="60">
        <f>IF(C255="","",IFERROR(INDEX('Saisie'!$AA$5:$AA$2004,_xlfn.MAXIFS('Saisie'!$AS$5:$AS$2004,'Saisie'!$C$5:$C$2004,C255,'Saisie'!$AA$5:$AA$2004,"&lt;&gt;")-4),""))</f>
        <v/>
      </c>
      <c r="Y255" s="60">
        <f>IF(C255="","",IFERROR(INDEX('Saisie'!$AB$5:$AB$2004,_xlfn.MAXIFS('Saisie'!$AS$5:$AS$2004,'Saisie'!$C$5:$C$2004,C255,'Saisie'!$AB$5:$AB$2004,"&lt;&gt;")-4),""))</f>
        <v/>
      </c>
      <c r="Z255" s="60">
        <f>IF(C255="","",IFERROR(INDEX('Saisie'!$AC$5:$AC$2004,_xlfn.MAXIFS('Saisie'!$AS$5:$AS$2004,'Saisie'!$C$5:$C$2004,C255,'Saisie'!$AC$5:$AC$2004,"&lt;&gt;")-4),""))</f>
        <v/>
      </c>
      <c r="AA255" s="106">
        <f>IF(C255="","",IFERROR(INDEX('Saisie'!$AD$5:$AD$2004,_xlfn.MAXIFS('Saisie'!$AS$5:$AS$2004,'Saisie'!$C$5:$C$2004,C255,'Saisie'!$AD$5:$AD$2004,"&lt;&gt;")-4),""))</f>
        <v/>
      </c>
      <c r="AB255" s="60">
        <f>IF(C255="","",IFERROR(INDEX('Saisie'!$AE$5:$AE$2004,_xlfn.MAXIFS('Saisie'!$AS$5:$AS$2004,'Saisie'!$C$5:$C$2004,C255,'Saisie'!$AE$5:$AE$2004,"&lt;&gt;")-4),""))</f>
        <v/>
      </c>
      <c r="AC255" s="60">
        <f>IF(C255="","",IFERROR(INDEX('Saisie'!$AF$5:$AF$2004,_xlfn.MAXIFS('Saisie'!$AS$5:$AS$2004,'Saisie'!$C$5:$C$2004,C255,'Saisie'!$AF$5:$AF$2004,"&lt;&gt;")-4),""))</f>
        <v/>
      </c>
      <c r="AD255" s="108">
        <f>IF(C255="","",IFERROR(INDEX('Saisie'!$AG$5:$AG$2004,_xlfn.MAXIFS('Saisie'!$AS$5:$AS$2004,'Saisie'!$C$5:$C$2004,C255,'Saisie'!$AG$5:$AG$2004,"&lt;&gt;")-4),""))</f>
        <v/>
      </c>
      <c r="AE255" s="60">
        <f>IF(C255="","",IFERROR(INDEX('Saisie'!$AH$5:$AH$2004,_xlfn.MAXIFS('Saisie'!$AS$5:$AS$2004,'Saisie'!$C$5:$C$2004,C255,'Saisie'!$AH$5:$AH$2004,"&lt;&gt;")-4),""))</f>
        <v/>
      </c>
      <c r="AF255" s="60">
        <f>IF(C255="","",IFERROR(INDEX('Saisie'!$AI$5:$AI$2004,_xlfn.MAXIFS('Saisie'!$AS$5:$AS$2004,'Saisie'!$C$5:$C$2004,C255,'Saisie'!$AI$5:$AI$2004,"&lt;&gt;")-4),""))</f>
        <v/>
      </c>
      <c r="AG255" s="60">
        <f>IF(C255="","",IFERROR(INDEX('Saisie'!$AJ$5:$AJ$2004,_xlfn.MAXIFS('Saisie'!$AS$5:$AS$2004,'Saisie'!$C$5:$C$2004,C255,'Saisie'!$AJ$5:$AJ$2004,"&lt;&gt;")-4),""))</f>
        <v/>
      </c>
      <c r="AH255" s="60">
        <f>IF(C255="","",IFERROR(INDEX('Saisie'!$AK$5:$AK$2004,_xlfn.MAXIFS('Saisie'!$AS$5:$AS$2004,'Saisie'!$C$5:$C$2004,C255,'Saisie'!$AK$5:$AK$2004,"&lt;&gt;")-4),""))</f>
        <v/>
      </c>
      <c r="AI255" s="60">
        <f>IF(C255="","",IFERROR(INDEX('Saisie'!$AN$5:$AN$2004,_xlfn.MAXIFS('Saisie'!$AS$5:$AS$2004,'Saisie'!$C$5:$C$2004,C255,'Saisie'!$AN$5:$AN$2004,"&lt;&gt;")-4),""))</f>
        <v/>
      </c>
      <c r="AJ255" s="60">
        <f>IF(C255="","",IFERROR(INDEX('Saisie'!$AO$5:$AO$2004,_xlfn.MAXIFS('Saisie'!$AS$5:$AS$2004,'Saisie'!$C$5:$C$2004,C255,'Saisie'!$AO$5:$AO$2004,"&lt;&gt;")-4),""))</f>
        <v/>
      </c>
      <c r="AK255" s="60">
        <f>IF(C255="","",IFERROR(INDEX('Saisie'!$AP$5:$AP$2004,_xlfn.MAXIFS('Saisie'!$AS$5:$AS$2004,'Saisie'!$C$5:$C$2004,C255,'Saisie'!$AP$5:$AP$2004,"&lt;&gt;")-4),""))</f>
        <v/>
      </c>
      <c r="AL255" s="60">
        <f>IF(C255="","",IFERROR(INDEX('Saisie'!$AQ$5:$AQ$2004,_xlfn.MAXIFS('Saisie'!$AS$5:$AS$2004,'Saisie'!$C$5:$C$2004,C255,'Saisie'!$AQ$5:$AQ$2004,"&lt;&gt;")-4),""))</f>
        <v/>
      </c>
      <c r="AM255" s="60">
        <f>IF(C255="","",((AI255="Oui")+(AJ255="Oui")+(AK255="Oui")+OR(AL255="Immédiat",AL255="&lt; 1 mois"))&amp;"/4")</f>
        <v/>
      </c>
      <c r="AN255" s="60">
        <f>IF(C255="","",IFERROR(INDEX('Saisie'!$AL$5:$AL$2004,_xlfn.MAXIFS('Saisie'!$AS$5:$AS$2004,'Saisie'!$C$5:$C$2004,C255,'Saisie'!$AL$5:$AL$2004,"&lt;&gt;")-4),""))</f>
        <v/>
      </c>
      <c r="AO255" s="62">
        <f>IF(C255="","",IF(IFERROR(INDEX('Saisie'!$AM$5:$AM$2004,_xlfn.MAXIFS('Saisie'!$AS$5:$AS$2004,'Saisie'!$C$5:$C$2004,C255,'Saisie'!$AM$5:$AM$2004,"&lt;&gt;")-4),"")&lt;&gt;"",IFERROR(INDEX('Saisie'!$AM$5:$AM$2004,_xlfn.MAXIFS('Saisie'!$AS$5:$AS$2004,'Saisie'!$C$5:$C$2004,C255,'Saisie'!$AM$5:$AM$2004,"&lt;&gt;")-4),""),IFERROR(INDEX('Paramètres'!$S$6:$S$15,MATCH(AN255,'Paramètres'!$Q$6:$Q$15,0)),"")))</f>
        <v/>
      </c>
      <c r="AP255" s="62">
        <f>IF(C255="","",IFERROR(INDEX('Saisie'!$AW$5:$AW$2004,_xlfn.MAXIFS('Saisie'!$AS$5:$AS$2004,'Saisie'!$C$5:$C$2004,C255,'Saisie'!$E$5:$E$2004,"Proposition envoyée")-4),""))</f>
        <v/>
      </c>
      <c r="AQ255" s="106">
        <f>IF(C255="","",IFERROR(1/(1/_xlfn.MAXIFS('Saisie'!$A$5:$A$2004,'Saisie'!$C$5:$C$2004,C255,'Saisie'!$E$5:$E$2004,"Proposition envoyée")),""))</f>
        <v/>
      </c>
      <c r="AR255" s="106">
        <f>IF(C255="","",IF(AQ255="","",AQ255+'Paramètres'!$B$26))</f>
        <v/>
      </c>
      <c r="AS255" s="62">
        <f>IF(OR(C255="",D255="Gagné",D255="Perdu"),0,N(AP255)*IFERROR(INDEX('Paramètres'!$G$6:$G$13,MATCH(D255,'Paramètres'!$F$6:$F$13,0)),0))</f>
        <v/>
      </c>
      <c r="AT255" s="106">
        <f>IF(C255="","",IFERROR(1/(1/_xlfn.MINIFS('Saisie'!$A$5:$A$2004,'Saisie'!$C$5:$C$2004,C255,'Saisie'!$E$5:$E$2004,"Signature")),""))</f>
        <v/>
      </c>
      <c r="AU255" s="60">
        <f>IF(C255="","",IF(OR(AT255="",B255=""),"",AT255-B255))</f>
        <v/>
      </c>
      <c r="AV255" s="60">
        <f>IF(C255="","",IFERROR(INDEX('Saisie'!$L$5:$L$2004,_xlfn.MAXIFS('Saisie'!$AS$5:$AS$2004,'Saisie'!$C$5:$C$2004,C255,'Saisie'!$L$5:$L$2004,"&lt;&gt;")-4),""))</f>
        <v/>
      </c>
      <c r="AW255" s="106">
        <f>IF(C255="","",IF(D255&lt;&gt;"Perdu","",IFERROR(1/(1/_xlfn.MAXIFS('Saisie'!$A$5:$A$2004,'Saisie'!$C$5:$C$2004,C255,'Saisie'!$E$5:$E$2004,"Perdu")),"")))</f>
        <v/>
      </c>
      <c r="AX255" s="106">
        <f>IF(C255="","",IF(AW255="","",AW255+'Paramètres'!$B$28))</f>
        <v/>
      </c>
      <c r="AY255" s="60">
        <f>IF(C255="","",SUMIFS('Saisie'!$H$5:$H$2004,'Saisie'!$C$5:$C$2004,C255))</f>
        <v/>
      </c>
      <c r="AZ255" s="60">
        <f>IF(C255="","",IFERROR(INDEX('Paramètres'!$W$6:$W$20,MATCH(S255,'Paramètres'!$V$6:$V$20,0))&amp;"",""))</f>
        <v/>
      </c>
      <c r="BA255" s="60">
        <f>IF(C255="","",MAX(1,_xlfn.MAXIFS('Saisie'!$AT$5:$AT$2004,'Saisie'!$C$5:$C$2004,C255)))</f>
        <v/>
      </c>
      <c r="BB255" s="60">
        <f>IF(C255="","",IFERROR(INDEX('Saisie'!$X$5:$X$2004,_xlfn.MAXIFS('Saisie'!$AS$5:$AS$2004,'Saisie'!$C$5:$C$2004,C255,'Saisie'!$X$5:$X$2004,"&lt;&gt;")-4),""))</f>
        <v/>
      </c>
      <c r="BC255" s="60">
        <f>IF(C255="","",IFERROR(INDEX('Saisie'!$Y$5:$Y$2004,_xlfn.MAXIFS('Saisie'!$AS$5:$AS$2004,'Saisie'!$C$5:$C$2004,C255,'Saisie'!$Y$5:$Y$2004,"&lt;&gt;")-4),""))</f>
        <v/>
      </c>
      <c r="BD255" s="106">
        <f>IF(C255="","",IFERROR(1/(1/_xlfn.MINIFS('Saisie'!$A$5:$A$2004,'Saisie'!$C$5:$C$2004,C255,'Saisie'!$AT$5:$AT$2004,"&gt;=2")),""))</f>
        <v/>
      </c>
      <c r="BE255" s="106">
        <f>IF(C255="","",IFERROR(1/(1/_xlfn.MINIFS('Saisie'!$A$5:$A$2004,'Saisie'!$C$5:$C$2004,C255,'Saisie'!$AT$5:$AT$2004,"&gt;=3")),""))</f>
        <v/>
      </c>
      <c r="BF255" s="106">
        <f>IF(C255="","",IFERROR(1/(1/_xlfn.MINIFS('Saisie'!$A$5:$A$2004,'Saisie'!$C$5:$C$2004,C255,'Saisie'!$AT$5:$AT$2004,"&gt;=4")),""))</f>
        <v/>
      </c>
      <c r="BG255" s="106">
        <f>IF(C255="","",IFERROR(1/(1/_xlfn.MINIFS('Saisie'!$A$5:$A$2004,'Saisie'!$C$5:$C$2004,C255,'Saisie'!$AT$5:$AT$2004,"&gt;=5")),""))</f>
        <v/>
      </c>
      <c r="BH255" s="106">
        <f>IF(C255="","",IFERROR(1/(1/_xlfn.MINIFS('Saisie'!$A$5:$A$2004,'Saisie'!$C$5:$C$2004,C255,'Saisie'!$AT$5:$AT$2004,"&gt;=6")),""))</f>
        <v/>
      </c>
      <c r="BI255" s="106">
        <f>IF(C255="","",IFERROR(1/(1/_xlfn.MINIFS('Saisie'!$A$5:$A$2004,'Saisie'!$C$5:$C$2004,C255,'Saisie'!$AT$5:$AT$2004,"&gt;=7")),""))</f>
        <v/>
      </c>
      <c r="BJ255" s="60">
        <f>IF(OR(BD255="",B255=""),"",BD255-B255)</f>
        <v/>
      </c>
      <c r="BK255" s="60">
        <f>IF(OR(BE255="",BD255=""),"",BE255-BD255)</f>
        <v/>
      </c>
      <c r="BL255" s="60">
        <f>IF(OR(BF255="",BE255=""),"",BF255-BE255)</f>
        <v/>
      </c>
      <c r="BM255" s="60">
        <f>IF(OR(BG255="",BF255=""),"",BG255-BF255)</f>
        <v/>
      </c>
      <c r="BN255" s="60">
        <f>IF(OR(BH255="",BG255=""),"",BH255-BG255)</f>
        <v/>
      </c>
      <c r="BO255" s="60">
        <f>IF(OR(BI255="",BH255=""),"",BI255-BH255)</f>
        <v/>
      </c>
      <c r="BP255" s="60">
        <f>IF(C255="","",_xlfn.MAXIFS('Saisie'!$AS$5:$AS$2004,'Saisie'!$C$5:$C$2004,C255,'Saisie'!$J$5:$J$2004,"&lt;&gt;"))</f>
        <v/>
      </c>
      <c r="BQ255" s="60">
        <f>IF(C255="","",_xlfn.MAXIFS('Saisie'!$AS$5:$AS$2004,'Saisie'!$C$5:$C$2004,C255))</f>
        <v/>
      </c>
      <c r="BR255" s="60">
        <f>IF(C255="","",_xlfn.MAXIFS('Saisie'!$AS$5:$AS$2004,'Saisie'!$C$5:$C$2004,C255,'Saisie'!$E$5:$E$2004,"Perdu"))</f>
        <v/>
      </c>
      <c r="BS255" s="60">
        <f>IF(C255="","",_xlfn.MAXIFS('Saisie'!$AS$5:$AS$2004,'Saisie'!$C$5:$C$2004,C255,'Saisie'!$AT$5:$AT$2004,"&gt;0"))</f>
        <v/>
      </c>
      <c r="BT255" s="109">
        <f>IF(AND(C255&lt;&gt;"",OR(D255="Nouveau",D255="Contacté",D255="Qualifié"),OR(G255="",N(G255)&lt;=TODAY()),NOT(AND(O255&gt;='Paramètres'!$B$21,P255=0))),E255+251/10000,"")</f>
        <v/>
      </c>
      <c r="BU255" s="60">
        <f>IF(AND(G255&lt;&gt;"",N(G255)&lt;=TODAY()),MAX($BU$4:BU254)+1,"")</f>
        <v/>
      </c>
      <c r="BV255" s="60">
        <f>IF(AND(F255&lt;&gt;"",F255&lt;&gt;"Relance en retard"),MAX($BV$4:BV254)+1,"")</f>
        <v/>
      </c>
      <c r="BW255" s="60">
        <f>IF(C255="","",IF(AND(B255&gt;='Tableau de bord'!$R$4,B255&lt;='Tableau de bord'!$S$4,OR('Tableau de bord'!$G$4="Tous",N255='Tableau de bord'!$G$4)),1,0))</f>
        <v/>
      </c>
      <c r="BX255" s="60">
        <f>IF(AND(C255&lt;&gt;"",N(BA255)=7),MAX($BX$4:BX254)+1,"")</f>
        <v/>
      </c>
    </row>
    <row r="256">
      <c r="A256" s="60">
        <f>IF(C256="","","P-"&amp;TEXT(252,"000"))</f>
        <v/>
      </c>
      <c r="B256" s="106">
        <f>IF(C256="","",IFERROR(1/(1/_xlfn.MINIFS('Saisie'!$A$5:$A$2004,'Saisie'!$C$5:$C$2004,C256)),""))</f>
        <v/>
      </c>
      <c r="C256" s="60">
        <f>IFERROR(INDEX('Saisie'!$C$5:$C$2004,MATCH(252,'Saisie'!$AX$5:$AX$2004,0)),"")</f>
        <v/>
      </c>
      <c r="D256" s="60">
        <f>IF(C256="","",IF(AND(BR256&gt;0,BR256&gt;BS256,BA256&lt;7),"Perdu",INDEX('Paramètres'!$F$6:$F$13,BA256)))</f>
        <v/>
      </c>
      <c r="E256" s="61">
        <f>IF(C256="","",MIN(100,(Z256="Oui")*'Paramètres'!$B$38+(AB256="Régulière")*'Paramètres'!$B$39+IF(AND(N(AA256)&gt;0,TODAY()-N(AA256)&lt;=30),'Paramètres'!$B$40,0)+(W256="")*'Paramètres'!$B$41+(AC256="Absente")*'Paramètres'!$B$42+(AC256="Faible")*'Paramètres'!$B$43+IF(AND(N(AD256)&gt;0,N(AD256)&lt;4),'Paramètres'!$B$44,0)+(AF256="Moyenne")*'Paramètres'!$B$45+(AF256="Grande")*'Paramètres'!$B$46+(Y256&lt;&gt;"")*'Paramètres'!$B$47))</f>
        <v/>
      </c>
      <c r="F256" s="60">
        <f>IF(C256="","",IF(D256="Gagné","",IF(D256="Perdu",IF(AND(AX256&lt;&gt;"",AX256&lt;=TODAY()),"À recontacter (perdu)",""),IF(AND(O256&gt;='Paramètres'!$B$21,P256=0),"Stop : "&amp;'Paramètres'!$B$21&amp;" tentatives sans réponse",IF(AND(D256="Proposition",AR256&lt;&gt;"",TODAY()&gt;N(AR256)),"Proposition expirée",IF(AND(D256="Proposition",N(R256)&gt;='Paramètres'!$B$25),"Proposition sans réponse",IF(AND(G256&lt;&gt;"",N(G256)&lt;TODAY()),"Relance en retard",IF(N(R256)&gt;='Paramètres'!$B$24,"Sans action depuis "&amp;R256&amp;" j",""))))))))</f>
        <v/>
      </c>
      <c r="G256" s="106">
        <f>IF(OR(C256="",D256="Gagné",D256="Perdu"),"",IF(AND(BP256&gt;0,BP256=BQ256),INDEX('Saisie'!$J$5:$J$2004,BP256-4),IF(OR(O256=0,AND(O256&gt;='Paramètres'!$B$21,P256=0)),"",Q256+IF(O256&lt;=1,'Paramètres'!$B$18,IF(O256=2,'Paramètres'!$B$19,'Paramètres'!$B$20)))))</f>
        <v/>
      </c>
      <c r="H256" s="107">
        <f>IF(OR(G256="",BP256&lt;&gt;BQ256),"",IF(INDEX('Saisie'!$K$5:$K$2004,BP256-4)="","",INDEX('Saisie'!$K$5:$K$2004,BP256-4)))</f>
        <v/>
      </c>
      <c r="I256" s="60">
        <f>IF(C256="","",IF(OR(D256="Gagné",D256="Perdu"),"",IFERROR(INDEX('Saisie'!$I$5:$I$2004,_xlfn.MAXIFS('Saisie'!$AS$5:$AS$2004,'Saisie'!$C$5:$C$2004,C256,'Saisie'!$I$5:$I$2004,"&lt;&gt;")-4),"")))</f>
        <v/>
      </c>
      <c r="J256" s="60">
        <f>IF(C256="","",IFERROR(INDEX('Saisie'!$U$5:$U$2004,_xlfn.MAXIFS('Saisie'!$AS$5:$AS$2004,'Saisie'!$C$5:$C$2004,C256,'Saisie'!$U$5:$U$2004,"&lt;&gt;")-4),""))</f>
        <v/>
      </c>
      <c r="K256" s="60">
        <f>IF(C256="","",IFERROR(INDEX('Saisie'!$W$5:$W$2004,_xlfn.MAXIFS('Saisie'!$AS$5:$AS$2004,'Saisie'!$C$5:$C$2004,C256,'Saisie'!$W$5:$W$2004,"&lt;&gt;")-4),""))</f>
        <v/>
      </c>
      <c r="L256" s="60">
        <f>IF(IF(BB256&lt;&gt;"",BB256,K256)="","",HYPERLINK("https://wa.me/"&amp;IF(LEFT(SUBSTITUTE(SUBSTITUTE(SUBSTITUTE(IF(BB256&lt;&gt;"",BB256,K256)," ",""),".",""),"+",""),1)="0",'Paramètres'!$B$35&amp;MID(SUBSTITUTE(SUBSTITUTE(SUBSTITUTE(IF(BB256&lt;&gt;"",BB256,K256)," ",""),".",""),"+",""),2,20),SUBSTITUTE(SUBSTITUTE(SUBSTITUTE(IF(BB256&lt;&gt;"",BB256,K256)," ",""),".",""),"+","")),"WhatsApp"))</f>
        <v/>
      </c>
      <c r="M256" s="60">
        <f>IF(BC256="","",HYPERLINK(IF(LEFT(BC256,4)="http",BC256,"https://www.instagram.com/"&amp;SUBSTITUTE(SUBSTITUTE(BC256,"@","")," ","")),BC256))</f>
        <v/>
      </c>
      <c r="N256" s="60">
        <f>IF(C256="","",IFERROR(INDEX('Saisie'!$D$5:$D$2004,_xlfn.MINIFS('Saisie'!$AS$5:$AS$2004,'Saisie'!$C$5:$C$2004,C256,'Saisie'!$AU$5:$AU$2004,1)-4),IFERROR(INDEX('Saisie'!$D$5:$D$2004,_xlfn.MINIFS('Saisie'!$AS$5:$AS$2004,'Saisie'!$C$5:$C$2004,C256,'Saisie'!$D$5:$D$2004,"&lt;&gt;")-4),"")))</f>
        <v/>
      </c>
      <c r="O256" s="60">
        <f>IF(C256="","",COUNTIFS('Saisie'!$C$5:$C$2004,C256,'Saisie'!$AU$5:$AU$2004,1))</f>
        <v/>
      </c>
      <c r="P256" s="60">
        <f>IF(C256="","",COUNTIFS('Saisie'!$C$5:$C$2004,C256,'Saisie'!$AV$5:$AV$2004,1))</f>
        <v/>
      </c>
      <c r="Q256" s="106">
        <f>IF(C256="","",IFERROR(1/(1/_xlfn.MAXIFS('Saisie'!$A$5:$A$2004,'Saisie'!$C$5:$C$2004,C256)),""))</f>
        <v/>
      </c>
      <c r="R256" s="61">
        <f>IF(C256="","",IF(Q256="","",TODAY()-Q256))</f>
        <v/>
      </c>
      <c r="S256" s="60">
        <f>IF(C256="","",IFERROR(INDEX('Saisie'!$R$5:$R$2004,_xlfn.MAXIFS('Saisie'!$AS$5:$AS$2004,'Saisie'!$C$5:$C$2004,C256,'Saisie'!$R$5:$R$2004,"&lt;&gt;")-4),""))</f>
        <v/>
      </c>
      <c r="T256" s="60">
        <f>IF(C256="","",IFERROR(INDEX('Saisie'!$S$5:$S$2004,_xlfn.MAXIFS('Saisie'!$AS$5:$AS$2004,'Saisie'!$C$5:$C$2004,C256,'Saisie'!$S$5:$S$2004,"&lt;&gt;")-4),""))</f>
        <v/>
      </c>
      <c r="U256" s="60">
        <f>IF(C256="","",IFERROR(INDEX('Saisie'!$T$5:$T$2004,_xlfn.MAXIFS('Saisie'!$AS$5:$AS$2004,'Saisie'!$C$5:$C$2004,C256,'Saisie'!$T$5:$T$2004,"&lt;&gt;")-4),""))</f>
        <v/>
      </c>
      <c r="V256" s="60">
        <f>IF(C256="","",IFERROR(INDEX('Saisie'!$V$5:$V$2004,_xlfn.MAXIFS('Saisie'!$AS$5:$AS$2004,'Saisie'!$C$5:$C$2004,C256,'Saisie'!$V$5:$V$2004,"&lt;&gt;")-4),""))</f>
        <v/>
      </c>
      <c r="W256" s="60">
        <f>IF(C256="","",IFERROR(INDEX('Saisie'!$Z$5:$Z$2004,_xlfn.MAXIFS('Saisie'!$AS$5:$AS$2004,'Saisie'!$C$5:$C$2004,C256,'Saisie'!$Z$5:$Z$2004,"&lt;&gt;")-4),""))</f>
        <v/>
      </c>
      <c r="X256" s="60">
        <f>IF(C256="","",IFERROR(INDEX('Saisie'!$AA$5:$AA$2004,_xlfn.MAXIFS('Saisie'!$AS$5:$AS$2004,'Saisie'!$C$5:$C$2004,C256,'Saisie'!$AA$5:$AA$2004,"&lt;&gt;")-4),""))</f>
        <v/>
      </c>
      <c r="Y256" s="60">
        <f>IF(C256="","",IFERROR(INDEX('Saisie'!$AB$5:$AB$2004,_xlfn.MAXIFS('Saisie'!$AS$5:$AS$2004,'Saisie'!$C$5:$C$2004,C256,'Saisie'!$AB$5:$AB$2004,"&lt;&gt;")-4),""))</f>
        <v/>
      </c>
      <c r="Z256" s="60">
        <f>IF(C256="","",IFERROR(INDEX('Saisie'!$AC$5:$AC$2004,_xlfn.MAXIFS('Saisie'!$AS$5:$AS$2004,'Saisie'!$C$5:$C$2004,C256,'Saisie'!$AC$5:$AC$2004,"&lt;&gt;")-4),""))</f>
        <v/>
      </c>
      <c r="AA256" s="106">
        <f>IF(C256="","",IFERROR(INDEX('Saisie'!$AD$5:$AD$2004,_xlfn.MAXIFS('Saisie'!$AS$5:$AS$2004,'Saisie'!$C$5:$C$2004,C256,'Saisie'!$AD$5:$AD$2004,"&lt;&gt;")-4),""))</f>
        <v/>
      </c>
      <c r="AB256" s="60">
        <f>IF(C256="","",IFERROR(INDEX('Saisie'!$AE$5:$AE$2004,_xlfn.MAXIFS('Saisie'!$AS$5:$AS$2004,'Saisie'!$C$5:$C$2004,C256,'Saisie'!$AE$5:$AE$2004,"&lt;&gt;")-4),""))</f>
        <v/>
      </c>
      <c r="AC256" s="60">
        <f>IF(C256="","",IFERROR(INDEX('Saisie'!$AF$5:$AF$2004,_xlfn.MAXIFS('Saisie'!$AS$5:$AS$2004,'Saisie'!$C$5:$C$2004,C256,'Saisie'!$AF$5:$AF$2004,"&lt;&gt;")-4),""))</f>
        <v/>
      </c>
      <c r="AD256" s="108">
        <f>IF(C256="","",IFERROR(INDEX('Saisie'!$AG$5:$AG$2004,_xlfn.MAXIFS('Saisie'!$AS$5:$AS$2004,'Saisie'!$C$5:$C$2004,C256,'Saisie'!$AG$5:$AG$2004,"&lt;&gt;")-4),""))</f>
        <v/>
      </c>
      <c r="AE256" s="60">
        <f>IF(C256="","",IFERROR(INDEX('Saisie'!$AH$5:$AH$2004,_xlfn.MAXIFS('Saisie'!$AS$5:$AS$2004,'Saisie'!$C$5:$C$2004,C256,'Saisie'!$AH$5:$AH$2004,"&lt;&gt;")-4),""))</f>
        <v/>
      </c>
      <c r="AF256" s="60">
        <f>IF(C256="","",IFERROR(INDEX('Saisie'!$AI$5:$AI$2004,_xlfn.MAXIFS('Saisie'!$AS$5:$AS$2004,'Saisie'!$C$5:$C$2004,C256,'Saisie'!$AI$5:$AI$2004,"&lt;&gt;")-4),""))</f>
        <v/>
      </c>
      <c r="AG256" s="60">
        <f>IF(C256="","",IFERROR(INDEX('Saisie'!$AJ$5:$AJ$2004,_xlfn.MAXIFS('Saisie'!$AS$5:$AS$2004,'Saisie'!$C$5:$C$2004,C256,'Saisie'!$AJ$5:$AJ$2004,"&lt;&gt;")-4),""))</f>
        <v/>
      </c>
      <c r="AH256" s="60">
        <f>IF(C256="","",IFERROR(INDEX('Saisie'!$AK$5:$AK$2004,_xlfn.MAXIFS('Saisie'!$AS$5:$AS$2004,'Saisie'!$C$5:$C$2004,C256,'Saisie'!$AK$5:$AK$2004,"&lt;&gt;")-4),""))</f>
        <v/>
      </c>
      <c r="AI256" s="60">
        <f>IF(C256="","",IFERROR(INDEX('Saisie'!$AN$5:$AN$2004,_xlfn.MAXIFS('Saisie'!$AS$5:$AS$2004,'Saisie'!$C$5:$C$2004,C256,'Saisie'!$AN$5:$AN$2004,"&lt;&gt;")-4),""))</f>
        <v/>
      </c>
      <c r="AJ256" s="60">
        <f>IF(C256="","",IFERROR(INDEX('Saisie'!$AO$5:$AO$2004,_xlfn.MAXIFS('Saisie'!$AS$5:$AS$2004,'Saisie'!$C$5:$C$2004,C256,'Saisie'!$AO$5:$AO$2004,"&lt;&gt;")-4),""))</f>
        <v/>
      </c>
      <c r="AK256" s="60">
        <f>IF(C256="","",IFERROR(INDEX('Saisie'!$AP$5:$AP$2004,_xlfn.MAXIFS('Saisie'!$AS$5:$AS$2004,'Saisie'!$C$5:$C$2004,C256,'Saisie'!$AP$5:$AP$2004,"&lt;&gt;")-4),""))</f>
        <v/>
      </c>
      <c r="AL256" s="60">
        <f>IF(C256="","",IFERROR(INDEX('Saisie'!$AQ$5:$AQ$2004,_xlfn.MAXIFS('Saisie'!$AS$5:$AS$2004,'Saisie'!$C$5:$C$2004,C256,'Saisie'!$AQ$5:$AQ$2004,"&lt;&gt;")-4),""))</f>
        <v/>
      </c>
      <c r="AM256" s="60">
        <f>IF(C256="","",((AI256="Oui")+(AJ256="Oui")+(AK256="Oui")+OR(AL256="Immédiat",AL256="&lt; 1 mois"))&amp;"/4")</f>
        <v/>
      </c>
      <c r="AN256" s="60">
        <f>IF(C256="","",IFERROR(INDEX('Saisie'!$AL$5:$AL$2004,_xlfn.MAXIFS('Saisie'!$AS$5:$AS$2004,'Saisie'!$C$5:$C$2004,C256,'Saisie'!$AL$5:$AL$2004,"&lt;&gt;")-4),""))</f>
        <v/>
      </c>
      <c r="AO256" s="62">
        <f>IF(C256="","",IF(IFERROR(INDEX('Saisie'!$AM$5:$AM$2004,_xlfn.MAXIFS('Saisie'!$AS$5:$AS$2004,'Saisie'!$C$5:$C$2004,C256,'Saisie'!$AM$5:$AM$2004,"&lt;&gt;")-4),"")&lt;&gt;"",IFERROR(INDEX('Saisie'!$AM$5:$AM$2004,_xlfn.MAXIFS('Saisie'!$AS$5:$AS$2004,'Saisie'!$C$5:$C$2004,C256,'Saisie'!$AM$5:$AM$2004,"&lt;&gt;")-4),""),IFERROR(INDEX('Paramètres'!$S$6:$S$15,MATCH(AN256,'Paramètres'!$Q$6:$Q$15,0)),"")))</f>
        <v/>
      </c>
      <c r="AP256" s="62">
        <f>IF(C256="","",IFERROR(INDEX('Saisie'!$AW$5:$AW$2004,_xlfn.MAXIFS('Saisie'!$AS$5:$AS$2004,'Saisie'!$C$5:$C$2004,C256,'Saisie'!$E$5:$E$2004,"Proposition envoyée")-4),""))</f>
        <v/>
      </c>
      <c r="AQ256" s="106">
        <f>IF(C256="","",IFERROR(1/(1/_xlfn.MAXIFS('Saisie'!$A$5:$A$2004,'Saisie'!$C$5:$C$2004,C256,'Saisie'!$E$5:$E$2004,"Proposition envoyée")),""))</f>
        <v/>
      </c>
      <c r="AR256" s="106">
        <f>IF(C256="","",IF(AQ256="","",AQ256+'Paramètres'!$B$26))</f>
        <v/>
      </c>
      <c r="AS256" s="62">
        <f>IF(OR(C256="",D256="Gagné",D256="Perdu"),0,N(AP256)*IFERROR(INDEX('Paramètres'!$G$6:$G$13,MATCH(D256,'Paramètres'!$F$6:$F$13,0)),0))</f>
        <v/>
      </c>
      <c r="AT256" s="106">
        <f>IF(C256="","",IFERROR(1/(1/_xlfn.MINIFS('Saisie'!$A$5:$A$2004,'Saisie'!$C$5:$C$2004,C256,'Saisie'!$E$5:$E$2004,"Signature")),""))</f>
        <v/>
      </c>
      <c r="AU256" s="60">
        <f>IF(C256="","",IF(OR(AT256="",B256=""),"",AT256-B256))</f>
        <v/>
      </c>
      <c r="AV256" s="60">
        <f>IF(C256="","",IFERROR(INDEX('Saisie'!$L$5:$L$2004,_xlfn.MAXIFS('Saisie'!$AS$5:$AS$2004,'Saisie'!$C$5:$C$2004,C256,'Saisie'!$L$5:$L$2004,"&lt;&gt;")-4),""))</f>
        <v/>
      </c>
      <c r="AW256" s="106">
        <f>IF(C256="","",IF(D256&lt;&gt;"Perdu","",IFERROR(1/(1/_xlfn.MAXIFS('Saisie'!$A$5:$A$2004,'Saisie'!$C$5:$C$2004,C256,'Saisie'!$E$5:$E$2004,"Perdu")),"")))</f>
        <v/>
      </c>
      <c r="AX256" s="106">
        <f>IF(C256="","",IF(AW256="","",AW256+'Paramètres'!$B$28))</f>
        <v/>
      </c>
      <c r="AY256" s="60">
        <f>IF(C256="","",SUMIFS('Saisie'!$H$5:$H$2004,'Saisie'!$C$5:$C$2004,C256))</f>
        <v/>
      </c>
      <c r="AZ256" s="60">
        <f>IF(C256="","",IFERROR(INDEX('Paramètres'!$W$6:$W$20,MATCH(S256,'Paramètres'!$V$6:$V$20,0))&amp;"",""))</f>
        <v/>
      </c>
      <c r="BA256" s="60">
        <f>IF(C256="","",MAX(1,_xlfn.MAXIFS('Saisie'!$AT$5:$AT$2004,'Saisie'!$C$5:$C$2004,C256)))</f>
        <v/>
      </c>
      <c r="BB256" s="60">
        <f>IF(C256="","",IFERROR(INDEX('Saisie'!$X$5:$X$2004,_xlfn.MAXIFS('Saisie'!$AS$5:$AS$2004,'Saisie'!$C$5:$C$2004,C256,'Saisie'!$X$5:$X$2004,"&lt;&gt;")-4),""))</f>
        <v/>
      </c>
      <c r="BC256" s="60">
        <f>IF(C256="","",IFERROR(INDEX('Saisie'!$Y$5:$Y$2004,_xlfn.MAXIFS('Saisie'!$AS$5:$AS$2004,'Saisie'!$C$5:$C$2004,C256,'Saisie'!$Y$5:$Y$2004,"&lt;&gt;")-4),""))</f>
        <v/>
      </c>
      <c r="BD256" s="106">
        <f>IF(C256="","",IFERROR(1/(1/_xlfn.MINIFS('Saisie'!$A$5:$A$2004,'Saisie'!$C$5:$C$2004,C256,'Saisie'!$AT$5:$AT$2004,"&gt;=2")),""))</f>
        <v/>
      </c>
      <c r="BE256" s="106">
        <f>IF(C256="","",IFERROR(1/(1/_xlfn.MINIFS('Saisie'!$A$5:$A$2004,'Saisie'!$C$5:$C$2004,C256,'Saisie'!$AT$5:$AT$2004,"&gt;=3")),""))</f>
        <v/>
      </c>
      <c r="BF256" s="106">
        <f>IF(C256="","",IFERROR(1/(1/_xlfn.MINIFS('Saisie'!$A$5:$A$2004,'Saisie'!$C$5:$C$2004,C256,'Saisie'!$AT$5:$AT$2004,"&gt;=4")),""))</f>
        <v/>
      </c>
      <c r="BG256" s="106">
        <f>IF(C256="","",IFERROR(1/(1/_xlfn.MINIFS('Saisie'!$A$5:$A$2004,'Saisie'!$C$5:$C$2004,C256,'Saisie'!$AT$5:$AT$2004,"&gt;=5")),""))</f>
        <v/>
      </c>
      <c r="BH256" s="106">
        <f>IF(C256="","",IFERROR(1/(1/_xlfn.MINIFS('Saisie'!$A$5:$A$2004,'Saisie'!$C$5:$C$2004,C256,'Saisie'!$AT$5:$AT$2004,"&gt;=6")),""))</f>
        <v/>
      </c>
      <c r="BI256" s="106">
        <f>IF(C256="","",IFERROR(1/(1/_xlfn.MINIFS('Saisie'!$A$5:$A$2004,'Saisie'!$C$5:$C$2004,C256,'Saisie'!$AT$5:$AT$2004,"&gt;=7")),""))</f>
        <v/>
      </c>
      <c r="BJ256" s="60">
        <f>IF(OR(BD256="",B256=""),"",BD256-B256)</f>
        <v/>
      </c>
      <c r="BK256" s="60">
        <f>IF(OR(BE256="",BD256=""),"",BE256-BD256)</f>
        <v/>
      </c>
      <c r="BL256" s="60">
        <f>IF(OR(BF256="",BE256=""),"",BF256-BE256)</f>
        <v/>
      </c>
      <c r="BM256" s="60">
        <f>IF(OR(BG256="",BF256=""),"",BG256-BF256)</f>
        <v/>
      </c>
      <c r="BN256" s="60">
        <f>IF(OR(BH256="",BG256=""),"",BH256-BG256)</f>
        <v/>
      </c>
      <c r="BO256" s="60">
        <f>IF(OR(BI256="",BH256=""),"",BI256-BH256)</f>
        <v/>
      </c>
      <c r="BP256" s="60">
        <f>IF(C256="","",_xlfn.MAXIFS('Saisie'!$AS$5:$AS$2004,'Saisie'!$C$5:$C$2004,C256,'Saisie'!$J$5:$J$2004,"&lt;&gt;"))</f>
        <v/>
      </c>
      <c r="BQ256" s="60">
        <f>IF(C256="","",_xlfn.MAXIFS('Saisie'!$AS$5:$AS$2004,'Saisie'!$C$5:$C$2004,C256))</f>
        <v/>
      </c>
      <c r="BR256" s="60">
        <f>IF(C256="","",_xlfn.MAXIFS('Saisie'!$AS$5:$AS$2004,'Saisie'!$C$5:$C$2004,C256,'Saisie'!$E$5:$E$2004,"Perdu"))</f>
        <v/>
      </c>
      <c r="BS256" s="60">
        <f>IF(C256="","",_xlfn.MAXIFS('Saisie'!$AS$5:$AS$2004,'Saisie'!$C$5:$C$2004,C256,'Saisie'!$AT$5:$AT$2004,"&gt;0"))</f>
        <v/>
      </c>
      <c r="BT256" s="109">
        <f>IF(AND(C256&lt;&gt;"",OR(D256="Nouveau",D256="Contacté",D256="Qualifié"),OR(G256="",N(G256)&lt;=TODAY()),NOT(AND(O256&gt;='Paramètres'!$B$21,P256=0))),E256+252/10000,"")</f>
        <v/>
      </c>
      <c r="BU256" s="60">
        <f>IF(AND(G256&lt;&gt;"",N(G256)&lt;=TODAY()),MAX($BU$4:BU255)+1,"")</f>
        <v/>
      </c>
      <c r="BV256" s="60">
        <f>IF(AND(F256&lt;&gt;"",F256&lt;&gt;"Relance en retard"),MAX($BV$4:BV255)+1,"")</f>
        <v/>
      </c>
      <c r="BW256" s="60">
        <f>IF(C256="","",IF(AND(B256&gt;='Tableau de bord'!$R$4,B256&lt;='Tableau de bord'!$S$4,OR('Tableau de bord'!$G$4="Tous",N256='Tableau de bord'!$G$4)),1,0))</f>
        <v/>
      </c>
      <c r="BX256" s="60">
        <f>IF(AND(C256&lt;&gt;"",N(BA256)=7),MAX($BX$4:BX255)+1,"")</f>
        <v/>
      </c>
    </row>
    <row r="257">
      <c r="A257" s="60">
        <f>IF(C257="","","P-"&amp;TEXT(253,"000"))</f>
        <v/>
      </c>
      <c r="B257" s="106">
        <f>IF(C257="","",IFERROR(1/(1/_xlfn.MINIFS('Saisie'!$A$5:$A$2004,'Saisie'!$C$5:$C$2004,C257)),""))</f>
        <v/>
      </c>
      <c r="C257" s="60">
        <f>IFERROR(INDEX('Saisie'!$C$5:$C$2004,MATCH(253,'Saisie'!$AX$5:$AX$2004,0)),"")</f>
        <v/>
      </c>
      <c r="D257" s="60">
        <f>IF(C257="","",IF(AND(BR257&gt;0,BR257&gt;BS257,BA257&lt;7),"Perdu",INDEX('Paramètres'!$F$6:$F$13,BA257)))</f>
        <v/>
      </c>
      <c r="E257" s="61">
        <f>IF(C257="","",MIN(100,(Z257="Oui")*'Paramètres'!$B$38+(AB257="Régulière")*'Paramètres'!$B$39+IF(AND(N(AA257)&gt;0,TODAY()-N(AA257)&lt;=30),'Paramètres'!$B$40,0)+(W257="")*'Paramètres'!$B$41+(AC257="Absente")*'Paramètres'!$B$42+(AC257="Faible")*'Paramètres'!$B$43+IF(AND(N(AD257)&gt;0,N(AD257)&lt;4),'Paramètres'!$B$44,0)+(AF257="Moyenne")*'Paramètres'!$B$45+(AF257="Grande")*'Paramètres'!$B$46+(Y257&lt;&gt;"")*'Paramètres'!$B$47))</f>
        <v/>
      </c>
      <c r="F257" s="60">
        <f>IF(C257="","",IF(D257="Gagné","",IF(D257="Perdu",IF(AND(AX257&lt;&gt;"",AX257&lt;=TODAY()),"À recontacter (perdu)",""),IF(AND(O257&gt;='Paramètres'!$B$21,P257=0),"Stop : "&amp;'Paramètres'!$B$21&amp;" tentatives sans réponse",IF(AND(D257="Proposition",AR257&lt;&gt;"",TODAY()&gt;N(AR257)),"Proposition expirée",IF(AND(D257="Proposition",N(R257)&gt;='Paramètres'!$B$25),"Proposition sans réponse",IF(AND(G257&lt;&gt;"",N(G257)&lt;TODAY()),"Relance en retard",IF(N(R257)&gt;='Paramètres'!$B$24,"Sans action depuis "&amp;R257&amp;" j",""))))))))</f>
        <v/>
      </c>
      <c r="G257" s="106">
        <f>IF(OR(C257="",D257="Gagné",D257="Perdu"),"",IF(AND(BP257&gt;0,BP257=BQ257),INDEX('Saisie'!$J$5:$J$2004,BP257-4),IF(OR(O257=0,AND(O257&gt;='Paramètres'!$B$21,P257=0)),"",Q257+IF(O257&lt;=1,'Paramètres'!$B$18,IF(O257=2,'Paramètres'!$B$19,'Paramètres'!$B$20)))))</f>
        <v/>
      </c>
      <c r="H257" s="107">
        <f>IF(OR(G257="",BP257&lt;&gt;BQ257),"",IF(INDEX('Saisie'!$K$5:$K$2004,BP257-4)="","",INDEX('Saisie'!$K$5:$K$2004,BP257-4)))</f>
        <v/>
      </c>
      <c r="I257" s="60">
        <f>IF(C257="","",IF(OR(D257="Gagné",D257="Perdu"),"",IFERROR(INDEX('Saisie'!$I$5:$I$2004,_xlfn.MAXIFS('Saisie'!$AS$5:$AS$2004,'Saisie'!$C$5:$C$2004,C257,'Saisie'!$I$5:$I$2004,"&lt;&gt;")-4),"")))</f>
        <v/>
      </c>
      <c r="J257" s="60">
        <f>IF(C257="","",IFERROR(INDEX('Saisie'!$U$5:$U$2004,_xlfn.MAXIFS('Saisie'!$AS$5:$AS$2004,'Saisie'!$C$5:$C$2004,C257,'Saisie'!$U$5:$U$2004,"&lt;&gt;")-4),""))</f>
        <v/>
      </c>
      <c r="K257" s="60">
        <f>IF(C257="","",IFERROR(INDEX('Saisie'!$W$5:$W$2004,_xlfn.MAXIFS('Saisie'!$AS$5:$AS$2004,'Saisie'!$C$5:$C$2004,C257,'Saisie'!$W$5:$W$2004,"&lt;&gt;")-4),""))</f>
        <v/>
      </c>
      <c r="L257" s="60">
        <f>IF(IF(BB257&lt;&gt;"",BB257,K257)="","",HYPERLINK("https://wa.me/"&amp;IF(LEFT(SUBSTITUTE(SUBSTITUTE(SUBSTITUTE(IF(BB257&lt;&gt;"",BB257,K257)," ",""),".",""),"+",""),1)="0",'Paramètres'!$B$35&amp;MID(SUBSTITUTE(SUBSTITUTE(SUBSTITUTE(IF(BB257&lt;&gt;"",BB257,K257)," ",""),".",""),"+",""),2,20),SUBSTITUTE(SUBSTITUTE(SUBSTITUTE(IF(BB257&lt;&gt;"",BB257,K257)," ",""),".",""),"+","")),"WhatsApp"))</f>
        <v/>
      </c>
      <c r="M257" s="60">
        <f>IF(BC257="","",HYPERLINK(IF(LEFT(BC257,4)="http",BC257,"https://www.instagram.com/"&amp;SUBSTITUTE(SUBSTITUTE(BC257,"@","")," ","")),BC257))</f>
        <v/>
      </c>
      <c r="N257" s="60">
        <f>IF(C257="","",IFERROR(INDEX('Saisie'!$D$5:$D$2004,_xlfn.MINIFS('Saisie'!$AS$5:$AS$2004,'Saisie'!$C$5:$C$2004,C257,'Saisie'!$AU$5:$AU$2004,1)-4),IFERROR(INDEX('Saisie'!$D$5:$D$2004,_xlfn.MINIFS('Saisie'!$AS$5:$AS$2004,'Saisie'!$C$5:$C$2004,C257,'Saisie'!$D$5:$D$2004,"&lt;&gt;")-4),"")))</f>
        <v/>
      </c>
      <c r="O257" s="60">
        <f>IF(C257="","",COUNTIFS('Saisie'!$C$5:$C$2004,C257,'Saisie'!$AU$5:$AU$2004,1))</f>
        <v/>
      </c>
      <c r="P257" s="60">
        <f>IF(C257="","",COUNTIFS('Saisie'!$C$5:$C$2004,C257,'Saisie'!$AV$5:$AV$2004,1))</f>
        <v/>
      </c>
      <c r="Q257" s="106">
        <f>IF(C257="","",IFERROR(1/(1/_xlfn.MAXIFS('Saisie'!$A$5:$A$2004,'Saisie'!$C$5:$C$2004,C257)),""))</f>
        <v/>
      </c>
      <c r="R257" s="61">
        <f>IF(C257="","",IF(Q257="","",TODAY()-Q257))</f>
        <v/>
      </c>
      <c r="S257" s="60">
        <f>IF(C257="","",IFERROR(INDEX('Saisie'!$R$5:$R$2004,_xlfn.MAXIFS('Saisie'!$AS$5:$AS$2004,'Saisie'!$C$5:$C$2004,C257,'Saisie'!$R$5:$R$2004,"&lt;&gt;")-4),""))</f>
        <v/>
      </c>
      <c r="T257" s="60">
        <f>IF(C257="","",IFERROR(INDEX('Saisie'!$S$5:$S$2004,_xlfn.MAXIFS('Saisie'!$AS$5:$AS$2004,'Saisie'!$C$5:$C$2004,C257,'Saisie'!$S$5:$S$2004,"&lt;&gt;")-4),""))</f>
        <v/>
      </c>
      <c r="U257" s="60">
        <f>IF(C257="","",IFERROR(INDEX('Saisie'!$T$5:$T$2004,_xlfn.MAXIFS('Saisie'!$AS$5:$AS$2004,'Saisie'!$C$5:$C$2004,C257,'Saisie'!$T$5:$T$2004,"&lt;&gt;")-4),""))</f>
        <v/>
      </c>
      <c r="V257" s="60">
        <f>IF(C257="","",IFERROR(INDEX('Saisie'!$V$5:$V$2004,_xlfn.MAXIFS('Saisie'!$AS$5:$AS$2004,'Saisie'!$C$5:$C$2004,C257,'Saisie'!$V$5:$V$2004,"&lt;&gt;")-4),""))</f>
        <v/>
      </c>
      <c r="W257" s="60">
        <f>IF(C257="","",IFERROR(INDEX('Saisie'!$Z$5:$Z$2004,_xlfn.MAXIFS('Saisie'!$AS$5:$AS$2004,'Saisie'!$C$5:$C$2004,C257,'Saisie'!$Z$5:$Z$2004,"&lt;&gt;")-4),""))</f>
        <v/>
      </c>
      <c r="X257" s="60">
        <f>IF(C257="","",IFERROR(INDEX('Saisie'!$AA$5:$AA$2004,_xlfn.MAXIFS('Saisie'!$AS$5:$AS$2004,'Saisie'!$C$5:$C$2004,C257,'Saisie'!$AA$5:$AA$2004,"&lt;&gt;")-4),""))</f>
        <v/>
      </c>
      <c r="Y257" s="60">
        <f>IF(C257="","",IFERROR(INDEX('Saisie'!$AB$5:$AB$2004,_xlfn.MAXIFS('Saisie'!$AS$5:$AS$2004,'Saisie'!$C$5:$C$2004,C257,'Saisie'!$AB$5:$AB$2004,"&lt;&gt;")-4),""))</f>
        <v/>
      </c>
      <c r="Z257" s="60">
        <f>IF(C257="","",IFERROR(INDEX('Saisie'!$AC$5:$AC$2004,_xlfn.MAXIFS('Saisie'!$AS$5:$AS$2004,'Saisie'!$C$5:$C$2004,C257,'Saisie'!$AC$5:$AC$2004,"&lt;&gt;")-4),""))</f>
        <v/>
      </c>
      <c r="AA257" s="106">
        <f>IF(C257="","",IFERROR(INDEX('Saisie'!$AD$5:$AD$2004,_xlfn.MAXIFS('Saisie'!$AS$5:$AS$2004,'Saisie'!$C$5:$C$2004,C257,'Saisie'!$AD$5:$AD$2004,"&lt;&gt;")-4),""))</f>
        <v/>
      </c>
      <c r="AB257" s="60">
        <f>IF(C257="","",IFERROR(INDEX('Saisie'!$AE$5:$AE$2004,_xlfn.MAXIFS('Saisie'!$AS$5:$AS$2004,'Saisie'!$C$5:$C$2004,C257,'Saisie'!$AE$5:$AE$2004,"&lt;&gt;")-4),""))</f>
        <v/>
      </c>
      <c r="AC257" s="60">
        <f>IF(C257="","",IFERROR(INDEX('Saisie'!$AF$5:$AF$2004,_xlfn.MAXIFS('Saisie'!$AS$5:$AS$2004,'Saisie'!$C$5:$C$2004,C257,'Saisie'!$AF$5:$AF$2004,"&lt;&gt;")-4),""))</f>
        <v/>
      </c>
      <c r="AD257" s="108">
        <f>IF(C257="","",IFERROR(INDEX('Saisie'!$AG$5:$AG$2004,_xlfn.MAXIFS('Saisie'!$AS$5:$AS$2004,'Saisie'!$C$5:$C$2004,C257,'Saisie'!$AG$5:$AG$2004,"&lt;&gt;")-4),""))</f>
        <v/>
      </c>
      <c r="AE257" s="60">
        <f>IF(C257="","",IFERROR(INDEX('Saisie'!$AH$5:$AH$2004,_xlfn.MAXIFS('Saisie'!$AS$5:$AS$2004,'Saisie'!$C$5:$C$2004,C257,'Saisie'!$AH$5:$AH$2004,"&lt;&gt;")-4),""))</f>
        <v/>
      </c>
      <c r="AF257" s="60">
        <f>IF(C257="","",IFERROR(INDEX('Saisie'!$AI$5:$AI$2004,_xlfn.MAXIFS('Saisie'!$AS$5:$AS$2004,'Saisie'!$C$5:$C$2004,C257,'Saisie'!$AI$5:$AI$2004,"&lt;&gt;")-4),""))</f>
        <v/>
      </c>
      <c r="AG257" s="60">
        <f>IF(C257="","",IFERROR(INDEX('Saisie'!$AJ$5:$AJ$2004,_xlfn.MAXIFS('Saisie'!$AS$5:$AS$2004,'Saisie'!$C$5:$C$2004,C257,'Saisie'!$AJ$5:$AJ$2004,"&lt;&gt;")-4),""))</f>
        <v/>
      </c>
      <c r="AH257" s="60">
        <f>IF(C257="","",IFERROR(INDEX('Saisie'!$AK$5:$AK$2004,_xlfn.MAXIFS('Saisie'!$AS$5:$AS$2004,'Saisie'!$C$5:$C$2004,C257,'Saisie'!$AK$5:$AK$2004,"&lt;&gt;")-4),""))</f>
        <v/>
      </c>
      <c r="AI257" s="60">
        <f>IF(C257="","",IFERROR(INDEX('Saisie'!$AN$5:$AN$2004,_xlfn.MAXIFS('Saisie'!$AS$5:$AS$2004,'Saisie'!$C$5:$C$2004,C257,'Saisie'!$AN$5:$AN$2004,"&lt;&gt;")-4),""))</f>
        <v/>
      </c>
      <c r="AJ257" s="60">
        <f>IF(C257="","",IFERROR(INDEX('Saisie'!$AO$5:$AO$2004,_xlfn.MAXIFS('Saisie'!$AS$5:$AS$2004,'Saisie'!$C$5:$C$2004,C257,'Saisie'!$AO$5:$AO$2004,"&lt;&gt;")-4),""))</f>
        <v/>
      </c>
      <c r="AK257" s="60">
        <f>IF(C257="","",IFERROR(INDEX('Saisie'!$AP$5:$AP$2004,_xlfn.MAXIFS('Saisie'!$AS$5:$AS$2004,'Saisie'!$C$5:$C$2004,C257,'Saisie'!$AP$5:$AP$2004,"&lt;&gt;")-4),""))</f>
        <v/>
      </c>
      <c r="AL257" s="60">
        <f>IF(C257="","",IFERROR(INDEX('Saisie'!$AQ$5:$AQ$2004,_xlfn.MAXIFS('Saisie'!$AS$5:$AS$2004,'Saisie'!$C$5:$C$2004,C257,'Saisie'!$AQ$5:$AQ$2004,"&lt;&gt;")-4),""))</f>
        <v/>
      </c>
      <c r="AM257" s="60">
        <f>IF(C257="","",((AI257="Oui")+(AJ257="Oui")+(AK257="Oui")+OR(AL257="Immédiat",AL257="&lt; 1 mois"))&amp;"/4")</f>
        <v/>
      </c>
      <c r="AN257" s="60">
        <f>IF(C257="","",IFERROR(INDEX('Saisie'!$AL$5:$AL$2004,_xlfn.MAXIFS('Saisie'!$AS$5:$AS$2004,'Saisie'!$C$5:$C$2004,C257,'Saisie'!$AL$5:$AL$2004,"&lt;&gt;")-4),""))</f>
        <v/>
      </c>
      <c r="AO257" s="62">
        <f>IF(C257="","",IF(IFERROR(INDEX('Saisie'!$AM$5:$AM$2004,_xlfn.MAXIFS('Saisie'!$AS$5:$AS$2004,'Saisie'!$C$5:$C$2004,C257,'Saisie'!$AM$5:$AM$2004,"&lt;&gt;")-4),"")&lt;&gt;"",IFERROR(INDEX('Saisie'!$AM$5:$AM$2004,_xlfn.MAXIFS('Saisie'!$AS$5:$AS$2004,'Saisie'!$C$5:$C$2004,C257,'Saisie'!$AM$5:$AM$2004,"&lt;&gt;")-4),""),IFERROR(INDEX('Paramètres'!$S$6:$S$15,MATCH(AN257,'Paramètres'!$Q$6:$Q$15,0)),"")))</f>
        <v/>
      </c>
      <c r="AP257" s="62">
        <f>IF(C257="","",IFERROR(INDEX('Saisie'!$AW$5:$AW$2004,_xlfn.MAXIFS('Saisie'!$AS$5:$AS$2004,'Saisie'!$C$5:$C$2004,C257,'Saisie'!$E$5:$E$2004,"Proposition envoyée")-4),""))</f>
        <v/>
      </c>
      <c r="AQ257" s="106">
        <f>IF(C257="","",IFERROR(1/(1/_xlfn.MAXIFS('Saisie'!$A$5:$A$2004,'Saisie'!$C$5:$C$2004,C257,'Saisie'!$E$5:$E$2004,"Proposition envoyée")),""))</f>
        <v/>
      </c>
      <c r="AR257" s="106">
        <f>IF(C257="","",IF(AQ257="","",AQ257+'Paramètres'!$B$26))</f>
        <v/>
      </c>
      <c r="AS257" s="62">
        <f>IF(OR(C257="",D257="Gagné",D257="Perdu"),0,N(AP257)*IFERROR(INDEX('Paramètres'!$G$6:$G$13,MATCH(D257,'Paramètres'!$F$6:$F$13,0)),0))</f>
        <v/>
      </c>
      <c r="AT257" s="106">
        <f>IF(C257="","",IFERROR(1/(1/_xlfn.MINIFS('Saisie'!$A$5:$A$2004,'Saisie'!$C$5:$C$2004,C257,'Saisie'!$E$5:$E$2004,"Signature")),""))</f>
        <v/>
      </c>
      <c r="AU257" s="60">
        <f>IF(C257="","",IF(OR(AT257="",B257=""),"",AT257-B257))</f>
        <v/>
      </c>
      <c r="AV257" s="60">
        <f>IF(C257="","",IFERROR(INDEX('Saisie'!$L$5:$L$2004,_xlfn.MAXIFS('Saisie'!$AS$5:$AS$2004,'Saisie'!$C$5:$C$2004,C257,'Saisie'!$L$5:$L$2004,"&lt;&gt;")-4),""))</f>
        <v/>
      </c>
      <c r="AW257" s="106">
        <f>IF(C257="","",IF(D257&lt;&gt;"Perdu","",IFERROR(1/(1/_xlfn.MAXIFS('Saisie'!$A$5:$A$2004,'Saisie'!$C$5:$C$2004,C257,'Saisie'!$E$5:$E$2004,"Perdu")),"")))</f>
        <v/>
      </c>
      <c r="AX257" s="106">
        <f>IF(C257="","",IF(AW257="","",AW257+'Paramètres'!$B$28))</f>
        <v/>
      </c>
      <c r="AY257" s="60">
        <f>IF(C257="","",SUMIFS('Saisie'!$H$5:$H$2004,'Saisie'!$C$5:$C$2004,C257))</f>
        <v/>
      </c>
      <c r="AZ257" s="60">
        <f>IF(C257="","",IFERROR(INDEX('Paramètres'!$W$6:$W$20,MATCH(S257,'Paramètres'!$V$6:$V$20,0))&amp;"",""))</f>
        <v/>
      </c>
      <c r="BA257" s="60">
        <f>IF(C257="","",MAX(1,_xlfn.MAXIFS('Saisie'!$AT$5:$AT$2004,'Saisie'!$C$5:$C$2004,C257)))</f>
        <v/>
      </c>
      <c r="BB257" s="60">
        <f>IF(C257="","",IFERROR(INDEX('Saisie'!$X$5:$X$2004,_xlfn.MAXIFS('Saisie'!$AS$5:$AS$2004,'Saisie'!$C$5:$C$2004,C257,'Saisie'!$X$5:$X$2004,"&lt;&gt;")-4),""))</f>
        <v/>
      </c>
      <c r="BC257" s="60">
        <f>IF(C257="","",IFERROR(INDEX('Saisie'!$Y$5:$Y$2004,_xlfn.MAXIFS('Saisie'!$AS$5:$AS$2004,'Saisie'!$C$5:$C$2004,C257,'Saisie'!$Y$5:$Y$2004,"&lt;&gt;")-4),""))</f>
        <v/>
      </c>
      <c r="BD257" s="106">
        <f>IF(C257="","",IFERROR(1/(1/_xlfn.MINIFS('Saisie'!$A$5:$A$2004,'Saisie'!$C$5:$C$2004,C257,'Saisie'!$AT$5:$AT$2004,"&gt;=2")),""))</f>
        <v/>
      </c>
      <c r="BE257" s="106">
        <f>IF(C257="","",IFERROR(1/(1/_xlfn.MINIFS('Saisie'!$A$5:$A$2004,'Saisie'!$C$5:$C$2004,C257,'Saisie'!$AT$5:$AT$2004,"&gt;=3")),""))</f>
        <v/>
      </c>
      <c r="BF257" s="106">
        <f>IF(C257="","",IFERROR(1/(1/_xlfn.MINIFS('Saisie'!$A$5:$A$2004,'Saisie'!$C$5:$C$2004,C257,'Saisie'!$AT$5:$AT$2004,"&gt;=4")),""))</f>
        <v/>
      </c>
      <c r="BG257" s="106">
        <f>IF(C257="","",IFERROR(1/(1/_xlfn.MINIFS('Saisie'!$A$5:$A$2004,'Saisie'!$C$5:$C$2004,C257,'Saisie'!$AT$5:$AT$2004,"&gt;=5")),""))</f>
        <v/>
      </c>
      <c r="BH257" s="106">
        <f>IF(C257="","",IFERROR(1/(1/_xlfn.MINIFS('Saisie'!$A$5:$A$2004,'Saisie'!$C$5:$C$2004,C257,'Saisie'!$AT$5:$AT$2004,"&gt;=6")),""))</f>
        <v/>
      </c>
      <c r="BI257" s="106">
        <f>IF(C257="","",IFERROR(1/(1/_xlfn.MINIFS('Saisie'!$A$5:$A$2004,'Saisie'!$C$5:$C$2004,C257,'Saisie'!$AT$5:$AT$2004,"&gt;=7")),""))</f>
        <v/>
      </c>
      <c r="BJ257" s="60">
        <f>IF(OR(BD257="",B257=""),"",BD257-B257)</f>
        <v/>
      </c>
      <c r="BK257" s="60">
        <f>IF(OR(BE257="",BD257=""),"",BE257-BD257)</f>
        <v/>
      </c>
      <c r="BL257" s="60">
        <f>IF(OR(BF257="",BE257=""),"",BF257-BE257)</f>
        <v/>
      </c>
      <c r="BM257" s="60">
        <f>IF(OR(BG257="",BF257=""),"",BG257-BF257)</f>
        <v/>
      </c>
      <c r="BN257" s="60">
        <f>IF(OR(BH257="",BG257=""),"",BH257-BG257)</f>
        <v/>
      </c>
      <c r="BO257" s="60">
        <f>IF(OR(BI257="",BH257=""),"",BI257-BH257)</f>
        <v/>
      </c>
      <c r="BP257" s="60">
        <f>IF(C257="","",_xlfn.MAXIFS('Saisie'!$AS$5:$AS$2004,'Saisie'!$C$5:$C$2004,C257,'Saisie'!$J$5:$J$2004,"&lt;&gt;"))</f>
        <v/>
      </c>
      <c r="BQ257" s="60">
        <f>IF(C257="","",_xlfn.MAXIFS('Saisie'!$AS$5:$AS$2004,'Saisie'!$C$5:$C$2004,C257))</f>
        <v/>
      </c>
      <c r="BR257" s="60">
        <f>IF(C257="","",_xlfn.MAXIFS('Saisie'!$AS$5:$AS$2004,'Saisie'!$C$5:$C$2004,C257,'Saisie'!$E$5:$E$2004,"Perdu"))</f>
        <v/>
      </c>
      <c r="BS257" s="60">
        <f>IF(C257="","",_xlfn.MAXIFS('Saisie'!$AS$5:$AS$2004,'Saisie'!$C$5:$C$2004,C257,'Saisie'!$AT$5:$AT$2004,"&gt;0"))</f>
        <v/>
      </c>
      <c r="BT257" s="109">
        <f>IF(AND(C257&lt;&gt;"",OR(D257="Nouveau",D257="Contacté",D257="Qualifié"),OR(G257="",N(G257)&lt;=TODAY()),NOT(AND(O257&gt;='Paramètres'!$B$21,P257=0))),E257+253/10000,"")</f>
        <v/>
      </c>
      <c r="BU257" s="60">
        <f>IF(AND(G257&lt;&gt;"",N(G257)&lt;=TODAY()),MAX($BU$4:BU256)+1,"")</f>
        <v/>
      </c>
      <c r="BV257" s="60">
        <f>IF(AND(F257&lt;&gt;"",F257&lt;&gt;"Relance en retard"),MAX($BV$4:BV256)+1,"")</f>
        <v/>
      </c>
      <c r="BW257" s="60">
        <f>IF(C257="","",IF(AND(B257&gt;='Tableau de bord'!$R$4,B257&lt;='Tableau de bord'!$S$4,OR('Tableau de bord'!$G$4="Tous",N257='Tableau de bord'!$G$4)),1,0))</f>
        <v/>
      </c>
      <c r="BX257" s="60">
        <f>IF(AND(C257&lt;&gt;"",N(BA257)=7),MAX($BX$4:BX256)+1,"")</f>
        <v/>
      </c>
    </row>
    <row r="258">
      <c r="A258" s="60">
        <f>IF(C258="","","P-"&amp;TEXT(254,"000"))</f>
        <v/>
      </c>
      <c r="B258" s="106">
        <f>IF(C258="","",IFERROR(1/(1/_xlfn.MINIFS('Saisie'!$A$5:$A$2004,'Saisie'!$C$5:$C$2004,C258)),""))</f>
        <v/>
      </c>
      <c r="C258" s="60">
        <f>IFERROR(INDEX('Saisie'!$C$5:$C$2004,MATCH(254,'Saisie'!$AX$5:$AX$2004,0)),"")</f>
        <v/>
      </c>
      <c r="D258" s="60">
        <f>IF(C258="","",IF(AND(BR258&gt;0,BR258&gt;BS258,BA258&lt;7),"Perdu",INDEX('Paramètres'!$F$6:$F$13,BA258)))</f>
        <v/>
      </c>
      <c r="E258" s="61">
        <f>IF(C258="","",MIN(100,(Z258="Oui")*'Paramètres'!$B$38+(AB258="Régulière")*'Paramètres'!$B$39+IF(AND(N(AA258)&gt;0,TODAY()-N(AA258)&lt;=30),'Paramètres'!$B$40,0)+(W258="")*'Paramètres'!$B$41+(AC258="Absente")*'Paramètres'!$B$42+(AC258="Faible")*'Paramètres'!$B$43+IF(AND(N(AD258)&gt;0,N(AD258)&lt;4),'Paramètres'!$B$44,0)+(AF258="Moyenne")*'Paramètres'!$B$45+(AF258="Grande")*'Paramètres'!$B$46+(Y258&lt;&gt;"")*'Paramètres'!$B$47))</f>
        <v/>
      </c>
      <c r="F258" s="60">
        <f>IF(C258="","",IF(D258="Gagné","",IF(D258="Perdu",IF(AND(AX258&lt;&gt;"",AX258&lt;=TODAY()),"À recontacter (perdu)",""),IF(AND(O258&gt;='Paramètres'!$B$21,P258=0),"Stop : "&amp;'Paramètres'!$B$21&amp;" tentatives sans réponse",IF(AND(D258="Proposition",AR258&lt;&gt;"",TODAY()&gt;N(AR258)),"Proposition expirée",IF(AND(D258="Proposition",N(R258)&gt;='Paramètres'!$B$25),"Proposition sans réponse",IF(AND(G258&lt;&gt;"",N(G258)&lt;TODAY()),"Relance en retard",IF(N(R258)&gt;='Paramètres'!$B$24,"Sans action depuis "&amp;R258&amp;" j",""))))))))</f>
        <v/>
      </c>
      <c r="G258" s="106">
        <f>IF(OR(C258="",D258="Gagné",D258="Perdu"),"",IF(AND(BP258&gt;0,BP258=BQ258),INDEX('Saisie'!$J$5:$J$2004,BP258-4),IF(OR(O258=0,AND(O258&gt;='Paramètres'!$B$21,P258=0)),"",Q258+IF(O258&lt;=1,'Paramètres'!$B$18,IF(O258=2,'Paramètres'!$B$19,'Paramètres'!$B$20)))))</f>
        <v/>
      </c>
      <c r="H258" s="107">
        <f>IF(OR(G258="",BP258&lt;&gt;BQ258),"",IF(INDEX('Saisie'!$K$5:$K$2004,BP258-4)="","",INDEX('Saisie'!$K$5:$K$2004,BP258-4)))</f>
        <v/>
      </c>
      <c r="I258" s="60">
        <f>IF(C258="","",IF(OR(D258="Gagné",D258="Perdu"),"",IFERROR(INDEX('Saisie'!$I$5:$I$2004,_xlfn.MAXIFS('Saisie'!$AS$5:$AS$2004,'Saisie'!$C$5:$C$2004,C258,'Saisie'!$I$5:$I$2004,"&lt;&gt;")-4),"")))</f>
        <v/>
      </c>
      <c r="J258" s="60">
        <f>IF(C258="","",IFERROR(INDEX('Saisie'!$U$5:$U$2004,_xlfn.MAXIFS('Saisie'!$AS$5:$AS$2004,'Saisie'!$C$5:$C$2004,C258,'Saisie'!$U$5:$U$2004,"&lt;&gt;")-4),""))</f>
        <v/>
      </c>
      <c r="K258" s="60">
        <f>IF(C258="","",IFERROR(INDEX('Saisie'!$W$5:$W$2004,_xlfn.MAXIFS('Saisie'!$AS$5:$AS$2004,'Saisie'!$C$5:$C$2004,C258,'Saisie'!$W$5:$W$2004,"&lt;&gt;")-4),""))</f>
        <v/>
      </c>
      <c r="L258" s="60">
        <f>IF(IF(BB258&lt;&gt;"",BB258,K258)="","",HYPERLINK("https://wa.me/"&amp;IF(LEFT(SUBSTITUTE(SUBSTITUTE(SUBSTITUTE(IF(BB258&lt;&gt;"",BB258,K258)," ",""),".",""),"+",""),1)="0",'Paramètres'!$B$35&amp;MID(SUBSTITUTE(SUBSTITUTE(SUBSTITUTE(IF(BB258&lt;&gt;"",BB258,K258)," ",""),".",""),"+",""),2,20),SUBSTITUTE(SUBSTITUTE(SUBSTITUTE(IF(BB258&lt;&gt;"",BB258,K258)," ",""),".",""),"+","")),"WhatsApp"))</f>
        <v/>
      </c>
      <c r="M258" s="60">
        <f>IF(BC258="","",HYPERLINK(IF(LEFT(BC258,4)="http",BC258,"https://www.instagram.com/"&amp;SUBSTITUTE(SUBSTITUTE(BC258,"@","")," ","")),BC258))</f>
        <v/>
      </c>
      <c r="N258" s="60">
        <f>IF(C258="","",IFERROR(INDEX('Saisie'!$D$5:$D$2004,_xlfn.MINIFS('Saisie'!$AS$5:$AS$2004,'Saisie'!$C$5:$C$2004,C258,'Saisie'!$AU$5:$AU$2004,1)-4),IFERROR(INDEX('Saisie'!$D$5:$D$2004,_xlfn.MINIFS('Saisie'!$AS$5:$AS$2004,'Saisie'!$C$5:$C$2004,C258,'Saisie'!$D$5:$D$2004,"&lt;&gt;")-4),"")))</f>
        <v/>
      </c>
      <c r="O258" s="60">
        <f>IF(C258="","",COUNTIFS('Saisie'!$C$5:$C$2004,C258,'Saisie'!$AU$5:$AU$2004,1))</f>
        <v/>
      </c>
      <c r="P258" s="60">
        <f>IF(C258="","",COUNTIFS('Saisie'!$C$5:$C$2004,C258,'Saisie'!$AV$5:$AV$2004,1))</f>
        <v/>
      </c>
      <c r="Q258" s="106">
        <f>IF(C258="","",IFERROR(1/(1/_xlfn.MAXIFS('Saisie'!$A$5:$A$2004,'Saisie'!$C$5:$C$2004,C258)),""))</f>
        <v/>
      </c>
      <c r="R258" s="61">
        <f>IF(C258="","",IF(Q258="","",TODAY()-Q258))</f>
        <v/>
      </c>
      <c r="S258" s="60">
        <f>IF(C258="","",IFERROR(INDEX('Saisie'!$R$5:$R$2004,_xlfn.MAXIFS('Saisie'!$AS$5:$AS$2004,'Saisie'!$C$5:$C$2004,C258,'Saisie'!$R$5:$R$2004,"&lt;&gt;")-4),""))</f>
        <v/>
      </c>
      <c r="T258" s="60">
        <f>IF(C258="","",IFERROR(INDEX('Saisie'!$S$5:$S$2004,_xlfn.MAXIFS('Saisie'!$AS$5:$AS$2004,'Saisie'!$C$5:$C$2004,C258,'Saisie'!$S$5:$S$2004,"&lt;&gt;")-4),""))</f>
        <v/>
      </c>
      <c r="U258" s="60">
        <f>IF(C258="","",IFERROR(INDEX('Saisie'!$T$5:$T$2004,_xlfn.MAXIFS('Saisie'!$AS$5:$AS$2004,'Saisie'!$C$5:$C$2004,C258,'Saisie'!$T$5:$T$2004,"&lt;&gt;")-4),""))</f>
        <v/>
      </c>
      <c r="V258" s="60">
        <f>IF(C258="","",IFERROR(INDEX('Saisie'!$V$5:$V$2004,_xlfn.MAXIFS('Saisie'!$AS$5:$AS$2004,'Saisie'!$C$5:$C$2004,C258,'Saisie'!$V$5:$V$2004,"&lt;&gt;")-4),""))</f>
        <v/>
      </c>
      <c r="W258" s="60">
        <f>IF(C258="","",IFERROR(INDEX('Saisie'!$Z$5:$Z$2004,_xlfn.MAXIFS('Saisie'!$AS$5:$AS$2004,'Saisie'!$C$5:$C$2004,C258,'Saisie'!$Z$5:$Z$2004,"&lt;&gt;")-4),""))</f>
        <v/>
      </c>
      <c r="X258" s="60">
        <f>IF(C258="","",IFERROR(INDEX('Saisie'!$AA$5:$AA$2004,_xlfn.MAXIFS('Saisie'!$AS$5:$AS$2004,'Saisie'!$C$5:$C$2004,C258,'Saisie'!$AA$5:$AA$2004,"&lt;&gt;")-4),""))</f>
        <v/>
      </c>
      <c r="Y258" s="60">
        <f>IF(C258="","",IFERROR(INDEX('Saisie'!$AB$5:$AB$2004,_xlfn.MAXIFS('Saisie'!$AS$5:$AS$2004,'Saisie'!$C$5:$C$2004,C258,'Saisie'!$AB$5:$AB$2004,"&lt;&gt;")-4),""))</f>
        <v/>
      </c>
      <c r="Z258" s="60">
        <f>IF(C258="","",IFERROR(INDEX('Saisie'!$AC$5:$AC$2004,_xlfn.MAXIFS('Saisie'!$AS$5:$AS$2004,'Saisie'!$C$5:$C$2004,C258,'Saisie'!$AC$5:$AC$2004,"&lt;&gt;")-4),""))</f>
        <v/>
      </c>
      <c r="AA258" s="106">
        <f>IF(C258="","",IFERROR(INDEX('Saisie'!$AD$5:$AD$2004,_xlfn.MAXIFS('Saisie'!$AS$5:$AS$2004,'Saisie'!$C$5:$C$2004,C258,'Saisie'!$AD$5:$AD$2004,"&lt;&gt;")-4),""))</f>
        <v/>
      </c>
      <c r="AB258" s="60">
        <f>IF(C258="","",IFERROR(INDEX('Saisie'!$AE$5:$AE$2004,_xlfn.MAXIFS('Saisie'!$AS$5:$AS$2004,'Saisie'!$C$5:$C$2004,C258,'Saisie'!$AE$5:$AE$2004,"&lt;&gt;")-4),""))</f>
        <v/>
      </c>
      <c r="AC258" s="60">
        <f>IF(C258="","",IFERROR(INDEX('Saisie'!$AF$5:$AF$2004,_xlfn.MAXIFS('Saisie'!$AS$5:$AS$2004,'Saisie'!$C$5:$C$2004,C258,'Saisie'!$AF$5:$AF$2004,"&lt;&gt;")-4),""))</f>
        <v/>
      </c>
      <c r="AD258" s="108">
        <f>IF(C258="","",IFERROR(INDEX('Saisie'!$AG$5:$AG$2004,_xlfn.MAXIFS('Saisie'!$AS$5:$AS$2004,'Saisie'!$C$5:$C$2004,C258,'Saisie'!$AG$5:$AG$2004,"&lt;&gt;")-4),""))</f>
        <v/>
      </c>
      <c r="AE258" s="60">
        <f>IF(C258="","",IFERROR(INDEX('Saisie'!$AH$5:$AH$2004,_xlfn.MAXIFS('Saisie'!$AS$5:$AS$2004,'Saisie'!$C$5:$C$2004,C258,'Saisie'!$AH$5:$AH$2004,"&lt;&gt;")-4),""))</f>
        <v/>
      </c>
      <c r="AF258" s="60">
        <f>IF(C258="","",IFERROR(INDEX('Saisie'!$AI$5:$AI$2004,_xlfn.MAXIFS('Saisie'!$AS$5:$AS$2004,'Saisie'!$C$5:$C$2004,C258,'Saisie'!$AI$5:$AI$2004,"&lt;&gt;")-4),""))</f>
        <v/>
      </c>
      <c r="AG258" s="60">
        <f>IF(C258="","",IFERROR(INDEX('Saisie'!$AJ$5:$AJ$2004,_xlfn.MAXIFS('Saisie'!$AS$5:$AS$2004,'Saisie'!$C$5:$C$2004,C258,'Saisie'!$AJ$5:$AJ$2004,"&lt;&gt;")-4),""))</f>
        <v/>
      </c>
      <c r="AH258" s="60">
        <f>IF(C258="","",IFERROR(INDEX('Saisie'!$AK$5:$AK$2004,_xlfn.MAXIFS('Saisie'!$AS$5:$AS$2004,'Saisie'!$C$5:$C$2004,C258,'Saisie'!$AK$5:$AK$2004,"&lt;&gt;")-4),""))</f>
        <v/>
      </c>
      <c r="AI258" s="60">
        <f>IF(C258="","",IFERROR(INDEX('Saisie'!$AN$5:$AN$2004,_xlfn.MAXIFS('Saisie'!$AS$5:$AS$2004,'Saisie'!$C$5:$C$2004,C258,'Saisie'!$AN$5:$AN$2004,"&lt;&gt;")-4),""))</f>
        <v/>
      </c>
      <c r="AJ258" s="60">
        <f>IF(C258="","",IFERROR(INDEX('Saisie'!$AO$5:$AO$2004,_xlfn.MAXIFS('Saisie'!$AS$5:$AS$2004,'Saisie'!$C$5:$C$2004,C258,'Saisie'!$AO$5:$AO$2004,"&lt;&gt;")-4),""))</f>
        <v/>
      </c>
      <c r="AK258" s="60">
        <f>IF(C258="","",IFERROR(INDEX('Saisie'!$AP$5:$AP$2004,_xlfn.MAXIFS('Saisie'!$AS$5:$AS$2004,'Saisie'!$C$5:$C$2004,C258,'Saisie'!$AP$5:$AP$2004,"&lt;&gt;")-4),""))</f>
        <v/>
      </c>
      <c r="AL258" s="60">
        <f>IF(C258="","",IFERROR(INDEX('Saisie'!$AQ$5:$AQ$2004,_xlfn.MAXIFS('Saisie'!$AS$5:$AS$2004,'Saisie'!$C$5:$C$2004,C258,'Saisie'!$AQ$5:$AQ$2004,"&lt;&gt;")-4),""))</f>
        <v/>
      </c>
      <c r="AM258" s="60">
        <f>IF(C258="","",((AI258="Oui")+(AJ258="Oui")+(AK258="Oui")+OR(AL258="Immédiat",AL258="&lt; 1 mois"))&amp;"/4")</f>
        <v/>
      </c>
      <c r="AN258" s="60">
        <f>IF(C258="","",IFERROR(INDEX('Saisie'!$AL$5:$AL$2004,_xlfn.MAXIFS('Saisie'!$AS$5:$AS$2004,'Saisie'!$C$5:$C$2004,C258,'Saisie'!$AL$5:$AL$2004,"&lt;&gt;")-4),""))</f>
        <v/>
      </c>
      <c r="AO258" s="62">
        <f>IF(C258="","",IF(IFERROR(INDEX('Saisie'!$AM$5:$AM$2004,_xlfn.MAXIFS('Saisie'!$AS$5:$AS$2004,'Saisie'!$C$5:$C$2004,C258,'Saisie'!$AM$5:$AM$2004,"&lt;&gt;")-4),"")&lt;&gt;"",IFERROR(INDEX('Saisie'!$AM$5:$AM$2004,_xlfn.MAXIFS('Saisie'!$AS$5:$AS$2004,'Saisie'!$C$5:$C$2004,C258,'Saisie'!$AM$5:$AM$2004,"&lt;&gt;")-4),""),IFERROR(INDEX('Paramètres'!$S$6:$S$15,MATCH(AN258,'Paramètres'!$Q$6:$Q$15,0)),"")))</f>
        <v/>
      </c>
      <c r="AP258" s="62">
        <f>IF(C258="","",IFERROR(INDEX('Saisie'!$AW$5:$AW$2004,_xlfn.MAXIFS('Saisie'!$AS$5:$AS$2004,'Saisie'!$C$5:$C$2004,C258,'Saisie'!$E$5:$E$2004,"Proposition envoyée")-4),""))</f>
        <v/>
      </c>
      <c r="AQ258" s="106">
        <f>IF(C258="","",IFERROR(1/(1/_xlfn.MAXIFS('Saisie'!$A$5:$A$2004,'Saisie'!$C$5:$C$2004,C258,'Saisie'!$E$5:$E$2004,"Proposition envoyée")),""))</f>
        <v/>
      </c>
      <c r="AR258" s="106">
        <f>IF(C258="","",IF(AQ258="","",AQ258+'Paramètres'!$B$26))</f>
        <v/>
      </c>
      <c r="AS258" s="62">
        <f>IF(OR(C258="",D258="Gagné",D258="Perdu"),0,N(AP258)*IFERROR(INDEX('Paramètres'!$G$6:$G$13,MATCH(D258,'Paramètres'!$F$6:$F$13,0)),0))</f>
        <v/>
      </c>
      <c r="AT258" s="106">
        <f>IF(C258="","",IFERROR(1/(1/_xlfn.MINIFS('Saisie'!$A$5:$A$2004,'Saisie'!$C$5:$C$2004,C258,'Saisie'!$E$5:$E$2004,"Signature")),""))</f>
        <v/>
      </c>
      <c r="AU258" s="60">
        <f>IF(C258="","",IF(OR(AT258="",B258=""),"",AT258-B258))</f>
        <v/>
      </c>
      <c r="AV258" s="60">
        <f>IF(C258="","",IFERROR(INDEX('Saisie'!$L$5:$L$2004,_xlfn.MAXIFS('Saisie'!$AS$5:$AS$2004,'Saisie'!$C$5:$C$2004,C258,'Saisie'!$L$5:$L$2004,"&lt;&gt;")-4),""))</f>
        <v/>
      </c>
      <c r="AW258" s="106">
        <f>IF(C258="","",IF(D258&lt;&gt;"Perdu","",IFERROR(1/(1/_xlfn.MAXIFS('Saisie'!$A$5:$A$2004,'Saisie'!$C$5:$C$2004,C258,'Saisie'!$E$5:$E$2004,"Perdu")),"")))</f>
        <v/>
      </c>
      <c r="AX258" s="106">
        <f>IF(C258="","",IF(AW258="","",AW258+'Paramètres'!$B$28))</f>
        <v/>
      </c>
      <c r="AY258" s="60">
        <f>IF(C258="","",SUMIFS('Saisie'!$H$5:$H$2004,'Saisie'!$C$5:$C$2004,C258))</f>
        <v/>
      </c>
      <c r="AZ258" s="60">
        <f>IF(C258="","",IFERROR(INDEX('Paramètres'!$W$6:$W$20,MATCH(S258,'Paramètres'!$V$6:$V$20,0))&amp;"",""))</f>
        <v/>
      </c>
      <c r="BA258" s="60">
        <f>IF(C258="","",MAX(1,_xlfn.MAXIFS('Saisie'!$AT$5:$AT$2004,'Saisie'!$C$5:$C$2004,C258)))</f>
        <v/>
      </c>
      <c r="BB258" s="60">
        <f>IF(C258="","",IFERROR(INDEX('Saisie'!$X$5:$X$2004,_xlfn.MAXIFS('Saisie'!$AS$5:$AS$2004,'Saisie'!$C$5:$C$2004,C258,'Saisie'!$X$5:$X$2004,"&lt;&gt;")-4),""))</f>
        <v/>
      </c>
      <c r="BC258" s="60">
        <f>IF(C258="","",IFERROR(INDEX('Saisie'!$Y$5:$Y$2004,_xlfn.MAXIFS('Saisie'!$AS$5:$AS$2004,'Saisie'!$C$5:$C$2004,C258,'Saisie'!$Y$5:$Y$2004,"&lt;&gt;")-4),""))</f>
        <v/>
      </c>
      <c r="BD258" s="106">
        <f>IF(C258="","",IFERROR(1/(1/_xlfn.MINIFS('Saisie'!$A$5:$A$2004,'Saisie'!$C$5:$C$2004,C258,'Saisie'!$AT$5:$AT$2004,"&gt;=2")),""))</f>
        <v/>
      </c>
      <c r="BE258" s="106">
        <f>IF(C258="","",IFERROR(1/(1/_xlfn.MINIFS('Saisie'!$A$5:$A$2004,'Saisie'!$C$5:$C$2004,C258,'Saisie'!$AT$5:$AT$2004,"&gt;=3")),""))</f>
        <v/>
      </c>
      <c r="BF258" s="106">
        <f>IF(C258="","",IFERROR(1/(1/_xlfn.MINIFS('Saisie'!$A$5:$A$2004,'Saisie'!$C$5:$C$2004,C258,'Saisie'!$AT$5:$AT$2004,"&gt;=4")),""))</f>
        <v/>
      </c>
      <c r="BG258" s="106">
        <f>IF(C258="","",IFERROR(1/(1/_xlfn.MINIFS('Saisie'!$A$5:$A$2004,'Saisie'!$C$5:$C$2004,C258,'Saisie'!$AT$5:$AT$2004,"&gt;=5")),""))</f>
        <v/>
      </c>
      <c r="BH258" s="106">
        <f>IF(C258="","",IFERROR(1/(1/_xlfn.MINIFS('Saisie'!$A$5:$A$2004,'Saisie'!$C$5:$C$2004,C258,'Saisie'!$AT$5:$AT$2004,"&gt;=6")),""))</f>
        <v/>
      </c>
      <c r="BI258" s="106">
        <f>IF(C258="","",IFERROR(1/(1/_xlfn.MINIFS('Saisie'!$A$5:$A$2004,'Saisie'!$C$5:$C$2004,C258,'Saisie'!$AT$5:$AT$2004,"&gt;=7")),""))</f>
        <v/>
      </c>
      <c r="BJ258" s="60">
        <f>IF(OR(BD258="",B258=""),"",BD258-B258)</f>
        <v/>
      </c>
      <c r="BK258" s="60">
        <f>IF(OR(BE258="",BD258=""),"",BE258-BD258)</f>
        <v/>
      </c>
      <c r="BL258" s="60">
        <f>IF(OR(BF258="",BE258=""),"",BF258-BE258)</f>
        <v/>
      </c>
      <c r="BM258" s="60">
        <f>IF(OR(BG258="",BF258=""),"",BG258-BF258)</f>
        <v/>
      </c>
      <c r="BN258" s="60">
        <f>IF(OR(BH258="",BG258=""),"",BH258-BG258)</f>
        <v/>
      </c>
      <c r="BO258" s="60">
        <f>IF(OR(BI258="",BH258=""),"",BI258-BH258)</f>
        <v/>
      </c>
      <c r="BP258" s="60">
        <f>IF(C258="","",_xlfn.MAXIFS('Saisie'!$AS$5:$AS$2004,'Saisie'!$C$5:$C$2004,C258,'Saisie'!$J$5:$J$2004,"&lt;&gt;"))</f>
        <v/>
      </c>
      <c r="BQ258" s="60">
        <f>IF(C258="","",_xlfn.MAXIFS('Saisie'!$AS$5:$AS$2004,'Saisie'!$C$5:$C$2004,C258))</f>
        <v/>
      </c>
      <c r="BR258" s="60">
        <f>IF(C258="","",_xlfn.MAXIFS('Saisie'!$AS$5:$AS$2004,'Saisie'!$C$5:$C$2004,C258,'Saisie'!$E$5:$E$2004,"Perdu"))</f>
        <v/>
      </c>
      <c r="BS258" s="60">
        <f>IF(C258="","",_xlfn.MAXIFS('Saisie'!$AS$5:$AS$2004,'Saisie'!$C$5:$C$2004,C258,'Saisie'!$AT$5:$AT$2004,"&gt;0"))</f>
        <v/>
      </c>
      <c r="BT258" s="109">
        <f>IF(AND(C258&lt;&gt;"",OR(D258="Nouveau",D258="Contacté",D258="Qualifié"),OR(G258="",N(G258)&lt;=TODAY()),NOT(AND(O258&gt;='Paramètres'!$B$21,P258=0))),E258+254/10000,"")</f>
        <v/>
      </c>
      <c r="BU258" s="60">
        <f>IF(AND(G258&lt;&gt;"",N(G258)&lt;=TODAY()),MAX($BU$4:BU257)+1,"")</f>
        <v/>
      </c>
      <c r="BV258" s="60">
        <f>IF(AND(F258&lt;&gt;"",F258&lt;&gt;"Relance en retard"),MAX($BV$4:BV257)+1,"")</f>
        <v/>
      </c>
      <c r="BW258" s="60">
        <f>IF(C258="","",IF(AND(B258&gt;='Tableau de bord'!$R$4,B258&lt;='Tableau de bord'!$S$4,OR('Tableau de bord'!$G$4="Tous",N258='Tableau de bord'!$G$4)),1,0))</f>
        <v/>
      </c>
      <c r="BX258" s="60">
        <f>IF(AND(C258&lt;&gt;"",N(BA258)=7),MAX($BX$4:BX257)+1,"")</f>
        <v/>
      </c>
    </row>
    <row r="259">
      <c r="A259" s="60">
        <f>IF(C259="","","P-"&amp;TEXT(255,"000"))</f>
        <v/>
      </c>
      <c r="B259" s="106">
        <f>IF(C259="","",IFERROR(1/(1/_xlfn.MINIFS('Saisie'!$A$5:$A$2004,'Saisie'!$C$5:$C$2004,C259)),""))</f>
        <v/>
      </c>
      <c r="C259" s="60">
        <f>IFERROR(INDEX('Saisie'!$C$5:$C$2004,MATCH(255,'Saisie'!$AX$5:$AX$2004,0)),"")</f>
        <v/>
      </c>
      <c r="D259" s="60">
        <f>IF(C259="","",IF(AND(BR259&gt;0,BR259&gt;BS259,BA259&lt;7),"Perdu",INDEX('Paramètres'!$F$6:$F$13,BA259)))</f>
        <v/>
      </c>
      <c r="E259" s="61">
        <f>IF(C259="","",MIN(100,(Z259="Oui")*'Paramètres'!$B$38+(AB259="Régulière")*'Paramètres'!$B$39+IF(AND(N(AA259)&gt;0,TODAY()-N(AA259)&lt;=30),'Paramètres'!$B$40,0)+(W259="")*'Paramètres'!$B$41+(AC259="Absente")*'Paramètres'!$B$42+(AC259="Faible")*'Paramètres'!$B$43+IF(AND(N(AD259)&gt;0,N(AD259)&lt;4),'Paramètres'!$B$44,0)+(AF259="Moyenne")*'Paramètres'!$B$45+(AF259="Grande")*'Paramètres'!$B$46+(Y259&lt;&gt;"")*'Paramètres'!$B$47))</f>
        <v/>
      </c>
      <c r="F259" s="60">
        <f>IF(C259="","",IF(D259="Gagné","",IF(D259="Perdu",IF(AND(AX259&lt;&gt;"",AX259&lt;=TODAY()),"À recontacter (perdu)",""),IF(AND(O259&gt;='Paramètres'!$B$21,P259=0),"Stop : "&amp;'Paramètres'!$B$21&amp;" tentatives sans réponse",IF(AND(D259="Proposition",AR259&lt;&gt;"",TODAY()&gt;N(AR259)),"Proposition expirée",IF(AND(D259="Proposition",N(R259)&gt;='Paramètres'!$B$25),"Proposition sans réponse",IF(AND(G259&lt;&gt;"",N(G259)&lt;TODAY()),"Relance en retard",IF(N(R259)&gt;='Paramètres'!$B$24,"Sans action depuis "&amp;R259&amp;" j",""))))))))</f>
        <v/>
      </c>
      <c r="G259" s="106">
        <f>IF(OR(C259="",D259="Gagné",D259="Perdu"),"",IF(AND(BP259&gt;0,BP259=BQ259),INDEX('Saisie'!$J$5:$J$2004,BP259-4),IF(OR(O259=0,AND(O259&gt;='Paramètres'!$B$21,P259=0)),"",Q259+IF(O259&lt;=1,'Paramètres'!$B$18,IF(O259=2,'Paramètres'!$B$19,'Paramètres'!$B$20)))))</f>
        <v/>
      </c>
      <c r="H259" s="107">
        <f>IF(OR(G259="",BP259&lt;&gt;BQ259),"",IF(INDEX('Saisie'!$K$5:$K$2004,BP259-4)="","",INDEX('Saisie'!$K$5:$K$2004,BP259-4)))</f>
        <v/>
      </c>
      <c r="I259" s="60">
        <f>IF(C259="","",IF(OR(D259="Gagné",D259="Perdu"),"",IFERROR(INDEX('Saisie'!$I$5:$I$2004,_xlfn.MAXIFS('Saisie'!$AS$5:$AS$2004,'Saisie'!$C$5:$C$2004,C259,'Saisie'!$I$5:$I$2004,"&lt;&gt;")-4),"")))</f>
        <v/>
      </c>
      <c r="J259" s="60">
        <f>IF(C259="","",IFERROR(INDEX('Saisie'!$U$5:$U$2004,_xlfn.MAXIFS('Saisie'!$AS$5:$AS$2004,'Saisie'!$C$5:$C$2004,C259,'Saisie'!$U$5:$U$2004,"&lt;&gt;")-4),""))</f>
        <v/>
      </c>
      <c r="K259" s="60">
        <f>IF(C259="","",IFERROR(INDEX('Saisie'!$W$5:$W$2004,_xlfn.MAXIFS('Saisie'!$AS$5:$AS$2004,'Saisie'!$C$5:$C$2004,C259,'Saisie'!$W$5:$W$2004,"&lt;&gt;")-4),""))</f>
        <v/>
      </c>
      <c r="L259" s="60">
        <f>IF(IF(BB259&lt;&gt;"",BB259,K259)="","",HYPERLINK("https://wa.me/"&amp;IF(LEFT(SUBSTITUTE(SUBSTITUTE(SUBSTITUTE(IF(BB259&lt;&gt;"",BB259,K259)," ",""),".",""),"+",""),1)="0",'Paramètres'!$B$35&amp;MID(SUBSTITUTE(SUBSTITUTE(SUBSTITUTE(IF(BB259&lt;&gt;"",BB259,K259)," ",""),".",""),"+",""),2,20),SUBSTITUTE(SUBSTITUTE(SUBSTITUTE(IF(BB259&lt;&gt;"",BB259,K259)," ",""),".",""),"+","")),"WhatsApp"))</f>
        <v/>
      </c>
      <c r="M259" s="60">
        <f>IF(BC259="","",HYPERLINK(IF(LEFT(BC259,4)="http",BC259,"https://www.instagram.com/"&amp;SUBSTITUTE(SUBSTITUTE(BC259,"@","")," ","")),BC259))</f>
        <v/>
      </c>
      <c r="N259" s="60">
        <f>IF(C259="","",IFERROR(INDEX('Saisie'!$D$5:$D$2004,_xlfn.MINIFS('Saisie'!$AS$5:$AS$2004,'Saisie'!$C$5:$C$2004,C259,'Saisie'!$AU$5:$AU$2004,1)-4),IFERROR(INDEX('Saisie'!$D$5:$D$2004,_xlfn.MINIFS('Saisie'!$AS$5:$AS$2004,'Saisie'!$C$5:$C$2004,C259,'Saisie'!$D$5:$D$2004,"&lt;&gt;")-4),"")))</f>
        <v/>
      </c>
      <c r="O259" s="60">
        <f>IF(C259="","",COUNTIFS('Saisie'!$C$5:$C$2004,C259,'Saisie'!$AU$5:$AU$2004,1))</f>
        <v/>
      </c>
      <c r="P259" s="60">
        <f>IF(C259="","",COUNTIFS('Saisie'!$C$5:$C$2004,C259,'Saisie'!$AV$5:$AV$2004,1))</f>
        <v/>
      </c>
      <c r="Q259" s="106">
        <f>IF(C259="","",IFERROR(1/(1/_xlfn.MAXIFS('Saisie'!$A$5:$A$2004,'Saisie'!$C$5:$C$2004,C259)),""))</f>
        <v/>
      </c>
      <c r="R259" s="61">
        <f>IF(C259="","",IF(Q259="","",TODAY()-Q259))</f>
        <v/>
      </c>
      <c r="S259" s="60">
        <f>IF(C259="","",IFERROR(INDEX('Saisie'!$R$5:$R$2004,_xlfn.MAXIFS('Saisie'!$AS$5:$AS$2004,'Saisie'!$C$5:$C$2004,C259,'Saisie'!$R$5:$R$2004,"&lt;&gt;")-4),""))</f>
        <v/>
      </c>
      <c r="T259" s="60">
        <f>IF(C259="","",IFERROR(INDEX('Saisie'!$S$5:$S$2004,_xlfn.MAXIFS('Saisie'!$AS$5:$AS$2004,'Saisie'!$C$5:$C$2004,C259,'Saisie'!$S$5:$S$2004,"&lt;&gt;")-4),""))</f>
        <v/>
      </c>
      <c r="U259" s="60">
        <f>IF(C259="","",IFERROR(INDEX('Saisie'!$T$5:$T$2004,_xlfn.MAXIFS('Saisie'!$AS$5:$AS$2004,'Saisie'!$C$5:$C$2004,C259,'Saisie'!$T$5:$T$2004,"&lt;&gt;")-4),""))</f>
        <v/>
      </c>
      <c r="V259" s="60">
        <f>IF(C259="","",IFERROR(INDEX('Saisie'!$V$5:$V$2004,_xlfn.MAXIFS('Saisie'!$AS$5:$AS$2004,'Saisie'!$C$5:$C$2004,C259,'Saisie'!$V$5:$V$2004,"&lt;&gt;")-4),""))</f>
        <v/>
      </c>
      <c r="W259" s="60">
        <f>IF(C259="","",IFERROR(INDEX('Saisie'!$Z$5:$Z$2004,_xlfn.MAXIFS('Saisie'!$AS$5:$AS$2004,'Saisie'!$C$5:$C$2004,C259,'Saisie'!$Z$5:$Z$2004,"&lt;&gt;")-4),""))</f>
        <v/>
      </c>
      <c r="X259" s="60">
        <f>IF(C259="","",IFERROR(INDEX('Saisie'!$AA$5:$AA$2004,_xlfn.MAXIFS('Saisie'!$AS$5:$AS$2004,'Saisie'!$C$5:$C$2004,C259,'Saisie'!$AA$5:$AA$2004,"&lt;&gt;")-4),""))</f>
        <v/>
      </c>
      <c r="Y259" s="60">
        <f>IF(C259="","",IFERROR(INDEX('Saisie'!$AB$5:$AB$2004,_xlfn.MAXIFS('Saisie'!$AS$5:$AS$2004,'Saisie'!$C$5:$C$2004,C259,'Saisie'!$AB$5:$AB$2004,"&lt;&gt;")-4),""))</f>
        <v/>
      </c>
      <c r="Z259" s="60">
        <f>IF(C259="","",IFERROR(INDEX('Saisie'!$AC$5:$AC$2004,_xlfn.MAXIFS('Saisie'!$AS$5:$AS$2004,'Saisie'!$C$5:$C$2004,C259,'Saisie'!$AC$5:$AC$2004,"&lt;&gt;")-4),""))</f>
        <v/>
      </c>
      <c r="AA259" s="106">
        <f>IF(C259="","",IFERROR(INDEX('Saisie'!$AD$5:$AD$2004,_xlfn.MAXIFS('Saisie'!$AS$5:$AS$2004,'Saisie'!$C$5:$C$2004,C259,'Saisie'!$AD$5:$AD$2004,"&lt;&gt;")-4),""))</f>
        <v/>
      </c>
      <c r="AB259" s="60">
        <f>IF(C259="","",IFERROR(INDEX('Saisie'!$AE$5:$AE$2004,_xlfn.MAXIFS('Saisie'!$AS$5:$AS$2004,'Saisie'!$C$5:$C$2004,C259,'Saisie'!$AE$5:$AE$2004,"&lt;&gt;")-4),""))</f>
        <v/>
      </c>
      <c r="AC259" s="60">
        <f>IF(C259="","",IFERROR(INDEX('Saisie'!$AF$5:$AF$2004,_xlfn.MAXIFS('Saisie'!$AS$5:$AS$2004,'Saisie'!$C$5:$C$2004,C259,'Saisie'!$AF$5:$AF$2004,"&lt;&gt;")-4),""))</f>
        <v/>
      </c>
      <c r="AD259" s="108">
        <f>IF(C259="","",IFERROR(INDEX('Saisie'!$AG$5:$AG$2004,_xlfn.MAXIFS('Saisie'!$AS$5:$AS$2004,'Saisie'!$C$5:$C$2004,C259,'Saisie'!$AG$5:$AG$2004,"&lt;&gt;")-4),""))</f>
        <v/>
      </c>
      <c r="AE259" s="60">
        <f>IF(C259="","",IFERROR(INDEX('Saisie'!$AH$5:$AH$2004,_xlfn.MAXIFS('Saisie'!$AS$5:$AS$2004,'Saisie'!$C$5:$C$2004,C259,'Saisie'!$AH$5:$AH$2004,"&lt;&gt;")-4),""))</f>
        <v/>
      </c>
      <c r="AF259" s="60">
        <f>IF(C259="","",IFERROR(INDEX('Saisie'!$AI$5:$AI$2004,_xlfn.MAXIFS('Saisie'!$AS$5:$AS$2004,'Saisie'!$C$5:$C$2004,C259,'Saisie'!$AI$5:$AI$2004,"&lt;&gt;")-4),""))</f>
        <v/>
      </c>
      <c r="AG259" s="60">
        <f>IF(C259="","",IFERROR(INDEX('Saisie'!$AJ$5:$AJ$2004,_xlfn.MAXIFS('Saisie'!$AS$5:$AS$2004,'Saisie'!$C$5:$C$2004,C259,'Saisie'!$AJ$5:$AJ$2004,"&lt;&gt;")-4),""))</f>
        <v/>
      </c>
      <c r="AH259" s="60">
        <f>IF(C259="","",IFERROR(INDEX('Saisie'!$AK$5:$AK$2004,_xlfn.MAXIFS('Saisie'!$AS$5:$AS$2004,'Saisie'!$C$5:$C$2004,C259,'Saisie'!$AK$5:$AK$2004,"&lt;&gt;")-4),""))</f>
        <v/>
      </c>
      <c r="AI259" s="60">
        <f>IF(C259="","",IFERROR(INDEX('Saisie'!$AN$5:$AN$2004,_xlfn.MAXIFS('Saisie'!$AS$5:$AS$2004,'Saisie'!$C$5:$C$2004,C259,'Saisie'!$AN$5:$AN$2004,"&lt;&gt;")-4),""))</f>
        <v/>
      </c>
      <c r="AJ259" s="60">
        <f>IF(C259="","",IFERROR(INDEX('Saisie'!$AO$5:$AO$2004,_xlfn.MAXIFS('Saisie'!$AS$5:$AS$2004,'Saisie'!$C$5:$C$2004,C259,'Saisie'!$AO$5:$AO$2004,"&lt;&gt;")-4),""))</f>
        <v/>
      </c>
      <c r="AK259" s="60">
        <f>IF(C259="","",IFERROR(INDEX('Saisie'!$AP$5:$AP$2004,_xlfn.MAXIFS('Saisie'!$AS$5:$AS$2004,'Saisie'!$C$5:$C$2004,C259,'Saisie'!$AP$5:$AP$2004,"&lt;&gt;")-4),""))</f>
        <v/>
      </c>
      <c r="AL259" s="60">
        <f>IF(C259="","",IFERROR(INDEX('Saisie'!$AQ$5:$AQ$2004,_xlfn.MAXIFS('Saisie'!$AS$5:$AS$2004,'Saisie'!$C$5:$C$2004,C259,'Saisie'!$AQ$5:$AQ$2004,"&lt;&gt;")-4),""))</f>
        <v/>
      </c>
      <c r="AM259" s="60">
        <f>IF(C259="","",((AI259="Oui")+(AJ259="Oui")+(AK259="Oui")+OR(AL259="Immédiat",AL259="&lt; 1 mois"))&amp;"/4")</f>
        <v/>
      </c>
      <c r="AN259" s="60">
        <f>IF(C259="","",IFERROR(INDEX('Saisie'!$AL$5:$AL$2004,_xlfn.MAXIFS('Saisie'!$AS$5:$AS$2004,'Saisie'!$C$5:$C$2004,C259,'Saisie'!$AL$5:$AL$2004,"&lt;&gt;")-4),""))</f>
        <v/>
      </c>
      <c r="AO259" s="62">
        <f>IF(C259="","",IF(IFERROR(INDEX('Saisie'!$AM$5:$AM$2004,_xlfn.MAXIFS('Saisie'!$AS$5:$AS$2004,'Saisie'!$C$5:$C$2004,C259,'Saisie'!$AM$5:$AM$2004,"&lt;&gt;")-4),"")&lt;&gt;"",IFERROR(INDEX('Saisie'!$AM$5:$AM$2004,_xlfn.MAXIFS('Saisie'!$AS$5:$AS$2004,'Saisie'!$C$5:$C$2004,C259,'Saisie'!$AM$5:$AM$2004,"&lt;&gt;")-4),""),IFERROR(INDEX('Paramètres'!$S$6:$S$15,MATCH(AN259,'Paramètres'!$Q$6:$Q$15,0)),"")))</f>
        <v/>
      </c>
      <c r="AP259" s="62">
        <f>IF(C259="","",IFERROR(INDEX('Saisie'!$AW$5:$AW$2004,_xlfn.MAXIFS('Saisie'!$AS$5:$AS$2004,'Saisie'!$C$5:$C$2004,C259,'Saisie'!$E$5:$E$2004,"Proposition envoyée")-4),""))</f>
        <v/>
      </c>
      <c r="AQ259" s="106">
        <f>IF(C259="","",IFERROR(1/(1/_xlfn.MAXIFS('Saisie'!$A$5:$A$2004,'Saisie'!$C$5:$C$2004,C259,'Saisie'!$E$5:$E$2004,"Proposition envoyée")),""))</f>
        <v/>
      </c>
      <c r="AR259" s="106">
        <f>IF(C259="","",IF(AQ259="","",AQ259+'Paramètres'!$B$26))</f>
        <v/>
      </c>
      <c r="AS259" s="62">
        <f>IF(OR(C259="",D259="Gagné",D259="Perdu"),0,N(AP259)*IFERROR(INDEX('Paramètres'!$G$6:$G$13,MATCH(D259,'Paramètres'!$F$6:$F$13,0)),0))</f>
        <v/>
      </c>
      <c r="AT259" s="106">
        <f>IF(C259="","",IFERROR(1/(1/_xlfn.MINIFS('Saisie'!$A$5:$A$2004,'Saisie'!$C$5:$C$2004,C259,'Saisie'!$E$5:$E$2004,"Signature")),""))</f>
        <v/>
      </c>
      <c r="AU259" s="60">
        <f>IF(C259="","",IF(OR(AT259="",B259=""),"",AT259-B259))</f>
        <v/>
      </c>
      <c r="AV259" s="60">
        <f>IF(C259="","",IFERROR(INDEX('Saisie'!$L$5:$L$2004,_xlfn.MAXIFS('Saisie'!$AS$5:$AS$2004,'Saisie'!$C$5:$C$2004,C259,'Saisie'!$L$5:$L$2004,"&lt;&gt;")-4),""))</f>
        <v/>
      </c>
      <c r="AW259" s="106">
        <f>IF(C259="","",IF(D259&lt;&gt;"Perdu","",IFERROR(1/(1/_xlfn.MAXIFS('Saisie'!$A$5:$A$2004,'Saisie'!$C$5:$C$2004,C259,'Saisie'!$E$5:$E$2004,"Perdu")),"")))</f>
        <v/>
      </c>
      <c r="AX259" s="106">
        <f>IF(C259="","",IF(AW259="","",AW259+'Paramètres'!$B$28))</f>
        <v/>
      </c>
      <c r="AY259" s="60">
        <f>IF(C259="","",SUMIFS('Saisie'!$H$5:$H$2004,'Saisie'!$C$5:$C$2004,C259))</f>
        <v/>
      </c>
      <c r="AZ259" s="60">
        <f>IF(C259="","",IFERROR(INDEX('Paramètres'!$W$6:$W$20,MATCH(S259,'Paramètres'!$V$6:$V$20,0))&amp;"",""))</f>
        <v/>
      </c>
      <c r="BA259" s="60">
        <f>IF(C259="","",MAX(1,_xlfn.MAXIFS('Saisie'!$AT$5:$AT$2004,'Saisie'!$C$5:$C$2004,C259)))</f>
        <v/>
      </c>
      <c r="BB259" s="60">
        <f>IF(C259="","",IFERROR(INDEX('Saisie'!$X$5:$X$2004,_xlfn.MAXIFS('Saisie'!$AS$5:$AS$2004,'Saisie'!$C$5:$C$2004,C259,'Saisie'!$X$5:$X$2004,"&lt;&gt;")-4),""))</f>
        <v/>
      </c>
      <c r="BC259" s="60">
        <f>IF(C259="","",IFERROR(INDEX('Saisie'!$Y$5:$Y$2004,_xlfn.MAXIFS('Saisie'!$AS$5:$AS$2004,'Saisie'!$C$5:$C$2004,C259,'Saisie'!$Y$5:$Y$2004,"&lt;&gt;")-4),""))</f>
        <v/>
      </c>
      <c r="BD259" s="106">
        <f>IF(C259="","",IFERROR(1/(1/_xlfn.MINIFS('Saisie'!$A$5:$A$2004,'Saisie'!$C$5:$C$2004,C259,'Saisie'!$AT$5:$AT$2004,"&gt;=2")),""))</f>
        <v/>
      </c>
      <c r="BE259" s="106">
        <f>IF(C259="","",IFERROR(1/(1/_xlfn.MINIFS('Saisie'!$A$5:$A$2004,'Saisie'!$C$5:$C$2004,C259,'Saisie'!$AT$5:$AT$2004,"&gt;=3")),""))</f>
        <v/>
      </c>
      <c r="BF259" s="106">
        <f>IF(C259="","",IFERROR(1/(1/_xlfn.MINIFS('Saisie'!$A$5:$A$2004,'Saisie'!$C$5:$C$2004,C259,'Saisie'!$AT$5:$AT$2004,"&gt;=4")),""))</f>
        <v/>
      </c>
      <c r="BG259" s="106">
        <f>IF(C259="","",IFERROR(1/(1/_xlfn.MINIFS('Saisie'!$A$5:$A$2004,'Saisie'!$C$5:$C$2004,C259,'Saisie'!$AT$5:$AT$2004,"&gt;=5")),""))</f>
        <v/>
      </c>
      <c r="BH259" s="106">
        <f>IF(C259="","",IFERROR(1/(1/_xlfn.MINIFS('Saisie'!$A$5:$A$2004,'Saisie'!$C$5:$C$2004,C259,'Saisie'!$AT$5:$AT$2004,"&gt;=6")),""))</f>
        <v/>
      </c>
      <c r="BI259" s="106">
        <f>IF(C259="","",IFERROR(1/(1/_xlfn.MINIFS('Saisie'!$A$5:$A$2004,'Saisie'!$C$5:$C$2004,C259,'Saisie'!$AT$5:$AT$2004,"&gt;=7")),""))</f>
        <v/>
      </c>
      <c r="BJ259" s="60">
        <f>IF(OR(BD259="",B259=""),"",BD259-B259)</f>
        <v/>
      </c>
      <c r="BK259" s="60">
        <f>IF(OR(BE259="",BD259=""),"",BE259-BD259)</f>
        <v/>
      </c>
      <c r="BL259" s="60">
        <f>IF(OR(BF259="",BE259=""),"",BF259-BE259)</f>
        <v/>
      </c>
      <c r="BM259" s="60">
        <f>IF(OR(BG259="",BF259=""),"",BG259-BF259)</f>
        <v/>
      </c>
      <c r="BN259" s="60">
        <f>IF(OR(BH259="",BG259=""),"",BH259-BG259)</f>
        <v/>
      </c>
      <c r="BO259" s="60">
        <f>IF(OR(BI259="",BH259=""),"",BI259-BH259)</f>
        <v/>
      </c>
      <c r="BP259" s="60">
        <f>IF(C259="","",_xlfn.MAXIFS('Saisie'!$AS$5:$AS$2004,'Saisie'!$C$5:$C$2004,C259,'Saisie'!$J$5:$J$2004,"&lt;&gt;"))</f>
        <v/>
      </c>
      <c r="BQ259" s="60">
        <f>IF(C259="","",_xlfn.MAXIFS('Saisie'!$AS$5:$AS$2004,'Saisie'!$C$5:$C$2004,C259))</f>
        <v/>
      </c>
      <c r="BR259" s="60">
        <f>IF(C259="","",_xlfn.MAXIFS('Saisie'!$AS$5:$AS$2004,'Saisie'!$C$5:$C$2004,C259,'Saisie'!$E$5:$E$2004,"Perdu"))</f>
        <v/>
      </c>
      <c r="BS259" s="60">
        <f>IF(C259="","",_xlfn.MAXIFS('Saisie'!$AS$5:$AS$2004,'Saisie'!$C$5:$C$2004,C259,'Saisie'!$AT$5:$AT$2004,"&gt;0"))</f>
        <v/>
      </c>
      <c r="BT259" s="109">
        <f>IF(AND(C259&lt;&gt;"",OR(D259="Nouveau",D259="Contacté",D259="Qualifié"),OR(G259="",N(G259)&lt;=TODAY()),NOT(AND(O259&gt;='Paramètres'!$B$21,P259=0))),E259+255/10000,"")</f>
        <v/>
      </c>
      <c r="BU259" s="60">
        <f>IF(AND(G259&lt;&gt;"",N(G259)&lt;=TODAY()),MAX($BU$4:BU258)+1,"")</f>
        <v/>
      </c>
      <c r="BV259" s="60">
        <f>IF(AND(F259&lt;&gt;"",F259&lt;&gt;"Relance en retard"),MAX($BV$4:BV258)+1,"")</f>
        <v/>
      </c>
      <c r="BW259" s="60">
        <f>IF(C259="","",IF(AND(B259&gt;='Tableau de bord'!$R$4,B259&lt;='Tableau de bord'!$S$4,OR('Tableau de bord'!$G$4="Tous",N259='Tableau de bord'!$G$4)),1,0))</f>
        <v/>
      </c>
      <c r="BX259" s="60">
        <f>IF(AND(C259&lt;&gt;"",N(BA259)=7),MAX($BX$4:BX258)+1,"")</f>
        <v/>
      </c>
    </row>
    <row r="260">
      <c r="A260" s="60">
        <f>IF(C260="","","P-"&amp;TEXT(256,"000"))</f>
        <v/>
      </c>
      <c r="B260" s="106">
        <f>IF(C260="","",IFERROR(1/(1/_xlfn.MINIFS('Saisie'!$A$5:$A$2004,'Saisie'!$C$5:$C$2004,C260)),""))</f>
        <v/>
      </c>
      <c r="C260" s="60">
        <f>IFERROR(INDEX('Saisie'!$C$5:$C$2004,MATCH(256,'Saisie'!$AX$5:$AX$2004,0)),"")</f>
        <v/>
      </c>
      <c r="D260" s="60">
        <f>IF(C260="","",IF(AND(BR260&gt;0,BR260&gt;BS260,BA260&lt;7),"Perdu",INDEX('Paramètres'!$F$6:$F$13,BA260)))</f>
        <v/>
      </c>
      <c r="E260" s="61">
        <f>IF(C260="","",MIN(100,(Z260="Oui")*'Paramètres'!$B$38+(AB260="Régulière")*'Paramètres'!$B$39+IF(AND(N(AA260)&gt;0,TODAY()-N(AA260)&lt;=30),'Paramètres'!$B$40,0)+(W260="")*'Paramètres'!$B$41+(AC260="Absente")*'Paramètres'!$B$42+(AC260="Faible")*'Paramètres'!$B$43+IF(AND(N(AD260)&gt;0,N(AD260)&lt;4),'Paramètres'!$B$44,0)+(AF260="Moyenne")*'Paramètres'!$B$45+(AF260="Grande")*'Paramètres'!$B$46+(Y260&lt;&gt;"")*'Paramètres'!$B$47))</f>
        <v/>
      </c>
      <c r="F260" s="60">
        <f>IF(C260="","",IF(D260="Gagné","",IF(D260="Perdu",IF(AND(AX260&lt;&gt;"",AX260&lt;=TODAY()),"À recontacter (perdu)",""),IF(AND(O260&gt;='Paramètres'!$B$21,P260=0),"Stop : "&amp;'Paramètres'!$B$21&amp;" tentatives sans réponse",IF(AND(D260="Proposition",AR260&lt;&gt;"",TODAY()&gt;N(AR260)),"Proposition expirée",IF(AND(D260="Proposition",N(R260)&gt;='Paramètres'!$B$25),"Proposition sans réponse",IF(AND(G260&lt;&gt;"",N(G260)&lt;TODAY()),"Relance en retard",IF(N(R260)&gt;='Paramètres'!$B$24,"Sans action depuis "&amp;R260&amp;" j",""))))))))</f>
        <v/>
      </c>
      <c r="G260" s="106">
        <f>IF(OR(C260="",D260="Gagné",D260="Perdu"),"",IF(AND(BP260&gt;0,BP260=BQ260),INDEX('Saisie'!$J$5:$J$2004,BP260-4),IF(OR(O260=0,AND(O260&gt;='Paramètres'!$B$21,P260=0)),"",Q260+IF(O260&lt;=1,'Paramètres'!$B$18,IF(O260=2,'Paramètres'!$B$19,'Paramètres'!$B$20)))))</f>
        <v/>
      </c>
      <c r="H260" s="107">
        <f>IF(OR(G260="",BP260&lt;&gt;BQ260),"",IF(INDEX('Saisie'!$K$5:$K$2004,BP260-4)="","",INDEX('Saisie'!$K$5:$K$2004,BP260-4)))</f>
        <v/>
      </c>
      <c r="I260" s="60">
        <f>IF(C260="","",IF(OR(D260="Gagné",D260="Perdu"),"",IFERROR(INDEX('Saisie'!$I$5:$I$2004,_xlfn.MAXIFS('Saisie'!$AS$5:$AS$2004,'Saisie'!$C$5:$C$2004,C260,'Saisie'!$I$5:$I$2004,"&lt;&gt;")-4),"")))</f>
        <v/>
      </c>
      <c r="J260" s="60">
        <f>IF(C260="","",IFERROR(INDEX('Saisie'!$U$5:$U$2004,_xlfn.MAXIFS('Saisie'!$AS$5:$AS$2004,'Saisie'!$C$5:$C$2004,C260,'Saisie'!$U$5:$U$2004,"&lt;&gt;")-4),""))</f>
        <v/>
      </c>
      <c r="K260" s="60">
        <f>IF(C260="","",IFERROR(INDEX('Saisie'!$W$5:$W$2004,_xlfn.MAXIFS('Saisie'!$AS$5:$AS$2004,'Saisie'!$C$5:$C$2004,C260,'Saisie'!$W$5:$W$2004,"&lt;&gt;")-4),""))</f>
        <v/>
      </c>
      <c r="L260" s="60">
        <f>IF(IF(BB260&lt;&gt;"",BB260,K260)="","",HYPERLINK("https://wa.me/"&amp;IF(LEFT(SUBSTITUTE(SUBSTITUTE(SUBSTITUTE(IF(BB260&lt;&gt;"",BB260,K260)," ",""),".",""),"+",""),1)="0",'Paramètres'!$B$35&amp;MID(SUBSTITUTE(SUBSTITUTE(SUBSTITUTE(IF(BB260&lt;&gt;"",BB260,K260)," ",""),".",""),"+",""),2,20),SUBSTITUTE(SUBSTITUTE(SUBSTITUTE(IF(BB260&lt;&gt;"",BB260,K260)," ",""),".",""),"+","")),"WhatsApp"))</f>
        <v/>
      </c>
      <c r="M260" s="60">
        <f>IF(BC260="","",HYPERLINK(IF(LEFT(BC260,4)="http",BC260,"https://www.instagram.com/"&amp;SUBSTITUTE(SUBSTITUTE(BC260,"@","")," ","")),BC260))</f>
        <v/>
      </c>
      <c r="N260" s="60">
        <f>IF(C260="","",IFERROR(INDEX('Saisie'!$D$5:$D$2004,_xlfn.MINIFS('Saisie'!$AS$5:$AS$2004,'Saisie'!$C$5:$C$2004,C260,'Saisie'!$AU$5:$AU$2004,1)-4),IFERROR(INDEX('Saisie'!$D$5:$D$2004,_xlfn.MINIFS('Saisie'!$AS$5:$AS$2004,'Saisie'!$C$5:$C$2004,C260,'Saisie'!$D$5:$D$2004,"&lt;&gt;")-4),"")))</f>
        <v/>
      </c>
      <c r="O260" s="60">
        <f>IF(C260="","",COUNTIFS('Saisie'!$C$5:$C$2004,C260,'Saisie'!$AU$5:$AU$2004,1))</f>
        <v/>
      </c>
      <c r="P260" s="60">
        <f>IF(C260="","",COUNTIFS('Saisie'!$C$5:$C$2004,C260,'Saisie'!$AV$5:$AV$2004,1))</f>
        <v/>
      </c>
      <c r="Q260" s="106">
        <f>IF(C260="","",IFERROR(1/(1/_xlfn.MAXIFS('Saisie'!$A$5:$A$2004,'Saisie'!$C$5:$C$2004,C260)),""))</f>
        <v/>
      </c>
      <c r="R260" s="61">
        <f>IF(C260="","",IF(Q260="","",TODAY()-Q260))</f>
        <v/>
      </c>
      <c r="S260" s="60">
        <f>IF(C260="","",IFERROR(INDEX('Saisie'!$R$5:$R$2004,_xlfn.MAXIFS('Saisie'!$AS$5:$AS$2004,'Saisie'!$C$5:$C$2004,C260,'Saisie'!$R$5:$R$2004,"&lt;&gt;")-4),""))</f>
        <v/>
      </c>
      <c r="T260" s="60">
        <f>IF(C260="","",IFERROR(INDEX('Saisie'!$S$5:$S$2004,_xlfn.MAXIFS('Saisie'!$AS$5:$AS$2004,'Saisie'!$C$5:$C$2004,C260,'Saisie'!$S$5:$S$2004,"&lt;&gt;")-4),""))</f>
        <v/>
      </c>
      <c r="U260" s="60">
        <f>IF(C260="","",IFERROR(INDEX('Saisie'!$T$5:$T$2004,_xlfn.MAXIFS('Saisie'!$AS$5:$AS$2004,'Saisie'!$C$5:$C$2004,C260,'Saisie'!$T$5:$T$2004,"&lt;&gt;")-4),""))</f>
        <v/>
      </c>
      <c r="V260" s="60">
        <f>IF(C260="","",IFERROR(INDEX('Saisie'!$V$5:$V$2004,_xlfn.MAXIFS('Saisie'!$AS$5:$AS$2004,'Saisie'!$C$5:$C$2004,C260,'Saisie'!$V$5:$V$2004,"&lt;&gt;")-4),""))</f>
        <v/>
      </c>
      <c r="W260" s="60">
        <f>IF(C260="","",IFERROR(INDEX('Saisie'!$Z$5:$Z$2004,_xlfn.MAXIFS('Saisie'!$AS$5:$AS$2004,'Saisie'!$C$5:$C$2004,C260,'Saisie'!$Z$5:$Z$2004,"&lt;&gt;")-4),""))</f>
        <v/>
      </c>
      <c r="X260" s="60">
        <f>IF(C260="","",IFERROR(INDEX('Saisie'!$AA$5:$AA$2004,_xlfn.MAXIFS('Saisie'!$AS$5:$AS$2004,'Saisie'!$C$5:$C$2004,C260,'Saisie'!$AA$5:$AA$2004,"&lt;&gt;")-4),""))</f>
        <v/>
      </c>
      <c r="Y260" s="60">
        <f>IF(C260="","",IFERROR(INDEX('Saisie'!$AB$5:$AB$2004,_xlfn.MAXIFS('Saisie'!$AS$5:$AS$2004,'Saisie'!$C$5:$C$2004,C260,'Saisie'!$AB$5:$AB$2004,"&lt;&gt;")-4),""))</f>
        <v/>
      </c>
      <c r="Z260" s="60">
        <f>IF(C260="","",IFERROR(INDEX('Saisie'!$AC$5:$AC$2004,_xlfn.MAXIFS('Saisie'!$AS$5:$AS$2004,'Saisie'!$C$5:$C$2004,C260,'Saisie'!$AC$5:$AC$2004,"&lt;&gt;")-4),""))</f>
        <v/>
      </c>
      <c r="AA260" s="106">
        <f>IF(C260="","",IFERROR(INDEX('Saisie'!$AD$5:$AD$2004,_xlfn.MAXIFS('Saisie'!$AS$5:$AS$2004,'Saisie'!$C$5:$C$2004,C260,'Saisie'!$AD$5:$AD$2004,"&lt;&gt;")-4),""))</f>
        <v/>
      </c>
      <c r="AB260" s="60">
        <f>IF(C260="","",IFERROR(INDEX('Saisie'!$AE$5:$AE$2004,_xlfn.MAXIFS('Saisie'!$AS$5:$AS$2004,'Saisie'!$C$5:$C$2004,C260,'Saisie'!$AE$5:$AE$2004,"&lt;&gt;")-4),""))</f>
        <v/>
      </c>
      <c r="AC260" s="60">
        <f>IF(C260="","",IFERROR(INDEX('Saisie'!$AF$5:$AF$2004,_xlfn.MAXIFS('Saisie'!$AS$5:$AS$2004,'Saisie'!$C$5:$C$2004,C260,'Saisie'!$AF$5:$AF$2004,"&lt;&gt;")-4),""))</f>
        <v/>
      </c>
      <c r="AD260" s="108">
        <f>IF(C260="","",IFERROR(INDEX('Saisie'!$AG$5:$AG$2004,_xlfn.MAXIFS('Saisie'!$AS$5:$AS$2004,'Saisie'!$C$5:$C$2004,C260,'Saisie'!$AG$5:$AG$2004,"&lt;&gt;")-4),""))</f>
        <v/>
      </c>
      <c r="AE260" s="60">
        <f>IF(C260="","",IFERROR(INDEX('Saisie'!$AH$5:$AH$2004,_xlfn.MAXIFS('Saisie'!$AS$5:$AS$2004,'Saisie'!$C$5:$C$2004,C260,'Saisie'!$AH$5:$AH$2004,"&lt;&gt;")-4),""))</f>
        <v/>
      </c>
      <c r="AF260" s="60">
        <f>IF(C260="","",IFERROR(INDEX('Saisie'!$AI$5:$AI$2004,_xlfn.MAXIFS('Saisie'!$AS$5:$AS$2004,'Saisie'!$C$5:$C$2004,C260,'Saisie'!$AI$5:$AI$2004,"&lt;&gt;")-4),""))</f>
        <v/>
      </c>
      <c r="AG260" s="60">
        <f>IF(C260="","",IFERROR(INDEX('Saisie'!$AJ$5:$AJ$2004,_xlfn.MAXIFS('Saisie'!$AS$5:$AS$2004,'Saisie'!$C$5:$C$2004,C260,'Saisie'!$AJ$5:$AJ$2004,"&lt;&gt;")-4),""))</f>
        <v/>
      </c>
      <c r="AH260" s="60">
        <f>IF(C260="","",IFERROR(INDEX('Saisie'!$AK$5:$AK$2004,_xlfn.MAXIFS('Saisie'!$AS$5:$AS$2004,'Saisie'!$C$5:$C$2004,C260,'Saisie'!$AK$5:$AK$2004,"&lt;&gt;")-4),""))</f>
        <v/>
      </c>
      <c r="AI260" s="60">
        <f>IF(C260="","",IFERROR(INDEX('Saisie'!$AN$5:$AN$2004,_xlfn.MAXIFS('Saisie'!$AS$5:$AS$2004,'Saisie'!$C$5:$C$2004,C260,'Saisie'!$AN$5:$AN$2004,"&lt;&gt;")-4),""))</f>
        <v/>
      </c>
      <c r="AJ260" s="60">
        <f>IF(C260="","",IFERROR(INDEX('Saisie'!$AO$5:$AO$2004,_xlfn.MAXIFS('Saisie'!$AS$5:$AS$2004,'Saisie'!$C$5:$C$2004,C260,'Saisie'!$AO$5:$AO$2004,"&lt;&gt;")-4),""))</f>
        <v/>
      </c>
      <c r="AK260" s="60">
        <f>IF(C260="","",IFERROR(INDEX('Saisie'!$AP$5:$AP$2004,_xlfn.MAXIFS('Saisie'!$AS$5:$AS$2004,'Saisie'!$C$5:$C$2004,C260,'Saisie'!$AP$5:$AP$2004,"&lt;&gt;")-4),""))</f>
        <v/>
      </c>
      <c r="AL260" s="60">
        <f>IF(C260="","",IFERROR(INDEX('Saisie'!$AQ$5:$AQ$2004,_xlfn.MAXIFS('Saisie'!$AS$5:$AS$2004,'Saisie'!$C$5:$C$2004,C260,'Saisie'!$AQ$5:$AQ$2004,"&lt;&gt;")-4),""))</f>
        <v/>
      </c>
      <c r="AM260" s="60">
        <f>IF(C260="","",((AI260="Oui")+(AJ260="Oui")+(AK260="Oui")+OR(AL260="Immédiat",AL260="&lt; 1 mois"))&amp;"/4")</f>
        <v/>
      </c>
      <c r="AN260" s="60">
        <f>IF(C260="","",IFERROR(INDEX('Saisie'!$AL$5:$AL$2004,_xlfn.MAXIFS('Saisie'!$AS$5:$AS$2004,'Saisie'!$C$5:$C$2004,C260,'Saisie'!$AL$5:$AL$2004,"&lt;&gt;")-4),""))</f>
        <v/>
      </c>
      <c r="AO260" s="62">
        <f>IF(C260="","",IF(IFERROR(INDEX('Saisie'!$AM$5:$AM$2004,_xlfn.MAXIFS('Saisie'!$AS$5:$AS$2004,'Saisie'!$C$5:$C$2004,C260,'Saisie'!$AM$5:$AM$2004,"&lt;&gt;")-4),"")&lt;&gt;"",IFERROR(INDEX('Saisie'!$AM$5:$AM$2004,_xlfn.MAXIFS('Saisie'!$AS$5:$AS$2004,'Saisie'!$C$5:$C$2004,C260,'Saisie'!$AM$5:$AM$2004,"&lt;&gt;")-4),""),IFERROR(INDEX('Paramètres'!$S$6:$S$15,MATCH(AN260,'Paramètres'!$Q$6:$Q$15,0)),"")))</f>
        <v/>
      </c>
      <c r="AP260" s="62">
        <f>IF(C260="","",IFERROR(INDEX('Saisie'!$AW$5:$AW$2004,_xlfn.MAXIFS('Saisie'!$AS$5:$AS$2004,'Saisie'!$C$5:$C$2004,C260,'Saisie'!$E$5:$E$2004,"Proposition envoyée")-4),""))</f>
        <v/>
      </c>
      <c r="AQ260" s="106">
        <f>IF(C260="","",IFERROR(1/(1/_xlfn.MAXIFS('Saisie'!$A$5:$A$2004,'Saisie'!$C$5:$C$2004,C260,'Saisie'!$E$5:$E$2004,"Proposition envoyée")),""))</f>
        <v/>
      </c>
      <c r="AR260" s="106">
        <f>IF(C260="","",IF(AQ260="","",AQ260+'Paramètres'!$B$26))</f>
        <v/>
      </c>
      <c r="AS260" s="62">
        <f>IF(OR(C260="",D260="Gagné",D260="Perdu"),0,N(AP260)*IFERROR(INDEX('Paramètres'!$G$6:$G$13,MATCH(D260,'Paramètres'!$F$6:$F$13,0)),0))</f>
        <v/>
      </c>
      <c r="AT260" s="106">
        <f>IF(C260="","",IFERROR(1/(1/_xlfn.MINIFS('Saisie'!$A$5:$A$2004,'Saisie'!$C$5:$C$2004,C260,'Saisie'!$E$5:$E$2004,"Signature")),""))</f>
        <v/>
      </c>
      <c r="AU260" s="60">
        <f>IF(C260="","",IF(OR(AT260="",B260=""),"",AT260-B260))</f>
        <v/>
      </c>
      <c r="AV260" s="60">
        <f>IF(C260="","",IFERROR(INDEX('Saisie'!$L$5:$L$2004,_xlfn.MAXIFS('Saisie'!$AS$5:$AS$2004,'Saisie'!$C$5:$C$2004,C260,'Saisie'!$L$5:$L$2004,"&lt;&gt;")-4),""))</f>
        <v/>
      </c>
      <c r="AW260" s="106">
        <f>IF(C260="","",IF(D260&lt;&gt;"Perdu","",IFERROR(1/(1/_xlfn.MAXIFS('Saisie'!$A$5:$A$2004,'Saisie'!$C$5:$C$2004,C260,'Saisie'!$E$5:$E$2004,"Perdu")),"")))</f>
        <v/>
      </c>
      <c r="AX260" s="106">
        <f>IF(C260="","",IF(AW260="","",AW260+'Paramètres'!$B$28))</f>
        <v/>
      </c>
      <c r="AY260" s="60">
        <f>IF(C260="","",SUMIFS('Saisie'!$H$5:$H$2004,'Saisie'!$C$5:$C$2004,C260))</f>
        <v/>
      </c>
      <c r="AZ260" s="60">
        <f>IF(C260="","",IFERROR(INDEX('Paramètres'!$W$6:$W$20,MATCH(S260,'Paramètres'!$V$6:$V$20,0))&amp;"",""))</f>
        <v/>
      </c>
      <c r="BA260" s="60">
        <f>IF(C260="","",MAX(1,_xlfn.MAXIFS('Saisie'!$AT$5:$AT$2004,'Saisie'!$C$5:$C$2004,C260)))</f>
        <v/>
      </c>
      <c r="BB260" s="60">
        <f>IF(C260="","",IFERROR(INDEX('Saisie'!$X$5:$X$2004,_xlfn.MAXIFS('Saisie'!$AS$5:$AS$2004,'Saisie'!$C$5:$C$2004,C260,'Saisie'!$X$5:$X$2004,"&lt;&gt;")-4),""))</f>
        <v/>
      </c>
      <c r="BC260" s="60">
        <f>IF(C260="","",IFERROR(INDEX('Saisie'!$Y$5:$Y$2004,_xlfn.MAXIFS('Saisie'!$AS$5:$AS$2004,'Saisie'!$C$5:$C$2004,C260,'Saisie'!$Y$5:$Y$2004,"&lt;&gt;")-4),""))</f>
        <v/>
      </c>
      <c r="BD260" s="106">
        <f>IF(C260="","",IFERROR(1/(1/_xlfn.MINIFS('Saisie'!$A$5:$A$2004,'Saisie'!$C$5:$C$2004,C260,'Saisie'!$AT$5:$AT$2004,"&gt;=2")),""))</f>
        <v/>
      </c>
      <c r="BE260" s="106">
        <f>IF(C260="","",IFERROR(1/(1/_xlfn.MINIFS('Saisie'!$A$5:$A$2004,'Saisie'!$C$5:$C$2004,C260,'Saisie'!$AT$5:$AT$2004,"&gt;=3")),""))</f>
        <v/>
      </c>
      <c r="BF260" s="106">
        <f>IF(C260="","",IFERROR(1/(1/_xlfn.MINIFS('Saisie'!$A$5:$A$2004,'Saisie'!$C$5:$C$2004,C260,'Saisie'!$AT$5:$AT$2004,"&gt;=4")),""))</f>
        <v/>
      </c>
      <c r="BG260" s="106">
        <f>IF(C260="","",IFERROR(1/(1/_xlfn.MINIFS('Saisie'!$A$5:$A$2004,'Saisie'!$C$5:$C$2004,C260,'Saisie'!$AT$5:$AT$2004,"&gt;=5")),""))</f>
        <v/>
      </c>
      <c r="BH260" s="106">
        <f>IF(C260="","",IFERROR(1/(1/_xlfn.MINIFS('Saisie'!$A$5:$A$2004,'Saisie'!$C$5:$C$2004,C260,'Saisie'!$AT$5:$AT$2004,"&gt;=6")),""))</f>
        <v/>
      </c>
      <c r="BI260" s="106">
        <f>IF(C260="","",IFERROR(1/(1/_xlfn.MINIFS('Saisie'!$A$5:$A$2004,'Saisie'!$C$5:$C$2004,C260,'Saisie'!$AT$5:$AT$2004,"&gt;=7")),""))</f>
        <v/>
      </c>
      <c r="BJ260" s="60">
        <f>IF(OR(BD260="",B260=""),"",BD260-B260)</f>
        <v/>
      </c>
      <c r="BK260" s="60">
        <f>IF(OR(BE260="",BD260=""),"",BE260-BD260)</f>
        <v/>
      </c>
      <c r="BL260" s="60">
        <f>IF(OR(BF260="",BE260=""),"",BF260-BE260)</f>
        <v/>
      </c>
      <c r="BM260" s="60">
        <f>IF(OR(BG260="",BF260=""),"",BG260-BF260)</f>
        <v/>
      </c>
      <c r="BN260" s="60">
        <f>IF(OR(BH260="",BG260=""),"",BH260-BG260)</f>
        <v/>
      </c>
      <c r="BO260" s="60">
        <f>IF(OR(BI260="",BH260=""),"",BI260-BH260)</f>
        <v/>
      </c>
      <c r="BP260" s="60">
        <f>IF(C260="","",_xlfn.MAXIFS('Saisie'!$AS$5:$AS$2004,'Saisie'!$C$5:$C$2004,C260,'Saisie'!$J$5:$J$2004,"&lt;&gt;"))</f>
        <v/>
      </c>
      <c r="BQ260" s="60">
        <f>IF(C260="","",_xlfn.MAXIFS('Saisie'!$AS$5:$AS$2004,'Saisie'!$C$5:$C$2004,C260))</f>
        <v/>
      </c>
      <c r="BR260" s="60">
        <f>IF(C260="","",_xlfn.MAXIFS('Saisie'!$AS$5:$AS$2004,'Saisie'!$C$5:$C$2004,C260,'Saisie'!$E$5:$E$2004,"Perdu"))</f>
        <v/>
      </c>
      <c r="BS260" s="60">
        <f>IF(C260="","",_xlfn.MAXIFS('Saisie'!$AS$5:$AS$2004,'Saisie'!$C$5:$C$2004,C260,'Saisie'!$AT$5:$AT$2004,"&gt;0"))</f>
        <v/>
      </c>
      <c r="BT260" s="109">
        <f>IF(AND(C260&lt;&gt;"",OR(D260="Nouveau",D260="Contacté",D260="Qualifié"),OR(G260="",N(G260)&lt;=TODAY()),NOT(AND(O260&gt;='Paramètres'!$B$21,P260=0))),E260+256/10000,"")</f>
        <v/>
      </c>
      <c r="BU260" s="60">
        <f>IF(AND(G260&lt;&gt;"",N(G260)&lt;=TODAY()),MAX($BU$4:BU259)+1,"")</f>
        <v/>
      </c>
      <c r="BV260" s="60">
        <f>IF(AND(F260&lt;&gt;"",F260&lt;&gt;"Relance en retard"),MAX($BV$4:BV259)+1,"")</f>
        <v/>
      </c>
      <c r="BW260" s="60">
        <f>IF(C260="","",IF(AND(B260&gt;='Tableau de bord'!$R$4,B260&lt;='Tableau de bord'!$S$4,OR('Tableau de bord'!$G$4="Tous",N260='Tableau de bord'!$G$4)),1,0))</f>
        <v/>
      </c>
      <c r="BX260" s="60">
        <f>IF(AND(C260&lt;&gt;"",N(BA260)=7),MAX($BX$4:BX259)+1,"")</f>
        <v/>
      </c>
    </row>
    <row r="261">
      <c r="A261" s="60">
        <f>IF(C261="","","P-"&amp;TEXT(257,"000"))</f>
        <v/>
      </c>
      <c r="B261" s="106">
        <f>IF(C261="","",IFERROR(1/(1/_xlfn.MINIFS('Saisie'!$A$5:$A$2004,'Saisie'!$C$5:$C$2004,C261)),""))</f>
        <v/>
      </c>
      <c r="C261" s="60">
        <f>IFERROR(INDEX('Saisie'!$C$5:$C$2004,MATCH(257,'Saisie'!$AX$5:$AX$2004,0)),"")</f>
        <v/>
      </c>
      <c r="D261" s="60">
        <f>IF(C261="","",IF(AND(BR261&gt;0,BR261&gt;BS261,BA261&lt;7),"Perdu",INDEX('Paramètres'!$F$6:$F$13,BA261)))</f>
        <v/>
      </c>
      <c r="E261" s="61">
        <f>IF(C261="","",MIN(100,(Z261="Oui")*'Paramètres'!$B$38+(AB261="Régulière")*'Paramètres'!$B$39+IF(AND(N(AA261)&gt;0,TODAY()-N(AA261)&lt;=30),'Paramètres'!$B$40,0)+(W261="")*'Paramètres'!$B$41+(AC261="Absente")*'Paramètres'!$B$42+(AC261="Faible")*'Paramètres'!$B$43+IF(AND(N(AD261)&gt;0,N(AD261)&lt;4),'Paramètres'!$B$44,0)+(AF261="Moyenne")*'Paramètres'!$B$45+(AF261="Grande")*'Paramètres'!$B$46+(Y261&lt;&gt;"")*'Paramètres'!$B$47))</f>
        <v/>
      </c>
      <c r="F261" s="60">
        <f>IF(C261="","",IF(D261="Gagné","",IF(D261="Perdu",IF(AND(AX261&lt;&gt;"",AX261&lt;=TODAY()),"À recontacter (perdu)",""),IF(AND(O261&gt;='Paramètres'!$B$21,P261=0),"Stop : "&amp;'Paramètres'!$B$21&amp;" tentatives sans réponse",IF(AND(D261="Proposition",AR261&lt;&gt;"",TODAY()&gt;N(AR261)),"Proposition expirée",IF(AND(D261="Proposition",N(R261)&gt;='Paramètres'!$B$25),"Proposition sans réponse",IF(AND(G261&lt;&gt;"",N(G261)&lt;TODAY()),"Relance en retard",IF(N(R261)&gt;='Paramètres'!$B$24,"Sans action depuis "&amp;R261&amp;" j",""))))))))</f>
        <v/>
      </c>
      <c r="G261" s="106">
        <f>IF(OR(C261="",D261="Gagné",D261="Perdu"),"",IF(AND(BP261&gt;0,BP261=BQ261),INDEX('Saisie'!$J$5:$J$2004,BP261-4),IF(OR(O261=0,AND(O261&gt;='Paramètres'!$B$21,P261=0)),"",Q261+IF(O261&lt;=1,'Paramètres'!$B$18,IF(O261=2,'Paramètres'!$B$19,'Paramètres'!$B$20)))))</f>
        <v/>
      </c>
      <c r="H261" s="107">
        <f>IF(OR(G261="",BP261&lt;&gt;BQ261),"",IF(INDEX('Saisie'!$K$5:$K$2004,BP261-4)="","",INDEX('Saisie'!$K$5:$K$2004,BP261-4)))</f>
        <v/>
      </c>
      <c r="I261" s="60">
        <f>IF(C261="","",IF(OR(D261="Gagné",D261="Perdu"),"",IFERROR(INDEX('Saisie'!$I$5:$I$2004,_xlfn.MAXIFS('Saisie'!$AS$5:$AS$2004,'Saisie'!$C$5:$C$2004,C261,'Saisie'!$I$5:$I$2004,"&lt;&gt;")-4),"")))</f>
        <v/>
      </c>
      <c r="J261" s="60">
        <f>IF(C261="","",IFERROR(INDEX('Saisie'!$U$5:$U$2004,_xlfn.MAXIFS('Saisie'!$AS$5:$AS$2004,'Saisie'!$C$5:$C$2004,C261,'Saisie'!$U$5:$U$2004,"&lt;&gt;")-4),""))</f>
        <v/>
      </c>
      <c r="K261" s="60">
        <f>IF(C261="","",IFERROR(INDEX('Saisie'!$W$5:$W$2004,_xlfn.MAXIFS('Saisie'!$AS$5:$AS$2004,'Saisie'!$C$5:$C$2004,C261,'Saisie'!$W$5:$W$2004,"&lt;&gt;")-4),""))</f>
        <v/>
      </c>
      <c r="L261" s="60">
        <f>IF(IF(BB261&lt;&gt;"",BB261,K261)="","",HYPERLINK("https://wa.me/"&amp;IF(LEFT(SUBSTITUTE(SUBSTITUTE(SUBSTITUTE(IF(BB261&lt;&gt;"",BB261,K261)," ",""),".",""),"+",""),1)="0",'Paramètres'!$B$35&amp;MID(SUBSTITUTE(SUBSTITUTE(SUBSTITUTE(IF(BB261&lt;&gt;"",BB261,K261)," ",""),".",""),"+",""),2,20),SUBSTITUTE(SUBSTITUTE(SUBSTITUTE(IF(BB261&lt;&gt;"",BB261,K261)," ",""),".",""),"+","")),"WhatsApp"))</f>
        <v/>
      </c>
      <c r="M261" s="60">
        <f>IF(BC261="","",HYPERLINK(IF(LEFT(BC261,4)="http",BC261,"https://www.instagram.com/"&amp;SUBSTITUTE(SUBSTITUTE(BC261,"@","")," ","")),BC261))</f>
        <v/>
      </c>
      <c r="N261" s="60">
        <f>IF(C261="","",IFERROR(INDEX('Saisie'!$D$5:$D$2004,_xlfn.MINIFS('Saisie'!$AS$5:$AS$2004,'Saisie'!$C$5:$C$2004,C261,'Saisie'!$AU$5:$AU$2004,1)-4),IFERROR(INDEX('Saisie'!$D$5:$D$2004,_xlfn.MINIFS('Saisie'!$AS$5:$AS$2004,'Saisie'!$C$5:$C$2004,C261,'Saisie'!$D$5:$D$2004,"&lt;&gt;")-4),"")))</f>
        <v/>
      </c>
      <c r="O261" s="60">
        <f>IF(C261="","",COUNTIFS('Saisie'!$C$5:$C$2004,C261,'Saisie'!$AU$5:$AU$2004,1))</f>
        <v/>
      </c>
      <c r="P261" s="60">
        <f>IF(C261="","",COUNTIFS('Saisie'!$C$5:$C$2004,C261,'Saisie'!$AV$5:$AV$2004,1))</f>
        <v/>
      </c>
      <c r="Q261" s="106">
        <f>IF(C261="","",IFERROR(1/(1/_xlfn.MAXIFS('Saisie'!$A$5:$A$2004,'Saisie'!$C$5:$C$2004,C261)),""))</f>
        <v/>
      </c>
      <c r="R261" s="61">
        <f>IF(C261="","",IF(Q261="","",TODAY()-Q261))</f>
        <v/>
      </c>
      <c r="S261" s="60">
        <f>IF(C261="","",IFERROR(INDEX('Saisie'!$R$5:$R$2004,_xlfn.MAXIFS('Saisie'!$AS$5:$AS$2004,'Saisie'!$C$5:$C$2004,C261,'Saisie'!$R$5:$R$2004,"&lt;&gt;")-4),""))</f>
        <v/>
      </c>
      <c r="T261" s="60">
        <f>IF(C261="","",IFERROR(INDEX('Saisie'!$S$5:$S$2004,_xlfn.MAXIFS('Saisie'!$AS$5:$AS$2004,'Saisie'!$C$5:$C$2004,C261,'Saisie'!$S$5:$S$2004,"&lt;&gt;")-4),""))</f>
        <v/>
      </c>
      <c r="U261" s="60">
        <f>IF(C261="","",IFERROR(INDEX('Saisie'!$T$5:$T$2004,_xlfn.MAXIFS('Saisie'!$AS$5:$AS$2004,'Saisie'!$C$5:$C$2004,C261,'Saisie'!$T$5:$T$2004,"&lt;&gt;")-4),""))</f>
        <v/>
      </c>
      <c r="V261" s="60">
        <f>IF(C261="","",IFERROR(INDEX('Saisie'!$V$5:$V$2004,_xlfn.MAXIFS('Saisie'!$AS$5:$AS$2004,'Saisie'!$C$5:$C$2004,C261,'Saisie'!$V$5:$V$2004,"&lt;&gt;")-4),""))</f>
        <v/>
      </c>
      <c r="W261" s="60">
        <f>IF(C261="","",IFERROR(INDEX('Saisie'!$Z$5:$Z$2004,_xlfn.MAXIFS('Saisie'!$AS$5:$AS$2004,'Saisie'!$C$5:$C$2004,C261,'Saisie'!$Z$5:$Z$2004,"&lt;&gt;")-4),""))</f>
        <v/>
      </c>
      <c r="X261" s="60">
        <f>IF(C261="","",IFERROR(INDEX('Saisie'!$AA$5:$AA$2004,_xlfn.MAXIFS('Saisie'!$AS$5:$AS$2004,'Saisie'!$C$5:$C$2004,C261,'Saisie'!$AA$5:$AA$2004,"&lt;&gt;")-4),""))</f>
        <v/>
      </c>
      <c r="Y261" s="60">
        <f>IF(C261="","",IFERROR(INDEX('Saisie'!$AB$5:$AB$2004,_xlfn.MAXIFS('Saisie'!$AS$5:$AS$2004,'Saisie'!$C$5:$C$2004,C261,'Saisie'!$AB$5:$AB$2004,"&lt;&gt;")-4),""))</f>
        <v/>
      </c>
      <c r="Z261" s="60">
        <f>IF(C261="","",IFERROR(INDEX('Saisie'!$AC$5:$AC$2004,_xlfn.MAXIFS('Saisie'!$AS$5:$AS$2004,'Saisie'!$C$5:$C$2004,C261,'Saisie'!$AC$5:$AC$2004,"&lt;&gt;")-4),""))</f>
        <v/>
      </c>
      <c r="AA261" s="106">
        <f>IF(C261="","",IFERROR(INDEX('Saisie'!$AD$5:$AD$2004,_xlfn.MAXIFS('Saisie'!$AS$5:$AS$2004,'Saisie'!$C$5:$C$2004,C261,'Saisie'!$AD$5:$AD$2004,"&lt;&gt;")-4),""))</f>
        <v/>
      </c>
      <c r="AB261" s="60">
        <f>IF(C261="","",IFERROR(INDEX('Saisie'!$AE$5:$AE$2004,_xlfn.MAXIFS('Saisie'!$AS$5:$AS$2004,'Saisie'!$C$5:$C$2004,C261,'Saisie'!$AE$5:$AE$2004,"&lt;&gt;")-4),""))</f>
        <v/>
      </c>
      <c r="AC261" s="60">
        <f>IF(C261="","",IFERROR(INDEX('Saisie'!$AF$5:$AF$2004,_xlfn.MAXIFS('Saisie'!$AS$5:$AS$2004,'Saisie'!$C$5:$C$2004,C261,'Saisie'!$AF$5:$AF$2004,"&lt;&gt;")-4),""))</f>
        <v/>
      </c>
      <c r="AD261" s="108">
        <f>IF(C261="","",IFERROR(INDEX('Saisie'!$AG$5:$AG$2004,_xlfn.MAXIFS('Saisie'!$AS$5:$AS$2004,'Saisie'!$C$5:$C$2004,C261,'Saisie'!$AG$5:$AG$2004,"&lt;&gt;")-4),""))</f>
        <v/>
      </c>
      <c r="AE261" s="60">
        <f>IF(C261="","",IFERROR(INDEX('Saisie'!$AH$5:$AH$2004,_xlfn.MAXIFS('Saisie'!$AS$5:$AS$2004,'Saisie'!$C$5:$C$2004,C261,'Saisie'!$AH$5:$AH$2004,"&lt;&gt;")-4),""))</f>
        <v/>
      </c>
      <c r="AF261" s="60">
        <f>IF(C261="","",IFERROR(INDEX('Saisie'!$AI$5:$AI$2004,_xlfn.MAXIFS('Saisie'!$AS$5:$AS$2004,'Saisie'!$C$5:$C$2004,C261,'Saisie'!$AI$5:$AI$2004,"&lt;&gt;")-4),""))</f>
        <v/>
      </c>
      <c r="AG261" s="60">
        <f>IF(C261="","",IFERROR(INDEX('Saisie'!$AJ$5:$AJ$2004,_xlfn.MAXIFS('Saisie'!$AS$5:$AS$2004,'Saisie'!$C$5:$C$2004,C261,'Saisie'!$AJ$5:$AJ$2004,"&lt;&gt;")-4),""))</f>
        <v/>
      </c>
      <c r="AH261" s="60">
        <f>IF(C261="","",IFERROR(INDEX('Saisie'!$AK$5:$AK$2004,_xlfn.MAXIFS('Saisie'!$AS$5:$AS$2004,'Saisie'!$C$5:$C$2004,C261,'Saisie'!$AK$5:$AK$2004,"&lt;&gt;")-4),""))</f>
        <v/>
      </c>
      <c r="AI261" s="60">
        <f>IF(C261="","",IFERROR(INDEX('Saisie'!$AN$5:$AN$2004,_xlfn.MAXIFS('Saisie'!$AS$5:$AS$2004,'Saisie'!$C$5:$C$2004,C261,'Saisie'!$AN$5:$AN$2004,"&lt;&gt;")-4),""))</f>
        <v/>
      </c>
      <c r="AJ261" s="60">
        <f>IF(C261="","",IFERROR(INDEX('Saisie'!$AO$5:$AO$2004,_xlfn.MAXIFS('Saisie'!$AS$5:$AS$2004,'Saisie'!$C$5:$C$2004,C261,'Saisie'!$AO$5:$AO$2004,"&lt;&gt;")-4),""))</f>
        <v/>
      </c>
      <c r="AK261" s="60">
        <f>IF(C261="","",IFERROR(INDEX('Saisie'!$AP$5:$AP$2004,_xlfn.MAXIFS('Saisie'!$AS$5:$AS$2004,'Saisie'!$C$5:$C$2004,C261,'Saisie'!$AP$5:$AP$2004,"&lt;&gt;")-4),""))</f>
        <v/>
      </c>
      <c r="AL261" s="60">
        <f>IF(C261="","",IFERROR(INDEX('Saisie'!$AQ$5:$AQ$2004,_xlfn.MAXIFS('Saisie'!$AS$5:$AS$2004,'Saisie'!$C$5:$C$2004,C261,'Saisie'!$AQ$5:$AQ$2004,"&lt;&gt;")-4),""))</f>
        <v/>
      </c>
      <c r="AM261" s="60">
        <f>IF(C261="","",((AI261="Oui")+(AJ261="Oui")+(AK261="Oui")+OR(AL261="Immédiat",AL261="&lt; 1 mois"))&amp;"/4")</f>
        <v/>
      </c>
      <c r="AN261" s="60">
        <f>IF(C261="","",IFERROR(INDEX('Saisie'!$AL$5:$AL$2004,_xlfn.MAXIFS('Saisie'!$AS$5:$AS$2004,'Saisie'!$C$5:$C$2004,C261,'Saisie'!$AL$5:$AL$2004,"&lt;&gt;")-4),""))</f>
        <v/>
      </c>
      <c r="AO261" s="62">
        <f>IF(C261="","",IF(IFERROR(INDEX('Saisie'!$AM$5:$AM$2004,_xlfn.MAXIFS('Saisie'!$AS$5:$AS$2004,'Saisie'!$C$5:$C$2004,C261,'Saisie'!$AM$5:$AM$2004,"&lt;&gt;")-4),"")&lt;&gt;"",IFERROR(INDEX('Saisie'!$AM$5:$AM$2004,_xlfn.MAXIFS('Saisie'!$AS$5:$AS$2004,'Saisie'!$C$5:$C$2004,C261,'Saisie'!$AM$5:$AM$2004,"&lt;&gt;")-4),""),IFERROR(INDEX('Paramètres'!$S$6:$S$15,MATCH(AN261,'Paramètres'!$Q$6:$Q$15,0)),"")))</f>
        <v/>
      </c>
      <c r="AP261" s="62">
        <f>IF(C261="","",IFERROR(INDEX('Saisie'!$AW$5:$AW$2004,_xlfn.MAXIFS('Saisie'!$AS$5:$AS$2004,'Saisie'!$C$5:$C$2004,C261,'Saisie'!$E$5:$E$2004,"Proposition envoyée")-4),""))</f>
        <v/>
      </c>
      <c r="AQ261" s="106">
        <f>IF(C261="","",IFERROR(1/(1/_xlfn.MAXIFS('Saisie'!$A$5:$A$2004,'Saisie'!$C$5:$C$2004,C261,'Saisie'!$E$5:$E$2004,"Proposition envoyée")),""))</f>
        <v/>
      </c>
      <c r="AR261" s="106">
        <f>IF(C261="","",IF(AQ261="","",AQ261+'Paramètres'!$B$26))</f>
        <v/>
      </c>
      <c r="AS261" s="62">
        <f>IF(OR(C261="",D261="Gagné",D261="Perdu"),0,N(AP261)*IFERROR(INDEX('Paramètres'!$G$6:$G$13,MATCH(D261,'Paramètres'!$F$6:$F$13,0)),0))</f>
        <v/>
      </c>
      <c r="AT261" s="106">
        <f>IF(C261="","",IFERROR(1/(1/_xlfn.MINIFS('Saisie'!$A$5:$A$2004,'Saisie'!$C$5:$C$2004,C261,'Saisie'!$E$5:$E$2004,"Signature")),""))</f>
        <v/>
      </c>
      <c r="AU261" s="60">
        <f>IF(C261="","",IF(OR(AT261="",B261=""),"",AT261-B261))</f>
        <v/>
      </c>
      <c r="AV261" s="60">
        <f>IF(C261="","",IFERROR(INDEX('Saisie'!$L$5:$L$2004,_xlfn.MAXIFS('Saisie'!$AS$5:$AS$2004,'Saisie'!$C$5:$C$2004,C261,'Saisie'!$L$5:$L$2004,"&lt;&gt;")-4),""))</f>
        <v/>
      </c>
      <c r="AW261" s="106">
        <f>IF(C261="","",IF(D261&lt;&gt;"Perdu","",IFERROR(1/(1/_xlfn.MAXIFS('Saisie'!$A$5:$A$2004,'Saisie'!$C$5:$C$2004,C261,'Saisie'!$E$5:$E$2004,"Perdu")),"")))</f>
        <v/>
      </c>
      <c r="AX261" s="106">
        <f>IF(C261="","",IF(AW261="","",AW261+'Paramètres'!$B$28))</f>
        <v/>
      </c>
      <c r="AY261" s="60">
        <f>IF(C261="","",SUMIFS('Saisie'!$H$5:$H$2004,'Saisie'!$C$5:$C$2004,C261))</f>
        <v/>
      </c>
      <c r="AZ261" s="60">
        <f>IF(C261="","",IFERROR(INDEX('Paramètres'!$W$6:$W$20,MATCH(S261,'Paramètres'!$V$6:$V$20,0))&amp;"",""))</f>
        <v/>
      </c>
      <c r="BA261" s="60">
        <f>IF(C261="","",MAX(1,_xlfn.MAXIFS('Saisie'!$AT$5:$AT$2004,'Saisie'!$C$5:$C$2004,C261)))</f>
        <v/>
      </c>
      <c r="BB261" s="60">
        <f>IF(C261="","",IFERROR(INDEX('Saisie'!$X$5:$X$2004,_xlfn.MAXIFS('Saisie'!$AS$5:$AS$2004,'Saisie'!$C$5:$C$2004,C261,'Saisie'!$X$5:$X$2004,"&lt;&gt;")-4),""))</f>
        <v/>
      </c>
      <c r="BC261" s="60">
        <f>IF(C261="","",IFERROR(INDEX('Saisie'!$Y$5:$Y$2004,_xlfn.MAXIFS('Saisie'!$AS$5:$AS$2004,'Saisie'!$C$5:$C$2004,C261,'Saisie'!$Y$5:$Y$2004,"&lt;&gt;")-4),""))</f>
        <v/>
      </c>
      <c r="BD261" s="106">
        <f>IF(C261="","",IFERROR(1/(1/_xlfn.MINIFS('Saisie'!$A$5:$A$2004,'Saisie'!$C$5:$C$2004,C261,'Saisie'!$AT$5:$AT$2004,"&gt;=2")),""))</f>
        <v/>
      </c>
      <c r="BE261" s="106">
        <f>IF(C261="","",IFERROR(1/(1/_xlfn.MINIFS('Saisie'!$A$5:$A$2004,'Saisie'!$C$5:$C$2004,C261,'Saisie'!$AT$5:$AT$2004,"&gt;=3")),""))</f>
        <v/>
      </c>
      <c r="BF261" s="106">
        <f>IF(C261="","",IFERROR(1/(1/_xlfn.MINIFS('Saisie'!$A$5:$A$2004,'Saisie'!$C$5:$C$2004,C261,'Saisie'!$AT$5:$AT$2004,"&gt;=4")),""))</f>
        <v/>
      </c>
      <c r="BG261" s="106">
        <f>IF(C261="","",IFERROR(1/(1/_xlfn.MINIFS('Saisie'!$A$5:$A$2004,'Saisie'!$C$5:$C$2004,C261,'Saisie'!$AT$5:$AT$2004,"&gt;=5")),""))</f>
        <v/>
      </c>
      <c r="BH261" s="106">
        <f>IF(C261="","",IFERROR(1/(1/_xlfn.MINIFS('Saisie'!$A$5:$A$2004,'Saisie'!$C$5:$C$2004,C261,'Saisie'!$AT$5:$AT$2004,"&gt;=6")),""))</f>
        <v/>
      </c>
      <c r="BI261" s="106">
        <f>IF(C261="","",IFERROR(1/(1/_xlfn.MINIFS('Saisie'!$A$5:$A$2004,'Saisie'!$C$5:$C$2004,C261,'Saisie'!$AT$5:$AT$2004,"&gt;=7")),""))</f>
        <v/>
      </c>
      <c r="BJ261" s="60">
        <f>IF(OR(BD261="",B261=""),"",BD261-B261)</f>
        <v/>
      </c>
      <c r="BK261" s="60">
        <f>IF(OR(BE261="",BD261=""),"",BE261-BD261)</f>
        <v/>
      </c>
      <c r="BL261" s="60">
        <f>IF(OR(BF261="",BE261=""),"",BF261-BE261)</f>
        <v/>
      </c>
      <c r="BM261" s="60">
        <f>IF(OR(BG261="",BF261=""),"",BG261-BF261)</f>
        <v/>
      </c>
      <c r="BN261" s="60">
        <f>IF(OR(BH261="",BG261=""),"",BH261-BG261)</f>
        <v/>
      </c>
      <c r="BO261" s="60">
        <f>IF(OR(BI261="",BH261=""),"",BI261-BH261)</f>
        <v/>
      </c>
      <c r="BP261" s="60">
        <f>IF(C261="","",_xlfn.MAXIFS('Saisie'!$AS$5:$AS$2004,'Saisie'!$C$5:$C$2004,C261,'Saisie'!$J$5:$J$2004,"&lt;&gt;"))</f>
        <v/>
      </c>
      <c r="BQ261" s="60">
        <f>IF(C261="","",_xlfn.MAXIFS('Saisie'!$AS$5:$AS$2004,'Saisie'!$C$5:$C$2004,C261))</f>
        <v/>
      </c>
      <c r="BR261" s="60">
        <f>IF(C261="","",_xlfn.MAXIFS('Saisie'!$AS$5:$AS$2004,'Saisie'!$C$5:$C$2004,C261,'Saisie'!$E$5:$E$2004,"Perdu"))</f>
        <v/>
      </c>
      <c r="BS261" s="60">
        <f>IF(C261="","",_xlfn.MAXIFS('Saisie'!$AS$5:$AS$2004,'Saisie'!$C$5:$C$2004,C261,'Saisie'!$AT$5:$AT$2004,"&gt;0"))</f>
        <v/>
      </c>
      <c r="BT261" s="109">
        <f>IF(AND(C261&lt;&gt;"",OR(D261="Nouveau",D261="Contacté",D261="Qualifié"),OR(G261="",N(G261)&lt;=TODAY()),NOT(AND(O261&gt;='Paramètres'!$B$21,P261=0))),E261+257/10000,"")</f>
        <v/>
      </c>
      <c r="BU261" s="60">
        <f>IF(AND(G261&lt;&gt;"",N(G261)&lt;=TODAY()),MAX($BU$4:BU260)+1,"")</f>
        <v/>
      </c>
      <c r="BV261" s="60">
        <f>IF(AND(F261&lt;&gt;"",F261&lt;&gt;"Relance en retard"),MAX($BV$4:BV260)+1,"")</f>
        <v/>
      </c>
      <c r="BW261" s="60">
        <f>IF(C261="","",IF(AND(B261&gt;='Tableau de bord'!$R$4,B261&lt;='Tableau de bord'!$S$4,OR('Tableau de bord'!$G$4="Tous",N261='Tableau de bord'!$G$4)),1,0))</f>
        <v/>
      </c>
      <c r="BX261" s="60">
        <f>IF(AND(C261&lt;&gt;"",N(BA261)=7),MAX($BX$4:BX260)+1,"")</f>
        <v/>
      </c>
    </row>
    <row r="262">
      <c r="A262" s="60">
        <f>IF(C262="","","P-"&amp;TEXT(258,"000"))</f>
        <v/>
      </c>
      <c r="B262" s="106">
        <f>IF(C262="","",IFERROR(1/(1/_xlfn.MINIFS('Saisie'!$A$5:$A$2004,'Saisie'!$C$5:$C$2004,C262)),""))</f>
        <v/>
      </c>
      <c r="C262" s="60">
        <f>IFERROR(INDEX('Saisie'!$C$5:$C$2004,MATCH(258,'Saisie'!$AX$5:$AX$2004,0)),"")</f>
        <v/>
      </c>
      <c r="D262" s="60">
        <f>IF(C262="","",IF(AND(BR262&gt;0,BR262&gt;BS262,BA262&lt;7),"Perdu",INDEX('Paramètres'!$F$6:$F$13,BA262)))</f>
        <v/>
      </c>
      <c r="E262" s="61">
        <f>IF(C262="","",MIN(100,(Z262="Oui")*'Paramètres'!$B$38+(AB262="Régulière")*'Paramètres'!$B$39+IF(AND(N(AA262)&gt;0,TODAY()-N(AA262)&lt;=30),'Paramètres'!$B$40,0)+(W262="")*'Paramètres'!$B$41+(AC262="Absente")*'Paramètres'!$B$42+(AC262="Faible")*'Paramètres'!$B$43+IF(AND(N(AD262)&gt;0,N(AD262)&lt;4),'Paramètres'!$B$44,0)+(AF262="Moyenne")*'Paramètres'!$B$45+(AF262="Grande")*'Paramètres'!$B$46+(Y262&lt;&gt;"")*'Paramètres'!$B$47))</f>
        <v/>
      </c>
      <c r="F262" s="60">
        <f>IF(C262="","",IF(D262="Gagné","",IF(D262="Perdu",IF(AND(AX262&lt;&gt;"",AX262&lt;=TODAY()),"À recontacter (perdu)",""),IF(AND(O262&gt;='Paramètres'!$B$21,P262=0),"Stop : "&amp;'Paramètres'!$B$21&amp;" tentatives sans réponse",IF(AND(D262="Proposition",AR262&lt;&gt;"",TODAY()&gt;N(AR262)),"Proposition expirée",IF(AND(D262="Proposition",N(R262)&gt;='Paramètres'!$B$25),"Proposition sans réponse",IF(AND(G262&lt;&gt;"",N(G262)&lt;TODAY()),"Relance en retard",IF(N(R262)&gt;='Paramètres'!$B$24,"Sans action depuis "&amp;R262&amp;" j",""))))))))</f>
        <v/>
      </c>
      <c r="G262" s="106">
        <f>IF(OR(C262="",D262="Gagné",D262="Perdu"),"",IF(AND(BP262&gt;0,BP262=BQ262),INDEX('Saisie'!$J$5:$J$2004,BP262-4),IF(OR(O262=0,AND(O262&gt;='Paramètres'!$B$21,P262=0)),"",Q262+IF(O262&lt;=1,'Paramètres'!$B$18,IF(O262=2,'Paramètres'!$B$19,'Paramètres'!$B$20)))))</f>
        <v/>
      </c>
      <c r="H262" s="107">
        <f>IF(OR(G262="",BP262&lt;&gt;BQ262),"",IF(INDEX('Saisie'!$K$5:$K$2004,BP262-4)="","",INDEX('Saisie'!$K$5:$K$2004,BP262-4)))</f>
        <v/>
      </c>
      <c r="I262" s="60">
        <f>IF(C262="","",IF(OR(D262="Gagné",D262="Perdu"),"",IFERROR(INDEX('Saisie'!$I$5:$I$2004,_xlfn.MAXIFS('Saisie'!$AS$5:$AS$2004,'Saisie'!$C$5:$C$2004,C262,'Saisie'!$I$5:$I$2004,"&lt;&gt;")-4),"")))</f>
        <v/>
      </c>
      <c r="J262" s="60">
        <f>IF(C262="","",IFERROR(INDEX('Saisie'!$U$5:$U$2004,_xlfn.MAXIFS('Saisie'!$AS$5:$AS$2004,'Saisie'!$C$5:$C$2004,C262,'Saisie'!$U$5:$U$2004,"&lt;&gt;")-4),""))</f>
        <v/>
      </c>
      <c r="K262" s="60">
        <f>IF(C262="","",IFERROR(INDEX('Saisie'!$W$5:$W$2004,_xlfn.MAXIFS('Saisie'!$AS$5:$AS$2004,'Saisie'!$C$5:$C$2004,C262,'Saisie'!$W$5:$W$2004,"&lt;&gt;")-4),""))</f>
        <v/>
      </c>
      <c r="L262" s="60">
        <f>IF(IF(BB262&lt;&gt;"",BB262,K262)="","",HYPERLINK("https://wa.me/"&amp;IF(LEFT(SUBSTITUTE(SUBSTITUTE(SUBSTITUTE(IF(BB262&lt;&gt;"",BB262,K262)," ",""),".",""),"+",""),1)="0",'Paramètres'!$B$35&amp;MID(SUBSTITUTE(SUBSTITUTE(SUBSTITUTE(IF(BB262&lt;&gt;"",BB262,K262)," ",""),".",""),"+",""),2,20),SUBSTITUTE(SUBSTITUTE(SUBSTITUTE(IF(BB262&lt;&gt;"",BB262,K262)," ",""),".",""),"+","")),"WhatsApp"))</f>
        <v/>
      </c>
      <c r="M262" s="60">
        <f>IF(BC262="","",HYPERLINK(IF(LEFT(BC262,4)="http",BC262,"https://www.instagram.com/"&amp;SUBSTITUTE(SUBSTITUTE(BC262,"@","")," ","")),BC262))</f>
        <v/>
      </c>
      <c r="N262" s="60">
        <f>IF(C262="","",IFERROR(INDEX('Saisie'!$D$5:$D$2004,_xlfn.MINIFS('Saisie'!$AS$5:$AS$2004,'Saisie'!$C$5:$C$2004,C262,'Saisie'!$AU$5:$AU$2004,1)-4),IFERROR(INDEX('Saisie'!$D$5:$D$2004,_xlfn.MINIFS('Saisie'!$AS$5:$AS$2004,'Saisie'!$C$5:$C$2004,C262,'Saisie'!$D$5:$D$2004,"&lt;&gt;")-4),"")))</f>
        <v/>
      </c>
      <c r="O262" s="60">
        <f>IF(C262="","",COUNTIFS('Saisie'!$C$5:$C$2004,C262,'Saisie'!$AU$5:$AU$2004,1))</f>
        <v/>
      </c>
      <c r="P262" s="60">
        <f>IF(C262="","",COUNTIFS('Saisie'!$C$5:$C$2004,C262,'Saisie'!$AV$5:$AV$2004,1))</f>
        <v/>
      </c>
      <c r="Q262" s="106">
        <f>IF(C262="","",IFERROR(1/(1/_xlfn.MAXIFS('Saisie'!$A$5:$A$2004,'Saisie'!$C$5:$C$2004,C262)),""))</f>
        <v/>
      </c>
      <c r="R262" s="61">
        <f>IF(C262="","",IF(Q262="","",TODAY()-Q262))</f>
        <v/>
      </c>
      <c r="S262" s="60">
        <f>IF(C262="","",IFERROR(INDEX('Saisie'!$R$5:$R$2004,_xlfn.MAXIFS('Saisie'!$AS$5:$AS$2004,'Saisie'!$C$5:$C$2004,C262,'Saisie'!$R$5:$R$2004,"&lt;&gt;")-4),""))</f>
        <v/>
      </c>
      <c r="T262" s="60">
        <f>IF(C262="","",IFERROR(INDEX('Saisie'!$S$5:$S$2004,_xlfn.MAXIFS('Saisie'!$AS$5:$AS$2004,'Saisie'!$C$5:$C$2004,C262,'Saisie'!$S$5:$S$2004,"&lt;&gt;")-4),""))</f>
        <v/>
      </c>
      <c r="U262" s="60">
        <f>IF(C262="","",IFERROR(INDEX('Saisie'!$T$5:$T$2004,_xlfn.MAXIFS('Saisie'!$AS$5:$AS$2004,'Saisie'!$C$5:$C$2004,C262,'Saisie'!$T$5:$T$2004,"&lt;&gt;")-4),""))</f>
        <v/>
      </c>
      <c r="V262" s="60">
        <f>IF(C262="","",IFERROR(INDEX('Saisie'!$V$5:$V$2004,_xlfn.MAXIFS('Saisie'!$AS$5:$AS$2004,'Saisie'!$C$5:$C$2004,C262,'Saisie'!$V$5:$V$2004,"&lt;&gt;")-4),""))</f>
        <v/>
      </c>
      <c r="W262" s="60">
        <f>IF(C262="","",IFERROR(INDEX('Saisie'!$Z$5:$Z$2004,_xlfn.MAXIFS('Saisie'!$AS$5:$AS$2004,'Saisie'!$C$5:$C$2004,C262,'Saisie'!$Z$5:$Z$2004,"&lt;&gt;")-4),""))</f>
        <v/>
      </c>
      <c r="X262" s="60">
        <f>IF(C262="","",IFERROR(INDEX('Saisie'!$AA$5:$AA$2004,_xlfn.MAXIFS('Saisie'!$AS$5:$AS$2004,'Saisie'!$C$5:$C$2004,C262,'Saisie'!$AA$5:$AA$2004,"&lt;&gt;")-4),""))</f>
        <v/>
      </c>
      <c r="Y262" s="60">
        <f>IF(C262="","",IFERROR(INDEX('Saisie'!$AB$5:$AB$2004,_xlfn.MAXIFS('Saisie'!$AS$5:$AS$2004,'Saisie'!$C$5:$C$2004,C262,'Saisie'!$AB$5:$AB$2004,"&lt;&gt;")-4),""))</f>
        <v/>
      </c>
      <c r="Z262" s="60">
        <f>IF(C262="","",IFERROR(INDEX('Saisie'!$AC$5:$AC$2004,_xlfn.MAXIFS('Saisie'!$AS$5:$AS$2004,'Saisie'!$C$5:$C$2004,C262,'Saisie'!$AC$5:$AC$2004,"&lt;&gt;")-4),""))</f>
        <v/>
      </c>
      <c r="AA262" s="106">
        <f>IF(C262="","",IFERROR(INDEX('Saisie'!$AD$5:$AD$2004,_xlfn.MAXIFS('Saisie'!$AS$5:$AS$2004,'Saisie'!$C$5:$C$2004,C262,'Saisie'!$AD$5:$AD$2004,"&lt;&gt;")-4),""))</f>
        <v/>
      </c>
      <c r="AB262" s="60">
        <f>IF(C262="","",IFERROR(INDEX('Saisie'!$AE$5:$AE$2004,_xlfn.MAXIFS('Saisie'!$AS$5:$AS$2004,'Saisie'!$C$5:$C$2004,C262,'Saisie'!$AE$5:$AE$2004,"&lt;&gt;")-4),""))</f>
        <v/>
      </c>
      <c r="AC262" s="60">
        <f>IF(C262="","",IFERROR(INDEX('Saisie'!$AF$5:$AF$2004,_xlfn.MAXIFS('Saisie'!$AS$5:$AS$2004,'Saisie'!$C$5:$C$2004,C262,'Saisie'!$AF$5:$AF$2004,"&lt;&gt;")-4),""))</f>
        <v/>
      </c>
      <c r="AD262" s="108">
        <f>IF(C262="","",IFERROR(INDEX('Saisie'!$AG$5:$AG$2004,_xlfn.MAXIFS('Saisie'!$AS$5:$AS$2004,'Saisie'!$C$5:$C$2004,C262,'Saisie'!$AG$5:$AG$2004,"&lt;&gt;")-4),""))</f>
        <v/>
      </c>
      <c r="AE262" s="60">
        <f>IF(C262="","",IFERROR(INDEX('Saisie'!$AH$5:$AH$2004,_xlfn.MAXIFS('Saisie'!$AS$5:$AS$2004,'Saisie'!$C$5:$C$2004,C262,'Saisie'!$AH$5:$AH$2004,"&lt;&gt;")-4),""))</f>
        <v/>
      </c>
      <c r="AF262" s="60">
        <f>IF(C262="","",IFERROR(INDEX('Saisie'!$AI$5:$AI$2004,_xlfn.MAXIFS('Saisie'!$AS$5:$AS$2004,'Saisie'!$C$5:$C$2004,C262,'Saisie'!$AI$5:$AI$2004,"&lt;&gt;")-4),""))</f>
        <v/>
      </c>
      <c r="AG262" s="60">
        <f>IF(C262="","",IFERROR(INDEX('Saisie'!$AJ$5:$AJ$2004,_xlfn.MAXIFS('Saisie'!$AS$5:$AS$2004,'Saisie'!$C$5:$C$2004,C262,'Saisie'!$AJ$5:$AJ$2004,"&lt;&gt;")-4),""))</f>
        <v/>
      </c>
      <c r="AH262" s="60">
        <f>IF(C262="","",IFERROR(INDEX('Saisie'!$AK$5:$AK$2004,_xlfn.MAXIFS('Saisie'!$AS$5:$AS$2004,'Saisie'!$C$5:$C$2004,C262,'Saisie'!$AK$5:$AK$2004,"&lt;&gt;")-4),""))</f>
        <v/>
      </c>
      <c r="AI262" s="60">
        <f>IF(C262="","",IFERROR(INDEX('Saisie'!$AN$5:$AN$2004,_xlfn.MAXIFS('Saisie'!$AS$5:$AS$2004,'Saisie'!$C$5:$C$2004,C262,'Saisie'!$AN$5:$AN$2004,"&lt;&gt;")-4),""))</f>
        <v/>
      </c>
      <c r="AJ262" s="60">
        <f>IF(C262="","",IFERROR(INDEX('Saisie'!$AO$5:$AO$2004,_xlfn.MAXIFS('Saisie'!$AS$5:$AS$2004,'Saisie'!$C$5:$C$2004,C262,'Saisie'!$AO$5:$AO$2004,"&lt;&gt;")-4),""))</f>
        <v/>
      </c>
      <c r="AK262" s="60">
        <f>IF(C262="","",IFERROR(INDEX('Saisie'!$AP$5:$AP$2004,_xlfn.MAXIFS('Saisie'!$AS$5:$AS$2004,'Saisie'!$C$5:$C$2004,C262,'Saisie'!$AP$5:$AP$2004,"&lt;&gt;")-4),""))</f>
        <v/>
      </c>
      <c r="AL262" s="60">
        <f>IF(C262="","",IFERROR(INDEX('Saisie'!$AQ$5:$AQ$2004,_xlfn.MAXIFS('Saisie'!$AS$5:$AS$2004,'Saisie'!$C$5:$C$2004,C262,'Saisie'!$AQ$5:$AQ$2004,"&lt;&gt;")-4),""))</f>
        <v/>
      </c>
      <c r="AM262" s="60">
        <f>IF(C262="","",((AI262="Oui")+(AJ262="Oui")+(AK262="Oui")+OR(AL262="Immédiat",AL262="&lt; 1 mois"))&amp;"/4")</f>
        <v/>
      </c>
      <c r="AN262" s="60">
        <f>IF(C262="","",IFERROR(INDEX('Saisie'!$AL$5:$AL$2004,_xlfn.MAXIFS('Saisie'!$AS$5:$AS$2004,'Saisie'!$C$5:$C$2004,C262,'Saisie'!$AL$5:$AL$2004,"&lt;&gt;")-4),""))</f>
        <v/>
      </c>
      <c r="AO262" s="62">
        <f>IF(C262="","",IF(IFERROR(INDEX('Saisie'!$AM$5:$AM$2004,_xlfn.MAXIFS('Saisie'!$AS$5:$AS$2004,'Saisie'!$C$5:$C$2004,C262,'Saisie'!$AM$5:$AM$2004,"&lt;&gt;")-4),"")&lt;&gt;"",IFERROR(INDEX('Saisie'!$AM$5:$AM$2004,_xlfn.MAXIFS('Saisie'!$AS$5:$AS$2004,'Saisie'!$C$5:$C$2004,C262,'Saisie'!$AM$5:$AM$2004,"&lt;&gt;")-4),""),IFERROR(INDEX('Paramètres'!$S$6:$S$15,MATCH(AN262,'Paramètres'!$Q$6:$Q$15,0)),"")))</f>
        <v/>
      </c>
      <c r="AP262" s="62">
        <f>IF(C262="","",IFERROR(INDEX('Saisie'!$AW$5:$AW$2004,_xlfn.MAXIFS('Saisie'!$AS$5:$AS$2004,'Saisie'!$C$5:$C$2004,C262,'Saisie'!$E$5:$E$2004,"Proposition envoyée")-4),""))</f>
        <v/>
      </c>
      <c r="AQ262" s="106">
        <f>IF(C262="","",IFERROR(1/(1/_xlfn.MAXIFS('Saisie'!$A$5:$A$2004,'Saisie'!$C$5:$C$2004,C262,'Saisie'!$E$5:$E$2004,"Proposition envoyée")),""))</f>
        <v/>
      </c>
      <c r="AR262" s="106">
        <f>IF(C262="","",IF(AQ262="","",AQ262+'Paramètres'!$B$26))</f>
        <v/>
      </c>
      <c r="AS262" s="62">
        <f>IF(OR(C262="",D262="Gagné",D262="Perdu"),0,N(AP262)*IFERROR(INDEX('Paramètres'!$G$6:$G$13,MATCH(D262,'Paramètres'!$F$6:$F$13,0)),0))</f>
        <v/>
      </c>
      <c r="AT262" s="106">
        <f>IF(C262="","",IFERROR(1/(1/_xlfn.MINIFS('Saisie'!$A$5:$A$2004,'Saisie'!$C$5:$C$2004,C262,'Saisie'!$E$5:$E$2004,"Signature")),""))</f>
        <v/>
      </c>
      <c r="AU262" s="60">
        <f>IF(C262="","",IF(OR(AT262="",B262=""),"",AT262-B262))</f>
        <v/>
      </c>
      <c r="AV262" s="60">
        <f>IF(C262="","",IFERROR(INDEX('Saisie'!$L$5:$L$2004,_xlfn.MAXIFS('Saisie'!$AS$5:$AS$2004,'Saisie'!$C$5:$C$2004,C262,'Saisie'!$L$5:$L$2004,"&lt;&gt;")-4),""))</f>
        <v/>
      </c>
      <c r="AW262" s="106">
        <f>IF(C262="","",IF(D262&lt;&gt;"Perdu","",IFERROR(1/(1/_xlfn.MAXIFS('Saisie'!$A$5:$A$2004,'Saisie'!$C$5:$C$2004,C262,'Saisie'!$E$5:$E$2004,"Perdu")),"")))</f>
        <v/>
      </c>
      <c r="AX262" s="106">
        <f>IF(C262="","",IF(AW262="","",AW262+'Paramètres'!$B$28))</f>
        <v/>
      </c>
      <c r="AY262" s="60">
        <f>IF(C262="","",SUMIFS('Saisie'!$H$5:$H$2004,'Saisie'!$C$5:$C$2004,C262))</f>
        <v/>
      </c>
      <c r="AZ262" s="60">
        <f>IF(C262="","",IFERROR(INDEX('Paramètres'!$W$6:$W$20,MATCH(S262,'Paramètres'!$V$6:$V$20,0))&amp;"",""))</f>
        <v/>
      </c>
      <c r="BA262" s="60">
        <f>IF(C262="","",MAX(1,_xlfn.MAXIFS('Saisie'!$AT$5:$AT$2004,'Saisie'!$C$5:$C$2004,C262)))</f>
        <v/>
      </c>
      <c r="BB262" s="60">
        <f>IF(C262="","",IFERROR(INDEX('Saisie'!$X$5:$X$2004,_xlfn.MAXIFS('Saisie'!$AS$5:$AS$2004,'Saisie'!$C$5:$C$2004,C262,'Saisie'!$X$5:$X$2004,"&lt;&gt;")-4),""))</f>
        <v/>
      </c>
      <c r="BC262" s="60">
        <f>IF(C262="","",IFERROR(INDEX('Saisie'!$Y$5:$Y$2004,_xlfn.MAXIFS('Saisie'!$AS$5:$AS$2004,'Saisie'!$C$5:$C$2004,C262,'Saisie'!$Y$5:$Y$2004,"&lt;&gt;")-4),""))</f>
        <v/>
      </c>
      <c r="BD262" s="106">
        <f>IF(C262="","",IFERROR(1/(1/_xlfn.MINIFS('Saisie'!$A$5:$A$2004,'Saisie'!$C$5:$C$2004,C262,'Saisie'!$AT$5:$AT$2004,"&gt;=2")),""))</f>
        <v/>
      </c>
      <c r="BE262" s="106">
        <f>IF(C262="","",IFERROR(1/(1/_xlfn.MINIFS('Saisie'!$A$5:$A$2004,'Saisie'!$C$5:$C$2004,C262,'Saisie'!$AT$5:$AT$2004,"&gt;=3")),""))</f>
        <v/>
      </c>
      <c r="BF262" s="106">
        <f>IF(C262="","",IFERROR(1/(1/_xlfn.MINIFS('Saisie'!$A$5:$A$2004,'Saisie'!$C$5:$C$2004,C262,'Saisie'!$AT$5:$AT$2004,"&gt;=4")),""))</f>
        <v/>
      </c>
      <c r="BG262" s="106">
        <f>IF(C262="","",IFERROR(1/(1/_xlfn.MINIFS('Saisie'!$A$5:$A$2004,'Saisie'!$C$5:$C$2004,C262,'Saisie'!$AT$5:$AT$2004,"&gt;=5")),""))</f>
        <v/>
      </c>
      <c r="BH262" s="106">
        <f>IF(C262="","",IFERROR(1/(1/_xlfn.MINIFS('Saisie'!$A$5:$A$2004,'Saisie'!$C$5:$C$2004,C262,'Saisie'!$AT$5:$AT$2004,"&gt;=6")),""))</f>
        <v/>
      </c>
      <c r="BI262" s="106">
        <f>IF(C262="","",IFERROR(1/(1/_xlfn.MINIFS('Saisie'!$A$5:$A$2004,'Saisie'!$C$5:$C$2004,C262,'Saisie'!$AT$5:$AT$2004,"&gt;=7")),""))</f>
        <v/>
      </c>
      <c r="BJ262" s="60">
        <f>IF(OR(BD262="",B262=""),"",BD262-B262)</f>
        <v/>
      </c>
      <c r="BK262" s="60">
        <f>IF(OR(BE262="",BD262=""),"",BE262-BD262)</f>
        <v/>
      </c>
      <c r="BL262" s="60">
        <f>IF(OR(BF262="",BE262=""),"",BF262-BE262)</f>
        <v/>
      </c>
      <c r="BM262" s="60">
        <f>IF(OR(BG262="",BF262=""),"",BG262-BF262)</f>
        <v/>
      </c>
      <c r="BN262" s="60">
        <f>IF(OR(BH262="",BG262=""),"",BH262-BG262)</f>
        <v/>
      </c>
      <c r="BO262" s="60">
        <f>IF(OR(BI262="",BH262=""),"",BI262-BH262)</f>
        <v/>
      </c>
      <c r="BP262" s="60">
        <f>IF(C262="","",_xlfn.MAXIFS('Saisie'!$AS$5:$AS$2004,'Saisie'!$C$5:$C$2004,C262,'Saisie'!$J$5:$J$2004,"&lt;&gt;"))</f>
        <v/>
      </c>
      <c r="BQ262" s="60">
        <f>IF(C262="","",_xlfn.MAXIFS('Saisie'!$AS$5:$AS$2004,'Saisie'!$C$5:$C$2004,C262))</f>
        <v/>
      </c>
      <c r="BR262" s="60">
        <f>IF(C262="","",_xlfn.MAXIFS('Saisie'!$AS$5:$AS$2004,'Saisie'!$C$5:$C$2004,C262,'Saisie'!$E$5:$E$2004,"Perdu"))</f>
        <v/>
      </c>
      <c r="BS262" s="60">
        <f>IF(C262="","",_xlfn.MAXIFS('Saisie'!$AS$5:$AS$2004,'Saisie'!$C$5:$C$2004,C262,'Saisie'!$AT$5:$AT$2004,"&gt;0"))</f>
        <v/>
      </c>
      <c r="BT262" s="109">
        <f>IF(AND(C262&lt;&gt;"",OR(D262="Nouveau",D262="Contacté",D262="Qualifié"),OR(G262="",N(G262)&lt;=TODAY()),NOT(AND(O262&gt;='Paramètres'!$B$21,P262=0))),E262+258/10000,"")</f>
        <v/>
      </c>
      <c r="BU262" s="60">
        <f>IF(AND(G262&lt;&gt;"",N(G262)&lt;=TODAY()),MAX($BU$4:BU261)+1,"")</f>
        <v/>
      </c>
      <c r="BV262" s="60">
        <f>IF(AND(F262&lt;&gt;"",F262&lt;&gt;"Relance en retard"),MAX($BV$4:BV261)+1,"")</f>
        <v/>
      </c>
      <c r="BW262" s="60">
        <f>IF(C262="","",IF(AND(B262&gt;='Tableau de bord'!$R$4,B262&lt;='Tableau de bord'!$S$4,OR('Tableau de bord'!$G$4="Tous",N262='Tableau de bord'!$G$4)),1,0))</f>
        <v/>
      </c>
      <c r="BX262" s="60">
        <f>IF(AND(C262&lt;&gt;"",N(BA262)=7),MAX($BX$4:BX261)+1,"")</f>
        <v/>
      </c>
    </row>
    <row r="263">
      <c r="A263" s="60">
        <f>IF(C263="","","P-"&amp;TEXT(259,"000"))</f>
        <v/>
      </c>
      <c r="B263" s="106">
        <f>IF(C263="","",IFERROR(1/(1/_xlfn.MINIFS('Saisie'!$A$5:$A$2004,'Saisie'!$C$5:$C$2004,C263)),""))</f>
        <v/>
      </c>
      <c r="C263" s="60">
        <f>IFERROR(INDEX('Saisie'!$C$5:$C$2004,MATCH(259,'Saisie'!$AX$5:$AX$2004,0)),"")</f>
        <v/>
      </c>
      <c r="D263" s="60">
        <f>IF(C263="","",IF(AND(BR263&gt;0,BR263&gt;BS263,BA263&lt;7),"Perdu",INDEX('Paramètres'!$F$6:$F$13,BA263)))</f>
        <v/>
      </c>
      <c r="E263" s="61">
        <f>IF(C263="","",MIN(100,(Z263="Oui")*'Paramètres'!$B$38+(AB263="Régulière")*'Paramètres'!$B$39+IF(AND(N(AA263)&gt;0,TODAY()-N(AA263)&lt;=30),'Paramètres'!$B$40,0)+(W263="")*'Paramètres'!$B$41+(AC263="Absente")*'Paramètres'!$B$42+(AC263="Faible")*'Paramètres'!$B$43+IF(AND(N(AD263)&gt;0,N(AD263)&lt;4),'Paramètres'!$B$44,0)+(AF263="Moyenne")*'Paramètres'!$B$45+(AF263="Grande")*'Paramètres'!$B$46+(Y263&lt;&gt;"")*'Paramètres'!$B$47))</f>
        <v/>
      </c>
      <c r="F263" s="60">
        <f>IF(C263="","",IF(D263="Gagné","",IF(D263="Perdu",IF(AND(AX263&lt;&gt;"",AX263&lt;=TODAY()),"À recontacter (perdu)",""),IF(AND(O263&gt;='Paramètres'!$B$21,P263=0),"Stop : "&amp;'Paramètres'!$B$21&amp;" tentatives sans réponse",IF(AND(D263="Proposition",AR263&lt;&gt;"",TODAY()&gt;N(AR263)),"Proposition expirée",IF(AND(D263="Proposition",N(R263)&gt;='Paramètres'!$B$25),"Proposition sans réponse",IF(AND(G263&lt;&gt;"",N(G263)&lt;TODAY()),"Relance en retard",IF(N(R263)&gt;='Paramètres'!$B$24,"Sans action depuis "&amp;R263&amp;" j",""))))))))</f>
        <v/>
      </c>
      <c r="G263" s="106">
        <f>IF(OR(C263="",D263="Gagné",D263="Perdu"),"",IF(AND(BP263&gt;0,BP263=BQ263),INDEX('Saisie'!$J$5:$J$2004,BP263-4),IF(OR(O263=0,AND(O263&gt;='Paramètres'!$B$21,P263=0)),"",Q263+IF(O263&lt;=1,'Paramètres'!$B$18,IF(O263=2,'Paramètres'!$B$19,'Paramètres'!$B$20)))))</f>
        <v/>
      </c>
      <c r="H263" s="107">
        <f>IF(OR(G263="",BP263&lt;&gt;BQ263),"",IF(INDEX('Saisie'!$K$5:$K$2004,BP263-4)="","",INDEX('Saisie'!$K$5:$K$2004,BP263-4)))</f>
        <v/>
      </c>
      <c r="I263" s="60">
        <f>IF(C263="","",IF(OR(D263="Gagné",D263="Perdu"),"",IFERROR(INDEX('Saisie'!$I$5:$I$2004,_xlfn.MAXIFS('Saisie'!$AS$5:$AS$2004,'Saisie'!$C$5:$C$2004,C263,'Saisie'!$I$5:$I$2004,"&lt;&gt;")-4),"")))</f>
        <v/>
      </c>
      <c r="J263" s="60">
        <f>IF(C263="","",IFERROR(INDEX('Saisie'!$U$5:$U$2004,_xlfn.MAXIFS('Saisie'!$AS$5:$AS$2004,'Saisie'!$C$5:$C$2004,C263,'Saisie'!$U$5:$U$2004,"&lt;&gt;")-4),""))</f>
        <v/>
      </c>
      <c r="K263" s="60">
        <f>IF(C263="","",IFERROR(INDEX('Saisie'!$W$5:$W$2004,_xlfn.MAXIFS('Saisie'!$AS$5:$AS$2004,'Saisie'!$C$5:$C$2004,C263,'Saisie'!$W$5:$W$2004,"&lt;&gt;")-4),""))</f>
        <v/>
      </c>
      <c r="L263" s="60">
        <f>IF(IF(BB263&lt;&gt;"",BB263,K263)="","",HYPERLINK("https://wa.me/"&amp;IF(LEFT(SUBSTITUTE(SUBSTITUTE(SUBSTITUTE(IF(BB263&lt;&gt;"",BB263,K263)," ",""),".",""),"+",""),1)="0",'Paramètres'!$B$35&amp;MID(SUBSTITUTE(SUBSTITUTE(SUBSTITUTE(IF(BB263&lt;&gt;"",BB263,K263)," ",""),".",""),"+",""),2,20),SUBSTITUTE(SUBSTITUTE(SUBSTITUTE(IF(BB263&lt;&gt;"",BB263,K263)," ",""),".",""),"+","")),"WhatsApp"))</f>
        <v/>
      </c>
      <c r="M263" s="60">
        <f>IF(BC263="","",HYPERLINK(IF(LEFT(BC263,4)="http",BC263,"https://www.instagram.com/"&amp;SUBSTITUTE(SUBSTITUTE(BC263,"@","")," ","")),BC263))</f>
        <v/>
      </c>
      <c r="N263" s="60">
        <f>IF(C263="","",IFERROR(INDEX('Saisie'!$D$5:$D$2004,_xlfn.MINIFS('Saisie'!$AS$5:$AS$2004,'Saisie'!$C$5:$C$2004,C263,'Saisie'!$AU$5:$AU$2004,1)-4),IFERROR(INDEX('Saisie'!$D$5:$D$2004,_xlfn.MINIFS('Saisie'!$AS$5:$AS$2004,'Saisie'!$C$5:$C$2004,C263,'Saisie'!$D$5:$D$2004,"&lt;&gt;")-4),"")))</f>
        <v/>
      </c>
      <c r="O263" s="60">
        <f>IF(C263="","",COUNTIFS('Saisie'!$C$5:$C$2004,C263,'Saisie'!$AU$5:$AU$2004,1))</f>
        <v/>
      </c>
      <c r="P263" s="60">
        <f>IF(C263="","",COUNTIFS('Saisie'!$C$5:$C$2004,C263,'Saisie'!$AV$5:$AV$2004,1))</f>
        <v/>
      </c>
      <c r="Q263" s="106">
        <f>IF(C263="","",IFERROR(1/(1/_xlfn.MAXIFS('Saisie'!$A$5:$A$2004,'Saisie'!$C$5:$C$2004,C263)),""))</f>
        <v/>
      </c>
      <c r="R263" s="61">
        <f>IF(C263="","",IF(Q263="","",TODAY()-Q263))</f>
        <v/>
      </c>
      <c r="S263" s="60">
        <f>IF(C263="","",IFERROR(INDEX('Saisie'!$R$5:$R$2004,_xlfn.MAXIFS('Saisie'!$AS$5:$AS$2004,'Saisie'!$C$5:$C$2004,C263,'Saisie'!$R$5:$R$2004,"&lt;&gt;")-4),""))</f>
        <v/>
      </c>
      <c r="T263" s="60">
        <f>IF(C263="","",IFERROR(INDEX('Saisie'!$S$5:$S$2004,_xlfn.MAXIFS('Saisie'!$AS$5:$AS$2004,'Saisie'!$C$5:$C$2004,C263,'Saisie'!$S$5:$S$2004,"&lt;&gt;")-4),""))</f>
        <v/>
      </c>
      <c r="U263" s="60">
        <f>IF(C263="","",IFERROR(INDEX('Saisie'!$T$5:$T$2004,_xlfn.MAXIFS('Saisie'!$AS$5:$AS$2004,'Saisie'!$C$5:$C$2004,C263,'Saisie'!$T$5:$T$2004,"&lt;&gt;")-4),""))</f>
        <v/>
      </c>
      <c r="V263" s="60">
        <f>IF(C263="","",IFERROR(INDEX('Saisie'!$V$5:$V$2004,_xlfn.MAXIFS('Saisie'!$AS$5:$AS$2004,'Saisie'!$C$5:$C$2004,C263,'Saisie'!$V$5:$V$2004,"&lt;&gt;")-4),""))</f>
        <v/>
      </c>
      <c r="W263" s="60">
        <f>IF(C263="","",IFERROR(INDEX('Saisie'!$Z$5:$Z$2004,_xlfn.MAXIFS('Saisie'!$AS$5:$AS$2004,'Saisie'!$C$5:$C$2004,C263,'Saisie'!$Z$5:$Z$2004,"&lt;&gt;")-4),""))</f>
        <v/>
      </c>
      <c r="X263" s="60">
        <f>IF(C263="","",IFERROR(INDEX('Saisie'!$AA$5:$AA$2004,_xlfn.MAXIFS('Saisie'!$AS$5:$AS$2004,'Saisie'!$C$5:$C$2004,C263,'Saisie'!$AA$5:$AA$2004,"&lt;&gt;")-4),""))</f>
        <v/>
      </c>
      <c r="Y263" s="60">
        <f>IF(C263="","",IFERROR(INDEX('Saisie'!$AB$5:$AB$2004,_xlfn.MAXIFS('Saisie'!$AS$5:$AS$2004,'Saisie'!$C$5:$C$2004,C263,'Saisie'!$AB$5:$AB$2004,"&lt;&gt;")-4),""))</f>
        <v/>
      </c>
      <c r="Z263" s="60">
        <f>IF(C263="","",IFERROR(INDEX('Saisie'!$AC$5:$AC$2004,_xlfn.MAXIFS('Saisie'!$AS$5:$AS$2004,'Saisie'!$C$5:$C$2004,C263,'Saisie'!$AC$5:$AC$2004,"&lt;&gt;")-4),""))</f>
        <v/>
      </c>
      <c r="AA263" s="106">
        <f>IF(C263="","",IFERROR(INDEX('Saisie'!$AD$5:$AD$2004,_xlfn.MAXIFS('Saisie'!$AS$5:$AS$2004,'Saisie'!$C$5:$C$2004,C263,'Saisie'!$AD$5:$AD$2004,"&lt;&gt;")-4),""))</f>
        <v/>
      </c>
      <c r="AB263" s="60">
        <f>IF(C263="","",IFERROR(INDEX('Saisie'!$AE$5:$AE$2004,_xlfn.MAXIFS('Saisie'!$AS$5:$AS$2004,'Saisie'!$C$5:$C$2004,C263,'Saisie'!$AE$5:$AE$2004,"&lt;&gt;")-4),""))</f>
        <v/>
      </c>
      <c r="AC263" s="60">
        <f>IF(C263="","",IFERROR(INDEX('Saisie'!$AF$5:$AF$2004,_xlfn.MAXIFS('Saisie'!$AS$5:$AS$2004,'Saisie'!$C$5:$C$2004,C263,'Saisie'!$AF$5:$AF$2004,"&lt;&gt;")-4),""))</f>
        <v/>
      </c>
      <c r="AD263" s="108">
        <f>IF(C263="","",IFERROR(INDEX('Saisie'!$AG$5:$AG$2004,_xlfn.MAXIFS('Saisie'!$AS$5:$AS$2004,'Saisie'!$C$5:$C$2004,C263,'Saisie'!$AG$5:$AG$2004,"&lt;&gt;")-4),""))</f>
        <v/>
      </c>
      <c r="AE263" s="60">
        <f>IF(C263="","",IFERROR(INDEX('Saisie'!$AH$5:$AH$2004,_xlfn.MAXIFS('Saisie'!$AS$5:$AS$2004,'Saisie'!$C$5:$C$2004,C263,'Saisie'!$AH$5:$AH$2004,"&lt;&gt;")-4),""))</f>
        <v/>
      </c>
      <c r="AF263" s="60">
        <f>IF(C263="","",IFERROR(INDEX('Saisie'!$AI$5:$AI$2004,_xlfn.MAXIFS('Saisie'!$AS$5:$AS$2004,'Saisie'!$C$5:$C$2004,C263,'Saisie'!$AI$5:$AI$2004,"&lt;&gt;")-4),""))</f>
        <v/>
      </c>
      <c r="AG263" s="60">
        <f>IF(C263="","",IFERROR(INDEX('Saisie'!$AJ$5:$AJ$2004,_xlfn.MAXIFS('Saisie'!$AS$5:$AS$2004,'Saisie'!$C$5:$C$2004,C263,'Saisie'!$AJ$5:$AJ$2004,"&lt;&gt;")-4),""))</f>
        <v/>
      </c>
      <c r="AH263" s="60">
        <f>IF(C263="","",IFERROR(INDEX('Saisie'!$AK$5:$AK$2004,_xlfn.MAXIFS('Saisie'!$AS$5:$AS$2004,'Saisie'!$C$5:$C$2004,C263,'Saisie'!$AK$5:$AK$2004,"&lt;&gt;")-4),""))</f>
        <v/>
      </c>
      <c r="AI263" s="60">
        <f>IF(C263="","",IFERROR(INDEX('Saisie'!$AN$5:$AN$2004,_xlfn.MAXIFS('Saisie'!$AS$5:$AS$2004,'Saisie'!$C$5:$C$2004,C263,'Saisie'!$AN$5:$AN$2004,"&lt;&gt;")-4),""))</f>
        <v/>
      </c>
      <c r="AJ263" s="60">
        <f>IF(C263="","",IFERROR(INDEX('Saisie'!$AO$5:$AO$2004,_xlfn.MAXIFS('Saisie'!$AS$5:$AS$2004,'Saisie'!$C$5:$C$2004,C263,'Saisie'!$AO$5:$AO$2004,"&lt;&gt;")-4),""))</f>
        <v/>
      </c>
      <c r="AK263" s="60">
        <f>IF(C263="","",IFERROR(INDEX('Saisie'!$AP$5:$AP$2004,_xlfn.MAXIFS('Saisie'!$AS$5:$AS$2004,'Saisie'!$C$5:$C$2004,C263,'Saisie'!$AP$5:$AP$2004,"&lt;&gt;")-4),""))</f>
        <v/>
      </c>
      <c r="AL263" s="60">
        <f>IF(C263="","",IFERROR(INDEX('Saisie'!$AQ$5:$AQ$2004,_xlfn.MAXIFS('Saisie'!$AS$5:$AS$2004,'Saisie'!$C$5:$C$2004,C263,'Saisie'!$AQ$5:$AQ$2004,"&lt;&gt;")-4),""))</f>
        <v/>
      </c>
      <c r="AM263" s="60">
        <f>IF(C263="","",((AI263="Oui")+(AJ263="Oui")+(AK263="Oui")+OR(AL263="Immédiat",AL263="&lt; 1 mois"))&amp;"/4")</f>
        <v/>
      </c>
      <c r="AN263" s="60">
        <f>IF(C263="","",IFERROR(INDEX('Saisie'!$AL$5:$AL$2004,_xlfn.MAXIFS('Saisie'!$AS$5:$AS$2004,'Saisie'!$C$5:$C$2004,C263,'Saisie'!$AL$5:$AL$2004,"&lt;&gt;")-4),""))</f>
        <v/>
      </c>
      <c r="AO263" s="62">
        <f>IF(C263="","",IF(IFERROR(INDEX('Saisie'!$AM$5:$AM$2004,_xlfn.MAXIFS('Saisie'!$AS$5:$AS$2004,'Saisie'!$C$5:$C$2004,C263,'Saisie'!$AM$5:$AM$2004,"&lt;&gt;")-4),"")&lt;&gt;"",IFERROR(INDEX('Saisie'!$AM$5:$AM$2004,_xlfn.MAXIFS('Saisie'!$AS$5:$AS$2004,'Saisie'!$C$5:$C$2004,C263,'Saisie'!$AM$5:$AM$2004,"&lt;&gt;")-4),""),IFERROR(INDEX('Paramètres'!$S$6:$S$15,MATCH(AN263,'Paramètres'!$Q$6:$Q$15,0)),"")))</f>
        <v/>
      </c>
      <c r="AP263" s="62">
        <f>IF(C263="","",IFERROR(INDEX('Saisie'!$AW$5:$AW$2004,_xlfn.MAXIFS('Saisie'!$AS$5:$AS$2004,'Saisie'!$C$5:$C$2004,C263,'Saisie'!$E$5:$E$2004,"Proposition envoyée")-4),""))</f>
        <v/>
      </c>
      <c r="AQ263" s="106">
        <f>IF(C263="","",IFERROR(1/(1/_xlfn.MAXIFS('Saisie'!$A$5:$A$2004,'Saisie'!$C$5:$C$2004,C263,'Saisie'!$E$5:$E$2004,"Proposition envoyée")),""))</f>
        <v/>
      </c>
      <c r="AR263" s="106">
        <f>IF(C263="","",IF(AQ263="","",AQ263+'Paramètres'!$B$26))</f>
        <v/>
      </c>
      <c r="AS263" s="62">
        <f>IF(OR(C263="",D263="Gagné",D263="Perdu"),0,N(AP263)*IFERROR(INDEX('Paramètres'!$G$6:$G$13,MATCH(D263,'Paramètres'!$F$6:$F$13,0)),0))</f>
        <v/>
      </c>
      <c r="AT263" s="106">
        <f>IF(C263="","",IFERROR(1/(1/_xlfn.MINIFS('Saisie'!$A$5:$A$2004,'Saisie'!$C$5:$C$2004,C263,'Saisie'!$E$5:$E$2004,"Signature")),""))</f>
        <v/>
      </c>
      <c r="AU263" s="60">
        <f>IF(C263="","",IF(OR(AT263="",B263=""),"",AT263-B263))</f>
        <v/>
      </c>
      <c r="AV263" s="60">
        <f>IF(C263="","",IFERROR(INDEX('Saisie'!$L$5:$L$2004,_xlfn.MAXIFS('Saisie'!$AS$5:$AS$2004,'Saisie'!$C$5:$C$2004,C263,'Saisie'!$L$5:$L$2004,"&lt;&gt;")-4),""))</f>
        <v/>
      </c>
      <c r="AW263" s="106">
        <f>IF(C263="","",IF(D263&lt;&gt;"Perdu","",IFERROR(1/(1/_xlfn.MAXIFS('Saisie'!$A$5:$A$2004,'Saisie'!$C$5:$C$2004,C263,'Saisie'!$E$5:$E$2004,"Perdu")),"")))</f>
        <v/>
      </c>
      <c r="AX263" s="106">
        <f>IF(C263="","",IF(AW263="","",AW263+'Paramètres'!$B$28))</f>
        <v/>
      </c>
      <c r="AY263" s="60">
        <f>IF(C263="","",SUMIFS('Saisie'!$H$5:$H$2004,'Saisie'!$C$5:$C$2004,C263))</f>
        <v/>
      </c>
      <c r="AZ263" s="60">
        <f>IF(C263="","",IFERROR(INDEX('Paramètres'!$W$6:$W$20,MATCH(S263,'Paramètres'!$V$6:$V$20,0))&amp;"",""))</f>
        <v/>
      </c>
      <c r="BA263" s="60">
        <f>IF(C263="","",MAX(1,_xlfn.MAXIFS('Saisie'!$AT$5:$AT$2004,'Saisie'!$C$5:$C$2004,C263)))</f>
        <v/>
      </c>
      <c r="BB263" s="60">
        <f>IF(C263="","",IFERROR(INDEX('Saisie'!$X$5:$X$2004,_xlfn.MAXIFS('Saisie'!$AS$5:$AS$2004,'Saisie'!$C$5:$C$2004,C263,'Saisie'!$X$5:$X$2004,"&lt;&gt;")-4),""))</f>
        <v/>
      </c>
      <c r="BC263" s="60">
        <f>IF(C263="","",IFERROR(INDEX('Saisie'!$Y$5:$Y$2004,_xlfn.MAXIFS('Saisie'!$AS$5:$AS$2004,'Saisie'!$C$5:$C$2004,C263,'Saisie'!$Y$5:$Y$2004,"&lt;&gt;")-4),""))</f>
        <v/>
      </c>
      <c r="BD263" s="106">
        <f>IF(C263="","",IFERROR(1/(1/_xlfn.MINIFS('Saisie'!$A$5:$A$2004,'Saisie'!$C$5:$C$2004,C263,'Saisie'!$AT$5:$AT$2004,"&gt;=2")),""))</f>
        <v/>
      </c>
      <c r="BE263" s="106">
        <f>IF(C263="","",IFERROR(1/(1/_xlfn.MINIFS('Saisie'!$A$5:$A$2004,'Saisie'!$C$5:$C$2004,C263,'Saisie'!$AT$5:$AT$2004,"&gt;=3")),""))</f>
        <v/>
      </c>
      <c r="BF263" s="106">
        <f>IF(C263="","",IFERROR(1/(1/_xlfn.MINIFS('Saisie'!$A$5:$A$2004,'Saisie'!$C$5:$C$2004,C263,'Saisie'!$AT$5:$AT$2004,"&gt;=4")),""))</f>
        <v/>
      </c>
      <c r="BG263" s="106">
        <f>IF(C263="","",IFERROR(1/(1/_xlfn.MINIFS('Saisie'!$A$5:$A$2004,'Saisie'!$C$5:$C$2004,C263,'Saisie'!$AT$5:$AT$2004,"&gt;=5")),""))</f>
        <v/>
      </c>
      <c r="BH263" s="106">
        <f>IF(C263="","",IFERROR(1/(1/_xlfn.MINIFS('Saisie'!$A$5:$A$2004,'Saisie'!$C$5:$C$2004,C263,'Saisie'!$AT$5:$AT$2004,"&gt;=6")),""))</f>
        <v/>
      </c>
      <c r="BI263" s="106">
        <f>IF(C263="","",IFERROR(1/(1/_xlfn.MINIFS('Saisie'!$A$5:$A$2004,'Saisie'!$C$5:$C$2004,C263,'Saisie'!$AT$5:$AT$2004,"&gt;=7")),""))</f>
        <v/>
      </c>
      <c r="BJ263" s="60">
        <f>IF(OR(BD263="",B263=""),"",BD263-B263)</f>
        <v/>
      </c>
      <c r="BK263" s="60">
        <f>IF(OR(BE263="",BD263=""),"",BE263-BD263)</f>
        <v/>
      </c>
      <c r="BL263" s="60">
        <f>IF(OR(BF263="",BE263=""),"",BF263-BE263)</f>
        <v/>
      </c>
      <c r="BM263" s="60">
        <f>IF(OR(BG263="",BF263=""),"",BG263-BF263)</f>
        <v/>
      </c>
      <c r="BN263" s="60">
        <f>IF(OR(BH263="",BG263=""),"",BH263-BG263)</f>
        <v/>
      </c>
      <c r="BO263" s="60">
        <f>IF(OR(BI263="",BH263=""),"",BI263-BH263)</f>
        <v/>
      </c>
      <c r="BP263" s="60">
        <f>IF(C263="","",_xlfn.MAXIFS('Saisie'!$AS$5:$AS$2004,'Saisie'!$C$5:$C$2004,C263,'Saisie'!$J$5:$J$2004,"&lt;&gt;"))</f>
        <v/>
      </c>
      <c r="BQ263" s="60">
        <f>IF(C263="","",_xlfn.MAXIFS('Saisie'!$AS$5:$AS$2004,'Saisie'!$C$5:$C$2004,C263))</f>
        <v/>
      </c>
      <c r="BR263" s="60">
        <f>IF(C263="","",_xlfn.MAXIFS('Saisie'!$AS$5:$AS$2004,'Saisie'!$C$5:$C$2004,C263,'Saisie'!$E$5:$E$2004,"Perdu"))</f>
        <v/>
      </c>
      <c r="BS263" s="60">
        <f>IF(C263="","",_xlfn.MAXIFS('Saisie'!$AS$5:$AS$2004,'Saisie'!$C$5:$C$2004,C263,'Saisie'!$AT$5:$AT$2004,"&gt;0"))</f>
        <v/>
      </c>
      <c r="BT263" s="109">
        <f>IF(AND(C263&lt;&gt;"",OR(D263="Nouveau",D263="Contacté",D263="Qualifié"),OR(G263="",N(G263)&lt;=TODAY()),NOT(AND(O263&gt;='Paramètres'!$B$21,P263=0))),E263+259/10000,"")</f>
        <v/>
      </c>
      <c r="BU263" s="60">
        <f>IF(AND(G263&lt;&gt;"",N(G263)&lt;=TODAY()),MAX($BU$4:BU262)+1,"")</f>
        <v/>
      </c>
      <c r="BV263" s="60">
        <f>IF(AND(F263&lt;&gt;"",F263&lt;&gt;"Relance en retard"),MAX($BV$4:BV262)+1,"")</f>
        <v/>
      </c>
      <c r="BW263" s="60">
        <f>IF(C263="","",IF(AND(B263&gt;='Tableau de bord'!$R$4,B263&lt;='Tableau de bord'!$S$4,OR('Tableau de bord'!$G$4="Tous",N263='Tableau de bord'!$G$4)),1,0))</f>
        <v/>
      </c>
      <c r="BX263" s="60">
        <f>IF(AND(C263&lt;&gt;"",N(BA263)=7),MAX($BX$4:BX262)+1,"")</f>
        <v/>
      </c>
    </row>
    <row r="264">
      <c r="A264" s="60">
        <f>IF(C264="","","P-"&amp;TEXT(260,"000"))</f>
        <v/>
      </c>
      <c r="B264" s="106">
        <f>IF(C264="","",IFERROR(1/(1/_xlfn.MINIFS('Saisie'!$A$5:$A$2004,'Saisie'!$C$5:$C$2004,C264)),""))</f>
        <v/>
      </c>
      <c r="C264" s="60">
        <f>IFERROR(INDEX('Saisie'!$C$5:$C$2004,MATCH(260,'Saisie'!$AX$5:$AX$2004,0)),"")</f>
        <v/>
      </c>
      <c r="D264" s="60">
        <f>IF(C264="","",IF(AND(BR264&gt;0,BR264&gt;BS264,BA264&lt;7),"Perdu",INDEX('Paramètres'!$F$6:$F$13,BA264)))</f>
        <v/>
      </c>
      <c r="E264" s="61">
        <f>IF(C264="","",MIN(100,(Z264="Oui")*'Paramètres'!$B$38+(AB264="Régulière")*'Paramètres'!$B$39+IF(AND(N(AA264)&gt;0,TODAY()-N(AA264)&lt;=30),'Paramètres'!$B$40,0)+(W264="")*'Paramètres'!$B$41+(AC264="Absente")*'Paramètres'!$B$42+(AC264="Faible")*'Paramètres'!$B$43+IF(AND(N(AD264)&gt;0,N(AD264)&lt;4),'Paramètres'!$B$44,0)+(AF264="Moyenne")*'Paramètres'!$B$45+(AF264="Grande")*'Paramètres'!$B$46+(Y264&lt;&gt;"")*'Paramètres'!$B$47))</f>
        <v/>
      </c>
      <c r="F264" s="60">
        <f>IF(C264="","",IF(D264="Gagné","",IF(D264="Perdu",IF(AND(AX264&lt;&gt;"",AX264&lt;=TODAY()),"À recontacter (perdu)",""),IF(AND(O264&gt;='Paramètres'!$B$21,P264=0),"Stop : "&amp;'Paramètres'!$B$21&amp;" tentatives sans réponse",IF(AND(D264="Proposition",AR264&lt;&gt;"",TODAY()&gt;N(AR264)),"Proposition expirée",IF(AND(D264="Proposition",N(R264)&gt;='Paramètres'!$B$25),"Proposition sans réponse",IF(AND(G264&lt;&gt;"",N(G264)&lt;TODAY()),"Relance en retard",IF(N(R264)&gt;='Paramètres'!$B$24,"Sans action depuis "&amp;R264&amp;" j",""))))))))</f>
        <v/>
      </c>
      <c r="G264" s="106">
        <f>IF(OR(C264="",D264="Gagné",D264="Perdu"),"",IF(AND(BP264&gt;0,BP264=BQ264),INDEX('Saisie'!$J$5:$J$2004,BP264-4),IF(OR(O264=0,AND(O264&gt;='Paramètres'!$B$21,P264=0)),"",Q264+IF(O264&lt;=1,'Paramètres'!$B$18,IF(O264=2,'Paramètres'!$B$19,'Paramètres'!$B$20)))))</f>
        <v/>
      </c>
      <c r="H264" s="107">
        <f>IF(OR(G264="",BP264&lt;&gt;BQ264),"",IF(INDEX('Saisie'!$K$5:$K$2004,BP264-4)="","",INDEX('Saisie'!$K$5:$K$2004,BP264-4)))</f>
        <v/>
      </c>
      <c r="I264" s="60">
        <f>IF(C264="","",IF(OR(D264="Gagné",D264="Perdu"),"",IFERROR(INDEX('Saisie'!$I$5:$I$2004,_xlfn.MAXIFS('Saisie'!$AS$5:$AS$2004,'Saisie'!$C$5:$C$2004,C264,'Saisie'!$I$5:$I$2004,"&lt;&gt;")-4),"")))</f>
        <v/>
      </c>
      <c r="J264" s="60">
        <f>IF(C264="","",IFERROR(INDEX('Saisie'!$U$5:$U$2004,_xlfn.MAXIFS('Saisie'!$AS$5:$AS$2004,'Saisie'!$C$5:$C$2004,C264,'Saisie'!$U$5:$U$2004,"&lt;&gt;")-4),""))</f>
        <v/>
      </c>
      <c r="K264" s="60">
        <f>IF(C264="","",IFERROR(INDEX('Saisie'!$W$5:$W$2004,_xlfn.MAXIFS('Saisie'!$AS$5:$AS$2004,'Saisie'!$C$5:$C$2004,C264,'Saisie'!$W$5:$W$2004,"&lt;&gt;")-4),""))</f>
        <v/>
      </c>
      <c r="L264" s="60">
        <f>IF(IF(BB264&lt;&gt;"",BB264,K264)="","",HYPERLINK("https://wa.me/"&amp;IF(LEFT(SUBSTITUTE(SUBSTITUTE(SUBSTITUTE(IF(BB264&lt;&gt;"",BB264,K264)," ",""),".",""),"+",""),1)="0",'Paramètres'!$B$35&amp;MID(SUBSTITUTE(SUBSTITUTE(SUBSTITUTE(IF(BB264&lt;&gt;"",BB264,K264)," ",""),".",""),"+",""),2,20),SUBSTITUTE(SUBSTITUTE(SUBSTITUTE(IF(BB264&lt;&gt;"",BB264,K264)," ",""),".",""),"+","")),"WhatsApp"))</f>
        <v/>
      </c>
      <c r="M264" s="60">
        <f>IF(BC264="","",HYPERLINK(IF(LEFT(BC264,4)="http",BC264,"https://www.instagram.com/"&amp;SUBSTITUTE(SUBSTITUTE(BC264,"@","")," ","")),BC264))</f>
        <v/>
      </c>
      <c r="N264" s="60">
        <f>IF(C264="","",IFERROR(INDEX('Saisie'!$D$5:$D$2004,_xlfn.MINIFS('Saisie'!$AS$5:$AS$2004,'Saisie'!$C$5:$C$2004,C264,'Saisie'!$AU$5:$AU$2004,1)-4),IFERROR(INDEX('Saisie'!$D$5:$D$2004,_xlfn.MINIFS('Saisie'!$AS$5:$AS$2004,'Saisie'!$C$5:$C$2004,C264,'Saisie'!$D$5:$D$2004,"&lt;&gt;")-4),"")))</f>
        <v/>
      </c>
      <c r="O264" s="60">
        <f>IF(C264="","",COUNTIFS('Saisie'!$C$5:$C$2004,C264,'Saisie'!$AU$5:$AU$2004,1))</f>
        <v/>
      </c>
      <c r="P264" s="60">
        <f>IF(C264="","",COUNTIFS('Saisie'!$C$5:$C$2004,C264,'Saisie'!$AV$5:$AV$2004,1))</f>
        <v/>
      </c>
      <c r="Q264" s="106">
        <f>IF(C264="","",IFERROR(1/(1/_xlfn.MAXIFS('Saisie'!$A$5:$A$2004,'Saisie'!$C$5:$C$2004,C264)),""))</f>
        <v/>
      </c>
      <c r="R264" s="61">
        <f>IF(C264="","",IF(Q264="","",TODAY()-Q264))</f>
        <v/>
      </c>
      <c r="S264" s="60">
        <f>IF(C264="","",IFERROR(INDEX('Saisie'!$R$5:$R$2004,_xlfn.MAXIFS('Saisie'!$AS$5:$AS$2004,'Saisie'!$C$5:$C$2004,C264,'Saisie'!$R$5:$R$2004,"&lt;&gt;")-4),""))</f>
        <v/>
      </c>
      <c r="T264" s="60">
        <f>IF(C264="","",IFERROR(INDEX('Saisie'!$S$5:$S$2004,_xlfn.MAXIFS('Saisie'!$AS$5:$AS$2004,'Saisie'!$C$5:$C$2004,C264,'Saisie'!$S$5:$S$2004,"&lt;&gt;")-4),""))</f>
        <v/>
      </c>
      <c r="U264" s="60">
        <f>IF(C264="","",IFERROR(INDEX('Saisie'!$T$5:$T$2004,_xlfn.MAXIFS('Saisie'!$AS$5:$AS$2004,'Saisie'!$C$5:$C$2004,C264,'Saisie'!$T$5:$T$2004,"&lt;&gt;")-4),""))</f>
        <v/>
      </c>
      <c r="V264" s="60">
        <f>IF(C264="","",IFERROR(INDEX('Saisie'!$V$5:$V$2004,_xlfn.MAXIFS('Saisie'!$AS$5:$AS$2004,'Saisie'!$C$5:$C$2004,C264,'Saisie'!$V$5:$V$2004,"&lt;&gt;")-4),""))</f>
        <v/>
      </c>
      <c r="W264" s="60">
        <f>IF(C264="","",IFERROR(INDEX('Saisie'!$Z$5:$Z$2004,_xlfn.MAXIFS('Saisie'!$AS$5:$AS$2004,'Saisie'!$C$5:$C$2004,C264,'Saisie'!$Z$5:$Z$2004,"&lt;&gt;")-4),""))</f>
        <v/>
      </c>
      <c r="X264" s="60">
        <f>IF(C264="","",IFERROR(INDEX('Saisie'!$AA$5:$AA$2004,_xlfn.MAXIFS('Saisie'!$AS$5:$AS$2004,'Saisie'!$C$5:$C$2004,C264,'Saisie'!$AA$5:$AA$2004,"&lt;&gt;")-4),""))</f>
        <v/>
      </c>
      <c r="Y264" s="60">
        <f>IF(C264="","",IFERROR(INDEX('Saisie'!$AB$5:$AB$2004,_xlfn.MAXIFS('Saisie'!$AS$5:$AS$2004,'Saisie'!$C$5:$C$2004,C264,'Saisie'!$AB$5:$AB$2004,"&lt;&gt;")-4),""))</f>
        <v/>
      </c>
      <c r="Z264" s="60">
        <f>IF(C264="","",IFERROR(INDEX('Saisie'!$AC$5:$AC$2004,_xlfn.MAXIFS('Saisie'!$AS$5:$AS$2004,'Saisie'!$C$5:$C$2004,C264,'Saisie'!$AC$5:$AC$2004,"&lt;&gt;")-4),""))</f>
        <v/>
      </c>
      <c r="AA264" s="106">
        <f>IF(C264="","",IFERROR(INDEX('Saisie'!$AD$5:$AD$2004,_xlfn.MAXIFS('Saisie'!$AS$5:$AS$2004,'Saisie'!$C$5:$C$2004,C264,'Saisie'!$AD$5:$AD$2004,"&lt;&gt;")-4),""))</f>
        <v/>
      </c>
      <c r="AB264" s="60">
        <f>IF(C264="","",IFERROR(INDEX('Saisie'!$AE$5:$AE$2004,_xlfn.MAXIFS('Saisie'!$AS$5:$AS$2004,'Saisie'!$C$5:$C$2004,C264,'Saisie'!$AE$5:$AE$2004,"&lt;&gt;")-4),""))</f>
        <v/>
      </c>
      <c r="AC264" s="60">
        <f>IF(C264="","",IFERROR(INDEX('Saisie'!$AF$5:$AF$2004,_xlfn.MAXIFS('Saisie'!$AS$5:$AS$2004,'Saisie'!$C$5:$C$2004,C264,'Saisie'!$AF$5:$AF$2004,"&lt;&gt;")-4),""))</f>
        <v/>
      </c>
      <c r="AD264" s="108">
        <f>IF(C264="","",IFERROR(INDEX('Saisie'!$AG$5:$AG$2004,_xlfn.MAXIFS('Saisie'!$AS$5:$AS$2004,'Saisie'!$C$5:$C$2004,C264,'Saisie'!$AG$5:$AG$2004,"&lt;&gt;")-4),""))</f>
        <v/>
      </c>
      <c r="AE264" s="60">
        <f>IF(C264="","",IFERROR(INDEX('Saisie'!$AH$5:$AH$2004,_xlfn.MAXIFS('Saisie'!$AS$5:$AS$2004,'Saisie'!$C$5:$C$2004,C264,'Saisie'!$AH$5:$AH$2004,"&lt;&gt;")-4),""))</f>
        <v/>
      </c>
      <c r="AF264" s="60">
        <f>IF(C264="","",IFERROR(INDEX('Saisie'!$AI$5:$AI$2004,_xlfn.MAXIFS('Saisie'!$AS$5:$AS$2004,'Saisie'!$C$5:$C$2004,C264,'Saisie'!$AI$5:$AI$2004,"&lt;&gt;")-4),""))</f>
        <v/>
      </c>
      <c r="AG264" s="60">
        <f>IF(C264="","",IFERROR(INDEX('Saisie'!$AJ$5:$AJ$2004,_xlfn.MAXIFS('Saisie'!$AS$5:$AS$2004,'Saisie'!$C$5:$C$2004,C264,'Saisie'!$AJ$5:$AJ$2004,"&lt;&gt;")-4),""))</f>
        <v/>
      </c>
      <c r="AH264" s="60">
        <f>IF(C264="","",IFERROR(INDEX('Saisie'!$AK$5:$AK$2004,_xlfn.MAXIFS('Saisie'!$AS$5:$AS$2004,'Saisie'!$C$5:$C$2004,C264,'Saisie'!$AK$5:$AK$2004,"&lt;&gt;")-4),""))</f>
        <v/>
      </c>
      <c r="AI264" s="60">
        <f>IF(C264="","",IFERROR(INDEX('Saisie'!$AN$5:$AN$2004,_xlfn.MAXIFS('Saisie'!$AS$5:$AS$2004,'Saisie'!$C$5:$C$2004,C264,'Saisie'!$AN$5:$AN$2004,"&lt;&gt;")-4),""))</f>
        <v/>
      </c>
      <c r="AJ264" s="60">
        <f>IF(C264="","",IFERROR(INDEX('Saisie'!$AO$5:$AO$2004,_xlfn.MAXIFS('Saisie'!$AS$5:$AS$2004,'Saisie'!$C$5:$C$2004,C264,'Saisie'!$AO$5:$AO$2004,"&lt;&gt;")-4),""))</f>
        <v/>
      </c>
      <c r="AK264" s="60">
        <f>IF(C264="","",IFERROR(INDEX('Saisie'!$AP$5:$AP$2004,_xlfn.MAXIFS('Saisie'!$AS$5:$AS$2004,'Saisie'!$C$5:$C$2004,C264,'Saisie'!$AP$5:$AP$2004,"&lt;&gt;")-4),""))</f>
        <v/>
      </c>
      <c r="AL264" s="60">
        <f>IF(C264="","",IFERROR(INDEX('Saisie'!$AQ$5:$AQ$2004,_xlfn.MAXIFS('Saisie'!$AS$5:$AS$2004,'Saisie'!$C$5:$C$2004,C264,'Saisie'!$AQ$5:$AQ$2004,"&lt;&gt;")-4),""))</f>
        <v/>
      </c>
      <c r="AM264" s="60">
        <f>IF(C264="","",((AI264="Oui")+(AJ264="Oui")+(AK264="Oui")+OR(AL264="Immédiat",AL264="&lt; 1 mois"))&amp;"/4")</f>
        <v/>
      </c>
      <c r="AN264" s="60">
        <f>IF(C264="","",IFERROR(INDEX('Saisie'!$AL$5:$AL$2004,_xlfn.MAXIFS('Saisie'!$AS$5:$AS$2004,'Saisie'!$C$5:$C$2004,C264,'Saisie'!$AL$5:$AL$2004,"&lt;&gt;")-4),""))</f>
        <v/>
      </c>
      <c r="AO264" s="62">
        <f>IF(C264="","",IF(IFERROR(INDEX('Saisie'!$AM$5:$AM$2004,_xlfn.MAXIFS('Saisie'!$AS$5:$AS$2004,'Saisie'!$C$5:$C$2004,C264,'Saisie'!$AM$5:$AM$2004,"&lt;&gt;")-4),"")&lt;&gt;"",IFERROR(INDEX('Saisie'!$AM$5:$AM$2004,_xlfn.MAXIFS('Saisie'!$AS$5:$AS$2004,'Saisie'!$C$5:$C$2004,C264,'Saisie'!$AM$5:$AM$2004,"&lt;&gt;")-4),""),IFERROR(INDEX('Paramètres'!$S$6:$S$15,MATCH(AN264,'Paramètres'!$Q$6:$Q$15,0)),"")))</f>
        <v/>
      </c>
      <c r="AP264" s="62">
        <f>IF(C264="","",IFERROR(INDEX('Saisie'!$AW$5:$AW$2004,_xlfn.MAXIFS('Saisie'!$AS$5:$AS$2004,'Saisie'!$C$5:$C$2004,C264,'Saisie'!$E$5:$E$2004,"Proposition envoyée")-4),""))</f>
        <v/>
      </c>
      <c r="AQ264" s="106">
        <f>IF(C264="","",IFERROR(1/(1/_xlfn.MAXIFS('Saisie'!$A$5:$A$2004,'Saisie'!$C$5:$C$2004,C264,'Saisie'!$E$5:$E$2004,"Proposition envoyée")),""))</f>
        <v/>
      </c>
      <c r="AR264" s="106">
        <f>IF(C264="","",IF(AQ264="","",AQ264+'Paramètres'!$B$26))</f>
        <v/>
      </c>
      <c r="AS264" s="62">
        <f>IF(OR(C264="",D264="Gagné",D264="Perdu"),0,N(AP264)*IFERROR(INDEX('Paramètres'!$G$6:$G$13,MATCH(D264,'Paramètres'!$F$6:$F$13,0)),0))</f>
        <v/>
      </c>
      <c r="AT264" s="106">
        <f>IF(C264="","",IFERROR(1/(1/_xlfn.MINIFS('Saisie'!$A$5:$A$2004,'Saisie'!$C$5:$C$2004,C264,'Saisie'!$E$5:$E$2004,"Signature")),""))</f>
        <v/>
      </c>
      <c r="AU264" s="60">
        <f>IF(C264="","",IF(OR(AT264="",B264=""),"",AT264-B264))</f>
        <v/>
      </c>
      <c r="AV264" s="60">
        <f>IF(C264="","",IFERROR(INDEX('Saisie'!$L$5:$L$2004,_xlfn.MAXIFS('Saisie'!$AS$5:$AS$2004,'Saisie'!$C$5:$C$2004,C264,'Saisie'!$L$5:$L$2004,"&lt;&gt;")-4),""))</f>
        <v/>
      </c>
      <c r="AW264" s="106">
        <f>IF(C264="","",IF(D264&lt;&gt;"Perdu","",IFERROR(1/(1/_xlfn.MAXIFS('Saisie'!$A$5:$A$2004,'Saisie'!$C$5:$C$2004,C264,'Saisie'!$E$5:$E$2004,"Perdu")),"")))</f>
        <v/>
      </c>
      <c r="AX264" s="106">
        <f>IF(C264="","",IF(AW264="","",AW264+'Paramètres'!$B$28))</f>
        <v/>
      </c>
      <c r="AY264" s="60">
        <f>IF(C264="","",SUMIFS('Saisie'!$H$5:$H$2004,'Saisie'!$C$5:$C$2004,C264))</f>
        <v/>
      </c>
      <c r="AZ264" s="60">
        <f>IF(C264="","",IFERROR(INDEX('Paramètres'!$W$6:$W$20,MATCH(S264,'Paramètres'!$V$6:$V$20,0))&amp;"",""))</f>
        <v/>
      </c>
      <c r="BA264" s="60">
        <f>IF(C264="","",MAX(1,_xlfn.MAXIFS('Saisie'!$AT$5:$AT$2004,'Saisie'!$C$5:$C$2004,C264)))</f>
        <v/>
      </c>
      <c r="BB264" s="60">
        <f>IF(C264="","",IFERROR(INDEX('Saisie'!$X$5:$X$2004,_xlfn.MAXIFS('Saisie'!$AS$5:$AS$2004,'Saisie'!$C$5:$C$2004,C264,'Saisie'!$X$5:$X$2004,"&lt;&gt;")-4),""))</f>
        <v/>
      </c>
      <c r="BC264" s="60">
        <f>IF(C264="","",IFERROR(INDEX('Saisie'!$Y$5:$Y$2004,_xlfn.MAXIFS('Saisie'!$AS$5:$AS$2004,'Saisie'!$C$5:$C$2004,C264,'Saisie'!$Y$5:$Y$2004,"&lt;&gt;")-4),""))</f>
        <v/>
      </c>
      <c r="BD264" s="106">
        <f>IF(C264="","",IFERROR(1/(1/_xlfn.MINIFS('Saisie'!$A$5:$A$2004,'Saisie'!$C$5:$C$2004,C264,'Saisie'!$AT$5:$AT$2004,"&gt;=2")),""))</f>
        <v/>
      </c>
      <c r="BE264" s="106">
        <f>IF(C264="","",IFERROR(1/(1/_xlfn.MINIFS('Saisie'!$A$5:$A$2004,'Saisie'!$C$5:$C$2004,C264,'Saisie'!$AT$5:$AT$2004,"&gt;=3")),""))</f>
        <v/>
      </c>
      <c r="BF264" s="106">
        <f>IF(C264="","",IFERROR(1/(1/_xlfn.MINIFS('Saisie'!$A$5:$A$2004,'Saisie'!$C$5:$C$2004,C264,'Saisie'!$AT$5:$AT$2004,"&gt;=4")),""))</f>
        <v/>
      </c>
      <c r="BG264" s="106">
        <f>IF(C264="","",IFERROR(1/(1/_xlfn.MINIFS('Saisie'!$A$5:$A$2004,'Saisie'!$C$5:$C$2004,C264,'Saisie'!$AT$5:$AT$2004,"&gt;=5")),""))</f>
        <v/>
      </c>
      <c r="BH264" s="106">
        <f>IF(C264="","",IFERROR(1/(1/_xlfn.MINIFS('Saisie'!$A$5:$A$2004,'Saisie'!$C$5:$C$2004,C264,'Saisie'!$AT$5:$AT$2004,"&gt;=6")),""))</f>
        <v/>
      </c>
      <c r="BI264" s="106">
        <f>IF(C264="","",IFERROR(1/(1/_xlfn.MINIFS('Saisie'!$A$5:$A$2004,'Saisie'!$C$5:$C$2004,C264,'Saisie'!$AT$5:$AT$2004,"&gt;=7")),""))</f>
        <v/>
      </c>
      <c r="BJ264" s="60">
        <f>IF(OR(BD264="",B264=""),"",BD264-B264)</f>
        <v/>
      </c>
      <c r="BK264" s="60">
        <f>IF(OR(BE264="",BD264=""),"",BE264-BD264)</f>
        <v/>
      </c>
      <c r="BL264" s="60">
        <f>IF(OR(BF264="",BE264=""),"",BF264-BE264)</f>
        <v/>
      </c>
      <c r="BM264" s="60">
        <f>IF(OR(BG264="",BF264=""),"",BG264-BF264)</f>
        <v/>
      </c>
      <c r="BN264" s="60">
        <f>IF(OR(BH264="",BG264=""),"",BH264-BG264)</f>
        <v/>
      </c>
      <c r="BO264" s="60">
        <f>IF(OR(BI264="",BH264=""),"",BI264-BH264)</f>
        <v/>
      </c>
      <c r="BP264" s="60">
        <f>IF(C264="","",_xlfn.MAXIFS('Saisie'!$AS$5:$AS$2004,'Saisie'!$C$5:$C$2004,C264,'Saisie'!$J$5:$J$2004,"&lt;&gt;"))</f>
        <v/>
      </c>
      <c r="BQ264" s="60">
        <f>IF(C264="","",_xlfn.MAXIFS('Saisie'!$AS$5:$AS$2004,'Saisie'!$C$5:$C$2004,C264))</f>
        <v/>
      </c>
      <c r="BR264" s="60">
        <f>IF(C264="","",_xlfn.MAXIFS('Saisie'!$AS$5:$AS$2004,'Saisie'!$C$5:$C$2004,C264,'Saisie'!$E$5:$E$2004,"Perdu"))</f>
        <v/>
      </c>
      <c r="BS264" s="60">
        <f>IF(C264="","",_xlfn.MAXIFS('Saisie'!$AS$5:$AS$2004,'Saisie'!$C$5:$C$2004,C264,'Saisie'!$AT$5:$AT$2004,"&gt;0"))</f>
        <v/>
      </c>
      <c r="BT264" s="109">
        <f>IF(AND(C264&lt;&gt;"",OR(D264="Nouveau",D264="Contacté",D264="Qualifié"),OR(G264="",N(G264)&lt;=TODAY()),NOT(AND(O264&gt;='Paramètres'!$B$21,P264=0))),E264+260/10000,"")</f>
        <v/>
      </c>
      <c r="BU264" s="60">
        <f>IF(AND(G264&lt;&gt;"",N(G264)&lt;=TODAY()),MAX($BU$4:BU263)+1,"")</f>
        <v/>
      </c>
      <c r="BV264" s="60">
        <f>IF(AND(F264&lt;&gt;"",F264&lt;&gt;"Relance en retard"),MAX($BV$4:BV263)+1,"")</f>
        <v/>
      </c>
      <c r="BW264" s="60">
        <f>IF(C264="","",IF(AND(B264&gt;='Tableau de bord'!$R$4,B264&lt;='Tableau de bord'!$S$4,OR('Tableau de bord'!$G$4="Tous",N264='Tableau de bord'!$G$4)),1,0))</f>
        <v/>
      </c>
      <c r="BX264" s="60">
        <f>IF(AND(C264&lt;&gt;"",N(BA264)=7),MAX($BX$4:BX263)+1,"")</f>
        <v/>
      </c>
    </row>
    <row r="265">
      <c r="A265" s="60">
        <f>IF(C265="","","P-"&amp;TEXT(261,"000"))</f>
        <v/>
      </c>
      <c r="B265" s="106">
        <f>IF(C265="","",IFERROR(1/(1/_xlfn.MINIFS('Saisie'!$A$5:$A$2004,'Saisie'!$C$5:$C$2004,C265)),""))</f>
        <v/>
      </c>
      <c r="C265" s="60">
        <f>IFERROR(INDEX('Saisie'!$C$5:$C$2004,MATCH(261,'Saisie'!$AX$5:$AX$2004,0)),"")</f>
        <v/>
      </c>
      <c r="D265" s="60">
        <f>IF(C265="","",IF(AND(BR265&gt;0,BR265&gt;BS265,BA265&lt;7),"Perdu",INDEX('Paramètres'!$F$6:$F$13,BA265)))</f>
        <v/>
      </c>
      <c r="E265" s="61">
        <f>IF(C265="","",MIN(100,(Z265="Oui")*'Paramètres'!$B$38+(AB265="Régulière")*'Paramètres'!$B$39+IF(AND(N(AA265)&gt;0,TODAY()-N(AA265)&lt;=30),'Paramètres'!$B$40,0)+(W265="")*'Paramètres'!$B$41+(AC265="Absente")*'Paramètres'!$B$42+(AC265="Faible")*'Paramètres'!$B$43+IF(AND(N(AD265)&gt;0,N(AD265)&lt;4),'Paramètres'!$B$44,0)+(AF265="Moyenne")*'Paramètres'!$B$45+(AF265="Grande")*'Paramètres'!$B$46+(Y265&lt;&gt;"")*'Paramètres'!$B$47))</f>
        <v/>
      </c>
      <c r="F265" s="60">
        <f>IF(C265="","",IF(D265="Gagné","",IF(D265="Perdu",IF(AND(AX265&lt;&gt;"",AX265&lt;=TODAY()),"À recontacter (perdu)",""),IF(AND(O265&gt;='Paramètres'!$B$21,P265=0),"Stop : "&amp;'Paramètres'!$B$21&amp;" tentatives sans réponse",IF(AND(D265="Proposition",AR265&lt;&gt;"",TODAY()&gt;N(AR265)),"Proposition expirée",IF(AND(D265="Proposition",N(R265)&gt;='Paramètres'!$B$25),"Proposition sans réponse",IF(AND(G265&lt;&gt;"",N(G265)&lt;TODAY()),"Relance en retard",IF(N(R265)&gt;='Paramètres'!$B$24,"Sans action depuis "&amp;R265&amp;" j",""))))))))</f>
        <v/>
      </c>
      <c r="G265" s="106">
        <f>IF(OR(C265="",D265="Gagné",D265="Perdu"),"",IF(AND(BP265&gt;0,BP265=BQ265),INDEX('Saisie'!$J$5:$J$2004,BP265-4),IF(OR(O265=0,AND(O265&gt;='Paramètres'!$B$21,P265=0)),"",Q265+IF(O265&lt;=1,'Paramètres'!$B$18,IF(O265=2,'Paramètres'!$B$19,'Paramètres'!$B$20)))))</f>
        <v/>
      </c>
      <c r="H265" s="107">
        <f>IF(OR(G265="",BP265&lt;&gt;BQ265),"",IF(INDEX('Saisie'!$K$5:$K$2004,BP265-4)="","",INDEX('Saisie'!$K$5:$K$2004,BP265-4)))</f>
        <v/>
      </c>
      <c r="I265" s="60">
        <f>IF(C265="","",IF(OR(D265="Gagné",D265="Perdu"),"",IFERROR(INDEX('Saisie'!$I$5:$I$2004,_xlfn.MAXIFS('Saisie'!$AS$5:$AS$2004,'Saisie'!$C$5:$C$2004,C265,'Saisie'!$I$5:$I$2004,"&lt;&gt;")-4),"")))</f>
        <v/>
      </c>
      <c r="J265" s="60">
        <f>IF(C265="","",IFERROR(INDEX('Saisie'!$U$5:$U$2004,_xlfn.MAXIFS('Saisie'!$AS$5:$AS$2004,'Saisie'!$C$5:$C$2004,C265,'Saisie'!$U$5:$U$2004,"&lt;&gt;")-4),""))</f>
        <v/>
      </c>
      <c r="K265" s="60">
        <f>IF(C265="","",IFERROR(INDEX('Saisie'!$W$5:$W$2004,_xlfn.MAXIFS('Saisie'!$AS$5:$AS$2004,'Saisie'!$C$5:$C$2004,C265,'Saisie'!$W$5:$W$2004,"&lt;&gt;")-4),""))</f>
        <v/>
      </c>
      <c r="L265" s="60">
        <f>IF(IF(BB265&lt;&gt;"",BB265,K265)="","",HYPERLINK("https://wa.me/"&amp;IF(LEFT(SUBSTITUTE(SUBSTITUTE(SUBSTITUTE(IF(BB265&lt;&gt;"",BB265,K265)," ",""),".",""),"+",""),1)="0",'Paramètres'!$B$35&amp;MID(SUBSTITUTE(SUBSTITUTE(SUBSTITUTE(IF(BB265&lt;&gt;"",BB265,K265)," ",""),".",""),"+",""),2,20),SUBSTITUTE(SUBSTITUTE(SUBSTITUTE(IF(BB265&lt;&gt;"",BB265,K265)," ",""),".",""),"+","")),"WhatsApp"))</f>
        <v/>
      </c>
      <c r="M265" s="60">
        <f>IF(BC265="","",HYPERLINK(IF(LEFT(BC265,4)="http",BC265,"https://www.instagram.com/"&amp;SUBSTITUTE(SUBSTITUTE(BC265,"@","")," ","")),BC265))</f>
        <v/>
      </c>
      <c r="N265" s="60">
        <f>IF(C265="","",IFERROR(INDEX('Saisie'!$D$5:$D$2004,_xlfn.MINIFS('Saisie'!$AS$5:$AS$2004,'Saisie'!$C$5:$C$2004,C265,'Saisie'!$AU$5:$AU$2004,1)-4),IFERROR(INDEX('Saisie'!$D$5:$D$2004,_xlfn.MINIFS('Saisie'!$AS$5:$AS$2004,'Saisie'!$C$5:$C$2004,C265,'Saisie'!$D$5:$D$2004,"&lt;&gt;")-4),"")))</f>
        <v/>
      </c>
      <c r="O265" s="60">
        <f>IF(C265="","",COUNTIFS('Saisie'!$C$5:$C$2004,C265,'Saisie'!$AU$5:$AU$2004,1))</f>
        <v/>
      </c>
      <c r="P265" s="60">
        <f>IF(C265="","",COUNTIFS('Saisie'!$C$5:$C$2004,C265,'Saisie'!$AV$5:$AV$2004,1))</f>
        <v/>
      </c>
      <c r="Q265" s="106">
        <f>IF(C265="","",IFERROR(1/(1/_xlfn.MAXIFS('Saisie'!$A$5:$A$2004,'Saisie'!$C$5:$C$2004,C265)),""))</f>
        <v/>
      </c>
      <c r="R265" s="61">
        <f>IF(C265="","",IF(Q265="","",TODAY()-Q265))</f>
        <v/>
      </c>
      <c r="S265" s="60">
        <f>IF(C265="","",IFERROR(INDEX('Saisie'!$R$5:$R$2004,_xlfn.MAXIFS('Saisie'!$AS$5:$AS$2004,'Saisie'!$C$5:$C$2004,C265,'Saisie'!$R$5:$R$2004,"&lt;&gt;")-4),""))</f>
        <v/>
      </c>
      <c r="T265" s="60">
        <f>IF(C265="","",IFERROR(INDEX('Saisie'!$S$5:$S$2004,_xlfn.MAXIFS('Saisie'!$AS$5:$AS$2004,'Saisie'!$C$5:$C$2004,C265,'Saisie'!$S$5:$S$2004,"&lt;&gt;")-4),""))</f>
        <v/>
      </c>
      <c r="U265" s="60">
        <f>IF(C265="","",IFERROR(INDEX('Saisie'!$T$5:$T$2004,_xlfn.MAXIFS('Saisie'!$AS$5:$AS$2004,'Saisie'!$C$5:$C$2004,C265,'Saisie'!$T$5:$T$2004,"&lt;&gt;")-4),""))</f>
        <v/>
      </c>
      <c r="V265" s="60">
        <f>IF(C265="","",IFERROR(INDEX('Saisie'!$V$5:$V$2004,_xlfn.MAXIFS('Saisie'!$AS$5:$AS$2004,'Saisie'!$C$5:$C$2004,C265,'Saisie'!$V$5:$V$2004,"&lt;&gt;")-4),""))</f>
        <v/>
      </c>
      <c r="W265" s="60">
        <f>IF(C265="","",IFERROR(INDEX('Saisie'!$Z$5:$Z$2004,_xlfn.MAXIFS('Saisie'!$AS$5:$AS$2004,'Saisie'!$C$5:$C$2004,C265,'Saisie'!$Z$5:$Z$2004,"&lt;&gt;")-4),""))</f>
        <v/>
      </c>
      <c r="X265" s="60">
        <f>IF(C265="","",IFERROR(INDEX('Saisie'!$AA$5:$AA$2004,_xlfn.MAXIFS('Saisie'!$AS$5:$AS$2004,'Saisie'!$C$5:$C$2004,C265,'Saisie'!$AA$5:$AA$2004,"&lt;&gt;")-4),""))</f>
        <v/>
      </c>
      <c r="Y265" s="60">
        <f>IF(C265="","",IFERROR(INDEX('Saisie'!$AB$5:$AB$2004,_xlfn.MAXIFS('Saisie'!$AS$5:$AS$2004,'Saisie'!$C$5:$C$2004,C265,'Saisie'!$AB$5:$AB$2004,"&lt;&gt;")-4),""))</f>
        <v/>
      </c>
      <c r="Z265" s="60">
        <f>IF(C265="","",IFERROR(INDEX('Saisie'!$AC$5:$AC$2004,_xlfn.MAXIFS('Saisie'!$AS$5:$AS$2004,'Saisie'!$C$5:$C$2004,C265,'Saisie'!$AC$5:$AC$2004,"&lt;&gt;")-4),""))</f>
        <v/>
      </c>
      <c r="AA265" s="106">
        <f>IF(C265="","",IFERROR(INDEX('Saisie'!$AD$5:$AD$2004,_xlfn.MAXIFS('Saisie'!$AS$5:$AS$2004,'Saisie'!$C$5:$C$2004,C265,'Saisie'!$AD$5:$AD$2004,"&lt;&gt;")-4),""))</f>
        <v/>
      </c>
      <c r="AB265" s="60">
        <f>IF(C265="","",IFERROR(INDEX('Saisie'!$AE$5:$AE$2004,_xlfn.MAXIFS('Saisie'!$AS$5:$AS$2004,'Saisie'!$C$5:$C$2004,C265,'Saisie'!$AE$5:$AE$2004,"&lt;&gt;")-4),""))</f>
        <v/>
      </c>
      <c r="AC265" s="60">
        <f>IF(C265="","",IFERROR(INDEX('Saisie'!$AF$5:$AF$2004,_xlfn.MAXIFS('Saisie'!$AS$5:$AS$2004,'Saisie'!$C$5:$C$2004,C265,'Saisie'!$AF$5:$AF$2004,"&lt;&gt;")-4),""))</f>
        <v/>
      </c>
      <c r="AD265" s="108">
        <f>IF(C265="","",IFERROR(INDEX('Saisie'!$AG$5:$AG$2004,_xlfn.MAXIFS('Saisie'!$AS$5:$AS$2004,'Saisie'!$C$5:$C$2004,C265,'Saisie'!$AG$5:$AG$2004,"&lt;&gt;")-4),""))</f>
        <v/>
      </c>
      <c r="AE265" s="60">
        <f>IF(C265="","",IFERROR(INDEX('Saisie'!$AH$5:$AH$2004,_xlfn.MAXIFS('Saisie'!$AS$5:$AS$2004,'Saisie'!$C$5:$C$2004,C265,'Saisie'!$AH$5:$AH$2004,"&lt;&gt;")-4),""))</f>
        <v/>
      </c>
      <c r="AF265" s="60">
        <f>IF(C265="","",IFERROR(INDEX('Saisie'!$AI$5:$AI$2004,_xlfn.MAXIFS('Saisie'!$AS$5:$AS$2004,'Saisie'!$C$5:$C$2004,C265,'Saisie'!$AI$5:$AI$2004,"&lt;&gt;")-4),""))</f>
        <v/>
      </c>
      <c r="AG265" s="60">
        <f>IF(C265="","",IFERROR(INDEX('Saisie'!$AJ$5:$AJ$2004,_xlfn.MAXIFS('Saisie'!$AS$5:$AS$2004,'Saisie'!$C$5:$C$2004,C265,'Saisie'!$AJ$5:$AJ$2004,"&lt;&gt;")-4),""))</f>
        <v/>
      </c>
      <c r="AH265" s="60">
        <f>IF(C265="","",IFERROR(INDEX('Saisie'!$AK$5:$AK$2004,_xlfn.MAXIFS('Saisie'!$AS$5:$AS$2004,'Saisie'!$C$5:$C$2004,C265,'Saisie'!$AK$5:$AK$2004,"&lt;&gt;")-4),""))</f>
        <v/>
      </c>
      <c r="AI265" s="60">
        <f>IF(C265="","",IFERROR(INDEX('Saisie'!$AN$5:$AN$2004,_xlfn.MAXIFS('Saisie'!$AS$5:$AS$2004,'Saisie'!$C$5:$C$2004,C265,'Saisie'!$AN$5:$AN$2004,"&lt;&gt;")-4),""))</f>
        <v/>
      </c>
      <c r="AJ265" s="60">
        <f>IF(C265="","",IFERROR(INDEX('Saisie'!$AO$5:$AO$2004,_xlfn.MAXIFS('Saisie'!$AS$5:$AS$2004,'Saisie'!$C$5:$C$2004,C265,'Saisie'!$AO$5:$AO$2004,"&lt;&gt;")-4),""))</f>
        <v/>
      </c>
      <c r="AK265" s="60">
        <f>IF(C265="","",IFERROR(INDEX('Saisie'!$AP$5:$AP$2004,_xlfn.MAXIFS('Saisie'!$AS$5:$AS$2004,'Saisie'!$C$5:$C$2004,C265,'Saisie'!$AP$5:$AP$2004,"&lt;&gt;")-4),""))</f>
        <v/>
      </c>
      <c r="AL265" s="60">
        <f>IF(C265="","",IFERROR(INDEX('Saisie'!$AQ$5:$AQ$2004,_xlfn.MAXIFS('Saisie'!$AS$5:$AS$2004,'Saisie'!$C$5:$C$2004,C265,'Saisie'!$AQ$5:$AQ$2004,"&lt;&gt;")-4),""))</f>
        <v/>
      </c>
      <c r="AM265" s="60">
        <f>IF(C265="","",((AI265="Oui")+(AJ265="Oui")+(AK265="Oui")+OR(AL265="Immédiat",AL265="&lt; 1 mois"))&amp;"/4")</f>
        <v/>
      </c>
      <c r="AN265" s="60">
        <f>IF(C265="","",IFERROR(INDEX('Saisie'!$AL$5:$AL$2004,_xlfn.MAXIFS('Saisie'!$AS$5:$AS$2004,'Saisie'!$C$5:$C$2004,C265,'Saisie'!$AL$5:$AL$2004,"&lt;&gt;")-4),""))</f>
        <v/>
      </c>
      <c r="AO265" s="62">
        <f>IF(C265="","",IF(IFERROR(INDEX('Saisie'!$AM$5:$AM$2004,_xlfn.MAXIFS('Saisie'!$AS$5:$AS$2004,'Saisie'!$C$5:$C$2004,C265,'Saisie'!$AM$5:$AM$2004,"&lt;&gt;")-4),"")&lt;&gt;"",IFERROR(INDEX('Saisie'!$AM$5:$AM$2004,_xlfn.MAXIFS('Saisie'!$AS$5:$AS$2004,'Saisie'!$C$5:$C$2004,C265,'Saisie'!$AM$5:$AM$2004,"&lt;&gt;")-4),""),IFERROR(INDEX('Paramètres'!$S$6:$S$15,MATCH(AN265,'Paramètres'!$Q$6:$Q$15,0)),"")))</f>
        <v/>
      </c>
      <c r="AP265" s="62">
        <f>IF(C265="","",IFERROR(INDEX('Saisie'!$AW$5:$AW$2004,_xlfn.MAXIFS('Saisie'!$AS$5:$AS$2004,'Saisie'!$C$5:$C$2004,C265,'Saisie'!$E$5:$E$2004,"Proposition envoyée")-4),""))</f>
        <v/>
      </c>
      <c r="AQ265" s="106">
        <f>IF(C265="","",IFERROR(1/(1/_xlfn.MAXIFS('Saisie'!$A$5:$A$2004,'Saisie'!$C$5:$C$2004,C265,'Saisie'!$E$5:$E$2004,"Proposition envoyée")),""))</f>
        <v/>
      </c>
      <c r="AR265" s="106">
        <f>IF(C265="","",IF(AQ265="","",AQ265+'Paramètres'!$B$26))</f>
        <v/>
      </c>
      <c r="AS265" s="62">
        <f>IF(OR(C265="",D265="Gagné",D265="Perdu"),0,N(AP265)*IFERROR(INDEX('Paramètres'!$G$6:$G$13,MATCH(D265,'Paramètres'!$F$6:$F$13,0)),0))</f>
        <v/>
      </c>
      <c r="AT265" s="106">
        <f>IF(C265="","",IFERROR(1/(1/_xlfn.MINIFS('Saisie'!$A$5:$A$2004,'Saisie'!$C$5:$C$2004,C265,'Saisie'!$E$5:$E$2004,"Signature")),""))</f>
        <v/>
      </c>
      <c r="AU265" s="60">
        <f>IF(C265="","",IF(OR(AT265="",B265=""),"",AT265-B265))</f>
        <v/>
      </c>
      <c r="AV265" s="60">
        <f>IF(C265="","",IFERROR(INDEX('Saisie'!$L$5:$L$2004,_xlfn.MAXIFS('Saisie'!$AS$5:$AS$2004,'Saisie'!$C$5:$C$2004,C265,'Saisie'!$L$5:$L$2004,"&lt;&gt;")-4),""))</f>
        <v/>
      </c>
      <c r="AW265" s="106">
        <f>IF(C265="","",IF(D265&lt;&gt;"Perdu","",IFERROR(1/(1/_xlfn.MAXIFS('Saisie'!$A$5:$A$2004,'Saisie'!$C$5:$C$2004,C265,'Saisie'!$E$5:$E$2004,"Perdu")),"")))</f>
        <v/>
      </c>
      <c r="AX265" s="106">
        <f>IF(C265="","",IF(AW265="","",AW265+'Paramètres'!$B$28))</f>
        <v/>
      </c>
      <c r="AY265" s="60">
        <f>IF(C265="","",SUMIFS('Saisie'!$H$5:$H$2004,'Saisie'!$C$5:$C$2004,C265))</f>
        <v/>
      </c>
      <c r="AZ265" s="60">
        <f>IF(C265="","",IFERROR(INDEX('Paramètres'!$W$6:$W$20,MATCH(S265,'Paramètres'!$V$6:$V$20,0))&amp;"",""))</f>
        <v/>
      </c>
      <c r="BA265" s="60">
        <f>IF(C265="","",MAX(1,_xlfn.MAXIFS('Saisie'!$AT$5:$AT$2004,'Saisie'!$C$5:$C$2004,C265)))</f>
        <v/>
      </c>
      <c r="BB265" s="60">
        <f>IF(C265="","",IFERROR(INDEX('Saisie'!$X$5:$X$2004,_xlfn.MAXIFS('Saisie'!$AS$5:$AS$2004,'Saisie'!$C$5:$C$2004,C265,'Saisie'!$X$5:$X$2004,"&lt;&gt;")-4),""))</f>
        <v/>
      </c>
      <c r="BC265" s="60">
        <f>IF(C265="","",IFERROR(INDEX('Saisie'!$Y$5:$Y$2004,_xlfn.MAXIFS('Saisie'!$AS$5:$AS$2004,'Saisie'!$C$5:$C$2004,C265,'Saisie'!$Y$5:$Y$2004,"&lt;&gt;")-4),""))</f>
        <v/>
      </c>
      <c r="BD265" s="106">
        <f>IF(C265="","",IFERROR(1/(1/_xlfn.MINIFS('Saisie'!$A$5:$A$2004,'Saisie'!$C$5:$C$2004,C265,'Saisie'!$AT$5:$AT$2004,"&gt;=2")),""))</f>
        <v/>
      </c>
      <c r="BE265" s="106">
        <f>IF(C265="","",IFERROR(1/(1/_xlfn.MINIFS('Saisie'!$A$5:$A$2004,'Saisie'!$C$5:$C$2004,C265,'Saisie'!$AT$5:$AT$2004,"&gt;=3")),""))</f>
        <v/>
      </c>
      <c r="BF265" s="106">
        <f>IF(C265="","",IFERROR(1/(1/_xlfn.MINIFS('Saisie'!$A$5:$A$2004,'Saisie'!$C$5:$C$2004,C265,'Saisie'!$AT$5:$AT$2004,"&gt;=4")),""))</f>
        <v/>
      </c>
      <c r="BG265" s="106">
        <f>IF(C265="","",IFERROR(1/(1/_xlfn.MINIFS('Saisie'!$A$5:$A$2004,'Saisie'!$C$5:$C$2004,C265,'Saisie'!$AT$5:$AT$2004,"&gt;=5")),""))</f>
        <v/>
      </c>
      <c r="BH265" s="106">
        <f>IF(C265="","",IFERROR(1/(1/_xlfn.MINIFS('Saisie'!$A$5:$A$2004,'Saisie'!$C$5:$C$2004,C265,'Saisie'!$AT$5:$AT$2004,"&gt;=6")),""))</f>
        <v/>
      </c>
      <c r="BI265" s="106">
        <f>IF(C265="","",IFERROR(1/(1/_xlfn.MINIFS('Saisie'!$A$5:$A$2004,'Saisie'!$C$5:$C$2004,C265,'Saisie'!$AT$5:$AT$2004,"&gt;=7")),""))</f>
        <v/>
      </c>
      <c r="BJ265" s="60">
        <f>IF(OR(BD265="",B265=""),"",BD265-B265)</f>
        <v/>
      </c>
      <c r="BK265" s="60">
        <f>IF(OR(BE265="",BD265=""),"",BE265-BD265)</f>
        <v/>
      </c>
      <c r="BL265" s="60">
        <f>IF(OR(BF265="",BE265=""),"",BF265-BE265)</f>
        <v/>
      </c>
      <c r="BM265" s="60">
        <f>IF(OR(BG265="",BF265=""),"",BG265-BF265)</f>
        <v/>
      </c>
      <c r="BN265" s="60">
        <f>IF(OR(BH265="",BG265=""),"",BH265-BG265)</f>
        <v/>
      </c>
      <c r="BO265" s="60">
        <f>IF(OR(BI265="",BH265=""),"",BI265-BH265)</f>
        <v/>
      </c>
      <c r="BP265" s="60">
        <f>IF(C265="","",_xlfn.MAXIFS('Saisie'!$AS$5:$AS$2004,'Saisie'!$C$5:$C$2004,C265,'Saisie'!$J$5:$J$2004,"&lt;&gt;"))</f>
        <v/>
      </c>
      <c r="BQ265" s="60">
        <f>IF(C265="","",_xlfn.MAXIFS('Saisie'!$AS$5:$AS$2004,'Saisie'!$C$5:$C$2004,C265))</f>
        <v/>
      </c>
      <c r="BR265" s="60">
        <f>IF(C265="","",_xlfn.MAXIFS('Saisie'!$AS$5:$AS$2004,'Saisie'!$C$5:$C$2004,C265,'Saisie'!$E$5:$E$2004,"Perdu"))</f>
        <v/>
      </c>
      <c r="BS265" s="60">
        <f>IF(C265="","",_xlfn.MAXIFS('Saisie'!$AS$5:$AS$2004,'Saisie'!$C$5:$C$2004,C265,'Saisie'!$AT$5:$AT$2004,"&gt;0"))</f>
        <v/>
      </c>
      <c r="BT265" s="109">
        <f>IF(AND(C265&lt;&gt;"",OR(D265="Nouveau",D265="Contacté",D265="Qualifié"),OR(G265="",N(G265)&lt;=TODAY()),NOT(AND(O265&gt;='Paramètres'!$B$21,P265=0))),E265+261/10000,"")</f>
        <v/>
      </c>
      <c r="BU265" s="60">
        <f>IF(AND(G265&lt;&gt;"",N(G265)&lt;=TODAY()),MAX($BU$4:BU264)+1,"")</f>
        <v/>
      </c>
      <c r="BV265" s="60">
        <f>IF(AND(F265&lt;&gt;"",F265&lt;&gt;"Relance en retard"),MAX($BV$4:BV264)+1,"")</f>
        <v/>
      </c>
      <c r="BW265" s="60">
        <f>IF(C265="","",IF(AND(B265&gt;='Tableau de bord'!$R$4,B265&lt;='Tableau de bord'!$S$4,OR('Tableau de bord'!$G$4="Tous",N265='Tableau de bord'!$G$4)),1,0))</f>
        <v/>
      </c>
      <c r="BX265" s="60">
        <f>IF(AND(C265&lt;&gt;"",N(BA265)=7),MAX($BX$4:BX264)+1,"")</f>
        <v/>
      </c>
    </row>
    <row r="266">
      <c r="A266" s="60">
        <f>IF(C266="","","P-"&amp;TEXT(262,"000"))</f>
        <v/>
      </c>
      <c r="B266" s="106">
        <f>IF(C266="","",IFERROR(1/(1/_xlfn.MINIFS('Saisie'!$A$5:$A$2004,'Saisie'!$C$5:$C$2004,C266)),""))</f>
        <v/>
      </c>
      <c r="C266" s="60">
        <f>IFERROR(INDEX('Saisie'!$C$5:$C$2004,MATCH(262,'Saisie'!$AX$5:$AX$2004,0)),"")</f>
        <v/>
      </c>
      <c r="D266" s="60">
        <f>IF(C266="","",IF(AND(BR266&gt;0,BR266&gt;BS266,BA266&lt;7),"Perdu",INDEX('Paramètres'!$F$6:$F$13,BA266)))</f>
        <v/>
      </c>
      <c r="E266" s="61">
        <f>IF(C266="","",MIN(100,(Z266="Oui")*'Paramètres'!$B$38+(AB266="Régulière")*'Paramètres'!$B$39+IF(AND(N(AA266)&gt;0,TODAY()-N(AA266)&lt;=30),'Paramètres'!$B$40,0)+(W266="")*'Paramètres'!$B$41+(AC266="Absente")*'Paramètres'!$B$42+(AC266="Faible")*'Paramètres'!$B$43+IF(AND(N(AD266)&gt;0,N(AD266)&lt;4),'Paramètres'!$B$44,0)+(AF266="Moyenne")*'Paramètres'!$B$45+(AF266="Grande")*'Paramètres'!$B$46+(Y266&lt;&gt;"")*'Paramètres'!$B$47))</f>
        <v/>
      </c>
      <c r="F266" s="60">
        <f>IF(C266="","",IF(D266="Gagné","",IF(D266="Perdu",IF(AND(AX266&lt;&gt;"",AX266&lt;=TODAY()),"À recontacter (perdu)",""),IF(AND(O266&gt;='Paramètres'!$B$21,P266=0),"Stop : "&amp;'Paramètres'!$B$21&amp;" tentatives sans réponse",IF(AND(D266="Proposition",AR266&lt;&gt;"",TODAY()&gt;N(AR266)),"Proposition expirée",IF(AND(D266="Proposition",N(R266)&gt;='Paramètres'!$B$25),"Proposition sans réponse",IF(AND(G266&lt;&gt;"",N(G266)&lt;TODAY()),"Relance en retard",IF(N(R266)&gt;='Paramètres'!$B$24,"Sans action depuis "&amp;R266&amp;" j",""))))))))</f>
        <v/>
      </c>
      <c r="G266" s="106">
        <f>IF(OR(C266="",D266="Gagné",D266="Perdu"),"",IF(AND(BP266&gt;0,BP266=BQ266),INDEX('Saisie'!$J$5:$J$2004,BP266-4),IF(OR(O266=0,AND(O266&gt;='Paramètres'!$B$21,P266=0)),"",Q266+IF(O266&lt;=1,'Paramètres'!$B$18,IF(O266=2,'Paramètres'!$B$19,'Paramètres'!$B$20)))))</f>
        <v/>
      </c>
      <c r="H266" s="107">
        <f>IF(OR(G266="",BP266&lt;&gt;BQ266),"",IF(INDEX('Saisie'!$K$5:$K$2004,BP266-4)="","",INDEX('Saisie'!$K$5:$K$2004,BP266-4)))</f>
        <v/>
      </c>
      <c r="I266" s="60">
        <f>IF(C266="","",IF(OR(D266="Gagné",D266="Perdu"),"",IFERROR(INDEX('Saisie'!$I$5:$I$2004,_xlfn.MAXIFS('Saisie'!$AS$5:$AS$2004,'Saisie'!$C$5:$C$2004,C266,'Saisie'!$I$5:$I$2004,"&lt;&gt;")-4),"")))</f>
        <v/>
      </c>
      <c r="J266" s="60">
        <f>IF(C266="","",IFERROR(INDEX('Saisie'!$U$5:$U$2004,_xlfn.MAXIFS('Saisie'!$AS$5:$AS$2004,'Saisie'!$C$5:$C$2004,C266,'Saisie'!$U$5:$U$2004,"&lt;&gt;")-4),""))</f>
        <v/>
      </c>
      <c r="K266" s="60">
        <f>IF(C266="","",IFERROR(INDEX('Saisie'!$W$5:$W$2004,_xlfn.MAXIFS('Saisie'!$AS$5:$AS$2004,'Saisie'!$C$5:$C$2004,C266,'Saisie'!$W$5:$W$2004,"&lt;&gt;")-4),""))</f>
        <v/>
      </c>
      <c r="L266" s="60">
        <f>IF(IF(BB266&lt;&gt;"",BB266,K266)="","",HYPERLINK("https://wa.me/"&amp;IF(LEFT(SUBSTITUTE(SUBSTITUTE(SUBSTITUTE(IF(BB266&lt;&gt;"",BB266,K266)," ",""),".",""),"+",""),1)="0",'Paramètres'!$B$35&amp;MID(SUBSTITUTE(SUBSTITUTE(SUBSTITUTE(IF(BB266&lt;&gt;"",BB266,K266)," ",""),".",""),"+",""),2,20),SUBSTITUTE(SUBSTITUTE(SUBSTITUTE(IF(BB266&lt;&gt;"",BB266,K266)," ",""),".",""),"+","")),"WhatsApp"))</f>
        <v/>
      </c>
      <c r="M266" s="60">
        <f>IF(BC266="","",HYPERLINK(IF(LEFT(BC266,4)="http",BC266,"https://www.instagram.com/"&amp;SUBSTITUTE(SUBSTITUTE(BC266,"@","")," ","")),BC266))</f>
        <v/>
      </c>
      <c r="N266" s="60">
        <f>IF(C266="","",IFERROR(INDEX('Saisie'!$D$5:$D$2004,_xlfn.MINIFS('Saisie'!$AS$5:$AS$2004,'Saisie'!$C$5:$C$2004,C266,'Saisie'!$AU$5:$AU$2004,1)-4),IFERROR(INDEX('Saisie'!$D$5:$D$2004,_xlfn.MINIFS('Saisie'!$AS$5:$AS$2004,'Saisie'!$C$5:$C$2004,C266,'Saisie'!$D$5:$D$2004,"&lt;&gt;")-4),"")))</f>
        <v/>
      </c>
      <c r="O266" s="60">
        <f>IF(C266="","",COUNTIFS('Saisie'!$C$5:$C$2004,C266,'Saisie'!$AU$5:$AU$2004,1))</f>
        <v/>
      </c>
      <c r="P266" s="60">
        <f>IF(C266="","",COUNTIFS('Saisie'!$C$5:$C$2004,C266,'Saisie'!$AV$5:$AV$2004,1))</f>
        <v/>
      </c>
      <c r="Q266" s="106">
        <f>IF(C266="","",IFERROR(1/(1/_xlfn.MAXIFS('Saisie'!$A$5:$A$2004,'Saisie'!$C$5:$C$2004,C266)),""))</f>
        <v/>
      </c>
      <c r="R266" s="61">
        <f>IF(C266="","",IF(Q266="","",TODAY()-Q266))</f>
        <v/>
      </c>
      <c r="S266" s="60">
        <f>IF(C266="","",IFERROR(INDEX('Saisie'!$R$5:$R$2004,_xlfn.MAXIFS('Saisie'!$AS$5:$AS$2004,'Saisie'!$C$5:$C$2004,C266,'Saisie'!$R$5:$R$2004,"&lt;&gt;")-4),""))</f>
        <v/>
      </c>
      <c r="T266" s="60">
        <f>IF(C266="","",IFERROR(INDEX('Saisie'!$S$5:$S$2004,_xlfn.MAXIFS('Saisie'!$AS$5:$AS$2004,'Saisie'!$C$5:$C$2004,C266,'Saisie'!$S$5:$S$2004,"&lt;&gt;")-4),""))</f>
        <v/>
      </c>
      <c r="U266" s="60">
        <f>IF(C266="","",IFERROR(INDEX('Saisie'!$T$5:$T$2004,_xlfn.MAXIFS('Saisie'!$AS$5:$AS$2004,'Saisie'!$C$5:$C$2004,C266,'Saisie'!$T$5:$T$2004,"&lt;&gt;")-4),""))</f>
        <v/>
      </c>
      <c r="V266" s="60">
        <f>IF(C266="","",IFERROR(INDEX('Saisie'!$V$5:$V$2004,_xlfn.MAXIFS('Saisie'!$AS$5:$AS$2004,'Saisie'!$C$5:$C$2004,C266,'Saisie'!$V$5:$V$2004,"&lt;&gt;")-4),""))</f>
        <v/>
      </c>
      <c r="W266" s="60">
        <f>IF(C266="","",IFERROR(INDEX('Saisie'!$Z$5:$Z$2004,_xlfn.MAXIFS('Saisie'!$AS$5:$AS$2004,'Saisie'!$C$5:$C$2004,C266,'Saisie'!$Z$5:$Z$2004,"&lt;&gt;")-4),""))</f>
        <v/>
      </c>
      <c r="X266" s="60">
        <f>IF(C266="","",IFERROR(INDEX('Saisie'!$AA$5:$AA$2004,_xlfn.MAXIFS('Saisie'!$AS$5:$AS$2004,'Saisie'!$C$5:$C$2004,C266,'Saisie'!$AA$5:$AA$2004,"&lt;&gt;")-4),""))</f>
        <v/>
      </c>
      <c r="Y266" s="60">
        <f>IF(C266="","",IFERROR(INDEX('Saisie'!$AB$5:$AB$2004,_xlfn.MAXIFS('Saisie'!$AS$5:$AS$2004,'Saisie'!$C$5:$C$2004,C266,'Saisie'!$AB$5:$AB$2004,"&lt;&gt;")-4),""))</f>
        <v/>
      </c>
      <c r="Z266" s="60">
        <f>IF(C266="","",IFERROR(INDEX('Saisie'!$AC$5:$AC$2004,_xlfn.MAXIFS('Saisie'!$AS$5:$AS$2004,'Saisie'!$C$5:$C$2004,C266,'Saisie'!$AC$5:$AC$2004,"&lt;&gt;")-4),""))</f>
        <v/>
      </c>
      <c r="AA266" s="106">
        <f>IF(C266="","",IFERROR(INDEX('Saisie'!$AD$5:$AD$2004,_xlfn.MAXIFS('Saisie'!$AS$5:$AS$2004,'Saisie'!$C$5:$C$2004,C266,'Saisie'!$AD$5:$AD$2004,"&lt;&gt;")-4),""))</f>
        <v/>
      </c>
      <c r="AB266" s="60">
        <f>IF(C266="","",IFERROR(INDEX('Saisie'!$AE$5:$AE$2004,_xlfn.MAXIFS('Saisie'!$AS$5:$AS$2004,'Saisie'!$C$5:$C$2004,C266,'Saisie'!$AE$5:$AE$2004,"&lt;&gt;")-4),""))</f>
        <v/>
      </c>
      <c r="AC266" s="60">
        <f>IF(C266="","",IFERROR(INDEX('Saisie'!$AF$5:$AF$2004,_xlfn.MAXIFS('Saisie'!$AS$5:$AS$2004,'Saisie'!$C$5:$C$2004,C266,'Saisie'!$AF$5:$AF$2004,"&lt;&gt;")-4),""))</f>
        <v/>
      </c>
      <c r="AD266" s="108">
        <f>IF(C266="","",IFERROR(INDEX('Saisie'!$AG$5:$AG$2004,_xlfn.MAXIFS('Saisie'!$AS$5:$AS$2004,'Saisie'!$C$5:$C$2004,C266,'Saisie'!$AG$5:$AG$2004,"&lt;&gt;")-4),""))</f>
        <v/>
      </c>
      <c r="AE266" s="60">
        <f>IF(C266="","",IFERROR(INDEX('Saisie'!$AH$5:$AH$2004,_xlfn.MAXIFS('Saisie'!$AS$5:$AS$2004,'Saisie'!$C$5:$C$2004,C266,'Saisie'!$AH$5:$AH$2004,"&lt;&gt;")-4),""))</f>
        <v/>
      </c>
      <c r="AF266" s="60">
        <f>IF(C266="","",IFERROR(INDEX('Saisie'!$AI$5:$AI$2004,_xlfn.MAXIFS('Saisie'!$AS$5:$AS$2004,'Saisie'!$C$5:$C$2004,C266,'Saisie'!$AI$5:$AI$2004,"&lt;&gt;")-4),""))</f>
        <v/>
      </c>
      <c r="AG266" s="60">
        <f>IF(C266="","",IFERROR(INDEX('Saisie'!$AJ$5:$AJ$2004,_xlfn.MAXIFS('Saisie'!$AS$5:$AS$2004,'Saisie'!$C$5:$C$2004,C266,'Saisie'!$AJ$5:$AJ$2004,"&lt;&gt;")-4),""))</f>
        <v/>
      </c>
      <c r="AH266" s="60">
        <f>IF(C266="","",IFERROR(INDEX('Saisie'!$AK$5:$AK$2004,_xlfn.MAXIFS('Saisie'!$AS$5:$AS$2004,'Saisie'!$C$5:$C$2004,C266,'Saisie'!$AK$5:$AK$2004,"&lt;&gt;")-4),""))</f>
        <v/>
      </c>
      <c r="AI266" s="60">
        <f>IF(C266="","",IFERROR(INDEX('Saisie'!$AN$5:$AN$2004,_xlfn.MAXIFS('Saisie'!$AS$5:$AS$2004,'Saisie'!$C$5:$C$2004,C266,'Saisie'!$AN$5:$AN$2004,"&lt;&gt;")-4),""))</f>
        <v/>
      </c>
      <c r="AJ266" s="60">
        <f>IF(C266="","",IFERROR(INDEX('Saisie'!$AO$5:$AO$2004,_xlfn.MAXIFS('Saisie'!$AS$5:$AS$2004,'Saisie'!$C$5:$C$2004,C266,'Saisie'!$AO$5:$AO$2004,"&lt;&gt;")-4),""))</f>
        <v/>
      </c>
      <c r="AK266" s="60">
        <f>IF(C266="","",IFERROR(INDEX('Saisie'!$AP$5:$AP$2004,_xlfn.MAXIFS('Saisie'!$AS$5:$AS$2004,'Saisie'!$C$5:$C$2004,C266,'Saisie'!$AP$5:$AP$2004,"&lt;&gt;")-4),""))</f>
        <v/>
      </c>
      <c r="AL266" s="60">
        <f>IF(C266="","",IFERROR(INDEX('Saisie'!$AQ$5:$AQ$2004,_xlfn.MAXIFS('Saisie'!$AS$5:$AS$2004,'Saisie'!$C$5:$C$2004,C266,'Saisie'!$AQ$5:$AQ$2004,"&lt;&gt;")-4),""))</f>
        <v/>
      </c>
      <c r="AM266" s="60">
        <f>IF(C266="","",((AI266="Oui")+(AJ266="Oui")+(AK266="Oui")+OR(AL266="Immédiat",AL266="&lt; 1 mois"))&amp;"/4")</f>
        <v/>
      </c>
      <c r="AN266" s="60">
        <f>IF(C266="","",IFERROR(INDEX('Saisie'!$AL$5:$AL$2004,_xlfn.MAXIFS('Saisie'!$AS$5:$AS$2004,'Saisie'!$C$5:$C$2004,C266,'Saisie'!$AL$5:$AL$2004,"&lt;&gt;")-4),""))</f>
        <v/>
      </c>
      <c r="AO266" s="62">
        <f>IF(C266="","",IF(IFERROR(INDEX('Saisie'!$AM$5:$AM$2004,_xlfn.MAXIFS('Saisie'!$AS$5:$AS$2004,'Saisie'!$C$5:$C$2004,C266,'Saisie'!$AM$5:$AM$2004,"&lt;&gt;")-4),"")&lt;&gt;"",IFERROR(INDEX('Saisie'!$AM$5:$AM$2004,_xlfn.MAXIFS('Saisie'!$AS$5:$AS$2004,'Saisie'!$C$5:$C$2004,C266,'Saisie'!$AM$5:$AM$2004,"&lt;&gt;")-4),""),IFERROR(INDEX('Paramètres'!$S$6:$S$15,MATCH(AN266,'Paramètres'!$Q$6:$Q$15,0)),"")))</f>
        <v/>
      </c>
      <c r="AP266" s="62">
        <f>IF(C266="","",IFERROR(INDEX('Saisie'!$AW$5:$AW$2004,_xlfn.MAXIFS('Saisie'!$AS$5:$AS$2004,'Saisie'!$C$5:$C$2004,C266,'Saisie'!$E$5:$E$2004,"Proposition envoyée")-4),""))</f>
        <v/>
      </c>
      <c r="AQ266" s="106">
        <f>IF(C266="","",IFERROR(1/(1/_xlfn.MAXIFS('Saisie'!$A$5:$A$2004,'Saisie'!$C$5:$C$2004,C266,'Saisie'!$E$5:$E$2004,"Proposition envoyée")),""))</f>
        <v/>
      </c>
      <c r="AR266" s="106">
        <f>IF(C266="","",IF(AQ266="","",AQ266+'Paramètres'!$B$26))</f>
        <v/>
      </c>
      <c r="AS266" s="62">
        <f>IF(OR(C266="",D266="Gagné",D266="Perdu"),0,N(AP266)*IFERROR(INDEX('Paramètres'!$G$6:$G$13,MATCH(D266,'Paramètres'!$F$6:$F$13,0)),0))</f>
        <v/>
      </c>
      <c r="AT266" s="106">
        <f>IF(C266="","",IFERROR(1/(1/_xlfn.MINIFS('Saisie'!$A$5:$A$2004,'Saisie'!$C$5:$C$2004,C266,'Saisie'!$E$5:$E$2004,"Signature")),""))</f>
        <v/>
      </c>
      <c r="AU266" s="60">
        <f>IF(C266="","",IF(OR(AT266="",B266=""),"",AT266-B266))</f>
        <v/>
      </c>
      <c r="AV266" s="60">
        <f>IF(C266="","",IFERROR(INDEX('Saisie'!$L$5:$L$2004,_xlfn.MAXIFS('Saisie'!$AS$5:$AS$2004,'Saisie'!$C$5:$C$2004,C266,'Saisie'!$L$5:$L$2004,"&lt;&gt;")-4),""))</f>
        <v/>
      </c>
      <c r="AW266" s="106">
        <f>IF(C266="","",IF(D266&lt;&gt;"Perdu","",IFERROR(1/(1/_xlfn.MAXIFS('Saisie'!$A$5:$A$2004,'Saisie'!$C$5:$C$2004,C266,'Saisie'!$E$5:$E$2004,"Perdu")),"")))</f>
        <v/>
      </c>
      <c r="AX266" s="106">
        <f>IF(C266="","",IF(AW266="","",AW266+'Paramètres'!$B$28))</f>
        <v/>
      </c>
      <c r="AY266" s="60">
        <f>IF(C266="","",SUMIFS('Saisie'!$H$5:$H$2004,'Saisie'!$C$5:$C$2004,C266))</f>
        <v/>
      </c>
      <c r="AZ266" s="60">
        <f>IF(C266="","",IFERROR(INDEX('Paramètres'!$W$6:$W$20,MATCH(S266,'Paramètres'!$V$6:$V$20,0))&amp;"",""))</f>
        <v/>
      </c>
      <c r="BA266" s="60">
        <f>IF(C266="","",MAX(1,_xlfn.MAXIFS('Saisie'!$AT$5:$AT$2004,'Saisie'!$C$5:$C$2004,C266)))</f>
        <v/>
      </c>
      <c r="BB266" s="60">
        <f>IF(C266="","",IFERROR(INDEX('Saisie'!$X$5:$X$2004,_xlfn.MAXIFS('Saisie'!$AS$5:$AS$2004,'Saisie'!$C$5:$C$2004,C266,'Saisie'!$X$5:$X$2004,"&lt;&gt;")-4),""))</f>
        <v/>
      </c>
      <c r="BC266" s="60">
        <f>IF(C266="","",IFERROR(INDEX('Saisie'!$Y$5:$Y$2004,_xlfn.MAXIFS('Saisie'!$AS$5:$AS$2004,'Saisie'!$C$5:$C$2004,C266,'Saisie'!$Y$5:$Y$2004,"&lt;&gt;")-4),""))</f>
        <v/>
      </c>
      <c r="BD266" s="106">
        <f>IF(C266="","",IFERROR(1/(1/_xlfn.MINIFS('Saisie'!$A$5:$A$2004,'Saisie'!$C$5:$C$2004,C266,'Saisie'!$AT$5:$AT$2004,"&gt;=2")),""))</f>
        <v/>
      </c>
      <c r="BE266" s="106">
        <f>IF(C266="","",IFERROR(1/(1/_xlfn.MINIFS('Saisie'!$A$5:$A$2004,'Saisie'!$C$5:$C$2004,C266,'Saisie'!$AT$5:$AT$2004,"&gt;=3")),""))</f>
        <v/>
      </c>
      <c r="BF266" s="106">
        <f>IF(C266="","",IFERROR(1/(1/_xlfn.MINIFS('Saisie'!$A$5:$A$2004,'Saisie'!$C$5:$C$2004,C266,'Saisie'!$AT$5:$AT$2004,"&gt;=4")),""))</f>
        <v/>
      </c>
      <c r="BG266" s="106">
        <f>IF(C266="","",IFERROR(1/(1/_xlfn.MINIFS('Saisie'!$A$5:$A$2004,'Saisie'!$C$5:$C$2004,C266,'Saisie'!$AT$5:$AT$2004,"&gt;=5")),""))</f>
        <v/>
      </c>
      <c r="BH266" s="106">
        <f>IF(C266="","",IFERROR(1/(1/_xlfn.MINIFS('Saisie'!$A$5:$A$2004,'Saisie'!$C$5:$C$2004,C266,'Saisie'!$AT$5:$AT$2004,"&gt;=6")),""))</f>
        <v/>
      </c>
      <c r="BI266" s="106">
        <f>IF(C266="","",IFERROR(1/(1/_xlfn.MINIFS('Saisie'!$A$5:$A$2004,'Saisie'!$C$5:$C$2004,C266,'Saisie'!$AT$5:$AT$2004,"&gt;=7")),""))</f>
        <v/>
      </c>
      <c r="BJ266" s="60">
        <f>IF(OR(BD266="",B266=""),"",BD266-B266)</f>
        <v/>
      </c>
      <c r="BK266" s="60">
        <f>IF(OR(BE266="",BD266=""),"",BE266-BD266)</f>
        <v/>
      </c>
      <c r="BL266" s="60">
        <f>IF(OR(BF266="",BE266=""),"",BF266-BE266)</f>
        <v/>
      </c>
      <c r="BM266" s="60">
        <f>IF(OR(BG266="",BF266=""),"",BG266-BF266)</f>
        <v/>
      </c>
      <c r="BN266" s="60">
        <f>IF(OR(BH266="",BG266=""),"",BH266-BG266)</f>
        <v/>
      </c>
      <c r="BO266" s="60">
        <f>IF(OR(BI266="",BH266=""),"",BI266-BH266)</f>
        <v/>
      </c>
      <c r="BP266" s="60">
        <f>IF(C266="","",_xlfn.MAXIFS('Saisie'!$AS$5:$AS$2004,'Saisie'!$C$5:$C$2004,C266,'Saisie'!$J$5:$J$2004,"&lt;&gt;"))</f>
        <v/>
      </c>
      <c r="BQ266" s="60">
        <f>IF(C266="","",_xlfn.MAXIFS('Saisie'!$AS$5:$AS$2004,'Saisie'!$C$5:$C$2004,C266))</f>
        <v/>
      </c>
      <c r="BR266" s="60">
        <f>IF(C266="","",_xlfn.MAXIFS('Saisie'!$AS$5:$AS$2004,'Saisie'!$C$5:$C$2004,C266,'Saisie'!$E$5:$E$2004,"Perdu"))</f>
        <v/>
      </c>
      <c r="BS266" s="60">
        <f>IF(C266="","",_xlfn.MAXIFS('Saisie'!$AS$5:$AS$2004,'Saisie'!$C$5:$C$2004,C266,'Saisie'!$AT$5:$AT$2004,"&gt;0"))</f>
        <v/>
      </c>
      <c r="BT266" s="109">
        <f>IF(AND(C266&lt;&gt;"",OR(D266="Nouveau",D266="Contacté",D266="Qualifié"),OR(G266="",N(G266)&lt;=TODAY()),NOT(AND(O266&gt;='Paramètres'!$B$21,P266=0))),E266+262/10000,"")</f>
        <v/>
      </c>
      <c r="BU266" s="60">
        <f>IF(AND(G266&lt;&gt;"",N(G266)&lt;=TODAY()),MAX($BU$4:BU265)+1,"")</f>
        <v/>
      </c>
      <c r="BV266" s="60">
        <f>IF(AND(F266&lt;&gt;"",F266&lt;&gt;"Relance en retard"),MAX($BV$4:BV265)+1,"")</f>
        <v/>
      </c>
      <c r="BW266" s="60">
        <f>IF(C266="","",IF(AND(B266&gt;='Tableau de bord'!$R$4,B266&lt;='Tableau de bord'!$S$4,OR('Tableau de bord'!$G$4="Tous",N266='Tableau de bord'!$G$4)),1,0))</f>
        <v/>
      </c>
      <c r="BX266" s="60">
        <f>IF(AND(C266&lt;&gt;"",N(BA266)=7),MAX($BX$4:BX265)+1,"")</f>
        <v/>
      </c>
    </row>
    <row r="267">
      <c r="A267" s="60">
        <f>IF(C267="","","P-"&amp;TEXT(263,"000"))</f>
        <v/>
      </c>
      <c r="B267" s="106">
        <f>IF(C267="","",IFERROR(1/(1/_xlfn.MINIFS('Saisie'!$A$5:$A$2004,'Saisie'!$C$5:$C$2004,C267)),""))</f>
        <v/>
      </c>
      <c r="C267" s="60">
        <f>IFERROR(INDEX('Saisie'!$C$5:$C$2004,MATCH(263,'Saisie'!$AX$5:$AX$2004,0)),"")</f>
        <v/>
      </c>
      <c r="D267" s="60">
        <f>IF(C267="","",IF(AND(BR267&gt;0,BR267&gt;BS267,BA267&lt;7),"Perdu",INDEX('Paramètres'!$F$6:$F$13,BA267)))</f>
        <v/>
      </c>
      <c r="E267" s="61">
        <f>IF(C267="","",MIN(100,(Z267="Oui")*'Paramètres'!$B$38+(AB267="Régulière")*'Paramètres'!$B$39+IF(AND(N(AA267)&gt;0,TODAY()-N(AA267)&lt;=30),'Paramètres'!$B$40,0)+(W267="")*'Paramètres'!$B$41+(AC267="Absente")*'Paramètres'!$B$42+(AC267="Faible")*'Paramètres'!$B$43+IF(AND(N(AD267)&gt;0,N(AD267)&lt;4),'Paramètres'!$B$44,0)+(AF267="Moyenne")*'Paramètres'!$B$45+(AF267="Grande")*'Paramètres'!$B$46+(Y267&lt;&gt;"")*'Paramètres'!$B$47))</f>
        <v/>
      </c>
      <c r="F267" s="60">
        <f>IF(C267="","",IF(D267="Gagné","",IF(D267="Perdu",IF(AND(AX267&lt;&gt;"",AX267&lt;=TODAY()),"À recontacter (perdu)",""),IF(AND(O267&gt;='Paramètres'!$B$21,P267=0),"Stop : "&amp;'Paramètres'!$B$21&amp;" tentatives sans réponse",IF(AND(D267="Proposition",AR267&lt;&gt;"",TODAY()&gt;N(AR267)),"Proposition expirée",IF(AND(D267="Proposition",N(R267)&gt;='Paramètres'!$B$25),"Proposition sans réponse",IF(AND(G267&lt;&gt;"",N(G267)&lt;TODAY()),"Relance en retard",IF(N(R267)&gt;='Paramètres'!$B$24,"Sans action depuis "&amp;R267&amp;" j",""))))))))</f>
        <v/>
      </c>
      <c r="G267" s="106">
        <f>IF(OR(C267="",D267="Gagné",D267="Perdu"),"",IF(AND(BP267&gt;0,BP267=BQ267),INDEX('Saisie'!$J$5:$J$2004,BP267-4),IF(OR(O267=0,AND(O267&gt;='Paramètres'!$B$21,P267=0)),"",Q267+IF(O267&lt;=1,'Paramètres'!$B$18,IF(O267=2,'Paramètres'!$B$19,'Paramètres'!$B$20)))))</f>
        <v/>
      </c>
      <c r="H267" s="107">
        <f>IF(OR(G267="",BP267&lt;&gt;BQ267),"",IF(INDEX('Saisie'!$K$5:$K$2004,BP267-4)="","",INDEX('Saisie'!$K$5:$K$2004,BP267-4)))</f>
        <v/>
      </c>
      <c r="I267" s="60">
        <f>IF(C267="","",IF(OR(D267="Gagné",D267="Perdu"),"",IFERROR(INDEX('Saisie'!$I$5:$I$2004,_xlfn.MAXIFS('Saisie'!$AS$5:$AS$2004,'Saisie'!$C$5:$C$2004,C267,'Saisie'!$I$5:$I$2004,"&lt;&gt;")-4),"")))</f>
        <v/>
      </c>
      <c r="J267" s="60">
        <f>IF(C267="","",IFERROR(INDEX('Saisie'!$U$5:$U$2004,_xlfn.MAXIFS('Saisie'!$AS$5:$AS$2004,'Saisie'!$C$5:$C$2004,C267,'Saisie'!$U$5:$U$2004,"&lt;&gt;")-4),""))</f>
        <v/>
      </c>
      <c r="K267" s="60">
        <f>IF(C267="","",IFERROR(INDEX('Saisie'!$W$5:$W$2004,_xlfn.MAXIFS('Saisie'!$AS$5:$AS$2004,'Saisie'!$C$5:$C$2004,C267,'Saisie'!$W$5:$W$2004,"&lt;&gt;")-4),""))</f>
        <v/>
      </c>
      <c r="L267" s="60">
        <f>IF(IF(BB267&lt;&gt;"",BB267,K267)="","",HYPERLINK("https://wa.me/"&amp;IF(LEFT(SUBSTITUTE(SUBSTITUTE(SUBSTITUTE(IF(BB267&lt;&gt;"",BB267,K267)," ",""),".",""),"+",""),1)="0",'Paramètres'!$B$35&amp;MID(SUBSTITUTE(SUBSTITUTE(SUBSTITUTE(IF(BB267&lt;&gt;"",BB267,K267)," ",""),".",""),"+",""),2,20),SUBSTITUTE(SUBSTITUTE(SUBSTITUTE(IF(BB267&lt;&gt;"",BB267,K267)," ",""),".",""),"+","")),"WhatsApp"))</f>
        <v/>
      </c>
      <c r="M267" s="60">
        <f>IF(BC267="","",HYPERLINK(IF(LEFT(BC267,4)="http",BC267,"https://www.instagram.com/"&amp;SUBSTITUTE(SUBSTITUTE(BC267,"@","")," ","")),BC267))</f>
        <v/>
      </c>
      <c r="N267" s="60">
        <f>IF(C267="","",IFERROR(INDEX('Saisie'!$D$5:$D$2004,_xlfn.MINIFS('Saisie'!$AS$5:$AS$2004,'Saisie'!$C$5:$C$2004,C267,'Saisie'!$AU$5:$AU$2004,1)-4),IFERROR(INDEX('Saisie'!$D$5:$D$2004,_xlfn.MINIFS('Saisie'!$AS$5:$AS$2004,'Saisie'!$C$5:$C$2004,C267,'Saisie'!$D$5:$D$2004,"&lt;&gt;")-4),"")))</f>
        <v/>
      </c>
      <c r="O267" s="60">
        <f>IF(C267="","",COUNTIFS('Saisie'!$C$5:$C$2004,C267,'Saisie'!$AU$5:$AU$2004,1))</f>
        <v/>
      </c>
      <c r="P267" s="60">
        <f>IF(C267="","",COUNTIFS('Saisie'!$C$5:$C$2004,C267,'Saisie'!$AV$5:$AV$2004,1))</f>
        <v/>
      </c>
      <c r="Q267" s="106">
        <f>IF(C267="","",IFERROR(1/(1/_xlfn.MAXIFS('Saisie'!$A$5:$A$2004,'Saisie'!$C$5:$C$2004,C267)),""))</f>
        <v/>
      </c>
      <c r="R267" s="61">
        <f>IF(C267="","",IF(Q267="","",TODAY()-Q267))</f>
        <v/>
      </c>
      <c r="S267" s="60">
        <f>IF(C267="","",IFERROR(INDEX('Saisie'!$R$5:$R$2004,_xlfn.MAXIFS('Saisie'!$AS$5:$AS$2004,'Saisie'!$C$5:$C$2004,C267,'Saisie'!$R$5:$R$2004,"&lt;&gt;")-4),""))</f>
        <v/>
      </c>
      <c r="T267" s="60">
        <f>IF(C267="","",IFERROR(INDEX('Saisie'!$S$5:$S$2004,_xlfn.MAXIFS('Saisie'!$AS$5:$AS$2004,'Saisie'!$C$5:$C$2004,C267,'Saisie'!$S$5:$S$2004,"&lt;&gt;")-4),""))</f>
        <v/>
      </c>
      <c r="U267" s="60">
        <f>IF(C267="","",IFERROR(INDEX('Saisie'!$T$5:$T$2004,_xlfn.MAXIFS('Saisie'!$AS$5:$AS$2004,'Saisie'!$C$5:$C$2004,C267,'Saisie'!$T$5:$T$2004,"&lt;&gt;")-4),""))</f>
        <v/>
      </c>
      <c r="V267" s="60">
        <f>IF(C267="","",IFERROR(INDEX('Saisie'!$V$5:$V$2004,_xlfn.MAXIFS('Saisie'!$AS$5:$AS$2004,'Saisie'!$C$5:$C$2004,C267,'Saisie'!$V$5:$V$2004,"&lt;&gt;")-4),""))</f>
        <v/>
      </c>
      <c r="W267" s="60">
        <f>IF(C267="","",IFERROR(INDEX('Saisie'!$Z$5:$Z$2004,_xlfn.MAXIFS('Saisie'!$AS$5:$AS$2004,'Saisie'!$C$5:$C$2004,C267,'Saisie'!$Z$5:$Z$2004,"&lt;&gt;")-4),""))</f>
        <v/>
      </c>
      <c r="X267" s="60">
        <f>IF(C267="","",IFERROR(INDEX('Saisie'!$AA$5:$AA$2004,_xlfn.MAXIFS('Saisie'!$AS$5:$AS$2004,'Saisie'!$C$5:$C$2004,C267,'Saisie'!$AA$5:$AA$2004,"&lt;&gt;")-4),""))</f>
        <v/>
      </c>
      <c r="Y267" s="60">
        <f>IF(C267="","",IFERROR(INDEX('Saisie'!$AB$5:$AB$2004,_xlfn.MAXIFS('Saisie'!$AS$5:$AS$2004,'Saisie'!$C$5:$C$2004,C267,'Saisie'!$AB$5:$AB$2004,"&lt;&gt;")-4),""))</f>
        <v/>
      </c>
      <c r="Z267" s="60">
        <f>IF(C267="","",IFERROR(INDEX('Saisie'!$AC$5:$AC$2004,_xlfn.MAXIFS('Saisie'!$AS$5:$AS$2004,'Saisie'!$C$5:$C$2004,C267,'Saisie'!$AC$5:$AC$2004,"&lt;&gt;")-4),""))</f>
        <v/>
      </c>
      <c r="AA267" s="106">
        <f>IF(C267="","",IFERROR(INDEX('Saisie'!$AD$5:$AD$2004,_xlfn.MAXIFS('Saisie'!$AS$5:$AS$2004,'Saisie'!$C$5:$C$2004,C267,'Saisie'!$AD$5:$AD$2004,"&lt;&gt;")-4),""))</f>
        <v/>
      </c>
      <c r="AB267" s="60">
        <f>IF(C267="","",IFERROR(INDEX('Saisie'!$AE$5:$AE$2004,_xlfn.MAXIFS('Saisie'!$AS$5:$AS$2004,'Saisie'!$C$5:$C$2004,C267,'Saisie'!$AE$5:$AE$2004,"&lt;&gt;")-4),""))</f>
        <v/>
      </c>
      <c r="AC267" s="60">
        <f>IF(C267="","",IFERROR(INDEX('Saisie'!$AF$5:$AF$2004,_xlfn.MAXIFS('Saisie'!$AS$5:$AS$2004,'Saisie'!$C$5:$C$2004,C267,'Saisie'!$AF$5:$AF$2004,"&lt;&gt;")-4),""))</f>
        <v/>
      </c>
      <c r="AD267" s="108">
        <f>IF(C267="","",IFERROR(INDEX('Saisie'!$AG$5:$AG$2004,_xlfn.MAXIFS('Saisie'!$AS$5:$AS$2004,'Saisie'!$C$5:$C$2004,C267,'Saisie'!$AG$5:$AG$2004,"&lt;&gt;")-4),""))</f>
        <v/>
      </c>
      <c r="AE267" s="60">
        <f>IF(C267="","",IFERROR(INDEX('Saisie'!$AH$5:$AH$2004,_xlfn.MAXIFS('Saisie'!$AS$5:$AS$2004,'Saisie'!$C$5:$C$2004,C267,'Saisie'!$AH$5:$AH$2004,"&lt;&gt;")-4),""))</f>
        <v/>
      </c>
      <c r="AF267" s="60">
        <f>IF(C267="","",IFERROR(INDEX('Saisie'!$AI$5:$AI$2004,_xlfn.MAXIFS('Saisie'!$AS$5:$AS$2004,'Saisie'!$C$5:$C$2004,C267,'Saisie'!$AI$5:$AI$2004,"&lt;&gt;")-4),""))</f>
        <v/>
      </c>
      <c r="AG267" s="60">
        <f>IF(C267="","",IFERROR(INDEX('Saisie'!$AJ$5:$AJ$2004,_xlfn.MAXIFS('Saisie'!$AS$5:$AS$2004,'Saisie'!$C$5:$C$2004,C267,'Saisie'!$AJ$5:$AJ$2004,"&lt;&gt;")-4),""))</f>
        <v/>
      </c>
      <c r="AH267" s="60">
        <f>IF(C267="","",IFERROR(INDEX('Saisie'!$AK$5:$AK$2004,_xlfn.MAXIFS('Saisie'!$AS$5:$AS$2004,'Saisie'!$C$5:$C$2004,C267,'Saisie'!$AK$5:$AK$2004,"&lt;&gt;")-4),""))</f>
        <v/>
      </c>
      <c r="AI267" s="60">
        <f>IF(C267="","",IFERROR(INDEX('Saisie'!$AN$5:$AN$2004,_xlfn.MAXIFS('Saisie'!$AS$5:$AS$2004,'Saisie'!$C$5:$C$2004,C267,'Saisie'!$AN$5:$AN$2004,"&lt;&gt;")-4),""))</f>
        <v/>
      </c>
      <c r="AJ267" s="60">
        <f>IF(C267="","",IFERROR(INDEX('Saisie'!$AO$5:$AO$2004,_xlfn.MAXIFS('Saisie'!$AS$5:$AS$2004,'Saisie'!$C$5:$C$2004,C267,'Saisie'!$AO$5:$AO$2004,"&lt;&gt;")-4),""))</f>
        <v/>
      </c>
      <c r="AK267" s="60">
        <f>IF(C267="","",IFERROR(INDEX('Saisie'!$AP$5:$AP$2004,_xlfn.MAXIFS('Saisie'!$AS$5:$AS$2004,'Saisie'!$C$5:$C$2004,C267,'Saisie'!$AP$5:$AP$2004,"&lt;&gt;")-4),""))</f>
        <v/>
      </c>
      <c r="AL267" s="60">
        <f>IF(C267="","",IFERROR(INDEX('Saisie'!$AQ$5:$AQ$2004,_xlfn.MAXIFS('Saisie'!$AS$5:$AS$2004,'Saisie'!$C$5:$C$2004,C267,'Saisie'!$AQ$5:$AQ$2004,"&lt;&gt;")-4),""))</f>
        <v/>
      </c>
      <c r="AM267" s="60">
        <f>IF(C267="","",((AI267="Oui")+(AJ267="Oui")+(AK267="Oui")+OR(AL267="Immédiat",AL267="&lt; 1 mois"))&amp;"/4")</f>
        <v/>
      </c>
      <c r="AN267" s="60">
        <f>IF(C267="","",IFERROR(INDEX('Saisie'!$AL$5:$AL$2004,_xlfn.MAXIFS('Saisie'!$AS$5:$AS$2004,'Saisie'!$C$5:$C$2004,C267,'Saisie'!$AL$5:$AL$2004,"&lt;&gt;")-4),""))</f>
        <v/>
      </c>
      <c r="AO267" s="62">
        <f>IF(C267="","",IF(IFERROR(INDEX('Saisie'!$AM$5:$AM$2004,_xlfn.MAXIFS('Saisie'!$AS$5:$AS$2004,'Saisie'!$C$5:$C$2004,C267,'Saisie'!$AM$5:$AM$2004,"&lt;&gt;")-4),"")&lt;&gt;"",IFERROR(INDEX('Saisie'!$AM$5:$AM$2004,_xlfn.MAXIFS('Saisie'!$AS$5:$AS$2004,'Saisie'!$C$5:$C$2004,C267,'Saisie'!$AM$5:$AM$2004,"&lt;&gt;")-4),""),IFERROR(INDEX('Paramètres'!$S$6:$S$15,MATCH(AN267,'Paramètres'!$Q$6:$Q$15,0)),"")))</f>
        <v/>
      </c>
      <c r="AP267" s="62">
        <f>IF(C267="","",IFERROR(INDEX('Saisie'!$AW$5:$AW$2004,_xlfn.MAXIFS('Saisie'!$AS$5:$AS$2004,'Saisie'!$C$5:$C$2004,C267,'Saisie'!$E$5:$E$2004,"Proposition envoyée")-4),""))</f>
        <v/>
      </c>
      <c r="AQ267" s="106">
        <f>IF(C267="","",IFERROR(1/(1/_xlfn.MAXIFS('Saisie'!$A$5:$A$2004,'Saisie'!$C$5:$C$2004,C267,'Saisie'!$E$5:$E$2004,"Proposition envoyée")),""))</f>
        <v/>
      </c>
      <c r="AR267" s="106">
        <f>IF(C267="","",IF(AQ267="","",AQ267+'Paramètres'!$B$26))</f>
        <v/>
      </c>
      <c r="AS267" s="62">
        <f>IF(OR(C267="",D267="Gagné",D267="Perdu"),0,N(AP267)*IFERROR(INDEX('Paramètres'!$G$6:$G$13,MATCH(D267,'Paramètres'!$F$6:$F$13,0)),0))</f>
        <v/>
      </c>
      <c r="AT267" s="106">
        <f>IF(C267="","",IFERROR(1/(1/_xlfn.MINIFS('Saisie'!$A$5:$A$2004,'Saisie'!$C$5:$C$2004,C267,'Saisie'!$E$5:$E$2004,"Signature")),""))</f>
        <v/>
      </c>
      <c r="AU267" s="60">
        <f>IF(C267="","",IF(OR(AT267="",B267=""),"",AT267-B267))</f>
        <v/>
      </c>
      <c r="AV267" s="60">
        <f>IF(C267="","",IFERROR(INDEX('Saisie'!$L$5:$L$2004,_xlfn.MAXIFS('Saisie'!$AS$5:$AS$2004,'Saisie'!$C$5:$C$2004,C267,'Saisie'!$L$5:$L$2004,"&lt;&gt;")-4),""))</f>
        <v/>
      </c>
      <c r="AW267" s="106">
        <f>IF(C267="","",IF(D267&lt;&gt;"Perdu","",IFERROR(1/(1/_xlfn.MAXIFS('Saisie'!$A$5:$A$2004,'Saisie'!$C$5:$C$2004,C267,'Saisie'!$E$5:$E$2004,"Perdu")),"")))</f>
        <v/>
      </c>
      <c r="AX267" s="106">
        <f>IF(C267="","",IF(AW267="","",AW267+'Paramètres'!$B$28))</f>
        <v/>
      </c>
      <c r="AY267" s="60">
        <f>IF(C267="","",SUMIFS('Saisie'!$H$5:$H$2004,'Saisie'!$C$5:$C$2004,C267))</f>
        <v/>
      </c>
      <c r="AZ267" s="60">
        <f>IF(C267="","",IFERROR(INDEX('Paramètres'!$W$6:$W$20,MATCH(S267,'Paramètres'!$V$6:$V$20,0))&amp;"",""))</f>
        <v/>
      </c>
      <c r="BA267" s="60">
        <f>IF(C267="","",MAX(1,_xlfn.MAXIFS('Saisie'!$AT$5:$AT$2004,'Saisie'!$C$5:$C$2004,C267)))</f>
        <v/>
      </c>
      <c r="BB267" s="60">
        <f>IF(C267="","",IFERROR(INDEX('Saisie'!$X$5:$X$2004,_xlfn.MAXIFS('Saisie'!$AS$5:$AS$2004,'Saisie'!$C$5:$C$2004,C267,'Saisie'!$X$5:$X$2004,"&lt;&gt;")-4),""))</f>
        <v/>
      </c>
      <c r="BC267" s="60">
        <f>IF(C267="","",IFERROR(INDEX('Saisie'!$Y$5:$Y$2004,_xlfn.MAXIFS('Saisie'!$AS$5:$AS$2004,'Saisie'!$C$5:$C$2004,C267,'Saisie'!$Y$5:$Y$2004,"&lt;&gt;")-4),""))</f>
        <v/>
      </c>
      <c r="BD267" s="106">
        <f>IF(C267="","",IFERROR(1/(1/_xlfn.MINIFS('Saisie'!$A$5:$A$2004,'Saisie'!$C$5:$C$2004,C267,'Saisie'!$AT$5:$AT$2004,"&gt;=2")),""))</f>
        <v/>
      </c>
      <c r="BE267" s="106">
        <f>IF(C267="","",IFERROR(1/(1/_xlfn.MINIFS('Saisie'!$A$5:$A$2004,'Saisie'!$C$5:$C$2004,C267,'Saisie'!$AT$5:$AT$2004,"&gt;=3")),""))</f>
        <v/>
      </c>
      <c r="BF267" s="106">
        <f>IF(C267="","",IFERROR(1/(1/_xlfn.MINIFS('Saisie'!$A$5:$A$2004,'Saisie'!$C$5:$C$2004,C267,'Saisie'!$AT$5:$AT$2004,"&gt;=4")),""))</f>
        <v/>
      </c>
      <c r="BG267" s="106">
        <f>IF(C267="","",IFERROR(1/(1/_xlfn.MINIFS('Saisie'!$A$5:$A$2004,'Saisie'!$C$5:$C$2004,C267,'Saisie'!$AT$5:$AT$2004,"&gt;=5")),""))</f>
        <v/>
      </c>
      <c r="BH267" s="106">
        <f>IF(C267="","",IFERROR(1/(1/_xlfn.MINIFS('Saisie'!$A$5:$A$2004,'Saisie'!$C$5:$C$2004,C267,'Saisie'!$AT$5:$AT$2004,"&gt;=6")),""))</f>
        <v/>
      </c>
      <c r="BI267" s="106">
        <f>IF(C267="","",IFERROR(1/(1/_xlfn.MINIFS('Saisie'!$A$5:$A$2004,'Saisie'!$C$5:$C$2004,C267,'Saisie'!$AT$5:$AT$2004,"&gt;=7")),""))</f>
        <v/>
      </c>
      <c r="BJ267" s="60">
        <f>IF(OR(BD267="",B267=""),"",BD267-B267)</f>
        <v/>
      </c>
      <c r="BK267" s="60">
        <f>IF(OR(BE267="",BD267=""),"",BE267-BD267)</f>
        <v/>
      </c>
      <c r="BL267" s="60">
        <f>IF(OR(BF267="",BE267=""),"",BF267-BE267)</f>
        <v/>
      </c>
      <c r="BM267" s="60">
        <f>IF(OR(BG267="",BF267=""),"",BG267-BF267)</f>
        <v/>
      </c>
      <c r="BN267" s="60">
        <f>IF(OR(BH267="",BG267=""),"",BH267-BG267)</f>
        <v/>
      </c>
      <c r="BO267" s="60">
        <f>IF(OR(BI267="",BH267=""),"",BI267-BH267)</f>
        <v/>
      </c>
      <c r="BP267" s="60">
        <f>IF(C267="","",_xlfn.MAXIFS('Saisie'!$AS$5:$AS$2004,'Saisie'!$C$5:$C$2004,C267,'Saisie'!$J$5:$J$2004,"&lt;&gt;"))</f>
        <v/>
      </c>
      <c r="BQ267" s="60">
        <f>IF(C267="","",_xlfn.MAXIFS('Saisie'!$AS$5:$AS$2004,'Saisie'!$C$5:$C$2004,C267))</f>
        <v/>
      </c>
      <c r="BR267" s="60">
        <f>IF(C267="","",_xlfn.MAXIFS('Saisie'!$AS$5:$AS$2004,'Saisie'!$C$5:$C$2004,C267,'Saisie'!$E$5:$E$2004,"Perdu"))</f>
        <v/>
      </c>
      <c r="BS267" s="60">
        <f>IF(C267="","",_xlfn.MAXIFS('Saisie'!$AS$5:$AS$2004,'Saisie'!$C$5:$C$2004,C267,'Saisie'!$AT$5:$AT$2004,"&gt;0"))</f>
        <v/>
      </c>
      <c r="BT267" s="109">
        <f>IF(AND(C267&lt;&gt;"",OR(D267="Nouveau",D267="Contacté",D267="Qualifié"),OR(G267="",N(G267)&lt;=TODAY()),NOT(AND(O267&gt;='Paramètres'!$B$21,P267=0))),E267+263/10000,"")</f>
        <v/>
      </c>
      <c r="BU267" s="60">
        <f>IF(AND(G267&lt;&gt;"",N(G267)&lt;=TODAY()),MAX($BU$4:BU266)+1,"")</f>
        <v/>
      </c>
      <c r="BV267" s="60">
        <f>IF(AND(F267&lt;&gt;"",F267&lt;&gt;"Relance en retard"),MAX($BV$4:BV266)+1,"")</f>
        <v/>
      </c>
      <c r="BW267" s="60">
        <f>IF(C267="","",IF(AND(B267&gt;='Tableau de bord'!$R$4,B267&lt;='Tableau de bord'!$S$4,OR('Tableau de bord'!$G$4="Tous",N267='Tableau de bord'!$G$4)),1,0))</f>
        <v/>
      </c>
      <c r="BX267" s="60">
        <f>IF(AND(C267&lt;&gt;"",N(BA267)=7),MAX($BX$4:BX266)+1,"")</f>
        <v/>
      </c>
    </row>
    <row r="268">
      <c r="A268" s="60">
        <f>IF(C268="","","P-"&amp;TEXT(264,"000"))</f>
        <v/>
      </c>
      <c r="B268" s="106">
        <f>IF(C268="","",IFERROR(1/(1/_xlfn.MINIFS('Saisie'!$A$5:$A$2004,'Saisie'!$C$5:$C$2004,C268)),""))</f>
        <v/>
      </c>
      <c r="C268" s="60">
        <f>IFERROR(INDEX('Saisie'!$C$5:$C$2004,MATCH(264,'Saisie'!$AX$5:$AX$2004,0)),"")</f>
        <v/>
      </c>
      <c r="D268" s="60">
        <f>IF(C268="","",IF(AND(BR268&gt;0,BR268&gt;BS268,BA268&lt;7),"Perdu",INDEX('Paramètres'!$F$6:$F$13,BA268)))</f>
        <v/>
      </c>
      <c r="E268" s="61">
        <f>IF(C268="","",MIN(100,(Z268="Oui")*'Paramètres'!$B$38+(AB268="Régulière")*'Paramètres'!$B$39+IF(AND(N(AA268)&gt;0,TODAY()-N(AA268)&lt;=30),'Paramètres'!$B$40,0)+(W268="")*'Paramètres'!$B$41+(AC268="Absente")*'Paramètres'!$B$42+(AC268="Faible")*'Paramètres'!$B$43+IF(AND(N(AD268)&gt;0,N(AD268)&lt;4),'Paramètres'!$B$44,0)+(AF268="Moyenne")*'Paramètres'!$B$45+(AF268="Grande")*'Paramètres'!$B$46+(Y268&lt;&gt;"")*'Paramètres'!$B$47))</f>
        <v/>
      </c>
      <c r="F268" s="60">
        <f>IF(C268="","",IF(D268="Gagné","",IF(D268="Perdu",IF(AND(AX268&lt;&gt;"",AX268&lt;=TODAY()),"À recontacter (perdu)",""),IF(AND(O268&gt;='Paramètres'!$B$21,P268=0),"Stop : "&amp;'Paramètres'!$B$21&amp;" tentatives sans réponse",IF(AND(D268="Proposition",AR268&lt;&gt;"",TODAY()&gt;N(AR268)),"Proposition expirée",IF(AND(D268="Proposition",N(R268)&gt;='Paramètres'!$B$25),"Proposition sans réponse",IF(AND(G268&lt;&gt;"",N(G268)&lt;TODAY()),"Relance en retard",IF(N(R268)&gt;='Paramètres'!$B$24,"Sans action depuis "&amp;R268&amp;" j",""))))))))</f>
        <v/>
      </c>
      <c r="G268" s="106">
        <f>IF(OR(C268="",D268="Gagné",D268="Perdu"),"",IF(AND(BP268&gt;0,BP268=BQ268),INDEX('Saisie'!$J$5:$J$2004,BP268-4),IF(OR(O268=0,AND(O268&gt;='Paramètres'!$B$21,P268=0)),"",Q268+IF(O268&lt;=1,'Paramètres'!$B$18,IF(O268=2,'Paramètres'!$B$19,'Paramètres'!$B$20)))))</f>
        <v/>
      </c>
      <c r="H268" s="107">
        <f>IF(OR(G268="",BP268&lt;&gt;BQ268),"",IF(INDEX('Saisie'!$K$5:$K$2004,BP268-4)="","",INDEX('Saisie'!$K$5:$K$2004,BP268-4)))</f>
        <v/>
      </c>
      <c r="I268" s="60">
        <f>IF(C268="","",IF(OR(D268="Gagné",D268="Perdu"),"",IFERROR(INDEX('Saisie'!$I$5:$I$2004,_xlfn.MAXIFS('Saisie'!$AS$5:$AS$2004,'Saisie'!$C$5:$C$2004,C268,'Saisie'!$I$5:$I$2004,"&lt;&gt;")-4),"")))</f>
        <v/>
      </c>
      <c r="J268" s="60">
        <f>IF(C268="","",IFERROR(INDEX('Saisie'!$U$5:$U$2004,_xlfn.MAXIFS('Saisie'!$AS$5:$AS$2004,'Saisie'!$C$5:$C$2004,C268,'Saisie'!$U$5:$U$2004,"&lt;&gt;")-4),""))</f>
        <v/>
      </c>
      <c r="K268" s="60">
        <f>IF(C268="","",IFERROR(INDEX('Saisie'!$W$5:$W$2004,_xlfn.MAXIFS('Saisie'!$AS$5:$AS$2004,'Saisie'!$C$5:$C$2004,C268,'Saisie'!$W$5:$W$2004,"&lt;&gt;")-4),""))</f>
        <v/>
      </c>
      <c r="L268" s="60">
        <f>IF(IF(BB268&lt;&gt;"",BB268,K268)="","",HYPERLINK("https://wa.me/"&amp;IF(LEFT(SUBSTITUTE(SUBSTITUTE(SUBSTITUTE(IF(BB268&lt;&gt;"",BB268,K268)," ",""),".",""),"+",""),1)="0",'Paramètres'!$B$35&amp;MID(SUBSTITUTE(SUBSTITUTE(SUBSTITUTE(IF(BB268&lt;&gt;"",BB268,K268)," ",""),".",""),"+",""),2,20),SUBSTITUTE(SUBSTITUTE(SUBSTITUTE(IF(BB268&lt;&gt;"",BB268,K268)," ",""),".",""),"+","")),"WhatsApp"))</f>
        <v/>
      </c>
      <c r="M268" s="60">
        <f>IF(BC268="","",HYPERLINK(IF(LEFT(BC268,4)="http",BC268,"https://www.instagram.com/"&amp;SUBSTITUTE(SUBSTITUTE(BC268,"@","")," ","")),BC268))</f>
        <v/>
      </c>
      <c r="N268" s="60">
        <f>IF(C268="","",IFERROR(INDEX('Saisie'!$D$5:$D$2004,_xlfn.MINIFS('Saisie'!$AS$5:$AS$2004,'Saisie'!$C$5:$C$2004,C268,'Saisie'!$AU$5:$AU$2004,1)-4),IFERROR(INDEX('Saisie'!$D$5:$D$2004,_xlfn.MINIFS('Saisie'!$AS$5:$AS$2004,'Saisie'!$C$5:$C$2004,C268,'Saisie'!$D$5:$D$2004,"&lt;&gt;")-4),"")))</f>
        <v/>
      </c>
      <c r="O268" s="60">
        <f>IF(C268="","",COUNTIFS('Saisie'!$C$5:$C$2004,C268,'Saisie'!$AU$5:$AU$2004,1))</f>
        <v/>
      </c>
      <c r="P268" s="60">
        <f>IF(C268="","",COUNTIFS('Saisie'!$C$5:$C$2004,C268,'Saisie'!$AV$5:$AV$2004,1))</f>
        <v/>
      </c>
      <c r="Q268" s="106">
        <f>IF(C268="","",IFERROR(1/(1/_xlfn.MAXIFS('Saisie'!$A$5:$A$2004,'Saisie'!$C$5:$C$2004,C268)),""))</f>
        <v/>
      </c>
      <c r="R268" s="61">
        <f>IF(C268="","",IF(Q268="","",TODAY()-Q268))</f>
        <v/>
      </c>
      <c r="S268" s="60">
        <f>IF(C268="","",IFERROR(INDEX('Saisie'!$R$5:$R$2004,_xlfn.MAXIFS('Saisie'!$AS$5:$AS$2004,'Saisie'!$C$5:$C$2004,C268,'Saisie'!$R$5:$R$2004,"&lt;&gt;")-4),""))</f>
        <v/>
      </c>
      <c r="T268" s="60">
        <f>IF(C268="","",IFERROR(INDEX('Saisie'!$S$5:$S$2004,_xlfn.MAXIFS('Saisie'!$AS$5:$AS$2004,'Saisie'!$C$5:$C$2004,C268,'Saisie'!$S$5:$S$2004,"&lt;&gt;")-4),""))</f>
        <v/>
      </c>
      <c r="U268" s="60">
        <f>IF(C268="","",IFERROR(INDEX('Saisie'!$T$5:$T$2004,_xlfn.MAXIFS('Saisie'!$AS$5:$AS$2004,'Saisie'!$C$5:$C$2004,C268,'Saisie'!$T$5:$T$2004,"&lt;&gt;")-4),""))</f>
        <v/>
      </c>
      <c r="V268" s="60">
        <f>IF(C268="","",IFERROR(INDEX('Saisie'!$V$5:$V$2004,_xlfn.MAXIFS('Saisie'!$AS$5:$AS$2004,'Saisie'!$C$5:$C$2004,C268,'Saisie'!$V$5:$V$2004,"&lt;&gt;")-4),""))</f>
        <v/>
      </c>
      <c r="W268" s="60">
        <f>IF(C268="","",IFERROR(INDEX('Saisie'!$Z$5:$Z$2004,_xlfn.MAXIFS('Saisie'!$AS$5:$AS$2004,'Saisie'!$C$5:$C$2004,C268,'Saisie'!$Z$5:$Z$2004,"&lt;&gt;")-4),""))</f>
        <v/>
      </c>
      <c r="X268" s="60">
        <f>IF(C268="","",IFERROR(INDEX('Saisie'!$AA$5:$AA$2004,_xlfn.MAXIFS('Saisie'!$AS$5:$AS$2004,'Saisie'!$C$5:$C$2004,C268,'Saisie'!$AA$5:$AA$2004,"&lt;&gt;")-4),""))</f>
        <v/>
      </c>
      <c r="Y268" s="60">
        <f>IF(C268="","",IFERROR(INDEX('Saisie'!$AB$5:$AB$2004,_xlfn.MAXIFS('Saisie'!$AS$5:$AS$2004,'Saisie'!$C$5:$C$2004,C268,'Saisie'!$AB$5:$AB$2004,"&lt;&gt;")-4),""))</f>
        <v/>
      </c>
      <c r="Z268" s="60">
        <f>IF(C268="","",IFERROR(INDEX('Saisie'!$AC$5:$AC$2004,_xlfn.MAXIFS('Saisie'!$AS$5:$AS$2004,'Saisie'!$C$5:$C$2004,C268,'Saisie'!$AC$5:$AC$2004,"&lt;&gt;")-4),""))</f>
        <v/>
      </c>
      <c r="AA268" s="106">
        <f>IF(C268="","",IFERROR(INDEX('Saisie'!$AD$5:$AD$2004,_xlfn.MAXIFS('Saisie'!$AS$5:$AS$2004,'Saisie'!$C$5:$C$2004,C268,'Saisie'!$AD$5:$AD$2004,"&lt;&gt;")-4),""))</f>
        <v/>
      </c>
      <c r="AB268" s="60">
        <f>IF(C268="","",IFERROR(INDEX('Saisie'!$AE$5:$AE$2004,_xlfn.MAXIFS('Saisie'!$AS$5:$AS$2004,'Saisie'!$C$5:$C$2004,C268,'Saisie'!$AE$5:$AE$2004,"&lt;&gt;")-4),""))</f>
        <v/>
      </c>
      <c r="AC268" s="60">
        <f>IF(C268="","",IFERROR(INDEX('Saisie'!$AF$5:$AF$2004,_xlfn.MAXIFS('Saisie'!$AS$5:$AS$2004,'Saisie'!$C$5:$C$2004,C268,'Saisie'!$AF$5:$AF$2004,"&lt;&gt;")-4),""))</f>
        <v/>
      </c>
      <c r="AD268" s="108">
        <f>IF(C268="","",IFERROR(INDEX('Saisie'!$AG$5:$AG$2004,_xlfn.MAXIFS('Saisie'!$AS$5:$AS$2004,'Saisie'!$C$5:$C$2004,C268,'Saisie'!$AG$5:$AG$2004,"&lt;&gt;")-4),""))</f>
        <v/>
      </c>
      <c r="AE268" s="60">
        <f>IF(C268="","",IFERROR(INDEX('Saisie'!$AH$5:$AH$2004,_xlfn.MAXIFS('Saisie'!$AS$5:$AS$2004,'Saisie'!$C$5:$C$2004,C268,'Saisie'!$AH$5:$AH$2004,"&lt;&gt;")-4),""))</f>
        <v/>
      </c>
      <c r="AF268" s="60">
        <f>IF(C268="","",IFERROR(INDEX('Saisie'!$AI$5:$AI$2004,_xlfn.MAXIFS('Saisie'!$AS$5:$AS$2004,'Saisie'!$C$5:$C$2004,C268,'Saisie'!$AI$5:$AI$2004,"&lt;&gt;")-4),""))</f>
        <v/>
      </c>
      <c r="AG268" s="60">
        <f>IF(C268="","",IFERROR(INDEX('Saisie'!$AJ$5:$AJ$2004,_xlfn.MAXIFS('Saisie'!$AS$5:$AS$2004,'Saisie'!$C$5:$C$2004,C268,'Saisie'!$AJ$5:$AJ$2004,"&lt;&gt;")-4),""))</f>
        <v/>
      </c>
      <c r="AH268" s="60">
        <f>IF(C268="","",IFERROR(INDEX('Saisie'!$AK$5:$AK$2004,_xlfn.MAXIFS('Saisie'!$AS$5:$AS$2004,'Saisie'!$C$5:$C$2004,C268,'Saisie'!$AK$5:$AK$2004,"&lt;&gt;")-4),""))</f>
        <v/>
      </c>
      <c r="AI268" s="60">
        <f>IF(C268="","",IFERROR(INDEX('Saisie'!$AN$5:$AN$2004,_xlfn.MAXIFS('Saisie'!$AS$5:$AS$2004,'Saisie'!$C$5:$C$2004,C268,'Saisie'!$AN$5:$AN$2004,"&lt;&gt;")-4),""))</f>
        <v/>
      </c>
      <c r="AJ268" s="60">
        <f>IF(C268="","",IFERROR(INDEX('Saisie'!$AO$5:$AO$2004,_xlfn.MAXIFS('Saisie'!$AS$5:$AS$2004,'Saisie'!$C$5:$C$2004,C268,'Saisie'!$AO$5:$AO$2004,"&lt;&gt;")-4),""))</f>
        <v/>
      </c>
      <c r="AK268" s="60">
        <f>IF(C268="","",IFERROR(INDEX('Saisie'!$AP$5:$AP$2004,_xlfn.MAXIFS('Saisie'!$AS$5:$AS$2004,'Saisie'!$C$5:$C$2004,C268,'Saisie'!$AP$5:$AP$2004,"&lt;&gt;")-4),""))</f>
        <v/>
      </c>
      <c r="AL268" s="60">
        <f>IF(C268="","",IFERROR(INDEX('Saisie'!$AQ$5:$AQ$2004,_xlfn.MAXIFS('Saisie'!$AS$5:$AS$2004,'Saisie'!$C$5:$C$2004,C268,'Saisie'!$AQ$5:$AQ$2004,"&lt;&gt;")-4),""))</f>
        <v/>
      </c>
      <c r="AM268" s="60">
        <f>IF(C268="","",((AI268="Oui")+(AJ268="Oui")+(AK268="Oui")+OR(AL268="Immédiat",AL268="&lt; 1 mois"))&amp;"/4")</f>
        <v/>
      </c>
      <c r="AN268" s="60">
        <f>IF(C268="","",IFERROR(INDEX('Saisie'!$AL$5:$AL$2004,_xlfn.MAXIFS('Saisie'!$AS$5:$AS$2004,'Saisie'!$C$5:$C$2004,C268,'Saisie'!$AL$5:$AL$2004,"&lt;&gt;")-4),""))</f>
        <v/>
      </c>
      <c r="AO268" s="62">
        <f>IF(C268="","",IF(IFERROR(INDEX('Saisie'!$AM$5:$AM$2004,_xlfn.MAXIFS('Saisie'!$AS$5:$AS$2004,'Saisie'!$C$5:$C$2004,C268,'Saisie'!$AM$5:$AM$2004,"&lt;&gt;")-4),"")&lt;&gt;"",IFERROR(INDEX('Saisie'!$AM$5:$AM$2004,_xlfn.MAXIFS('Saisie'!$AS$5:$AS$2004,'Saisie'!$C$5:$C$2004,C268,'Saisie'!$AM$5:$AM$2004,"&lt;&gt;")-4),""),IFERROR(INDEX('Paramètres'!$S$6:$S$15,MATCH(AN268,'Paramètres'!$Q$6:$Q$15,0)),"")))</f>
        <v/>
      </c>
      <c r="AP268" s="62">
        <f>IF(C268="","",IFERROR(INDEX('Saisie'!$AW$5:$AW$2004,_xlfn.MAXIFS('Saisie'!$AS$5:$AS$2004,'Saisie'!$C$5:$C$2004,C268,'Saisie'!$E$5:$E$2004,"Proposition envoyée")-4),""))</f>
        <v/>
      </c>
      <c r="AQ268" s="106">
        <f>IF(C268="","",IFERROR(1/(1/_xlfn.MAXIFS('Saisie'!$A$5:$A$2004,'Saisie'!$C$5:$C$2004,C268,'Saisie'!$E$5:$E$2004,"Proposition envoyée")),""))</f>
        <v/>
      </c>
      <c r="AR268" s="106">
        <f>IF(C268="","",IF(AQ268="","",AQ268+'Paramètres'!$B$26))</f>
        <v/>
      </c>
      <c r="AS268" s="62">
        <f>IF(OR(C268="",D268="Gagné",D268="Perdu"),0,N(AP268)*IFERROR(INDEX('Paramètres'!$G$6:$G$13,MATCH(D268,'Paramètres'!$F$6:$F$13,0)),0))</f>
        <v/>
      </c>
      <c r="AT268" s="106">
        <f>IF(C268="","",IFERROR(1/(1/_xlfn.MINIFS('Saisie'!$A$5:$A$2004,'Saisie'!$C$5:$C$2004,C268,'Saisie'!$E$5:$E$2004,"Signature")),""))</f>
        <v/>
      </c>
      <c r="AU268" s="60">
        <f>IF(C268="","",IF(OR(AT268="",B268=""),"",AT268-B268))</f>
        <v/>
      </c>
      <c r="AV268" s="60">
        <f>IF(C268="","",IFERROR(INDEX('Saisie'!$L$5:$L$2004,_xlfn.MAXIFS('Saisie'!$AS$5:$AS$2004,'Saisie'!$C$5:$C$2004,C268,'Saisie'!$L$5:$L$2004,"&lt;&gt;")-4),""))</f>
        <v/>
      </c>
      <c r="AW268" s="106">
        <f>IF(C268="","",IF(D268&lt;&gt;"Perdu","",IFERROR(1/(1/_xlfn.MAXIFS('Saisie'!$A$5:$A$2004,'Saisie'!$C$5:$C$2004,C268,'Saisie'!$E$5:$E$2004,"Perdu")),"")))</f>
        <v/>
      </c>
      <c r="AX268" s="106">
        <f>IF(C268="","",IF(AW268="","",AW268+'Paramètres'!$B$28))</f>
        <v/>
      </c>
      <c r="AY268" s="60">
        <f>IF(C268="","",SUMIFS('Saisie'!$H$5:$H$2004,'Saisie'!$C$5:$C$2004,C268))</f>
        <v/>
      </c>
      <c r="AZ268" s="60">
        <f>IF(C268="","",IFERROR(INDEX('Paramètres'!$W$6:$W$20,MATCH(S268,'Paramètres'!$V$6:$V$20,0))&amp;"",""))</f>
        <v/>
      </c>
      <c r="BA268" s="60">
        <f>IF(C268="","",MAX(1,_xlfn.MAXIFS('Saisie'!$AT$5:$AT$2004,'Saisie'!$C$5:$C$2004,C268)))</f>
        <v/>
      </c>
      <c r="BB268" s="60">
        <f>IF(C268="","",IFERROR(INDEX('Saisie'!$X$5:$X$2004,_xlfn.MAXIFS('Saisie'!$AS$5:$AS$2004,'Saisie'!$C$5:$C$2004,C268,'Saisie'!$X$5:$X$2004,"&lt;&gt;")-4),""))</f>
        <v/>
      </c>
      <c r="BC268" s="60">
        <f>IF(C268="","",IFERROR(INDEX('Saisie'!$Y$5:$Y$2004,_xlfn.MAXIFS('Saisie'!$AS$5:$AS$2004,'Saisie'!$C$5:$C$2004,C268,'Saisie'!$Y$5:$Y$2004,"&lt;&gt;")-4),""))</f>
        <v/>
      </c>
      <c r="BD268" s="106">
        <f>IF(C268="","",IFERROR(1/(1/_xlfn.MINIFS('Saisie'!$A$5:$A$2004,'Saisie'!$C$5:$C$2004,C268,'Saisie'!$AT$5:$AT$2004,"&gt;=2")),""))</f>
        <v/>
      </c>
      <c r="BE268" s="106">
        <f>IF(C268="","",IFERROR(1/(1/_xlfn.MINIFS('Saisie'!$A$5:$A$2004,'Saisie'!$C$5:$C$2004,C268,'Saisie'!$AT$5:$AT$2004,"&gt;=3")),""))</f>
        <v/>
      </c>
      <c r="BF268" s="106">
        <f>IF(C268="","",IFERROR(1/(1/_xlfn.MINIFS('Saisie'!$A$5:$A$2004,'Saisie'!$C$5:$C$2004,C268,'Saisie'!$AT$5:$AT$2004,"&gt;=4")),""))</f>
        <v/>
      </c>
      <c r="BG268" s="106">
        <f>IF(C268="","",IFERROR(1/(1/_xlfn.MINIFS('Saisie'!$A$5:$A$2004,'Saisie'!$C$5:$C$2004,C268,'Saisie'!$AT$5:$AT$2004,"&gt;=5")),""))</f>
        <v/>
      </c>
      <c r="BH268" s="106">
        <f>IF(C268="","",IFERROR(1/(1/_xlfn.MINIFS('Saisie'!$A$5:$A$2004,'Saisie'!$C$5:$C$2004,C268,'Saisie'!$AT$5:$AT$2004,"&gt;=6")),""))</f>
        <v/>
      </c>
      <c r="BI268" s="106">
        <f>IF(C268="","",IFERROR(1/(1/_xlfn.MINIFS('Saisie'!$A$5:$A$2004,'Saisie'!$C$5:$C$2004,C268,'Saisie'!$AT$5:$AT$2004,"&gt;=7")),""))</f>
        <v/>
      </c>
      <c r="BJ268" s="60">
        <f>IF(OR(BD268="",B268=""),"",BD268-B268)</f>
        <v/>
      </c>
      <c r="BK268" s="60">
        <f>IF(OR(BE268="",BD268=""),"",BE268-BD268)</f>
        <v/>
      </c>
      <c r="BL268" s="60">
        <f>IF(OR(BF268="",BE268=""),"",BF268-BE268)</f>
        <v/>
      </c>
      <c r="BM268" s="60">
        <f>IF(OR(BG268="",BF268=""),"",BG268-BF268)</f>
        <v/>
      </c>
      <c r="BN268" s="60">
        <f>IF(OR(BH268="",BG268=""),"",BH268-BG268)</f>
        <v/>
      </c>
      <c r="BO268" s="60">
        <f>IF(OR(BI268="",BH268=""),"",BI268-BH268)</f>
        <v/>
      </c>
      <c r="BP268" s="60">
        <f>IF(C268="","",_xlfn.MAXIFS('Saisie'!$AS$5:$AS$2004,'Saisie'!$C$5:$C$2004,C268,'Saisie'!$J$5:$J$2004,"&lt;&gt;"))</f>
        <v/>
      </c>
      <c r="BQ268" s="60">
        <f>IF(C268="","",_xlfn.MAXIFS('Saisie'!$AS$5:$AS$2004,'Saisie'!$C$5:$C$2004,C268))</f>
        <v/>
      </c>
      <c r="BR268" s="60">
        <f>IF(C268="","",_xlfn.MAXIFS('Saisie'!$AS$5:$AS$2004,'Saisie'!$C$5:$C$2004,C268,'Saisie'!$E$5:$E$2004,"Perdu"))</f>
        <v/>
      </c>
      <c r="BS268" s="60">
        <f>IF(C268="","",_xlfn.MAXIFS('Saisie'!$AS$5:$AS$2004,'Saisie'!$C$5:$C$2004,C268,'Saisie'!$AT$5:$AT$2004,"&gt;0"))</f>
        <v/>
      </c>
      <c r="BT268" s="109">
        <f>IF(AND(C268&lt;&gt;"",OR(D268="Nouveau",D268="Contacté",D268="Qualifié"),OR(G268="",N(G268)&lt;=TODAY()),NOT(AND(O268&gt;='Paramètres'!$B$21,P268=0))),E268+264/10000,"")</f>
        <v/>
      </c>
      <c r="BU268" s="60">
        <f>IF(AND(G268&lt;&gt;"",N(G268)&lt;=TODAY()),MAX($BU$4:BU267)+1,"")</f>
        <v/>
      </c>
      <c r="BV268" s="60">
        <f>IF(AND(F268&lt;&gt;"",F268&lt;&gt;"Relance en retard"),MAX($BV$4:BV267)+1,"")</f>
        <v/>
      </c>
      <c r="BW268" s="60">
        <f>IF(C268="","",IF(AND(B268&gt;='Tableau de bord'!$R$4,B268&lt;='Tableau de bord'!$S$4,OR('Tableau de bord'!$G$4="Tous",N268='Tableau de bord'!$G$4)),1,0))</f>
        <v/>
      </c>
      <c r="BX268" s="60">
        <f>IF(AND(C268&lt;&gt;"",N(BA268)=7),MAX($BX$4:BX267)+1,"")</f>
        <v/>
      </c>
    </row>
    <row r="269">
      <c r="A269" s="60">
        <f>IF(C269="","","P-"&amp;TEXT(265,"000"))</f>
        <v/>
      </c>
      <c r="B269" s="106">
        <f>IF(C269="","",IFERROR(1/(1/_xlfn.MINIFS('Saisie'!$A$5:$A$2004,'Saisie'!$C$5:$C$2004,C269)),""))</f>
        <v/>
      </c>
      <c r="C269" s="60">
        <f>IFERROR(INDEX('Saisie'!$C$5:$C$2004,MATCH(265,'Saisie'!$AX$5:$AX$2004,0)),"")</f>
        <v/>
      </c>
      <c r="D269" s="60">
        <f>IF(C269="","",IF(AND(BR269&gt;0,BR269&gt;BS269,BA269&lt;7),"Perdu",INDEX('Paramètres'!$F$6:$F$13,BA269)))</f>
        <v/>
      </c>
      <c r="E269" s="61">
        <f>IF(C269="","",MIN(100,(Z269="Oui")*'Paramètres'!$B$38+(AB269="Régulière")*'Paramètres'!$B$39+IF(AND(N(AA269)&gt;0,TODAY()-N(AA269)&lt;=30),'Paramètres'!$B$40,0)+(W269="")*'Paramètres'!$B$41+(AC269="Absente")*'Paramètres'!$B$42+(AC269="Faible")*'Paramètres'!$B$43+IF(AND(N(AD269)&gt;0,N(AD269)&lt;4),'Paramètres'!$B$44,0)+(AF269="Moyenne")*'Paramètres'!$B$45+(AF269="Grande")*'Paramètres'!$B$46+(Y269&lt;&gt;"")*'Paramètres'!$B$47))</f>
        <v/>
      </c>
      <c r="F269" s="60">
        <f>IF(C269="","",IF(D269="Gagné","",IF(D269="Perdu",IF(AND(AX269&lt;&gt;"",AX269&lt;=TODAY()),"À recontacter (perdu)",""),IF(AND(O269&gt;='Paramètres'!$B$21,P269=0),"Stop : "&amp;'Paramètres'!$B$21&amp;" tentatives sans réponse",IF(AND(D269="Proposition",AR269&lt;&gt;"",TODAY()&gt;N(AR269)),"Proposition expirée",IF(AND(D269="Proposition",N(R269)&gt;='Paramètres'!$B$25),"Proposition sans réponse",IF(AND(G269&lt;&gt;"",N(G269)&lt;TODAY()),"Relance en retard",IF(N(R269)&gt;='Paramètres'!$B$24,"Sans action depuis "&amp;R269&amp;" j",""))))))))</f>
        <v/>
      </c>
      <c r="G269" s="106">
        <f>IF(OR(C269="",D269="Gagné",D269="Perdu"),"",IF(AND(BP269&gt;0,BP269=BQ269),INDEX('Saisie'!$J$5:$J$2004,BP269-4),IF(OR(O269=0,AND(O269&gt;='Paramètres'!$B$21,P269=0)),"",Q269+IF(O269&lt;=1,'Paramètres'!$B$18,IF(O269=2,'Paramètres'!$B$19,'Paramètres'!$B$20)))))</f>
        <v/>
      </c>
      <c r="H269" s="107">
        <f>IF(OR(G269="",BP269&lt;&gt;BQ269),"",IF(INDEX('Saisie'!$K$5:$K$2004,BP269-4)="","",INDEX('Saisie'!$K$5:$K$2004,BP269-4)))</f>
        <v/>
      </c>
      <c r="I269" s="60">
        <f>IF(C269="","",IF(OR(D269="Gagné",D269="Perdu"),"",IFERROR(INDEX('Saisie'!$I$5:$I$2004,_xlfn.MAXIFS('Saisie'!$AS$5:$AS$2004,'Saisie'!$C$5:$C$2004,C269,'Saisie'!$I$5:$I$2004,"&lt;&gt;")-4),"")))</f>
        <v/>
      </c>
      <c r="J269" s="60">
        <f>IF(C269="","",IFERROR(INDEX('Saisie'!$U$5:$U$2004,_xlfn.MAXIFS('Saisie'!$AS$5:$AS$2004,'Saisie'!$C$5:$C$2004,C269,'Saisie'!$U$5:$U$2004,"&lt;&gt;")-4),""))</f>
        <v/>
      </c>
      <c r="K269" s="60">
        <f>IF(C269="","",IFERROR(INDEX('Saisie'!$W$5:$W$2004,_xlfn.MAXIFS('Saisie'!$AS$5:$AS$2004,'Saisie'!$C$5:$C$2004,C269,'Saisie'!$W$5:$W$2004,"&lt;&gt;")-4),""))</f>
        <v/>
      </c>
      <c r="L269" s="60">
        <f>IF(IF(BB269&lt;&gt;"",BB269,K269)="","",HYPERLINK("https://wa.me/"&amp;IF(LEFT(SUBSTITUTE(SUBSTITUTE(SUBSTITUTE(IF(BB269&lt;&gt;"",BB269,K269)," ",""),".",""),"+",""),1)="0",'Paramètres'!$B$35&amp;MID(SUBSTITUTE(SUBSTITUTE(SUBSTITUTE(IF(BB269&lt;&gt;"",BB269,K269)," ",""),".",""),"+",""),2,20),SUBSTITUTE(SUBSTITUTE(SUBSTITUTE(IF(BB269&lt;&gt;"",BB269,K269)," ",""),".",""),"+","")),"WhatsApp"))</f>
        <v/>
      </c>
      <c r="M269" s="60">
        <f>IF(BC269="","",HYPERLINK(IF(LEFT(BC269,4)="http",BC269,"https://www.instagram.com/"&amp;SUBSTITUTE(SUBSTITUTE(BC269,"@","")," ","")),BC269))</f>
        <v/>
      </c>
      <c r="N269" s="60">
        <f>IF(C269="","",IFERROR(INDEX('Saisie'!$D$5:$D$2004,_xlfn.MINIFS('Saisie'!$AS$5:$AS$2004,'Saisie'!$C$5:$C$2004,C269,'Saisie'!$AU$5:$AU$2004,1)-4),IFERROR(INDEX('Saisie'!$D$5:$D$2004,_xlfn.MINIFS('Saisie'!$AS$5:$AS$2004,'Saisie'!$C$5:$C$2004,C269,'Saisie'!$D$5:$D$2004,"&lt;&gt;")-4),"")))</f>
        <v/>
      </c>
      <c r="O269" s="60">
        <f>IF(C269="","",COUNTIFS('Saisie'!$C$5:$C$2004,C269,'Saisie'!$AU$5:$AU$2004,1))</f>
        <v/>
      </c>
      <c r="P269" s="60">
        <f>IF(C269="","",COUNTIFS('Saisie'!$C$5:$C$2004,C269,'Saisie'!$AV$5:$AV$2004,1))</f>
        <v/>
      </c>
      <c r="Q269" s="106">
        <f>IF(C269="","",IFERROR(1/(1/_xlfn.MAXIFS('Saisie'!$A$5:$A$2004,'Saisie'!$C$5:$C$2004,C269)),""))</f>
        <v/>
      </c>
      <c r="R269" s="61">
        <f>IF(C269="","",IF(Q269="","",TODAY()-Q269))</f>
        <v/>
      </c>
      <c r="S269" s="60">
        <f>IF(C269="","",IFERROR(INDEX('Saisie'!$R$5:$R$2004,_xlfn.MAXIFS('Saisie'!$AS$5:$AS$2004,'Saisie'!$C$5:$C$2004,C269,'Saisie'!$R$5:$R$2004,"&lt;&gt;")-4),""))</f>
        <v/>
      </c>
      <c r="T269" s="60">
        <f>IF(C269="","",IFERROR(INDEX('Saisie'!$S$5:$S$2004,_xlfn.MAXIFS('Saisie'!$AS$5:$AS$2004,'Saisie'!$C$5:$C$2004,C269,'Saisie'!$S$5:$S$2004,"&lt;&gt;")-4),""))</f>
        <v/>
      </c>
      <c r="U269" s="60">
        <f>IF(C269="","",IFERROR(INDEX('Saisie'!$T$5:$T$2004,_xlfn.MAXIFS('Saisie'!$AS$5:$AS$2004,'Saisie'!$C$5:$C$2004,C269,'Saisie'!$T$5:$T$2004,"&lt;&gt;")-4),""))</f>
        <v/>
      </c>
      <c r="V269" s="60">
        <f>IF(C269="","",IFERROR(INDEX('Saisie'!$V$5:$V$2004,_xlfn.MAXIFS('Saisie'!$AS$5:$AS$2004,'Saisie'!$C$5:$C$2004,C269,'Saisie'!$V$5:$V$2004,"&lt;&gt;")-4),""))</f>
        <v/>
      </c>
      <c r="W269" s="60">
        <f>IF(C269="","",IFERROR(INDEX('Saisie'!$Z$5:$Z$2004,_xlfn.MAXIFS('Saisie'!$AS$5:$AS$2004,'Saisie'!$C$5:$C$2004,C269,'Saisie'!$Z$5:$Z$2004,"&lt;&gt;")-4),""))</f>
        <v/>
      </c>
      <c r="X269" s="60">
        <f>IF(C269="","",IFERROR(INDEX('Saisie'!$AA$5:$AA$2004,_xlfn.MAXIFS('Saisie'!$AS$5:$AS$2004,'Saisie'!$C$5:$C$2004,C269,'Saisie'!$AA$5:$AA$2004,"&lt;&gt;")-4),""))</f>
        <v/>
      </c>
      <c r="Y269" s="60">
        <f>IF(C269="","",IFERROR(INDEX('Saisie'!$AB$5:$AB$2004,_xlfn.MAXIFS('Saisie'!$AS$5:$AS$2004,'Saisie'!$C$5:$C$2004,C269,'Saisie'!$AB$5:$AB$2004,"&lt;&gt;")-4),""))</f>
        <v/>
      </c>
      <c r="Z269" s="60">
        <f>IF(C269="","",IFERROR(INDEX('Saisie'!$AC$5:$AC$2004,_xlfn.MAXIFS('Saisie'!$AS$5:$AS$2004,'Saisie'!$C$5:$C$2004,C269,'Saisie'!$AC$5:$AC$2004,"&lt;&gt;")-4),""))</f>
        <v/>
      </c>
      <c r="AA269" s="106">
        <f>IF(C269="","",IFERROR(INDEX('Saisie'!$AD$5:$AD$2004,_xlfn.MAXIFS('Saisie'!$AS$5:$AS$2004,'Saisie'!$C$5:$C$2004,C269,'Saisie'!$AD$5:$AD$2004,"&lt;&gt;")-4),""))</f>
        <v/>
      </c>
      <c r="AB269" s="60">
        <f>IF(C269="","",IFERROR(INDEX('Saisie'!$AE$5:$AE$2004,_xlfn.MAXIFS('Saisie'!$AS$5:$AS$2004,'Saisie'!$C$5:$C$2004,C269,'Saisie'!$AE$5:$AE$2004,"&lt;&gt;")-4),""))</f>
        <v/>
      </c>
      <c r="AC269" s="60">
        <f>IF(C269="","",IFERROR(INDEX('Saisie'!$AF$5:$AF$2004,_xlfn.MAXIFS('Saisie'!$AS$5:$AS$2004,'Saisie'!$C$5:$C$2004,C269,'Saisie'!$AF$5:$AF$2004,"&lt;&gt;")-4),""))</f>
        <v/>
      </c>
      <c r="AD269" s="108">
        <f>IF(C269="","",IFERROR(INDEX('Saisie'!$AG$5:$AG$2004,_xlfn.MAXIFS('Saisie'!$AS$5:$AS$2004,'Saisie'!$C$5:$C$2004,C269,'Saisie'!$AG$5:$AG$2004,"&lt;&gt;")-4),""))</f>
        <v/>
      </c>
      <c r="AE269" s="60">
        <f>IF(C269="","",IFERROR(INDEX('Saisie'!$AH$5:$AH$2004,_xlfn.MAXIFS('Saisie'!$AS$5:$AS$2004,'Saisie'!$C$5:$C$2004,C269,'Saisie'!$AH$5:$AH$2004,"&lt;&gt;")-4),""))</f>
        <v/>
      </c>
      <c r="AF269" s="60">
        <f>IF(C269="","",IFERROR(INDEX('Saisie'!$AI$5:$AI$2004,_xlfn.MAXIFS('Saisie'!$AS$5:$AS$2004,'Saisie'!$C$5:$C$2004,C269,'Saisie'!$AI$5:$AI$2004,"&lt;&gt;")-4),""))</f>
        <v/>
      </c>
      <c r="AG269" s="60">
        <f>IF(C269="","",IFERROR(INDEX('Saisie'!$AJ$5:$AJ$2004,_xlfn.MAXIFS('Saisie'!$AS$5:$AS$2004,'Saisie'!$C$5:$C$2004,C269,'Saisie'!$AJ$5:$AJ$2004,"&lt;&gt;")-4),""))</f>
        <v/>
      </c>
      <c r="AH269" s="60">
        <f>IF(C269="","",IFERROR(INDEX('Saisie'!$AK$5:$AK$2004,_xlfn.MAXIFS('Saisie'!$AS$5:$AS$2004,'Saisie'!$C$5:$C$2004,C269,'Saisie'!$AK$5:$AK$2004,"&lt;&gt;")-4),""))</f>
        <v/>
      </c>
      <c r="AI269" s="60">
        <f>IF(C269="","",IFERROR(INDEX('Saisie'!$AN$5:$AN$2004,_xlfn.MAXIFS('Saisie'!$AS$5:$AS$2004,'Saisie'!$C$5:$C$2004,C269,'Saisie'!$AN$5:$AN$2004,"&lt;&gt;")-4),""))</f>
        <v/>
      </c>
      <c r="AJ269" s="60">
        <f>IF(C269="","",IFERROR(INDEX('Saisie'!$AO$5:$AO$2004,_xlfn.MAXIFS('Saisie'!$AS$5:$AS$2004,'Saisie'!$C$5:$C$2004,C269,'Saisie'!$AO$5:$AO$2004,"&lt;&gt;")-4),""))</f>
        <v/>
      </c>
      <c r="AK269" s="60">
        <f>IF(C269="","",IFERROR(INDEX('Saisie'!$AP$5:$AP$2004,_xlfn.MAXIFS('Saisie'!$AS$5:$AS$2004,'Saisie'!$C$5:$C$2004,C269,'Saisie'!$AP$5:$AP$2004,"&lt;&gt;")-4),""))</f>
        <v/>
      </c>
      <c r="AL269" s="60">
        <f>IF(C269="","",IFERROR(INDEX('Saisie'!$AQ$5:$AQ$2004,_xlfn.MAXIFS('Saisie'!$AS$5:$AS$2004,'Saisie'!$C$5:$C$2004,C269,'Saisie'!$AQ$5:$AQ$2004,"&lt;&gt;")-4),""))</f>
        <v/>
      </c>
      <c r="AM269" s="60">
        <f>IF(C269="","",((AI269="Oui")+(AJ269="Oui")+(AK269="Oui")+OR(AL269="Immédiat",AL269="&lt; 1 mois"))&amp;"/4")</f>
        <v/>
      </c>
      <c r="AN269" s="60">
        <f>IF(C269="","",IFERROR(INDEX('Saisie'!$AL$5:$AL$2004,_xlfn.MAXIFS('Saisie'!$AS$5:$AS$2004,'Saisie'!$C$5:$C$2004,C269,'Saisie'!$AL$5:$AL$2004,"&lt;&gt;")-4),""))</f>
        <v/>
      </c>
      <c r="AO269" s="62">
        <f>IF(C269="","",IF(IFERROR(INDEX('Saisie'!$AM$5:$AM$2004,_xlfn.MAXIFS('Saisie'!$AS$5:$AS$2004,'Saisie'!$C$5:$C$2004,C269,'Saisie'!$AM$5:$AM$2004,"&lt;&gt;")-4),"")&lt;&gt;"",IFERROR(INDEX('Saisie'!$AM$5:$AM$2004,_xlfn.MAXIFS('Saisie'!$AS$5:$AS$2004,'Saisie'!$C$5:$C$2004,C269,'Saisie'!$AM$5:$AM$2004,"&lt;&gt;")-4),""),IFERROR(INDEX('Paramètres'!$S$6:$S$15,MATCH(AN269,'Paramètres'!$Q$6:$Q$15,0)),"")))</f>
        <v/>
      </c>
      <c r="AP269" s="62">
        <f>IF(C269="","",IFERROR(INDEX('Saisie'!$AW$5:$AW$2004,_xlfn.MAXIFS('Saisie'!$AS$5:$AS$2004,'Saisie'!$C$5:$C$2004,C269,'Saisie'!$E$5:$E$2004,"Proposition envoyée")-4),""))</f>
        <v/>
      </c>
      <c r="AQ269" s="106">
        <f>IF(C269="","",IFERROR(1/(1/_xlfn.MAXIFS('Saisie'!$A$5:$A$2004,'Saisie'!$C$5:$C$2004,C269,'Saisie'!$E$5:$E$2004,"Proposition envoyée")),""))</f>
        <v/>
      </c>
      <c r="AR269" s="106">
        <f>IF(C269="","",IF(AQ269="","",AQ269+'Paramètres'!$B$26))</f>
        <v/>
      </c>
      <c r="AS269" s="62">
        <f>IF(OR(C269="",D269="Gagné",D269="Perdu"),0,N(AP269)*IFERROR(INDEX('Paramètres'!$G$6:$G$13,MATCH(D269,'Paramètres'!$F$6:$F$13,0)),0))</f>
        <v/>
      </c>
      <c r="AT269" s="106">
        <f>IF(C269="","",IFERROR(1/(1/_xlfn.MINIFS('Saisie'!$A$5:$A$2004,'Saisie'!$C$5:$C$2004,C269,'Saisie'!$E$5:$E$2004,"Signature")),""))</f>
        <v/>
      </c>
      <c r="AU269" s="60">
        <f>IF(C269="","",IF(OR(AT269="",B269=""),"",AT269-B269))</f>
        <v/>
      </c>
      <c r="AV269" s="60">
        <f>IF(C269="","",IFERROR(INDEX('Saisie'!$L$5:$L$2004,_xlfn.MAXIFS('Saisie'!$AS$5:$AS$2004,'Saisie'!$C$5:$C$2004,C269,'Saisie'!$L$5:$L$2004,"&lt;&gt;")-4),""))</f>
        <v/>
      </c>
      <c r="AW269" s="106">
        <f>IF(C269="","",IF(D269&lt;&gt;"Perdu","",IFERROR(1/(1/_xlfn.MAXIFS('Saisie'!$A$5:$A$2004,'Saisie'!$C$5:$C$2004,C269,'Saisie'!$E$5:$E$2004,"Perdu")),"")))</f>
        <v/>
      </c>
      <c r="AX269" s="106">
        <f>IF(C269="","",IF(AW269="","",AW269+'Paramètres'!$B$28))</f>
        <v/>
      </c>
      <c r="AY269" s="60">
        <f>IF(C269="","",SUMIFS('Saisie'!$H$5:$H$2004,'Saisie'!$C$5:$C$2004,C269))</f>
        <v/>
      </c>
      <c r="AZ269" s="60">
        <f>IF(C269="","",IFERROR(INDEX('Paramètres'!$W$6:$W$20,MATCH(S269,'Paramètres'!$V$6:$V$20,0))&amp;"",""))</f>
        <v/>
      </c>
      <c r="BA269" s="60">
        <f>IF(C269="","",MAX(1,_xlfn.MAXIFS('Saisie'!$AT$5:$AT$2004,'Saisie'!$C$5:$C$2004,C269)))</f>
        <v/>
      </c>
      <c r="BB269" s="60">
        <f>IF(C269="","",IFERROR(INDEX('Saisie'!$X$5:$X$2004,_xlfn.MAXIFS('Saisie'!$AS$5:$AS$2004,'Saisie'!$C$5:$C$2004,C269,'Saisie'!$X$5:$X$2004,"&lt;&gt;")-4),""))</f>
        <v/>
      </c>
      <c r="BC269" s="60">
        <f>IF(C269="","",IFERROR(INDEX('Saisie'!$Y$5:$Y$2004,_xlfn.MAXIFS('Saisie'!$AS$5:$AS$2004,'Saisie'!$C$5:$C$2004,C269,'Saisie'!$Y$5:$Y$2004,"&lt;&gt;")-4),""))</f>
        <v/>
      </c>
      <c r="BD269" s="106">
        <f>IF(C269="","",IFERROR(1/(1/_xlfn.MINIFS('Saisie'!$A$5:$A$2004,'Saisie'!$C$5:$C$2004,C269,'Saisie'!$AT$5:$AT$2004,"&gt;=2")),""))</f>
        <v/>
      </c>
      <c r="BE269" s="106">
        <f>IF(C269="","",IFERROR(1/(1/_xlfn.MINIFS('Saisie'!$A$5:$A$2004,'Saisie'!$C$5:$C$2004,C269,'Saisie'!$AT$5:$AT$2004,"&gt;=3")),""))</f>
        <v/>
      </c>
      <c r="BF269" s="106">
        <f>IF(C269="","",IFERROR(1/(1/_xlfn.MINIFS('Saisie'!$A$5:$A$2004,'Saisie'!$C$5:$C$2004,C269,'Saisie'!$AT$5:$AT$2004,"&gt;=4")),""))</f>
        <v/>
      </c>
      <c r="BG269" s="106">
        <f>IF(C269="","",IFERROR(1/(1/_xlfn.MINIFS('Saisie'!$A$5:$A$2004,'Saisie'!$C$5:$C$2004,C269,'Saisie'!$AT$5:$AT$2004,"&gt;=5")),""))</f>
        <v/>
      </c>
      <c r="BH269" s="106">
        <f>IF(C269="","",IFERROR(1/(1/_xlfn.MINIFS('Saisie'!$A$5:$A$2004,'Saisie'!$C$5:$C$2004,C269,'Saisie'!$AT$5:$AT$2004,"&gt;=6")),""))</f>
        <v/>
      </c>
      <c r="BI269" s="106">
        <f>IF(C269="","",IFERROR(1/(1/_xlfn.MINIFS('Saisie'!$A$5:$A$2004,'Saisie'!$C$5:$C$2004,C269,'Saisie'!$AT$5:$AT$2004,"&gt;=7")),""))</f>
        <v/>
      </c>
      <c r="BJ269" s="60">
        <f>IF(OR(BD269="",B269=""),"",BD269-B269)</f>
        <v/>
      </c>
      <c r="BK269" s="60">
        <f>IF(OR(BE269="",BD269=""),"",BE269-BD269)</f>
        <v/>
      </c>
      <c r="BL269" s="60">
        <f>IF(OR(BF269="",BE269=""),"",BF269-BE269)</f>
        <v/>
      </c>
      <c r="BM269" s="60">
        <f>IF(OR(BG269="",BF269=""),"",BG269-BF269)</f>
        <v/>
      </c>
      <c r="BN269" s="60">
        <f>IF(OR(BH269="",BG269=""),"",BH269-BG269)</f>
        <v/>
      </c>
      <c r="BO269" s="60">
        <f>IF(OR(BI269="",BH269=""),"",BI269-BH269)</f>
        <v/>
      </c>
      <c r="BP269" s="60">
        <f>IF(C269="","",_xlfn.MAXIFS('Saisie'!$AS$5:$AS$2004,'Saisie'!$C$5:$C$2004,C269,'Saisie'!$J$5:$J$2004,"&lt;&gt;"))</f>
        <v/>
      </c>
      <c r="BQ269" s="60">
        <f>IF(C269="","",_xlfn.MAXIFS('Saisie'!$AS$5:$AS$2004,'Saisie'!$C$5:$C$2004,C269))</f>
        <v/>
      </c>
      <c r="BR269" s="60">
        <f>IF(C269="","",_xlfn.MAXIFS('Saisie'!$AS$5:$AS$2004,'Saisie'!$C$5:$C$2004,C269,'Saisie'!$E$5:$E$2004,"Perdu"))</f>
        <v/>
      </c>
      <c r="BS269" s="60">
        <f>IF(C269="","",_xlfn.MAXIFS('Saisie'!$AS$5:$AS$2004,'Saisie'!$C$5:$C$2004,C269,'Saisie'!$AT$5:$AT$2004,"&gt;0"))</f>
        <v/>
      </c>
      <c r="BT269" s="109">
        <f>IF(AND(C269&lt;&gt;"",OR(D269="Nouveau",D269="Contacté",D269="Qualifié"),OR(G269="",N(G269)&lt;=TODAY()),NOT(AND(O269&gt;='Paramètres'!$B$21,P269=0))),E269+265/10000,"")</f>
        <v/>
      </c>
      <c r="BU269" s="60">
        <f>IF(AND(G269&lt;&gt;"",N(G269)&lt;=TODAY()),MAX($BU$4:BU268)+1,"")</f>
        <v/>
      </c>
      <c r="BV269" s="60">
        <f>IF(AND(F269&lt;&gt;"",F269&lt;&gt;"Relance en retard"),MAX($BV$4:BV268)+1,"")</f>
        <v/>
      </c>
      <c r="BW269" s="60">
        <f>IF(C269="","",IF(AND(B269&gt;='Tableau de bord'!$R$4,B269&lt;='Tableau de bord'!$S$4,OR('Tableau de bord'!$G$4="Tous",N269='Tableau de bord'!$G$4)),1,0))</f>
        <v/>
      </c>
      <c r="BX269" s="60">
        <f>IF(AND(C269&lt;&gt;"",N(BA269)=7),MAX($BX$4:BX268)+1,"")</f>
        <v/>
      </c>
    </row>
    <row r="270">
      <c r="A270" s="60">
        <f>IF(C270="","","P-"&amp;TEXT(266,"000"))</f>
        <v/>
      </c>
      <c r="B270" s="106">
        <f>IF(C270="","",IFERROR(1/(1/_xlfn.MINIFS('Saisie'!$A$5:$A$2004,'Saisie'!$C$5:$C$2004,C270)),""))</f>
        <v/>
      </c>
      <c r="C270" s="60">
        <f>IFERROR(INDEX('Saisie'!$C$5:$C$2004,MATCH(266,'Saisie'!$AX$5:$AX$2004,0)),"")</f>
        <v/>
      </c>
      <c r="D270" s="60">
        <f>IF(C270="","",IF(AND(BR270&gt;0,BR270&gt;BS270,BA270&lt;7),"Perdu",INDEX('Paramètres'!$F$6:$F$13,BA270)))</f>
        <v/>
      </c>
      <c r="E270" s="61">
        <f>IF(C270="","",MIN(100,(Z270="Oui")*'Paramètres'!$B$38+(AB270="Régulière")*'Paramètres'!$B$39+IF(AND(N(AA270)&gt;0,TODAY()-N(AA270)&lt;=30),'Paramètres'!$B$40,0)+(W270="")*'Paramètres'!$B$41+(AC270="Absente")*'Paramètres'!$B$42+(AC270="Faible")*'Paramètres'!$B$43+IF(AND(N(AD270)&gt;0,N(AD270)&lt;4),'Paramètres'!$B$44,0)+(AF270="Moyenne")*'Paramètres'!$B$45+(AF270="Grande")*'Paramètres'!$B$46+(Y270&lt;&gt;"")*'Paramètres'!$B$47))</f>
        <v/>
      </c>
      <c r="F270" s="60">
        <f>IF(C270="","",IF(D270="Gagné","",IF(D270="Perdu",IF(AND(AX270&lt;&gt;"",AX270&lt;=TODAY()),"À recontacter (perdu)",""),IF(AND(O270&gt;='Paramètres'!$B$21,P270=0),"Stop : "&amp;'Paramètres'!$B$21&amp;" tentatives sans réponse",IF(AND(D270="Proposition",AR270&lt;&gt;"",TODAY()&gt;N(AR270)),"Proposition expirée",IF(AND(D270="Proposition",N(R270)&gt;='Paramètres'!$B$25),"Proposition sans réponse",IF(AND(G270&lt;&gt;"",N(G270)&lt;TODAY()),"Relance en retard",IF(N(R270)&gt;='Paramètres'!$B$24,"Sans action depuis "&amp;R270&amp;" j",""))))))))</f>
        <v/>
      </c>
      <c r="G270" s="106">
        <f>IF(OR(C270="",D270="Gagné",D270="Perdu"),"",IF(AND(BP270&gt;0,BP270=BQ270),INDEX('Saisie'!$J$5:$J$2004,BP270-4),IF(OR(O270=0,AND(O270&gt;='Paramètres'!$B$21,P270=0)),"",Q270+IF(O270&lt;=1,'Paramètres'!$B$18,IF(O270=2,'Paramètres'!$B$19,'Paramètres'!$B$20)))))</f>
        <v/>
      </c>
      <c r="H270" s="107">
        <f>IF(OR(G270="",BP270&lt;&gt;BQ270),"",IF(INDEX('Saisie'!$K$5:$K$2004,BP270-4)="","",INDEX('Saisie'!$K$5:$K$2004,BP270-4)))</f>
        <v/>
      </c>
      <c r="I270" s="60">
        <f>IF(C270="","",IF(OR(D270="Gagné",D270="Perdu"),"",IFERROR(INDEX('Saisie'!$I$5:$I$2004,_xlfn.MAXIFS('Saisie'!$AS$5:$AS$2004,'Saisie'!$C$5:$C$2004,C270,'Saisie'!$I$5:$I$2004,"&lt;&gt;")-4),"")))</f>
        <v/>
      </c>
      <c r="J270" s="60">
        <f>IF(C270="","",IFERROR(INDEX('Saisie'!$U$5:$U$2004,_xlfn.MAXIFS('Saisie'!$AS$5:$AS$2004,'Saisie'!$C$5:$C$2004,C270,'Saisie'!$U$5:$U$2004,"&lt;&gt;")-4),""))</f>
        <v/>
      </c>
      <c r="K270" s="60">
        <f>IF(C270="","",IFERROR(INDEX('Saisie'!$W$5:$W$2004,_xlfn.MAXIFS('Saisie'!$AS$5:$AS$2004,'Saisie'!$C$5:$C$2004,C270,'Saisie'!$W$5:$W$2004,"&lt;&gt;")-4),""))</f>
        <v/>
      </c>
      <c r="L270" s="60">
        <f>IF(IF(BB270&lt;&gt;"",BB270,K270)="","",HYPERLINK("https://wa.me/"&amp;IF(LEFT(SUBSTITUTE(SUBSTITUTE(SUBSTITUTE(IF(BB270&lt;&gt;"",BB270,K270)," ",""),".",""),"+",""),1)="0",'Paramètres'!$B$35&amp;MID(SUBSTITUTE(SUBSTITUTE(SUBSTITUTE(IF(BB270&lt;&gt;"",BB270,K270)," ",""),".",""),"+",""),2,20),SUBSTITUTE(SUBSTITUTE(SUBSTITUTE(IF(BB270&lt;&gt;"",BB270,K270)," ",""),".",""),"+","")),"WhatsApp"))</f>
        <v/>
      </c>
      <c r="M270" s="60">
        <f>IF(BC270="","",HYPERLINK(IF(LEFT(BC270,4)="http",BC270,"https://www.instagram.com/"&amp;SUBSTITUTE(SUBSTITUTE(BC270,"@","")," ","")),BC270))</f>
        <v/>
      </c>
      <c r="N270" s="60">
        <f>IF(C270="","",IFERROR(INDEX('Saisie'!$D$5:$D$2004,_xlfn.MINIFS('Saisie'!$AS$5:$AS$2004,'Saisie'!$C$5:$C$2004,C270,'Saisie'!$AU$5:$AU$2004,1)-4),IFERROR(INDEX('Saisie'!$D$5:$D$2004,_xlfn.MINIFS('Saisie'!$AS$5:$AS$2004,'Saisie'!$C$5:$C$2004,C270,'Saisie'!$D$5:$D$2004,"&lt;&gt;")-4),"")))</f>
        <v/>
      </c>
      <c r="O270" s="60">
        <f>IF(C270="","",COUNTIFS('Saisie'!$C$5:$C$2004,C270,'Saisie'!$AU$5:$AU$2004,1))</f>
        <v/>
      </c>
      <c r="P270" s="60">
        <f>IF(C270="","",COUNTIFS('Saisie'!$C$5:$C$2004,C270,'Saisie'!$AV$5:$AV$2004,1))</f>
        <v/>
      </c>
      <c r="Q270" s="106">
        <f>IF(C270="","",IFERROR(1/(1/_xlfn.MAXIFS('Saisie'!$A$5:$A$2004,'Saisie'!$C$5:$C$2004,C270)),""))</f>
        <v/>
      </c>
      <c r="R270" s="61">
        <f>IF(C270="","",IF(Q270="","",TODAY()-Q270))</f>
        <v/>
      </c>
      <c r="S270" s="60">
        <f>IF(C270="","",IFERROR(INDEX('Saisie'!$R$5:$R$2004,_xlfn.MAXIFS('Saisie'!$AS$5:$AS$2004,'Saisie'!$C$5:$C$2004,C270,'Saisie'!$R$5:$R$2004,"&lt;&gt;")-4),""))</f>
        <v/>
      </c>
      <c r="T270" s="60">
        <f>IF(C270="","",IFERROR(INDEX('Saisie'!$S$5:$S$2004,_xlfn.MAXIFS('Saisie'!$AS$5:$AS$2004,'Saisie'!$C$5:$C$2004,C270,'Saisie'!$S$5:$S$2004,"&lt;&gt;")-4),""))</f>
        <v/>
      </c>
      <c r="U270" s="60">
        <f>IF(C270="","",IFERROR(INDEX('Saisie'!$T$5:$T$2004,_xlfn.MAXIFS('Saisie'!$AS$5:$AS$2004,'Saisie'!$C$5:$C$2004,C270,'Saisie'!$T$5:$T$2004,"&lt;&gt;")-4),""))</f>
        <v/>
      </c>
      <c r="V270" s="60">
        <f>IF(C270="","",IFERROR(INDEX('Saisie'!$V$5:$V$2004,_xlfn.MAXIFS('Saisie'!$AS$5:$AS$2004,'Saisie'!$C$5:$C$2004,C270,'Saisie'!$V$5:$V$2004,"&lt;&gt;")-4),""))</f>
        <v/>
      </c>
      <c r="W270" s="60">
        <f>IF(C270="","",IFERROR(INDEX('Saisie'!$Z$5:$Z$2004,_xlfn.MAXIFS('Saisie'!$AS$5:$AS$2004,'Saisie'!$C$5:$C$2004,C270,'Saisie'!$Z$5:$Z$2004,"&lt;&gt;")-4),""))</f>
        <v/>
      </c>
      <c r="X270" s="60">
        <f>IF(C270="","",IFERROR(INDEX('Saisie'!$AA$5:$AA$2004,_xlfn.MAXIFS('Saisie'!$AS$5:$AS$2004,'Saisie'!$C$5:$C$2004,C270,'Saisie'!$AA$5:$AA$2004,"&lt;&gt;")-4),""))</f>
        <v/>
      </c>
      <c r="Y270" s="60">
        <f>IF(C270="","",IFERROR(INDEX('Saisie'!$AB$5:$AB$2004,_xlfn.MAXIFS('Saisie'!$AS$5:$AS$2004,'Saisie'!$C$5:$C$2004,C270,'Saisie'!$AB$5:$AB$2004,"&lt;&gt;")-4),""))</f>
        <v/>
      </c>
      <c r="Z270" s="60">
        <f>IF(C270="","",IFERROR(INDEX('Saisie'!$AC$5:$AC$2004,_xlfn.MAXIFS('Saisie'!$AS$5:$AS$2004,'Saisie'!$C$5:$C$2004,C270,'Saisie'!$AC$5:$AC$2004,"&lt;&gt;")-4),""))</f>
        <v/>
      </c>
      <c r="AA270" s="106">
        <f>IF(C270="","",IFERROR(INDEX('Saisie'!$AD$5:$AD$2004,_xlfn.MAXIFS('Saisie'!$AS$5:$AS$2004,'Saisie'!$C$5:$C$2004,C270,'Saisie'!$AD$5:$AD$2004,"&lt;&gt;")-4),""))</f>
        <v/>
      </c>
      <c r="AB270" s="60">
        <f>IF(C270="","",IFERROR(INDEX('Saisie'!$AE$5:$AE$2004,_xlfn.MAXIFS('Saisie'!$AS$5:$AS$2004,'Saisie'!$C$5:$C$2004,C270,'Saisie'!$AE$5:$AE$2004,"&lt;&gt;")-4),""))</f>
        <v/>
      </c>
      <c r="AC270" s="60">
        <f>IF(C270="","",IFERROR(INDEX('Saisie'!$AF$5:$AF$2004,_xlfn.MAXIFS('Saisie'!$AS$5:$AS$2004,'Saisie'!$C$5:$C$2004,C270,'Saisie'!$AF$5:$AF$2004,"&lt;&gt;")-4),""))</f>
        <v/>
      </c>
      <c r="AD270" s="108">
        <f>IF(C270="","",IFERROR(INDEX('Saisie'!$AG$5:$AG$2004,_xlfn.MAXIFS('Saisie'!$AS$5:$AS$2004,'Saisie'!$C$5:$C$2004,C270,'Saisie'!$AG$5:$AG$2004,"&lt;&gt;")-4),""))</f>
        <v/>
      </c>
      <c r="AE270" s="60">
        <f>IF(C270="","",IFERROR(INDEX('Saisie'!$AH$5:$AH$2004,_xlfn.MAXIFS('Saisie'!$AS$5:$AS$2004,'Saisie'!$C$5:$C$2004,C270,'Saisie'!$AH$5:$AH$2004,"&lt;&gt;")-4),""))</f>
        <v/>
      </c>
      <c r="AF270" s="60">
        <f>IF(C270="","",IFERROR(INDEX('Saisie'!$AI$5:$AI$2004,_xlfn.MAXIFS('Saisie'!$AS$5:$AS$2004,'Saisie'!$C$5:$C$2004,C270,'Saisie'!$AI$5:$AI$2004,"&lt;&gt;")-4),""))</f>
        <v/>
      </c>
      <c r="AG270" s="60">
        <f>IF(C270="","",IFERROR(INDEX('Saisie'!$AJ$5:$AJ$2004,_xlfn.MAXIFS('Saisie'!$AS$5:$AS$2004,'Saisie'!$C$5:$C$2004,C270,'Saisie'!$AJ$5:$AJ$2004,"&lt;&gt;")-4),""))</f>
        <v/>
      </c>
      <c r="AH270" s="60">
        <f>IF(C270="","",IFERROR(INDEX('Saisie'!$AK$5:$AK$2004,_xlfn.MAXIFS('Saisie'!$AS$5:$AS$2004,'Saisie'!$C$5:$C$2004,C270,'Saisie'!$AK$5:$AK$2004,"&lt;&gt;")-4),""))</f>
        <v/>
      </c>
      <c r="AI270" s="60">
        <f>IF(C270="","",IFERROR(INDEX('Saisie'!$AN$5:$AN$2004,_xlfn.MAXIFS('Saisie'!$AS$5:$AS$2004,'Saisie'!$C$5:$C$2004,C270,'Saisie'!$AN$5:$AN$2004,"&lt;&gt;")-4),""))</f>
        <v/>
      </c>
      <c r="AJ270" s="60">
        <f>IF(C270="","",IFERROR(INDEX('Saisie'!$AO$5:$AO$2004,_xlfn.MAXIFS('Saisie'!$AS$5:$AS$2004,'Saisie'!$C$5:$C$2004,C270,'Saisie'!$AO$5:$AO$2004,"&lt;&gt;")-4),""))</f>
        <v/>
      </c>
      <c r="AK270" s="60">
        <f>IF(C270="","",IFERROR(INDEX('Saisie'!$AP$5:$AP$2004,_xlfn.MAXIFS('Saisie'!$AS$5:$AS$2004,'Saisie'!$C$5:$C$2004,C270,'Saisie'!$AP$5:$AP$2004,"&lt;&gt;")-4),""))</f>
        <v/>
      </c>
      <c r="AL270" s="60">
        <f>IF(C270="","",IFERROR(INDEX('Saisie'!$AQ$5:$AQ$2004,_xlfn.MAXIFS('Saisie'!$AS$5:$AS$2004,'Saisie'!$C$5:$C$2004,C270,'Saisie'!$AQ$5:$AQ$2004,"&lt;&gt;")-4),""))</f>
        <v/>
      </c>
      <c r="AM270" s="60">
        <f>IF(C270="","",((AI270="Oui")+(AJ270="Oui")+(AK270="Oui")+OR(AL270="Immédiat",AL270="&lt; 1 mois"))&amp;"/4")</f>
        <v/>
      </c>
      <c r="AN270" s="60">
        <f>IF(C270="","",IFERROR(INDEX('Saisie'!$AL$5:$AL$2004,_xlfn.MAXIFS('Saisie'!$AS$5:$AS$2004,'Saisie'!$C$5:$C$2004,C270,'Saisie'!$AL$5:$AL$2004,"&lt;&gt;")-4),""))</f>
        <v/>
      </c>
      <c r="AO270" s="62">
        <f>IF(C270="","",IF(IFERROR(INDEX('Saisie'!$AM$5:$AM$2004,_xlfn.MAXIFS('Saisie'!$AS$5:$AS$2004,'Saisie'!$C$5:$C$2004,C270,'Saisie'!$AM$5:$AM$2004,"&lt;&gt;")-4),"")&lt;&gt;"",IFERROR(INDEX('Saisie'!$AM$5:$AM$2004,_xlfn.MAXIFS('Saisie'!$AS$5:$AS$2004,'Saisie'!$C$5:$C$2004,C270,'Saisie'!$AM$5:$AM$2004,"&lt;&gt;")-4),""),IFERROR(INDEX('Paramètres'!$S$6:$S$15,MATCH(AN270,'Paramètres'!$Q$6:$Q$15,0)),"")))</f>
        <v/>
      </c>
      <c r="AP270" s="62">
        <f>IF(C270="","",IFERROR(INDEX('Saisie'!$AW$5:$AW$2004,_xlfn.MAXIFS('Saisie'!$AS$5:$AS$2004,'Saisie'!$C$5:$C$2004,C270,'Saisie'!$E$5:$E$2004,"Proposition envoyée")-4),""))</f>
        <v/>
      </c>
      <c r="AQ270" s="106">
        <f>IF(C270="","",IFERROR(1/(1/_xlfn.MAXIFS('Saisie'!$A$5:$A$2004,'Saisie'!$C$5:$C$2004,C270,'Saisie'!$E$5:$E$2004,"Proposition envoyée")),""))</f>
        <v/>
      </c>
      <c r="AR270" s="106">
        <f>IF(C270="","",IF(AQ270="","",AQ270+'Paramètres'!$B$26))</f>
        <v/>
      </c>
      <c r="AS270" s="62">
        <f>IF(OR(C270="",D270="Gagné",D270="Perdu"),0,N(AP270)*IFERROR(INDEX('Paramètres'!$G$6:$G$13,MATCH(D270,'Paramètres'!$F$6:$F$13,0)),0))</f>
        <v/>
      </c>
      <c r="AT270" s="106">
        <f>IF(C270="","",IFERROR(1/(1/_xlfn.MINIFS('Saisie'!$A$5:$A$2004,'Saisie'!$C$5:$C$2004,C270,'Saisie'!$E$5:$E$2004,"Signature")),""))</f>
        <v/>
      </c>
      <c r="AU270" s="60">
        <f>IF(C270="","",IF(OR(AT270="",B270=""),"",AT270-B270))</f>
        <v/>
      </c>
      <c r="AV270" s="60">
        <f>IF(C270="","",IFERROR(INDEX('Saisie'!$L$5:$L$2004,_xlfn.MAXIFS('Saisie'!$AS$5:$AS$2004,'Saisie'!$C$5:$C$2004,C270,'Saisie'!$L$5:$L$2004,"&lt;&gt;")-4),""))</f>
        <v/>
      </c>
      <c r="AW270" s="106">
        <f>IF(C270="","",IF(D270&lt;&gt;"Perdu","",IFERROR(1/(1/_xlfn.MAXIFS('Saisie'!$A$5:$A$2004,'Saisie'!$C$5:$C$2004,C270,'Saisie'!$E$5:$E$2004,"Perdu")),"")))</f>
        <v/>
      </c>
      <c r="AX270" s="106">
        <f>IF(C270="","",IF(AW270="","",AW270+'Paramètres'!$B$28))</f>
        <v/>
      </c>
      <c r="AY270" s="60">
        <f>IF(C270="","",SUMIFS('Saisie'!$H$5:$H$2004,'Saisie'!$C$5:$C$2004,C270))</f>
        <v/>
      </c>
      <c r="AZ270" s="60">
        <f>IF(C270="","",IFERROR(INDEX('Paramètres'!$W$6:$W$20,MATCH(S270,'Paramètres'!$V$6:$V$20,0))&amp;"",""))</f>
        <v/>
      </c>
      <c r="BA270" s="60">
        <f>IF(C270="","",MAX(1,_xlfn.MAXIFS('Saisie'!$AT$5:$AT$2004,'Saisie'!$C$5:$C$2004,C270)))</f>
        <v/>
      </c>
      <c r="BB270" s="60">
        <f>IF(C270="","",IFERROR(INDEX('Saisie'!$X$5:$X$2004,_xlfn.MAXIFS('Saisie'!$AS$5:$AS$2004,'Saisie'!$C$5:$C$2004,C270,'Saisie'!$X$5:$X$2004,"&lt;&gt;")-4),""))</f>
        <v/>
      </c>
      <c r="BC270" s="60">
        <f>IF(C270="","",IFERROR(INDEX('Saisie'!$Y$5:$Y$2004,_xlfn.MAXIFS('Saisie'!$AS$5:$AS$2004,'Saisie'!$C$5:$C$2004,C270,'Saisie'!$Y$5:$Y$2004,"&lt;&gt;")-4),""))</f>
        <v/>
      </c>
      <c r="BD270" s="106">
        <f>IF(C270="","",IFERROR(1/(1/_xlfn.MINIFS('Saisie'!$A$5:$A$2004,'Saisie'!$C$5:$C$2004,C270,'Saisie'!$AT$5:$AT$2004,"&gt;=2")),""))</f>
        <v/>
      </c>
      <c r="BE270" s="106">
        <f>IF(C270="","",IFERROR(1/(1/_xlfn.MINIFS('Saisie'!$A$5:$A$2004,'Saisie'!$C$5:$C$2004,C270,'Saisie'!$AT$5:$AT$2004,"&gt;=3")),""))</f>
        <v/>
      </c>
      <c r="BF270" s="106">
        <f>IF(C270="","",IFERROR(1/(1/_xlfn.MINIFS('Saisie'!$A$5:$A$2004,'Saisie'!$C$5:$C$2004,C270,'Saisie'!$AT$5:$AT$2004,"&gt;=4")),""))</f>
        <v/>
      </c>
      <c r="BG270" s="106">
        <f>IF(C270="","",IFERROR(1/(1/_xlfn.MINIFS('Saisie'!$A$5:$A$2004,'Saisie'!$C$5:$C$2004,C270,'Saisie'!$AT$5:$AT$2004,"&gt;=5")),""))</f>
        <v/>
      </c>
      <c r="BH270" s="106">
        <f>IF(C270="","",IFERROR(1/(1/_xlfn.MINIFS('Saisie'!$A$5:$A$2004,'Saisie'!$C$5:$C$2004,C270,'Saisie'!$AT$5:$AT$2004,"&gt;=6")),""))</f>
        <v/>
      </c>
      <c r="BI270" s="106">
        <f>IF(C270="","",IFERROR(1/(1/_xlfn.MINIFS('Saisie'!$A$5:$A$2004,'Saisie'!$C$5:$C$2004,C270,'Saisie'!$AT$5:$AT$2004,"&gt;=7")),""))</f>
        <v/>
      </c>
      <c r="BJ270" s="60">
        <f>IF(OR(BD270="",B270=""),"",BD270-B270)</f>
        <v/>
      </c>
      <c r="BK270" s="60">
        <f>IF(OR(BE270="",BD270=""),"",BE270-BD270)</f>
        <v/>
      </c>
      <c r="BL270" s="60">
        <f>IF(OR(BF270="",BE270=""),"",BF270-BE270)</f>
        <v/>
      </c>
      <c r="BM270" s="60">
        <f>IF(OR(BG270="",BF270=""),"",BG270-BF270)</f>
        <v/>
      </c>
      <c r="BN270" s="60">
        <f>IF(OR(BH270="",BG270=""),"",BH270-BG270)</f>
        <v/>
      </c>
      <c r="BO270" s="60">
        <f>IF(OR(BI270="",BH270=""),"",BI270-BH270)</f>
        <v/>
      </c>
      <c r="BP270" s="60">
        <f>IF(C270="","",_xlfn.MAXIFS('Saisie'!$AS$5:$AS$2004,'Saisie'!$C$5:$C$2004,C270,'Saisie'!$J$5:$J$2004,"&lt;&gt;"))</f>
        <v/>
      </c>
      <c r="BQ270" s="60">
        <f>IF(C270="","",_xlfn.MAXIFS('Saisie'!$AS$5:$AS$2004,'Saisie'!$C$5:$C$2004,C270))</f>
        <v/>
      </c>
      <c r="BR270" s="60">
        <f>IF(C270="","",_xlfn.MAXIFS('Saisie'!$AS$5:$AS$2004,'Saisie'!$C$5:$C$2004,C270,'Saisie'!$E$5:$E$2004,"Perdu"))</f>
        <v/>
      </c>
      <c r="BS270" s="60">
        <f>IF(C270="","",_xlfn.MAXIFS('Saisie'!$AS$5:$AS$2004,'Saisie'!$C$5:$C$2004,C270,'Saisie'!$AT$5:$AT$2004,"&gt;0"))</f>
        <v/>
      </c>
      <c r="BT270" s="109">
        <f>IF(AND(C270&lt;&gt;"",OR(D270="Nouveau",D270="Contacté",D270="Qualifié"),OR(G270="",N(G270)&lt;=TODAY()),NOT(AND(O270&gt;='Paramètres'!$B$21,P270=0))),E270+266/10000,"")</f>
        <v/>
      </c>
      <c r="BU270" s="60">
        <f>IF(AND(G270&lt;&gt;"",N(G270)&lt;=TODAY()),MAX($BU$4:BU269)+1,"")</f>
        <v/>
      </c>
      <c r="BV270" s="60">
        <f>IF(AND(F270&lt;&gt;"",F270&lt;&gt;"Relance en retard"),MAX($BV$4:BV269)+1,"")</f>
        <v/>
      </c>
      <c r="BW270" s="60">
        <f>IF(C270="","",IF(AND(B270&gt;='Tableau de bord'!$R$4,B270&lt;='Tableau de bord'!$S$4,OR('Tableau de bord'!$G$4="Tous",N270='Tableau de bord'!$G$4)),1,0))</f>
        <v/>
      </c>
      <c r="BX270" s="60">
        <f>IF(AND(C270&lt;&gt;"",N(BA270)=7),MAX($BX$4:BX269)+1,"")</f>
        <v/>
      </c>
    </row>
    <row r="271">
      <c r="A271" s="60">
        <f>IF(C271="","","P-"&amp;TEXT(267,"000"))</f>
        <v/>
      </c>
      <c r="B271" s="106">
        <f>IF(C271="","",IFERROR(1/(1/_xlfn.MINIFS('Saisie'!$A$5:$A$2004,'Saisie'!$C$5:$C$2004,C271)),""))</f>
        <v/>
      </c>
      <c r="C271" s="60">
        <f>IFERROR(INDEX('Saisie'!$C$5:$C$2004,MATCH(267,'Saisie'!$AX$5:$AX$2004,0)),"")</f>
        <v/>
      </c>
      <c r="D271" s="60">
        <f>IF(C271="","",IF(AND(BR271&gt;0,BR271&gt;BS271,BA271&lt;7),"Perdu",INDEX('Paramètres'!$F$6:$F$13,BA271)))</f>
        <v/>
      </c>
      <c r="E271" s="61">
        <f>IF(C271="","",MIN(100,(Z271="Oui")*'Paramètres'!$B$38+(AB271="Régulière")*'Paramètres'!$B$39+IF(AND(N(AA271)&gt;0,TODAY()-N(AA271)&lt;=30),'Paramètres'!$B$40,0)+(W271="")*'Paramètres'!$B$41+(AC271="Absente")*'Paramètres'!$B$42+(AC271="Faible")*'Paramètres'!$B$43+IF(AND(N(AD271)&gt;0,N(AD271)&lt;4),'Paramètres'!$B$44,0)+(AF271="Moyenne")*'Paramètres'!$B$45+(AF271="Grande")*'Paramètres'!$B$46+(Y271&lt;&gt;"")*'Paramètres'!$B$47))</f>
        <v/>
      </c>
      <c r="F271" s="60">
        <f>IF(C271="","",IF(D271="Gagné","",IF(D271="Perdu",IF(AND(AX271&lt;&gt;"",AX271&lt;=TODAY()),"À recontacter (perdu)",""),IF(AND(O271&gt;='Paramètres'!$B$21,P271=0),"Stop : "&amp;'Paramètres'!$B$21&amp;" tentatives sans réponse",IF(AND(D271="Proposition",AR271&lt;&gt;"",TODAY()&gt;N(AR271)),"Proposition expirée",IF(AND(D271="Proposition",N(R271)&gt;='Paramètres'!$B$25),"Proposition sans réponse",IF(AND(G271&lt;&gt;"",N(G271)&lt;TODAY()),"Relance en retard",IF(N(R271)&gt;='Paramètres'!$B$24,"Sans action depuis "&amp;R271&amp;" j",""))))))))</f>
        <v/>
      </c>
      <c r="G271" s="106">
        <f>IF(OR(C271="",D271="Gagné",D271="Perdu"),"",IF(AND(BP271&gt;0,BP271=BQ271),INDEX('Saisie'!$J$5:$J$2004,BP271-4),IF(OR(O271=0,AND(O271&gt;='Paramètres'!$B$21,P271=0)),"",Q271+IF(O271&lt;=1,'Paramètres'!$B$18,IF(O271=2,'Paramètres'!$B$19,'Paramètres'!$B$20)))))</f>
        <v/>
      </c>
      <c r="H271" s="107">
        <f>IF(OR(G271="",BP271&lt;&gt;BQ271),"",IF(INDEX('Saisie'!$K$5:$K$2004,BP271-4)="","",INDEX('Saisie'!$K$5:$K$2004,BP271-4)))</f>
        <v/>
      </c>
      <c r="I271" s="60">
        <f>IF(C271="","",IF(OR(D271="Gagné",D271="Perdu"),"",IFERROR(INDEX('Saisie'!$I$5:$I$2004,_xlfn.MAXIFS('Saisie'!$AS$5:$AS$2004,'Saisie'!$C$5:$C$2004,C271,'Saisie'!$I$5:$I$2004,"&lt;&gt;")-4),"")))</f>
        <v/>
      </c>
      <c r="J271" s="60">
        <f>IF(C271="","",IFERROR(INDEX('Saisie'!$U$5:$U$2004,_xlfn.MAXIFS('Saisie'!$AS$5:$AS$2004,'Saisie'!$C$5:$C$2004,C271,'Saisie'!$U$5:$U$2004,"&lt;&gt;")-4),""))</f>
        <v/>
      </c>
      <c r="K271" s="60">
        <f>IF(C271="","",IFERROR(INDEX('Saisie'!$W$5:$W$2004,_xlfn.MAXIFS('Saisie'!$AS$5:$AS$2004,'Saisie'!$C$5:$C$2004,C271,'Saisie'!$W$5:$W$2004,"&lt;&gt;")-4),""))</f>
        <v/>
      </c>
      <c r="L271" s="60">
        <f>IF(IF(BB271&lt;&gt;"",BB271,K271)="","",HYPERLINK("https://wa.me/"&amp;IF(LEFT(SUBSTITUTE(SUBSTITUTE(SUBSTITUTE(IF(BB271&lt;&gt;"",BB271,K271)," ",""),".",""),"+",""),1)="0",'Paramètres'!$B$35&amp;MID(SUBSTITUTE(SUBSTITUTE(SUBSTITUTE(IF(BB271&lt;&gt;"",BB271,K271)," ",""),".",""),"+",""),2,20),SUBSTITUTE(SUBSTITUTE(SUBSTITUTE(IF(BB271&lt;&gt;"",BB271,K271)," ",""),".",""),"+","")),"WhatsApp"))</f>
        <v/>
      </c>
      <c r="M271" s="60">
        <f>IF(BC271="","",HYPERLINK(IF(LEFT(BC271,4)="http",BC271,"https://www.instagram.com/"&amp;SUBSTITUTE(SUBSTITUTE(BC271,"@","")," ","")),BC271))</f>
        <v/>
      </c>
      <c r="N271" s="60">
        <f>IF(C271="","",IFERROR(INDEX('Saisie'!$D$5:$D$2004,_xlfn.MINIFS('Saisie'!$AS$5:$AS$2004,'Saisie'!$C$5:$C$2004,C271,'Saisie'!$AU$5:$AU$2004,1)-4),IFERROR(INDEX('Saisie'!$D$5:$D$2004,_xlfn.MINIFS('Saisie'!$AS$5:$AS$2004,'Saisie'!$C$5:$C$2004,C271,'Saisie'!$D$5:$D$2004,"&lt;&gt;")-4),"")))</f>
        <v/>
      </c>
      <c r="O271" s="60">
        <f>IF(C271="","",COUNTIFS('Saisie'!$C$5:$C$2004,C271,'Saisie'!$AU$5:$AU$2004,1))</f>
        <v/>
      </c>
      <c r="P271" s="60">
        <f>IF(C271="","",COUNTIFS('Saisie'!$C$5:$C$2004,C271,'Saisie'!$AV$5:$AV$2004,1))</f>
        <v/>
      </c>
      <c r="Q271" s="106">
        <f>IF(C271="","",IFERROR(1/(1/_xlfn.MAXIFS('Saisie'!$A$5:$A$2004,'Saisie'!$C$5:$C$2004,C271)),""))</f>
        <v/>
      </c>
      <c r="R271" s="61">
        <f>IF(C271="","",IF(Q271="","",TODAY()-Q271))</f>
        <v/>
      </c>
      <c r="S271" s="60">
        <f>IF(C271="","",IFERROR(INDEX('Saisie'!$R$5:$R$2004,_xlfn.MAXIFS('Saisie'!$AS$5:$AS$2004,'Saisie'!$C$5:$C$2004,C271,'Saisie'!$R$5:$R$2004,"&lt;&gt;")-4),""))</f>
        <v/>
      </c>
      <c r="T271" s="60">
        <f>IF(C271="","",IFERROR(INDEX('Saisie'!$S$5:$S$2004,_xlfn.MAXIFS('Saisie'!$AS$5:$AS$2004,'Saisie'!$C$5:$C$2004,C271,'Saisie'!$S$5:$S$2004,"&lt;&gt;")-4),""))</f>
        <v/>
      </c>
      <c r="U271" s="60">
        <f>IF(C271="","",IFERROR(INDEX('Saisie'!$T$5:$T$2004,_xlfn.MAXIFS('Saisie'!$AS$5:$AS$2004,'Saisie'!$C$5:$C$2004,C271,'Saisie'!$T$5:$T$2004,"&lt;&gt;")-4),""))</f>
        <v/>
      </c>
      <c r="V271" s="60">
        <f>IF(C271="","",IFERROR(INDEX('Saisie'!$V$5:$V$2004,_xlfn.MAXIFS('Saisie'!$AS$5:$AS$2004,'Saisie'!$C$5:$C$2004,C271,'Saisie'!$V$5:$V$2004,"&lt;&gt;")-4),""))</f>
        <v/>
      </c>
      <c r="W271" s="60">
        <f>IF(C271="","",IFERROR(INDEX('Saisie'!$Z$5:$Z$2004,_xlfn.MAXIFS('Saisie'!$AS$5:$AS$2004,'Saisie'!$C$5:$C$2004,C271,'Saisie'!$Z$5:$Z$2004,"&lt;&gt;")-4),""))</f>
        <v/>
      </c>
      <c r="X271" s="60">
        <f>IF(C271="","",IFERROR(INDEX('Saisie'!$AA$5:$AA$2004,_xlfn.MAXIFS('Saisie'!$AS$5:$AS$2004,'Saisie'!$C$5:$C$2004,C271,'Saisie'!$AA$5:$AA$2004,"&lt;&gt;")-4),""))</f>
        <v/>
      </c>
      <c r="Y271" s="60">
        <f>IF(C271="","",IFERROR(INDEX('Saisie'!$AB$5:$AB$2004,_xlfn.MAXIFS('Saisie'!$AS$5:$AS$2004,'Saisie'!$C$5:$C$2004,C271,'Saisie'!$AB$5:$AB$2004,"&lt;&gt;")-4),""))</f>
        <v/>
      </c>
      <c r="Z271" s="60">
        <f>IF(C271="","",IFERROR(INDEX('Saisie'!$AC$5:$AC$2004,_xlfn.MAXIFS('Saisie'!$AS$5:$AS$2004,'Saisie'!$C$5:$C$2004,C271,'Saisie'!$AC$5:$AC$2004,"&lt;&gt;")-4),""))</f>
        <v/>
      </c>
      <c r="AA271" s="106">
        <f>IF(C271="","",IFERROR(INDEX('Saisie'!$AD$5:$AD$2004,_xlfn.MAXIFS('Saisie'!$AS$5:$AS$2004,'Saisie'!$C$5:$C$2004,C271,'Saisie'!$AD$5:$AD$2004,"&lt;&gt;")-4),""))</f>
        <v/>
      </c>
      <c r="AB271" s="60">
        <f>IF(C271="","",IFERROR(INDEX('Saisie'!$AE$5:$AE$2004,_xlfn.MAXIFS('Saisie'!$AS$5:$AS$2004,'Saisie'!$C$5:$C$2004,C271,'Saisie'!$AE$5:$AE$2004,"&lt;&gt;")-4),""))</f>
        <v/>
      </c>
      <c r="AC271" s="60">
        <f>IF(C271="","",IFERROR(INDEX('Saisie'!$AF$5:$AF$2004,_xlfn.MAXIFS('Saisie'!$AS$5:$AS$2004,'Saisie'!$C$5:$C$2004,C271,'Saisie'!$AF$5:$AF$2004,"&lt;&gt;")-4),""))</f>
        <v/>
      </c>
      <c r="AD271" s="108">
        <f>IF(C271="","",IFERROR(INDEX('Saisie'!$AG$5:$AG$2004,_xlfn.MAXIFS('Saisie'!$AS$5:$AS$2004,'Saisie'!$C$5:$C$2004,C271,'Saisie'!$AG$5:$AG$2004,"&lt;&gt;")-4),""))</f>
        <v/>
      </c>
      <c r="AE271" s="60">
        <f>IF(C271="","",IFERROR(INDEX('Saisie'!$AH$5:$AH$2004,_xlfn.MAXIFS('Saisie'!$AS$5:$AS$2004,'Saisie'!$C$5:$C$2004,C271,'Saisie'!$AH$5:$AH$2004,"&lt;&gt;")-4),""))</f>
        <v/>
      </c>
      <c r="AF271" s="60">
        <f>IF(C271="","",IFERROR(INDEX('Saisie'!$AI$5:$AI$2004,_xlfn.MAXIFS('Saisie'!$AS$5:$AS$2004,'Saisie'!$C$5:$C$2004,C271,'Saisie'!$AI$5:$AI$2004,"&lt;&gt;")-4),""))</f>
        <v/>
      </c>
      <c r="AG271" s="60">
        <f>IF(C271="","",IFERROR(INDEX('Saisie'!$AJ$5:$AJ$2004,_xlfn.MAXIFS('Saisie'!$AS$5:$AS$2004,'Saisie'!$C$5:$C$2004,C271,'Saisie'!$AJ$5:$AJ$2004,"&lt;&gt;")-4),""))</f>
        <v/>
      </c>
      <c r="AH271" s="60">
        <f>IF(C271="","",IFERROR(INDEX('Saisie'!$AK$5:$AK$2004,_xlfn.MAXIFS('Saisie'!$AS$5:$AS$2004,'Saisie'!$C$5:$C$2004,C271,'Saisie'!$AK$5:$AK$2004,"&lt;&gt;")-4),""))</f>
        <v/>
      </c>
      <c r="AI271" s="60">
        <f>IF(C271="","",IFERROR(INDEX('Saisie'!$AN$5:$AN$2004,_xlfn.MAXIFS('Saisie'!$AS$5:$AS$2004,'Saisie'!$C$5:$C$2004,C271,'Saisie'!$AN$5:$AN$2004,"&lt;&gt;")-4),""))</f>
        <v/>
      </c>
      <c r="AJ271" s="60">
        <f>IF(C271="","",IFERROR(INDEX('Saisie'!$AO$5:$AO$2004,_xlfn.MAXIFS('Saisie'!$AS$5:$AS$2004,'Saisie'!$C$5:$C$2004,C271,'Saisie'!$AO$5:$AO$2004,"&lt;&gt;")-4),""))</f>
        <v/>
      </c>
      <c r="AK271" s="60">
        <f>IF(C271="","",IFERROR(INDEX('Saisie'!$AP$5:$AP$2004,_xlfn.MAXIFS('Saisie'!$AS$5:$AS$2004,'Saisie'!$C$5:$C$2004,C271,'Saisie'!$AP$5:$AP$2004,"&lt;&gt;")-4),""))</f>
        <v/>
      </c>
      <c r="AL271" s="60">
        <f>IF(C271="","",IFERROR(INDEX('Saisie'!$AQ$5:$AQ$2004,_xlfn.MAXIFS('Saisie'!$AS$5:$AS$2004,'Saisie'!$C$5:$C$2004,C271,'Saisie'!$AQ$5:$AQ$2004,"&lt;&gt;")-4),""))</f>
        <v/>
      </c>
      <c r="AM271" s="60">
        <f>IF(C271="","",((AI271="Oui")+(AJ271="Oui")+(AK271="Oui")+OR(AL271="Immédiat",AL271="&lt; 1 mois"))&amp;"/4")</f>
        <v/>
      </c>
      <c r="AN271" s="60">
        <f>IF(C271="","",IFERROR(INDEX('Saisie'!$AL$5:$AL$2004,_xlfn.MAXIFS('Saisie'!$AS$5:$AS$2004,'Saisie'!$C$5:$C$2004,C271,'Saisie'!$AL$5:$AL$2004,"&lt;&gt;")-4),""))</f>
        <v/>
      </c>
      <c r="AO271" s="62">
        <f>IF(C271="","",IF(IFERROR(INDEX('Saisie'!$AM$5:$AM$2004,_xlfn.MAXIFS('Saisie'!$AS$5:$AS$2004,'Saisie'!$C$5:$C$2004,C271,'Saisie'!$AM$5:$AM$2004,"&lt;&gt;")-4),"")&lt;&gt;"",IFERROR(INDEX('Saisie'!$AM$5:$AM$2004,_xlfn.MAXIFS('Saisie'!$AS$5:$AS$2004,'Saisie'!$C$5:$C$2004,C271,'Saisie'!$AM$5:$AM$2004,"&lt;&gt;")-4),""),IFERROR(INDEX('Paramètres'!$S$6:$S$15,MATCH(AN271,'Paramètres'!$Q$6:$Q$15,0)),"")))</f>
        <v/>
      </c>
      <c r="AP271" s="62">
        <f>IF(C271="","",IFERROR(INDEX('Saisie'!$AW$5:$AW$2004,_xlfn.MAXIFS('Saisie'!$AS$5:$AS$2004,'Saisie'!$C$5:$C$2004,C271,'Saisie'!$E$5:$E$2004,"Proposition envoyée")-4),""))</f>
        <v/>
      </c>
      <c r="AQ271" s="106">
        <f>IF(C271="","",IFERROR(1/(1/_xlfn.MAXIFS('Saisie'!$A$5:$A$2004,'Saisie'!$C$5:$C$2004,C271,'Saisie'!$E$5:$E$2004,"Proposition envoyée")),""))</f>
        <v/>
      </c>
      <c r="AR271" s="106">
        <f>IF(C271="","",IF(AQ271="","",AQ271+'Paramètres'!$B$26))</f>
        <v/>
      </c>
      <c r="AS271" s="62">
        <f>IF(OR(C271="",D271="Gagné",D271="Perdu"),0,N(AP271)*IFERROR(INDEX('Paramètres'!$G$6:$G$13,MATCH(D271,'Paramètres'!$F$6:$F$13,0)),0))</f>
        <v/>
      </c>
      <c r="AT271" s="106">
        <f>IF(C271="","",IFERROR(1/(1/_xlfn.MINIFS('Saisie'!$A$5:$A$2004,'Saisie'!$C$5:$C$2004,C271,'Saisie'!$E$5:$E$2004,"Signature")),""))</f>
        <v/>
      </c>
      <c r="AU271" s="60">
        <f>IF(C271="","",IF(OR(AT271="",B271=""),"",AT271-B271))</f>
        <v/>
      </c>
      <c r="AV271" s="60">
        <f>IF(C271="","",IFERROR(INDEX('Saisie'!$L$5:$L$2004,_xlfn.MAXIFS('Saisie'!$AS$5:$AS$2004,'Saisie'!$C$5:$C$2004,C271,'Saisie'!$L$5:$L$2004,"&lt;&gt;")-4),""))</f>
        <v/>
      </c>
      <c r="AW271" s="106">
        <f>IF(C271="","",IF(D271&lt;&gt;"Perdu","",IFERROR(1/(1/_xlfn.MAXIFS('Saisie'!$A$5:$A$2004,'Saisie'!$C$5:$C$2004,C271,'Saisie'!$E$5:$E$2004,"Perdu")),"")))</f>
        <v/>
      </c>
      <c r="AX271" s="106">
        <f>IF(C271="","",IF(AW271="","",AW271+'Paramètres'!$B$28))</f>
        <v/>
      </c>
      <c r="AY271" s="60">
        <f>IF(C271="","",SUMIFS('Saisie'!$H$5:$H$2004,'Saisie'!$C$5:$C$2004,C271))</f>
        <v/>
      </c>
      <c r="AZ271" s="60">
        <f>IF(C271="","",IFERROR(INDEX('Paramètres'!$W$6:$W$20,MATCH(S271,'Paramètres'!$V$6:$V$20,0))&amp;"",""))</f>
        <v/>
      </c>
      <c r="BA271" s="60">
        <f>IF(C271="","",MAX(1,_xlfn.MAXIFS('Saisie'!$AT$5:$AT$2004,'Saisie'!$C$5:$C$2004,C271)))</f>
        <v/>
      </c>
      <c r="BB271" s="60">
        <f>IF(C271="","",IFERROR(INDEX('Saisie'!$X$5:$X$2004,_xlfn.MAXIFS('Saisie'!$AS$5:$AS$2004,'Saisie'!$C$5:$C$2004,C271,'Saisie'!$X$5:$X$2004,"&lt;&gt;")-4),""))</f>
        <v/>
      </c>
      <c r="BC271" s="60">
        <f>IF(C271="","",IFERROR(INDEX('Saisie'!$Y$5:$Y$2004,_xlfn.MAXIFS('Saisie'!$AS$5:$AS$2004,'Saisie'!$C$5:$C$2004,C271,'Saisie'!$Y$5:$Y$2004,"&lt;&gt;")-4),""))</f>
        <v/>
      </c>
      <c r="BD271" s="106">
        <f>IF(C271="","",IFERROR(1/(1/_xlfn.MINIFS('Saisie'!$A$5:$A$2004,'Saisie'!$C$5:$C$2004,C271,'Saisie'!$AT$5:$AT$2004,"&gt;=2")),""))</f>
        <v/>
      </c>
      <c r="BE271" s="106">
        <f>IF(C271="","",IFERROR(1/(1/_xlfn.MINIFS('Saisie'!$A$5:$A$2004,'Saisie'!$C$5:$C$2004,C271,'Saisie'!$AT$5:$AT$2004,"&gt;=3")),""))</f>
        <v/>
      </c>
      <c r="BF271" s="106">
        <f>IF(C271="","",IFERROR(1/(1/_xlfn.MINIFS('Saisie'!$A$5:$A$2004,'Saisie'!$C$5:$C$2004,C271,'Saisie'!$AT$5:$AT$2004,"&gt;=4")),""))</f>
        <v/>
      </c>
      <c r="BG271" s="106">
        <f>IF(C271="","",IFERROR(1/(1/_xlfn.MINIFS('Saisie'!$A$5:$A$2004,'Saisie'!$C$5:$C$2004,C271,'Saisie'!$AT$5:$AT$2004,"&gt;=5")),""))</f>
        <v/>
      </c>
      <c r="BH271" s="106">
        <f>IF(C271="","",IFERROR(1/(1/_xlfn.MINIFS('Saisie'!$A$5:$A$2004,'Saisie'!$C$5:$C$2004,C271,'Saisie'!$AT$5:$AT$2004,"&gt;=6")),""))</f>
        <v/>
      </c>
      <c r="BI271" s="106">
        <f>IF(C271="","",IFERROR(1/(1/_xlfn.MINIFS('Saisie'!$A$5:$A$2004,'Saisie'!$C$5:$C$2004,C271,'Saisie'!$AT$5:$AT$2004,"&gt;=7")),""))</f>
        <v/>
      </c>
      <c r="BJ271" s="60">
        <f>IF(OR(BD271="",B271=""),"",BD271-B271)</f>
        <v/>
      </c>
      <c r="BK271" s="60">
        <f>IF(OR(BE271="",BD271=""),"",BE271-BD271)</f>
        <v/>
      </c>
      <c r="BL271" s="60">
        <f>IF(OR(BF271="",BE271=""),"",BF271-BE271)</f>
        <v/>
      </c>
      <c r="BM271" s="60">
        <f>IF(OR(BG271="",BF271=""),"",BG271-BF271)</f>
        <v/>
      </c>
      <c r="BN271" s="60">
        <f>IF(OR(BH271="",BG271=""),"",BH271-BG271)</f>
        <v/>
      </c>
      <c r="BO271" s="60">
        <f>IF(OR(BI271="",BH271=""),"",BI271-BH271)</f>
        <v/>
      </c>
      <c r="BP271" s="60">
        <f>IF(C271="","",_xlfn.MAXIFS('Saisie'!$AS$5:$AS$2004,'Saisie'!$C$5:$C$2004,C271,'Saisie'!$J$5:$J$2004,"&lt;&gt;"))</f>
        <v/>
      </c>
      <c r="BQ271" s="60">
        <f>IF(C271="","",_xlfn.MAXIFS('Saisie'!$AS$5:$AS$2004,'Saisie'!$C$5:$C$2004,C271))</f>
        <v/>
      </c>
      <c r="BR271" s="60">
        <f>IF(C271="","",_xlfn.MAXIFS('Saisie'!$AS$5:$AS$2004,'Saisie'!$C$5:$C$2004,C271,'Saisie'!$E$5:$E$2004,"Perdu"))</f>
        <v/>
      </c>
      <c r="BS271" s="60">
        <f>IF(C271="","",_xlfn.MAXIFS('Saisie'!$AS$5:$AS$2004,'Saisie'!$C$5:$C$2004,C271,'Saisie'!$AT$5:$AT$2004,"&gt;0"))</f>
        <v/>
      </c>
      <c r="BT271" s="109">
        <f>IF(AND(C271&lt;&gt;"",OR(D271="Nouveau",D271="Contacté",D271="Qualifié"),OR(G271="",N(G271)&lt;=TODAY()),NOT(AND(O271&gt;='Paramètres'!$B$21,P271=0))),E271+267/10000,"")</f>
        <v/>
      </c>
      <c r="BU271" s="60">
        <f>IF(AND(G271&lt;&gt;"",N(G271)&lt;=TODAY()),MAX($BU$4:BU270)+1,"")</f>
        <v/>
      </c>
      <c r="BV271" s="60">
        <f>IF(AND(F271&lt;&gt;"",F271&lt;&gt;"Relance en retard"),MAX($BV$4:BV270)+1,"")</f>
        <v/>
      </c>
      <c r="BW271" s="60">
        <f>IF(C271="","",IF(AND(B271&gt;='Tableau de bord'!$R$4,B271&lt;='Tableau de bord'!$S$4,OR('Tableau de bord'!$G$4="Tous",N271='Tableau de bord'!$G$4)),1,0))</f>
        <v/>
      </c>
      <c r="BX271" s="60">
        <f>IF(AND(C271&lt;&gt;"",N(BA271)=7),MAX($BX$4:BX270)+1,"")</f>
        <v/>
      </c>
    </row>
    <row r="272">
      <c r="A272" s="60">
        <f>IF(C272="","","P-"&amp;TEXT(268,"000"))</f>
        <v/>
      </c>
      <c r="B272" s="106">
        <f>IF(C272="","",IFERROR(1/(1/_xlfn.MINIFS('Saisie'!$A$5:$A$2004,'Saisie'!$C$5:$C$2004,C272)),""))</f>
        <v/>
      </c>
      <c r="C272" s="60">
        <f>IFERROR(INDEX('Saisie'!$C$5:$C$2004,MATCH(268,'Saisie'!$AX$5:$AX$2004,0)),"")</f>
        <v/>
      </c>
      <c r="D272" s="60">
        <f>IF(C272="","",IF(AND(BR272&gt;0,BR272&gt;BS272,BA272&lt;7),"Perdu",INDEX('Paramètres'!$F$6:$F$13,BA272)))</f>
        <v/>
      </c>
      <c r="E272" s="61">
        <f>IF(C272="","",MIN(100,(Z272="Oui")*'Paramètres'!$B$38+(AB272="Régulière")*'Paramètres'!$B$39+IF(AND(N(AA272)&gt;0,TODAY()-N(AA272)&lt;=30),'Paramètres'!$B$40,0)+(W272="")*'Paramètres'!$B$41+(AC272="Absente")*'Paramètres'!$B$42+(AC272="Faible")*'Paramètres'!$B$43+IF(AND(N(AD272)&gt;0,N(AD272)&lt;4),'Paramètres'!$B$44,0)+(AF272="Moyenne")*'Paramètres'!$B$45+(AF272="Grande")*'Paramètres'!$B$46+(Y272&lt;&gt;"")*'Paramètres'!$B$47))</f>
        <v/>
      </c>
      <c r="F272" s="60">
        <f>IF(C272="","",IF(D272="Gagné","",IF(D272="Perdu",IF(AND(AX272&lt;&gt;"",AX272&lt;=TODAY()),"À recontacter (perdu)",""),IF(AND(O272&gt;='Paramètres'!$B$21,P272=0),"Stop : "&amp;'Paramètres'!$B$21&amp;" tentatives sans réponse",IF(AND(D272="Proposition",AR272&lt;&gt;"",TODAY()&gt;N(AR272)),"Proposition expirée",IF(AND(D272="Proposition",N(R272)&gt;='Paramètres'!$B$25),"Proposition sans réponse",IF(AND(G272&lt;&gt;"",N(G272)&lt;TODAY()),"Relance en retard",IF(N(R272)&gt;='Paramètres'!$B$24,"Sans action depuis "&amp;R272&amp;" j",""))))))))</f>
        <v/>
      </c>
      <c r="G272" s="106">
        <f>IF(OR(C272="",D272="Gagné",D272="Perdu"),"",IF(AND(BP272&gt;0,BP272=BQ272),INDEX('Saisie'!$J$5:$J$2004,BP272-4),IF(OR(O272=0,AND(O272&gt;='Paramètres'!$B$21,P272=0)),"",Q272+IF(O272&lt;=1,'Paramètres'!$B$18,IF(O272=2,'Paramètres'!$B$19,'Paramètres'!$B$20)))))</f>
        <v/>
      </c>
      <c r="H272" s="107">
        <f>IF(OR(G272="",BP272&lt;&gt;BQ272),"",IF(INDEX('Saisie'!$K$5:$K$2004,BP272-4)="","",INDEX('Saisie'!$K$5:$K$2004,BP272-4)))</f>
        <v/>
      </c>
      <c r="I272" s="60">
        <f>IF(C272="","",IF(OR(D272="Gagné",D272="Perdu"),"",IFERROR(INDEX('Saisie'!$I$5:$I$2004,_xlfn.MAXIFS('Saisie'!$AS$5:$AS$2004,'Saisie'!$C$5:$C$2004,C272,'Saisie'!$I$5:$I$2004,"&lt;&gt;")-4),"")))</f>
        <v/>
      </c>
      <c r="J272" s="60">
        <f>IF(C272="","",IFERROR(INDEX('Saisie'!$U$5:$U$2004,_xlfn.MAXIFS('Saisie'!$AS$5:$AS$2004,'Saisie'!$C$5:$C$2004,C272,'Saisie'!$U$5:$U$2004,"&lt;&gt;")-4),""))</f>
        <v/>
      </c>
      <c r="K272" s="60">
        <f>IF(C272="","",IFERROR(INDEX('Saisie'!$W$5:$W$2004,_xlfn.MAXIFS('Saisie'!$AS$5:$AS$2004,'Saisie'!$C$5:$C$2004,C272,'Saisie'!$W$5:$W$2004,"&lt;&gt;")-4),""))</f>
        <v/>
      </c>
      <c r="L272" s="60">
        <f>IF(IF(BB272&lt;&gt;"",BB272,K272)="","",HYPERLINK("https://wa.me/"&amp;IF(LEFT(SUBSTITUTE(SUBSTITUTE(SUBSTITUTE(IF(BB272&lt;&gt;"",BB272,K272)," ",""),".",""),"+",""),1)="0",'Paramètres'!$B$35&amp;MID(SUBSTITUTE(SUBSTITUTE(SUBSTITUTE(IF(BB272&lt;&gt;"",BB272,K272)," ",""),".",""),"+",""),2,20),SUBSTITUTE(SUBSTITUTE(SUBSTITUTE(IF(BB272&lt;&gt;"",BB272,K272)," ",""),".",""),"+","")),"WhatsApp"))</f>
        <v/>
      </c>
      <c r="M272" s="60">
        <f>IF(BC272="","",HYPERLINK(IF(LEFT(BC272,4)="http",BC272,"https://www.instagram.com/"&amp;SUBSTITUTE(SUBSTITUTE(BC272,"@","")," ","")),BC272))</f>
        <v/>
      </c>
      <c r="N272" s="60">
        <f>IF(C272="","",IFERROR(INDEX('Saisie'!$D$5:$D$2004,_xlfn.MINIFS('Saisie'!$AS$5:$AS$2004,'Saisie'!$C$5:$C$2004,C272,'Saisie'!$AU$5:$AU$2004,1)-4),IFERROR(INDEX('Saisie'!$D$5:$D$2004,_xlfn.MINIFS('Saisie'!$AS$5:$AS$2004,'Saisie'!$C$5:$C$2004,C272,'Saisie'!$D$5:$D$2004,"&lt;&gt;")-4),"")))</f>
        <v/>
      </c>
      <c r="O272" s="60">
        <f>IF(C272="","",COUNTIFS('Saisie'!$C$5:$C$2004,C272,'Saisie'!$AU$5:$AU$2004,1))</f>
        <v/>
      </c>
      <c r="P272" s="60">
        <f>IF(C272="","",COUNTIFS('Saisie'!$C$5:$C$2004,C272,'Saisie'!$AV$5:$AV$2004,1))</f>
        <v/>
      </c>
      <c r="Q272" s="106">
        <f>IF(C272="","",IFERROR(1/(1/_xlfn.MAXIFS('Saisie'!$A$5:$A$2004,'Saisie'!$C$5:$C$2004,C272)),""))</f>
        <v/>
      </c>
      <c r="R272" s="61">
        <f>IF(C272="","",IF(Q272="","",TODAY()-Q272))</f>
        <v/>
      </c>
      <c r="S272" s="60">
        <f>IF(C272="","",IFERROR(INDEX('Saisie'!$R$5:$R$2004,_xlfn.MAXIFS('Saisie'!$AS$5:$AS$2004,'Saisie'!$C$5:$C$2004,C272,'Saisie'!$R$5:$R$2004,"&lt;&gt;")-4),""))</f>
        <v/>
      </c>
      <c r="T272" s="60">
        <f>IF(C272="","",IFERROR(INDEX('Saisie'!$S$5:$S$2004,_xlfn.MAXIFS('Saisie'!$AS$5:$AS$2004,'Saisie'!$C$5:$C$2004,C272,'Saisie'!$S$5:$S$2004,"&lt;&gt;")-4),""))</f>
        <v/>
      </c>
      <c r="U272" s="60">
        <f>IF(C272="","",IFERROR(INDEX('Saisie'!$T$5:$T$2004,_xlfn.MAXIFS('Saisie'!$AS$5:$AS$2004,'Saisie'!$C$5:$C$2004,C272,'Saisie'!$T$5:$T$2004,"&lt;&gt;")-4),""))</f>
        <v/>
      </c>
      <c r="V272" s="60">
        <f>IF(C272="","",IFERROR(INDEX('Saisie'!$V$5:$V$2004,_xlfn.MAXIFS('Saisie'!$AS$5:$AS$2004,'Saisie'!$C$5:$C$2004,C272,'Saisie'!$V$5:$V$2004,"&lt;&gt;")-4),""))</f>
        <v/>
      </c>
      <c r="W272" s="60">
        <f>IF(C272="","",IFERROR(INDEX('Saisie'!$Z$5:$Z$2004,_xlfn.MAXIFS('Saisie'!$AS$5:$AS$2004,'Saisie'!$C$5:$C$2004,C272,'Saisie'!$Z$5:$Z$2004,"&lt;&gt;")-4),""))</f>
        <v/>
      </c>
      <c r="X272" s="60">
        <f>IF(C272="","",IFERROR(INDEX('Saisie'!$AA$5:$AA$2004,_xlfn.MAXIFS('Saisie'!$AS$5:$AS$2004,'Saisie'!$C$5:$C$2004,C272,'Saisie'!$AA$5:$AA$2004,"&lt;&gt;")-4),""))</f>
        <v/>
      </c>
      <c r="Y272" s="60">
        <f>IF(C272="","",IFERROR(INDEX('Saisie'!$AB$5:$AB$2004,_xlfn.MAXIFS('Saisie'!$AS$5:$AS$2004,'Saisie'!$C$5:$C$2004,C272,'Saisie'!$AB$5:$AB$2004,"&lt;&gt;")-4),""))</f>
        <v/>
      </c>
      <c r="Z272" s="60">
        <f>IF(C272="","",IFERROR(INDEX('Saisie'!$AC$5:$AC$2004,_xlfn.MAXIFS('Saisie'!$AS$5:$AS$2004,'Saisie'!$C$5:$C$2004,C272,'Saisie'!$AC$5:$AC$2004,"&lt;&gt;")-4),""))</f>
        <v/>
      </c>
      <c r="AA272" s="106">
        <f>IF(C272="","",IFERROR(INDEX('Saisie'!$AD$5:$AD$2004,_xlfn.MAXIFS('Saisie'!$AS$5:$AS$2004,'Saisie'!$C$5:$C$2004,C272,'Saisie'!$AD$5:$AD$2004,"&lt;&gt;")-4),""))</f>
        <v/>
      </c>
      <c r="AB272" s="60">
        <f>IF(C272="","",IFERROR(INDEX('Saisie'!$AE$5:$AE$2004,_xlfn.MAXIFS('Saisie'!$AS$5:$AS$2004,'Saisie'!$C$5:$C$2004,C272,'Saisie'!$AE$5:$AE$2004,"&lt;&gt;")-4),""))</f>
        <v/>
      </c>
      <c r="AC272" s="60">
        <f>IF(C272="","",IFERROR(INDEX('Saisie'!$AF$5:$AF$2004,_xlfn.MAXIFS('Saisie'!$AS$5:$AS$2004,'Saisie'!$C$5:$C$2004,C272,'Saisie'!$AF$5:$AF$2004,"&lt;&gt;")-4),""))</f>
        <v/>
      </c>
      <c r="AD272" s="108">
        <f>IF(C272="","",IFERROR(INDEX('Saisie'!$AG$5:$AG$2004,_xlfn.MAXIFS('Saisie'!$AS$5:$AS$2004,'Saisie'!$C$5:$C$2004,C272,'Saisie'!$AG$5:$AG$2004,"&lt;&gt;")-4),""))</f>
        <v/>
      </c>
      <c r="AE272" s="60">
        <f>IF(C272="","",IFERROR(INDEX('Saisie'!$AH$5:$AH$2004,_xlfn.MAXIFS('Saisie'!$AS$5:$AS$2004,'Saisie'!$C$5:$C$2004,C272,'Saisie'!$AH$5:$AH$2004,"&lt;&gt;")-4),""))</f>
        <v/>
      </c>
      <c r="AF272" s="60">
        <f>IF(C272="","",IFERROR(INDEX('Saisie'!$AI$5:$AI$2004,_xlfn.MAXIFS('Saisie'!$AS$5:$AS$2004,'Saisie'!$C$5:$C$2004,C272,'Saisie'!$AI$5:$AI$2004,"&lt;&gt;")-4),""))</f>
        <v/>
      </c>
      <c r="AG272" s="60">
        <f>IF(C272="","",IFERROR(INDEX('Saisie'!$AJ$5:$AJ$2004,_xlfn.MAXIFS('Saisie'!$AS$5:$AS$2004,'Saisie'!$C$5:$C$2004,C272,'Saisie'!$AJ$5:$AJ$2004,"&lt;&gt;")-4),""))</f>
        <v/>
      </c>
      <c r="AH272" s="60">
        <f>IF(C272="","",IFERROR(INDEX('Saisie'!$AK$5:$AK$2004,_xlfn.MAXIFS('Saisie'!$AS$5:$AS$2004,'Saisie'!$C$5:$C$2004,C272,'Saisie'!$AK$5:$AK$2004,"&lt;&gt;")-4),""))</f>
        <v/>
      </c>
      <c r="AI272" s="60">
        <f>IF(C272="","",IFERROR(INDEX('Saisie'!$AN$5:$AN$2004,_xlfn.MAXIFS('Saisie'!$AS$5:$AS$2004,'Saisie'!$C$5:$C$2004,C272,'Saisie'!$AN$5:$AN$2004,"&lt;&gt;")-4),""))</f>
        <v/>
      </c>
      <c r="AJ272" s="60">
        <f>IF(C272="","",IFERROR(INDEX('Saisie'!$AO$5:$AO$2004,_xlfn.MAXIFS('Saisie'!$AS$5:$AS$2004,'Saisie'!$C$5:$C$2004,C272,'Saisie'!$AO$5:$AO$2004,"&lt;&gt;")-4),""))</f>
        <v/>
      </c>
      <c r="AK272" s="60">
        <f>IF(C272="","",IFERROR(INDEX('Saisie'!$AP$5:$AP$2004,_xlfn.MAXIFS('Saisie'!$AS$5:$AS$2004,'Saisie'!$C$5:$C$2004,C272,'Saisie'!$AP$5:$AP$2004,"&lt;&gt;")-4),""))</f>
        <v/>
      </c>
      <c r="AL272" s="60">
        <f>IF(C272="","",IFERROR(INDEX('Saisie'!$AQ$5:$AQ$2004,_xlfn.MAXIFS('Saisie'!$AS$5:$AS$2004,'Saisie'!$C$5:$C$2004,C272,'Saisie'!$AQ$5:$AQ$2004,"&lt;&gt;")-4),""))</f>
        <v/>
      </c>
      <c r="AM272" s="60">
        <f>IF(C272="","",((AI272="Oui")+(AJ272="Oui")+(AK272="Oui")+OR(AL272="Immédiat",AL272="&lt; 1 mois"))&amp;"/4")</f>
        <v/>
      </c>
      <c r="AN272" s="60">
        <f>IF(C272="","",IFERROR(INDEX('Saisie'!$AL$5:$AL$2004,_xlfn.MAXIFS('Saisie'!$AS$5:$AS$2004,'Saisie'!$C$5:$C$2004,C272,'Saisie'!$AL$5:$AL$2004,"&lt;&gt;")-4),""))</f>
        <v/>
      </c>
      <c r="AO272" s="62">
        <f>IF(C272="","",IF(IFERROR(INDEX('Saisie'!$AM$5:$AM$2004,_xlfn.MAXIFS('Saisie'!$AS$5:$AS$2004,'Saisie'!$C$5:$C$2004,C272,'Saisie'!$AM$5:$AM$2004,"&lt;&gt;")-4),"")&lt;&gt;"",IFERROR(INDEX('Saisie'!$AM$5:$AM$2004,_xlfn.MAXIFS('Saisie'!$AS$5:$AS$2004,'Saisie'!$C$5:$C$2004,C272,'Saisie'!$AM$5:$AM$2004,"&lt;&gt;")-4),""),IFERROR(INDEX('Paramètres'!$S$6:$S$15,MATCH(AN272,'Paramètres'!$Q$6:$Q$15,0)),"")))</f>
        <v/>
      </c>
      <c r="AP272" s="62">
        <f>IF(C272="","",IFERROR(INDEX('Saisie'!$AW$5:$AW$2004,_xlfn.MAXIFS('Saisie'!$AS$5:$AS$2004,'Saisie'!$C$5:$C$2004,C272,'Saisie'!$E$5:$E$2004,"Proposition envoyée")-4),""))</f>
        <v/>
      </c>
      <c r="AQ272" s="106">
        <f>IF(C272="","",IFERROR(1/(1/_xlfn.MAXIFS('Saisie'!$A$5:$A$2004,'Saisie'!$C$5:$C$2004,C272,'Saisie'!$E$5:$E$2004,"Proposition envoyée")),""))</f>
        <v/>
      </c>
      <c r="AR272" s="106">
        <f>IF(C272="","",IF(AQ272="","",AQ272+'Paramètres'!$B$26))</f>
        <v/>
      </c>
      <c r="AS272" s="62">
        <f>IF(OR(C272="",D272="Gagné",D272="Perdu"),0,N(AP272)*IFERROR(INDEX('Paramètres'!$G$6:$G$13,MATCH(D272,'Paramètres'!$F$6:$F$13,0)),0))</f>
        <v/>
      </c>
      <c r="AT272" s="106">
        <f>IF(C272="","",IFERROR(1/(1/_xlfn.MINIFS('Saisie'!$A$5:$A$2004,'Saisie'!$C$5:$C$2004,C272,'Saisie'!$E$5:$E$2004,"Signature")),""))</f>
        <v/>
      </c>
      <c r="AU272" s="60">
        <f>IF(C272="","",IF(OR(AT272="",B272=""),"",AT272-B272))</f>
        <v/>
      </c>
      <c r="AV272" s="60">
        <f>IF(C272="","",IFERROR(INDEX('Saisie'!$L$5:$L$2004,_xlfn.MAXIFS('Saisie'!$AS$5:$AS$2004,'Saisie'!$C$5:$C$2004,C272,'Saisie'!$L$5:$L$2004,"&lt;&gt;")-4),""))</f>
        <v/>
      </c>
      <c r="AW272" s="106">
        <f>IF(C272="","",IF(D272&lt;&gt;"Perdu","",IFERROR(1/(1/_xlfn.MAXIFS('Saisie'!$A$5:$A$2004,'Saisie'!$C$5:$C$2004,C272,'Saisie'!$E$5:$E$2004,"Perdu")),"")))</f>
        <v/>
      </c>
      <c r="AX272" s="106">
        <f>IF(C272="","",IF(AW272="","",AW272+'Paramètres'!$B$28))</f>
        <v/>
      </c>
      <c r="AY272" s="60">
        <f>IF(C272="","",SUMIFS('Saisie'!$H$5:$H$2004,'Saisie'!$C$5:$C$2004,C272))</f>
        <v/>
      </c>
      <c r="AZ272" s="60">
        <f>IF(C272="","",IFERROR(INDEX('Paramètres'!$W$6:$W$20,MATCH(S272,'Paramètres'!$V$6:$V$20,0))&amp;"",""))</f>
        <v/>
      </c>
      <c r="BA272" s="60">
        <f>IF(C272="","",MAX(1,_xlfn.MAXIFS('Saisie'!$AT$5:$AT$2004,'Saisie'!$C$5:$C$2004,C272)))</f>
        <v/>
      </c>
      <c r="BB272" s="60">
        <f>IF(C272="","",IFERROR(INDEX('Saisie'!$X$5:$X$2004,_xlfn.MAXIFS('Saisie'!$AS$5:$AS$2004,'Saisie'!$C$5:$C$2004,C272,'Saisie'!$X$5:$X$2004,"&lt;&gt;")-4),""))</f>
        <v/>
      </c>
      <c r="BC272" s="60">
        <f>IF(C272="","",IFERROR(INDEX('Saisie'!$Y$5:$Y$2004,_xlfn.MAXIFS('Saisie'!$AS$5:$AS$2004,'Saisie'!$C$5:$C$2004,C272,'Saisie'!$Y$5:$Y$2004,"&lt;&gt;")-4),""))</f>
        <v/>
      </c>
      <c r="BD272" s="106">
        <f>IF(C272="","",IFERROR(1/(1/_xlfn.MINIFS('Saisie'!$A$5:$A$2004,'Saisie'!$C$5:$C$2004,C272,'Saisie'!$AT$5:$AT$2004,"&gt;=2")),""))</f>
        <v/>
      </c>
      <c r="BE272" s="106">
        <f>IF(C272="","",IFERROR(1/(1/_xlfn.MINIFS('Saisie'!$A$5:$A$2004,'Saisie'!$C$5:$C$2004,C272,'Saisie'!$AT$5:$AT$2004,"&gt;=3")),""))</f>
        <v/>
      </c>
      <c r="BF272" s="106">
        <f>IF(C272="","",IFERROR(1/(1/_xlfn.MINIFS('Saisie'!$A$5:$A$2004,'Saisie'!$C$5:$C$2004,C272,'Saisie'!$AT$5:$AT$2004,"&gt;=4")),""))</f>
        <v/>
      </c>
      <c r="BG272" s="106">
        <f>IF(C272="","",IFERROR(1/(1/_xlfn.MINIFS('Saisie'!$A$5:$A$2004,'Saisie'!$C$5:$C$2004,C272,'Saisie'!$AT$5:$AT$2004,"&gt;=5")),""))</f>
        <v/>
      </c>
      <c r="BH272" s="106">
        <f>IF(C272="","",IFERROR(1/(1/_xlfn.MINIFS('Saisie'!$A$5:$A$2004,'Saisie'!$C$5:$C$2004,C272,'Saisie'!$AT$5:$AT$2004,"&gt;=6")),""))</f>
        <v/>
      </c>
      <c r="BI272" s="106">
        <f>IF(C272="","",IFERROR(1/(1/_xlfn.MINIFS('Saisie'!$A$5:$A$2004,'Saisie'!$C$5:$C$2004,C272,'Saisie'!$AT$5:$AT$2004,"&gt;=7")),""))</f>
        <v/>
      </c>
      <c r="BJ272" s="60">
        <f>IF(OR(BD272="",B272=""),"",BD272-B272)</f>
        <v/>
      </c>
      <c r="BK272" s="60">
        <f>IF(OR(BE272="",BD272=""),"",BE272-BD272)</f>
        <v/>
      </c>
      <c r="BL272" s="60">
        <f>IF(OR(BF272="",BE272=""),"",BF272-BE272)</f>
        <v/>
      </c>
      <c r="BM272" s="60">
        <f>IF(OR(BG272="",BF272=""),"",BG272-BF272)</f>
        <v/>
      </c>
      <c r="BN272" s="60">
        <f>IF(OR(BH272="",BG272=""),"",BH272-BG272)</f>
        <v/>
      </c>
      <c r="BO272" s="60">
        <f>IF(OR(BI272="",BH272=""),"",BI272-BH272)</f>
        <v/>
      </c>
      <c r="BP272" s="60">
        <f>IF(C272="","",_xlfn.MAXIFS('Saisie'!$AS$5:$AS$2004,'Saisie'!$C$5:$C$2004,C272,'Saisie'!$J$5:$J$2004,"&lt;&gt;"))</f>
        <v/>
      </c>
      <c r="BQ272" s="60">
        <f>IF(C272="","",_xlfn.MAXIFS('Saisie'!$AS$5:$AS$2004,'Saisie'!$C$5:$C$2004,C272))</f>
        <v/>
      </c>
      <c r="BR272" s="60">
        <f>IF(C272="","",_xlfn.MAXIFS('Saisie'!$AS$5:$AS$2004,'Saisie'!$C$5:$C$2004,C272,'Saisie'!$E$5:$E$2004,"Perdu"))</f>
        <v/>
      </c>
      <c r="BS272" s="60">
        <f>IF(C272="","",_xlfn.MAXIFS('Saisie'!$AS$5:$AS$2004,'Saisie'!$C$5:$C$2004,C272,'Saisie'!$AT$5:$AT$2004,"&gt;0"))</f>
        <v/>
      </c>
      <c r="BT272" s="109">
        <f>IF(AND(C272&lt;&gt;"",OR(D272="Nouveau",D272="Contacté",D272="Qualifié"),OR(G272="",N(G272)&lt;=TODAY()),NOT(AND(O272&gt;='Paramètres'!$B$21,P272=0))),E272+268/10000,"")</f>
        <v/>
      </c>
      <c r="BU272" s="60">
        <f>IF(AND(G272&lt;&gt;"",N(G272)&lt;=TODAY()),MAX($BU$4:BU271)+1,"")</f>
        <v/>
      </c>
      <c r="BV272" s="60">
        <f>IF(AND(F272&lt;&gt;"",F272&lt;&gt;"Relance en retard"),MAX($BV$4:BV271)+1,"")</f>
        <v/>
      </c>
      <c r="BW272" s="60">
        <f>IF(C272="","",IF(AND(B272&gt;='Tableau de bord'!$R$4,B272&lt;='Tableau de bord'!$S$4,OR('Tableau de bord'!$G$4="Tous",N272='Tableau de bord'!$G$4)),1,0))</f>
        <v/>
      </c>
      <c r="BX272" s="60">
        <f>IF(AND(C272&lt;&gt;"",N(BA272)=7),MAX($BX$4:BX271)+1,"")</f>
        <v/>
      </c>
    </row>
    <row r="273">
      <c r="A273" s="60">
        <f>IF(C273="","","P-"&amp;TEXT(269,"000"))</f>
        <v/>
      </c>
      <c r="B273" s="106">
        <f>IF(C273="","",IFERROR(1/(1/_xlfn.MINIFS('Saisie'!$A$5:$A$2004,'Saisie'!$C$5:$C$2004,C273)),""))</f>
        <v/>
      </c>
      <c r="C273" s="60">
        <f>IFERROR(INDEX('Saisie'!$C$5:$C$2004,MATCH(269,'Saisie'!$AX$5:$AX$2004,0)),"")</f>
        <v/>
      </c>
      <c r="D273" s="60">
        <f>IF(C273="","",IF(AND(BR273&gt;0,BR273&gt;BS273,BA273&lt;7),"Perdu",INDEX('Paramètres'!$F$6:$F$13,BA273)))</f>
        <v/>
      </c>
      <c r="E273" s="61">
        <f>IF(C273="","",MIN(100,(Z273="Oui")*'Paramètres'!$B$38+(AB273="Régulière")*'Paramètres'!$B$39+IF(AND(N(AA273)&gt;0,TODAY()-N(AA273)&lt;=30),'Paramètres'!$B$40,0)+(W273="")*'Paramètres'!$B$41+(AC273="Absente")*'Paramètres'!$B$42+(AC273="Faible")*'Paramètres'!$B$43+IF(AND(N(AD273)&gt;0,N(AD273)&lt;4),'Paramètres'!$B$44,0)+(AF273="Moyenne")*'Paramètres'!$B$45+(AF273="Grande")*'Paramètres'!$B$46+(Y273&lt;&gt;"")*'Paramètres'!$B$47))</f>
        <v/>
      </c>
      <c r="F273" s="60">
        <f>IF(C273="","",IF(D273="Gagné","",IF(D273="Perdu",IF(AND(AX273&lt;&gt;"",AX273&lt;=TODAY()),"À recontacter (perdu)",""),IF(AND(O273&gt;='Paramètres'!$B$21,P273=0),"Stop : "&amp;'Paramètres'!$B$21&amp;" tentatives sans réponse",IF(AND(D273="Proposition",AR273&lt;&gt;"",TODAY()&gt;N(AR273)),"Proposition expirée",IF(AND(D273="Proposition",N(R273)&gt;='Paramètres'!$B$25),"Proposition sans réponse",IF(AND(G273&lt;&gt;"",N(G273)&lt;TODAY()),"Relance en retard",IF(N(R273)&gt;='Paramètres'!$B$24,"Sans action depuis "&amp;R273&amp;" j",""))))))))</f>
        <v/>
      </c>
      <c r="G273" s="106">
        <f>IF(OR(C273="",D273="Gagné",D273="Perdu"),"",IF(AND(BP273&gt;0,BP273=BQ273),INDEX('Saisie'!$J$5:$J$2004,BP273-4),IF(OR(O273=0,AND(O273&gt;='Paramètres'!$B$21,P273=0)),"",Q273+IF(O273&lt;=1,'Paramètres'!$B$18,IF(O273=2,'Paramètres'!$B$19,'Paramètres'!$B$20)))))</f>
        <v/>
      </c>
      <c r="H273" s="107">
        <f>IF(OR(G273="",BP273&lt;&gt;BQ273),"",IF(INDEX('Saisie'!$K$5:$K$2004,BP273-4)="","",INDEX('Saisie'!$K$5:$K$2004,BP273-4)))</f>
        <v/>
      </c>
      <c r="I273" s="60">
        <f>IF(C273="","",IF(OR(D273="Gagné",D273="Perdu"),"",IFERROR(INDEX('Saisie'!$I$5:$I$2004,_xlfn.MAXIFS('Saisie'!$AS$5:$AS$2004,'Saisie'!$C$5:$C$2004,C273,'Saisie'!$I$5:$I$2004,"&lt;&gt;")-4),"")))</f>
        <v/>
      </c>
      <c r="J273" s="60">
        <f>IF(C273="","",IFERROR(INDEX('Saisie'!$U$5:$U$2004,_xlfn.MAXIFS('Saisie'!$AS$5:$AS$2004,'Saisie'!$C$5:$C$2004,C273,'Saisie'!$U$5:$U$2004,"&lt;&gt;")-4),""))</f>
        <v/>
      </c>
      <c r="K273" s="60">
        <f>IF(C273="","",IFERROR(INDEX('Saisie'!$W$5:$W$2004,_xlfn.MAXIFS('Saisie'!$AS$5:$AS$2004,'Saisie'!$C$5:$C$2004,C273,'Saisie'!$W$5:$W$2004,"&lt;&gt;")-4),""))</f>
        <v/>
      </c>
      <c r="L273" s="60">
        <f>IF(IF(BB273&lt;&gt;"",BB273,K273)="","",HYPERLINK("https://wa.me/"&amp;IF(LEFT(SUBSTITUTE(SUBSTITUTE(SUBSTITUTE(IF(BB273&lt;&gt;"",BB273,K273)," ",""),".",""),"+",""),1)="0",'Paramètres'!$B$35&amp;MID(SUBSTITUTE(SUBSTITUTE(SUBSTITUTE(IF(BB273&lt;&gt;"",BB273,K273)," ",""),".",""),"+",""),2,20),SUBSTITUTE(SUBSTITUTE(SUBSTITUTE(IF(BB273&lt;&gt;"",BB273,K273)," ",""),".",""),"+","")),"WhatsApp"))</f>
        <v/>
      </c>
      <c r="M273" s="60">
        <f>IF(BC273="","",HYPERLINK(IF(LEFT(BC273,4)="http",BC273,"https://www.instagram.com/"&amp;SUBSTITUTE(SUBSTITUTE(BC273,"@","")," ","")),BC273))</f>
        <v/>
      </c>
      <c r="N273" s="60">
        <f>IF(C273="","",IFERROR(INDEX('Saisie'!$D$5:$D$2004,_xlfn.MINIFS('Saisie'!$AS$5:$AS$2004,'Saisie'!$C$5:$C$2004,C273,'Saisie'!$AU$5:$AU$2004,1)-4),IFERROR(INDEX('Saisie'!$D$5:$D$2004,_xlfn.MINIFS('Saisie'!$AS$5:$AS$2004,'Saisie'!$C$5:$C$2004,C273,'Saisie'!$D$5:$D$2004,"&lt;&gt;")-4),"")))</f>
        <v/>
      </c>
      <c r="O273" s="60">
        <f>IF(C273="","",COUNTIFS('Saisie'!$C$5:$C$2004,C273,'Saisie'!$AU$5:$AU$2004,1))</f>
        <v/>
      </c>
      <c r="P273" s="60">
        <f>IF(C273="","",COUNTIFS('Saisie'!$C$5:$C$2004,C273,'Saisie'!$AV$5:$AV$2004,1))</f>
        <v/>
      </c>
      <c r="Q273" s="106">
        <f>IF(C273="","",IFERROR(1/(1/_xlfn.MAXIFS('Saisie'!$A$5:$A$2004,'Saisie'!$C$5:$C$2004,C273)),""))</f>
        <v/>
      </c>
      <c r="R273" s="61">
        <f>IF(C273="","",IF(Q273="","",TODAY()-Q273))</f>
        <v/>
      </c>
      <c r="S273" s="60">
        <f>IF(C273="","",IFERROR(INDEX('Saisie'!$R$5:$R$2004,_xlfn.MAXIFS('Saisie'!$AS$5:$AS$2004,'Saisie'!$C$5:$C$2004,C273,'Saisie'!$R$5:$R$2004,"&lt;&gt;")-4),""))</f>
        <v/>
      </c>
      <c r="T273" s="60">
        <f>IF(C273="","",IFERROR(INDEX('Saisie'!$S$5:$S$2004,_xlfn.MAXIFS('Saisie'!$AS$5:$AS$2004,'Saisie'!$C$5:$C$2004,C273,'Saisie'!$S$5:$S$2004,"&lt;&gt;")-4),""))</f>
        <v/>
      </c>
      <c r="U273" s="60">
        <f>IF(C273="","",IFERROR(INDEX('Saisie'!$T$5:$T$2004,_xlfn.MAXIFS('Saisie'!$AS$5:$AS$2004,'Saisie'!$C$5:$C$2004,C273,'Saisie'!$T$5:$T$2004,"&lt;&gt;")-4),""))</f>
        <v/>
      </c>
      <c r="V273" s="60">
        <f>IF(C273="","",IFERROR(INDEX('Saisie'!$V$5:$V$2004,_xlfn.MAXIFS('Saisie'!$AS$5:$AS$2004,'Saisie'!$C$5:$C$2004,C273,'Saisie'!$V$5:$V$2004,"&lt;&gt;")-4),""))</f>
        <v/>
      </c>
      <c r="W273" s="60">
        <f>IF(C273="","",IFERROR(INDEX('Saisie'!$Z$5:$Z$2004,_xlfn.MAXIFS('Saisie'!$AS$5:$AS$2004,'Saisie'!$C$5:$C$2004,C273,'Saisie'!$Z$5:$Z$2004,"&lt;&gt;")-4),""))</f>
        <v/>
      </c>
      <c r="X273" s="60">
        <f>IF(C273="","",IFERROR(INDEX('Saisie'!$AA$5:$AA$2004,_xlfn.MAXIFS('Saisie'!$AS$5:$AS$2004,'Saisie'!$C$5:$C$2004,C273,'Saisie'!$AA$5:$AA$2004,"&lt;&gt;")-4),""))</f>
        <v/>
      </c>
      <c r="Y273" s="60">
        <f>IF(C273="","",IFERROR(INDEX('Saisie'!$AB$5:$AB$2004,_xlfn.MAXIFS('Saisie'!$AS$5:$AS$2004,'Saisie'!$C$5:$C$2004,C273,'Saisie'!$AB$5:$AB$2004,"&lt;&gt;")-4),""))</f>
        <v/>
      </c>
      <c r="Z273" s="60">
        <f>IF(C273="","",IFERROR(INDEX('Saisie'!$AC$5:$AC$2004,_xlfn.MAXIFS('Saisie'!$AS$5:$AS$2004,'Saisie'!$C$5:$C$2004,C273,'Saisie'!$AC$5:$AC$2004,"&lt;&gt;")-4),""))</f>
        <v/>
      </c>
      <c r="AA273" s="106">
        <f>IF(C273="","",IFERROR(INDEX('Saisie'!$AD$5:$AD$2004,_xlfn.MAXIFS('Saisie'!$AS$5:$AS$2004,'Saisie'!$C$5:$C$2004,C273,'Saisie'!$AD$5:$AD$2004,"&lt;&gt;")-4),""))</f>
        <v/>
      </c>
      <c r="AB273" s="60">
        <f>IF(C273="","",IFERROR(INDEX('Saisie'!$AE$5:$AE$2004,_xlfn.MAXIFS('Saisie'!$AS$5:$AS$2004,'Saisie'!$C$5:$C$2004,C273,'Saisie'!$AE$5:$AE$2004,"&lt;&gt;")-4),""))</f>
        <v/>
      </c>
      <c r="AC273" s="60">
        <f>IF(C273="","",IFERROR(INDEX('Saisie'!$AF$5:$AF$2004,_xlfn.MAXIFS('Saisie'!$AS$5:$AS$2004,'Saisie'!$C$5:$C$2004,C273,'Saisie'!$AF$5:$AF$2004,"&lt;&gt;")-4),""))</f>
        <v/>
      </c>
      <c r="AD273" s="108">
        <f>IF(C273="","",IFERROR(INDEX('Saisie'!$AG$5:$AG$2004,_xlfn.MAXIFS('Saisie'!$AS$5:$AS$2004,'Saisie'!$C$5:$C$2004,C273,'Saisie'!$AG$5:$AG$2004,"&lt;&gt;")-4),""))</f>
        <v/>
      </c>
      <c r="AE273" s="60">
        <f>IF(C273="","",IFERROR(INDEX('Saisie'!$AH$5:$AH$2004,_xlfn.MAXIFS('Saisie'!$AS$5:$AS$2004,'Saisie'!$C$5:$C$2004,C273,'Saisie'!$AH$5:$AH$2004,"&lt;&gt;")-4),""))</f>
        <v/>
      </c>
      <c r="AF273" s="60">
        <f>IF(C273="","",IFERROR(INDEX('Saisie'!$AI$5:$AI$2004,_xlfn.MAXIFS('Saisie'!$AS$5:$AS$2004,'Saisie'!$C$5:$C$2004,C273,'Saisie'!$AI$5:$AI$2004,"&lt;&gt;")-4),""))</f>
        <v/>
      </c>
      <c r="AG273" s="60">
        <f>IF(C273="","",IFERROR(INDEX('Saisie'!$AJ$5:$AJ$2004,_xlfn.MAXIFS('Saisie'!$AS$5:$AS$2004,'Saisie'!$C$5:$C$2004,C273,'Saisie'!$AJ$5:$AJ$2004,"&lt;&gt;")-4),""))</f>
        <v/>
      </c>
      <c r="AH273" s="60">
        <f>IF(C273="","",IFERROR(INDEX('Saisie'!$AK$5:$AK$2004,_xlfn.MAXIFS('Saisie'!$AS$5:$AS$2004,'Saisie'!$C$5:$C$2004,C273,'Saisie'!$AK$5:$AK$2004,"&lt;&gt;")-4),""))</f>
        <v/>
      </c>
      <c r="AI273" s="60">
        <f>IF(C273="","",IFERROR(INDEX('Saisie'!$AN$5:$AN$2004,_xlfn.MAXIFS('Saisie'!$AS$5:$AS$2004,'Saisie'!$C$5:$C$2004,C273,'Saisie'!$AN$5:$AN$2004,"&lt;&gt;")-4),""))</f>
        <v/>
      </c>
      <c r="AJ273" s="60">
        <f>IF(C273="","",IFERROR(INDEX('Saisie'!$AO$5:$AO$2004,_xlfn.MAXIFS('Saisie'!$AS$5:$AS$2004,'Saisie'!$C$5:$C$2004,C273,'Saisie'!$AO$5:$AO$2004,"&lt;&gt;")-4),""))</f>
        <v/>
      </c>
      <c r="AK273" s="60">
        <f>IF(C273="","",IFERROR(INDEX('Saisie'!$AP$5:$AP$2004,_xlfn.MAXIFS('Saisie'!$AS$5:$AS$2004,'Saisie'!$C$5:$C$2004,C273,'Saisie'!$AP$5:$AP$2004,"&lt;&gt;")-4),""))</f>
        <v/>
      </c>
      <c r="AL273" s="60">
        <f>IF(C273="","",IFERROR(INDEX('Saisie'!$AQ$5:$AQ$2004,_xlfn.MAXIFS('Saisie'!$AS$5:$AS$2004,'Saisie'!$C$5:$C$2004,C273,'Saisie'!$AQ$5:$AQ$2004,"&lt;&gt;")-4),""))</f>
        <v/>
      </c>
      <c r="AM273" s="60">
        <f>IF(C273="","",((AI273="Oui")+(AJ273="Oui")+(AK273="Oui")+OR(AL273="Immédiat",AL273="&lt; 1 mois"))&amp;"/4")</f>
        <v/>
      </c>
      <c r="AN273" s="60">
        <f>IF(C273="","",IFERROR(INDEX('Saisie'!$AL$5:$AL$2004,_xlfn.MAXIFS('Saisie'!$AS$5:$AS$2004,'Saisie'!$C$5:$C$2004,C273,'Saisie'!$AL$5:$AL$2004,"&lt;&gt;")-4),""))</f>
        <v/>
      </c>
      <c r="AO273" s="62">
        <f>IF(C273="","",IF(IFERROR(INDEX('Saisie'!$AM$5:$AM$2004,_xlfn.MAXIFS('Saisie'!$AS$5:$AS$2004,'Saisie'!$C$5:$C$2004,C273,'Saisie'!$AM$5:$AM$2004,"&lt;&gt;")-4),"")&lt;&gt;"",IFERROR(INDEX('Saisie'!$AM$5:$AM$2004,_xlfn.MAXIFS('Saisie'!$AS$5:$AS$2004,'Saisie'!$C$5:$C$2004,C273,'Saisie'!$AM$5:$AM$2004,"&lt;&gt;")-4),""),IFERROR(INDEX('Paramètres'!$S$6:$S$15,MATCH(AN273,'Paramètres'!$Q$6:$Q$15,0)),"")))</f>
        <v/>
      </c>
      <c r="AP273" s="62">
        <f>IF(C273="","",IFERROR(INDEX('Saisie'!$AW$5:$AW$2004,_xlfn.MAXIFS('Saisie'!$AS$5:$AS$2004,'Saisie'!$C$5:$C$2004,C273,'Saisie'!$E$5:$E$2004,"Proposition envoyée")-4),""))</f>
        <v/>
      </c>
      <c r="AQ273" s="106">
        <f>IF(C273="","",IFERROR(1/(1/_xlfn.MAXIFS('Saisie'!$A$5:$A$2004,'Saisie'!$C$5:$C$2004,C273,'Saisie'!$E$5:$E$2004,"Proposition envoyée")),""))</f>
        <v/>
      </c>
      <c r="AR273" s="106">
        <f>IF(C273="","",IF(AQ273="","",AQ273+'Paramètres'!$B$26))</f>
        <v/>
      </c>
      <c r="AS273" s="62">
        <f>IF(OR(C273="",D273="Gagné",D273="Perdu"),0,N(AP273)*IFERROR(INDEX('Paramètres'!$G$6:$G$13,MATCH(D273,'Paramètres'!$F$6:$F$13,0)),0))</f>
        <v/>
      </c>
      <c r="AT273" s="106">
        <f>IF(C273="","",IFERROR(1/(1/_xlfn.MINIFS('Saisie'!$A$5:$A$2004,'Saisie'!$C$5:$C$2004,C273,'Saisie'!$E$5:$E$2004,"Signature")),""))</f>
        <v/>
      </c>
      <c r="AU273" s="60">
        <f>IF(C273="","",IF(OR(AT273="",B273=""),"",AT273-B273))</f>
        <v/>
      </c>
      <c r="AV273" s="60">
        <f>IF(C273="","",IFERROR(INDEX('Saisie'!$L$5:$L$2004,_xlfn.MAXIFS('Saisie'!$AS$5:$AS$2004,'Saisie'!$C$5:$C$2004,C273,'Saisie'!$L$5:$L$2004,"&lt;&gt;")-4),""))</f>
        <v/>
      </c>
      <c r="AW273" s="106">
        <f>IF(C273="","",IF(D273&lt;&gt;"Perdu","",IFERROR(1/(1/_xlfn.MAXIFS('Saisie'!$A$5:$A$2004,'Saisie'!$C$5:$C$2004,C273,'Saisie'!$E$5:$E$2004,"Perdu")),"")))</f>
        <v/>
      </c>
      <c r="AX273" s="106">
        <f>IF(C273="","",IF(AW273="","",AW273+'Paramètres'!$B$28))</f>
        <v/>
      </c>
      <c r="AY273" s="60">
        <f>IF(C273="","",SUMIFS('Saisie'!$H$5:$H$2004,'Saisie'!$C$5:$C$2004,C273))</f>
        <v/>
      </c>
      <c r="AZ273" s="60">
        <f>IF(C273="","",IFERROR(INDEX('Paramètres'!$W$6:$W$20,MATCH(S273,'Paramètres'!$V$6:$V$20,0))&amp;"",""))</f>
        <v/>
      </c>
      <c r="BA273" s="60">
        <f>IF(C273="","",MAX(1,_xlfn.MAXIFS('Saisie'!$AT$5:$AT$2004,'Saisie'!$C$5:$C$2004,C273)))</f>
        <v/>
      </c>
      <c r="BB273" s="60">
        <f>IF(C273="","",IFERROR(INDEX('Saisie'!$X$5:$X$2004,_xlfn.MAXIFS('Saisie'!$AS$5:$AS$2004,'Saisie'!$C$5:$C$2004,C273,'Saisie'!$X$5:$X$2004,"&lt;&gt;")-4),""))</f>
        <v/>
      </c>
      <c r="BC273" s="60">
        <f>IF(C273="","",IFERROR(INDEX('Saisie'!$Y$5:$Y$2004,_xlfn.MAXIFS('Saisie'!$AS$5:$AS$2004,'Saisie'!$C$5:$C$2004,C273,'Saisie'!$Y$5:$Y$2004,"&lt;&gt;")-4),""))</f>
        <v/>
      </c>
      <c r="BD273" s="106">
        <f>IF(C273="","",IFERROR(1/(1/_xlfn.MINIFS('Saisie'!$A$5:$A$2004,'Saisie'!$C$5:$C$2004,C273,'Saisie'!$AT$5:$AT$2004,"&gt;=2")),""))</f>
        <v/>
      </c>
      <c r="BE273" s="106">
        <f>IF(C273="","",IFERROR(1/(1/_xlfn.MINIFS('Saisie'!$A$5:$A$2004,'Saisie'!$C$5:$C$2004,C273,'Saisie'!$AT$5:$AT$2004,"&gt;=3")),""))</f>
        <v/>
      </c>
      <c r="BF273" s="106">
        <f>IF(C273="","",IFERROR(1/(1/_xlfn.MINIFS('Saisie'!$A$5:$A$2004,'Saisie'!$C$5:$C$2004,C273,'Saisie'!$AT$5:$AT$2004,"&gt;=4")),""))</f>
        <v/>
      </c>
      <c r="BG273" s="106">
        <f>IF(C273="","",IFERROR(1/(1/_xlfn.MINIFS('Saisie'!$A$5:$A$2004,'Saisie'!$C$5:$C$2004,C273,'Saisie'!$AT$5:$AT$2004,"&gt;=5")),""))</f>
        <v/>
      </c>
      <c r="BH273" s="106">
        <f>IF(C273="","",IFERROR(1/(1/_xlfn.MINIFS('Saisie'!$A$5:$A$2004,'Saisie'!$C$5:$C$2004,C273,'Saisie'!$AT$5:$AT$2004,"&gt;=6")),""))</f>
        <v/>
      </c>
      <c r="BI273" s="106">
        <f>IF(C273="","",IFERROR(1/(1/_xlfn.MINIFS('Saisie'!$A$5:$A$2004,'Saisie'!$C$5:$C$2004,C273,'Saisie'!$AT$5:$AT$2004,"&gt;=7")),""))</f>
        <v/>
      </c>
      <c r="BJ273" s="60">
        <f>IF(OR(BD273="",B273=""),"",BD273-B273)</f>
        <v/>
      </c>
      <c r="BK273" s="60">
        <f>IF(OR(BE273="",BD273=""),"",BE273-BD273)</f>
        <v/>
      </c>
      <c r="BL273" s="60">
        <f>IF(OR(BF273="",BE273=""),"",BF273-BE273)</f>
        <v/>
      </c>
      <c r="BM273" s="60">
        <f>IF(OR(BG273="",BF273=""),"",BG273-BF273)</f>
        <v/>
      </c>
      <c r="BN273" s="60">
        <f>IF(OR(BH273="",BG273=""),"",BH273-BG273)</f>
        <v/>
      </c>
      <c r="BO273" s="60">
        <f>IF(OR(BI273="",BH273=""),"",BI273-BH273)</f>
        <v/>
      </c>
      <c r="BP273" s="60">
        <f>IF(C273="","",_xlfn.MAXIFS('Saisie'!$AS$5:$AS$2004,'Saisie'!$C$5:$C$2004,C273,'Saisie'!$J$5:$J$2004,"&lt;&gt;"))</f>
        <v/>
      </c>
      <c r="BQ273" s="60">
        <f>IF(C273="","",_xlfn.MAXIFS('Saisie'!$AS$5:$AS$2004,'Saisie'!$C$5:$C$2004,C273))</f>
        <v/>
      </c>
      <c r="BR273" s="60">
        <f>IF(C273="","",_xlfn.MAXIFS('Saisie'!$AS$5:$AS$2004,'Saisie'!$C$5:$C$2004,C273,'Saisie'!$E$5:$E$2004,"Perdu"))</f>
        <v/>
      </c>
      <c r="BS273" s="60">
        <f>IF(C273="","",_xlfn.MAXIFS('Saisie'!$AS$5:$AS$2004,'Saisie'!$C$5:$C$2004,C273,'Saisie'!$AT$5:$AT$2004,"&gt;0"))</f>
        <v/>
      </c>
      <c r="BT273" s="109">
        <f>IF(AND(C273&lt;&gt;"",OR(D273="Nouveau",D273="Contacté",D273="Qualifié"),OR(G273="",N(G273)&lt;=TODAY()),NOT(AND(O273&gt;='Paramètres'!$B$21,P273=0))),E273+269/10000,"")</f>
        <v/>
      </c>
      <c r="BU273" s="60">
        <f>IF(AND(G273&lt;&gt;"",N(G273)&lt;=TODAY()),MAX($BU$4:BU272)+1,"")</f>
        <v/>
      </c>
      <c r="BV273" s="60">
        <f>IF(AND(F273&lt;&gt;"",F273&lt;&gt;"Relance en retard"),MAX($BV$4:BV272)+1,"")</f>
        <v/>
      </c>
      <c r="BW273" s="60">
        <f>IF(C273="","",IF(AND(B273&gt;='Tableau de bord'!$R$4,B273&lt;='Tableau de bord'!$S$4,OR('Tableau de bord'!$G$4="Tous",N273='Tableau de bord'!$G$4)),1,0))</f>
        <v/>
      </c>
      <c r="BX273" s="60">
        <f>IF(AND(C273&lt;&gt;"",N(BA273)=7),MAX($BX$4:BX272)+1,"")</f>
        <v/>
      </c>
    </row>
    <row r="274">
      <c r="A274" s="60">
        <f>IF(C274="","","P-"&amp;TEXT(270,"000"))</f>
        <v/>
      </c>
      <c r="B274" s="106">
        <f>IF(C274="","",IFERROR(1/(1/_xlfn.MINIFS('Saisie'!$A$5:$A$2004,'Saisie'!$C$5:$C$2004,C274)),""))</f>
        <v/>
      </c>
      <c r="C274" s="60">
        <f>IFERROR(INDEX('Saisie'!$C$5:$C$2004,MATCH(270,'Saisie'!$AX$5:$AX$2004,0)),"")</f>
        <v/>
      </c>
      <c r="D274" s="60">
        <f>IF(C274="","",IF(AND(BR274&gt;0,BR274&gt;BS274,BA274&lt;7),"Perdu",INDEX('Paramètres'!$F$6:$F$13,BA274)))</f>
        <v/>
      </c>
      <c r="E274" s="61">
        <f>IF(C274="","",MIN(100,(Z274="Oui")*'Paramètres'!$B$38+(AB274="Régulière")*'Paramètres'!$B$39+IF(AND(N(AA274)&gt;0,TODAY()-N(AA274)&lt;=30),'Paramètres'!$B$40,0)+(W274="")*'Paramètres'!$B$41+(AC274="Absente")*'Paramètres'!$B$42+(AC274="Faible")*'Paramètres'!$B$43+IF(AND(N(AD274)&gt;0,N(AD274)&lt;4),'Paramètres'!$B$44,0)+(AF274="Moyenne")*'Paramètres'!$B$45+(AF274="Grande")*'Paramètres'!$B$46+(Y274&lt;&gt;"")*'Paramètres'!$B$47))</f>
        <v/>
      </c>
      <c r="F274" s="60">
        <f>IF(C274="","",IF(D274="Gagné","",IF(D274="Perdu",IF(AND(AX274&lt;&gt;"",AX274&lt;=TODAY()),"À recontacter (perdu)",""),IF(AND(O274&gt;='Paramètres'!$B$21,P274=0),"Stop : "&amp;'Paramètres'!$B$21&amp;" tentatives sans réponse",IF(AND(D274="Proposition",AR274&lt;&gt;"",TODAY()&gt;N(AR274)),"Proposition expirée",IF(AND(D274="Proposition",N(R274)&gt;='Paramètres'!$B$25),"Proposition sans réponse",IF(AND(G274&lt;&gt;"",N(G274)&lt;TODAY()),"Relance en retard",IF(N(R274)&gt;='Paramètres'!$B$24,"Sans action depuis "&amp;R274&amp;" j",""))))))))</f>
        <v/>
      </c>
      <c r="G274" s="106">
        <f>IF(OR(C274="",D274="Gagné",D274="Perdu"),"",IF(AND(BP274&gt;0,BP274=BQ274),INDEX('Saisie'!$J$5:$J$2004,BP274-4),IF(OR(O274=0,AND(O274&gt;='Paramètres'!$B$21,P274=0)),"",Q274+IF(O274&lt;=1,'Paramètres'!$B$18,IF(O274=2,'Paramètres'!$B$19,'Paramètres'!$B$20)))))</f>
        <v/>
      </c>
      <c r="H274" s="107">
        <f>IF(OR(G274="",BP274&lt;&gt;BQ274),"",IF(INDEX('Saisie'!$K$5:$K$2004,BP274-4)="","",INDEX('Saisie'!$K$5:$K$2004,BP274-4)))</f>
        <v/>
      </c>
      <c r="I274" s="60">
        <f>IF(C274="","",IF(OR(D274="Gagné",D274="Perdu"),"",IFERROR(INDEX('Saisie'!$I$5:$I$2004,_xlfn.MAXIFS('Saisie'!$AS$5:$AS$2004,'Saisie'!$C$5:$C$2004,C274,'Saisie'!$I$5:$I$2004,"&lt;&gt;")-4),"")))</f>
        <v/>
      </c>
      <c r="J274" s="60">
        <f>IF(C274="","",IFERROR(INDEX('Saisie'!$U$5:$U$2004,_xlfn.MAXIFS('Saisie'!$AS$5:$AS$2004,'Saisie'!$C$5:$C$2004,C274,'Saisie'!$U$5:$U$2004,"&lt;&gt;")-4),""))</f>
        <v/>
      </c>
      <c r="K274" s="60">
        <f>IF(C274="","",IFERROR(INDEX('Saisie'!$W$5:$W$2004,_xlfn.MAXIFS('Saisie'!$AS$5:$AS$2004,'Saisie'!$C$5:$C$2004,C274,'Saisie'!$W$5:$W$2004,"&lt;&gt;")-4),""))</f>
        <v/>
      </c>
      <c r="L274" s="60">
        <f>IF(IF(BB274&lt;&gt;"",BB274,K274)="","",HYPERLINK("https://wa.me/"&amp;IF(LEFT(SUBSTITUTE(SUBSTITUTE(SUBSTITUTE(IF(BB274&lt;&gt;"",BB274,K274)," ",""),".",""),"+",""),1)="0",'Paramètres'!$B$35&amp;MID(SUBSTITUTE(SUBSTITUTE(SUBSTITUTE(IF(BB274&lt;&gt;"",BB274,K274)," ",""),".",""),"+",""),2,20),SUBSTITUTE(SUBSTITUTE(SUBSTITUTE(IF(BB274&lt;&gt;"",BB274,K274)," ",""),".",""),"+","")),"WhatsApp"))</f>
        <v/>
      </c>
      <c r="M274" s="60">
        <f>IF(BC274="","",HYPERLINK(IF(LEFT(BC274,4)="http",BC274,"https://www.instagram.com/"&amp;SUBSTITUTE(SUBSTITUTE(BC274,"@","")," ","")),BC274))</f>
        <v/>
      </c>
      <c r="N274" s="60">
        <f>IF(C274="","",IFERROR(INDEX('Saisie'!$D$5:$D$2004,_xlfn.MINIFS('Saisie'!$AS$5:$AS$2004,'Saisie'!$C$5:$C$2004,C274,'Saisie'!$AU$5:$AU$2004,1)-4),IFERROR(INDEX('Saisie'!$D$5:$D$2004,_xlfn.MINIFS('Saisie'!$AS$5:$AS$2004,'Saisie'!$C$5:$C$2004,C274,'Saisie'!$D$5:$D$2004,"&lt;&gt;")-4),"")))</f>
        <v/>
      </c>
      <c r="O274" s="60">
        <f>IF(C274="","",COUNTIFS('Saisie'!$C$5:$C$2004,C274,'Saisie'!$AU$5:$AU$2004,1))</f>
        <v/>
      </c>
      <c r="P274" s="60">
        <f>IF(C274="","",COUNTIFS('Saisie'!$C$5:$C$2004,C274,'Saisie'!$AV$5:$AV$2004,1))</f>
        <v/>
      </c>
      <c r="Q274" s="106">
        <f>IF(C274="","",IFERROR(1/(1/_xlfn.MAXIFS('Saisie'!$A$5:$A$2004,'Saisie'!$C$5:$C$2004,C274)),""))</f>
        <v/>
      </c>
      <c r="R274" s="61">
        <f>IF(C274="","",IF(Q274="","",TODAY()-Q274))</f>
        <v/>
      </c>
      <c r="S274" s="60">
        <f>IF(C274="","",IFERROR(INDEX('Saisie'!$R$5:$R$2004,_xlfn.MAXIFS('Saisie'!$AS$5:$AS$2004,'Saisie'!$C$5:$C$2004,C274,'Saisie'!$R$5:$R$2004,"&lt;&gt;")-4),""))</f>
        <v/>
      </c>
      <c r="T274" s="60">
        <f>IF(C274="","",IFERROR(INDEX('Saisie'!$S$5:$S$2004,_xlfn.MAXIFS('Saisie'!$AS$5:$AS$2004,'Saisie'!$C$5:$C$2004,C274,'Saisie'!$S$5:$S$2004,"&lt;&gt;")-4),""))</f>
        <v/>
      </c>
      <c r="U274" s="60">
        <f>IF(C274="","",IFERROR(INDEX('Saisie'!$T$5:$T$2004,_xlfn.MAXIFS('Saisie'!$AS$5:$AS$2004,'Saisie'!$C$5:$C$2004,C274,'Saisie'!$T$5:$T$2004,"&lt;&gt;")-4),""))</f>
        <v/>
      </c>
      <c r="V274" s="60">
        <f>IF(C274="","",IFERROR(INDEX('Saisie'!$V$5:$V$2004,_xlfn.MAXIFS('Saisie'!$AS$5:$AS$2004,'Saisie'!$C$5:$C$2004,C274,'Saisie'!$V$5:$V$2004,"&lt;&gt;")-4),""))</f>
        <v/>
      </c>
      <c r="W274" s="60">
        <f>IF(C274="","",IFERROR(INDEX('Saisie'!$Z$5:$Z$2004,_xlfn.MAXIFS('Saisie'!$AS$5:$AS$2004,'Saisie'!$C$5:$C$2004,C274,'Saisie'!$Z$5:$Z$2004,"&lt;&gt;")-4),""))</f>
        <v/>
      </c>
      <c r="X274" s="60">
        <f>IF(C274="","",IFERROR(INDEX('Saisie'!$AA$5:$AA$2004,_xlfn.MAXIFS('Saisie'!$AS$5:$AS$2004,'Saisie'!$C$5:$C$2004,C274,'Saisie'!$AA$5:$AA$2004,"&lt;&gt;")-4),""))</f>
        <v/>
      </c>
      <c r="Y274" s="60">
        <f>IF(C274="","",IFERROR(INDEX('Saisie'!$AB$5:$AB$2004,_xlfn.MAXIFS('Saisie'!$AS$5:$AS$2004,'Saisie'!$C$5:$C$2004,C274,'Saisie'!$AB$5:$AB$2004,"&lt;&gt;")-4),""))</f>
        <v/>
      </c>
      <c r="Z274" s="60">
        <f>IF(C274="","",IFERROR(INDEX('Saisie'!$AC$5:$AC$2004,_xlfn.MAXIFS('Saisie'!$AS$5:$AS$2004,'Saisie'!$C$5:$C$2004,C274,'Saisie'!$AC$5:$AC$2004,"&lt;&gt;")-4),""))</f>
        <v/>
      </c>
      <c r="AA274" s="106">
        <f>IF(C274="","",IFERROR(INDEX('Saisie'!$AD$5:$AD$2004,_xlfn.MAXIFS('Saisie'!$AS$5:$AS$2004,'Saisie'!$C$5:$C$2004,C274,'Saisie'!$AD$5:$AD$2004,"&lt;&gt;")-4),""))</f>
        <v/>
      </c>
      <c r="AB274" s="60">
        <f>IF(C274="","",IFERROR(INDEX('Saisie'!$AE$5:$AE$2004,_xlfn.MAXIFS('Saisie'!$AS$5:$AS$2004,'Saisie'!$C$5:$C$2004,C274,'Saisie'!$AE$5:$AE$2004,"&lt;&gt;")-4),""))</f>
        <v/>
      </c>
      <c r="AC274" s="60">
        <f>IF(C274="","",IFERROR(INDEX('Saisie'!$AF$5:$AF$2004,_xlfn.MAXIFS('Saisie'!$AS$5:$AS$2004,'Saisie'!$C$5:$C$2004,C274,'Saisie'!$AF$5:$AF$2004,"&lt;&gt;")-4),""))</f>
        <v/>
      </c>
      <c r="AD274" s="108">
        <f>IF(C274="","",IFERROR(INDEX('Saisie'!$AG$5:$AG$2004,_xlfn.MAXIFS('Saisie'!$AS$5:$AS$2004,'Saisie'!$C$5:$C$2004,C274,'Saisie'!$AG$5:$AG$2004,"&lt;&gt;")-4),""))</f>
        <v/>
      </c>
      <c r="AE274" s="60">
        <f>IF(C274="","",IFERROR(INDEX('Saisie'!$AH$5:$AH$2004,_xlfn.MAXIFS('Saisie'!$AS$5:$AS$2004,'Saisie'!$C$5:$C$2004,C274,'Saisie'!$AH$5:$AH$2004,"&lt;&gt;")-4),""))</f>
        <v/>
      </c>
      <c r="AF274" s="60">
        <f>IF(C274="","",IFERROR(INDEX('Saisie'!$AI$5:$AI$2004,_xlfn.MAXIFS('Saisie'!$AS$5:$AS$2004,'Saisie'!$C$5:$C$2004,C274,'Saisie'!$AI$5:$AI$2004,"&lt;&gt;")-4),""))</f>
        <v/>
      </c>
      <c r="AG274" s="60">
        <f>IF(C274="","",IFERROR(INDEX('Saisie'!$AJ$5:$AJ$2004,_xlfn.MAXIFS('Saisie'!$AS$5:$AS$2004,'Saisie'!$C$5:$C$2004,C274,'Saisie'!$AJ$5:$AJ$2004,"&lt;&gt;")-4),""))</f>
        <v/>
      </c>
      <c r="AH274" s="60">
        <f>IF(C274="","",IFERROR(INDEX('Saisie'!$AK$5:$AK$2004,_xlfn.MAXIFS('Saisie'!$AS$5:$AS$2004,'Saisie'!$C$5:$C$2004,C274,'Saisie'!$AK$5:$AK$2004,"&lt;&gt;")-4),""))</f>
        <v/>
      </c>
      <c r="AI274" s="60">
        <f>IF(C274="","",IFERROR(INDEX('Saisie'!$AN$5:$AN$2004,_xlfn.MAXIFS('Saisie'!$AS$5:$AS$2004,'Saisie'!$C$5:$C$2004,C274,'Saisie'!$AN$5:$AN$2004,"&lt;&gt;")-4),""))</f>
        <v/>
      </c>
      <c r="AJ274" s="60">
        <f>IF(C274="","",IFERROR(INDEX('Saisie'!$AO$5:$AO$2004,_xlfn.MAXIFS('Saisie'!$AS$5:$AS$2004,'Saisie'!$C$5:$C$2004,C274,'Saisie'!$AO$5:$AO$2004,"&lt;&gt;")-4),""))</f>
        <v/>
      </c>
      <c r="AK274" s="60">
        <f>IF(C274="","",IFERROR(INDEX('Saisie'!$AP$5:$AP$2004,_xlfn.MAXIFS('Saisie'!$AS$5:$AS$2004,'Saisie'!$C$5:$C$2004,C274,'Saisie'!$AP$5:$AP$2004,"&lt;&gt;")-4),""))</f>
        <v/>
      </c>
      <c r="AL274" s="60">
        <f>IF(C274="","",IFERROR(INDEX('Saisie'!$AQ$5:$AQ$2004,_xlfn.MAXIFS('Saisie'!$AS$5:$AS$2004,'Saisie'!$C$5:$C$2004,C274,'Saisie'!$AQ$5:$AQ$2004,"&lt;&gt;")-4),""))</f>
        <v/>
      </c>
      <c r="AM274" s="60">
        <f>IF(C274="","",((AI274="Oui")+(AJ274="Oui")+(AK274="Oui")+OR(AL274="Immédiat",AL274="&lt; 1 mois"))&amp;"/4")</f>
        <v/>
      </c>
      <c r="AN274" s="60">
        <f>IF(C274="","",IFERROR(INDEX('Saisie'!$AL$5:$AL$2004,_xlfn.MAXIFS('Saisie'!$AS$5:$AS$2004,'Saisie'!$C$5:$C$2004,C274,'Saisie'!$AL$5:$AL$2004,"&lt;&gt;")-4),""))</f>
        <v/>
      </c>
      <c r="AO274" s="62">
        <f>IF(C274="","",IF(IFERROR(INDEX('Saisie'!$AM$5:$AM$2004,_xlfn.MAXIFS('Saisie'!$AS$5:$AS$2004,'Saisie'!$C$5:$C$2004,C274,'Saisie'!$AM$5:$AM$2004,"&lt;&gt;")-4),"")&lt;&gt;"",IFERROR(INDEX('Saisie'!$AM$5:$AM$2004,_xlfn.MAXIFS('Saisie'!$AS$5:$AS$2004,'Saisie'!$C$5:$C$2004,C274,'Saisie'!$AM$5:$AM$2004,"&lt;&gt;")-4),""),IFERROR(INDEX('Paramètres'!$S$6:$S$15,MATCH(AN274,'Paramètres'!$Q$6:$Q$15,0)),"")))</f>
        <v/>
      </c>
      <c r="AP274" s="62">
        <f>IF(C274="","",IFERROR(INDEX('Saisie'!$AW$5:$AW$2004,_xlfn.MAXIFS('Saisie'!$AS$5:$AS$2004,'Saisie'!$C$5:$C$2004,C274,'Saisie'!$E$5:$E$2004,"Proposition envoyée")-4),""))</f>
        <v/>
      </c>
      <c r="AQ274" s="106">
        <f>IF(C274="","",IFERROR(1/(1/_xlfn.MAXIFS('Saisie'!$A$5:$A$2004,'Saisie'!$C$5:$C$2004,C274,'Saisie'!$E$5:$E$2004,"Proposition envoyée")),""))</f>
        <v/>
      </c>
      <c r="AR274" s="106">
        <f>IF(C274="","",IF(AQ274="","",AQ274+'Paramètres'!$B$26))</f>
        <v/>
      </c>
      <c r="AS274" s="62">
        <f>IF(OR(C274="",D274="Gagné",D274="Perdu"),0,N(AP274)*IFERROR(INDEX('Paramètres'!$G$6:$G$13,MATCH(D274,'Paramètres'!$F$6:$F$13,0)),0))</f>
        <v/>
      </c>
      <c r="AT274" s="106">
        <f>IF(C274="","",IFERROR(1/(1/_xlfn.MINIFS('Saisie'!$A$5:$A$2004,'Saisie'!$C$5:$C$2004,C274,'Saisie'!$E$5:$E$2004,"Signature")),""))</f>
        <v/>
      </c>
      <c r="AU274" s="60">
        <f>IF(C274="","",IF(OR(AT274="",B274=""),"",AT274-B274))</f>
        <v/>
      </c>
      <c r="AV274" s="60">
        <f>IF(C274="","",IFERROR(INDEX('Saisie'!$L$5:$L$2004,_xlfn.MAXIFS('Saisie'!$AS$5:$AS$2004,'Saisie'!$C$5:$C$2004,C274,'Saisie'!$L$5:$L$2004,"&lt;&gt;")-4),""))</f>
        <v/>
      </c>
      <c r="AW274" s="106">
        <f>IF(C274="","",IF(D274&lt;&gt;"Perdu","",IFERROR(1/(1/_xlfn.MAXIFS('Saisie'!$A$5:$A$2004,'Saisie'!$C$5:$C$2004,C274,'Saisie'!$E$5:$E$2004,"Perdu")),"")))</f>
        <v/>
      </c>
      <c r="AX274" s="106">
        <f>IF(C274="","",IF(AW274="","",AW274+'Paramètres'!$B$28))</f>
        <v/>
      </c>
      <c r="AY274" s="60">
        <f>IF(C274="","",SUMIFS('Saisie'!$H$5:$H$2004,'Saisie'!$C$5:$C$2004,C274))</f>
        <v/>
      </c>
      <c r="AZ274" s="60">
        <f>IF(C274="","",IFERROR(INDEX('Paramètres'!$W$6:$W$20,MATCH(S274,'Paramètres'!$V$6:$V$20,0))&amp;"",""))</f>
        <v/>
      </c>
      <c r="BA274" s="60">
        <f>IF(C274="","",MAX(1,_xlfn.MAXIFS('Saisie'!$AT$5:$AT$2004,'Saisie'!$C$5:$C$2004,C274)))</f>
        <v/>
      </c>
      <c r="BB274" s="60">
        <f>IF(C274="","",IFERROR(INDEX('Saisie'!$X$5:$X$2004,_xlfn.MAXIFS('Saisie'!$AS$5:$AS$2004,'Saisie'!$C$5:$C$2004,C274,'Saisie'!$X$5:$X$2004,"&lt;&gt;")-4),""))</f>
        <v/>
      </c>
      <c r="BC274" s="60">
        <f>IF(C274="","",IFERROR(INDEX('Saisie'!$Y$5:$Y$2004,_xlfn.MAXIFS('Saisie'!$AS$5:$AS$2004,'Saisie'!$C$5:$C$2004,C274,'Saisie'!$Y$5:$Y$2004,"&lt;&gt;")-4),""))</f>
        <v/>
      </c>
      <c r="BD274" s="106">
        <f>IF(C274="","",IFERROR(1/(1/_xlfn.MINIFS('Saisie'!$A$5:$A$2004,'Saisie'!$C$5:$C$2004,C274,'Saisie'!$AT$5:$AT$2004,"&gt;=2")),""))</f>
        <v/>
      </c>
      <c r="BE274" s="106">
        <f>IF(C274="","",IFERROR(1/(1/_xlfn.MINIFS('Saisie'!$A$5:$A$2004,'Saisie'!$C$5:$C$2004,C274,'Saisie'!$AT$5:$AT$2004,"&gt;=3")),""))</f>
        <v/>
      </c>
      <c r="BF274" s="106">
        <f>IF(C274="","",IFERROR(1/(1/_xlfn.MINIFS('Saisie'!$A$5:$A$2004,'Saisie'!$C$5:$C$2004,C274,'Saisie'!$AT$5:$AT$2004,"&gt;=4")),""))</f>
        <v/>
      </c>
      <c r="BG274" s="106">
        <f>IF(C274="","",IFERROR(1/(1/_xlfn.MINIFS('Saisie'!$A$5:$A$2004,'Saisie'!$C$5:$C$2004,C274,'Saisie'!$AT$5:$AT$2004,"&gt;=5")),""))</f>
        <v/>
      </c>
      <c r="BH274" s="106">
        <f>IF(C274="","",IFERROR(1/(1/_xlfn.MINIFS('Saisie'!$A$5:$A$2004,'Saisie'!$C$5:$C$2004,C274,'Saisie'!$AT$5:$AT$2004,"&gt;=6")),""))</f>
        <v/>
      </c>
      <c r="BI274" s="106">
        <f>IF(C274="","",IFERROR(1/(1/_xlfn.MINIFS('Saisie'!$A$5:$A$2004,'Saisie'!$C$5:$C$2004,C274,'Saisie'!$AT$5:$AT$2004,"&gt;=7")),""))</f>
        <v/>
      </c>
      <c r="BJ274" s="60">
        <f>IF(OR(BD274="",B274=""),"",BD274-B274)</f>
        <v/>
      </c>
      <c r="BK274" s="60">
        <f>IF(OR(BE274="",BD274=""),"",BE274-BD274)</f>
        <v/>
      </c>
      <c r="BL274" s="60">
        <f>IF(OR(BF274="",BE274=""),"",BF274-BE274)</f>
        <v/>
      </c>
      <c r="BM274" s="60">
        <f>IF(OR(BG274="",BF274=""),"",BG274-BF274)</f>
        <v/>
      </c>
      <c r="BN274" s="60">
        <f>IF(OR(BH274="",BG274=""),"",BH274-BG274)</f>
        <v/>
      </c>
      <c r="BO274" s="60">
        <f>IF(OR(BI274="",BH274=""),"",BI274-BH274)</f>
        <v/>
      </c>
      <c r="BP274" s="60">
        <f>IF(C274="","",_xlfn.MAXIFS('Saisie'!$AS$5:$AS$2004,'Saisie'!$C$5:$C$2004,C274,'Saisie'!$J$5:$J$2004,"&lt;&gt;"))</f>
        <v/>
      </c>
      <c r="BQ274" s="60">
        <f>IF(C274="","",_xlfn.MAXIFS('Saisie'!$AS$5:$AS$2004,'Saisie'!$C$5:$C$2004,C274))</f>
        <v/>
      </c>
      <c r="BR274" s="60">
        <f>IF(C274="","",_xlfn.MAXIFS('Saisie'!$AS$5:$AS$2004,'Saisie'!$C$5:$C$2004,C274,'Saisie'!$E$5:$E$2004,"Perdu"))</f>
        <v/>
      </c>
      <c r="BS274" s="60">
        <f>IF(C274="","",_xlfn.MAXIFS('Saisie'!$AS$5:$AS$2004,'Saisie'!$C$5:$C$2004,C274,'Saisie'!$AT$5:$AT$2004,"&gt;0"))</f>
        <v/>
      </c>
      <c r="BT274" s="109">
        <f>IF(AND(C274&lt;&gt;"",OR(D274="Nouveau",D274="Contacté",D274="Qualifié"),OR(G274="",N(G274)&lt;=TODAY()),NOT(AND(O274&gt;='Paramètres'!$B$21,P274=0))),E274+270/10000,"")</f>
        <v/>
      </c>
      <c r="BU274" s="60">
        <f>IF(AND(G274&lt;&gt;"",N(G274)&lt;=TODAY()),MAX($BU$4:BU273)+1,"")</f>
        <v/>
      </c>
      <c r="BV274" s="60">
        <f>IF(AND(F274&lt;&gt;"",F274&lt;&gt;"Relance en retard"),MAX($BV$4:BV273)+1,"")</f>
        <v/>
      </c>
      <c r="BW274" s="60">
        <f>IF(C274="","",IF(AND(B274&gt;='Tableau de bord'!$R$4,B274&lt;='Tableau de bord'!$S$4,OR('Tableau de bord'!$G$4="Tous",N274='Tableau de bord'!$G$4)),1,0))</f>
        <v/>
      </c>
      <c r="BX274" s="60">
        <f>IF(AND(C274&lt;&gt;"",N(BA274)=7),MAX($BX$4:BX273)+1,"")</f>
        <v/>
      </c>
    </row>
    <row r="275">
      <c r="A275" s="60">
        <f>IF(C275="","","P-"&amp;TEXT(271,"000"))</f>
        <v/>
      </c>
      <c r="B275" s="106">
        <f>IF(C275="","",IFERROR(1/(1/_xlfn.MINIFS('Saisie'!$A$5:$A$2004,'Saisie'!$C$5:$C$2004,C275)),""))</f>
        <v/>
      </c>
      <c r="C275" s="60">
        <f>IFERROR(INDEX('Saisie'!$C$5:$C$2004,MATCH(271,'Saisie'!$AX$5:$AX$2004,0)),"")</f>
        <v/>
      </c>
      <c r="D275" s="60">
        <f>IF(C275="","",IF(AND(BR275&gt;0,BR275&gt;BS275,BA275&lt;7),"Perdu",INDEX('Paramètres'!$F$6:$F$13,BA275)))</f>
        <v/>
      </c>
      <c r="E275" s="61">
        <f>IF(C275="","",MIN(100,(Z275="Oui")*'Paramètres'!$B$38+(AB275="Régulière")*'Paramètres'!$B$39+IF(AND(N(AA275)&gt;0,TODAY()-N(AA275)&lt;=30),'Paramètres'!$B$40,0)+(W275="")*'Paramètres'!$B$41+(AC275="Absente")*'Paramètres'!$B$42+(AC275="Faible")*'Paramètres'!$B$43+IF(AND(N(AD275)&gt;0,N(AD275)&lt;4),'Paramètres'!$B$44,0)+(AF275="Moyenne")*'Paramètres'!$B$45+(AF275="Grande")*'Paramètres'!$B$46+(Y275&lt;&gt;"")*'Paramètres'!$B$47))</f>
        <v/>
      </c>
      <c r="F275" s="60">
        <f>IF(C275="","",IF(D275="Gagné","",IF(D275="Perdu",IF(AND(AX275&lt;&gt;"",AX275&lt;=TODAY()),"À recontacter (perdu)",""),IF(AND(O275&gt;='Paramètres'!$B$21,P275=0),"Stop : "&amp;'Paramètres'!$B$21&amp;" tentatives sans réponse",IF(AND(D275="Proposition",AR275&lt;&gt;"",TODAY()&gt;N(AR275)),"Proposition expirée",IF(AND(D275="Proposition",N(R275)&gt;='Paramètres'!$B$25),"Proposition sans réponse",IF(AND(G275&lt;&gt;"",N(G275)&lt;TODAY()),"Relance en retard",IF(N(R275)&gt;='Paramètres'!$B$24,"Sans action depuis "&amp;R275&amp;" j",""))))))))</f>
        <v/>
      </c>
      <c r="G275" s="106">
        <f>IF(OR(C275="",D275="Gagné",D275="Perdu"),"",IF(AND(BP275&gt;0,BP275=BQ275),INDEX('Saisie'!$J$5:$J$2004,BP275-4),IF(OR(O275=0,AND(O275&gt;='Paramètres'!$B$21,P275=0)),"",Q275+IF(O275&lt;=1,'Paramètres'!$B$18,IF(O275=2,'Paramètres'!$B$19,'Paramètres'!$B$20)))))</f>
        <v/>
      </c>
      <c r="H275" s="107">
        <f>IF(OR(G275="",BP275&lt;&gt;BQ275),"",IF(INDEX('Saisie'!$K$5:$K$2004,BP275-4)="","",INDEX('Saisie'!$K$5:$K$2004,BP275-4)))</f>
        <v/>
      </c>
      <c r="I275" s="60">
        <f>IF(C275="","",IF(OR(D275="Gagné",D275="Perdu"),"",IFERROR(INDEX('Saisie'!$I$5:$I$2004,_xlfn.MAXIFS('Saisie'!$AS$5:$AS$2004,'Saisie'!$C$5:$C$2004,C275,'Saisie'!$I$5:$I$2004,"&lt;&gt;")-4),"")))</f>
        <v/>
      </c>
      <c r="J275" s="60">
        <f>IF(C275="","",IFERROR(INDEX('Saisie'!$U$5:$U$2004,_xlfn.MAXIFS('Saisie'!$AS$5:$AS$2004,'Saisie'!$C$5:$C$2004,C275,'Saisie'!$U$5:$U$2004,"&lt;&gt;")-4),""))</f>
        <v/>
      </c>
      <c r="K275" s="60">
        <f>IF(C275="","",IFERROR(INDEX('Saisie'!$W$5:$W$2004,_xlfn.MAXIFS('Saisie'!$AS$5:$AS$2004,'Saisie'!$C$5:$C$2004,C275,'Saisie'!$W$5:$W$2004,"&lt;&gt;")-4),""))</f>
        <v/>
      </c>
      <c r="L275" s="60">
        <f>IF(IF(BB275&lt;&gt;"",BB275,K275)="","",HYPERLINK("https://wa.me/"&amp;IF(LEFT(SUBSTITUTE(SUBSTITUTE(SUBSTITUTE(IF(BB275&lt;&gt;"",BB275,K275)," ",""),".",""),"+",""),1)="0",'Paramètres'!$B$35&amp;MID(SUBSTITUTE(SUBSTITUTE(SUBSTITUTE(IF(BB275&lt;&gt;"",BB275,K275)," ",""),".",""),"+",""),2,20),SUBSTITUTE(SUBSTITUTE(SUBSTITUTE(IF(BB275&lt;&gt;"",BB275,K275)," ",""),".",""),"+","")),"WhatsApp"))</f>
        <v/>
      </c>
      <c r="M275" s="60">
        <f>IF(BC275="","",HYPERLINK(IF(LEFT(BC275,4)="http",BC275,"https://www.instagram.com/"&amp;SUBSTITUTE(SUBSTITUTE(BC275,"@","")," ","")),BC275))</f>
        <v/>
      </c>
      <c r="N275" s="60">
        <f>IF(C275="","",IFERROR(INDEX('Saisie'!$D$5:$D$2004,_xlfn.MINIFS('Saisie'!$AS$5:$AS$2004,'Saisie'!$C$5:$C$2004,C275,'Saisie'!$AU$5:$AU$2004,1)-4),IFERROR(INDEX('Saisie'!$D$5:$D$2004,_xlfn.MINIFS('Saisie'!$AS$5:$AS$2004,'Saisie'!$C$5:$C$2004,C275,'Saisie'!$D$5:$D$2004,"&lt;&gt;")-4),"")))</f>
        <v/>
      </c>
      <c r="O275" s="60">
        <f>IF(C275="","",COUNTIFS('Saisie'!$C$5:$C$2004,C275,'Saisie'!$AU$5:$AU$2004,1))</f>
        <v/>
      </c>
      <c r="P275" s="60">
        <f>IF(C275="","",COUNTIFS('Saisie'!$C$5:$C$2004,C275,'Saisie'!$AV$5:$AV$2004,1))</f>
        <v/>
      </c>
      <c r="Q275" s="106">
        <f>IF(C275="","",IFERROR(1/(1/_xlfn.MAXIFS('Saisie'!$A$5:$A$2004,'Saisie'!$C$5:$C$2004,C275)),""))</f>
        <v/>
      </c>
      <c r="R275" s="61">
        <f>IF(C275="","",IF(Q275="","",TODAY()-Q275))</f>
        <v/>
      </c>
      <c r="S275" s="60">
        <f>IF(C275="","",IFERROR(INDEX('Saisie'!$R$5:$R$2004,_xlfn.MAXIFS('Saisie'!$AS$5:$AS$2004,'Saisie'!$C$5:$C$2004,C275,'Saisie'!$R$5:$R$2004,"&lt;&gt;")-4),""))</f>
        <v/>
      </c>
      <c r="T275" s="60">
        <f>IF(C275="","",IFERROR(INDEX('Saisie'!$S$5:$S$2004,_xlfn.MAXIFS('Saisie'!$AS$5:$AS$2004,'Saisie'!$C$5:$C$2004,C275,'Saisie'!$S$5:$S$2004,"&lt;&gt;")-4),""))</f>
        <v/>
      </c>
      <c r="U275" s="60">
        <f>IF(C275="","",IFERROR(INDEX('Saisie'!$T$5:$T$2004,_xlfn.MAXIFS('Saisie'!$AS$5:$AS$2004,'Saisie'!$C$5:$C$2004,C275,'Saisie'!$T$5:$T$2004,"&lt;&gt;")-4),""))</f>
        <v/>
      </c>
      <c r="V275" s="60">
        <f>IF(C275="","",IFERROR(INDEX('Saisie'!$V$5:$V$2004,_xlfn.MAXIFS('Saisie'!$AS$5:$AS$2004,'Saisie'!$C$5:$C$2004,C275,'Saisie'!$V$5:$V$2004,"&lt;&gt;")-4),""))</f>
        <v/>
      </c>
      <c r="W275" s="60">
        <f>IF(C275="","",IFERROR(INDEX('Saisie'!$Z$5:$Z$2004,_xlfn.MAXIFS('Saisie'!$AS$5:$AS$2004,'Saisie'!$C$5:$C$2004,C275,'Saisie'!$Z$5:$Z$2004,"&lt;&gt;")-4),""))</f>
        <v/>
      </c>
      <c r="X275" s="60">
        <f>IF(C275="","",IFERROR(INDEX('Saisie'!$AA$5:$AA$2004,_xlfn.MAXIFS('Saisie'!$AS$5:$AS$2004,'Saisie'!$C$5:$C$2004,C275,'Saisie'!$AA$5:$AA$2004,"&lt;&gt;")-4),""))</f>
        <v/>
      </c>
      <c r="Y275" s="60">
        <f>IF(C275="","",IFERROR(INDEX('Saisie'!$AB$5:$AB$2004,_xlfn.MAXIFS('Saisie'!$AS$5:$AS$2004,'Saisie'!$C$5:$C$2004,C275,'Saisie'!$AB$5:$AB$2004,"&lt;&gt;")-4),""))</f>
        <v/>
      </c>
      <c r="Z275" s="60">
        <f>IF(C275="","",IFERROR(INDEX('Saisie'!$AC$5:$AC$2004,_xlfn.MAXIFS('Saisie'!$AS$5:$AS$2004,'Saisie'!$C$5:$C$2004,C275,'Saisie'!$AC$5:$AC$2004,"&lt;&gt;")-4),""))</f>
        <v/>
      </c>
      <c r="AA275" s="106">
        <f>IF(C275="","",IFERROR(INDEX('Saisie'!$AD$5:$AD$2004,_xlfn.MAXIFS('Saisie'!$AS$5:$AS$2004,'Saisie'!$C$5:$C$2004,C275,'Saisie'!$AD$5:$AD$2004,"&lt;&gt;")-4),""))</f>
        <v/>
      </c>
      <c r="AB275" s="60">
        <f>IF(C275="","",IFERROR(INDEX('Saisie'!$AE$5:$AE$2004,_xlfn.MAXIFS('Saisie'!$AS$5:$AS$2004,'Saisie'!$C$5:$C$2004,C275,'Saisie'!$AE$5:$AE$2004,"&lt;&gt;")-4),""))</f>
        <v/>
      </c>
      <c r="AC275" s="60">
        <f>IF(C275="","",IFERROR(INDEX('Saisie'!$AF$5:$AF$2004,_xlfn.MAXIFS('Saisie'!$AS$5:$AS$2004,'Saisie'!$C$5:$C$2004,C275,'Saisie'!$AF$5:$AF$2004,"&lt;&gt;")-4),""))</f>
        <v/>
      </c>
      <c r="AD275" s="108">
        <f>IF(C275="","",IFERROR(INDEX('Saisie'!$AG$5:$AG$2004,_xlfn.MAXIFS('Saisie'!$AS$5:$AS$2004,'Saisie'!$C$5:$C$2004,C275,'Saisie'!$AG$5:$AG$2004,"&lt;&gt;")-4),""))</f>
        <v/>
      </c>
      <c r="AE275" s="60">
        <f>IF(C275="","",IFERROR(INDEX('Saisie'!$AH$5:$AH$2004,_xlfn.MAXIFS('Saisie'!$AS$5:$AS$2004,'Saisie'!$C$5:$C$2004,C275,'Saisie'!$AH$5:$AH$2004,"&lt;&gt;")-4),""))</f>
        <v/>
      </c>
      <c r="AF275" s="60">
        <f>IF(C275="","",IFERROR(INDEX('Saisie'!$AI$5:$AI$2004,_xlfn.MAXIFS('Saisie'!$AS$5:$AS$2004,'Saisie'!$C$5:$C$2004,C275,'Saisie'!$AI$5:$AI$2004,"&lt;&gt;")-4),""))</f>
        <v/>
      </c>
      <c r="AG275" s="60">
        <f>IF(C275="","",IFERROR(INDEX('Saisie'!$AJ$5:$AJ$2004,_xlfn.MAXIFS('Saisie'!$AS$5:$AS$2004,'Saisie'!$C$5:$C$2004,C275,'Saisie'!$AJ$5:$AJ$2004,"&lt;&gt;")-4),""))</f>
        <v/>
      </c>
      <c r="AH275" s="60">
        <f>IF(C275="","",IFERROR(INDEX('Saisie'!$AK$5:$AK$2004,_xlfn.MAXIFS('Saisie'!$AS$5:$AS$2004,'Saisie'!$C$5:$C$2004,C275,'Saisie'!$AK$5:$AK$2004,"&lt;&gt;")-4),""))</f>
        <v/>
      </c>
      <c r="AI275" s="60">
        <f>IF(C275="","",IFERROR(INDEX('Saisie'!$AN$5:$AN$2004,_xlfn.MAXIFS('Saisie'!$AS$5:$AS$2004,'Saisie'!$C$5:$C$2004,C275,'Saisie'!$AN$5:$AN$2004,"&lt;&gt;")-4),""))</f>
        <v/>
      </c>
      <c r="AJ275" s="60">
        <f>IF(C275="","",IFERROR(INDEX('Saisie'!$AO$5:$AO$2004,_xlfn.MAXIFS('Saisie'!$AS$5:$AS$2004,'Saisie'!$C$5:$C$2004,C275,'Saisie'!$AO$5:$AO$2004,"&lt;&gt;")-4),""))</f>
        <v/>
      </c>
      <c r="AK275" s="60">
        <f>IF(C275="","",IFERROR(INDEX('Saisie'!$AP$5:$AP$2004,_xlfn.MAXIFS('Saisie'!$AS$5:$AS$2004,'Saisie'!$C$5:$C$2004,C275,'Saisie'!$AP$5:$AP$2004,"&lt;&gt;")-4),""))</f>
        <v/>
      </c>
      <c r="AL275" s="60">
        <f>IF(C275="","",IFERROR(INDEX('Saisie'!$AQ$5:$AQ$2004,_xlfn.MAXIFS('Saisie'!$AS$5:$AS$2004,'Saisie'!$C$5:$C$2004,C275,'Saisie'!$AQ$5:$AQ$2004,"&lt;&gt;")-4),""))</f>
        <v/>
      </c>
      <c r="AM275" s="60">
        <f>IF(C275="","",((AI275="Oui")+(AJ275="Oui")+(AK275="Oui")+OR(AL275="Immédiat",AL275="&lt; 1 mois"))&amp;"/4")</f>
        <v/>
      </c>
      <c r="AN275" s="60">
        <f>IF(C275="","",IFERROR(INDEX('Saisie'!$AL$5:$AL$2004,_xlfn.MAXIFS('Saisie'!$AS$5:$AS$2004,'Saisie'!$C$5:$C$2004,C275,'Saisie'!$AL$5:$AL$2004,"&lt;&gt;")-4),""))</f>
        <v/>
      </c>
      <c r="AO275" s="62">
        <f>IF(C275="","",IF(IFERROR(INDEX('Saisie'!$AM$5:$AM$2004,_xlfn.MAXIFS('Saisie'!$AS$5:$AS$2004,'Saisie'!$C$5:$C$2004,C275,'Saisie'!$AM$5:$AM$2004,"&lt;&gt;")-4),"")&lt;&gt;"",IFERROR(INDEX('Saisie'!$AM$5:$AM$2004,_xlfn.MAXIFS('Saisie'!$AS$5:$AS$2004,'Saisie'!$C$5:$C$2004,C275,'Saisie'!$AM$5:$AM$2004,"&lt;&gt;")-4),""),IFERROR(INDEX('Paramètres'!$S$6:$S$15,MATCH(AN275,'Paramètres'!$Q$6:$Q$15,0)),"")))</f>
        <v/>
      </c>
      <c r="AP275" s="62">
        <f>IF(C275="","",IFERROR(INDEX('Saisie'!$AW$5:$AW$2004,_xlfn.MAXIFS('Saisie'!$AS$5:$AS$2004,'Saisie'!$C$5:$C$2004,C275,'Saisie'!$E$5:$E$2004,"Proposition envoyée")-4),""))</f>
        <v/>
      </c>
      <c r="AQ275" s="106">
        <f>IF(C275="","",IFERROR(1/(1/_xlfn.MAXIFS('Saisie'!$A$5:$A$2004,'Saisie'!$C$5:$C$2004,C275,'Saisie'!$E$5:$E$2004,"Proposition envoyée")),""))</f>
        <v/>
      </c>
      <c r="AR275" s="106">
        <f>IF(C275="","",IF(AQ275="","",AQ275+'Paramètres'!$B$26))</f>
        <v/>
      </c>
      <c r="AS275" s="62">
        <f>IF(OR(C275="",D275="Gagné",D275="Perdu"),0,N(AP275)*IFERROR(INDEX('Paramètres'!$G$6:$G$13,MATCH(D275,'Paramètres'!$F$6:$F$13,0)),0))</f>
        <v/>
      </c>
      <c r="AT275" s="106">
        <f>IF(C275="","",IFERROR(1/(1/_xlfn.MINIFS('Saisie'!$A$5:$A$2004,'Saisie'!$C$5:$C$2004,C275,'Saisie'!$E$5:$E$2004,"Signature")),""))</f>
        <v/>
      </c>
      <c r="AU275" s="60">
        <f>IF(C275="","",IF(OR(AT275="",B275=""),"",AT275-B275))</f>
        <v/>
      </c>
      <c r="AV275" s="60">
        <f>IF(C275="","",IFERROR(INDEX('Saisie'!$L$5:$L$2004,_xlfn.MAXIFS('Saisie'!$AS$5:$AS$2004,'Saisie'!$C$5:$C$2004,C275,'Saisie'!$L$5:$L$2004,"&lt;&gt;")-4),""))</f>
        <v/>
      </c>
      <c r="AW275" s="106">
        <f>IF(C275="","",IF(D275&lt;&gt;"Perdu","",IFERROR(1/(1/_xlfn.MAXIFS('Saisie'!$A$5:$A$2004,'Saisie'!$C$5:$C$2004,C275,'Saisie'!$E$5:$E$2004,"Perdu")),"")))</f>
        <v/>
      </c>
      <c r="AX275" s="106">
        <f>IF(C275="","",IF(AW275="","",AW275+'Paramètres'!$B$28))</f>
        <v/>
      </c>
      <c r="AY275" s="60">
        <f>IF(C275="","",SUMIFS('Saisie'!$H$5:$H$2004,'Saisie'!$C$5:$C$2004,C275))</f>
        <v/>
      </c>
      <c r="AZ275" s="60">
        <f>IF(C275="","",IFERROR(INDEX('Paramètres'!$W$6:$W$20,MATCH(S275,'Paramètres'!$V$6:$V$20,0))&amp;"",""))</f>
        <v/>
      </c>
      <c r="BA275" s="60">
        <f>IF(C275="","",MAX(1,_xlfn.MAXIFS('Saisie'!$AT$5:$AT$2004,'Saisie'!$C$5:$C$2004,C275)))</f>
        <v/>
      </c>
      <c r="BB275" s="60">
        <f>IF(C275="","",IFERROR(INDEX('Saisie'!$X$5:$X$2004,_xlfn.MAXIFS('Saisie'!$AS$5:$AS$2004,'Saisie'!$C$5:$C$2004,C275,'Saisie'!$X$5:$X$2004,"&lt;&gt;")-4),""))</f>
        <v/>
      </c>
      <c r="BC275" s="60">
        <f>IF(C275="","",IFERROR(INDEX('Saisie'!$Y$5:$Y$2004,_xlfn.MAXIFS('Saisie'!$AS$5:$AS$2004,'Saisie'!$C$5:$C$2004,C275,'Saisie'!$Y$5:$Y$2004,"&lt;&gt;")-4),""))</f>
        <v/>
      </c>
      <c r="BD275" s="106">
        <f>IF(C275="","",IFERROR(1/(1/_xlfn.MINIFS('Saisie'!$A$5:$A$2004,'Saisie'!$C$5:$C$2004,C275,'Saisie'!$AT$5:$AT$2004,"&gt;=2")),""))</f>
        <v/>
      </c>
      <c r="BE275" s="106">
        <f>IF(C275="","",IFERROR(1/(1/_xlfn.MINIFS('Saisie'!$A$5:$A$2004,'Saisie'!$C$5:$C$2004,C275,'Saisie'!$AT$5:$AT$2004,"&gt;=3")),""))</f>
        <v/>
      </c>
      <c r="BF275" s="106">
        <f>IF(C275="","",IFERROR(1/(1/_xlfn.MINIFS('Saisie'!$A$5:$A$2004,'Saisie'!$C$5:$C$2004,C275,'Saisie'!$AT$5:$AT$2004,"&gt;=4")),""))</f>
        <v/>
      </c>
      <c r="BG275" s="106">
        <f>IF(C275="","",IFERROR(1/(1/_xlfn.MINIFS('Saisie'!$A$5:$A$2004,'Saisie'!$C$5:$C$2004,C275,'Saisie'!$AT$5:$AT$2004,"&gt;=5")),""))</f>
        <v/>
      </c>
      <c r="BH275" s="106">
        <f>IF(C275="","",IFERROR(1/(1/_xlfn.MINIFS('Saisie'!$A$5:$A$2004,'Saisie'!$C$5:$C$2004,C275,'Saisie'!$AT$5:$AT$2004,"&gt;=6")),""))</f>
        <v/>
      </c>
      <c r="BI275" s="106">
        <f>IF(C275="","",IFERROR(1/(1/_xlfn.MINIFS('Saisie'!$A$5:$A$2004,'Saisie'!$C$5:$C$2004,C275,'Saisie'!$AT$5:$AT$2004,"&gt;=7")),""))</f>
        <v/>
      </c>
      <c r="BJ275" s="60">
        <f>IF(OR(BD275="",B275=""),"",BD275-B275)</f>
        <v/>
      </c>
      <c r="BK275" s="60">
        <f>IF(OR(BE275="",BD275=""),"",BE275-BD275)</f>
        <v/>
      </c>
      <c r="BL275" s="60">
        <f>IF(OR(BF275="",BE275=""),"",BF275-BE275)</f>
        <v/>
      </c>
      <c r="BM275" s="60">
        <f>IF(OR(BG275="",BF275=""),"",BG275-BF275)</f>
        <v/>
      </c>
      <c r="BN275" s="60">
        <f>IF(OR(BH275="",BG275=""),"",BH275-BG275)</f>
        <v/>
      </c>
      <c r="BO275" s="60">
        <f>IF(OR(BI275="",BH275=""),"",BI275-BH275)</f>
        <v/>
      </c>
      <c r="BP275" s="60">
        <f>IF(C275="","",_xlfn.MAXIFS('Saisie'!$AS$5:$AS$2004,'Saisie'!$C$5:$C$2004,C275,'Saisie'!$J$5:$J$2004,"&lt;&gt;"))</f>
        <v/>
      </c>
      <c r="BQ275" s="60">
        <f>IF(C275="","",_xlfn.MAXIFS('Saisie'!$AS$5:$AS$2004,'Saisie'!$C$5:$C$2004,C275))</f>
        <v/>
      </c>
      <c r="BR275" s="60">
        <f>IF(C275="","",_xlfn.MAXIFS('Saisie'!$AS$5:$AS$2004,'Saisie'!$C$5:$C$2004,C275,'Saisie'!$E$5:$E$2004,"Perdu"))</f>
        <v/>
      </c>
      <c r="BS275" s="60">
        <f>IF(C275="","",_xlfn.MAXIFS('Saisie'!$AS$5:$AS$2004,'Saisie'!$C$5:$C$2004,C275,'Saisie'!$AT$5:$AT$2004,"&gt;0"))</f>
        <v/>
      </c>
      <c r="BT275" s="109">
        <f>IF(AND(C275&lt;&gt;"",OR(D275="Nouveau",D275="Contacté",D275="Qualifié"),OR(G275="",N(G275)&lt;=TODAY()),NOT(AND(O275&gt;='Paramètres'!$B$21,P275=0))),E275+271/10000,"")</f>
        <v/>
      </c>
      <c r="BU275" s="60">
        <f>IF(AND(G275&lt;&gt;"",N(G275)&lt;=TODAY()),MAX($BU$4:BU274)+1,"")</f>
        <v/>
      </c>
      <c r="BV275" s="60">
        <f>IF(AND(F275&lt;&gt;"",F275&lt;&gt;"Relance en retard"),MAX($BV$4:BV274)+1,"")</f>
        <v/>
      </c>
      <c r="BW275" s="60">
        <f>IF(C275="","",IF(AND(B275&gt;='Tableau de bord'!$R$4,B275&lt;='Tableau de bord'!$S$4,OR('Tableau de bord'!$G$4="Tous",N275='Tableau de bord'!$G$4)),1,0))</f>
        <v/>
      </c>
      <c r="BX275" s="60">
        <f>IF(AND(C275&lt;&gt;"",N(BA275)=7),MAX($BX$4:BX274)+1,"")</f>
        <v/>
      </c>
    </row>
    <row r="276">
      <c r="A276" s="60">
        <f>IF(C276="","","P-"&amp;TEXT(272,"000"))</f>
        <v/>
      </c>
      <c r="B276" s="106">
        <f>IF(C276="","",IFERROR(1/(1/_xlfn.MINIFS('Saisie'!$A$5:$A$2004,'Saisie'!$C$5:$C$2004,C276)),""))</f>
        <v/>
      </c>
      <c r="C276" s="60">
        <f>IFERROR(INDEX('Saisie'!$C$5:$C$2004,MATCH(272,'Saisie'!$AX$5:$AX$2004,0)),"")</f>
        <v/>
      </c>
      <c r="D276" s="60">
        <f>IF(C276="","",IF(AND(BR276&gt;0,BR276&gt;BS276,BA276&lt;7),"Perdu",INDEX('Paramètres'!$F$6:$F$13,BA276)))</f>
        <v/>
      </c>
      <c r="E276" s="61">
        <f>IF(C276="","",MIN(100,(Z276="Oui")*'Paramètres'!$B$38+(AB276="Régulière")*'Paramètres'!$B$39+IF(AND(N(AA276)&gt;0,TODAY()-N(AA276)&lt;=30),'Paramètres'!$B$40,0)+(W276="")*'Paramètres'!$B$41+(AC276="Absente")*'Paramètres'!$B$42+(AC276="Faible")*'Paramètres'!$B$43+IF(AND(N(AD276)&gt;0,N(AD276)&lt;4),'Paramètres'!$B$44,0)+(AF276="Moyenne")*'Paramètres'!$B$45+(AF276="Grande")*'Paramètres'!$B$46+(Y276&lt;&gt;"")*'Paramètres'!$B$47))</f>
        <v/>
      </c>
      <c r="F276" s="60">
        <f>IF(C276="","",IF(D276="Gagné","",IF(D276="Perdu",IF(AND(AX276&lt;&gt;"",AX276&lt;=TODAY()),"À recontacter (perdu)",""),IF(AND(O276&gt;='Paramètres'!$B$21,P276=0),"Stop : "&amp;'Paramètres'!$B$21&amp;" tentatives sans réponse",IF(AND(D276="Proposition",AR276&lt;&gt;"",TODAY()&gt;N(AR276)),"Proposition expirée",IF(AND(D276="Proposition",N(R276)&gt;='Paramètres'!$B$25),"Proposition sans réponse",IF(AND(G276&lt;&gt;"",N(G276)&lt;TODAY()),"Relance en retard",IF(N(R276)&gt;='Paramètres'!$B$24,"Sans action depuis "&amp;R276&amp;" j",""))))))))</f>
        <v/>
      </c>
      <c r="G276" s="106">
        <f>IF(OR(C276="",D276="Gagné",D276="Perdu"),"",IF(AND(BP276&gt;0,BP276=BQ276),INDEX('Saisie'!$J$5:$J$2004,BP276-4),IF(OR(O276=0,AND(O276&gt;='Paramètres'!$B$21,P276=0)),"",Q276+IF(O276&lt;=1,'Paramètres'!$B$18,IF(O276=2,'Paramètres'!$B$19,'Paramètres'!$B$20)))))</f>
        <v/>
      </c>
      <c r="H276" s="107">
        <f>IF(OR(G276="",BP276&lt;&gt;BQ276),"",IF(INDEX('Saisie'!$K$5:$K$2004,BP276-4)="","",INDEX('Saisie'!$K$5:$K$2004,BP276-4)))</f>
        <v/>
      </c>
      <c r="I276" s="60">
        <f>IF(C276="","",IF(OR(D276="Gagné",D276="Perdu"),"",IFERROR(INDEX('Saisie'!$I$5:$I$2004,_xlfn.MAXIFS('Saisie'!$AS$5:$AS$2004,'Saisie'!$C$5:$C$2004,C276,'Saisie'!$I$5:$I$2004,"&lt;&gt;")-4),"")))</f>
        <v/>
      </c>
      <c r="J276" s="60">
        <f>IF(C276="","",IFERROR(INDEX('Saisie'!$U$5:$U$2004,_xlfn.MAXIFS('Saisie'!$AS$5:$AS$2004,'Saisie'!$C$5:$C$2004,C276,'Saisie'!$U$5:$U$2004,"&lt;&gt;")-4),""))</f>
        <v/>
      </c>
      <c r="K276" s="60">
        <f>IF(C276="","",IFERROR(INDEX('Saisie'!$W$5:$W$2004,_xlfn.MAXIFS('Saisie'!$AS$5:$AS$2004,'Saisie'!$C$5:$C$2004,C276,'Saisie'!$W$5:$W$2004,"&lt;&gt;")-4),""))</f>
        <v/>
      </c>
      <c r="L276" s="60">
        <f>IF(IF(BB276&lt;&gt;"",BB276,K276)="","",HYPERLINK("https://wa.me/"&amp;IF(LEFT(SUBSTITUTE(SUBSTITUTE(SUBSTITUTE(IF(BB276&lt;&gt;"",BB276,K276)," ",""),".",""),"+",""),1)="0",'Paramètres'!$B$35&amp;MID(SUBSTITUTE(SUBSTITUTE(SUBSTITUTE(IF(BB276&lt;&gt;"",BB276,K276)," ",""),".",""),"+",""),2,20),SUBSTITUTE(SUBSTITUTE(SUBSTITUTE(IF(BB276&lt;&gt;"",BB276,K276)," ",""),".",""),"+","")),"WhatsApp"))</f>
        <v/>
      </c>
      <c r="M276" s="60">
        <f>IF(BC276="","",HYPERLINK(IF(LEFT(BC276,4)="http",BC276,"https://www.instagram.com/"&amp;SUBSTITUTE(SUBSTITUTE(BC276,"@","")," ","")),BC276))</f>
        <v/>
      </c>
      <c r="N276" s="60">
        <f>IF(C276="","",IFERROR(INDEX('Saisie'!$D$5:$D$2004,_xlfn.MINIFS('Saisie'!$AS$5:$AS$2004,'Saisie'!$C$5:$C$2004,C276,'Saisie'!$AU$5:$AU$2004,1)-4),IFERROR(INDEX('Saisie'!$D$5:$D$2004,_xlfn.MINIFS('Saisie'!$AS$5:$AS$2004,'Saisie'!$C$5:$C$2004,C276,'Saisie'!$D$5:$D$2004,"&lt;&gt;")-4),"")))</f>
        <v/>
      </c>
      <c r="O276" s="60">
        <f>IF(C276="","",COUNTIFS('Saisie'!$C$5:$C$2004,C276,'Saisie'!$AU$5:$AU$2004,1))</f>
        <v/>
      </c>
      <c r="P276" s="60">
        <f>IF(C276="","",COUNTIFS('Saisie'!$C$5:$C$2004,C276,'Saisie'!$AV$5:$AV$2004,1))</f>
        <v/>
      </c>
      <c r="Q276" s="106">
        <f>IF(C276="","",IFERROR(1/(1/_xlfn.MAXIFS('Saisie'!$A$5:$A$2004,'Saisie'!$C$5:$C$2004,C276)),""))</f>
        <v/>
      </c>
      <c r="R276" s="61">
        <f>IF(C276="","",IF(Q276="","",TODAY()-Q276))</f>
        <v/>
      </c>
      <c r="S276" s="60">
        <f>IF(C276="","",IFERROR(INDEX('Saisie'!$R$5:$R$2004,_xlfn.MAXIFS('Saisie'!$AS$5:$AS$2004,'Saisie'!$C$5:$C$2004,C276,'Saisie'!$R$5:$R$2004,"&lt;&gt;")-4),""))</f>
        <v/>
      </c>
      <c r="T276" s="60">
        <f>IF(C276="","",IFERROR(INDEX('Saisie'!$S$5:$S$2004,_xlfn.MAXIFS('Saisie'!$AS$5:$AS$2004,'Saisie'!$C$5:$C$2004,C276,'Saisie'!$S$5:$S$2004,"&lt;&gt;")-4),""))</f>
        <v/>
      </c>
      <c r="U276" s="60">
        <f>IF(C276="","",IFERROR(INDEX('Saisie'!$T$5:$T$2004,_xlfn.MAXIFS('Saisie'!$AS$5:$AS$2004,'Saisie'!$C$5:$C$2004,C276,'Saisie'!$T$5:$T$2004,"&lt;&gt;")-4),""))</f>
        <v/>
      </c>
      <c r="V276" s="60">
        <f>IF(C276="","",IFERROR(INDEX('Saisie'!$V$5:$V$2004,_xlfn.MAXIFS('Saisie'!$AS$5:$AS$2004,'Saisie'!$C$5:$C$2004,C276,'Saisie'!$V$5:$V$2004,"&lt;&gt;")-4),""))</f>
        <v/>
      </c>
      <c r="W276" s="60">
        <f>IF(C276="","",IFERROR(INDEX('Saisie'!$Z$5:$Z$2004,_xlfn.MAXIFS('Saisie'!$AS$5:$AS$2004,'Saisie'!$C$5:$C$2004,C276,'Saisie'!$Z$5:$Z$2004,"&lt;&gt;")-4),""))</f>
        <v/>
      </c>
      <c r="X276" s="60">
        <f>IF(C276="","",IFERROR(INDEX('Saisie'!$AA$5:$AA$2004,_xlfn.MAXIFS('Saisie'!$AS$5:$AS$2004,'Saisie'!$C$5:$C$2004,C276,'Saisie'!$AA$5:$AA$2004,"&lt;&gt;")-4),""))</f>
        <v/>
      </c>
      <c r="Y276" s="60">
        <f>IF(C276="","",IFERROR(INDEX('Saisie'!$AB$5:$AB$2004,_xlfn.MAXIFS('Saisie'!$AS$5:$AS$2004,'Saisie'!$C$5:$C$2004,C276,'Saisie'!$AB$5:$AB$2004,"&lt;&gt;")-4),""))</f>
        <v/>
      </c>
      <c r="Z276" s="60">
        <f>IF(C276="","",IFERROR(INDEX('Saisie'!$AC$5:$AC$2004,_xlfn.MAXIFS('Saisie'!$AS$5:$AS$2004,'Saisie'!$C$5:$C$2004,C276,'Saisie'!$AC$5:$AC$2004,"&lt;&gt;")-4),""))</f>
        <v/>
      </c>
      <c r="AA276" s="106">
        <f>IF(C276="","",IFERROR(INDEX('Saisie'!$AD$5:$AD$2004,_xlfn.MAXIFS('Saisie'!$AS$5:$AS$2004,'Saisie'!$C$5:$C$2004,C276,'Saisie'!$AD$5:$AD$2004,"&lt;&gt;")-4),""))</f>
        <v/>
      </c>
      <c r="AB276" s="60">
        <f>IF(C276="","",IFERROR(INDEX('Saisie'!$AE$5:$AE$2004,_xlfn.MAXIFS('Saisie'!$AS$5:$AS$2004,'Saisie'!$C$5:$C$2004,C276,'Saisie'!$AE$5:$AE$2004,"&lt;&gt;")-4),""))</f>
        <v/>
      </c>
      <c r="AC276" s="60">
        <f>IF(C276="","",IFERROR(INDEX('Saisie'!$AF$5:$AF$2004,_xlfn.MAXIFS('Saisie'!$AS$5:$AS$2004,'Saisie'!$C$5:$C$2004,C276,'Saisie'!$AF$5:$AF$2004,"&lt;&gt;")-4),""))</f>
        <v/>
      </c>
      <c r="AD276" s="108">
        <f>IF(C276="","",IFERROR(INDEX('Saisie'!$AG$5:$AG$2004,_xlfn.MAXIFS('Saisie'!$AS$5:$AS$2004,'Saisie'!$C$5:$C$2004,C276,'Saisie'!$AG$5:$AG$2004,"&lt;&gt;")-4),""))</f>
        <v/>
      </c>
      <c r="AE276" s="60">
        <f>IF(C276="","",IFERROR(INDEX('Saisie'!$AH$5:$AH$2004,_xlfn.MAXIFS('Saisie'!$AS$5:$AS$2004,'Saisie'!$C$5:$C$2004,C276,'Saisie'!$AH$5:$AH$2004,"&lt;&gt;")-4),""))</f>
        <v/>
      </c>
      <c r="AF276" s="60">
        <f>IF(C276="","",IFERROR(INDEX('Saisie'!$AI$5:$AI$2004,_xlfn.MAXIFS('Saisie'!$AS$5:$AS$2004,'Saisie'!$C$5:$C$2004,C276,'Saisie'!$AI$5:$AI$2004,"&lt;&gt;")-4),""))</f>
        <v/>
      </c>
      <c r="AG276" s="60">
        <f>IF(C276="","",IFERROR(INDEX('Saisie'!$AJ$5:$AJ$2004,_xlfn.MAXIFS('Saisie'!$AS$5:$AS$2004,'Saisie'!$C$5:$C$2004,C276,'Saisie'!$AJ$5:$AJ$2004,"&lt;&gt;")-4),""))</f>
        <v/>
      </c>
      <c r="AH276" s="60">
        <f>IF(C276="","",IFERROR(INDEX('Saisie'!$AK$5:$AK$2004,_xlfn.MAXIFS('Saisie'!$AS$5:$AS$2004,'Saisie'!$C$5:$C$2004,C276,'Saisie'!$AK$5:$AK$2004,"&lt;&gt;")-4),""))</f>
        <v/>
      </c>
      <c r="AI276" s="60">
        <f>IF(C276="","",IFERROR(INDEX('Saisie'!$AN$5:$AN$2004,_xlfn.MAXIFS('Saisie'!$AS$5:$AS$2004,'Saisie'!$C$5:$C$2004,C276,'Saisie'!$AN$5:$AN$2004,"&lt;&gt;")-4),""))</f>
        <v/>
      </c>
      <c r="AJ276" s="60">
        <f>IF(C276="","",IFERROR(INDEX('Saisie'!$AO$5:$AO$2004,_xlfn.MAXIFS('Saisie'!$AS$5:$AS$2004,'Saisie'!$C$5:$C$2004,C276,'Saisie'!$AO$5:$AO$2004,"&lt;&gt;")-4),""))</f>
        <v/>
      </c>
      <c r="AK276" s="60">
        <f>IF(C276="","",IFERROR(INDEX('Saisie'!$AP$5:$AP$2004,_xlfn.MAXIFS('Saisie'!$AS$5:$AS$2004,'Saisie'!$C$5:$C$2004,C276,'Saisie'!$AP$5:$AP$2004,"&lt;&gt;")-4),""))</f>
        <v/>
      </c>
      <c r="AL276" s="60">
        <f>IF(C276="","",IFERROR(INDEX('Saisie'!$AQ$5:$AQ$2004,_xlfn.MAXIFS('Saisie'!$AS$5:$AS$2004,'Saisie'!$C$5:$C$2004,C276,'Saisie'!$AQ$5:$AQ$2004,"&lt;&gt;")-4),""))</f>
        <v/>
      </c>
      <c r="AM276" s="60">
        <f>IF(C276="","",((AI276="Oui")+(AJ276="Oui")+(AK276="Oui")+OR(AL276="Immédiat",AL276="&lt; 1 mois"))&amp;"/4")</f>
        <v/>
      </c>
      <c r="AN276" s="60">
        <f>IF(C276="","",IFERROR(INDEX('Saisie'!$AL$5:$AL$2004,_xlfn.MAXIFS('Saisie'!$AS$5:$AS$2004,'Saisie'!$C$5:$C$2004,C276,'Saisie'!$AL$5:$AL$2004,"&lt;&gt;")-4),""))</f>
        <v/>
      </c>
      <c r="AO276" s="62">
        <f>IF(C276="","",IF(IFERROR(INDEX('Saisie'!$AM$5:$AM$2004,_xlfn.MAXIFS('Saisie'!$AS$5:$AS$2004,'Saisie'!$C$5:$C$2004,C276,'Saisie'!$AM$5:$AM$2004,"&lt;&gt;")-4),"")&lt;&gt;"",IFERROR(INDEX('Saisie'!$AM$5:$AM$2004,_xlfn.MAXIFS('Saisie'!$AS$5:$AS$2004,'Saisie'!$C$5:$C$2004,C276,'Saisie'!$AM$5:$AM$2004,"&lt;&gt;")-4),""),IFERROR(INDEX('Paramètres'!$S$6:$S$15,MATCH(AN276,'Paramètres'!$Q$6:$Q$15,0)),"")))</f>
        <v/>
      </c>
      <c r="AP276" s="62">
        <f>IF(C276="","",IFERROR(INDEX('Saisie'!$AW$5:$AW$2004,_xlfn.MAXIFS('Saisie'!$AS$5:$AS$2004,'Saisie'!$C$5:$C$2004,C276,'Saisie'!$E$5:$E$2004,"Proposition envoyée")-4),""))</f>
        <v/>
      </c>
      <c r="AQ276" s="106">
        <f>IF(C276="","",IFERROR(1/(1/_xlfn.MAXIFS('Saisie'!$A$5:$A$2004,'Saisie'!$C$5:$C$2004,C276,'Saisie'!$E$5:$E$2004,"Proposition envoyée")),""))</f>
        <v/>
      </c>
      <c r="AR276" s="106">
        <f>IF(C276="","",IF(AQ276="","",AQ276+'Paramètres'!$B$26))</f>
        <v/>
      </c>
      <c r="AS276" s="62">
        <f>IF(OR(C276="",D276="Gagné",D276="Perdu"),0,N(AP276)*IFERROR(INDEX('Paramètres'!$G$6:$G$13,MATCH(D276,'Paramètres'!$F$6:$F$13,0)),0))</f>
        <v/>
      </c>
      <c r="AT276" s="106">
        <f>IF(C276="","",IFERROR(1/(1/_xlfn.MINIFS('Saisie'!$A$5:$A$2004,'Saisie'!$C$5:$C$2004,C276,'Saisie'!$E$5:$E$2004,"Signature")),""))</f>
        <v/>
      </c>
      <c r="AU276" s="60">
        <f>IF(C276="","",IF(OR(AT276="",B276=""),"",AT276-B276))</f>
        <v/>
      </c>
      <c r="AV276" s="60">
        <f>IF(C276="","",IFERROR(INDEX('Saisie'!$L$5:$L$2004,_xlfn.MAXIFS('Saisie'!$AS$5:$AS$2004,'Saisie'!$C$5:$C$2004,C276,'Saisie'!$L$5:$L$2004,"&lt;&gt;")-4),""))</f>
        <v/>
      </c>
      <c r="AW276" s="106">
        <f>IF(C276="","",IF(D276&lt;&gt;"Perdu","",IFERROR(1/(1/_xlfn.MAXIFS('Saisie'!$A$5:$A$2004,'Saisie'!$C$5:$C$2004,C276,'Saisie'!$E$5:$E$2004,"Perdu")),"")))</f>
        <v/>
      </c>
      <c r="AX276" s="106">
        <f>IF(C276="","",IF(AW276="","",AW276+'Paramètres'!$B$28))</f>
        <v/>
      </c>
      <c r="AY276" s="60">
        <f>IF(C276="","",SUMIFS('Saisie'!$H$5:$H$2004,'Saisie'!$C$5:$C$2004,C276))</f>
        <v/>
      </c>
      <c r="AZ276" s="60">
        <f>IF(C276="","",IFERROR(INDEX('Paramètres'!$W$6:$W$20,MATCH(S276,'Paramètres'!$V$6:$V$20,0))&amp;"",""))</f>
        <v/>
      </c>
      <c r="BA276" s="60">
        <f>IF(C276="","",MAX(1,_xlfn.MAXIFS('Saisie'!$AT$5:$AT$2004,'Saisie'!$C$5:$C$2004,C276)))</f>
        <v/>
      </c>
      <c r="BB276" s="60">
        <f>IF(C276="","",IFERROR(INDEX('Saisie'!$X$5:$X$2004,_xlfn.MAXIFS('Saisie'!$AS$5:$AS$2004,'Saisie'!$C$5:$C$2004,C276,'Saisie'!$X$5:$X$2004,"&lt;&gt;")-4),""))</f>
        <v/>
      </c>
      <c r="BC276" s="60">
        <f>IF(C276="","",IFERROR(INDEX('Saisie'!$Y$5:$Y$2004,_xlfn.MAXIFS('Saisie'!$AS$5:$AS$2004,'Saisie'!$C$5:$C$2004,C276,'Saisie'!$Y$5:$Y$2004,"&lt;&gt;")-4),""))</f>
        <v/>
      </c>
      <c r="BD276" s="106">
        <f>IF(C276="","",IFERROR(1/(1/_xlfn.MINIFS('Saisie'!$A$5:$A$2004,'Saisie'!$C$5:$C$2004,C276,'Saisie'!$AT$5:$AT$2004,"&gt;=2")),""))</f>
        <v/>
      </c>
      <c r="BE276" s="106">
        <f>IF(C276="","",IFERROR(1/(1/_xlfn.MINIFS('Saisie'!$A$5:$A$2004,'Saisie'!$C$5:$C$2004,C276,'Saisie'!$AT$5:$AT$2004,"&gt;=3")),""))</f>
        <v/>
      </c>
      <c r="BF276" s="106">
        <f>IF(C276="","",IFERROR(1/(1/_xlfn.MINIFS('Saisie'!$A$5:$A$2004,'Saisie'!$C$5:$C$2004,C276,'Saisie'!$AT$5:$AT$2004,"&gt;=4")),""))</f>
        <v/>
      </c>
      <c r="BG276" s="106">
        <f>IF(C276="","",IFERROR(1/(1/_xlfn.MINIFS('Saisie'!$A$5:$A$2004,'Saisie'!$C$5:$C$2004,C276,'Saisie'!$AT$5:$AT$2004,"&gt;=5")),""))</f>
        <v/>
      </c>
      <c r="BH276" s="106">
        <f>IF(C276="","",IFERROR(1/(1/_xlfn.MINIFS('Saisie'!$A$5:$A$2004,'Saisie'!$C$5:$C$2004,C276,'Saisie'!$AT$5:$AT$2004,"&gt;=6")),""))</f>
        <v/>
      </c>
      <c r="BI276" s="106">
        <f>IF(C276="","",IFERROR(1/(1/_xlfn.MINIFS('Saisie'!$A$5:$A$2004,'Saisie'!$C$5:$C$2004,C276,'Saisie'!$AT$5:$AT$2004,"&gt;=7")),""))</f>
        <v/>
      </c>
      <c r="BJ276" s="60">
        <f>IF(OR(BD276="",B276=""),"",BD276-B276)</f>
        <v/>
      </c>
      <c r="BK276" s="60">
        <f>IF(OR(BE276="",BD276=""),"",BE276-BD276)</f>
        <v/>
      </c>
      <c r="BL276" s="60">
        <f>IF(OR(BF276="",BE276=""),"",BF276-BE276)</f>
        <v/>
      </c>
      <c r="BM276" s="60">
        <f>IF(OR(BG276="",BF276=""),"",BG276-BF276)</f>
        <v/>
      </c>
      <c r="BN276" s="60">
        <f>IF(OR(BH276="",BG276=""),"",BH276-BG276)</f>
        <v/>
      </c>
      <c r="BO276" s="60">
        <f>IF(OR(BI276="",BH276=""),"",BI276-BH276)</f>
        <v/>
      </c>
      <c r="BP276" s="60">
        <f>IF(C276="","",_xlfn.MAXIFS('Saisie'!$AS$5:$AS$2004,'Saisie'!$C$5:$C$2004,C276,'Saisie'!$J$5:$J$2004,"&lt;&gt;"))</f>
        <v/>
      </c>
      <c r="BQ276" s="60">
        <f>IF(C276="","",_xlfn.MAXIFS('Saisie'!$AS$5:$AS$2004,'Saisie'!$C$5:$C$2004,C276))</f>
        <v/>
      </c>
      <c r="BR276" s="60">
        <f>IF(C276="","",_xlfn.MAXIFS('Saisie'!$AS$5:$AS$2004,'Saisie'!$C$5:$C$2004,C276,'Saisie'!$E$5:$E$2004,"Perdu"))</f>
        <v/>
      </c>
      <c r="BS276" s="60">
        <f>IF(C276="","",_xlfn.MAXIFS('Saisie'!$AS$5:$AS$2004,'Saisie'!$C$5:$C$2004,C276,'Saisie'!$AT$5:$AT$2004,"&gt;0"))</f>
        <v/>
      </c>
      <c r="BT276" s="109">
        <f>IF(AND(C276&lt;&gt;"",OR(D276="Nouveau",D276="Contacté",D276="Qualifié"),OR(G276="",N(G276)&lt;=TODAY()),NOT(AND(O276&gt;='Paramètres'!$B$21,P276=0))),E276+272/10000,"")</f>
        <v/>
      </c>
      <c r="BU276" s="60">
        <f>IF(AND(G276&lt;&gt;"",N(G276)&lt;=TODAY()),MAX($BU$4:BU275)+1,"")</f>
        <v/>
      </c>
      <c r="BV276" s="60">
        <f>IF(AND(F276&lt;&gt;"",F276&lt;&gt;"Relance en retard"),MAX($BV$4:BV275)+1,"")</f>
        <v/>
      </c>
      <c r="BW276" s="60">
        <f>IF(C276="","",IF(AND(B276&gt;='Tableau de bord'!$R$4,B276&lt;='Tableau de bord'!$S$4,OR('Tableau de bord'!$G$4="Tous",N276='Tableau de bord'!$G$4)),1,0))</f>
        <v/>
      </c>
      <c r="BX276" s="60">
        <f>IF(AND(C276&lt;&gt;"",N(BA276)=7),MAX($BX$4:BX275)+1,"")</f>
        <v/>
      </c>
    </row>
    <row r="277">
      <c r="A277" s="60">
        <f>IF(C277="","","P-"&amp;TEXT(273,"000"))</f>
        <v/>
      </c>
      <c r="B277" s="106">
        <f>IF(C277="","",IFERROR(1/(1/_xlfn.MINIFS('Saisie'!$A$5:$A$2004,'Saisie'!$C$5:$C$2004,C277)),""))</f>
        <v/>
      </c>
      <c r="C277" s="60">
        <f>IFERROR(INDEX('Saisie'!$C$5:$C$2004,MATCH(273,'Saisie'!$AX$5:$AX$2004,0)),"")</f>
        <v/>
      </c>
      <c r="D277" s="60">
        <f>IF(C277="","",IF(AND(BR277&gt;0,BR277&gt;BS277,BA277&lt;7),"Perdu",INDEX('Paramètres'!$F$6:$F$13,BA277)))</f>
        <v/>
      </c>
      <c r="E277" s="61">
        <f>IF(C277="","",MIN(100,(Z277="Oui")*'Paramètres'!$B$38+(AB277="Régulière")*'Paramètres'!$B$39+IF(AND(N(AA277)&gt;0,TODAY()-N(AA277)&lt;=30),'Paramètres'!$B$40,0)+(W277="")*'Paramètres'!$B$41+(AC277="Absente")*'Paramètres'!$B$42+(AC277="Faible")*'Paramètres'!$B$43+IF(AND(N(AD277)&gt;0,N(AD277)&lt;4),'Paramètres'!$B$44,0)+(AF277="Moyenne")*'Paramètres'!$B$45+(AF277="Grande")*'Paramètres'!$B$46+(Y277&lt;&gt;"")*'Paramètres'!$B$47))</f>
        <v/>
      </c>
      <c r="F277" s="60">
        <f>IF(C277="","",IF(D277="Gagné","",IF(D277="Perdu",IF(AND(AX277&lt;&gt;"",AX277&lt;=TODAY()),"À recontacter (perdu)",""),IF(AND(O277&gt;='Paramètres'!$B$21,P277=0),"Stop : "&amp;'Paramètres'!$B$21&amp;" tentatives sans réponse",IF(AND(D277="Proposition",AR277&lt;&gt;"",TODAY()&gt;N(AR277)),"Proposition expirée",IF(AND(D277="Proposition",N(R277)&gt;='Paramètres'!$B$25),"Proposition sans réponse",IF(AND(G277&lt;&gt;"",N(G277)&lt;TODAY()),"Relance en retard",IF(N(R277)&gt;='Paramètres'!$B$24,"Sans action depuis "&amp;R277&amp;" j",""))))))))</f>
        <v/>
      </c>
      <c r="G277" s="106">
        <f>IF(OR(C277="",D277="Gagné",D277="Perdu"),"",IF(AND(BP277&gt;0,BP277=BQ277),INDEX('Saisie'!$J$5:$J$2004,BP277-4),IF(OR(O277=0,AND(O277&gt;='Paramètres'!$B$21,P277=0)),"",Q277+IF(O277&lt;=1,'Paramètres'!$B$18,IF(O277=2,'Paramètres'!$B$19,'Paramètres'!$B$20)))))</f>
        <v/>
      </c>
      <c r="H277" s="107">
        <f>IF(OR(G277="",BP277&lt;&gt;BQ277),"",IF(INDEX('Saisie'!$K$5:$K$2004,BP277-4)="","",INDEX('Saisie'!$K$5:$K$2004,BP277-4)))</f>
        <v/>
      </c>
      <c r="I277" s="60">
        <f>IF(C277="","",IF(OR(D277="Gagné",D277="Perdu"),"",IFERROR(INDEX('Saisie'!$I$5:$I$2004,_xlfn.MAXIFS('Saisie'!$AS$5:$AS$2004,'Saisie'!$C$5:$C$2004,C277,'Saisie'!$I$5:$I$2004,"&lt;&gt;")-4),"")))</f>
        <v/>
      </c>
      <c r="J277" s="60">
        <f>IF(C277="","",IFERROR(INDEX('Saisie'!$U$5:$U$2004,_xlfn.MAXIFS('Saisie'!$AS$5:$AS$2004,'Saisie'!$C$5:$C$2004,C277,'Saisie'!$U$5:$U$2004,"&lt;&gt;")-4),""))</f>
        <v/>
      </c>
      <c r="K277" s="60">
        <f>IF(C277="","",IFERROR(INDEX('Saisie'!$W$5:$W$2004,_xlfn.MAXIFS('Saisie'!$AS$5:$AS$2004,'Saisie'!$C$5:$C$2004,C277,'Saisie'!$W$5:$W$2004,"&lt;&gt;")-4),""))</f>
        <v/>
      </c>
      <c r="L277" s="60">
        <f>IF(IF(BB277&lt;&gt;"",BB277,K277)="","",HYPERLINK("https://wa.me/"&amp;IF(LEFT(SUBSTITUTE(SUBSTITUTE(SUBSTITUTE(IF(BB277&lt;&gt;"",BB277,K277)," ",""),".",""),"+",""),1)="0",'Paramètres'!$B$35&amp;MID(SUBSTITUTE(SUBSTITUTE(SUBSTITUTE(IF(BB277&lt;&gt;"",BB277,K277)," ",""),".",""),"+",""),2,20),SUBSTITUTE(SUBSTITUTE(SUBSTITUTE(IF(BB277&lt;&gt;"",BB277,K277)," ",""),".",""),"+","")),"WhatsApp"))</f>
        <v/>
      </c>
      <c r="M277" s="60">
        <f>IF(BC277="","",HYPERLINK(IF(LEFT(BC277,4)="http",BC277,"https://www.instagram.com/"&amp;SUBSTITUTE(SUBSTITUTE(BC277,"@","")," ","")),BC277))</f>
        <v/>
      </c>
      <c r="N277" s="60">
        <f>IF(C277="","",IFERROR(INDEX('Saisie'!$D$5:$D$2004,_xlfn.MINIFS('Saisie'!$AS$5:$AS$2004,'Saisie'!$C$5:$C$2004,C277,'Saisie'!$AU$5:$AU$2004,1)-4),IFERROR(INDEX('Saisie'!$D$5:$D$2004,_xlfn.MINIFS('Saisie'!$AS$5:$AS$2004,'Saisie'!$C$5:$C$2004,C277,'Saisie'!$D$5:$D$2004,"&lt;&gt;")-4),"")))</f>
        <v/>
      </c>
      <c r="O277" s="60">
        <f>IF(C277="","",COUNTIFS('Saisie'!$C$5:$C$2004,C277,'Saisie'!$AU$5:$AU$2004,1))</f>
        <v/>
      </c>
      <c r="P277" s="60">
        <f>IF(C277="","",COUNTIFS('Saisie'!$C$5:$C$2004,C277,'Saisie'!$AV$5:$AV$2004,1))</f>
        <v/>
      </c>
      <c r="Q277" s="106">
        <f>IF(C277="","",IFERROR(1/(1/_xlfn.MAXIFS('Saisie'!$A$5:$A$2004,'Saisie'!$C$5:$C$2004,C277)),""))</f>
        <v/>
      </c>
      <c r="R277" s="61">
        <f>IF(C277="","",IF(Q277="","",TODAY()-Q277))</f>
        <v/>
      </c>
      <c r="S277" s="60">
        <f>IF(C277="","",IFERROR(INDEX('Saisie'!$R$5:$R$2004,_xlfn.MAXIFS('Saisie'!$AS$5:$AS$2004,'Saisie'!$C$5:$C$2004,C277,'Saisie'!$R$5:$R$2004,"&lt;&gt;")-4),""))</f>
        <v/>
      </c>
      <c r="T277" s="60">
        <f>IF(C277="","",IFERROR(INDEX('Saisie'!$S$5:$S$2004,_xlfn.MAXIFS('Saisie'!$AS$5:$AS$2004,'Saisie'!$C$5:$C$2004,C277,'Saisie'!$S$5:$S$2004,"&lt;&gt;")-4),""))</f>
        <v/>
      </c>
      <c r="U277" s="60">
        <f>IF(C277="","",IFERROR(INDEX('Saisie'!$T$5:$T$2004,_xlfn.MAXIFS('Saisie'!$AS$5:$AS$2004,'Saisie'!$C$5:$C$2004,C277,'Saisie'!$T$5:$T$2004,"&lt;&gt;")-4),""))</f>
        <v/>
      </c>
      <c r="V277" s="60">
        <f>IF(C277="","",IFERROR(INDEX('Saisie'!$V$5:$V$2004,_xlfn.MAXIFS('Saisie'!$AS$5:$AS$2004,'Saisie'!$C$5:$C$2004,C277,'Saisie'!$V$5:$V$2004,"&lt;&gt;")-4),""))</f>
        <v/>
      </c>
      <c r="W277" s="60">
        <f>IF(C277="","",IFERROR(INDEX('Saisie'!$Z$5:$Z$2004,_xlfn.MAXIFS('Saisie'!$AS$5:$AS$2004,'Saisie'!$C$5:$C$2004,C277,'Saisie'!$Z$5:$Z$2004,"&lt;&gt;")-4),""))</f>
        <v/>
      </c>
      <c r="X277" s="60">
        <f>IF(C277="","",IFERROR(INDEX('Saisie'!$AA$5:$AA$2004,_xlfn.MAXIFS('Saisie'!$AS$5:$AS$2004,'Saisie'!$C$5:$C$2004,C277,'Saisie'!$AA$5:$AA$2004,"&lt;&gt;")-4),""))</f>
        <v/>
      </c>
      <c r="Y277" s="60">
        <f>IF(C277="","",IFERROR(INDEX('Saisie'!$AB$5:$AB$2004,_xlfn.MAXIFS('Saisie'!$AS$5:$AS$2004,'Saisie'!$C$5:$C$2004,C277,'Saisie'!$AB$5:$AB$2004,"&lt;&gt;")-4),""))</f>
        <v/>
      </c>
      <c r="Z277" s="60">
        <f>IF(C277="","",IFERROR(INDEX('Saisie'!$AC$5:$AC$2004,_xlfn.MAXIFS('Saisie'!$AS$5:$AS$2004,'Saisie'!$C$5:$C$2004,C277,'Saisie'!$AC$5:$AC$2004,"&lt;&gt;")-4),""))</f>
        <v/>
      </c>
      <c r="AA277" s="106">
        <f>IF(C277="","",IFERROR(INDEX('Saisie'!$AD$5:$AD$2004,_xlfn.MAXIFS('Saisie'!$AS$5:$AS$2004,'Saisie'!$C$5:$C$2004,C277,'Saisie'!$AD$5:$AD$2004,"&lt;&gt;")-4),""))</f>
        <v/>
      </c>
      <c r="AB277" s="60">
        <f>IF(C277="","",IFERROR(INDEX('Saisie'!$AE$5:$AE$2004,_xlfn.MAXIFS('Saisie'!$AS$5:$AS$2004,'Saisie'!$C$5:$C$2004,C277,'Saisie'!$AE$5:$AE$2004,"&lt;&gt;")-4),""))</f>
        <v/>
      </c>
      <c r="AC277" s="60">
        <f>IF(C277="","",IFERROR(INDEX('Saisie'!$AF$5:$AF$2004,_xlfn.MAXIFS('Saisie'!$AS$5:$AS$2004,'Saisie'!$C$5:$C$2004,C277,'Saisie'!$AF$5:$AF$2004,"&lt;&gt;")-4),""))</f>
        <v/>
      </c>
      <c r="AD277" s="108">
        <f>IF(C277="","",IFERROR(INDEX('Saisie'!$AG$5:$AG$2004,_xlfn.MAXIFS('Saisie'!$AS$5:$AS$2004,'Saisie'!$C$5:$C$2004,C277,'Saisie'!$AG$5:$AG$2004,"&lt;&gt;")-4),""))</f>
        <v/>
      </c>
      <c r="AE277" s="60">
        <f>IF(C277="","",IFERROR(INDEX('Saisie'!$AH$5:$AH$2004,_xlfn.MAXIFS('Saisie'!$AS$5:$AS$2004,'Saisie'!$C$5:$C$2004,C277,'Saisie'!$AH$5:$AH$2004,"&lt;&gt;")-4),""))</f>
        <v/>
      </c>
      <c r="AF277" s="60">
        <f>IF(C277="","",IFERROR(INDEX('Saisie'!$AI$5:$AI$2004,_xlfn.MAXIFS('Saisie'!$AS$5:$AS$2004,'Saisie'!$C$5:$C$2004,C277,'Saisie'!$AI$5:$AI$2004,"&lt;&gt;")-4),""))</f>
        <v/>
      </c>
      <c r="AG277" s="60">
        <f>IF(C277="","",IFERROR(INDEX('Saisie'!$AJ$5:$AJ$2004,_xlfn.MAXIFS('Saisie'!$AS$5:$AS$2004,'Saisie'!$C$5:$C$2004,C277,'Saisie'!$AJ$5:$AJ$2004,"&lt;&gt;")-4),""))</f>
        <v/>
      </c>
      <c r="AH277" s="60">
        <f>IF(C277="","",IFERROR(INDEX('Saisie'!$AK$5:$AK$2004,_xlfn.MAXIFS('Saisie'!$AS$5:$AS$2004,'Saisie'!$C$5:$C$2004,C277,'Saisie'!$AK$5:$AK$2004,"&lt;&gt;")-4),""))</f>
        <v/>
      </c>
      <c r="AI277" s="60">
        <f>IF(C277="","",IFERROR(INDEX('Saisie'!$AN$5:$AN$2004,_xlfn.MAXIFS('Saisie'!$AS$5:$AS$2004,'Saisie'!$C$5:$C$2004,C277,'Saisie'!$AN$5:$AN$2004,"&lt;&gt;")-4),""))</f>
        <v/>
      </c>
      <c r="AJ277" s="60">
        <f>IF(C277="","",IFERROR(INDEX('Saisie'!$AO$5:$AO$2004,_xlfn.MAXIFS('Saisie'!$AS$5:$AS$2004,'Saisie'!$C$5:$C$2004,C277,'Saisie'!$AO$5:$AO$2004,"&lt;&gt;")-4),""))</f>
        <v/>
      </c>
      <c r="AK277" s="60">
        <f>IF(C277="","",IFERROR(INDEX('Saisie'!$AP$5:$AP$2004,_xlfn.MAXIFS('Saisie'!$AS$5:$AS$2004,'Saisie'!$C$5:$C$2004,C277,'Saisie'!$AP$5:$AP$2004,"&lt;&gt;")-4),""))</f>
        <v/>
      </c>
      <c r="AL277" s="60">
        <f>IF(C277="","",IFERROR(INDEX('Saisie'!$AQ$5:$AQ$2004,_xlfn.MAXIFS('Saisie'!$AS$5:$AS$2004,'Saisie'!$C$5:$C$2004,C277,'Saisie'!$AQ$5:$AQ$2004,"&lt;&gt;")-4),""))</f>
        <v/>
      </c>
      <c r="AM277" s="60">
        <f>IF(C277="","",((AI277="Oui")+(AJ277="Oui")+(AK277="Oui")+OR(AL277="Immédiat",AL277="&lt; 1 mois"))&amp;"/4")</f>
        <v/>
      </c>
      <c r="AN277" s="60">
        <f>IF(C277="","",IFERROR(INDEX('Saisie'!$AL$5:$AL$2004,_xlfn.MAXIFS('Saisie'!$AS$5:$AS$2004,'Saisie'!$C$5:$C$2004,C277,'Saisie'!$AL$5:$AL$2004,"&lt;&gt;")-4),""))</f>
        <v/>
      </c>
      <c r="AO277" s="62">
        <f>IF(C277="","",IF(IFERROR(INDEX('Saisie'!$AM$5:$AM$2004,_xlfn.MAXIFS('Saisie'!$AS$5:$AS$2004,'Saisie'!$C$5:$C$2004,C277,'Saisie'!$AM$5:$AM$2004,"&lt;&gt;")-4),"")&lt;&gt;"",IFERROR(INDEX('Saisie'!$AM$5:$AM$2004,_xlfn.MAXIFS('Saisie'!$AS$5:$AS$2004,'Saisie'!$C$5:$C$2004,C277,'Saisie'!$AM$5:$AM$2004,"&lt;&gt;")-4),""),IFERROR(INDEX('Paramètres'!$S$6:$S$15,MATCH(AN277,'Paramètres'!$Q$6:$Q$15,0)),"")))</f>
        <v/>
      </c>
      <c r="AP277" s="62">
        <f>IF(C277="","",IFERROR(INDEX('Saisie'!$AW$5:$AW$2004,_xlfn.MAXIFS('Saisie'!$AS$5:$AS$2004,'Saisie'!$C$5:$C$2004,C277,'Saisie'!$E$5:$E$2004,"Proposition envoyée")-4),""))</f>
        <v/>
      </c>
      <c r="AQ277" s="106">
        <f>IF(C277="","",IFERROR(1/(1/_xlfn.MAXIFS('Saisie'!$A$5:$A$2004,'Saisie'!$C$5:$C$2004,C277,'Saisie'!$E$5:$E$2004,"Proposition envoyée")),""))</f>
        <v/>
      </c>
      <c r="AR277" s="106">
        <f>IF(C277="","",IF(AQ277="","",AQ277+'Paramètres'!$B$26))</f>
        <v/>
      </c>
      <c r="AS277" s="62">
        <f>IF(OR(C277="",D277="Gagné",D277="Perdu"),0,N(AP277)*IFERROR(INDEX('Paramètres'!$G$6:$G$13,MATCH(D277,'Paramètres'!$F$6:$F$13,0)),0))</f>
        <v/>
      </c>
      <c r="AT277" s="106">
        <f>IF(C277="","",IFERROR(1/(1/_xlfn.MINIFS('Saisie'!$A$5:$A$2004,'Saisie'!$C$5:$C$2004,C277,'Saisie'!$E$5:$E$2004,"Signature")),""))</f>
        <v/>
      </c>
      <c r="AU277" s="60">
        <f>IF(C277="","",IF(OR(AT277="",B277=""),"",AT277-B277))</f>
        <v/>
      </c>
      <c r="AV277" s="60">
        <f>IF(C277="","",IFERROR(INDEX('Saisie'!$L$5:$L$2004,_xlfn.MAXIFS('Saisie'!$AS$5:$AS$2004,'Saisie'!$C$5:$C$2004,C277,'Saisie'!$L$5:$L$2004,"&lt;&gt;")-4),""))</f>
        <v/>
      </c>
      <c r="AW277" s="106">
        <f>IF(C277="","",IF(D277&lt;&gt;"Perdu","",IFERROR(1/(1/_xlfn.MAXIFS('Saisie'!$A$5:$A$2004,'Saisie'!$C$5:$C$2004,C277,'Saisie'!$E$5:$E$2004,"Perdu")),"")))</f>
        <v/>
      </c>
      <c r="AX277" s="106">
        <f>IF(C277="","",IF(AW277="","",AW277+'Paramètres'!$B$28))</f>
        <v/>
      </c>
      <c r="AY277" s="60">
        <f>IF(C277="","",SUMIFS('Saisie'!$H$5:$H$2004,'Saisie'!$C$5:$C$2004,C277))</f>
        <v/>
      </c>
      <c r="AZ277" s="60">
        <f>IF(C277="","",IFERROR(INDEX('Paramètres'!$W$6:$W$20,MATCH(S277,'Paramètres'!$V$6:$V$20,0))&amp;"",""))</f>
        <v/>
      </c>
      <c r="BA277" s="60">
        <f>IF(C277="","",MAX(1,_xlfn.MAXIFS('Saisie'!$AT$5:$AT$2004,'Saisie'!$C$5:$C$2004,C277)))</f>
        <v/>
      </c>
      <c r="BB277" s="60">
        <f>IF(C277="","",IFERROR(INDEX('Saisie'!$X$5:$X$2004,_xlfn.MAXIFS('Saisie'!$AS$5:$AS$2004,'Saisie'!$C$5:$C$2004,C277,'Saisie'!$X$5:$X$2004,"&lt;&gt;")-4),""))</f>
        <v/>
      </c>
      <c r="BC277" s="60">
        <f>IF(C277="","",IFERROR(INDEX('Saisie'!$Y$5:$Y$2004,_xlfn.MAXIFS('Saisie'!$AS$5:$AS$2004,'Saisie'!$C$5:$C$2004,C277,'Saisie'!$Y$5:$Y$2004,"&lt;&gt;")-4),""))</f>
        <v/>
      </c>
      <c r="BD277" s="106">
        <f>IF(C277="","",IFERROR(1/(1/_xlfn.MINIFS('Saisie'!$A$5:$A$2004,'Saisie'!$C$5:$C$2004,C277,'Saisie'!$AT$5:$AT$2004,"&gt;=2")),""))</f>
        <v/>
      </c>
      <c r="BE277" s="106">
        <f>IF(C277="","",IFERROR(1/(1/_xlfn.MINIFS('Saisie'!$A$5:$A$2004,'Saisie'!$C$5:$C$2004,C277,'Saisie'!$AT$5:$AT$2004,"&gt;=3")),""))</f>
        <v/>
      </c>
      <c r="BF277" s="106">
        <f>IF(C277="","",IFERROR(1/(1/_xlfn.MINIFS('Saisie'!$A$5:$A$2004,'Saisie'!$C$5:$C$2004,C277,'Saisie'!$AT$5:$AT$2004,"&gt;=4")),""))</f>
        <v/>
      </c>
      <c r="BG277" s="106">
        <f>IF(C277="","",IFERROR(1/(1/_xlfn.MINIFS('Saisie'!$A$5:$A$2004,'Saisie'!$C$5:$C$2004,C277,'Saisie'!$AT$5:$AT$2004,"&gt;=5")),""))</f>
        <v/>
      </c>
      <c r="BH277" s="106">
        <f>IF(C277="","",IFERROR(1/(1/_xlfn.MINIFS('Saisie'!$A$5:$A$2004,'Saisie'!$C$5:$C$2004,C277,'Saisie'!$AT$5:$AT$2004,"&gt;=6")),""))</f>
        <v/>
      </c>
      <c r="BI277" s="106">
        <f>IF(C277="","",IFERROR(1/(1/_xlfn.MINIFS('Saisie'!$A$5:$A$2004,'Saisie'!$C$5:$C$2004,C277,'Saisie'!$AT$5:$AT$2004,"&gt;=7")),""))</f>
        <v/>
      </c>
      <c r="BJ277" s="60">
        <f>IF(OR(BD277="",B277=""),"",BD277-B277)</f>
        <v/>
      </c>
      <c r="BK277" s="60">
        <f>IF(OR(BE277="",BD277=""),"",BE277-BD277)</f>
        <v/>
      </c>
      <c r="BL277" s="60">
        <f>IF(OR(BF277="",BE277=""),"",BF277-BE277)</f>
        <v/>
      </c>
      <c r="BM277" s="60">
        <f>IF(OR(BG277="",BF277=""),"",BG277-BF277)</f>
        <v/>
      </c>
      <c r="BN277" s="60">
        <f>IF(OR(BH277="",BG277=""),"",BH277-BG277)</f>
        <v/>
      </c>
      <c r="BO277" s="60">
        <f>IF(OR(BI277="",BH277=""),"",BI277-BH277)</f>
        <v/>
      </c>
      <c r="BP277" s="60">
        <f>IF(C277="","",_xlfn.MAXIFS('Saisie'!$AS$5:$AS$2004,'Saisie'!$C$5:$C$2004,C277,'Saisie'!$J$5:$J$2004,"&lt;&gt;"))</f>
        <v/>
      </c>
      <c r="BQ277" s="60">
        <f>IF(C277="","",_xlfn.MAXIFS('Saisie'!$AS$5:$AS$2004,'Saisie'!$C$5:$C$2004,C277))</f>
        <v/>
      </c>
      <c r="BR277" s="60">
        <f>IF(C277="","",_xlfn.MAXIFS('Saisie'!$AS$5:$AS$2004,'Saisie'!$C$5:$C$2004,C277,'Saisie'!$E$5:$E$2004,"Perdu"))</f>
        <v/>
      </c>
      <c r="BS277" s="60">
        <f>IF(C277="","",_xlfn.MAXIFS('Saisie'!$AS$5:$AS$2004,'Saisie'!$C$5:$C$2004,C277,'Saisie'!$AT$5:$AT$2004,"&gt;0"))</f>
        <v/>
      </c>
      <c r="BT277" s="109">
        <f>IF(AND(C277&lt;&gt;"",OR(D277="Nouveau",D277="Contacté",D277="Qualifié"),OR(G277="",N(G277)&lt;=TODAY()),NOT(AND(O277&gt;='Paramètres'!$B$21,P277=0))),E277+273/10000,"")</f>
        <v/>
      </c>
      <c r="BU277" s="60">
        <f>IF(AND(G277&lt;&gt;"",N(G277)&lt;=TODAY()),MAX($BU$4:BU276)+1,"")</f>
        <v/>
      </c>
      <c r="BV277" s="60">
        <f>IF(AND(F277&lt;&gt;"",F277&lt;&gt;"Relance en retard"),MAX($BV$4:BV276)+1,"")</f>
        <v/>
      </c>
      <c r="BW277" s="60">
        <f>IF(C277="","",IF(AND(B277&gt;='Tableau de bord'!$R$4,B277&lt;='Tableau de bord'!$S$4,OR('Tableau de bord'!$G$4="Tous",N277='Tableau de bord'!$G$4)),1,0))</f>
        <v/>
      </c>
      <c r="BX277" s="60">
        <f>IF(AND(C277&lt;&gt;"",N(BA277)=7),MAX($BX$4:BX276)+1,"")</f>
        <v/>
      </c>
    </row>
    <row r="278">
      <c r="A278" s="60">
        <f>IF(C278="","","P-"&amp;TEXT(274,"000"))</f>
        <v/>
      </c>
      <c r="B278" s="106">
        <f>IF(C278="","",IFERROR(1/(1/_xlfn.MINIFS('Saisie'!$A$5:$A$2004,'Saisie'!$C$5:$C$2004,C278)),""))</f>
        <v/>
      </c>
      <c r="C278" s="60">
        <f>IFERROR(INDEX('Saisie'!$C$5:$C$2004,MATCH(274,'Saisie'!$AX$5:$AX$2004,0)),"")</f>
        <v/>
      </c>
      <c r="D278" s="60">
        <f>IF(C278="","",IF(AND(BR278&gt;0,BR278&gt;BS278,BA278&lt;7),"Perdu",INDEX('Paramètres'!$F$6:$F$13,BA278)))</f>
        <v/>
      </c>
      <c r="E278" s="61">
        <f>IF(C278="","",MIN(100,(Z278="Oui")*'Paramètres'!$B$38+(AB278="Régulière")*'Paramètres'!$B$39+IF(AND(N(AA278)&gt;0,TODAY()-N(AA278)&lt;=30),'Paramètres'!$B$40,0)+(W278="")*'Paramètres'!$B$41+(AC278="Absente")*'Paramètres'!$B$42+(AC278="Faible")*'Paramètres'!$B$43+IF(AND(N(AD278)&gt;0,N(AD278)&lt;4),'Paramètres'!$B$44,0)+(AF278="Moyenne")*'Paramètres'!$B$45+(AF278="Grande")*'Paramètres'!$B$46+(Y278&lt;&gt;"")*'Paramètres'!$B$47))</f>
        <v/>
      </c>
      <c r="F278" s="60">
        <f>IF(C278="","",IF(D278="Gagné","",IF(D278="Perdu",IF(AND(AX278&lt;&gt;"",AX278&lt;=TODAY()),"À recontacter (perdu)",""),IF(AND(O278&gt;='Paramètres'!$B$21,P278=0),"Stop : "&amp;'Paramètres'!$B$21&amp;" tentatives sans réponse",IF(AND(D278="Proposition",AR278&lt;&gt;"",TODAY()&gt;N(AR278)),"Proposition expirée",IF(AND(D278="Proposition",N(R278)&gt;='Paramètres'!$B$25),"Proposition sans réponse",IF(AND(G278&lt;&gt;"",N(G278)&lt;TODAY()),"Relance en retard",IF(N(R278)&gt;='Paramètres'!$B$24,"Sans action depuis "&amp;R278&amp;" j",""))))))))</f>
        <v/>
      </c>
      <c r="G278" s="106">
        <f>IF(OR(C278="",D278="Gagné",D278="Perdu"),"",IF(AND(BP278&gt;0,BP278=BQ278),INDEX('Saisie'!$J$5:$J$2004,BP278-4),IF(OR(O278=0,AND(O278&gt;='Paramètres'!$B$21,P278=0)),"",Q278+IF(O278&lt;=1,'Paramètres'!$B$18,IF(O278=2,'Paramètres'!$B$19,'Paramètres'!$B$20)))))</f>
        <v/>
      </c>
      <c r="H278" s="107">
        <f>IF(OR(G278="",BP278&lt;&gt;BQ278),"",IF(INDEX('Saisie'!$K$5:$K$2004,BP278-4)="","",INDEX('Saisie'!$K$5:$K$2004,BP278-4)))</f>
        <v/>
      </c>
      <c r="I278" s="60">
        <f>IF(C278="","",IF(OR(D278="Gagné",D278="Perdu"),"",IFERROR(INDEX('Saisie'!$I$5:$I$2004,_xlfn.MAXIFS('Saisie'!$AS$5:$AS$2004,'Saisie'!$C$5:$C$2004,C278,'Saisie'!$I$5:$I$2004,"&lt;&gt;")-4),"")))</f>
        <v/>
      </c>
      <c r="J278" s="60">
        <f>IF(C278="","",IFERROR(INDEX('Saisie'!$U$5:$U$2004,_xlfn.MAXIFS('Saisie'!$AS$5:$AS$2004,'Saisie'!$C$5:$C$2004,C278,'Saisie'!$U$5:$U$2004,"&lt;&gt;")-4),""))</f>
        <v/>
      </c>
      <c r="K278" s="60">
        <f>IF(C278="","",IFERROR(INDEX('Saisie'!$W$5:$W$2004,_xlfn.MAXIFS('Saisie'!$AS$5:$AS$2004,'Saisie'!$C$5:$C$2004,C278,'Saisie'!$W$5:$W$2004,"&lt;&gt;")-4),""))</f>
        <v/>
      </c>
      <c r="L278" s="60">
        <f>IF(IF(BB278&lt;&gt;"",BB278,K278)="","",HYPERLINK("https://wa.me/"&amp;IF(LEFT(SUBSTITUTE(SUBSTITUTE(SUBSTITUTE(IF(BB278&lt;&gt;"",BB278,K278)," ",""),".",""),"+",""),1)="0",'Paramètres'!$B$35&amp;MID(SUBSTITUTE(SUBSTITUTE(SUBSTITUTE(IF(BB278&lt;&gt;"",BB278,K278)," ",""),".",""),"+",""),2,20),SUBSTITUTE(SUBSTITUTE(SUBSTITUTE(IF(BB278&lt;&gt;"",BB278,K278)," ",""),".",""),"+","")),"WhatsApp"))</f>
        <v/>
      </c>
      <c r="M278" s="60">
        <f>IF(BC278="","",HYPERLINK(IF(LEFT(BC278,4)="http",BC278,"https://www.instagram.com/"&amp;SUBSTITUTE(SUBSTITUTE(BC278,"@","")," ","")),BC278))</f>
        <v/>
      </c>
      <c r="N278" s="60">
        <f>IF(C278="","",IFERROR(INDEX('Saisie'!$D$5:$D$2004,_xlfn.MINIFS('Saisie'!$AS$5:$AS$2004,'Saisie'!$C$5:$C$2004,C278,'Saisie'!$AU$5:$AU$2004,1)-4),IFERROR(INDEX('Saisie'!$D$5:$D$2004,_xlfn.MINIFS('Saisie'!$AS$5:$AS$2004,'Saisie'!$C$5:$C$2004,C278,'Saisie'!$D$5:$D$2004,"&lt;&gt;")-4),"")))</f>
        <v/>
      </c>
      <c r="O278" s="60">
        <f>IF(C278="","",COUNTIFS('Saisie'!$C$5:$C$2004,C278,'Saisie'!$AU$5:$AU$2004,1))</f>
        <v/>
      </c>
      <c r="P278" s="60">
        <f>IF(C278="","",COUNTIFS('Saisie'!$C$5:$C$2004,C278,'Saisie'!$AV$5:$AV$2004,1))</f>
        <v/>
      </c>
      <c r="Q278" s="106">
        <f>IF(C278="","",IFERROR(1/(1/_xlfn.MAXIFS('Saisie'!$A$5:$A$2004,'Saisie'!$C$5:$C$2004,C278)),""))</f>
        <v/>
      </c>
      <c r="R278" s="61">
        <f>IF(C278="","",IF(Q278="","",TODAY()-Q278))</f>
        <v/>
      </c>
      <c r="S278" s="60">
        <f>IF(C278="","",IFERROR(INDEX('Saisie'!$R$5:$R$2004,_xlfn.MAXIFS('Saisie'!$AS$5:$AS$2004,'Saisie'!$C$5:$C$2004,C278,'Saisie'!$R$5:$R$2004,"&lt;&gt;")-4),""))</f>
        <v/>
      </c>
      <c r="T278" s="60">
        <f>IF(C278="","",IFERROR(INDEX('Saisie'!$S$5:$S$2004,_xlfn.MAXIFS('Saisie'!$AS$5:$AS$2004,'Saisie'!$C$5:$C$2004,C278,'Saisie'!$S$5:$S$2004,"&lt;&gt;")-4),""))</f>
        <v/>
      </c>
      <c r="U278" s="60">
        <f>IF(C278="","",IFERROR(INDEX('Saisie'!$T$5:$T$2004,_xlfn.MAXIFS('Saisie'!$AS$5:$AS$2004,'Saisie'!$C$5:$C$2004,C278,'Saisie'!$T$5:$T$2004,"&lt;&gt;")-4),""))</f>
        <v/>
      </c>
      <c r="V278" s="60">
        <f>IF(C278="","",IFERROR(INDEX('Saisie'!$V$5:$V$2004,_xlfn.MAXIFS('Saisie'!$AS$5:$AS$2004,'Saisie'!$C$5:$C$2004,C278,'Saisie'!$V$5:$V$2004,"&lt;&gt;")-4),""))</f>
        <v/>
      </c>
      <c r="W278" s="60">
        <f>IF(C278="","",IFERROR(INDEX('Saisie'!$Z$5:$Z$2004,_xlfn.MAXIFS('Saisie'!$AS$5:$AS$2004,'Saisie'!$C$5:$C$2004,C278,'Saisie'!$Z$5:$Z$2004,"&lt;&gt;")-4),""))</f>
        <v/>
      </c>
      <c r="X278" s="60">
        <f>IF(C278="","",IFERROR(INDEX('Saisie'!$AA$5:$AA$2004,_xlfn.MAXIFS('Saisie'!$AS$5:$AS$2004,'Saisie'!$C$5:$C$2004,C278,'Saisie'!$AA$5:$AA$2004,"&lt;&gt;")-4),""))</f>
        <v/>
      </c>
      <c r="Y278" s="60">
        <f>IF(C278="","",IFERROR(INDEX('Saisie'!$AB$5:$AB$2004,_xlfn.MAXIFS('Saisie'!$AS$5:$AS$2004,'Saisie'!$C$5:$C$2004,C278,'Saisie'!$AB$5:$AB$2004,"&lt;&gt;")-4),""))</f>
        <v/>
      </c>
      <c r="Z278" s="60">
        <f>IF(C278="","",IFERROR(INDEX('Saisie'!$AC$5:$AC$2004,_xlfn.MAXIFS('Saisie'!$AS$5:$AS$2004,'Saisie'!$C$5:$C$2004,C278,'Saisie'!$AC$5:$AC$2004,"&lt;&gt;")-4),""))</f>
        <v/>
      </c>
      <c r="AA278" s="106">
        <f>IF(C278="","",IFERROR(INDEX('Saisie'!$AD$5:$AD$2004,_xlfn.MAXIFS('Saisie'!$AS$5:$AS$2004,'Saisie'!$C$5:$C$2004,C278,'Saisie'!$AD$5:$AD$2004,"&lt;&gt;")-4),""))</f>
        <v/>
      </c>
      <c r="AB278" s="60">
        <f>IF(C278="","",IFERROR(INDEX('Saisie'!$AE$5:$AE$2004,_xlfn.MAXIFS('Saisie'!$AS$5:$AS$2004,'Saisie'!$C$5:$C$2004,C278,'Saisie'!$AE$5:$AE$2004,"&lt;&gt;")-4),""))</f>
        <v/>
      </c>
      <c r="AC278" s="60">
        <f>IF(C278="","",IFERROR(INDEX('Saisie'!$AF$5:$AF$2004,_xlfn.MAXIFS('Saisie'!$AS$5:$AS$2004,'Saisie'!$C$5:$C$2004,C278,'Saisie'!$AF$5:$AF$2004,"&lt;&gt;")-4),""))</f>
        <v/>
      </c>
      <c r="AD278" s="108">
        <f>IF(C278="","",IFERROR(INDEX('Saisie'!$AG$5:$AG$2004,_xlfn.MAXIFS('Saisie'!$AS$5:$AS$2004,'Saisie'!$C$5:$C$2004,C278,'Saisie'!$AG$5:$AG$2004,"&lt;&gt;")-4),""))</f>
        <v/>
      </c>
      <c r="AE278" s="60">
        <f>IF(C278="","",IFERROR(INDEX('Saisie'!$AH$5:$AH$2004,_xlfn.MAXIFS('Saisie'!$AS$5:$AS$2004,'Saisie'!$C$5:$C$2004,C278,'Saisie'!$AH$5:$AH$2004,"&lt;&gt;")-4),""))</f>
        <v/>
      </c>
      <c r="AF278" s="60">
        <f>IF(C278="","",IFERROR(INDEX('Saisie'!$AI$5:$AI$2004,_xlfn.MAXIFS('Saisie'!$AS$5:$AS$2004,'Saisie'!$C$5:$C$2004,C278,'Saisie'!$AI$5:$AI$2004,"&lt;&gt;")-4),""))</f>
        <v/>
      </c>
      <c r="AG278" s="60">
        <f>IF(C278="","",IFERROR(INDEX('Saisie'!$AJ$5:$AJ$2004,_xlfn.MAXIFS('Saisie'!$AS$5:$AS$2004,'Saisie'!$C$5:$C$2004,C278,'Saisie'!$AJ$5:$AJ$2004,"&lt;&gt;")-4),""))</f>
        <v/>
      </c>
      <c r="AH278" s="60">
        <f>IF(C278="","",IFERROR(INDEX('Saisie'!$AK$5:$AK$2004,_xlfn.MAXIFS('Saisie'!$AS$5:$AS$2004,'Saisie'!$C$5:$C$2004,C278,'Saisie'!$AK$5:$AK$2004,"&lt;&gt;")-4),""))</f>
        <v/>
      </c>
      <c r="AI278" s="60">
        <f>IF(C278="","",IFERROR(INDEX('Saisie'!$AN$5:$AN$2004,_xlfn.MAXIFS('Saisie'!$AS$5:$AS$2004,'Saisie'!$C$5:$C$2004,C278,'Saisie'!$AN$5:$AN$2004,"&lt;&gt;")-4),""))</f>
        <v/>
      </c>
      <c r="AJ278" s="60">
        <f>IF(C278="","",IFERROR(INDEX('Saisie'!$AO$5:$AO$2004,_xlfn.MAXIFS('Saisie'!$AS$5:$AS$2004,'Saisie'!$C$5:$C$2004,C278,'Saisie'!$AO$5:$AO$2004,"&lt;&gt;")-4),""))</f>
        <v/>
      </c>
      <c r="AK278" s="60">
        <f>IF(C278="","",IFERROR(INDEX('Saisie'!$AP$5:$AP$2004,_xlfn.MAXIFS('Saisie'!$AS$5:$AS$2004,'Saisie'!$C$5:$C$2004,C278,'Saisie'!$AP$5:$AP$2004,"&lt;&gt;")-4),""))</f>
        <v/>
      </c>
      <c r="AL278" s="60">
        <f>IF(C278="","",IFERROR(INDEX('Saisie'!$AQ$5:$AQ$2004,_xlfn.MAXIFS('Saisie'!$AS$5:$AS$2004,'Saisie'!$C$5:$C$2004,C278,'Saisie'!$AQ$5:$AQ$2004,"&lt;&gt;")-4),""))</f>
        <v/>
      </c>
      <c r="AM278" s="60">
        <f>IF(C278="","",((AI278="Oui")+(AJ278="Oui")+(AK278="Oui")+OR(AL278="Immédiat",AL278="&lt; 1 mois"))&amp;"/4")</f>
        <v/>
      </c>
      <c r="AN278" s="60">
        <f>IF(C278="","",IFERROR(INDEX('Saisie'!$AL$5:$AL$2004,_xlfn.MAXIFS('Saisie'!$AS$5:$AS$2004,'Saisie'!$C$5:$C$2004,C278,'Saisie'!$AL$5:$AL$2004,"&lt;&gt;")-4),""))</f>
        <v/>
      </c>
      <c r="AO278" s="62">
        <f>IF(C278="","",IF(IFERROR(INDEX('Saisie'!$AM$5:$AM$2004,_xlfn.MAXIFS('Saisie'!$AS$5:$AS$2004,'Saisie'!$C$5:$C$2004,C278,'Saisie'!$AM$5:$AM$2004,"&lt;&gt;")-4),"")&lt;&gt;"",IFERROR(INDEX('Saisie'!$AM$5:$AM$2004,_xlfn.MAXIFS('Saisie'!$AS$5:$AS$2004,'Saisie'!$C$5:$C$2004,C278,'Saisie'!$AM$5:$AM$2004,"&lt;&gt;")-4),""),IFERROR(INDEX('Paramètres'!$S$6:$S$15,MATCH(AN278,'Paramètres'!$Q$6:$Q$15,0)),"")))</f>
        <v/>
      </c>
      <c r="AP278" s="62">
        <f>IF(C278="","",IFERROR(INDEX('Saisie'!$AW$5:$AW$2004,_xlfn.MAXIFS('Saisie'!$AS$5:$AS$2004,'Saisie'!$C$5:$C$2004,C278,'Saisie'!$E$5:$E$2004,"Proposition envoyée")-4),""))</f>
        <v/>
      </c>
      <c r="AQ278" s="106">
        <f>IF(C278="","",IFERROR(1/(1/_xlfn.MAXIFS('Saisie'!$A$5:$A$2004,'Saisie'!$C$5:$C$2004,C278,'Saisie'!$E$5:$E$2004,"Proposition envoyée")),""))</f>
        <v/>
      </c>
      <c r="AR278" s="106">
        <f>IF(C278="","",IF(AQ278="","",AQ278+'Paramètres'!$B$26))</f>
        <v/>
      </c>
      <c r="AS278" s="62">
        <f>IF(OR(C278="",D278="Gagné",D278="Perdu"),0,N(AP278)*IFERROR(INDEX('Paramètres'!$G$6:$G$13,MATCH(D278,'Paramètres'!$F$6:$F$13,0)),0))</f>
        <v/>
      </c>
      <c r="AT278" s="106">
        <f>IF(C278="","",IFERROR(1/(1/_xlfn.MINIFS('Saisie'!$A$5:$A$2004,'Saisie'!$C$5:$C$2004,C278,'Saisie'!$E$5:$E$2004,"Signature")),""))</f>
        <v/>
      </c>
      <c r="AU278" s="60">
        <f>IF(C278="","",IF(OR(AT278="",B278=""),"",AT278-B278))</f>
        <v/>
      </c>
      <c r="AV278" s="60">
        <f>IF(C278="","",IFERROR(INDEX('Saisie'!$L$5:$L$2004,_xlfn.MAXIFS('Saisie'!$AS$5:$AS$2004,'Saisie'!$C$5:$C$2004,C278,'Saisie'!$L$5:$L$2004,"&lt;&gt;")-4),""))</f>
        <v/>
      </c>
      <c r="AW278" s="106">
        <f>IF(C278="","",IF(D278&lt;&gt;"Perdu","",IFERROR(1/(1/_xlfn.MAXIFS('Saisie'!$A$5:$A$2004,'Saisie'!$C$5:$C$2004,C278,'Saisie'!$E$5:$E$2004,"Perdu")),"")))</f>
        <v/>
      </c>
      <c r="AX278" s="106">
        <f>IF(C278="","",IF(AW278="","",AW278+'Paramètres'!$B$28))</f>
        <v/>
      </c>
      <c r="AY278" s="60">
        <f>IF(C278="","",SUMIFS('Saisie'!$H$5:$H$2004,'Saisie'!$C$5:$C$2004,C278))</f>
        <v/>
      </c>
      <c r="AZ278" s="60">
        <f>IF(C278="","",IFERROR(INDEX('Paramètres'!$W$6:$W$20,MATCH(S278,'Paramètres'!$V$6:$V$20,0))&amp;"",""))</f>
        <v/>
      </c>
      <c r="BA278" s="60">
        <f>IF(C278="","",MAX(1,_xlfn.MAXIFS('Saisie'!$AT$5:$AT$2004,'Saisie'!$C$5:$C$2004,C278)))</f>
        <v/>
      </c>
      <c r="BB278" s="60">
        <f>IF(C278="","",IFERROR(INDEX('Saisie'!$X$5:$X$2004,_xlfn.MAXIFS('Saisie'!$AS$5:$AS$2004,'Saisie'!$C$5:$C$2004,C278,'Saisie'!$X$5:$X$2004,"&lt;&gt;")-4),""))</f>
        <v/>
      </c>
      <c r="BC278" s="60">
        <f>IF(C278="","",IFERROR(INDEX('Saisie'!$Y$5:$Y$2004,_xlfn.MAXIFS('Saisie'!$AS$5:$AS$2004,'Saisie'!$C$5:$C$2004,C278,'Saisie'!$Y$5:$Y$2004,"&lt;&gt;")-4),""))</f>
        <v/>
      </c>
      <c r="BD278" s="106">
        <f>IF(C278="","",IFERROR(1/(1/_xlfn.MINIFS('Saisie'!$A$5:$A$2004,'Saisie'!$C$5:$C$2004,C278,'Saisie'!$AT$5:$AT$2004,"&gt;=2")),""))</f>
        <v/>
      </c>
      <c r="BE278" s="106">
        <f>IF(C278="","",IFERROR(1/(1/_xlfn.MINIFS('Saisie'!$A$5:$A$2004,'Saisie'!$C$5:$C$2004,C278,'Saisie'!$AT$5:$AT$2004,"&gt;=3")),""))</f>
        <v/>
      </c>
      <c r="BF278" s="106">
        <f>IF(C278="","",IFERROR(1/(1/_xlfn.MINIFS('Saisie'!$A$5:$A$2004,'Saisie'!$C$5:$C$2004,C278,'Saisie'!$AT$5:$AT$2004,"&gt;=4")),""))</f>
        <v/>
      </c>
      <c r="BG278" s="106">
        <f>IF(C278="","",IFERROR(1/(1/_xlfn.MINIFS('Saisie'!$A$5:$A$2004,'Saisie'!$C$5:$C$2004,C278,'Saisie'!$AT$5:$AT$2004,"&gt;=5")),""))</f>
        <v/>
      </c>
      <c r="BH278" s="106">
        <f>IF(C278="","",IFERROR(1/(1/_xlfn.MINIFS('Saisie'!$A$5:$A$2004,'Saisie'!$C$5:$C$2004,C278,'Saisie'!$AT$5:$AT$2004,"&gt;=6")),""))</f>
        <v/>
      </c>
      <c r="BI278" s="106">
        <f>IF(C278="","",IFERROR(1/(1/_xlfn.MINIFS('Saisie'!$A$5:$A$2004,'Saisie'!$C$5:$C$2004,C278,'Saisie'!$AT$5:$AT$2004,"&gt;=7")),""))</f>
        <v/>
      </c>
      <c r="BJ278" s="60">
        <f>IF(OR(BD278="",B278=""),"",BD278-B278)</f>
        <v/>
      </c>
      <c r="BK278" s="60">
        <f>IF(OR(BE278="",BD278=""),"",BE278-BD278)</f>
        <v/>
      </c>
      <c r="BL278" s="60">
        <f>IF(OR(BF278="",BE278=""),"",BF278-BE278)</f>
        <v/>
      </c>
      <c r="BM278" s="60">
        <f>IF(OR(BG278="",BF278=""),"",BG278-BF278)</f>
        <v/>
      </c>
      <c r="BN278" s="60">
        <f>IF(OR(BH278="",BG278=""),"",BH278-BG278)</f>
        <v/>
      </c>
      <c r="BO278" s="60">
        <f>IF(OR(BI278="",BH278=""),"",BI278-BH278)</f>
        <v/>
      </c>
      <c r="BP278" s="60">
        <f>IF(C278="","",_xlfn.MAXIFS('Saisie'!$AS$5:$AS$2004,'Saisie'!$C$5:$C$2004,C278,'Saisie'!$J$5:$J$2004,"&lt;&gt;"))</f>
        <v/>
      </c>
      <c r="BQ278" s="60">
        <f>IF(C278="","",_xlfn.MAXIFS('Saisie'!$AS$5:$AS$2004,'Saisie'!$C$5:$C$2004,C278))</f>
        <v/>
      </c>
      <c r="BR278" s="60">
        <f>IF(C278="","",_xlfn.MAXIFS('Saisie'!$AS$5:$AS$2004,'Saisie'!$C$5:$C$2004,C278,'Saisie'!$E$5:$E$2004,"Perdu"))</f>
        <v/>
      </c>
      <c r="BS278" s="60">
        <f>IF(C278="","",_xlfn.MAXIFS('Saisie'!$AS$5:$AS$2004,'Saisie'!$C$5:$C$2004,C278,'Saisie'!$AT$5:$AT$2004,"&gt;0"))</f>
        <v/>
      </c>
      <c r="BT278" s="109">
        <f>IF(AND(C278&lt;&gt;"",OR(D278="Nouveau",D278="Contacté",D278="Qualifié"),OR(G278="",N(G278)&lt;=TODAY()),NOT(AND(O278&gt;='Paramètres'!$B$21,P278=0))),E278+274/10000,"")</f>
        <v/>
      </c>
      <c r="BU278" s="60">
        <f>IF(AND(G278&lt;&gt;"",N(G278)&lt;=TODAY()),MAX($BU$4:BU277)+1,"")</f>
        <v/>
      </c>
      <c r="BV278" s="60">
        <f>IF(AND(F278&lt;&gt;"",F278&lt;&gt;"Relance en retard"),MAX($BV$4:BV277)+1,"")</f>
        <v/>
      </c>
      <c r="BW278" s="60">
        <f>IF(C278="","",IF(AND(B278&gt;='Tableau de bord'!$R$4,B278&lt;='Tableau de bord'!$S$4,OR('Tableau de bord'!$G$4="Tous",N278='Tableau de bord'!$G$4)),1,0))</f>
        <v/>
      </c>
      <c r="BX278" s="60">
        <f>IF(AND(C278&lt;&gt;"",N(BA278)=7),MAX($BX$4:BX277)+1,"")</f>
        <v/>
      </c>
    </row>
    <row r="279">
      <c r="A279" s="60">
        <f>IF(C279="","","P-"&amp;TEXT(275,"000"))</f>
        <v/>
      </c>
      <c r="B279" s="106">
        <f>IF(C279="","",IFERROR(1/(1/_xlfn.MINIFS('Saisie'!$A$5:$A$2004,'Saisie'!$C$5:$C$2004,C279)),""))</f>
        <v/>
      </c>
      <c r="C279" s="60">
        <f>IFERROR(INDEX('Saisie'!$C$5:$C$2004,MATCH(275,'Saisie'!$AX$5:$AX$2004,0)),"")</f>
        <v/>
      </c>
      <c r="D279" s="60">
        <f>IF(C279="","",IF(AND(BR279&gt;0,BR279&gt;BS279,BA279&lt;7),"Perdu",INDEX('Paramètres'!$F$6:$F$13,BA279)))</f>
        <v/>
      </c>
      <c r="E279" s="61">
        <f>IF(C279="","",MIN(100,(Z279="Oui")*'Paramètres'!$B$38+(AB279="Régulière")*'Paramètres'!$B$39+IF(AND(N(AA279)&gt;0,TODAY()-N(AA279)&lt;=30),'Paramètres'!$B$40,0)+(W279="")*'Paramètres'!$B$41+(AC279="Absente")*'Paramètres'!$B$42+(AC279="Faible")*'Paramètres'!$B$43+IF(AND(N(AD279)&gt;0,N(AD279)&lt;4),'Paramètres'!$B$44,0)+(AF279="Moyenne")*'Paramètres'!$B$45+(AF279="Grande")*'Paramètres'!$B$46+(Y279&lt;&gt;"")*'Paramètres'!$B$47))</f>
        <v/>
      </c>
      <c r="F279" s="60">
        <f>IF(C279="","",IF(D279="Gagné","",IF(D279="Perdu",IF(AND(AX279&lt;&gt;"",AX279&lt;=TODAY()),"À recontacter (perdu)",""),IF(AND(O279&gt;='Paramètres'!$B$21,P279=0),"Stop : "&amp;'Paramètres'!$B$21&amp;" tentatives sans réponse",IF(AND(D279="Proposition",AR279&lt;&gt;"",TODAY()&gt;N(AR279)),"Proposition expirée",IF(AND(D279="Proposition",N(R279)&gt;='Paramètres'!$B$25),"Proposition sans réponse",IF(AND(G279&lt;&gt;"",N(G279)&lt;TODAY()),"Relance en retard",IF(N(R279)&gt;='Paramètres'!$B$24,"Sans action depuis "&amp;R279&amp;" j",""))))))))</f>
        <v/>
      </c>
      <c r="G279" s="106">
        <f>IF(OR(C279="",D279="Gagné",D279="Perdu"),"",IF(AND(BP279&gt;0,BP279=BQ279),INDEX('Saisie'!$J$5:$J$2004,BP279-4),IF(OR(O279=0,AND(O279&gt;='Paramètres'!$B$21,P279=0)),"",Q279+IF(O279&lt;=1,'Paramètres'!$B$18,IF(O279=2,'Paramètres'!$B$19,'Paramètres'!$B$20)))))</f>
        <v/>
      </c>
      <c r="H279" s="107">
        <f>IF(OR(G279="",BP279&lt;&gt;BQ279),"",IF(INDEX('Saisie'!$K$5:$K$2004,BP279-4)="","",INDEX('Saisie'!$K$5:$K$2004,BP279-4)))</f>
        <v/>
      </c>
      <c r="I279" s="60">
        <f>IF(C279="","",IF(OR(D279="Gagné",D279="Perdu"),"",IFERROR(INDEX('Saisie'!$I$5:$I$2004,_xlfn.MAXIFS('Saisie'!$AS$5:$AS$2004,'Saisie'!$C$5:$C$2004,C279,'Saisie'!$I$5:$I$2004,"&lt;&gt;")-4),"")))</f>
        <v/>
      </c>
      <c r="J279" s="60">
        <f>IF(C279="","",IFERROR(INDEX('Saisie'!$U$5:$U$2004,_xlfn.MAXIFS('Saisie'!$AS$5:$AS$2004,'Saisie'!$C$5:$C$2004,C279,'Saisie'!$U$5:$U$2004,"&lt;&gt;")-4),""))</f>
        <v/>
      </c>
      <c r="K279" s="60">
        <f>IF(C279="","",IFERROR(INDEX('Saisie'!$W$5:$W$2004,_xlfn.MAXIFS('Saisie'!$AS$5:$AS$2004,'Saisie'!$C$5:$C$2004,C279,'Saisie'!$W$5:$W$2004,"&lt;&gt;")-4),""))</f>
        <v/>
      </c>
      <c r="L279" s="60">
        <f>IF(IF(BB279&lt;&gt;"",BB279,K279)="","",HYPERLINK("https://wa.me/"&amp;IF(LEFT(SUBSTITUTE(SUBSTITUTE(SUBSTITUTE(IF(BB279&lt;&gt;"",BB279,K279)," ",""),".",""),"+",""),1)="0",'Paramètres'!$B$35&amp;MID(SUBSTITUTE(SUBSTITUTE(SUBSTITUTE(IF(BB279&lt;&gt;"",BB279,K279)," ",""),".",""),"+",""),2,20),SUBSTITUTE(SUBSTITUTE(SUBSTITUTE(IF(BB279&lt;&gt;"",BB279,K279)," ",""),".",""),"+","")),"WhatsApp"))</f>
        <v/>
      </c>
      <c r="M279" s="60">
        <f>IF(BC279="","",HYPERLINK(IF(LEFT(BC279,4)="http",BC279,"https://www.instagram.com/"&amp;SUBSTITUTE(SUBSTITUTE(BC279,"@","")," ","")),BC279))</f>
        <v/>
      </c>
      <c r="N279" s="60">
        <f>IF(C279="","",IFERROR(INDEX('Saisie'!$D$5:$D$2004,_xlfn.MINIFS('Saisie'!$AS$5:$AS$2004,'Saisie'!$C$5:$C$2004,C279,'Saisie'!$AU$5:$AU$2004,1)-4),IFERROR(INDEX('Saisie'!$D$5:$D$2004,_xlfn.MINIFS('Saisie'!$AS$5:$AS$2004,'Saisie'!$C$5:$C$2004,C279,'Saisie'!$D$5:$D$2004,"&lt;&gt;")-4),"")))</f>
        <v/>
      </c>
      <c r="O279" s="60">
        <f>IF(C279="","",COUNTIFS('Saisie'!$C$5:$C$2004,C279,'Saisie'!$AU$5:$AU$2004,1))</f>
        <v/>
      </c>
      <c r="P279" s="60">
        <f>IF(C279="","",COUNTIFS('Saisie'!$C$5:$C$2004,C279,'Saisie'!$AV$5:$AV$2004,1))</f>
        <v/>
      </c>
      <c r="Q279" s="106">
        <f>IF(C279="","",IFERROR(1/(1/_xlfn.MAXIFS('Saisie'!$A$5:$A$2004,'Saisie'!$C$5:$C$2004,C279)),""))</f>
        <v/>
      </c>
      <c r="R279" s="61">
        <f>IF(C279="","",IF(Q279="","",TODAY()-Q279))</f>
        <v/>
      </c>
      <c r="S279" s="60">
        <f>IF(C279="","",IFERROR(INDEX('Saisie'!$R$5:$R$2004,_xlfn.MAXIFS('Saisie'!$AS$5:$AS$2004,'Saisie'!$C$5:$C$2004,C279,'Saisie'!$R$5:$R$2004,"&lt;&gt;")-4),""))</f>
        <v/>
      </c>
      <c r="T279" s="60">
        <f>IF(C279="","",IFERROR(INDEX('Saisie'!$S$5:$S$2004,_xlfn.MAXIFS('Saisie'!$AS$5:$AS$2004,'Saisie'!$C$5:$C$2004,C279,'Saisie'!$S$5:$S$2004,"&lt;&gt;")-4),""))</f>
        <v/>
      </c>
      <c r="U279" s="60">
        <f>IF(C279="","",IFERROR(INDEX('Saisie'!$T$5:$T$2004,_xlfn.MAXIFS('Saisie'!$AS$5:$AS$2004,'Saisie'!$C$5:$C$2004,C279,'Saisie'!$T$5:$T$2004,"&lt;&gt;")-4),""))</f>
        <v/>
      </c>
      <c r="V279" s="60">
        <f>IF(C279="","",IFERROR(INDEX('Saisie'!$V$5:$V$2004,_xlfn.MAXIFS('Saisie'!$AS$5:$AS$2004,'Saisie'!$C$5:$C$2004,C279,'Saisie'!$V$5:$V$2004,"&lt;&gt;")-4),""))</f>
        <v/>
      </c>
      <c r="W279" s="60">
        <f>IF(C279="","",IFERROR(INDEX('Saisie'!$Z$5:$Z$2004,_xlfn.MAXIFS('Saisie'!$AS$5:$AS$2004,'Saisie'!$C$5:$C$2004,C279,'Saisie'!$Z$5:$Z$2004,"&lt;&gt;")-4),""))</f>
        <v/>
      </c>
      <c r="X279" s="60">
        <f>IF(C279="","",IFERROR(INDEX('Saisie'!$AA$5:$AA$2004,_xlfn.MAXIFS('Saisie'!$AS$5:$AS$2004,'Saisie'!$C$5:$C$2004,C279,'Saisie'!$AA$5:$AA$2004,"&lt;&gt;")-4),""))</f>
        <v/>
      </c>
      <c r="Y279" s="60">
        <f>IF(C279="","",IFERROR(INDEX('Saisie'!$AB$5:$AB$2004,_xlfn.MAXIFS('Saisie'!$AS$5:$AS$2004,'Saisie'!$C$5:$C$2004,C279,'Saisie'!$AB$5:$AB$2004,"&lt;&gt;")-4),""))</f>
        <v/>
      </c>
      <c r="Z279" s="60">
        <f>IF(C279="","",IFERROR(INDEX('Saisie'!$AC$5:$AC$2004,_xlfn.MAXIFS('Saisie'!$AS$5:$AS$2004,'Saisie'!$C$5:$C$2004,C279,'Saisie'!$AC$5:$AC$2004,"&lt;&gt;")-4),""))</f>
        <v/>
      </c>
      <c r="AA279" s="106">
        <f>IF(C279="","",IFERROR(INDEX('Saisie'!$AD$5:$AD$2004,_xlfn.MAXIFS('Saisie'!$AS$5:$AS$2004,'Saisie'!$C$5:$C$2004,C279,'Saisie'!$AD$5:$AD$2004,"&lt;&gt;")-4),""))</f>
        <v/>
      </c>
      <c r="AB279" s="60">
        <f>IF(C279="","",IFERROR(INDEX('Saisie'!$AE$5:$AE$2004,_xlfn.MAXIFS('Saisie'!$AS$5:$AS$2004,'Saisie'!$C$5:$C$2004,C279,'Saisie'!$AE$5:$AE$2004,"&lt;&gt;")-4),""))</f>
        <v/>
      </c>
      <c r="AC279" s="60">
        <f>IF(C279="","",IFERROR(INDEX('Saisie'!$AF$5:$AF$2004,_xlfn.MAXIFS('Saisie'!$AS$5:$AS$2004,'Saisie'!$C$5:$C$2004,C279,'Saisie'!$AF$5:$AF$2004,"&lt;&gt;")-4),""))</f>
        <v/>
      </c>
      <c r="AD279" s="108">
        <f>IF(C279="","",IFERROR(INDEX('Saisie'!$AG$5:$AG$2004,_xlfn.MAXIFS('Saisie'!$AS$5:$AS$2004,'Saisie'!$C$5:$C$2004,C279,'Saisie'!$AG$5:$AG$2004,"&lt;&gt;")-4),""))</f>
        <v/>
      </c>
      <c r="AE279" s="60">
        <f>IF(C279="","",IFERROR(INDEX('Saisie'!$AH$5:$AH$2004,_xlfn.MAXIFS('Saisie'!$AS$5:$AS$2004,'Saisie'!$C$5:$C$2004,C279,'Saisie'!$AH$5:$AH$2004,"&lt;&gt;")-4),""))</f>
        <v/>
      </c>
      <c r="AF279" s="60">
        <f>IF(C279="","",IFERROR(INDEX('Saisie'!$AI$5:$AI$2004,_xlfn.MAXIFS('Saisie'!$AS$5:$AS$2004,'Saisie'!$C$5:$C$2004,C279,'Saisie'!$AI$5:$AI$2004,"&lt;&gt;")-4),""))</f>
        <v/>
      </c>
      <c r="AG279" s="60">
        <f>IF(C279="","",IFERROR(INDEX('Saisie'!$AJ$5:$AJ$2004,_xlfn.MAXIFS('Saisie'!$AS$5:$AS$2004,'Saisie'!$C$5:$C$2004,C279,'Saisie'!$AJ$5:$AJ$2004,"&lt;&gt;")-4),""))</f>
        <v/>
      </c>
      <c r="AH279" s="60">
        <f>IF(C279="","",IFERROR(INDEX('Saisie'!$AK$5:$AK$2004,_xlfn.MAXIFS('Saisie'!$AS$5:$AS$2004,'Saisie'!$C$5:$C$2004,C279,'Saisie'!$AK$5:$AK$2004,"&lt;&gt;")-4),""))</f>
        <v/>
      </c>
      <c r="AI279" s="60">
        <f>IF(C279="","",IFERROR(INDEX('Saisie'!$AN$5:$AN$2004,_xlfn.MAXIFS('Saisie'!$AS$5:$AS$2004,'Saisie'!$C$5:$C$2004,C279,'Saisie'!$AN$5:$AN$2004,"&lt;&gt;")-4),""))</f>
        <v/>
      </c>
      <c r="AJ279" s="60">
        <f>IF(C279="","",IFERROR(INDEX('Saisie'!$AO$5:$AO$2004,_xlfn.MAXIFS('Saisie'!$AS$5:$AS$2004,'Saisie'!$C$5:$C$2004,C279,'Saisie'!$AO$5:$AO$2004,"&lt;&gt;")-4),""))</f>
        <v/>
      </c>
      <c r="AK279" s="60">
        <f>IF(C279="","",IFERROR(INDEX('Saisie'!$AP$5:$AP$2004,_xlfn.MAXIFS('Saisie'!$AS$5:$AS$2004,'Saisie'!$C$5:$C$2004,C279,'Saisie'!$AP$5:$AP$2004,"&lt;&gt;")-4),""))</f>
        <v/>
      </c>
      <c r="AL279" s="60">
        <f>IF(C279="","",IFERROR(INDEX('Saisie'!$AQ$5:$AQ$2004,_xlfn.MAXIFS('Saisie'!$AS$5:$AS$2004,'Saisie'!$C$5:$C$2004,C279,'Saisie'!$AQ$5:$AQ$2004,"&lt;&gt;")-4),""))</f>
        <v/>
      </c>
      <c r="AM279" s="60">
        <f>IF(C279="","",((AI279="Oui")+(AJ279="Oui")+(AK279="Oui")+OR(AL279="Immédiat",AL279="&lt; 1 mois"))&amp;"/4")</f>
        <v/>
      </c>
      <c r="AN279" s="60">
        <f>IF(C279="","",IFERROR(INDEX('Saisie'!$AL$5:$AL$2004,_xlfn.MAXIFS('Saisie'!$AS$5:$AS$2004,'Saisie'!$C$5:$C$2004,C279,'Saisie'!$AL$5:$AL$2004,"&lt;&gt;")-4),""))</f>
        <v/>
      </c>
      <c r="AO279" s="62">
        <f>IF(C279="","",IF(IFERROR(INDEX('Saisie'!$AM$5:$AM$2004,_xlfn.MAXIFS('Saisie'!$AS$5:$AS$2004,'Saisie'!$C$5:$C$2004,C279,'Saisie'!$AM$5:$AM$2004,"&lt;&gt;")-4),"")&lt;&gt;"",IFERROR(INDEX('Saisie'!$AM$5:$AM$2004,_xlfn.MAXIFS('Saisie'!$AS$5:$AS$2004,'Saisie'!$C$5:$C$2004,C279,'Saisie'!$AM$5:$AM$2004,"&lt;&gt;")-4),""),IFERROR(INDEX('Paramètres'!$S$6:$S$15,MATCH(AN279,'Paramètres'!$Q$6:$Q$15,0)),"")))</f>
        <v/>
      </c>
      <c r="AP279" s="62">
        <f>IF(C279="","",IFERROR(INDEX('Saisie'!$AW$5:$AW$2004,_xlfn.MAXIFS('Saisie'!$AS$5:$AS$2004,'Saisie'!$C$5:$C$2004,C279,'Saisie'!$E$5:$E$2004,"Proposition envoyée")-4),""))</f>
        <v/>
      </c>
      <c r="AQ279" s="106">
        <f>IF(C279="","",IFERROR(1/(1/_xlfn.MAXIFS('Saisie'!$A$5:$A$2004,'Saisie'!$C$5:$C$2004,C279,'Saisie'!$E$5:$E$2004,"Proposition envoyée")),""))</f>
        <v/>
      </c>
      <c r="AR279" s="106">
        <f>IF(C279="","",IF(AQ279="","",AQ279+'Paramètres'!$B$26))</f>
        <v/>
      </c>
      <c r="AS279" s="62">
        <f>IF(OR(C279="",D279="Gagné",D279="Perdu"),0,N(AP279)*IFERROR(INDEX('Paramètres'!$G$6:$G$13,MATCH(D279,'Paramètres'!$F$6:$F$13,0)),0))</f>
        <v/>
      </c>
      <c r="AT279" s="106">
        <f>IF(C279="","",IFERROR(1/(1/_xlfn.MINIFS('Saisie'!$A$5:$A$2004,'Saisie'!$C$5:$C$2004,C279,'Saisie'!$E$5:$E$2004,"Signature")),""))</f>
        <v/>
      </c>
      <c r="AU279" s="60">
        <f>IF(C279="","",IF(OR(AT279="",B279=""),"",AT279-B279))</f>
        <v/>
      </c>
      <c r="AV279" s="60">
        <f>IF(C279="","",IFERROR(INDEX('Saisie'!$L$5:$L$2004,_xlfn.MAXIFS('Saisie'!$AS$5:$AS$2004,'Saisie'!$C$5:$C$2004,C279,'Saisie'!$L$5:$L$2004,"&lt;&gt;")-4),""))</f>
        <v/>
      </c>
      <c r="AW279" s="106">
        <f>IF(C279="","",IF(D279&lt;&gt;"Perdu","",IFERROR(1/(1/_xlfn.MAXIFS('Saisie'!$A$5:$A$2004,'Saisie'!$C$5:$C$2004,C279,'Saisie'!$E$5:$E$2004,"Perdu")),"")))</f>
        <v/>
      </c>
      <c r="AX279" s="106">
        <f>IF(C279="","",IF(AW279="","",AW279+'Paramètres'!$B$28))</f>
        <v/>
      </c>
      <c r="AY279" s="60">
        <f>IF(C279="","",SUMIFS('Saisie'!$H$5:$H$2004,'Saisie'!$C$5:$C$2004,C279))</f>
        <v/>
      </c>
      <c r="AZ279" s="60">
        <f>IF(C279="","",IFERROR(INDEX('Paramètres'!$W$6:$W$20,MATCH(S279,'Paramètres'!$V$6:$V$20,0))&amp;"",""))</f>
        <v/>
      </c>
      <c r="BA279" s="60">
        <f>IF(C279="","",MAX(1,_xlfn.MAXIFS('Saisie'!$AT$5:$AT$2004,'Saisie'!$C$5:$C$2004,C279)))</f>
        <v/>
      </c>
      <c r="BB279" s="60">
        <f>IF(C279="","",IFERROR(INDEX('Saisie'!$X$5:$X$2004,_xlfn.MAXIFS('Saisie'!$AS$5:$AS$2004,'Saisie'!$C$5:$C$2004,C279,'Saisie'!$X$5:$X$2004,"&lt;&gt;")-4),""))</f>
        <v/>
      </c>
      <c r="BC279" s="60">
        <f>IF(C279="","",IFERROR(INDEX('Saisie'!$Y$5:$Y$2004,_xlfn.MAXIFS('Saisie'!$AS$5:$AS$2004,'Saisie'!$C$5:$C$2004,C279,'Saisie'!$Y$5:$Y$2004,"&lt;&gt;")-4),""))</f>
        <v/>
      </c>
      <c r="BD279" s="106">
        <f>IF(C279="","",IFERROR(1/(1/_xlfn.MINIFS('Saisie'!$A$5:$A$2004,'Saisie'!$C$5:$C$2004,C279,'Saisie'!$AT$5:$AT$2004,"&gt;=2")),""))</f>
        <v/>
      </c>
      <c r="BE279" s="106">
        <f>IF(C279="","",IFERROR(1/(1/_xlfn.MINIFS('Saisie'!$A$5:$A$2004,'Saisie'!$C$5:$C$2004,C279,'Saisie'!$AT$5:$AT$2004,"&gt;=3")),""))</f>
        <v/>
      </c>
      <c r="BF279" s="106">
        <f>IF(C279="","",IFERROR(1/(1/_xlfn.MINIFS('Saisie'!$A$5:$A$2004,'Saisie'!$C$5:$C$2004,C279,'Saisie'!$AT$5:$AT$2004,"&gt;=4")),""))</f>
        <v/>
      </c>
      <c r="BG279" s="106">
        <f>IF(C279="","",IFERROR(1/(1/_xlfn.MINIFS('Saisie'!$A$5:$A$2004,'Saisie'!$C$5:$C$2004,C279,'Saisie'!$AT$5:$AT$2004,"&gt;=5")),""))</f>
        <v/>
      </c>
      <c r="BH279" s="106">
        <f>IF(C279="","",IFERROR(1/(1/_xlfn.MINIFS('Saisie'!$A$5:$A$2004,'Saisie'!$C$5:$C$2004,C279,'Saisie'!$AT$5:$AT$2004,"&gt;=6")),""))</f>
        <v/>
      </c>
      <c r="BI279" s="106">
        <f>IF(C279="","",IFERROR(1/(1/_xlfn.MINIFS('Saisie'!$A$5:$A$2004,'Saisie'!$C$5:$C$2004,C279,'Saisie'!$AT$5:$AT$2004,"&gt;=7")),""))</f>
        <v/>
      </c>
      <c r="BJ279" s="60">
        <f>IF(OR(BD279="",B279=""),"",BD279-B279)</f>
        <v/>
      </c>
      <c r="BK279" s="60">
        <f>IF(OR(BE279="",BD279=""),"",BE279-BD279)</f>
        <v/>
      </c>
      <c r="BL279" s="60">
        <f>IF(OR(BF279="",BE279=""),"",BF279-BE279)</f>
        <v/>
      </c>
      <c r="BM279" s="60">
        <f>IF(OR(BG279="",BF279=""),"",BG279-BF279)</f>
        <v/>
      </c>
      <c r="BN279" s="60">
        <f>IF(OR(BH279="",BG279=""),"",BH279-BG279)</f>
        <v/>
      </c>
      <c r="BO279" s="60">
        <f>IF(OR(BI279="",BH279=""),"",BI279-BH279)</f>
        <v/>
      </c>
      <c r="BP279" s="60">
        <f>IF(C279="","",_xlfn.MAXIFS('Saisie'!$AS$5:$AS$2004,'Saisie'!$C$5:$C$2004,C279,'Saisie'!$J$5:$J$2004,"&lt;&gt;"))</f>
        <v/>
      </c>
      <c r="BQ279" s="60">
        <f>IF(C279="","",_xlfn.MAXIFS('Saisie'!$AS$5:$AS$2004,'Saisie'!$C$5:$C$2004,C279))</f>
        <v/>
      </c>
      <c r="BR279" s="60">
        <f>IF(C279="","",_xlfn.MAXIFS('Saisie'!$AS$5:$AS$2004,'Saisie'!$C$5:$C$2004,C279,'Saisie'!$E$5:$E$2004,"Perdu"))</f>
        <v/>
      </c>
      <c r="BS279" s="60">
        <f>IF(C279="","",_xlfn.MAXIFS('Saisie'!$AS$5:$AS$2004,'Saisie'!$C$5:$C$2004,C279,'Saisie'!$AT$5:$AT$2004,"&gt;0"))</f>
        <v/>
      </c>
      <c r="BT279" s="109">
        <f>IF(AND(C279&lt;&gt;"",OR(D279="Nouveau",D279="Contacté",D279="Qualifié"),OR(G279="",N(G279)&lt;=TODAY()),NOT(AND(O279&gt;='Paramètres'!$B$21,P279=0))),E279+275/10000,"")</f>
        <v/>
      </c>
      <c r="BU279" s="60">
        <f>IF(AND(G279&lt;&gt;"",N(G279)&lt;=TODAY()),MAX($BU$4:BU278)+1,"")</f>
        <v/>
      </c>
      <c r="BV279" s="60">
        <f>IF(AND(F279&lt;&gt;"",F279&lt;&gt;"Relance en retard"),MAX($BV$4:BV278)+1,"")</f>
        <v/>
      </c>
      <c r="BW279" s="60">
        <f>IF(C279="","",IF(AND(B279&gt;='Tableau de bord'!$R$4,B279&lt;='Tableau de bord'!$S$4,OR('Tableau de bord'!$G$4="Tous",N279='Tableau de bord'!$G$4)),1,0))</f>
        <v/>
      </c>
      <c r="BX279" s="60">
        <f>IF(AND(C279&lt;&gt;"",N(BA279)=7),MAX($BX$4:BX278)+1,"")</f>
        <v/>
      </c>
    </row>
    <row r="280">
      <c r="A280" s="60">
        <f>IF(C280="","","P-"&amp;TEXT(276,"000"))</f>
        <v/>
      </c>
      <c r="B280" s="106">
        <f>IF(C280="","",IFERROR(1/(1/_xlfn.MINIFS('Saisie'!$A$5:$A$2004,'Saisie'!$C$5:$C$2004,C280)),""))</f>
        <v/>
      </c>
      <c r="C280" s="60">
        <f>IFERROR(INDEX('Saisie'!$C$5:$C$2004,MATCH(276,'Saisie'!$AX$5:$AX$2004,0)),"")</f>
        <v/>
      </c>
      <c r="D280" s="60">
        <f>IF(C280="","",IF(AND(BR280&gt;0,BR280&gt;BS280,BA280&lt;7),"Perdu",INDEX('Paramètres'!$F$6:$F$13,BA280)))</f>
        <v/>
      </c>
      <c r="E280" s="61">
        <f>IF(C280="","",MIN(100,(Z280="Oui")*'Paramètres'!$B$38+(AB280="Régulière")*'Paramètres'!$B$39+IF(AND(N(AA280)&gt;0,TODAY()-N(AA280)&lt;=30),'Paramètres'!$B$40,0)+(W280="")*'Paramètres'!$B$41+(AC280="Absente")*'Paramètres'!$B$42+(AC280="Faible")*'Paramètres'!$B$43+IF(AND(N(AD280)&gt;0,N(AD280)&lt;4),'Paramètres'!$B$44,0)+(AF280="Moyenne")*'Paramètres'!$B$45+(AF280="Grande")*'Paramètres'!$B$46+(Y280&lt;&gt;"")*'Paramètres'!$B$47))</f>
        <v/>
      </c>
      <c r="F280" s="60">
        <f>IF(C280="","",IF(D280="Gagné","",IF(D280="Perdu",IF(AND(AX280&lt;&gt;"",AX280&lt;=TODAY()),"À recontacter (perdu)",""),IF(AND(O280&gt;='Paramètres'!$B$21,P280=0),"Stop : "&amp;'Paramètres'!$B$21&amp;" tentatives sans réponse",IF(AND(D280="Proposition",AR280&lt;&gt;"",TODAY()&gt;N(AR280)),"Proposition expirée",IF(AND(D280="Proposition",N(R280)&gt;='Paramètres'!$B$25),"Proposition sans réponse",IF(AND(G280&lt;&gt;"",N(G280)&lt;TODAY()),"Relance en retard",IF(N(R280)&gt;='Paramètres'!$B$24,"Sans action depuis "&amp;R280&amp;" j",""))))))))</f>
        <v/>
      </c>
      <c r="G280" s="106">
        <f>IF(OR(C280="",D280="Gagné",D280="Perdu"),"",IF(AND(BP280&gt;0,BP280=BQ280),INDEX('Saisie'!$J$5:$J$2004,BP280-4),IF(OR(O280=0,AND(O280&gt;='Paramètres'!$B$21,P280=0)),"",Q280+IF(O280&lt;=1,'Paramètres'!$B$18,IF(O280=2,'Paramètres'!$B$19,'Paramètres'!$B$20)))))</f>
        <v/>
      </c>
      <c r="H280" s="107">
        <f>IF(OR(G280="",BP280&lt;&gt;BQ280),"",IF(INDEX('Saisie'!$K$5:$K$2004,BP280-4)="","",INDEX('Saisie'!$K$5:$K$2004,BP280-4)))</f>
        <v/>
      </c>
      <c r="I280" s="60">
        <f>IF(C280="","",IF(OR(D280="Gagné",D280="Perdu"),"",IFERROR(INDEX('Saisie'!$I$5:$I$2004,_xlfn.MAXIFS('Saisie'!$AS$5:$AS$2004,'Saisie'!$C$5:$C$2004,C280,'Saisie'!$I$5:$I$2004,"&lt;&gt;")-4),"")))</f>
        <v/>
      </c>
      <c r="J280" s="60">
        <f>IF(C280="","",IFERROR(INDEX('Saisie'!$U$5:$U$2004,_xlfn.MAXIFS('Saisie'!$AS$5:$AS$2004,'Saisie'!$C$5:$C$2004,C280,'Saisie'!$U$5:$U$2004,"&lt;&gt;")-4),""))</f>
        <v/>
      </c>
      <c r="K280" s="60">
        <f>IF(C280="","",IFERROR(INDEX('Saisie'!$W$5:$W$2004,_xlfn.MAXIFS('Saisie'!$AS$5:$AS$2004,'Saisie'!$C$5:$C$2004,C280,'Saisie'!$W$5:$W$2004,"&lt;&gt;")-4),""))</f>
        <v/>
      </c>
      <c r="L280" s="60">
        <f>IF(IF(BB280&lt;&gt;"",BB280,K280)="","",HYPERLINK("https://wa.me/"&amp;IF(LEFT(SUBSTITUTE(SUBSTITUTE(SUBSTITUTE(IF(BB280&lt;&gt;"",BB280,K280)," ",""),".",""),"+",""),1)="0",'Paramètres'!$B$35&amp;MID(SUBSTITUTE(SUBSTITUTE(SUBSTITUTE(IF(BB280&lt;&gt;"",BB280,K280)," ",""),".",""),"+",""),2,20),SUBSTITUTE(SUBSTITUTE(SUBSTITUTE(IF(BB280&lt;&gt;"",BB280,K280)," ",""),".",""),"+","")),"WhatsApp"))</f>
        <v/>
      </c>
      <c r="M280" s="60">
        <f>IF(BC280="","",HYPERLINK(IF(LEFT(BC280,4)="http",BC280,"https://www.instagram.com/"&amp;SUBSTITUTE(SUBSTITUTE(BC280,"@","")," ","")),BC280))</f>
        <v/>
      </c>
      <c r="N280" s="60">
        <f>IF(C280="","",IFERROR(INDEX('Saisie'!$D$5:$D$2004,_xlfn.MINIFS('Saisie'!$AS$5:$AS$2004,'Saisie'!$C$5:$C$2004,C280,'Saisie'!$AU$5:$AU$2004,1)-4),IFERROR(INDEX('Saisie'!$D$5:$D$2004,_xlfn.MINIFS('Saisie'!$AS$5:$AS$2004,'Saisie'!$C$5:$C$2004,C280,'Saisie'!$D$5:$D$2004,"&lt;&gt;")-4),"")))</f>
        <v/>
      </c>
      <c r="O280" s="60">
        <f>IF(C280="","",COUNTIFS('Saisie'!$C$5:$C$2004,C280,'Saisie'!$AU$5:$AU$2004,1))</f>
        <v/>
      </c>
      <c r="P280" s="60">
        <f>IF(C280="","",COUNTIFS('Saisie'!$C$5:$C$2004,C280,'Saisie'!$AV$5:$AV$2004,1))</f>
        <v/>
      </c>
      <c r="Q280" s="106">
        <f>IF(C280="","",IFERROR(1/(1/_xlfn.MAXIFS('Saisie'!$A$5:$A$2004,'Saisie'!$C$5:$C$2004,C280)),""))</f>
        <v/>
      </c>
      <c r="R280" s="61">
        <f>IF(C280="","",IF(Q280="","",TODAY()-Q280))</f>
        <v/>
      </c>
      <c r="S280" s="60">
        <f>IF(C280="","",IFERROR(INDEX('Saisie'!$R$5:$R$2004,_xlfn.MAXIFS('Saisie'!$AS$5:$AS$2004,'Saisie'!$C$5:$C$2004,C280,'Saisie'!$R$5:$R$2004,"&lt;&gt;")-4),""))</f>
        <v/>
      </c>
      <c r="T280" s="60">
        <f>IF(C280="","",IFERROR(INDEX('Saisie'!$S$5:$S$2004,_xlfn.MAXIFS('Saisie'!$AS$5:$AS$2004,'Saisie'!$C$5:$C$2004,C280,'Saisie'!$S$5:$S$2004,"&lt;&gt;")-4),""))</f>
        <v/>
      </c>
      <c r="U280" s="60">
        <f>IF(C280="","",IFERROR(INDEX('Saisie'!$T$5:$T$2004,_xlfn.MAXIFS('Saisie'!$AS$5:$AS$2004,'Saisie'!$C$5:$C$2004,C280,'Saisie'!$T$5:$T$2004,"&lt;&gt;")-4),""))</f>
        <v/>
      </c>
      <c r="V280" s="60">
        <f>IF(C280="","",IFERROR(INDEX('Saisie'!$V$5:$V$2004,_xlfn.MAXIFS('Saisie'!$AS$5:$AS$2004,'Saisie'!$C$5:$C$2004,C280,'Saisie'!$V$5:$V$2004,"&lt;&gt;")-4),""))</f>
        <v/>
      </c>
      <c r="W280" s="60">
        <f>IF(C280="","",IFERROR(INDEX('Saisie'!$Z$5:$Z$2004,_xlfn.MAXIFS('Saisie'!$AS$5:$AS$2004,'Saisie'!$C$5:$C$2004,C280,'Saisie'!$Z$5:$Z$2004,"&lt;&gt;")-4),""))</f>
        <v/>
      </c>
      <c r="X280" s="60">
        <f>IF(C280="","",IFERROR(INDEX('Saisie'!$AA$5:$AA$2004,_xlfn.MAXIFS('Saisie'!$AS$5:$AS$2004,'Saisie'!$C$5:$C$2004,C280,'Saisie'!$AA$5:$AA$2004,"&lt;&gt;")-4),""))</f>
        <v/>
      </c>
      <c r="Y280" s="60">
        <f>IF(C280="","",IFERROR(INDEX('Saisie'!$AB$5:$AB$2004,_xlfn.MAXIFS('Saisie'!$AS$5:$AS$2004,'Saisie'!$C$5:$C$2004,C280,'Saisie'!$AB$5:$AB$2004,"&lt;&gt;")-4),""))</f>
        <v/>
      </c>
      <c r="Z280" s="60">
        <f>IF(C280="","",IFERROR(INDEX('Saisie'!$AC$5:$AC$2004,_xlfn.MAXIFS('Saisie'!$AS$5:$AS$2004,'Saisie'!$C$5:$C$2004,C280,'Saisie'!$AC$5:$AC$2004,"&lt;&gt;")-4),""))</f>
        <v/>
      </c>
      <c r="AA280" s="106">
        <f>IF(C280="","",IFERROR(INDEX('Saisie'!$AD$5:$AD$2004,_xlfn.MAXIFS('Saisie'!$AS$5:$AS$2004,'Saisie'!$C$5:$C$2004,C280,'Saisie'!$AD$5:$AD$2004,"&lt;&gt;")-4),""))</f>
        <v/>
      </c>
      <c r="AB280" s="60">
        <f>IF(C280="","",IFERROR(INDEX('Saisie'!$AE$5:$AE$2004,_xlfn.MAXIFS('Saisie'!$AS$5:$AS$2004,'Saisie'!$C$5:$C$2004,C280,'Saisie'!$AE$5:$AE$2004,"&lt;&gt;")-4),""))</f>
        <v/>
      </c>
      <c r="AC280" s="60">
        <f>IF(C280="","",IFERROR(INDEX('Saisie'!$AF$5:$AF$2004,_xlfn.MAXIFS('Saisie'!$AS$5:$AS$2004,'Saisie'!$C$5:$C$2004,C280,'Saisie'!$AF$5:$AF$2004,"&lt;&gt;")-4),""))</f>
        <v/>
      </c>
      <c r="AD280" s="108">
        <f>IF(C280="","",IFERROR(INDEX('Saisie'!$AG$5:$AG$2004,_xlfn.MAXIFS('Saisie'!$AS$5:$AS$2004,'Saisie'!$C$5:$C$2004,C280,'Saisie'!$AG$5:$AG$2004,"&lt;&gt;")-4),""))</f>
        <v/>
      </c>
      <c r="AE280" s="60">
        <f>IF(C280="","",IFERROR(INDEX('Saisie'!$AH$5:$AH$2004,_xlfn.MAXIFS('Saisie'!$AS$5:$AS$2004,'Saisie'!$C$5:$C$2004,C280,'Saisie'!$AH$5:$AH$2004,"&lt;&gt;")-4),""))</f>
        <v/>
      </c>
      <c r="AF280" s="60">
        <f>IF(C280="","",IFERROR(INDEX('Saisie'!$AI$5:$AI$2004,_xlfn.MAXIFS('Saisie'!$AS$5:$AS$2004,'Saisie'!$C$5:$C$2004,C280,'Saisie'!$AI$5:$AI$2004,"&lt;&gt;")-4),""))</f>
        <v/>
      </c>
      <c r="AG280" s="60">
        <f>IF(C280="","",IFERROR(INDEX('Saisie'!$AJ$5:$AJ$2004,_xlfn.MAXIFS('Saisie'!$AS$5:$AS$2004,'Saisie'!$C$5:$C$2004,C280,'Saisie'!$AJ$5:$AJ$2004,"&lt;&gt;")-4),""))</f>
        <v/>
      </c>
      <c r="AH280" s="60">
        <f>IF(C280="","",IFERROR(INDEX('Saisie'!$AK$5:$AK$2004,_xlfn.MAXIFS('Saisie'!$AS$5:$AS$2004,'Saisie'!$C$5:$C$2004,C280,'Saisie'!$AK$5:$AK$2004,"&lt;&gt;")-4),""))</f>
        <v/>
      </c>
      <c r="AI280" s="60">
        <f>IF(C280="","",IFERROR(INDEX('Saisie'!$AN$5:$AN$2004,_xlfn.MAXIFS('Saisie'!$AS$5:$AS$2004,'Saisie'!$C$5:$C$2004,C280,'Saisie'!$AN$5:$AN$2004,"&lt;&gt;")-4),""))</f>
        <v/>
      </c>
      <c r="AJ280" s="60">
        <f>IF(C280="","",IFERROR(INDEX('Saisie'!$AO$5:$AO$2004,_xlfn.MAXIFS('Saisie'!$AS$5:$AS$2004,'Saisie'!$C$5:$C$2004,C280,'Saisie'!$AO$5:$AO$2004,"&lt;&gt;")-4),""))</f>
        <v/>
      </c>
      <c r="AK280" s="60">
        <f>IF(C280="","",IFERROR(INDEX('Saisie'!$AP$5:$AP$2004,_xlfn.MAXIFS('Saisie'!$AS$5:$AS$2004,'Saisie'!$C$5:$C$2004,C280,'Saisie'!$AP$5:$AP$2004,"&lt;&gt;")-4),""))</f>
        <v/>
      </c>
      <c r="AL280" s="60">
        <f>IF(C280="","",IFERROR(INDEX('Saisie'!$AQ$5:$AQ$2004,_xlfn.MAXIFS('Saisie'!$AS$5:$AS$2004,'Saisie'!$C$5:$C$2004,C280,'Saisie'!$AQ$5:$AQ$2004,"&lt;&gt;")-4),""))</f>
        <v/>
      </c>
      <c r="AM280" s="60">
        <f>IF(C280="","",((AI280="Oui")+(AJ280="Oui")+(AK280="Oui")+OR(AL280="Immédiat",AL280="&lt; 1 mois"))&amp;"/4")</f>
        <v/>
      </c>
      <c r="AN280" s="60">
        <f>IF(C280="","",IFERROR(INDEX('Saisie'!$AL$5:$AL$2004,_xlfn.MAXIFS('Saisie'!$AS$5:$AS$2004,'Saisie'!$C$5:$C$2004,C280,'Saisie'!$AL$5:$AL$2004,"&lt;&gt;")-4),""))</f>
        <v/>
      </c>
      <c r="AO280" s="62">
        <f>IF(C280="","",IF(IFERROR(INDEX('Saisie'!$AM$5:$AM$2004,_xlfn.MAXIFS('Saisie'!$AS$5:$AS$2004,'Saisie'!$C$5:$C$2004,C280,'Saisie'!$AM$5:$AM$2004,"&lt;&gt;")-4),"")&lt;&gt;"",IFERROR(INDEX('Saisie'!$AM$5:$AM$2004,_xlfn.MAXIFS('Saisie'!$AS$5:$AS$2004,'Saisie'!$C$5:$C$2004,C280,'Saisie'!$AM$5:$AM$2004,"&lt;&gt;")-4),""),IFERROR(INDEX('Paramètres'!$S$6:$S$15,MATCH(AN280,'Paramètres'!$Q$6:$Q$15,0)),"")))</f>
        <v/>
      </c>
      <c r="AP280" s="62">
        <f>IF(C280="","",IFERROR(INDEX('Saisie'!$AW$5:$AW$2004,_xlfn.MAXIFS('Saisie'!$AS$5:$AS$2004,'Saisie'!$C$5:$C$2004,C280,'Saisie'!$E$5:$E$2004,"Proposition envoyée")-4),""))</f>
        <v/>
      </c>
      <c r="AQ280" s="106">
        <f>IF(C280="","",IFERROR(1/(1/_xlfn.MAXIFS('Saisie'!$A$5:$A$2004,'Saisie'!$C$5:$C$2004,C280,'Saisie'!$E$5:$E$2004,"Proposition envoyée")),""))</f>
        <v/>
      </c>
      <c r="AR280" s="106">
        <f>IF(C280="","",IF(AQ280="","",AQ280+'Paramètres'!$B$26))</f>
        <v/>
      </c>
      <c r="AS280" s="62">
        <f>IF(OR(C280="",D280="Gagné",D280="Perdu"),0,N(AP280)*IFERROR(INDEX('Paramètres'!$G$6:$G$13,MATCH(D280,'Paramètres'!$F$6:$F$13,0)),0))</f>
        <v/>
      </c>
      <c r="AT280" s="106">
        <f>IF(C280="","",IFERROR(1/(1/_xlfn.MINIFS('Saisie'!$A$5:$A$2004,'Saisie'!$C$5:$C$2004,C280,'Saisie'!$E$5:$E$2004,"Signature")),""))</f>
        <v/>
      </c>
      <c r="AU280" s="60">
        <f>IF(C280="","",IF(OR(AT280="",B280=""),"",AT280-B280))</f>
        <v/>
      </c>
      <c r="AV280" s="60">
        <f>IF(C280="","",IFERROR(INDEX('Saisie'!$L$5:$L$2004,_xlfn.MAXIFS('Saisie'!$AS$5:$AS$2004,'Saisie'!$C$5:$C$2004,C280,'Saisie'!$L$5:$L$2004,"&lt;&gt;")-4),""))</f>
        <v/>
      </c>
      <c r="AW280" s="106">
        <f>IF(C280="","",IF(D280&lt;&gt;"Perdu","",IFERROR(1/(1/_xlfn.MAXIFS('Saisie'!$A$5:$A$2004,'Saisie'!$C$5:$C$2004,C280,'Saisie'!$E$5:$E$2004,"Perdu")),"")))</f>
        <v/>
      </c>
      <c r="AX280" s="106">
        <f>IF(C280="","",IF(AW280="","",AW280+'Paramètres'!$B$28))</f>
        <v/>
      </c>
      <c r="AY280" s="60">
        <f>IF(C280="","",SUMIFS('Saisie'!$H$5:$H$2004,'Saisie'!$C$5:$C$2004,C280))</f>
        <v/>
      </c>
      <c r="AZ280" s="60">
        <f>IF(C280="","",IFERROR(INDEX('Paramètres'!$W$6:$W$20,MATCH(S280,'Paramètres'!$V$6:$V$20,0))&amp;"",""))</f>
        <v/>
      </c>
      <c r="BA280" s="60">
        <f>IF(C280="","",MAX(1,_xlfn.MAXIFS('Saisie'!$AT$5:$AT$2004,'Saisie'!$C$5:$C$2004,C280)))</f>
        <v/>
      </c>
      <c r="BB280" s="60">
        <f>IF(C280="","",IFERROR(INDEX('Saisie'!$X$5:$X$2004,_xlfn.MAXIFS('Saisie'!$AS$5:$AS$2004,'Saisie'!$C$5:$C$2004,C280,'Saisie'!$X$5:$X$2004,"&lt;&gt;")-4),""))</f>
        <v/>
      </c>
      <c r="BC280" s="60">
        <f>IF(C280="","",IFERROR(INDEX('Saisie'!$Y$5:$Y$2004,_xlfn.MAXIFS('Saisie'!$AS$5:$AS$2004,'Saisie'!$C$5:$C$2004,C280,'Saisie'!$Y$5:$Y$2004,"&lt;&gt;")-4),""))</f>
        <v/>
      </c>
      <c r="BD280" s="106">
        <f>IF(C280="","",IFERROR(1/(1/_xlfn.MINIFS('Saisie'!$A$5:$A$2004,'Saisie'!$C$5:$C$2004,C280,'Saisie'!$AT$5:$AT$2004,"&gt;=2")),""))</f>
        <v/>
      </c>
      <c r="BE280" s="106">
        <f>IF(C280="","",IFERROR(1/(1/_xlfn.MINIFS('Saisie'!$A$5:$A$2004,'Saisie'!$C$5:$C$2004,C280,'Saisie'!$AT$5:$AT$2004,"&gt;=3")),""))</f>
        <v/>
      </c>
      <c r="BF280" s="106">
        <f>IF(C280="","",IFERROR(1/(1/_xlfn.MINIFS('Saisie'!$A$5:$A$2004,'Saisie'!$C$5:$C$2004,C280,'Saisie'!$AT$5:$AT$2004,"&gt;=4")),""))</f>
        <v/>
      </c>
      <c r="BG280" s="106">
        <f>IF(C280="","",IFERROR(1/(1/_xlfn.MINIFS('Saisie'!$A$5:$A$2004,'Saisie'!$C$5:$C$2004,C280,'Saisie'!$AT$5:$AT$2004,"&gt;=5")),""))</f>
        <v/>
      </c>
      <c r="BH280" s="106">
        <f>IF(C280="","",IFERROR(1/(1/_xlfn.MINIFS('Saisie'!$A$5:$A$2004,'Saisie'!$C$5:$C$2004,C280,'Saisie'!$AT$5:$AT$2004,"&gt;=6")),""))</f>
        <v/>
      </c>
      <c r="BI280" s="106">
        <f>IF(C280="","",IFERROR(1/(1/_xlfn.MINIFS('Saisie'!$A$5:$A$2004,'Saisie'!$C$5:$C$2004,C280,'Saisie'!$AT$5:$AT$2004,"&gt;=7")),""))</f>
        <v/>
      </c>
      <c r="BJ280" s="60">
        <f>IF(OR(BD280="",B280=""),"",BD280-B280)</f>
        <v/>
      </c>
      <c r="BK280" s="60">
        <f>IF(OR(BE280="",BD280=""),"",BE280-BD280)</f>
        <v/>
      </c>
      <c r="BL280" s="60">
        <f>IF(OR(BF280="",BE280=""),"",BF280-BE280)</f>
        <v/>
      </c>
      <c r="BM280" s="60">
        <f>IF(OR(BG280="",BF280=""),"",BG280-BF280)</f>
        <v/>
      </c>
      <c r="BN280" s="60">
        <f>IF(OR(BH280="",BG280=""),"",BH280-BG280)</f>
        <v/>
      </c>
      <c r="BO280" s="60">
        <f>IF(OR(BI280="",BH280=""),"",BI280-BH280)</f>
        <v/>
      </c>
      <c r="BP280" s="60">
        <f>IF(C280="","",_xlfn.MAXIFS('Saisie'!$AS$5:$AS$2004,'Saisie'!$C$5:$C$2004,C280,'Saisie'!$J$5:$J$2004,"&lt;&gt;"))</f>
        <v/>
      </c>
      <c r="BQ280" s="60">
        <f>IF(C280="","",_xlfn.MAXIFS('Saisie'!$AS$5:$AS$2004,'Saisie'!$C$5:$C$2004,C280))</f>
        <v/>
      </c>
      <c r="BR280" s="60">
        <f>IF(C280="","",_xlfn.MAXIFS('Saisie'!$AS$5:$AS$2004,'Saisie'!$C$5:$C$2004,C280,'Saisie'!$E$5:$E$2004,"Perdu"))</f>
        <v/>
      </c>
      <c r="BS280" s="60">
        <f>IF(C280="","",_xlfn.MAXIFS('Saisie'!$AS$5:$AS$2004,'Saisie'!$C$5:$C$2004,C280,'Saisie'!$AT$5:$AT$2004,"&gt;0"))</f>
        <v/>
      </c>
      <c r="BT280" s="109">
        <f>IF(AND(C280&lt;&gt;"",OR(D280="Nouveau",D280="Contacté",D280="Qualifié"),OR(G280="",N(G280)&lt;=TODAY()),NOT(AND(O280&gt;='Paramètres'!$B$21,P280=0))),E280+276/10000,"")</f>
        <v/>
      </c>
      <c r="BU280" s="60">
        <f>IF(AND(G280&lt;&gt;"",N(G280)&lt;=TODAY()),MAX($BU$4:BU279)+1,"")</f>
        <v/>
      </c>
      <c r="BV280" s="60">
        <f>IF(AND(F280&lt;&gt;"",F280&lt;&gt;"Relance en retard"),MAX($BV$4:BV279)+1,"")</f>
        <v/>
      </c>
      <c r="BW280" s="60">
        <f>IF(C280="","",IF(AND(B280&gt;='Tableau de bord'!$R$4,B280&lt;='Tableau de bord'!$S$4,OR('Tableau de bord'!$G$4="Tous",N280='Tableau de bord'!$G$4)),1,0))</f>
        <v/>
      </c>
      <c r="BX280" s="60">
        <f>IF(AND(C280&lt;&gt;"",N(BA280)=7),MAX($BX$4:BX279)+1,"")</f>
        <v/>
      </c>
    </row>
    <row r="281">
      <c r="A281" s="60">
        <f>IF(C281="","","P-"&amp;TEXT(277,"000"))</f>
        <v/>
      </c>
      <c r="B281" s="106">
        <f>IF(C281="","",IFERROR(1/(1/_xlfn.MINIFS('Saisie'!$A$5:$A$2004,'Saisie'!$C$5:$C$2004,C281)),""))</f>
        <v/>
      </c>
      <c r="C281" s="60">
        <f>IFERROR(INDEX('Saisie'!$C$5:$C$2004,MATCH(277,'Saisie'!$AX$5:$AX$2004,0)),"")</f>
        <v/>
      </c>
      <c r="D281" s="60">
        <f>IF(C281="","",IF(AND(BR281&gt;0,BR281&gt;BS281,BA281&lt;7),"Perdu",INDEX('Paramètres'!$F$6:$F$13,BA281)))</f>
        <v/>
      </c>
      <c r="E281" s="61">
        <f>IF(C281="","",MIN(100,(Z281="Oui")*'Paramètres'!$B$38+(AB281="Régulière")*'Paramètres'!$B$39+IF(AND(N(AA281)&gt;0,TODAY()-N(AA281)&lt;=30),'Paramètres'!$B$40,0)+(W281="")*'Paramètres'!$B$41+(AC281="Absente")*'Paramètres'!$B$42+(AC281="Faible")*'Paramètres'!$B$43+IF(AND(N(AD281)&gt;0,N(AD281)&lt;4),'Paramètres'!$B$44,0)+(AF281="Moyenne")*'Paramètres'!$B$45+(AF281="Grande")*'Paramètres'!$B$46+(Y281&lt;&gt;"")*'Paramètres'!$B$47))</f>
        <v/>
      </c>
      <c r="F281" s="60">
        <f>IF(C281="","",IF(D281="Gagné","",IF(D281="Perdu",IF(AND(AX281&lt;&gt;"",AX281&lt;=TODAY()),"À recontacter (perdu)",""),IF(AND(O281&gt;='Paramètres'!$B$21,P281=0),"Stop : "&amp;'Paramètres'!$B$21&amp;" tentatives sans réponse",IF(AND(D281="Proposition",AR281&lt;&gt;"",TODAY()&gt;N(AR281)),"Proposition expirée",IF(AND(D281="Proposition",N(R281)&gt;='Paramètres'!$B$25),"Proposition sans réponse",IF(AND(G281&lt;&gt;"",N(G281)&lt;TODAY()),"Relance en retard",IF(N(R281)&gt;='Paramètres'!$B$24,"Sans action depuis "&amp;R281&amp;" j",""))))))))</f>
        <v/>
      </c>
      <c r="G281" s="106">
        <f>IF(OR(C281="",D281="Gagné",D281="Perdu"),"",IF(AND(BP281&gt;0,BP281=BQ281),INDEX('Saisie'!$J$5:$J$2004,BP281-4),IF(OR(O281=0,AND(O281&gt;='Paramètres'!$B$21,P281=0)),"",Q281+IF(O281&lt;=1,'Paramètres'!$B$18,IF(O281=2,'Paramètres'!$B$19,'Paramètres'!$B$20)))))</f>
        <v/>
      </c>
      <c r="H281" s="107">
        <f>IF(OR(G281="",BP281&lt;&gt;BQ281),"",IF(INDEX('Saisie'!$K$5:$K$2004,BP281-4)="","",INDEX('Saisie'!$K$5:$K$2004,BP281-4)))</f>
        <v/>
      </c>
      <c r="I281" s="60">
        <f>IF(C281="","",IF(OR(D281="Gagné",D281="Perdu"),"",IFERROR(INDEX('Saisie'!$I$5:$I$2004,_xlfn.MAXIFS('Saisie'!$AS$5:$AS$2004,'Saisie'!$C$5:$C$2004,C281,'Saisie'!$I$5:$I$2004,"&lt;&gt;")-4),"")))</f>
        <v/>
      </c>
      <c r="J281" s="60">
        <f>IF(C281="","",IFERROR(INDEX('Saisie'!$U$5:$U$2004,_xlfn.MAXIFS('Saisie'!$AS$5:$AS$2004,'Saisie'!$C$5:$C$2004,C281,'Saisie'!$U$5:$U$2004,"&lt;&gt;")-4),""))</f>
        <v/>
      </c>
      <c r="K281" s="60">
        <f>IF(C281="","",IFERROR(INDEX('Saisie'!$W$5:$W$2004,_xlfn.MAXIFS('Saisie'!$AS$5:$AS$2004,'Saisie'!$C$5:$C$2004,C281,'Saisie'!$W$5:$W$2004,"&lt;&gt;")-4),""))</f>
        <v/>
      </c>
      <c r="L281" s="60">
        <f>IF(IF(BB281&lt;&gt;"",BB281,K281)="","",HYPERLINK("https://wa.me/"&amp;IF(LEFT(SUBSTITUTE(SUBSTITUTE(SUBSTITUTE(IF(BB281&lt;&gt;"",BB281,K281)," ",""),".",""),"+",""),1)="0",'Paramètres'!$B$35&amp;MID(SUBSTITUTE(SUBSTITUTE(SUBSTITUTE(IF(BB281&lt;&gt;"",BB281,K281)," ",""),".",""),"+",""),2,20),SUBSTITUTE(SUBSTITUTE(SUBSTITUTE(IF(BB281&lt;&gt;"",BB281,K281)," ",""),".",""),"+","")),"WhatsApp"))</f>
        <v/>
      </c>
      <c r="M281" s="60">
        <f>IF(BC281="","",HYPERLINK(IF(LEFT(BC281,4)="http",BC281,"https://www.instagram.com/"&amp;SUBSTITUTE(SUBSTITUTE(BC281,"@","")," ","")),BC281))</f>
        <v/>
      </c>
      <c r="N281" s="60">
        <f>IF(C281="","",IFERROR(INDEX('Saisie'!$D$5:$D$2004,_xlfn.MINIFS('Saisie'!$AS$5:$AS$2004,'Saisie'!$C$5:$C$2004,C281,'Saisie'!$AU$5:$AU$2004,1)-4),IFERROR(INDEX('Saisie'!$D$5:$D$2004,_xlfn.MINIFS('Saisie'!$AS$5:$AS$2004,'Saisie'!$C$5:$C$2004,C281,'Saisie'!$D$5:$D$2004,"&lt;&gt;")-4),"")))</f>
        <v/>
      </c>
      <c r="O281" s="60">
        <f>IF(C281="","",COUNTIFS('Saisie'!$C$5:$C$2004,C281,'Saisie'!$AU$5:$AU$2004,1))</f>
        <v/>
      </c>
      <c r="P281" s="60">
        <f>IF(C281="","",COUNTIFS('Saisie'!$C$5:$C$2004,C281,'Saisie'!$AV$5:$AV$2004,1))</f>
        <v/>
      </c>
      <c r="Q281" s="106">
        <f>IF(C281="","",IFERROR(1/(1/_xlfn.MAXIFS('Saisie'!$A$5:$A$2004,'Saisie'!$C$5:$C$2004,C281)),""))</f>
        <v/>
      </c>
      <c r="R281" s="61">
        <f>IF(C281="","",IF(Q281="","",TODAY()-Q281))</f>
        <v/>
      </c>
      <c r="S281" s="60">
        <f>IF(C281="","",IFERROR(INDEX('Saisie'!$R$5:$R$2004,_xlfn.MAXIFS('Saisie'!$AS$5:$AS$2004,'Saisie'!$C$5:$C$2004,C281,'Saisie'!$R$5:$R$2004,"&lt;&gt;")-4),""))</f>
        <v/>
      </c>
      <c r="T281" s="60">
        <f>IF(C281="","",IFERROR(INDEX('Saisie'!$S$5:$S$2004,_xlfn.MAXIFS('Saisie'!$AS$5:$AS$2004,'Saisie'!$C$5:$C$2004,C281,'Saisie'!$S$5:$S$2004,"&lt;&gt;")-4),""))</f>
        <v/>
      </c>
      <c r="U281" s="60">
        <f>IF(C281="","",IFERROR(INDEX('Saisie'!$T$5:$T$2004,_xlfn.MAXIFS('Saisie'!$AS$5:$AS$2004,'Saisie'!$C$5:$C$2004,C281,'Saisie'!$T$5:$T$2004,"&lt;&gt;")-4),""))</f>
        <v/>
      </c>
      <c r="V281" s="60">
        <f>IF(C281="","",IFERROR(INDEX('Saisie'!$V$5:$V$2004,_xlfn.MAXIFS('Saisie'!$AS$5:$AS$2004,'Saisie'!$C$5:$C$2004,C281,'Saisie'!$V$5:$V$2004,"&lt;&gt;")-4),""))</f>
        <v/>
      </c>
      <c r="W281" s="60">
        <f>IF(C281="","",IFERROR(INDEX('Saisie'!$Z$5:$Z$2004,_xlfn.MAXIFS('Saisie'!$AS$5:$AS$2004,'Saisie'!$C$5:$C$2004,C281,'Saisie'!$Z$5:$Z$2004,"&lt;&gt;")-4),""))</f>
        <v/>
      </c>
      <c r="X281" s="60">
        <f>IF(C281="","",IFERROR(INDEX('Saisie'!$AA$5:$AA$2004,_xlfn.MAXIFS('Saisie'!$AS$5:$AS$2004,'Saisie'!$C$5:$C$2004,C281,'Saisie'!$AA$5:$AA$2004,"&lt;&gt;")-4),""))</f>
        <v/>
      </c>
      <c r="Y281" s="60">
        <f>IF(C281="","",IFERROR(INDEX('Saisie'!$AB$5:$AB$2004,_xlfn.MAXIFS('Saisie'!$AS$5:$AS$2004,'Saisie'!$C$5:$C$2004,C281,'Saisie'!$AB$5:$AB$2004,"&lt;&gt;")-4),""))</f>
        <v/>
      </c>
      <c r="Z281" s="60">
        <f>IF(C281="","",IFERROR(INDEX('Saisie'!$AC$5:$AC$2004,_xlfn.MAXIFS('Saisie'!$AS$5:$AS$2004,'Saisie'!$C$5:$C$2004,C281,'Saisie'!$AC$5:$AC$2004,"&lt;&gt;")-4),""))</f>
        <v/>
      </c>
      <c r="AA281" s="106">
        <f>IF(C281="","",IFERROR(INDEX('Saisie'!$AD$5:$AD$2004,_xlfn.MAXIFS('Saisie'!$AS$5:$AS$2004,'Saisie'!$C$5:$C$2004,C281,'Saisie'!$AD$5:$AD$2004,"&lt;&gt;")-4),""))</f>
        <v/>
      </c>
      <c r="AB281" s="60">
        <f>IF(C281="","",IFERROR(INDEX('Saisie'!$AE$5:$AE$2004,_xlfn.MAXIFS('Saisie'!$AS$5:$AS$2004,'Saisie'!$C$5:$C$2004,C281,'Saisie'!$AE$5:$AE$2004,"&lt;&gt;")-4),""))</f>
        <v/>
      </c>
      <c r="AC281" s="60">
        <f>IF(C281="","",IFERROR(INDEX('Saisie'!$AF$5:$AF$2004,_xlfn.MAXIFS('Saisie'!$AS$5:$AS$2004,'Saisie'!$C$5:$C$2004,C281,'Saisie'!$AF$5:$AF$2004,"&lt;&gt;")-4),""))</f>
        <v/>
      </c>
      <c r="AD281" s="108">
        <f>IF(C281="","",IFERROR(INDEX('Saisie'!$AG$5:$AG$2004,_xlfn.MAXIFS('Saisie'!$AS$5:$AS$2004,'Saisie'!$C$5:$C$2004,C281,'Saisie'!$AG$5:$AG$2004,"&lt;&gt;")-4),""))</f>
        <v/>
      </c>
      <c r="AE281" s="60">
        <f>IF(C281="","",IFERROR(INDEX('Saisie'!$AH$5:$AH$2004,_xlfn.MAXIFS('Saisie'!$AS$5:$AS$2004,'Saisie'!$C$5:$C$2004,C281,'Saisie'!$AH$5:$AH$2004,"&lt;&gt;")-4),""))</f>
        <v/>
      </c>
      <c r="AF281" s="60">
        <f>IF(C281="","",IFERROR(INDEX('Saisie'!$AI$5:$AI$2004,_xlfn.MAXIFS('Saisie'!$AS$5:$AS$2004,'Saisie'!$C$5:$C$2004,C281,'Saisie'!$AI$5:$AI$2004,"&lt;&gt;")-4),""))</f>
        <v/>
      </c>
      <c r="AG281" s="60">
        <f>IF(C281="","",IFERROR(INDEX('Saisie'!$AJ$5:$AJ$2004,_xlfn.MAXIFS('Saisie'!$AS$5:$AS$2004,'Saisie'!$C$5:$C$2004,C281,'Saisie'!$AJ$5:$AJ$2004,"&lt;&gt;")-4),""))</f>
        <v/>
      </c>
      <c r="AH281" s="60">
        <f>IF(C281="","",IFERROR(INDEX('Saisie'!$AK$5:$AK$2004,_xlfn.MAXIFS('Saisie'!$AS$5:$AS$2004,'Saisie'!$C$5:$C$2004,C281,'Saisie'!$AK$5:$AK$2004,"&lt;&gt;")-4),""))</f>
        <v/>
      </c>
      <c r="AI281" s="60">
        <f>IF(C281="","",IFERROR(INDEX('Saisie'!$AN$5:$AN$2004,_xlfn.MAXIFS('Saisie'!$AS$5:$AS$2004,'Saisie'!$C$5:$C$2004,C281,'Saisie'!$AN$5:$AN$2004,"&lt;&gt;")-4),""))</f>
        <v/>
      </c>
      <c r="AJ281" s="60">
        <f>IF(C281="","",IFERROR(INDEX('Saisie'!$AO$5:$AO$2004,_xlfn.MAXIFS('Saisie'!$AS$5:$AS$2004,'Saisie'!$C$5:$C$2004,C281,'Saisie'!$AO$5:$AO$2004,"&lt;&gt;")-4),""))</f>
        <v/>
      </c>
      <c r="AK281" s="60">
        <f>IF(C281="","",IFERROR(INDEX('Saisie'!$AP$5:$AP$2004,_xlfn.MAXIFS('Saisie'!$AS$5:$AS$2004,'Saisie'!$C$5:$C$2004,C281,'Saisie'!$AP$5:$AP$2004,"&lt;&gt;")-4),""))</f>
        <v/>
      </c>
      <c r="AL281" s="60">
        <f>IF(C281="","",IFERROR(INDEX('Saisie'!$AQ$5:$AQ$2004,_xlfn.MAXIFS('Saisie'!$AS$5:$AS$2004,'Saisie'!$C$5:$C$2004,C281,'Saisie'!$AQ$5:$AQ$2004,"&lt;&gt;")-4),""))</f>
        <v/>
      </c>
      <c r="AM281" s="60">
        <f>IF(C281="","",((AI281="Oui")+(AJ281="Oui")+(AK281="Oui")+OR(AL281="Immédiat",AL281="&lt; 1 mois"))&amp;"/4")</f>
        <v/>
      </c>
      <c r="AN281" s="60">
        <f>IF(C281="","",IFERROR(INDEX('Saisie'!$AL$5:$AL$2004,_xlfn.MAXIFS('Saisie'!$AS$5:$AS$2004,'Saisie'!$C$5:$C$2004,C281,'Saisie'!$AL$5:$AL$2004,"&lt;&gt;")-4),""))</f>
        <v/>
      </c>
      <c r="AO281" s="62">
        <f>IF(C281="","",IF(IFERROR(INDEX('Saisie'!$AM$5:$AM$2004,_xlfn.MAXIFS('Saisie'!$AS$5:$AS$2004,'Saisie'!$C$5:$C$2004,C281,'Saisie'!$AM$5:$AM$2004,"&lt;&gt;")-4),"")&lt;&gt;"",IFERROR(INDEX('Saisie'!$AM$5:$AM$2004,_xlfn.MAXIFS('Saisie'!$AS$5:$AS$2004,'Saisie'!$C$5:$C$2004,C281,'Saisie'!$AM$5:$AM$2004,"&lt;&gt;")-4),""),IFERROR(INDEX('Paramètres'!$S$6:$S$15,MATCH(AN281,'Paramètres'!$Q$6:$Q$15,0)),"")))</f>
        <v/>
      </c>
      <c r="AP281" s="62">
        <f>IF(C281="","",IFERROR(INDEX('Saisie'!$AW$5:$AW$2004,_xlfn.MAXIFS('Saisie'!$AS$5:$AS$2004,'Saisie'!$C$5:$C$2004,C281,'Saisie'!$E$5:$E$2004,"Proposition envoyée")-4),""))</f>
        <v/>
      </c>
      <c r="AQ281" s="106">
        <f>IF(C281="","",IFERROR(1/(1/_xlfn.MAXIFS('Saisie'!$A$5:$A$2004,'Saisie'!$C$5:$C$2004,C281,'Saisie'!$E$5:$E$2004,"Proposition envoyée")),""))</f>
        <v/>
      </c>
      <c r="AR281" s="106">
        <f>IF(C281="","",IF(AQ281="","",AQ281+'Paramètres'!$B$26))</f>
        <v/>
      </c>
      <c r="AS281" s="62">
        <f>IF(OR(C281="",D281="Gagné",D281="Perdu"),0,N(AP281)*IFERROR(INDEX('Paramètres'!$G$6:$G$13,MATCH(D281,'Paramètres'!$F$6:$F$13,0)),0))</f>
        <v/>
      </c>
      <c r="AT281" s="106">
        <f>IF(C281="","",IFERROR(1/(1/_xlfn.MINIFS('Saisie'!$A$5:$A$2004,'Saisie'!$C$5:$C$2004,C281,'Saisie'!$E$5:$E$2004,"Signature")),""))</f>
        <v/>
      </c>
      <c r="AU281" s="60">
        <f>IF(C281="","",IF(OR(AT281="",B281=""),"",AT281-B281))</f>
        <v/>
      </c>
      <c r="AV281" s="60">
        <f>IF(C281="","",IFERROR(INDEX('Saisie'!$L$5:$L$2004,_xlfn.MAXIFS('Saisie'!$AS$5:$AS$2004,'Saisie'!$C$5:$C$2004,C281,'Saisie'!$L$5:$L$2004,"&lt;&gt;")-4),""))</f>
        <v/>
      </c>
      <c r="AW281" s="106">
        <f>IF(C281="","",IF(D281&lt;&gt;"Perdu","",IFERROR(1/(1/_xlfn.MAXIFS('Saisie'!$A$5:$A$2004,'Saisie'!$C$5:$C$2004,C281,'Saisie'!$E$5:$E$2004,"Perdu")),"")))</f>
        <v/>
      </c>
      <c r="AX281" s="106">
        <f>IF(C281="","",IF(AW281="","",AW281+'Paramètres'!$B$28))</f>
        <v/>
      </c>
      <c r="AY281" s="60">
        <f>IF(C281="","",SUMIFS('Saisie'!$H$5:$H$2004,'Saisie'!$C$5:$C$2004,C281))</f>
        <v/>
      </c>
      <c r="AZ281" s="60">
        <f>IF(C281="","",IFERROR(INDEX('Paramètres'!$W$6:$W$20,MATCH(S281,'Paramètres'!$V$6:$V$20,0))&amp;"",""))</f>
        <v/>
      </c>
      <c r="BA281" s="60">
        <f>IF(C281="","",MAX(1,_xlfn.MAXIFS('Saisie'!$AT$5:$AT$2004,'Saisie'!$C$5:$C$2004,C281)))</f>
        <v/>
      </c>
      <c r="BB281" s="60">
        <f>IF(C281="","",IFERROR(INDEX('Saisie'!$X$5:$X$2004,_xlfn.MAXIFS('Saisie'!$AS$5:$AS$2004,'Saisie'!$C$5:$C$2004,C281,'Saisie'!$X$5:$X$2004,"&lt;&gt;")-4),""))</f>
        <v/>
      </c>
      <c r="BC281" s="60">
        <f>IF(C281="","",IFERROR(INDEX('Saisie'!$Y$5:$Y$2004,_xlfn.MAXIFS('Saisie'!$AS$5:$AS$2004,'Saisie'!$C$5:$C$2004,C281,'Saisie'!$Y$5:$Y$2004,"&lt;&gt;")-4),""))</f>
        <v/>
      </c>
      <c r="BD281" s="106">
        <f>IF(C281="","",IFERROR(1/(1/_xlfn.MINIFS('Saisie'!$A$5:$A$2004,'Saisie'!$C$5:$C$2004,C281,'Saisie'!$AT$5:$AT$2004,"&gt;=2")),""))</f>
        <v/>
      </c>
      <c r="BE281" s="106">
        <f>IF(C281="","",IFERROR(1/(1/_xlfn.MINIFS('Saisie'!$A$5:$A$2004,'Saisie'!$C$5:$C$2004,C281,'Saisie'!$AT$5:$AT$2004,"&gt;=3")),""))</f>
        <v/>
      </c>
      <c r="BF281" s="106">
        <f>IF(C281="","",IFERROR(1/(1/_xlfn.MINIFS('Saisie'!$A$5:$A$2004,'Saisie'!$C$5:$C$2004,C281,'Saisie'!$AT$5:$AT$2004,"&gt;=4")),""))</f>
        <v/>
      </c>
      <c r="BG281" s="106">
        <f>IF(C281="","",IFERROR(1/(1/_xlfn.MINIFS('Saisie'!$A$5:$A$2004,'Saisie'!$C$5:$C$2004,C281,'Saisie'!$AT$5:$AT$2004,"&gt;=5")),""))</f>
        <v/>
      </c>
      <c r="BH281" s="106">
        <f>IF(C281="","",IFERROR(1/(1/_xlfn.MINIFS('Saisie'!$A$5:$A$2004,'Saisie'!$C$5:$C$2004,C281,'Saisie'!$AT$5:$AT$2004,"&gt;=6")),""))</f>
        <v/>
      </c>
      <c r="BI281" s="106">
        <f>IF(C281="","",IFERROR(1/(1/_xlfn.MINIFS('Saisie'!$A$5:$A$2004,'Saisie'!$C$5:$C$2004,C281,'Saisie'!$AT$5:$AT$2004,"&gt;=7")),""))</f>
        <v/>
      </c>
      <c r="BJ281" s="60">
        <f>IF(OR(BD281="",B281=""),"",BD281-B281)</f>
        <v/>
      </c>
      <c r="BK281" s="60">
        <f>IF(OR(BE281="",BD281=""),"",BE281-BD281)</f>
        <v/>
      </c>
      <c r="BL281" s="60">
        <f>IF(OR(BF281="",BE281=""),"",BF281-BE281)</f>
        <v/>
      </c>
      <c r="BM281" s="60">
        <f>IF(OR(BG281="",BF281=""),"",BG281-BF281)</f>
        <v/>
      </c>
      <c r="BN281" s="60">
        <f>IF(OR(BH281="",BG281=""),"",BH281-BG281)</f>
        <v/>
      </c>
      <c r="BO281" s="60">
        <f>IF(OR(BI281="",BH281=""),"",BI281-BH281)</f>
        <v/>
      </c>
      <c r="BP281" s="60">
        <f>IF(C281="","",_xlfn.MAXIFS('Saisie'!$AS$5:$AS$2004,'Saisie'!$C$5:$C$2004,C281,'Saisie'!$J$5:$J$2004,"&lt;&gt;"))</f>
        <v/>
      </c>
      <c r="BQ281" s="60">
        <f>IF(C281="","",_xlfn.MAXIFS('Saisie'!$AS$5:$AS$2004,'Saisie'!$C$5:$C$2004,C281))</f>
        <v/>
      </c>
      <c r="BR281" s="60">
        <f>IF(C281="","",_xlfn.MAXIFS('Saisie'!$AS$5:$AS$2004,'Saisie'!$C$5:$C$2004,C281,'Saisie'!$E$5:$E$2004,"Perdu"))</f>
        <v/>
      </c>
      <c r="BS281" s="60">
        <f>IF(C281="","",_xlfn.MAXIFS('Saisie'!$AS$5:$AS$2004,'Saisie'!$C$5:$C$2004,C281,'Saisie'!$AT$5:$AT$2004,"&gt;0"))</f>
        <v/>
      </c>
      <c r="BT281" s="109">
        <f>IF(AND(C281&lt;&gt;"",OR(D281="Nouveau",D281="Contacté",D281="Qualifié"),OR(G281="",N(G281)&lt;=TODAY()),NOT(AND(O281&gt;='Paramètres'!$B$21,P281=0))),E281+277/10000,"")</f>
        <v/>
      </c>
      <c r="BU281" s="60">
        <f>IF(AND(G281&lt;&gt;"",N(G281)&lt;=TODAY()),MAX($BU$4:BU280)+1,"")</f>
        <v/>
      </c>
      <c r="BV281" s="60">
        <f>IF(AND(F281&lt;&gt;"",F281&lt;&gt;"Relance en retard"),MAX($BV$4:BV280)+1,"")</f>
        <v/>
      </c>
      <c r="BW281" s="60">
        <f>IF(C281="","",IF(AND(B281&gt;='Tableau de bord'!$R$4,B281&lt;='Tableau de bord'!$S$4,OR('Tableau de bord'!$G$4="Tous",N281='Tableau de bord'!$G$4)),1,0))</f>
        <v/>
      </c>
      <c r="BX281" s="60">
        <f>IF(AND(C281&lt;&gt;"",N(BA281)=7),MAX($BX$4:BX280)+1,"")</f>
        <v/>
      </c>
    </row>
    <row r="282">
      <c r="A282" s="60">
        <f>IF(C282="","","P-"&amp;TEXT(278,"000"))</f>
        <v/>
      </c>
      <c r="B282" s="106">
        <f>IF(C282="","",IFERROR(1/(1/_xlfn.MINIFS('Saisie'!$A$5:$A$2004,'Saisie'!$C$5:$C$2004,C282)),""))</f>
        <v/>
      </c>
      <c r="C282" s="60">
        <f>IFERROR(INDEX('Saisie'!$C$5:$C$2004,MATCH(278,'Saisie'!$AX$5:$AX$2004,0)),"")</f>
        <v/>
      </c>
      <c r="D282" s="60">
        <f>IF(C282="","",IF(AND(BR282&gt;0,BR282&gt;BS282,BA282&lt;7),"Perdu",INDEX('Paramètres'!$F$6:$F$13,BA282)))</f>
        <v/>
      </c>
      <c r="E282" s="61">
        <f>IF(C282="","",MIN(100,(Z282="Oui")*'Paramètres'!$B$38+(AB282="Régulière")*'Paramètres'!$B$39+IF(AND(N(AA282)&gt;0,TODAY()-N(AA282)&lt;=30),'Paramètres'!$B$40,0)+(W282="")*'Paramètres'!$B$41+(AC282="Absente")*'Paramètres'!$B$42+(AC282="Faible")*'Paramètres'!$B$43+IF(AND(N(AD282)&gt;0,N(AD282)&lt;4),'Paramètres'!$B$44,0)+(AF282="Moyenne")*'Paramètres'!$B$45+(AF282="Grande")*'Paramètres'!$B$46+(Y282&lt;&gt;"")*'Paramètres'!$B$47))</f>
        <v/>
      </c>
      <c r="F282" s="60">
        <f>IF(C282="","",IF(D282="Gagné","",IF(D282="Perdu",IF(AND(AX282&lt;&gt;"",AX282&lt;=TODAY()),"À recontacter (perdu)",""),IF(AND(O282&gt;='Paramètres'!$B$21,P282=0),"Stop : "&amp;'Paramètres'!$B$21&amp;" tentatives sans réponse",IF(AND(D282="Proposition",AR282&lt;&gt;"",TODAY()&gt;N(AR282)),"Proposition expirée",IF(AND(D282="Proposition",N(R282)&gt;='Paramètres'!$B$25),"Proposition sans réponse",IF(AND(G282&lt;&gt;"",N(G282)&lt;TODAY()),"Relance en retard",IF(N(R282)&gt;='Paramètres'!$B$24,"Sans action depuis "&amp;R282&amp;" j",""))))))))</f>
        <v/>
      </c>
      <c r="G282" s="106">
        <f>IF(OR(C282="",D282="Gagné",D282="Perdu"),"",IF(AND(BP282&gt;0,BP282=BQ282),INDEX('Saisie'!$J$5:$J$2004,BP282-4),IF(OR(O282=0,AND(O282&gt;='Paramètres'!$B$21,P282=0)),"",Q282+IF(O282&lt;=1,'Paramètres'!$B$18,IF(O282=2,'Paramètres'!$B$19,'Paramètres'!$B$20)))))</f>
        <v/>
      </c>
      <c r="H282" s="107">
        <f>IF(OR(G282="",BP282&lt;&gt;BQ282),"",IF(INDEX('Saisie'!$K$5:$K$2004,BP282-4)="","",INDEX('Saisie'!$K$5:$K$2004,BP282-4)))</f>
        <v/>
      </c>
      <c r="I282" s="60">
        <f>IF(C282="","",IF(OR(D282="Gagné",D282="Perdu"),"",IFERROR(INDEX('Saisie'!$I$5:$I$2004,_xlfn.MAXIFS('Saisie'!$AS$5:$AS$2004,'Saisie'!$C$5:$C$2004,C282,'Saisie'!$I$5:$I$2004,"&lt;&gt;")-4),"")))</f>
        <v/>
      </c>
      <c r="J282" s="60">
        <f>IF(C282="","",IFERROR(INDEX('Saisie'!$U$5:$U$2004,_xlfn.MAXIFS('Saisie'!$AS$5:$AS$2004,'Saisie'!$C$5:$C$2004,C282,'Saisie'!$U$5:$U$2004,"&lt;&gt;")-4),""))</f>
        <v/>
      </c>
      <c r="K282" s="60">
        <f>IF(C282="","",IFERROR(INDEX('Saisie'!$W$5:$W$2004,_xlfn.MAXIFS('Saisie'!$AS$5:$AS$2004,'Saisie'!$C$5:$C$2004,C282,'Saisie'!$W$5:$W$2004,"&lt;&gt;")-4),""))</f>
        <v/>
      </c>
      <c r="L282" s="60">
        <f>IF(IF(BB282&lt;&gt;"",BB282,K282)="","",HYPERLINK("https://wa.me/"&amp;IF(LEFT(SUBSTITUTE(SUBSTITUTE(SUBSTITUTE(IF(BB282&lt;&gt;"",BB282,K282)," ",""),".",""),"+",""),1)="0",'Paramètres'!$B$35&amp;MID(SUBSTITUTE(SUBSTITUTE(SUBSTITUTE(IF(BB282&lt;&gt;"",BB282,K282)," ",""),".",""),"+",""),2,20),SUBSTITUTE(SUBSTITUTE(SUBSTITUTE(IF(BB282&lt;&gt;"",BB282,K282)," ",""),".",""),"+","")),"WhatsApp"))</f>
        <v/>
      </c>
      <c r="M282" s="60">
        <f>IF(BC282="","",HYPERLINK(IF(LEFT(BC282,4)="http",BC282,"https://www.instagram.com/"&amp;SUBSTITUTE(SUBSTITUTE(BC282,"@","")," ","")),BC282))</f>
        <v/>
      </c>
      <c r="N282" s="60">
        <f>IF(C282="","",IFERROR(INDEX('Saisie'!$D$5:$D$2004,_xlfn.MINIFS('Saisie'!$AS$5:$AS$2004,'Saisie'!$C$5:$C$2004,C282,'Saisie'!$AU$5:$AU$2004,1)-4),IFERROR(INDEX('Saisie'!$D$5:$D$2004,_xlfn.MINIFS('Saisie'!$AS$5:$AS$2004,'Saisie'!$C$5:$C$2004,C282,'Saisie'!$D$5:$D$2004,"&lt;&gt;")-4),"")))</f>
        <v/>
      </c>
      <c r="O282" s="60">
        <f>IF(C282="","",COUNTIFS('Saisie'!$C$5:$C$2004,C282,'Saisie'!$AU$5:$AU$2004,1))</f>
        <v/>
      </c>
      <c r="P282" s="60">
        <f>IF(C282="","",COUNTIFS('Saisie'!$C$5:$C$2004,C282,'Saisie'!$AV$5:$AV$2004,1))</f>
        <v/>
      </c>
      <c r="Q282" s="106">
        <f>IF(C282="","",IFERROR(1/(1/_xlfn.MAXIFS('Saisie'!$A$5:$A$2004,'Saisie'!$C$5:$C$2004,C282)),""))</f>
        <v/>
      </c>
      <c r="R282" s="61">
        <f>IF(C282="","",IF(Q282="","",TODAY()-Q282))</f>
        <v/>
      </c>
      <c r="S282" s="60">
        <f>IF(C282="","",IFERROR(INDEX('Saisie'!$R$5:$R$2004,_xlfn.MAXIFS('Saisie'!$AS$5:$AS$2004,'Saisie'!$C$5:$C$2004,C282,'Saisie'!$R$5:$R$2004,"&lt;&gt;")-4),""))</f>
        <v/>
      </c>
      <c r="T282" s="60">
        <f>IF(C282="","",IFERROR(INDEX('Saisie'!$S$5:$S$2004,_xlfn.MAXIFS('Saisie'!$AS$5:$AS$2004,'Saisie'!$C$5:$C$2004,C282,'Saisie'!$S$5:$S$2004,"&lt;&gt;")-4),""))</f>
        <v/>
      </c>
      <c r="U282" s="60">
        <f>IF(C282="","",IFERROR(INDEX('Saisie'!$T$5:$T$2004,_xlfn.MAXIFS('Saisie'!$AS$5:$AS$2004,'Saisie'!$C$5:$C$2004,C282,'Saisie'!$T$5:$T$2004,"&lt;&gt;")-4),""))</f>
        <v/>
      </c>
      <c r="V282" s="60">
        <f>IF(C282="","",IFERROR(INDEX('Saisie'!$V$5:$V$2004,_xlfn.MAXIFS('Saisie'!$AS$5:$AS$2004,'Saisie'!$C$5:$C$2004,C282,'Saisie'!$V$5:$V$2004,"&lt;&gt;")-4),""))</f>
        <v/>
      </c>
      <c r="W282" s="60">
        <f>IF(C282="","",IFERROR(INDEX('Saisie'!$Z$5:$Z$2004,_xlfn.MAXIFS('Saisie'!$AS$5:$AS$2004,'Saisie'!$C$5:$C$2004,C282,'Saisie'!$Z$5:$Z$2004,"&lt;&gt;")-4),""))</f>
        <v/>
      </c>
      <c r="X282" s="60">
        <f>IF(C282="","",IFERROR(INDEX('Saisie'!$AA$5:$AA$2004,_xlfn.MAXIFS('Saisie'!$AS$5:$AS$2004,'Saisie'!$C$5:$C$2004,C282,'Saisie'!$AA$5:$AA$2004,"&lt;&gt;")-4),""))</f>
        <v/>
      </c>
      <c r="Y282" s="60">
        <f>IF(C282="","",IFERROR(INDEX('Saisie'!$AB$5:$AB$2004,_xlfn.MAXIFS('Saisie'!$AS$5:$AS$2004,'Saisie'!$C$5:$C$2004,C282,'Saisie'!$AB$5:$AB$2004,"&lt;&gt;")-4),""))</f>
        <v/>
      </c>
      <c r="Z282" s="60">
        <f>IF(C282="","",IFERROR(INDEX('Saisie'!$AC$5:$AC$2004,_xlfn.MAXIFS('Saisie'!$AS$5:$AS$2004,'Saisie'!$C$5:$C$2004,C282,'Saisie'!$AC$5:$AC$2004,"&lt;&gt;")-4),""))</f>
        <v/>
      </c>
      <c r="AA282" s="106">
        <f>IF(C282="","",IFERROR(INDEX('Saisie'!$AD$5:$AD$2004,_xlfn.MAXIFS('Saisie'!$AS$5:$AS$2004,'Saisie'!$C$5:$C$2004,C282,'Saisie'!$AD$5:$AD$2004,"&lt;&gt;")-4),""))</f>
        <v/>
      </c>
      <c r="AB282" s="60">
        <f>IF(C282="","",IFERROR(INDEX('Saisie'!$AE$5:$AE$2004,_xlfn.MAXIFS('Saisie'!$AS$5:$AS$2004,'Saisie'!$C$5:$C$2004,C282,'Saisie'!$AE$5:$AE$2004,"&lt;&gt;")-4),""))</f>
        <v/>
      </c>
      <c r="AC282" s="60">
        <f>IF(C282="","",IFERROR(INDEX('Saisie'!$AF$5:$AF$2004,_xlfn.MAXIFS('Saisie'!$AS$5:$AS$2004,'Saisie'!$C$5:$C$2004,C282,'Saisie'!$AF$5:$AF$2004,"&lt;&gt;")-4),""))</f>
        <v/>
      </c>
      <c r="AD282" s="108">
        <f>IF(C282="","",IFERROR(INDEX('Saisie'!$AG$5:$AG$2004,_xlfn.MAXIFS('Saisie'!$AS$5:$AS$2004,'Saisie'!$C$5:$C$2004,C282,'Saisie'!$AG$5:$AG$2004,"&lt;&gt;")-4),""))</f>
        <v/>
      </c>
      <c r="AE282" s="60">
        <f>IF(C282="","",IFERROR(INDEX('Saisie'!$AH$5:$AH$2004,_xlfn.MAXIFS('Saisie'!$AS$5:$AS$2004,'Saisie'!$C$5:$C$2004,C282,'Saisie'!$AH$5:$AH$2004,"&lt;&gt;")-4),""))</f>
        <v/>
      </c>
      <c r="AF282" s="60">
        <f>IF(C282="","",IFERROR(INDEX('Saisie'!$AI$5:$AI$2004,_xlfn.MAXIFS('Saisie'!$AS$5:$AS$2004,'Saisie'!$C$5:$C$2004,C282,'Saisie'!$AI$5:$AI$2004,"&lt;&gt;")-4),""))</f>
        <v/>
      </c>
      <c r="AG282" s="60">
        <f>IF(C282="","",IFERROR(INDEX('Saisie'!$AJ$5:$AJ$2004,_xlfn.MAXIFS('Saisie'!$AS$5:$AS$2004,'Saisie'!$C$5:$C$2004,C282,'Saisie'!$AJ$5:$AJ$2004,"&lt;&gt;")-4),""))</f>
        <v/>
      </c>
      <c r="AH282" s="60">
        <f>IF(C282="","",IFERROR(INDEX('Saisie'!$AK$5:$AK$2004,_xlfn.MAXIFS('Saisie'!$AS$5:$AS$2004,'Saisie'!$C$5:$C$2004,C282,'Saisie'!$AK$5:$AK$2004,"&lt;&gt;")-4),""))</f>
        <v/>
      </c>
      <c r="AI282" s="60">
        <f>IF(C282="","",IFERROR(INDEX('Saisie'!$AN$5:$AN$2004,_xlfn.MAXIFS('Saisie'!$AS$5:$AS$2004,'Saisie'!$C$5:$C$2004,C282,'Saisie'!$AN$5:$AN$2004,"&lt;&gt;")-4),""))</f>
        <v/>
      </c>
      <c r="AJ282" s="60">
        <f>IF(C282="","",IFERROR(INDEX('Saisie'!$AO$5:$AO$2004,_xlfn.MAXIFS('Saisie'!$AS$5:$AS$2004,'Saisie'!$C$5:$C$2004,C282,'Saisie'!$AO$5:$AO$2004,"&lt;&gt;")-4),""))</f>
        <v/>
      </c>
      <c r="AK282" s="60">
        <f>IF(C282="","",IFERROR(INDEX('Saisie'!$AP$5:$AP$2004,_xlfn.MAXIFS('Saisie'!$AS$5:$AS$2004,'Saisie'!$C$5:$C$2004,C282,'Saisie'!$AP$5:$AP$2004,"&lt;&gt;")-4),""))</f>
        <v/>
      </c>
      <c r="AL282" s="60">
        <f>IF(C282="","",IFERROR(INDEX('Saisie'!$AQ$5:$AQ$2004,_xlfn.MAXIFS('Saisie'!$AS$5:$AS$2004,'Saisie'!$C$5:$C$2004,C282,'Saisie'!$AQ$5:$AQ$2004,"&lt;&gt;")-4),""))</f>
        <v/>
      </c>
      <c r="AM282" s="60">
        <f>IF(C282="","",((AI282="Oui")+(AJ282="Oui")+(AK282="Oui")+OR(AL282="Immédiat",AL282="&lt; 1 mois"))&amp;"/4")</f>
        <v/>
      </c>
      <c r="AN282" s="60">
        <f>IF(C282="","",IFERROR(INDEX('Saisie'!$AL$5:$AL$2004,_xlfn.MAXIFS('Saisie'!$AS$5:$AS$2004,'Saisie'!$C$5:$C$2004,C282,'Saisie'!$AL$5:$AL$2004,"&lt;&gt;")-4),""))</f>
        <v/>
      </c>
      <c r="AO282" s="62">
        <f>IF(C282="","",IF(IFERROR(INDEX('Saisie'!$AM$5:$AM$2004,_xlfn.MAXIFS('Saisie'!$AS$5:$AS$2004,'Saisie'!$C$5:$C$2004,C282,'Saisie'!$AM$5:$AM$2004,"&lt;&gt;")-4),"")&lt;&gt;"",IFERROR(INDEX('Saisie'!$AM$5:$AM$2004,_xlfn.MAXIFS('Saisie'!$AS$5:$AS$2004,'Saisie'!$C$5:$C$2004,C282,'Saisie'!$AM$5:$AM$2004,"&lt;&gt;")-4),""),IFERROR(INDEX('Paramètres'!$S$6:$S$15,MATCH(AN282,'Paramètres'!$Q$6:$Q$15,0)),"")))</f>
        <v/>
      </c>
      <c r="AP282" s="62">
        <f>IF(C282="","",IFERROR(INDEX('Saisie'!$AW$5:$AW$2004,_xlfn.MAXIFS('Saisie'!$AS$5:$AS$2004,'Saisie'!$C$5:$C$2004,C282,'Saisie'!$E$5:$E$2004,"Proposition envoyée")-4),""))</f>
        <v/>
      </c>
      <c r="AQ282" s="106">
        <f>IF(C282="","",IFERROR(1/(1/_xlfn.MAXIFS('Saisie'!$A$5:$A$2004,'Saisie'!$C$5:$C$2004,C282,'Saisie'!$E$5:$E$2004,"Proposition envoyée")),""))</f>
        <v/>
      </c>
      <c r="AR282" s="106">
        <f>IF(C282="","",IF(AQ282="","",AQ282+'Paramètres'!$B$26))</f>
        <v/>
      </c>
      <c r="AS282" s="62">
        <f>IF(OR(C282="",D282="Gagné",D282="Perdu"),0,N(AP282)*IFERROR(INDEX('Paramètres'!$G$6:$G$13,MATCH(D282,'Paramètres'!$F$6:$F$13,0)),0))</f>
        <v/>
      </c>
      <c r="AT282" s="106">
        <f>IF(C282="","",IFERROR(1/(1/_xlfn.MINIFS('Saisie'!$A$5:$A$2004,'Saisie'!$C$5:$C$2004,C282,'Saisie'!$E$5:$E$2004,"Signature")),""))</f>
        <v/>
      </c>
      <c r="AU282" s="60">
        <f>IF(C282="","",IF(OR(AT282="",B282=""),"",AT282-B282))</f>
        <v/>
      </c>
      <c r="AV282" s="60">
        <f>IF(C282="","",IFERROR(INDEX('Saisie'!$L$5:$L$2004,_xlfn.MAXIFS('Saisie'!$AS$5:$AS$2004,'Saisie'!$C$5:$C$2004,C282,'Saisie'!$L$5:$L$2004,"&lt;&gt;")-4),""))</f>
        <v/>
      </c>
      <c r="AW282" s="106">
        <f>IF(C282="","",IF(D282&lt;&gt;"Perdu","",IFERROR(1/(1/_xlfn.MAXIFS('Saisie'!$A$5:$A$2004,'Saisie'!$C$5:$C$2004,C282,'Saisie'!$E$5:$E$2004,"Perdu")),"")))</f>
        <v/>
      </c>
      <c r="AX282" s="106">
        <f>IF(C282="","",IF(AW282="","",AW282+'Paramètres'!$B$28))</f>
        <v/>
      </c>
      <c r="AY282" s="60">
        <f>IF(C282="","",SUMIFS('Saisie'!$H$5:$H$2004,'Saisie'!$C$5:$C$2004,C282))</f>
        <v/>
      </c>
      <c r="AZ282" s="60">
        <f>IF(C282="","",IFERROR(INDEX('Paramètres'!$W$6:$W$20,MATCH(S282,'Paramètres'!$V$6:$V$20,0))&amp;"",""))</f>
        <v/>
      </c>
      <c r="BA282" s="60">
        <f>IF(C282="","",MAX(1,_xlfn.MAXIFS('Saisie'!$AT$5:$AT$2004,'Saisie'!$C$5:$C$2004,C282)))</f>
        <v/>
      </c>
      <c r="BB282" s="60">
        <f>IF(C282="","",IFERROR(INDEX('Saisie'!$X$5:$X$2004,_xlfn.MAXIFS('Saisie'!$AS$5:$AS$2004,'Saisie'!$C$5:$C$2004,C282,'Saisie'!$X$5:$X$2004,"&lt;&gt;")-4),""))</f>
        <v/>
      </c>
      <c r="BC282" s="60">
        <f>IF(C282="","",IFERROR(INDEX('Saisie'!$Y$5:$Y$2004,_xlfn.MAXIFS('Saisie'!$AS$5:$AS$2004,'Saisie'!$C$5:$C$2004,C282,'Saisie'!$Y$5:$Y$2004,"&lt;&gt;")-4),""))</f>
        <v/>
      </c>
      <c r="BD282" s="106">
        <f>IF(C282="","",IFERROR(1/(1/_xlfn.MINIFS('Saisie'!$A$5:$A$2004,'Saisie'!$C$5:$C$2004,C282,'Saisie'!$AT$5:$AT$2004,"&gt;=2")),""))</f>
        <v/>
      </c>
      <c r="BE282" s="106">
        <f>IF(C282="","",IFERROR(1/(1/_xlfn.MINIFS('Saisie'!$A$5:$A$2004,'Saisie'!$C$5:$C$2004,C282,'Saisie'!$AT$5:$AT$2004,"&gt;=3")),""))</f>
        <v/>
      </c>
      <c r="BF282" s="106">
        <f>IF(C282="","",IFERROR(1/(1/_xlfn.MINIFS('Saisie'!$A$5:$A$2004,'Saisie'!$C$5:$C$2004,C282,'Saisie'!$AT$5:$AT$2004,"&gt;=4")),""))</f>
        <v/>
      </c>
      <c r="BG282" s="106">
        <f>IF(C282="","",IFERROR(1/(1/_xlfn.MINIFS('Saisie'!$A$5:$A$2004,'Saisie'!$C$5:$C$2004,C282,'Saisie'!$AT$5:$AT$2004,"&gt;=5")),""))</f>
        <v/>
      </c>
      <c r="BH282" s="106">
        <f>IF(C282="","",IFERROR(1/(1/_xlfn.MINIFS('Saisie'!$A$5:$A$2004,'Saisie'!$C$5:$C$2004,C282,'Saisie'!$AT$5:$AT$2004,"&gt;=6")),""))</f>
        <v/>
      </c>
      <c r="BI282" s="106">
        <f>IF(C282="","",IFERROR(1/(1/_xlfn.MINIFS('Saisie'!$A$5:$A$2004,'Saisie'!$C$5:$C$2004,C282,'Saisie'!$AT$5:$AT$2004,"&gt;=7")),""))</f>
        <v/>
      </c>
      <c r="BJ282" s="60">
        <f>IF(OR(BD282="",B282=""),"",BD282-B282)</f>
        <v/>
      </c>
      <c r="BK282" s="60">
        <f>IF(OR(BE282="",BD282=""),"",BE282-BD282)</f>
        <v/>
      </c>
      <c r="BL282" s="60">
        <f>IF(OR(BF282="",BE282=""),"",BF282-BE282)</f>
        <v/>
      </c>
      <c r="BM282" s="60">
        <f>IF(OR(BG282="",BF282=""),"",BG282-BF282)</f>
        <v/>
      </c>
      <c r="BN282" s="60">
        <f>IF(OR(BH282="",BG282=""),"",BH282-BG282)</f>
        <v/>
      </c>
      <c r="BO282" s="60">
        <f>IF(OR(BI282="",BH282=""),"",BI282-BH282)</f>
        <v/>
      </c>
      <c r="BP282" s="60">
        <f>IF(C282="","",_xlfn.MAXIFS('Saisie'!$AS$5:$AS$2004,'Saisie'!$C$5:$C$2004,C282,'Saisie'!$J$5:$J$2004,"&lt;&gt;"))</f>
        <v/>
      </c>
      <c r="BQ282" s="60">
        <f>IF(C282="","",_xlfn.MAXIFS('Saisie'!$AS$5:$AS$2004,'Saisie'!$C$5:$C$2004,C282))</f>
        <v/>
      </c>
      <c r="BR282" s="60">
        <f>IF(C282="","",_xlfn.MAXIFS('Saisie'!$AS$5:$AS$2004,'Saisie'!$C$5:$C$2004,C282,'Saisie'!$E$5:$E$2004,"Perdu"))</f>
        <v/>
      </c>
      <c r="BS282" s="60">
        <f>IF(C282="","",_xlfn.MAXIFS('Saisie'!$AS$5:$AS$2004,'Saisie'!$C$5:$C$2004,C282,'Saisie'!$AT$5:$AT$2004,"&gt;0"))</f>
        <v/>
      </c>
      <c r="BT282" s="109">
        <f>IF(AND(C282&lt;&gt;"",OR(D282="Nouveau",D282="Contacté",D282="Qualifié"),OR(G282="",N(G282)&lt;=TODAY()),NOT(AND(O282&gt;='Paramètres'!$B$21,P282=0))),E282+278/10000,"")</f>
        <v/>
      </c>
      <c r="BU282" s="60">
        <f>IF(AND(G282&lt;&gt;"",N(G282)&lt;=TODAY()),MAX($BU$4:BU281)+1,"")</f>
        <v/>
      </c>
      <c r="BV282" s="60">
        <f>IF(AND(F282&lt;&gt;"",F282&lt;&gt;"Relance en retard"),MAX($BV$4:BV281)+1,"")</f>
        <v/>
      </c>
      <c r="BW282" s="60">
        <f>IF(C282="","",IF(AND(B282&gt;='Tableau de bord'!$R$4,B282&lt;='Tableau de bord'!$S$4,OR('Tableau de bord'!$G$4="Tous",N282='Tableau de bord'!$G$4)),1,0))</f>
        <v/>
      </c>
      <c r="BX282" s="60">
        <f>IF(AND(C282&lt;&gt;"",N(BA282)=7),MAX($BX$4:BX281)+1,"")</f>
        <v/>
      </c>
    </row>
    <row r="283">
      <c r="A283" s="60">
        <f>IF(C283="","","P-"&amp;TEXT(279,"000"))</f>
        <v/>
      </c>
      <c r="B283" s="106">
        <f>IF(C283="","",IFERROR(1/(1/_xlfn.MINIFS('Saisie'!$A$5:$A$2004,'Saisie'!$C$5:$C$2004,C283)),""))</f>
        <v/>
      </c>
      <c r="C283" s="60">
        <f>IFERROR(INDEX('Saisie'!$C$5:$C$2004,MATCH(279,'Saisie'!$AX$5:$AX$2004,0)),"")</f>
        <v/>
      </c>
      <c r="D283" s="60">
        <f>IF(C283="","",IF(AND(BR283&gt;0,BR283&gt;BS283,BA283&lt;7),"Perdu",INDEX('Paramètres'!$F$6:$F$13,BA283)))</f>
        <v/>
      </c>
      <c r="E283" s="61">
        <f>IF(C283="","",MIN(100,(Z283="Oui")*'Paramètres'!$B$38+(AB283="Régulière")*'Paramètres'!$B$39+IF(AND(N(AA283)&gt;0,TODAY()-N(AA283)&lt;=30),'Paramètres'!$B$40,0)+(W283="")*'Paramètres'!$B$41+(AC283="Absente")*'Paramètres'!$B$42+(AC283="Faible")*'Paramètres'!$B$43+IF(AND(N(AD283)&gt;0,N(AD283)&lt;4),'Paramètres'!$B$44,0)+(AF283="Moyenne")*'Paramètres'!$B$45+(AF283="Grande")*'Paramètres'!$B$46+(Y283&lt;&gt;"")*'Paramètres'!$B$47))</f>
        <v/>
      </c>
      <c r="F283" s="60">
        <f>IF(C283="","",IF(D283="Gagné","",IF(D283="Perdu",IF(AND(AX283&lt;&gt;"",AX283&lt;=TODAY()),"À recontacter (perdu)",""),IF(AND(O283&gt;='Paramètres'!$B$21,P283=0),"Stop : "&amp;'Paramètres'!$B$21&amp;" tentatives sans réponse",IF(AND(D283="Proposition",AR283&lt;&gt;"",TODAY()&gt;N(AR283)),"Proposition expirée",IF(AND(D283="Proposition",N(R283)&gt;='Paramètres'!$B$25),"Proposition sans réponse",IF(AND(G283&lt;&gt;"",N(G283)&lt;TODAY()),"Relance en retard",IF(N(R283)&gt;='Paramètres'!$B$24,"Sans action depuis "&amp;R283&amp;" j",""))))))))</f>
        <v/>
      </c>
      <c r="G283" s="106">
        <f>IF(OR(C283="",D283="Gagné",D283="Perdu"),"",IF(AND(BP283&gt;0,BP283=BQ283),INDEX('Saisie'!$J$5:$J$2004,BP283-4),IF(OR(O283=0,AND(O283&gt;='Paramètres'!$B$21,P283=0)),"",Q283+IF(O283&lt;=1,'Paramètres'!$B$18,IF(O283=2,'Paramètres'!$B$19,'Paramètres'!$B$20)))))</f>
        <v/>
      </c>
      <c r="H283" s="107">
        <f>IF(OR(G283="",BP283&lt;&gt;BQ283),"",IF(INDEX('Saisie'!$K$5:$K$2004,BP283-4)="","",INDEX('Saisie'!$K$5:$K$2004,BP283-4)))</f>
        <v/>
      </c>
      <c r="I283" s="60">
        <f>IF(C283="","",IF(OR(D283="Gagné",D283="Perdu"),"",IFERROR(INDEX('Saisie'!$I$5:$I$2004,_xlfn.MAXIFS('Saisie'!$AS$5:$AS$2004,'Saisie'!$C$5:$C$2004,C283,'Saisie'!$I$5:$I$2004,"&lt;&gt;")-4),"")))</f>
        <v/>
      </c>
      <c r="J283" s="60">
        <f>IF(C283="","",IFERROR(INDEX('Saisie'!$U$5:$U$2004,_xlfn.MAXIFS('Saisie'!$AS$5:$AS$2004,'Saisie'!$C$5:$C$2004,C283,'Saisie'!$U$5:$U$2004,"&lt;&gt;")-4),""))</f>
        <v/>
      </c>
      <c r="K283" s="60">
        <f>IF(C283="","",IFERROR(INDEX('Saisie'!$W$5:$W$2004,_xlfn.MAXIFS('Saisie'!$AS$5:$AS$2004,'Saisie'!$C$5:$C$2004,C283,'Saisie'!$W$5:$W$2004,"&lt;&gt;")-4),""))</f>
        <v/>
      </c>
      <c r="L283" s="60">
        <f>IF(IF(BB283&lt;&gt;"",BB283,K283)="","",HYPERLINK("https://wa.me/"&amp;IF(LEFT(SUBSTITUTE(SUBSTITUTE(SUBSTITUTE(IF(BB283&lt;&gt;"",BB283,K283)," ",""),".",""),"+",""),1)="0",'Paramètres'!$B$35&amp;MID(SUBSTITUTE(SUBSTITUTE(SUBSTITUTE(IF(BB283&lt;&gt;"",BB283,K283)," ",""),".",""),"+",""),2,20),SUBSTITUTE(SUBSTITUTE(SUBSTITUTE(IF(BB283&lt;&gt;"",BB283,K283)," ",""),".",""),"+","")),"WhatsApp"))</f>
        <v/>
      </c>
      <c r="M283" s="60">
        <f>IF(BC283="","",HYPERLINK(IF(LEFT(BC283,4)="http",BC283,"https://www.instagram.com/"&amp;SUBSTITUTE(SUBSTITUTE(BC283,"@","")," ","")),BC283))</f>
        <v/>
      </c>
      <c r="N283" s="60">
        <f>IF(C283="","",IFERROR(INDEX('Saisie'!$D$5:$D$2004,_xlfn.MINIFS('Saisie'!$AS$5:$AS$2004,'Saisie'!$C$5:$C$2004,C283,'Saisie'!$AU$5:$AU$2004,1)-4),IFERROR(INDEX('Saisie'!$D$5:$D$2004,_xlfn.MINIFS('Saisie'!$AS$5:$AS$2004,'Saisie'!$C$5:$C$2004,C283,'Saisie'!$D$5:$D$2004,"&lt;&gt;")-4),"")))</f>
        <v/>
      </c>
      <c r="O283" s="60">
        <f>IF(C283="","",COUNTIFS('Saisie'!$C$5:$C$2004,C283,'Saisie'!$AU$5:$AU$2004,1))</f>
        <v/>
      </c>
      <c r="P283" s="60">
        <f>IF(C283="","",COUNTIFS('Saisie'!$C$5:$C$2004,C283,'Saisie'!$AV$5:$AV$2004,1))</f>
        <v/>
      </c>
      <c r="Q283" s="106">
        <f>IF(C283="","",IFERROR(1/(1/_xlfn.MAXIFS('Saisie'!$A$5:$A$2004,'Saisie'!$C$5:$C$2004,C283)),""))</f>
        <v/>
      </c>
      <c r="R283" s="61">
        <f>IF(C283="","",IF(Q283="","",TODAY()-Q283))</f>
        <v/>
      </c>
      <c r="S283" s="60">
        <f>IF(C283="","",IFERROR(INDEX('Saisie'!$R$5:$R$2004,_xlfn.MAXIFS('Saisie'!$AS$5:$AS$2004,'Saisie'!$C$5:$C$2004,C283,'Saisie'!$R$5:$R$2004,"&lt;&gt;")-4),""))</f>
        <v/>
      </c>
      <c r="T283" s="60">
        <f>IF(C283="","",IFERROR(INDEX('Saisie'!$S$5:$S$2004,_xlfn.MAXIFS('Saisie'!$AS$5:$AS$2004,'Saisie'!$C$5:$C$2004,C283,'Saisie'!$S$5:$S$2004,"&lt;&gt;")-4),""))</f>
        <v/>
      </c>
      <c r="U283" s="60">
        <f>IF(C283="","",IFERROR(INDEX('Saisie'!$T$5:$T$2004,_xlfn.MAXIFS('Saisie'!$AS$5:$AS$2004,'Saisie'!$C$5:$C$2004,C283,'Saisie'!$T$5:$T$2004,"&lt;&gt;")-4),""))</f>
        <v/>
      </c>
      <c r="V283" s="60">
        <f>IF(C283="","",IFERROR(INDEX('Saisie'!$V$5:$V$2004,_xlfn.MAXIFS('Saisie'!$AS$5:$AS$2004,'Saisie'!$C$5:$C$2004,C283,'Saisie'!$V$5:$V$2004,"&lt;&gt;")-4),""))</f>
        <v/>
      </c>
      <c r="W283" s="60">
        <f>IF(C283="","",IFERROR(INDEX('Saisie'!$Z$5:$Z$2004,_xlfn.MAXIFS('Saisie'!$AS$5:$AS$2004,'Saisie'!$C$5:$C$2004,C283,'Saisie'!$Z$5:$Z$2004,"&lt;&gt;")-4),""))</f>
        <v/>
      </c>
      <c r="X283" s="60">
        <f>IF(C283="","",IFERROR(INDEX('Saisie'!$AA$5:$AA$2004,_xlfn.MAXIFS('Saisie'!$AS$5:$AS$2004,'Saisie'!$C$5:$C$2004,C283,'Saisie'!$AA$5:$AA$2004,"&lt;&gt;")-4),""))</f>
        <v/>
      </c>
      <c r="Y283" s="60">
        <f>IF(C283="","",IFERROR(INDEX('Saisie'!$AB$5:$AB$2004,_xlfn.MAXIFS('Saisie'!$AS$5:$AS$2004,'Saisie'!$C$5:$C$2004,C283,'Saisie'!$AB$5:$AB$2004,"&lt;&gt;")-4),""))</f>
        <v/>
      </c>
      <c r="Z283" s="60">
        <f>IF(C283="","",IFERROR(INDEX('Saisie'!$AC$5:$AC$2004,_xlfn.MAXIFS('Saisie'!$AS$5:$AS$2004,'Saisie'!$C$5:$C$2004,C283,'Saisie'!$AC$5:$AC$2004,"&lt;&gt;")-4),""))</f>
        <v/>
      </c>
      <c r="AA283" s="106">
        <f>IF(C283="","",IFERROR(INDEX('Saisie'!$AD$5:$AD$2004,_xlfn.MAXIFS('Saisie'!$AS$5:$AS$2004,'Saisie'!$C$5:$C$2004,C283,'Saisie'!$AD$5:$AD$2004,"&lt;&gt;")-4),""))</f>
        <v/>
      </c>
      <c r="AB283" s="60">
        <f>IF(C283="","",IFERROR(INDEX('Saisie'!$AE$5:$AE$2004,_xlfn.MAXIFS('Saisie'!$AS$5:$AS$2004,'Saisie'!$C$5:$C$2004,C283,'Saisie'!$AE$5:$AE$2004,"&lt;&gt;")-4),""))</f>
        <v/>
      </c>
      <c r="AC283" s="60">
        <f>IF(C283="","",IFERROR(INDEX('Saisie'!$AF$5:$AF$2004,_xlfn.MAXIFS('Saisie'!$AS$5:$AS$2004,'Saisie'!$C$5:$C$2004,C283,'Saisie'!$AF$5:$AF$2004,"&lt;&gt;")-4),""))</f>
        <v/>
      </c>
      <c r="AD283" s="108">
        <f>IF(C283="","",IFERROR(INDEX('Saisie'!$AG$5:$AG$2004,_xlfn.MAXIFS('Saisie'!$AS$5:$AS$2004,'Saisie'!$C$5:$C$2004,C283,'Saisie'!$AG$5:$AG$2004,"&lt;&gt;")-4),""))</f>
        <v/>
      </c>
      <c r="AE283" s="60">
        <f>IF(C283="","",IFERROR(INDEX('Saisie'!$AH$5:$AH$2004,_xlfn.MAXIFS('Saisie'!$AS$5:$AS$2004,'Saisie'!$C$5:$C$2004,C283,'Saisie'!$AH$5:$AH$2004,"&lt;&gt;")-4),""))</f>
        <v/>
      </c>
      <c r="AF283" s="60">
        <f>IF(C283="","",IFERROR(INDEX('Saisie'!$AI$5:$AI$2004,_xlfn.MAXIFS('Saisie'!$AS$5:$AS$2004,'Saisie'!$C$5:$C$2004,C283,'Saisie'!$AI$5:$AI$2004,"&lt;&gt;")-4),""))</f>
        <v/>
      </c>
      <c r="AG283" s="60">
        <f>IF(C283="","",IFERROR(INDEX('Saisie'!$AJ$5:$AJ$2004,_xlfn.MAXIFS('Saisie'!$AS$5:$AS$2004,'Saisie'!$C$5:$C$2004,C283,'Saisie'!$AJ$5:$AJ$2004,"&lt;&gt;")-4),""))</f>
        <v/>
      </c>
      <c r="AH283" s="60">
        <f>IF(C283="","",IFERROR(INDEX('Saisie'!$AK$5:$AK$2004,_xlfn.MAXIFS('Saisie'!$AS$5:$AS$2004,'Saisie'!$C$5:$C$2004,C283,'Saisie'!$AK$5:$AK$2004,"&lt;&gt;")-4),""))</f>
        <v/>
      </c>
      <c r="AI283" s="60">
        <f>IF(C283="","",IFERROR(INDEX('Saisie'!$AN$5:$AN$2004,_xlfn.MAXIFS('Saisie'!$AS$5:$AS$2004,'Saisie'!$C$5:$C$2004,C283,'Saisie'!$AN$5:$AN$2004,"&lt;&gt;")-4),""))</f>
        <v/>
      </c>
      <c r="AJ283" s="60">
        <f>IF(C283="","",IFERROR(INDEX('Saisie'!$AO$5:$AO$2004,_xlfn.MAXIFS('Saisie'!$AS$5:$AS$2004,'Saisie'!$C$5:$C$2004,C283,'Saisie'!$AO$5:$AO$2004,"&lt;&gt;")-4),""))</f>
        <v/>
      </c>
      <c r="AK283" s="60">
        <f>IF(C283="","",IFERROR(INDEX('Saisie'!$AP$5:$AP$2004,_xlfn.MAXIFS('Saisie'!$AS$5:$AS$2004,'Saisie'!$C$5:$C$2004,C283,'Saisie'!$AP$5:$AP$2004,"&lt;&gt;")-4),""))</f>
        <v/>
      </c>
      <c r="AL283" s="60">
        <f>IF(C283="","",IFERROR(INDEX('Saisie'!$AQ$5:$AQ$2004,_xlfn.MAXIFS('Saisie'!$AS$5:$AS$2004,'Saisie'!$C$5:$C$2004,C283,'Saisie'!$AQ$5:$AQ$2004,"&lt;&gt;")-4),""))</f>
        <v/>
      </c>
      <c r="AM283" s="60">
        <f>IF(C283="","",((AI283="Oui")+(AJ283="Oui")+(AK283="Oui")+OR(AL283="Immédiat",AL283="&lt; 1 mois"))&amp;"/4")</f>
        <v/>
      </c>
      <c r="AN283" s="60">
        <f>IF(C283="","",IFERROR(INDEX('Saisie'!$AL$5:$AL$2004,_xlfn.MAXIFS('Saisie'!$AS$5:$AS$2004,'Saisie'!$C$5:$C$2004,C283,'Saisie'!$AL$5:$AL$2004,"&lt;&gt;")-4),""))</f>
        <v/>
      </c>
      <c r="AO283" s="62">
        <f>IF(C283="","",IF(IFERROR(INDEX('Saisie'!$AM$5:$AM$2004,_xlfn.MAXIFS('Saisie'!$AS$5:$AS$2004,'Saisie'!$C$5:$C$2004,C283,'Saisie'!$AM$5:$AM$2004,"&lt;&gt;")-4),"")&lt;&gt;"",IFERROR(INDEX('Saisie'!$AM$5:$AM$2004,_xlfn.MAXIFS('Saisie'!$AS$5:$AS$2004,'Saisie'!$C$5:$C$2004,C283,'Saisie'!$AM$5:$AM$2004,"&lt;&gt;")-4),""),IFERROR(INDEX('Paramètres'!$S$6:$S$15,MATCH(AN283,'Paramètres'!$Q$6:$Q$15,0)),"")))</f>
        <v/>
      </c>
      <c r="AP283" s="62">
        <f>IF(C283="","",IFERROR(INDEX('Saisie'!$AW$5:$AW$2004,_xlfn.MAXIFS('Saisie'!$AS$5:$AS$2004,'Saisie'!$C$5:$C$2004,C283,'Saisie'!$E$5:$E$2004,"Proposition envoyée")-4),""))</f>
        <v/>
      </c>
      <c r="AQ283" s="106">
        <f>IF(C283="","",IFERROR(1/(1/_xlfn.MAXIFS('Saisie'!$A$5:$A$2004,'Saisie'!$C$5:$C$2004,C283,'Saisie'!$E$5:$E$2004,"Proposition envoyée")),""))</f>
        <v/>
      </c>
      <c r="AR283" s="106">
        <f>IF(C283="","",IF(AQ283="","",AQ283+'Paramètres'!$B$26))</f>
        <v/>
      </c>
      <c r="AS283" s="62">
        <f>IF(OR(C283="",D283="Gagné",D283="Perdu"),0,N(AP283)*IFERROR(INDEX('Paramètres'!$G$6:$G$13,MATCH(D283,'Paramètres'!$F$6:$F$13,0)),0))</f>
        <v/>
      </c>
      <c r="AT283" s="106">
        <f>IF(C283="","",IFERROR(1/(1/_xlfn.MINIFS('Saisie'!$A$5:$A$2004,'Saisie'!$C$5:$C$2004,C283,'Saisie'!$E$5:$E$2004,"Signature")),""))</f>
        <v/>
      </c>
      <c r="AU283" s="60">
        <f>IF(C283="","",IF(OR(AT283="",B283=""),"",AT283-B283))</f>
        <v/>
      </c>
      <c r="AV283" s="60">
        <f>IF(C283="","",IFERROR(INDEX('Saisie'!$L$5:$L$2004,_xlfn.MAXIFS('Saisie'!$AS$5:$AS$2004,'Saisie'!$C$5:$C$2004,C283,'Saisie'!$L$5:$L$2004,"&lt;&gt;")-4),""))</f>
        <v/>
      </c>
      <c r="AW283" s="106">
        <f>IF(C283="","",IF(D283&lt;&gt;"Perdu","",IFERROR(1/(1/_xlfn.MAXIFS('Saisie'!$A$5:$A$2004,'Saisie'!$C$5:$C$2004,C283,'Saisie'!$E$5:$E$2004,"Perdu")),"")))</f>
        <v/>
      </c>
      <c r="AX283" s="106">
        <f>IF(C283="","",IF(AW283="","",AW283+'Paramètres'!$B$28))</f>
        <v/>
      </c>
      <c r="AY283" s="60">
        <f>IF(C283="","",SUMIFS('Saisie'!$H$5:$H$2004,'Saisie'!$C$5:$C$2004,C283))</f>
        <v/>
      </c>
      <c r="AZ283" s="60">
        <f>IF(C283="","",IFERROR(INDEX('Paramètres'!$W$6:$W$20,MATCH(S283,'Paramètres'!$V$6:$V$20,0))&amp;"",""))</f>
        <v/>
      </c>
      <c r="BA283" s="60">
        <f>IF(C283="","",MAX(1,_xlfn.MAXIFS('Saisie'!$AT$5:$AT$2004,'Saisie'!$C$5:$C$2004,C283)))</f>
        <v/>
      </c>
      <c r="BB283" s="60">
        <f>IF(C283="","",IFERROR(INDEX('Saisie'!$X$5:$X$2004,_xlfn.MAXIFS('Saisie'!$AS$5:$AS$2004,'Saisie'!$C$5:$C$2004,C283,'Saisie'!$X$5:$X$2004,"&lt;&gt;")-4),""))</f>
        <v/>
      </c>
      <c r="BC283" s="60">
        <f>IF(C283="","",IFERROR(INDEX('Saisie'!$Y$5:$Y$2004,_xlfn.MAXIFS('Saisie'!$AS$5:$AS$2004,'Saisie'!$C$5:$C$2004,C283,'Saisie'!$Y$5:$Y$2004,"&lt;&gt;")-4),""))</f>
        <v/>
      </c>
      <c r="BD283" s="106">
        <f>IF(C283="","",IFERROR(1/(1/_xlfn.MINIFS('Saisie'!$A$5:$A$2004,'Saisie'!$C$5:$C$2004,C283,'Saisie'!$AT$5:$AT$2004,"&gt;=2")),""))</f>
        <v/>
      </c>
      <c r="BE283" s="106">
        <f>IF(C283="","",IFERROR(1/(1/_xlfn.MINIFS('Saisie'!$A$5:$A$2004,'Saisie'!$C$5:$C$2004,C283,'Saisie'!$AT$5:$AT$2004,"&gt;=3")),""))</f>
        <v/>
      </c>
      <c r="BF283" s="106">
        <f>IF(C283="","",IFERROR(1/(1/_xlfn.MINIFS('Saisie'!$A$5:$A$2004,'Saisie'!$C$5:$C$2004,C283,'Saisie'!$AT$5:$AT$2004,"&gt;=4")),""))</f>
        <v/>
      </c>
      <c r="BG283" s="106">
        <f>IF(C283="","",IFERROR(1/(1/_xlfn.MINIFS('Saisie'!$A$5:$A$2004,'Saisie'!$C$5:$C$2004,C283,'Saisie'!$AT$5:$AT$2004,"&gt;=5")),""))</f>
        <v/>
      </c>
      <c r="BH283" s="106">
        <f>IF(C283="","",IFERROR(1/(1/_xlfn.MINIFS('Saisie'!$A$5:$A$2004,'Saisie'!$C$5:$C$2004,C283,'Saisie'!$AT$5:$AT$2004,"&gt;=6")),""))</f>
        <v/>
      </c>
      <c r="BI283" s="106">
        <f>IF(C283="","",IFERROR(1/(1/_xlfn.MINIFS('Saisie'!$A$5:$A$2004,'Saisie'!$C$5:$C$2004,C283,'Saisie'!$AT$5:$AT$2004,"&gt;=7")),""))</f>
        <v/>
      </c>
      <c r="BJ283" s="60">
        <f>IF(OR(BD283="",B283=""),"",BD283-B283)</f>
        <v/>
      </c>
      <c r="BK283" s="60">
        <f>IF(OR(BE283="",BD283=""),"",BE283-BD283)</f>
        <v/>
      </c>
      <c r="BL283" s="60">
        <f>IF(OR(BF283="",BE283=""),"",BF283-BE283)</f>
        <v/>
      </c>
      <c r="BM283" s="60">
        <f>IF(OR(BG283="",BF283=""),"",BG283-BF283)</f>
        <v/>
      </c>
      <c r="BN283" s="60">
        <f>IF(OR(BH283="",BG283=""),"",BH283-BG283)</f>
        <v/>
      </c>
      <c r="BO283" s="60">
        <f>IF(OR(BI283="",BH283=""),"",BI283-BH283)</f>
        <v/>
      </c>
      <c r="BP283" s="60">
        <f>IF(C283="","",_xlfn.MAXIFS('Saisie'!$AS$5:$AS$2004,'Saisie'!$C$5:$C$2004,C283,'Saisie'!$J$5:$J$2004,"&lt;&gt;"))</f>
        <v/>
      </c>
      <c r="BQ283" s="60">
        <f>IF(C283="","",_xlfn.MAXIFS('Saisie'!$AS$5:$AS$2004,'Saisie'!$C$5:$C$2004,C283))</f>
        <v/>
      </c>
      <c r="BR283" s="60">
        <f>IF(C283="","",_xlfn.MAXIFS('Saisie'!$AS$5:$AS$2004,'Saisie'!$C$5:$C$2004,C283,'Saisie'!$E$5:$E$2004,"Perdu"))</f>
        <v/>
      </c>
      <c r="BS283" s="60">
        <f>IF(C283="","",_xlfn.MAXIFS('Saisie'!$AS$5:$AS$2004,'Saisie'!$C$5:$C$2004,C283,'Saisie'!$AT$5:$AT$2004,"&gt;0"))</f>
        <v/>
      </c>
      <c r="BT283" s="109">
        <f>IF(AND(C283&lt;&gt;"",OR(D283="Nouveau",D283="Contacté",D283="Qualifié"),OR(G283="",N(G283)&lt;=TODAY()),NOT(AND(O283&gt;='Paramètres'!$B$21,P283=0))),E283+279/10000,"")</f>
        <v/>
      </c>
      <c r="BU283" s="60">
        <f>IF(AND(G283&lt;&gt;"",N(G283)&lt;=TODAY()),MAX($BU$4:BU282)+1,"")</f>
        <v/>
      </c>
      <c r="BV283" s="60">
        <f>IF(AND(F283&lt;&gt;"",F283&lt;&gt;"Relance en retard"),MAX($BV$4:BV282)+1,"")</f>
        <v/>
      </c>
      <c r="BW283" s="60">
        <f>IF(C283="","",IF(AND(B283&gt;='Tableau de bord'!$R$4,B283&lt;='Tableau de bord'!$S$4,OR('Tableau de bord'!$G$4="Tous",N283='Tableau de bord'!$G$4)),1,0))</f>
        <v/>
      </c>
      <c r="BX283" s="60">
        <f>IF(AND(C283&lt;&gt;"",N(BA283)=7),MAX($BX$4:BX282)+1,"")</f>
        <v/>
      </c>
    </row>
    <row r="284">
      <c r="A284" s="60">
        <f>IF(C284="","","P-"&amp;TEXT(280,"000"))</f>
        <v/>
      </c>
      <c r="B284" s="106">
        <f>IF(C284="","",IFERROR(1/(1/_xlfn.MINIFS('Saisie'!$A$5:$A$2004,'Saisie'!$C$5:$C$2004,C284)),""))</f>
        <v/>
      </c>
      <c r="C284" s="60">
        <f>IFERROR(INDEX('Saisie'!$C$5:$C$2004,MATCH(280,'Saisie'!$AX$5:$AX$2004,0)),"")</f>
        <v/>
      </c>
      <c r="D284" s="60">
        <f>IF(C284="","",IF(AND(BR284&gt;0,BR284&gt;BS284,BA284&lt;7),"Perdu",INDEX('Paramètres'!$F$6:$F$13,BA284)))</f>
        <v/>
      </c>
      <c r="E284" s="61">
        <f>IF(C284="","",MIN(100,(Z284="Oui")*'Paramètres'!$B$38+(AB284="Régulière")*'Paramètres'!$B$39+IF(AND(N(AA284)&gt;0,TODAY()-N(AA284)&lt;=30),'Paramètres'!$B$40,0)+(W284="")*'Paramètres'!$B$41+(AC284="Absente")*'Paramètres'!$B$42+(AC284="Faible")*'Paramètres'!$B$43+IF(AND(N(AD284)&gt;0,N(AD284)&lt;4),'Paramètres'!$B$44,0)+(AF284="Moyenne")*'Paramètres'!$B$45+(AF284="Grande")*'Paramètres'!$B$46+(Y284&lt;&gt;"")*'Paramètres'!$B$47))</f>
        <v/>
      </c>
      <c r="F284" s="60">
        <f>IF(C284="","",IF(D284="Gagné","",IF(D284="Perdu",IF(AND(AX284&lt;&gt;"",AX284&lt;=TODAY()),"À recontacter (perdu)",""),IF(AND(O284&gt;='Paramètres'!$B$21,P284=0),"Stop : "&amp;'Paramètres'!$B$21&amp;" tentatives sans réponse",IF(AND(D284="Proposition",AR284&lt;&gt;"",TODAY()&gt;N(AR284)),"Proposition expirée",IF(AND(D284="Proposition",N(R284)&gt;='Paramètres'!$B$25),"Proposition sans réponse",IF(AND(G284&lt;&gt;"",N(G284)&lt;TODAY()),"Relance en retard",IF(N(R284)&gt;='Paramètres'!$B$24,"Sans action depuis "&amp;R284&amp;" j",""))))))))</f>
        <v/>
      </c>
      <c r="G284" s="106">
        <f>IF(OR(C284="",D284="Gagné",D284="Perdu"),"",IF(AND(BP284&gt;0,BP284=BQ284),INDEX('Saisie'!$J$5:$J$2004,BP284-4),IF(OR(O284=0,AND(O284&gt;='Paramètres'!$B$21,P284=0)),"",Q284+IF(O284&lt;=1,'Paramètres'!$B$18,IF(O284=2,'Paramètres'!$B$19,'Paramètres'!$B$20)))))</f>
        <v/>
      </c>
      <c r="H284" s="107">
        <f>IF(OR(G284="",BP284&lt;&gt;BQ284),"",IF(INDEX('Saisie'!$K$5:$K$2004,BP284-4)="","",INDEX('Saisie'!$K$5:$K$2004,BP284-4)))</f>
        <v/>
      </c>
      <c r="I284" s="60">
        <f>IF(C284="","",IF(OR(D284="Gagné",D284="Perdu"),"",IFERROR(INDEX('Saisie'!$I$5:$I$2004,_xlfn.MAXIFS('Saisie'!$AS$5:$AS$2004,'Saisie'!$C$5:$C$2004,C284,'Saisie'!$I$5:$I$2004,"&lt;&gt;")-4),"")))</f>
        <v/>
      </c>
      <c r="J284" s="60">
        <f>IF(C284="","",IFERROR(INDEX('Saisie'!$U$5:$U$2004,_xlfn.MAXIFS('Saisie'!$AS$5:$AS$2004,'Saisie'!$C$5:$C$2004,C284,'Saisie'!$U$5:$U$2004,"&lt;&gt;")-4),""))</f>
        <v/>
      </c>
      <c r="K284" s="60">
        <f>IF(C284="","",IFERROR(INDEX('Saisie'!$W$5:$W$2004,_xlfn.MAXIFS('Saisie'!$AS$5:$AS$2004,'Saisie'!$C$5:$C$2004,C284,'Saisie'!$W$5:$W$2004,"&lt;&gt;")-4),""))</f>
        <v/>
      </c>
      <c r="L284" s="60">
        <f>IF(IF(BB284&lt;&gt;"",BB284,K284)="","",HYPERLINK("https://wa.me/"&amp;IF(LEFT(SUBSTITUTE(SUBSTITUTE(SUBSTITUTE(IF(BB284&lt;&gt;"",BB284,K284)," ",""),".",""),"+",""),1)="0",'Paramètres'!$B$35&amp;MID(SUBSTITUTE(SUBSTITUTE(SUBSTITUTE(IF(BB284&lt;&gt;"",BB284,K284)," ",""),".",""),"+",""),2,20),SUBSTITUTE(SUBSTITUTE(SUBSTITUTE(IF(BB284&lt;&gt;"",BB284,K284)," ",""),".",""),"+","")),"WhatsApp"))</f>
        <v/>
      </c>
      <c r="M284" s="60">
        <f>IF(BC284="","",HYPERLINK(IF(LEFT(BC284,4)="http",BC284,"https://www.instagram.com/"&amp;SUBSTITUTE(SUBSTITUTE(BC284,"@","")," ","")),BC284))</f>
        <v/>
      </c>
      <c r="N284" s="60">
        <f>IF(C284="","",IFERROR(INDEX('Saisie'!$D$5:$D$2004,_xlfn.MINIFS('Saisie'!$AS$5:$AS$2004,'Saisie'!$C$5:$C$2004,C284,'Saisie'!$AU$5:$AU$2004,1)-4),IFERROR(INDEX('Saisie'!$D$5:$D$2004,_xlfn.MINIFS('Saisie'!$AS$5:$AS$2004,'Saisie'!$C$5:$C$2004,C284,'Saisie'!$D$5:$D$2004,"&lt;&gt;")-4),"")))</f>
        <v/>
      </c>
      <c r="O284" s="60">
        <f>IF(C284="","",COUNTIFS('Saisie'!$C$5:$C$2004,C284,'Saisie'!$AU$5:$AU$2004,1))</f>
        <v/>
      </c>
      <c r="P284" s="60">
        <f>IF(C284="","",COUNTIFS('Saisie'!$C$5:$C$2004,C284,'Saisie'!$AV$5:$AV$2004,1))</f>
        <v/>
      </c>
      <c r="Q284" s="106">
        <f>IF(C284="","",IFERROR(1/(1/_xlfn.MAXIFS('Saisie'!$A$5:$A$2004,'Saisie'!$C$5:$C$2004,C284)),""))</f>
        <v/>
      </c>
      <c r="R284" s="61">
        <f>IF(C284="","",IF(Q284="","",TODAY()-Q284))</f>
        <v/>
      </c>
      <c r="S284" s="60">
        <f>IF(C284="","",IFERROR(INDEX('Saisie'!$R$5:$R$2004,_xlfn.MAXIFS('Saisie'!$AS$5:$AS$2004,'Saisie'!$C$5:$C$2004,C284,'Saisie'!$R$5:$R$2004,"&lt;&gt;")-4),""))</f>
        <v/>
      </c>
      <c r="T284" s="60">
        <f>IF(C284="","",IFERROR(INDEX('Saisie'!$S$5:$S$2004,_xlfn.MAXIFS('Saisie'!$AS$5:$AS$2004,'Saisie'!$C$5:$C$2004,C284,'Saisie'!$S$5:$S$2004,"&lt;&gt;")-4),""))</f>
        <v/>
      </c>
      <c r="U284" s="60">
        <f>IF(C284="","",IFERROR(INDEX('Saisie'!$T$5:$T$2004,_xlfn.MAXIFS('Saisie'!$AS$5:$AS$2004,'Saisie'!$C$5:$C$2004,C284,'Saisie'!$T$5:$T$2004,"&lt;&gt;")-4),""))</f>
        <v/>
      </c>
      <c r="V284" s="60">
        <f>IF(C284="","",IFERROR(INDEX('Saisie'!$V$5:$V$2004,_xlfn.MAXIFS('Saisie'!$AS$5:$AS$2004,'Saisie'!$C$5:$C$2004,C284,'Saisie'!$V$5:$V$2004,"&lt;&gt;")-4),""))</f>
        <v/>
      </c>
      <c r="W284" s="60">
        <f>IF(C284="","",IFERROR(INDEX('Saisie'!$Z$5:$Z$2004,_xlfn.MAXIFS('Saisie'!$AS$5:$AS$2004,'Saisie'!$C$5:$C$2004,C284,'Saisie'!$Z$5:$Z$2004,"&lt;&gt;")-4),""))</f>
        <v/>
      </c>
      <c r="X284" s="60">
        <f>IF(C284="","",IFERROR(INDEX('Saisie'!$AA$5:$AA$2004,_xlfn.MAXIFS('Saisie'!$AS$5:$AS$2004,'Saisie'!$C$5:$C$2004,C284,'Saisie'!$AA$5:$AA$2004,"&lt;&gt;")-4),""))</f>
        <v/>
      </c>
      <c r="Y284" s="60">
        <f>IF(C284="","",IFERROR(INDEX('Saisie'!$AB$5:$AB$2004,_xlfn.MAXIFS('Saisie'!$AS$5:$AS$2004,'Saisie'!$C$5:$C$2004,C284,'Saisie'!$AB$5:$AB$2004,"&lt;&gt;")-4),""))</f>
        <v/>
      </c>
      <c r="Z284" s="60">
        <f>IF(C284="","",IFERROR(INDEX('Saisie'!$AC$5:$AC$2004,_xlfn.MAXIFS('Saisie'!$AS$5:$AS$2004,'Saisie'!$C$5:$C$2004,C284,'Saisie'!$AC$5:$AC$2004,"&lt;&gt;")-4),""))</f>
        <v/>
      </c>
      <c r="AA284" s="106">
        <f>IF(C284="","",IFERROR(INDEX('Saisie'!$AD$5:$AD$2004,_xlfn.MAXIFS('Saisie'!$AS$5:$AS$2004,'Saisie'!$C$5:$C$2004,C284,'Saisie'!$AD$5:$AD$2004,"&lt;&gt;")-4),""))</f>
        <v/>
      </c>
      <c r="AB284" s="60">
        <f>IF(C284="","",IFERROR(INDEX('Saisie'!$AE$5:$AE$2004,_xlfn.MAXIFS('Saisie'!$AS$5:$AS$2004,'Saisie'!$C$5:$C$2004,C284,'Saisie'!$AE$5:$AE$2004,"&lt;&gt;")-4),""))</f>
        <v/>
      </c>
      <c r="AC284" s="60">
        <f>IF(C284="","",IFERROR(INDEX('Saisie'!$AF$5:$AF$2004,_xlfn.MAXIFS('Saisie'!$AS$5:$AS$2004,'Saisie'!$C$5:$C$2004,C284,'Saisie'!$AF$5:$AF$2004,"&lt;&gt;")-4),""))</f>
        <v/>
      </c>
      <c r="AD284" s="108">
        <f>IF(C284="","",IFERROR(INDEX('Saisie'!$AG$5:$AG$2004,_xlfn.MAXIFS('Saisie'!$AS$5:$AS$2004,'Saisie'!$C$5:$C$2004,C284,'Saisie'!$AG$5:$AG$2004,"&lt;&gt;")-4),""))</f>
        <v/>
      </c>
      <c r="AE284" s="60">
        <f>IF(C284="","",IFERROR(INDEX('Saisie'!$AH$5:$AH$2004,_xlfn.MAXIFS('Saisie'!$AS$5:$AS$2004,'Saisie'!$C$5:$C$2004,C284,'Saisie'!$AH$5:$AH$2004,"&lt;&gt;")-4),""))</f>
        <v/>
      </c>
      <c r="AF284" s="60">
        <f>IF(C284="","",IFERROR(INDEX('Saisie'!$AI$5:$AI$2004,_xlfn.MAXIFS('Saisie'!$AS$5:$AS$2004,'Saisie'!$C$5:$C$2004,C284,'Saisie'!$AI$5:$AI$2004,"&lt;&gt;")-4),""))</f>
        <v/>
      </c>
      <c r="AG284" s="60">
        <f>IF(C284="","",IFERROR(INDEX('Saisie'!$AJ$5:$AJ$2004,_xlfn.MAXIFS('Saisie'!$AS$5:$AS$2004,'Saisie'!$C$5:$C$2004,C284,'Saisie'!$AJ$5:$AJ$2004,"&lt;&gt;")-4),""))</f>
        <v/>
      </c>
      <c r="AH284" s="60">
        <f>IF(C284="","",IFERROR(INDEX('Saisie'!$AK$5:$AK$2004,_xlfn.MAXIFS('Saisie'!$AS$5:$AS$2004,'Saisie'!$C$5:$C$2004,C284,'Saisie'!$AK$5:$AK$2004,"&lt;&gt;")-4),""))</f>
        <v/>
      </c>
      <c r="AI284" s="60">
        <f>IF(C284="","",IFERROR(INDEX('Saisie'!$AN$5:$AN$2004,_xlfn.MAXIFS('Saisie'!$AS$5:$AS$2004,'Saisie'!$C$5:$C$2004,C284,'Saisie'!$AN$5:$AN$2004,"&lt;&gt;")-4),""))</f>
        <v/>
      </c>
      <c r="AJ284" s="60">
        <f>IF(C284="","",IFERROR(INDEX('Saisie'!$AO$5:$AO$2004,_xlfn.MAXIFS('Saisie'!$AS$5:$AS$2004,'Saisie'!$C$5:$C$2004,C284,'Saisie'!$AO$5:$AO$2004,"&lt;&gt;")-4),""))</f>
        <v/>
      </c>
      <c r="AK284" s="60">
        <f>IF(C284="","",IFERROR(INDEX('Saisie'!$AP$5:$AP$2004,_xlfn.MAXIFS('Saisie'!$AS$5:$AS$2004,'Saisie'!$C$5:$C$2004,C284,'Saisie'!$AP$5:$AP$2004,"&lt;&gt;")-4),""))</f>
        <v/>
      </c>
      <c r="AL284" s="60">
        <f>IF(C284="","",IFERROR(INDEX('Saisie'!$AQ$5:$AQ$2004,_xlfn.MAXIFS('Saisie'!$AS$5:$AS$2004,'Saisie'!$C$5:$C$2004,C284,'Saisie'!$AQ$5:$AQ$2004,"&lt;&gt;")-4),""))</f>
        <v/>
      </c>
      <c r="AM284" s="60">
        <f>IF(C284="","",((AI284="Oui")+(AJ284="Oui")+(AK284="Oui")+OR(AL284="Immédiat",AL284="&lt; 1 mois"))&amp;"/4")</f>
        <v/>
      </c>
      <c r="AN284" s="60">
        <f>IF(C284="","",IFERROR(INDEX('Saisie'!$AL$5:$AL$2004,_xlfn.MAXIFS('Saisie'!$AS$5:$AS$2004,'Saisie'!$C$5:$C$2004,C284,'Saisie'!$AL$5:$AL$2004,"&lt;&gt;")-4),""))</f>
        <v/>
      </c>
      <c r="AO284" s="62">
        <f>IF(C284="","",IF(IFERROR(INDEX('Saisie'!$AM$5:$AM$2004,_xlfn.MAXIFS('Saisie'!$AS$5:$AS$2004,'Saisie'!$C$5:$C$2004,C284,'Saisie'!$AM$5:$AM$2004,"&lt;&gt;")-4),"")&lt;&gt;"",IFERROR(INDEX('Saisie'!$AM$5:$AM$2004,_xlfn.MAXIFS('Saisie'!$AS$5:$AS$2004,'Saisie'!$C$5:$C$2004,C284,'Saisie'!$AM$5:$AM$2004,"&lt;&gt;")-4),""),IFERROR(INDEX('Paramètres'!$S$6:$S$15,MATCH(AN284,'Paramètres'!$Q$6:$Q$15,0)),"")))</f>
        <v/>
      </c>
      <c r="AP284" s="62">
        <f>IF(C284="","",IFERROR(INDEX('Saisie'!$AW$5:$AW$2004,_xlfn.MAXIFS('Saisie'!$AS$5:$AS$2004,'Saisie'!$C$5:$C$2004,C284,'Saisie'!$E$5:$E$2004,"Proposition envoyée")-4),""))</f>
        <v/>
      </c>
      <c r="AQ284" s="106">
        <f>IF(C284="","",IFERROR(1/(1/_xlfn.MAXIFS('Saisie'!$A$5:$A$2004,'Saisie'!$C$5:$C$2004,C284,'Saisie'!$E$5:$E$2004,"Proposition envoyée")),""))</f>
        <v/>
      </c>
      <c r="AR284" s="106">
        <f>IF(C284="","",IF(AQ284="","",AQ284+'Paramètres'!$B$26))</f>
        <v/>
      </c>
      <c r="AS284" s="62">
        <f>IF(OR(C284="",D284="Gagné",D284="Perdu"),0,N(AP284)*IFERROR(INDEX('Paramètres'!$G$6:$G$13,MATCH(D284,'Paramètres'!$F$6:$F$13,0)),0))</f>
        <v/>
      </c>
      <c r="AT284" s="106">
        <f>IF(C284="","",IFERROR(1/(1/_xlfn.MINIFS('Saisie'!$A$5:$A$2004,'Saisie'!$C$5:$C$2004,C284,'Saisie'!$E$5:$E$2004,"Signature")),""))</f>
        <v/>
      </c>
      <c r="AU284" s="60">
        <f>IF(C284="","",IF(OR(AT284="",B284=""),"",AT284-B284))</f>
        <v/>
      </c>
      <c r="AV284" s="60">
        <f>IF(C284="","",IFERROR(INDEX('Saisie'!$L$5:$L$2004,_xlfn.MAXIFS('Saisie'!$AS$5:$AS$2004,'Saisie'!$C$5:$C$2004,C284,'Saisie'!$L$5:$L$2004,"&lt;&gt;")-4),""))</f>
        <v/>
      </c>
      <c r="AW284" s="106">
        <f>IF(C284="","",IF(D284&lt;&gt;"Perdu","",IFERROR(1/(1/_xlfn.MAXIFS('Saisie'!$A$5:$A$2004,'Saisie'!$C$5:$C$2004,C284,'Saisie'!$E$5:$E$2004,"Perdu")),"")))</f>
        <v/>
      </c>
      <c r="AX284" s="106">
        <f>IF(C284="","",IF(AW284="","",AW284+'Paramètres'!$B$28))</f>
        <v/>
      </c>
      <c r="AY284" s="60">
        <f>IF(C284="","",SUMIFS('Saisie'!$H$5:$H$2004,'Saisie'!$C$5:$C$2004,C284))</f>
        <v/>
      </c>
      <c r="AZ284" s="60">
        <f>IF(C284="","",IFERROR(INDEX('Paramètres'!$W$6:$W$20,MATCH(S284,'Paramètres'!$V$6:$V$20,0))&amp;"",""))</f>
        <v/>
      </c>
      <c r="BA284" s="60">
        <f>IF(C284="","",MAX(1,_xlfn.MAXIFS('Saisie'!$AT$5:$AT$2004,'Saisie'!$C$5:$C$2004,C284)))</f>
        <v/>
      </c>
      <c r="BB284" s="60">
        <f>IF(C284="","",IFERROR(INDEX('Saisie'!$X$5:$X$2004,_xlfn.MAXIFS('Saisie'!$AS$5:$AS$2004,'Saisie'!$C$5:$C$2004,C284,'Saisie'!$X$5:$X$2004,"&lt;&gt;")-4),""))</f>
        <v/>
      </c>
      <c r="BC284" s="60">
        <f>IF(C284="","",IFERROR(INDEX('Saisie'!$Y$5:$Y$2004,_xlfn.MAXIFS('Saisie'!$AS$5:$AS$2004,'Saisie'!$C$5:$C$2004,C284,'Saisie'!$Y$5:$Y$2004,"&lt;&gt;")-4),""))</f>
        <v/>
      </c>
      <c r="BD284" s="106">
        <f>IF(C284="","",IFERROR(1/(1/_xlfn.MINIFS('Saisie'!$A$5:$A$2004,'Saisie'!$C$5:$C$2004,C284,'Saisie'!$AT$5:$AT$2004,"&gt;=2")),""))</f>
        <v/>
      </c>
      <c r="BE284" s="106">
        <f>IF(C284="","",IFERROR(1/(1/_xlfn.MINIFS('Saisie'!$A$5:$A$2004,'Saisie'!$C$5:$C$2004,C284,'Saisie'!$AT$5:$AT$2004,"&gt;=3")),""))</f>
        <v/>
      </c>
      <c r="BF284" s="106">
        <f>IF(C284="","",IFERROR(1/(1/_xlfn.MINIFS('Saisie'!$A$5:$A$2004,'Saisie'!$C$5:$C$2004,C284,'Saisie'!$AT$5:$AT$2004,"&gt;=4")),""))</f>
        <v/>
      </c>
      <c r="BG284" s="106">
        <f>IF(C284="","",IFERROR(1/(1/_xlfn.MINIFS('Saisie'!$A$5:$A$2004,'Saisie'!$C$5:$C$2004,C284,'Saisie'!$AT$5:$AT$2004,"&gt;=5")),""))</f>
        <v/>
      </c>
      <c r="BH284" s="106">
        <f>IF(C284="","",IFERROR(1/(1/_xlfn.MINIFS('Saisie'!$A$5:$A$2004,'Saisie'!$C$5:$C$2004,C284,'Saisie'!$AT$5:$AT$2004,"&gt;=6")),""))</f>
        <v/>
      </c>
      <c r="BI284" s="106">
        <f>IF(C284="","",IFERROR(1/(1/_xlfn.MINIFS('Saisie'!$A$5:$A$2004,'Saisie'!$C$5:$C$2004,C284,'Saisie'!$AT$5:$AT$2004,"&gt;=7")),""))</f>
        <v/>
      </c>
      <c r="BJ284" s="60">
        <f>IF(OR(BD284="",B284=""),"",BD284-B284)</f>
        <v/>
      </c>
      <c r="BK284" s="60">
        <f>IF(OR(BE284="",BD284=""),"",BE284-BD284)</f>
        <v/>
      </c>
      <c r="BL284" s="60">
        <f>IF(OR(BF284="",BE284=""),"",BF284-BE284)</f>
        <v/>
      </c>
      <c r="BM284" s="60">
        <f>IF(OR(BG284="",BF284=""),"",BG284-BF284)</f>
        <v/>
      </c>
      <c r="BN284" s="60">
        <f>IF(OR(BH284="",BG284=""),"",BH284-BG284)</f>
        <v/>
      </c>
      <c r="BO284" s="60">
        <f>IF(OR(BI284="",BH284=""),"",BI284-BH284)</f>
        <v/>
      </c>
      <c r="BP284" s="60">
        <f>IF(C284="","",_xlfn.MAXIFS('Saisie'!$AS$5:$AS$2004,'Saisie'!$C$5:$C$2004,C284,'Saisie'!$J$5:$J$2004,"&lt;&gt;"))</f>
        <v/>
      </c>
      <c r="BQ284" s="60">
        <f>IF(C284="","",_xlfn.MAXIFS('Saisie'!$AS$5:$AS$2004,'Saisie'!$C$5:$C$2004,C284))</f>
        <v/>
      </c>
      <c r="BR284" s="60">
        <f>IF(C284="","",_xlfn.MAXIFS('Saisie'!$AS$5:$AS$2004,'Saisie'!$C$5:$C$2004,C284,'Saisie'!$E$5:$E$2004,"Perdu"))</f>
        <v/>
      </c>
      <c r="BS284" s="60">
        <f>IF(C284="","",_xlfn.MAXIFS('Saisie'!$AS$5:$AS$2004,'Saisie'!$C$5:$C$2004,C284,'Saisie'!$AT$5:$AT$2004,"&gt;0"))</f>
        <v/>
      </c>
      <c r="BT284" s="109">
        <f>IF(AND(C284&lt;&gt;"",OR(D284="Nouveau",D284="Contacté",D284="Qualifié"),OR(G284="",N(G284)&lt;=TODAY()),NOT(AND(O284&gt;='Paramètres'!$B$21,P284=0))),E284+280/10000,"")</f>
        <v/>
      </c>
      <c r="BU284" s="60">
        <f>IF(AND(G284&lt;&gt;"",N(G284)&lt;=TODAY()),MAX($BU$4:BU283)+1,"")</f>
        <v/>
      </c>
      <c r="BV284" s="60">
        <f>IF(AND(F284&lt;&gt;"",F284&lt;&gt;"Relance en retard"),MAX($BV$4:BV283)+1,"")</f>
        <v/>
      </c>
      <c r="BW284" s="60">
        <f>IF(C284="","",IF(AND(B284&gt;='Tableau de bord'!$R$4,B284&lt;='Tableau de bord'!$S$4,OR('Tableau de bord'!$G$4="Tous",N284='Tableau de bord'!$G$4)),1,0))</f>
        <v/>
      </c>
      <c r="BX284" s="60">
        <f>IF(AND(C284&lt;&gt;"",N(BA284)=7),MAX($BX$4:BX283)+1,"")</f>
        <v/>
      </c>
    </row>
    <row r="285">
      <c r="A285" s="60">
        <f>IF(C285="","","P-"&amp;TEXT(281,"000"))</f>
        <v/>
      </c>
      <c r="B285" s="106">
        <f>IF(C285="","",IFERROR(1/(1/_xlfn.MINIFS('Saisie'!$A$5:$A$2004,'Saisie'!$C$5:$C$2004,C285)),""))</f>
        <v/>
      </c>
      <c r="C285" s="60">
        <f>IFERROR(INDEX('Saisie'!$C$5:$C$2004,MATCH(281,'Saisie'!$AX$5:$AX$2004,0)),"")</f>
        <v/>
      </c>
      <c r="D285" s="60">
        <f>IF(C285="","",IF(AND(BR285&gt;0,BR285&gt;BS285,BA285&lt;7),"Perdu",INDEX('Paramètres'!$F$6:$F$13,BA285)))</f>
        <v/>
      </c>
      <c r="E285" s="61">
        <f>IF(C285="","",MIN(100,(Z285="Oui")*'Paramètres'!$B$38+(AB285="Régulière")*'Paramètres'!$B$39+IF(AND(N(AA285)&gt;0,TODAY()-N(AA285)&lt;=30),'Paramètres'!$B$40,0)+(W285="")*'Paramètres'!$B$41+(AC285="Absente")*'Paramètres'!$B$42+(AC285="Faible")*'Paramètres'!$B$43+IF(AND(N(AD285)&gt;0,N(AD285)&lt;4),'Paramètres'!$B$44,0)+(AF285="Moyenne")*'Paramètres'!$B$45+(AF285="Grande")*'Paramètres'!$B$46+(Y285&lt;&gt;"")*'Paramètres'!$B$47))</f>
        <v/>
      </c>
      <c r="F285" s="60">
        <f>IF(C285="","",IF(D285="Gagné","",IF(D285="Perdu",IF(AND(AX285&lt;&gt;"",AX285&lt;=TODAY()),"À recontacter (perdu)",""),IF(AND(O285&gt;='Paramètres'!$B$21,P285=0),"Stop : "&amp;'Paramètres'!$B$21&amp;" tentatives sans réponse",IF(AND(D285="Proposition",AR285&lt;&gt;"",TODAY()&gt;N(AR285)),"Proposition expirée",IF(AND(D285="Proposition",N(R285)&gt;='Paramètres'!$B$25),"Proposition sans réponse",IF(AND(G285&lt;&gt;"",N(G285)&lt;TODAY()),"Relance en retard",IF(N(R285)&gt;='Paramètres'!$B$24,"Sans action depuis "&amp;R285&amp;" j",""))))))))</f>
        <v/>
      </c>
      <c r="G285" s="106">
        <f>IF(OR(C285="",D285="Gagné",D285="Perdu"),"",IF(AND(BP285&gt;0,BP285=BQ285),INDEX('Saisie'!$J$5:$J$2004,BP285-4),IF(OR(O285=0,AND(O285&gt;='Paramètres'!$B$21,P285=0)),"",Q285+IF(O285&lt;=1,'Paramètres'!$B$18,IF(O285=2,'Paramètres'!$B$19,'Paramètres'!$B$20)))))</f>
        <v/>
      </c>
      <c r="H285" s="107">
        <f>IF(OR(G285="",BP285&lt;&gt;BQ285),"",IF(INDEX('Saisie'!$K$5:$K$2004,BP285-4)="","",INDEX('Saisie'!$K$5:$K$2004,BP285-4)))</f>
        <v/>
      </c>
      <c r="I285" s="60">
        <f>IF(C285="","",IF(OR(D285="Gagné",D285="Perdu"),"",IFERROR(INDEX('Saisie'!$I$5:$I$2004,_xlfn.MAXIFS('Saisie'!$AS$5:$AS$2004,'Saisie'!$C$5:$C$2004,C285,'Saisie'!$I$5:$I$2004,"&lt;&gt;")-4),"")))</f>
        <v/>
      </c>
      <c r="J285" s="60">
        <f>IF(C285="","",IFERROR(INDEX('Saisie'!$U$5:$U$2004,_xlfn.MAXIFS('Saisie'!$AS$5:$AS$2004,'Saisie'!$C$5:$C$2004,C285,'Saisie'!$U$5:$U$2004,"&lt;&gt;")-4),""))</f>
        <v/>
      </c>
      <c r="K285" s="60">
        <f>IF(C285="","",IFERROR(INDEX('Saisie'!$W$5:$W$2004,_xlfn.MAXIFS('Saisie'!$AS$5:$AS$2004,'Saisie'!$C$5:$C$2004,C285,'Saisie'!$W$5:$W$2004,"&lt;&gt;")-4),""))</f>
        <v/>
      </c>
      <c r="L285" s="60">
        <f>IF(IF(BB285&lt;&gt;"",BB285,K285)="","",HYPERLINK("https://wa.me/"&amp;IF(LEFT(SUBSTITUTE(SUBSTITUTE(SUBSTITUTE(IF(BB285&lt;&gt;"",BB285,K285)," ",""),".",""),"+",""),1)="0",'Paramètres'!$B$35&amp;MID(SUBSTITUTE(SUBSTITUTE(SUBSTITUTE(IF(BB285&lt;&gt;"",BB285,K285)," ",""),".",""),"+",""),2,20),SUBSTITUTE(SUBSTITUTE(SUBSTITUTE(IF(BB285&lt;&gt;"",BB285,K285)," ",""),".",""),"+","")),"WhatsApp"))</f>
        <v/>
      </c>
      <c r="M285" s="60">
        <f>IF(BC285="","",HYPERLINK(IF(LEFT(BC285,4)="http",BC285,"https://www.instagram.com/"&amp;SUBSTITUTE(SUBSTITUTE(BC285,"@","")," ","")),BC285))</f>
        <v/>
      </c>
      <c r="N285" s="60">
        <f>IF(C285="","",IFERROR(INDEX('Saisie'!$D$5:$D$2004,_xlfn.MINIFS('Saisie'!$AS$5:$AS$2004,'Saisie'!$C$5:$C$2004,C285,'Saisie'!$AU$5:$AU$2004,1)-4),IFERROR(INDEX('Saisie'!$D$5:$D$2004,_xlfn.MINIFS('Saisie'!$AS$5:$AS$2004,'Saisie'!$C$5:$C$2004,C285,'Saisie'!$D$5:$D$2004,"&lt;&gt;")-4),"")))</f>
        <v/>
      </c>
      <c r="O285" s="60">
        <f>IF(C285="","",COUNTIFS('Saisie'!$C$5:$C$2004,C285,'Saisie'!$AU$5:$AU$2004,1))</f>
        <v/>
      </c>
      <c r="P285" s="60">
        <f>IF(C285="","",COUNTIFS('Saisie'!$C$5:$C$2004,C285,'Saisie'!$AV$5:$AV$2004,1))</f>
        <v/>
      </c>
      <c r="Q285" s="106">
        <f>IF(C285="","",IFERROR(1/(1/_xlfn.MAXIFS('Saisie'!$A$5:$A$2004,'Saisie'!$C$5:$C$2004,C285)),""))</f>
        <v/>
      </c>
      <c r="R285" s="61">
        <f>IF(C285="","",IF(Q285="","",TODAY()-Q285))</f>
        <v/>
      </c>
      <c r="S285" s="60">
        <f>IF(C285="","",IFERROR(INDEX('Saisie'!$R$5:$R$2004,_xlfn.MAXIFS('Saisie'!$AS$5:$AS$2004,'Saisie'!$C$5:$C$2004,C285,'Saisie'!$R$5:$R$2004,"&lt;&gt;")-4),""))</f>
        <v/>
      </c>
      <c r="T285" s="60">
        <f>IF(C285="","",IFERROR(INDEX('Saisie'!$S$5:$S$2004,_xlfn.MAXIFS('Saisie'!$AS$5:$AS$2004,'Saisie'!$C$5:$C$2004,C285,'Saisie'!$S$5:$S$2004,"&lt;&gt;")-4),""))</f>
        <v/>
      </c>
      <c r="U285" s="60">
        <f>IF(C285="","",IFERROR(INDEX('Saisie'!$T$5:$T$2004,_xlfn.MAXIFS('Saisie'!$AS$5:$AS$2004,'Saisie'!$C$5:$C$2004,C285,'Saisie'!$T$5:$T$2004,"&lt;&gt;")-4),""))</f>
        <v/>
      </c>
      <c r="V285" s="60">
        <f>IF(C285="","",IFERROR(INDEX('Saisie'!$V$5:$V$2004,_xlfn.MAXIFS('Saisie'!$AS$5:$AS$2004,'Saisie'!$C$5:$C$2004,C285,'Saisie'!$V$5:$V$2004,"&lt;&gt;")-4),""))</f>
        <v/>
      </c>
      <c r="W285" s="60">
        <f>IF(C285="","",IFERROR(INDEX('Saisie'!$Z$5:$Z$2004,_xlfn.MAXIFS('Saisie'!$AS$5:$AS$2004,'Saisie'!$C$5:$C$2004,C285,'Saisie'!$Z$5:$Z$2004,"&lt;&gt;")-4),""))</f>
        <v/>
      </c>
      <c r="X285" s="60">
        <f>IF(C285="","",IFERROR(INDEX('Saisie'!$AA$5:$AA$2004,_xlfn.MAXIFS('Saisie'!$AS$5:$AS$2004,'Saisie'!$C$5:$C$2004,C285,'Saisie'!$AA$5:$AA$2004,"&lt;&gt;")-4),""))</f>
        <v/>
      </c>
      <c r="Y285" s="60">
        <f>IF(C285="","",IFERROR(INDEX('Saisie'!$AB$5:$AB$2004,_xlfn.MAXIFS('Saisie'!$AS$5:$AS$2004,'Saisie'!$C$5:$C$2004,C285,'Saisie'!$AB$5:$AB$2004,"&lt;&gt;")-4),""))</f>
        <v/>
      </c>
      <c r="Z285" s="60">
        <f>IF(C285="","",IFERROR(INDEX('Saisie'!$AC$5:$AC$2004,_xlfn.MAXIFS('Saisie'!$AS$5:$AS$2004,'Saisie'!$C$5:$C$2004,C285,'Saisie'!$AC$5:$AC$2004,"&lt;&gt;")-4),""))</f>
        <v/>
      </c>
      <c r="AA285" s="106">
        <f>IF(C285="","",IFERROR(INDEX('Saisie'!$AD$5:$AD$2004,_xlfn.MAXIFS('Saisie'!$AS$5:$AS$2004,'Saisie'!$C$5:$C$2004,C285,'Saisie'!$AD$5:$AD$2004,"&lt;&gt;")-4),""))</f>
        <v/>
      </c>
      <c r="AB285" s="60">
        <f>IF(C285="","",IFERROR(INDEX('Saisie'!$AE$5:$AE$2004,_xlfn.MAXIFS('Saisie'!$AS$5:$AS$2004,'Saisie'!$C$5:$C$2004,C285,'Saisie'!$AE$5:$AE$2004,"&lt;&gt;")-4),""))</f>
        <v/>
      </c>
      <c r="AC285" s="60">
        <f>IF(C285="","",IFERROR(INDEX('Saisie'!$AF$5:$AF$2004,_xlfn.MAXIFS('Saisie'!$AS$5:$AS$2004,'Saisie'!$C$5:$C$2004,C285,'Saisie'!$AF$5:$AF$2004,"&lt;&gt;")-4),""))</f>
        <v/>
      </c>
      <c r="AD285" s="108">
        <f>IF(C285="","",IFERROR(INDEX('Saisie'!$AG$5:$AG$2004,_xlfn.MAXIFS('Saisie'!$AS$5:$AS$2004,'Saisie'!$C$5:$C$2004,C285,'Saisie'!$AG$5:$AG$2004,"&lt;&gt;")-4),""))</f>
        <v/>
      </c>
      <c r="AE285" s="60">
        <f>IF(C285="","",IFERROR(INDEX('Saisie'!$AH$5:$AH$2004,_xlfn.MAXIFS('Saisie'!$AS$5:$AS$2004,'Saisie'!$C$5:$C$2004,C285,'Saisie'!$AH$5:$AH$2004,"&lt;&gt;")-4),""))</f>
        <v/>
      </c>
      <c r="AF285" s="60">
        <f>IF(C285="","",IFERROR(INDEX('Saisie'!$AI$5:$AI$2004,_xlfn.MAXIFS('Saisie'!$AS$5:$AS$2004,'Saisie'!$C$5:$C$2004,C285,'Saisie'!$AI$5:$AI$2004,"&lt;&gt;")-4),""))</f>
        <v/>
      </c>
      <c r="AG285" s="60">
        <f>IF(C285="","",IFERROR(INDEX('Saisie'!$AJ$5:$AJ$2004,_xlfn.MAXIFS('Saisie'!$AS$5:$AS$2004,'Saisie'!$C$5:$C$2004,C285,'Saisie'!$AJ$5:$AJ$2004,"&lt;&gt;")-4),""))</f>
        <v/>
      </c>
      <c r="AH285" s="60">
        <f>IF(C285="","",IFERROR(INDEX('Saisie'!$AK$5:$AK$2004,_xlfn.MAXIFS('Saisie'!$AS$5:$AS$2004,'Saisie'!$C$5:$C$2004,C285,'Saisie'!$AK$5:$AK$2004,"&lt;&gt;")-4),""))</f>
        <v/>
      </c>
      <c r="AI285" s="60">
        <f>IF(C285="","",IFERROR(INDEX('Saisie'!$AN$5:$AN$2004,_xlfn.MAXIFS('Saisie'!$AS$5:$AS$2004,'Saisie'!$C$5:$C$2004,C285,'Saisie'!$AN$5:$AN$2004,"&lt;&gt;")-4),""))</f>
        <v/>
      </c>
      <c r="AJ285" s="60">
        <f>IF(C285="","",IFERROR(INDEX('Saisie'!$AO$5:$AO$2004,_xlfn.MAXIFS('Saisie'!$AS$5:$AS$2004,'Saisie'!$C$5:$C$2004,C285,'Saisie'!$AO$5:$AO$2004,"&lt;&gt;")-4),""))</f>
        <v/>
      </c>
      <c r="AK285" s="60">
        <f>IF(C285="","",IFERROR(INDEX('Saisie'!$AP$5:$AP$2004,_xlfn.MAXIFS('Saisie'!$AS$5:$AS$2004,'Saisie'!$C$5:$C$2004,C285,'Saisie'!$AP$5:$AP$2004,"&lt;&gt;")-4),""))</f>
        <v/>
      </c>
      <c r="AL285" s="60">
        <f>IF(C285="","",IFERROR(INDEX('Saisie'!$AQ$5:$AQ$2004,_xlfn.MAXIFS('Saisie'!$AS$5:$AS$2004,'Saisie'!$C$5:$C$2004,C285,'Saisie'!$AQ$5:$AQ$2004,"&lt;&gt;")-4),""))</f>
        <v/>
      </c>
      <c r="AM285" s="60">
        <f>IF(C285="","",((AI285="Oui")+(AJ285="Oui")+(AK285="Oui")+OR(AL285="Immédiat",AL285="&lt; 1 mois"))&amp;"/4")</f>
        <v/>
      </c>
      <c r="AN285" s="60">
        <f>IF(C285="","",IFERROR(INDEX('Saisie'!$AL$5:$AL$2004,_xlfn.MAXIFS('Saisie'!$AS$5:$AS$2004,'Saisie'!$C$5:$C$2004,C285,'Saisie'!$AL$5:$AL$2004,"&lt;&gt;")-4),""))</f>
        <v/>
      </c>
      <c r="AO285" s="62">
        <f>IF(C285="","",IF(IFERROR(INDEX('Saisie'!$AM$5:$AM$2004,_xlfn.MAXIFS('Saisie'!$AS$5:$AS$2004,'Saisie'!$C$5:$C$2004,C285,'Saisie'!$AM$5:$AM$2004,"&lt;&gt;")-4),"")&lt;&gt;"",IFERROR(INDEX('Saisie'!$AM$5:$AM$2004,_xlfn.MAXIFS('Saisie'!$AS$5:$AS$2004,'Saisie'!$C$5:$C$2004,C285,'Saisie'!$AM$5:$AM$2004,"&lt;&gt;")-4),""),IFERROR(INDEX('Paramètres'!$S$6:$S$15,MATCH(AN285,'Paramètres'!$Q$6:$Q$15,0)),"")))</f>
        <v/>
      </c>
      <c r="AP285" s="62">
        <f>IF(C285="","",IFERROR(INDEX('Saisie'!$AW$5:$AW$2004,_xlfn.MAXIFS('Saisie'!$AS$5:$AS$2004,'Saisie'!$C$5:$C$2004,C285,'Saisie'!$E$5:$E$2004,"Proposition envoyée")-4),""))</f>
        <v/>
      </c>
      <c r="AQ285" s="106">
        <f>IF(C285="","",IFERROR(1/(1/_xlfn.MAXIFS('Saisie'!$A$5:$A$2004,'Saisie'!$C$5:$C$2004,C285,'Saisie'!$E$5:$E$2004,"Proposition envoyée")),""))</f>
        <v/>
      </c>
      <c r="AR285" s="106">
        <f>IF(C285="","",IF(AQ285="","",AQ285+'Paramètres'!$B$26))</f>
        <v/>
      </c>
      <c r="AS285" s="62">
        <f>IF(OR(C285="",D285="Gagné",D285="Perdu"),0,N(AP285)*IFERROR(INDEX('Paramètres'!$G$6:$G$13,MATCH(D285,'Paramètres'!$F$6:$F$13,0)),0))</f>
        <v/>
      </c>
      <c r="AT285" s="106">
        <f>IF(C285="","",IFERROR(1/(1/_xlfn.MINIFS('Saisie'!$A$5:$A$2004,'Saisie'!$C$5:$C$2004,C285,'Saisie'!$E$5:$E$2004,"Signature")),""))</f>
        <v/>
      </c>
      <c r="AU285" s="60">
        <f>IF(C285="","",IF(OR(AT285="",B285=""),"",AT285-B285))</f>
        <v/>
      </c>
      <c r="AV285" s="60">
        <f>IF(C285="","",IFERROR(INDEX('Saisie'!$L$5:$L$2004,_xlfn.MAXIFS('Saisie'!$AS$5:$AS$2004,'Saisie'!$C$5:$C$2004,C285,'Saisie'!$L$5:$L$2004,"&lt;&gt;")-4),""))</f>
        <v/>
      </c>
      <c r="AW285" s="106">
        <f>IF(C285="","",IF(D285&lt;&gt;"Perdu","",IFERROR(1/(1/_xlfn.MAXIFS('Saisie'!$A$5:$A$2004,'Saisie'!$C$5:$C$2004,C285,'Saisie'!$E$5:$E$2004,"Perdu")),"")))</f>
        <v/>
      </c>
      <c r="AX285" s="106">
        <f>IF(C285="","",IF(AW285="","",AW285+'Paramètres'!$B$28))</f>
        <v/>
      </c>
      <c r="AY285" s="60">
        <f>IF(C285="","",SUMIFS('Saisie'!$H$5:$H$2004,'Saisie'!$C$5:$C$2004,C285))</f>
        <v/>
      </c>
      <c r="AZ285" s="60">
        <f>IF(C285="","",IFERROR(INDEX('Paramètres'!$W$6:$W$20,MATCH(S285,'Paramètres'!$V$6:$V$20,0))&amp;"",""))</f>
        <v/>
      </c>
      <c r="BA285" s="60">
        <f>IF(C285="","",MAX(1,_xlfn.MAXIFS('Saisie'!$AT$5:$AT$2004,'Saisie'!$C$5:$C$2004,C285)))</f>
        <v/>
      </c>
      <c r="BB285" s="60">
        <f>IF(C285="","",IFERROR(INDEX('Saisie'!$X$5:$X$2004,_xlfn.MAXIFS('Saisie'!$AS$5:$AS$2004,'Saisie'!$C$5:$C$2004,C285,'Saisie'!$X$5:$X$2004,"&lt;&gt;")-4),""))</f>
        <v/>
      </c>
      <c r="BC285" s="60">
        <f>IF(C285="","",IFERROR(INDEX('Saisie'!$Y$5:$Y$2004,_xlfn.MAXIFS('Saisie'!$AS$5:$AS$2004,'Saisie'!$C$5:$C$2004,C285,'Saisie'!$Y$5:$Y$2004,"&lt;&gt;")-4),""))</f>
        <v/>
      </c>
      <c r="BD285" s="106">
        <f>IF(C285="","",IFERROR(1/(1/_xlfn.MINIFS('Saisie'!$A$5:$A$2004,'Saisie'!$C$5:$C$2004,C285,'Saisie'!$AT$5:$AT$2004,"&gt;=2")),""))</f>
        <v/>
      </c>
      <c r="BE285" s="106">
        <f>IF(C285="","",IFERROR(1/(1/_xlfn.MINIFS('Saisie'!$A$5:$A$2004,'Saisie'!$C$5:$C$2004,C285,'Saisie'!$AT$5:$AT$2004,"&gt;=3")),""))</f>
        <v/>
      </c>
      <c r="BF285" s="106">
        <f>IF(C285="","",IFERROR(1/(1/_xlfn.MINIFS('Saisie'!$A$5:$A$2004,'Saisie'!$C$5:$C$2004,C285,'Saisie'!$AT$5:$AT$2004,"&gt;=4")),""))</f>
        <v/>
      </c>
      <c r="BG285" s="106">
        <f>IF(C285="","",IFERROR(1/(1/_xlfn.MINIFS('Saisie'!$A$5:$A$2004,'Saisie'!$C$5:$C$2004,C285,'Saisie'!$AT$5:$AT$2004,"&gt;=5")),""))</f>
        <v/>
      </c>
      <c r="BH285" s="106">
        <f>IF(C285="","",IFERROR(1/(1/_xlfn.MINIFS('Saisie'!$A$5:$A$2004,'Saisie'!$C$5:$C$2004,C285,'Saisie'!$AT$5:$AT$2004,"&gt;=6")),""))</f>
        <v/>
      </c>
      <c r="BI285" s="106">
        <f>IF(C285="","",IFERROR(1/(1/_xlfn.MINIFS('Saisie'!$A$5:$A$2004,'Saisie'!$C$5:$C$2004,C285,'Saisie'!$AT$5:$AT$2004,"&gt;=7")),""))</f>
        <v/>
      </c>
      <c r="BJ285" s="60">
        <f>IF(OR(BD285="",B285=""),"",BD285-B285)</f>
        <v/>
      </c>
      <c r="BK285" s="60">
        <f>IF(OR(BE285="",BD285=""),"",BE285-BD285)</f>
        <v/>
      </c>
      <c r="BL285" s="60">
        <f>IF(OR(BF285="",BE285=""),"",BF285-BE285)</f>
        <v/>
      </c>
      <c r="BM285" s="60">
        <f>IF(OR(BG285="",BF285=""),"",BG285-BF285)</f>
        <v/>
      </c>
      <c r="BN285" s="60">
        <f>IF(OR(BH285="",BG285=""),"",BH285-BG285)</f>
        <v/>
      </c>
      <c r="BO285" s="60">
        <f>IF(OR(BI285="",BH285=""),"",BI285-BH285)</f>
        <v/>
      </c>
      <c r="BP285" s="60">
        <f>IF(C285="","",_xlfn.MAXIFS('Saisie'!$AS$5:$AS$2004,'Saisie'!$C$5:$C$2004,C285,'Saisie'!$J$5:$J$2004,"&lt;&gt;"))</f>
        <v/>
      </c>
      <c r="BQ285" s="60">
        <f>IF(C285="","",_xlfn.MAXIFS('Saisie'!$AS$5:$AS$2004,'Saisie'!$C$5:$C$2004,C285))</f>
        <v/>
      </c>
      <c r="BR285" s="60">
        <f>IF(C285="","",_xlfn.MAXIFS('Saisie'!$AS$5:$AS$2004,'Saisie'!$C$5:$C$2004,C285,'Saisie'!$E$5:$E$2004,"Perdu"))</f>
        <v/>
      </c>
      <c r="BS285" s="60">
        <f>IF(C285="","",_xlfn.MAXIFS('Saisie'!$AS$5:$AS$2004,'Saisie'!$C$5:$C$2004,C285,'Saisie'!$AT$5:$AT$2004,"&gt;0"))</f>
        <v/>
      </c>
      <c r="BT285" s="109">
        <f>IF(AND(C285&lt;&gt;"",OR(D285="Nouveau",D285="Contacté",D285="Qualifié"),OR(G285="",N(G285)&lt;=TODAY()),NOT(AND(O285&gt;='Paramètres'!$B$21,P285=0))),E285+281/10000,"")</f>
        <v/>
      </c>
      <c r="BU285" s="60">
        <f>IF(AND(G285&lt;&gt;"",N(G285)&lt;=TODAY()),MAX($BU$4:BU284)+1,"")</f>
        <v/>
      </c>
      <c r="BV285" s="60">
        <f>IF(AND(F285&lt;&gt;"",F285&lt;&gt;"Relance en retard"),MAX($BV$4:BV284)+1,"")</f>
        <v/>
      </c>
      <c r="BW285" s="60">
        <f>IF(C285="","",IF(AND(B285&gt;='Tableau de bord'!$R$4,B285&lt;='Tableau de bord'!$S$4,OR('Tableau de bord'!$G$4="Tous",N285='Tableau de bord'!$G$4)),1,0))</f>
        <v/>
      </c>
      <c r="BX285" s="60">
        <f>IF(AND(C285&lt;&gt;"",N(BA285)=7),MAX($BX$4:BX284)+1,"")</f>
        <v/>
      </c>
    </row>
    <row r="286">
      <c r="A286" s="60">
        <f>IF(C286="","","P-"&amp;TEXT(282,"000"))</f>
        <v/>
      </c>
      <c r="B286" s="106">
        <f>IF(C286="","",IFERROR(1/(1/_xlfn.MINIFS('Saisie'!$A$5:$A$2004,'Saisie'!$C$5:$C$2004,C286)),""))</f>
        <v/>
      </c>
      <c r="C286" s="60">
        <f>IFERROR(INDEX('Saisie'!$C$5:$C$2004,MATCH(282,'Saisie'!$AX$5:$AX$2004,0)),"")</f>
        <v/>
      </c>
      <c r="D286" s="60">
        <f>IF(C286="","",IF(AND(BR286&gt;0,BR286&gt;BS286,BA286&lt;7),"Perdu",INDEX('Paramètres'!$F$6:$F$13,BA286)))</f>
        <v/>
      </c>
      <c r="E286" s="61">
        <f>IF(C286="","",MIN(100,(Z286="Oui")*'Paramètres'!$B$38+(AB286="Régulière")*'Paramètres'!$B$39+IF(AND(N(AA286)&gt;0,TODAY()-N(AA286)&lt;=30),'Paramètres'!$B$40,0)+(W286="")*'Paramètres'!$B$41+(AC286="Absente")*'Paramètres'!$B$42+(AC286="Faible")*'Paramètres'!$B$43+IF(AND(N(AD286)&gt;0,N(AD286)&lt;4),'Paramètres'!$B$44,0)+(AF286="Moyenne")*'Paramètres'!$B$45+(AF286="Grande")*'Paramètres'!$B$46+(Y286&lt;&gt;"")*'Paramètres'!$B$47))</f>
        <v/>
      </c>
      <c r="F286" s="60">
        <f>IF(C286="","",IF(D286="Gagné","",IF(D286="Perdu",IF(AND(AX286&lt;&gt;"",AX286&lt;=TODAY()),"À recontacter (perdu)",""),IF(AND(O286&gt;='Paramètres'!$B$21,P286=0),"Stop : "&amp;'Paramètres'!$B$21&amp;" tentatives sans réponse",IF(AND(D286="Proposition",AR286&lt;&gt;"",TODAY()&gt;N(AR286)),"Proposition expirée",IF(AND(D286="Proposition",N(R286)&gt;='Paramètres'!$B$25),"Proposition sans réponse",IF(AND(G286&lt;&gt;"",N(G286)&lt;TODAY()),"Relance en retard",IF(N(R286)&gt;='Paramètres'!$B$24,"Sans action depuis "&amp;R286&amp;" j",""))))))))</f>
        <v/>
      </c>
      <c r="G286" s="106">
        <f>IF(OR(C286="",D286="Gagné",D286="Perdu"),"",IF(AND(BP286&gt;0,BP286=BQ286),INDEX('Saisie'!$J$5:$J$2004,BP286-4),IF(OR(O286=0,AND(O286&gt;='Paramètres'!$B$21,P286=0)),"",Q286+IF(O286&lt;=1,'Paramètres'!$B$18,IF(O286=2,'Paramètres'!$B$19,'Paramètres'!$B$20)))))</f>
        <v/>
      </c>
      <c r="H286" s="107">
        <f>IF(OR(G286="",BP286&lt;&gt;BQ286),"",IF(INDEX('Saisie'!$K$5:$K$2004,BP286-4)="","",INDEX('Saisie'!$K$5:$K$2004,BP286-4)))</f>
        <v/>
      </c>
      <c r="I286" s="60">
        <f>IF(C286="","",IF(OR(D286="Gagné",D286="Perdu"),"",IFERROR(INDEX('Saisie'!$I$5:$I$2004,_xlfn.MAXIFS('Saisie'!$AS$5:$AS$2004,'Saisie'!$C$5:$C$2004,C286,'Saisie'!$I$5:$I$2004,"&lt;&gt;")-4),"")))</f>
        <v/>
      </c>
      <c r="J286" s="60">
        <f>IF(C286="","",IFERROR(INDEX('Saisie'!$U$5:$U$2004,_xlfn.MAXIFS('Saisie'!$AS$5:$AS$2004,'Saisie'!$C$5:$C$2004,C286,'Saisie'!$U$5:$U$2004,"&lt;&gt;")-4),""))</f>
        <v/>
      </c>
      <c r="K286" s="60">
        <f>IF(C286="","",IFERROR(INDEX('Saisie'!$W$5:$W$2004,_xlfn.MAXIFS('Saisie'!$AS$5:$AS$2004,'Saisie'!$C$5:$C$2004,C286,'Saisie'!$W$5:$W$2004,"&lt;&gt;")-4),""))</f>
        <v/>
      </c>
      <c r="L286" s="60">
        <f>IF(IF(BB286&lt;&gt;"",BB286,K286)="","",HYPERLINK("https://wa.me/"&amp;IF(LEFT(SUBSTITUTE(SUBSTITUTE(SUBSTITUTE(IF(BB286&lt;&gt;"",BB286,K286)," ",""),".",""),"+",""),1)="0",'Paramètres'!$B$35&amp;MID(SUBSTITUTE(SUBSTITUTE(SUBSTITUTE(IF(BB286&lt;&gt;"",BB286,K286)," ",""),".",""),"+",""),2,20),SUBSTITUTE(SUBSTITUTE(SUBSTITUTE(IF(BB286&lt;&gt;"",BB286,K286)," ",""),".",""),"+","")),"WhatsApp"))</f>
        <v/>
      </c>
      <c r="M286" s="60">
        <f>IF(BC286="","",HYPERLINK(IF(LEFT(BC286,4)="http",BC286,"https://www.instagram.com/"&amp;SUBSTITUTE(SUBSTITUTE(BC286,"@","")," ","")),BC286))</f>
        <v/>
      </c>
      <c r="N286" s="60">
        <f>IF(C286="","",IFERROR(INDEX('Saisie'!$D$5:$D$2004,_xlfn.MINIFS('Saisie'!$AS$5:$AS$2004,'Saisie'!$C$5:$C$2004,C286,'Saisie'!$AU$5:$AU$2004,1)-4),IFERROR(INDEX('Saisie'!$D$5:$D$2004,_xlfn.MINIFS('Saisie'!$AS$5:$AS$2004,'Saisie'!$C$5:$C$2004,C286,'Saisie'!$D$5:$D$2004,"&lt;&gt;")-4),"")))</f>
        <v/>
      </c>
      <c r="O286" s="60">
        <f>IF(C286="","",COUNTIFS('Saisie'!$C$5:$C$2004,C286,'Saisie'!$AU$5:$AU$2004,1))</f>
        <v/>
      </c>
      <c r="P286" s="60">
        <f>IF(C286="","",COUNTIFS('Saisie'!$C$5:$C$2004,C286,'Saisie'!$AV$5:$AV$2004,1))</f>
        <v/>
      </c>
      <c r="Q286" s="106">
        <f>IF(C286="","",IFERROR(1/(1/_xlfn.MAXIFS('Saisie'!$A$5:$A$2004,'Saisie'!$C$5:$C$2004,C286)),""))</f>
        <v/>
      </c>
      <c r="R286" s="61">
        <f>IF(C286="","",IF(Q286="","",TODAY()-Q286))</f>
        <v/>
      </c>
      <c r="S286" s="60">
        <f>IF(C286="","",IFERROR(INDEX('Saisie'!$R$5:$R$2004,_xlfn.MAXIFS('Saisie'!$AS$5:$AS$2004,'Saisie'!$C$5:$C$2004,C286,'Saisie'!$R$5:$R$2004,"&lt;&gt;")-4),""))</f>
        <v/>
      </c>
      <c r="T286" s="60">
        <f>IF(C286="","",IFERROR(INDEX('Saisie'!$S$5:$S$2004,_xlfn.MAXIFS('Saisie'!$AS$5:$AS$2004,'Saisie'!$C$5:$C$2004,C286,'Saisie'!$S$5:$S$2004,"&lt;&gt;")-4),""))</f>
        <v/>
      </c>
      <c r="U286" s="60">
        <f>IF(C286="","",IFERROR(INDEX('Saisie'!$T$5:$T$2004,_xlfn.MAXIFS('Saisie'!$AS$5:$AS$2004,'Saisie'!$C$5:$C$2004,C286,'Saisie'!$T$5:$T$2004,"&lt;&gt;")-4),""))</f>
        <v/>
      </c>
      <c r="V286" s="60">
        <f>IF(C286="","",IFERROR(INDEX('Saisie'!$V$5:$V$2004,_xlfn.MAXIFS('Saisie'!$AS$5:$AS$2004,'Saisie'!$C$5:$C$2004,C286,'Saisie'!$V$5:$V$2004,"&lt;&gt;")-4),""))</f>
        <v/>
      </c>
      <c r="W286" s="60">
        <f>IF(C286="","",IFERROR(INDEX('Saisie'!$Z$5:$Z$2004,_xlfn.MAXIFS('Saisie'!$AS$5:$AS$2004,'Saisie'!$C$5:$C$2004,C286,'Saisie'!$Z$5:$Z$2004,"&lt;&gt;")-4),""))</f>
        <v/>
      </c>
      <c r="X286" s="60">
        <f>IF(C286="","",IFERROR(INDEX('Saisie'!$AA$5:$AA$2004,_xlfn.MAXIFS('Saisie'!$AS$5:$AS$2004,'Saisie'!$C$5:$C$2004,C286,'Saisie'!$AA$5:$AA$2004,"&lt;&gt;")-4),""))</f>
        <v/>
      </c>
      <c r="Y286" s="60">
        <f>IF(C286="","",IFERROR(INDEX('Saisie'!$AB$5:$AB$2004,_xlfn.MAXIFS('Saisie'!$AS$5:$AS$2004,'Saisie'!$C$5:$C$2004,C286,'Saisie'!$AB$5:$AB$2004,"&lt;&gt;")-4),""))</f>
        <v/>
      </c>
      <c r="Z286" s="60">
        <f>IF(C286="","",IFERROR(INDEX('Saisie'!$AC$5:$AC$2004,_xlfn.MAXIFS('Saisie'!$AS$5:$AS$2004,'Saisie'!$C$5:$C$2004,C286,'Saisie'!$AC$5:$AC$2004,"&lt;&gt;")-4),""))</f>
        <v/>
      </c>
      <c r="AA286" s="106">
        <f>IF(C286="","",IFERROR(INDEX('Saisie'!$AD$5:$AD$2004,_xlfn.MAXIFS('Saisie'!$AS$5:$AS$2004,'Saisie'!$C$5:$C$2004,C286,'Saisie'!$AD$5:$AD$2004,"&lt;&gt;")-4),""))</f>
        <v/>
      </c>
      <c r="AB286" s="60">
        <f>IF(C286="","",IFERROR(INDEX('Saisie'!$AE$5:$AE$2004,_xlfn.MAXIFS('Saisie'!$AS$5:$AS$2004,'Saisie'!$C$5:$C$2004,C286,'Saisie'!$AE$5:$AE$2004,"&lt;&gt;")-4),""))</f>
        <v/>
      </c>
      <c r="AC286" s="60">
        <f>IF(C286="","",IFERROR(INDEX('Saisie'!$AF$5:$AF$2004,_xlfn.MAXIFS('Saisie'!$AS$5:$AS$2004,'Saisie'!$C$5:$C$2004,C286,'Saisie'!$AF$5:$AF$2004,"&lt;&gt;")-4),""))</f>
        <v/>
      </c>
      <c r="AD286" s="108">
        <f>IF(C286="","",IFERROR(INDEX('Saisie'!$AG$5:$AG$2004,_xlfn.MAXIFS('Saisie'!$AS$5:$AS$2004,'Saisie'!$C$5:$C$2004,C286,'Saisie'!$AG$5:$AG$2004,"&lt;&gt;")-4),""))</f>
        <v/>
      </c>
      <c r="AE286" s="60">
        <f>IF(C286="","",IFERROR(INDEX('Saisie'!$AH$5:$AH$2004,_xlfn.MAXIFS('Saisie'!$AS$5:$AS$2004,'Saisie'!$C$5:$C$2004,C286,'Saisie'!$AH$5:$AH$2004,"&lt;&gt;")-4),""))</f>
        <v/>
      </c>
      <c r="AF286" s="60">
        <f>IF(C286="","",IFERROR(INDEX('Saisie'!$AI$5:$AI$2004,_xlfn.MAXIFS('Saisie'!$AS$5:$AS$2004,'Saisie'!$C$5:$C$2004,C286,'Saisie'!$AI$5:$AI$2004,"&lt;&gt;")-4),""))</f>
        <v/>
      </c>
      <c r="AG286" s="60">
        <f>IF(C286="","",IFERROR(INDEX('Saisie'!$AJ$5:$AJ$2004,_xlfn.MAXIFS('Saisie'!$AS$5:$AS$2004,'Saisie'!$C$5:$C$2004,C286,'Saisie'!$AJ$5:$AJ$2004,"&lt;&gt;")-4),""))</f>
        <v/>
      </c>
      <c r="AH286" s="60">
        <f>IF(C286="","",IFERROR(INDEX('Saisie'!$AK$5:$AK$2004,_xlfn.MAXIFS('Saisie'!$AS$5:$AS$2004,'Saisie'!$C$5:$C$2004,C286,'Saisie'!$AK$5:$AK$2004,"&lt;&gt;")-4),""))</f>
        <v/>
      </c>
      <c r="AI286" s="60">
        <f>IF(C286="","",IFERROR(INDEX('Saisie'!$AN$5:$AN$2004,_xlfn.MAXIFS('Saisie'!$AS$5:$AS$2004,'Saisie'!$C$5:$C$2004,C286,'Saisie'!$AN$5:$AN$2004,"&lt;&gt;")-4),""))</f>
        <v/>
      </c>
      <c r="AJ286" s="60">
        <f>IF(C286="","",IFERROR(INDEX('Saisie'!$AO$5:$AO$2004,_xlfn.MAXIFS('Saisie'!$AS$5:$AS$2004,'Saisie'!$C$5:$C$2004,C286,'Saisie'!$AO$5:$AO$2004,"&lt;&gt;")-4),""))</f>
        <v/>
      </c>
      <c r="AK286" s="60">
        <f>IF(C286="","",IFERROR(INDEX('Saisie'!$AP$5:$AP$2004,_xlfn.MAXIFS('Saisie'!$AS$5:$AS$2004,'Saisie'!$C$5:$C$2004,C286,'Saisie'!$AP$5:$AP$2004,"&lt;&gt;")-4),""))</f>
        <v/>
      </c>
      <c r="AL286" s="60">
        <f>IF(C286="","",IFERROR(INDEX('Saisie'!$AQ$5:$AQ$2004,_xlfn.MAXIFS('Saisie'!$AS$5:$AS$2004,'Saisie'!$C$5:$C$2004,C286,'Saisie'!$AQ$5:$AQ$2004,"&lt;&gt;")-4),""))</f>
        <v/>
      </c>
      <c r="AM286" s="60">
        <f>IF(C286="","",((AI286="Oui")+(AJ286="Oui")+(AK286="Oui")+OR(AL286="Immédiat",AL286="&lt; 1 mois"))&amp;"/4")</f>
        <v/>
      </c>
      <c r="AN286" s="60">
        <f>IF(C286="","",IFERROR(INDEX('Saisie'!$AL$5:$AL$2004,_xlfn.MAXIFS('Saisie'!$AS$5:$AS$2004,'Saisie'!$C$5:$C$2004,C286,'Saisie'!$AL$5:$AL$2004,"&lt;&gt;")-4),""))</f>
        <v/>
      </c>
      <c r="AO286" s="62">
        <f>IF(C286="","",IF(IFERROR(INDEX('Saisie'!$AM$5:$AM$2004,_xlfn.MAXIFS('Saisie'!$AS$5:$AS$2004,'Saisie'!$C$5:$C$2004,C286,'Saisie'!$AM$5:$AM$2004,"&lt;&gt;")-4),"")&lt;&gt;"",IFERROR(INDEX('Saisie'!$AM$5:$AM$2004,_xlfn.MAXIFS('Saisie'!$AS$5:$AS$2004,'Saisie'!$C$5:$C$2004,C286,'Saisie'!$AM$5:$AM$2004,"&lt;&gt;")-4),""),IFERROR(INDEX('Paramètres'!$S$6:$S$15,MATCH(AN286,'Paramètres'!$Q$6:$Q$15,0)),"")))</f>
        <v/>
      </c>
      <c r="AP286" s="62">
        <f>IF(C286="","",IFERROR(INDEX('Saisie'!$AW$5:$AW$2004,_xlfn.MAXIFS('Saisie'!$AS$5:$AS$2004,'Saisie'!$C$5:$C$2004,C286,'Saisie'!$E$5:$E$2004,"Proposition envoyée")-4),""))</f>
        <v/>
      </c>
      <c r="AQ286" s="106">
        <f>IF(C286="","",IFERROR(1/(1/_xlfn.MAXIFS('Saisie'!$A$5:$A$2004,'Saisie'!$C$5:$C$2004,C286,'Saisie'!$E$5:$E$2004,"Proposition envoyée")),""))</f>
        <v/>
      </c>
      <c r="AR286" s="106">
        <f>IF(C286="","",IF(AQ286="","",AQ286+'Paramètres'!$B$26))</f>
        <v/>
      </c>
      <c r="AS286" s="62">
        <f>IF(OR(C286="",D286="Gagné",D286="Perdu"),0,N(AP286)*IFERROR(INDEX('Paramètres'!$G$6:$G$13,MATCH(D286,'Paramètres'!$F$6:$F$13,0)),0))</f>
        <v/>
      </c>
      <c r="AT286" s="106">
        <f>IF(C286="","",IFERROR(1/(1/_xlfn.MINIFS('Saisie'!$A$5:$A$2004,'Saisie'!$C$5:$C$2004,C286,'Saisie'!$E$5:$E$2004,"Signature")),""))</f>
        <v/>
      </c>
      <c r="AU286" s="60">
        <f>IF(C286="","",IF(OR(AT286="",B286=""),"",AT286-B286))</f>
        <v/>
      </c>
      <c r="AV286" s="60">
        <f>IF(C286="","",IFERROR(INDEX('Saisie'!$L$5:$L$2004,_xlfn.MAXIFS('Saisie'!$AS$5:$AS$2004,'Saisie'!$C$5:$C$2004,C286,'Saisie'!$L$5:$L$2004,"&lt;&gt;")-4),""))</f>
        <v/>
      </c>
      <c r="AW286" s="106">
        <f>IF(C286="","",IF(D286&lt;&gt;"Perdu","",IFERROR(1/(1/_xlfn.MAXIFS('Saisie'!$A$5:$A$2004,'Saisie'!$C$5:$C$2004,C286,'Saisie'!$E$5:$E$2004,"Perdu")),"")))</f>
        <v/>
      </c>
      <c r="AX286" s="106">
        <f>IF(C286="","",IF(AW286="","",AW286+'Paramètres'!$B$28))</f>
        <v/>
      </c>
      <c r="AY286" s="60">
        <f>IF(C286="","",SUMIFS('Saisie'!$H$5:$H$2004,'Saisie'!$C$5:$C$2004,C286))</f>
        <v/>
      </c>
      <c r="AZ286" s="60">
        <f>IF(C286="","",IFERROR(INDEX('Paramètres'!$W$6:$W$20,MATCH(S286,'Paramètres'!$V$6:$V$20,0))&amp;"",""))</f>
        <v/>
      </c>
      <c r="BA286" s="60">
        <f>IF(C286="","",MAX(1,_xlfn.MAXIFS('Saisie'!$AT$5:$AT$2004,'Saisie'!$C$5:$C$2004,C286)))</f>
        <v/>
      </c>
      <c r="BB286" s="60">
        <f>IF(C286="","",IFERROR(INDEX('Saisie'!$X$5:$X$2004,_xlfn.MAXIFS('Saisie'!$AS$5:$AS$2004,'Saisie'!$C$5:$C$2004,C286,'Saisie'!$X$5:$X$2004,"&lt;&gt;")-4),""))</f>
        <v/>
      </c>
      <c r="BC286" s="60">
        <f>IF(C286="","",IFERROR(INDEX('Saisie'!$Y$5:$Y$2004,_xlfn.MAXIFS('Saisie'!$AS$5:$AS$2004,'Saisie'!$C$5:$C$2004,C286,'Saisie'!$Y$5:$Y$2004,"&lt;&gt;")-4),""))</f>
        <v/>
      </c>
      <c r="BD286" s="106">
        <f>IF(C286="","",IFERROR(1/(1/_xlfn.MINIFS('Saisie'!$A$5:$A$2004,'Saisie'!$C$5:$C$2004,C286,'Saisie'!$AT$5:$AT$2004,"&gt;=2")),""))</f>
        <v/>
      </c>
      <c r="BE286" s="106">
        <f>IF(C286="","",IFERROR(1/(1/_xlfn.MINIFS('Saisie'!$A$5:$A$2004,'Saisie'!$C$5:$C$2004,C286,'Saisie'!$AT$5:$AT$2004,"&gt;=3")),""))</f>
        <v/>
      </c>
      <c r="BF286" s="106">
        <f>IF(C286="","",IFERROR(1/(1/_xlfn.MINIFS('Saisie'!$A$5:$A$2004,'Saisie'!$C$5:$C$2004,C286,'Saisie'!$AT$5:$AT$2004,"&gt;=4")),""))</f>
        <v/>
      </c>
      <c r="BG286" s="106">
        <f>IF(C286="","",IFERROR(1/(1/_xlfn.MINIFS('Saisie'!$A$5:$A$2004,'Saisie'!$C$5:$C$2004,C286,'Saisie'!$AT$5:$AT$2004,"&gt;=5")),""))</f>
        <v/>
      </c>
      <c r="BH286" s="106">
        <f>IF(C286="","",IFERROR(1/(1/_xlfn.MINIFS('Saisie'!$A$5:$A$2004,'Saisie'!$C$5:$C$2004,C286,'Saisie'!$AT$5:$AT$2004,"&gt;=6")),""))</f>
        <v/>
      </c>
      <c r="BI286" s="106">
        <f>IF(C286="","",IFERROR(1/(1/_xlfn.MINIFS('Saisie'!$A$5:$A$2004,'Saisie'!$C$5:$C$2004,C286,'Saisie'!$AT$5:$AT$2004,"&gt;=7")),""))</f>
        <v/>
      </c>
      <c r="BJ286" s="60">
        <f>IF(OR(BD286="",B286=""),"",BD286-B286)</f>
        <v/>
      </c>
      <c r="BK286" s="60">
        <f>IF(OR(BE286="",BD286=""),"",BE286-BD286)</f>
        <v/>
      </c>
      <c r="BL286" s="60">
        <f>IF(OR(BF286="",BE286=""),"",BF286-BE286)</f>
        <v/>
      </c>
      <c r="BM286" s="60">
        <f>IF(OR(BG286="",BF286=""),"",BG286-BF286)</f>
        <v/>
      </c>
      <c r="BN286" s="60">
        <f>IF(OR(BH286="",BG286=""),"",BH286-BG286)</f>
        <v/>
      </c>
      <c r="BO286" s="60">
        <f>IF(OR(BI286="",BH286=""),"",BI286-BH286)</f>
        <v/>
      </c>
      <c r="BP286" s="60">
        <f>IF(C286="","",_xlfn.MAXIFS('Saisie'!$AS$5:$AS$2004,'Saisie'!$C$5:$C$2004,C286,'Saisie'!$J$5:$J$2004,"&lt;&gt;"))</f>
        <v/>
      </c>
      <c r="BQ286" s="60">
        <f>IF(C286="","",_xlfn.MAXIFS('Saisie'!$AS$5:$AS$2004,'Saisie'!$C$5:$C$2004,C286))</f>
        <v/>
      </c>
      <c r="BR286" s="60">
        <f>IF(C286="","",_xlfn.MAXIFS('Saisie'!$AS$5:$AS$2004,'Saisie'!$C$5:$C$2004,C286,'Saisie'!$E$5:$E$2004,"Perdu"))</f>
        <v/>
      </c>
      <c r="BS286" s="60">
        <f>IF(C286="","",_xlfn.MAXIFS('Saisie'!$AS$5:$AS$2004,'Saisie'!$C$5:$C$2004,C286,'Saisie'!$AT$5:$AT$2004,"&gt;0"))</f>
        <v/>
      </c>
      <c r="BT286" s="109">
        <f>IF(AND(C286&lt;&gt;"",OR(D286="Nouveau",D286="Contacté",D286="Qualifié"),OR(G286="",N(G286)&lt;=TODAY()),NOT(AND(O286&gt;='Paramètres'!$B$21,P286=0))),E286+282/10000,"")</f>
        <v/>
      </c>
      <c r="BU286" s="60">
        <f>IF(AND(G286&lt;&gt;"",N(G286)&lt;=TODAY()),MAX($BU$4:BU285)+1,"")</f>
        <v/>
      </c>
      <c r="BV286" s="60">
        <f>IF(AND(F286&lt;&gt;"",F286&lt;&gt;"Relance en retard"),MAX($BV$4:BV285)+1,"")</f>
        <v/>
      </c>
      <c r="BW286" s="60">
        <f>IF(C286="","",IF(AND(B286&gt;='Tableau de bord'!$R$4,B286&lt;='Tableau de bord'!$S$4,OR('Tableau de bord'!$G$4="Tous",N286='Tableau de bord'!$G$4)),1,0))</f>
        <v/>
      </c>
      <c r="BX286" s="60">
        <f>IF(AND(C286&lt;&gt;"",N(BA286)=7),MAX($BX$4:BX285)+1,"")</f>
        <v/>
      </c>
    </row>
    <row r="287">
      <c r="A287" s="60">
        <f>IF(C287="","","P-"&amp;TEXT(283,"000"))</f>
        <v/>
      </c>
      <c r="B287" s="106">
        <f>IF(C287="","",IFERROR(1/(1/_xlfn.MINIFS('Saisie'!$A$5:$A$2004,'Saisie'!$C$5:$C$2004,C287)),""))</f>
        <v/>
      </c>
      <c r="C287" s="60">
        <f>IFERROR(INDEX('Saisie'!$C$5:$C$2004,MATCH(283,'Saisie'!$AX$5:$AX$2004,0)),"")</f>
        <v/>
      </c>
      <c r="D287" s="60">
        <f>IF(C287="","",IF(AND(BR287&gt;0,BR287&gt;BS287,BA287&lt;7),"Perdu",INDEX('Paramètres'!$F$6:$F$13,BA287)))</f>
        <v/>
      </c>
      <c r="E287" s="61">
        <f>IF(C287="","",MIN(100,(Z287="Oui")*'Paramètres'!$B$38+(AB287="Régulière")*'Paramètres'!$B$39+IF(AND(N(AA287)&gt;0,TODAY()-N(AA287)&lt;=30),'Paramètres'!$B$40,0)+(W287="")*'Paramètres'!$B$41+(AC287="Absente")*'Paramètres'!$B$42+(AC287="Faible")*'Paramètres'!$B$43+IF(AND(N(AD287)&gt;0,N(AD287)&lt;4),'Paramètres'!$B$44,0)+(AF287="Moyenne")*'Paramètres'!$B$45+(AF287="Grande")*'Paramètres'!$B$46+(Y287&lt;&gt;"")*'Paramètres'!$B$47))</f>
        <v/>
      </c>
      <c r="F287" s="60">
        <f>IF(C287="","",IF(D287="Gagné","",IF(D287="Perdu",IF(AND(AX287&lt;&gt;"",AX287&lt;=TODAY()),"À recontacter (perdu)",""),IF(AND(O287&gt;='Paramètres'!$B$21,P287=0),"Stop : "&amp;'Paramètres'!$B$21&amp;" tentatives sans réponse",IF(AND(D287="Proposition",AR287&lt;&gt;"",TODAY()&gt;N(AR287)),"Proposition expirée",IF(AND(D287="Proposition",N(R287)&gt;='Paramètres'!$B$25),"Proposition sans réponse",IF(AND(G287&lt;&gt;"",N(G287)&lt;TODAY()),"Relance en retard",IF(N(R287)&gt;='Paramètres'!$B$24,"Sans action depuis "&amp;R287&amp;" j",""))))))))</f>
        <v/>
      </c>
      <c r="G287" s="106">
        <f>IF(OR(C287="",D287="Gagné",D287="Perdu"),"",IF(AND(BP287&gt;0,BP287=BQ287),INDEX('Saisie'!$J$5:$J$2004,BP287-4),IF(OR(O287=0,AND(O287&gt;='Paramètres'!$B$21,P287=0)),"",Q287+IF(O287&lt;=1,'Paramètres'!$B$18,IF(O287=2,'Paramètres'!$B$19,'Paramètres'!$B$20)))))</f>
        <v/>
      </c>
      <c r="H287" s="107">
        <f>IF(OR(G287="",BP287&lt;&gt;BQ287),"",IF(INDEX('Saisie'!$K$5:$K$2004,BP287-4)="","",INDEX('Saisie'!$K$5:$K$2004,BP287-4)))</f>
        <v/>
      </c>
      <c r="I287" s="60">
        <f>IF(C287="","",IF(OR(D287="Gagné",D287="Perdu"),"",IFERROR(INDEX('Saisie'!$I$5:$I$2004,_xlfn.MAXIFS('Saisie'!$AS$5:$AS$2004,'Saisie'!$C$5:$C$2004,C287,'Saisie'!$I$5:$I$2004,"&lt;&gt;")-4),"")))</f>
        <v/>
      </c>
      <c r="J287" s="60">
        <f>IF(C287="","",IFERROR(INDEX('Saisie'!$U$5:$U$2004,_xlfn.MAXIFS('Saisie'!$AS$5:$AS$2004,'Saisie'!$C$5:$C$2004,C287,'Saisie'!$U$5:$U$2004,"&lt;&gt;")-4),""))</f>
        <v/>
      </c>
      <c r="K287" s="60">
        <f>IF(C287="","",IFERROR(INDEX('Saisie'!$W$5:$W$2004,_xlfn.MAXIFS('Saisie'!$AS$5:$AS$2004,'Saisie'!$C$5:$C$2004,C287,'Saisie'!$W$5:$W$2004,"&lt;&gt;")-4),""))</f>
        <v/>
      </c>
      <c r="L287" s="60">
        <f>IF(IF(BB287&lt;&gt;"",BB287,K287)="","",HYPERLINK("https://wa.me/"&amp;IF(LEFT(SUBSTITUTE(SUBSTITUTE(SUBSTITUTE(IF(BB287&lt;&gt;"",BB287,K287)," ",""),".",""),"+",""),1)="0",'Paramètres'!$B$35&amp;MID(SUBSTITUTE(SUBSTITUTE(SUBSTITUTE(IF(BB287&lt;&gt;"",BB287,K287)," ",""),".",""),"+",""),2,20),SUBSTITUTE(SUBSTITUTE(SUBSTITUTE(IF(BB287&lt;&gt;"",BB287,K287)," ",""),".",""),"+","")),"WhatsApp"))</f>
        <v/>
      </c>
      <c r="M287" s="60">
        <f>IF(BC287="","",HYPERLINK(IF(LEFT(BC287,4)="http",BC287,"https://www.instagram.com/"&amp;SUBSTITUTE(SUBSTITUTE(BC287,"@","")," ","")),BC287))</f>
        <v/>
      </c>
      <c r="N287" s="60">
        <f>IF(C287="","",IFERROR(INDEX('Saisie'!$D$5:$D$2004,_xlfn.MINIFS('Saisie'!$AS$5:$AS$2004,'Saisie'!$C$5:$C$2004,C287,'Saisie'!$AU$5:$AU$2004,1)-4),IFERROR(INDEX('Saisie'!$D$5:$D$2004,_xlfn.MINIFS('Saisie'!$AS$5:$AS$2004,'Saisie'!$C$5:$C$2004,C287,'Saisie'!$D$5:$D$2004,"&lt;&gt;")-4),"")))</f>
        <v/>
      </c>
      <c r="O287" s="60">
        <f>IF(C287="","",COUNTIFS('Saisie'!$C$5:$C$2004,C287,'Saisie'!$AU$5:$AU$2004,1))</f>
        <v/>
      </c>
      <c r="P287" s="60">
        <f>IF(C287="","",COUNTIFS('Saisie'!$C$5:$C$2004,C287,'Saisie'!$AV$5:$AV$2004,1))</f>
        <v/>
      </c>
      <c r="Q287" s="106">
        <f>IF(C287="","",IFERROR(1/(1/_xlfn.MAXIFS('Saisie'!$A$5:$A$2004,'Saisie'!$C$5:$C$2004,C287)),""))</f>
        <v/>
      </c>
      <c r="R287" s="61">
        <f>IF(C287="","",IF(Q287="","",TODAY()-Q287))</f>
        <v/>
      </c>
      <c r="S287" s="60">
        <f>IF(C287="","",IFERROR(INDEX('Saisie'!$R$5:$R$2004,_xlfn.MAXIFS('Saisie'!$AS$5:$AS$2004,'Saisie'!$C$5:$C$2004,C287,'Saisie'!$R$5:$R$2004,"&lt;&gt;")-4),""))</f>
        <v/>
      </c>
      <c r="T287" s="60">
        <f>IF(C287="","",IFERROR(INDEX('Saisie'!$S$5:$S$2004,_xlfn.MAXIFS('Saisie'!$AS$5:$AS$2004,'Saisie'!$C$5:$C$2004,C287,'Saisie'!$S$5:$S$2004,"&lt;&gt;")-4),""))</f>
        <v/>
      </c>
      <c r="U287" s="60">
        <f>IF(C287="","",IFERROR(INDEX('Saisie'!$T$5:$T$2004,_xlfn.MAXIFS('Saisie'!$AS$5:$AS$2004,'Saisie'!$C$5:$C$2004,C287,'Saisie'!$T$5:$T$2004,"&lt;&gt;")-4),""))</f>
        <v/>
      </c>
      <c r="V287" s="60">
        <f>IF(C287="","",IFERROR(INDEX('Saisie'!$V$5:$V$2004,_xlfn.MAXIFS('Saisie'!$AS$5:$AS$2004,'Saisie'!$C$5:$C$2004,C287,'Saisie'!$V$5:$V$2004,"&lt;&gt;")-4),""))</f>
        <v/>
      </c>
      <c r="W287" s="60">
        <f>IF(C287="","",IFERROR(INDEX('Saisie'!$Z$5:$Z$2004,_xlfn.MAXIFS('Saisie'!$AS$5:$AS$2004,'Saisie'!$C$5:$C$2004,C287,'Saisie'!$Z$5:$Z$2004,"&lt;&gt;")-4),""))</f>
        <v/>
      </c>
      <c r="X287" s="60">
        <f>IF(C287="","",IFERROR(INDEX('Saisie'!$AA$5:$AA$2004,_xlfn.MAXIFS('Saisie'!$AS$5:$AS$2004,'Saisie'!$C$5:$C$2004,C287,'Saisie'!$AA$5:$AA$2004,"&lt;&gt;")-4),""))</f>
        <v/>
      </c>
      <c r="Y287" s="60">
        <f>IF(C287="","",IFERROR(INDEX('Saisie'!$AB$5:$AB$2004,_xlfn.MAXIFS('Saisie'!$AS$5:$AS$2004,'Saisie'!$C$5:$C$2004,C287,'Saisie'!$AB$5:$AB$2004,"&lt;&gt;")-4),""))</f>
        <v/>
      </c>
      <c r="Z287" s="60">
        <f>IF(C287="","",IFERROR(INDEX('Saisie'!$AC$5:$AC$2004,_xlfn.MAXIFS('Saisie'!$AS$5:$AS$2004,'Saisie'!$C$5:$C$2004,C287,'Saisie'!$AC$5:$AC$2004,"&lt;&gt;")-4),""))</f>
        <v/>
      </c>
      <c r="AA287" s="106">
        <f>IF(C287="","",IFERROR(INDEX('Saisie'!$AD$5:$AD$2004,_xlfn.MAXIFS('Saisie'!$AS$5:$AS$2004,'Saisie'!$C$5:$C$2004,C287,'Saisie'!$AD$5:$AD$2004,"&lt;&gt;")-4),""))</f>
        <v/>
      </c>
      <c r="AB287" s="60">
        <f>IF(C287="","",IFERROR(INDEX('Saisie'!$AE$5:$AE$2004,_xlfn.MAXIFS('Saisie'!$AS$5:$AS$2004,'Saisie'!$C$5:$C$2004,C287,'Saisie'!$AE$5:$AE$2004,"&lt;&gt;")-4),""))</f>
        <v/>
      </c>
      <c r="AC287" s="60">
        <f>IF(C287="","",IFERROR(INDEX('Saisie'!$AF$5:$AF$2004,_xlfn.MAXIFS('Saisie'!$AS$5:$AS$2004,'Saisie'!$C$5:$C$2004,C287,'Saisie'!$AF$5:$AF$2004,"&lt;&gt;")-4),""))</f>
        <v/>
      </c>
      <c r="AD287" s="108">
        <f>IF(C287="","",IFERROR(INDEX('Saisie'!$AG$5:$AG$2004,_xlfn.MAXIFS('Saisie'!$AS$5:$AS$2004,'Saisie'!$C$5:$C$2004,C287,'Saisie'!$AG$5:$AG$2004,"&lt;&gt;")-4),""))</f>
        <v/>
      </c>
      <c r="AE287" s="60">
        <f>IF(C287="","",IFERROR(INDEX('Saisie'!$AH$5:$AH$2004,_xlfn.MAXIFS('Saisie'!$AS$5:$AS$2004,'Saisie'!$C$5:$C$2004,C287,'Saisie'!$AH$5:$AH$2004,"&lt;&gt;")-4),""))</f>
        <v/>
      </c>
      <c r="AF287" s="60">
        <f>IF(C287="","",IFERROR(INDEX('Saisie'!$AI$5:$AI$2004,_xlfn.MAXIFS('Saisie'!$AS$5:$AS$2004,'Saisie'!$C$5:$C$2004,C287,'Saisie'!$AI$5:$AI$2004,"&lt;&gt;")-4),""))</f>
        <v/>
      </c>
      <c r="AG287" s="60">
        <f>IF(C287="","",IFERROR(INDEX('Saisie'!$AJ$5:$AJ$2004,_xlfn.MAXIFS('Saisie'!$AS$5:$AS$2004,'Saisie'!$C$5:$C$2004,C287,'Saisie'!$AJ$5:$AJ$2004,"&lt;&gt;")-4),""))</f>
        <v/>
      </c>
      <c r="AH287" s="60">
        <f>IF(C287="","",IFERROR(INDEX('Saisie'!$AK$5:$AK$2004,_xlfn.MAXIFS('Saisie'!$AS$5:$AS$2004,'Saisie'!$C$5:$C$2004,C287,'Saisie'!$AK$5:$AK$2004,"&lt;&gt;")-4),""))</f>
        <v/>
      </c>
      <c r="AI287" s="60">
        <f>IF(C287="","",IFERROR(INDEX('Saisie'!$AN$5:$AN$2004,_xlfn.MAXIFS('Saisie'!$AS$5:$AS$2004,'Saisie'!$C$5:$C$2004,C287,'Saisie'!$AN$5:$AN$2004,"&lt;&gt;")-4),""))</f>
        <v/>
      </c>
      <c r="AJ287" s="60">
        <f>IF(C287="","",IFERROR(INDEX('Saisie'!$AO$5:$AO$2004,_xlfn.MAXIFS('Saisie'!$AS$5:$AS$2004,'Saisie'!$C$5:$C$2004,C287,'Saisie'!$AO$5:$AO$2004,"&lt;&gt;")-4),""))</f>
        <v/>
      </c>
      <c r="AK287" s="60">
        <f>IF(C287="","",IFERROR(INDEX('Saisie'!$AP$5:$AP$2004,_xlfn.MAXIFS('Saisie'!$AS$5:$AS$2004,'Saisie'!$C$5:$C$2004,C287,'Saisie'!$AP$5:$AP$2004,"&lt;&gt;")-4),""))</f>
        <v/>
      </c>
      <c r="AL287" s="60">
        <f>IF(C287="","",IFERROR(INDEX('Saisie'!$AQ$5:$AQ$2004,_xlfn.MAXIFS('Saisie'!$AS$5:$AS$2004,'Saisie'!$C$5:$C$2004,C287,'Saisie'!$AQ$5:$AQ$2004,"&lt;&gt;")-4),""))</f>
        <v/>
      </c>
      <c r="AM287" s="60">
        <f>IF(C287="","",((AI287="Oui")+(AJ287="Oui")+(AK287="Oui")+OR(AL287="Immédiat",AL287="&lt; 1 mois"))&amp;"/4")</f>
        <v/>
      </c>
      <c r="AN287" s="60">
        <f>IF(C287="","",IFERROR(INDEX('Saisie'!$AL$5:$AL$2004,_xlfn.MAXIFS('Saisie'!$AS$5:$AS$2004,'Saisie'!$C$5:$C$2004,C287,'Saisie'!$AL$5:$AL$2004,"&lt;&gt;")-4),""))</f>
        <v/>
      </c>
      <c r="AO287" s="62">
        <f>IF(C287="","",IF(IFERROR(INDEX('Saisie'!$AM$5:$AM$2004,_xlfn.MAXIFS('Saisie'!$AS$5:$AS$2004,'Saisie'!$C$5:$C$2004,C287,'Saisie'!$AM$5:$AM$2004,"&lt;&gt;")-4),"")&lt;&gt;"",IFERROR(INDEX('Saisie'!$AM$5:$AM$2004,_xlfn.MAXIFS('Saisie'!$AS$5:$AS$2004,'Saisie'!$C$5:$C$2004,C287,'Saisie'!$AM$5:$AM$2004,"&lt;&gt;")-4),""),IFERROR(INDEX('Paramètres'!$S$6:$S$15,MATCH(AN287,'Paramètres'!$Q$6:$Q$15,0)),"")))</f>
        <v/>
      </c>
      <c r="AP287" s="62">
        <f>IF(C287="","",IFERROR(INDEX('Saisie'!$AW$5:$AW$2004,_xlfn.MAXIFS('Saisie'!$AS$5:$AS$2004,'Saisie'!$C$5:$C$2004,C287,'Saisie'!$E$5:$E$2004,"Proposition envoyée")-4),""))</f>
        <v/>
      </c>
      <c r="AQ287" s="106">
        <f>IF(C287="","",IFERROR(1/(1/_xlfn.MAXIFS('Saisie'!$A$5:$A$2004,'Saisie'!$C$5:$C$2004,C287,'Saisie'!$E$5:$E$2004,"Proposition envoyée")),""))</f>
        <v/>
      </c>
      <c r="AR287" s="106">
        <f>IF(C287="","",IF(AQ287="","",AQ287+'Paramètres'!$B$26))</f>
        <v/>
      </c>
      <c r="AS287" s="62">
        <f>IF(OR(C287="",D287="Gagné",D287="Perdu"),0,N(AP287)*IFERROR(INDEX('Paramètres'!$G$6:$G$13,MATCH(D287,'Paramètres'!$F$6:$F$13,0)),0))</f>
        <v/>
      </c>
      <c r="AT287" s="106">
        <f>IF(C287="","",IFERROR(1/(1/_xlfn.MINIFS('Saisie'!$A$5:$A$2004,'Saisie'!$C$5:$C$2004,C287,'Saisie'!$E$5:$E$2004,"Signature")),""))</f>
        <v/>
      </c>
      <c r="AU287" s="60">
        <f>IF(C287="","",IF(OR(AT287="",B287=""),"",AT287-B287))</f>
        <v/>
      </c>
      <c r="AV287" s="60">
        <f>IF(C287="","",IFERROR(INDEX('Saisie'!$L$5:$L$2004,_xlfn.MAXIFS('Saisie'!$AS$5:$AS$2004,'Saisie'!$C$5:$C$2004,C287,'Saisie'!$L$5:$L$2004,"&lt;&gt;")-4),""))</f>
        <v/>
      </c>
      <c r="AW287" s="106">
        <f>IF(C287="","",IF(D287&lt;&gt;"Perdu","",IFERROR(1/(1/_xlfn.MAXIFS('Saisie'!$A$5:$A$2004,'Saisie'!$C$5:$C$2004,C287,'Saisie'!$E$5:$E$2004,"Perdu")),"")))</f>
        <v/>
      </c>
      <c r="AX287" s="106">
        <f>IF(C287="","",IF(AW287="","",AW287+'Paramètres'!$B$28))</f>
        <v/>
      </c>
      <c r="AY287" s="60">
        <f>IF(C287="","",SUMIFS('Saisie'!$H$5:$H$2004,'Saisie'!$C$5:$C$2004,C287))</f>
        <v/>
      </c>
      <c r="AZ287" s="60">
        <f>IF(C287="","",IFERROR(INDEX('Paramètres'!$W$6:$W$20,MATCH(S287,'Paramètres'!$V$6:$V$20,0))&amp;"",""))</f>
        <v/>
      </c>
      <c r="BA287" s="60">
        <f>IF(C287="","",MAX(1,_xlfn.MAXIFS('Saisie'!$AT$5:$AT$2004,'Saisie'!$C$5:$C$2004,C287)))</f>
        <v/>
      </c>
      <c r="BB287" s="60">
        <f>IF(C287="","",IFERROR(INDEX('Saisie'!$X$5:$X$2004,_xlfn.MAXIFS('Saisie'!$AS$5:$AS$2004,'Saisie'!$C$5:$C$2004,C287,'Saisie'!$X$5:$X$2004,"&lt;&gt;")-4),""))</f>
        <v/>
      </c>
      <c r="BC287" s="60">
        <f>IF(C287="","",IFERROR(INDEX('Saisie'!$Y$5:$Y$2004,_xlfn.MAXIFS('Saisie'!$AS$5:$AS$2004,'Saisie'!$C$5:$C$2004,C287,'Saisie'!$Y$5:$Y$2004,"&lt;&gt;")-4),""))</f>
        <v/>
      </c>
      <c r="BD287" s="106">
        <f>IF(C287="","",IFERROR(1/(1/_xlfn.MINIFS('Saisie'!$A$5:$A$2004,'Saisie'!$C$5:$C$2004,C287,'Saisie'!$AT$5:$AT$2004,"&gt;=2")),""))</f>
        <v/>
      </c>
      <c r="BE287" s="106">
        <f>IF(C287="","",IFERROR(1/(1/_xlfn.MINIFS('Saisie'!$A$5:$A$2004,'Saisie'!$C$5:$C$2004,C287,'Saisie'!$AT$5:$AT$2004,"&gt;=3")),""))</f>
        <v/>
      </c>
      <c r="BF287" s="106">
        <f>IF(C287="","",IFERROR(1/(1/_xlfn.MINIFS('Saisie'!$A$5:$A$2004,'Saisie'!$C$5:$C$2004,C287,'Saisie'!$AT$5:$AT$2004,"&gt;=4")),""))</f>
        <v/>
      </c>
      <c r="BG287" s="106">
        <f>IF(C287="","",IFERROR(1/(1/_xlfn.MINIFS('Saisie'!$A$5:$A$2004,'Saisie'!$C$5:$C$2004,C287,'Saisie'!$AT$5:$AT$2004,"&gt;=5")),""))</f>
        <v/>
      </c>
      <c r="BH287" s="106">
        <f>IF(C287="","",IFERROR(1/(1/_xlfn.MINIFS('Saisie'!$A$5:$A$2004,'Saisie'!$C$5:$C$2004,C287,'Saisie'!$AT$5:$AT$2004,"&gt;=6")),""))</f>
        <v/>
      </c>
      <c r="BI287" s="106">
        <f>IF(C287="","",IFERROR(1/(1/_xlfn.MINIFS('Saisie'!$A$5:$A$2004,'Saisie'!$C$5:$C$2004,C287,'Saisie'!$AT$5:$AT$2004,"&gt;=7")),""))</f>
        <v/>
      </c>
      <c r="BJ287" s="60">
        <f>IF(OR(BD287="",B287=""),"",BD287-B287)</f>
        <v/>
      </c>
      <c r="BK287" s="60">
        <f>IF(OR(BE287="",BD287=""),"",BE287-BD287)</f>
        <v/>
      </c>
      <c r="BL287" s="60">
        <f>IF(OR(BF287="",BE287=""),"",BF287-BE287)</f>
        <v/>
      </c>
      <c r="BM287" s="60">
        <f>IF(OR(BG287="",BF287=""),"",BG287-BF287)</f>
        <v/>
      </c>
      <c r="BN287" s="60">
        <f>IF(OR(BH287="",BG287=""),"",BH287-BG287)</f>
        <v/>
      </c>
      <c r="BO287" s="60">
        <f>IF(OR(BI287="",BH287=""),"",BI287-BH287)</f>
        <v/>
      </c>
      <c r="BP287" s="60">
        <f>IF(C287="","",_xlfn.MAXIFS('Saisie'!$AS$5:$AS$2004,'Saisie'!$C$5:$C$2004,C287,'Saisie'!$J$5:$J$2004,"&lt;&gt;"))</f>
        <v/>
      </c>
      <c r="BQ287" s="60">
        <f>IF(C287="","",_xlfn.MAXIFS('Saisie'!$AS$5:$AS$2004,'Saisie'!$C$5:$C$2004,C287))</f>
        <v/>
      </c>
      <c r="BR287" s="60">
        <f>IF(C287="","",_xlfn.MAXIFS('Saisie'!$AS$5:$AS$2004,'Saisie'!$C$5:$C$2004,C287,'Saisie'!$E$5:$E$2004,"Perdu"))</f>
        <v/>
      </c>
      <c r="BS287" s="60">
        <f>IF(C287="","",_xlfn.MAXIFS('Saisie'!$AS$5:$AS$2004,'Saisie'!$C$5:$C$2004,C287,'Saisie'!$AT$5:$AT$2004,"&gt;0"))</f>
        <v/>
      </c>
      <c r="BT287" s="109">
        <f>IF(AND(C287&lt;&gt;"",OR(D287="Nouveau",D287="Contacté",D287="Qualifié"),OR(G287="",N(G287)&lt;=TODAY()),NOT(AND(O287&gt;='Paramètres'!$B$21,P287=0))),E287+283/10000,"")</f>
        <v/>
      </c>
      <c r="BU287" s="60">
        <f>IF(AND(G287&lt;&gt;"",N(G287)&lt;=TODAY()),MAX($BU$4:BU286)+1,"")</f>
        <v/>
      </c>
      <c r="BV287" s="60">
        <f>IF(AND(F287&lt;&gt;"",F287&lt;&gt;"Relance en retard"),MAX($BV$4:BV286)+1,"")</f>
        <v/>
      </c>
      <c r="BW287" s="60">
        <f>IF(C287="","",IF(AND(B287&gt;='Tableau de bord'!$R$4,B287&lt;='Tableau de bord'!$S$4,OR('Tableau de bord'!$G$4="Tous",N287='Tableau de bord'!$G$4)),1,0))</f>
        <v/>
      </c>
      <c r="BX287" s="60">
        <f>IF(AND(C287&lt;&gt;"",N(BA287)=7),MAX($BX$4:BX286)+1,"")</f>
        <v/>
      </c>
    </row>
    <row r="288">
      <c r="A288" s="60">
        <f>IF(C288="","","P-"&amp;TEXT(284,"000"))</f>
        <v/>
      </c>
      <c r="B288" s="106">
        <f>IF(C288="","",IFERROR(1/(1/_xlfn.MINIFS('Saisie'!$A$5:$A$2004,'Saisie'!$C$5:$C$2004,C288)),""))</f>
        <v/>
      </c>
      <c r="C288" s="60">
        <f>IFERROR(INDEX('Saisie'!$C$5:$C$2004,MATCH(284,'Saisie'!$AX$5:$AX$2004,0)),"")</f>
        <v/>
      </c>
      <c r="D288" s="60">
        <f>IF(C288="","",IF(AND(BR288&gt;0,BR288&gt;BS288,BA288&lt;7),"Perdu",INDEX('Paramètres'!$F$6:$F$13,BA288)))</f>
        <v/>
      </c>
      <c r="E288" s="61">
        <f>IF(C288="","",MIN(100,(Z288="Oui")*'Paramètres'!$B$38+(AB288="Régulière")*'Paramètres'!$B$39+IF(AND(N(AA288)&gt;0,TODAY()-N(AA288)&lt;=30),'Paramètres'!$B$40,0)+(W288="")*'Paramètres'!$B$41+(AC288="Absente")*'Paramètres'!$B$42+(AC288="Faible")*'Paramètres'!$B$43+IF(AND(N(AD288)&gt;0,N(AD288)&lt;4),'Paramètres'!$B$44,0)+(AF288="Moyenne")*'Paramètres'!$B$45+(AF288="Grande")*'Paramètres'!$B$46+(Y288&lt;&gt;"")*'Paramètres'!$B$47))</f>
        <v/>
      </c>
      <c r="F288" s="60">
        <f>IF(C288="","",IF(D288="Gagné","",IF(D288="Perdu",IF(AND(AX288&lt;&gt;"",AX288&lt;=TODAY()),"À recontacter (perdu)",""),IF(AND(O288&gt;='Paramètres'!$B$21,P288=0),"Stop : "&amp;'Paramètres'!$B$21&amp;" tentatives sans réponse",IF(AND(D288="Proposition",AR288&lt;&gt;"",TODAY()&gt;N(AR288)),"Proposition expirée",IF(AND(D288="Proposition",N(R288)&gt;='Paramètres'!$B$25),"Proposition sans réponse",IF(AND(G288&lt;&gt;"",N(G288)&lt;TODAY()),"Relance en retard",IF(N(R288)&gt;='Paramètres'!$B$24,"Sans action depuis "&amp;R288&amp;" j",""))))))))</f>
        <v/>
      </c>
      <c r="G288" s="106">
        <f>IF(OR(C288="",D288="Gagné",D288="Perdu"),"",IF(AND(BP288&gt;0,BP288=BQ288),INDEX('Saisie'!$J$5:$J$2004,BP288-4),IF(OR(O288=0,AND(O288&gt;='Paramètres'!$B$21,P288=0)),"",Q288+IF(O288&lt;=1,'Paramètres'!$B$18,IF(O288=2,'Paramètres'!$B$19,'Paramètres'!$B$20)))))</f>
        <v/>
      </c>
      <c r="H288" s="107">
        <f>IF(OR(G288="",BP288&lt;&gt;BQ288),"",IF(INDEX('Saisie'!$K$5:$K$2004,BP288-4)="","",INDEX('Saisie'!$K$5:$K$2004,BP288-4)))</f>
        <v/>
      </c>
      <c r="I288" s="60">
        <f>IF(C288="","",IF(OR(D288="Gagné",D288="Perdu"),"",IFERROR(INDEX('Saisie'!$I$5:$I$2004,_xlfn.MAXIFS('Saisie'!$AS$5:$AS$2004,'Saisie'!$C$5:$C$2004,C288,'Saisie'!$I$5:$I$2004,"&lt;&gt;")-4),"")))</f>
        <v/>
      </c>
      <c r="J288" s="60">
        <f>IF(C288="","",IFERROR(INDEX('Saisie'!$U$5:$U$2004,_xlfn.MAXIFS('Saisie'!$AS$5:$AS$2004,'Saisie'!$C$5:$C$2004,C288,'Saisie'!$U$5:$U$2004,"&lt;&gt;")-4),""))</f>
        <v/>
      </c>
      <c r="K288" s="60">
        <f>IF(C288="","",IFERROR(INDEX('Saisie'!$W$5:$W$2004,_xlfn.MAXIFS('Saisie'!$AS$5:$AS$2004,'Saisie'!$C$5:$C$2004,C288,'Saisie'!$W$5:$W$2004,"&lt;&gt;")-4),""))</f>
        <v/>
      </c>
      <c r="L288" s="60">
        <f>IF(IF(BB288&lt;&gt;"",BB288,K288)="","",HYPERLINK("https://wa.me/"&amp;IF(LEFT(SUBSTITUTE(SUBSTITUTE(SUBSTITUTE(IF(BB288&lt;&gt;"",BB288,K288)," ",""),".",""),"+",""),1)="0",'Paramètres'!$B$35&amp;MID(SUBSTITUTE(SUBSTITUTE(SUBSTITUTE(IF(BB288&lt;&gt;"",BB288,K288)," ",""),".",""),"+",""),2,20),SUBSTITUTE(SUBSTITUTE(SUBSTITUTE(IF(BB288&lt;&gt;"",BB288,K288)," ",""),".",""),"+","")),"WhatsApp"))</f>
        <v/>
      </c>
      <c r="M288" s="60">
        <f>IF(BC288="","",HYPERLINK(IF(LEFT(BC288,4)="http",BC288,"https://www.instagram.com/"&amp;SUBSTITUTE(SUBSTITUTE(BC288,"@","")," ","")),BC288))</f>
        <v/>
      </c>
      <c r="N288" s="60">
        <f>IF(C288="","",IFERROR(INDEX('Saisie'!$D$5:$D$2004,_xlfn.MINIFS('Saisie'!$AS$5:$AS$2004,'Saisie'!$C$5:$C$2004,C288,'Saisie'!$AU$5:$AU$2004,1)-4),IFERROR(INDEX('Saisie'!$D$5:$D$2004,_xlfn.MINIFS('Saisie'!$AS$5:$AS$2004,'Saisie'!$C$5:$C$2004,C288,'Saisie'!$D$5:$D$2004,"&lt;&gt;")-4),"")))</f>
        <v/>
      </c>
      <c r="O288" s="60">
        <f>IF(C288="","",COUNTIFS('Saisie'!$C$5:$C$2004,C288,'Saisie'!$AU$5:$AU$2004,1))</f>
        <v/>
      </c>
      <c r="P288" s="60">
        <f>IF(C288="","",COUNTIFS('Saisie'!$C$5:$C$2004,C288,'Saisie'!$AV$5:$AV$2004,1))</f>
        <v/>
      </c>
      <c r="Q288" s="106">
        <f>IF(C288="","",IFERROR(1/(1/_xlfn.MAXIFS('Saisie'!$A$5:$A$2004,'Saisie'!$C$5:$C$2004,C288)),""))</f>
        <v/>
      </c>
      <c r="R288" s="61">
        <f>IF(C288="","",IF(Q288="","",TODAY()-Q288))</f>
        <v/>
      </c>
      <c r="S288" s="60">
        <f>IF(C288="","",IFERROR(INDEX('Saisie'!$R$5:$R$2004,_xlfn.MAXIFS('Saisie'!$AS$5:$AS$2004,'Saisie'!$C$5:$C$2004,C288,'Saisie'!$R$5:$R$2004,"&lt;&gt;")-4),""))</f>
        <v/>
      </c>
      <c r="T288" s="60">
        <f>IF(C288="","",IFERROR(INDEX('Saisie'!$S$5:$S$2004,_xlfn.MAXIFS('Saisie'!$AS$5:$AS$2004,'Saisie'!$C$5:$C$2004,C288,'Saisie'!$S$5:$S$2004,"&lt;&gt;")-4),""))</f>
        <v/>
      </c>
      <c r="U288" s="60">
        <f>IF(C288="","",IFERROR(INDEX('Saisie'!$T$5:$T$2004,_xlfn.MAXIFS('Saisie'!$AS$5:$AS$2004,'Saisie'!$C$5:$C$2004,C288,'Saisie'!$T$5:$T$2004,"&lt;&gt;")-4),""))</f>
        <v/>
      </c>
      <c r="V288" s="60">
        <f>IF(C288="","",IFERROR(INDEX('Saisie'!$V$5:$V$2004,_xlfn.MAXIFS('Saisie'!$AS$5:$AS$2004,'Saisie'!$C$5:$C$2004,C288,'Saisie'!$V$5:$V$2004,"&lt;&gt;")-4),""))</f>
        <v/>
      </c>
      <c r="W288" s="60">
        <f>IF(C288="","",IFERROR(INDEX('Saisie'!$Z$5:$Z$2004,_xlfn.MAXIFS('Saisie'!$AS$5:$AS$2004,'Saisie'!$C$5:$C$2004,C288,'Saisie'!$Z$5:$Z$2004,"&lt;&gt;")-4),""))</f>
        <v/>
      </c>
      <c r="X288" s="60">
        <f>IF(C288="","",IFERROR(INDEX('Saisie'!$AA$5:$AA$2004,_xlfn.MAXIFS('Saisie'!$AS$5:$AS$2004,'Saisie'!$C$5:$C$2004,C288,'Saisie'!$AA$5:$AA$2004,"&lt;&gt;")-4),""))</f>
        <v/>
      </c>
      <c r="Y288" s="60">
        <f>IF(C288="","",IFERROR(INDEX('Saisie'!$AB$5:$AB$2004,_xlfn.MAXIFS('Saisie'!$AS$5:$AS$2004,'Saisie'!$C$5:$C$2004,C288,'Saisie'!$AB$5:$AB$2004,"&lt;&gt;")-4),""))</f>
        <v/>
      </c>
      <c r="Z288" s="60">
        <f>IF(C288="","",IFERROR(INDEX('Saisie'!$AC$5:$AC$2004,_xlfn.MAXIFS('Saisie'!$AS$5:$AS$2004,'Saisie'!$C$5:$C$2004,C288,'Saisie'!$AC$5:$AC$2004,"&lt;&gt;")-4),""))</f>
        <v/>
      </c>
      <c r="AA288" s="106">
        <f>IF(C288="","",IFERROR(INDEX('Saisie'!$AD$5:$AD$2004,_xlfn.MAXIFS('Saisie'!$AS$5:$AS$2004,'Saisie'!$C$5:$C$2004,C288,'Saisie'!$AD$5:$AD$2004,"&lt;&gt;")-4),""))</f>
        <v/>
      </c>
      <c r="AB288" s="60">
        <f>IF(C288="","",IFERROR(INDEX('Saisie'!$AE$5:$AE$2004,_xlfn.MAXIFS('Saisie'!$AS$5:$AS$2004,'Saisie'!$C$5:$C$2004,C288,'Saisie'!$AE$5:$AE$2004,"&lt;&gt;")-4),""))</f>
        <v/>
      </c>
      <c r="AC288" s="60">
        <f>IF(C288="","",IFERROR(INDEX('Saisie'!$AF$5:$AF$2004,_xlfn.MAXIFS('Saisie'!$AS$5:$AS$2004,'Saisie'!$C$5:$C$2004,C288,'Saisie'!$AF$5:$AF$2004,"&lt;&gt;")-4),""))</f>
        <v/>
      </c>
      <c r="AD288" s="108">
        <f>IF(C288="","",IFERROR(INDEX('Saisie'!$AG$5:$AG$2004,_xlfn.MAXIFS('Saisie'!$AS$5:$AS$2004,'Saisie'!$C$5:$C$2004,C288,'Saisie'!$AG$5:$AG$2004,"&lt;&gt;")-4),""))</f>
        <v/>
      </c>
      <c r="AE288" s="60">
        <f>IF(C288="","",IFERROR(INDEX('Saisie'!$AH$5:$AH$2004,_xlfn.MAXIFS('Saisie'!$AS$5:$AS$2004,'Saisie'!$C$5:$C$2004,C288,'Saisie'!$AH$5:$AH$2004,"&lt;&gt;")-4),""))</f>
        <v/>
      </c>
      <c r="AF288" s="60">
        <f>IF(C288="","",IFERROR(INDEX('Saisie'!$AI$5:$AI$2004,_xlfn.MAXIFS('Saisie'!$AS$5:$AS$2004,'Saisie'!$C$5:$C$2004,C288,'Saisie'!$AI$5:$AI$2004,"&lt;&gt;")-4),""))</f>
        <v/>
      </c>
      <c r="AG288" s="60">
        <f>IF(C288="","",IFERROR(INDEX('Saisie'!$AJ$5:$AJ$2004,_xlfn.MAXIFS('Saisie'!$AS$5:$AS$2004,'Saisie'!$C$5:$C$2004,C288,'Saisie'!$AJ$5:$AJ$2004,"&lt;&gt;")-4),""))</f>
        <v/>
      </c>
      <c r="AH288" s="60">
        <f>IF(C288="","",IFERROR(INDEX('Saisie'!$AK$5:$AK$2004,_xlfn.MAXIFS('Saisie'!$AS$5:$AS$2004,'Saisie'!$C$5:$C$2004,C288,'Saisie'!$AK$5:$AK$2004,"&lt;&gt;")-4),""))</f>
        <v/>
      </c>
      <c r="AI288" s="60">
        <f>IF(C288="","",IFERROR(INDEX('Saisie'!$AN$5:$AN$2004,_xlfn.MAXIFS('Saisie'!$AS$5:$AS$2004,'Saisie'!$C$5:$C$2004,C288,'Saisie'!$AN$5:$AN$2004,"&lt;&gt;")-4),""))</f>
        <v/>
      </c>
      <c r="AJ288" s="60">
        <f>IF(C288="","",IFERROR(INDEX('Saisie'!$AO$5:$AO$2004,_xlfn.MAXIFS('Saisie'!$AS$5:$AS$2004,'Saisie'!$C$5:$C$2004,C288,'Saisie'!$AO$5:$AO$2004,"&lt;&gt;")-4),""))</f>
        <v/>
      </c>
      <c r="AK288" s="60">
        <f>IF(C288="","",IFERROR(INDEX('Saisie'!$AP$5:$AP$2004,_xlfn.MAXIFS('Saisie'!$AS$5:$AS$2004,'Saisie'!$C$5:$C$2004,C288,'Saisie'!$AP$5:$AP$2004,"&lt;&gt;")-4),""))</f>
        <v/>
      </c>
      <c r="AL288" s="60">
        <f>IF(C288="","",IFERROR(INDEX('Saisie'!$AQ$5:$AQ$2004,_xlfn.MAXIFS('Saisie'!$AS$5:$AS$2004,'Saisie'!$C$5:$C$2004,C288,'Saisie'!$AQ$5:$AQ$2004,"&lt;&gt;")-4),""))</f>
        <v/>
      </c>
      <c r="AM288" s="60">
        <f>IF(C288="","",((AI288="Oui")+(AJ288="Oui")+(AK288="Oui")+OR(AL288="Immédiat",AL288="&lt; 1 mois"))&amp;"/4")</f>
        <v/>
      </c>
      <c r="AN288" s="60">
        <f>IF(C288="","",IFERROR(INDEX('Saisie'!$AL$5:$AL$2004,_xlfn.MAXIFS('Saisie'!$AS$5:$AS$2004,'Saisie'!$C$5:$C$2004,C288,'Saisie'!$AL$5:$AL$2004,"&lt;&gt;")-4),""))</f>
        <v/>
      </c>
      <c r="AO288" s="62">
        <f>IF(C288="","",IF(IFERROR(INDEX('Saisie'!$AM$5:$AM$2004,_xlfn.MAXIFS('Saisie'!$AS$5:$AS$2004,'Saisie'!$C$5:$C$2004,C288,'Saisie'!$AM$5:$AM$2004,"&lt;&gt;")-4),"")&lt;&gt;"",IFERROR(INDEX('Saisie'!$AM$5:$AM$2004,_xlfn.MAXIFS('Saisie'!$AS$5:$AS$2004,'Saisie'!$C$5:$C$2004,C288,'Saisie'!$AM$5:$AM$2004,"&lt;&gt;")-4),""),IFERROR(INDEX('Paramètres'!$S$6:$S$15,MATCH(AN288,'Paramètres'!$Q$6:$Q$15,0)),"")))</f>
        <v/>
      </c>
      <c r="AP288" s="62">
        <f>IF(C288="","",IFERROR(INDEX('Saisie'!$AW$5:$AW$2004,_xlfn.MAXIFS('Saisie'!$AS$5:$AS$2004,'Saisie'!$C$5:$C$2004,C288,'Saisie'!$E$5:$E$2004,"Proposition envoyée")-4),""))</f>
        <v/>
      </c>
      <c r="AQ288" s="106">
        <f>IF(C288="","",IFERROR(1/(1/_xlfn.MAXIFS('Saisie'!$A$5:$A$2004,'Saisie'!$C$5:$C$2004,C288,'Saisie'!$E$5:$E$2004,"Proposition envoyée")),""))</f>
        <v/>
      </c>
      <c r="AR288" s="106">
        <f>IF(C288="","",IF(AQ288="","",AQ288+'Paramètres'!$B$26))</f>
        <v/>
      </c>
      <c r="AS288" s="62">
        <f>IF(OR(C288="",D288="Gagné",D288="Perdu"),0,N(AP288)*IFERROR(INDEX('Paramètres'!$G$6:$G$13,MATCH(D288,'Paramètres'!$F$6:$F$13,0)),0))</f>
        <v/>
      </c>
      <c r="AT288" s="106">
        <f>IF(C288="","",IFERROR(1/(1/_xlfn.MINIFS('Saisie'!$A$5:$A$2004,'Saisie'!$C$5:$C$2004,C288,'Saisie'!$E$5:$E$2004,"Signature")),""))</f>
        <v/>
      </c>
      <c r="AU288" s="60">
        <f>IF(C288="","",IF(OR(AT288="",B288=""),"",AT288-B288))</f>
        <v/>
      </c>
      <c r="AV288" s="60">
        <f>IF(C288="","",IFERROR(INDEX('Saisie'!$L$5:$L$2004,_xlfn.MAXIFS('Saisie'!$AS$5:$AS$2004,'Saisie'!$C$5:$C$2004,C288,'Saisie'!$L$5:$L$2004,"&lt;&gt;")-4),""))</f>
        <v/>
      </c>
      <c r="AW288" s="106">
        <f>IF(C288="","",IF(D288&lt;&gt;"Perdu","",IFERROR(1/(1/_xlfn.MAXIFS('Saisie'!$A$5:$A$2004,'Saisie'!$C$5:$C$2004,C288,'Saisie'!$E$5:$E$2004,"Perdu")),"")))</f>
        <v/>
      </c>
      <c r="AX288" s="106">
        <f>IF(C288="","",IF(AW288="","",AW288+'Paramètres'!$B$28))</f>
        <v/>
      </c>
      <c r="AY288" s="60">
        <f>IF(C288="","",SUMIFS('Saisie'!$H$5:$H$2004,'Saisie'!$C$5:$C$2004,C288))</f>
        <v/>
      </c>
      <c r="AZ288" s="60">
        <f>IF(C288="","",IFERROR(INDEX('Paramètres'!$W$6:$W$20,MATCH(S288,'Paramètres'!$V$6:$V$20,0))&amp;"",""))</f>
        <v/>
      </c>
      <c r="BA288" s="60">
        <f>IF(C288="","",MAX(1,_xlfn.MAXIFS('Saisie'!$AT$5:$AT$2004,'Saisie'!$C$5:$C$2004,C288)))</f>
        <v/>
      </c>
      <c r="BB288" s="60">
        <f>IF(C288="","",IFERROR(INDEX('Saisie'!$X$5:$X$2004,_xlfn.MAXIFS('Saisie'!$AS$5:$AS$2004,'Saisie'!$C$5:$C$2004,C288,'Saisie'!$X$5:$X$2004,"&lt;&gt;")-4),""))</f>
        <v/>
      </c>
      <c r="BC288" s="60">
        <f>IF(C288="","",IFERROR(INDEX('Saisie'!$Y$5:$Y$2004,_xlfn.MAXIFS('Saisie'!$AS$5:$AS$2004,'Saisie'!$C$5:$C$2004,C288,'Saisie'!$Y$5:$Y$2004,"&lt;&gt;")-4),""))</f>
        <v/>
      </c>
      <c r="BD288" s="106">
        <f>IF(C288="","",IFERROR(1/(1/_xlfn.MINIFS('Saisie'!$A$5:$A$2004,'Saisie'!$C$5:$C$2004,C288,'Saisie'!$AT$5:$AT$2004,"&gt;=2")),""))</f>
        <v/>
      </c>
      <c r="BE288" s="106">
        <f>IF(C288="","",IFERROR(1/(1/_xlfn.MINIFS('Saisie'!$A$5:$A$2004,'Saisie'!$C$5:$C$2004,C288,'Saisie'!$AT$5:$AT$2004,"&gt;=3")),""))</f>
        <v/>
      </c>
      <c r="BF288" s="106">
        <f>IF(C288="","",IFERROR(1/(1/_xlfn.MINIFS('Saisie'!$A$5:$A$2004,'Saisie'!$C$5:$C$2004,C288,'Saisie'!$AT$5:$AT$2004,"&gt;=4")),""))</f>
        <v/>
      </c>
      <c r="BG288" s="106">
        <f>IF(C288="","",IFERROR(1/(1/_xlfn.MINIFS('Saisie'!$A$5:$A$2004,'Saisie'!$C$5:$C$2004,C288,'Saisie'!$AT$5:$AT$2004,"&gt;=5")),""))</f>
        <v/>
      </c>
      <c r="BH288" s="106">
        <f>IF(C288="","",IFERROR(1/(1/_xlfn.MINIFS('Saisie'!$A$5:$A$2004,'Saisie'!$C$5:$C$2004,C288,'Saisie'!$AT$5:$AT$2004,"&gt;=6")),""))</f>
        <v/>
      </c>
      <c r="BI288" s="106">
        <f>IF(C288="","",IFERROR(1/(1/_xlfn.MINIFS('Saisie'!$A$5:$A$2004,'Saisie'!$C$5:$C$2004,C288,'Saisie'!$AT$5:$AT$2004,"&gt;=7")),""))</f>
        <v/>
      </c>
      <c r="BJ288" s="60">
        <f>IF(OR(BD288="",B288=""),"",BD288-B288)</f>
        <v/>
      </c>
      <c r="BK288" s="60">
        <f>IF(OR(BE288="",BD288=""),"",BE288-BD288)</f>
        <v/>
      </c>
      <c r="BL288" s="60">
        <f>IF(OR(BF288="",BE288=""),"",BF288-BE288)</f>
        <v/>
      </c>
      <c r="BM288" s="60">
        <f>IF(OR(BG288="",BF288=""),"",BG288-BF288)</f>
        <v/>
      </c>
      <c r="BN288" s="60">
        <f>IF(OR(BH288="",BG288=""),"",BH288-BG288)</f>
        <v/>
      </c>
      <c r="BO288" s="60">
        <f>IF(OR(BI288="",BH288=""),"",BI288-BH288)</f>
        <v/>
      </c>
      <c r="BP288" s="60">
        <f>IF(C288="","",_xlfn.MAXIFS('Saisie'!$AS$5:$AS$2004,'Saisie'!$C$5:$C$2004,C288,'Saisie'!$J$5:$J$2004,"&lt;&gt;"))</f>
        <v/>
      </c>
      <c r="BQ288" s="60">
        <f>IF(C288="","",_xlfn.MAXIFS('Saisie'!$AS$5:$AS$2004,'Saisie'!$C$5:$C$2004,C288))</f>
        <v/>
      </c>
      <c r="BR288" s="60">
        <f>IF(C288="","",_xlfn.MAXIFS('Saisie'!$AS$5:$AS$2004,'Saisie'!$C$5:$C$2004,C288,'Saisie'!$E$5:$E$2004,"Perdu"))</f>
        <v/>
      </c>
      <c r="BS288" s="60">
        <f>IF(C288="","",_xlfn.MAXIFS('Saisie'!$AS$5:$AS$2004,'Saisie'!$C$5:$C$2004,C288,'Saisie'!$AT$5:$AT$2004,"&gt;0"))</f>
        <v/>
      </c>
      <c r="BT288" s="109">
        <f>IF(AND(C288&lt;&gt;"",OR(D288="Nouveau",D288="Contacté",D288="Qualifié"),OR(G288="",N(G288)&lt;=TODAY()),NOT(AND(O288&gt;='Paramètres'!$B$21,P288=0))),E288+284/10000,"")</f>
        <v/>
      </c>
      <c r="BU288" s="60">
        <f>IF(AND(G288&lt;&gt;"",N(G288)&lt;=TODAY()),MAX($BU$4:BU287)+1,"")</f>
        <v/>
      </c>
      <c r="BV288" s="60">
        <f>IF(AND(F288&lt;&gt;"",F288&lt;&gt;"Relance en retard"),MAX($BV$4:BV287)+1,"")</f>
        <v/>
      </c>
      <c r="BW288" s="60">
        <f>IF(C288="","",IF(AND(B288&gt;='Tableau de bord'!$R$4,B288&lt;='Tableau de bord'!$S$4,OR('Tableau de bord'!$G$4="Tous",N288='Tableau de bord'!$G$4)),1,0))</f>
        <v/>
      </c>
      <c r="BX288" s="60">
        <f>IF(AND(C288&lt;&gt;"",N(BA288)=7),MAX($BX$4:BX287)+1,"")</f>
        <v/>
      </c>
    </row>
    <row r="289">
      <c r="A289" s="60">
        <f>IF(C289="","","P-"&amp;TEXT(285,"000"))</f>
        <v/>
      </c>
      <c r="B289" s="106">
        <f>IF(C289="","",IFERROR(1/(1/_xlfn.MINIFS('Saisie'!$A$5:$A$2004,'Saisie'!$C$5:$C$2004,C289)),""))</f>
        <v/>
      </c>
      <c r="C289" s="60">
        <f>IFERROR(INDEX('Saisie'!$C$5:$C$2004,MATCH(285,'Saisie'!$AX$5:$AX$2004,0)),"")</f>
        <v/>
      </c>
      <c r="D289" s="60">
        <f>IF(C289="","",IF(AND(BR289&gt;0,BR289&gt;BS289,BA289&lt;7),"Perdu",INDEX('Paramètres'!$F$6:$F$13,BA289)))</f>
        <v/>
      </c>
      <c r="E289" s="61">
        <f>IF(C289="","",MIN(100,(Z289="Oui")*'Paramètres'!$B$38+(AB289="Régulière")*'Paramètres'!$B$39+IF(AND(N(AA289)&gt;0,TODAY()-N(AA289)&lt;=30),'Paramètres'!$B$40,0)+(W289="")*'Paramètres'!$B$41+(AC289="Absente")*'Paramètres'!$B$42+(AC289="Faible")*'Paramètres'!$B$43+IF(AND(N(AD289)&gt;0,N(AD289)&lt;4),'Paramètres'!$B$44,0)+(AF289="Moyenne")*'Paramètres'!$B$45+(AF289="Grande")*'Paramètres'!$B$46+(Y289&lt;&gt;"")*'Paramètres'!$B$47))</f>
        <v/>
      </c>
      <c r="F289" s="60">
        <f>IF(C289="","",IF(D289="Gagné","",IF(D289="Perdu",IF(AND(AX289&lt;&gt;"",AX289&lt;=TODAY()),"À recontacter (perdu)",""),IF(AND(O289&gt;='Paramètres'!$B$21,P289=0),"Stop : "&amp;'Paramètres'!$B$21&amp;" tentatives sans réponse",IF(AND(D289="Proposition",AR289&lt;&gt;"",TODAY()&gt;N(AR289)),"Proposition expirée",IF(AND(D289="Proposition",N(R289)&gt;='Paramètres'!$B$25),"Proposition sans réponse",IF(AND(G289&lt;&gt;"",N(G289)&lt;TODAY()),"Relance en retard",IF(N(R289)&gt;='Paramètres'!$B$24,"Sans action depuis "&amp;R289&amp;" j",""))))))))</f>
        <v/>
      </c>
      <c r="G289" s="106">
        <f>IF(OR(C289="",D289="Gagné",D289="Perdu"),"",IF(AND(BP289&gt;0,BP289=BQ289),INDEX('Saisie'!$J$5:$J$2004,BP289-4),IF(OR(O289=0,AND(O289&gt;='Paramètres'!$B$21,P289=0)),"",Q289+IF(O289&lt;=1,'Paramètres'!$B$18,IF(O289=2,'Paramètres'!$B$19,'Paramètres'!$B$20)))))</f>
        <v/>
      </c>
      <c r="H289" s="107">
        <f>IF(OR(G289="",BP289&lt;&gt;BQ289),"",IF(INDEX('Saisie'!$K$5:$K$2004,BP289-4)="","",INDEX('Saisie'!$K$5:$K$2004,BP289-4)))</f>
        <v/>
      </c>
      <c r="I289" s="60">
        <f>IF(C289="","",IF(OR(D289="Gagné",D289="Perdu"),"",IFERROR(INDEX('Saisie'!$I$5:$I$2004,_xlfn.MAXIFS('Saisie'!$AS$5:$AS$2004,'Saisie'!$C$5:$C$2004,C289,'Saisie'!$I$5:$I$2004,"&lt;&gt;")-4),"")))</f>
        <v/>
      </c>
      <c r="J289" s="60">
        <f>IF(C289="","",IFERROR(INDEX('Saisie'!$U$5:$U$2004,_xlfn.MAXIFS('Saisie'!$AS$5:$AS$2004,'Saisie'!$C$5:$C$2004,C289,'Saisie'!$U$5:$U$2004,"&lt;&gt;")-4),""))</f>
        <v/>
      </c>
      <c r="K289" s="60">
        <f>IF(C289="","",IFERROR(INDEX('Saisie'!$W$5:$W$2004,_xlfn.MAXIFS('Saisie'!$AS$5:$AS$2004,'Saisie'!$C$5:$C$2004,C289,'Saisie'!$W$5:$W$2004,"&lt;&gt;")-4),""))</f>
        <v/>
      </c>
      <c r="L289" s="60">
        <f>IF(IF(BB289&lt;&gt;"",BB289,K289)="","",HYPERLINK("https://wa.me/"&amp;IF(LEFT(SUBSTITUTE(SUBSTITUTE(SUBSTITUTE(IF(BB289&lt;&gt;"",BB289,K289)," ",""),".",""),"+",""),1)="0",'Paramètres'!$B$35&amp;MID(SUBSTITUTE(SUBSTITUTE(SUBSTITUTE(IF(BB289&lt;&gt;"",BB289,K289)," ",""),".",""),"+",""),2,20),SUBSTITUTE(SUBSTITUTE(SUBSTITUTE(IF(BB289&lt;&gt;"",BB289,K289)," ",""),".",""),"+","")),"WhatsApp"))</f>
        <v/>
      </c>
      <c r="M289" s="60">
        <f>IF(BC289="","",HYPERLINK(IF(LEFT(BC289,4)="http",BC289,"https://www.instagram.com/"&amp;SUBSTITUTE(SUBSTITUTE(BC289,"@","")," ","")),BC289))</f>
        <v/>
      </c>
      <c r="N289" s="60">
        <f>IF(C289="","",IFERROR(INDEX('Saisie'!$D$5:$D$2004,_xlfn.MINIFS('Saisie'!$AS$5:$AS$2004,'Saisie'!$C$5:$C$2004,C289,'Saisie'!$AU$5:$AU$2004,1)-4),IFERROR(INDEX('Saisie'!$D$5:$D$2004,_xlfn.MINIFS('Saisie'!$AS$5:$AS$2004,'Saisie'!$C$5:$C$2004,C289,'Saisie'!$D$5:$D$2004,"&lt;&gt;")-4),"")))</f>
        <v/>
      </c>
      <c r="O289" s="60">
        <f>IF(C289="","",COUNTIFS('Saisie'!$C$5:$C$2004,C289,'Saisie'!$AU$5:$AU$2004,1))</f>
        <v/>
      </c>
      <c r="P289" s="60">
        <f>IF(C289="","",COUNTIFS('Saisie'!$C$5:$C$2004,C289,'Saisie'!$AV$5:$AV$2004,1))</f>
        <v/>
      </c>
      <c r="Q289" s="106">
        <f>IF(C289="","",IFERROR(1/(1/_xlfn.MAXIFS('Saisie'!$A$5:$A$2004,'Saisie'!$C$5:$C$2004,C289)),""))</f>
        <v/>
      </c>
      <c r="R289" s="61">
        <f>IF(C289="","",IF(Q289="","",TODAY()-Q289))</f>
        <v/>
      </c>
      <c r="S289" s="60">
        <f>IF(C289="","",IFERROR(INDEX('Saisie'!$R$5:$R$2004,_xlfn.MAXIFS('Saisie'!$AS$5:$AS$2004,'Saisie'!$C$5:$C$2004,C289,'Saisie'!$R$5:$R$2004,"&lt;&gt;")-4),""))</f>
        <v/>
      </c>
      <c r="T289" s="60">
        <f>IF(C289="","",IFERROR(INDEX('Saisie'!$S$5:$S$2004,_xlfn.MAXIFS('Saisie'!$AS$5:$AS$2004,'Saisie'!$C$5:$C$2004,C289,'Saisie'!$S$5:$S$2004,"&lt;&gt;")-4),""))</f>
        <v/>
      </c>
      <c r="U289" s="60">
        <f>IF(C289="","",IFERROR(INDEX('Saisie'!$T$5:$T$2004,_xlfn.MAXIFS('Saisie'!$AS$5:$AS$2004,'Saisie'!$C$5:$C$2004,C289,'Saisie'!$T$5:$T$2004,"&lt;&gt;")-4),""))</f>
        <v/>
      </c>
      <c r="V289" s="60">
        <f>IF(C289="","",IFERROR(INDEX('Saisie'!$V$5:$V$2004,_xlfn.MAXIFS('Saisie'!$AS$5:$AS$2004,'Saisie'!$C$5:$C$2004,C289,'Saisie'!$V$5:$V$2004,"&lt;&gt;")-4),""))</f>
        <v/>
      </c>
      <c r="W289" s="60">
        <f>IF(C289="","",IFERROR(INDEX('Saisie'!$Z$5:$Z$2004,_xlfn.MAXIFS('Saisie'!$AS$5:$AS$2004,'Saisie'!$C$5:$C$2004,C289,'Saisie'!$Z$5:$Z$2004,"&lt;&gt;")-4),""))</f>
        <v/>
      </c>
      <c r="X289" s="60">
        <f>IF(C289="","",IFERROR(INDEX('Saisie'!$AA$5:$AA$2004,_xlfn.MAXIFS('Saisie'!$AS$5:$AS$2004,'Saisie'!$C$5:$C$2004,C289,'Saisie'!$AA$5:$AA$2004,"&lt;&gt;")-4),""))</f>
        <v/>
      </c>
      <c r="Y289" s="60">
        <f>IF(C289="","",IFERROR(INDEX('Saisie'!$AB$5:$AB$2004,_xlfn.MAXIFS('Saisie'!$AS$5:$AS$2004,'Saisie'!$C$5:$C$2004,C289,'Saisie'!$AB$5:$AB$2004,"&lt;&gt;")-4),""))</f>
        <v/>
      </c>
      <c r="Z289" s="60">
        <f>IF(C289="","",IFERROR(INDEX('Saisie'!$AC$5:$AC$2004,_xlfn.MAXIFS('Saisie'!$AS$5:$AS$2004,'Saisie'!$C$5:$C$2004,C289,'Saisie'!$AC$5:$AC$2004,"&lt;&gt;")-4),""))</f>
        <v/>
      </c>
      <c r="AA289" s="106">
        <f>IF(C289="","",IFERROR(INDEX('Saisie'!$AD$5:$AD$2004,_xlfn.MAXIFS('Saisie'!$AS$5:$AS$2004,'Saisie'!$C$5:$C$2004,C289,'Saisie'!$AD$5:$AD$2004,"&lt;&gt;")-4),""))</f>
        <v/>
      </c>
      <c r="AB289" s="60">
        <f>IF(C289="","",IFERROR(INDEX('Saisie'!$AE$5:$AE$2004,_xlfn.MAXIFS('Saisie'!$AS$5:$AS$2004,'Saisie'!$C$5:$C$2004,C289,'Saisie'!$AE$5:$AE$2004,"&lt;&gt;")-4),""))</f>
        <v/>
      </c>
      <c r="AC289" s="60">
        <f>IF(C289="","",IFERROR(INDEX('Saisie'!$AF$5:$AF$2004,_xlfn.MAXIFS('Saisie'!$AS$5:$AS$2004,'Saisie'!$C$5:$C$2004,C289,'Saisie'!$AF$5:$AF$2004,"&lt;&gt;")-4),""))</f>
        <v/>
      </c>
      <c r="AD289" s="108">
        <f>IF(C289="","",IFERROR(INDEX('Saisie'!$AG$5:$AG$2004,_xlfn.MAXIFS('Saisie'!$AS$5:$AS$2004,'Saisie'!$C$5:$C$2004,C289,'Saisie'!$AG$5:$AG$2004,"&lt;&gt;")-4),""))</f>
        <v/>
      </c>
      <c r="AE289" s="60">
        <f>IF(C289="","",IFERROR(INDEX('Saisie'!$AH$5:$AH$2004,_xlfn.MAXIFS('Saisie'!$AS$5:$AS$2004,'Saisie'!$C$5:$C$2004,C289,'Saisie'!$AH$5:$AH$2004,"&lt;&gt;")-4),""))</f>
        <v/>
      </c>
      <c r="AF289" s="60">
        <f>IF(C289="","",IFERROR(INDEX('Saisie'!$AI$5:$AI$2004,_xlfn.MAXIFS('Saisie'!$AS$5:$AS$2004,'Saisie'!$C$5:$C$2004,C289,'Saisie'!$AI$5:$AI$2004,"&lt;&gt;")-4),""))</f>
        <v/>
      </c>
      <c r="AG289" s="60">
        <f>IF(C289="","",IFERROR(INDEX('Saisie'!$AJ$5:$AJ$2004,_xlfn.MAXIFS('Saisie'!$AS$5:$AS$2004,'Saisie'!$C$5:$C$2004,C289,'Saisie'!$AJ$5:$AJ$2004,"&lt;&gt;")-4),""))</f>
        <v/>
      </c>
      <c r="AH289" s="60">
        <f>IF(C289="","",IFERROR(INDEX('Saisie'!$AK$5:$AK$2004,_xlfn.MAXIFS('Saisie'!$AS$5:$AS$2004,'Saisie'!$C$5:$C$2004,C289,'Saisie'!$AK$5:$AK$2004,"&lt;&gt;")-4),""))</f>
        <v/>
      </c>
      <c r="AI289" s="60">
        <f>IF(C289="","",IFERROR(INDEX('Saisie'!$AN$5:$AN$2004,_xlfn.MAXIFS('Saisie'!$AS$5:$AS$2004,'Saisie'!$C$5:$C$2004,C289,'Saisie'!$AN$5:$AN$2004,"&lt;&gt;")-4),""))</f>
        <v/>
      </c>
      <c r="AJ289" s="60">
        <f>IF(C289="","",IFERROR(INDEX('Saisie'!$AO$5:$AO$2004,_xlfn.MAXIFS('Saisie'!$AS$5:$AS$2004,'Saisie'!$C$5:$C$2004,C289,'Saisie'!$AO$5:$AO$2004,"&lt;&gt;")-4),""))</f>
        <v/>
      </c>
      <c r="AK289" s="60">
        <f>IF(C289="","",IFERROR(INDEX('Saisie'!$AP$5:$AP$2004,_xlfn.MAXIFS('Saisie'!$AS$5:$AS$2004,'Saisie'!$C$5:$C$2004,C289,'Saisie'!$AP$5:$AP$2004,"&lt;&gt;")-4),""))</f>
        <v/>
      </c>
      <c r="AL289" s="60">
        <f>IF(C289="","",IFERROR(INDEX('Saisie'!$AQ$5:$AQ$2004,_xlfn.MAXIFS('Saisie'!$AS$5:$AS$2004,'Saisie'!$C$5:$C$2004,C289,'Saisie'!$AQ$5:$AQ$2004,"&lt;&gt;")-4),""))</f>
        <v/>
      </c>
      <c r="AM289" s="60">
        <f>IF(C289="","",((AI289="Oui")+(AJ289="Oui")+(AK289="Oui")+OR(AL289="Immédiat",AL289="&lt; 1 mois"))&amp;"/4")</f>
        <v/>
      </c>
      <c r="AN289" s="60">
        <f>IF(C289="","",IFERROR(INDEX('Saisie'!$AL$5:$AL$2004,_xlfn.MAXIFS('Saisie'!$AS$5:$AS$2004,'Saisie'!$C$5:$C$2004,C289,'Saisie'!$AL$5:$AL$2004,"&lt;&gt;")-4),""))</f>
        <v/>
      </c>
      <c r="AO289" s="62">
        <f>IF(C289="","",IF(IFERROR(INDEX('Saisie'!$AM$5:$AM$2004,_xlfn.MAXIFS('Saisie'!$AS$5:$AS$2004,'Saisie'!$C$5:$C$2004,C289,'Saisie'!$AM$5:$AM$2004,"&lt;&gt;")-4),"")&lt;&gt;"",IFERROR(INDEX('Saisie'!$AM$5:$AM$2004,_xlfn.MAXIFS('Saisie'!$AS$5:$AS$2004,'Saisie'!$C$5:$C$2004,C289,'Saisie'!$AM$5:$AM$2004,"&lt;&gt;")-4),""),IFERROR(INDEX('Paramètres'!$S$6:$S$15,MATCH(AN289,'Paramètres'!$Q$6:$Q$15,0)),"")))</f>
        <v/>
      </c>
      <c r="AP289" s="62">
        <f>IF(C289="","",IFERROR(INDEX('Saisie'!$AW$5:$AW$2004,_xlfn.MAXIFS('Saisie'!$AS$5:$AS$2004,'Saisie'!$C$5:$C$2004,C289,'Saisie'!$E$5:$E$2004,"Proposition envoyée")-4),""))</f>
        <v/>
      </c>
      <c r="AQ289" s="106">
        <f>IF(C289="","",IFERROR(1/(1/_xlfn.MAXIFS('Saisie'!$A$5:$A$2004,'Saisie'!$C$5:$C$2004,C289,'Saisie'!$E$5:$E$2004,"Proposition envoyée")),""))</f>
        <v/>
      </c>
      <c r="AR289" s="106">
        <f>IF(C289="","",IF(AQ289="","",AQ289+'Paramètres'!$B$26))</f>
        <v/>
      </c>
      <c r="AS289" s="62">
        <f>IF(OR(C289="",D289="Gagné",D289="Perdu"),0,N(AP289)*IFERROR(INDEX('Paramètres'!$G$6:$G$13,MATCH(D289,'Paramètres'!$F$6:$F$13,0)),0))</f>
        <v/>
      </c>
      <c r="AT289" s="106">
        <f>IF(C289="","",IFERROR(1/(1/_xlfn.MINIFS('Saisie'!$A$5:$A$2004,'Saisie'!$C$5:$C$2004,C289,'Saisie'!$E$5:$E$2004,"Signature")),""))</f>
        <v/>
      </c>
      <c r="AU289" s="60">
        <f>IF(C289="","",IF(OR(AT289="",B289=""),"",AT289-B289))</f>
        <v/>
      </c>
      <c r="AV289" s="60">
        <f>IF(C289="","",IFERROR(INDEX('Saisie'!$L$5:$L$2004,_xlfn.MAXIFS('Saisie'!$AS$5:$AS$2004,'Saisie'!$C$5:$C$2004,C289,'Saisie'!$L$5:$L$2004,"&lt;&gt;")-4),""))</f>
        <v/>
      </c>
      <c r="AW289" s="106">
        <f>IF(C289="","",IF(D289&lt;&gt;"Perdu","",IFERROR(1/(1/_xlfn.MAXIFS('Saisie'!$A$5:$A$2004,'Saisie'!$C$5:$C$2004,C289,'Saisie'!$E$5:$E$2004,"Perdu")),"")))</f>
        <v/>
      </c>
      <c r="AX289" s="106">
        <f>IF(C289="","",IF(AW289="","",AW289+'Paramètres'!$B$28))</f>
        <v/>
      </c>
      <c r="AY289" s="60">
        <f>IF(C289="","",SUMIFS('Saisie'!$H$5:$H$2004,'Saisie'!$C$5:$C$2004,C289))</f>
        <v/>
      </c>
      <c r="AZ289" s="60">
        <f>IF(C289="","",IFERROR(INDEX('Paramètres'!$W$6:$W$20,MATCH(S289,'Paramètres'!$V$6:$V$20,0))&amp;"",""))</f>
        <v/>
      </c>
      <c r="BA289" s="60">
        <f>IF(C289="","",MAX(1,_xlfn.MAXIFS('Saisie'!$AT$5:$AT$2004,'Saisie'!$C$5:$C$2004,C289)))</f>
        <v/>
      </c>
      <c r="BB289" s="60">
        <f>IF(C289="","",IFERROR(INDEX('Saisie'!$X$5:$X$2004,_xlfn.MAXIFS('Saisie'!$AS$5:$AS$2004,'Saisie'!$C$5:$C$2004,C289,'Saisie'!$X$5:$X$2004,"&lt;&gt;")-4),""))</f>
        <v/>
      </c>
      <c r="BC289" s="60">
        <f>IF(C289="","",IFERROR(INDEX('Saisie'!$Y$5:$Y$2004,_xlfn.MAXIFS('Saisie'!$AS$5:$AS$2004,'Saisie'!$C$5:$C$2004,C289,'Saisie'!$Y$5:$Y$2004,"&lt;&gt;")-4),""))</f>
        <v/>
      </c>
      <c r="BD289" s="106">
        <f>IF(C289="","",IFERROR(1/(1/_xlfn.MINIFS('Saisie'!$A$5:$A$2004,'Saisie'!$C$5:$C$2004,C289,'Saisie'!$AT$5:$AT$2004,"&gt;=2")),""))</f>
        <v/>
      </c>
      <c r="BE289" s="106">
        <f>IF(C289="","",IFERROR(1/(1/_xlfn.MINIFS('Saisie'!$A$5:$A$2004,'Saisie'!$C$5:$C$2004,C289,'Saisie'!$AT$5:$AT$2004,"&gt;=3")),""))</f>
        <v/>
      </c>
      <c r="BF289" s="106">
        <f>IF(C289="","",IFERROR(1/(1/_xlfn.MINIFS('Saisie'!$A$5:$A$2004,'Saisie'!$C$5:$C$2004,C289,'Saisie'!$AT$5:$AT$2004,"&gt;=4")),""))</f>
        <v/>
      </c>
      <c r="BG289" s="106">
        <f>IF(C289="","",IFERROR(1/(1/_xlfn.MINIFS('Saisie'!$A$5:$A$2004,'Saisie'!$C$5:$C$2004,C289,'Saisie'!$AT$5:$AT$2004,"&gt;=5")),""))</f>
        <v/>
      </c>
      <c r="BH289" s="106">
        <f>IF(C289="","",IFERROR(1/(1/_xlfn.MINIFS('Saisie'!$A$5:$A$2004,'Saisie'!$C$5:$C$2004,C289,'Saisie'!$AT$5:$AT$2004,"&gt;=6")),""))</f>
        <v/>
      </c>
      <c r="BI289" s="106">
        <f>IF(C289="","",IFERROR(1/(1/_xlfn.MINIFS('Saisie'!$A$5:$A$2004,'Saisie'!$C$5:$C$2004,C289,'Saisie'!$AT$5:$AT$2004,"&gt;=7")),""))</f>
        <v/>
      </c>
      <c r="BJ289" s="60">
        <f>IF(OR(BD289="",B289=""),"",BD289-B289)</f>
        <v/>
      </c>
      <c r="BK289" s="60">
        <f>IF(OR(BE289="",BD289=""),"",BE289-BD289)</f>
        <v/>
      </c>
      <c r="BL289" s="60">
        <f>IF(OR(BF289="",BE289=""),"",BF289-BE289)</f>
        <v/>
      </c>
      <c r="BM289" s="60">
        <f>IF(OR(BG289="",BF289=""),"",BG289-BF289)</f>
        <v/>
      </c>
      <c r="BN289" s="60">
        <f>IF(OR(BH289="",BG289=""),"",BH289-BG289)</f>
        <v/>
      </c>
      <c r="BO289" s="60">
        <f>IF(OR(BI289="",BH289=""),"",BI289-BH289)</f>
        <v/>
      </c>
      <c r="BP289" s="60">
        <f>IF(C289="","",_xlfn.MAXIFS('Saisie'!$AS$5:$AS$2004,'Saisie'!$C$5:$C$2004,C289,'Saisie'!$J$5:$J$2004,"&lt;&gt;"))</f>
        <v/>
      </c>
      <c r="BQ289" s="60">
        <f>IF(C289="","",_xlfn.MAXIFS('Saisie'!$AS$5:$AS$2004,'Saisie'!$C$5:$C$2004,C289))</f>
        <v/>
      </c>
      <c r="BR289" s="60">
        <f>IF(C289="","",_xlfn.MAXIFS('Saisie'!$AS$5:$AS$2004,'Saisie'!$C$5:$C$2004,C289,'Saisie'!$E$5:$E$2004,"Perdu"))</f>
        <v/>
      </c>
      <c r="BS289" s="60">
        <f>IF(C289="","",_xlfn.MAXIFS('Saisie'!$AS$5:$AS$2004,'Saisie'!$C$5:$C$2004,C289,'Saisie'!$AT$5:$AT$2004,"&gt;0"))</f>
        <v/>
      </c>
      <c r="BT289" s="109">
        <f>IF(AND(C289&lt;&gt;"",OR(D289="Nouveau",D289="Contacté",D289="Qualifié"),OR(G289="",N(G289)&lt;=TODAY()),NOT(AND(O289&gt;='Paramètres'!$B$21,P289=0))),E289+285/10000,"")</f>
        <v/>
      </c>
      <c r="BU289" s="60">
        <f>IF(AND(G289&lt;&gt;"",N(G289)&lt;=TODAY()),MAX($BU$4:BU288)+1,"")</f>
        <v/>
      </c>
      <c r="BV289" s="60">
        <f>IF(AND(F289&lt;&gt;"",F289&lt;&gt;"Relance en retard"),MAX($BV$4:BV288)+1,"")</f>
        <v/>
      </c>
      <c r="BW289" s="60">
        <f>IF(C289="","",IF(AND(B289&gt;='Tableau de bord'!$R$4,B289&lt;='Tableau de bord'!$S$4,OR('Tableau de bord'!$G$4="Tous",N289='Tableau de bord'!$G$4)),1,0))</f>
        <v/>
      </c>
      <c r="BX289" s="60">
        <f>IF(AND(C289&lt;&gt;"",N(BA289)=7),MAX($BX$4:BX288)+1,"")</f>
        <v/>
      </c>
    </row>
    <row r="290">
      <c r="A290" s="60">
        <f>IF(C290="","","P-"&amp;TEXT(286,"000"))</f>
        <v/>
      </c>
      <c r="B290" s="106">
        <f>IF(C290="","",IFERROR(1/(1/_xlfn.MINIFS('Saisie'!$A$5:$A$2004,'Saisie'!$C$5:$C$2004,C290)),""))</f>
        <v/>
      </c>
      <c r="C290" s="60">
        <f>IFERROR(INDEX('Saisie'!$C$5:$C$2004,MATCH(286,'Saisie'!$AX$5:$AX$2004,0)),"")</f>
        <v/>
      </c>
      <c r="D290" s="60">
        <f>IF(C290="","",IF(AND(BR290&gt;0,BR290&gt;BS290,BA290&lt;7),"Perdu",INDEX('Paramètres'!$F$6:$F$13,BA290)))</f>
        <v/>
      </c>
      <c r="E290" s="61">
        <f>IF(C290="","",MIN(100,(Z290="Oui")*'Paramètres'!$B$38+(AB290="Régulière")*'Paramètres'!$B$39+IF(AND(N(AA290)&gt;0,TODAY()-N(AA290)&lt;=30),'Paramètres'!$B$40,0)+(W290="")*'Paramètres'!$B$41+(AC290="Absente")*'Paramètres'!$B$42+(AC290="Faible")*'Paramètres'!$B$43+IF(AND(N(AD290)&gt;0,N(AD290)&lt;4),'Paramètres'!$B$44,0)+(AF290="Moyenne")*'Paramètres'!$B$45+(AF290="Grande")*'Paramètres'!$B$46+(Y290&lt;&gt;"")*'Paramètres'!$B$47))</f>
        <v/>
      </c>
      <c r="F290" s="60">
        <f>IF(C290="","",IF(D290="Gagné","",IF(D290="Perdu",IF(AND(AX290&lt;&gt;"",AX290&lt;=TODAY()),"À recontacter (perdu)",""),IF(AND(O290&gt;='Paramètres'!$B$21,P290=0),"Stop : "&amp;'Paramètres'!$B$21&amp;" tentatives sans réponse",IF(AND(D290="Proposition",AR290&lt;&gt;"",TODAY()&gt;N(AR290)),"Proposition expirée",IF(AND(D290="Proposition",N(R290)&gt;='Paramètres'!$B$25),"Proposition sans réponse",IF(AND(G290&lt;&gt;"",N(G290)&lt;TODAY()),"Relance en retard",IF(N(R290)&gt;='Paramètres'!$B$24,"Sans action depuis "&amp;R290&amp;" j",""))))))))</f>
        <v/>
      </c>
      <c r="G290" s="106">
        <f>IF(OR(C290="",D290="Gagné",D290="Perdu"),"",IF(AND(BP290&gt;0,BP290=BQ290),INDEX('Saisie'!$J$5:$J$2004,BP290-4),IF(OR(O290=0,AND(O290&gt;='Paramètres'!$B$21,P290=0)),"",Q290+IF(O290&lt;=1,'Paramètres'!$B$18,IF(O290=2,'Paramètres'!$B$19,'Paramètres'!$B$20)))))</f>
        <v/>
      </c>
      <c r="H290" s="107">
        <f>IF(OR(G290="",BP290&lt;&gt;BQ290),"",IF(INDEX('Saisie'!$K$5:$K$2004,BP290-4)="","",INDEX('Saisie'!$K$5:$K$2004,BP290-4)))</f>
        <v/>
      </c>
      <c r="I290" s="60">
        <f>IF(C290="","",IF(OR(D290="Gagné",D290="Perdu"),"",IFERROR(INDEX('Saisie'!$I$5:$I$2004,_xlfn.MAXIFS('Saisie'!$AS$5:$AS$2004,'Saisie'!$C$5:$C$2004,C290,'Saisie'!$I$5:$I$2004,"&lt;&gt;")-4),"")))</f>
        <v/>
      </c>
      <c r="J290" s="60">
        <f>IF(C290="","",IFERROR(INDEX('Saisie'!$U$5:$U$2004,_xlfn.MAXIFS('Saisie'!$AS$5:$AS$2004,'Saisie'!$C$5:$C$2004,C290,'Saisie'!$U$5:$U$2004,"&lt;&gt;")-4),""))</f>
        <v/>
      </c>
      <c r="K290" s="60">
        <f>IF(C290="","",IFERROR(INDEX('Saisie'!$W$5:$W$2004,_xlfn.MAXIFS('Saisie'!$AS$5:$AS$2004,'Saisie'!$C$5:$C$2004,C290,'Saisie'!$W$5:$W$2004,"&lt;&gt;")-4),""))</f>
        <v/>
      </c>
      <c r="L290" s="60">
        <f>IF(IF(BB290&lt;&gt;"",BB290,K290)="","",HYPERLINK("https://wa.me/"&amp;IF(LEFT(SUBSTITUTE(SUBSTITUTE(SUBSTITUTE(IF(BB290&lt;&gt;"",BB290,K290)," ",""),".",""),"+",""),1)="0",'Paramètres'!$B$35&amp;MID(SUBSTITUTE(SUBSTITUTE(SUBSTITUTE(IF(BB290&lt;&gt;"",BB290,K290)," ",""),".",""),"+",""),2,20),SUBSTITUTE(SUBSTITUTE(SUBSTITUTE(IF(BB290&lt;&gt;"",BB290,K290)," ",""),".",""),"+","")),"WhatsApp"))</f>
        <v/>
      </c>
      <c r="M290" s="60">
        <f>IF(BC290="","",HYPERLINK(IF(LEFT(BC290,4)="http",BC290,"https://www.instagram.com/"&amp;SUBSTITUTE(SUBSTITUTE(BC290,"@","")," ","")),BC290))</f>
        <v/>
      </c>
      <c r="N290" s="60">
        <f>IF(C290="","",IFERROR(INDEX('Saisie'!$D$5:$D$2004,_xlfn.MINIFS('Saisie'!$AS$5:$AS$2004,'Saisie'!$C$5:$C$2004,C290,'Saisie'!$AU$5:$AU$2004,1)-4),IFERROR(INDEX('Saisie'!$D$5:$D$2004,_xlfn.MINIFS('Saisie'!$AS$5:$AS$2004,'Saisie'!$C$5:$C$2004,C290,'Saisie'!$D$5:$D$2004,"&lt;&gt;")-4),"")))</f>
        <v/>
      </c>
      <c r="O290" s="60">
        <f>IF(C290="","",COUNTIFS('Saisie'!$C$5:$C$2004,C290,'Saisie'!$AU$5:$AU$2004,1))</f>
        <v/>
      </c>
      <c r="P290" s="60">
        <f>IF(C290="","",COUNTIFS('Saisie'!$C$5:$C$2004,C290,'Saisie'!$AV$5:$AV$2004,1))</f>
        <v/>
      </c>
      <c r="Q290" s="106">
        <f>IF(C290="","",IFERROR(1/(1/_xlfn.MAXIFS('Saisie'!$A$5:$A$2004,'Saisie'!$C$5:$C$2004,C290)),""))</f>
        <v/>
      </c>
      <c r="R290" s="61">
        <f>IF(C290="","",IF(Q290="","",TODAY()-Q290))</f>
        <v/>
      </c>
      <c r="S290" s="60">
        <f>IF(C290="","",IFERROR(INDEX('Saisie'!$R$5:$R$2004,_xlfn.MAXIFS('Saisie'!$AS$5:$AS$2004,'Saisie'!$C$5:$C$2004,C290,'Saisie'!$R$5:$R$2004,"&lt;&gt;")-4),""))</f>
        <v/>
      </c>
      <c r="T290" s="60">
        <f>IF(C290="","",IFERROR(INDEX('Saisie'!$S$5:$S$2004,_xlfn.MAXIFS('Saisie'!$AS$5:$AS$2004,'Saisie'!$C$5:$C$2004,C290,'Saisie'!$S$5:$S$2004,"&lt;&gt;")-4),""))</f>
        <v/>
      </c>
      <c r="U290" s="60">
        <f>IF(C290="","",IFERROR(INDEX('Saisie'!$T$5:$T$2004,_xlfn.MAXIFS('Saisie'!$AS$5:$AS$2004,'Saisie'!$C$5:$C$2004,C290,'Saisie'!$T$5:$T$2004,"&lt;&gt;")-4),""))</f>
        <v/>
      </c>
      <c r="V290" s="60">
        <f>IF(C290="","",IFERROR(INDEX('Saisie'!$V$5:$V$2004,_xlfn.MAXIFS('Saisie'!$AS$5:$AS$2004,'Saisie'!$C$5:$C$2004,C290,'Saisie'!$V$5:$V$2004,"&lt;&gt;")-4),""))</f>
        <v/>
      </c>
      <c r="W290" s="60">
        <f>IF(C290="","",IFERROR(INDEX('Saisie'!$Z$5:$Z$2004,_xlfn.MAXIFS('Saisie'!$AS$5:$AS$2004,'Saisie'!$C$5:$C$2004,C290,'Saisie'!$Z$5:$Z$2004,"&lt;&gt;")-4),""))</f>
        <v/>
      </c>
      <c r="X290" s="60">
        <f>IF(C290="","",IFERROR(INDEX('Saisie'!$AA$5:$AA$2004,_xlfn.MAXIFS('Saisie'!$AS$5:$AS$2004,'Saisie'!$C$5:$C$2004,C290,'Saisie'!$AA$5:$AA$2004,"&lt;&gt;")-4),""))</f>
        <v/>
      </c>
      <c r="Y290" s="60">
        <f>IF(C290="","",IFERROR(INDEX('Saisie'!$AB$5:$AB$2004,_xlfn.MAXIFS('Saisie'!$AS$5:$AS$2004,'Saisie'!$C$5:$C$2004,C290,'Saisie'!$AB$5:$AB$2004,"&lt;&gt;")-4),""))</f>
        <v/>
      </c>
      <c r="Z290" s="60">
        <f>IF(C290="","",IFERROR(INDEX('Saisie'!$AC$5:$AC$2004,_xlfn.MAXIFS('Saisie'!$AS$5:$AS$2004,'Saisie'!$C$5:$C$2004,C290,'Saisie'!$AC$5:$AC$2004,"&lt;&gt;")-4),""))</f>
        <v/>
      </c>
      <c r="AA290" s="106">
        <f>IF(C290="","",IFERROR(INDEX('Saisie'!$AD$5:$AD$2004,_xlfn.MAXIFS('Saisie'!$AS$5:$AS$2004,'Saisie'!$C$5:$C$2004,C290,'Saisie'!$AD$5:$AD$2004,"&lt;&gt;")-4),""))</f>
        <v/>
      </c>
      <c r="AB290" s="60">
        <f>IF(C290="","",IFERROR(INDEX('Saisie'!$AE$5:$AE$2004,_xlfn.MAXIFS('Saisie'!$AS$5:$AS$2004,'Saisie'!$C$5:$C$2004,C290,'Saisie'!$AE$5:$AE$2004,"&lt;&gt;")-4),""))</f>
        <v/>
      </c>
      <c r="AC290" s="60">
        <f>IF(C290="","",IFERROR(INDEX('Saisie'!$AF$5:$AF$2004,_xlfn.MAXIFS('Saisie'!$AS$5:$AS$2004,'Saisie'!$C$5:$C$2004,C290,'Saisie'!$AF$5:$AF$2004,"&lt;&gt;")-4),""))</f>
        <v/>
      </c>
      <c r="AD290" s="108">
        <f>IF(C290="","",IFERROR(INDEX('Saisie'!$AG$5:$AG$2004,_xlfn.MAXIFS('Saisie'!$AS$5:$AS$2004,'Saisie'!$C$5:$C$2004,C290,'Saisie'!$AG$5:$AG$2004,"&lt;&gt;")-4),""))</f>
        <v/>
      </c>
      <c r="AE290" s="60">
        <f>IF(C290="","",IFERROR(INDEX('Saisie'!$AH$5:$AH$2004,_xlfn.MAXIFS('Saisie'!$AS$5:$AS$2004,'Saisie'!$C$5:$C$2004,C290,'Saisie'!$AH$5:$AH$2004,"&lt;&gt;")-4),""))</f>
        <v/>
      </c>
      <c r="AF290" s="60">
        <f>IF(C290="","",IFERROR(INDEX('Saisie'!$AI$5:$AI$2004,_xlfn.MAXIFS('Saisie'!$AS$5:$AS$2004,'Saisie'!$C$5:$C$2004,C290,'Saisie'!$AI$5:$AI$2004,"&lt;&gt;")-4),""))</f>
        <v/>
      </c>
      <c r="AG290" s="60">
        <f>IF(C290="","",IFERROR(INDEX('Saisie'!$AJ$5:$AJ$2004,_xlfn.MAXIFS('Saisie'!$AS$5:$AS$2004,'Saisie'!$C$5:$C$2004,C290,'Saisie'!$AJ$5:$AJ$2004,"&lt;&gt;")-4),""))</f>
        <v/>
      </c>
      <c r="AH290" s="60">
        <f>IF(C290="","",IFERROR(INDEX('Saisie'!$AK$5:$AK$2004,_xlfn.MAXIFS('Saisie'!$AS$5:$AS$2004,'Saisie'!$C$5:$C$2004,C290,'Saisie'!$AK$5:$AK$2004,"&lt;&gt;")-4),""))</f>
        <v/>
      </c>
      <c r="AI290" s="60">
        <f>IF(C290="","",IFERROR(INDEX('Saisie'!$AN$5:$AN$2004,_xlfn.MAXIFS('Saisie'!$AS$5:$AS$2004,'Saisie'!$C$5:$C$2004,C290,'Saisie'!$AN$5:$AN$2004,"&lt;&gt;")-4),""))</f>
        <v/>
      </c>
      <c r="AJ290" s="60">
        <f>IF(C290="","",IFERROR(INDEX('Saisie'!$AO$5:$AO$2004,_xlfn.MAXIFS('Saisie'!$AS$5:$AS$2004,'Saisie'!$C$5:$C$2004,C290,'Saisie'!$AO$5:$AO$2004,"&lt;&gt;")-4),""))</f>
        <v/>
      </c>
      <c r="AK290" s="60">
        <f>IF(C290="","",IFERROR(INDEX('Saisie'!$AP$5:$AP$2004,_xlfn.MAXIFS('Saisie'!$AS$5:$AS$2004,'Saisie'!$C$5:$C$2004,C290,'Saisie'!$AP$5:$AP$2004,"&lt;&gt;")-4),""))</f>
        <v/>
      </c>
      <c r="AL290" s="60">
        <f>IF(C290="","",IFERROR(INDEX('Saisie'!$AQ$5:$AQ$2004,_xlfn.MAXIFS('Saisie'!$AS$5:$AS$2004,'Saisie'!$C$5:$C$2004,C290,'Saisie'!$AQ$5:$AQ$2004,"&lt;&gt;")-4),""))</f>
        <v/>
      </c>
      <c r="AM290" s="60">
        <f>IF(C290="","",((AI290="Oui")+(AJ290="Oui")+(AK290="Oui")+OR(AL290="Immédiat",AL290="&lt; 1 mois"))&amp;"/4")</f>
        <v/>
      </c>
      <c r="AN290" s="60">
        <f>IF(C290="","",IFERROR(INDEX('Saisie'!$AL$5:$AL$2004,_xlfn.MAXIFS('Saisie'!$AS$5:$AS$2004,'Saisie'!$C$5:$C$2004,C290,'Saisie'!$AL$5:$AL$2004,"&lt;&gt;")-4),""))</f>
        <v/>
      </c>
      <c r="AO290" s="62">
        <f>IF(C290="","",IF(IFERROR(INDEX('Saisie'!$AM$5:$AM$2004,_xlfn.MAXIFS('Saisie'!$AS$5:$AS$2004,'Saisie'!$C$5:$C$2004,C290,'Saisie'!$AM$5:$AM$2004,"&lt;&gt;")-4),"")&lt;&gt;"",IFERROR(INDEX('Saisie'!$AM$5:$AM$2004,_xlfn.MAXIFS('Saisie'!$AS$5:$AS$2004,'Saisie'!$C$5:$C$2004,C290,'Saisie'!$AM$5:$AM$2004,"&lt;&gt;")-4),""),IFERROR(INDEX('Paramètres'!$S$6:$S$15,MATCH(AN290,'Paramètres'!$Q$6:$Q$15,0)),"")))</f>
        <v/>
      </c>
      <c r="AP290" s="62">
        <f>IF(C290="","",IFERROR(INDEX('Saisie'!$AW$5:$AW$2004,_xlfn.MAXIFS('Saisie'!$AS$5:$AS$2004,'Saisie'!$C$5:$C$2004,C290,'Saisie'!$E$5:$E$2004,"Proposition envoyée")-4),""))</f>
        <v/>
      </c>
      <c r="AQ290" s="106">
        <f>IF(C290="","",IFERROR(1/(1/_xlfn.MAXIFS('Saisie'!$A$5:$A$2004,'Saisie'!$C$5:$C$2004,C290,'Saisie'!$E$5:$E$2004,"Proposition envoyée")),""))</f>
        <v/>
      </c>
      <c r="AR290" s="106">
        <f>IF(C290="","",IF(AQ290="","",AQ290+'Paramètres'!$B$26))</f>
        <v/>
      </c>
      <c r="AS290" s="62">
        <f>IF(OR(C290="",D290="Gagné",D290="Perdu"),0,N(AP290)*IFERROR(INDEX('Paramètres'!$G$6:$G$13,MATCH(D290,'Paramètres'!$F$6:$F$13,0)),0))</f>
        <v/>
      </c>
      <c r="AT290" s="106">
        <f>IF(C290="","",IFERROR(1/(1/_xlfn.MINIFS('Saisie'!$A$5:$A$2004,'Saisie'!$C$5:$C$2004,C290,'Saisie'!$E$5:$E$2004,"Signature")),""))</f>
        <v/>
      </c>
      <c r="AU290" s="60">
        <f>IF(C290="","",IF(OR(AT290="",B290=""),"",AT290-B290))</f>
        <v/>
      </c>
      <c r="AV290" s="60">
        <f>IF(C290="","",IFERROR(INDEX('Saisie'!$L$5:$L$2004,_xlfn.MAXIFS('Saisie'!$AS$5:$AS$2004,'Saisie'!$C$5:$C$2004,C290,'Saisie'!$L$5:$L$2004,"&lt;&gt;")-4),""))</f>
        <v/>
      </c>
      <c r="AW290" s="106">
        <f>IF(C290="","",IF(D290&lt;&gt;"Perdu","",IFERROR(1/(1/_xlfn.MAXIFS('Saisie'!$A$5:$A$2004,'Saisie'!$C$5:$C$2004,C290,'Saisie'!$E$5:$E$2004,"Perdu")),"")))</f>
        <v/>
      </c>
      <c r="AX290" s="106">
        <f>IF(C290="","",IF(AW290="","",AW290+'Paramètres'!$B$28))</f>
        <v/>
      </c>
      <c r="AY290" s="60">
        <f>IF(C290="","",SUMIFS('Saisie'!$H$5:$H$2004,'Saisie'!$C$5:$C$2004,C290))</f>
        <v/>
      </c>
      <c r="AZ290" s="60">
        <f>IF(C290="","",IFERROR(INDEX('Paramètres'!$W$6:$W$20,MATCH(S290,'Paramètres'!$V$6:$V$20,0))&amp;"",""))</f>
        <v/>
      </c>
      <c r="BA290" s="60">
        <f>IF(C290="","",MAX(1,_xlfn.MAXIFS('Saisie'!$AT$5:$AT$2004,'Saisie'!$C$5:$C$2004,C290)))</f>
        <v/>
      </c>
      <c r="BB290" s="60">
        <f>IF(C290="","",IFERROR(INDEX('Saisie'!$X$5:$X$2004,_xlfn.MAXIFS('Saisie'!$AS$5:$AS$2004,'Saisie'!$C$5:$C$2004,C290,'Saisie'!$X$5:$X$2004,"&lt;&gt;")-4),""))</f>
        <v/>
      </c>
      <c r="BC290" s="60">
        <f>IF(C290="","",IFERROR(INDEX('Saisie'!$Y$5:$Y$2004,_xlfn.MAXIFS('Saisie'!$AS$5:$AS$2004,'Saisie'!$C$5:$C$2004,C290,'Saisie'!$Y$5:$Y$2004,"&lt;&gt;")-4),""))</f>
        <v/>
      </c>
      <c r="BD290" s="106">
        <f>IF(C290="","",IFERROR(1/(1/_xlfn.MINIFS('Saisie'!$A$5:$A$2004,'Saisie'!$C$5:$C$2004,C290,'Saisie'!$AT$5:$AT$2004,"&gt;=2")),""))</f>
        <v/>
      </c>
      <c r="BE290" s="106">
        <f>IF(C290="","",IFERROR(1/(1/_xlfn.MINIFS('Saisie'!$A$5:$A$2004,'Saisie'!$C$5:$C$2004,C290,'Saisie'!$AT$5:$AT$2004,"&gt;=3")),""))</f>
        <v/>
      </c>
      <c r="BF290" s="106">
        <f>IF(C290="","",IFERROR(1/(1/_xlfn.MINIFS('Saisie'!$A$5:$A$2004,'Saisie'!$C$5:$C$2004,C290,'Saisie'!$AT$5:$AT$2004,"&gt;=4")),""))</f>
        <v/>
      </c>
      <c r="BG290" s="106">
        <f>IF(C290="","",IFERROR(1/(1/_xlfn.MINIFS('Saisie'!$A$5:$A$2004,'Saisie'!$C$5:$C$2004,C290,'Saisie'!$AT$5:$AT$2004,"&gt;=5")),""))</f>
        <v/>
      </c>
      <c r="BH290" s="106">
        <f>IF(C290="","",IFERROR(1/(1/_xlfn.MINIFS('Saisie'!$A$5:$A$2004,'Saisie'!$C$5:$C$2004,C290,'Saisie'!$AT$5:$AT$2004,"&gt;=6")),""))</f>
        <v/>
      </c>
      <c r="BI290" s="106">
        <f>IF(C290="","",IFERROR(1/(1/_xlfn.MINIFS('Saisie'!$A$5:$A$2004,'Saisie'!$C$5:$C$2004,C290,'Saisie'!$AT$5:$AT$2004,"&gt;=7")),""))</f>
        <v/>
      </c>
      <c r="BJ290" s="60">
        <f>IF(OR(BD290="",B290=""),"",BD290-B290)</f>
        <v/>
      </c>
      <c r="BK290" s="60">
        <f>IF(OR(BE290="",BD290=""),"",BE290-BD290)</f>
        <v/>
      </c>
      <c r="BL290" s="60">
        <f>IF(OR(BF290="",BE290=""),"",BF290-BE290)</f>
        <v/>
      </c>
      <c r="BM290" s="60">
        <f>IF(OR(BG290="",BF290=""),"",BG290-BF290)</f>
        <v/>
      </c>
      <c r="BN290" s="60">
        <f>IF(OR(BH290="",BG290=""),"",BH290-BG290)</f>
        <v/>
      </c>
      <c r="BO290" s="60">
        <f>IF(OR(BI290="",BH290=""),"",BI290-BH290)</f>
        <v/>
      </c>
      <c r="BP290" s="60">
        <f>IF(C290="","",_xlfn.MAXIFS('Saisie'!$AS$5:$AS$2004,'Saisie'!$C$5:$C$2004,C290,'Saisie'!$J$5:$J$2004,"&lt;&gt;"))</f>
        <v/>
      </c>
      <c r="BQ290" s="60">
        <f>IF(C290="","",_xlfn.MAXIFS('Saisie'!$AS$5:$AS$2004,'Saisie'!$C$5:$C$2004,C290))</f>
        <v/>
      </c>
      <c r="BR290" s="60">
        <f>IF(C290="","",_xlfn.MAXIFS('Saisie'!$AS$5:$AS$2004,'Saisie'!$C$5:$C$2004,C290,'Saisie'!$E$5:$E$2004,"Perdu"))</f>
        <v/>
      </c>
      <c r="BS290" s="60">
        <f>IF(C290="","",_xlfn.MAXIFS('Saisie'!$AS$5:$AS$2004,'Saisie'!$C$5:$C$2004,C290,'Saisie'!$AT$5:$AT$2004,"&gt;0"))</f>
        <v/>
      </c>
      <c r="BT290" s="109">
        <f>IF(AND(C290&lt;&gt;"",OR(D290="Nouveau",D290="Contacté",D290="Qualifié"),OR(G290="",N(G290)&lt;=TODAY()),NOT(AND(O290&gt;='Paramètres'!$B$21,P290=0))),E290+286/10000,"")</f>
        <v/>
      </c>
      <c r="BU290" s="60">
        <f>IF(AND(G290&lt;&gt;"",N(G290)&lt;=TODAY()),MAX($BU$4:BU289)+1,"")</f>
        <v/>
      </c>
      <c r="BV290" s="60">
        <f>IF(AND(F290&lt;&gt;"",F290&lt;&gt;"Relance en retard"),MAX($BV$4:BV289)+1,"")</f>
        <v/>
      </c>
      <c r="BW290" s="60">
        <f>IF(C290="","",IF(AND(B290&gt;='Tableau de bord'!$R$4,B290&lt;='Tableau de bord'!$S$4,OR('Tableau de bord'!$G$4="Tous",N290='Tableau de bord'!$G$4)),1,0))</f>
        <v/>
      </c>
      <c r="BX290" s="60">
        <f>IF(AND(C290&lt;&gt;"",N(BA290)=7),MAX($BX$4:BX289)+1,"")</f>
        <v/>
      </c>
    </row>
    <row r="291">
      <c r="A291" s="60">
        <f>IF(C291="","","P-"&amp;TEXT(287,"000"))</f>
        <v/>
      </c>
      <c r="B291" s="106">
        <f>IF(C291="","",IFERROR(1/(1/_xlfn.MINIFS('Saisie'!$A$5:$A$2004,'Saisie'!$C$5:$C$2004,C291)),""))</f>
        <v/>
      </c>
      <c r="C291" s="60">
        <f>IFERROR(INDEX('Saisie'!$C$5:$C$2004,MATCH(287,'Saisie'!$AX$5:$AX$2004,0)),"")</f>
        <v/>
      </c>
      <c r="D291" s="60">
        <f>IF(C291="","",IF(AND(BR291&gt;0,BR291&gt;BS291,BA291&lt;7),"Perdu",INDEX('Paramètres'!$F$6:$F$13,BA291)))</f>
        <v/>
      </c>
      <c r="E291" s="61">
        <f>IF(C291="","",MIN(100,(Z291="Oui")*'Paramètres'!$B$38+(AB291="Régulière")*'Paramètres'!$B$39+IF(AND(N(AA291)&gt;0,TODAY()-N(AA291)&lt;=30),'Paramètres'!$B$40,0)+(W291="")*'Paramètres'!$B$41+(AC291="Absente")*'Paramètres'!$B$42+(AC291="Faible")*'Paramètres'!$B$43+IF(AND(N(AD291)&gt;0,N(AD291)&lt;4),'Paramètres'!$B$44,0)+(AF291="Moyenne")*'Paramètres'!$B$45+(AF291="Grande")*'Paramètres'!$B$46+(Y291&lt;&gt;"")*'Paramètres'!$B$47))</f>
        <v/>
      </c>
      <c r="F291" s="60">
        <f>IF(C291="","",IF(D291="Gagné","",IF(D291="Perdu",IF(AND(AX291&lt;&gt;"",AX291&lt;=TODAY()),"À recontacter (perdu)",""),IF(AND(O291&gt;='Paramètres'!$B$21,P291=0),"Stop : "&amp;'Paramètres'!$B$21&amp;" tentatives sans réponse",IF(AND(D291="Proposition",AR291&lt;&gt;"",TODAY()&gt;N(AR291)),"Proposition expirée",IF(AND(D291="Proposition",N(R291)&gt;='Paramètres'!$B$25),"Proposition sans réponse",IF(AND(G291&lt;&gt;"",N(G291)&lt;TODAY()),"Relance en retard",IF(N(R291)&gt;='Paramètres'!$B$24,"Sans action depuis "&amp;R291&amp;" j",""))))))))</f>
        <v/>
      </c>
      <c r="G291" s="106">
        <f>IF(OR(C291="",D291="Gagné",D291="Perdu"),"",IF(AND(BP291&gt;0,BP291=BQ291),INDEX('Saisie'!$J$5:$J$2004,BP291-4),IF(OR(O291=0,AND(O291&gt;='Paramètres'!$B$21,P291=0)),"",Q291+IF(O291&lt;=1,'Paramètres'!$B$18,IF(O291=2,'Paramètres'!$B$19,'Paramètres'!$B$20)))))</f>
        <v/>
      </c>
      <c r="H291" s="107">
        <f>IF(OR(G291="",BP291&lt;&gt;BQ291),"",IF(INDEX('Saisie'!$K$5:$K$2004,BP291-4)="","",INDEX('Saisie'!$K$5:$K$2004,BP291-4)))</f>
        <v/>
      </c>
      <c r="I291" s="60">
        <f>IF(C291="","",IF(OR(D291="Gagné",D291="Perdu"),"",IFERROR(INDEX('Saisie'!$I$5:$I$2004,_xlfn.MAXIFS('Saisie'!$AS$5:$AS$2004,'Saisie'!$C$5:$C$2004,C291,'Saisie'!$I$5:$I$2004,"&lt;&gt;")-4),"")))</f>
        <v/>
      </c>
      <c r="J291" s="60">
        <f>IF(C291="","",IFERROR(INDEX('Saisie'!$U$5:$U$2004,_xlfn.MAXIFS('Saisie'!$AS$5:$AS$2004,'Saisie'!$C$5:$C$2004,C291,'Saisie'!$U$5:$U$2004,"&lt;&gt;")-4),""))</f>
        <v/>
      </c>
      <c r="K291" s="60">
        <f>IF(C291="","",IFERROR(INDEX('Saisie'!$W$5:$W$2004,_xlfn.MAXIFS('Saisie'!$AS$5:$AS$2004,'Saisie'!$C$5:$C$2004,C291,'Saisie'!$W$5:$W$2004,"&lt;&gt;")-4),""))</f>
        <v/>
      </c>
      <c r="L291" s="60">
        <f>IF(IF(BB291&lt;&gt;"",BB291,K291)="","",HYPERLINK("https://wa.me/"&amp;IF(LEFT(SUBSTITUTE(SUBSTITUTE(SUBSTITUTE(IF(BB291&lt;&gt;"",BB291,K291)," ",""),".",""),"+",""),1)="0",'Paramètres'!$B$35&amp;MID(SUBSTITUTE(SUBSTITUTE(SUBSTITUTE(IF(BB291&lt;&gt;"",BB291,K291)," ",""),".",""),"+",""),2,20),SUBSTITUTE(SUBSTITUTE(SUBSTITUTE(IF(BB291&lt;&gt;"",BB291,K291)," ",""),".",""),"+","")),"WhatsApp"))</f>
        <v/>
      </c>
      <c r="M291" s="60">
        <f>IF(BC291="","",HYPERLINK(IF(LEFT(BC291,4)="http",BC291,"https://www.instagram.com/"&amp;SUBSTITUTE(SUBSTITUTE(BC291,"@","")," ","")),BC291))</f>
        <v/>
      </c>
      <c r="N291" s="60">
        <f>IF(C291="","",IFERROR(INDEX('Saisie'!$D$5:$D$2004,_xlfn.MINIFS('Saisie'!$AS$5:$AS$2004,'Saisie'!$C$5:$C$2004,C291,'Saisie'!$AU$5:$AU$2004,1)-4),IFERROR(INDEX('Saisie'!$D$5:$D$2004,_xlfn.MINIFS('Saisie'!$AS$5:$AS$2004,'Saisie'!$C$5:$C$2004,C291,'Saisie'!$D$5:$D$2004,"&lt;&gt;")-4),"")))</f>
        <v/>
      </c>
      <c r="O291" s="60">
        <f>IF(C291="","",COUNTIFS('Saisie'!$C$5:$C$2004,C291,'Saisie'!$AU$5:$AU$2004,1))</f>
        <v/>
      </c>
      <c r="P291" s="60">
        <f>IF(C291="","",COUNTIFS('Saisie'!$C$5:$C$2004,C291,'Saisie'!$AV$5:$AV$2004,1))</f>
        <v/>
      </c>
      <c r="Q291" s="106">
        <f>IF(C291="","",IFERROR(1/(1/_xlfn.MAXIFS('Saisie'!$A$5:$A$2004,'Saisie'!$C$5:$C$2004,C291)),""))</f>
        <v/>
      </c>
      <c r="R291" s="61">
        <f>IF(C291="","",IF(Q291="","",TODAY()-Q291))</f>
        <v/>
      </c>
      <c r="S291" s="60">
        <f>IF(C291="","",IFERROR(INDEX('Saisie'!$R$5:$R$2004,_xlfn.MAXIFS('Saisie'!$AS$5:$AS$2004,'Saisie'!$C$5:$C$2004,C291,'Saisie'!$R$5:$R$2004,"&lt;&gt;")-4),""))</f>
        <v/>
      </c>
      <c r="T291" s="60">
        <f>IF(C291="","",IFERROR(INDEX('Saisie'!$S$5:$S$2004,_xlfn.MAXIFS('Saisie'!$AS$5:$AS$2004,'Saisie'!$C$5:$C$2004,C291,'Saisie'!$S$5:$S$2004,"&lt;&gt;")-4),""))</f>
        <v/>
      </c>
      <c r="U291" s="60">
        <f>IF(C291="","",IFERROR(INDEX('Saisie'!$T$5:$T$2004,_xlfn.MAXIFS('Saisie'!$AS$5:$AS$2004,'Saisie'!$C$5:$C$2004,C291,'Saisie'!$T$5:$T$2004,"&lt;&gt;")-4),""))</f>
        <v/>
      </c>
      <c r="V291" s="60">
        <f>IF(C291="","",IFERROR(INDEX('Saisie'!$V$5:$V$2004,_xlfn.MAXIFS('Saisie'!$AS$5:$AS$2004,'Saisie'!$C$5:$C$2004,C291,'Saisie'!$V$5:$V$2004,"&lt;&gt;")-4),""))</f>
        <v/>
      </c>
      <c r="W291" s="60">
        <f>IF(C291="","",IFERROR(INDEX('Saisie'!$Z$5:$Z$2004,_xlfn.MAXIFS('Saisie'!$AS$5:$AS$2004,'Saisie'!$C$5:$C$2004,C291,'Saisie'!$Z$5:$Z$2004,"&lt;&gt;")-4),""))</f>
        <v/>
      </c>
      <c r="X291" s="60">
        <f>IF(C291="","",IFERROR(INDEX('Saisie'!$AA$5:$AA$2004,_xlfn.MAXIFS('Saisie'!$AS$5:$AS$2004,'Saisie'!$C$5:$C$2004,C291,'Saisie'!$AA$5:$AA$2004,"&lt;&gt;")-4),""))</f>
        <v/>
      </c>
      <c r="Y291" s="60">
        <f>IF(C291="","",IFERROR(INDEX('Saisie'!$AB$5:$AB$2004,_xlfn.MAXIFS('Saisie'!$AS$5:$AS$2004,'Saisie'!$C$5:$C$2004,C291,'Saisie'!$AB$5:$AB$2004,"&lt;&gt;")-4),""))</f>
        <v/>
      </c>
      <c r="Z291" s="60">
        <f>IF(C291="","",IFERROR(INDEX('Saisie'!$AC$5:$AC$2004,_xlfn.MAXIFS('Saisie'!$AS$5:$AS$2004,'Saisie'!$C$5:$C$2004,C291,'Saisie'!$AC$5:$AC$2004,"&lt;&gt;")-4),""))</f>
        <v/>
      </c>
      <c r="AA291" s="106">
        <f>IF(C291="","",IFERROR(INDEX('Saisie'!$AD$5:$AD$2004,_xlfn.MAXIFS('Saisie'!$AS$5:$AS$2004,'Saisie'!$C$5:$C$2004,C291,'Saisie'!$AD$5:$AD$2004,"&lt;&gt;")-4),""))</f>
        <v/>
      </c>
      <c r="AB291" s="60">
        <f>IF(C291="","",IFERROR(INDEX('Saisie'!$AE$5:$AE$2004,_xlfn.MAXIFS('Saisie'!$AS$5:$AS$2004,'Saisie'!$C$5:$C$2004,C291,'Saisie'!$AE$5:$AE$2004,"&lt;&gt;")-4),""))</f>
        <v/>
      </c>
      <c r="AC291" s="60">
        <f>IF(C291="","",IFERROR(INDEX('Saisie'!$AF$5:$AF$2004,_xlfn.MAXIFS('Saisie'!$AS$5:$AS$2004,'Saisie'!$C$5:$C$2004,C291,'Saisie'!$AF$5:$AF$2004,"&lt;&gt;")-4),""))</f>
        <v/>
      </c>
      <c r="AD291" s="108">
        <f>IF(C291="","",IFERROR(INDEX('Saisie'!$AG$5:$AG$2004,_xlfn.MAXIFS('Saisie'!$AS$5:$AS$2004,'Saisie'!$C$5:$C$2004,C291,'Saisie'!$AG$5:$AG$2004,"&lt;&gt;")-4),""))</f>
        <v/>
      </c>
      <c r="AE291" s="60">
        <f>IF(C291="","",IFERROR(INDEX('Saisie'!$AH$5:$AH$2004,_xlfn.MAXIFS('Saisie'!$AS$5:$AS$2004,'Saisie'!$C$5:$C$2004,C291,'Saisie'!$AH$5:$AH$2004,"&lt;&gt;")-4),""))</f>
        <v/>
      </c>
      <c r="AF291" s="60">
        <f>IF(C291="","",IFERROR(INDEX('Saisie'!$AI$5:$AI$2004,_xlfn.MAXIFS('Saisie'!$AS$5:$AS$2004,'Saisie'!$C$5:$C$2004,C291,'Saisie'!$AI$5:$AI$2004,"&lt;&gt;")-4),""))</f>
        <v/>
      </c>
      <c r="AG291" s="60">
        <f>IF(C291="","",IFERROR(INDEX('Saisie'!$AJ$5:$AJ$2004,_xlfn.MAXIFS('Saisie'!$AS$5:$AS$2004,'Saisie'!$C$5:$C$2004,C291,'Saisie'!$AJ$5:$AJ$2004,"&lt;&gt;")-4),""))</f>
        <v/>
      </c>
      <c r="AH291" s="60">
        <f>IF(C291="","",IFERROR(INDEX('Saisie'!$AK$5:$AK$2004,_xlfn.MAXIFS('Saisie'!$AS$5:$AS$2004,'Saisie'!$C$5:$C$2004,C291,'Saisie'!$AK$5:$AK$2004,"&lt;&gt;")-4),""))</f>
        <v/>
      </c>
      <c r="AI291" s="60">
        <f>IF(C291="","",IFERROR(INDEX('Saisie'!$AN$5:$AN$2004,_xlfn.MAXIFS('Saisie'!$AS$5:$AS$2004,'Saisie'!$C$5:$C$2004,C291,'Saisie'!$AN$5:$AN$2004,"&lt;&gt;")-4),""))</f>
        <v/>
      </c>
      <c r="AJ291" s="60">
        <f>IF(C291="","",IFERROR(INDEX('Saisie'!$AO$5:$AO$2004,_xlfn.MAXIFS('Saisie'!$AS$5:$AS$2004,'Saisie'!$C$5:$C$2004,C291,'Saisie'!$AO$5:$AO$2004,"&lt;&gt;")-4),""))</f>
        <v/>
      </c>
      <c r="AK291" s="60">
        <f>IF(C291="","",IFERROR(INDEX('Saisie'!$AP$5:$AP$2004,_xlfn.MAXIFS('Saisie'!$AS$5:$AS$2004,'Saisie'!$C$5:$C$2004,C291,'Saisie'!$AP$5:$AP$2004,"&lt;&gt;")-4),""))</f>
        <v/>
      </c>
      <c r="AL291" s="60">
        <f>IF(C291="","",IFERROR(INDEX('Saisie'!$AQ$5:$AQ$2004,_xlfn.MAXIFS('Saisie'!$AS$5:$AS$2004,'Saisie'!$C$5:$C$2004,C291,'Saisie'!$AQ$5:$AQ$2004,"&lt;&gt;")-4),""))</f>
        <v/>
      </c>
      <c r="AM291" s="60">
        <f>IF(C291="","",((AI291="Oui")+(AJ291="Oui")+(AK291="Oui")+OR(AL291="Immédiat",AL291="&lt; 1 mois"))&amp;"/4")</f>
        <v/>
      </c>
      <c r="AN291" s="60">
        <f>IF(C291="","",IFERROR(INDEX('Saisie'!$AL$5:$AL$2004,_xlfn.MAXIFS('Saisie'!$AS$5:$AS$2004,'Saisie'!$C$5:$C$2004,C291,'Saisie'!$AL$5:$AL$2004,"&lt;&gt;")-4),""))</f>
        <v/>
      </c>
      <c r="AO291" s="62">
        <f>IF(C291="","",IF(IFERROR(INDEX('Saisie'!$AM$5:$AM$2004,_xlfn.MAXIFS('Saisie'!$AS$5:$AS$2004,'Saisie'!$C$5:$C$2004,C291,'Saisie'!$AM$5:$AM$2004,"&lt;&gt;")-4),"")&lt;&gt;"",IFERROR(INDEX('Saisie'!$AM$5:$AM$2004,_xlfn.MAXIFS('Saisie'!$AS$5:$AS$2004,'Saisie'!$C$5:$C$2004,C291,'Saisie'!$AM$5:$AM$2004,"&lt;&gt;")-4),""),IFERROR(INDEX('Paramètres'!$S$6:$S$15,MATCH(AN291,'Paramètres'!$Q$6:$Q$15,0)),"")))</f>
        <v/>
      </c>
      <c r="AP291" s="62">
        <f>IF(C291="","",IFERROR(INDEX('Saisie'!$AW$5:$AW$2004,_xlfn.MAXIFS('Saisie'!$AS$5:$AS$2004,'Saisie'!$C$5:$C$2004,C291,'Saisie'!$E$5:$E$2004,"Proposition envoyée")-4),""))</f>
        <v/>
      </c>
      <c r="AQ291" s="106">
        <f>IF(C291="","",IFERROR(1/(1/_xlfn.MAXIFS('Saisie'!$A$5:$A$2004,'Saisie'!$C$5:$C$2004,C291,'Saisie'!$E$5:$E$2004,"Proposition envoyée")),""))</f>
        <v/>
      </c>
      <c r="AR291" s="106">
        <f>IF(C291="","",IF(AQ291="","",AQ291+'Paramètres'!$B$26))</f>
        <v/>
      </c>
      <c r="AS291" s="62">
        <f>IF(OR(C291="",D291="Gagné",D291="Perdu"),0,N(AP291)*IFERROR(INDEX('Paramètres'!$G$6:$G$13,MATCH(D291,'Paramètres'!$F$6:$F$13,0)),0))</f>
        <v/>
      </c>
      <c r="AT291" s="106">
        <f>IF(C291="","",IFERROR(1/(1/_xlfn.MINIFS('Saisie'!$A$5:$A$2004,'Saisie'!$C$5:$C$2004,C291,'Saisie'!$E$5:$E$2004,"Signature")),""))</f>
        <v/>
      </c>
      <c r="AU291" s="60">
        <f>IF(C291="","",IF(OR(AT291="",B291=""),"",AT291-B291))</f>
        <v/>
      </c>
      <c r="AV291" s="60">
        <f>IF(C291="","",IFERROR(INDEX('Saisie'!$L$5:$L$2004,_xlfn.MAXIFS('Saisie'!$AS$5:$AS$2004,'Saisie'!$C$5:$C$2004,C291,'Saisie'!$L$5:$L$2004,"&lt;&gt;")-4),""))</f>
        <v/>
      </c>
      <c r="AW291" s="106">
        <f>IF(C291="","",IF(D291&lt;&gt;"Perdu","",IFERROR(1/(1/_xlfn.MAXIFS('Saisie'!$A$5:$A$2004,'Saisie'!$C$5:$C$2004,C291,'Saisie'!$E$5:$E$2004,"Perdu")),"")))</f>
        <v/>
      </c>
      <c r="AX291" s="106">
        <f>IF(C291="","",IF(AW291="","",AW291+'Paramètres'!$B$28))</f>
        <v/>
      </c>
      <c r="AY291" s="60">
        <f>IF(C291="","",SUMIFS('Saisie'!$H$5:$H$2004,'Saisie'!$C$5:$C$2004,C291))</f>
        <v/>
      </c>
      <c r="AZ291" s="60">
        <f>IF(C291="","",IFERROR(INDEX('Paramètres'!$W$6:$W$20,MATCH(S291,'Paramètres'!$V$6:$V$20,0))&amp;"",""))</f>
        <v/>
      </c>
      <c r="BA291" s="60">
        <f>IF(C291="","",MAX(1,_xlfn.MAXIFS('Saisie'!$AT$5:$AT$2004,'Saisie'!$C$5:$C$2004,C291)))</f>
        <v/>
      </c>
      <c r="BB291" s="60">
        <f>IF(C291="","",IFERROR(INDEX('Saisie'!$X$5:$X$2004,_xlfn.MAXIFS('Saisie'!$AS$5:$AS$2004,'Saisie'!$C$5:$C$2004,C291,'Saisie'!$X$5:$X$2004,"&lt;&gt;")-4),""))</f>
        <v/>
      </c>
      <c r="BC291" s="60">
        <f>IF(C291="","",IFERROR(INDEX('Saisie'!$Y$5:$Y$2004,_xlfn.MAXIFS('Saisie'!$AS$5:$AS$2004,'Saisie'!$C$5:$C$2004,C291,'Saisie'!$Y$5:$Y$2004,"&lt;&gt;")-4),""))</f>
        <v/>
      </c>
      <c r="BD291" s="106">
        <f>IF(C291="","",IFERROR(1/(1/_xlfn.MINIFS('Saisie'!$A$5:$A$2004,'Saisie'!$C$5:$C$2004,C291,'Saisie'!$AT$5:$AT$2004,"&gt;=2")),""))</f>
        <v/>
      </c>
      <c r="BE291" s="106">
        <f>IF(C291="","",IFERROR(1/(1/_xlfn.MINIFS('Saisie'!$A$5:$A$2004,'Saisie'!$C$5:$C$2004,C291,'Saisie'!$AT$5:$AT$2004,"&gt;=3")),""))</f>
        <v/>
      </c>
      <c r="BF291" s="106">
        <f>IF(C291="","",IFERROR(1/(1/_xlfn.MINIFS('Saisie'!$A$5:$A$2004,'Saisie'!$C$5:$C$2004,C291,'Saisie'!$AT$5:$AT$2004,"&gt;=4")),""))</f>
        <v/>
      </c>
      <c r="BG291" s="106">
        <f>IF(C291="","",IFERROR(1/(1/_xlfn.MINIFS('Saisie'!$A$5:$A$2004,'Saisie'!$C$5:$C$2004,C291,'Saisie'!$AT$5:$AT$2004,"&gt;=5")),""))</f>
        <v/>
      </c>
      <c r="BH291" s="106">
        <f>IF(C291="","",IFERROR(1/(1/_xlfn.MINIFS('Saisie'!$A$5:$A$2004,'Saisie'!$C$5:$C$2004,C291,'Saisie'!$AT$5:$AT$2004,"&gt;=6")),""))</f>
        <v/>
      </c>
      <c r="BI291" s="106">
        <f>IF(C291="","",IFERROR(1/(1/_xlfn.MINIFS('Saisie'!$A$5:$A$2004,'Saisie'!$C$5:$C$2004,C291,'Saisie'!$AT$5:$AT$2004,"&gt;=7")),""))</f>
        <v/>
      </c>
      <c r="BJ291" s="60">
        <f>IF(OR(BD291="",B291=""),"",BD291-B291)</f>
        <v/>
      </c>
      <c r="BK291" s="60">
        <f>IF(OR(BE291="",BD291=""),"",BE291-BD291)</f>
        <v/>
      </c>
      <c r="BL291" s="60">
        <f>IF(OR(BF291="",BE291=""),"",BF291-BE291)</f>
        <v/>
      </c>
      <c r="BM291" s="60">
        <f>IF(OR(BG291="",BF291=""),"",BG291-BF291)</f>
        <v/>
      </c>
      <c r="BN291" s="60">
        <f>IF(OR(BH291="",BG291=""),"",BH291-BG291)</f>
        <v/>
      </c>
      <c r="BO291" s="60">
        <f>IF(OR(BI291="",BH291=""),"",BI291-BH291)</f>
        <v/>
      </c>
      <c r="BP291" s="60">
        <f>IF(C291="","",_xlfn.MAXIFS('Saisie'!$AS$5:$AS$2004,'Saisie'!$C$5:$C$2004,C291,'Saisie'!$J$5:$J$2004,"&lt;&gt;"))</f>
        <v/>
      </c>
      <c r="BQ291" s="60">
        <f>IF(C291="","",_xlfn.MAXIFS('Saisie'!$AS$5:$AS$2004,'Saisie'!$C$5:$C$2004,C291))</f>
        <v/>
      </c>
      <c r="BR291" s="60">
        <f>IF(C291="","",_xlfn.MAXIFS('Saisie'!$AS$5:$AS$2004,'Saisie'!$C$5:$C$2004,C291,'Saisie'!$E$5:$E$2004,"Perdu"))</f>
        <v/>
      </c>
      <c r="BS291" s="60">
        <f>IF(C291="","",_xlfn.MAXIFS('Saisie'!$AS$5:$AS$2004,'Saisie'!$C$5:$C$2004,C291,'Saisie'!$AT$5:$AT$2004,"&gt;0"))</f>
        <v/>
      </c>
      <c r="BT291" s="109">
        <f>IF(AND(C291&lt;&gt;"",OR(D291="Nouveau",D291="Contacté",D291="Qualifié"),OR(G291="",N(G291)&lt;=TODAY()),NOT(AND(O291&gt;='Paramètres'!$B$21,P291=0))),E291+287/10000,"")</f>
        <v/>
      </c>
      <c r="BU291" s="60">
        <f>IF(AND(G291&lt;&gt;"",N(G291)&lt;=TODAY()),MAX($BU$4:BU290)+1,"")</f>
        <v/>
      </c>
      <c r="BV291" s="60">
        <f>IF(AND(F291&lt;&gt;"",F291&lt;&gt;"Relance en retard"),MAX($BV$4:BV290)+1,"")</f>
        <v/>
      </c>
      <c r="BW291" s="60">
        <f>IF(C291="","",IF(AND(B291&gt;='Tableau de bord'!$R$4,B291&lt;='Tableau de bord'!$S$4,OR('Tableau de bord'!$G$4="Tous",N291='Tableau de bord'!$G$4)),1,0))</f>
        <v/>
      </c>
      <c r="BX291" s="60">
        <f>IF(AND(C291&lt;&gt;"",N(BA291)=7),MAX($BX$4:BX290)+1,"")</f>
        <v/>
      </c>
    </row>
    <row r="292">
      <c r="A292" s="60">
        <f>IF(C292="","","P-"&amp;TEXT(288,"000"))</f>
        <v/>
      </c>
      <c r="B292" s="106">
        <f>IF(C292="","",IFERROR(1/(1/_xlfn.MINIFS('Saisie'!$A$5:$A$2004,'Saisie'!$C$5:$C$2004,C292)),""))</f>
        <v/>
      </c>
      <c r="C292" s="60">
        <f>IFERROR(INDEX('Saisie'!$C$5:$C$2004,MATCH(288,'Saisie'!$AX$5:$AX$2004,0)),"")</f>
        <v/>
      </c>
      <c r="D292" s="60">
        <f>IF(C292="","",IF(AND(BR292&gt;0,BR292&gt;BS292,BA292&lt;7),"Perdu",INDEX('Paramètres'!$F$6:$F$13,BA292)))</f>
        <v/>
      </c>
      <c r="E292" s="61">
        <f>IF(C292="","",MIN(100,(Z292="Oui")*'Paramètres'!$B$38+(AB292="Régulière")*'Paramètres'!$B$39+IF(AND(N(AA292)&gt;0,TODAY()-N(AA292)&lt;=30),'Paramètres'!$B$40,0)+(W292="")*'Paramètres'!$B$41+(AC292="Absente")*'Paramètres'!$B$42+(AC292="Faible")*'Paramètres'!$B$43+IF(AND(N(AD292)&gt;0,N(AD292)&lt;4),'Paramètres'!$B$44,0)+(AF292="Moyenne")*'Paramètres'!$B$45+(AF292="Grande")*'Paramètres'!$B$46+(Y292&lt;&gt;"")*'Paramètres'!$B$47))</f>
        <v/>
      </c>
      <c r="F292" s="60">
        <f>IF(C292="","",IF(D292="Gagné","",IF(D292="Perdu",IF(AND(AX292&lt;&gt;"",AX292&lt;=TODAY()),"À recontacter (perdu)",""),IF(AND(O292&gt;='Paramètres'!$B$21,P292=0),"Stop : "&amp;'Paramètres'!$B$21&amp;" tentatives sans réponse",IF(AND(D292="Proposition",AR292&lt;&gt;"",TODAY()&gt;N(AR292)),"Proposition expirée",IF(AND(D292="Proposition",N(R292)&gt;='Paramètres'!$B$25),"Proposition sans réponse",IF(AND(G292&lt;&gt;"",N(G292)&lt;TODAY()),"Relance en retard",IF(N(R292)&gt;='Paramètres'!$B$24,"Sans action depuis "&amp;R292&amp;" j",""))))))))</f>
        <v/>
      </c>
      <c r="G292" s="106">
        <f>IF(OR(C292="",D292="Gagné",D292="Perdu"),"",IF(AND(BP292&gt;0,BP292=BQ292),INDEX('Saisie'!$J$5:$J$2004,BP292-4),IF(OR(O292=0,AND(O292&gt;='Paramètres'!$B$21,P292=0)),"",Q292+IF(O292&lt;=1,'Paramètres'!$B$18,IF(O292=2,'Paramètres'!$B$19,'Paramètres'!$B$20)))))</f>
        <v/>
      </c>
      <c r="H292" s="107">
        <f>IF(OR(G292="",BP292&lt;&gt;BQ292),"",IF(INDEX('Saisie'!$K$5:$K$2004,BP292-4)="","",INDEX('Saisie'!$K$5:$K$2004,BP292-4)))</f>
        <v/>
      </c>
      <c r="I292" s="60">
        <f>IF(C292="","",IF(OR(D292="Gagné",D292="Perdu"),"",IFERROR(INDEX('Saisie'!$I$5:$I$2004,_xlfn.MAXIFS('Saisie'!$AS$5:$AS$2004,'Saisie'!$C$5:$C$2004,C292,'Saisie'!$I$5:$I$2004,"&lt;&gt;")-4),"")))</f>
        <v/>
      </c>
      <c r="J292" s="60">
        <f>IF(C292="","",IFERROR(INDEX('Saisie'!$U$5:$U$2004,_xlfn.MAXIFS('Saisie'!$AS$5:$AS$2004,'Saisie'!$C$5:$C$2004,C292,'Saisie'!$U$5:$U$2004,"&lt;&gt;")-4),""))</f>
        <v/>
      </c>
      <c r="K292" s="60">
        <f>IF(C292="","",IFERROR(INDEX('Saisie'!$W$5:$W$2004,_xlfn.MAXIFS('Saisie'!$AS$5:$AS$2004,'Saisie'!$C$5:$C$2004,C292,'Saisie'!$W$5:$W$2004,"&lt;&gt;")-4),""))</f>
        <v/>
      </c>
      <c r="L292" s="60">
        <f>IF(IF(BB292&lt;&gt;"",BB292,K292)="","",HYPERLINK("https://wa.me/"&amp;IF(LEFT(SUBSTITUTE(SUBSTITUTE(SUBSTITUTE(IF(BB292&lt;&gt;"",BB292,K292)," ",""),".",""),"+",""),1)="0",'Paramètres'!$B$35&amp;MID(SUBSTITUTE(SUBSTITUTE(SUBSTITUTE(IF(BB292&lt;&gt;"",BB292,K292)," ",""),".",""),"+",""),2,20),SUBSTITUTE(SUBSTITUTE(SUBSTITUTE(IF(BB292&lt;&gt;"",BB292,K292)," ",""),".",""),"+","")),"WhatsApp"))</f>
        <v/>
      </c>
      <c r="M292" s="60">
        <f>IF(BC292="","",HYPERLINK(IF(LEFT(BC292,4)="http",BC292,"https://www.instagram.com/"&amp;SUBSTITUTE(SUBSTITUTE(BC292,"@","")," ","")),BC292))</f>
        <v/>
      </c>
      <c r="N292" s="60">
        <f>IF(C292="","",IFERROR(INDEX('Saisie'!$D$5:$D$2004,_xlfn.MINIFS('Saisie'!$AS$5:$AS$2004,'Saisie'!$C$5:$C$2004,C292,'Saisie'!$AU$5:$AU$2004,1)-4),IFERROR(INDEX('Saisie'!$D$5:$D$2004,_xlfn.MINIFS('Saisie'!$AS$5:$AS$2004,'Saisie'!$C$5:$C$2004,C292,'Saisie'!$D$5:$D$2004,"&lt;&gt;")-4),"")))</f>
        <v/>
      </c>
      <c r="O292" s="60">
        <f>IF(C292="","",COUNTIFS('Saisie'!$C$5:$C$2004,C292,'Saisie'!$AU$5:$AU$2004,1))</f>
        <v/>
      </c>
      <c r="P292" s="60">
        <f>IF(C292="","",COUNTIFS('Saisie'!$C$5:$C$2004,C292,'Saisie'!$AV$5:$AV$2004,1))</f>
        <v/>
      </c>
      <c r="Q292" s="106">
        <f>IF(C292="","",IFERROR(1/(1/_xlfn.MAXIFS('Saisie'!$A$5:$A$2004,'Saisie'!$C$5:$C$2004,C292)),""))</f>
        <v/>
      </c>
      <c r="R292" s="61">
        <f>IF(C292="","",IF(Q292="","",TODAY()-Q292))</f>
        <v/>
      </c>
      <c r="S292" s="60">
        <f>IF(C292="","",IFERROR(INDEX('Saisie'!$R$5:$R$2004,_xlfn.MAXIFS('Saisie'!$AS$5:$AS$2004,'Saisie'!$C$5:$C$2004,C292,'Saisie'!$R$5:$R$2004,"&lt;&gt;")-4),""))</f>
        <v/>
      </c>
      <c r="T292" s="60">
        <f>IF(C292="","",IFERROR(INDEX('Saisie'!$S$5:$S$2004,_xlfn.MAXIFS('Saisie'!$AS$5:$AS$2004,'Saisie'!$C$5:$C$2004,C292,'Saisie'!$S$5:$S$2004,"&lt;&gt;")-4),""))</f>
        <v/>
      </c>
      <c r="U292" s="60">
        <f>IF(C292="","",IFERROR(INDEX('Saisie'!$T$5:$T$2004,_xlfn.MAXIFS('Saisie'!$AS$5:$AS$2004,'Saisie'!$C$5:$C$2004,C292,'Saisie'!$T$5:$T$2004,"&lt;&gt;")-4),""))</f>
        <v/>
      </c>
      <c r="V292" s="60">
        <f>IF(C292="","",IFERROR(INDEX('Saisie'!$V$5:$V$2004,_xlfn.MAXIFS('Saisie'!$AS$5:$AS$2004,'Saisie'!$C$5:$C$2004,C292,'Saisie'!$V$5:$V$2004,"&lt;&gt;")-4),""))</f>
        <v/>
      </c>
      <c r="W292" s="60">
        <f>IF(C292="","",IFERROR(INDEX('Saisie'!$Z$5:$Z$2004,_xlfn.MAXIFS('Saisie'!$AS$5:$AS$2004,'Saisie'!$C$5:$C$2004,C292,'Saisie'!$Z$5:$Z$2004,"&lt;&gt;")-4),""))</f>
        <v/>
      </c>
      <c r="X292" s="60">
        <f>IF(C292="","",IFERROR(INDEX('Saisie'!$AA$5:$AA$2004,_xlfn.MAXIFS('Saisie'!$AS$5:$AS$2004,'Saisie'!$C$5:$C$2004,C292,'Saisie'!$AA$5:$AA$2004,"&lt;&gt;")-4),""))</f>
        <v/>
      </c>
      <c r="Y292" s="60">
        <f>IF(C292="","",IFERROR(INDEX('Saisie'!$AB$5:$AB$2004,_xlfn.MAXIFS('Saisie'!$AS$5:$AS$2004,'Saisie'!$C$5:$C$2004,C292,'Saisie'!$AB$5:$AB$2004,"&lt;&gt;")-4),""))</f>
        <v/>
      </c>
      <c r="Z292" s="60">
        <f>IF(C292="","",IFERROR(INDEX('Saisie'!$AC$5:$AC$2004,_xlfn.MAXIFS('Saisie'!$AS$5:$AS$2004,'Saisie'!$C$5:$C$2004,C292,'Saisie'!$AC$5:$AC$2004,"&lt;&gt;")-4),""))</f>
        <v/>
      </c>
      <c r="AA292" s="106">
        <f>IF(C292="","",IFERROR(INDEX('Saisie'!$AD$5:$AD$2004,_xlfn.MAXIFS('Saisie'!$AS$5:$AS$2004,'Saisie'!$C$5:$C$2004,C292,'Saisie'!$AD$5:$AD$2004,"&lt;&gt;")-4),""))</f>
        <v/>
      </c>
      <c r="AB292" s="60">
        <f>IF(C292="","",IFERROR(INDEX('Saisie'!$AE$5:$AE$2004,_xlfn.MAXIFS('Saisie'!$AS$5:$AS$2004,'Saisie'!$C$5:$C$2004,C292,'Saisie'!$AE$5:$AE$2004,"&lt;&gt;")-4),""))</f>
        <v/>
      </c>
      <c r="AC292" s="60">
        <f>IF(C292="","",IFERROR(INDEX('Saisie'!$AF$5:$AF$2004,_xlfn.MAXIFS('Saisie'!$AS$5:$AS$2004,'Saisie'!$C$5:$C$2004,C292,'Saisie'!$AF$5:$AF$2004,"&lt;&gt;")-4),""))</f>
        <v/>
      </c>
      <c r="AD292" s="108">
        <f>IF(C292="","",IFERROR(INDEX('Saisie'!$AG$5:$AG$2004,_xlfn.MAXIFS('Saisie'!$AS$5:$AS$2004,'Saisie'!$C$5:$C$2004,C292,'Saisie'!$AG$5:$AG$2004,"&lt;&gt;")-4),""))</f>
        <v/>
      </c>
      <c r="AE292" s="60">
        <f>IF(C292="","",IFERROR(INDEX('Saisie'!$AH$5:$AH$2004,_xlfn.MAXIFS('Saisie'!$AS$5:$AS$2004,'Saisie'!$C$5:$C$2004,C292,'Saisie'!$AH$5:$AH$2004,"&lt;&gt;")-4),""))</f>
        <v/>
      </c>
      <c r="AF292" s="60">
        <f>IF(C292="","",IFERROR(INDEX('Saisie'!$AI$5:$AI$2004,_xlfn.MAXIFS('Saisie'!$AS$5:$AS$2004,'Saisie'!$C$5:$C$2004,C292,'Saisie'!$AI$5:$AI$2004,"&lt;&gt;")-4),""))</f>
        <v/>
      </c>
      <c r="AG292" s="60">
        <f>IF(C292="","",IFERROR(INDEX('Saisie'!$AJ$5:$AJ$2004,_xlfn.MAXIFS('Saisie'!$AS$5:$AS$2004,'Saisie'!$C$5:$C$2004,C292,'Saisie'!$AJ$5:$AJ$2004,"&lt;&gt;")-4),""))</f>
        <v/>
      </c>
      <c r="AH292" s="60">
        <f>IF(C292="","",IFERROR(INDEX('Saisie'!$AK$5:$AK$2004,_xlfn.MAXIFS('Saisie'!$AS$5:$AS$2004,'Saisie'!$C$5:$C$2004,C292,'Saisie'!$AK$5:$AK$2004,"&lt;&gt;")-4),""))</f>
        <v/>
      </c>
      <c r="AI292" s="60">
        <f>IF(C292="","",IFERROR(INDEX('Saisie'!$AN$5:$AN$2004,_xlfn.MAXIFS('Saisie'!$AS$5:$AS$2004,'Saisie'!$C$5:$C$2004,C292,'Saisie'!$AN$5:$AN$2004,"&lt;&gt;")-4),""))</f>
        <v/>
      </c>
      <c r="AJ292" s="60">
        <f>IF(C292="","",IFERROR(INDEX('Saisie'!$AO$5:$AO$2004,_xlfn.MAXIFS('Saisie'!$AS$5:$AS$2004,'Saisie'!$C$5:$C$2004,C292,'Saisie'!$AO$5:$AO$2004,"&lt;&gt;")-4),""))</f>
        <v/>
      </c>
      <c r="AK292" s="60">
        <f>IF(C292="","",IFERROR(INDEX('Saisie'!$AP$5:$AP$2004,_xlfn.MAXIFS('Saisie'!$AS$5:$AS$2004,'Saisie'!$C$5:$C$2004,C292,'Saisie'!$AP$5:$AP$2004,"&lt;&gt;")-4),""))</f>
        <v/>
      </c>
      <c r="AL292" s="60">
        <f>IF(C292="","",IFERROR(INDEX('Saisie'!$AQ$5:$AQ$2004,_xlfn.MAXIFS('Saisie'!$AS$5:$AS$2004,'Saisie'!$C$5:$C$2004,C292,'Saisie'!$AQ$5:$AQ$2004,"&lt;&gt;")-4),""))</f>
        <v/>
      </c>
      <c r="AM292" s="60">
        <f>IF(C292="","",((AI292="Oui")+(AJ292="Oui")+(AK292="Oui")+OR(AL292="Immédiat",AL292="&lt; 1 mois"))&amp;"/4")</f>
        <v/>
      </c>
      <c r="AN292" s="60">
        <f>IF(C292="","",IFERROR(INDEX('Saisie'!$AL$5:$AL$2004,_xlfn.MAXIFS('Saisie'!$AS$5:$AS$2004,'Saisie'!$C$5:$C$2004,C292,'Saisie'!$AL$5:$AL$2004,"&lt;&gt;")-4),""))</f>
        <v/>
      </c>
      <c r="AO292" s="62">
        <f>IF(C292="","",IF(IFERROR(INDEX('Saisie'!$AM$5:$AM$2004,_xlfn.MAXIFS('Saisie'!$AS$5:$AS$2004,'Saisie'!$C$5:$C$2004,C292,'Saisie'!$AM$5:$AM$2004,"&lt;&gt;")-4),"")&lt;&gt;"",IFERROR(INDEX('Saisie'!$AM$5:$AM$2004,_xlfn.MAXIFS('Saisie'!$AS$5:$AS$2004,'Saisie'!$C$5:$C$2004,C292,'Saisie'!$AM$5:$AM$2004,"&lt;&gt;")-4),""),IFERROR(INDEX('Paramètres'!$S$6:$S$15,MATCH(AN292,'Paramètres'!$Q$6:$Q$15,0)),"")))</f>
        <v/>
      </c>
      <c r="AP292" s="62">
        <f>IF(C292="","",IFERROR(INDEX('Saisie'!$AW$5:$AW$2004,_xlfn.MAXIFS('Saisie'!$AS$5:$AS$2004,'Saisie'!$C$5:$C$2004,C292,'Saisie'!$E$5:$E$2004,"Proposition envoyée")-4),""))</f>
        <v/>
      </c>
      <c r="AQ292" s="106">
        <f>IF(C292="","",IFERROR(1/(1/_xlfn.MAXIFS('Saisie'!$A$5:$A$2004,'Saisie'!$C$5:$C$2004,C292,'Saisie'!$E$5:$E$2004,"Proposition envoyée")),""))</f>
        <v/>
      </c>
      <c r="AR292" s="106">
        <f>IF(C292="","",IF(AQ292="","",AQ292+'Paramètres'!$B$26))</f>
        <v/>
      </c>
      <c r="AS292" s="62">
        <f>IF(OR(C292="",D292="Gagné",D292="Perdu"),0,N(AP292)*IFERROR(INDEX('Paramètres'!$G$6:$G$13,MATCH(D292,'Paramètres'!$F$6:$F$13,0)),0))</f>
        <v/>
      </c>
      <c r="AT292" s="106">
        <f>IF(C292="","",IFERROR(1/(1/_xlfn.MINIFS('Saisie'!$A$5:$A$2004,'Saisie'!$C$5:$C$2004,C292,'Saisie'!$E$5:$E$2004,"Signature")),""))</f>
        <v/>
      </c>
      <c r="AU292" s="60">
        <f>IF(C292="","",IF(OR(AT292="",B292=""),"",AT292-B292))</f>
        <v/>
      </c>
      <c r="AV292" s="60">
        <f>IF(C292="","",IFERROR(INDEX('Saisie'!$L$5:$L$2004,_xlfn.MAXIFS('Saisie'!$AS$5:$AS$2004,'Saisie'!$C$5:$C$2004,C292,'Saisie'!$L$5:$L$2004,"&lt;&gt;")-4),""))</f>
        <v/>
      </c>
      <c r="AW292" s="106">
        <f>IF(C292="","",IF(D292&lt;&gt;"Perdu","",IFERROR(1/(1/_xlfn.MAXIFS('Saisie'!$A$5:$A$2004,'Saisie'!$C$5:$C$2004,C292,'Saisie'!$E$5:$E$2004,"Perdu")),"")))</f>
        <v/>
      </c>
      <c r="AX292" s="106">
        <f>IF(C292="","",IF(AW292="","",AW292+'Paramètres'!$B$28))</f>
        <v/>
      </c>
      <c r="AY292" s="60">
        <f>IF(C292="","",SUMIFS('Saisie'!$H$5:$H$2004,'Saisie'!$C$5:$C$2004,C292))</f>
        <v/>
      </c>
      <c r="AZ292" s="60">
        <f>IF(C292="","",IFERROR(INDEX('Paramètres'!$W$6:$W$20,MATCH(S292,'Paramètres'!$V$6:$V$20,0))&amp;"",""))</f>
        <v/>
      </c>
      <c r="BA292" s="60">
        <f>IF(C292="","",MAX(1,_xlfn.MAXIFS('Saisie'!$AT$5:$AT$2004,'Saisie'!$C$5:$C$2004,C292)))</f>
        <v/>
      </c>
      <c r="BB292" s="60">
        <f>IF(C292="","",IFERROR(INDEX('Saisie'!$X$5:$X$2004,_xlfn.MAXIFS('Saisie'!$AS$5:$AS$2004,'Saisie'!$C$5:$C$2004,C292,'Saisie'!$X$5:$X$2004,"&lt;&gt;")-4),""))</f>
        <v/>
      </c>
      <c r="BC292" s="60">
        <f>IF(C292="","",IFERROR(INDEX('Saisie'!$Y$5:$Y$2004,_xlfn.MAXIFS('Saisie'!$AS$5:$AS$2004,'Saisie'!$C$5:$C$2004,C292,'Saisie'!$Y$5:$Y$2004,"&lt;&gt;")-4),""))</f>
        <v/>
      </c>
      <c r="BD292" s="106">
        <f>IF(C292="","",IFERROR(1/(1/_xlfn.MINIFS('Saisie'!$A$5:$A$2004,'Saisie'!$C$5:$C$2004,C292,'Saisie'!$AT$5:$AT$2004,"&gt;=2")),""))</f>
        <v/>
      </c>
      <c r="BE292" s="106">
        <f>IF(C292="","",IFERROR(1/(1/_xlfn.MINIFS('Saisie'!$A$5:$A$2004,'Saisie'!$C$5:$C$2004,C292,'Saisie'!$AT$5:$AT$2004,"&gt;=3")),""))</f>
        <v/>
      </c>
      <c r="BF292" s="106">
        <f>IF(C292="","",IFERROR(1/(1/_xlfn.MINIFS('Saisie'!$A$5:$A$2004,'Saisie'!$C$5:$C$2004,C292,'Saisie'!$AT$5:$AT$2004,"&gt;=4")),""))</f>
        <v/>
      </c>
      <c r="BG292" s="106">
        <f>IF(C292="","",IFERROR(1/(1/_xlfn.MINIFS('Saisie'!$A$5:$A$2004,'Saisie'!$C$5:$C$2004,C292,'Saisie'!$AT$5:$AT$2004,"&gt;=5")),""))</f>
        <v/>
      </c>
      <c r="BH292" s="106">
        <f>IF(C292="","",IFERROR(1/(1/_xlfn.MINIFS('Saisie'!$A$5:$A$2004,'Saisie'!$C$5:$C$2004,C292,'Saisie'!$AT$5:$AT$2004,"&gt;=6")),""))</f>
        <v/>
      </c>
      <c r="BI292" s="106">
        <f>IF(C292="","",IFERROR(1/(1/_xlfn.MINIFS('Saisie'!$A$5:$A$2004,'Saisie'!$C$5:$C$2004,C292,'Saisie'!$AT$5:$AT$2004,"&gt;=7")),""))</f>
        <v/>
      </c>
      <c r="BJ292" s="60">
        <f>IF(OR(BD292="",B292=""),"",BD292-B292)</f>
        <v/>
      </c>
      <c r="BK292" s="60">
        <f>IF(OR(BE292="",BD292=""),"",BE292-BD292)</f>
        <v/>
      </c>
      <c r="BL292" s="60">
        <f>IF(OR(BF292="",BE292=""),"",BF292-BE292)</f>
        <v/>
      </c>
      <c r="BM292" s="60">
        <f>IF(OR(BG292="",BF292=""),"",BG292-BF292)</f>
        <v/>
      </c>
      <c r="BN292" s="60">
        <f>IF(OR(BH292="",BG292=""),"",BH292-BG292)</f>
        <v/>
      </c>
      <c r="BO292" s="60">
        <f>IF(OR(BI292="",BH292=""),"",BI292-BH292)</f>
        <v/>
      </c>
      <c r="BP292" s="60">
        <f>IF(C292="","",_xlfn.MAXIFS('Saisie'!$AS$5:$AS$2004,'Saisie'!$C$5:$C$2004,C292,'Saisie'!$J$5:$J$2004,"&lt;&gt;"))</f>
        <v/>
      </c>
      <c r="BQ292" s="60">
        <f>IF(C292="","",_xlfn.MAXIFS('Saisie'!$AS$5:$AS$2004,'Saisie'!$C$5:$C$2004,C292))</f>
        <v/>
      </c>
      <c r="BR292" s="60">
        <f>IF(C292="","",_xlfn.MAXIFS('Saisie'!$AS$5:$AS$2004,'Saisie'!$C$5:$C$2004,C292,'Saisie'!$E$5:$E$2004,"Perdu"))</f>
        <v/>
      </c>
      <c r="BS292" s="60">
        <f>IF(C292="","",_xlfn.MAXIFS('Saisie'!$AS$5:$AS$2004,'Saisie'!$C$5:$C$2004,C292,'Saisie'!$AT$5:$AT$2004,"&gt;0"))</f>
        <v/>
      </c>
      <c r="BT292" s="109">
        <f>IF(AND(C292&lt;&gt;"",OR(D292="Nouveau",D292="Contacté",D292="Qualifié"),OR(G292="",N(G292)&lt;=TODAY()),NOT(AND(O292&gt;='Paramètres'!$B$21,P292=0))),E292+288/10000,"")</f>
        <v/>
      </c>
      <c r="BU292" s="60">
        <f>IF(AND(G292&lt;&gt;"",N(G292)&lt;=TODAY()),MAX($BU$4:BU291)+1,"")</f>
        <v/>
      </c>
      <c r="BV292" s="60">
        <f>IF(AND(F292&lt;&gt;"",F292&lt;&gt;"Relance en retard"),MAX($BV$4:BV291)+1,"")</f>
        <v/>
      </c>
      <c r="BW292" s="60">
        <f>IF(C292="","",IF(AND(B292&gt;='Tableau de bord'!$R$4,B292&lt;='Tableau de bord'!$S$4,OR('Tableau de bord'!$G$4="Tous",N292='Tableau de bord'!$G$4)),1,0))</f>
        <v/>
      </c>
      <c r="BX292" s="60">
        <f>IF(AND(C292&lt;&gt;"",N(BA292)=7),MAX($BX$4:BX291)+1,"")</f>
        <v/>
      </c>
    </row>
    <row r="293">
      <c r="A293" s="60">
        <f>IF(C293="","","P-"&amp;TEXT(289,"000"))</f>
        <v/>
      </c>
      <c r="B293" s="106">
        <f>IF(C293="","",IFERROR(1/(1/_xlfn.MINIFS('Saisie'!$A$5:$A$2004,'Saisie'!$C$5:$C$2004,C293)),""))</f>
        <v/>
      </c>
      <c r="C293" s="60">
        <f>IFERROR(INDEX('Saisie'!$C$5:$C$2004,MATCH(289,'Saisie'!$AX$5:$AX$2004,0)),"")</f>
        <v/>
      </c>
      <c r="D293" s="60">
        <f>IF(C293="","",IF(AND(BR293&gt;0,BR293&gt;BS293,BA293&lt;7),"Perdu",INDEX('Paramètres'!$F$6:$F$13,BA293)))</f>
        <v/>
      </c>
      <c r="E293" s="61">
        <f>IF(C293="","",MIN(100,(Z293="Oui")*'Paramètres'!$B$38+(AB293="Régulière")*'Paramètres'!$B$39+IF(AND(N(AA293)&gt;0,TODAY()-N(AA293)&lt;=30),'Paramètres'!$B$40,0)+(W293="")*'Paramètres'!$B$41+(AC293="Absente")*'Paramètres'!$B$42+(AC293="Faible")*'Paramètres'!$B$43+IF(AND(N(AD293)&gt;0,N(AD293)&lt;4),'Paramètres'!$B$44,0)+(AF293="Moyenne")*'Paramètres'!$B$45+(AF293="Grande")*'Paramètres'!$B$46+(Y293&lt;&gt;"")*'Paramètres'!$B$47))</f>
        <v/>
      </c>
      <c r="F293" s="60">
        <f>IF(C293="","",IF(D293="Gagné","",IF(D293="Perdu",IF(AND(AX293&lt;&gt;"",AX293&lt;=TODAY()),"À recontacter (perdu)",""),IF(AND(O293&gt;='Paramètres'!$B$21,P293=0),"Stop : "&amp;'Paramètres'!$B$21&amp;" tentatives sans réponse",IF(AND(D293="Proposition",AR293&lt;&gt;"",TODAY()&gt;N(AR293)),"Proposition expirée",IF(AND(D293="Proposition",N(R293)&gt;='Paramètres'!$B$25),"Proposition sans réponse",IF(AND(G293&lt;&gt;"",N(G293)&lt;TODAY()),"Relance en retard",IF(N(R293)&gt;='Paramètres'!$B$24,"Sans action depuis "&amp;R293&amp;" j",""))))))))</f>
        <v/>
      </c>
      <c r="G293" s="106">
        <f>IF(OR(C293="",D293="Gagné",D293="Perdu"),"",IF(AND(BP293&gt;0,BP293=BQ293),INDEX('Saisie'!$J$5:$J$2004,BP293-4),IF(OR(O293=0,AND(O293&gt;='Paramètres'!$B$21,P293=0)),"",Q293+IF(O293&lt;=1,'Paramètres'!$B$18,IF(O293=2,'Paramètres'!$B$19,'Paramètres'!$B$20)))))</f>
        <v/>
      </c>
      <c r="H293" s="107">
        <f>IF(OR(G293="",BP293&lt;&gt;BQ293),"",IF(INDEX('Saisie'!$K$5:$K$2004,BP293-4)="","",INDEX('Saisie'!$K$5:$K$2004,BP293-4)))</f>
        <v/>
      </c>
      <c r="I293" s="60">
        <f>IF(C293="","",IF(OR(D293="Gagné",D293="Perdu"),"",IFERROR(INDEX('Saisie'!$I$5:$I$2004,_xlfn.MAXIFS('Saisie'!$AS$5:$AS$2004,'Saisie'!$C$5:$C$2004,C293,'Saisie'!$I$5:$I$2004,"&lt;&gt;")-4),"")))</f>
        <v/>
      </c>
      <c r="J293" s="60">
        <f>IF(C293="","",IFERROR(INDEX('Saisie'!$U$5:$U$2004,_xlfn.MAXIFS('Saisie'!$AS$5:$AS$2004,'Saisie'!$C$5:$C$2004,C293,'Saisie'!$U$5:$U$2004,"&lt;&gt;")-4),""))</f>
        <v/>
      </c>
      <c r="K293" s="60">
        <f>IF(C293="","",IFERROR(INDEX('Saisie'!$W$5:$W$2004,_xlfn.MAXIFS('Saisie'!$AS$5:$AS$2004,'Saisie'!$C$5:$C$2004,C293,'Saisie'!$W$5:$W$2004,"&lt;&gt;")-4),""))</f>
        <v/>
      </c>
      <c r="L293" s="60">
        <f>IF(IF(BB293&lt;&gt;"",BB293,K293)="","",HYPERLINK("https://wa.me/"&amp;IF(LEFT(SUBSTITUTE(SUBSTITUTE(SUBSTITUTE(IF(BB293&lt;&gt;"",BB293,K293)," ",""),".",""),"+",""),1)="0",'Paramètres'!$B$35&amp;MID(SUBSTITUTE(SUBSTITUTE(SUBSTITUTE(IF(BB293&lt;&gt;"",BB293,K293)," ",""),".",""),"+",""),2,20),SUBSTITUTE(SUBSTITUTE(SUBSTITUTE(IF(BB293&lt;&gt;"",BB293,K293)," ",""),".",""),"+","")),"WhatsApp"))</f>
        <v/>
      </c>
      <c r="M293" s="60">
        <f>IF(BC293="","",HYPERLINK(IF(LEFT(BC293,4)="http",BC293,"https://www.instagram.com/"&amp;SUBSTITUTE(SUBSTITUTE(BC293,"@","")," ","")),BC293))</f>
        <v/>
      </c>
      <c r="N293" s="60">
        <f>IF(C293="","",IFERROR(INDEX('Saisie'!$D$5:$D$2004,_xlfn.MINIFS('Saisie'!$AS$5:$AS$2004,'Saisie'!$C$5:$C$2004,C293,'Saisie'!$AU$5:$AU$2004,1)-4),IFERROR(INDEX('Saisie'!$D$5:$D$2004,_xlfn.MINIFS('Saisie'!$AS$5:$AS$2004,'Saisie'!$C$5:$C$2004,C293,'Saisie'!$D$5:$D$2004,"&lt;&gt;")-4),"")))</f>
        <v/>
      </c>
      <c r="O293" s="60">
        <f>IF(C293="","",COUNTIFS('Saisie'!$C$5:$C$2004,C293,'Saisie'!$AU$5:$AU$2004,1))</f>
        <v/>
      </c>
      <c r="P293" s="60">
        <f>IF(C293="","",COUNTIFS('Saisie'!$C$5:$C$2004,C293,'Saisie'!$AV$5:$AV$2004,1))</f>
        <v/>
      </c>
      <c r="Q293" s="106">
        <f>IF(C293="","",IFERROR(1/(1/_xlfn.MAXIFS('Saisie'!$A$5:$A$2004,'Saisie'!$C$5:$C$2004,C293)),""))</f>
        <v/>
      </c>
      <c r="R293" s="61">
        <f>IF(C293="","",IF(Q293="","",TODAY()-Q293))</f>
        <v/>
      </c>
      <c r="S293" s="60">
        <f>IF(C293="","",IFERROR(INDEX('Saisie'!$R$5:$R$2004,_xlfn.MAXIFS('Saisie'!$AS$5:$AS$2004,'Saisie'!$C$5:$C$2004,C293,'Saisie'!$R$5:$R$2004,"&lt;&gt;")-4),""))</f>
        <v/>
      </c>
      <c r="T293" s="60">
        <f>IF(C293="","",IFERROR(INDEX('Saisie'!$S$5:$S$2004,_xlfn.MAXIFS('Saisie'!$AS$5:$AS$2004,'Saisie'!$C$5:$C$2004,C293,'Saisie'!$S$5:$S$2004,"&lt;&gt;")-4),""))</f>
        <v/>
      </c>
      <c r="U293" s="60">
        <f>IF(C293="","",IFERROR(INDEX('Saisie'!$T$5:$T$2004,_xlfn.MAXIFS('Saisie'!$AS$5:$AS$2004,'Saisie'!$C$5:$C$2004,C293,'Saisie'!$T$5:$T$2004,"&lt;&gt;")-4),""))</f>
        <v/>
      </c>
      <c r="V293" s="60">
        <f>IF(C293="","",IFERROR(INDEX('Saisie'!$V$5:$V$2004,_xlfn.MAXIFS('Saisie'!$AS$5:$AS$2004,'Saisie'!$C$5:$C$2004,C293,'Saisie'!$V$5:$V$2004,"&lt;&gt;")-4),""))</f>
        <v/>
      </c>
      <c r="W293" s="60">
        <f>IF(C293="","",IFERROR(INDEX('Saisie'!$Z$5:$Z$2004,_xlfn.MAXIFS('Saisie'!$AS$5:$AS$2004,'Saisie'!$C$5:$C$2004,C293,'Saisie'!$Z$5:$Z$2004,"&lt;&gt;")-4),""))</f>
        <v/>
      </c>
      <c r="X293" s="60">
        <f>IF(C293="","",IFERROR(INDEX('Saisie'!$AA$5:$AA$2004,_xlfn.MAXIFS('Saisie'!$AS$5:$AS$2004,'Saisie'!$C$5:$C$2004,C293,'Saisie'!$AA$5:$AA$2004,"&lt;&gt;")-4),""))</f>
        <v/>
      </c>
      <c r="Y293" s="60">
        <f>IF(C293="","",IFERROR(INDEX('Saisie'!$AB$5:$AB$2004,_xlfn.MAXIFS('Saisie'!$AS$5:$AS$2004,'Saisie'!$C$5:$C$2004,C293,'Saisie'!$AB$5:$AB$2004,"&lt;&gt;")-4),""))</f>
        <v/>
      </c>
      <c r="Z293" s="60">
        <f>IF(C293="","",IFERROR(INDEX('Saisie'!$AC$5:$AC$2004,_xlfn.MAXIFS('Saisie'!$AS$5:$AS$2004,'Saisie'!$C$5:$C$2004,C293,'Saisie'!$AC$5:$AC$2004,"&lt;&gt;")-4),""))</f>
        <v/>
      </c>
      <c r="AA293" s="106">
        <f>IF(C293="","",IFERROR(INDEX('Saisie'!$AD$5:$AD$2004,_xlfn.MAXIFS('Saisie'!$AS$5:$AS$2004,'Saisie'!$C$5:$C$2004,C293,'Saisie'!$AD$5:$AD$2004,"&lt;&gt;")-4),""))</f>
        <v/>
      </c>
      <c r="AB293" s="60">
        <f>IF(C293="","",IFERROR(INDEX('Saisie'!$AE$5:$AE$2004,_xlfn.MAXIFS('Saisie'!$AS$5:$AS$2004,'Saisie'!$C$5:$C$2004,C293,'Saisie'!$AE$5:$AE$2004,"&lt;&gt;")-4),""))</f>
        <v/>
      </c>
      <c r="AC293" s="60">
        <f>IF(C293="","",IFERROR(INDEX('Saisie'!$AF$5:$AF$2004,_xlfn.MAXIFS('Saisie'!$AS$5:$AS$2004,'Saisie'!$C$5:$C$2004,C293,'Saisie'!$AF$5:$AF$2004,"&lt;&gt;")-4),""))</f>
        <v/>
      </c>
      <c r="AD293" s="108">
        <f>IF(C293="","",IFERROR(INDEX('Saisie'!$AG$5:$AG$2004,_xlfn.MAXIFS('Saisie'!$AS$5:$AS$2004,'Saisie'!$C$5:$C$2004,C293,'Saisie'!$AG$5:$AG$2004,"&lt;&gt;")-4),""))</f>
        <v/>
      </c>
      <c r="AE293" s="60">
        <f>IF(C293="","",IFERROR(INDEX('Saisie'!$AH$5:$AH$2004,_xlfn.MAXIFS('Saisie'!$AS$5:$AS$2004,'Saisie'!$C$5:$C$2004,C293,'Saisie'!$AH$5:$AH$2004,"&lt;&gt;")-4),""))</f>
        <v/>
      </c>
      <c r="AF293" s="60">
        <f>IF(C293="","",IFERROR(INDEX('Saisie'!$AI$5:$AI$2004,_xlfn.MAXIFS('Saisie'!$AS$5:$AS$2004,'Saisie'!$C$5:$C$2004,C293,'Saisie'!$AI$5:$AI$2004,"&lt;&gt;")-4),""))</f>
        <v/>
      </c>
      <c r="AG293" s="60">
        <f>IF(C293="","",IFERROR(INDEX('Saisie'!$AJ$5:$AJ$2004,_xlfn.MAXIFS('Saisie'!$AS$5:$AS$2004,'Saisie'!$C$5:$C$2004,C293,'Saisie'!$AJ$5:$AJ$2004,"&lt;&gt;")-4),""))</f>
        <v/>
      </c>
      <c r="AH293" s="60">
        <f>IF(C293="","",IFERROR(INDEX('Saisie'!$AK$5:$AK$2004,_xlfn.MAXIFS('Saisie'!$AS$5:$AS$2004,'Saisie'!$C$5:$C$2004,C293,'Saisie'!$AK$5:$AK$2004,"&lt;&gt;")-4),""))</f>
        <v/>
      </c>
      <c r="AI293" s="60">
        <f>IF(C293="","",IFERROR(INDEX('Saisie'!$AN$5:$AN$2004,_xlfn.MAXIFS('Saisie'!$AS$5:$AS$2004,'Saisie'!$C$5:$C$2004,C293,'Saisie'!$AN$5:$AN$2004,"&lt;&gt;")-4),""))</f>
        <v/>
      </c>
      <c r="AJ293" s="60">
        <f>IF(C293="","",IFERROR(INDEX('Saisie'!$AO$5:$AO$2004,_xlfn.MAXIFS('Saisie'!$AS$5:$AS$2004,'Saisie'!$C$5:$C$2004,C293,'Saisie'!$AO$5:$AO$2004,"&lt;&gt;")-4),""))</f>
        <v/>
      </c>
      <c r="AK293" s="60">
        <f>IF(C293="","",IFERROR(INDEX('Saisie'!$AP$5:$AP$2004,_xlfn.MAXIFS('Saisie'!$AS$5:$AS$2004,'Saisie'!$C$5:$C$2004,C293,'Saisie'!$AP$5:$AP$2004,"&lt;&gt;")-4),""))</f>
        <v/>
      </c>
      <c r="AL293" s="60">
        <f>IF(C293="","",IFERROR(INDEX('Saisie'!$AQ$5:$AQ$2004,_xlfn.MAXIFS('Saisie'!$AS$5:$AS$2004,'Saisie'!$C$5:$C$2004,C293,'Saisie'!$AQ$5:$AQ$2004,"&lt;&gt;")-4),""))</f>
        <v/>
      </c>
      <c r="AM293" s="60">
        <f>IF(C293="","",((AI293="Oui")+(AJ293="Oui")+(AK293="Oui")+OR(AL293="Immédiat",AL293="&lt; 1 mois"))&amp;"/4")</f>
        <v/>
      </c>
      <c r="AN293" s="60">
        <f>IF(C293="","",IFERROR(INDEX('Saisie'!$AL$5:$AL$2004,_xlfn.MAXIFS('Saisie'!$AS$5:$AS$2004,'Saisie'!$C$5:$C$2004,C293,'Saisie'!$AL$5:$AL$2004,"&lt;&gt;")-4),""))</f>
        <v/>
      </c>
      <c r="AO293" s="62">
        <f>IF(C293="","",IF(IFERROR(INDEX('Saisie'!$AM$5:$AM$2004,_xlfn.MAXIFS('Saisie'!$AS$5:$AS$2004,'Saisie'!$C$5:$C$2004,C293,'Saisie'!$AM$5:$AM$2004,"&lt;&gt;")-4),"")&lt;&gt;"",IFERROR(INDEX('Saisie'!$AM$5:$AM$2004,_xlfn.MAXIFS('Saisie'!$AS$5:$AS$2004,'Saisie'!$C$5:$C$2004,C293,'Saisie'!$AM$5:$AM$2004,"&lt;&gt;")-4),""),IFERROR(INDEX('Paramètres'!$S$6:$S$15,MATCH(AN293,'Paramètres'!$Q$6:$Q$15,0)),"")))</f>
        <v/>
      </c>
      <c r="AP293" s="62">
        <f>IF(C293="","",IFERROR(INDEX('Saisie'!$AW$5:$AW$2004,_xlfn.MAXIFS('Saisie'!$AS$5:$AS$2004,'Saisie'!$C$5:$C$2004,C293,'Saisie'!$E$5:$E$2004,"Proposition envoyée")-4),""))</f>
        <v/>
      </c>
      <c r="AQ293" s="106">
        <f>IF(C293="","",IFERROR(1/(1/_xlfn.MAXIFS('Saisie'!$A$5:$A$2004,'Saisie'!$C$5:$C$2004,C293,'Saisie'!$E$5:$E$2004,"Proposition envoyée")),""))</f>
        <v/>
      </c>
      <c r="AR293" s="106">
        <f>IF(C293="","",IF(AQ293="","",AQ293+'Paramètres'!$B$26))</f>
        <v/>
      </c>
      <c r="AS293" s="62">
        <f>IF(OR(C293="",D293="Gagné",D293="Perdu"),0,N(AP293)*IFERROR(INDEX('Paramètres'!$G$6:$G$13,MATCH(D293,'Paramètres'!$F$6:$F$13,0)),0))</f>
        <v/>
      </c>
      <c r="AT293" s="106">
        <f>IF(C293="","",IFERROR(1/(1/_xlfn.MINIFS('Saisie'!$A$5:$A$2004,'Saisie'!$C$5:$C$2004,C293,'Saisie'!$E$5:$E$2004,"Signature")),""))</f>
        <v/>
      </c>
      <c r="AU293" s="60">
        <f>IF(C293="","",IF(OR(AT293="",B293=""),"",AT293-B293))</f>
        <v/>
      </c>
      <c r="AV293" s="60">
        <f>IF(C293="","",IFERROR(INDEX('Saisie'!$L$5:$L$2004,_xlfn.MAXIFS('Saisie'!$AS$5:$AS$2004,'Saisie'!$C$5:$C$2004,C293,'Saisie'!$L$5:$L$2004,"&lt;&gt;")-4),""))</f>
        <v/>
      </c>
      <c r="AW293" s="106">
        <f>IF(C293="","",IF(D293&lt;&gt;"Perdu","",IFERROR(1/(1/_xlfn.MAXIFS('Saisie'!$A$5:$A$2004,'Saisie'!$C$5:$C$2004,C293,'Saisie'!$E$5:$E$2004,"Perdu")),"")))</f>
        <v/>
      </c>
      <c r="AX293" s="106">
        <f>IF(C293="","",IF(AW293="","",AW293+'Paramètres'!$B$28))</f>
        <v/>
      </c>
      <c r="AY293" s="60">
        <f>IF(C293="","",SUMIFS('Saisie'!$H$5:$H$2004,'Saisie'!$C$5:$C$2004,C293))</f>
        <v/>
      </c>
      <c r="AZ293" s="60">
        <f>IF(C293="","",IFERROR(INDEX('Paramètres'!$W$6:$W$20,MATCH(S293,'Paramètres'!$V$6:$V$20,0))&amp;"",""))</f>
        <v/>
      </c>
      <c r="BA293" s="60">
        <f>IF(C293="","",MAX(1,_xlfn.MAXIFS('Saisie'!$AT$5:$AT$2004,'Saisie'!$C$5:$C$2004,C293)))</f>
        <v/>
      </c>
      <c r="BB293" s="60">
        <f>IF(C293="","",IFERROR(INDEX('Saisie'!$X$5:$X$2004,_xlfn.MAXIFS('Saisie'!$AS$5:$AS$2004,'Saisie'!$C$5:$C$2004,C293,'Saisie'!$X$5:$X$2004,"&lt;&gt;")-4),""))</f>
        <v/>
      </c>
      <c r="BC293" s="60">
        <f>IF(C293="","",IFERROR(INDEX('Saisie'!$Y$5:$Y$2004,_xlfn.MAXIFS('Saisie'!$AS$5:$AS$2004,'Saisie'!$C$5:$C$2004,C293,'Saisie'!$Y$5:$Y$2004,"&lt;&gt;")-4),""))</f>
        <v/>
      </c>
      <c r="BD293" s="106">
        <f>IF(C293="","",IFERROR(1/(1/_xlfn.MINIFS('Saisie'!$A$5:$A$2004,'Saisie'!$C$5:$C$2004,C293,'Saisie'!$AT$5:$AT$2004,"&gt;=2")),""))</f>
        <v/>
      </c>
      <c r="BE293" s="106">
        <f>IF(C293="","",IFERROR(1/(1/_xlfn.MINIFS('Saisie'!$A$5:$A$2004,'Saisie'!$C$5:$C$2004,C293,'Saisie'!$AT$5:$AT$2004,"&gt;=3")),""))</f>
        <v/>
      </c>
      <c r="BF293" s="106">
        <f>IF(C293="","",IFERROR(1/(1/_xlfn.MINIFS('Saisie'!$A$5:$A$2004,'Saisie'!$C$5:$C$2004,C293,'Saisie'!$AT$5:$AT$2004,"&gt;=4")),""))</f>
        <v/>
      </c>
      <c r="BG293" s="106">
        <f>IF(C293="","",IFERROR(1/(1/_xlfn.MINIFS('Saisie'!$A$5:$A$2004,'Saisie'!$C$5:$C$2004,C293,'Saisie'!$AT$5:$AT$2004,"&gt;=5")),""))</f>
        <v/>
      </c>
      <c r="BH293" s="106">
        <f>IF(C293="","",IFERROR(1/(1/_xlfn.MINIFS('Saisie'!$A$5:$A$2004,'Saisie'!$C$5:$C$2004,C293,'Saisie'!$AT$5:$AT$2004,"&gt;=6")),""))</f>
        <v/>
      </c>
      <c r="BI293" s="106">
        <f>IF(C293="","",IFERROR(1/(1/_xlfn.MINIFS('Saisie'!$A$5:$A$2004,'Saisie'!$C$5:$C$2004,C293,'Saisie'!$AT$5:$AT$2004,"&gt;=7")),""))</f>
        <v/>
      </c>
      <c r="BJ293" s="60">
        <f>IF(OR(BD293="",B293=""),"",BD293-B293)</f>
        <v/>
      </c>
      <c r="BK293" s="60">
        <f>IF(OR(BE293="",BD293=""),"",BE293-BD293)</f>
        <v/>
      </c>
      <c r="BL293" s="60">
        <f>IF(OR(BF293="",BE293=""),"",BF293-BE293)</f>
        <v/>
      </c>
      <c r="BM293" s="60">
        <f>IF(OR(BG293="",BF293=""),"",BG293-BF293)</f>
        <v/>
      </c>
      <c r="BN293" s="60">
        <f>IF(OR(BH293="",BG293=""),"",BH293-BG293)</f>
        <v/>
      </c>
      <c r="BO293" s="60">
        <f>IF(OR(BI293="",BH293=""),"",BI293-BH293)</f>
        <v/>
      </c>
      <c r="BP293" s="60">
        <f>IF(C293="","",_xlfn.MAXIFS('Saisie'!$AS$5:$AS$2004,'Saisie'!$C$5:$C$2004,C293,'Saisie'!$J$5:$J$2004,"&lt;&gt;"))</f>
        <v/>
      </c>
      <c r="BQ293" s="60">
        <f>IF(C293="","",_xlfn.MAXIFS('Saisie'!$AS$5:$AS$2004,'Saisie'!$C$5:$C$2004,C293))</f>
        <v/>
      </c>
      <c r="BR293" s="60">
        <f>IF(C293="","",_xlfn.MAXIFS('Saisie'!$AS$5:$AS$2004,'Saisie'!$C$5:$C$2004,C293,'Saisie'!$E$5:$E$2004,"Perdu"))</f>
        <v/>
      </c>
      <c r="BS293" s="60">
        <f>IF(C293="","",_xlfn.MAXIFS('Saisie'!$AS$5:$AS$2004,'Saisie'!$C$5:$C$2004,C293,'Saisie'!$AT$5:$AT$2004,"&gt;0"))</f>
        <v/>
      </c>
      <c r="BT293" s="109">
        <f>IF(AND(C293&lt;&gt;"",OR(D293="Nouveau",D293="Contacté",D293="Qualifié"),OR(G293="",N(G293)&lt;=TODAY()),NOT(AND(O293&gt;='Paramètres'!$B$21,P293=0))),E293+289/10000,"")</f>
        <v/>
      </c>
      <c r="BU293" s="60">
        <f>IF(AND(G293&lt;&gt;"",N(G293)&lt;=TODAY()),MAX($BU$4:BU292)+1,"")</f>
        <v/>
      </c>
      <c r="BV293" s="60">
        <f>IF(AND(F293&lt;&gt;"",F293&lt;&gt;"Relance en retard"),MAX($BV$4:BV292)+1,"")</f>
        <v/>
      </c>
      <c r="BW293" s="60">
        <f>IF(C293="","",IF(AND(B293&gt;='Tableau de bord'!$R$4,B293&lt;='Tableau de bord'!$S$4,OR('Tableau de bord'!$G$4="Tous",N293='Tableau de bord'!$G$4)),1,0))</f>
        <v/>
      </c>
      <c r="BX293" s="60">
        <f>IF(AND(C293&lt;&gt;"",N(BA293)=7),MAX($BX$4:BX292)+1,"")</f>
        <v/>
      </c>
    </row>
    <row r="294">
      <c r="A294" s="60">
        <f>IF(C294="","","P-"&amp;TEXT(290,"000"))</f>
        <v/>
      </c>
      <c r="B294" s="106">
        <f>IF(C294="","",IFERROR(1/(1/_xlfn.MINIFS('Saisie'!$A$5:$A$2004,'Saisie'!$C$5:$C$2004,C294)),""))</f>
        <v/>
      </c>
      <c r="C294" s="60">
        <f>IFERROR(INDEX('Saisie'!$C$5:$C$2004,MATCH(290,'Saisie'!$AX$5:$AX$2004,0)),"")</f>
        <v/>
      </c>
      <c r="D294" s="60">
        <f>IF(C294="","",IF(AND(BR294&gt;0,BR294&gt;BS294,BA294&lt;7),"Perdu",INDEX('Paramètres'!$F$6:$F$13,BA294)))</f>
        <v/>
      </c>
      <c r="E294" s="61">
        <f>IF(C294="","",MIN(100,(Z294="Oui")*'Paramètres'!$B$38+(AB294="Régulière")*'Paramètres'!$B$39+IF(AND(N(AA294)&gt;0,TODAY()-N(AA294)&lt;=30),'Paramètres'!$B$40,0)+(W294="")*'Paramètres'!$B$41+(AC294="Absente")*'Paramètres'!$B$42+(AC294="Faible")*'Paramètres'!$B$43+IF(AND(N(AD294)&gt;0,N(AD294)&lt;4),'Paramètres'!$B$44,0)+(AF294="Moyenne")*'Paramètres'!$B$45+(AF294="Grande")*'Paramètres'!$B$46+(Y294&lt;&gt;"")*'Paramètres'!$B$47))</f>
        <v/>
      </c>
      <c r="F294" s="60">
        <f>IF(C294="","",IF(D294="Gagné","",IF(D294="Perdu",IF(AND(AX294&lt;&gt;"",AX294&lt;=TODAY()),"À recontacter (perdu)",""),IF(AND(O294&gt;='Paramètres'!$B$21,P294=0),"Stop : "&amp;'Paramètres'!$B$21&amp;" tentatives sans réponse",IF(AND(D294="Proposition",AR294&lt;&gt;"",TODAY()&gt;N(AR294)),"Proposition expirée",IF(AND(D294="Proposition",N(R294)&gt;='Paramètres'!$B$25),"Proposition sans réponse",IF(AND(G294&lt;&gt;"",N(G294)&lt;TODAY()),"Relance en retard",IF(N(R294)&gt;='Paramètres'!$B$24,"Sans action depuis "&amp;R294&amp;" j",""))))))))</f>
        <v/>
      </c>
      <c r="G294" s="106">
        <f>IF(OR(C294="",D294="Gagné",D294="Perdu"),"",IF(AND(BP294&gt;0,BP294=BQ294),INDEX('Saisie'!$J$5:$J$2004,BP294-4),IF(OR(O294=0,AND(O294&gt;='Paramètres'!$B$21,P294=0)),"",Q294+IF(O294&lt;=1,'Paramètres'!$B$18,IF(O294=2,'Paramètres'!$B$19,'Paramètres'!$B$20)))))</f>
        <v/>
      </c>
      <c r="H294" s="107">
        <f>IF(OR(G294="",BP294&lt;&gt;BQ294),"",IF(INDEX('Saisie'!$K$5:$K$2004,BP294-4)="","",INDEX('Saisie'!$K$5:$K$2004,BP294-4)))</f>
        <v/>
      </c>
      <c r="I294" s="60">
        <f>IF(C294="","",IF(OR(D294="Gagné",D294="Perdu"),"",IFERROR(INDEX('Saisie'!$I$5:$I$2004,_xlfn.MAXIFS('Saisie'!$AS$5:$AS$2004,'Saisie'!$C$5:$C$2004,C294,'Saisie'!$I$5:$I$2004,"&lt;&gt;")-4),"")))</f>
        <v/>
      </c>
      <c r="J294" s="60">
        <f>IF(C294="","",IFERROR(INDEX('Saisie'!$U$5:$U$2004,_xlfn.MAXIFS('Saisie'!$AS$5:$AS$2004,'Saisie'!$C$5:$C$2004,C294,'Saisie'!$U$5:$U$2004,"&lt;&gt;")-4),""))</f>
        <v/>
      </c>
      <c r="K294" s="60">
        <f>IF(C294="","",IFERROR(INDEX('Saisie'!$W$5:$W$2004,_xlfn.MAXIFS('Saisie'!$AS$5:$AS$2004,'Saisie'!$C$5:$C$2004,C294,'Saisie'!$W$5:$W$2004,"&lt;&gt;")-4),""))</f>
        <v/>
      </c>
      <c r="L294" s="60">
        <f>IF(IF(BB294&lt;&gt;"",BB294,K294)="","",HYPERLINK("https://wa.me/"&amp;IF(LEFT(SUBSTITUTE(SUBSTITUTE(SUBSTITUTE(IF(BB294&lt;&gt;"",BB294,K294)," ",""),".",""),"+",""),1)="0",'Paramètres'!$B$35&amp;MID(SUBSTITUTE(SUBSTITUTE(SUBSTITUTE(IF(BB294&lt;&gt;"",BB294,K294)," ",""),".",""),"+",""),2,20),SUBSTITUTE(SUBSTITUTE(SUBSTITUTE(IF(BB294&lt;&gt;"",BB294,K294)," ",""),".",""),"+","")),"WhatsApp"))</f>
        <v/>
      </c>
      <c r="M294" s="60">
        <f>IF(BC294="","",HYPERLINK(IF(LEFT(BC294,4)="http",BC294,"https://www.instagram.com/"&amp;SUBSTITUTE(SUBSTITUTE(BC294,"@","")," ","")),BC294))</f>
        <v/>
      </c>
      <c r="N294" s="60">
        <f>IF(C294="","",IFERROR(INDEX('Saisie'!$D$5:$D$2004,_xlfn.MINIFS('Saisie'!$AS$5:$AS$2004,'Saisie'!$C$5:$C$2004,C294,'Saisie'!$AU$5:$AU$2004,1)-4),IFERROR(INDEX('Saisie'!$D$5:$D$2004,_xlfn.MINIFS('Saisie'!$AS$5:$AS$2004,'Saisie'!$C$5:$C$2004,C294,'Saisie'!$D$5:$D$2004,"&lt;&gt;")-4),"")))</f>
        <v/>
      </c>
      <c r="O294" s="60">
        <f>IF(C294="","",COUNTIFS('Saisie'!$C$5:$C$2004,C294,'Saisie'!$AU$5:$AU$2004,1))</f>
        <v/>
      </c>
      <c r="P294" s="60">
        <f>IF(C294="","",COUNTIFS('Saisie'!$C$5:$C$2004,C294,'Saisie'!$AV$5:$AV$2004,1))</f>
        <v/>
      </c>
      <c r="Q294" s="106">
        <f>IF(C294="","",IFERROR(1/(1/_xlfn.MAXIFS('Saisie'!$A$5:$A$2004,'Saisie'!$C$5:$C$2004,C294)),""))</f>
        <v/>
      </c>
      <c r="R294" s="61">
        <f>IF(C294="","",IF(Q294="","",TODAY()-Q294))</f>
        <v/>
      </c>
      <c r="S294" s="60">
        <f>IF(C294="","",IFERROR(INDEX('Saisie'!$R$5:$R$2004,_xlfn.MAXIFS('Saisie'!$AS$5:$AS$2004,'Saisie'!$C$5:$C$2004,C294,'Saisie'!$R$5:$R$2004,"&lt;&gt;")-4),""))</f>
        <v/>
      </c>
      <c r="T294" s="60">
        <f>IF(C294="","",IFERROR(INDEX('Saisie'!$S$5:$S$2004,_xlfn.MAXIFS('Saisie'!$AS$5:$AS$2004,'Saisie'!$C$5:$C$2004,C294,'Saisie'!$S$5:$S$2004,"&lt;&gt;")-4),""))</f>
        <v/>
      </c>
      <c r="U294" s="60">
        <f>IF(C294="","",IFERROR(INDEX('Saisie'!$T$5:$T$2004,_xlfn.MAXIFS('Saisie'!$AS$5:$AS$2004,'Saisie'!$C$5:$C$2004,C294,'Saisie'!$T$5:$T$2004,"&lt;&gt;")-4),""))</f>
        <v/>
      </c>
      <c r="V294" s="60">
        <f>IF(C294="","",IFERROR(INDEX('Saisie'!$V$5:$V$2004,_xlfn.MAXIFS('Saisie'!$AS$5:$AS$2004,'Saisie'!$C$5:$C$2004,C294,'Saisie'!$V$5:$V$2004,"&lt;&gt;")-4),""))</f>
        <v/>
      </c>
      <c r="W294" s="60">
        <f>IF(C294="","",IFERROR(INDEX('Saisie'!$Z$5:$Z$2004,_xlfn.MAXIFS('Saisie'!$AS$5:$AS$2004,'Saisie'!$C$5:$C$2004,C294,'Saisie'!$Z$5:$Z$2004,"&lt;&gt;")-4),""))</f>
        <v/>
      </c>
      <c r="X294" s="60">
        <f>IF(C294="","",IFERROR(INDEX('Saisie'!$AA$5:$AA$2004,_xlfn.MAXIFS('Saisie'!$AS$5:$AS$2004,'Saisie'!$C$5:$C$2004,C294,'Saisie'!$AA$5:$AA$2004,"&lt;&gt;")-4),""))</f>
        <v/>
      </c>
      <c r="Y294" s="60">
        <f>IF(C294="","",IFERROR(INDEX('Saisie'!$AB$5:$AB$2004,_xlfn.MAXIFS('Saisie'!$AS$5:$AS$2004,'Saisie'!$C$5:$C$2004,C294,'Saisie'!$AB$5:$AB$2004,"&lt;&gt;")-4),""))</f>
        <v/>
      </c>
      <c r="Z294" s="60">
        <f>IF(C294="","",IFERROR(INDEX('Saisie'!$AC$5:$AC$2004,_xlfn.MAXIFS('Saisie'!$AS$5:$AS$2004,'Saisie'!$C$5:$C$2004,C294,'Saisie'!$AC$5:$AC$2004,"&lt;&gt;")-4),""))</f>
        <v/>
      </c>
      <c r="AA294" s="106">
        <f>IF(C294="","",IFERROR(INDEX('Saisie'!$AD$5:$AD$2004,_xlfn.MAXIFS('Saisie'!$AS$5:$AS$2004,'Saisie'!$C$5:$C$2004,C294,'Saisie'!$AD$5:$AD$2004,"&lt;&gt;")-4),""))</f>
        <v/>
      </c>
      <c r="AB294" s="60">
        <f>IF(C294="","",IFERROR(INDEX('Saisie'!$AE$5:$AE$2004,_xlfn.MAXIFS('Saisie'!$AS$5:$AS$2004,'Saisie'!$C$5:$C$2004,C294,'Saisie'!$AE$5:$AE$2004,"&lt;&gt;")-4),""))</f>
        <v/>
      </c>
      <c r="AC294" s="60">
        <f>IF(C294="","",IFERROR(INDEX('Saisie'!$AF$5:$AF$2004,_xlfn.MAXIFS('Saisie'!$AS$5:$AS$2004,'Saisie'!$C$5:$C$2004,C294,'Saisie'!$AF$5:$AF$2004,"&lt;&gt;")-4),""))</f>
        <v/>
      </c>
      <c r="AD294" s="108">
        <f>IF(C294="","",IFERROR(INDEX('Saisie'!$AG$5:$AG$2004,_xlfn.MAXIFS('Saisie'!$AS$5:$AS$2004,'Saisie'!$C$5:$C$2004,C294,'Saisie'!$AG$5:$AG$2004,"&lt;&gt;")-4),""))</f>
        <v/>
      </c>
      <c r="AE294" s="60">
        <f>IF(C294="","",IFERROR(INDEX('Saisie'!$AH$5:$AH$2004,_xlfn.MAXIFS('Saisie'!$AS$5:$AS$2004,'Saisie'!$C$5:$C$2004,C294,'Saisie'!$AH$5:$AH$2004,"&lt;&gt;")-4),""))</f>
        <v/>
      </c>
      <c r="AF294" s="60">
        <f>IF(C294="","",IFERROR(INDEX('Saisie'!$AI$5:$AI$2004,_xlfn.MAXIFS('Saisie'!$AS$5:$AS$2004,'Saisie'!$C$5:$C$2004,C294,'Saisie'!$AI$5:$AI$2004,"&lt;&gt;")-4),""))</f>
        <v/>
      </c>
      <c r="AG294" s="60">
        <f>IF(C294="","",IFERROR(INDEX('Saisie'!$AJ$5:$AJ$2004,_xlfn.MAXIFS('Saisie'!$AS$5:$AS$2004,'Saisie'!$C$5:$C$2004,C294,'Saisie'!$AJ$5:$AJ$2004,"&lt;&gt;")-4),""))</f>
        <v/>
      </c>
      <c r="AH294" s="60">
        <f>IF(C294="","",IFERROR(INDEX('Saisie'!$AK$5:$AK$2004,_xlfn.MAXIFS('Saisie'!$AS$5:$AS$2004,'Saisie'!$C$5:$C$2004,C294,'Saisie'!$AK$5:$AK$2004,"&lt;&gt;")-4),""))</f>
        <v/>
      </c>
      <c r="AI294" s="60">
        <f>IF(C294="","",IFERROR(INDEX('Saisie'!$AN$5:$AN$2004,_xlfn.MAXIFS('Saisie'!$AS$5:$AS$2004,'Saisie'!$C$5:$C$2004,C294,'Saisie'!$AN$5:$AN$2004,"&lt;&gt;")-4),""))</f>
        <v/>
      </c>
      <c r="AJ294" s="60">
        <f>IF(C294="","",IFERROR(INDEX('Saisie'!$AO$5:$AO$2004,_xlfn.MAXIFS('Saisie'!$AS$5:$AS$2004,'Saisie'!$C$5:$C$2004,C294,'Saisie'!$AO$5:$AO$2004,"&lt;&gt;")-4),""))</f>
        <v/>
      </c>
      <c r="AK294" s="60">
        <f>IF(C294="","",IFERROR(INDEX('Saisie'!$AP$5:$AP$2004,_xlfn.MAXIFS('Saisie'!$AS$5:$AS$2004,'Saisie'!$C$5:$C$2004,C294,'Saisie'!$AP$5:$AP$2004,"&lt;&gt;")-4),""))</f>
        <v/>
      </c>
      <c r="AL294" s="60">
        <f>IF(C294="","",IFERROR(INDEX('Saisie'!$AQ$5:$AQ$2004,_xlfn.MAXIFS('Saisie'!$AS$5:$AS$2004,'Saisie'!$C$5:$C$2004,C294,'Saisie'!$AQ$5:$AQ$2004,"&lt;&gt;")-4),""))</f>
        <v/>
      </c>
      <c r="AM294" s="60">
        <f>IF(C294="","",((AI294="Oui")+(AJ294="Oui")+(AK294="Oui")+OR(AL294="Immédiat",AL294="&lt; 1 mois"))&amp;"/4")</f>
        <v/>
      </c>
      <c r="AN294" s="60">
        <f>IF(C294="","",IFERROR(INDEX('Saisie'!$AL$5:$AL$2004,_xlfn.MAXIFS('Saisie'!$AS$5:$AS$2004,'Saisie'!$C$5:$C$2004,C294,'Saisie'!$AL$5:$AL$2004,"&lt;&gt;")-4),""))</f>
        <v/>
      </c>
      <c r="AO294" s="62">
        <f>IF(C294="","",IF(IFERROR(INDEX('Saisie'!$AM$5:$AM$2004,_xlfn.MAXIFS('Saisie'!$AS$5:$AS$2004,'Saisie'!$C$5:$C$2004,C294,'Saisie'!$AM$5:$AM$2004,"&lt;&gt;")-4),"")&lt;&gt;"",IFERROR(INDEX('Saisie'!$AM$5:$AM$2004,_xlfn.MAXIFS('Saisie'!$AS$5:$AS$2004,'Saisie'!$C$5:$C$2004,C294,'Saisie'!$AM$5:$AM$2004,"&lt;&gt;")-4),""),IFERROR(INDEX('Paramètres'!$S$6:$S$15,MATCH(AN294,'Paramètres'!$Q$6:$Q$15,0)),"")))</f>
        <v/>
      </c>
      <c r="AP294" s="62">
        <f>IF(C294="","",IFERROR(INDEX('Saisie'!$AW$5:$AW$2004,_xlfn.MAXIFS('Saisie'!$AS$5:$AS$2004,'Saisie'!$C$5:$C$2004,C294,'Saisie'!$E$5:$E$2004,"Proposition envoyée")-4),""))</f>
        <v/>
      </c>
      <c r="AQ294" s="106">
        <f>IF(C294="","",IFERROR(1/(1/_xlfn.MAXIFS('Saisie'!$A$5:$A$2004,'Saisie'!$C$5:$C$2004,C294,'Saisie'!$E$5:$E$2004,"Proposition envoyée")),""))</f>
        <v/>
      </c>
      <c r="AR294" s="106">
        <f>IF(C294="","",IF(AQ294="","",AQ294+'Paramètres'!$B$26))</f>
        <v/>
      </c>
      <c r="AS294" s="62">
        <f>IF(OR(C294="",D294="Gagné",D294="Perdu"),0,N(AP294)*IFERROR(INDEX('Paramètres'!$G$6:$G$13,MATCH(D294,'Paramètres'!$F$6:$F$13,0)),0))</f>
        <v/>
      </c>
      <c r="AT294" s="106">
        <f>IF(C294="","",IFERROR(1/(1/_xlfn.MINIFS('Saisie'!$A$5:$A$2004,'Saisie'!$C$5:$C$2004,C294,'Saisie'!$E$5:$E$2004,"Signature")),""))</f>
        <v/>
      </c>
      <c r="AU294" s="60">
        <f>IF(C294="","",IF(OR(AT294="",B294=""),"",AT294-B294))</f>
        <v/>
      </c>
      <c r="AV294" s="60">
        <f>IF(C294="","",IFERROR(INDEX('Saisie'!$L$5:$L$2004,_xlfn.MAXIFS('Saisie'!$AS$5:$AS$2004,'Saisie'!$C$5:$C$2004,C294,'Saisie'!$L$5:$L$2004,"&lt;&gt;")-4),""))</f>
        <v/>
      </c>
      <c r="AW294" s="106">
        <f>IF(C294="","",IF(D294&lt;&gt;"Perdu","",IFERROR(1/(1/_xlfn.MAXIFS('Saisie'!$A$5:$A$2004,'Saisie'!$C$5:$C$2004,C294,'Saisie'!$E$5:$E$2004,"Perdu")),"")))</f>
        <v/>
      </c>
      <c r="AX294" s="106">
        <f>IF(C294="","",IF(AW294="","",AW294+'Paramètres'!$B$28))</f>
        <v/>
      </c>
      <c r="AY294" s="60">
        <f>IF(C294="","",SUMIFS('Saisie'!$H$5:$H$2004,'Saisie'!$C$5:$C$2004,C294))</f>
        <v/>
      </c>
      <c r="AZ294" s="60">
        <f>IF(C294="","",IFERROR(INDEX('Paramètres'!$W$6:$W$20,MATCH(S294,'Paramètres'!$V$6:$V$20,0))&amp;"",""))</f>
        <v/>
      </c>
      <c r="BA294" s="60">
        <f>IF(C294="","",MAX(1,_xlfn.MAXIFS('Saisie'!$AT$5:$AT$2004,'Saisie'!$C$5:$C$2004,C294)))</f>
        <v/>
      </c>
      <c r="BB294" s="60">
        <f>IF(C294="","",IFERROR(INDEX('Saisie'!$X$5:$X$2004,_xlfn.MAXIFS('Saisie'!$AS$5:$AS$2004,'Saisie'!$C$5:$C$2004,C294,'Saisie'!$X$5:$X$2004,"&lt;&gt;")-4),""))</f>
        <v/>
      </c>
      <c r="BC294" s="60">
        <f>IF(C294="","",IFERROR(INDEX('Saisie'!$Y$5:$Y$2004,_xlfn.MAXIFS('Saisie'!$AS$5:$AS$2004,'Saisie'!$C$5:$C$2004,C294,'Saisie'!$Y$5:$Y$2004,"&lt;&gt;")-4),""))</f>
        <v/>
      </c>
      <c r="BD294" s="106">
        <f>IF(C294="","",IFERROR(1/(1/_xlfn.MINIFS('Saisie'!$A$5:$A$2004,'Saisie'!$C$5:$C$2004,C294,'Saisie'!$AT$5:$AT$2004,"&gt;=2")),""))</f>
        <v/>
      </c>
      <c r="BE294" s="106">
        <f>IF(C294="","",IFERROR(1/(1/_xlfn.MINIFS('Saisie'!$A$5:$A$2004,'Saisie'!$C$5:$C$2004,C294,'Saisie'!$AT$5:$AT$2004,"&gt;=3")),""))</f>
        <v/>
      </c>
      <c r="BF294" s="106">
        <f>IF(C294="","",IFERROR(1/(1/_xlfn.MINIFS('Saisie'!$A$5:$A$2004,'Saisie'!$C$5:$C$2004,C294,'Saisie'!$AT$5:$AT$2004,"&gt;=4")),""))</f>
        <v/>
      </c>
      <c r="BG294" s="106">
        <f>IF(C294="","",IFERROR(1/(1/_xlfn.MINIFS('Saisie'!$A$5:$A$2004,'Saisie'!$C$5:$C$2004,C294,'Saisie'!$AT$5:$AT$2004,"&gt;=5")),""))</f>
        <v/>
      </c>
      <c r="BH294" s="106">
        <f>IF(C294="","",IFERROR(1/(1/_xlfn.MINIFS('Saisie'!$A$5:$A$2004,'Saisie'!$C$5:$C$2004,C294,'Saisie'!$AT$5:$AT$2004,"&gt;=6")),""))</f>
        <v/>
      </c>
      <c r="BI294" s="106">
        <f>IF(C294="","",IFERROR(1/(1/_xlfn.MINIFS('Saisie'!$A$5:$A$2004,'Saisie'!$C$5:$C$2004,C294,'Saisie'!$AT$5:$AT$2004,"&gt;=7")),""))</f>
        <v/>
      </c>
      <c r="BJ294" s="60">
        <f>IF(OR(BD294="",B294=""),"",BD294-B294)</f>
        <v/>
      </c>
      <c r="BK294" s="60">
        <f>IF(OR(BE294="",BD294=""),"",BE294-BD294)</f>
        <v/>
      </c>
      <c r="BL294" s="60">
        <f>IF(OR(BF294="",BE294=""),"",BF294-BE294)</f>
        <v/>
      </c>
      <c r="BM294" s="60">
        <f>IF(OR(BG294="",BF294=""),"",BG294-BF294)</f>
        <v/>
      </c>
      <c r="BN294" s="60">
        <f>IF(OR(BH294="",BG294=""),"",BH294-BG294)</f>
        <v/>
      </c>
      <c r="BO294" s="60">
        <f>IF(OR(BI294="",BH294=""),"",BI294-BH294)</f>
        <v/>
      </c>
      <c r="BP294" s="60">
        <f>IF(C294="","",_xlfn.MAXIFS('Saisie'!$AS$5:$AS$2004,'Saisie'!$C$5:$C$2004,C294,'Saisie'!$J$5:$J$2004,"&lt;&gt;"))</f>
        <v/>
      </c>
      <c r="BQ294" s="60">
        <f>IF(C294="","",_xlfn.MAXIFS('Saisie'!$AS$5:$AS$2004,'Saisie'!$C$5:$C$2004,C294))</f>
        <v/>
      </c>
      <c r="BR294" s="60">
        <f>IF(C294="","",_xlfn.MAXIFS('Saisie'!$AS$5:$AS$2004,'Saisie'!$C$5:$C$2004,C294,'Saisie'!$E$5:$E$2004,"Perdu"))</f>
        <v/>
      </c>
      <c r="BS294" s="60">
        <f>IF(C294="","",_xlfn.MAXIFS('Saisie'!$AS$5:$AS$2004,'Saisie'!$C$5:$C$2004,C294,'Saisie'!$AT$5:$AT$2004,"&gt;0"))</f>
        <v/>
      </c>
      <c r="BT294" s="109">
        <f>IF(AND(C294&lt;&gt;"",OR(D294="Nouveau",D294="Contacté",D294="Qualifié"),OR(G294="",N(G294)&lt;=TODAY()),NOT(AND(O294&gt;='Paramètres'!$B$21,P294=0))),E294+290/10000,"")</f>
        <v/>
      </c>
      <c r="BU294" s="60">
        <f>IF(AND(G294&lt;&gt;"",N(G294)&lt;=TODAY()),MAX($BU$4:BU293)+1,"")</f>
        <v/>
      </c>
      <c r="BV294" s="60">
        <f>IF(AND(F294&lt;&gt;"",F294&lt;&gt;"Relance en retard"),MAX($BV$4:BV293)+1,"")</f>
        <v/>
      </c>
      <c r="BW294" s="60">
        <f>IF(C294="","",IF(AND(B294&gt;='Tableau de bord'!$R$4,B294&lt;='Tableau de bord'!$S$4,OR('Tableau de bord'!$G$4="Tous",N294='Tableau de bord'!$G$4)),1,0))</f>
        <v/>
      </c>
      <c r="BX294" s="60">
        <f>IF(AND(C294&lt;&gt;"",N(BA294)=7),MAX($BX$4:BX293)+1,"")</f>
        <v/>
      </c>
    </row>
    <row r="295">
      <c r="A295" s="60">
        <f>IF(C295="","","P-"&amp;TEXT(291,"000"))</f>
        <v/>
      </c>
      <c r="B295" s="106">
        <f>IF(C295="","",IFERROR(1/(1/_xlfn.MINIFS('Saisie'!$A$5:$A$2004,'Saisie'!$C$5:$C$2004,C295)),""))</f>
        <v/>
      </c>
      <c r="C295" s="60">
        <f>IFERROR(INDEX('Saisie'!$C$5:$C$2004,MATCH(291,'Saisie'!$AX$5:$AX$2004,0)),"")</f>
        <v/>
      </c>
      <c r="D295" s="60">
        <f>IF(C295="","",IF(AND(BR295&gt;0,BR295&gt;BS295,BA295&lt;7),"Perdu",INDEX('Paramètres'!$F$6:$F$13,BA295)))</f>
        <v/>
      </c>
      <c r="E295" s="61">
        <f>IF(C295="","",MIN(100,(Z295="Oui")*'Paramètres'!$B$38+(AB295="Régulière")*'Paramètres'!$B$39+IF(AND(N(AA295)&gt;0,TODAY()-N(AA295)&lt;=30),'Paramètres'!$B$40,0)+(W295="")*'Paramètres'!$B$41+(AC295="Absente")*'Paramètres'!$B$42+(AC295="Faible")*'Paramètres'!$B$43+IF(AND(N(AD295)&gt;0,N(AD295)&lt;4),'Paramètres'!$B$44,0)+(AF295="Moyenne")*'Paramètres'!$B$45+(AF295="Grande")*'Paramètres'!$B$46+(Y295&lt;&gt;"")*'Paramètres'!$B$47))</f>
        <v/>
      </c>
      <c r="F295" s="60">
        <f>IF(C295="","",IF(D295="Gagné","",IF(D295="Perdu",IF(AND(AX295&lt;&gt;"",AX295&lt;=TODAY()),"À recontacter (perdu)",""),IF(AND(O295&gt;='Paramètres'!$B$21,P295=0),"Stop : "&amp;'Paramètres'!$B$21&amp;" tentatives sans réponse",IF(AND(D295="Proposition",AR295&lt;&gt;"",TODAY()&gt;N(AR295)),"Proposition expirée",IF(AND(D295="Proposition",N(R295)&gt;='Paramètres'!$B$25),"Proposition sans réponse",IF(AND(G295&lt;&gt;"",N(G295)&lt;TODAY()),"Relance en retard",IF(N(R295)&gt;='Paramètres'!$B$24,"Sans action depuis "&amp;R295&amp;" j",""))))))))</f>
        <v/>
      </c>
      <c r="G295" s="106">
        <f>IF(OR(C295="",D295="Gagné",D295="Perdu"),"",IF(AND(BP295&gt;0,BP295=BQ295),INDEX('Saisie'!$J$5:$J$2004,BP295-4),IF(OR(O295=0,AND(O295&gt;='Paramètres'!$B$21,P295=0)),"",Q295+IF(O295&lt;=1,'Paramètres'!$B$18,IF(O295=2,'Paramètres'!$B$19,'Paramètres'!$B$20)))))</f>
        <v/>
      </c>
      <c r="H295" s="107">
        <f>IF(OR(G295="",BP295&lt;&gt;BQ295),"",IF(INDEX('Saisie'!$K$5:$K$2004,BP295-4)="","",INDEX('Saisie'!$K$5:$K$2004,BP295-4)))</f>
        <v/>
      </c>
      <c r="I295" s="60">
        <f>IF(C295="","",IF(OR(D295="Gagné",D295="Perdu"),"",IFERROR(INDEX('Saisie'!$I$5:$I$2004,_xlfn.MAXIFS('Saisie'!$AS$5:$AS$2004,'Saisie'!$C$5:$C$2004,C295,'Saisie'!$I$5:$I$2004,"&lt;&gt;")-4),"")))</f>
        <v/>
      </c>
      <c r="J295" s="60">
        <f>IF(C295="","",IFERROR(INDEX('Saisie'!$U$5:$U$2004,_xlfn.MAXIFS('Saisie'!$AS$5:$AS$2004,'Saisie'!$C$5:$C$2004,C295,'Saisie'!$U$5:$U$2004,"&lt;&gt;")-4),""))</f>
        <v/>
      </c>
      <c r="K295" s="60">
        <f>IF(C295="","",IFERROR(INDEX('Saisie'!$W$5:$W$2004,_xlfn.MAXIFS('Saisie'!$AS$5:$AS$2004,'Saisie'!$C$5:$C$2004,C295,'Saisie'!$W$5:$W$2004,"&lt;&gt;")-4),""))</f>
        <v/>
      </c>
      <c r="L295" s="60">
        <f>IF(IF(BB295&lt;&gt;"",BB295,K295)="","",HYPERLINK("https://wa.me/"&amp;IF(LEFT(SUBSTITUTE(SUBSTITUTE(SUBSTITUTE(IF(BB295&lt;&gt;"",BB295,K295)," ",""),".",""),"+",""),1)="0",'Paramètres'!$B$35&amp;MID(SUBSTITUTE(SUBSTITUTE(SUBSTITUTE(IF(BB295&lt;&gt;"",BB295,K295)," ",""),".",""),"+",""),2,20),SUBSTITUTE(SUBSTITUTE(SUBSTITUTE(IF(BB295&lt;&gt;"",BB295,K295)," ",""),".",""),"+","")),"WhatsApp"))</f>
        <v/>
      </c>
      <c r="M295" s="60">
        <f>IF(BC295="","",HYPERLINK(IF(LEFT(BC295,4)="http",BC295,"https://www.instagram.com/"&amp;SUBSTITUTE(SUBSTITUTE(BC295,"@","")," ","")),BC295))</f>
        <v/>
      </c>
      <c r="N295" s="60">
        <f>IF(C295="","",IFERROR(INDEX('Saisie'!$D$5:$D$2004,_xlfn.MINIFS('Saisie'!$AS$5:$AS$2004,'Saisie'!$C$5:$C$2004,C295,'Saisie'!$AU$5:$AU$2004,1)-4),IFERROR(INDEX('Saisie'!$D$5:$D$2004,_xlfn.MINIFS('Saisie'!$AS$5:$AS$2004,'Saisie'!$C$5:$C$2004,C295,'Saisie'!$D$5:$D$2004,"&lt;&gt;")-4),"")))</f>
        <v/>
      </c>
      <c r="O295" s="60">
        <f>IF(C295="","",COUNTIFS('Saisie'!$C$5:$C$2004,C295,'Saisie'!$AU$5:$AU$2004,1))</f>
        <v/>
      </c>
      <c r="P295" s="60">
        <f>IF(C295="","",COUNTIFS('Saisie'!$C$5:$C$2004,C295,'Saisie'!$AV$5:$AV$2004,1))</f>
        <v/>
      </c>
      <c r="Q295" s="106">
        <f>IF(C295="","",IFERROR(1/(1/_xlfn.MAXIFS('Saisie'!$A$5:$A$2004,'Saisie'!$C$5:$C$2004,C295)),""))</f>
        <v/>
      </c>
      <c r="R295" s="61">
        <f>IF(C295="","",IF(Q295="","",TODAY()-Q295))</f>
        <v/>
      </c>
      <c r="S295" s="60">
        <f>IF(C295="","",IFERROR(INDEX('Saisie'!$R$5:$R$2004,_xlfn.MAXIFS('Saisie'!$AS$5:$AS$2004,'Saisie'!$C$5:$C$2004,C295,'Saisie'!$R$5:$R$2004,"&lt;&gt;")-4),""))</f>
        <v/>
      </c>
      <c r="T295" s="60">
        <f>IF(C295="","",IFERROR(INDEX('Saisie'!$S$5:$S$2004,_xlfn.MAXIFS('Saisie'!$AS$5:$AS$2004,'Saisie'!$C$5:$C$2004,C295,'Saisie'!$S$5:$S$2004,"&lt;&gt;")-4),""))</f>
        <v/>
      </c>
      <c r="U295" s="60">
        <f>IF(C295="","",IFERROR(INDEX('Saisie'!$T$5:$T$2004,_xlfn.MAXIFS('Saisie'!$AS$5:$AS$2004,'Saisie'!$C$5:$C$2004,C295,'Saisie'!$T$5:$T$2004,"&lt;&gt;")-4),""))</f>
        <v/>
      </c>
      <c r="V295" s="60">
        <f>IF(C295="","",IFERROR(INDEX('Saisie'!$V$5:$V$2004,_xlfn.MAXIFS('Saisie'!$AS$5:$AS$2004,'Saisie'!$C$5:$C$2004,C295,'Saisie'!$V$5:$V$2004,"&lt;&gt;")-4),""))</f>
        <v/>
      </c>
      <c r="W295" s="60">
        <f>IF(C295="","",IFERROR(INDEX('Saisie'!$Z$5:$Z$2004,_xlfn.MAXIFS('Saisie'!$AS$5:$AS$2004,'Saisie'!$C$5:$C$2004,C295,'Saisie'!$Z$5:$Z$2004,"&lt;&gt;")-4),""))</f>
        <v/>
      </c>
      <c r="X295" s="60">
        <f>IF(C295="","",IFERROR(INDEX('Saisie'!$AA$5:$AA$2004,_xlfn.MAXIFS('Saisie'!$AS$5:$AS$2004,'Saisie'!$C$5:$C$2004,C295,'Saisie'!$AA$5:$AA$2004,"&lt;&gt;")-4),""))</f>
        <v/>
      </c>
      <c r="Y295" s="60">
        <f>IF(C295="","",IFERROR(INDEX('Saisie'!$AB$5:$AB$2004,_xlfn.MAXIFS('Saisie'!$AS$5:$AS$2004,'Saisie'!$C$5:$C$2004,C295,'Saisie'!$AB$5:$AB$2004,"&lt;&gt;")-4),""))</f>
        <v/>
      </c>
      <c r="Z295" s="60">
        <f>IF(C295="","",IFERROR(INDEX('Saisie'!$AC$5:$AC$2004,_xlfn.MAXIFS('Saisie'!$AS$5:$AS$2004,'Saisie'!$C$5:$C$2004,C295,'Saisie'!$AC$5:$AC$2004,"&lt;&gt;")-4),""))</f>
        <v/>
      </c>
      <c r="AA295" s="106">
        <f>IF(C295="","",IFERROR(INDEX('Saisie'!$AD$5:$AD$2004,_xlfn.MAXIFS('Saisie'!$AS$5:$AS$2004,'Saisie'!$C$5:$C$2004,C295,'Saisie'!$AD$5:$AD$2004,"&lt;&gt;")-4),""))</f>
        <v/>
      </c>
      <c r="AB295" s="60">
        <f>IF(C295="","",IFERROR(INDEX('Saisie'!$AE$5:$AE$2004,_xlfn.MAXIFS('Saisie'!$AS$5:$AS$2004,'Saisie'!$C$5:$C$2004,C295,'Saisie'!$AE$5:$AE$2004,"&lt;&gt;")-4),""))</f>
        <v/>
      </c>
      <c r="AC295" s="60">
        <f>IF(C295="","",IFERROR(INDEX('Saisie'!$AF$5:$AF$2004,_xlfn.MAXIFS('Saisie'!$AS$5:$AS$2004,'Saisie'!$C$5:$C$2004,C295,'Saisie'!$AF$5:$AF$2004,"&lt;&gt;")-4),""))</f>
        <v/>
      </c>
      <c r="AD295" s="108">
        <f>IF(C295="","",IFERROR(INDEX('Saisie'!$AG$5:$AG$2004,_xlfn.MAXIFS('Saisie'!$AS$5:$AS$2004,'Saisie'!$C$5:$C$2004,C295,'Saisie'!$AG$5:$AG$2004,"&lt;&gt;")-4),""))</f>
        <v/>
      </c>
      <c r="AE295" s="60">
        <f>IF(C295="","",IFERROR(INDEX('Saisie'!$AH$5:$AH$2004,_xlfn.MAXIFS('Saisie'!$AS$5:$AS$2004,'Saisie'!$C$5:$C$2004,C295,'Saisie'!$AH$5:$AH$2004,"&lt;&gt;")-4),""))</f>
        <v/>
      </c>
      <c r="AF295" s="60">
        <f>IF(C295="","",IFERROR(INDEX('Saisie'!$AI$5:$AI$2004,_xlfn.MAXIFS('Saisie'!$AS$5:$AS$2004,'Saisie'!$C$5:$C$2004,C295,'Saisie'!$AI$5:$AI$2004,"&lt;&gt;")-4),""))</f>
        <v/>
      </c>
      <c r="AG295" s="60">
        <f>IF(C295="","",IFERROR(INDEX('Saisie'!$AJ$5:$AJ$2004,_xlfn.MAXIFS('Saisie'!$AS$5:$AS$2004,'Saisie'!$C$5:$C$2004,C295,'Saisie'!$AJ$5:$AJ$2004,"&lt;&gt;")-4),""))</f>
        <v/>
      </c>
      <c r="AH295" s="60">
        <f>IF(C295="","",IFERROR(INDEX('Saisie'!$AK$5:$AK$2004,_xlfn.MAXIFS('Saisie'!$AS$5:$AS$2004,'Saisie'!$C$5:$C$2004,C295,'Saisie'!$AK$5:$AK$2004,"&lt;&gt;")-4),""))</f>
        <v/>
      </c>
      <c r="AI295" s="60">
        <f>IF(C295="","",IFERROR(INDEX('Saisie'!$AN$5:$AN$2004,_xlfn.MAXIFS('Saisie'!$AS$5:$AS$2004,'Saisie'!$C$5:$C$2004,C295,'Saisie'!$AN$5:$AN$2004,"&lt;&gt;")-4),""))</f>
        <v/>
      </c>
      <c r="AJ295" s="60">
        <f>IF(C295="","",IFERROR(INDEX('Saisie'!$AO$5:$AO$2004,_xlfn.MAXIFS('Saisie'!$AS$5:$AS$2004,'Saisie'!$C$5:$C$2004,C295,'Saisie'!$AO$5:$AO$2004,"&lt;&gt;")-4),""))</f>
        <v/>
      </c>
      <c r="AK295" s="60">
        <f>IF(C295="","",IFERROR(INDEX('Saisie'!$AP$5:$AP$2004,_xlfn.MAXIFS('Saisie'!$AS$5:$AS$2004,'Saisie'!$C$5:$C$2004,C295,'Saisie'!$AP$5:$AP$2004,"&lt;&gt;")-4),""))</f>
        <v/>
      </c>
      <c r="AL295" s="60">
        <f>IF(C295="","",IFERROR(INDEX('Saisie'!$AQ$5:$AQ$2004,_xlfn.MAXIFS('Saisie'!$AS$5:$AS$2004,'Saisie'!$C$5:$C$2004,C295,'Saisie'!$AQ$5:$AQ$2004,"&lt;&gt;")-4),""))</f>
        <v/>
      </c>
      <c r="AM295" s="60">
        <f>IF(C295="","",((AI295="Oui")+(AJ295="Oui")+(AK295="Oui")+OR(AL295="Immédiat",AL295="&lt; 1 mois"))&amp;"/4")</f>
        <v/>
      </c>
      <c r="AN295" s="60">
        <f>IF(C295="","",IFERROR(INDEX('Saisie'!$AL$5:$AL$2004,_xlfn.MAXIFS('Saisie'!$AS$5:$AS$2004,'Saisie'!$C$5:$C$2004,C295,'Saisie'!$AL$5:$AL$2004,"&lt;&gt;")-4),""))</f>
        <v/>
      </c>
      <c r="AO295" s="62">
        <f>IF(C295="","",IF(IFERROR(INDEX('Saisie'!$AM$5:$AM$2004,_xlfn.MAXIFS('Saisie'!$AS$5:$AS$2004,'Saisie'!$C$5:$C$2004,C295,'Saisie'!$AM$5:$AM$2004,"&lt;&gt;")-4),"")&lt;&gt;"",IFERROR(INDEX('Saisie'!$AM$5:$AM$2004,_xlfn.MAXIFS('Saisie'!$AS$5:$AS$2004,'Saisie'!$C$5:$C$2004,C295,'Saisie'!$AM$5:$AM$2004,"&lt;&gt;")-4),""),IFERROR(INDEX('Paramètres'!$S$6:$S$15,MATCH(AN295,'Paramètres'!$Q$6:$Q$15,0)),"")))</f>
        <v/>
      </c>
      <c r="AP295" s="62">
        <f>IF(C295="","",IFERROR(INDEX('Saisie'!$AW$5:$AW$2004,_xlfn.MAXIFS('Saisie'!$AS$5:$AS$2004,'Saisie'!$C$5:$C$2004,C295,'Saisie'!$E$5:$E$2004,"Proposition envoyée")-4),""))</f>
        <v/>
      </c>
      <c r="AQ295" s="106">
        <f>IF(C295="","",IFERROR(1/(1/_xlfn.MAXIFS('Saisie'!$A$5:$A$2004,'Saisie'!$C$5:$C$2004,C295,'Saisie'!$E$5:$E$2004,"Proposition envoyée")),""))</f>
        <v/>
      </c>
      <c r="AR295" s="106">
        <f>IF(C295="","",IF(AQ295="","",AQ295+'Paramètres'!$B$26))</f>
        <v/>
      </c>
      <c r="AS295" s="62">
        <f>IF(OR(C295="",D295="Gagné",D295="Perdu"),0,N(AP295)*IFERROR(INDEX('Paramètres'!$G$6:$G$13,MATCH(D295,'Paramètres'!$F$6:$F$13,0)),0))</f>
        <v/>
      </c>
      <c r="AT295" s="106">
        <f>IF(C295="","",IFERROR(1/(1/_xlfn.MINIFS('Saisie'!$A$5:$A$2004,'Saisie'!$C$5:$C$2004,C295,'Saisie'!$E$5:$E$2004,"Signature")),""))</f>
        <v/>
      </c>
      <c r="AU295" s="60">
        <f>IF(C295="","",IF(OR(AT295="",B295=""),"",AT295-B295))</f>
        <v/>
      </c>
      <c r="AV295" s="60">
        <f>IF(C295="","",IFERROR(INDEX('Saisie'!$L$5:$L$2004,_xlfn.MAXIFS('Saisie'!$AS$5:$AS$2004,'Saisie'!$C$5:$C$2004,C295,'Saisie'!$L$5:$L$2004,"&lt;&gt;")-4),""))</f>
        <v/>
      </c>
      <c r="AW295" s="106">
        <f>IF(C295="","",IF(D295&lt;&gt;"Perdu","",IFERROR(1/(1/_xlfn.MAXIFS('Saisie'!$A$5:$A$2004,'Saisie'!$C$5:$C$2004,C295,'Saisie'!$E$5:$E$2004,"Perdu")),"")))</f>
        <v/>
      </c>
      <c r="AX295" s="106">
        <f>IF(C295="","",IF(AW295="","",AW295+'Paramètres'!$B$28))</f>
        <v/>
      </c>
      <c r="AY295" s="60">
        <f>IF(C295="","",SUMIFS('Saisie'!$H$5:$H$2004,'Saisie'!$C$5:$C$2004,C295))</f>
        <v/>
      </c>
      <c r="AZ295" s="60">
        <f>IF(C295="","",IFERROR(INDEX('Paramètres'!$W$6:$W$20,MATCH(S295,'Paramètres'!$V$6:$V$20,0))&amp;"",""))</f>
        <v/>
      </c>
      <c r="BA295" s="60">
        <f>IF(C295="","",MAX(1,_xlfn.MAXIFS('Saisie'!$AT$5:$AT$2004,'Saisie'!$C$5:$C$2004,C295)))</f>
        <v/>
      </c>
      <c r="BB295" s="60">
        <f>IF(C295="","",IFERROR(INDEX('Saisie'!$X$5:$X$2004,_xlfn.MAXIFS('Saisie'!$AS$5:$AS$2004,'Saisie'!$C$5:$C$2004,C295,'Saisie'!$X$5:$X$2004,"&lt;&gt;")-4),""))</f>
        <v/>
      </c>
      <c r="BC295" s="60">
        <f>IF(C295="","",IFERROR(INDEX('Saisie'!$Y$5:$Y$2004,_xlfn.MAXIFS('Saisie'!$AS$5:$AS$2004,'Saisie'!$C$5:$C$2004,C295,'Saisie'!$Y$5:$Y$2004,"&lt;&gt;")-4),""))</f>
        <v/>
      </c>
      <c r="BD295" s="106">
        <f>IF(C295="","",IFERROR(1/(1/_xlfn.MINIFS('Saisie'!$A$5:$A$2004,'Saisie'!$C$5:$C$2004,C295,'Saisie'!$AT$5:$AT$2004,"&gt;=2")),""))</f>
        <v/>
      </c>
      <c r="BE295" s="106">
        <f>IF(C295="","",IFERROR(1/(1/_xlfn.MINIFS('Saisie'!$A$5:$A$2004,'Saisie'!$C$5:$C$2004,C295,'Saisie'!$AT$5:$AT$2004,"&gt;=3")),""))</f>
        <v/>
      </c>
      <c r="BF295" s="106">
        <f>IF(C295="","",IFERROR(1/(1/_xlfn.MINIFS('Saisie'!$A$5:$A$2004,'Saisie'!$C$5:$C$2004,C295,'Saisie'!$AT$5:$AT$2004,"&gt;=4")),""))</f>
        <v/>
      </c>
      <c r="BG295" s="106">
        <f>IF(C295="","",IFERROR(1/(1/_xlfn.MINIFS('Saisie'!$A$5:$A$2004,'Saisie'!$C$5:$C$2004,C295,'Saisie'!$AT$5:$AT$2004,"&gt;=5")),""))</f>
        <v/>
      </c>
      <c r="BH295" s="106">
        <f>IF(C295="","",IFERROR(1/(1/_xlfn.MINIFS('Saisie'!$A$5:$A$2004,'Saisie'!$C$5:$C$2004,C295,'Saisie'!$AT$5:$AT$2004,"&gt;=6")),""))</f>
        <v/>
      </c>
      <c r="BI295" s="106">
        <f>IF(C295="","",IFERROR(1/(1/_xlfn.MINIFS('Saisie'!$A$5:$A$2004,'Saisie'!$C$5:$C$2004,C295,'Saisie'!$AT$5:$AT$2004,"&gt;=7")),""))</f>
        <v/>
      </c>
      <c r="BJ295" s="60">
        <f>IF(OR(BD295="",B295=""),"",BD295-B295)</f>
        <v/>
      </c>
      <c r="BK295" s="60">
        <f>IF(OR(BE295="",BD295=""),"",BE295-BD295)</f>
        <v/>
      </c>
      <c r="BL295" s="60">
        <f>IF(OR(BF295="",BE295=""),"",BF295-BE295)</f>
        <v/>
      </c>
      <c r="BM295" s="60">
        <f>IF(OR(BG295="",BF295=""),"",BG295-BF295)</f>
        <v/>
      </c>
      <c r="BN295" s="60">
        <f>IF(OR(BH295="",BG295=""),"",BH295-BG295)</f>
        <v/>
      </c>
      <c r="BO295" s="60">
        <f>IF(OR(BI295="",BH295=""),"",BI295-BH295)</f>
        <v/>
      </c>
      <c r="BP295" s="60">
        <f>IF(C295="","",_xlfn.MAXIFS('Saisie'!$AS$5:$AS$2004,'Saisie'!$C$5:$C$2004,C295,'Saisie'!$J$5:$J$2004,"&lt;&gt;"))</f>
        <v/>
      </c>
      <c r="BQ295" s="60">
        <f>IF(C295="","",_xlfn.MAXIFS('Saisie'!$AS$5:$AS$2004,'Saisie'!$C$5:$C$2004,C295))</f>
        <v/>
      </c>
      <c r="BR295" s="60">
        <f>IF(C295="","",_xlfn.MAXIFS('Saisie'!$AS$5:$AS$2004,'Saisie'!$C$5:$C$2004,C295,'Saisie'!$E$5:$E$2004,"Perdu"))</f>
        <v/>
      </c>
      <c r="BS295" s="60">
        <f>IF(C295="","",_xlfn.MAXIFS('Saisie'!$AS$5:$AS$2004,'Saisie'!$C$5:$C$2004,C295,'Saisie'!$AT$5:$AT$2004,"&gt;0"))</f>
        <v/>
      </c>
      <c r="BT295" s="109">
        <f>IF(AND(C295&lt;&gt;"",OR(D295="Nouveau",D295="Contacté",D295="Qualifié"),OR(G295="",N(G295)&lt;=TODAY()),NOT(AND(O295&gt;='Paramètres'!$B$21,P295=0))),E295+291/10000,"")</f>
        <v/>
      </c>
      <c r="BU295" s="60">
        <f>IF(AND(G295&lt;&gt;"",N(G295)&lt;=TODAY()),MAX($BU$4:BU294)+1,"")</f>
        <v/>
      </c>
      <c r="BV295" s="60">
        <f>IF(AND(F295&lt;&gt;"",F295&lt;&gt;"Relance en retard"),MAX($BV$4:BV294)+1,"")</f>
        <v/>
      </c>
      <c r="BW295" s="60">
        <f>IF(C295="","",IF(AND(B295&gt;='Tableau de bord'!$R$4,B295&lt;='Tableau de bord'!$S$4,OR('Tableau de bord'!$G$4="Tous",N295='Tableau de bord'!$G$4)),1,0))</f>
        <v/>
      </c>
      <c r="BX295" s="60">
        <f>IF(AND(C295&lt;&gt;"",N(BA295)=7),MAX($BX$4:BX294)+1,"")</f>
        <v/>
      </c>
    </row>
    <row r="296">
      <c r="A296" s="60">
        <f>IF(C296="","","P-"&amp;TEXT(292,"000"))</f>
        <v/>
      </c>
      <c r="B296" s="106">
        <f>IF(C296="","",IFERROR(1/(1/_xlfn.MINIFS('Saisie'!$A$5:$A$2004,'Saisie'!$C$5:$C$2004,C296)),""))</f>
        <v/>
      </c>
      <c r="C296" s="60">
        <f>IFERROR(INDEX('Saisie'!$C$5:$C$2004,MATCH(292,'Saisie'!$AX$5:$AX$2004,0)),"")</f>
        <v/>
      </c>
      <c r="D296" s="60">
        <f>IF(C296="","",IF(AND(BR296&gt;0,BR296&gt;BS296,BA296&lt;7),"Perdu",INDEX('Paramètres'!$F$6:$F$13,BA296)))</f>
        <v/>
      </c>
      <c r="E296" s="61">
        <f>IF(C296="","",MIN(100,(Z296="Oui")*'Paramètres'!$B$38+(AB296="Régulière")*'Paramètres'!$B$39+IF(AND(N(AA296)&gt;0,TODAY()-N(AA296)&lt;=30),'Paramètres'!$B$40,0)+(W296="")*'Paramètres'!$B$41+(AC296="Absente")*'Paramètres'!$B$42+(AC296="Faible")*'Paramètres'!$B$43+IF(AND(N(AD296)&gt;0,N(AD296)&lt;4),'Paramètres'!$B$44,0)+(AF296="Moyenne")*'Paramètres'!$B$45+(AF296="Grande")*'Paramètres'!$B$46+(Y296&lt;&gt;"")*'Paramètres'!$B$47))</f>
        <v/>
      </c>
      <c r="F296" s="60">
        <f>IF(C296="","",IF(D296="Gagné","",IF(D296="Perdu",IF(AND(AX296&lt;&gt;"",AX296&lt;=TODAY()),"À recontacter (perdu)",""),IF(AND(O296&gt;='Paramètres'!$B$21,P296=0),"Stop : "&amp;'Paramètres'!$B$21&amp;" tentatives sans réponse",IF(AND(D296="Proposition",AR296&lt;&gt;"",TODAY()&gt;N(AR296)),"Proposition expirée",IF(AND(D296="Proposition",N(R296)&gt;='Paramètres'!$B$25),"Proposition sans réponse",IF(AND(G296&lt;&gt;"",N(G296)&lt;TODAY()),"Relance en retard",IF(N(R296)&gt;='Paramètres'!$B$24,"Sans action depuis "&amp;R296&amp;" j",""))))))))</f>
        <v/>
      </c>
      <c r="G296" s="106">
        <f>IF(OR(C296="",D296="Gagné",D296="Perdu"),"",IF(AND(BP296&gt;0,BP296=BQ296),INDEX('Saisie'!$J$5:$J$2004,BP296-4),IF(OR(O296=0,AND(O296&gt;='Paramètres'!$B$21,P296=0)),"",Q296+IF(O296&lt;=1,'Paramètres'!$B$18,IF(O296=2,'Paramètres'!$B$19,'Paramètres'!$B$20)))))</f>
        <v/>
      </c>
      <c r="H296" s="107">
        <f>IF(OR(G296="",BP296&lt;&gt;BQ296),"",IF(INDEX('Saisie'!$K$5:$K$2004,BP296-4)="","",INDEX('Saisie'!$K$5:$K$2004,BP296-4)))</f>
        <v/>
      </c>
      <c r="I296" s="60">
        <f>IF(C296="","",IF(OR(D296="Gagné",D296="Perdu"),"",IFERROR(INDEX('Saisie'!$I$5:$I$2004,_xlfn.MAXIFS('Saisie'!$AS$5:$AS$2004,'Saisie'!$C$5:$C$2004,C296,'Saisie'!$I$5:$I$2004,"&lt;&gt;")-4),"")))</f>
        <v/>
      </c>
      <c r="J296" s="60">
        <f>IF(C296="","",IFERROR(INDEX('Saisie'!$U$5:$U$2004,_xlfn.MAXIFS('Saisie'!$AS$5:$AS$2004,'Saisie'!$C$5:$C$2004,C296,'Saisie'!$U$5:$U$2004,"&lt;&gt;")-4),""))</f>
        <v/>
      </c>
      <c r="K296" s="60">
        <f>IF(C296="","",IFERROR(INDEX('Saisie'!$W$5:$W$2004,_xlfn.MAXIFS('Saisie'!$AS$5:$AS$2004,'Saisie'!$C$5:$C$2004,C296,'Saisie'!$W$5:$W$2004,"&lt;&gt;")-4),""))</f>
        <v/>
      </c>
      <c r="L296" s="60">
        <f>IF(IF(BB296&lt;&gt;"",BB296,K296)="","",HYPERLINK("https://wa.me/"&amp;IF(LEFT(SUBSTITUTE(SUBSTITUTE(SUBSTITUTE(IF(BB296&lt;&gt;"",BB296,K296)," ",""),".",""),"+",""),1)="0",'Paramètres'!$B$35&amp;MID(SUBSTITUTE(SUBSTITUTE(SUBSTITUTE(IF(BB296&lt;&gt;"",BB296,K296)," ",""),".",""),"+",""),2,20),SUBSTITUTE(SUBSTITUTE(SUBSTITUTE(IF(BB296&lt;&gt;"",BB296,K296)," ",""),".",""),"+","")),"WhatsApp"))</f>
        <v/>
      </c>
      <c r="M296" s="60">
        <f>IF(BC296="","",HYPERLINK(IF(LEFT(BC296,4)="http",BC296,"https://www.instagram.com/"&amp;SUBSTITUTE(SUBSTITUTE(BC296,"@","")," ","")),BC296))</f>
        <v/>
      </c>
      <c r="N296" s="60">
        <f>IF(C296="","",IFERROR(INDEX('Saisie'!$D$5:$D$2004,_xlfn.MINIFS('Saisie'!$AS$5:$AS$2004,'Saisie'!$C$5:$C$2004,C296,'Saisie'!$AU$5:$AU$2004,1)-4),IFERROR(INDEX('Saisie'!$D$5:$D$2004,_xlfn.MINIFS('Saisie'!$AS$5:$AS$2004,'Saisie'!$C$5:$C$2004,C296,'Saisie'!$D$5:$D$2004,"&lt;&gt;")-4),"")))</f>
        <v/>
      </c>
      <c r="O296" s="60">
        <f>IF(C296="","",COUNTIFS('Saisie'!$C$5:$C$2004,C296,'Saisie'!$AU$5:$AU$2004,1))</f>
        <v/>
      </c>
      <c r="P296" s="60">
        <f>IF(C296="","",COUNTIFS('Saisie'!$C$5:$C$2004,C296,'Saisie'!$AV$5:$AV$2004,1))</f>
        <v/>
      </c>
      <c r="Q296" s="106">
        <f>IF(C296="","",IFERROR(1/(1/_xlfn.MAXIFS('Saisie'!$A$5:$A$2004,'Saisie'!$C$5:$C$2004,C296)),""))</f>
        <v/>
      </c>
      <c r="R296" s="61">
        <f>IF(C296="","",IF(Q296="","",TODAY()-Q296))</f>
        <v/>
      </c>
      <c r="S296" s="60">
        <f>IF(C296="","",IFERROR(INDEX('Saisie'!$R$5:$R$2004,_xlfn.MAXIFS('Saisie'!$AS$5:$AS$2004,'Saisie'!$C$5:$C$2004,C296,'Saisie'!$R$5:$R$2004,"&lt;&gt;")-4),""))</f>
        <v/>
      </c>
      <c r="T296" s="60">
        <f>IF(C296="","",IFERROR(INDEX('Saisie'!$S$5:$S$2004,_xlfn.MAXIFS('Saisie'!$AS$5:$AS$2004,'Saisie'!$C$5:$C$2004,C296,'Saisie'!$S$5:$S$2004,"&lt;&gt;")-4),""))</f>
        <v/>
      </c>
      <c r="U296" s="60">
        <f>IF(C296="","",IFERROR(INDEX('Saisie'!$T$5:$T$2004,_xlfn.MAXIFS('Saisie'!$AS$5:$AS$2004,'Saisie'!$C$5:$C$2004,C296,'Saisie'!$T$5:$T$2004,"&lt;&gt;")-4),""))</f>
        <v/>
      </c>
      <c r="V296" s="60">
        <f>IF(C296="","",IFERROR(INDEX('Saisie'!$V$5:$V$2004,_xlfn.MAXIFS('Saisie'!$AS$5:$AS$2004,'Saisie'!$C$5:$C$2004,C296,'Saisie'!$V$5:$V$2004,"&lt;&gt;")-4),""))</f>
        <v/>
      </c>
      <c r="W296" s="60">
        <f>IF(C296="","",IFERROR(INDEX('Saisie'!$Z$5:$Z$2004,_xlfn.MAXIFS('Saisie'!$AS$5:$AS$2004,'Saisie'!$C$5:$C$2004,C296,'Saisie'!$Z$5:$Z$2004,"&lt;&gt;")-4),""))</f>
        <v/>
      </c>
      <c r="X296" s="60">
        <f>IF(C296="","",IFERROR(INDEX('Saisie'!$AA$5:$AA$2004,_xlfn.MAXIFS('Saisie'!$AS$5:$AS$2004,'Saisie'!$C$5:$C$2004,C296,'Saisie'!$AA$5:$AA$2004,"&lt;&gt;")-4),""))</f>
        <v/>
      </c>
      <c r="Y296" s="60">
        <f>IF(C296="","",IFERROR(INDEX('Saisie'!$AB$5:$AB$2004,_xlfn.MAXIFS('Saisie'!$AS$5:$AS$2004,'Saisie'!$C$5:$C$2004,C296,'Saisie'!$AB$5:$AB$2004,"&lt;&gt;")-4),""))</f>
        <v/>
      </c>
      <c r="Z296" s="60">
        <f>IF(C296="","",IFERROR(INDEX('Saisie'!$AC$5:$AC$2004,_xlfn.MAXIFS('Saisie'!$AS$5:$AS$2004,'Saisie'!$C$5:$C$2004,C296,'Saisie'!$AC$5:$AC$2004,"&lt;&gt;")-4),""))</f>
        <v/>
      </c>
      <c r="AA296" s="106">
        <f>IF(C296="","",IFERROR(INDEX('Saisie'!$AD$5:$AD$2004,_xlfn.MAXIFS('Saisie'!$AS$5:$AS$2004,'Saisie'!$C$5:$C$2004,C296,'Saisie'!$AD$5:$AD$2004,"&lt;&gt;")-4),""))</f>
        <v/>
      </c>
      <c r="AB296" s="60">
        <f>IF(C296="","",IFERROR(INDEX('Saisie'!$AE$5:$AE$2004,_xlfn.MAXIFS('Saisie'!$AS$5:$AS$2004,'Saisie'!$C$5:$C$2004,C296,'Saisie'!$AE$5:$AE$2004,"&lt;&gt;")-4),""))</f>
        <v/>
      </c>
      <c r="AC296" s="60">
        <f>IF(C296="","",IFERROR(INDEX('Saisie'!$AF$5:$AF$2004,_xlfn.MAXIFS('Saisie'!$AS$5:$AS$2004,'Saisie'!$C$5:$C$2004,C296,'Saisie'!$AF$5:$AF$2004,"&lt;&gt;")-4),""))</f>
        <v/>
      </c>
      <c r="AD296" s="108">
        <f>IF(C296="","",IFERROR(INDEX('Saisie'!$AG$5:$AG$2004,_xlfn.MAXIFS('Saisie'!$AS$5:$AS$2004,'Saisie'!$C$5:$C$2004,C296,'Saisie'!$AG$5:$AG$2004,"&lt;&gt;")-4),""))</f>
        <v/>
      </c>
      <c r="AE296" s="60">
        <f>IF(C296="","",IFERROR(INDEX('Saisie'!$AH$5:$AH$2004,_xlfn.MAXIFS('Saisie'!$AS$5:$AS$2004,'Saisie'!$C$5:$C$2004,C296,'Saisie'!$AH$5:$AH$2004,"&lt;&gt;")-4),""))</f>
        <v/>
      </c>
      <c r="AF296" s="60">
        <f>IF(C296="","",IFERROR(INDEX('Saisie'!$AI$5:$AI$2004,_xlfn.MAXIFS('Saisie'!$AS$5:$AS$2004,'Saisie'!$C$5:$C$2004,C296,'Saisie'!$AI$5:$AI$2004,"&lt;&gt;")-4),""))</f>
        <v/>
      </c>
      <c r="AG296" s="60">
        <f>IF(C296="","",IFERROR(INDEX('Saisie'!$AJ$5:$AJ$2004,_xlfn.MAXIFS('Saisie'!$AS$5:$AS$2004,'Saisie'!$C$5:$C$2004,C296,'Saisie'!$AJ$5:$AJ$2004,"&lt;&gt;")-4),""))</f>
        <v/>
      </c>
      <c r="AH296" s="60">
        <f>IF(C296="","",IFERROR(INDEX('Saisie'!$AK$5:$AK$2004,_xlfn.MAXIFS('Saisie'!$AS$5:$AS$2004,'Saisie'!$C$5:$C$2004,C296,'Saisie'!$AK$5:$AK$2004,"&lt;&gt;")-4),""))</f>
        <v/>
      </c>
      <c r="AI296" s="60">
        <f>IF(C296="","",IFERROR(INDEX('Saisie'!$AN$5:$AN$2004,_xlfn.MAXIFS('Saisie'!$AS$5:$AS$2004,'Saisie'!$C$5:$C$2004,C296,'Saisie'!$AN$5:$AN$2004,"&lt;&gt;")-4),""))</f>
        <v/>
      </c>
      <c r="AJ296" s="60">
        <f>IF(C296="","",IFERROR(INDEX('Saisie'!$AO$5:$AO$2004,_xlfn.MAXIFS('Saisie'!$AS$5:$AS$2004,'Saisie'!$C$5:$C$2004,C296,'Saisie'!$AO$5:$AO$2004,"&lt;&gt;")-4),""))</f>
        <v/>
      </c>
      <c r="AK296" s="60">
        <f>IF(C296="","",IFERROR(INDEX('Saisie'!$AP$5:$AP$2004,_xlfn.MAXIFS('Saisie'!$AS$5:$AS$2004,'Saisie'!$C$5:$C$2004,C296,'Saisie'!$AP$5:$AP$2004,"&lt;&gt;")-4),""))</f>
        <v/>
      </c>
      <c r="AL296" s="60">
        <f>IF(C296="","",IFERROR(INDEX('Saisie'!$AQ$5:$AQ$2004,_xlfn.MAXIFS('Saisie'!$AS$5:$AS$2004,'Saisie'!$C$5:$C$2004,C296,'Saisie'!$AQ$5:$AQ$2004,"&lt;&gt;")-4),""))</f>
        <v/>
      </c>
      <c r="AM296" s="60">
        <f>IF(C296="","",((AI296="Oui")+(AJ296="Oui")+(AK296="Oui")+OR(AL296="Immédiat",AL296="&lt; 1 mois"))&amp;"/4")</f>
        <v/>
      </c>
      <c r="AN296" s="60">
        <f>IF(C296="","",IFERROR(INDEX('Saisie'!$AL$5:$AL$2004,_xlfn.MAXIFS('Saisie'!$AS$5:$AS$2004,'Saisie'!$C$5:$C$2004,C296,'Saisie'!$AL$5:$AL$2004,"&lt;&gt;")-4),""))</f>
        <v/>
      </c>
      <c r="AO296" s="62">
        <f>IF(C296="","",IF(IFERROR(INDEX('Saisie'!$AM$5:$AM$2004,_xlfn.MAXIFS('Saisie'!$AS$5:$AS$2004,'Saisie'!$C$5:$C$2004,C296,'Saisie'!$AM$5:$AM$2004,"&lt;&gt;")-4),"")&lt;&gt;"",IFERROR(INDEX('Saisie'!$AM$5:$AM$2004,_xlfn.MAXIFS('Saisie'!$AS$5:$AS$2004,'Saisie'!$C$5:$C$2004,C296,'Saisie'!$AM$5:$AM$2004,"&lt;&gt;")-4),""),IFERROR(INDEX('Paramètres'!$S$6:$S$15,MATCH(AN296,'Paramètres'!$Q$6:$Q$15,0)),"")))</f>
        <v/>
      </c>
      <c r="AP296" s="62">
        <f>IF(C296="","",IFERROR(INDEX('Saisie'!$AW$5:$AW$2004,_xlfn.MAXIFS('Saisie'!$AS$5:$AS$2004,'Saisie'!$C$5:$C$2004,C296,'Saisie'!$E$5:$E$2004,"Proposition envoyée")-4),""))</f>
        <v/>
      </c>
      <c r="AQ296" s="106">
        <f>IF(C296="","",IFERROR(1/(1/_xlfn.MAXIFS('Saisie'!$A$5:$A$2004,'Saisie'!$C$5:$C$2004,C296,'Saisie'!$E$5:$E$2004,"Proposition envoyée")),""))</f>
        <v/>
      </c>
      <c r="AR296" s="106">
        <f>IF(C296="","",IF(AQ296="","",AQ296+'Paramètres'!$B$26))</f>
        <v/>
      </c>
      <c r="AS296" s="62">
        <f>IF(OR(C296="",D296="Gagné",D296="Perdu"),0,N(AP296)*IFERROR(INDEX('Paramètres'!$G$6:$G$13,MATCH(D296,'Paramètres'!$F$6:$F$13,0)),0))</f>
        <v/>
      </c>
      <c r="AT296" s="106">
        <f>IF(C296="","",IFERROR(1/(1/_xlfn.MINIFS('Saisie'!$A$5:$A$2004,'Saisie'!$C$5:$C$2004,C296,'Saisie'!$E$5:$E$2004,"Signature")),""))</f>
        <v/>
      </c>
      <c r="AU296" s="60">
        <f>IF(C296="","",IF(OR(AT296="",B296=""),"",AT296-B296))</f>
        <v/>
      </c>
      <c r="AV296" s="60">
        <f>IF(C296="","",IFERROR(INDEX('Saisie'!$L$5:$L$2004,_xlfn.MAXIFS('Saisie'!$AS$5:$AS$2004,'Saisie'!$C$5:$C$2004,C296,'Saisie'!$L$5:$L$2004,"&lt;&gt;")-4),""))</f>
        <v/>
      </c>
      <c r="AW296" s="106">
        <f>IF(C296="","",IF(D296&lt;&gt;"Perdu","",IFERROR(1/(1/_xlfn.MAXIFS('Saisie'!$A$5:$A$2004,'Saisie'!$C$5:$C$2004,C296,'Saisie'!$E$5:$E$2004,"Perdu")),"")))</f>
        <v/>
      </c>
      <c r="AX296" s="106">
        <f>IF(C296="","",IF(AW296="","",AW296+'Paramètres'!$B$28))</f>
        <v/>
      </c>
      <c r="AY296" s="60">
        <f>IF(C296="","",SUMIFS('Saisie'!$H$5:$H$2004,'Saisie'!$C$5:$C$2004,C296))</f>
        <v/>
      </c>
      <c r="AZ296" s="60">
        <f>IF(C296="","",IFERROR(INDEX('Paramètres'!$W$6:$W$20,MATCH(S296,'Paramètres'!$V$6:$V$20,0))&amp;"",""))</f>
        <v/>
      </c>
      <c r="BA296" s="60">
        <f>IF(C296="","",MAX(1,_xlfn.MAXIFS('Saisie'!$AT$5:$AT$2004,'Saisie'!$C$5:$C$2004,C296)))</f>
        <v/>
      </c>
      <c r="BB296" s="60">
        <f>IF(C296="","",IFERROR(INDEX('Saisie'!$X$5:$X$2004,_xlfn.MAXIFS('Saisie'!$AS$5:$AS$2004,'Saisie'!$C$5:$C$2004,C296,'Saisie'!$X$5:$X$2004,"&lt;&gt;")-4),""))</f>
        <v/>
      </c>
      <c r="BC296" s="60">
        <f>IF(C296="","",IFERROR(INDEX('Saisie'!$Y$5:$Y$2004,_xlfn.MAXIFS('Saisie'!$AS$5:$AS$2004,'Saisie'!$C$5:$C$2004,C296,'Saisie'!$Y$5:$Y$2004,"&lt;&gt;")-4),""))</f>
        <v/>
      </c>
      <c r="BD296" s="106">
        <f>IF(C296="","",IFERROR(1/(1/_xlfn.MINIFS('Saisie'!$A$5:$A$2004,'Saisie'!$C$5:$C$2004,C296,'Saisie'!$AT$5:$AT$2004,"&gt;=2")),""))</f>
        <v/>
      </c>
      <c r="BE296" s="106">
        <f>IF(C296="","",IFERROR(1/(1/_xlfn.MINIFS('Saisie'!$A$5:$A$2004,'Saisie'!$C$5:$C$2004,C296,'Saisie'!$AT$5:$AT$2004,"&gt;=3")),""))</f>
        <v/>
      </c>
      <c r="BF296" s="106">
        <f>IF(C296="","",IFERROR(1/(1/_xlfn.MINIFS('Saisie'!$A$5:$A$2004,'Saisie'!$C$5:$C$2004,C296,'Saisie'!$AT$5:$AT$2004,"&gt;=4")),""))</f>
        <v/>
      </c>
      <c r="BG296" s="106">
        <f>IF(C296="","",IFERROR(1/(1/_xlfn.MINIFS('Saisie'!$A$5:$A$2004,'Saisie'!$C$5:$C$2004,C296,'Saisie'!$AT$5:$AT$2004,"&gt;=5")),""))</f>
        <v/>
      </c>
      <c r="BH296" s="106">
        <f>IF(C296="","",IFERROR(1/(1/_xlfn.MINIFS('Saisie'!$A$5:$A$2004,'Saisie'!$C$5:$C$2004,C296,'Saisie'!$AT$5:$AT$2004,"&gt;=6")),""))</f>
        <v/>
      </c>
      <c r="BI296" s="106">
        <f>IF(C296="","",IFERROR(1/(1/_xlfn.MINIFS('Saisie'!$A$5:$A$2004,'Saisie'!$C$5:$C$2004,C296,'Saisie'!$AT$5:$AT$2004,"&gt;=7")),""))</f>
        <v/>
      </c>
      <c r="BJ296" s="60">
        <f>IF(OR(BD296="",B296=""),"",BD296-B296)</f>
        <v/>
      </c>
      <c r="BK296" s="60">
        <f>IF(OR(BE296="",BD296=""),"",BE296-BD296)</f>
        <v/>
      </c>
      <c r="BL296" s="60">
        <f>IF(OR(BF296="",BE296=""),"",BF296-BE296)</f>
        <v/>
      </c>
      <c r="BM296" s="60">
        <f>IF(OR(BG296="",BF296=""),"",BG296-BF296)</f>
        <v/>
      </c>
      <c r="BN296" s="60">
        <f>IF(OR(BH296="",BG296=""),"",BH296-BG296)</f>
        <v/>
      </c>
      <c r="BO296" s="60">
        <f>IF(OR(BI296="",BH296=""),"",BI296-BH296)</f>
        <v/>
      </c>
      <c r="BP296" s="60">
        <f>IF(C296="","",_xlfn.MAXIFS('Saisie'!$AS$5:$AS$2004,'Saisie'!$C$5:$C$2004,C296,'Saisie'!$J$5:$J$2004,"&lt;&gt;"))</f>
        <v/>
      </c>
      <c r="BQ296" s="60">
        <f>IF(C296="","",_xlfn.MAXIFS('Saisie'!$AS$5:$AS$2004,'Saisie'!$C$5:$C$2004,C296))</f>
        <v/>
      </c>
      <c r="BR296" s="60">
        <f>IF(C296="","",_xlfn.MAXIFS('Saisie'!$AS$5:$AS$2004,'Saisie'!$C$5:$C$2004,C296,'Saisie'!$E$5:$E$2004,"Perdu"))</f>
        <v/>
      </c>
      <c r="BS296" s="60">
        <f>IF(C296="","",_xlfn.MAXIFS('Saisie'!$AS$5:$AS$2004,'Saisie'!$C$5:$C$2004,C296,'Saisie'!$AT$5:$AT$2004,"&gt;0"))</f>
        <v/>
      </c>
      <c r="BT296" s="109">
        <f>IF(AND(C296&lt;&gt;"",OR(D296="Nouveau",D296="Contacté",D296="Qualifié"),OR(G296="",N(G296)&lt;=TODAY()),NOT(AND(O296&gt;='Paramètres'!$B$21,P296=0))),E296+292/10000,"")</f>
        <v/>
      </c>
      <c r="BU296" s="60">
        <f>IF(AND(G296&lt;&gt;"",N(G296)&lt;=TODAY()),MAX($BU$4:BU295)+1,"")</f>
        <v/>
      </c>
      <c r="BV296" s="60">
        <f>IF(AND(F296&lt;&gt;"",F296&lt;&gt;"Relance en retard"),MAX($BV$4:BV295)+1,"")</f>
        <v/>
      </c>
      <c r="BW296" s="60">
        <f>IF(C296="","",IF(AND(B296&gt;='Tableau de bord'!$R$4,B296&lt;='Tableau de bord'!$S$4,OR('Tableau de bord'!$G$4="Tous",N296='Tableau de bord'!$G$4)),1,0))</f>
        <v/>
      </c>
      <c r="BX296" s="60">
        <f>IF(AND(C296&lt;&gt;"",N(BA296)=7),MAX($BX$4:BX295)+1,"")</f>
        <v/>
      </c>
    </row>
    <row r="297">
      <c r="A297" s="60">
        <f>IF(C297="","","P-"&amp;TEXT(293,"000"))</f>
        <v/>
      </c>
      <c r="B297" s="106">
        <f>IF(C297="","",IFERROR(1/(1/_xlfn.MINIFS('Saisie'!$A$5:$A$2004,'Saisie'!$C$5:$C$2004,C297)),""))</f>
        <v/>
      </c>
      <c r="C297" s="60">
        <f>IFERROR(INDEX('Saisie'!$C$5:$C$2004,MATCH(293,'Saisie'!$AX$5:$AX$2004,0)),"")</f>
        <v/>
      </c>
      <c r="D297" s="60">
        <f>IF(C297="","",IF(AND(BR297&gt;0,BR297&gt;BS297,BA297&lt;7),"Perdu",INDEX('Paramètres'!$F$6:$F$13,BA297)))</f>
        <v/>
      </c>
      <c r="E297" s="61">
        <f>IF(C297="","",MIN(100,(Z297="Oui")*'Paramètres'!$B$38+(AB297="Régulière")*'Paramètres'!$B$39+IF(AND(N(AA297)&gt;0,TODAY()-N(AA297)&lt;=30),'Paramètres'!$B$40,0)+(W297="")*'Paramètres'!$B$41+(AC297="Absente")*'Paramètres'!$B$42+(AC297="Faible")*'Paramètres'!$B$43+IF(AND(N(AD297)&gt;0,N(AD297)&lt;4),'Paramètres'!$B$44,0)+(AF297="Moyenne")*'Paramètres'!$B$45+(AF297="Grande")*'Paramètres'!$B$46+(Y297&lt;&gt;"")*'Paramètres'!$B$47))</f>
        <v/>
      </c>
      <c r="F297" s="60">
        <f>IF(C297="","",IF(D297="Gagné","",IF(D297="Perdu",IF(AND(AX297&lt;&gt;"",AX297&lt;=TODAY()),"À recontacter (perdu)",""),IF(AND(O297&gt;='Paramètres'!$B$21,P297=0),"Stop : "&amp;'Paramètres'!$B$21&amp;" tentatives sans réponse",IF(AND(D297="Proposition",AR297&lt;&gt;"",TODAY()&gt;N(AR297)),"Proposition expirée",IF(AND(D297="Proposition",N(R297)&gt;='Paramètres'!$B$25),"Proposition sans réponse",IF(AND(G297&lt;&gt;"",N(G297)&lt;TODAY()),"Relance en retard",IF(N(R297)&gt;='Paramètres'!$B$24,"Sans action depuis "&amp;R297&amp;" j",""))))))))</f>
        <v/>
      </c>
      <c r="G297" s="106">
        <f>IF(OR(C297="",D297="Gagné",D297="Perdu"),"",IF(AND(BP297&gt;0,BP297=BQ297),INDEX('Saisie'!$J$5:$J$2004,BP297-4),IF(OR(O297=0,AND(O297&gt;='Paramètres'!$B$21,P297=0)),"",Q297+IF(O297&lt;=1,'Paramètres'!$B$18,IF(O297=2,'Paramètres'!$B$19,'Paramètres'!$B$20)))))</f>
        <v/>
      </c>
      <c r="H297" s="107">
        <f>IF(OR(G297="",BP297&lt;&gt;BQ297),"",IF(INDEX('Saisie'!$K$5:$K$2004,BP297-4)="","",INDEX('Saisie'!$K$5:$K$2004,BP297-4)))</f>
        <v/>
      </c>
      <c r="I297" s="60">
        <f>IF(C297="","",IF(OR(D297="Gagné",D297="Perdu"),"",IFERROR(INDEX('Saisie'!$I$5:$I$2004,_xlfn.MAXIFS('Saisie'!$AS$5:$AS$2004,'Saisie'!$C$5:$C$2004,C297,'Saisie'!$I$5:$I$2004,"&lt;&gt;")-4),"")))</f>
        <v/>
      </c>
      <c r="J297" s="60">
        <f>IF(C297="","",IFERROR(INDEX('Saisie'!$U$5:$U$2004,_xlfn.MAXIFS('Saisie'!$AS$5:$AS$2004,'Saisie'!$C$5:$C$2004,C297,'Saisie'!$U$5:$U$2004,"&lt;&gt;")-4),""))</f>
        <v/>
      </c>
      <c r="K297" s="60">
        <f>IF(C297="","",IFERROR(INDEX('Saisie'!$W$5:$W$2004,_xlfn.MAXIFS('Saisie'!$AS$5:$AS$2004,'Saisie'!$C$5:$C$2004,C297,'Saisie'!$W$5:$W$2004,"&lt;&gt;")-4),""))</f>
        <v/>
      </c>
      <c r="L297" s="60">
        <f>IF(IF(BB297&lt;&gt;"",BB297,K297)="","",HYPERLINK("https://wa.me/"&amp;IF(LEFT(SUBSTITUTE(SUBSTITUTE(SUBSTITUTE(IF(BB297&lt;&gt;"",BB297,K297)," ",""),".",""),"+",""),1)="0",'Paramètres'!$B$35&amp;MID(SUBSTITUTE(SUBSTITUTE(SUBSTITUTE(IF(BB297&lt;&gt;"",BB297,K297)," ",""),".",""),"+",""),2,20),SUBSTITUTE(SUBSTITUTE(SUBSTITUTE(IF(BB297&lt;&gt;"",BB297,K297)," ",""),".",""),"+","")),"WhatsApp"))</f>
        <v/>
      </c>
      <c r="M297" s="60">
        <f>IF(BC297="","",HYPERLINK(IF(LEFT(BC297,4)="http",BC297,"https://www.instagram.com/"&amp;SUBSTITUTE(SUBSTITUTE(BC297,"@","")," ","")),BC297))</f>
        <v/>
      </c>
      <c r="N297" s="60">
        <f>IF(C297="","",IFERROR(INDEX('Saisie'!$D$5:$D$2004,_xlfn.MINIFS('Saisie'!$AS$5:$AS$2004,'Saisie'!$C$5:$C$2004,C297,'Saisie'!$AU$5:$AU$2004,1)-4),IFERROR(INDEX('Saisie'!$D$5:$D$2004,_xlfn.MINIFS('Saisie'!$AS$5:$AS$2004,'Saisie'!$C$5:$C$2004,C297,'Saisie'!$D$5:$D$2004,"&lt;&gt;")-4),"")))</f>
        <v/>
      </c>
      <c r="O297" s="60">
        <f>IF(C297="","",COUNTIFS('Saisie'!$C$5:$C$2004,C297,'Saisie'!$AU$5:$AU$2004,1))</f>
        <v/>
      </c>
      <c r="P297" s="60">
        <f>IF(C297="","",COUNTIFS('Saisie'!$C$5:$C$2004,C297,'Saisie'!$AV$5:$AV$2004,1))</f>
        <v/>
      </c>
      <c r="Q297" s="106">
        <f>IF(C297="","",IFERROR(1/(1/_xlfn.MAXIFS('Saisie'!$A$5:$A$2004,'Saisie'!$C$5:$C$2004,C297)),""))</f>
        <v/>
      </c>
      <c r="R297" s="61">
        <f>IF(C297="","",IF(Q297="","",TODAY()-Q297))</f>
        <v/>
      </c>
      <c r="S297" s="60">
        <f>IF(C297="","",IFERROR(INDEX('Saisie'!$R$5:$R$2004,_xlfn.MAXIFS('Saisie'!$AS$5:$AS$2004,'Saisie'!$C$5:$C$2004,C297,'Saisie'!$R$5:$R$2004,"&lt;&gt;")-4),""))</f>
        <v/>
      </c>
      <c r="T297" s="60">
        <f>IF(C297="","",IFERROR(INDEX('Saisie'!$S$5:$S$2004,_xlfn.MAXIFS('Saisie'!$AS$5:$AS$2004,'Saisie'!$C$5:$C$2004,C297,'Saisie'!$S$5:$S$2004,"&lt;&gt;")-4),""))</f>
        <v/>
      </c>
      <c r="U297" s="60">
        <f>IF(C297="","",IFERROR(INDEX('Saisie'!$T$5:$T$2004,_xlfn.MAXIFS('Saisie'!$AS$5:$AS$2004,'Saisie'!$C$5:$C$2004,C297,'Saisie'!$T$5:$T$2004,"&lt;&gt;")-4),""))</f>
        <v/>
      </c>
      <c r="V297" s="60">
        <f>IF(C297="","",IFERROR(INDEX('Saisie'!$V$5:$V$2004,_xlfn.MAXIFS('Saisie'!$AS$5:$AS$2004,'Saisie'!$C$5:$C$2004,C297,'Saisie'!$V$5:$V$2004,"&lt;&gt;")-4),""))</f>
        <v/>
      </c>
      <c r="W297" s="60">
        <f>IF(C297="","",IFERROR(INDEX('Saisie'!$Z$5:$Z$2004,_xlfn.MAXIFS('Saisie'!$AS$5:$AS$2004,'Saisie'!$C$5:$C$2004,C297,'Saisie'!$Z$5:$Z$2004,"&lt;&gt;")-4),""))</f>
        <v/>
      </c>
      <c r="X297" s="60">
        <f>IF(C297="","",IFERROR(INDEX('Saisie'!$AA$5:$AA$2004,_xlfn.MAXIFS('Saisie'!$AS$5:$AS$2004,'Saisie'!$C$5:$C$2004,C297,'Saisie'!$AA$5:$AA$2004,"&lt;&gt;")-4),""))</f>
        <v/>
      </c>
      <c r="Y297" s="60">
        <f>IF(C297="","",IFERROR(INDEX('Saisie'!$AB$5:$AB$2004,_xlfn.MAXIFS('Saisie'!$AS$5:$AS$2004,'Saisie'!$C$5:$C$2004,C297,'Saisie'!$AB$5:$AB$2004,"&lt;&gt;")-4),""))</f>
        <v/>
      </c>
      <c r="Z297" s="60">
        <f>IF(C297="","",IFERROR(INDEX('Saisie'!$AC$5:$AC$2004,_xlfn.MAXIFS('Saisie'!$AS$5:$AS$2004,'Saisie'!$C$5:$C$2004,C297,'Saisie'!$AC$5:$AC$2004,"&lt;&gt;")-4),""))</f>
        <v/>
      </c>
      <c r="AA297" s="106">
        <f>IF(C297="","",IFERROR(INDEX('Saisie'!$AD$5:$AD$2004,_xlfn.MAXIFS('Saisie'!$AS$5:$AS$2004,'Saisie'!$C$5:$C$2004,C297,'Saisie'!$AD$5:$AD$2004,"&lt;&gt;")-4),""))</f>
        <v/>
      </c>
      <c r="AB297" s="60">
        <f>IF(C297="","",IFERROR(INDEX('Saisie'!$AE$5:$AE$2004,_xlfn.MAXIFS('Saisie'!$AS$5:$AS$2004,'Saisie'!$C$5:$C$2004,C297,'Saisie'!$AE$5:$AE$2004,"&lt;&gt;")-4),""))</f>
        <v/>
      </c>
      <c r="AC297" s="60">
        <f>IF(C297="","",IFERROR(INDEX('Saisie'!$AF$5:$AF$2004,_xlfn.MAXIFS('Saisie'!$AS$5:$AS$2004,'Saisie'!$C$5:$C$2004,C297,'Saisie'!$AF$5:$AF$2004,"&lt;&gt;")-4),""))</f>
        <v/>
      </c>
      <c r="AD297" s="108">
        <f>IF(C297="","",IFERROR(INDEX('Saisie'!$AG$5:$AG$2004,_xlfn.MAXIFS('Saisie'!$AS$5:$AS$2004,'Saisie'!$C$5:$C$2004,C297,'Saisie'!$AG$5:$AG$2004,"&lt;&gt;")-4),""))</f>
        <v/>
      </c>
      <c r="AE297" s="60">
        <f>IF(C297="","",IFERROR(INDEX('Saisie'!$AH$5:$AH$2004,_xlfn.MAXIFS('Saisie'!$AS$5:$AS$2004,'Saisie'!$C$5:$C$2004,C297,'Saisie'!$AH$5:$AH$2004,"&lt;&gt;")-4),""))</f>
        <v/>
      </c>
      <c r="AF297" s="60">
        <f>IF(C297="","",IFERROR(INDEX('Saisie'!$AI$5:$AI$2004,_xlfn.MAXIFS('Saisie'!$AS$5:$AS$2004,'Saisie'!$C$5:$C$2004,C297,'Saisie'!$AI$5:$AI$2004,"&lt;&gt;")-4),""))</f>
        <v/>
      </c>
      <c r="AG297" s="60">
        <f>IF(C297="","",IFERROR(INDEX('Saisie'!$AJ$5:$AJ$2004,_xlfn.MAXIFS('Saisie'!$AS$5:$AS$2004,'Saisie'!$C$5:$C$2004,C297,'Saisie'!$AJ$5:$AJ$2004,"&lt;&gt;")-4),""))</f>
        <v/>
      </c>
      <c r="AH297" s="60">
        <f>IF(C297="","",IFERROR(INDEX('Saisie'!$AK$5:$AK$2004,_xlfn.MAXIFS('Saisie'!$AS$5:$AS$2004,'Saisie'!$C$5:$C$2004,C297,'Saisie'!$AK$5:$AK$2004,"&lt;&gt;")-4),""))</f>
        <v/>
      </c>
      <c r="AI297" s="60">
        <f>IF(C297="","",IFERROR(INDEX('Saisie'!$AN$5:$AN$2004,_xlfn.MAXIFS('Saisie'!$AS$5:$AS$2004,'Saisie'!$C$5:$C$2004,C297,'Saisie'!$AN$5:$AN$2004,"&lt;&gt;")-4),""))</f>
        <v/>
      </c>
      <c r="AJ297" s="60">
        <f>IF(C297="","",IFERROR(INDEX('Saisie'!$AO$5:$AO$2004,_xlfn.MAXIFS('Saisie'!$AS$5:$AS$2004,'Saisie'!$C$5:$C$2004,C297,'Saisie'!$AO$5:$AO$2004,"&lt;&gt;")-4),""))</f>
        <v/>
      </c>
      <c r="AK297" s="60">
        <f>IF(C297="","",IFERROR(INDEX('Saisie'!$AP$5:$AP$2004,_xlfn.MAXIFS('Saisie'!$AS$5:$AS$2004,'Saisie'!$C$5:$C$2004,C297,'Saisie'!$AP$5:$AP$2004,"&lt;&gt;")-4),""))</f>
        <v/>
      </c>
      <c r="AL297" s="60">
        <f>IF(C297="","",IFERROR(INDEX('Saisie'!$AQ$5:$AQ$2004,_xlfn.MAXIFS('Saisie'!$AS$5:$AS$2004,'Saisie'!$C$5:$C$2004,C297,'Saisie'!$AQ$5:$AQ$2004,"&lt;&gt;")-4),""))</f>
        <v/>
      </c>
      <c r="AM297" s="60">
        <f>IF(C297="","",((AI297="Oui")+(AJ297="Oui")+(AK297="Oui")+OR(AL297="Immédiat",AL297="&lt; 1 mois"))&amp;"/4")</f>
        <v/>
      </c>
      <c r="AN297" s="60">
        <f>IF(C297="","",IFERROR(INDEX('Saisie'!$AL$5:$AL$2004,_xlfn.MAXIFS('Saisie'!$AS$5:$AS$2004,'Saisie'!$C$5:$C$2004,C297,'Saisie'!$AL$5:$AL$2004,"&lt;&gt;")-4),""))</f>
        <v/>
      </c>
      <c r="AO297" s="62">
        <f>IF(C297="","",IF(IFERROR(INDEX('Saisie'!$AM$5:$AM$2004,_xlfn.MAXIFS('Saisie'!$AS$5:$AS$2004,'Saisie'!$C$5:$C$2004,C297,'Saisie'!$AM$5:$AM$2004,"&lt;&gt;")-4),"")&lt;&gt;"",IFERROR(INDEX('Saisie'!$AM$5:$AM$2004,_xlfn.MAXIFS('Saisie'!$AS$5:$AS$2004,'Saisie'!$C$5:$C$2004,C297,'Saisie'!$AM$5:$AM$2004,"&lt;&gt;")-4),""),IFERROR(INDEX('Paramètres'!$S$6:$S$15,MATCH(AN297,'Paramètres'!$Q$6:$Q$15,0)),"")))</f>
        <v/>
      </c>
      <c r="AP297" s="62">
        <f>IF(C297="","",IFERROR(INDEX('Saisie'!$AW$5:$AW$2004,_xlfn.MAXIFS('Saisie'!$AS$5:$AS$2004,'Saisie'!$C$5:$C$2004,C297,'Saisie'!$E$5:$E$2004,"Proposition envoyée")-4),""))</f>
        <v/>
      </c>
      <c r="AQ297" s="106">
        <f>IF(C297="","",IFERROR(1/(1/_xlfn.MAXIFS('Saisie'!$A$5:$A$2004,'Saisie'!$C$5:$C$2004,C297,'Saisie'!$E$5:$E$2004,"Proposition envoyée")),""))</f>
        <v/>
      </c>
      <c r="AR297" s="106">
        <f>IF(C297="","",IF(AQ297="","",AQ297+'Paramètres'!$B$26))</f>
        <v/>
      </c>
      <c r="AS297" s="62">
        <f>IF(OR(C297="",D297="Gagné",D297="Perdu"),0,N(AP297)*IFERROR(INDEX('Paramètres'!$G$6:$G$13,MATCH(D297,'Paramètres'!$F$6:$F$13,0)),0))</f>
        <v/>
      </c>
      <c r="AT297" s="106">
        <f>IF(C297="","",IFERROR(1/(1/_xlfn.MINIFS('Saisie'!$A$5:$A$2004,'Saisie'!$C$5:$C$2004,C297,'Saisie'!$E$5:$E$2004,"Signature")),""))</f>
        <v/>
      </c>
      <c r="AU297" s="60">
        <f>IF(C297="","",IF(OR(AT297="",B297=""),"",AT297-B297))</f>
        <v/>
      </c>
      <c r="AV297" s="60">
        <f>IF(C297="","",IFERROR(INDEX('Saisie'!$L$5:$L$2004,_xlfn.MAXIFS('Saisie'!$AS$5:$AS$2004,'Saisie'!$C$5:$C$2004,C297,'Saisie'!$L$5:$L$2004,"&lt;&gt;")-4),""))</f>
        <v/>
      </c>
      <c r="AW297" s="106">
        <f>IF(C297="","",IF(D297&lt;&gt;"Perdu","",IFERROR(1/(1/_xlfn.MAXIFS('Saisie'!$A$5:$A$2004,'Saisie'!$C$5:$C$2004,C297,'Saisie'!$E$5:$E$2004,"Perdu")),"")))</f>
        <v/>
      </c>
      <c r="AX297" s="106">
        <f>IF(C297="","",IF(AW297="","",AW297+'Paramètres'!$B$28))</f>
        <v/>
      </c>
      <c r="AY297" s="60">
        <f>IF(C297="","",SUMIFS('Saisie'!$H$5:$H$2004,'Saisie'!$C$5:$C$2004,C297))</f>
        <v/>
      </c>
      <c r="AZ297" s="60">
        <f>IF(C297="","",IFERROR(INDEX('Paramètres'!$W$6:$W$20,MATCH(S297,'Paramètres'!$V$6:$V$20,0))&amp;"",""))</f>
        <v/>
      </c>
      <c r="BA297" s="60">
        <f>IF(C297="","",MAX(1,_xlfn.MAXIFS('Saisie'!$AT$5:$AT$2004,'Saisie'!$C$5:$C$2004,C297)))</f>
        <v/>
      </c>
      <c r="BB297" s="60">
        <f>IF(C297="","",IFERROR(INDEX('Saisie'!$X$5:$X$2004,_xlfn.MAXIFS('Saisie'!$AS$5:$AS$2004,'Saisie'!$C$5:$C$2004,C297,'Saisie'!$X$5:$X$2004,"&lt;&gt;")-4),""))</f>
        <v/>
      </c>
      <c r="BC297" s="60">
        <f>IF(C297="","",IFERROR(INDEX('Saisie'!$Y$5:$Y$2004,_xlfn.MAXIFS('Saisie'!$AS$5:$AS$2004,'Saisie'!$C$5:$C$2004,C297,'Saisie'!$Y$5:$Y$2004,"&lt;&gt;")-4),""))</f>
        <v/>
      </c>
      <c r="BD297" s="106">
        <f>IF(C297="","",IFERROR(1/(1/_xlfn.MINIFS('Saisie'!$A$5:$A$2004,'Saisie'!$C$5:$C$2004,C297,'Saisie'!$AT$5:$AT$2004,"&gt;=2")),""))</f>
        <v/>
      </c>
      <c r="BE297" s="106">
        <f>IF(C297="","",IFERROR(1/(1/_xlfn.MINIFS('Saisie'!$A$5:$A$2004,'Saisie'!$C$5:$C$2004,C297,'Saisie'!$AT$5:$AT$2004,"&gt;=3")),""))</f>
        <v/>
      </c>
      <c r="BF297" s="106">
        <f>IF(C297="","",IFERROR(1/(1/_xlfn.MINIFS('Saisie'!$A$5:$A$2004,'Saisie'!$C$5:$C$2004,C297,'Saisie'!$AT$5:$AT$2004,"&gt;=4")),""))</f>
        <v/>
      </c>
      <c r="BG297" s="106">
        <f>IF(C297="","",IFERROR(1/(1/_xlfn.MINIFS('Saisie'!$A$5:$A$2004,'Saisie'!$C$5:$C$2004,C297,'Saisie'!$AT$5:$AT$2004,"&gt;=5")),""))</f>
        <v/>
      </c>
      <c r="BH297" s="106">
        <f>IF(C297="","",IFERROR(1/(1/_xlfn.MINIFS('Saisie'!$A$5:$A$2004,'Saisie'!$C$5:$C$2004,C297,'Saisie'!$AT$5:$AT$2004,"&gt;=6")),""))</f>
        <v/>
      </c>
      <c r="BI297" s="106">
        <f>IF(C297="","",IFERROR(1/(1/_xlfn.MINIFS('Saisie'!$A$5:$A$2004,'Saisie'!$C$5:$C$2004,C297,'Saisie'!$AT$5:$AT$2004,"&gt;=7")),""))</f>
        <v/>
      </c>
      <c r="BJ297" s="60">
        <f>IF(OR(BD297="",B297=""),"",BD297-B297)</f>
        <v/>
      </c>
      <c r="BK297" s="60">
        <f>IF(OR(BE297="",BD297=""),"",BE297-BD297)</f>
        <v/>
      </c>
      <c r="BL297" s="60">
        <f>IF(OR(BF297="",BE297=""),"",BF297-BE297)</f>
        <v/>
      </c>
      <c r="BM297" s="60">
        <f>IF(OR(BG297="",BF297=""),"",BG297-BF297)</f>
        <v/>
      </c>
      <c r="BN297" s="60">
        <f>IF(OR(BH297="",BG297=""),"",BH297-BG297)</f>
        <v/>
      </c>
      <c r="BO297" s="60">
        <f>IF(OR(BI297="",BH297=""),"",BI297-BH297)</f>
        <v/>
      </c>
      <c r="BP297" s="60">
        <f>IF(C297="","",_xlfn.MAXIFS('Saisie'!$AS$5:$AS$2004,'Saisie'!$C$5:$C$2004,C297,'Saisie'!$J$5:$J$2004,"&lt;&gt;"))</f>
        <v/>
      </c>
      <c r="BQ297" s="60">
        <f>IF(C297="","",_xlfn.MAXIFS('Saisie'!$AS$5:$AS$2004,'Saisie'!$C$5:$C$2004,C297))</f>
        <v/>
      </c>
      <c r="BR297" s="60">
        <f>IF(C297="","",_xlfn.MAXIFS('Saisie'!$AS$5:$AS$2004,'Saisie'!$C$5:$C$2004,C297,'Saisie'!$E$5:$E$2004,"Perdu"))</f>
        <v/>
      </c>
      <c r="BS297" s="60">
        <f>IF(C297="","",_xlfn.MAXIFS('Saisie'!$AS$5:$AS$2004,'Saisie'!$C$5:$C$2004,C297,'Saisie'!$AT$5:$AT$2004,"&gt;0"))</f>
        <v/>
      </c>
      <c r="BT297" s="109">
        <f>IF(AND(C297&lt;&gt;"",OR(D297="Nouveau",D297="Contacté",D297="Qualifié"),OR(G297="",N(G297)&lt;=TODAY()),NOT(AND(O297&gt;='Paramètres'!$B$21,P297=0))),E297+293/10000,"")</f>
        <v/>
      </c>
      <c r="BU297" s="60">
        <f>IF(AND(G297&lt;&gt;"",N(G297)&lt;=TODAY()),MAX($BU$4:BU296)+1,"")</f>
        <v/>
      </c>
      <c r="BV297" s="60">
        <f>IF(AND(F297&lt;&gt;"",F297&lt;&gt;"Relance en retard"),MAX($BV$4:BV296)+1,"")</f>
        <v/>
      </c>
      <c r="BW297" s="60">
        <f>IF(C297="","",IF(AND(B297&gt;='Tableau de bord'!$R$4,B297&lt;='Tableau de bord'!$S$4,OR('Tableau de bord'!$G$4="Tous",N297='Tableau de bord'!$G$4)),1,0))</f>
        <v/>
      </c>
      <c r="BX297" s="60">
        <f>IF(AND(C297&lt;&gt;"",N(BA297)=7),MAX($BX$4:BX296)+1,"")</f>
        <v/>
      </c>
    </row>
    <row r="298">
      <c r="A298" s="60">
        <f>IF(C298="","","P-"&amp;TEXT(294,"000"))</f>
        <v/>
      </c>
      <c r="B298" s="106">
        <f>IF(C298="","",IFERROR(1/(1/_xlfn.MINIFS('Saisie'!$A$5:$A$2004,'Saisie'!$C$5:$C$2004,C298)),""))</f>
        <v/>
      </c>
      <c r="C298" s="60">
        <f>IFERROR(INDEX('Saisie'!$C$5:$C$2004,MATCH(294,'Saisie'!$AX$5:$AX$2004,0)),"")</f>
        <v/>
      </c>
      <c r="D298" s="60">
        <f>IF(C298="","",IF(AND(BR298&gt;0,BR298&gt;BS298,BA298&lt;7),"Perdu",INDEX('Paramètres'!$F$6:$F$13,BA298)))</f>
        <v/>
      </c>
      <c r="E298" s="61">
        <f>IF(C298="","",MIN(100,(Z298="Oui")*'Paramètres'!$B$38+(AB298="Régulière")*'Paramètres'!$B$39+IF(AND(N(AA298)&gt;0,TODAY()-N(AA298)&lt;=30),'Paramètres'!$B$40,0)+(W298="")*'Paramètres'!$B$41+(AC298="Absente")*'Paramètres'!$B$42+(AC298="Faible")*'Paramètres'!$B$43+IF(AND(N(AD298)&gt;0,N(AD298)&lt;4),'Paramètres'!$B$44,0)+(AF298="Moyenne")*'Paramètres'!$B$45+(AF298="Grande")*'Paramètres'!$B$46+(Y298&lt;&gt;"")*'Paramètres'!$B$47))</f>
        <v/>
      </c>
      <c r="F298" s="60">
        <f>IF(C298="","",IF(D298="Gagné","",IF(D298="Perdu",IF(AND(AX298&lt;&gt;"",AX298&lt;=TODAY()),"À recontacter (perdu)",""),IF(AND(O298&gt;='Paramètres'!$B$21,P298=0),"Stop : "&amp;'Paramètres'!$B$21&amp;" tentatives sans réponse",IF(AND(D298="Proposition",AR298&lt;&gt;"",TODAY()&gt;N(AR298)),"Proposition expirée",IF(AND(D298="Proposition",N(R298)&gt;='Paramètres'!$B$25),"Proposition sans réponse",IF(AND(G298&lt;&gt;"",N(G298)&lt;TODAY()),"Relance en retard",IF(N(R298)&gt;='Paramètres'!$B$24,"Sans action depuis "&amp;R298&amp;" j",""))))))))</f>
        <v/>
      </c>
      <c r="G298" s="106">
        <f>IF(OR(C298="",D298="Gagné",D298="Perdu"),"",IF(AND(BP298&gt;0,BP298=BQ298),INDEX('Saisie'!$J$5:$J$2004,BP298-4),IF(OR(O298=0,AND(O298&gt;='Paramètres'!$B$21,P298=0)),"",Q298+IF(O298&lt;=1,'Paramètres'!$B$18,IF(O298=2,'Paramètres'!$B$19,'Paramètres'!$B$20)))))</f>
        <v/>
      </c>
      <c r="H298" s="107">
        <f>IF(OR(G298="",BP298&lt;&gt;BQ298),"",IF(INDEX('Saisie'!$K$5:$K$2004,BP298-4)="","",INDEX('Saisie'!$K$5:$K$2004,BP298-4)))</f>
        <v/>
      </c>
      <c r="I298" s="60">
        <f>IF(C298="","",IF(OR(D298="Gagné",D298="Perdu"),"",IFERROR(INDEX('Saisie'!$I$5:$I$2004,_xlfn.MAXIFS('Saisie'!$AS$5:$AS$2004,'Saisie'!$C$5:$C$2004,C298,'Saisie'!$I$5:$I$2004,"&lt;&gt;")-4),"")))</f>
        <v/>
      </c>
      <c r="J298" s="60">
        <f>IF(C298="","",IFERROR(INDEX('Saisie'!$U$5:$U$2004,_xlfn.MAXIFS('Saisie'!$AS$5:$AS$2004,'Saisie'!$C$5:$C$2004,C298,'Saisie'!$U$5:$U$2004,"&lt;&gt;")-4),""))</f>
        <v/>
      </c>
      <c r="K298" s="60">
        <f>IF(C298="","",IFERROR(INDEX('Saisie'!$W$5:$W$2004,_xlfn.MAXIFS('Saisie'!$AS$5:$AS$2004,'Saisie'!$C$5:$C$2004,C298,'Saisie'!$W$5:$W$2004,"&lt;&gt;")-4),""))</f>
        <v/>
      </c>
      <c r="L298" s="60">
        <f>IF(IF(BB298&lt;&gt;"",BB298,K298)="","",HYPERLINK("https://wa.me/"&amp;IF(LEFT(SUBSTITUTE(SUBSTITUTE(SUBSTITUTE(IF(BB298&lt;&gt;"",BB298,K298)," ",""),".",""),"+",""),1)="0",'Paramètres'!$B$35&amp;MID(SUBSTITUTE(SUBSTITUTE(SUBSTITUTE(IF(BB298&lt;&gt;"",BB298,K298)," ",""),".",""),"+",""),2,20),SUBSTITUTE(SUBSTITUTE(SUBSTITUTE(IF(BB298&lt;&gt;"",BB298,K298)," ",""),".",""),"+","")),"WhatsApp"))</f>
        <v/>
      </c>
      <c r="M298" s="60">
        <f>IF(BC298="","",HYPERLINK(IF(LEFT(BC298,4)="http",BC298,"https://www.instagram.com/"&amp;SUBSTITUTE(SUBSTITUTE(BC298,"@","")," ","")),BC298))</f>
        <v/>
      </c>
      <c r="N298" s="60">
        <f>IF(C298="","",IFERROR(INDEX('Saisie'!$D$5:$D$2004,_xlfn.MINIFS('Saisie'!$AS$5:$AS$2004,'Saisie'!$C$5:$C$2004,C298,'Saisie'!$AU$5:$AU$2004,1)-4),IFERROR(INDEX('Saisie'!$D$5:$D$2004,_xlfn.MINIFS('Saisie'!$AS$5:$AS$2004,'Saisie'!$C$5:$C$2004,C298,'Saisie'!$D$5:$D$2004,"&lt;&gt;")-4),"")))</f>
        <v/>
      </c>
      <c r="O298" s="60">
        <f>IF(C298="","",COUNTIFS('Saisie'!$C$5:$C$2004,C298,'Saisie'!$AU$5:$AU$2004,1))</f>
        <v/>
      </c>
      <c r="P298" s="60">
        <f>IF(C298="","",COUNTIFS('Saisie'!$C$5:$C$2004,C298,'Saisie'!$AV$5:$AV$2004,1))</f>
        <v/>
      </c>
      <c r="Q298" s="106">
        <f>IF(C298="","",IFERROR(1/(1/_xlfn.MAXIFS('Saisie'!$A$5:$A$2004,'Saisie'!$C$5:$C$2004,C298)),""))</f>
        <v/>
      </c>
      <c r="R298" s="61">
        <f>IF(C298="","",IF(Q298="","",TODAY()-Q298))</f>
        <v/>
      </c>
      <c r="S298" s="60">
        <f>IF(C298="","",IFERROR(INDEX('Saisie'!$R$5:$R$2004,_xlfn.MAXIFS('Saisie'!$AS$5:$AS$2004,'Saisie'!$C$5:$C$2004,C298,'Saisie'!$R$5:$R$2004,"&lt;&gt;")-4),""))</f>
        <v/>
      </c>
      <c r="T298" s="60">
        <f>IF(C298="","",IFERROR(INDEX('Saisie'!$S$5:$S$2004,_xlfn.MAXIFS('Saisie'!$AS$5:$AS$2004,'Saisie'!$C$5:$C$2004,C298,'Saisie'!$S$5:$S$2004,"&lt;&gt;")-4),""))</f>
        <v/>
      </c>
      <c r="U298" s="60">
        <f>IF(C298="","",IFERROR(INDEX('Saisie'!$T$5:$T$2004,_xlfn.MAXIFS('Saisie'!$AS$5:$AS$2004,'Saisie'!$C$5:$C$2004,C298,'Saisie'!$T$5:$T$2004,"&lt;&gt;")-4),""))</f>
        <v/>
      </c>
      <c r="V298" s="60">
        <f>IF(C298="","",IFERROR(INDEX('Saisie'!$V$5:$V$2004,_xlfn.MAXIFS('Saisie'!$AS$5:$AS$2004,'Saisie'!$C$5:$C$2004,C298,'Saisie'!$V$5:$V$2004,"&lt;&gt;")-4),""))</f>
        <v/>
      </c>
      <c r="W298" s="60">
        <f>IF(C298="","",IFERROR(INDEX('Saisie'!$Z$5:$Z$2004,_xlfn.MAXIFS('Saisie'!$AS$5:$AS$2004,'Saisie'!$C$5:$C$2004,C298,'Saisie'!$Z$5:$Z$2004,"&lt;&gt;")-4),""))</f>
        <v/>
      </c>
      <c r="X298" s="60">
        <f>IF(C298="","",IFERROR(INDEX('Saisie'!$AA$5:$AA$2004,_xlfn.MAXIFS('Saisie'!$AS$5:$AS$2004,'Saisie'!$C$5:$C$2004,C298,'Saisie'!$AA$5:$AA$2004,"&lt;&gt;")-4),""))</f>
        <v/>
      </c>
      <c r="Y298" s="60">
        <f>IF(C298="","",IFERROR(INDEX('Saisie'!$AB$5:$AB$2004,_xlfn.MAXIFS('Saisie'!$AS$5:$AS$2004,'Saisie'!$C$5:$C$2004,C298,'Saisie'!$AB$5:$AB$2004,"&lt;&gt;")-4),""))</f>
        <v/>
      </c>
      <c r="Z298" s="60">
        <f>IF(C298="","",IFERROR(INDEX('Saisie'!$AC$5:$AC$2004,_xlfn.MAXIFS('Saisie'!$AS$5:$AS$2004,'Saisie'!$C$5:$C$2004,C298,'Saisie'!$AC$5:$AC$2004,"&lt;&gt;")-4),""))</f>
        <v/>
      </c>
      <c r="AA298" s="106">
        <f>IF(C298="","",IFERROR(INDEX('Saisie'!$AD$5:$AD$2004,_xlfn.MAXIFS('Saisie'!$AS$5:$AS$2004,'Saisie'!$C$5:$C$2004,C298,'Saisie'!$AD$5:$AD$2004,"&lt;&gt;")-4),""))</f>
        <v/>
      </c>
      <c r="AB298" s="60">
        <f>IF(C298="","",IFERROR(INDEX('Saisie'!$AE$5:$AE$2004,_xlfn.MAXIFS('Saisie'!$AS$5:$AS$2004,'Saisie'!$C$5:$C$2004,C298,'Saisie'!$AE$5:$AE$2004,"&lt;&gt;")-4),""))</f>
        <v/>
      </c>
      <c r="AC298" s="60">
        <f>IF(C298="","",IFERROR(INDEX('Saisie'!$AF$5:$AF$2004,_xlfn.MAXIFS('Saisie'!$AS$5:$AS$2004,'Saisie'!$C$5:$C$2004,C298,'Saisie'!$AF$5:$AF$2004,"&lt;&gt;")-4),""))</f>
        <v/>
      </c>
      <c r="AD298" s="108">
        <f>IF(C298="","",IFERROR(INDEX('Saisie'!$AG$5:$AG$2004,_xlfn.MAXIFS('Saisie'!$AS$5:$AS$2004,'Saisie'!$C$5:$C$2004,C298,'Saisie'!$AG$5:$AG$2004,"&lt;&gt;")-4),""))</f>
        <v/>
      </c>
      <c r="AE298" s="60">
        <f>IF(C298="","",IFERROR(INDEX('Saisie'!$AH$5:$AH$2004,_xlfn.MAXIFS('Saisie'!$AS$5:$AS$2004,'Saisie'!$C$5:$C$2004,C298,'Saisie'!$AH$5:$AH$2004,"&lt;&gt;")-4),""))</f>
        <v/>
      </c>
      <c r="AF298" s="60">
        <f>IF(C298="","",IFERROR(INDEX('Saisie'!$AI$5:$AI$2004,_xlfn.MAXIFS('Saisie'!$AS$5:$AS$2004,'Saisie'!$C$5:$C$2004,C298,'Saisie'!$AI$5:$AI$2004,"&lt;&gt;")-4),""))</f>
        <v/>
      </c>
      <c r="AG298" s="60">
        <f>IF(C298="","",IFERROR(INDEX('Saisie'!$AJ$5:$AJ$2004,_xlfn.MAXIFS('Saisie'!$AS$5:$AS$2004,'Saisie'!$C$5:$C$2004,C298,'Saisie'!$AJ$5:$AJ$2004,"&lt;&gt;")-4),""))</f>
        <v/>
      </c>
      <c r="AH298" s="60">
        <f>IF(C298="","",IFERROR(INDEX('Saisie'!$AK$5:$AK$2004,_xlfn.MAXIFS('Saisie'!$AS$5:$AS$2004,'Saisie'!$C$5:$C$2004,C298,'Saisie'!$AK$5:$AK$2004,"&lt;&gt;")-4),""))</f>
        <v/>
      </c>
      <c r="AI298" s="60">
        <f>IF(C298="","",IFERROR(INDEX('Saisie'!$AN$5:$AN$2004,_xlfn.MAXIFS('Saisie'!$AS$5:$AS$2004,'Saisie'!$C$5:$C$2004,C298,'Saisie'!$AN$5:$AN$2004,"&lt;&gt;")-4),""))</f>
        <v/>
      </c>
      <c r="AJ298" s="60">
        <f>IF(C298="","",IFERROR(INDEX('Saisie'!$AO$5:$AO$2004,_xlfn.MAXIFS('Saisie'!$AS$5:$AS$2004,'Saisie'!$C$5:$C$2004,C298,'Saisie'!$AO$5:$AO$2004,"&lt;&gt;")-4),""))</f>
        <v/>
      </c>
      <c r="AK298" s="60">
        <f>IF(C298="","",IFERROR(INDEX('Saisie'!$AP$5:$AP$2004,_xlfn.MAXIFS('Saisie'!$AS$5:$AS$2004,'Saisie'!$C$5:$C$2004,C298,'Saisie'!$AP$5:$AP$2004,"&lt;&gt;")-4),""))</f>
        <v/>
      </c>
      <c r="AL298" s="60">
        <f>IF(C298="","",IFERROR(INDEX('Saisie'!$AQ$5:$AQ$2004,_xlfn.MAXIFS('Saisie'!$AS$5:$AS$2004,'Saisie'!$C$5:$C$2004,C298,'Saisie'!$AQ$5:$AQ$2004,"&lt;&gt;")-4),""))</f>
        <v/>
      </c>
      <c r="AM298" s="60">
        <f>IF(C298="","",((AI298="Oui")+(AJ298="Oui")+(AK298="Oui")+OR(AL298="Immédiat",AL298="&lt; 1 mois"))&amp;"/4")</f>
        <v/>
      </c>
      <c r="AN298" s="60">
        <f>IF(C298="","",IFERROR(INDEX('Saisie'!$AL$5:$AL$2004,_xlfn.MAXIFS('Saisie'!$AS$5:$AS$2004,'Saisie'!$C$5:$C$2004,C298,'Saisie'!$AL$5:$AL$2004,"&lt;&gt;")-4),""))</f>
        <v/>
      </c>
      <c r="AO298" s="62">
        <f>IF(C298="","",IF(IFERROR(INDEX('Saisie'!$AM$5:$AM$2004,_xlfn.MAXIFS('Saisie'!$AS$5:$AS$2004,'Saisie'!$C$5:$C$2004,C298,'Saisie'!$AM$5:$AM$2004,"&lt;&gt;")-4),"")&lt;&gt;"",IFERROR(INDEX('Saisie'!$AM$5:$AM$2004,_xlfn.MAXIFS('Saisie'!$AS$5:$AS$2004,'Saisie'!$C$5:$C$2004,C298,'Saisie'!$AM$5:$AM$2004,"&lt;&gt;")-4),""),IFERROR(INDEX('Paramètres'!$S$6:$S$15,MATCH(AN298,'Paramètres'!$Q$6:$Q$15,0)),"")))</f>
        <v/>
      </c>
      <c r="AP298" s="62">
        <f>IF(C298="","",IFERROR(INDEX('Saisie'!$AW$5:$AW$2004,_xlfn.MAXIFS('Saisie'!$AS$5:$AS$2004,'Saisie'!$C$5:$C$2004,C298,'Saisie'!$E$5:$E$2004,"Proposition envoyée")-4),""))</f>
        <v/>
      </c>
      <c r="AQ298" s="106">
        <f>IF(C298="","",IFERROR(1/(1/_xlfn.MAXIFS('Saisie'!$A$5:$A$2004,'Saisie'!$C$5:$C$2004,C298,'Saisie'!$E$5:$E$2004,"Proposition envoyée")),""))</f>
        <v/>
      </c>
      <c r="AR298" s="106">
        <f>IF(C298="","",IF(AQ298="","",AQ298+'Paramètres'!$B$26))</f>
        <v/>
      </c>
      <c r="AS298" s="62">
        <f>IF(OR(C298="",D298="Gagné",D298="Perdu"),0,N(AP298)*IFERROR(INDEX('Paramètres'!$G$6:$G$13,MATCH(D298,'Paramètres'!$F$6:$F$13,0)),0))</f>
        <v/>
      </c>
      <c r="AT298" s="106">
        <f>IF(C298="","",IFERROR(1/(1/_xlfn.MINIFS('Saisie'!$A$5:$A$2004,'Saisie'!$C$5:$C$2004,C298,'Saisie'!$E$5:$E$2004,"Signature")),""))</f>
        <v/>
      </c>
      <c r="AU298" s="60">
        <f>IF(C298="","",IF(OR(AT298="",B298=""),"",AT298-B298))</f>
        <v/>
      </c>
      <c r="AV298" s="60">
        <f>IF(C298="","",IFERROR(INDEX('Saisie'!$L$5:$L$2004,_xlfn.MAXIFS('Saisie'!$AS$5:$AS$2004,'Saisie'!$C$5:$C$2004,C298,'Saisie'!$L$5:$L$2004,"&lt;&gt;")-4),""))</f>
        <v/>
      </c>
      <c r="AW298" s="106">
        <f>IF(C298="","",IF(D298&lt;&gt;"Perdu","",IFERROR(1/(1/_xlfn.MAXIFS('Saisie'!$A$5:$A$2004,'Saisie'!$C$5:$C$2004,C298,'Saisie'!$E$5:$E$2004,"Perdu")),"")))</f>
        <v/>
      </c>
      <c r="AX298" s="106">
        <f>IF(C298="","",IF(AW298="","",AW298+'Paramètres'!$B$28))</f>
        <v/>
      </c>
      <c r="AY298" s="60">
        <f>IF(C298="","",SUMIFS('Saisie'!$H$5:$H$2004,'Saisie'!$C$5:$C$2004,C298))</f>
        <v/>
      </c>
      <c r="AZ298" s="60">
        <f>IF(C298="","",IFERROR(INDEX('Paramètres'!$W$6:$W$20,MATCH(S298,'Paramètres'!$V$6:$V$20,0))&amp;"",""))</f>
        <v/>
      </c>
      <c r="BA298" s="60">
        <f>IF(C298="","",MAX(1,_xlfn.MAXIFS('Saisie'!$AT$5:$AT$2004,'Saisie'!$C$5:$C$2004,C298)))</f>
        <v/>
      </c>
      <c r="BB298" s="60">
        <f>IF(C298="","",IFERROR(INDEX('Saisie'!$X$5:$X$2004,_xlfn.MAXIFS('Saisie'!$AS$5:$AS$2004,'Saisie'!$C$5:$C$2004,C298,'Saisie'!$X$5:$X$2004,"&lt;&gt;")-4),""))</f>
        <v/>
      </c>
      <c r="BC298" s="60">
        <f>IF(C298="","",IFERROR(INDEX('Saisie'!$Y$5:$Y$2004,_xlfn.MAXIFS('Saisie'!$AS$5:$AS$2004,'Saisie'!$C$5:$C$2004,C298,'Saisie'!$Y$5:$Y$2004,"&lt;&gt;")-4),""))</f>
        <v/>
      </c>
      <c r="BD298" s="106">
        <f>IF(C298="","",IFERROR(1/(1/_xlfn.MINIFS('Saisie'!$A$5:$A$2004,'Saisie'!$C$5:$C$2004,C298,'Saisie'!$AT$5:$AT$2004,"&gt;=2")),""))</f>
        <v/>
      </c>
      <c r="BE298" s="106">
        <f>IF(C298="","",IFERROR(1/(1/_xlfn.MINIFS('Saisie'!$A$5:$A$2004,'Saisie'!$C$5:$C$2004,C298,'Saisie'!$AT$5:$AT$2004,"&gt;=3")),""))</f>
        <v/>
      </c>
      <c r="BF298" s="106">
        <f>IF(C298="","",IFERROR(1/(1/_xlfn.MINIFS('Saisie'!$A$5:$A$2004,'Saisie'!$C$5:$C$2004,C298,'Saisie'!$AT$5:$AT$2004,"&gt;=4")),""))</f>
        <v/>
      </c>
      <c r="BG298" s="106">
        <f>IF(C298="","",IFERROR(1/(1/_xlfn.MINIFS('Saisie'!$A$5:$A$2004,'Saisie'!$C$5:$C$2004,C298,'Saisie'!$AT$5:$AT$2004,"&gt;=5")),""))</f>
        <v/>
      </c>
      <c r="BH298" s="106">
        <f>IF(C298="","",IFERROR(1/(1/_xlfn.MINIFS('Saisie'!$A$5:$A$2004,'Saisie'!$C$5:$C$2004,C298,'Saisie'!$AT$5:$AT$2004,"&gt;=6")),""))</f>
        <v/>
      </c>
      <c r="BI298" s="106">
        <f>IF(C298="","",IFERROR(1/(1/_xlfn.MINIFS('Saisie'!$A$5:$A$2004,'Saisie'!$C$5:$C$2004,C298,'Saisie'!$AT$5:$AT$2004,"&gt;=7")),""))</f>
        <v/>
      </c>
      <c r="BJ298" s="60">
        <f>IF(OR(BD298="",B298=""),"",BD298-B298)</f>
        <v/>
      </c>
      <c r="BK298" s="60">
        <f>IF(OR(BE298="",BD298=""),"",BE298-BD298)</f>
        <v/>
      </c>
      <c r="BL298" s="60">
        <f>IF(OR(BF298="",BE298=""),"",BF298-BE298)</f>
        <v/>
      </c>
      <c r="BM298" s="60">
        <f>IF(OR(BG298="",BF298=""),"",BG298-BF298)</f>
        <v/>
      </c>
      <c r="BN298" s="60">
        <f>IF(OR(BH298="",BG298=""),"",BH298-BG298)</f>
        <v/>
      </c>
      <c r="BO298" s="60">
        <f>IF(OR(BI298="",BH298=""),"",BI298-BH298)</f>
        <v/>
      </c>
      <c r="BP298" s="60">
        <f>IF(C298="","",_xlfn.MAXIFS('Saisie'!$AS$5:$AS$2004,'Saisie'!$C$5:$C$2004,C298,'Saisie'!$J$5:$J$2004,"&lt;&gt;"))</f>
        <v/>
      </c>
      <c r="BQ298" s="60">
        <f>IF(C298="","",_xlfn.MAXIFS('Saisie'!$AS$5:$AS$2004,'Saisie'!$C$5:$C$2004,C298))</f>
        <v/>
      </c>
      <c r="BR298" s="60">
        <f>IF(C298="","",_xlfn.MAXIFS('Saisie'!$AS$5:$AS$2004,'Saisie'!$C$5:$C$2004,C298,'Saisie'!$E$5:$E$2004,"Perdu"))</f>
        <v/>
      </c>
      <c r="BS298" s="60">
        <f>IF(C298="","",_xlfn.MAXIFS('Saisie'!$AS$5:$AS$2004,'Saisie'!$C$5:$C$2004,C298,'Saisie'!$AT$5:$AT$2004,"&gt;0"))</f>
        <v/>
      </c>
      <c r="BT298" s="109">
        <f>IF(AND(C298&lt;&gt;"",OR(D298="Nouveau",D298="Contacté",D298="Qualifié"),OR(G298="",N(G298)&lt;=TODAY()),NOT(AND(O298&gt;='Paramètres'!$B$21,P298=0))),E298+294/10000,"")</f>
        <v/>
      </c>
      <c r="BU298" s="60">
        <f>IF(AND(G298&lt;&gt;"",N(G298)&lt;=TODAY()),MAX($BU$4:BU297)+1,"")</f>
        <v/>
      </c>
      <c r="BV298" s="60">
        <f>IF(AND(F298&lt;&gt;"",F298&lt;&gt;"Relance en retard"),MAX($BV$4:BV297)+1,"")</f>
        <v/>
      </c>
      <c r="BW298" s="60">
        <f>IF(C298="","",IF(AND(B298&gt;='Tableau de bord'!$R$4,B298&lt;='Tableau de bord'!$S$4,OR('Tableau de bord'!$G$4="Tous",N298='Tableau de bord'!$G$4)),1,0))</f>
        <v/>
      </c>
      <c r="BX298" s="60">
        <f>IF(AND(C298&lt;&gt;"",N(BA298)=7),MAX($BX$4:BX297)+1,"")</f>
        <v/>
      </c>
    </row>
    <row r="299">
      <c r="A299" s="60">
        <f>IF(C299="","","P-"&amp;TEXT(295,"000"))</f>
        <v/>
      </c>
      <c r="B299" s="106">
        <f>IF(C299="","",IFERROR(1/(1/_xlfn.MINIFS('Saisie'!$A$5:$A$2004,'Saisie'!$C$5:$C$2004,C299)),""))</f>
        <v/>
      </c>
      <c r="C299" s="60">
        <f>IFERROR(INDEX('Saisie'!$C$5:$C$2004,MATCH(295,'Saisie'!$AX$5:$AX$2004,0)),"")</f>
        <v/>
      </c>
      <c r="D299" s="60">
        <f>IF(C299="","",IF(AND(BR299&gt;0,BR299&gt;BS299,BA299&lt;7),"Perdu",INDEX('Paramètres'!$F$6:$F$13,BA299)))</f>
        <v/>
      </c>
      <c r="E299" s="61">
        <f>IF(C299="","",MIN(100,(Z299="Oui")*'Paramètres'!$B$38+(AB299="Régulière")*'Paramètres'!$B$39+IF(AND(N(AA299)&gt;0,TODAY()-N(AA299)&lt;=30),'Paramètres'!$B$40,0)+(W299="")*'Paramètres'!$B$41+(AC299="Absente")*'Paramètres'!$B$42+(AC299="Faible")*'Paramètres'!$B$43+IF(AND(N(AD299)&gt;0,N(AD299)&lt;4),'Paramètres'!$B$44,0)+(AF299="Moyenne")*'Paramètres'!$B$45+(AF299="Grande")*'Paramètres'!$B$46+(Y299&lt;&gt;"")*'Paramètres'!$B$47))</f>
        <v/>
      </c>
      <c r="F299" s="60">
        <f>IF(C299="","",IF(D299="Gagné","",IF(D299="Perdu",IF(AND(AX299&lt;&gt;"",AX299&lt;=TODAY()),"À recontacter (perdu)",""),IF(AND(O299&gt;='Paramètres'!$B$21,P299=0),"Stop : "&amp;'Paramètres'!$B$21&amp;" tentatives sans réponse",IF(AND(D299="Proposition",AR299&lt;&gt;"",TODAY()&gt;N(AR299)),"Proposition expirée",IF(AND(D299="Proposition",N(R299)&gt;='Paramètres'!$B$25),"Proposition sans réponse",IF(AND(G299&lt;&gt;"",N(G299)&lt;TODAY()),"Relance en retard",IF(N(R299)&gt;='Paramètres'!$B$24,"Sans action depuis "&amp;R299&amp;" j",""))))))))</f>
        <v/>
      </c>
      <c r="G299" s="106">
        <f>IF(OR(C299="",D299="Gagné",D299="Perdu"),"",IF(AND(BP299&gt;0,BP299=BQ299),INDEX('Saisie'!$J$5:$J$2004,BP299-4),IF(OR(O299=0,AND(O299&gt;='Paramètres'!$B$21,P299=0)),"",Q299+IF(O299&lt;=1,'Paramètres'!$B$18,IF(O299=2,'Paramètres'!$B$19,'Paramètres'!$B$20)))))</f>
        <v/>
      </c>
      <c r="H299" s="107">
        <f>IF(OR(G299="",BP299&lt;&gt;BQ299),"",IF(INDEX('Saisie'!$K$5:$K$2004,BP299-4)="","",INDEX('Saisie'!$K$5:$K$2004,BP299-4)))</f>
        <v/>
      </c>
      <c r="I299" s="60">
        <f>IF(C299="","",IF(OR(D299="Gagné",D299="Perdu"),"",IFERROR(INDEX('Saisie'!$I$5:$I$2004,_xlfn.MAXIFS('Saisie'!$AS$5:$AS$2004,'Saisie'!$C$5:$C$2004,C299,'Saisie'!$I$5:$I$2004,"&lt;&gt;")-4),"")))</f>
        <v/>
      </c>
      <c r="J299" s="60">
        <f>IF(C299="","",IFERROR(INDEX('Saisie'!$U$5:$U$2004,_xlfn.MAXIFS('Saisie'!$AS$5:$AS$2004,'Saisie'!$C$5:$C$2004,C299,'Saisie'!$U$5:$U$2004,"&lt;&gt;")-4),""))</f>
        <v/>
      </c>
      <c r="K299" s="60">
        <f>IF(C299="","",IFERROR(INDEX('Saisie'!$W$5:$W$2004,_xlfn.MAXIFS('Saisie'!$AS$5:$AS$2004,'Saisie'!$C$5:$C$2004,C299,'Saisie'!$W$5:$W$2004,"&lt;&gt;")-4),""))</f>
        <v/>
      </c>
      <c r="L299" s="60">
        <f>IF(IF(BB299&lt;&gt;"",BB299,K299)="","",HYPERLINK("https://wa.me/"&amp;IF(LEFT(SUBSTITUTE(SUBSTITUTE(SUBSTITUTE(IF(BB299&lt;&gt;"",BB299,K299)," ",""),".",""),"+",""),1)="0",'Paramètres'!$B$35&amp;MID(SUBSTITUTE(SUBSTITUTE(SUBSTITUTE(IF(BB299&lt;&gt;"",BB299,K299)," ",""),".",""),"+",""),2,20),SUBSTITUTE(SUBSTITUTE(SUBSTITUTE(IF(BB299&lt;&gt;"",BB299,K299)," ",""),".",""),"+","")),"WhatsApp"))</f>
        <v/>
      </c>
      <c r="M299" s="60">
        <f>IF(BC299="","",HYPERLINK(IF(LEFT(BC299,4)="http",BC299,"https://www.instagram.com/"&amp;SUBSTITUTE(SUBSTITUTE(BC299,"@","")," ","")),BC299))</f>
        <v/>
      </c>
      <c r="N299" s="60">
        <f>IF(C299="","",IFERROR(INDEX('Saisie'!$D$5:$D$2004,_xlfn.MINIFS('Saisie'!$AS$5:$AS$2004,'Saisie'!$C$5:$C$2004,C299,'Saisie'!$AU$5:$AU$2004,1)-4),IFERROR(INDEX('Saisie'!$D$5:$D$2004,_xlfn.MINIFS('Saisie'!$AS$5:$AS$2004,'Saisie'!$C$5:$C$2004,C299,'Saisie'!$D$5:$D$2004,"&lt;&gt;")-4),"")))</f>
        <v/>
      </c>
      <c r="O299" s="60">
        <f>IF(C299="","",COUNTIFS('Saisie'!$C$5:$C$2004,C299,'Saisie'!$AU$5:$AU$2004,1))</f>
        <v/>
      </c>
      <c r="P299" s="60">
        <f>IF(C299="","",COUNTIFS('Saisie'!$C$5:$C$2004,C299,'Saisie'!$AV$5:$AV$2004,1))</f>
        <v/>
      </c>
      <c r="Q299" s="106">
        <f>IF(C299="","",IFERROR(1/(1/_xlfn.MAXIFS('Saisie'!$A$5:$A$2004,'Saisie'!$C$5:$C$2004,C299)),""))</f>
        <v/>
      </c>
      <c r="R299" s="61">
        <f>IF(C299="","",IF(Q299="","",TODAY()-Q299))</f>
        <v/>
      </c>
      <c r="S299" s="60">
        <f>IF(C299="","",IFERROR(INDEX('Saisie'!$R$5:$R$2004,_xlfn.MAXIFS('Saisie'!$AS$5:$AS$2004,'Saisie'!$C$5:$C$2004,C299,'Saisie'!$R$5:$R$2004,"&lt;&gt;")-4),""))</f>
        <v/>
      </c>
      <c r="T299" s="60">
        <f>IF(C299="","",IFERROR(INDEX('Saisie'!$S$5:$S$2004,_xlfn.MAXIFS('Saisie'!$AS$5:$AS$2004,'Saisie'!$C$5:$C$2004,C299,'Saisie'!$S$5:$S$2004,"&lt;&gt;")-4),""))</f>
        <v/>
      </c>
      <c r="U299" s="60">
        <f>IF(C299="","",IFERROR(INDEX('Saisie'!$T$5:$T$2004,_xlfn.MAXIFS('Saisie'!$AS$5:$AS$2004,'Saisie'!$C$5:$C$2004,C299,'Saisie'!$T$5:$T$2004,"&lt;&gt;")-4),""))</f>
        <v/>
      </c>
      <c r="V299" s="60">
        <f>IF(C299="","",IFERROR(INDEX('Saisie'!$V$5:$V$2004,_xlfn.MAXIFS('Saisie'!$AS$5:$AS$2004,'Saisie'!$C$5:$C$2004,C299,'Saisie'!$V$5:$V$2004,"&lt;&gt;")-4),""))</f>
        <v/>
      </c>
      <c r="W299" s="60">
        <f>IF(C299="","",IFERROR(INDEX('Saisie'!$Z$5:$Z$2004,_xlfn.MAXIFS('Saisie'!$AS$5:$AS$2004,'Saisie'!$C$5:$C$2004,C299,'Saisie'!$Z$5:$Z$2004,"&lt;&gt;")-4),""))</f>
        <v/>
      </c>
      <c r="X299" s="60">
        <f>IF(C299="","",IFERROR(INDEX('Saisie'!$AA$5:$AA$2004,_xlfn.MAXIFS('Saisie'!$AS$5:$AS$2004,'Saisie'!$C$5:$C$2004,C299,'Saisie'!$AA$5:$AA$2004,"&lt;&gt;")-4),""))</f>
        <v/>
      </c>
      <c r="Y299" s="60">
        <f>IF(C299="","",IFERROR(INDEX('Saisie'!$AB$5:$AB$2004,_xlfn.MAXIFS('Saisie'!$AS$5:$AS$2004,'Saisie'!$C$5:$C$2004,C299,'Saisie'!$AB$5:$AB$2004,"&lt;&gt;")-4),""))</f>
        <v/>
      </c>
      <c r="Z299" s="60">
        <f>IF(C299="","",IFERROR(INDEX('Saisie'!$AC$5:$AC$2004,_xlfn.MAXIFS('Saisie'!$AS$5:$AS$2004,'Saisie'!$C$5:$C$2004,C299,'Saisie'!$AC$5:$AC$2004,"&lt;&gt;")-4),""))</f>
        <v/>
      </c>
      <c r="AA299" s="106">
        <f>IF(C299="","",IFERROR(INDEX('Saisie'!$AD$5:$AD$2004,_xlfn.MAXIFS('Saisie'!$AS$5:$AS$2004,'Saisie'!$C$5:$C$2004,C299,'Saisie'!$AD$5:$AD$2004,"&lt;&gt;")-4),""))</f>
        <v/>
      </c>
      <c r="AB299" s="60">
        <f>IF(C299="","",IFERROR(INDEX('Saisie'!$AE$5:$AE$2004,_xlfn.MAXIFS('Saisie'!$AS$5:$AS$2004,'Saisie'!$C$5:$C$2004,C299,'Saisie'!$AE$5:$AE$2004,"&lt;&gt;")-4),""))</f>
        <v/>
      </c>
      <c r="AC299" s="60">
        <f>IF(C299="","",IFERROR(INDEX('Saisie'!$AF$5:$AF$2004,_xlfn.MAXIFS('Saisie'!$AS$5:$AS$2004,'Saisie'!$C$5:$C$2004,C299,'Saisie'!$AF$5:$AF$2004,"&lt;&gt;")-4),""))</f>
        <v/>
      </c>
      <c r="AD299" s="108">
        <f>IF(C299="","",IFERROR(INDEX('Saisie'!$AG$5:$AG$2004,_xlfn.MAXIFS('Saisie'!$AS$5:$AS$2004,'Saisie'!$C$5:$C$2004,C299,'Saisie'!$AG$5:$AG$2004,"&lt;&gt;")-4),""))</f>
        <v/>
      </c>
      <c r="AE299" s="60">
        <f>IF(C299="","",IFERROR(INDEX('Saisie'!$AH$5:$AH$2004,_xlfn.MAXIFS('Saisie'!$AS$5:$AS$2004,'Saisie'!$C$5:$C$2004,C299,'Saisie'!$AH$5:$AH$2004,"&lt;&gt;")-4),""))</f>
        <v/>
      </c>
      <c r="AF299" s="60">
        <f>IF(C299="","",IFERROR(INDEX('Saisie'!$AI$5:$AI$2004,_xlfn.MAXIFS('Saisie'!$AS$5:$AS$2004,'Saisie'!$C$5:$C$2004,C299,'Saisie'!$AI$5:$AI$2004,"&lt;&gt;")-4),""))</f>
        <v/>
      </c>
      <c r="AG299" s="60">
        <f>IF(C299="","",IFERROR(INDEX('Saisie'!$AJ$5:$AJ$2004,_xlfn.MAXIFS('Saisie'!$AS$5:$AS$2004,'Saisie'!$C$5:$C$2004,C299,'Saisie'!$AJ$5:$AJ$2004,"&lt;&gt;")-4),""))</f>
        <v/>
      </c>
      <c r="AH299" s="60">
        <f>IF(C299="","",IFERROR(INDEX('Saisie'!$AK$5:$AK$2004,_xlfn.MAXIFS('Saisie'!$AS$5:$AS$2004,'Saisie'!$C$5:$C$2004,C299,'Saisie'!$AK$5:$AK$2004,"&lt;&gt;")-4),""))</f>
        <v/>
      </c>
      <c r="AI299" s="60">
        <f>IF(C299="","",IFERROR(INDEX('Saisie'!$AN$5:$AN$2004,_xlfn.MAXIFS('Saisie'!$AS$5:$AS$2004,'Saisie'!$C$5:$C$2004,C299,'Saisie'!$AN$5:$AN$2004,"&lt;&gt;")-4),""))</f>
        <v/>
      </c>
      <c r="AJ299" s="60">
        <f>IF(C299="","",IFERROR(INDEX('Saisie'!$AO$5:$AO$2004,_xlfn.MAXIFS('Saisie'!$AS$5:$AS$2004,'Saisie'!$C$5:$C$2004,C299,'Saisie'!$AO$5:$AO$2004,"&lt;&gt;")-4),""))</f>
        <v/>
      </c>
      <c r="AK299" s="60">
        <f>IF(C299="","",IFERROR(INDEX('Saisie'!$AP$5:$AP$2004,_xlfn.MAXIFS('Saisie'!$AS$5:$AS$2004,'Saisie'!$C$5:$C$2004,C299,'Saisie'!$AP$5:$AP$2004,"&lt;&gt;")-4),""))</f>
        <v/>
      </c>
      <c r="AL299" s="60">
        <f>IF(C299="","",IFERROR(INDEX('Saisie'!$AQ$5:$AQ$2004,_xlfn.MAXIFS('Saisie'!$AS$5:$AS$2004,'Saisie'!$C$5:$C$2004,C299,'Saisie'!$AQ$5:$AQ$2004,"&lt;&gt;")-4),""))</f>
        <v/>
      </c>
      <c r="AM299" s="60">
        <f>IF(C299="","",((AI299="Oui")+(AJ299="Oui")+(AK299="Oui")+OR(AL299="Immédiat",AL299="&lt; 1 mois"))&amp;"/4")</f>
        <v/>
      </c>
      <c r="AN299" s="60">
        <f>IF(C299="","",IFERROR(INDEX('Saisie'!$AL$5:$AL$2004,_xlfn.MAXIFS('Saisie'!$AS$5:$AS$2004,'Saisie'!$C$5:$C$2004,C299,'Saisie'!$AL$5:$AL$2004,"&lt;&gt;")-4),""))</f>
        <v/>
      </c>
      <c r="AO299" s="62">
        <f>IF(C299="","",IF(IFERROR(INDEX('Saisie'!$AM$5:$AM$2004,_xlfn.MAXIFS('Saisie'!$AS$5:$AS$2004,'Saisie'!$C$5:$C$2004,C299,'Saisie'!$AM$5:$AM$2004,"&lt;&gt;")-4),"")&lt;&gt;"",IFERROR(INDEX('Saisie'!$AM$5:$AM$2004,_xlfn.MAXIFS('Saisie'!$AS$5:$AS$2004,'Saisie'!$C$5:$C$2004,C299,'Saisie'!$AM$5:$AM$2004,"&lt;&gt;")-4),""),IFERROR(INDEX('Paramètres'!$S$6:$S$15,MATCH(AN299,'Paramètres'!$Q$6:$Q$15,0)),"")))</f>
        <v/>
      </c>
      <c r="AP299" s="62">
        <f>IF(C299="","",IFERROR(INDEX('Saisie'!$AW$5:$AW$2004,_xlfn.MAXIFS('Saisie'!$AS$5:$AS$2004,'Saisie'!$C$5:$C$2004,C299,'Saisie'!$E$5:$E$2004,"Proposition envoyée")-4),""))</f>
        <v/>
      </c>
      <c r="AQ299" s="106">
        <f>IF(C299="","",IFERROR(1/(1/_xlfn.MAXIFS('Saisie'!$A$5:$A$2004,'Saisie'!$C$5:$C$2004,C299,'Saisie'!$E$5:$E$2004,"Proposition envoyée")),""))</f>
        <v/>
      </c>
      <c r="AR299" s="106">
        <f>IF(C299="","",IF(AQ299="","",AQ299+'Paramètres'!$B$26))</f>
        <v/>
      </c>
      <c r="AS299" s="62">
        <f>IF(OR(C299="",D299="Gagné",D299="Perdu"),0,N(AP299)*IFERROR(INDEX('Paramètres'!$G$6:$G$13,MATCH(D299,'Paramètres'!$F$6:$F$13,0)),0))</f>
        <v/>
      </c>
      <c r="AT299" s="106">
        <f>IF(C299="","",IFERROR(1/(1/_xlfn.MINIFS('Saisie'!$A$5:$A$2004,'Saisie'!$C$5:$C$2004,C299,'Saisie'!$E$5:$E$2004,"Signature")),""))</f>
        <v/>
      </c>
      <c r="AU299" s="60">
        <f>IF(C299="","",IF(OR(AT299="",B299=""),"",AT299-B299))</f>
        <v/>
      </c>
      <c r="AV299" s="60">
        <f>IF(C299="","",IFERROR(INDEX('Saisie'!$L$5:$L$2004,_xlfn.MAXIFS('Saisie'!$AS$5:$AS$2004,'Saisie'!$C$5:$C$2004,C299,'Saisie'!$L$5:$L$2004,"&lt;&gt;")-4),""))</f>
        <v/>
      </c>
      <c r="AW299" s="106">
        <f>IF(C299="","",IF(D299&lt;&gt;"Perdu","",IFERROR(1/(1/_xlfn.MAXIFS('Saisie'!$A$5:$A$2004,'Saisie'!$C$5:$C$2004,C299,'Saisie'!$E$5:$E$2004,"Perdu")),"")))</f>
        <v/>
      </c>
      <c r="AX299" s="106">
        <f>IF(C299="","",IF(AW299="","",AW299+'Paramètres'!$B$28))</f>
        <v/>
      </c>
      <c r="AY299" s="60">
        <f>IF(C299="","",SUMIFS('Saisie'!$H$5:$H$2004,'Saisie'!$C$5:$C$2004,C299))</f>
        <v/>
      </c>
      <c r="AZ299" s="60">
        <f>IF(C299="","",IFERROR(INDEX('Paramètres'!$W$6:$W$20,MATCH(S299,'Paramètres'!$V$6:$V$20,0))&amp;"",""))</f>
        <v/>
      </c>
      <c r="BA299" s="60">
        <f>IF(C299="","",MAX(1,_xlfn.MAXIFS('Saisie'!$AT$5:$AT$2004,'Saisie'!$C$5:$C$2004,C299)))</f>
        <v/>
      </c>
      <c r="BB299" s="60">
        <f>IF(C299="","",IFERROR(INDEX('Saisie'!$X$5:$X$2004,_xlfn.MAXIFS('Saisie'!$AS$5:$AS$2004,'Saisie'!$C$5:$C$2004,C299,'Saisie'!$X$5:$X$2004,"&lt;&gt;")-4),""))</f>
        <v/>
      </c>
      <c r="BC299" s="60">
        <f>IF(C299="","",IFERROR(INDEX('Saisie'!$Y$5:$Y$2004,_xlfn.MAXIFS('Saisie'!$AS$5:$AS$2004,'Saisie'!$C$5:$C$2004,C299,'Saisie'!$Y$5:$Y$2004,"&lt;&gt;")-4),""))</f>
        <v/>
      </c>
      <c r="BD299" s="106">
        <f>IF(C299="","",IFERROR(1/(1/_xlfn.MINIFS('Saisie'!$A$5:$A$2004,'Saisie'!$C$5:$C$2004,C299,'Saisie'!$AT$5:$AT$2004,"&gt;=2")),""))</f>
        <v/>
      </c>
      <c r="BE299" s="106">
        <f>IF(C299="","",IFERROR(1/(1/_xlfn.MINIFS('Saisie'!$A$5:$A$2004,'Saisie'!$C$5:$C$2004,C299,'Saisie'!$AT$5:$AT$2004,"&gt;=3")),""))</f>
        <v/>
      </c>
      <c r="BF299" s="106">
        <f>IF(C299="","",IFERROR(1/(1/_xlfn.MINIFS('Saisie'!$A$5:$A$2004,'Saisie'!$C$5:$C$2004,C299,'Saisie'!$AT$5:$AT$2004,"&gt;=4")),""))</f>
        <v/>
      </c>
      <c r="BG299" s="106">
        <f>IF(C299="","",IFERROR(1/(1/_xlfn.MINIFS('Saisie'!$A$5:$A$2004,'Saisie'!$C$5:$C$2004,C299,'Saisie'!$AT$5:$AT$2004,"&gt;=5")),""))</f>
        <v/>
      </c>
      <c r="BH299" s="106">
        <f>IF(C299="","",IFERROR(1/(1/_xlfn.MINIFS('Saisie'!$A$5:$A$2004,'Saisie'!$C$5:$C$2004,C299,'Saisie'!$AT$5:$AT$2004,"&gt;=6")),""))</f>
        <v/>
      </c>
      <c r="BI299" s="106">
        <f>IF(C299="","",IFERROR(1/(1/_xlfn.MINIFS('Saisie'!$A$5:$A$2004,'Saisie'!$C$5:$C$2004,C299,'Saisie'!$AT$5:$AT$2004,"&gt;=7")),""))</f>
        <v/>
      </c>
      <c r="BJ299" s="60">
        <f>IF(OR(BD299="",B299=""),"",BD299-B299)</f>
        <v/>
      </c>
      <c r="BK299" s="60">
        <f>IF(OR(BE299="",BD299=""),"",BE299-BD299)</f>
        <v/>
      </c>
      <c r="BL299" s="60">
        <f>IF(OR(BF299="",BE299=""),"",BF299-BE299)</f>
        <v/>
      </c>
      <c r="BM299" s="60">
        <f>IF(OR(BG299="",BF299=""),"",BG299-BF299)</f>
        <v/>
      </c>
      <c r="BN299" s="60">
        <f>IF(OR(BH299="",BG299=""),"",BH299-BG299)</f>
        <v/>
      </c>
      <c r="BO299" s="60">
        <f>IF(OR(BI299="",BH299=""),"",BI299-BH299)</f>
        <v/>
      </c>
      <c r="BP299" s="60">
        <f>IF(C299="","",_xlfn.MAXIFS('Saisie'!$AS$5:$AS$2004,'Saisie'!$C$5:$C$2004,C299,'Saisie'!$J$5:$J$2004,"&lt;&gt;"))</f>
        <v/>
      </c>
      <c r="BQ299" s="60">
        <f>IF(C299="","",_xlfn.MAXIFS('Saisie'!$AS$5:$AS$2004,'Saisie'!$C$5:$C$2004,C299))</f>
        <v/>
      </c>
      <c r="BR299" s="60">
        <f>IF(C299="","",_xlfn.MAXIFS('Saisie'!$AS$5:$AS$2004,'Saisie'!$C$5:$C$2004,C299,'Saisie'!$E$5:$E$2004,"Perdu"))</f>
        <v/>
      </c>
      <c r="BS299" s="60">
        <f>IF(C299="","",_xlfn.MAXIFS('Saisie'!$AS$5:$AS$2004,'Saisie'!$C$5:$C$2004,C299,'Saisie'!$AT$5:$AT$2004,"&gt;0"))</f>
        <v/>
      </c>
      <c r="BT299" s="109">
        <f>IF(AND(C299&lt;&gt;"",OR(D299="Nouveau",D299="Contacté",D299="Qualifié"),OR(G299="",N(G299)&lt;=TODAY()),NOT(AND(O299&gt;='Paramètres'!$B$21,P299=0))),E299+295/10000,"")</f>
        <v/>
      </c>
      <c r="BU299" s="60">
        <f>IF(AND(G299&lt;&gt;"",N(G299)&lt;=TODAY()),MAX($BU$4:BU298)+1,"")</f>
        <v/>
      </c>
      <c r="BV299" s="60">
        <f>IF(AND(F299&lt;&gt;"",F299&lt;&gt;"Relance en retard"),MAX($BV$4:BV298)+1,"")</f>
        <v/>
      </c>
      <c r="BW299" s="60">
        <f>IF(C299="","",IF(AND(B299&gt;='Tableau de bord'!$R$4,B299&lt;='Tableau de bord'!$S$4,OR('Tableau de bord'!$G$4="Tous",N299='Tableau de bord'!$G$4)),1,0))</f>
        <v/>
      </c>
      <c r="BX299" s="60">
        <f>IF(AND(C299&lt;&gt;"",N(BA299)=7),MAX($BX$4:BX298)+1,"")</f>
        <v/>
      </c>
    </row>
    <row r="300">
      <c r="A300" s="60">
        <f>IF(C300="","","P-"&amp;TEXT(296,"000"))</f>
        <v/>
      </c>
      <c r="B300" s="106">
        <f>IF(C300="","",IFERROR(1/(1/_xlfn.MINIFS('Saisie'!$A$5:$A$2004,'Saisie'!$C$5:$C$2004,C300)),""))</f>
        <v/>
      </c>
      <c r="C300" s="60">
        <f>IFERROR(INDEX('Saisie'!$C$5:$C$2004,MATCH(296,'Saisie'!$AX$5:$AX$2004,0)),"")</f>
        <v/>
      </c>
      <c r="D300" s="60">
        <f>IF(C300="","",IF(AND(BR300&gt;0,BR300&gt;BS300,BA300&lt;7),"Perdu",INDEX('Paramètres'!$F$6:$F$13,BA300)))</f>
        <v/>
      </c>
      <c r="E300" s="61">
        <f>IF(C300="","",MIN(100,(Z300="Oui")*'Paramètres'!$B$38+(AB300="Régulière")*'Paramètres'!$B$39+IF(AND(N(AA300)&gt;0,TODAY()-N(AA300)&lt;=30),'Paramètres'!$B$40,0)+(W300="")*'Paramètres'!$B$41+(AC300="Absente")*'Paramètres'!$B$42+(AC300="Faible")*'Paramètres'!$B$43+IF(AND(N(AD300)&gt;0,N(AD300)&lt;4),'Paramètres'!$B$44,0)+(AF300="Moyenne")*'Paramètres'!$B$45+(AF300="Grande")*'Paramètres'!$B$46+(Y300&lt;&gt;"")*'Paramètres'!$B$47))</f>
        <v/>
      </c>
      <c r="F300" s="60">
        <f>IF(C300="","",IF(D300="Gagné","",IF(D300="Perdu",IF(AND(AX300&lt;&gt;"",AX300&lt;=TODAY()),"À recontacter (perdu)",""),IF(AND(O300&gt;='Paramètres'!$B$21,P300=0),"Stop : "&amp;'Paramètres'!$B$21&amp;" tentatives sans réponse",IF(AND(D300="Proposition",AR300&lt;&gt;"",TODAY()&gt;N(AR300)),"Proposition expirée",IF(AND(D300="Proposition",N(R300)&gt;='Paramètres'!$B$25),"Proposition sans réponse",IF(AND(G300&lt;&gt;"",N(G300)&lt;TODAY()),"Relance en retard",IF(N(R300)&gt;='Paramètres'!$B$24,"Sans action depuis "&amp;R300&amp;" j",""))))))))</f>
        <v/>
      </c>
      <c r="G300" s="106">
        <f>IF(OR(C300="",D300="Gagné",D300="Perdu"),"",IF(AND(BP300&gt;0,BP300=BQ300),INDEX('Saisie'!$J$5:$J$2004,BP300-4),IF(OR(O300=0,AND(O300&gt;='Paramètres'!$B$21,P300=0)),"",Q300+IF(O300&lt;=1,'Paramètres'!$B$18,IF(O300=2,'Paramètres'!$B$19,'Paramètres'!$B$20)))))</f>
        <v/>
      </c>
      <c r="H300" s="107">
        <f>IF(OR(G300="",BP300&lt;&gt;BQ300),"",IF(INDEX('Saisie'!$K$5:$K$2004,BP300-4)="","",INDEX('Saisie'!$K$5:$K$2004,BP300-4)))</f>
        <v/>
      </c>
      <c r="I300" s="60">
        <f>IF(C300="","",IF(OR(D300="Gagné",D300="Perdu"),"",IFERROR(INDEX('Saisie'!$I$5:$I$2004,_xlfn.MAXIFS('Saisie'!$AS$5:$AS$2004,'Saisie'!$C$5:$C$2004,C300,'Saisie'!$I$5:$I$2004,"&lt;&gt;")-4),"")))</f>
        <v/>
      </c>
      <c r="J300" s="60">
        <f>IF(C300="","",IFERROR(INDEX('Saisie'!$U$5:$U$2004,_xlfn.MAXIFS('Saisie'!$AS$5:$AS$2004,'Saisie'!$C$5:$C$2004,C300,'Saisie'!$U$5:$U$2004,"&lt;&gt;")-4),""))</f>
        <v/>
      </c>
      <c r="K300" s="60">
        <f>IF(C300="","",IFERROR(INDEX('Saisie'!$W$5:$W$2004,_xlfn.MAXIFS('Saisie'!$AS$5:$AS$2004,'Saisie'!$C$5:$C$2004,C300,'Saisie'!$W$5:$W$2004,"&lt;&gt;")-4),""))</f>
        <v/>
      </c>
      <c r="L300" s="60">
        <f>IF(IF(BB300&lt;&gt;"",BB300,K300)="","",HYPERLINK("https://wa.me/"&amp;IF(LEFT(SUBSTITUTE(SUBSTITUTE(SUBSTITUTE(IF(BB300&lt;&gt;"",BB300,K300)," ",""),".",""),"+",""),1)="0",'Paramètres'!$B$35&amp;MID(SUBSTITUTE(SUBSTITUTE(SUBSTITUTE(IF(BB300&lt;&gt;"",BB300,K300)," ",""),".",""),"+",""),2,20),SUBSTITUTE(SUBSTITUTE(SUBSTITUTE(IF(BB300&lt;&gt;"",BB300,K300)," ",""),".",""),"+","")),"WhatsApp"))</f>
        <v/>
      </c>
      <c r="M300" s="60">
        <f>IF(BC300="","",HYPERLINK(IF(LEFT(BC300,4)="http",BC300,"https://www.instagram.com/"&amp;SUBSTITUTE(SUBSTITUTE(BC300,"@","")," ","")),BC300))</f>
        <v/>
      </c>
      <c r="N300" s="60">
        <f>IF(C300="","",IFERROR(INDEX('Saisie'!$D$5:$D$2004,_xlfn.MINIFS('Saisie'!$AS$5:$AS$2004,'Saisie'!$C$5:$C$2004,C300,'Saisie'!$AU$5:$AU$2004,1)-4),IFERROR(INDEX('Saisie'!$D$5:$D$2004,_xlfn.MINIFS('Saisie'!$AS$5:$AS$2004,'Saisie'!$C$5:$C$2004,C300,'Saisie'!$D$5:$D$2004,"&lt;&gt;")-4),"")))</f>
        <v/>
      </c>
      <c r="O300" s="60">
        <f>IF(C300="","",COUNTIFS('Saisie'!$C$5:$C$2004,C300,'Saisie'!$AU$5:$AU$2004,1))</f>
        <v/>
      </c>
      <c r="P300" s="60">
        <f>IF(C300="","",COUNTIFS('Saisie'!$C$5:$C$2004,C300,'Saisie'!$AV$5:$AV$2004,1))</f>
        <v/>
      </c>
      <c r="Q300" s="106">
        <f>IF(C300="","",IFERROR(1/(1/_xlfn.MAXIFS('Saisie'!$A$5:$A$2004,'Saisie'!$C$5:$C$2004,C300)),""))</f>
        <v/>
      </c>
      <c r="R300" s="61">
        <f>IF(C300="","",IF(Q300="","",TODAY()-Q300))</f>
        <v/>
      </c>
      <c r="S300" s="60">
        <f>IF(C300="","",IFERROR(INDEX('Saisie'!$R$5:$R$2004,_xlfn.MAXIFS('Saisie'!$AS$5:$AS$2004,'Saisie'!$C$5:$C$2004,C300,'Saisie'!$R$5:$R$2004,"&lt;&gt;")-4),""))</f>
        <v/>
      </c>
      <c r="T300" s="60">
        <f>IF(C300="","",IFERROR(INDEX('Saisie'!$S$5:$S$2004,_xlfn.MAXIFS('Saisie'!$AS$5:$AS$2004,'Saisie'!$C$5:$C$2004,C300,'Saisie'!$S$5:$S$2004,"&lt;&gt;")-4),""))</f>
        <v/>
      </c>
      <c r="U300" s="60">
        <f>IF(C300="","",IFERROR(INDEX('Saisie'!$T$5:$T$2004,_xlfn.MAXIFS('Saisie'!$AS$5:$AS$2004,'Saisie'!$C$5:$C$2004,C300,'Saisie'!$T$5:$T$2004,"&lt;&gt;")-4),""))</f>
        <v/>
      </c>
      <c r="V300" s="60">
        <f>IF(C300="","",IFERROR(INDEX('Saisie'!$V$5:$V$2004,_xlfn.MAXIFS('Saisie'!$AS$5:$AS$2004,'Saisie'!$C$5:$C$2004,C300,'Saisie'!$V$5:$V$2004,"&lt;&gt;")-4),""))</f>
        <v/>
      </c>
      <c r="W300" s="60">
        <f>IF(C300="","",IFERROR(INDEX('Saisie'!$Z$5:$Z$2004,_xlfn.MAXIFS('Saisie'!$AS$5:$AS$2004,'Saisie'!$C$5:$C$2004,C300,'Saisie'!$Z$5:$Z$2004,"&lt;&gt;")-4),""))</f>
        <v/>
      </c>
      <c r="X300" s="60">
        <f>IF(C300="","",IFERROR(INDEX('Saisie'!$AA$5:$AA$2004,_xlfn.MAXIFS('Saisie'!$AS$5:$AS$2004,'Saisie'!$C$5:$C$2004,C300,'Saisie'!$AA$5:$AA$2004,"&lt;&gt;")-4),""))</f>
        <v/>
      </c>
      <c r="Y300" s="60">
        <f>IF(C300="","",IFERROR(INDEX('Saisie'!$AB$5:$AB$2004,_xlfn.MAXIFS('Saisie'!$AS$5:$AS$2004,'Saisie'!$C$5:$C$2004,C300,'Saisie'!$AB$5:$AB$2004,"&lt;&gt;")-4),""))</f>
        <v/>
      </c>
      <c r="Z300" s="60">
        <f>IF(C300="","",IFERROR(INDEX('Saisie'!$AC$5:$AC$2004,_xlfn.MAXIFS('Saisie'!$AS$5:$AS$2004,'Saisie'!$C$5:$C$2004,C300,'Saisie'!$AC$5:$AC$2004,"&lt;&gt;")-4),""))</f>
        <v/>
      </c>
      <c r="AA300" s="106">
        <f>IF(C300="","",IFERROR(INDEX('Saisie'!$AD$5:$AD$2004,_xlfn.MAXIFS('Saisie'!$AS$5:$AS$2004,'Saisie'!$C$5:$C$2004,C300,'Saisie'!$AD$5:$AD$2004,"&lt;&gt;")-4),""))</f>
        <v/>
      </c>
      <c r="AB300" s="60">
        <f>IF(C300="","",IFERROR(INDEX('Saisie'!$AE$5:$AE$2004,_xlfn.MAXIFS('Saisie'!$AS$5:$AS$2004,'Saisie'!$C$5:$C$2004,C300,'Saisie'!$AE$5:$AE$2004,"&lt;&gt;")-4),""))</f>
        <v/>
      </c>
      <c r="AC300" s="60">
        <f>IF(C300="","",IFERROR(INDEX('Saisie'!$AF$5:$AF$2004,_xlfn.MAXIFS('Saisie'!$AS$5:$AS$2004,'Saisie'!$C$5:$C$2004,C300,'Saisie'!$AF$5:$AF$2004,"&lt;&gt;")-4),""))</f>
        <v/>
      </c>
      <c r="AD300" s="108">
        <f>IF(C300="","",IFERROR(INDEX('Saisie'!$AG$5:$AG$2004,_xlfn.MAXIFS('Saisie'!$AS$5:$AS$2004,'Saisie'!$C$5:$C$2004,C300,'Saisie'!$AG$5:$AG$2004,"&lt;&gt;")-4),""))</f>
        <v/>
      </c>
      <c r="AE300" s="60">
        <f>IF(C300="","",IFERROR(INDEX('Saisie'!$AH$5:$AH$2004,_xlfn.MAXIFS('Saisie'!$AS$5:$AS$2004,'Saisie'!$C$5:$C$2004,C300,'Saisie'!$AH$5:$AH$2004,"&lt;&gt;")-4),""))</f>
        <v/>
      </c>
      <c r="AF300" s="60">
        <f>IF(C300="","",IFERROR(INDEX('Saisie'!$AI$5:$AI$2004,_xlfn.MAXIFS('Saisie'!$AS$5:$AS$2004,'Saisie'!$C$5:$C$2004,C300,'Saisie'!$AI$5:$AI$2004,"&lt;&gt;")-4),""))</f>
        <v/>
      </c>
      <c r="AG300" s="60">
        <f>IF(C300="","",IFERROR(INDEX('Saisie'!$AJ$5:$AJ$2004,_xlfn.MAXIFS('Saisie'!$AS$5:$AS$2004,'Saisie'!$C$5:$C$2004,C300,'Saisie'!$AJ$5:$AJ$2004,"&lt;&gt;")-4),""))</f>
        <v/>
      </c>
      <c r="AH300" s="60">
        <f>IF(C300="","",IFERROR(INDEX('Saisie'!$AK$5:$AK$2004,_xlfn.MAXIFS('Saisie'!$AS$5:$AS$2004,'Saisie'!$C$5:$C$2004,C300,'Saisie'!$AK$5:$AK$2004,"&lt;&gt;")-4),""))</f>
        <v/>
      </c>
      <c r="AI300" s="60">
        <f>IF(C300="","",IFERROR(INDEX('Saisie'!$AN$5:$AN$2004,_xlfn.MAXIFS('Saisie'!$AS$5:$AS$2004,'Saisie'!$C$5:$C$2004,C300,'Saisie'!$AN$5:$AN$2004,"&lt;&gt;")-4),""))</f>
        <v/>
      </c>
      <c r="AJ300" s="60">
        <f>IF(C300="","",IFERROR(INDEX('Saisie'!$AO$5:$AO$2004,_xlfn.MAXIFS('Saisie'!$AS$5:$AS$2004,'Saisie'!$C$5:$C$2004,C300,'Saisie'!$AO$5:$AO$2004,"&lt;&gt;")-4),""))</f>
        <v/>
      </c>
      <c r="AK300" s="60">
        <f>IF(C300="","",IFERROR(INDEX('Saisie'!$AP$5:$AP$2004,_xlfn.MAXIFS('Saisie'!$AS$5:$AS$2004,'Saisie'!$C$5:$C$2004,C300,'Saisie'!$AP$5:$AP$2004,"&lt;&gt;")-4),""))</f>
        <v/>
      </c>
      <c r="AL300" s="60">
        <f>IF(C300="","",IFERROR(INDEX('Saisie'!$AQ$5:$AQ$2004,_xlfn.MAXIFS('Saisie'!$AS$5:$AS$2004,'Saisie'!$C$5:$C$2004,C300,'Saisie'!$AQ$5:$AQ$2004,"&lt;&gt;")-4),""))</f>
        <v/>
      </c>
      <c r="AM300" s="60">
        <f>IF(C300="","",((AI300="Oui")+(AJ300="Oui")+(AK300="Oui")+OR(AL300="Immédiat",AL300="&lt; 1 mois"))&amp;"/4")</f>
        <v/>
      </c>
      <c r="AN300" s="60">
        <f>IF(C300="","",IFERROR(INDEX('Saisie'!$AL$5:$AL$2004,_xlfn.MAXIFS('Saisie'!$AS$5:$AS$2004,'Saisie'!$C$5:$C$2004,C300,'Saisie'!$AL$5:$AL$2004,"&lt;&gt;")-4),""))</f>
        <v/>
      </c>
      <c r="AO300" s="62">
        <f>IF(C300="","",IF(IFERROR(INDEX('Saisie'!$AM$5:$AM$2004,_xlfn.MAXIFS('Saisie'!$AS$5:$AS$2004,'Saisie'!$C$5:$C$2004,C300,'Saisie'!$AM$5:$AM$2004,"&lt;&gt;")-4),"")&lt;&gt;"",IFERROR(INDEX('Saisie'!$AM$5:$AM$2004,_xlfn.MAXIFS('Saisie'!$AS$5:$AS$2004,'Saisie'!$C$5:$C$2004,C300,'Saisie'!$AM$5:$AM$2004,"&lt;&gt;")-4),""),IFERROR(INDEX('Paramètres'!$S$6:$S$15,MATCH(AN300,'Paramètres'!$Q$6:$Q$15,0)),"")))</f>
        <v/>
      </c>
      <c r="AP300" s="62">
        <f>IF(C300="","",IFERROR(INDEX('Saisie'!$AW$5:$AW$2004,_xlfn.MAXIFS('Saisie'!$AS$5:$AS$2004,'Saisie'!$C$5:$C$2004,C300,'Saisie'!$E$5:$E$2004,"Proposition envoyée")-4),""))</f>
        <v/>
      </c>
      <c r="AQ300" s="106">
        <f>IF(C300="","",IFERROR(1/(1/_xlfn.MAXIFS('Saisie'!$A$5:$A$2004,'Saisie'!$C$5:$C$2004,C300,'Saisie'!$E$5:$E$2004,"Proposition envoyée")),""))</f>
        <v/>
      </c>
      <c r="AR300" s="106">
        <f>IF(C300="","",IF(AQ300="","",AQ300+'Paramètres'!$B$26))</f>
        <v/>
      </c>
      <c r="AS300" s="62">
        <f>IF(OR(C300="",D300="Gagné",D300="Perdu"),0,N(AP300)*IFERROR(INDEX('Paramètres'!$G$6:$G$13,MATCH(D300,'Paramètres'!$F$6:$F$13,0)),0))</f>
        <v/>
      </c>
      <c r="AT300" s="106">
        <f>IF(C300="","",IFERROR(1/(1/_xlfn.MINIFS('Saisie'!$A$5:$A$2004,'Saisie'!$C$5:$C$2004,C300,'Saisie'!$E$5:$E$2004,"Signature")),""))</f>
        <v/>
      </c>
      <c r="AU300" s="60">
        <f>IF(C300="","",IF(OR(AT300="",B300=""),"",AT300-B300))</f>
        <v/>
      </c>
      <c r="AV300" s="60">
        <f>IF(C300="","",IFERROR(INDEX('Saisie'!$L$5:$L$2004,_xlfn.MAXIFS('Saisie'!$AS$5:$AS$2004,'Saisie'!$C$5:$C$2004,C300,'Saisie'!$L$5:$L$2004,"&lt;&gt;")-4),""))</f>
        <v/>
      </c>
      <c r="AW300" s="106">
        <f>IF(C300="","",IF(D300&lt;&gt;"Perdu","",IFERROR(1/(1/_xlfn.MAXIFS('Saisie'!$A$5:$A$2004,'Saisie'!$C$5:$C$2004,C300,'Saisie'!$E$5:$E$2004,"Perdu")),"")))</f>
        <v/>
      </c>
      <c r="AX300" s="106">
        <f>IF(C300="","",IF(AW300="","",AW300+'Paramètres'!$B$28))</f>
        <v/>
      </c>
      <c r="AY300" s="60">
        <f>IF(C300="","",SUMIFS('Saisie'!$H$5:$H$2004,'Saisie'!$C$5:$C$2004,C300))</f>
        <v/>
      </c>
      <c r="AZ300" s="60">
        <f>IF(C300="","",IFERROR(INDEX('Paramètres'!$W$6:$W$20,MATCH(S300,'Paramètres'!$V$6:$V$20,0))&amp;"",""))</f>
        <v/>
      </c>
      <c r="BA300" s="60">
        <f>IF(C300="","",MAX(1,_xlfn.MAXIFS('Saisie'!$AT$5:$AT$2004,'Saisie'!$C$5:$C$2004,C300)))</f>
        <v/>
      </c>
      <c r="BB300" s="60">
        <f>IF(C300="","",IFERROR(INDEX('Saisie'!$X$5:$X$2004,_xlfn.MAXIFS('Saisie'!$AS$5:$AS$2004,'Saisie'!$C$5:$C$2004,C300,'Saisie'!$X$5:$X$2004,"&lt;&gt;")-4),""))</f>
        <v/>
      </c>
      <c r="BC300" s="60">
        <f>IF(C300="","",IFERROR(INDEX('Saisie'!$Y$5:$Y$2004,_xlfn.MAXIFS('Saisie'!$AS$5:$AS$2004,'Saisie'!$C$5:$C$2004,C300,'Saisie'!$Y$5:$Y$2004,"&lt;&gt;")-4),""))</f>
        <v/>
      </c>
      <c r="BD300" s="106">
        <f>IF(C300="","",IFERROR(1/(1/_xlfn.MINIFS('Saisie'!$A$5:$A$2004,'Saisie'!$C$5:$C$2004,C300,'Saisie'!$AT$5:$AT$2004,"&gt;=2")),""))</f>
        <v/>
      </c>
      <c r="BE300" s="106">
        <f>IF(C300="","",IFERROR(1/(1/_xlfn.MINIFS('Saisie'!$A$5:$A$2004,'Saisie'!$C$5:$C$2004,C300,'Saisie'!$AT$5:$AT$2004,"&gt;=3")),""))</f>
        <v/>
      </c>
      <c r="BF300" s="106">
        <f>IF(C300="","",IFERROR(1/(1/_xlfn.MINIFS('Saisie'!$A$5:$A$2004,'Saisie'!$C$5:$C$2004,C300,'Saisie'!$AT$5:$AT$2004,"&gt;=4")),""))</f>
        <v/>
      </c>
      <c r="BG300" s="106">
        <f>IF(C300="","",IFERROR(1/(1/_xlfn.MINIFS('Saisie'!$A$5:$A$2004,'Saisie'!$C$5:$C$2004,C300,'Saisie'!$AT$5:$AT$2004,"&gt;=5")),""))</f>
        <v/>
      </c>
      <c r="BH300" s="106">
        <f>IF(C300="","",IFERROR(1/(1/_xlfn.MINIFS('Saisie'!$A$5:$A$2004,'Saisie'!$C$5:$C$2004,C300,'Saisie'!$AT$5:$AT$2004,"&gt;=6")),""))</f>
        <v/>
      </c>
      <c r="BI300" s="106">
        <f>IF(C300="","",IFERROR(1/(1/_xlfn.MINIFS('Saisie'!$A$5:$A$2004,'Saisie'!$C$5:$C$2004,C300,'Saisie'!$AT$5:$AT$2004,"&gt;=7")),""))</f>
        <v/>
      </c>
      <c r="BJ300" s="60">
        <f>IF(OR(BD300="",B300=""),"",BD300-B300)</f>
        <v/>
      </c>
      <c r="BK300" s="60">
        <f>IF(OR(BE300="",BD300=""),"",BE300-BD300)</f>
        <v/>
      </c>
      <c r="BL300" s="60">
        <f>IF(OR(BF300="",BE300=""),"",BF300-BE300)</f>
        <v/>
      </c>
      <c r="BM300" s="60">
        <f>IF(OR(BG300="",BF300=""),"",BG300-BF300)</f>
        <v/>
      </c>
      <c r="BN300" s="60">
        <f>IF(OR(BH300="",BG300=""),"",BH300-BG300)</f>
        <v/>
      </c>
      <c r="BO300" s="60">
        <f>IF(OR(BI300="",BH300=""),"",BI300-BH300)</f>
        <v/>
      </c>
      <c r="BP300" s="60">
        <f>IF(C300="","",_xlfn.MAXIFS('Saisie'!$AS$5:$AS$2004,'Saisie'!$C$5:$C$2004,C300,'Saisie'!$J$5:$J$2004,"&lt;&gt;"))</f>
        <v/>
      </c>
      <c r="BQ300" s="60">
        <f>IF(C300="","",_xlfn.MAXIFS('Saisie'!$AS$5:$AS$2004,'Saisie'!$C$5:$C$2004,C300))</f>
        <v/>
      </c>
      <c r="BR300" s="60">
        <f>IF(C300="","",_xlfn.MAXIFS('Saisie'!$AS$5:$AS$2004,'Saisie'!$C$5:$C$2004,C300,'Saisie'!$E$5:$E$2004,"Perdu"))</f>
        <v/>
      </c>
      <c r="BS300" s="60">
        <f>IF(C300="","",_xlfn.MAXIFS('Saisie'!$AS$5:$AS$2004,'Saisie'!$C$5:$C$2004,C300,'Saisie'!$AT$5:$AT$2004,"&gt;0"))</f>
        <v/>
      </c>
      <c r="BT300" s="109">
        <f>IF(AND(C300&lt;&gt;"",OR(D300="Nouveau",D300="Contacté",D300="Qualifié"),OR(G300="",N(G300)&lt;=TODAY()),NOT(AND(O300&gt;='Paramètres'!$B$21,P300=0))),E300+296/10000,"")</f>
        <v/>
      </c>
      <c r="BU300" s="60">
        <f>IF(AND(G300&lt;&gt;"",N(G300)&lt;=TODAY()),MAX($BU$4:BU299)+1,"")</f>
        <v/>
      </c>
      <c r="BV300" s="60">
        <f>IF(AND(F300&lt;&gt;"",F300&lt;&gt;"Relance en retard"),MAX($BV$4:BV299)+1,"")</f>
        <v/>
      </c>
      <c r="BW300" s="60">
        <f>IF(C300="","",IF(AND(B300&gt;='Tableau de bord'!$R$4,B300&lt;='Tableau de bord'!$S$4,OR('Tableau de bord'!$G$4="Tous",N300='Tableau de bord'!$G$4)),1,0))</f>
        <v/>
      </c>
      <c r="BX300" s="60">
        <f>IF(AND(C300&lt;&gt;"",N(BA300)=7),MAX($BX$4:BX299)+1,"")</f>
        <v/>
      </c>
    </row>
    <row r="301">
      <c r="A301" s="60">
        <f>IF(C301="","","P-"&amp;TEXT(297,"000"))</f>
        <v/>
      </c>
      <c r="B301" s="106">
        <f>IF(C301="","",IFERROR(1/(1/_xlfn.MINIFS('Saisie'!$A$5:$A$2004,'Saisie'!$C$5:$C$2004,C301)),""))</f>
        <v/>
      </c>
      <c r="C301" s="60">
        <f>IFERROR(INDEX('Saisie'!$C$5:$C$2004,MATCH(297,'Saisie'!$AX$5:$AX$2004,0)),"")</f>
        <v/>
      </c>
      <c r="D301" s="60">
        <f>IF(C301="","",IF(AND(BR301&gt;0,BR301&gt;BS301,BA301&lt;7),"Perdu",INDEX('Paramètres'!$F$6:$F$13,BA301)))</f>
        <v/>
      </c>
      <c r="E301" s="61">
        <f>IF(C301="","",MIN(100,(Z301="Oui")*'Paramètres'!$B$38+(AB301="Régulière")*'Paramètres'!$B$39+IF(AND(N(AA301)&gt;0,TODAY()-N(AA301)&lt;=30),'Paramètres'!$B$40,0)+(W301="")*'Paramètres'!$B$41+(AC301="Absente")*'Paramètres'!$B$42+(AC301="Faible")*'Paramètres'!$B$43+IF(AND(N(AD301)&gt;0,N(AD301)&lt;4),'Paramètres'!$B$44,0)+(AF301="Moyenne")*'Paramètres'!$B$45+(AF301="Grande")*'Paramètres'!$B$46+(Y301&lt;&gt;"")*'Paramètres'!$B$47))</f>
        <v/>
      </c>
      <c r="F301" s="60">
        <f>IF(C301="","",IF(D301="Gagné","",IF(D301="Perdu",IF(AND(AX301&lt;&gt;"",AX301&lt;=TODAY()),"À recontacter (perdu)",""),IF(AND(O301&gt;='Paramètres'!$B$21,P301=0),"Stop : "&amp;'Paramètres'!$B$21&amp;" tentatives sans réponse",IF(AND(D301="Proposition",AR301&lt;&gt;"",TODAY()&gt;N(AR301)),"Proposition expirée",IF(AND(D301="Proposition",N(R301)&gt;='Paramètres'!$B$25),"Proposition sans réponse",IF(AND(G301&lt;&gt;"",N(G301)&lt;TODAY()),"Relance en retard",IF(N(R301)&gt;='Paramètres'!$B$24,"Sans action depuis "&amp;R301&amp;" j",""))))))))</f>
        <v/>
      </c>
      <c r="G301" s="106">
        <f>IF(OR(C301="",D301="Gagné",D301="Perdu"),"",IF(AND(BP301&gt;0,BP301=BQ301),INDEX('Saisie'!$J$5:$J$2004,BP301-4),IF(OR(O301=0,AND(O301&gt;='Paramètres'!$B$21,P301=0)),"",Q301+IF(O301&lt;=1,'Paramètres'!$B$18,IF(O301=2,'Paramètres'!$B$19,'Paramètres'!$B$20)))))</f>
        <v/>
      </c>
      <c r="H301" s="107">
        <f>IF(OR(G301="",BP301&lt;&gt;BQ301),"",IF(INDEX('Saisie'!$K$5:$K$2004,BP301-4)="","",INDEX('Saisie'!$K$5:$K$2004,BP301-4)))</f>
        <v/>
      </c>
      <c r="I301" s="60">
        <f>IF(C301="","",IF(OR(D301="Gagné",D301="Perdu"),"",IFERROR(INDEX('Saisie'!$I$5:$I$2004,_xlfn.MAXIFS('Saisie'!$AS$5:$AS$2004,'Saisie'!$C$5:$C$2004,C301,'Saisie'!$I$5:$I$2004,"&lt;&gt;")-4),"")))</f>
        <v/>
      </c>
      <c r="J301" s="60">
        <f>IF(C301="","",IFERROR(INDEX('Saisie'!$U$5:$U$2004,_xlfn.MAXIFS('Saisie'!$AS$5:$AS$2004,'Saisie'!$C$5:$C$2004,C301,'Saisie'!$U$5:$U$2004,"&lt;&gt;")-4),""))</f>
        <v/>
      </c>
      <c r="K301" s="60">
        <f>IF(C301="","",IFERROR(INDEX('Saisie'!$W$5:$W$2004,_xlfn.MAXIFS('Saisie'!$AS$5:$AS$2004,'Saisie'!$C$5:$C$2004,C301,'Saisie'!$W$5:$W$2004,"&lt;&gt;")-4),""))</f>
        <v/>
      </c>
      <c r="L301" s="60">
        <f>IF(IF(BB301&lt;&gt;"",BB301,K301)="","",HYPERLINK("https://wa.me/"&amp;IF(LEFT(SUBSTITUTE(SUBSTITUTE(SUBSTITUTE(IF(BB301&lt;&gt;"",BB301,K301)," ",""),".",""),"+",""),1)="0",'Paramètres'!$B$35&amp;MID(SUBSTITUTE(SUBSTITUTE(SUBSTITUTE(IF(BB301&lt;&gt;"",BB301,K301)," ",""),".",""),"+",""),2,20),SUBSTITUTE(SUBSTITUTE(SUBSTITUTE(IF(BB301&lt;&gt;"",BB301,K301)," ",""),".",""),"+","")),"WhatsApp"))</f>
        <v/>
      </c>
      <c r="M301" s="60">
        <f>IF(BC301="","",HYPERLINK(IF(LEFT(BC301,4)="http",BC301,"https://www.instagram.com/"&amp;SUBSTITUTE(SUBSTITUTE(BC301,"@","")," ","")),BC301))</f>
        <v/>
      </c>
      <c r="N301" s="60">
        <f>IF(C301="","",IFERROR(INDEX('Saisie'!$D$5:$D$2004,_xlfn.MINIFS('Saisie'!$AS$5:$AS$2004,'Saisie'!$C$5:$C$2004,C301,'Saisie'!$AU$5:$AU$2004,1)-4),IFERROR(INDEX('Saisie'!$D$5:$D$2004,_xlfn.MINIFS('Saisie'!$AS$5:$AS$2004,'Saisie'!$C$5:$C$2004,C301,'Saisie'!$D$5:$D$2004,"&lt;&gt;")-4),"")))</f>
        <v/>
      </c>
      <c r="O301" s="60">
        <f>IF(C301="","",COUNTIFS('Saisie'!$C$5:$C$2004,C301,'Saisie'!$AU$5:$AU$2004,1))</f>
        <v/>
      </c>
      <c r="P301" s="60">
        <f>IF(C301="","",COUNTIFS('Saisie'!$C$5:$C$2004,C301,'Saisie'!$AV$5:$AV$2004,1))</f>
        <v/>
      </c>
      <c r="Q301" s="106">
        <f>IF(C301="","",IFERROR(1/(1/_xlfn.MAXIFS('Saisie'!$A$5:$A$2004,'Saisie'!$C$5:$C$2004,C301)),""))</f>
        <v/>
      </c>
      <c r="R301" s="61">
        <f>IF(C301="","",IF(Q301="","",TODAY()-Q301))</f>
        <v/>
      </c>
      <c r="S301" s="60">
        <f>IF(C301="","",IFERROR(INDEX('Saisie'!$R$5:$R$2004,_xlfn.MAXIFS('Saisie'!$AS$5:$AS$2004,'Saisie'!$C$5:$C$2004,C301,'Saisie'!$R$5:$R$2004,"&lt;&gt;")-4),""))</f>
        <v/>
      </c>
      <c r="T301" s="60">
        <f>IF(C301="","",IFERROR(INDEX('Saisie'!$S$5:$S$2004,_xlfn.MAXIFS('Saisie'!$AS$5:$AS$2004,'Saisie'!$C$5:$C$2004,C301,'Saisie'!$S$5:$S$2004,"&lt;&gt;")-4),""))</f>
        <v/>
      </c>
      <c r="U301" s="60">
        <f>IF(C301="","",IFERROR(INDEX('Saisie'!$T$5:$T$2004,_xlfn.MAXIFS('Saisie'!$AS$5:$AS$2004,'Saisie'!$C$5:$C$2004,C301,'Saisie'!$T$5:$T$2004,"&lt;&gt;")-4),""))</f>
        <v/>
      </c>
      <c r="V301" s="60">
        <f>IF(C301="","",IFERROR(INDEX('Saisie'!$V$5:$V$2004,_xlfn.MAXIFS('Saisie'!$AS$5:$AS$2004,'Saisie'!$C$5:$C$2004,C301,'Saisie'!$V$5:$V$2004,"&lt;&gt;")-4),""))</f>
        <v/>
      </c>
      <c r="W301" s="60">
        <f>IF(C301="","",IFERROR(INDEX('Saisie'!$Z$5:$Z$2004,_xlfn.MAXIFS('Saisie'!$AS$5:$AS$2004,'Saisie'!$C$5:$C$2004,C301,'Saisie'!$Z$5:$Z$2004,"&lt;&gt;")-4),""))</f>
        <v/>
      </c>
      <c r="X301" s="60">
        <f>IF(C301="","",IFERROR(INDEX('Saisie'!$AA$5:$AA$2004,_xlfn.MAXIFS('Saisie'!$AS$5:$AS$2004,'Saisie'!$C$5:$C$2004,C301,'Saisie'!$AA$5:$AA$2004,"&lt;&gt;")-4),""))</f>
        <v/>
      </c>
      <c r="Y301" s="60">
        <f>IF(C301="","",IFERROR(INDEX('Saisie'!$AB$5:$AB$2004,_xlfn.MAXIFS('Saisie'!$AS$5:$AS$2004,'Saisie'!$C$5:$C$2004,C301,'Saisie'!$AB$5:$AB$2004,"&lt;&gt;")-4),""))</f>
        <v/>
      </c>
      <c r="Z301" s="60">
        <f>IF(C301="","",IFERROR(INDEX('Saisie'!$AC$5:$AC$2004,_xlfn.MAXIFS('Saisie'!$AS$5:$AS$2004,'Saisie'!$C$5:$C$2004,C301,'Saisie'!$AC$5:$AC$2004,"&lt;&gt;")-4),""))</f>
        <v/>
      </c>
      <c r="AA301" s="106">
        <f>IF(C301="","",IFERROR(INDEX('Saisie'!$AD$5:$AD$2004,_xlfn.MAXIFS('Saisie'!$AS$5:$AS$2004,'Saisie'!$C$5:$C$2004,C301,'Saisie'!$AD$5:$AD$2004,"&lt;&gt;")-4),""))</f>
        <v/>
      </c>
      <c r="AB301" s="60">
        <f>IF(C301="","",IFERROR(INDEX('Saisie'!$AE$5:$AE$2004,_xlfn.MAXIFS('Saisie'!$AS$5:$AS$2004,'Saisie'!$C$5:$C$2004,C301,'Saisie'!$AE$5:$AE$2004,"&lt;&gt;")-4),""))</f>
        <v/>
      </c>
      <c r="AC301" s="60">
        <f>IF(C301="","",IFERROR(INDEX('Saisie'!$AF$5:$AF$2004,_xlfn.MAXIFS('Saisie'!$AS$5:$AS$2004,'Saisie'!$C$5:$C$2004,C301,'Saisie'!$AF$5:$AF$2004,"&lt;&gt;")-4),""))</f>
        <v/>
      </c>
      <c r="AD301" s="108">
        <f>IF(C301="","",IFERROR(INDEX('Saisie'!$AG$5:$AG$2004,_xlfn.MAXIFS('Saisie'!$AS$5:$AS$2004,'Saisie'!$C$5:$C$2004,C301,'Saisie'!$AG$5:$AG$2004,"&lt;&gt;")-4),""))</f>
        <v/>
      </c>
      <c r="AE301" s="60">
        <f>IF(C301="","",IFERROR(INDEX('Saisie'!$AH$5:$AH$2004,_xlfn.MAXIFS('Saisie'!$AS$5:$AS$2004,'Saisie'!$C$5:$C$2004,C301,'Saisie'!$AH$5:$AH$2004,"&lt;&gt;")-4),""))</f>
        <v/>
      </c>
      <c r="AF301" s="60">
        <f>IF(C301="","",IFERROR(INDEX('Saisie'!$AI$5:$AI$2004,_xlfn.MAXIFS('Saisie'!$AS$5:$AS$2004,'Saisie'!$C$5:$C$2004,C301,'Saisie'!$AI$5:$AI$2004,"&lt;&gt;")-4),""))</f>
        <v/>
      </c>
      <c r="AG301" s="60">
        <f>IF(C301="","",IFERROR(INDEX('Saisie'!$AJ$5:$AJ$2004,_xlfn.MAXIFS('Saisie'!$AS$5:$AS$2004,'Saisie'!$C$5:$C$2004,C301,'Saisie'!$AJ$5:$AJ$2004,"&lt;&gt;")-4),""))</f>
        <v/>
      </c>
      <c r="AH301" s="60">
        <f>IF(C301="","",IFERROR(INDEX('Saisie'!$AK$5:$AK$2004,_xlfn.MAXIFS('Saisie'!$AS$5:$AS$2004,'Saisie'!$C$5:$C$2004,C301,'Saisie'!$AK$5:$AK$2004,"&lt;&gt;")-4),""))</f>
        <v/>
      </c>
      <c r="AI301" s="60">
        <f>IF(C301="","",IFERROR(INDEX('Saisie'!$AN$5:$AN$2004,_xlfn.MAXIFS('Saisie'!$AS$5:$AS$2004,'Saisie'!$C$5:$C$2004,C301,'Saisie'!$AN$5:$AN$2004,"&lt;&gt;")-4),""))</f>
        <v/>
      </c>
      <c r="AJ301" s="60">
        <f>IF(C301="","",IFERROR(INDEX('Saisie'!$AO$5:$AO$2004,_xlfn.MAXIFS('Saisie'!$AS$5:$AS$2004,'Saisie'!$C$5:$C$2004,C301,'Saisie'!$AO$5:$AO$2004,"&lt;&gt;")-4),""))</f>
        <v/>
      </c>
      <c r="AK301" s="60">
        <f>IF(C301="","",IFERROR(INDEX('Saisie'!$AP$5:$AP$2004,_xlfn.MAXIFS('Saisie'!$AS$5:$AS$2004,'Saisie'!$C$5:$C$2004,C301,'Saisie'!$AP$5:$AP$2004,"&lt;&gt;")-4),""))</f>
        <v/>
      </c>
      <c r="AL301" s="60">
        <f>IF(C301="","",IFERROR(INDEX('Saisie'!$AQ$5:$AQ$2004,_xlfn.MAXIFS('Saisie'!$AS$5:$AS$2004,'Saisie'!$C$5:$C$2004,C301,'Saisie'!$AQ$5:$AQ$2004,"&lt;&gt;")-4),""))</f>
        <v/>
      </c>
      <c r="AM301" s="60">
        <f>IF(C301="","",((AI301="Oui")+(AJ301="Oui")+(AK301="Oui")+OR(AL301="Immédiat",AL301="&lt; 1 mois"))&amp;"/4")</f>
        <v/>
      </c>
      <c r="AN301" s="60">
        <f>IF(C301="","",IFERROR(INDEX('Saisie'!$AL$5:$AL$2004,_xlfn.MAXIFS('Saisie'!$AS$5:$AS$2004,'Saisie'!$C$5:$C$2004,C301,'Saisie'!$AL$5:$AL$2004,"&lt;&gt;")-4),""))</f>
        <v/>
      </c>
      <c r="AO301" s="62">
        <f>IF(C301="","",IF(IFERROR(INDEX('Saisie'!$AM$5:$AM$2004,_xlfn.MAXIFS('Saisie'!$AS$5:$AS$2004,'Saisie'!$C$5:$C$2004,C301,'Saisie'!$AM$5:$AM$2004,"&lt;&gt;")-4),"")&lt;&gt;"",IFERROR(INDEX('Saisie'!$AM$5:$AM$2004,_xlfn.MAXIFS('Saisie'!$AS$5:$AS$2004,'Saisie'!$C$5:$C$2004,C301,'Saisie'!$AM$5:$AM$2004,"&lt;&gt;")-4),""),IFERROR(INDEX('Paramètres'!$S$6:$S$15,MATCH(AN301,'Paramètres'!$Q$6:$Q$15,0)),"")))</f>
        <v/>
      </c>
      <c r="AP301" s="62">
        <f>IF(C301="","",IFERROR(INDEX('Saisie'!$AW$5:$AW$2004,_xlfn.MAXIFS('Saisie'!$AS$5:$AS$2004,'Saisie'!$C$5:$C$2004,C301,'Saisie'!$E$5:$E$2004,"Proposition envoyée")-4),""))</f>
        <v/>
      </c>
      <c r="AQ301" s="106">
        <f>IF(C301="","",IFERROR(1/(1/_xlfn.MAXIFS('Saisie'!$A$5:$A$2004,'Saisie'!$C$5:$C$2004,C301,'Saisie'!$E$5:$E$2004,"Proposition envoyée")),""))</f>
        <v/>
      </c>
      <c r="AR301" s="106">
        <f>IF(C301="","",IF(AQ301="","",AQ301+'Paramètres'!$B$26))</f>
        <v/>
      </c>
      <c r="AS301" s="62">
        <f>IF(OR(C301="",D301="Gagné",D301="Perdu"),0,N(AP301)*IFERROR(INDEX('Paramètres'!$G$6:$G$13,MATCH(D301,'Paramètres'!$F$6:$F$13,0)),0))</f>
        <v/>
      </c>
      <c r="AT301" s="106">
        <f>IF(C301="","",IFERROR(1/(1/_xlfn.MINIFS('Saisie'!$A$5:$A$2004,'Saisie'!$C$5:$C$2004,C301,'Saisie'!$E$5:$E$2004,"Signature")),""))</f>
        <v/>
      </c>
      <c r="AU301" s="60">
        <f>IF(C301="","",IF(OR(AT301="",B301=""),"",AT301-B301))</f>
        <v/>
      </c>
      <c r="AV301" s="60">
        <f>IF(C301="","",IFERROR(INDEX('Saisie'!$L$5:$L$2004,_xlfn.MAXIFS('Saisie'!$AS$5:$AS$2004,'Saisie'!$C$5:$C$2004,C301,'Saisie'!$L$5:$L$2004,"&lt;&gt;")-4),""))</f>
        <v/>
      </c>
      <c r="AW301" s="106">
        <f>IF(C301="","",IF(D301&lt;&gt;"Perdu","",IFERROR(1/(1/_xlfn.MAXIFS('Saisie'!$A$5:$A$2004,'Saisie'!$C$5:$C$2004,C301,'Saisie'!$E$5:$E$2004,"Perdu")),"")))</f>
        <v/>
      </c>
      <c r="AX301" s="106">
        <f>IF(C301="","",IF(AW301="","",AW301+'Paramètres'!$B$28))</f>
        <v/>
      </c>
      <c r="AY301" s="60">
        <f>IF(C301="","",SUMIFS('Saisie'!$H$5:$H$2004,'Saisie'!$C$5:$C$2004,C301))</f>
        <v/>
      </c>
      <c r="AZ301" s="60">
        <f>IF(C301="","",IFERROR(INDEX('Paramètres'!$W$6:$W$20,MATCH(S301,'Paramètres'!$V$6:$V$20,0))&amp;"",""))</f>
        <v/>
      </c>
      <c r="BA301" s="60">
        <f>IF(C301="","",MAX(1,_xlfn.MAXIFS('Saisie'!$AT$5:$AT$2004,'Saisie'!$C$5:$C$2004,C301)))</f>
        <v/>
      </c>
      <c r="BB301" s="60">
        <f>IF(C301="","",IFERROR(INDEX('Saisie'!$X$5:$X$2004,_xlfn.MAXIFS('Saisie'!$AS$5:$AS$2004,'Saisie'!$C$5:$C$2004,C301,'Saisie'!$X$5:$X$2004,"&lt;&gt;")-4),""))</f>
        <v/>
      </c>
      <c r="BC301" s="60">
        <f>IF(C301="","",IFERROR(INDEX('Saisie'!$Y$5:$Y$2004,_xlfn.MAXIFS('Saisie'!$AS$5:$AS$2004,'Saisie'!$C$5:$C$2004,C301,'Saisie'!$Y$5:$Y$2004,"&lt;&gt;")-4),""))</f>
        <v/>
      </c>
      <c r="BD301" s="106">
        <f>IF(C301="","",IFERROR(1/(1/_xlfn.MINIFS('Saisie'!$A$5:$A$2004,'Saisie'!$C$5:$C$2004,C301,'Saisie'!$AT$5:$AT$2004,"&gt;=2")),""))</f>
        <v/>
      </c>
      <c r="BE301" s="106">
        <f>IF(C301="","",IFERROR(1/(1/_xlfn.MINIFS('Saisie'!$A$5:$A$2004,'Saisie'!$C$5:$C$2004,C301,'Saisie'!$AT$5:$AT$2004,"&gt;=3")),""))</f>
        <v/>
      </c>
      <c r="BF301" s="106">
        <f>IF(C301="","",IFERROR(1/(1/_xlfn.MINIFS('Saisie'!$A$5:$A$2004,'Saisie'!$C$5:$C$2004,C301,'Saisie'!$AT$5:$AT$2004,"&gt;=4")),""))</f>
        <v/>
      </c>
      <c r="BG301" s="106">
        <f>IF(C301="","",IFERROR(1/(1/_xlfn.MINIFS('Saisie'!$A$5:$A$2004,'Saisie'!$C$5:$C$2004,C301,'Saisie'!$AT$5:$AT$2004,"&gt;=5")),""))</f>
        <v/>
      </c>
      <c r="BH301" s="106">
        <f>IF(C301="","",IFERROR(1/(1/_xlfn.MINIFS('Saisie'!$A$5:$A$2004,'Saisie'!$C$5:$C$2004,C301,'Saisie'!$AT$5:$AT$2004,"&gt;=6")),""))</f>
        <v/>
      </c>
      <c r="BI301" s="106">
        <f>IF(C301="","",IFERROR(1/(1/_xlfn.MINIFS('Saisie'!$A$5:$A$2004,'Saisie'!$C$5:$C$2004,C301,'Saisie'!$AT$5:$AT$2004,"&gt;=7")),""))</f>
        <v/>
      </c>
      <c r="BJ301" s="60">
        <f>IF(OR(BD301="",B301=""),"",BD301-B301)</f>
        <v/>
      </c>
      <c r="BK301" s="60">
        <f>IF(OR(BE301="",BD301=""),"",BE301-BD301)</f>
        <v/>
      </c>
      <c r="BL301" s="60">
        <f>IF(OR(BF301="",BE301=""),"",BF301-BE301)</f>
        <v/>
      </c>
      <c r="BM301" s="60">
        <f>IF(OR(BG301="",BF301=""),"",BG301-BF301)</f>
        <v/>
      </c>
      <c r="BN301" s="60">
        <f>IF(OR(BH301="",BG301=""),"",BH301-BG301)</f>
        <v/>
      </c>
      <c r="BO301" s="60">
        <f>IF(OR(BI301="",BH301=""),"",BI301-BH301)</f>
        <v/>
      </c>
      <c r="BP301" s="60">
        <f>IF(C301="","",_xlfn.MAXIFS('Saisie'!$AS$5:$AS$2004,'Saisie'!$C$5:$C$2004,C301,'Saisie'!$J$5:$J$2004,"&lt;&gt;"))</f>
        <v/>
      </c>
      <c r="BQ301" s="60">
        <f>IF(C301="","",_xlfn.MAXIFS('Saisie'!$AS$5:$AS$2004,'Saisie'!$C$5:$C$2004,C301))</f>
        <v/>
      </c>
      <c r="BR301" s="60">
        <f>IF(C301="","",_xlfn.MAXIFS('Saisie'!$AS$5:$AS$2004,'Saisie'!$C$5:$C$2004,C301,'Saisie'!$E$5:$E$2004,"Perdu"))</f>
        <v/>
      </c>
      <c r="BS301" s="60">
        <f>IF(C301="","",_xlfn.MAXIFS('Saisie'!$AS$5:$AS$2004,'Saisie'!$C$5:$C$2004,C301,'Saisie'!$AT$5:$AT$2004,"&gt;0"))</f>
        <v/>
      </c>
      <c r="BT301" s="109">
        <f>IF(AND(C301&lt;&gt;"",OR(D301="Nouveau",D301="Contacté",D301="Qualifié"),OR(G301="",N(G301)&lt;=TODAY()),NOT(AND(O301&gt;='Paramètres'!$B$21,P301=0))),E301+297/10000,"")</f>
        <v/>
      </c>
      <c r="BU301" s="60">
        <f>IF(AND(G301&lt;&gt;"",N(G301)&lt;=TODAY()),MAX($BU$4:BU300)+1,"")</f>
        <v/>
      </c>
      <c r="BV301" s="60">
        <f>IF(AND(F301&lt;&gt;"",F301&lt;&gt;"Relance en retard"),MAX($BV$4:BV300)+1,"")</f>
        <v/>
      </c>
      <c r="BW301" s="60">
        <f>IF(C301="","",IF(AND(B301&gt;='Tableau de bord'!$R$4,B301&lt;='Tableau de bord'!$S$4,OR('Tableau de bord'!$G$4="Tous",N301='Tableau de bord'!$G$4)),1,0))</f>
        <v/>
      </c>
      <c r="BX301" s="60">
        <f>IF(AND(C301&lt;&gt;"",N(BA301)=7),MAX($BX$4:BX300)+1,"")</f>
        <v/>
      </c>
    </row>
    <row r="302">
      <c r="A302" s="60">
        <f>IF(C302="","","P-"&amp;TEXT(298,"000"))</f>
        <v/>
      </c>
      <c r="B302" s="106">
        <f>IF(C302="","",IFERROR(1/(1/_xlfn.MINIFS('Saisie'!$A$5:$A$2004,'Saisie'!$C$5:$C$2004,C302)),""))</f>
        <v/>
      </c>
      <c r="C302" s="60">
        <f>IFERROR(INDEX('Saisie'!$C$5:$C$2004,MATCH(298,'Saisie'!$AX$5:$AX$2004,0)),"")</f>
        <v/>
      </c>
      <c r="D302" s="60">
        <f>IF(C302="","",IF(AND(BR302&gt;0,BR302&gt;BS302,BA302&lt;7),"Perdu",INDEX('Paramètres'!$F$6:$F$13,BA302)))</f>
        <v/>
      </c>
      <c r="E302" s="61">
        <f>IF(C302="","",MIN(100,(Z302="Oui")*'Paramètres'!$B$38+(AB302="Régulière")*'Paramètres'!$B$39+IF(AND(N(AA302)&gt;0,TODAY()-N(AA302)&lt;=30),'Paramètres'!$B$40,0)+(W302="")*'Paramètres'!$B$41+(AC302="Absente")*'Paramètres'!$B$42+(AC302="Faible")*'Paramètres'!$B$43+IF(AND(N(AD302)&gt;0,N(AD302)&lt;4),'Paramètres'!$B$44,0)+(AF302="Moyenne")*'Paramètres'!$B$45+(AF302="Grande")*'Paramètres'!$B$46+(Y302&lt;&gt;"")*'Paramètres'!$B$47))</f>
        <v/>
      </c>
      <c r="F302" s="60">
        <f>IF(C302="","",IF(D302="Gagné","",IF(D302="Perdu",IF(AND(AX302&lt;&gt;"",AX302&lt;=TODAY()),"À recontacter (perdu)",""),IF(AND(O302&gt;='Paramètres'!$B$21,P302=0),"Stop : "&amp;'Paramètres'!$B$21&amp;" tentatives sans réponse",IF(AND(D302="Proposition",AR302&lt;&gt;"",TODAY()&gt;N(AR302)),"Proposition expirée",IF(AND(D302="Proposition",N(R302)&gt;='Paramètres'!$B$25),"Proposition sans réponse",IF(AND(G302&lt;&gt;"",N(G302)&lt;TODAY()),"Relance en retard",IF(N(R302)&gt;='Paramètres'!$B$24,"Sans action depuis "&amp;R302&amp;" j",""))))))))</f>
        <v/>
      </c>
      <c r="G302" s="106">
        <f>IF(OR(C302="",D302="Gagné",D302="Perdu"),"",IF(AND(BP302&gt;0,BP302=BQ302),INDEX('Saisie'!$J$5:$J$2004,BP302-4),IF(OR(O302=0,AND(O302&gt;='Paramètres'!$B$21,P302=0)),"",Q302+IF(O302&lt;=1,'Paramètres'!$B$18,IF(O302=2,'Paramètres'!$B$19,'Paramètres'!$B$20)))))</f>
        <v/>
      </c>
      <c r="H302" s="107">
        <f>IF(OR(G302="",BP302&lt;&gt;BQ302),"",IF(INDEX('Saisie'!$K$5:$K$2004,BP302-4)="","",INDEX('Saisie'!$K$5:$K$2004,BP302-4)))</f>
        <v/>
      </c>
      <c r="I302" s="60">
        <f>IF(C302="","",IF(OR(D302="Gagné",D302="Perdu"),"",IFERROR(INDEX('Saisie'!$I$5:$I$2004,_xlfn.MAXIFS('Saisie'!$AS$5:$AS$2004,'Saisie'!$C$5:$C$2004,C302,'Saisie'!$I$5:$I$2004,"&lt;&gt;")-4),"")))</f>
        <v/>
      </c>
      <c r="J302" s="60">
        <f>IF(C302="","",IFERROR(INDEX('Saisie'!$U$5:$U$2004,_xlfn.MAXIFS('Saisie'!$AS$5:$AS$2004,'Saisie'!$C$5:$C$2004,C302,'Saisie'!$U$5:$U$2004,"&lt;&gt;")-4),""))</f>
        <v/>
      </c>
      <c r="K302" s="60">
        <f>IF(C302="","",IFERROR(INDEX('Saisie'!$W$5:$W$2004,_xlfn.MAXIFS('Saisie'!$AS$5:$AS$2004,'Saisie'!$C$5:$C$2004,C302,'Saisie'!$W$5:$W$2004,"&lt;&gt;")-4),""))</f>
        <v/>
      </c>
      <c r="L302" s="60">
        <f>IF(IF(BB302&lt;&gt;"",BB302,K302)="","",HYPERLINK("https://wa.me/"&amp;IF(LEFT(SUBSTITUTE(SUBSTITUTE(SUBSTITUTE(IF(BB302&lt;&gt;"",BB302,K302)," ",""),".",""),"+",""),1)="0",'Paramètres'!$B$35&amp;MID(SUBSTITUTE(SUBSTITUTE(SUBSTITUTE(IF(BB302&lt;&gt;"",BB302,K302)," ",""),".",""),"+",""),2,20),SUBSTITUTE(SUBSTITUTE(SUBSTITUTE(IF(BB302&lt;&gt;"",BB302,K302)," ",""),".",""),"+","")),"WhatsApp"))</f>
        <v/>
      </c>
      <c r="M302" s="60">
        <f>IF(BC302="","",HYPERLINK(IF(LEFT(BC302,4)="http",BC302,"https://www.instagram.com/"&amp;SUBSTITUTE(SUBSTITUTE(BC302,"@","")," ","")),BC302))</f>
        <v/>
      </c>
      <c r="N302" s="60">
        <f>IF(C302="","",IFERROR(INDEX('Saisie'!$D$5:$D$2004,_xlfn.MINIFS('Saisie'!$AS$5:$AS$2004,'Saisie'!$C$5:$C$2004,C302,'Saisie'!$AU$5:$AU$2004,1)-4),IFERROR(INDEX('Saisie'!$D$5:$D$2004,_xlfn.MINIFS('Saisie'!$AS$5:$AS$2004,'Saisie'!$C$5:$C$2004,C302,'Saisie'!$D$5:$D$2004,"&lt;&gt;")-4),"")))</f>
        <v/>
      </c>
      <c r="O302" s="60">
        <f>IF(C302="","",COUNTIFS('Saisie'!$C$5:$C$2004,C302,'Saisie'!$AU$5:$AU$2004,1))</f>
        <v/>
      </c>
      <c r="P302" s="60">
        <f>IF(C302="","",COUNTIFS('Saisie'!$C$5:$C$2004,C302,'Saisie'!$AV$5:$AV$2004,1))</f>
        <v/>
      </c>
      <c r="Q302" s="106">
        <f>IF(C302="","",IFERROR(1/(1/_xlfn.MAXIFS('Saisie'!$A$5:$A$2004,'Saisie'!$C$5:$C$2004,C302)),""))</f>
        <v/>
      </c>
      <c r="R302" s="61">
        <f>IF(C302="","",IF(Q302="","",TODAY()-Q302))</f>
        <v/>
      </c>
      <c r="S302" s="60">
        <f>IF(C302="","",IFERROR(INDEX('Saisie'!$R$5:$R$2004,_xlfn.MAXIFS('Saisie'!$AS$5:$AS$2004,'Saisie'!$C$5:$C$2004,C302,'Saisie'!$R$5:$R$2004,"&lt;&gt;")-4),""))</f>
        <v/>
      </c>
      <c r="T302" s="60">
        <f>IF(C302="","",IFERROR(INDEX('Saisie'!$S$5:$S$2004,_xlfn.MAXIFS('Saisie'!$AS$5:$AS$2004,'Saisie'!$C$5:$C$2004,C302,'Saisie'!$S$5:$S$2004,"&lt;&gt;")-4),""))</f>
        <v/>
      </c>
      <c r="U302" s="60">
        <f>IF(C302="","",IFERROR(INDEX('Saisie'!$T$5:$T$2004,_xlfn.MAXIFS('Saisie'!$AS$5:$AS$2004,'Saisie'!$C$5:$C$2004,C302,'Saisie'!$T$5:$T$2004,"&lt;&gt;")-4),""))</f>
        <v/>
      </c>
      <c r="V302" s="60">
        <f>IF(C302="","",IFERROR(INDEX('Saisie'!$V$5:$V$2004,_xlfn.MAXIFS('Saisie'!$AS$5:$AS$2004,'Saisie'!$C$5:$C$2004,C302,'Saisie'!$V$5:$V$2004,"&lt;&gt;")-4),""))</f>
        <v/>
      </c>
      <c r="W302" s="60">
        <f>IF(C302="","",IFERROR(INDEX('Saisie'!$Z$5:$Z$2004,_xlfn.MAXIFS('Saisie'!$AS$5:$AS$2004,'Saisie'!$C$5:$C$2004,C302,'Saisie'!$Z$5:$Z$2004,"&lt;&gt;")-4),""))</f>
        <v/>
      </c>
      <c r="X302" s="60">
        <f>IF(C302="","",IFERROR(INDEX('Saisie'!$AA$5:$AA$2004,_xlfn.MAXIFS('Saisie'!$AS$5:$AS$2004,'Saisie'!$C$5:$C$2004,C302,'Saisie'!$AA$5:$AA$2004,"&lt;&gt;")-4),""))</f>
        <v/>
      </c>
      <c r="Y302" s="60">
        <f>IF(C302="","",IFERROR(INDEX('Saisie'!$AB$5:$AB$2004,_xlfn.MAXIFS('Saisie'!$AS$5:$AS$2004,'Saisie'!$C$5:$C$2004,C302,'Saisie'!$AB$5:$AB$2004,"&lt;&gt;")-4),""))</f>
        <v/>
      </c>
      <c r="Z302" s="60">
        <f>IF(C302="","",IFERROR(INDEX('Saisie'!$AC$5:$AC$2004,_xlfn.MAXIFS('Saisie'!$AS$5:$AS$2004,'Saisie'!$C$5:$C$2004,C302,'Saisie'!$AC$5:$AC$2004,"&lt;&gt;")-4),""))</f>
        <v/>
      </c>
      <c r="AA302" s="106">
        <f>IF(C302="","",IFERROR(INDEX('Saisie'!$AD$5:$AD$2004,_xlfn.MAXIFS('Saisie'!$AS$5:$AS$2004,'Saisie'!$C$5:$C$2004,C302,'Saisie'!$AD$5:$AD$2004,"&lt;&gt;")-4),""))</f>
        <v/>
      </c>
      <c r="AB302" s="60">
        <f>IF(C302="","",IFERROR(INDEX('Saisie'!$AE$5:$AE$2004,_xlfn.MAXIFS('Saisie'!$AS$5:$AS$2004,'Saisie'!$C$5:$C$2004,C302,'Saisie'!$AE$5:$AE$2004,"&lt;&gt;")-4),""))</f>
        <v/>
      </c>
      <c r="AC302" s="60">
        <f>IF(C302="","",IFERROR(INDEX('Saisie'!$AF$5:$AF$2004,_xlfn.MAXIFS('Saisie'!$AS$5:$AS$2004,'Saisie'!$C$5:$C$2004,C302,'Saisie'!$AF$5:$AF$2004,"&lt;&gt;")-4),""))</f>
        <v/>
      </c>
      <c r="AD302" s="108">
        <f>IF(C302="","",IFERROR(INDEX('Saisie'!$AG$5:$AG$2004,_xlfn.MAXIFS('Saisie'!$AS$5:$AS$2004,'Saisie'!$C$5:$C$2004,C302,'Saisie'!$AG$5:$AG$2004,"&lt;&gt;")-4),""))</f>
        <v/>
      </c>
      <c r="AE302" s="60">
        <f>IF(C302="","",IFERROR(INDEX('Saisie'!$AH$5:$AH$2004,_xlfn.MAXIFS('Saisie'!$AS$5:$AS$2004,'Saisie'!$C$5:$C$2004,C302,'Saisie'!$AH$5:$AH$2004,"&lt;&gt;")-4),""))</f>
        <v/>
      </c>
      <c r="AF302" s="60">
        <f>IF(C302="","",IFERROR(INDEX('Saisie'!$AI$5:$AI$2004,_xlfn.MAXIFS('Saisie'!$AS$5:$AS$2004,'Saisie'!$C$5:$C$2004,C302,'Saisie'!$AI$5:$AI$2004,"&lt;&gt;")-4),""))</f>
        <v/>
      </c>
      <c r="AG302" s="60">
        <f>IF(C302="","",IFERROR(INDEX('Saisie'!$AJ$5:$AJ$2004,_xlfn.MAXIFS('Saisie'!$AS$5:$AS$2004,'Saisie'!$C$5:$C$2004,C302,'Saisie'!$AJ$5:$AJ$2004,"&lt;&gt;")-4),""))</f>
        <v/>
      </c>
      <c r="AH302" s="60">
        <f>IF(C302="","",IFERROR(INDEX('Saisie'!$AK$5:$AK$2004,_xlfn.MAXIFS('Saisie'!$AS$5:$AS$2004,'Saisie'!$C$5:$C$2004,C302,'Saisie'!$AK$5:$AK$2004,"&lt;&gt;")-4),""))</f>
        <v/>
      </c>
      <c r="AI302" s="60">
        <f>IF(C302="","",IFERROR(INDEX('Saisie'!$AN$5:$AN$2004,_xlfn.MAXIFS('Saisie'!$AS$5:$AS$2004,'Saisie'!$C$5:$C$2004,C302,'Saisie'!$AN$5:$AN$2004,"&lt;&gt;")-4),""))</f>
        <v/>
      </c>
      <c r="AJ302" s="60">
        <f>IF(C302="","",IFERROR(INDEX('Saisie'!$AO$5:$AO$2004,_xlfn.MAXIFS('Saisie'!$AS$5:$AS$2004,'Saisie'!$C$5:$C$2004,C302,'Saisie'!$AO$5:$AO$2004,"&lt;&gt;")-4),""))</f>
        <v/>
      </c>
      <c r="AK302" s="60">
        <f>IF(C302="","",IFERROR(INDEX('Saisie'!$AP$5:$AP$2004,_xlfn.MAXIFS('Saisie'!$AS$5:$AS$2004,'Saisie'!$C$5:$C$2004,C302,'Saisie'!$AP$5:$AP$2004,"&lt;&gt;")-4),""))</f>
        <v/>
      </c>
      <c r="AL302" s="60">
        <f>IF(C302="","",IFERROR(INDEX('Saisie'!$AQ$5:$AQ$2004,_xlfn.MAXIFS('Saisie'!$AS$5:$AS$2004,'Saisie'!$C$5:$C$2004,C302,'Saisie'!$AQ$5:$AQ$2004,"&lt;&gt;")-4),""))</f>
        <v/>
      </c>
      <c r="AM302" s="60">
        <f>IF(C302="","",((AI302="Oui")+(AJ302="Oui")+(AK302="Oui")+OR(AL302="Immédiat",AL302="&lt; 1 mois"))&amp;"/4")</f>
        <v/>
      </c>
      <c r="AN302" s="60">
        <f>IF(C302="","",IFERROR(INDEX('Saisie'!$AL$5:$AL$2004,_xlfn.MAXIFS('Saisie'!$AS$5:$AS$2004,'Saisie'!$C$5:$C$2004,C302,'Saisie'!$AL$5:$AL$2004,"&lt;&gt;")-4),""))</f>
        <v/>
      </c>
      <c r="AO302" s="62">
        <f>IF(C302="","",IF(IFERROR(INDEX('Saisie'!$AM$5:$AM$2004,_xlfn.MAXIFS('Saisie'!$AS$5:$AS$2004,'Saisie'!$C$5:$C$2004,C302,'Saisie'!$AM$5:$AM$2004,"&lt;&gt;")-4),"")&lt;&gt;"",IFERROR(INDEX('Saisie'!$AM$5:$AM$2004,_xlfn.MAXIFS('Saisie'!$AS$5:$AS$2004,'Saisie'!$C$5:$C$2004,C302,'Saisie'!$AM$5:$AM$2004,"&lt;&gt;")-4),""),IFERROR(INDEX('Paramètres'!$S$6:$S$15,MATCH(AN302,'Paramètres'!$Q$6:$Q$15,0)),"")))</f>
        <v/>
      </c>
      <c r="AP302" s="62">
        <f>IF(C302="","",IFERROR(INDEX('Saisie'!$AW$5:$AW$2004,_xlfn.MAXIFS('Saisie'!$AS$5:$AS$2004,'Saisie'!$C$5:$C$2004,C302,'Saisie'!$E$5:$E$2004,"Proposition envoyée")-4),""))</f>
        <v/>
      </c>
      <c r="AQ302" s="106">
        <f>IF(C302="","",IFERROR(1/(1/_xlfn.MAXIFS('Saisie'!$A$5:$A$2004,'Saisie'!$C$5:$C$2004,C302,'Saisie'!$E$5:$E$2004,"Proposition envoyée")),""))</f>
        <v/>
      </c>
      <c r="AR302" s="106">
        <f>IF(C302="","",IF(AQ302="","",AQ302+'Paramètres'!$B$26))</f>
        <v/>
      </c>
      <c r="AS302" s="62">
        <f>IF(OR(C302="",D302="Gagné",D302="Perdu"),0,N(AP302)*IFERROR(INDEX('Paramètres'!$G$6:$G$13,MATCH(D302,'Paramètres'!$F$6:$F$13,0)),0))</f>
        <v/>
      </c>
      <c r="AT302" s="106">
        <f>IF(C302="","",IFERROR(1/(1/_xlfn.MINIFS('Saisie'!$A$5:$A$2004,'Saisie'!$C$5:$C$2004,C302,'Saisie'!$E$5:$E$2004,"Signature")),""))</f>
        <v/>
      </c>
      <c r="AU302" s="60">
        <f>IF(C302="","",IF(OR(AT302="",B302=""),"",AT302-B302))</f>
        <v/>
      </c>
      <c r="AV302" s="60">
        <f>IF(C302="","",IFERROR(INDEX('Saisie'!$L$5:$L$2004,_xlfn.MAXIFS('Saisie'!$AS$5:$AS$2004,'Saisie'!$C$5:$C$2004,C302,'Saisie'!$L$5:$L$2004,"&lt;&gt;")-4),""))</f>
        <v/>
      </c>
      <c r="AW302" s="106">
        <f>IF(C302="","",IF(D302&lt;&gt;"Perdu","",IFERROR(1/(1/_xlfn.MAXIFS('Saisie'!$A$5:$A$2004,'Saisie'!$C$5:$C$2004,C302,'Saisie'!$E$5:$E$2004,"Perdu")),"")))</f>
        <v/>
      </c>
      <c r="AX302" s="106">
        <f>IF(C302="","",IF(AW302="","",AW302+'Paramètres'!$B$28))</f>
        <v/>
      </c>
      <c r="AY302" s="60">
        <f>IF(C302="","",SUMIFS('Saisie'!$H$5:$H$2004,'Saisie'!$C$5:$C$2004,C302))</f>
        <v/>
      </c>
      <c r="AZ302" s="60">
        <f>IF(C302="","",IFERROR(INDEX('Paramètres'!$W$6:$W$20,MATCH(S302,'Paramètres'!$V$6:$V$20,0))&amp;"",""))</f>
        <v/>
      </c>
      <c r="BA302" s="60">
        <f>IF(C302="","",MAX(1,_xlfn.MAXIFS('Saisie'!$AT$5:$AT$2004,'Saisie'!$C$5:$C$2004,C302)))</f>
        <v/>
      </c>
      <c r="BB302" s="60">
        <f>IF(C302="","",IFERROR(INDEX('Saisie'!$X$5:$X$2004,_xlfn.MAXIFS('Saisie'!$AS$5:$AS$2004,'Saisie'!$C$5:$C$2004,C302,'Saisie'!$X$5:$X$2004,"&lt;&gt;")-4),""))</f>
        <v/>
      </c>
      <c r="BC302" s="60">
        <f>IF(C302="","",IFERROR(INDEX('Saisie'!$Y$5:$Y$2004,_xlfn.MAXIFS('Saisie'!$AS$5:$AS$2004,'Saisie'!$C$5:$C$2004,C302,'Saisie'!$Y$5:$Y$2004,"&lt;&gt;")-4),""))</f>
        <v/>
      </c>
      <c r="BD302" s="106">
        <f>IF(C302="","",IFERROR(1/(1/_xlfn.MINIFS('Saisie'!$A$5:$A$2004,'Saisie'!$C$5:$C$2004,C302,'Saisie'!$AT$5:$AT$2004,"&gt;=2")),""))</f>
        <v/>
      </c>
      <c r="BE302" s="106">
        <f>IF(C302="","",IFERROR(1/(1/_xlfn.MINIFS('Saisie'!$A$5:$A$2004,'Saisie'!$C$5:$C$2004,C302,'Saisie'!$AT$5:$AT$2004,"&gt;=3")),""))</f>
        <v/>
      </c>
      <c r="BF302" s="106">
        <f>IF(C302="","",IFERROR(1/(1/_xlfn.MINIFS('Saisie'!$A$5:$A$2004,'Saisie'!$C$5:$C$2004,C302,'Saisie'!$AT$5:$AT$2004,"&gt;=4")),""))</f>
        <v/>
      </c>
      <c r="BG302" s="106">
        <f>IF(C302="","",IFERROR(1/(1/_xlfn.MINIFS('Saisie'!$A$5:$A$2004,'Saisie'!$C$5:$C$2004,C302,'Saisie'!$AT$5:$AT$2004,"&gt;=5")),""))</f>
        <v/>
      </c>
      <c r="BH302" s="106">
        <f>IF(C302="","",IFERROR(1/(1/_xlfn.MINIFS('Saisie'!$A$5:$A$2004,'Saisie'!$C$5:$C$2004,C302,'Saisie'!$AT$5:$AT$2004,"&gt;=6")),""))</f>
        <v/>
      </c>
      <c r="BI302" s="106">
        <f>IF(C302="","",IFERROR(1/(1/_xlfn.MINIFS('Saisie'!$A$5:$A$2004,'Saisie'!$C$5:$C$2004,C302,'Saisie'!$AT$5:$AT$2004,"&gt;=7")),""))</f>
        <v/>
      </c>
      <c r="BJ302" s="60">
        <f>IF(OR(BD302="",B302=""),"",BD302-B302)</f>
        <v/>
      </c>
      <c r="BK302" s="60">
        <f>IF(OR(BE302="",BD302=""),"",BE302-BD302)</f>
        <v/>
      </c>
      <c r="BL302" s="60">
        <f>IF(OR(BF302="",BE302=""),"",BF302-BE302)</f>
        <v/>
      </c>
      <c r="BM302" s="60">
        <f>IF(OR(BG302="",BF302=""),"",BG302-BF302)</f>
        <v/>
      </c>
      <c r="BN302" s="60">
        <f>IF(OR(BH302="",BG302=""),"",BH302-BG302)</f>
        <v/>
      </c>
      <c r="BO302" s="60">
        <f>IF(OR(BI302="",BH302=""),"",BI302-BH302)</f>
        <v/>
      </c>
      <c r="BP302" s="60">
        <f>IF(C302="","",_xlfn.MAXIFS('Saisie'!$AS$5:$AS$2004,'Saisie'!$C$5:$C$2004,C302,'Saisie'!$J$5:$J$2004,"&lt;&gt;"))</f>
        <v/>
      </c>
      <c r="BQ302" s="60">
        <f>IF(C302="","",_xlfn.MAXIFS('Saisie'!$AS$5:$AS$2004,'Saisie'!$C$5:$C$2004,C302))</f>
        <v/>
      </c>
      <c r="BR302" s="60">
        <f>IF(C302="","",_xlfn.MAXIFS('Saisie'!$AS$5:$AS$2004,'Saisie'!$C$5:$C$2004,C302,'Saisie'!$E$5:$E$2004,"Perdu"))</f>
        <v/>
      </c>
      <c r="BS302" s="60">
        <f>IF(C302="","",_xlfn.MAXIFS('Saisie'!$AS$5:$AS$2004,'Saisie'!$C$5:$C$2004,C302,'Saisie'!$AT$5:$AT$2004,"&gt;0"))</f>
        <v/>
      </c>
      <c r="BT302" s="109">
        <f>IF(AND(C302&lt;&gt;"",OR(D302="Nouveau",D302="Contacté",D302="Qualifié"),OR(G302="",N(G302)&lt;=TODAY()),NOT(AND(O302&gt;='Paramètres'!$B$21,P302=0))),E302+298/10000,"")</f>
        <v/>
      </c>
      <c r="BU302" s="60">
        <f>IF(AND(G302&lt;&gt;"",N(G302)&lt;=TODAY()),MAX($BU$4:BU301)+1,"")</f>
        <v/>
      </c>
      <c r="BV302" s="60">
        <f>IF(AND(F302&lt;&gt;"",F302&lt;&gt;"Relance en retard"),MAX($BV$4:BV301)+1,"")</f>
        <v/>
      </c>
      <c r="BW302" s="60">
        <f>IF(C302="","",IF(AND(B302&gt;='Tableau de bord'!$R$4,B302&lt;='Tableau de bord'!$S$4,OR('Tableau de bord'!$G$4="Tous",N302='Tableau de bord'!$G$4)),1,0))</f>
        <v/>
      </c>
      <c r="BX302" s="60">
        <f>IF(AND(C302&lt;&gt;"",N(BA302)=7),MAX($BX$4:BX301)+1,"")</f>
        <v/>
      </c>
    </row>
    <row r="303">
      <c r="A303" s="60">
        <f>IF(C303="","","P-"&amp;TEXT(299,"000"))</f>
        <v/>
      </c>
      <c r="B303" s="106">
        <f>IF(C303="","",IFERROR(1/(1/_xlfn.MINIFS('Saisie'!$A$5:$A$2004,'Saisie'!$C$5:$C$2004,C303)),""))</f>
        <v/>
      </c>
      <c r="C303" s="60">
        <f>IFERROR(INDEX('Saisie'!$C$5:$C$2004,MATCH(299,'Saisie'!$AX$5:$AX$2004,0)),"")</f>
        <v/>
      </c>
      <c r="D303" s="60">
        <f>IF(C303="","",IF(AND(BR303&gt;0,BR303&gt;BS303,BA303&lt;7),"Perdu",INDEX('Paramètres'!$F$6:$F$13,BA303)))</f>
        <v/>
      </c>
      <c r="E303" s="61">
        <f>IF(C303="","",MIN(100,(Z303="Oui")*'Paramètres'!$B$38+(AB303="Régulière")*'Paramètres'!$B$39+IF(AND(N(AA303)&gt;0,TODAY()-N(AA303)&lt;=30),'Paramètres'!$B$40,0)+(W303="")*'Paramètres'!$B$41+(AC303="Absente")*'Paramètres'!$B$42+(AC303="Faible")*'Paramètres'!$B$43+IF(AND(N(AD303)&gt;0,N(AD303)&lt;4),'Paramètres'!$B$44,0)+(AF303="Moyenne")*'Paramètres'!$B$45+(AF303="Grande")*'Paramètres'!$B$46+(Y303&lt;&gt;"")*'Paramètres'!$B$47))</f>
        <v/>
      </c>
      <c r="F303" s="60">
        <f>IF(C303="","",IF(D303="Gagné","",IF(D303="Perdu",IF(AND(AX303&lt;&gt;"",AX303&lt;=TODAY()),"À recontacter (perdu)",""),IF(AND(O303&gt;='Paramètres'!$B$21,P303=0),"Stop : "&amp;'Paramètres'!$B$21&amp;" tentatives sans réponse",IF(AND(D303="Proposition",AR303&lt;&gt;"",TODAY()&gt;N(AR303)),"Proposition expirée",IF(AND(D303="Proposition",N(R303)&gt;='Paramètres'!$B$25),"Proposition sans réponse",IF(AND(G303&lt;&gt;"",N(G303)&lt;TODAY()),"Relance en retard",IF(N(R303)&gt;='Paramètres'!$B$24,"Sans action depuis "&amp;R303&amp;" j",""))))))))</f>
        <v/>
      </c>
      <c r="G303" s="106">
        <f>IF(OR(C303="",D303="Gagné",D303="Perdu"),"",IF(AND(BP303&gt;0,BP303=BQ303),INDEX('Saisie'!$J$5:$J$2004,BP303-4),IF(OR(O303=0,AND(O303&gt;='Paramètres'!$B$21,P303=0)),"",Q303+IF(O303&lt;=1,'Paramètres'!$B$18,IF(O303=2,'Paramètres'!$B$19,'Paramètres'!$B$20)))))</f>
        <v/>
      </c>
      <c r="H303" s="107">
        <f>IF(OR(G303="",BP303&lt;&gt;BQ303),"",IF(INDEX('Saisie'!$K$5:$K$2004,BP303-4)="","",INDEX('Saisie'!$K$5:$K$2004,BP303-4)))</f>
        <v/>
      </c>
      <c r="I303" s="60">
        <f>IF(C303="","",IF(OR(D303="Gagné",D303="Perdu"),"",IFERROR(INDEX('Saisie'!$I$5:$I$2004,_xlfn.MAXIFS('Saisie'!$AS$5:$AS$2004,'Saisie'!$C$5:$C$2004,C303,'Saisie'!$I$5:$I$2004,"&lt;&gt;")-4),"")))</f>
        <v/>
      </c>
      <c r="J303" s="60">
        <f>IF(C303="","",IFERROR(INDEX('Saisie'!$U$5:$U$2004,_xlfn.MAXIFS('Saisie'!$AS$5:$AS$2004,'Saisie'!$C$5:$C$2004,C303,'Saisie'!$U$5:$U$2004,"&lt;&gt;")-4),""))</f>
        <v/>
      </c>
      <c r="K303" s="60">
        <f>IF(C303="","",IFERROR(INDEX('Saisie'!$W$5:$W$2004,_xlfn.MAXIFS('Saisie'!$AS$5:$AS$2004,'Saisie'!$C$5:$C$2004,C303,'Saisie'!$W$5:$W$2004,"&lt;&gt;")-4),""))</f>
        <v/>
      </c>
      <c r="L303" s="60">
        <f>IF(IF(BB303&lt;&gt;"",BB303,K303)="","",HYPERLINK("https://wa.me/"&amp;IF(LEFT(SUBSTITUTE(SUBSTITUTE(SUBSTITUTE(IF(BB303&lt;&gt;"",BB303,K303)," ",""),".",""),"+",""),1)="0",'Paramètres'!$B$35&amp;MID(SUBSTITUTE(SUBSTITUTE(SUBSTITUTE(IF(BB303&lt;&gt;"",BB303,K303)," ",""),".",""),"+",""),2,20),SUBSTITUTE(SUBSTITUTE(SUBSTITUTE(IF(BB303&lt;&gt;"",BB303,K303)," ",""),".",""),"+","")),"WhatsApp"))</f>
        <v/>
      </c>
      <c r="M303" s="60">
        <f>IF(BC303="","",HYPERLINK(IF(LEFT(BC303,4)="http",BC303,"https://www.instagram.com/"&amp;SUBSTITUTE(SUBSTITUTE(BC303,"@","")," ","")),BC303))</f>
        <v/>
      </c>
      <c r="N303" s="60">
        <f>IF(C303="","",IFERROR(INDEX('Saisie'!$D$5:$D$2004,_xlfn.MINIFS('Saisie'!$AS$5:$AS$2004,'Saisie'!$C$5:$C$2004,C303,'Saisie'!$AU$5:$AU$2004,1)-4),IFERROR(INDEX('Saisie'!$D$5:$D$2004,_xlfn.MINIFS('Saisie'!$AS$5:$AS$2004,'Saisie'!$C$5:$C$2004,C303,'Saisie'!$D$5:$D$2004,"&lt;&gt;")-4),"")))</f>
        <v/>
      </c>
      <c r="O303" s="60">
        <f>IF(C303="","",COUNTIFS('Saisie'!$C$5:$C$2004,C303,'Saisie'!$AU$5:$AU$2004,1))</f>
        <v/>
      </c>
      <c r="P303" s="60">
        <f>IF(C303="","",COUNTIFS('Saisie'!$C$5:$C$2004,C303,'Saisie'!$AV$5:$AV$2004,1))</f>
        <v/>
      </c>
      <c r="Q303" s="106">
        <f>IF(C303="","",IFERROR(1/(1/_xlfn.MAXIFS('Saisie'!$A$5:$A$2004,'Saisie'!$C$5:$C$2004,C303)),""))</f>
        <v/>
      </c>
      <c r="R303" s="61">
        <f>IF(C303="","",IF(Q303="","",TODAY()-Q303))</f>
        <v/>
      </c>
      <c r="S303" s="60">
        <f>IF(C303="","",IFERROR(INDEX('Saisie'!$R$5:$R$2004,_xlfn.MAXIFS('Saisie'!$AS$5:$AS$2004,'Saisie'!$C$5:$C$2004,C303,'Saisie'!$R$5:$R$2004,"&lt;&gt;")-4),""))</f>
        <v/>
      </c>
      <c r="T303" s="60">
        <f>IF(C303="","",IFERROR(INDEX('Saisie'!$S$5:$S$2004,_xlfn.MAXIFS('Saisie'!$AS$5:$AS$2004,'Saisie'!$C$5:$C$2004,C303,'Saisie'!$S$5:$S$2004,"&lt;&gt;")-4),""))</f>
        <v/>
      </c>
      <c r="U303" s="60">
        <f>IF(C303="","",IFERROR(INDEX('Saisie'!$T$5:$T$2004,_xlfn.MAXIFS('Saisie'!$AS$5:$AS$2004,'Saisie'!$C$5:$C$2004,C303,'Saisie'!$T$5:$T$2004,"&lt;&gt;")-4),""))</f>
        <v/>
      </c>
      <c r="V303" s="60">
        <f>IF(C303="","",IFERROR(INDEX('Saisie'!$V$5:$V$2004,_xlfn.MAXIFS('Saisie'!$AS$5:$AS$2004,'Saisie'!$C$5:$C$2004,C303,'Saisie'!$V$5:$V$2004,"&lt;&gt;")-4),""))</f>
        <v/>
      </c>
      <c r="W303" s="60">
        <f>IF(C303="","",IFERROR(INDEX('Saisie'!$Z$5:$Z$2004,_xlfn.MAXIFS('Saisie'!$AS$5:$AS$2004,'Saisie'!$C$5:$C$2004,C303,'Saisie'!$Z$5:$Z$2004,"&lt;&gt;")-4),""))</f>
        <v/>
      </c>
      <c r="X303" s="60">
        <f>IF(C303="","",IFERROR(INDEX('Saisie'!$AA$5:$AA$2004,_xlfn.MAXIFS('Saisie'!$AS$5:$AS$2004,'Saisie'!$C$5:$C$2004,C303,'Saisie'!$AA$5:$AA$2004,"&lt;&gt;")-4),""))</f>
        <v/>
      </c>
      <c r="Y303" s="60">
        <f>IF(C303="","",IFERROR(INDEX('Saisie'!$AB$5:$AB$2004,_xlfn.MAXIFS('Saisie'!$AS$5:$AS$2004,'Saisie'!$C$5:$C$2004,C303,'Saisie'!$AB$5:$AB$2004,"&lt;&gt;")-4),""))</f>
        <v/>
      </c>
      <c r="Z303" s="60">
        <f>IF(C303="","",IFERROR(INDEX('Saisie'!$AC$5:$AC$2004,_xlfn.MAXIFS('Saisie'!$AS$5:$AS$2004,'Saisie'!$C$5:$C$2004,C303,'Saisie'!$AC$5:$AC$2004,"&lt;&gt;")-4),""))</f>
        <v/>
      </c>
      <c r="AA303" s="106">
        <f>IF(C303="","",IFERROR(INDEX('Saisie'!$AD$5:$AD$2004,_xlfn.MAXIFS('Saisie'!$AS$5:$AS$2004,'Saisie'!$C$5:$C$2004,C303,'Saisie'!$AD$5:$AD$2004,"&lt;&gt;")-4),""))</f>
        <v/>
      </c>
      <c r="AB303" s="60">
        <f>IF(C303="","",IFERROR(INDEX('Saisie'!$AE$5:$AE$2004,_xlfn.MAXIFS('Saisie'!$AS$5:$AS$2004,'Saisie'!$C$5:$C$2004,C303,'Saisie'!$AE$5:$AE$2004,"&lt;&gt;")-4),""))</f>
        <v/>
      </c>
      <c r="AC303" s="60">
        <f>IF(C303="","",IFERROR(INDEX('Saisie'!$AF$5:$AF$2004,_xlfn.MAXIFS('Saisie'!$AS$5:$AS$2004,'Saisie'!$C$5:$C$2004,C303,'Saisie'!$AF$5:$AF$2004,"&lt;&gt;")-4),""))</f>
        <v/>
      </c>
      <c r="AD303" s="108">
        <f>IF(C303="","",IFERROR(INDEX('Saisie'!$AG$5:$AG$2004,_xlfn.MAXIFS('Saisie'!$AS$5:$AS$2004,'Saisie'!$C$5:$C$2004,C303,'Saisie'!$AG$5:$AG$2004,"&lt;&gt;")-4),""))</f>
        <v/>
      </c>
      <c r="AE303" s="60">
        <f>IF(C303="","",IFERROR(INDEX('Saisie'!$AH$5:$AH$2004,_xlfn.MAXIFS('Saisie'!$AS$5:$AS$2004,'Saisie'!$C$5:$C$2004,C303,'Saisie'!$AH$5:$AH$2004,"&lt;&gt;")-4),""))</f>
        <v/>
      </c>
      <c r="AF303" s="60">
        <f>IF(C303="","",IFERROR(INDEX('Saisie'!$AI$5:$AI$2004,_xlfn.MAXIFS('Saisie'!$AS$5:$AS$2004,'Saisie'!$C$5:$C$2004,C303,'Saisie'!$AI$5:$AI$2004,"&lt;&gt;")-4),""))</f>
        <v/>
      </c>
      <c r="AG303" s="60">
        <f>IF(C303="","",IFERROR(INDEX('Saisie'!$AJ$5:$AJ$2004,_xlfn.MAXIFS('Saisie'!$AS$5:$AS$2004,'Saisie'!$C$5:$C$2004,C303,'Saisie'!$AJ$5:$AJ$2004,"&lt;&gt;")-4),""))</f>
        <v/>
      </c>
      <c r="AH303" s="60">
        <f>IF(C303="","",IFERROR(INDEX('Saisie'!$AK$5:$AK$2004,_xlfn.MAXIFS('Saisie'!$AS$5:$AS$2004,'Saisie'!$C$5:$C$2004,C303,'Saisie'!$AK$5:$AK$2004,"&lt;&gt;")-4),""))</f>
        <v/>
      </c>
      <c r="AI303" s="60">
        <f>IF(C303="","",IFERROR(INDEX('Saisie'!$AN$5:$AN$2004,_xlfn.MAXIFS('Saisie'!$AS$5:$AS$2004,'Saisie'!$C$5:$C$2004,C303,'Saisie'!$AN$5:$AN$2004,"&lt;&gt;")-4),""))</f>
        <v/>
      </c>
      <c r="AJ303" s="60">
        <f>IF(C303="","",IFERROR(INDEX('Saisie'!$AO$5:$AO$2004,_xlfn.MAXIFS('Saisie'!$AS$5:$AS$2004,'Saisie'!$C$5:$C$2004,C303,'Saisie'!$AO$5:$AO$2004,"&lt;&gt;")-4),""))</f>
        <v/>
      </c>
      <c r="AK303" s="60">
        <f>IF(C303="","",IFERROR(INDEX('Saisie'!$AP$5:$AP$2004,_xlfn.MAXIFS('Saisie'!$AS$5:$AS$2004,'Saisie'!$C$5:$C$2004,C303,'Saisie'!$AP$5:$AP$2004,"&lt;&gt;")-4),""))</f>
        <v/>
      </c>
      <c r="AL303" s="60">
        <f>IF(C303="","",IFERROR(INDEX('Saisie'!$AQ$5:$AQ$2004,_xlfn.MAXIFS('Saisie'!$AS$5:$AS$2004,'Saisie'!$C$5:$C$2004,C303,'Saisie'!$AQ$5:$AQ$2004,"&lt;&gt;")-4),""))</f>
        <v/>
      </c>
      <c r="AM303" s="60">
        <f>IF(C303="","",((AI303="Oui")+(AJ303="Oui")+(AK303="Oui")+OR(AL303="Immédiat",AL303="&lt; 1 mois"))&amp;"/4")</f>
        <v/>
      </c>
      <c r="AN303" s="60">
        <f>IF(C303="","",IFERROR(INDEX('Saisie'!$AL$5:$AL$2004,_xlfn.MAXIFS('Saisie'!$AS$5:$AS$2004,'Saisie'!$C$5:$C$2004,C303,'Saisie'!$AL$5:$AL$2004,"&lt;&gt;")-4),""))</f>
        <v/>
      </c>
      <c r="AO303" s="62">
        <f>IF(C303="","",IF(IFERROR(INDEX('Saisie'!$AM$5:$AM$2004,_xlfn.MAXIFS('Saisie'!$AS$5:$AS$2004,'Saisie'!$C$5:$C$2004,C303,'Saisie'!$AM$5:$AM$2004,"&lt;&gt;")-4),"")&lt;&gt;"",IFERROR(INDEX('Saisie'!$AM$5:$AM$2004,_xlfn.MAXIFS('Saisie'!$AS$5:$AS$2004,'Saisie'!$C$5:$C$2004,C303,'Saisie'!$AM$5:$AM$2004,"&lt;&gt;")-4),""),IFERROR(INDEX('Paramètres'!$S$6:$S$15,MATCH(AN303,'Paramètres'!$Q$6:$Q$15,0)),"")))</f>
        <v/>
      </c>
      <c r="AP303" s="62">
        <f>IF(C303="","",IFERROR(INDEX('Saisie'!$AW$5:$AW$2004,_xlfn.MAXIFS('Saisie'!$AS$5:$AS$2004,'Saisie'!$C$5:$C$2004,C303,'Saisie'!$E$5:$E$2004,"Proposition envoyée")-4),""))</f>
        <v/>
      </c>
      <c r="AQ303" s="106">
        <f>IF(C303="","",IFERROR(1/(1/_xlfn.MAXIFS('Saisie'!$A$5:$A$2004,'Saisie'!$C$5:$C$2004,C303,'Saisie'!$E$5:$E$2004,"Proposition envoyée")),""))</f>
        <v/>
      </c>
      <c r="AR303" s="106">
        <f>IF(C303="","",IF(AQ303="","",AQ303+'Paramètres'!$B$26))</f>
        <v/>
      </c>
      <c r="AS303" s="62">
        <f>IF(OR(C303="",D303="Gagné",D303="Perdu"),0,N(AP303)*IFERROR(INDEX('Paramètres'!$G$6:$G$13,MATCH(D303,'Paramètres'!$F$6:$F$13,0)),0))</f>
        <v/>
      </c>
      <c r="AT303" s="106">
        <f>IF(C303="","",IFERROR(1/(1/_xlfn.MINIFS('Saisie'!$A$5:$A$2004,'Saisie'!$C$5:$C$2004,C303,'Saisie'!$E$5:$E$2004,"Signature")),""))</f>
        <v/>
      </c>
      <c r="AU303" s="60">
        <f>IF(C303="","",IF(OR(AT303="",B303=""),"",AT303-B303))</f>
        <v/>
      </c>
      <c r="AV303" s="60">
        <f>IF(C303="","",IFERROR(INDEX('Saisie'!$L$5:$L$2004,_xlfn.MAXIFS('Saisie'!$AS$5:$AS$2004,'Saisie'!$C$5:$C$2004,C303,'Saisie'!$L$5:$L$2004,"&lt;&gt;")-4),""))</f>
        <v/>
      </c>
      <c r="AW303" s="106">
        <f>IF(C303="","",IF(D303&lt;&gt;"Perdu","",IFERROR(1/(1/_xlfn.MAXIFS('Saisie'!$A$5:$A$2004,'Saisie'!$C$5:$C$2004,C303,'Saisie'!$E$5:$E$2004,"Perdu")),"")))</f>
        <v/>
      </c>
      <c r="AX303" s="106">
        <f>IF(C303="","",IF(AW303="","",AW303+'Paramètres'!$B$28))</f>
        <v/>
      </c>
      <c r="AY303" s="60">
        <f>IF(C303="","",SUMIFS('Saisie'!$H$5:$H$2004,'Saisie'!$C$5:$C$2004,C303))</f>
        <v/>
      </c>
      <c r="AZ303" s="60">
        <f>IF(C303="","",IFERROR(INDEX('Paramètres'!$W$6:$W$20,MATCH(S303,'Paramètres'!$V$6:$V$20,0))&amp;"",""))</f>
        <v/>
      </c>
      <c r="BA303" s="60">
        <f>IF(C303="","",MAX(1,_xlfn.MAXIFS('Saisie'!$AT$5:$AT$2004,'Saisie'!$C$5:$C$2004,C303)))</f>
        <v/>
      </c>
      <c r="BB303" s="60">
        <f>IF(C303="","",IFERROR(INDEX('Saisie'!$X$5:$X$2004,_xlfn.MAXIFS('Saisie'!$AS$5:$AS$2004,'Saisie'!$C$5:$C$2004,C303,'Saisie'!$X$5:$X$2004,"&lt;&gt;")-4),""))</f>
        <v/>
      </c>
      <c r="BC303" s="60">
        <f>IF(C303="","",IFERROR(INDEX('Saisie'!$Y$5:$Y$2004,_xlfn.MAXIFS('Saisie'!$AS$5:$AS$2004,'Saisie'!$C$5:$C$2004,C303,'Saisie'!$Y$5:$Y$2004,"&lt;&gt;")-4),""))</f>
        <v/>
      </c>
      <c r="BD303" s="106">
        <f>IF(C303="","",IFERROR(1/(1/_xlfn.MINIFS('Saisie'!$A$5:$A$2004,'Saisie'!$C$5:$C$2004,C303,'Saisie'!$AT$5:$AT$2004,"&gt;=2")),""))</f>
        <v/>
      </c>
      <c r="BE303" s="106">
        <f>IF(C303="","",IFERROR(1/(1/_xlfn.MINIFS('Saisie'!$A$5:$A$2004,'Saisie'!$C$5:$C$2004,C303,'Saisie'!$AT$5:$AT$2004,"&gt;=3")),""))</f>
        <v/>
      </c>
      <c r="BF303" s="106">
        <f>IF(C303="","",IFERROR(1/(1/_xlfn.MINIFS('Saisie'!$A$5:$A$2004,'Saisie'!$C$5:$C$2004,C303,'Saisie'!$AT$5:$AT$2004,"&gt;=4")),""))</f>
        <v/>
      </c>
      <c r="BG303" s="106">
        <f>IF(C303="","",IFERROR(1/(1/_xlfn.MINIFS('Saisie'!$A$5:$A$2004,'Saisie'!$C$5:$C$2004,C303,'Saisie'!$AT$5:$AT$2004,"&gt;=5")),""))</f>
        <v/>
      </c>
      <c r="BH303" s="106">
        <f>IF(C303="","",IFERROR(1/(1/_xlfn.MINIFS('Saisie'!$A$5:$A$2004,'Saisie'!$C$5:$C$2004,C303,'Saisie'!$AT$5:$AT$2004,"&gt;=6")),""))</f>
        <v/>
      </c>
      <c r="BI303" s="106">
        <f>IF(C303="","",IFERROR(1/(1/_xlfn.MINIFS('Saisie'!$A$5:$A$2004,'Saisie'!$C$5:$C$2004,C303,'Saisie'!$AT$5:$AT$2004,"&gt;=7")),""))</f>
        <v/>
      </c>
      <c r="BJ303" s="60">
        <f>IF(OR(BD303="",B303=""),"",BD303-B303)</f>
        <v/>
      </c>
      <c r="BK303" s="60">
        <f>IF(OR(BE303="",BD303=""),"",BE303-BD303)</f>
        <v/>
      </c>
      <c r="BL303" s="60">
        <f>IF(OR(BF303="",BE303=""),"",BF303-BE303)</f>
        <v/>
      </c>
      <c r="BM303" s="60">
        <f>IF(OR(BG303="",BF303=""),"",BG303-BF303)</f>
        <v/>
      </c>
      <c r="BN303" s="60">
        <f>IF(OR(BH303="",BG303=""),"",BH303-BG303)</f>
        <v/>
      </c>
      <c r="BO303" s="60">
        <f>IF(OR(BI303="",BH303=""),"",BI303-BH303)</f>
        <v/>
      </c>
      <c r="BP303" s="60">
        <f>IF(C303="","",_xlfn.MAXIFS('Saisie'!$AS$5:$AS$2004,'Saisie'!$C$5:$C$2004,C303,'Saisie'!$J$5:$J$2004,"&lt;&gt;"))</f>
        <v/>
      </c>
      <c r="BQ303" s="60">
        <f>IF(C303="","",_xlfn.MAXIFS('Saisie'!$AS$5:$AS$2004,'Saisie'!$C$5:$C$2004,C303))</f>
        <v/>
      </c>
      <c r="BR303" s="60">
        <f>IF(C303="","",_xlfn.MAXIFS('Saisie'!$AS$5:$AS$2004,'Saisie'!$C$5:$C$2004,C303,'Saisie'!$E$5:$E$2004,"Perdu"))</f>
        <v/>
      </c>
      <c r="BS303" s="60">
        <f>IF(C303="","",_xlfn.MAXIFS('Saisie'!$AS$5:$AS$2004,'Saisie'!$C$5:$C$2004,C303,'Saisie'!$AT$5:$AT$2004,"&gt;0"))</f>
        <v/>
      </c>
      <c r="BT303" s="109">
        <f>IF(AND(C303&lt;&gt;"",OR(D303="Nouveau",D303="Contacté",D303="Qualifié"),OR(G303="",N(G303)&lt;=TODAY()),NOT(AND(O303&gt;='Paramètres'!$B$21,P303=0))),E303+299/10000,"")</f>
        <v/>
      </c>
      <c r="BU303" s="60">
        <f>IF(AND(G303&lt;&gt;"",N(G303)&lt;=TODAY()),MAX($BU$4:BU302)+1,"")</f>
        <v/>
      </c>
      <c r="BV303" s="60">
        <f>IF(AND(F303&lt;&gt;"",F303&lt;&gt;"Relance en retard"),MAX($BV$4:BV302)+1,"")</f>
        <v/>
      </c>
      <c r="BW303" s="60">
        <f>IF(C303="","",IF(AND(B303&gt;='Tableau de bord'!$R$4,B303&lt;='Tableau de bord'!$S$4,OR('Tableau de bord'!$G$4="Tous",N303='Tableau de bord'!$G$4)),1,0))</f>
        <v/>
      </c>
      <c r="BX303" s="60">
        <f>IF(AND(C303&lt;&gt;"",N(BA303)=7),MAX($BX$4:BX302)+1,"")</f>
        <v/>
      </c>
    </row>
    <row r="304">
      <c r="A304" s="60">
        <f>IF(C304="","","P-"&amp;TEXT(300,"000"))</f>
        <v/>
      </c>
      <c r="B304" s="106">
        <f>IF(C304="","",IFERROR(1/(1/_xlfn.MINIFS('Saisie'!$A$5:$A$2004,'Saisie'!$C$5:$C$2004,C304)),""))</f>
        <v/>
      </c>
      <c r="C304" s="60">
        <f>IFERROR(INDEX('Saisie'!$C$5:$C$2004,MATCH(300,'Saisie'!$AX$5:$AX$2004,0)),"")</f>
        <v/>
      </c>
      <c r="D304" s="60">
        <f>IF(C304="","",IF(AND(BR304&gt;0,BR304&gt;BS304,BA304&lt;7),"Perdu",INDEX('Paramètres'!$F$6:$F$13,BA304)))</f>
        <v/>
      </c>
      <c r="E304" s="61">
        <f>IF(C304="","",MIN(100,(Z304="Oui")*'Paramètres'!$B$38+(AB304="Régulière")*'Paramètres'!$B$39+IF(AND(N(AA304)&gt;0,TODAY()-N(AA304)&lt;=30),'Paramètres'!$B$40,0)+(W304="")*'Paramètres'!$B$41+(AC304="Absente")*'Paramètres'!$B$42+(AC304="Faible")*'Paramètres'!$B$43+IF(AND(N(AD304)&gt;0,N(AD304)&lt;4),'Paramètres'!$B$44,0)+(AF304="Moyenne")*'Paramètres'!$B$45+(AF304="Grande")*'Paramètres'!$B$46+(Y304&lt;&gt;"")*'Paramètres'!$B$47))</f>
        <v/>
      </c>
      <c r="F304" s="60">
        <f>IF(C304="","",IF(D304="Gagné","",IF(D304="Perdu",IF(AND(AX304&lt;&gt;"",AX304&lt;=TODAY()),"À recontacter (perdu)",""),IF(AND(O304&gt;='Paramètres'!$B$21,P304=0),"Stop : "&amp;'Paramètres'!$B$21&amp;" tentatives sans réponse",IF(AND(D304="Proposition",AR304&lt;&gt;"",TODAY()&gt;N(AR304)),"Proposition expirée",IF(AND(D304="Proposition",N(R304)&gt;='Paramètres'!$B$25),"Proposition sans réponse",IF(AND(G304&lt;&gt;"",N(G304)&lt;TODAY()),"Relance en retard",IF(N(R304)&gt;='Paramètres'!$B$24,"Sans action depuis "&amp;R304&amp;" j",""))))))))</f>
        <v/>
      </c>
      <c r="G304" s="106">
        <f>IF(OR(C304="",D304="Gagné",D304="Perdu"),"",IF(AND(BP304&gt;0,BP304=BQ304),INDEX('Saisie'!$J$5:$J$2004,BP304-4),IF(OR(O304=0,AND(O304&gt;='Paramètres'!$B$21,P304=0)),"",Q304+IF(O304&lt;=1,'Paramètres'!$B$18,IF(O304=2,'Paramètres'!$B$19,'Paramètres'!$B$20)))))</f>
        <v/>
      </c>
      <c r="H304" s="107">
        <f>IF(OR(G304="",BP304&lt;&gt;BQ304),"",IF(INDEX('Saisie'!$K$5:$K$2004,BP304-4)="","",INDEX('Saisie'!$K$5:$K$2004,BP304-4)))</f>
        <v/>
      </c>
      <c r="I304" s="60">
        <f>IF(C304="","",IF(OR(D304="Gagné",D304="Perdu"),"",IFERROR(INDEX('Saisie'!$I$5:$I$2004,_xlfn.MAXIFS('Saisie'!$AS$5:$AS$2004,'Saisie'!$C$5:$C$2004,C304,'Saisie'!$I$5:$I$2004,"&lt;&gt;")-4),"")))</f>
        <v/>
      </c>
      <c r="J304" s="60">
        <f>IF(C304="","",IFERROR(INDEX('Saisie'!$U$5:$U$2004,_xlfn.MAXIFS('Saisie'!$AS$5:$AS$2004,'Saisie'!$C$5:$C$2004,C304,'Saisie'!$U$5:$U$2004,"&lt;&gt;")-4),""))</f>
        <v/>
      </c>
      <c r="K304" s="60">
        <f>IF(C304="","",IFERROR(INDEX('Saisie'!$W$5:$W$2004,_xlfn.MAXIFS('Saisie'!$AS$5:$AS$2004,'Saisie'!$C$5:$C$2004,C304,'Saisie'!$W$5:$W$2004,"&lt;&gt;")-4),""))</f>
        <v/>
      </c>
      <c r="L304" s="60">
        <f>IF(IF(BB304&lt;&gt;"",BB304,K304)="","",HYPERLINK("https://wa.me/"&amp;IF(LEFT(SUBSTITUTE(SUBSTITUTE(SUBSTITUTE(IF(BB304&lt;&gt;"",BB304,K304)," ",""),".",""),"+",""),1)="0",'Paramètres'!$B$35&amp;MID(SUBSTITUTE(SUBSTITUTE(SUBSTITUTE(IF(BB304&lt;&gt;"",BB304,K304)," ",""),".",""),"+",""),2,20),SUBSTITUTE(SUBSTITUTE(SUBSTITUTE(IF(BB304&lt;&gt;"",BB304,K304)," ",""),".",""),"+","")),"WhatsApp"))</f>
        <v/>
      </c>
      <c r="M304" s="60">
        <f>IF(BC304="","",HYPERLINK(IF(LEFT(BC304,4)="http",BC304,"https://www.instagram.com/"&amp;SUBSTITUTE(SUBSTITUTE(BC304,"@","")," ","")),BC304))</f>
        <v/>
      </c>
      <c r="N304" s="60">
        <f>IF(C304="","",IFERROR(INDEX('Saisie'!$D$5:$D$2004,_xlfn.MINIFS('Saisie'!$AS$5:$AS$2004,'Saisie'!$C$5:$C$2004,C304,'Saisie'!$AU$5:$AU$2004,1)-4),IFERROR(INDEX('Saisie'!$D$5:$D$2004,_xlfn.MINIFS('Saisie'!$AS$5:$AS$2004,'Saisie'!$C$5:$C$2004,C304,'Saisie'!$D$5:$D$2004,"&lt;&gt;")-4),"")))</f>
        <v/>
      </c>
      <c r="O304" s="60">
        <f>IF(C304="","",COUNTIFS('Saisie'!$C$5:$C$2004,C304,'Saisie'!$AU$5:$AU$2004,1))</f>
        <v/>
      </c>
      <c r="P304" s="60">
        <f>IF(C304="","",COUNTIFS('Saisie'!$C$5:$C$2004,C304,'Saisie'!$AV$5:$AV$2004,1))</f>
        <v/>
      </c>
      <c r="Q304" s="106">
        <f>IF(C304="","",IFERROR(1/(1/_xlfn.MAXIFS('Saisie'!$A$5:$A$2004,'Saisie'!$C$5:$C$2004,C304)),""))</f>
        <v/>
      </c>
      <c r="R304" s="61">
        <f>IF(C304="","",IF(Q304="","",TODAY()-Q304))</f>
        <v/>
      </c>
      <c r="S304" s="60">
        <f>IF(C304="","",IFERROR(INDEX('Saisie'!$R$5:$R$2004,_xlfn.MAXIFS('Saisie'!$AS$5:$AS$2004,'Saisie'!$C$5:$C$2004,C304,'Saisie'!$R$5:$R$2004,"&lt;&gt;")-4),""))</f>
        <v/>
      </c>
      <c r="T304" s="60">
        <f>IF(C304="","",IFERROR(INDEX('Saisie'!$S$5:$S$2004,_xlfn.MAXIFS('Saisie'!$AS$5:$AS$2004,'Saisie'!$C$5:$C$2004,C304,'Saisie'!$S$5:$S$2004,"&lt;&gt;")-4),""))</f>
        <v/>
      </c>
      <c r="U304" s="60">
        <f>IF(C304="","",IFERROR(INDEX('Saisie'!$T$5:$T$2004,_xlfn.MAXIFS('Saisie'!$AS$5:$AS$2004,'Saisie'!$C$5:$C$2004,C304,'Saisie'!$T$5:$T$2004,"&lt;&gt;")-4),""))</f>
        <v/>
      </c>
      <c r="V304" s="60">
        <f>IF(C304="","",IFERROR(INDEX('Saisie'!$V$5:$V$2004,_xlfn.MAXIFS('Saisie'!$AS$5:$AS$2004,'Saisie'!$C$5:$C$2004,C304,'Saisie'!$V$5:$V$2004,"&lt;&gt;")-4),""))</f>
        <v/>
      </c>
      <c r="W304" s="60">
        <f>IF(C304="","",IFERROR(INDEX('Saisie'!$Z$5:$Z$2004,_xlfn.MAXIFS('Saisie'!$AS$5:$AS$2004,'Saisie'!$C$5:$C$2004,C304,'Saisie'!$Z$5:$Z$2004,"&lt;&gt;")-4),""))</f>
        <v/>
      </c>
      <c r="X304" s="60">
        <f>IF(C304="","",IFERROR(INDEX('Saisie'!$AA$5:$AA$2004,_xlfn.MAXIFS('Saisie'!$AS$5:$AS$2004,'Saisie'!$C$5:$C$2004,C304,'Saisie'!$AA$5:$AA$2004,"&lt;&gt;")-4),""))</f>
        <v/>
      </c>
      <c r="Y304" s="60">
        <f>IF(C304="","",IFERROR(INDEX('Saisie'!$AB$5:$AB$2004,_xlfn.MAXIFS('Saisie'!$AS$5:$AS$2004,'Saisie'!$C$5:$C$2004,C304,'Saisie'!$AB$5:$AB$2004,"&lt;&gt;")-4),""))</f>
        <v/>
      </c>
      <c r="Z304" s="60">
        <f>IF(C304="","",IFERROR(INDEX('Saisie'!$AC$5:$AC$2004,_xlfn.MAXIFS('Saisie'!$AS$5:$AS$2004,'Saisie'!$C$5:$C$2004,C304,'Saisie'!$AC$5:$AC$2004,"&lt;&gt;")-4),""))</f>
        <v/>
      </c>
      <c r="AA304" s="106">
        <f>IF(C304="","",IFERROR(INDEX('Saisie'!$AD$5:$AD$2004,_xlfn.MAXIFS('Saisie'!$AS$5:$AS$2004,'Saisie'!$C$5:$C$2004,C304,'Saisie'!$AD$5:$AD$2004,"&lt;&gt;")-4),""))</f>
        <v/>
      </c>
      <c r="AB304" s="60">
        <f>IF(C304="","",IFERROR(INDEX('Saisie'!$AE$5:$AE$2004,_xlfn.MAXIFS('Saisie'!$AS$5:$AS$2004,'Saisie'!$C$5:$C$2004,C304,'Saisie'!$AE$5:$AE$2004,"&lt;&gt;")-4),""))</f>
        <v/>
      </c>
      <c r="AC304" s="60">
        <f>IF(C304="","",IFERROR(INDEX('Saisie'!$AF$5:$AF$2004,_xlfn.MAXIFS('Saisie'!$AS$5:$AS$2004,'Saisie'!$C$5:$C$2004,C304,'Saisie'!$AF$5:$AF$2004,"&lt;&gt;")-4),""))</f>
        <v/>
      </c>
      <c r="AD304" s="108">
        <f>IF(C304="","",IFERROR(INDEX('Saisie'!$AG$5:$AG$2004,_xlfn.MAXIFS('Saisie'!$AS$5:$AS$2004,'Saisie'!$C$5:$C$2004,C304,'Saisie'!$AG$5:$AG$2004,"&lt;&gt;")-4),""))</f>
        <v/>
      </c>
      <c r="AE304" s="60">
        <f>IF(C304="","",IFERROR(INDEX('Saisie'!$AH$5:$AH$2004,_xlfn.MAXIFS('Saisie'!$AS$5:$AS$2004,'Saisie'!$C$5:$C$2004,C304,'Saisie'!$AH$5:$AH$2004,"&lt;&gt;")-4),""))</f>
        <v/>
      </c>
      <c r="AF304" s="60">
        <f>IF(C304="","",IFERROR(INDEX('Saisie'!$AI$5:$AI$2004,_xlfn.MAXIFS('Saisie'!$AS$5:$AS$2004,'Saisie'!$C$5:$C$2004,C304,'Saisie'!$AI$5:$AI$2004,"&lt;&gt;")-4),""))</f>
        <v/>
      </c>
      <c r="AG304" s="60">
        <f>IF(C304="","",IFERROR(INDEX('Saisie'!$AJ$5:$AJ$2004,_xlfn.MAXIFS('Saisie'!$AS$5:$AS$2004,'Saisie'!$C$5:$C$2004,C304,'Saisie'!$AJ$5:$AJ$2004,"&lt;&gt;")-4),""))</f>
        <v/>
      </c>
      <c r="AH304" s="60">
        <f>IF(C304="","",IFERROR(INDEX('Saisie'!$AK$5:$AK$2004,_xlfn.MAXIFS('Saisie'!$AS$5:$AS$2004,'Saisie'!$C$5:$C$2004,C304,'Saisie'!$AK$5:$AK$2004,"&lt;&gt;")-4),""))</f>
        <v/>
      </c>
      <c r="AI304" s="60">
        <f>IF(C304="","",IFERROR(INDEX('Saisie'!$AN$5:$AN$2004,_xlfn.MAXIFS('Saisie'!$AS$5:$AS$2004,'Saisie'!$C$5:$C$2004,C304,'Saisie'!$AN$5:$AN$2004,"&lt;&gt;")-4),""))</f>
        <v/>
      </c>
      <c r="AJ304" s="60">
        <f>IF(C304="","",IFERROR(INDEX('Saisie'!$AO$5:$AO$2004,_xlfn.MAXIFS('Saisie'!$AS$5:$AS$2004,'Saisie'!$C$5:$C$2004,C304,'Saisie'!$AO$5:$AO$2004,"&lt;&gt;")-4),""))</f>
        <v/>
      </c>
      <c r="AK304" s="60">
        <f>IF(C304="","",IFERROR(INDEX('Saisie'!$AP$5:$AP$2004,_xlfn.MAXIFS('Saisie'!$AS$5:$AS$2004,'Saisie'!$C$5:$C$2004,C304,'Saisie'!$AP$5:$AP$2004,"&lt;&gt;")-4),""))</f>
        <v/>
      </c>
      <c r="AL304" s="60">
        <f>IF(C304="","",IFERROR(INDEX('Saisie'!$AQ$5:$AQ$2004,_xlfn.MAXIFS('Saisie'!$AS$5:$AS$2004,'Saisie'!$C$5:$C$2004,C304,'Saisie'!$AQ$5:$AQ$2004,"&lt;&gt;")-4),""))</f>
        <v/>
      </c>
      <c r="AM304" s="60">
        <f>IF(C304="","",((AI304="Oui")+(AJ304="Oui")+(AK304="Oui")+OR(AL304="Immédiat",AL304="&lt; 1 mois"))&amp;"/4")</f>
        <v/>
      </c>
      <c r="AN304" s="60">
        <f>IF(C304="","",IFERROR(INDEX('Saisie'!$AL$5:$AL$2004,_xlfn.MAXIFS('Saisie'!$AS$5:$AS$2004,'Saisie'!$C$5:$C$2004,C304,'Saisie'!$AL$5:$AL$2004,"&lt;&gt;")-4),""))</f>
        <v/>
      </c>
      <c r="AO304" s="62">
        <f>IF(C304="","",IF(IFERROR(INDEX('Saisie'!$AM$5:$AM$2004,_xlfn.MAXIFS('Saisie'!$AS$5:$AS$2004,'Saisie'!$C$5:$C$2004,C304,'Saisie'!$AM$5:$AM$2004,"&lt;&gt;")-4),"")&lt;&gt;"",IFERROR(INDEX('Saisie'!$AM$5:$AM$2004,_xlfn.MAXIFS('Saisie'!$AS$5:$AS$2004,'Saisie'!$C$5:$C$2004,C304,'Saisie'!$AM$5:$AM$2004,"&lt;&gt;")-4),""),IFERROR(INDEX('Paramètres'!$S$6:$S$15,MATCH(AN304,'Paramètres'!$Q$6:$Q$15,0)),"")))</f>
        <v/>
      </c>
      <c r="AP304" s="62">
        <f>IF(C304="","",IFERROR(INDEX('Saisie'!$AW$5:$AW$2004,_xlfn.MAXIFS('Saisie'!$AS$5:$AS$2004,'Saisie'!$C$5:$C$2004,C304,'Saisie'!$E$5:$E$2004,"Proposition envoyée")-4),""))</f>
        <v/>
      </c>
      <c r="AQ304" s="106">
        <f>IF(C304="","",IFERROR(1/(1/_xlfn.MAXIFS('Saisie'!$A$5:$A$2004,'Saisie'!$C$5:$C$2004,C304,'Saisie'!$E$5:$E$2004,"Proposition envoyée")),""))</f>
        <v/>
      </c>
      <c r="AR304" s="106">
        <f>IF(C304="","",IF(AQ304="","",AQ304+'Paramètres'!$B$26))</f>
        <v/>
      </c>
      <c r="AS304" s="62">
        <f>IF(OR(C304="",D304="Gagné",D304="Perdu"),0,N(AP304)*IFERROR(INDEX('Paramètres'!$G$6:$G$13,MATCH(D304,'Paramètres'!$F$6:$F$13,0)),0))</f>
        <v/>
      </c>
      <c r="AT304" s="106">
        <f>IF(C304="","",IFERROR(1/(1/_xlfn.MINIFS('Saisie'!$A$5:$A$2004,'Saisie'!$C$5:$C$2004,C304,'Saisie'!$E$5:$E$2004,"Signature")),""))</f>
        <v/>
      </c>
      <c r="AU304" s="60">
        <f>IF(C304="","",IF(OR(AT304="",B304=""),"",AT304-B304))</f>
        <v/>
      </c>
      <c r="AV304" s="60">
        <f>IF(C304="","",IFERROR(INDEX('Saisie'!$L$5:$L$2004,_xlfn.MAXIFS('Saisie'!$AS$5:$AS$2004,'Saisie'!$C$5:$C$2004,C304,'Saisie'!$L$5:$L$2004,"&lt;&gt;")-4),""))</f>
        <v/>
      </c>
      <c r="AW304" s="106">
        <f>IF(C304="","",IF(D304&lt;&gt;"Perdu","",IFERROR(1/(1/_xlfn.MAXIFS('Saisie'!$A$5:$A$2004,'Saisie'!$C$5:$C$2004,C304,'Saisie'!$E$5:$E$2004,"Perdu")),"")))</f>
        <v/>
      </c>
      <c r="AX304" s="106">
        <f>IF(C304="","",IF(AW304="","",AW304+'Paramètres'!$B$28))</f>
        <v/>
      </c>
      <c r="AY304" s="60">
        <f>IF(C304="","",SUMIFS('Saisie'!$H$5:$H$2004,'Saisie'!$C$5:$C$2004,C304))</f>
        <v/>
      </c>
      <c r="AZ304" s="60">
        <f>IF(C304="","",IFERROR(INDEX('Paramètres'!$W$6:$W$20,MATCH(S304,'Paramètres'!$V$6:$V$20,0))&amp;"",""))</f>
        <v/>
      </c>
      <c r="BA304" s="60">
        <f>IF(C304="","",MAX(1,_xlfn.MAXIFS('Saisie'!$AT$5:$AT$2004,'Saisie'!$C$5:$C$2004,C304)))</f>
        <v/>
      </c>
      <c r="BB304" s="60">
        <f>IF(C304="","",IFERROR(INDEX('Saisie'!$X$5:$X$2004,_xlfn.MAXIFS('Saisie'!$AS$5:$AS$2004,'Saisie'!$C$5:$C$2004,C304,'Saisie'!$X$5:$X$2004,"&lt;&gt;")-4),""))</f>
        <v/>
      </c>
      <c r="BC304" s="60">
        <f>IF(C304="","",IFERROR(INDEX('Saisie'!$Y$5:$Y$2004,_xlfn.MAXIFS('Saisie'!$AS$5:$AS$2004,'Saisie'!$C$5:$C$2004,C304,'Saisie'!$Y$5:$Y$2004,"&lt;&gt;")-4),""))</f>
        <v/>
      </c>
      <c r="BD304" s="106">
        <f>IF(C304="","",IFERROR(1/(1/_xlfn.MINIFS('Saisie'!$A$5:$A$2004,'Saisie'!$C$5:$C$2004,C304,'Saisie'!$AT$5:$AT$2004,"&gt;=2")),""))</f>
        <v/>
      </c>
      <c r="BE304" s="106">
        <f>IF(C304="","",IFERROR(1/(1/_xlfn.MINIFS('Saisie'!$A$5:$A$2004,'Saisie'!$C$5:$C$2004,C304,'Saisie'!$AT$5:$AT$2004,"&gt;=3")),""))</f>
        <v/>
      </c>
      <c r="BF304" s="106">
        <f>IF(C304="","",IFERROR(1/(1/_xlfn.MINIFS('Saisie'!$A$5:$A$2004,'Saisie'!$C$5:$C$2004,C304,'Saisie'!$AT$5:$AT$2004,"&gt;=4")),""))</f>
        <v/>
      </c>
      <c r="BG304" s="106">
        <f>IF(C304="","",IFERROR(1/(1/_xlfn.MINIFS('Saisie'!$A$5:$A$2004,'Saisie'!$C$5:$C$2004,C304,'Saisie'!$AT$5:$AT$2004,"&gt;=5")),""))</f>
        <v/>
      </c>
      <c r="BH304" s="106">
        <f>IF(C304="","",IFERROR(1/(1/_xlfn.MINIFS('Saisie'!$A$5:$A$2004,'Saisie'!$C$5:$C$2004,C304,'Saisie'!$AT$5:$AT$2004,"&gt;=6")),""))</f>
        <v/>
      </c>
      <c r="BI304" s="106">
        <f>IF(C304="","",IFERROR(1/(1/_xlfn.MINIFS('Saisie'!$A$5:$A$2004,'Saisie'!$C$5:$C$2004,C304,'Saisie'!$AT$5:$AT$2004,"&gt;=7")),""))</f>
        <v/>
      </c>
      <c r="BJ304" s="60">
        <f>IF(OR(BD304="",B304=""),"",BD304-B304)</f>
        <v/>
      </c>
      <c r="BK304" s="60">
        <f>IF(OR(BE304="",BD304=""),"",BE304-BD304)</f>
        <v/>
      </c>
      <c r="BL304" s="60">
        <f>IF(OR(BF304="",BE304=""),"",BF304-BE304)</f>
        <v/>
      </c>
      <c r="BM304" s="60">
        <f>IF(OR(BG304="",BF304=""),"",BG304-BF304)</f>
        <v/>
      </c>
      <c r="BN304" s="60">
        <f>IF(OR(BH304="",BG304=""),"",BH304-BG304)</f>
        <v/>
      </c>
      <c r="BO304" s="60">
        <f>IF(OR(BI304="",BH304=""),"",BI304-BH304)</f>
        <v/>
      </c>
      <c r="BP304" s="60">
        <f>IF(C304="","",_xlfn.MAXIFS('Saisie'!$AS$5:$AS$2004,'Saisie'!$C$5:$C$2004,C304,'Saisie'!$J$5:$J$2004,"&lt;&gt;"))</f>
        <v/>
      </c>
      <c r="BQ304" s="60">
        <f>IF(C304="","",_xlfn.MAXIFS('Saisie'!$AS$5:$AS$2004,'Saisie'!$C$5:$C$2004,C304))</f>
        <v/>
      </c>
      <c r="BR304" s="60">
        <f>IF(C304="","",_xlfn.MAXIFS('Saisie'!$AS$5:$AS$2004,'Saisie'!$C$5:$C$2004,C304,'Saisie'!$E$5:$E$2004,"Perdu"))</f>
        <v/>
      </c>
      <c r="BS304" s="60">
        <f>IF(C304="","",_xlfn.MAXIFS('Saisie'!$AS$5:$AS$2004,'Saisie'!$C$5:$C$2004,C304,'Saisie'!$AT$5:$AT$2004,"&gt;0"))</f>
        <v/>
      </c>
      <c r="BT304" s="109">
        <f>IF(AND(C304&lt;&gt;"",OR(D304="Nouveau",D304="Contacté",D304="Qualifié"),OR(G304="",N(G304)&lt;=TODAY()),NOT(AND(O304&gt;='Paramètres'!$B$21,P304=0))),E304+300/10000,"")</f>
        <v/>
      </c>
      <c r="BU304" s="60">
        <f>IF(AND(G304&lt;&gt;"",N(G304)&lt;=TODAY()),MAX($BU$4:BU303)+1,"")</f>
        <v/>
      </c>
      <c r="BV304" s="60">
        <f>IF(AND(F304&lt;&gt;"",F304&lt;&gt;"Relance en retard"),MAX($BV$4:BV303)+1,"")</f>
        <v/>
      </c>
      <c r="BW304" s="60">
        <f>IF(C304="","",IF(AND(B304&gt;='Tableau de bord'!$R$4,B304&lt;='Tableau de bord'!$S$4,OR('Tableau de bord'!$G$4="Tous",N304='Tableau de bord'!$G$4)),1,0))</f>
        <v/>
      </c>
      <c r="BX304" s="60">
        <f>IF(AND(C304&lt;&gt;"",N(BA304)=7),MAX($BX$4:BX303)+1,"")</f>
        <v/>
      </c>
    </row>
    <row r="305">
      <c r="A305" s="60">
        <f>IF(C305="","","P-"&amp;TEXT(301,"000"))</f>
        <v/>
      </c>
      <c r="B305" s="106">
        <f>IF(C305="","",IFERROR(1/(1/_xlfn.MINIFS('Saisie'!$A$5:$A$2004,'Saisie'!$C$5:$C$2004,C305)),""))</f>
        <v/>
      </c>
      <c r="C305" s="60">
        <f>IFERROR(INDEX('Saisie'!$C$5:$C$2004,MATCH(301,'Saisie'!$AX$5:$AX$2004,0)),"")</f>
        <v/>
      </c>
      <c r="D305" s="60">
        <f>IF(C305="","",IF(AND(BR305&gt;0,BR305&gt;BS305,BA305&lt;7),"Perdu",INDEX('Paramètres'!$F$6:$F$13,BA305)))</f>
        <v/>
      </c>
      <c r="E305" s="61">
        <f>IF(C305="","",MIN(100,(Z305="Oui")*'Paramètres'!$B$38+(AB305="Régulière")*'Paramètres'!$B$39+IF(AND(N(AA305)&gt;0,TODAY()-N(AA305)&lt;=30),'Paramètres'!$B$40,0)+(W305="")*'Paramètres'!$B$41+(AC305="Absente")*'Paramètres'!$B$42+(AC305="Faible")*'Paramètres'!$B$43+IF(AND(N(AD305)&gt;0,N(AD305)&lt;4),'Paramètres'!$B$44,0)+(AF305="Moyenne")*'Paramètres'!$B$45+(AF305="Grande")*'Paramètres'!$B$46+(Y305&lt;&gt;"")*'Paramètres'!$B$47))</f>
        <v/>
      </c>
      <c r="F305" s="60">
        <f>IF(C305="","",IF(D305="Gagné","",IF(D305="Perdu",IF(AND(AX305&lt;&gt;"",AX305&lt;=TODAY()),"À recontacter (perdu)",""),IF(AND(O305&gt;='Paramètres'!$B$21,P305=0),"Stop : "&amp;'Paramètres'!$B$21&amp;" tentatives sans réponse",IF(AND(D305="Proposition",AR305&lt;&gt;"",TODAY()&gt;N(AR305)),"Proposition expirée",IF(AND(D305="Proposition",N(R305)&gt;='Paramètres'!$B$25),"Proposition sans réponse",IF(AND(G305&lt;&gt;"",N(G305)&lt;TODAY()),"Relance en retard",IF(N(R305)&gt;='Paramètres'!$B$24,"Sans action depuis "&amp;R305&amp;" j",""))))))))</f>
        <v/>
      </c>
      <c r="G305" s="106">
        <f>IF(OR(C305="",D305="Gagné",D305="Perdu"),"",IF(AND(BP305&gt;0,BP305=BQ305),INDEX('Saisie'!$J$5:$J$2004,BP305-4),IF(OR(O305=0,AND(O305&gt;='Paramètres'!$B$21,P305=0)),"",Q305+IF(O305&lt;=1,'Paramètres'!$B$18,IF(O305=2,'Paramètres'!$B$19,'Paramètres'!$B$20)))))</f>
        <v/>
      </c>
      <c r="H305" s="107">
        <f>IF(OR(G305="",BP305&lt;&gt;BQ305),"",IF(INDEX('Saisie'!$K$5:$K$2004,BP305-4)="","",INDEX('Saisie'!$K$5:$K$2004,BP305-4)))</f>
        <v/>
      </c>
      <c r="I305" s="60">
        <f>IF(C305="","",IF(OR(D305="Gagné",D305="Perdu"),"",IFERROR(INDEX('Saisie'!$I$5:$I$2004,_xlfn.MAXIFS('Saisie'!$AS$5:$AS$2004,'Saisie'!$C$5:$C$2004,C305,'Saisie'!$I$5:$I$2004,"&lt;&gt;")-4),"")))</f>
        <v/>
      </c>
      <c r="J305" s="60">
        <f>IF(C305="","",IFERROR(INDEX('Saisie'!$U$5:$U$2004,_xlfn.MAXIFS('Saisie'!$AS$5:$AS$2004,'Saisie'!$C$5:$C$2004,C305,'Saisie'!$U$5:$U$2004,"&lt;&gt;")-4),""))</f>
        <v/>
      </c>
      <c r="K305" s="60">
        <f>IF(C305="","",IFERROR(INDEX('Saisie'!$W$5:$W$2004,_xlfn.MAXIFS('Saisie'!$AS$5:$AS$2004,'Saisie'!$C$5:$C$2004,C305,'Saisie'!$W$5:$W$2004,"&lt;&gt;")-4),""))</f>
        <v/>
      </c>
      <c r="L305" s="60">
        <f>IF(IF(BB305&lt;&gt;"",BB305,K305)="","",HYPERLINK("https://wa.me/"&amp;IF(LEFT(SUBSTITUTE(SUBSTITUTE(SUBSTITUTE(IF(BB305&lt;&gt;"",BB305,K305)," ",""),".",""),"+",""),1)="0",'Paramètres'!$B$35&amp;MID(SUBSTITUTE(SUBSTITUTE(SUBSTITUTE(IF(BB305&lt;&gt;"",BB305,K305)," ",""),".",""),"+",""),2,20),SUBSTITUTE(SUBSTITUTE(SUBSTITUTE(IF(BB305&lt;&gt;"",BB305,K305)," ",""),".",""),"+","")),"WhatsApp"))</f>
        <v/>
      </c>
      <c r="M305" s="60">
        <f>IF(BC305="","",HYPERLINK(IF(LEFT(BC305,4)="http",BC305,"https://www.instagram.com/"&amp;SUBSTITUTE(SUBSTITUTE(BC305,"@","")," ","")),BC305))</f>
        <v/>
      </c>
      <c r="N305" s="60">
        <f>IF(C305="","",IFERROR(INDEX('Saisie'!$D$5:$D$2004,_xlfn.MINIFS('Saisie'!$AS$5:$AS$2004,'Saisie'!$C$5:$C$2004,C305,'Saisie'!$AU$5:$AU$2004,1)-4),IFERROR(INDEX('Saisie'!$D$5:$D$2004,_xlfn.MINIFS('Saisie'!$AS$5:$AS$2004,'Saisie'!$C$5:$C$2004,C305,'Saisie'!$D$5:$D$2004,"&lt;&gt;")-4),"")))</f>
        <v/>
      </c>
      <c r="O305" s="60">
        <f>IF(C305="","",COUNTIFS('Saisie'!$C$5:$C$2004,C305,'Saisie'!$AU$5:$AU$2004,1))</f>
        <v/>
      </c>
      <c r="P305" s="60">
        <f>IF(C305="","",COUNTIFS('Saisie'!$C$5:$C$2004,C305,'Saisie'!$AV$5:$AV$2004,1))</f>
        <v/>
      </c>
      <c r="Q305" s="106">
        <f>IF(C305="","",IFERROR(1/(1/_xlfn.MAXIFS('Saisie'!$A$5:$A$2004,'Saisie'!$C$5:$C$2004,C305)),""))</f>
        <v/>
      </c>
      <c r="R305" s="61">
        <f>IF(C305="","",IF(Q305="","",TODAY()-Q305))</f>
        <v/>
      </c>
      <c r="S305" s="60">
        <f>IF(C305="","",IFERROR(INDEX('Saisie'!$R$5:$R$2004,_xlfn.MAXIFS('Saisie'!$AS$5:$AS$2004,'Saisie'!$C$5:$C$2004,C305,'Saisie'!$R$5:$R$2004,"&lt;&gt;")-4),""))</f>
        <v/>
      </c>
      <c r="T305" s="60">
        <f>IF(C305="","",IFERROR(INDEX('Saisie'!$S$5:$S$2004,_xlfn.MAXIFS('Saisie'!$AS$5:$AS$2004,'Saisie'!$C$5:$C$2004,C305,'Saisie'!$S$5:$S$2004,"&lt;&gt;")-4),""))</f>
        <v/>
      </c>
      <c r="U305" s="60">
        <f>IF(C305="","",IFERROR(INDEX('Saisie'!$T$5:$T$2004,_xlfn.MAXIFS('Saisie'!$AS$5:$AS$2004,'Saisie'!$C$5:$C$2004,C305,'Saisie'!$T$5:$T$2004,"&lt;&gt;")-4),""))</f>
        <v/>
      </c>
      <c r="V305" s="60">
        <f>IF(C305="","",IFERROR(INDEX('Saisie'!$V$5:$V$2004,_xlfn.MAXIFS('Saisie'!$AS$5:$AS$2004,'Saisie'!$C$5:$C$2004,C305,'Saisie'!$V$5:$V$2004,"&lt;&gt;")-4),""))</f>
        <v/>
      </c>
      <c r="W305" s="60">
        <f>IF(C305="","",IFERROR(INDEX('Saisie'!$Z$5:$Z$2004,_xlfn.MAXIFS('Saisie'!$AS$5:$AS$2004,'Saisie'!$C$5:$C$2004,C305,'Saisie'!$Z$5:$Z$2004,"&lt;&gt;")-4),""))</f>
        <v/>
      </c>
      <c r="X305" s="60">
        <f>IF(C305="","",IFERROR(INDEX('Saisie'!$AA$5:$AA$2004,_xlfn.MAXIFS('Saisie'!$AS$5:$AS$2004,'Saisie'!$C$5:$C$2004,C305,'Saisie'!$AA$5:$AA$2004,"&lt;&gt;")-4),""))</f>
        <v/>
      </c>
      <c r="Y305" s="60">
        <f>IF(C305="","",IFERROR(INDEX('Saisie'!$AB$5:$AB$2004,_xlfn.MAXIFS('Saisie'!$AS$5:$AS$2004,'Saisie'!$C$5:$C$2004,C305,'Saisie'!$AB$5:$AB$2004,"&lt;&gt;")-4),""))</f>
        <v/>
      </c>
      <c r="Z305" s="60">
        <f>IF(C305="","",IFERROR(INDEX('Saisie'!$AC$5:$AC$2004,_xlfn.MAXIFS('Saisie'!$AS$5:$AS$2004,'Saisie'!$C$5:$C$2004,C305,'Saisie'!$AC$5:$AC$2004,"&lt;&gt;")-4),""))</f>
        <v/>
      </c>
      <c r="AA305" s="106">
        <f>IF(C305="","",IFERROR(INDEX('Saisie'!$AD$5:$AD$2004,_xlfn.MAXIFS('Saisie'!$AS$5:$AS$2004,'Saisie'!$C$5:$C$2004,C305,'Saisie'!$AD$5:$AD$2004,"&lt;&gt;")-4),""))</f>
        <v/>
      </c>
      <c r="AB305" s="60">
        <f>IF(C305="","",IFERROR(INDEX('Saisie'!$AE$5:$AE$2004,_xlfn.MAXIFS('Saisie'!$AS$5:$AS$2004,'Saisie'!$C$5:$C$2004,C305,'Saisie'!$AE$5:$AE$2004,"&lt;&gt;")-4),""))</f>
        <v/>
      </c>
      <c r="AC305" s="60">
        <f>IF(C305="","",IFERROR(INDEX('Saisie'!$AF$5:$AF$2004,_xlfn.MAXIFS('Saisie'!$AS$5:$AS$2004,'Saisie'!$C$5:$C$2004,C305,'Saisie'!$AF$5:$AF$2004,"&lt;&gt;")-4),""))</f>
        <v/>
      </c>
      <c r="AD305" s="108">
        <f>IF(C305="","",IFERROR(INDEX('Saisie'!$AG$5:$AG$2004,_xlfn.MAXIFS('Saisie'!$AS$5:$AS$2004,'Saisie'!$C$5:$C$2004,C305,'Saisie'!$AG$5:$AG$2004,"&lt;&gt;")-4),""))</f>
        <v/>
      </c>
      <c r="AE305" s="60">
        <f>IF(C305="","",IFERROR(INDEX('Saisie'!$AH$5:$AH$2004,_xlfn.MAXIFS('Saisie'!$AS$5:$AS$2004,'Saisie'!$C$5:$C$2004,C305,'Saisie'!$AH$5:$AH$2004,"&lt;&gt;")-4),""))</f>
        <v/>
      </c>
      <c r="AF305" s="60">
        <f>IF(C305="","",IFERROR(INDEX('Saisie'!$AI$5:$AI$2004,_xlfn.MAXIFS('Saisie'!$AS$5:$AS$2004,'Saisie'!$C$5:$C$2004,C305,'Saisie'!$AI$5:$AI$2004,"&lt;&gt;")-4),""))</f>
        <v/>
      </c>
      <c r="AG305" s="60">
        <f>IF(C305="","",IFERROR(INDEX('Saisie'!$AJ$5:$AJ$2004,_xlfn.MAXIFS('Saisie'!$AS$5:$AS$2004,'Saisie'!$C$5:$C$2004,C305,'Saisie'!$AJ$5:$AJ$2004,"&lt;&gt;")-4),""))</f>
        <v/>
      </c>
      <c r="AH305" s="60">
        <f>IF(C305="","",IFERROR(INDEX('Saisie'!$AK$5:$AK$2004,_xlfn.MAXIFS('Saisie'!$AS$5:$AS$2004,'Saisie'!$C$5:$C$2004,C305,'Saisie'!$AK$5:$AK$2004,"&lt;&gt;")-4),""))</f>
        <v/>
      </c>
      <c r="AI305" s="60">
        <f>IF(C305="","",IFERROR(INDEX('Saisie'!$AN$5:$AN$2004,_xlfn.MAXIFS('Saisie'!$AS$5:$AS$2004,'Saisie'!$C$5:$C$2004,C305,'Saisie'!$AN$5:$AN$2004,"&lt;&gt;")-4),""))</f>
        <v/>
      </c>
      <c r="AJ305" s="60">
        <f>IF(C305="","",IFERROR(INDEX('Saisie'!$AO$5:$AO$2004,_xlfn.MAXIFS('Saisie'!$AS$5:$AS$2004,'Saisie'!$C$5:$C$2004,C305,'Saisie'!$AO$5:$AO$2004,"&lt;&gt;")-4),""))</f>
        <v/>
      </c>
      <c r="AK305" s="60">
        <f>IF(C305="","",IFERROR(INDEX('Saisie'!$AP$5:$AP$2004,_xlfn.MAXIFS('Saisie'!$AS$5:$AS$2004,'Saisie'!$C$5:$C$2004,C305,'Saisie'!$AP$5:$AP$2004,"&lt;&gt;")-4),""))</f>
        <v/>
      </c>
      <c r="AL305" s="60">
        <f>IF(C305="","",IFERROR(INDEX('Saisie'!$AQ$5:$AQ$2004,_xlfn.MAXIFS('Saisie'!$AS$5:$AS$2004,'Saisie'!$C$5:$C$2004,C305,'Saisie'!$AQ$5:$AQ$2004,"&lt;&gt;")-4),""))</f>
        <v/>
      </c>
      <c r="AM305" s="60">
        <f>IF(C305="","",((AI305="Oui")+(AJ305="Oui")+(AK305="Oui")+OR(AL305="Immédiat",AL305="&lt; 1 mois"))&amp;"/4")</f>
        <v/>
      </c>
      <c r="AN305" s="60">
        <f>IF(C305="","",IFERROR(INDEX('Saisie'!$AL$5:$AL$2004,_xlfn.MAXIFS('Saisie'!$AS$5:$AS$2004,'Saisie'!$C$5:$C$2004,C305,'Saisie'!$AL$5:$AL$2004,"&lt;&gt;")-4),""))</f>
        <v/>
      </c>
      <c r="AO305" s="62">
        <f>IF(C305="","",IF(IFERROR(INDEX('Saisie'!$AM$5:$AM$2004,_xlfn.MAXIFS('Saisie'!$AS$5:$AS$2004,'Saisie'!$C$5:$C$2004,C305,'Saisie'!$AM$5:$AM$2004,"&lt;&gt;")-4),"")&lt;&gt;"",IFERROR(INDEX('Saisie'!$AM$5:$AM$2004,_xlfn.MAXIFS('Saisie'!$AS$5:$AS$2004,'Saisie'!$C$5:$C$2004,C305,'Saisie'!$AM$5:$AM$2004,"&lt;&gt;")-4),""),IFERROR(INDEX('Paramètres'!$S$6:$S$15,MATCH(AN305,'Paramètres'!$Q$6:$Q$15,0)),"")))</f>
        <v/>
      </c>
      <c r="AP305" s="62">
        <f>IF(C305="","",IFERROR(INDEX('Saisie'!$AW$5:$AW$2004,_xlfn.MAXIFS('Saisie'!$AS$5:$AS$2004,'Saisie'!$C$5:$C$2004,C305,'Saisie'!$E$5:$E$2004,"Proposition envoyée")-4),""))</f>
        <v/>
      </c>
      <c r="AQ305" s="106">
        <f>IF(C305="","",IFERROR(1/(1/_xlfn.MAXIFS('Saisie'!$A$5:$A$2004,'Saisie'!$C$5:$C$2004,C305,'Saisie'!$E$5:$E$2004,"Proposition envoyée")),""))</f>
        <v/>
      </c>
      <c r="AR305" s="106">
        <f>IF(C305="","",IF(AQ305="","",AQ305+'Paramètres'!$B$26))</f>
        <v/>
      </c>
      <c r="AS305" s="62">
        <f>IF(OR(C305="",D305="Gagné",D305="Perdu"),0,N(AP305)*IFERROR(INDEX('Paramètres'!$G$6:$G$13,MATCH(D305,'Paramètres'!$F$6:$F$13,0)),0))</f>
        <v/>
      </c>
      <c r="AT305" s="106">
        <f>IF(C305="","",IFERROR(1/(1/_xlfn.MINIFS('Saisie'!$A$5:$A$2004,'Saisie'!$C$5:$C$2004,C305,'Saisie'!$E$5:$E$2004,"Signature")),""))</f>
        <v/>
      </c>
      <c r="AU305" s="60">
        <f>IF(C305="","",IF(OR(AT305="",B305=""),"",AT305-B305))</f>
        <v/>
      </c>
      <c r="AV305" s="60">
        <f>IF(C305="","",IFERROR(INDEX('Saisie'!$L$5:$L$2004,_xlfn.MAXIFS('Saisie'!$AS$5:$AS$2004,'Saisie'!$C$5:$C$2004,C305,'Saisie'!$L$5:$L$2004,"&lt;&gt;")-4),""))</f>
        <v/>
      </c>
      <c r="AW305" s="106">
        <f>IF(C305="","",IF(D305&lt;&gt;"Perdu","",IFERROR(1/(1/_xlfn.MAXIFS('Saisie'!$A$5:$A$2004,'Saisie'!$C$5:$C$2004,C305,'Saisie'!$E$5:$E$2004,"Perdu")),"")))</f>
        <v/>
      </c>
      <c r="AX305" s="106">
        <f>IF(C305="","",IF(AW305="","",AW305+'Paramètres'!$B$28))</f>
        <v/>
      </c>
      <c r="AY305" s="60">
        <f>IF(C305="","",SUMIFS('Saisie'!$H$5:$H$2004,'Saisie'!$C$5:$C$2004,C305))</f>
        <v/>
      </c>
      <c r="AZ305" s="60">
        <f>IF(C305="","",IFERROR(INDEX('Paramètres'!$W$6:$W$20,MATCH(S305,'Paramètres'!$V$6:$V$20,0))&amp;"",""))</f>
        <v/>
      </c>
      <c r="BA305" s="60">
        <f>IF(C305="","",MAX(1,_xlfn.MAXIFS('Saisie'!$AT$5:$AT$2004,'Saisie'!$C$5:$C$2004,C305)))</f>
        <v/>
      </c>
      <c r="BB305" s="60">
        <f>IF(C305="","",IFERROR(INDEX('Saisie'!$X$5:$X$2004,_xlfn.MAXIFS('Saisie'!$AS$5:$AS$2004,'Saisie'!$C$5:$C$2004,C305,'Saisie'!$X$5:$X$2004,"&lt;&gt;")-4),""))</f>
        <v/>
      </c>
      <c r="BC305" s="60">
        <f>IF(C305="","",IFERROR(INDEX('Saisie'!$Y$5:$Y$2004,_xlfn.MAXIFS('Saisie'!$AS$5:$AS$2004,'Saisie'!$C$5:$C$2004,C305,'Saisie'!$Y$5:$Y$2004,"&lt;&gt;")-4),""))</f>
        <v/>
      </c>
      <c r="BD305" s="106">
        <f>IF(C305="","",IFERROR(1/(1/_xlfn.MINIFS('Saisie'!$A$5:$A$2004,'Saisie'!$C$5:$C$2004,C305,'Saisie'!$AT$5:$AT$2004,"&gt;=2")),""))</f>
        <v/>
      </c>
      <c r="BE305" s="106">
        <f>IF(C305="","",IFERROR(1/(1/_xlfn.MINIFS('Saisie'!$A$5:$A$2004,'Saisie'!$C$5:$C$2004,C305,'Saisie'!$AT$5:$AT$2004,"&gt;=3")),""))</f>
        <v/>
      </c>
      <c r="BF305" s="106">
        <f>IF(C305="","",IFERROR(1/(1/_xlfn.MINIFS('Saisie'!$A$5:$A$2004,'Saisie'!$C$5:$C$2004,C305,'Saisie'!$AT$5:$AT$2004,"&gt;=4")),""))</f>
        <v/>
      </c>
      <c r="BG305" s="106">
        <f>IF(C305="","",IFERROR(1/(1/_xlfn.MINIFS('Saisie'!$A$5:$A$2004,'Saisie'!$C$5:$C$2004,C305,'Saisie'!$AT$5:$AT$2004,"&gt;=5")),""))</f>
        <v/>
      </c>
      <c r="BH305" s="106">
        <f>IF(C305="","",IFERROR(1/(1/_xlfn.MINIFS('Saisie'!$A$5:$A$2004,'Saisie'!$C$5:$C$2004,C305,'Saisie'!$AT$5:$AT$2004,"&gt;=6")),""))</f>
        <v/>
      </c>
      <c r="BI305" s="106">
        <f>IF(C305="","",IFERROR(1/(1/_xlfn.MINIFS('Saisie'!$A$5:$A$2004,'Saisie'!$C$5:$C$2004,C305,'Saisie'!$AT$5:$AT$2004,"&gt;=7")),""))</f>
        <v/>
      </c>
      <c r="BJ305" s="60">
        <f>IF(OR(BD305="",B305=""),"",BD305-B305)</f>
        <v/>
      </c>
      <c r="BK305" s="60">
        <f>IF(OR(BE305="",BD305=""),"",BE305-BD305)</f>
        <v/>
      </c>
      <c r="BL305" s="60">
        <f>IF(OR(BF305="",BE305=""),"",BF305-BE305)</f>
        <v/>
      </c>
      <c r="BM305" s="60">
        <f>IF(OR(BG305="",BF305=""),"",BG305-BF305)</f>
        <v/>
      </c>
      <c r="BN305" s="60">
        <f>IF(OR(BH305="",BG305=""),"",BH305-BG305)</f>
        <v/>
      </c>
      <c r="BO305" s="60">
        <f>IF(OR(BI305="",BH305=""),"",BI305-BH305)</f>
        <v/>
      </c>
      <c r="BP305" s="60">
        <f>IF(C305="","",_xlfn.MAXIFS('Saisie'!$AS$5:$AS$2004,'Saisie'!$C$5:$C$2004,C305,'Saisie'!$J$5:$J$2004,"&lt;&gt;"))</f>
        <v/>
      </c>
      <c r="BQ305" s="60">
        <f>IF(C305="","",_xlfn.MAXIFS('Saisie'!$AS$5:$AS$2004,'Saisie'!$C$5:$C$2004,C305))</f>
        <v/>
      </c>
      <c r="BR305" s="60">
        <f>IF(C305="","",_xlfn.MAXIFS('Saisie'!$AS$5:$AS$2004,'Saisie'!$C$5:$C$2004,C305,'Saisie'!$E$5:$E$2004,"Perdu"))</f>
        <v/>
      </c>
      <c r="BS305" s="60">
        <f>IF(C305="","",_xlfn.MAXIFS('Saisie'!$AS$5:$AS$2004,'Saisie'!$C$5:$C$2004,C305,'Saisie'!$AT$5:$AT$2004,"&gt;0"))</f>
        <v/>
      </c>
      <c r="BT305" s="109">
        <f>IF(AND(C305&lt;&gt;"",OR(D305="Nouveau",D305="Contacté",D305="Qualifié"),OR(G305="",N(G305)&lt;=TODAY()),NOT(AND(O305&gt;='Paramètres'!$B$21,P305=0))),E305+301/10000,"")</f>
        <v/>
      </c>
      <c r="BU305" s="60">
        <f>IF(AND(G305&lt;&gt;"",N(G305)&lt;=TODAY()),MAX($BU$4:BU304)+1,"")</f>
        <v/>
      </c>
      <c r="BV305" s="60">
        <f>IF(AND(F305&lt;&gt;"",F305&lt;&gt;"Relance en retard"),MAX($BV$4:BV304)+1,"")</f>
        <v/>
      </c>
      <c r="BW305" s="60">
        <f>IF(C305="","",IF(AND(B305&gt;='Tableau de bord'!$R$4,B305&lt;='Tableau de bord'!$S$4,OR('Tableau de bord'!$G$4="Tous",N305='Tableau de bord'!$G$4)),1,0))</f>
        <v/>
      </c>
      <c r="BX305" s="60">
        <f>IF(AND(C305&lt;&gt;"",N(BA305)=7),MAX($BX$4:BX304)+1,"")</f>
        <v/>
      </c>
    </row>
    <row r="306">
      <c r="A306" s="60">
        <f>IF(C306="","","P-"&amp;TEXT(302,"000"))</f>
        <v/>
      </c>
      <c r="B306" s="106">
        <f>IF(C306="","",IFERROR(1/(1/_xlfn.MINIFS('Saisie'!$A$5:$A$2004,'Saisie'!$C$5:$C$2004,C306)),""))</f>
        <v/>
      </c>
      <c r="C306" s="60">
        <f>IFERROR(INDEX('Saisie'!$C$5:$C$2004,MATCH(302,'Saisie'!$AX$5:$AX$2004,0)),"")</f>
        <v/>
      </c>
      <c r="D306" s="60">
        <f>IF(C306="","",IF(AND(BR306&gt;0,BR306&gt;BS306,BA306&lt;7),"Perdu",INDEX('Paramètres'!$F$6:$F$13,BA306)))</f>
        <v/>
      </c>
      <c r="E306" s="61">
        <f>IF(C306="","",MIN(100,(Z306="Oui")*'Paramètres'!$B$38+(AB306="Régulière")*'Paramètres'!$B$39+IF(AND(N(AA306)&gt;0,TODAY()-N(AA306)&lt;=30),'Paramètres'!$B$40,0)+(W306="")*'Paramètres'!$B$41+(AC306="Absente")*'Paramètres'!$B$42+(AC306="Faible")*'Paramètres'!$B$43+IF(AND(N(AD306)&gt;0,N(AD306)&lt;4),'Paramètres'!$B$44,0)+(AF306="Moyenne")*'Paramètres'!$B$45+(AF306="Grande")*'Paramètres'!$B$46+(Y306&lt;&gt;"")*'Paramètres'!$B$47))</f>
        <v/>
      </c>
      <c r="F306" s="60">
        <f>IF(C306="","",IF(D306="Gagné","",IF(D306="Perdu",IF(AND(AX306&lt;&gt;"",AX306&lt;=TODAY()),"À recontacter (perdu)",""),IF(AND(O306&gt;='Paramètres'!$B$21,P306=0),"Stop : "&amp;'Paramètres'!$B$21&amp;" tentatives sans réponse",IF(AND(D306="Proposition",AR306&lt;&gt;"",TODAY()&gt;N(AR306)),"Proposition expirée",IF(AND(D306="Proposition",N(R306)&gt;='Paramètres'!$B$25),"Proposition sans réponse",IF(AND(G306&lt;&gt;"",N(G306)&lt;TODAY()),"Relance en retard",IF(N(R306)&gt;='Paramètres'!$B$24,"Sans action depuis "&amp;R306&amp;" j",""))))))))</f>
        <v/>
      </c>
      <c r="G306" s="106">
        <f>IF(OR(C306="",D306="Gagné",D306="Perdu"),"",IF(AND(BP306&gt;0,BP306=BQ306),INDEX('Saisie'!$J$5:$J$2004,BP306-4),IF(OR(O306=0,AND(O306&gt;='Paramètres'!$B$21,P306=0)),"",Q306+IF(O306&lt;=1,'Paramètres'!$B$18,IF(O306=2,'Paramètres'!$B$19,'Paramètres'!$B$20)))))</f>
        <v/>
      </c>
      <c r="H306" s="107">
        <f>IF(OR(G306="",BP306&lt;&gt;BQ306),"",IF(INDEX('Saisie'!$K$5:$K$2004,BP306-4)="","",INDEX('Saisie'!$K$5:$K$2004,BP306-4)))</f>
        <v/>
      </c>
      <c r="I306" s="60">
        <f>IF(C306="","",IF(OR(D306="Gagné",D306="Perdu"),"",IFERROR(INDEX('Saisie'!$I$5:$I$2004,_xlfn.MAXIFS('Saisie'!$AS$5:$AS$2004,'Saisie'!$C$5:$C$2004,C306,'Saisie'!$I$5:$I$2004,"&lt;&gt;")-4),"")))</f>
        <v/>
      </c>
      <c r="J306" s="60">
        <f>IF(C306="","",IFERROR(INDEX('Saisie'!$U$5:$U$2004,_xlfn.MAXIFS('Saisie'!$AS$5:$AS$2004,'Saisie'!$C$5:$C$2004,C306,'Saisie'!$U$5:$U$2004,"&lt;&gt;")-4),""))</f>
        <v/>
      </c>
      <c r="K306" s="60">
        <f>IF(C306="","",IFERROR(INDEX('Saisie'!$W$5:$W$2004,_xlfn.MAXIFS('Saisie'!$AS$5:$AS$2004,'Saisie'!$C$5:$C$2004,C306,'Saisie'!$W$5:$W$2004,"&lt;&gt;")-4),""))</f>
        <v/>
      </c>
      <c r="L306" s="60">
        <f>IF(IF(BB306&lt;&gt;"",BB306,K306)="","",HYPERLINK("https://wa.me/"&amp;IF(LEFT(SUBSTITUTE(SUBSTITUTE(SUBSTITUTE(IF(BB306&lt;&gt;"",BB306,K306)," ",""),".",""),"+",""),1)="0",'Paramètres'!$B$35&amp;MID(SUBSTITUTE(SUBSTITUTE(SUBSTITUTE(IF(BB306&lt;&gt;"",BB306,K306)," ",""),".",""),"+",""),2,20),SUBSTITUTE(SUBSTITUTE(SUBSTITUTE(IF(BB306&lt;&gt;"",BB306,K306)," ",""),".",""),"+","")),"WhatsApp"))</f>
        <v/>
      </c>
      <c r="M306" s="60">
        <f>IF(BC306="","",HYPERLINK(IF(LEFT(BC306,4)="http",BC306,"https://www.instagram.com/"&amp;SUBSTITUTE(SUBSTITUTE(BC306,"@","")," ","")),BC306))</f>
        <v/>
      </c>
      <c r="N306" s="60">
        <f>IF(C306="","",IFERROR(INDEX('Saisie'!$D$5:$D$2004,_xlfn.MINIFS('Saisie'!$AS$5:$AS$2004,'Saisie'!$C$5:$C$2004,C306,'Saisie'!$AU$5:$AU$2004,1)-4),IFERROR(INDEX('Saisie'!$D$5:$D$2004,_xlfn.MINIFS('Saisie'!$AS$5:$AS$2004,'Saisie'!$C$5:$C$2004,C306,'Saisie'!$D$5:$D$2004,"&lt;&gt;")-4),"")))</f>
        <v/>
      </c>
      <c r="O306" s="60">
        <f>IF(C306="","",COUNTIFS('Saisie'!$C$5:$C$2004,C306,'Saisie'!$AU$5:$AU$2004,1))</f>
        <v/>
      </c>
      <c r="P306" s="60">
        <f>IF(C306="","",COUNTIFS('Saisie'!$C$5:$C$2004,C306,'Saisie'!$AV$5:$AV$2004,1))</f>
        <v/>
      </c>
      <c r="Q306" s="106">
        <f>IF(C306="","",IFERROR(1/(1/_xlfn.MAXIFS('Saisie'!$A$5:$A$2004,'Saisie'!$C$5:$C$2004,C306)),""))</f>
        <v/>
      </c>
      <c r="R306" s="61">
        <f>IF(C306="","",IF(Q306="","",TODAY()-Q306))</f>
        <v/>
      </c>
      <c r="S306" s="60">
        <f>IF(C306="","",IFERROR(INDEX('Saisie'!$R$5:$R$2004,_xlfn.MAXIFS('Saisie'!$AS$5:$AS$2004,'Saisie'!$C$5:$C$2004,C306,'Saisie'!$R$5:$R$2004,"&lt;&gt;")-4),""))</f>
        <v/>
      </c>
      <c r="T306" s="60">
        <f>IF(C306="","",IFERROR(INDEX('Saisie'!$S$5:$S$2004,_xlfn.MAXIFS('Saisie'!$AS$5:$AS$2004,'Saisie'!$C$5:$C$2004,C306,'Saisie'!$S$5:$S$2004,"&lt;&gt;")-4),""))</f>
        <v/>
      </c>
      <c r="U306" s="60">
        <f>IF(C306="","",IFERROR(INDEX('Saisie'!$T$5:$T$2004,_xlfn.MAXIFS('Saisie'!$AS$5:$AS$2004,'Saisie'!$C$5:$C$2004,C306,'Saisie'!$T$5:$T$2004,"&lt;&gt;")-4),""))</f>
        <v/>
      </c>
      <c r="V306" s="60">
        <f>IF(C306="","",IFERROR(INDEX('Saisie'!$V$5:$V$2004,_xlfn.MAXIFS('Saisie'!$AS$5:$AS$2004,'Saisie'!$C$5:$C$2004,C306,'Saisie'!$V$5:$V$2004,"&lt;&gt;")-4),""))</f>
        <v/>
      </c>
      <c r="W306" s="60">
        <f>IF(C306="","",IFERROR(INDEX('Saisie'!$Z$5:$Z$2004,_xlfn.MAXIFS('Saisie'!$AS$5:$AS$2004,'Saisie'!$C$5:$C$2004,C306,'Saisie'!$Z$5:$Z$2004,"&lt;&gt;")-4),""))</f>
        <v/>
      </c>
      <c r="X306" s="60">
        <f>IF(C306="","",IFERROR(INDEX('Saisie'!$AA$5:$AA$2004,_xlfn.MAXIFS('Saisie'!$AS$5:$AS$2004,'Saisie'!$C$5:$C$2004,C306,'Saisie'!$AA$5:$AA$2004,"&lt;&gt;")-4),""))</f>
        <v/>
      </c>
      <c r="Y306" s="60">
        <f>IF(C306="","",IFERROR(INDEX('Saisie'!$AB$5:$AB$2004,_xlfn.MAXIFS('Saisie'!$AS$5:$AS$2004,'Saisie'!$C$5:$C$2004,C306,'Saisie'!$AB$5:$AB$2004,"&lt;&gt;")-4),""))</f>
        <v/>
      </c>
      <c r="Z306" s="60">
        <f>IF(C306="","",IFERROR(INDEX('Saisie'!$AC$5:$AC$2004,_xlfn.MAXIFS('Saisie'!$AS$5:$AS$2004,'Saisie'!$C$5:$C$2004,C306,'Saisie'!$AC$5:$AC$2004,"&lt;&gt;")-4),""))</f>
        <v/>
      </c>
      <c r="AA306" s="106">
        <f>IF(C306="","",IFERROR(INDEX('Saisie'!$AD$5:$AD$2004,_xlfn.MAXIFS('Saisie'!$AS$5:$AS$2004,'Saisie'!$C$5:$C$2004,C306,'Saisie'!$AD$5:$AD$2004,"&lt;&gt;")-4),""))</f>
        <v/>
      </c>
      <c r="AB306" s="60">
        <f>IF(C306="","",IFERROR(INDEX('Saisie'!$AE$5:$AE$2004,_xlfn.MAXIFS('Saisie'!$AS$5:$AS$2004,'Saisie'!$C$5:$C$2004,C306,'Saisie'!$AE$5:$AE$2004,"&lt;&gt;")-4),""))</f>
        <v/>
      </c>
      <c r="AC306" s="60">
        <f>IF(C306="","",IFERROR(INDEX('Saisie'!$AF$5:$AF$2004,_xlfn.MAXIFS('Saisie'!$AS$5:$AS$2004,'Saisie'!$C$5:$C$2004,C306,'Saisie'!$AF$5:$AF$2004,"&lt;&gt;")-4),""))</f>
        <v/>
      </c>
      <c r="AD306" s="108">
        <f>IF(C306="","",IFERROR(INDEX('Saisie'!$AG$5:$AG$2004,_xlfn.MAXIFS('Saisie'!$AS$5:$AS$2004,'Saisie'!$C$5:$C$2004,C306,'Saisie'!$AG$5:$AG$2004,"&lt;&gt;")-4),""))</f>
        <v/>
      </c>
      <c r="AE306" s="60">
        <f>IF(C306="","",IFERROR(INDEX('Saisie'!$AH$5:$AH$2004,_xlfn.MAXIFS('Saisie'!$AS$5:$AS$2004,'Saisie'!$C$5:$C$2004,C306,'Saisie'!$AH$5:$AH$2004,"&lt;&gt;")-4),""))</f>
        <v/>
      </c>
      <c r="AF306" s="60">
        <f>IF(C306="","",IFERROR(INDEX('Saisie'!$AI$5:$AI$2004,_xlfn.MAXIFS('Saisie'!$AS$5:$AS$2004,'Saisie'!$C$5:$C$2004,C306,'Saisie'!$AI$5:$AI$2004,"&lt;&gt;")-4),""))</f>
        <v/>
      </c>
      <c r="AG306" s="60">
        <f>IF(C306="","",IFERROR(INDEX('Saisie'!$AJ$5:$AJ$2004,_xlfn.MAXIFS('Saisie'!$AS$5:$AS$2004,'Saisie'!$C$5:$C$2004,C306,'Saisie'!$AJ$5:$AJ$2004,"&lt;&gt;")-4),""))</f>
        <v/>
      </c>
      <c r="AH306" s="60">
        <f>IF(C306="","",IFERROR(INDEX('Saisie'!$AK$5:$AK$2004,_xlfn.MAXIFS('Saisie'!$AS$5:$AS$2004,'Saisie'!$C$5:$C$2004,C306,'Saisie'!$AK$5:$AK$2004,"&lt;&gt;")-4),""))</f>
        <v/>
      </c>
      <c r="AI306" s="60">
        <f>IF(C306="","",IFERROR(INDEX('Saisie'!$AN$5:$AN$2004,_xlfn.MAXIFS('Saisie'!$AS$5:$AS$2004,'Saisie'!$C$5:$C$2004,C306,'Saisie'!$AN$5:$AN$2004,"&lt;&gt;")-4),""))</f>
        <v/>
      </c>
      <c r="AJ306" s="60">
        <f>IF(C306="","",IFERROR(INDEX('Saisie'!$AO$5:$AO$2004,_xlfn.MAXIFS('Saisie'!$AS$5:$AS$2004,'Saisie'!$C$5:$C$2004,C306,'Saisie'!$AO$5:$AO$2004,"&lt;&gt;")-4),""))</f>
        <v/>
      </c>
      <c r="AK306" s="60">
        <f>IF(C306="","",IFERROR(INDEX('Saisie'!$AP$5:$AP$2004,_xlfn.MAXIFS('Saisie'!$AS$5:$AS$2004,'Saisie'!$C$5:$C$2004,C306,'Saisie'!$AP$5:$AP$2004,"&lt;&gt;")-4),""))</f>
        <v/>
      </c>
      <c r="AL306" s="60">
        <f>IF(C306="","",IFERROR(INDEX('Saisie'!$AQ$5:$AQ$2004,_xlfn.MAXIFS('Saisie'!$AS$5:$AS$2004,'Saisie'!$C$5:$C$2004,C306,'Saisie'!$AQ$5:$AQ$2004,"&lt;&gt;")-4),""))</f>
        <v/>
      </c>
      <c r="AM306" s="60">
        <f>IF(C306="","",((AI306="Oui")+(AJ306="Oui")+(AK306="Oui")+OR(AL306="Immédiat",AL306="&lt; 1 mois"))&amp;"/4")</f>
        <v/>
      </c>
      <c r="AN306" s="60">
        <f>IF(C306="","",IFERROR(INDEX('Saisie'!$AL$5:$AL$2004,_xlfn.MAXIFS('Saisie'!$AS$5:$AS$2004,'Saisie'!$C$5:$C$2004,C306,'Saisie'!$AL$5:$AL$2004,"&lt;&gt;")-4),""))</f>
        <v/>
      </c>
      <c r="AO306" s="62">
        <f>IF(C306="","",IF(IFERROR(INDEX('Saisie'!$AM$5:$AM$2004,_xlfn.MAXIFS('Saisie'!$AS$5:$AS$2004,'Saisie'!$C$5:$C$2004,C306,'Saisie'!$AM$5:$AM$2004,"&lt;&gt;")-4),"")&lt;&gt;"",IFERROR(INDEX('Saisie'!$AM$5:$AM$2004,_xlfn.MAXIFS('Saisie'!$AS$5:$AS$2004,'Saisie'!$C$5:$C$2004,C306,'Saisie'!$AM$5:$AM$2004,"&lt;&gt;")-4),""),IFERROR(INDEX('Paramètres'!$S$6:$S$15,MATCH(AN306,'Paramètres'!$Q$6:$Q$15,0)),"")))</f>
        <v/>
      </c>
      <c r="AP306" s="62">
        <f>IF(C306="","",IFERROR(INDEX('Saisie'!$AW$5:$AW$2004,_xlfn.MAXIFS('Saisie'!$AS$5:$AS$2004,'Saisie'!$C$5:$C$2004,C306,'Saisie'!$E$5:$E$2004,"Proposition envoyée")-4),""))</f>
        <v/>
      </c>
      <c r="AQ306" s="106">
        <f>IF(C306="","",IFERROR(1/(1/_xlfn.MAXIFS('Saisie'!$A$5:$A$2004,'Saisie'!$C$5:$C$2004,C306,'Saisie'!$E$5:$E$2004,"Proposition envoyée")),""))</f>
        <v/>
      </c>
      <c r="AR306" s="106">
        <f>IF(C306="","",IF(AQ306="","",AQ306+'Paramètres'!$B$26))</f>
        <v/>
      </c>
      <c r="AS306" s="62">
        <f>IF(OR(C306="",D306="Gagné",D306="Perdu"),0,N(AP306)*IFERROR(INDEX('Paramètres'!$G$6:$G$13,MATCH(D306,'Paramètres'!$F$6:$F$13,0)),0))</f>
        <v/>
      </c>
      <c r="AT306" s="106">
        <f>IF(C306="","",IFERROR(1/(1/_xlfn.MINIFS('Saisie'!$A$5:$A$2004,'Saisie'!$C$5:$C$2004,C306,'Saisie'!$E$5:$E$2004,"Signature")),""))</f>
        <v/>
      </c>
      <c r="AU306" s="60">
        <f>IF(C306="","",IF(OR(AT306="",B306=""),"",AT306-B306))</f>
        <v/>
      </c>
      <c r="AV306" s="60">
        <f>IF(C306="","",IFERROR(INDEX('Saisie'!$L$5:$L$2004,_xlfn.MAXIFS('Saisie'!$AS$5:$AS$2004,'Saisie'!$C$5:$C$2004,C306,'Saisie'!$L$5:$L$2004,"&lt;&gt;")-4),""))</f>
        <v/>
      </c>
      <c r="AW306" s="106">
        <f>IF(C306="","",IF(D306&lt;&gt;"Perdu","",IFERROR(1/(1/_xlfn.MAXIFS('Saisie'!$A$5:$A$2004,'Saisie'!$C$5:$C$2004,C306,'Saisie'!$E$5:$E$2004,"Perdu")),"")))</f>
        <v/>
      </c>
      <c r="AX306" s="106">
        <f>IF(C306="","",IF(AW306="","",AW306+'Paramètres'!$B$28))</f>
        <v/>
      </c>
      <c r="AY306" s="60">
        <f>IF(C306="","",SUMIFS('Saisie'!$H$5:$H$2004,'Saisie'!$C$5:$C$2004,C306))</f>
        <v/>
      </c>
      <c r="AZ306" s="60">
        <f>IF(C306="","",IFERROR(INDEX('Paramètres'!$W$6:$W$20,MATCH(S306,'Paramètres'!$V$6:$V$20,0))&amp;"",""))</f>
        <v/>
      </c>
      <c r="BA306" s="60">
        <f>IF(C306="","",MAX(1,_xlfn.MAXIFS('Saisie'!$AT$5:$AT$2004,'Saisie'!$C$5:$C$2004,C306)))</f>
        <v/>
      </c>
      <c r="BB306" s="60">
        <f>IF(C306="","",IFERROR(INDEX('Saisie'!$X$5:$X$2004,_xlfn.MAXIFS('Saisie'!$AS$5:$AS$2004,'Saisie'!$C$5:$C$2004,C306,'Saisie'!$X$5:$X$2004,"&lt;&gt;")-4),""))</f>
        <v/>
      </c>
      <c r="BC306" s="60">
        <f>IF(C306="","",IFERROR(INDEX('Saisie'!$Y$5:$Y$2004,_xlfn.MAXIFS('Saisie'!$AS$5:$AS$2004,'Saisie'!$C$5:$C$2004,C306,'Saisie'!$Y$5:$Y$2004,"&lt;&gt;")-4),""))</f>
        <v/>
      </c>
      <c r="BD306" s="106">
        <f>IF(C306="","",IFERROR(1/(1/_xlfn.MINIFS('Saisie'!$A$5:$A$2004,'Saisie'!$C$5:$C$2004,C306,'Saisie'!$AT$5:$AT$2004,"&gt;=2")),""))</f>
        <v/>
      </c>
      <c r="BE306" s="106">
        <f>IF(C306="","",IFERROR(1/(1/_xlfn.MINIFS('Saisie'!$A$5:$A$2004,'Saisie'!$C$5:$C$2004,C306,'Saisie'!$AT$5:$AT$2004,"&gt;=3")),""))</f>
        <v/>
      </c>
      <c r="BF306" s="106">
        <f>IF(C306="","",IFERROR(1/(1/_xlfn.MINIFS('Saisie'!$A$5:$A$2004,'Saisie'!$C$5:$C$2004,C306,'Saisie'!$AT$5:$AT$2004,"&gt;=4")),""))</f>
        <v/>
      </c>
      <c r="BG306" s="106">
        <f>IF(C306="","",IFERROR(1/(1/_xlfn.MINIFS('Saisie'!$A$5:$A$2004,'Saisie'!$C$5:$C$2004,C306,'Saisie'!$AT$5:$AT$2004,"&gt;=5")),""))</f>
        <v/>
      </c>
      <c r="BH306" s="106">
        <f>IF(C306="","",IFERROR(1/(1/_xlfn.MINIFS('Saisie'!$A$5:$A$2004,'Saisie'!$C$5:$C$2004,C306,'Saisie'!$AT$5:$AT$2004,"&gt;=6")),""))</f>
        <v/>
      </c>
      <c r="BI306" s="106">
        <f>IF(C306="","",IFERROR(1/(1/_xlfn.MINIFS('Saisie'!$A$5:$A$2004,'Saisie'!$C$5:$C$2004,C306,'Saisie'!$AT$5:$AT$2004,"&gt;=7")),""))</f>
        <v/>
      </c>
      <c r="BJ306" s="60">
        <f>IF(OR(BD306="",B306=""),"",BD306-B306)</f>
        <v/>
      </c>
      <c r="BK306" s="60">
        <f>IF(OR(BE306="",BD306=""),"",BE306-BD306)</f>
        <v/>
      </c>
      <c r="BL306" s="60">
        <f>IF(OR(BF306="",BE306=""),"",BF306-BE306)</f>
        <v/>
      </c>
      <c r="BM306" s="60">
        <f>IF(OR(BG306="",BF306=""),"",BG306-BF306)</f>
        <v/>
      </c>
      <c r="BN306" s="60">
        <f>IF(OR(BH306="",BG306=""),"",BH306-BG306)</f>
        <v/>
      </c>
      <c r="BO306" s="60">
        <f>IF(OR(BI306="",BH306=""),"",BI306-BH306)</f>
        <v/>
      </c>
      <c r="BP306" s="60">
        <f>IF(C306="","",_xlfn.MAXIFS('Saisie'!$AS$5:$AS$2004,'Saisie'!$C$5:$C$2004,C306,'Saisie'!$J$5:$J$2004,"&lt;&gt;"))</f>
        <v/>
      </c>
      <c r="BQ306" s="60">
        <f>IF(C306="","",_xlfn.MAXIFS('Saisie'!$AS$5:$AS$2004,'Saisie'!$C$5:$C$2004,C306))</f>
        <v/>
      </c>
      <c r="BR306" s="60">
        <f>IF(C306="","",_xlfn.MAXIFS('Saisie'!$AS$5:$AS$2004,'Saisie'!$C$5:$C$2004,C306,'Saisie'!$E$5:$E$2004,"Perdu"))</f>
        <v/>
      </c>
      <c r="BS306" s="60">
        <f>IF(C306="","",_xlfn.MAXIFS('Saisie'!$AS$5:$AS$2004,'Saisie'!$C$5:$C$2004,C306,'Saisie'!$AT$5:$AT$2004,"&gt;0"))</f>
        <v/>
      </c>
      <c r="BT306" s="109">
        <f>IF(AND(C306&lt;&gt;"",OR(D306="Nouveau",D306="Contacté",D306="Qualifié"),OR(G306="",N(G306)&lt;=TODAY()),NOT(AND(O306&gt;='Paramètres'!$B$21,P306=0))),E306+302/10000,"")</f>
        <v/>
      </c>
      <c r="BU306" s="60">
        <f>IF(AND(G306&lt;&gt;"",N(G306)&lt;=TODAY()),MAX($BU$4:BU305)+1,"")</f>
        <v/>
      </c>
      <c r="BV306" s="60">
        <f>IF(AND(F306&lt;&gt;"",F306&lt;&gt;"Relance en retard"),MAX($BV$4:BV305)+1,"")</f>
        <v/>
      </c>
      <c r="BW306" s="60">
        <f>IF(C306="","",IF(AND(B306&gt;='Tableau de bord'!$R$4,B306&lt;='Tableau de bord'!$S$4,OR('Tableau de bord'!$G$4="Tous",N306='Tableau de bord'!$G$4)),1,0))</f>
        <v/>
      </c>
      <c r="BX306" s="60">
        <f>IF(AND(C306&lt;&gt;"",N(BA306)=7),MAX($BX$4:BX305)+1,"")</f>
        <v/>
      </c>
    </row>
    <row r="307">
      <c r="A307" s="60">
        <f>IF(C307="","","P-"&amp;TEXT(303,"000"))</f>
        <v/>
      </c>
      <c r="B307" s="106">
        <f>IF(C307="","",IFERROR(1/(1/_xlfn.MINIFS('Saisie'!$A$5:$A$2004,'Saisie'!$C$5:$C$2004,C307)),""))</f>
        <v/>
      </c>
      <c r="C307" s="60">
        <f>IFERROR(INDEX('Saisie'!$C$5:$C$2004,MATCH(303,'Saisie'!$AX$5:$AX$2004,0)),"")</f>
        <v/>
      </c>
      <c r="D307" s="60">
        <f>IF(C307="","",IF(AND(BR307&gt;0,BR307&gt;BS307,BA307&lt;7),"Perdu",INDEX('Paramètres'!$F$6:$F$13,BA307)))</f>
        <v/>
      </c>
      <c r="E307" s="61">
        <f>IF(C307="","",MIN(100,(Z307="Oui")*'Paramètres'!$B$38+(AB307="Régulière")*'Paramètres'!$B$39+IF(AND(N(AA307)&gt;0,TODAY()-N(AA307)&lt;=30),'Paramètres'!$B$40,0)+(W307="")*'Paramètres'!$B$41+(AC307="Absente")*'Paramètres'!$B$42+(AC307="Faible")*'Paramètres'!$B$43+IF(AND(N(AD307)&gt;0,N(AD307)&lt;4),'Paramètres'!$B$44,0)+(AF307="Moyenne")*'Paramètres'!$B$45+(AF307="Grande")*'Paramètres'!$B$46+(Y307&lt;&gt;"")*'Paramètres'!$B$47))</f>
        <v/>
      </c>
      <c r="F307" s="60">
        <f>IF(C307="","",IF(D307="Gagné","",IF(D307="Perdu",IF(AND(AX307&lt;&gt;"",AX307&lt;=TODAY()),"À recontacter (perdu)",""),IF(AND(O307&gt;='Paramètres'!$B$21,P307=0),"Stop : "&amp;'Paramètres'!$B$21&amp;" tentatives sans réponse",IF(AND(D307="Proposition",AR307&lt;&gt;"",TODAY()&gt;N(AR307)),"Proposition expirée",IF(AND(D307="Proposition",N(R307)&gt;='Paramètres'!$B$25),"Proposition sans réponse",IF(AND(G307&lt;&gt;"",N(G307)&lt;TODAY()),"Relance en retard",IF(N(R307)&gt;='Paramètres'!$B$24,"Sans action depuis "&amp;R307&amp;" j",""))))))))</f>
        <v/>
      </c>
      <c r="G307" s="106">
        <f>IF(OR(C307="",D307="Gagné",D307="Perdu"),"",IF(AND(BP307&gt;0,BP307=BQ307),INDEX('Saisie'!$J$5:$J$2004,BP307-4),IF(OR(O307=0,AND(O307&gt;='Paramètres'!$B$21,P307=0)),"",Q307+IF(O307&lt;=1,'Paramètres'!$B$18,IF(O307=2,'Paramètres'!$B$19,'Paramètres'!$B$20)))))</f>
        <v/>
      </c>
      <c r="H307" s="107">
        <f>IF(OR(G307="",BP307&lt;&gt;BQ307),"",IF(INDEX('Saisie'!$K$5:$K$2004,BP307-4)="","",INDEX('Saisie'!$K$5:$K$2004,BP307-4)))</f>
        <v/>
      </c>
      <c r="I307" s="60">
        <f>IF(C307="","",IF(OR(D307="Gagné",D307="Perdu"),"",IFERROR(INDEX('Saisie'!$I$5:$I$2004,_xlfn.MAXIFS('Saisie'!$AS$5:$AS$2004,'Saisie'!$C$5:$C$2004,C307,'Saisie'!$I$5:$I$2004,"&lt;&gt;")-4),"")))</f>
        <v/>
      </c>
      <c r="J307" s="60">
        <f>IF(C307="","",IFERROR(INDEX('Saisie'!$U$5:$U$2004,_xlfn.MAXIFS('Saisie'!$AS$5:$AS$2004,'Saisie'!$C$5:$C$2004,C307,'Saisie'!$U$5:$U$2004,"&lt;&gt;")-4),""))</f>
        <v/>
      </c>
      <c r="K307" s="60">
        <f>IF(C307="","",IFERROR(INDEX('Saisie'!$W$5:$W$2004,_xlfn.MAXIFS('Saisie'!$AS$5:$AS$2004,'Saisie'!$C$5:$C$2004,C307,'Saisie'!$W$5:$W$2004,"&lt;&gt;")-4),""))</f>
        <v/>
      </c>
      <c r="L307" s="60">
        <f>IF(IF(BB307&lt;&gt;"",BB307,K307)="","",HYPERLINK("https://wa.me/"&amp;IF(LEFT(SUBSTITUTE(SUBSTITUTE(SUBSTITUTE(IF(BB307&lt;&gt;"",BB307,K307)," ",""),".",""),"+",""),1)="0",'Paramètres'!$B$35&amp;MID(SUBSTITUTE(SUBSTITUTE(SUBSTITUTE(IF(BB307&lt;&gt;"",BB307,K307)," ",""),".",""),"+",""),2,20),SUBSTITUTE(SUBSTITUTE(SUBSTITUTE(IF(BB307&lt;&gt;"",BB307,K307)," ",""),".",""),"+","")),"WhatsApp"))</f>
        <v/>
      </c>
      <c r="M307" s="60">
        <f>IF(BC307="","",HYPERLINK(IF(LEFT(BC307,4)="http",BC307,"https://www.instagram.com/"&amp;SUBSTITUTE(SUBSTITUTE(BC307,"@","")," ","")),BC307))</f>
        <v/>
      </c>
      <c r="N307" s="60">
        <f>IF(C307="","",IFERROR(INDEX('Saisie'!$D$5:$D$2004,_xlfn.MINIFS('Saisie'!$AS$5:$AS$2004,'Saisie'!$C$5:$C$2004,C307,'Saisie'!$AU$5:$AU$2004,1)-4),IFERROR(INDEX('Saisie'!$D$5:$D$2004,_xlfn.MINIFS('Saisie'!$AS$5:$AS$2004,'Saisie'!$C$5:$C$2004,C307,'Saisie'!$D$5:$D$2004,"&lt;&gt;")-4),"")))</f>
        <v/>
      </c>
      <c r="O307" s="60">
        <f>IF(C307="","",COUNTIFS('Saisie'!$C$5:$C$2004,C307,'Saisie'!$AU$5:$AU$2004,1))</f>
        <v/>
      </c>
      <c r="P307" s="60">
        <f>IF(C307="","",COUNTIFS('Saisie'!$C$5:$C$2004,C307,'Saisie'!$AV$5:$AV$2004,1))</f>
        <v/>
      </c>
      <c r="Q307" s="106">
        <f>IF(C307="","",IFERROR(1/(1/_xlfn.MAXIFS('Saisie'!$A$5:$A$2004,'Saisie'!$C$5:$C$2004,C307)),""))</f>
        <v/>
      </c>
      <c r="R307" s="61">
        <f>IF(C307="","",IF(Q307="","",TODAY()-Q307))</f>
        <v/>
      </c>
      <c r="S307" s="60">
        <f>IF(C307="","",IFERROR(INDEX('Saisie'!$R$5:$R$2004,_xlfn.MAXIFS('Saisie'!$AS$5:$AS$2004,'Saisie'!$C$5:$C$2004,C307,'Saisie'!$R$5:$R$2004,"&lt;&gt;")-4),""))</f>
        <v/>
      </c>
      <c r="T307" s="60">
        <f>IF(C307="","",IFERROR(INDEX('Saisie'!$S$5:$S$2004,_xlfn.MAXIFS('Saisie'!$AS$5:$AS$2004,'Saisie'!$C$5:$C$2004,C307,'Saisie'!$S$5:$S$2004,"&lt;&gt;")-4),""))</f>
        <v/>
      </c>
      <c r="U307" s="60">
        <f>IF(C307="","",IFERROR(INDEX('Saisie'!$T$5:$T$2004,_xlfn.MAXIFS('Saisie'!$AS$5:$AS$2004,'Saisie'!$C$5:$C$2004,C307,'Saisie'!$T$5:$T$2004,"&lt;&gt;")-4),""))</f>
        <v/>
      </c>
      <c r="V307" s="60">
        <f>IF(C307="","",IFERROR(INDEX('Saisie'!$V$5:$V$2004,_xlfn.MAXIFS('Saisie'!$AS$5:$AS$2004,'Saisie'!$C$5:$C$2004,C307,'Saisie'!$V$5:$V$2004,"&lt;&gt;")-4),""))</f>
        <v/>
      </c>
      <c r="W307" s="60">
        <f>IF(C307="","",IFERROR(INDEX('Saisie'!$Z$5:$Z$2004,_xlfn.MAXIFS('Saisie'!$AS$5:$AS$2004,'Saisie'!$C$5:$C$2004,C307,'Saisie'!$Z$5:$Z$2004,"&lt;&gt;")-4),""))</f>
        <v/>
      </c>
      <c r="X307" s="60">
        <f>IF(C307="","",IFERROR(INDEX('Saisie'!$AA$5:$AA$2004,_xlfn.MAXIFS('Saisie'!$AS$5:$AS$2004,'Saisie'!$C$5:$C$2004,C307,'Saisie'!$AA$5:$AA$2004,"&lt;&gt;")-4),""))</f>
        <v/>
      </c>
      <c r="Y307" s="60">
        <f>IF(C307="","",IFERROR(INDEX('Saisie'!$AB$5:$AB$2004,_xlfn.MAXIFS('Saisie'!$AS$5:$AS$2004,'Saisie'!$C$5:$C$2004,C307,'Saisie'!$AB$5:$AB$2004,"&lt;&gt;")-4),""))</f>
        <v/>
      </c>
      <c r="Z307" s="60">
        <f>IF(C307="","",IFERROR(INDEX('Saisie'!$AC$5:$AC$2004,_xlfn.MAXIFS('Saisie'!$AS$5:$AS$2004,'Saisie'!$C$5:$C$2004,C307,'Saisie'!$AC$5:$AC$2004,"&lt;&gt;")-4),""))</f>
        <v/>
      </c>
      <c r="AA307" s="106">
        <f>IF(C307="","",IFERROR(INDEX('Saisie'!$AD$5:$AD$2004,_xlfn.MAXIFS('Saisie'!$AS$5:$AS$2004,'Saisie'!$C$5:$C$2004,C307,'Saisie'!$AD$5:$AD$2004,"&lt;&gt;")-4),""))</f>
        <v/>
      </c>
      <c r="AB307" s="60">
        <f>IF(C307="","",IFERROR(INDEX('Saisie'!$AE$5:$AE$2004,_xlfn.MAXIFS('Saisie'!$AS$5:$AS$2004,'Saisie'!$C$5:$C$2004,C307,'Saisie'!$AE$5:$AE$2004,"&lt;&gt;")-4),""))</f>
        <v/>
      </c>
      <c r="AC307" s="60">
        <f>IF(C307="","",IFERROR(INDEX('Saisie'!$AF$5:$AF$2004,_xlfn.MAXIFS('Saisie'!$AS$5:$AS$2004,'Saisie'!$C$5:$C$2004,C307,'Saisie'!$AF$5:$AF$2004,"&lt;&gt;")-4),""))</f>
        <v/>
      </c>
      <c r="AD307" s="108">
        <f>IF(C307="","",IFERROR(INDEX('Saisie'!$AG$5:$AG$2004,_xlfn.MAXIFS('Saisie'!$AS$5:$AS$2004,'Saisie'!$C$5:$C$2004,C307,'Saisie'!$AG$5:$AG$2004,"&lt;&gt;")-4),""))</f>
        <v/>
      </c>
      <c r="AE307" s="60">
        <f>IF(C307="","",IFERROR(INDEX('Saisie'!$AH$5:$AH$2004,_xlfn.MAXIFS('Saisie'!$AS$5:$AS$2004,'Saisie'!$C$5:$C$2004,C307,'Saisie'!$AH$5:$AH$2004,"&lt;&gt;")-4),""))</f>
        <v/>
      </c>
      <c r="AF307" s="60">
        <f>IF(C307="","",IFERROR(INDEX('Saisie'!$AI$5:$AI$2004,_xlfn.MAXIFS('Saisie'!$AS$5:$AS$2004,'Saisie'!$C$5:$C$2004,C307,'Saisie'!$AI$5:$AI$2004,"&lt;&gt;")-4),""))</f>
        <v/>
      </c>
      <c r="AG307" s="60">
        <f>IF(C307="","",IFERROR(INDEX('Saisie'!$AJ$5:$AJ$2004,_xlfn.MAXIFS('Saisie'!$AS$5:$AS$2004,'Saisie'!$C$5:$C$2004,C307,'Saisie'!$AJ$5:$AJ$2004,"&lt;&gt;")-4),""))</f>
        <v/>
      </c>
      <c r="AH307" s="60">
        <f>IF(C307="","",IFERROR(INDEX('Saisie'!$AK$5:$AK$2004,_xlfn.MAXIFS('Saisie'!$AS$5:$AS$2004,'Saisie'!$C$5:$C$2004,C307,'Saisie'!$AK$5:$AK$2004,"&lt;&gt;")-4),""))</f>
        <v/>
      </c>
      <c r="AI307" s="60">
        <f>IF(C307="","",IFERROR(INDEX('Saisie'!$AN$5:$AN$2004,_xlfn.MAXIFS('Saisie'!$AS$5:$AS$2004,'Saisie'!$C$5:$C$2004,C307,'Saisie'!$AN$5:$AN$2004,"&lt;&gt;")-4),""))</f>
        <v/>
      </c>
      <c r="AJ307" s="60">
        <f>IF(C307="","",IFERROR(INDEX('Saisie'!$AO$5:$AO$2004,_xlfn.MAXIFS('Saisie'!$AS$5:$AS$2004,'Saisie'!$C$5:$C$2004,C307,'Saisie'!$AO$5:$AO$2004,"&lt;&gt;")-4),""))</f>
        <v/>
      </c>
      <c r="AK307" s="60">
        <f>IF(C307="","",IFERROR(INDEX('Saisie'!$AP$5:$AP$2004,_xlfn.MAXIFS('Saisie'!$AS$5:$AS$2004,'Saisie'!$C$5:$C$2004,C307,'Saisie'!$AP$5:$AP$2004,"&lt;&gt;")-4),""))</f>
        <v/>
      </c>
      <c r="AL307" s="60">
        <f>IF(C307="","",IFERROR(INDEX('Saisie'!$AQ$5:$AQ$2004,_xlfn.MAXIFS('Saisie'!$AS$5:$AS$2004,'Saisie'!$C$5:$C$2004,C307,'Saisie'!$AQ$5:$AQ$2004,"&lt;&gt;")-4),""))</f>
        <v/>
      </c>
      <c r="AM307" s="60">
        <f>IF(C307="","",((AI307="Oui")+(AJ307="Oui")+(AK307="Oui")+OR(AL307="Immédiat",AL307="&lt; 1 mois"))&amp;"/4")</f>
        <v/>
      </c>
      <c r="AN307" s="60">
        <f>IF(C307="","",IFERROR(INDEX('Saisie'!$AL$5:$AL$2004,_xlfn.MAXIFS('Saisie'!$AS$5:$AS$2004,'Saisie'!$C$5:$C$2004,C307,'Saisie'!$AL$5:$AL$2004,"&lt;&gt;")-4),""))</f>
        <v/>
      </c>
      <c r="AO307" s="62">
        <f>IF(C307="","",IF(IFERROR(INDEX('Saisie'!$AM$5:$AM$2004,_xlfn.MAXIFS('Saisie'!$AS$5:$AS$2004,'Saisie'!$C$5:$C$2004,C307,'Saisie'!$AM$5:$AM$2004,"&lt;&gt;")-4),"")&lt;&gt;"",IFERROR(INDEX('Saisie'!$AM$5:$AM$2004,_xlfn.MAXIFS('Saisie'!$AS$5:$AS$2004,'Saisie'!$C$5:$C$2004,C307,'Saisie'!$AM$5:$AM$2004,"&lt;&gt;")-4),""),IFERROR(INDEX('Paramètres'!$S$6:$S$15,MATCH(AN307,'Paramètres'!$Q$6:$Q$15,0)),"")))</f>
        <v/>
      </c>
      <c r="AP307" s="62">
        <f>IF(C307="","",IFERROR(INDEX('Saisie'!$AW$5:$AW$2004,_xlfn.MAXIFS('Saisie'!$AS$5:$AS$2004,'Saisie'!$C$5:$C$2004,C307,'Saisie'!$E$5:$E$2004,"Proposition envoyée")-4),""))</f>
        <v/>
      </c>
      <c r="AQ307" s="106">
        <f>IF(C307="","",IFERROR(1/(1/_xlfn.MAXIFS('Saisie'!$A$5:$A$2004,'Saisie'!$C$5:$C$2004,C307,'Saisie'!$E$5:$E$2004,"Proposition envoyée")),""))</f>
        <v/>
      </c>
      <c r="AR307" s="106">
        <f>IF(C307="","",IF(AQ307="","",AQ307+'Paramètres'!$B$26))</f>
        <v/>
      </c>
      <c r="AS307" s="62">
        <f>IF(OR(C307="",D307="Gagné",D307="Perdu"),0,N(AP307)*IFERROR(INDEX('Paramètres'!$G$6:$G$13,MATCH(D307,'Paramètres'!$F$6:$F$13,0)),0))</f>
        <v/>
      </c>
      <c r="AT307" s="106">
        <f>IF(C307="","",IFERROR(1/(1/_xlfn.MINIFS('Saisie'!$A$5:$A$2004,'Saisie'!$C$5:$C$2004,C307,'Saisie'!$E$5:$E$2004,"Signature")),""))</f>
        <v/>
      </c>
      <c r="AU307" s="60">
        <f>IF(C307="","",IF(OR(AT307="",B307=""),"",AT307-B307))</f>
        <v/>
      </c>
      <c r="AV307" s="60">
        <f>IF(C307="","",IFERROR(INDEX('Saisie'!$L$5:$L$2004,_xlfn.MAXIFS('Saisie'!$AS$5:$AS$2004,'Saisie'!$C$5:$C$2004,C307,'Saisie'!$L$5:$L$2004,"&lt;&gt;")-4),""))</f>
        <v/>
      </c>
      <c r="AW307" s="106">
        <f>IF(C307="","",IF(D307&lt;&gt;"Perdu","",IFERROR(1/(1/_xlfn.MAXIFS('Saisie'!$A$5:$A$2004,'Saisie'!$C$5:$C$2004,C307,'Saisie'!$E$5:$E$2004,"Perdu")),"")))</f>
        <v/>
      </c>
      <c r="AX307" s="106">
        <f>IF(C307="","",IF(AW307="","",AW307+'Paramètres'!$B$28))</f>
        <v/>
      </c>
      <c r="AY307" s="60">
        <f>IF(C307="","",SUMIFS('Saisie'!$H$5:$H$2004,'Saisie'!$C$5:$C$2004,C307))</f>
        <v/>
      </c>
      <c r="AZ307" s="60">
        <f>IF(C307="","",IFERROR(INDEX('Paramètres'!$W$6:$W$20,MATCH(S307,'Paramètres'!$V$6:$V$20,0))&amp;"",""))</f>
        <v/>
      </c>
      <c r="BA307" s="60">
        <f>IF(C307="","",MAX(1,_xlfn.MAXIFS('Saisie'!$AT$5:$AT$2004,'Saisie'!$C$5:$C$2004,C307)))</f>
        <v/>
      </c>
      <c r="BB307" s="60">
        <f>IF(C307="","",IFERROR(INDEX('Saisie'!$X$5:$X$2004,_xlfn.MAXIFS('Saisie'!$AS$5:$AS$2004,'Saisie'!$C$5:$C$2004,C307,'Saisie'!$X$5:$X$2004,"&lt;&gt;")-4),""))</f>
        <v/>
      </c>
      <c r="BC307" s="60">
        <f>IF(C307="","",IFERROR(INDEX('Saisie'!$Y$5:$Y$2004,_xlfn.MAXIFS('Saisie'!$AS$5:$AS$2004,'Saisie'!$C$5:$C$2004,C307,'Saisie'!$Y$5:$Y$2004,"&lt;&gt;")-4),""))</f>
        <v/>
      </c>
      <c r="BD307" s="106">
        <f>IF(C307="","",IFERROR(1/(1/_xlfn.MINIFS('Saisie'!$A$5:$A$2004,'Saisie'!$C$5:$C$2004,C307,'Saisie'!$AT$5:$AT$2004,"&gt;=2")),""))</f>
        <v/>
      </c>
      <c r="BE307" s="106">
        <f>IF(C307="","",IFERROR(1/(1/_xlfn.MINIFS('Saisie'!$A$5:$A$2004,'Saisie'!$C$5:$C$2004,C307,'Saisie'!$AT$5:$AT$2004,"&gt;=3")),""))</f>
        <v/>
      </c>
      <c r="BF307" s="106">
        <f>IF(C307="","",IFERROR(1/(1/_xlfn.MINIFS('Saisie'!$A$5:$A$2004,'Saisie'!$C$5:$C$2004,C307,'Saisie'!$AT$5:$AT$2004,"&gt;=4")),""))</f>
        <v/>
      </c>
      <c r="BG307" s="106">
        <f>IF(C307="","",IFERROR(1/(1/_xlfn.MINIFS('Saisie'!$A$5:$A$2004,'Saisie'!$C$5:$C$2004,C307,'Saisie'!$AT$5:$AT$2004,"&gt;=5")),""))</f>
        <v/>
      </c>
      <c r="BH307" s="106">
        <f>IF(C307="","",IFERROR(1/(1/_xlfn.MINIFS('Saisie'!$A$5:$A$2004,'Saisie'!$C$5:$C$2004,C307,'Saisie'!$AT$5:$AT$2004,"&gt;=6")),""))</f>
        <v/>
      </c>
      <c r="BI307" s="106">
        <f>IF(C307="","",IFERROR(1/(1/_xlfn.MINIFS('Saisie'!$A$5:$A$2004,'Saisie'!$C$5:$C$2004,C307,'Saisie'!$AT$5:$AT$2004,"&gt;=7")),""))</f>
        <v/>
      </c>
      <c r="BJ307" s="60">
        <f>IF(OR(BD307="",B307=""),"",BD307-B307)</f>
        <v/>
      </c>
      <c r="BK307" s="60">
        <f>IF(OR(BE307="",BD307=""),"",BE307-BD307)</f>
        <v/>
      </c>
      <c r="BL307" s="60">
        <f>IF(OR(BF307="",BE307=""),"",BF307-BE307)</f>
        <v/>
      </c>
      <c r="BM307" s="60">
        <f>IF(OR(BG307="",BF307=""),"",BG307-BF307)</f>
        <v/>
      </c>
      <c r="BN307" s="60">
        <f>IF(OR(BH307="",BG307=""),"",BH307-BG307)</f>
        <v/>
      </c>
      <c r="BO307" s="60">
        <f>IF(OR(BI307="",BH307=""),"",BI307-BH307)</f>
        <v/>
      </c>
      <c r="BP307" s="60">
        <f>IF(C307="","",_xlfn.MAXIFS('Saisie'!$AS$5:$AS$2004,'Saisie'!$C$5:$C$2004,C307,'Saisie'!$J$5:$J$2004,"&lt;&gt;"))</f>
        <v/>
      </c>
      <c r="BQ307" s="60">
        <f>IF(C307="","",_xlfn.MAXIFS('Saisie'!$AS$5:$AS$2004,'Saisie'!$C$5:$C$2004,C307))</f>
        <v/>
      </c>
      <c r="BR307" s="60">
        <f>IF(C307="","",_xlfn.MAXIFS('Saisie'!$AS$5:$AS$2004,'Saisie'!$C$5:$C$2004,C307,'Saisie'!$E$5:$E$2004,"Perdu"))</f>
        <v/>
      </c>
      <c r="BS307" s="60">
        <f>IF(C307="","",_xlfn.MAXIFS('Saisie'!$AS$5:$AS$2004,'Saisie'!$C$5:$C$2004,C307,'Saisie'!$AT$5:$AT$2004,"&gt;0"))</f>
        <v/>
      </c>
      <c r="BT307" s="109">
        <f>IF(AND(C307&lt;&gt;"",OR(D307="Nouveau",D307="Contacté",D307="Qualifié"),OR(G307="",N(G307)&lt;=TODAY()),NOT(AND(O307&gt;='Paramètres'!$B$21,P307=0))),E307+303/10000,"")</f>
        <v/>
      </c>
      <c r="BU307" s="60">
        <f>IF(AND(G307&lt;&gt;"",N(G307)&lt;=TODAY()),MAX($BU$4:BU306)+1,"")</f>
        <v/>
      </c>
      <c r="BV307" s="60">
        <f>IF(AND(F307&lt;&gt;"",F307&lt;&gt;"Relance en retard"),MAX($BV$4:BV306)+1,"")</f>
        <v/>
      </c>
      <c r="BW307" s="60">
        <f>IF(C307="","",IF(AND(B307&gt;='Tableau de bord'!$R$4,B307&lt;='Tableau de bord'!$S$4,OR('Tableau de bord'!$G$4="Tous",N307='Tableau de bord'!$G$4)),1,0))</f>
        <v/>
      </c>
      <c r="BX307" s="60">
        <f>IF(AND(C307&lt;&gt;"",N(BA307)=7),MAX($BX$4:BX306)+1,"")</f>
        <v/>
      </c>
    </row>
    <row r="308">
      <c r="A308" s="60">
        <f>IF(C308="","","P-"&amp;TEXT(304,"000"))</f>
        <v/>
      </c>
      <c r="B308" s="106">
        <f>IF(C308="","",IFERROR(1/(1/_xlfn.MINIFS('Saisie'!$A$5:$A$2004,'Saisie'!$C$5:$C$2004,C308)),""))</f>
        <v/>
      </c>
      <c r="C308" s="60">
        <f>IFERROR(INDEX('Saisie'!$C$5:$C$2004,MATCH(304,'Saisie'!$AX$5:$AX$2004,0)),"")</f>
        <v/>
      </c>
      <c r="D308" s="60">
        <f>IF(C308="","",IF(AND(BR308&gt;0,BR308&gt;BS308,BA308&lt;7),"Perdu",INDEX('Paramètres'!$F$6:$F$13,BA308)))</f>
        <v/>
      </c>
      <c r="E308" s="61">
        <f>IF(C308="","",MIN(100,(Z308="Oui")*'Paramètres'!$B$38+(AB308="Régulière")*'Paramètres'!$B$39+IF(AND(N(AA308)&gt;0,TODAY()-N(AA308)&lt;=30),'Paramètres'!$B$40,0)+(W308="")*'Paramètres'!$B$41+(AC308="Absente")*'Paramètres'!$B$42+(AC308="Faible")*'Paramètres'!$B$43+IF(AND(N(AD308)&gt;0,N(AD308)&lt;4),'Paramètres'!$B$44,0)+(AF308="Moyenne")*'Paramètres'!$B$45+(AF308="Grande")*'Paramètres'!$B$46+(Y308&lt;&gt;"")*'Paramètres'!$B$47))</f>
        <v/>
      </c>
      <c r="F308" s="60">
        <f>IF(C308="","",IF(D308="Gagné","",IF(D308="Perdu",IF(AND(AX308&lt;&gt;"",AX308&lt;=TODAY()),"À recontacter (perdu)",""),IF(AND(O308&gt;='Paramètres'!$B$21,P308=0),"Stop : "&amp;'Paramètres'!$B$21&amp;" tentatives sans réponse",IF(AND(D308="Proposition",AR308&lt;&gt;"",TODAY()&gt;N(AR308)),"Proposition expirée",IF(AND(D308="Proposition",N(R308)&gt;='Paramètres'!$B$25),"Proposition sans réponse",IF(AND(G308&lt;&gt;"",N(G308)&lt;TODAY()),"Relance en retard",IF(N(R308)&gt;='Paramètres'!$B$24,"Sans action depuis "&amp;R308&amp;" j",""))))))))</f>
        <v/>
      </c>
      <c r="G308" s="106">
        <f>IF(OR(C308="",D308="Gagné",D308="Perdu"),"",IF(AND(BP308&gt;0,BP308=BQ308),INDEX('Saisie'!$J$5:$J$2004,BP308-4),IF(OR(O308=0,AND(O308&gt;='Paramètres'!$B$21,P308=0)),"",Q308+IF(O308&lt;=1,'Paramètres'!$B$18,IF(O308=2,'Paramètres'!$B$19,'Paramètres'!$B$20)))))</f>
        <v/>
      </c>
      <c r="H308" s="107">
        <f>IF(OR(G308="",BP308&lt;&gt;BQ308),"",IF(INDEX('Saisie'!$K$5:$K$2004,BP308-4)="","",INDEX('Saisie'!$K$5:$K$2004,BP308-4)))</f>
        <v/>
      </c>
      <c r="I308" s="60">
        <f>IF(C308="","",IF(OR(D308="Gagné",D308="Perdu"),"",IFERROR(INDEX('Saisie'!$I$5:$I$2004,_xlfn.MAXIFS('Saisie'!$AS$5:$AS$2004,'Saisie'!$C$5:$C$2004,C308,'Saisie'!$I$5:$I$2004,"&lt;&gt;")-4),"")))</f>
        <v/>
      </c>
      <c r="J308" s="60">
        <f>IF(C308="","",IFERROR(INDEX('Saisie'!$U$5:$U$2004,_xlfn.MAXIFS('Saisie'!$AS$5:$AS$2004,'Saisie'!$C$5:$C$2004,C308,'Saisie'!$U$5:$U$2004,"&lt;&gt;")-4),""))</f>
        <v/>
      </c>
      <c r="K308" s="60">
        <f>IF(C308="","",IFERROR(INDEX('Saisie'!$W$5:$W$2004,_xlfn.MAXIFS('Saisie'!$AS$5:$AS$2004,'Saisie'!$C$5:$C$2004,C308,'Saisie'!$W$5:$W$2004,"&lt;&gt;")-4),""))</f>
        <v/>
      </c>
      <c r="L308" s="60">
        <f>IF(IF(BB308&lt;&gt;"",BB308,K308)="","",HYPERLINK("https://wa.me/"&amp;IF(LEFT(SUBSTITUTE(SUBSTITUTE(SUBSTITUTE(IF(BB308&lt;&gt;"",BB308,K308)," ",""),".",""),"+",""),1)="0",'Paramètres'!$B$35&amp;MID(SUBSTITUTE(SUBSTITUTE(SUBSTITUTE(IF(BB308&lt;&gt;"",BB308,K308)," ",""),".",""),"+",""),2,20),SUBSTITUTE(SUBSTITUTE(SUBSTITUTE(IF(BB308&lt;&gt;"",BB308,K308)," ",""),".",""),"+","")),"WhatsApp"))</f>
        <v/>
      </c>
      <c r="M308" s="60">
        <f>IF(BC308="","",HYPERLINK(IF(LEFT(BC308,4)="http",BC308,"https://www.instagram.com/"&amp;SUBSTITUTE(SUBSTITUTE(BC308,"@","")," ","")),BC308))</f>
        <v/>
      </c>
      <c r="N308" s="60">
        <f>IF(C308="","",IFERROR(INDEX('Saisie'!$D$5:$D$2004,_xlfn.MINIFS('Saisie'!$AS$5:$AS$2004,'Saisie'!$C$5:$C$2004,C308,'Saisie'!$AU$5:$AU$2004,1)-4),IFERROR(INDEX('Saisie'!$D$5:$D$2004,_xlfn.MINIFS('Saisie'!$AS$5:$AS$2004,'Saisie'!$C$5:$C$2004,C308,'Saisie'!$D$5:$D$2004,"&lt;&gt;")-4),"")))</f>
        <v/>
      </c>
      <c r="O308" s="60">
        <f>IF(C308="","",COUNTIFS('Saisie'!$C$5:$C$2004,C308,'Saisie'!$AU$5:$AU$2004,1))</f>
        <v/>
      </c>
      <c r="P308" s="60">
        <f>IF(C308="","",COUNTIFS('Saisie'!$C$5:$C$2004,C308,'Saisie'!$AV$5:$AV$2004,1))</f>
        <v/>
      </c>
      <c r="Q308" s="106">
        <f>IF(C308="","",IFERROR(1/(1/_xlfn.MAXIFS('Saisie'!$A$5:$A$2004,'Saisie'!$C$5:$C$2004,C308)),""))</f>
        <v/>
      </c>
      <c r="R308" s="61">
        <f>IF(C308="","",IF(Q308="","",TODAY()-Q308))</f>
        <v/>
      </c>
      <c r="S308" s="60">
        <f>IF(C308="","",IFERROR(INDEX('Saisie'!$R$5:$R$2004,_xlfn.MAXIFS('Saisie'!$AS$5:$AS$2004,'Saisie'!$C$5:$C$2004,C308,'Saisie'!$R$5:$R$2004,"&lt;&gt;")-4),""))</f>
        <v/>
      </c>
      <c r="T308" s="60">
        <f>IF(C308="","",IFERROR(INDEX('Saisie'!$S$5:$S$2004,_xlfn.MAXIFS('Saisie'!$AS$5:$AS$2004,'Saisie'!$C$5:$C$2004,C308,'Saisie'!$S$5:$S$2004,"&lt;&gt;")-4),""))</f>
        <v/>
      </c>
      <c r="U308" s="60">
        <f>IF(C308="","",IFERROR(INDEX('Saisie'!$T$5:$T$2004,_xlfn.MAXIFS('Saisie'!$AS$5:$AS$2004,'Saisie'!$C$5:$C$2004,C308,'Saisie'!$T$5:$T$2004,"&lt;&gt;")-4),""))</f>
        <v/>
      </c>
      <c r="V308" s="60">
        <f>IF(C308="","",IFERROR(INDEX('Saisie'!$V$5:$V$2004,_xlfn.MAXIFS('Saisie'!$AS$5:$AS$2004,'Saisie'!$C$5:$C$2004,C308,'Saisie'!$V$5:$V$2004,"&lt;&gt;")-4),""))</f>
        <v/>
      </c>
      <c r="W308" s="60">
        <f>IF(C308="","",IFERROR(INDEX('Saisie'!$Z$5:$Z$2004,_xlfn.MAXIFS('Saisie'!$AS$5:$AS$2004,'Saisie'!$C$5:$C$2004,C308,'Saisie'!$Z$5:$Z$2004,"&lt;&gt;")-4),""))</f>
        <v/>
      </c>
      <c r="X308" s="60">
        <f>IF(C308="","",IFERROR(INDEX('Saisie'!$AA$5:$AA$2004,_xlfn.MAXIFS('Saisie'!$AS$5:$AS$2004,'Saisie'!$C$5:$C$2004,C308,'Saisie'!$AA$5:$AA$2004,"&lt;&gt;")-4),""))</f>
        <v/>
      </c>
      <c r="Y308" s="60">
        <f>IF(C308="","",IFERROR(INDEX('Saisie'!$AB$5:$AB$2004,_xlfn.MAXIFS('Saisie'!$AS$5:$AS$2004,'Saisie'!$C$5:$C$2004,C308,'Saisie'!$AB$5:$AB$2004,"&lt;&gt;")-4),""))</f>
        <v/>
      </c>
      <c r="Z308" s="60">
        <f>IF(C308="","",IFERROR(INDEX('Saisie'!$AC$5:$AC$2004,_xlfn.MAXIFS('Saisie'!$AS$5:$AS$2004,'Saisie'!$C$5:$C$2004,C308,'Saisie'!$AC$5:$AC$2004,"&lt;&gt;")-4),""))</f>
        <v/>
      </c>
      <c r="AA308" s="106">
        <f>IF(C308="","",IFERROR(INDEX('Saisie'!$AD$5:$AD$2004,_xlfn.MAXIFS('Saisie'!$AS$5:$AS$2004,'Saisie'!$C$5:$C$2004,C308,'Saisie'!$AD$5:$AD$2004,"&lt;&gt;")-4),""))</f>
        <v/>
      </c>
      <c r="AB308" s="60">
        <f>IF(C308="","",IFERROR(INDEX('Saisie'!$AE$5:$AE$2004,_xlfn.MAXIFS('Saisie'!$AS$5:$AS$2004,'Saisie'!$C$5:$C$2004,C308,'Saisie'!$AE$5:$AE$2004,"&lt;&gt;")-4),""))</f>
        <v/>
      </c>
      <c r="AC308" s="60">
        <f>IF(C308="","",IFERROR(INDEX('Saisie'!$AF$5:$AF$2004,_xlfn.MAXIFS('Saisie'!$AS$5:$AS$2004,'Saisie'!$C$5:$C$2004,C308,'Saisie'!$AF$5:$AF$2004,"&lt;&gt;")-4),""))</f>
        <v/>
      </c>
      <c r="AD308" s="108">
        <f>IF(C308="","",IFERROR(INDEX('Saisie'!$AG$5:$AG$2004,_xlfn.MAXIFS('Saisie'!$AS$5:$AS$2004,'Saisie'!$C$5:$C$2004,C308,'Saisie'!$AG$5:$AG$2004,"&lt;&gt;")-4),""))</f>
        <v/>
      </c>
      <c r="AE308" s="60">
        <f>IF(C308="","",IFERROR(INDEX('Saisie'!$AH$5:$AH$2004,_xlfn.MAXIFS('Saisie'!$AS$5:$AS$2004,'Saisie'!$C$5:$C$2004,C308,'Saisie'!$AH$5:$AH$2004,"&lt;&gt;")-4),""))</f>
        <v/>
      </c>
      <c r="AF308" s="60">
        <f>IF(C308="","",IFERROR(INDEX('Saisie'!$AI$5:$AI$2004,_xlfn.MAXIFS('Saisie'!$AS$5:$AS$2004,'Saisie'!$C$5:$C$2004,C308,'Saisie'!$AI$5:$AI$2004,"&lt;&gt;")-4),""))</f>
        <v/>
      </c>
      <c r="AG308" s="60">
        <f>IF(C308="","",IFERROR(INDEX('Saisie'!$AJ$5:$AJ$2004,_xlfn.MAXIFS('Saisie'!$AS$5:$AS$2004,'Saisie'!$C$5:$C$2004,C308,'Saisie'!$AJ$5:$AJ$2004,"&lt;&gt;")-4),""))</f>
        <v/>
      </c>
      <c r="AH308" s="60">
        <f>IF(C308="","",IFERROR(INDEX('Saisie'!$AK$5:$AK$2004,_xlfn.MAXIFS('Saisie'!$AS$5:$AS$2004,'Saisie'!$C$5:$C$2004,C308,'Saisie'!$AK$5:$AK$2004,"&lt;&gt;")-4),""))</f>
        <v/>
      </c>
      <c r="AI308" s="60">
        <f>IF(C308="","",IFERROR(INDEX('Saisie'!$AN$5:$AN$2004,_xlfn.MAXIFS('Saisie'!$AS$5:$AS$2004,'Saisie'!$C$5:$C$2004,C308,'Saisie'!$AN$5:$AN$2004,"&lt;&gt;")-4),""))</f>
        <v/>
      </c>
      <c r="AJ308" s="60">
        <f>IF(C308="","",IFERROR(INDEX('Saisie'!$AO$5:$AO$2004,_xlfn.MAXIFS('Saisie'!$AS$5:$AS$2004,'Saisie'!$C$5:$C$2004,C308,'Saisie'!$AO$5:$AO$2004,"&lt;&gt;")-4),""))</f>
        <v/>
      </c>
      <c r="AK308" s="60">
        <f>IF(C308="","",IFERROR(INDEX('Saisie'!$AP$5:$AP$2004,_xlfn.MAXIFS('Saisie'!$AS$5:$AS$2004,'Saisie'!$C$5:$C$2004,C308,'Saisie'!$AP$5:$AP$2004,"&lt;&gt;")-4),""))</f>
        <v/>
      </c>
      <c r="AL308" s="60">
        <f>IF(C308="","",IFERROR(INDEX('Saisie'!$AQ$5:$AQ$2004,_xlfn.MAXIFS('Saisie'!$AS$5:$AS$2004,'Saisie'!$C$5:$C$2004,C308,'Saisie'!$AQ$5:$AQ$2004,"&lt;&gt;")-4),""))</f>
        <v/>
      </c>
      <c r="AM308" s="60">
        <f>IF(C308="","",((AI308="Oui")+(AJ308="Oui")+(AK308="Oui")+OR(AL308="Immédiat",AL308="&lt; 1 mois"))&amp;"/4")</f>
        <v/>
      </c>
      <c r="AN308" s="60">
        <f>IF(C308="","",IFERROR(INDEX('Saisie'!$AL$5:$AL$2004,_xlfn.MAXIFS('Saisie'!$AS$5:$AS$2004,'Saisie'!$C$5:$C$2004,C308,'Saisie'!$AL$5:$AL$2004,"&lt;&gt;")-4),""))</f>
        <v/>
      </c>
      <c r="AO308" s="62">
        <f>IF(C308="","",IF(IFERROR(INDEX('Saisie'!$AM$5:$AM$2004,_xlfn.MAXIFS('Saisie'!$AS$5:$AS$2004,'Saisie'!$C$5:$C$2004,C308,'Saisie'!$AM$5:$AM$2004,"&lt;&gt;")-4),"")&lt;&gt;"",IFERROR(INDEX('Saisie'!$AM$5:$AM$2004,_xlfn.MAXIFS('Saisie'!$AS$5:$AS$2004,'Saisie'!$C$5:$C$2004,C308,'Saisie'!$AM$5:$AM$2004,"&lt;&gt;")-4),""),IFERROR(INDEX('Paramètres'!$S$6:$S$15,MATCH(AN308,'Paramètres'!$Q$6:$Q$15,0)),"")))</f>
        <v/>
      </c>
      <c r="AP308" s="62">
        <f>IF(C308="","",IFERROR(INDEX('Saisie'!$AW$5:$AW$2004,_xlfn.MAXIFS('Saisie'!$AS$5:$AS$2004,'Saisie'!$C$5:$C$2004,C308,'Saisie'!$E$5:$E$2004,"Proposition envoyée")-4),""))</f>
        <v/>
      </c>
      <c r="AQ308" s="106">
        <f>IF(C308="","",IFERROR(1/(1/_xlfn.MAXIFS('Saisie'!$A$5:$A$2004,'Saisie'!$C$5:$C$2004,C308,'Saisie'!$E$5:$E$2004,"Proposition envoyée")),""))</f>
        <v/>
      </c>
      <c r="AR308" s="106">
        <f>IF(C308="","",IF(AQ308="","",AQ308+'Paramètres'!$B$26))</f>
        <v/>
      </c>
      <c r="AS308" s="62">
        <f>IF(OR(C308="",D308="Gagné",D308="Perdu"),0,N(AP308)*IFERROR(INDEX('Paramètres'!$G$6:$G$13,MATCH(D308,'Paramètres'!$F$6:$F$13,0)),0))</f>
        <v/>
      </c>
      <c r="AT308" s="106">
        <f>IF(C308="","",IFERROR(1/(1/_xlfn.MINIFS('Saisie'!$A$5:$A$2004,'Saisie'!$C$5:$C$2004,C308,'Saisie'!$E$5:$E$2004,"Signature")),""))</f>
        <v/>
      </c>
      <c r="AU308" s="60">
        <f>IF(C308="","",IF(OR(AT308="",B308=""),"",AT308-B308))</f>
        <v/>
      </c>
      <c r="AV308" s="60">
        <f>IF(C308="","",IFERROR(INDEX('Saisie'!$L$5:$L$2004,_xlfn.MAXIFS('Saisie'!$AS$5:$AS$2004,'Saisie'!$C$5:$C$2004,C308,'Saisie'!$L$5:$L$2004,"&lt;&gt;")-4),""))</f>
        <v/>
      </c>
      <c r="AW308" s="106">
        <f>IF(C308="","",IF(D308&lt;&gt;"Perdu","",IFERROR(1/(1/_xlfn.MAXIFS('Saisie'!$A$5:$A$2004,'Saisie'!$C$5:$C$2004,C308,'Saisie'!$E$5:$E$2004,"Perdu")),"")))</f>
        <v/>
      </c>
      <c r="AX308" s="106">
        <f>IF(C308="","",IF(AW308="","",AW308+'Paramètres'!$B$28))</f>
        <v/>
      </c>
      <c r="AY308" s="60">
        <f>IF(C308="","",SUMIFS('Saisie'!$H$5:$H$2004,'Saisie'!$C$5:$C$2004,C308))</f>
        <v/>
      </c>
      <c r="AZ308" s="60">
        <f>IF(C308="","",IFERROR(INDEX('Paramètres'!$W$6:$W$20,MATCH(S308,'Paramètres'!$V$6:$V$20,0))&amp;"",""))</f>
        <v/>
      </c>
      <c r="BA308" s="60">
        <f>IF(C308="","",MAX(1,_xlfn.MAXIFS('Saisie'!$AT$5:$AT$2004,'Saisie'!$C$5:$C$2004,C308)))</f>
        <v/>
      </c>
      <c r="BB308" s="60">
        <f>IF(C308="","",IFERROR(INDEX('Saisie'!$X$5:$X$2004,_xlfn.MAXIFS('Saisie'!$AS$5:$AS$2004,'Saisie'!$C$5:$C$2004,C308,'Saisie'!$X$5:$X$2004,"&lt;&gt;")-4),""))</f>
        <v/>
      </c>
      <c r="BC308" s="60">
        <f>IF(C308="","",IFERROR(INDEX('Saisie'!$Y$5:$Y$2004,_xlfn.MAXIFS('Saisie'!$AS$5:$AS$2004,'Saisie'!$C$5:$C$2004,C308,'Saisie'!$Y$5:$Y$2004,"&lt;&gt;")-4),""))</f>
        <v/>
      </c>
      <c r="BD308" s="106">
        <f>IF(C308="","",IFERROR(1/(1/_xlfn.MINIFS('Saisie'!$A$5:$A$2004,'Saisie'!$C$5:$C$2004,C308,'Saisie'!$AT$5:$AT$2004,"&gt;=2")),""))</f>
        <v/>
      </c>
      <c r="BE308" s="106">
        <f>IF(C308="","",IFERROR(1/(1/_xlfn.MINIFS('Saisie'!$A$5:$A$2004,'Saisie'!$C$5:$C$2004,C308,'Saisie'!$AT$5:$AT$2004,"&gt;=3")),""))</f>
        <v/>
      </c>
      <c r="BF308" s="106">
        <f>IF(C308="","",IFERROR(1/(1/_xlfn.MINIFS('Saisie'!$A$5:$A$2004,'Saisie'!$C$5:$C$2004,C308,'Saisie'!$AT$5:$AT$2004,"&gt;=4")),""))</f>
        <v/>
      </c>
      <c r="BG308" s="106">
        <f>IF(C308="","",IFERROR(1/(1/_xlfn.MINIFS('Saisie'!$A$5:$A$2004,'Saisie'!$C$5:$C$2004,C308,'Saisie'!$AT$5:$AT$2004,"&gt;=5")),""))</f>
        <v/>
      </c>
      <c r="BH308" s="106">
        <f>IF(C308="","",IFERROR(1/(1/_xlfn.MINIFS('Saisie'!$A$5:$A$2004,'Saisie'!$C$5:$C$2004,C308,'Saisie'!$AT$5:$AT$2004,"&gt;=6")),""))</f>
        <v/>
      </c>
      <c r="BI308" s="106">
        <f>IF(C308="","",IFERROR(1/(1/_xlfn.MINIFS('Saisie'!$A$5:$A$2004,'Saisie'!$C$5:$C$2004,C308,'Saisie'!$AT$5:$AT$2004,"&gt;=7")),""))</f>
        <v/>
      </c>
      <c r="BJ308" s="60">
        <f>IF(OR(BD308="",B308=""),"",BD308-B308)</f>
        <v/>
      </c>
      <c r="BK308" s="60">
        <f>IF(OR(BE308="",BD308=""),"",BE308-BD308)</f>
        <v/>
      </c>
      <c r="BL308" s="60">
        <f>IF(OR(BF308="",BE308=""),"",BF308-BE308)</f>
        <v/>
      </c>
      <c r="BM308" s="60">
        <f>IF(OR(BG308="",BF308=""),"",BG308-BF308)</f>
        <v/>
      </c>
      <c r="BN308" s="60">
        <f>IF(OR(BH308="",BG308=""),"",BH308-BG308)</f>
        <v/>
      </c>
      <c r="BO308" s="60">
        <f>IF(OR(BI308="",BH308=""),"",BI308-BH308)</f>
        <v/>
      </c>
      <c r="BP308" s="60">
        <f>IF(C308="","",_xlfn.MAXIFS('Saisie'!$AS$5:$AS$2004,'Saisie'!$C$5:$C$2004,C308,'Saisie'!$J$5:$J$2004,"&lt;&gt;"))</f>
        <v/>
      </c>
      <c r="BQ308" s="60">
        <f>IF(C308="","",_xlfn.MAXIFS('Saisie'!$AS$5:$AS$2004,'Saisie'!$C$5:$C$2004,C308))</f>
        <v/>
      </c>
      <c r="BR308" s="60">
        <f>IF(C308="","",_xlfn.MAXIFS('Saisie'!$AS$5:$AS$2004,'Saisie'!$C$5:$C$2004,C308,'Saisie'!$E$5:$E$2004,"Perdu"))</f>
        <v/>
      </c>
      <c r="BS308" s="60">
        <f>IF(C308="","",_xlfn.MAXIFS('Saisie'!$AS$5:$AS$2004,'Saisie'!$C$5:$C$2004,C308,'Saisie'!$AT$5:$AT$2004,"&gt;0"))</f>
        <v/>
      </c>
      <c r="BT308" s="109">
        <f>IF(AND(C308&lt;&gt;"",OR(D308="Nouveau",D308="Contacté",D308="Qualifié"),OR(G308="",N(G308)&lt;=TODAY()),NOT(AND(O308&gt;='Paramètres'!$B$21,P308=0))),E308+304/10000,"")</f>
        <v/>
      </c>
      <c r="BU308" s="60">
        <f>IF(AND(G308&lt;&gt;"",N(G308)&lt;=TODAY()),MAX($BU$4:BU307)+1,"")</f>
        <v/>
      </c>
      <c r="BV308" s="60">
        <f>IF(AND(F308&lt;&gt;"",F308&lt;&gt;"Relance en retard"),MAX($BV$4:BV307)+1,"")</f>
        <v/>
      </c>
      <c r="BW308" s="60">
        <f>IF(C308="","",IF(AND(B308&gt;='Tableau de bord'!$R$4,B308&lt;='Tableau de bord'!$S$4,OR('Tableau de bord'!$G$4="Tous",N308='Tableau de bord'!$G$4)),1,0))</f>
        <v/>
      </c>
      <c r="BX308" s="60">
        <f>IF(AND(C308&lt;&gt;"",N(BA308)=7),MAX($BX$4:BX307)+1,"")</f>
        <v/>
      </c>
    </row>
    <row r="309">
      <c r="A309" s="60">
        <f>IF(C309="","","P-"&amp;TEXT(305,"000"))</f>
        <v/>
      </c>
      <c r="B309" s="106">
        <f>IF(C309="","",IFERROR(1/(1/_xlfn.MINIFS('Saisie'!$A$5:$A$2004,'Saisie'!$C$5:$C$2004,C309)),""))</f>
        <v/>
      </c>
      <c r="C309" s="60">
        <f>IFERROR(INDEX('Saisie'!$C$5:$C$2004,MATCH(305,'Saisie'!$AX$5:$AX$2004,0)),"")</f>
        <v/>
      </c>
      <c r="D309" s="60">
        <f>IF(C309="","",IF(AND(BR309&gt;0,BR309&gt;BS309,BA309&lt;7),"Perdu",INDEX('Paramètres'!$F$6:$F$13,BA309)))</f>
        <v/>
      </c>
      <c r="E309" s="61">
        <f>IF(C309="","",MIN(100,(Z309="Oui")*'Paramètres'!$B$38+(AB309="Régulière")*'Paramètres'!$B$39+IF(AND(N(AA309)&gt;0,TODAY()-N(AA309)&lt;=30),'Paramètres'!$B$40,0)+(W309="")*'Paramètres'!$B$41+(AC309="Absente")*'Paramètres'!$B$42+(AC309="Faible")*'Paramètres'!$B$43+IF(AND(N(AD309)&gt;0,N(AD309)&lt;4),'Paramètres'!$B$44,0)+(AF309="Moyenne")*'Paramètres'!$B$45+(AF309="Grande")*'Paramètres'!$B$46+(Y309&lt;&gt;"")*'Paramètres'!$B$47))</f>
        <v/>
      </c>
      <c r="F309" s="60">
        <f>IF(C309="","",IF(D309="Gagné","",IF(D309="Perdu",IF(AND(AX309&lt;&gt;"",AX309&lt;=TODAY()),"À recontacter (perdu)",""),IF(AND(O309&gt;='Paramètres'!$B$21,P309=0),"Stop : "&amp;'Paramètres'!$B$21&amp;" tentatives sans réponse",IF(AND(D309="Proposition",AR309&lt;&gt;"",TODAY()&gt;N(AR309)),"Proposition expirée",IF(AND(D309="Proposition",N(R309)&gt;='Paramètres'!$B$25),"Proposition sans réponse",IF(AND(G309&lt;&gt;"",N(G309)&lt;TODAY()),"Relance en retard",IF(N(R309)&gt;='Paramètres'!$B$24,"Sans action depuis "&amp;R309&amp;" j",""))))))))</f>
        <v/>
      </c>
      <c r="G309" s="106">
        <f>IF(OR(C309="",D309="Gagné",D309="Perdu"),"",IF(AND(BP309&gt;0,BP309=BQ309),INDEX('Saisie'!$J$5:$J$2004,BP309-4),IF(OR(O309=0,AND(O309&gt;='Paramètres'!$B$21,P309=0)),"",Q309+IF(O309&lt;=1,'Paramètres'!$B$18,IF(O309=2,'Paramètres'!$B$19,'Paramètres'!$B$20)))))</f>
        <v/>
      </c>
      <c r="H309" s="107">
        <f>IF(OR(G309="",BP309&lt;&gt;BQ309),"",IF(INDEX('Saisie'!$K$5:$K$2004,BP309-4)="","",INDEX('Saisie'!$K$5:$K$2004,BP309-4)))</f>
        <v/>
      </c>
      <c r="I309" s="60">
        <f>IF(C309="","",IF(OR(D309="Gagné",D309="Perdu"),"",IFERROR(INDEX('Saisie'!$I$5:$I$2004,_xlfn.MAXIFS('Saisie'!$AS$5:$AS$2004,'Saisie'!$C$5:$C$2004,C309,'Saisie'!$I$5:$I$2004,"&lt;&gt;")-4),"")))</f>
        <v/>
      </c>
      <c r="J309" s="60">
        <f>IF(C309="","",IFERROR(INDEX('Saisie'!$U$5:$U$2004,_xlfn.MAXIFS('Saisie'!$AS$5:$AS$2004,'Saisie'!$C$5:$C$2004,C309,'Saisie'!$U$5:$U$2004,"&lt;&gt;")-4),""))</f>
        <v/>
      </c>
      <c r="K309" s="60">
        <f>IF(C309="","",IFERROR(INDEX('Saisie'!$W$5:$W$2004,_xlfn.MAXIFS('Saisie'!$AS$5:$AS$2004,'Saisie'!$C$5:$C$2004,C309,'Saisie'!$W$5:$W$2004,"&lt;&gt;")-4),""))</f>
        <v/>
      </c>
      <c r="L309" s="60">
        <f>IF(IF(BB309&lt;&gt;"",BB309,K309)="","",HYPERLINK("https://wa.me/"&amp;IF(LEFT(SUBSTITUTE(SUBSTITUTE(SUBSTITUTE(IF(BB309&lt;&gt;"",BB309,K309)," ",""),".",""),"+",""),1)="0",'Paramètres'!$B$35&amp;MID(SUBSTITUTE(SUBSTITUTE(SUBSTITUTE(IF(BB309&lt;&gt;"",BB309,K309)," ",""),".",""),"+",""),2,20),SUBSTITUTE(SUBSTITUTE(SUBSTITUTE(IF(BB309&lt;&gt;"",BB309,K309)," ",""),".",""),"+","")),"WhatsApp"))</f>
        <v/>
      </c>
      <c r="M309" s="60">
        <f>IF(BC309="","",HYPERLINK(IF(LEFT(BC309,4)="http",BC309,"https://www.instagram.com/"&amp;SUBSTITUTE(SUBSTITUTE(BC309,"@","")," ","")),BC309))</f>
        <v/>
      </c>
      <c r="N309" s="60">
        <f>IF(C309="","",IFERROR(INDEX('Saisie'!$D$5:$D$2004,_xlfn.MINIFS('Saisie'!$AS$5:$AS$2004,'Saisie'!$C$5:$C$2004,C309,'Saisie'!$AU$5:$AU$2004,1)-4),IFERROR(INDEX('Saisie'!$D$5:$D$2004,_xlfn.MINIFS('Saisie'!$AS$5:$AS$2004,'Saisie'!$C$5:$C$2004,C309,'Saisie'!$D$5:$D$2004,"&lt;&gt;")-4),"")))</f>
        <v/>
      </c>
      <c r="O309" s="60">
        <f>IF(C309="","",COUNTIFS('Saisie'!$C$5:$C$2004,C309,'Saisie'!$AU$5:$AU$2004,1))</f>
        <v/>
      </c>
      <c r="P309" s="60">
        <f>IF(C309="","",COUNTIFS('Saisie'!$C$5:$C$2004,C309,'Saisie'!$AV$5:$AV$2004,1))</f>
        <v/>
      </c>
      <c r="Q309" s="106">
        <f>IF(C309="","",IFERROR(1/(1/_xlfn.MAXIFS('Saisie'!$A$5:$A$2004,'Saisie'!$C$5:$C$2004,C309)),""))</f>
        <v/>
      </c>
      <c r="R309" s="61">
        <f>IF(C309="","",IF(Q309="","",TODAY()-Q309))</f>
        <v/>
      </c>
      <c r="S309" s="60">
        <f>IF(C309="","",IFERROR(INDEX('Saisie'!$R$5:$R$2004,_xlfn.MAXIFS('Saisie'!$AS$5:$AS$2004,'Saisie'!$C$5:$C$2004,C309,'Saisie'!$R$5:$R$2004,"&lt;&gt;")-4),""))</f>
        <v/>
      </c>
      <c r="T309" s="60">
        <f>IF(C309="","",IFERROR(INDEX('Saisie'!$S$5:$S$2004,_xlfn.MAXIFS('Saisie'!$AS$5:$AS$2004,'Saisie'!$C$5:$C$2004,C309,'Saisie'!$S$5:$S$2004,"&lt;&gt;")-4),""))</f>
        <v/>
      </c>
      <c r="U309" s="60">
        <f>IF(C309="","",IFERROR(INDEX('Saisie'!$T$5:$T$2004,_xlfn.MAXIFS('Saisie'!$AS$5:$AS$2004,'Saisie'!$C$5:$C$2004,C309,'Saisie'!$T$5:$T$2004,"&lt;&gt;")-4),""))</f>
        <v/>
      </c>
      <c r="V309" s="60">
        <f>IF(C309="","",IFERROR(INDEX('Saisie'!$V$5:$V$2004,_xlfn.MAXIFS('Saisie'!$AS$5:$AS$2004,'Saisie'!$C$5:$C$2004,C309,'Saisie'!$V$5:$V$2004,"&lt;&gt;")-4),""))</f>
        <v/>
      </c>
      <c r="W309" s="60">
        <f>IF(C309="","",IFERROR(INDEX('Saisie'!$Z$5:$Z$2004,_xlfn.MAXIFS('Saisie'!$AS$5:$AS$2004,'Saisie'!$C$5:$C$2004,C309,'Saisie'!$Z$5:$Z$2004,"&lt;&gt;")-4),""))</f>
        <v/>
      </c>
      <c r="X309" s="60">
        <f>IF(C309="","",IFERROR(INDEX('Saisie'!$AA$5:$AA$2004,_xlfn.MAXIFS('Saisie'!$AS$5:$AS$2004,'Saisie'!$C$5:$C$2004,C309,'Saisie'!$AA$5:$AA$2004,"&lt;&gt;")-4),""))</f>
        <v/>
      </c>
      <c r="Y309" s="60">
        <f>IF(C309="","",IFERROR(INDEX('Saisie'!$AB$5:$AB$2004,_xlfn.MAXIFS('Saisie'!$AS$5:$AS$2004,'Saisie'!$C$5:$C$2004,C309,'Saisie'!$AB$5:$AB$2004,"&lt;&gt;")-4),""))</f>
        <v/>
      </c>
      <c r="Z309" s="60">
        <f>IF(C309="","",IFERROR(INDEX('Saisie'!$AC$5:$AC$2004,_xlfn.MAXIFS('Saisie'!$AS$5:$AS$2004,'Saisie'!$C$5:$C$2004,C309,'Saisie'!$AC$5:$AC$2004,"&lt;&gt;")-4),""))</f>
        <v/>
      </c>
      <c r="AA309" s="106">
        <f>IF(C309="","",IFERROR(INDEX('Saisie'!$AD$5:$AD$2004,_xlfn.MAXIFS('Saisie'!$AS$5:$AS$2004,'Saisie'!$C$5:$C$2004,C309,'Saisie'!$AD$5:$AD$2004,"&lt;&gt;")-4),""))</f>
        <v/>
      </c>
      <c r="AB309" s="60">
        <f>IF(C309="","",IFERROR(INDEX('Saisie'!$AE$5:$AE$2004,_xlfn.MAXIFS('Saisie'!$AS$5:$AS$2004,'Saisie'!$C$5:$C$2004,C309,'Saisie'!$AE$5:$AE$2004,"&lt;&gt;")-4),""))</f>
        <v/>
      </c>
      <c r="AC309" s="60">
        <f>IF(C309="","",IFERROR(INDEX('Saisie'!$AF$5:$AF$2004,_xlfn.MAXIFS('Saisie'!$AS$5:$AS$2004,'Saisie'!$C$5:$C$2004,C309,'Saisie'!$AF$5:$AF$2004,"&lt;&gt;")-4),""))</f>
        <v/>
      </c>
      <c r="AD309" s="108">
        <f>IF(C309="","",IFERROR(INDEX('Saisie'!$AG$5:$AG$2004,_xlfn.MAXIFS('Saisie'!$AS$5:$AS$2004,'Saisie'!$C$5:$C$2004,C309,'Saisie'!$AG$5:$AG$2004,"&lt;&gt;")-4),""))</f>
        <v/>
      </c>
      <c r="AE309" s="60">
        <f>IF(C309="","",IFERROR(INDEX('Saisie'!$AH$5:$AH$2004,_xlfn.MAXIFS('Saisie'!$AS$5:$AS$2004,'Saisie'!$C$5:$C$2004,C309,'Saisie'!$AH$5:$AH$2004,"&lt;&gt;")-4),""))</f>
        <v/>
      </c>
      <c r="AF309" s="60">
        <f>IF(C309="","",IFERROR(INDEX('Saisie'!$AI$5:$AI$2004,_xlfn.MAXIFS('Saisie'!$AS$5:$AS$2004,'Saisie'!$C$5:$C$2004,C309,'Saisie'!$AI$5:$AI$2004,"&lt;&gt;")-4),""))</f>
        <v/>
      </c>
      <c r="AG309" s="60">
        <f>IF(C309="","",IFERROR(INDEX('Saisie'!$AJ$5:$AJ$2004,_xlfn.MAXIFS('Saisie'!$AS$5:$AS$2004,'Saisie'!$C$5:$C$2004,C309,'Saisie'!$AJ$5:$AJ$2004,"&lt;&gt;")-4),""))</f>
        <v/>
      </c>
      <c r="AH309" s="60">
        <f>IF(C309="","",IFERROR(INDEX('Saisie'!$AK$5:$AK$2004,_xlfn.MAXIFS('Saisie'!$AS$5:$AS$2004,'Saisie'!$C$5:$C$2004,C309,'Saisie'!$AK$5:$AK$2004,"&lt;&gt;")-4),""))</f>
        <v/>
      </c>
      <c r="AI309" s="60">
        <f>IF(C309="","",IFERROR(INDEX('Saisie'!$AN$5:$AN$2004,_xlfn.MAXIFS('Saisie'!$AS$5:$AS$2004,'Saisie'!$C$5:$C$2004,C309,'Saisie'!$AN$5:$AN$2004,"&lt;&gt;")-4),""))</f>
        <v/>
      </c>
      <c r="AJ309" s="60">
        <f>IF(C309="","",IFERROR(INDEX('Saisie'!$AO$5:$AO$2004,_xlfn.MAXIFS('Saisie'!$AS$5:$AS$2004,'Saisie'!$C$5:$C$2004,C309,'Saisie'!$AO$5:$AO$2004,"&lt;&gt;")-4),""))</f>
        <v/>
      </c>
      <c r="AK309" s="60">
        <f>IF(C309="","",IFERROR(INDEX('Saisie'!$AP$5:$AP$2004,_xlfn.MAXIFS('Saisie'!$AS$5:$AS$2004,'Saisie'!$C$5:$C$2004,C309,'Saisie'!$AP$5:$AP$2004,"&lt;&gt;")-4),""))</f>
        <v/>
      </c>
      <c r="AL309" s="60">
        <f>IF(C309="","",IFERROR(INDEX('Saisie'!$AQ$5:$AQ$2004,_xlfn.MAXIFS('Saisie'!$AS$5:$AS$2004,'Saisie'!$C$5:$C$2004,C309,'Saisie'!$AQ$5:$AQ$2004,"&lt;&gt;")-4),""))</f>
        <v/>
      </c>
      <c r="AM309" s="60">
        <f>IF(C309="","",((AI309="Oui")+(AJ309="Oui")+(AK309="Oui")+OR(AL309="Immédiat",AL309="&lt; 1 mois"))&amp;"/4")</f>
        <v/>
      </c>
      <c r="AN309" s="60">
        <f>IF(C309="","",IFERROR(INDEX('Saisie'!$AL$5:$AL$2004,_xlfn.MAXIFS('Saisie'!$AS$5:$AS$2004,'Saisie'!$C$5:$C$2004,C309,'Saisie'!$AL$5:$AL$2004,"&lt;&gt;")-4),""))</f>
        <v/>
      </c>
      <c r="AO309" s="62">
        <f>IF(C309="","",IF(IFERROR(INDEX('Saisie'!$AM$5:$AM$2004,_xlfn.MAXIFS('Saisie'!$AS$5:$AS$2004,'Saisie'!$C$5:$C$2004,C309,'Saisie'!$AM$5:$AM$2004,"&lt;&gt;")-4),"")&lt;&gt;"",IFERROR(INDEX('Saisie'!$AM$5:$AM$2004,_xlfn.MAXIFS('Saisie'!$AS$5:$AS$2004,'Saisie'!$C$5:$C$2004,C309,'Saisie'!$AM$5:$AM$2004,"&lt;&gt;")-4),""),IFERROR(INDEX('Paramètres'!$S$6:$S$15,MATCH(AN309,'Paramètres'!$Q$6:$Q$15,0)),"")))</f>
        <v/>
      </c>
      <c r="AP309" s="62">
        <f>IF(C309="","",IFERROR(INDEX('Saisie'!$AW$5:$AW$2004,_xlfn.MAXIFS('Saisie'!$AS$5:$AS$2004,'Saisie'!$C$5:$C$2004,C309,'Saisie'!$E$5:$E$2004,"Proposition envoyée")-4),""))</f>
        <v/>
      </c>
      <c r="AQ309" s="106">
        <f>IF(C309="","",IFERROR(1/(1/_xlfn.MAXIFS('Saisie'!$A$5:$A$2004,'Saisie'!$C$5:$C$2004,C309,'Saisie'!$E$5:$E$2004,"Proposition envoyée")),""))</f>
        <v/>
      </c>
      <c r="AR309" s="106">
        <f>IF(C309="","",IF(AQ309="","",AQ309+'Paramètres'!$B$26))</f>
        <v/>
      </c>
      <c r="AS309" s="62">
        <f>IF(OR(C309="",D309="Gagné",D309="Perdu"),0,N(AP309)*IFERROR(INDEX('Paramètres'!$G$6:$G$13,MATCH(D309,'Paramètres'!$F$6:$F$13,0)),0))</f>
        <v/>
      </c>
      <c r="AT309" s="106">
        <f>IF(C309="","",IFERROR(1/(1/_xlfn.MINIFS('Saisie'!$A$5:$A$2004,'Saisie'!$C$5:$C$2004,C309,'Saisie'!$E$5:$E$2004,"Signature")),""))</f>
        <v/>
      </c>
      <c r="AU309" s="60">
        <f>IF(C309="","",IF(OR(AT309="",B309=""),"",AT309-B309))</f>
        <v/>
      </c>
      <c r="AV309" s="60">
        <f>IF(C309="","",IFERROR(INDEX('Saisie'!$L$5:$L$2004,_xlfn.MAXIFS('Saisie'!$AS$5:$AS$2004,'Saisie'!$C$5:$C$2004,C309,'Saisie'!$L$5:$L$2004,"&lt;&gt;")-4),""))</f>
        <v/>
      </c>
      <c r="AW309" s="106">
        <f>IF(C309="","",IF(D309&lt;&gt;"Perdu","",IFERROR(1/(1/_xlfn.MAXIFS('Saisie'!$A$5:$A$2004,'Saisie'!$C$5:$C$2004,C309,'Saisie'!$E$5:$E$2004,"Perdu")),"")))</f>
        <v/>
      </c>
      <c r="AX309" s="106">
        <f>IF(C309="","",IF(AW309="","",AW309+'Paramètres'!$B$28))</f>
        <v/>
      </c>
      <c r="AY309" s="60">
        <f>IF(C309="","",SUMIFS('Saisie'!$H$5:$H$2004,'Saisie'!$C$5:$C$2004,C309))</f>
        <v/>
      </c>
      <c r="AZ309" s="60">
        <f>IF(C309="","",IFERROR(INDEX('Paramètres'!$W$6:$W$20,MATCH(S309,'Paramètres'!$V$6:$V$20,0))&amp;"",""))</f>
        <v/>
      </c>
      <c r="BA309" s="60">
        <f>IF(C309="","",MAX(1,_xlfn.MAXIFS('Saisie'!$AT$5:$AT$2004,'Saisie'!$C$5:$C$2004,C309)))</f>
        <v/>
      </c>
      <c r="BB309" s="60">
        <f>IF(C309="","",IFERROR(INDEX('Saisie'!$X$5:$X$2004,_xlfn.MAXIFS('Saisie'!$AS$5:$AS$2004,'Saisie'!$C$5:$C$2004,C309,'Saisie'!$X$5:$X$2004,"&lt;&gt;")-4),""))</f>
        <v/>
      </c>
      <c r="BC309" s="60">
        <f>IF(C309="","",IFERROR(INDEX('Saisie'!$Y$5:$Y$2004,_xlfn.MAXIFS('Saisie'!$AS$5:$AS$2004,'Saisie'!$C$5:$C$2004,C309,'Saisie'!$Y$5:$Y$2004,"&lt;&gt;")-4),""))</f>
        <v/>
      </c>
      <c r="BD309" s="106">
        <f>IF(C309="","",IFERROR(1/(1/_xlfn.MINIFS('Saisie'!$A$5:$A$2004,'Saisie'!$C$5:$C$2004,C309,'Saisie'!$AT$5:$AT$2004,"&gt;=2")),""))</f>
        <v/>
      </c>
      <c r="BE309" s="106">
        <f>IF(C309="","",IFERROR(1/(1/_xlfn.MINIFS('Saisie'!$A$5:$A$2004,'Saisie'!$C$5:$C$2004,C309,'Saisie'!$AT$5:$AT$2004,"&gt;=3")),""))</f>
        <v/>
      </c>
      <c r="BF309" s="106">
        <f>IF(C309="","",IFERROR(1/(1/_xlfn.MINIFS('Saisie'!$A$5:$A$2004,'Saisie'!$C$5:$C$2004,C309,'Saisie'!$AT$5:$AT$2004,"&gt;=4")),""))</f>
        <v/>
      </c>
      <c r="BG309" s="106">
        <f>IF(C309="","",IFERROR(1/(1/_xlfn.MINIFS('Saisie'!$A$5:$A$2004,'Saisie'!$C$5:$C$2004,C309,'Saisie'!$AT$5:$AT$2004,"&gt;=5")),""))</f>
        <v/>
      </c>
      <c r="BH309" s="106">
        <f>IF(C309="","",IFERROR(1/(1/_xlfn.MINIFS('Saisie'!$A$5:$A$2004,'Saisie'!$C$5:$C$2004,C309,'Saisie'!$AT$5:$AT$2004,"&gt;=6")),""))</f>
        <v/>
      </c>
      <c r="BI309" s="106">
        <f>IF(C309="","",IFERROR(1/(1/_xlfn.MINIFS('Saisie'!$A$5:$A$2004,'Saisie'!$C$5:$C$2004,C309,'Saisie'!$AT$5:$AT$2004,"&gt;=7")),""))</f>
        <v/>
      </c>
      <c r="BJ309" s="60">
        <f>IF(OR(BD309="",B309=""),"",BD309-B309)</f>
        <v/>
      </c>
      <c r="BK309" s="60">
        <f>IF(OR(BE309="",BD309=""),"",BE309-BD309)</f>
        <v/>
      </c>
      <c r="BL309" s="60">
        <f>IF(OR(BF309="",BE309=""),"",BF309-BE309)</f>
        <v/>
      </c>
      <c r="BM309" s="60">
        <f>IF(OR(BG309="",BF309=""),"",BG309-BF309)</f>
        <v/>
      </c>
      <c r="BN309" s="60">
        <f>IF(OR(BH309="",BG309=""),"",BH309-BG309)</f>
        <v/>
      </c>
      <c r="BO309" s="60">
        <f>IF(OR(BI309="",BH309=""),"",BI309-BH309)</f>
        <v/>
      </c>
      <c r="BP309" s="60">
        <f>IF(C309="","",_xlfn.MAXIFS('Saisie'!$AS$5:$AS$2004,'Saisie'!$C$5:$C$2004,C309,'Saisie'!$J$5:$J$2004,"&lt;&gt;"))</f>
        <v/>
      </c>
      <c r="BQ309" s="60">
        <f>IF(C309="","",_xlfn.MAXIFS('Saisie'!$AS$5:$AS$2004,'Saisie'!$C$5:$C$2004,C309))</f>
        <v/>
      </c>
      <c r="BR309" s="60">
        <f>IF(C309="","",_xlfn.MAXIFS('Saisie'!$AS$5:$AS$2004,'Saisie'!$C$5:$C$2004,C309,'Saisie'!$E$5:$E$2004,"Perdu"))</f>
        <v/>
      </c>
      <c r="BS309" s="60">
        <f>IF(C309="","",_xlfn.MAXIFS('Saisie'!$AS$5:$AS$2004,'Saisie'!$C$5:$C$2004,C309,'Saisie'!$AT$5:$AT$2004,"&gt;0"))</f>
        <v/>
      </c>
      <c r="BT309" s="109">
        <f>IF(AND(C309&lt;&gt;"",OR(D309="Nouveau",D309="Contacté",D309="Qualifié"),OR(G309="",N(G309)&lt;=TODAY()),NOT(AND(O309&gt;='Paramètres'!$B$21,P309=0))),E309+305/10000,"")</f>
        <v/>
      </c>
      <c r="BU309" s="60">
        <f>IF(AND(G309&lt;&gt;"",N(G309)&lt;=TODAY()),MAX($BU$4:BU308)+1,"")</f>
        <v/>
      </c>
      <c r="BV309" s="60">
        <f>IF(AND(F309&lt;&gt;"",F309&lt;&gt;"Relance en retard"),MAX($BV$4:BV308)+1,"")</f>
        <v/>
      </c>
      <c r="BW309" s="60">
        <f>IF(C309="","",IF(AND(B309&gt;='Tableau de bord'!$R$4,B309&lt;='Tableau de bord'!$S$4,OR('Tableau de bord'!$G$4="Tous",N309='Tableau de bord'!$G$4)),1,0))</f>
        <v/>
      </c>
      <c r="BX309" s="60">
        <f>IF(AND(C309&lt;&gt;"",N(BA309)=7),MAX($BX$4:BX308)+1,"")</f>
        <v/>
      </c>
    </row>
    <row r="310">
      <c r="A310" s="60">
        <f>IF(C310="","","P-"&amp;TEXT(306,"000"))</f>
        <v/>
      </c>
      <c r="B310" s="106">
        <f>IF(C310="","",IFERROR(1/(1/_xlfn.MINIFS('Saisie'!$A$5:$A$2004,'Saisie'!$C$5:$C$2004,C310)),""))</f>
        <v/>
      </c>
      <c r="C310" s="60">
        <f>IFERROR(INDEX('Saisie'!$C$5:$C$2004,MATCH(306,'Saisie'!$AX$5:$AX$2004,0)),"")</f>
        <v/>
      </c>
      <c r="D310" s="60">
        <f>IF(C310="","",IF(AND(BR310&gt;0,BR310&gt;BS310,BA310&lt;7),"Perdu",INDEX('Paramètres'!$F$6:$F$13,BA310)))</f>
        <v/>
      </c>
      <c r="E310" s="61">
        <f>IF(C310="","",MIN(100,(Z310="Oui")*'Paramètres'!$B$38+(AB310="Régulière")*'Paramètres'!$B$39+IF(AND(N(AA310)&gt;0,TODAY()-N(AA310)&lt;=30),'Paramètres'!$B$40,0)+(W310="")*'Paramètres'!$B$41+(AC310="Absente")*'Paramètres'!$B$42+(AC310="Faible")*'Paramètres'!$B$43+IF(AND(N(AD310)&gt;0,N(AD310)&lt;4),'Paramètres'!$B$44,0)+(AF310="Moyenne")*'Paramètres'!$B$45+(AF310="Grande")*'Paramètres'!$B$46+(Y310&lt;&gt;"")*'Paramètres'!$B$47))</f>
        <v/>
      </c>
      <c r="F310" s="60">
        <f>IF(C310="","",IF(D310="Gagné","",IF(D310="Perdu",IF(AND(AX310&lt;&gt;"",AX310&lt;=TODAY()),"À recontacter (perdu)",""),IF(AND(O310&gt;='Paramètres'!$B$21,P310=0),"Stop : "&amp;'Paramètres'!$B$21&amp;" tentatives sans réponse",IF(AND(D310="Proposition",AR310&lt;&gt;"",TODAY()&gt;N(AR310)),"Proposition expirée",IF(AND(D310="Proposition",N(R310)&gt;='Paramètres'!$B$25),"Proposition sans réponse",IF(AND(G310&lt;&gt;"",N(G310)&lt;TODAY()),"Relance en retard",IF(N(R310)&gt;='Paramètres'!$B$24,"Sans action depuis "&amp;R310&amp;" j",""))))))))</f>
        <v/>
      </c>
      <c r="G310" s="106">
        <f>IF(OR(C310="",D310="Gagné",D310="Perdu"),"",IF(AND(BP310&gt;0,BP310=BQ310),INDEX('Saisie'!$J$5:$J$2004,BP310-4),IF(OR(O310=0,AND(O310&gt;='Paramètres'!$B$21,P310=0)),"",Q310+IF(O310&lt;=1,'Paramètres'!$B$18,IF(O310=2,'Paramètres'!$B$19,'Paramètres'!$B$20)))))</f>
        <v/>
      </c>
      <c r="H310" s="107">
        <f>IF(OR(G310="",BP310&lt;&gt;BQ310),"",IF(INDEX('Saisie'!$K$5:$K$2004,BP310-4)="","",INDEX('Saisie'!$K$5:$K$2004,BP310-4)))</f>
        <v/>
      </c>
      <c r="I310" s="60">
        <f>IF(C310="","",IF(OR(D310="Gagné",D310="Perdu"),"",IFERROR(INDEX('Saisie'!$I$5:$I$2004,_xlfn.MAXIFS('Saisie'!$AS$5:$AS$2004,'Saisie'!$C$5:$C$2004,C310,'Saisie'!$I$5:$I$2004,"&lt;&gt;")-4),"")))</f>
        <v/>
      </c>
      <c r="J310" s="60">
        <f>IF(C310="","",IFERROR(INDEX('Saisie'!$U$5:$U$2004,_xlfn.MAXIFS('Saisie'!$AS$5:$AS$2004,'Saisie'!$C$5:$C$2004,C310,'Saisie'!$U$5:$U$2004,"&lt;&gt;")-4),""))</f>
        <v/>
      </c>
      <c r="K310" s="60">
        <f>IF(C310="","",IFERROR(INDEX('Saisie'!$W$5:$W$2004,_xlfn.MAXIFS('Saisie'!$AS$5:$AS$2004,'Saisie'!$C$5:$C$2004,C310,'Saisie'!$W$5:$W$2004,"&lt;&gt;")-4),""))</f>
        <v/>
      </c>
      <c r="L310" s="60">
        <f>IF(IF(BB310&lt;&gt;"",BB310,K310)="","",HYPERLINK("https://wa.me/"&amp;IF(LEFT(SUBSTITUTE(SUBSTITUTE(SUBSTITUTE(IF(BB310&lt;&gt;"",BB310,K310)," ",""),".",""),"+",""),1)="0",'Paramètres'!$B$35&amp;MID(SUBSTITUTE(SUBSTITUTE(SUBSTITUTE(IF(BB310&lt;&gt;"",BB310,K310)," ",""),".",""),"+",""),2,20),SUBSTITUTE(SUBSTITUTE(SUBSTITUTE(IF(BB310&lt;&gt;"",BB310,K310)," ",""),".",""),"+","")),"WhatsApp"))</f>
        <v/>
      </c>
      <c r="M310" s="60">
        <f>IF(BC310="","",HYPERLINK(IF(LEFT(BC310,4)="http",BC310,"https://www.instagram.com/"&amp;SUBSTITUTE(SUBSTITUTE(BC310,"@","")," ","")),BC310))</f>
        <v/>
      </c>
      <c r="N310" s="60">
        <f>IF(C310="","",IFERROR(INDEX('Saisie'!$D$5:$D$2004,_xlfn.MINIFS('Saisie'!$AS$5:$AS$2004,'Saisie'!$C$5:$C$2004,C310,'Saisie'!$AU$5:$AU$2004,1)-4),IFERROR(INDEX('Saisie'!$D$5:$D$2004,_xlfn.MINIFS('Saisie'!$AS$5:$AS$2004,'Saisie'!$C$5:$C$2004,C310,'Saisie'!$D$5:$D$2004,"&lt;&gt;")-4),"")))</f>
        <v/>
      </c>
      <c r="O310" s="60">
        <f>IF(C310="","",COUNTIFS('Saisie'!$C$5:$C$2004,C310,'Saisie'!$AU$5:$AU$2004,1))</f>
        <v/>
      </c>
      <c r="P310" s="60">
        <f>IF(C310="","",COUNTIFS('Saisie'!$C$5:$C$2004,C310,'Saisie'!$AV$5:$AV$2004,1))</f>
        <v/>
      </c>
      <c r="Q310" s="106">
        <f>IF(C310="","",IFERROR(1/(1/_xlfn.MAXIFS('Saisie'!$A$5:$A$2004,'Saisie'!$C$5:$C$2004,C310)),""))</f>
        <v/>
      </c>
      <c r="R310" s="61">
        <f>IF(C310="","",IF(Q310="","",TODAY()-Q310))</f>
        <v/>
      </c>
      <c r="S310" s="60">
        <f>IF(C310="","",IFERROR(INDEX('Saisie'!$R$5:$R$2004,_xlfn.MAXIFS('Saisie'!$AS$5:$AS$2004,'Saisie'!$C$5:$C$2004,C310,'Saisie'!$R$5:$R$2004,"&lt;&gt;")-4),""))</f>
        <v/>
      </c>
      <c r="T310" s="60">
        <f>IF(C310="","",IFERROR(INDEX('Saisie'!$S$5:$S$2004,_xlfn.MAXIFS('Saisie'!$AS$5:$AS$2004,'Saisie'!$C$5:$C$2004,C310,'Saisie'!$S$5:$S$2004,"&lt;&gt;")-4),""))</f>
        <v/>
      </c>
      <c r="U310" s="60">
        <f>IF(C310="","",IFERROR(INDEX('Saisie'!$T$5:$T$2004,_xlfn.MAXIFS('Saisie'!$AS$5:$AS$2004,'Saisie'!$C$5:$C$2004,C310,'Saisie'!$T$5:$T$2004,"&lt;&gt;")-4),""))</f>
        <v/>
      </c>
      <c r="V310" s="60">
        <f>IF(C310="","",IFERROR(INDEX('Saisie'!$V$5:$V$2004,_xlfn.MAXIFS('Saisie'!$AS$5:$AS$2004,'Saisie'!$C$5:$C$2004,C310,'Saisie'!$V$5:$V$2004,"&lt;&gt;")-4),""))</f>
        <v/>
      </c>
      <c r="W310" s="60">
        <f>IF(C310="","",IFERROR(INDEX('Saisie'!$Z$5:$Z$2004,_xlfn.MAXIFS('Saisie'!$AS$5:$AS$2004,'Saisie'!$C$5:$C$2004,C310,'Saisie'!$Z$5:$Z$2004,"&lt;&gt;")-4),""))</f>
        <v/>
      </c>
      <c r="X310" s="60">
        <f>IF(C310="","",IFERROR(INDEX('Saisie'!$AA$5:$AA$2004,_xlfn.MAXIFS('Saisie'!$AS$5:$AS$2004,'Saisie'!$C$5:$C$2004,C310,'Saisie'!$AA$5:$AA$2004,"&lt;&gt;")-4),""))</f>
        <v/>
      </c>
      <c r="Y310" s="60">
        <f>IF(C310="","",IFERROR(INDEX('Saisie'!$AB$5:$AB$2004,_xlfn.MAXIFS('Saisie'!$AS$5:$AS$2004,'Saisie'!$C$5:$C$2004,C310,'Saisie'!$AB$5:$AB$2004,"&lt;&gt;")-4),""))</f>
        <v/>
      </c>
      <c r="Z310" s="60">
        <f>IF(C310="","",IFERROR(INDEX('Saisie'!$AC$5:$AC$2004,_xlfn.MAXIFS('Saisie'!$AS$5:$AS$2004,'Saisie'!$C$5:$C$2004,C310,'Saisie'!$AC$5:$AC$2004,"&lt;&gt;")-4),""))</f>
        <v/>
      </c>
      <c r="AA310" s="106">
        <f>IF(C310="","",IFERROR(INDEX('Saisie'!$AD$5:$AD$2004,_xlfn.MAXIFS('Saisie'!$AS$5:$AS$2004,'Saisie'!$C$5:$C$2004,C310,'Saisie'!$AD$5:$AD$2004,"&lt;&gt;")-4),""))</f>
        <v/>
      </c>
      <c r="AB310" s="60">
        <f>IF(C310="","",IFERROR(INDEX('Saisie'!$AE$5:$AE$2004,_xlfn.MAXIFS('Saisie'!$AS$5:$AS$2004,'Saisie'!$C$5:$C$2004,C310,'Saisie'!$AE$5:$AE$2004,"&lt;&gt;")-4),""))</f>
        <v/>
      </c>
      <c r="AC310" s="60">
        <f>IF(C310="","",IFERROR(INDEX('Saisie'!$AF$5:$AF$2004,_xlfn.MAXIFS('Saisie'!$AS$5:$AS$2004,'Saisie'!$C$5:$C$2004,C310,'Saisie'!$AF$5:$AF$2004,"&lt;&gt;")-4),""))</f>
        <v/>
      </c>
      <c r="AD310" s="108">
        <f>IF(C310="","",IFERROR(INDEX('Saisie'!$AG$5:$AG$2004,_xlfn.MAXIFS('Saisie'!$AS$5:$AS$2004,'Saisie'!$C$5:$C$2004,C310,'Saisie'!$AG$5:$AG$2004,"&lt;&gt;")-4),""))</f>
        <v/>
      </c>
      <c r="AE310" s="60">
        <f>IF(C310="","",IFERROR(INDEX('Saisie'!$AH$5:$AH$2004,_xlfn.MAXIFS('Saisie'!$AS$5:$AS$2004,'Saisie'!$C$5:$C$2004,C310,'Saisie'!$AH$5:$AH$2004,"&lt;&gt;")-4),""))</f>
        <v/>
      </c>
      <c r="AF310" s="60">
        <f>IF(C310="","",IFERROR(INDEX('Saisie'!$AI$5:$AI$2004,_xlfn.MAXIFS('Saisie'!$AS$5:$AS$2004,'Saisie'!$C$5:$C$2004,C310,'Saisie'!$AI$5:$AI$2004,"&lt;&gt;")-4),""))</f>
        <v/>
      </c>
      <c r="AG310" s="60">
        <f>IF(C310="","",IFERROR(INDEX('Saisie'!$AJ$5:$AJ$2004,_xlfn.MAXIFS('Saisie'!$AS$5:$AS$2004,'Saisie'!$C$5:$C$2004,C310,'Saisie'!$AJ$5:$AJ$2004,"&lt;&gt;")-4),""))</f>
        <v/>
      </c>
      <c r="AH310" s="60">
        <f>IF(C310="","",IFERROR(INDEX('Saisie'!$AK$5:$AK$2004,_xlfn.MAXIFS('Saisie'!$AS$5:$AS$2004,'Saisie'!$C$5:$C$2004,C310,'Saisie'!$AK$5:$AK$2004,"&lt;&gt;")-4),""))</f>
        <v/>
      </c>
      <c r="AI310" s="60">
        <f>IF(C310="","",IFERROR(INDEX('Saisie'!$AN$5:$AN$2004,_xlfn.MAXIFS('Saisie'!$AS$5:$AS$2004,'Saisie'!$C$5:$C$2004,C310,'Saisie'!$AN$5:$AN$2004,"&lt;&gt;")-4),""))</f>
        <v/>
      </c>
      <c r="AJ310" s="60">
        <f>IF(C310="","",IFERROR(INDEX('Saisie'!$AO$5:$AO$2004,_xlfn.MAXIFS('Saisie'!$AS$5:$AS$2004,'Saisie'!$C$5:$C$2004,C310,'Saisie'!$AO$5:$AO$2004,"&lt;&gt;")-4),""))</f>
        <v/>
      </c>
      <c r="AK310" s="60">
        <f>IF(C310="","",IFERROR(INDEX('Saisie'!$AP$5:$AP$2004,_xlfn.MAXIFS('Saisie'!$AS$5:$AS$2004,'Saisie'!$C$5:$C$2004,C310,'Saisie'!$AP$5:$AP$2004,"&lt;&gt;")-4),""))</f>
        <v/>
      </c>
      <c r="AL310" s="60">
        <f>IF(C310="","",IFERROR(INDEX('Saisie'!$AQ$5:$AQ$2004,_xlfn.MAXIFS('Saisie'!$AS$5:$AS$2004,'Saisie'!$C$5:$C$2004,C310,'Saisie'!$AQ$5:$AQ$2004,"&lt;&gt;")-4),""))</f>
        <v/>
      </c>
      <c r="AM310" s="60">
        <f>IF(C310="","",((AI310="Oui")+(AJ310="Oui")+(AK310="Oui")+OR(AL310="Immédiat",AL310="&lt; 1 mois"))&amp;"/4")</f>
        <v/>
      </c>
      <c r="AN310" s="60">
        <f>IF(C310="","",IFERROR(INDEX('Saisie'!$AL$5:$AL$2004,_xlfn.MAXIFS('Saisie'!$AS$5:$AS$2004,'Saisie'!$C$5:$C$2004,C310,'Saisie'!$AL$5:$AL$2004,"&lt;&gt;")-4),""))</f>
        <v/>
      </c>
      <c r="AO310" s="62">
        <f>IF(C310="","",IF(IFERROR(INDEX('Saisie'!$AM$5:$AM$2004,_xlfn.MAXIFS('Saisie'!$AS$5:$AS$2004,'Saisie'!$C$5:$C$2004,C310,'Saisie'!$AM$5:$AM$2004,"&lt;&gt;")-4),"")&lt;&gt;"",IFERROR(INDEX('Saisie'!$AM$5:$AM$2004,_xlfn.MAXIFS('Saisie'!$AS$5:$AS$2004,'Saisie'!$C$5:$C$2004,C310,'Saisie'!$AM$5:$AM$2004,"&lt;&gt;")-4),""),IFERROR(INDEX('Paramètres'!$S$6:$S$15,MATCH(AN310,'Paramètres'!$Q$6:$Q$15,0)),"")))</f>
        <v/>
      </c>
      <c r="AP310" s="62">
        <f>IF(C310="","",IFERROR(INDEX('Saisie'!$AW$5:$AW$2004,_xlfn.MAXIFS('Saisie'!$AS$5:$AS$2004,'Saisie'!$C$5:$C$2004,C310,'Saisie'!$E$5:$E$2004,"Proposition envoyée")-4),""))</f>
        <v/>
      </c>
      <c r="AQ310" s="106">
        <f>IF(C310="","",IFERROR(1/(1/_xlfn.MAXIFS('Saisie'!$A$5:$A$2004,'Saisie'!$C$5:$C$2004,C310,'Saisie'!$E$5:$E$2004,"Proposition envoyée")),""))</f>
        <v/>
      </c>
      <c r="AR310" s="106">
        <f>IF(C310="","",IF(AQ310="","",AQ310+'Paramètres'!$B$26))</f>
        <v/>
      </c>
      <c r="AS310" s="62">
        <f>IF(OR(C310="",D310="Gagné",D310="Perdu"),0,N(AP310)*IFERROR(INDEX('Paramètres'!$G$6:$G$13,MATCH(D310,'Paramètres'!$F$6:$F$13,0)),0))</f>
        <v/>
      </c>
      <c r="AT310" s="106">
        <f>IF(C310="","",IFERROR(1/(1/_xlfn.MINIFS('Saisie'!$A$5:$A$2004,'Saisie'!$C$5:$C$2004,C310,'Saisie'!$E$5:$E$2004,"Signature")),""))</f>
        <v/>
      </c>
      <c r="AU310" s="60">
        <f>IF(C310="","",IF(OR(AT310="",B310=""),"",AT310-B310))</f>
        <v/>
      </c>
      <c r="AV310" s="60">
        <f>IF(C310="","",IFERROR(INDEX('Saisie'!$L$5:$L$2004,_xlfn.MAXIFS('Saisie'!$AS$5:$AS$2004,'Saisie'!$C$5:$C$2004,C310,'Saisie'!$L$5:$L$2004,"&lt;&gt;")-4),""))</f>
        <v/>
      </c>
      <c r="AW310" s="106">
        <f>IF(C310="","",IF(D310&lt;&gt;"Perdu","",IFERROR(1/(1/_xlfn.MAXIFS('Saisie'!$A$5:$A$2004,'Saisie'!$C$5:$C$2004,C310,'Saisie'!$E$5:$E$2004,"Perdu")),"")))</f>
        <v/>
      </c>
      <c r="AX310" s="106">
        <f>IF(C310="","",IF(AW310="","",AW310+'Paramètres'!$B$28))</f>
        <v/>
      </c>
      <c r="AY310" s="60">
        <f>IF(C310="","",SUMIFS('Saisie'!$H$5:$H$2004,'Saisie'!$C$5:$C$2004,C310))</f>
        <v/>
      </c>
      <c r="AZ310" s="60">
        <f>IF(C310="","",IFERROR(INDEX('Paramètres'!$W$6:$W$20,MATCH(S310,'Paramètres'!$V$6:$V$20,0))&amp;"",""))</f>
        <v/>
      </c>
      <c r="BA310" s="60">
        <f>IF(C310="","",MAX(1,_xlfn.MAXIFS('Saisie'!$AT$5:$AT$2004,'Saisie'!$C$5:$C$2004,C310)))</f>
        <v/>
      </c>
      <c r="BB310" s="60">
        <f>IF(C310="","",IFERROR(INDEX('Saisie'!$X$5:$X$2004,_xlfn.MAXIFS('Saisie'!$AS$5:$AS$2004,'Saisie'!$C$5:$C$2004,C310,'Saisie'!$X$5:$X$2004,"&lt;&gt;")-4),""))</f>
        <v/>
      </c>
      <c r="BC310" s="60">
        <f>IF(C310="","",IFERROR(INDEX('Saisie'!$Y$5:$Y$2004,_xlfn.MAXIFS('Saisie'!$AS$5:$AS$2004,'Saisie'!$C$5:$C$2004,C310,'Saisie'!$Y$5:$Y$2004,"&lt;&gt;")-4),""))</f>
        <v/>
      </c>
      <c r="BD310" s="106">
        <f>IF(C310="","",IFERROR(1/(1/_xlfn.MINIFS('Saisie'!$A$5:$A$2004,'Saisie'!$C$5:$C$2004,C310,'Saisie'!$AT$5:$AT$2004,"&gt;=2")),""))</f>
        <v/>
      </c>
      <c r="BE310" s="106">
        <f>IF(C310="","",IFERROR(1/(1/_xlfn.MINIFS('Saisie'!$A$5:$A$2004,'Saisie'!$C$5:$C$2004,C310,'Saisie'!$AT$5:$AT$2004,"&gt;=3")),""))</f>
        <v/>
      </c>
      <c r="BF310" s="106">
        <f>IF(C310="","",IFERROR(1/(1/_xlfn.MINIFS('Saisie'!$A$5:$A$2004,'Saisie'!$C$5:$C$2004,C310,'Saisie'!$AT$5:$AT$2004,"&gt;=4")),""))</f>
        <v/>
      </c>
      <c r="BG310" s="106">
        <f>IF(C310="","",IFERROR(1/(1/_xlfn.MINIFS('Saisie'!$A$5:$A$2004,'Saisie'!$C$5:$C$2004,C310,'Saisie'!$AT$5:$AT$2004,"&gt;=5")),""))</f>
        <v/>
      </c>
      <c r="BH310" s="106">
        <f>IF(C310="","",IFERROR(1/(1/_xlfn.MINIFS('Saisie'!$A$5:$A$2004,'Saisie'!$C$5:$C$2004,C310,'Saisie'!$AT$5:$AT$2004,"&gt;=6")),""))</f>
        <v/>
      </c>
      <c r="BI310" s="106">
        <f>IF(C310="","",IFERROR(1/(1/_xlfn.MINIFS('Saisie'!$A$5:$A$2004,'Saisie'!$C$5:$C$2004,C310,'Saisie'!$AT$5:$AT$2004,"&gt;=7")),""))</f>
        <v/>
      </c>
      <c r="BJ310" s="60">
        <f>IF(OR(BD310="",B310=""),"",BD310-B310)</f>
        <v/>
      </c>
      <c r="BK310" s="60">
        <f>IF(OR(BE310="",BD310=""),"",BE310-BD310)</f>
        <v/>
      </c>
      <c r="BL310" s="60">
        <f>IF(OR(BF310="",BE310=""),"",BF310-BE310)</f>
        <v/>
      </c>
      <c r="BM310" s="60">
        <f>IF(OR(BG310="",BF310=""),"",BG310-BF310)</f>
        <v/>
      </c>
      <c r="BN310" s="60">
        <f>IF(OR(BH310="",BG310=""),"",BH310-BG310)</f>
        <v/>
      </c>
      <c r="BO310" s="60">
        <f>IF(OR(BI310="",BH310=""),"",BI310-BH310)</f>
        <v/>
      </c>
      <c r="BP310" s="60">
        <f>IF(C310="","",_xlfn.MAXIFS('Saisie'!$AS$5:$AS$2004,'Saisie'!$C$5:$C$2004,C310,'Saisie'!$J$5:$J$2004,"&lt;&gt;"))</f>
        <v/>
      </c>
      <c r="BQ310" s="60">
        <f>IF(C310="","",_xlfn.MAXIFS('Saisie'!$AS$5:$AS$2004,'Saisie'!$C$5:$C$2004,C310))</f>
        <v/>
      </c>
      <c r="BR310" s="60">
        <f>IF(C310="","",_xlfn.MAXIFS('Saisie'!$AS$5:$AS$2004,'Saisie'!$C$5:$C$2004,C310,'Saisie'!$E$5:$E$2004,"Perdu"))</f>
        <v/>
      </c>
      <c r="BS310" s="60">
        <f>IF(C310="","",_xlfn.MAXIFS('Saisie'!$AS$5:$AS$2004,'Saisie'!$C$5:$C$2004,C310,'Saisie'!$AT$5:$AT$2004,"&gt;0"))</f>
        <v/>
      </c>
      <c r="BT310" s="109">
        <f>IF(AND(C310&lt;&gt;"",OR(D310="Nouveau",D310="Contacté",D310="Qualifié"),OR(G310="",N(G310)&lt;=TODAY()),NOT(AND(O310&gt;='Paramètres'!$B$21,P310=0))),E310+306/10000,"")</f>
        <v/>
      </c>
      <c r="BU310" s="60">
        <f>IF(AND(G310&lt;&gt;"",N(G310)&lt;=TODAY()),MAX($BU$4:BU309)+1,"")</f>
        <v/>
      </c>
      <c r="BV310" s="60">
        <f>IF(AND(F310&lt;&gt;"",F310&lt;&gt;"Relance en retard"),MAX($BV$4:BV309)+1,"")</f>
        <v/>
      </c>
      <c r="BW310" s="60">
        <f>IF(C310="","",IF(AND(B310&gt;='Tableau de bord'!$R$4,B310&lt;='Tableau de bord'!$S$4,OR('Tableau de bord'!$G$4="Tous",N310='Tableau de bord'!$G$4)),1,0))</f>
        <v/>
      </c>
      <c r="BX310" s="60">
        <f>IF(AND(C310&lt;&gt;"",N(BA310)=7),MAX($BX$4:BX309)+1,"")</f>
        <v/>
      </c>
    </row>
    <row r="311">
      <c r="A311" s="60">
        <f>IF(C311="","","P-"&amp;TEXT(307,"000"))</f>
        <v/>
      </c>
      <c r="B311" s="106">
        <f>IF(C311="","",IFERROR(1/(1/_xlfn.MINIFS('Saisie'!$A$5:$A$2004,'Saisie'!$C$5:$C$2004,C311)),""))</f>
        <v/>
      </c>
      <c r="C311" s="60">
        <f>IFERROR(INDEX('Saisie'!$C$5:$C$2004,MATCH(307,'Saisie'!$AX$5:$AX$2004,0)),"")</f>
        <v/>
      </c>
      <c r="D311" s="60">
        <f>IF(C311="","",IF(AND(BR311&gt;0,BR311&gt;BS311,BA311&lt;7),"Perdu",INDEX('Paramètres'!$F$6:$F$13,BA311)))</f>
        <v/>
      </c>
      <c r="E311" s="61">
        <f>IF(C311="","",MIN(100,(Z311="Oui")*'Paramètres'!$B$38+(AB311="Régulière")*'Paramètres'!$B$39+IF(AND(N(AA311)&gt;0,TODAY()-N(AA311)&lt;=30),'Paramètres'!$B$40,0)+(W311="")*'Paramètres'!$B$41+(AC311="Absente")*'Paramètres'!$B$42+(AC311="Faible")*'Paramètres'!$B$43+IF(AND(N(AD311)&gt;0,N(AD311)&lt;4),'Paramètres'!$B$44,0)+(AF311="Moyenne")*'Paramètres'!$B$45+(AF311="Grande")*'Paramètres'!$B$46+(Y311&lt;&gt;"")*'Paramètres'!$B$47))</f>
        <v/>
      </c>
      <c r="F311" s="60">
        <f>IF(C311="","",IF(D311="Gagné","",IF(D311="Perdu",IF(AND(AX311&lt;&gt;"",AX311&lt;=TODAY()),"À recontacter (perdu)",""),IF(AND(O311&gt;='Paramètres'!$B$21,P311=0),"Stop : "&amp;'Paramètres'!$B$21&amp;" tentatives sans réponse",IF(AND(D311="Proposition",AR311&lt;&gt;"",TODAY()&gt;N(AR311)),"Proposition expirée",IF(AND(D311="Proposition",N(R311)&gt;='Paramètres'!$B$25),"Proposition sans réponse",IF(AND(G311&lt;&gt;"",N(G311)&lt;TODAY()),"Relance en retard",IF(N(R311)&gt;='Paramètres'!$B$24,"Sans action depuis "&amp;R311&amp;" j",""))))))))</f>
        <v/>
      </c>
      <c r="G311" s="106">
        <f>IF(OR(C311="",D311="Gagné",D311="Perdu"),"",IF(AND(BP311&gt;0,BP311=BQ311),INDEX('Saisie'!$J$5:$J$2004,BP311-4),IF(OR(O311=0,AND(O311&gt;='Paramètres'!$B$21,P311=0)),"",Q311+IF(O311&lt;=1,'Paramètres'!$B$18,IF(O311=2,'Paramètres'!$B$19,'Paramètres'!$B$20)))))</f>
        <v/>
      </c>
      <c r="H311" s="107">
        <f>IF(OR(G311="",BP311&lt;&gt;BQ311),"",IF(INDEX('Saisie'!$K$5:$K$2004,BP311-4)="","",INDEX('Saisie'!$K$5:$K$2004,BP311-4)))</f>
        <v/>
      </c>
      <c r="I311" s="60">
        <f>IF(C311="","",IF(OR(D311="Gagné",D311="Perdu"),"",IFERROR(INDEX('Saisie'!$I$5:$I$2004,_xlfn.MAXIFS('Saisie'!$AS$5:$AS$2004,'Saisie'!$C$5:$C$2004,C311,'Saisie'!$I$5:$I$2004,"&lt;&gt;")-4),"")))</f>
        <v/>
      </c>
      <c r="J311" s="60">
        <f>IF(C311="","",IFERROR(INDEX('Saisie'!$U$5:$U$2004,_xlfn.MAXIFS('Saisie'!$AS$5:$AS$2004,'Saisie'!$C$5:$C$2004,C311,'Saisie'!$U$5:$U$2004,"&lt;&gt;")-4),""))</f>
        <v/>
      </c>
      <c r="K311" s="60">
        <f>IF(C311="","",IFERROR(INDEX('Saisie'!$W$5:$W$2004,_xlfn.MAXIFS('Saisie'!$AS$5:$AS$2004,'Saisie'!$C$5:$C$2004,C311,'Saisie'!$W$5:$W$2004,"&lt;&gt;")-4),""))</f>
        <v/>
      </c>
      <c r="L311" s="60">
        <f>IF(IF(BB311&lt;&gt;"",BB311,K311)="","",HYPERLINK("https://wa.me/"&amp;IF(LEFT(SUBSTITUTE(SUBSTITUTE(SUBSTITUTE(IF(BB311&lt;&gt;"",BB311,K311)," ",""),".",""),"+",""),1)="0",'Paramètres'!$B$35&amp;MID(SUBSTITUTE(SUBSTITUTE(SUBSTITUTE(IF(BB311&lt;&gt;"",BB311,K311)," ",""),".",""),"+",""),2,20),SUBSTITUTE(SUBSTITUTE(SUBSTITUTE(IF(BB311&lt;&gt;"",BB311,K311)," ",""),".",""),"+","")),"WhatsApp"))</f>
        <v/>
      </c>
      <c r="M311" s="60">
        <f>IF(BC311="","",HYPERLINK(IF(LEFT(BC311,4)="http",BC311,"https://www.instagram.com/"&amp;SUBSTITUTE(SUBSTITUTE(BC311,"@","")," ","")),BC311))</f>
        <v/>
      </c>
      <c r="N311" s="60">
        <f>IF(C311="","",IFERROR(INDEX('Saisie'!$D$5:$D$2004,_xlfn.MINIFS('Saisie'!$AS$5:$AS$2004,'Saisie'!$C$5:$C$2004,C311,'Saisie'!$AU$5:$AU$2004,1)-4),IFERROR(INDEX('Saisie'!$D$5:$D$2004,_xlfn.MINIFS('Saisie'!$AS$5:$AS$2004,'Saisie'!$C$5:$C$2004,C311,'Saisie'!$D$5:$D$2004,"&lt;&gt;")-4),"")))</f>
        <v/>
      </c>
      <c r="O311" s="60">
        <f>IF(C311="","",COUNTIFS('Saisie'!$C$5:$C$2004,C311,'Saisie'!$AU$5:$AU$2004,1))</f>
        <v/>
      </c>
      <c r="P311" s="60">
        <f>IF(C311="","",COUNTIFS('Saisie'!$C$5:$C$2004,C311,'Saisie'!$AV$5:$AV$2004,1))</f>
        <v/>
      </c>
      <c r="Q311" s="106">
        <f>IF(C311="","",IFERROR(1/(1/_xlfn.MAXIFS('Saisie'!$A$5:$A$2004,'Saisie'!$C$5:$C$2004,C311)),""))</f>
        <v/>
      </c>
      <c r="R311" s="61">
        <f>IF(C311="","",IF(Q311="","",TODAY()-Q311))</f>
        <v/>
      </c>
      <c r="S311" s="60">
        <f>IF(C311="","",IFERROR(INDEX('Saisie'!$R$5:$R$2004,_xlfn.MAXIFS('Saisie'!$AS$5:$AS$2004,'Saisie'!$C$5:$C$2004,C311,'Saisie'!$R$5:$R$2004,"&lt;&gt;")-4),""))</f>
        <v/>
      </c>
      <c r="T311" s="60">
        <f>IF(C311="","",IFERROR(INDEX('Saisie'!$S$5:$S$2004,_xlfn.MAXIFS('Saisie'!$AS$5:$AS$2004,'Saisie'!$C$5:$C$2004,C311,'Saisie'!$S$5:$S$2004,"&lt;&gt;")-4),""))</f>
        <v/>
      </c>
      <c r="U311" s="60">
        <f>IF(C311="","",IFERROR(INDEX('Saisie'!$T$5:$T$2004,_xlfn.MAXIFS('Saisie'!$AS$5:$AS$2004,'Saisie'!$C$5:$C$2004,C311,'Saisie'!$T$5:$T$2004,"&lt;&gt;")-4),""))</f>
        <v/>
      </c>
      <c r="V311" s="60">
        <f>IF(C311="","",IFERROR(INDEX('Saisie'!$V$5:$V$2004,_xlfn.MAXIFS('Saisie'!$AS$5:$AS$2004,'Saisie'!$C$5:$C$2004,C311,'Saisie'!$V$5:$V$2004,"&lt;&gt;")-4),""))</f>
        <v/>
      </c>
      <c r="W311" s="60">
        <f>IF(C311="","",IFERROR(INDEX('Saisie'!$Z$5:$Z$2004,_xlfn.MAXIFS('Saisie'!$AS$5:$AS$2004,'Saisie'!$C$5:$C$2004,C311,'Saisie'!$Z$5:$Z$2004,"&lt;&gt;")-4),""))</f>
        <v/>
      </c>
      <c r="X311" s="60">
        <f>IF(C311="","",IFERROR(INDEX('Saisie'!$AA$5:$AA$2004,_xlfn.MAXIFS('Saisie'!$AS$5:$AS$2004,'Saisie'!$C$5:$C$2004,C311,'Saisie'!$AA$5:$AA$2004,"&lt;&gt;")-4),""))</f>
        <v/>
      </c>
      <c r="Y311" s="60">
        <f>IF(C311="","",IFERROR(INDEX('Saisie'!$AB$5:$AB$2004,_xlfn.MAXIFS('Saisie'!$AS$5:$AS$2004,'Saisie'!$C$5:$C$2004,C311,'Saisie'!$AB$5:$AB$2004,"&lt;&gt;")-4),""))</f>
        <v/>
      </c>
      <c r="Z311" s="60">
        <f>IF(C311="","",IFERROR(INDEX('Saisie'!$AC$5:$AC$2004,_xlfn.MAXIFS('Saisie'!$AS$5:$AS$2004,'Saisie'!$C$5:$C$2004,C311,'Saisie'!$AC$5:$AC$2004,"&lt;&gt;")-4),""))</f>
        <v/>
      </c>
      <c r="AA311" s="106">
        <f>IF(C311="","",IFERROR(INDEX('Saisie'!$AD$5:$AD$2004,_xlfn.MAXIFS('Saisie'!$AS$5:$AS$2004,'Saisie'!$C$5:$C$2004,C311,'Saisie'!$AD$5:$AD$2004,"&lt;&gt;")-4),""))</f>
        <v/>
      </c>
      <c r="AB311" s="60">
        <f>IF(C311="","",IFERROR(INDEX('Saisie'!$AE$5:$AE$2004,_xlfn.MAXIFS('Saisie'!$AS$5:$AS$2004,'Saisie'!$C$5:$C$2004,C311,'Saisie'!$AE$5:$AE$2004,"&lt;&gt;")-4),""))</f>
        <v/>
      </c>
      <c r="AC311" s="60">
        <f>IF(C311="","",IFERROR(INDEX('Saisie'!$AF$5:$AF$2004,_xlfn.MAXIFS('Saisie'!$AS$5:$AS$2004,'Saisie'!$C$5:$C$2004,C311,'Saisie'!$AF$5:$AF$2004,"&lt;&gt;")-4),""))</f>
        <v/>
      </c>
      <c r="AD311" s="108">
        <f>IF(C311="","",IFERROR(INDEX('Saisie'!$AG$5:$AG$2004,_xlfn.MAXIFS('Saisie'!$AS$5:$AS$2004,'Saisie'!$C$5:$C$2004,C311,'Saisie'!$AG$5:$AG$2004,"&lt;&gt;")-4),""))</f>
        <v/>
      </c>
      <c r="AE311" s="60">
        <f>IF(C311="","",IFERROR(INDEX('Saisie'!$AH$5:$AH$2004,_xlfn.MAXIFS('Saisie'!$AS$5:$AS$2004,'Saisie'!$C$5:$C$2004,C311,'Saisie'!$AH$5:$AH$2004,"&lt;&gt;")-4),""))</f>
        <v/>
      </c>
      <c r="AF311" s="60">
        <f>IF(C311="","",IFERROR(INDEX('Saisie'!$AI$5:$AI$2004,_xlfn.MAXIFS('Saisie'!$AS$5:$AS$2004,'Saisie'!$C$5:$C$2004,C311,'Saisie'!$AI$5:$AI$2004,"&lt;&gt;")-4),""))</f>
        <v/>
      </c>
      <c r="AG311" s="60">
        <f>IF(C311="","",IFERROR(INDEX('Saisie'!$AJ$5:$AJ$2004,_xlfn.MAXIFS('Saisie'!$AS$5:$AS$2004,'Saisie'!$C$5:$C$2004,C311,'Saisie'!$AJ$5:$AJ$2004,"&lt;&gt;")-4),""))</f>
        <v/>
      </c>
      <c r="AH311" s="60">
        <f>IF(C311="","",IFERROR(INDEX('Saisie'!$AK$5:$AK$2004,_xlfn.MAXIFS('Saisie'!$AS$5:$AS$2004,'Saisie'!$C$5:$C$2004,C311,'Saisie'!$AK$5:$AK$2004,"&lt;&gt;")-4),""))</f>
        <v/>
      </c>
      <c r="AI311" s="60">
        <f>IF(C311="","",IFERROR(INDEX('Saisie'!$AN$5:$AN$2004,_xlfn.MAXIFS('Saisie'!$AS$5:$AS$2004,'Saisie'!$C$5:$C$2004,C311,'Saisie'!$AN$5:$AN$2004,"&lt;&gt;")-4),""))</f>
        <v/>
      </c>
      <c r="AJ311" s="60">
        <f>IF(C311="","",IFERROR(INDEX('Saisie'!$AO$5:$AO$2004,_xlfn.MAXIFS('Saisie'!$AS$5:$AS$2004,'Saisie'!$C$5:$C$2004,C311,'Saisie'!$AO$5:$AO$2004,"&lt;&gt;")-4),""))</f>
        <v/>
      </c>
      <c r="AK311" s="60">
        <f>IF(C311="","",IFERROR(INDEX('Saisie'!$AP$5:$AP$2004,_xlfn.MAXIFS('Saisie'!$AS$5:$AS$2004,'Saisie'!$C$5:$C$2004,C311,'Saisie'!$AP$5:$AP$2004,"&lt;&gt;")-4),""))</f>
        <v/>
      </c>
      <c r="AL311" s="60">
        <f>IF(C311="","",IFERROR(INDEX('Saisie'!$AQ$5:$AQ$2004,_xlfn.MAXIFS('Saisie'!$AS$5:$AS$2004,'Saisie'!$C$5:$C$2004,C311,'Saisie'!$AQ$5:$AQ$2004,"&lt;&gt;")-4),""))</f>
        <v/>
      </c>
      <c r="AM311" s="60">
        <f>IF(C311="","",((AI311="Oui")+(AJ311="Oui")+(AK311="Oui")+OR(AL311="Immédiat",AL311="&lt; 1 mois"))&amp;"/4")</f>
        <v/>
      </c>
      <c r="AN311" s="60">
        <f>IF(C311="","",IFERROR(INDEX('Saisie'!$AL$5:$AL$2004,_xlfn.MAXIFS('Saisie'!$AS$5:$AS$2004,'Saisie'!$C$5:$C$2004,C311,'Saisie'!$AL$5:$AL$2004,"&lt;&gt;")-4),""))</f>
        <v/>
      </c>
      <c r="AO311" s="62">
        <f>IF(C311="","",IF(IFERROR(INDEX('Saisie'!$AM$5:$AM$2004,_xlfn.MAXIFS('Saisie'!$AS$5:$AS$2004,'Saisie'!$C$5:$C$2004,C311,'Saisie'!$AM$5:$AM$2004,"&lt;&gt;")-4),"")&lt;&gt;"",IFERROR(INDEX('Saisie'!$AM$5:$AM$2004,_xlfn.MAXIFS('Saisie'!$AS$5:$AS$2004,'Saisie'!$C$5:$C$2004,C311,'Saisie'!$AM$5:$AM$2004,"&lt;&gt;")-4),""),IFERROR(INDEX('Paramètres'!$S$6:$S$15,MATCH(AN311,'Paramètres'!$Q$6:$Q$15,0)),"")))</f>
        <v/>
      </c>
      <c r="AP311" s="62">
        <f>IF(C311="","",IFERROR(INDEX('Saisie'!$AW$5:$AW$2004,_xlfn.MAXIFS('Saisie'!$AS$5:$AS$2004,'Saisie'!$C$5:$C$2004,C311,'Saisie'!$E$5:$E$2004,"Proposition envoyée")-4),""))</f>
        <v/>
      </c>
      <c r="AQ311" s="106">
        <f>IF(C311="","",IFERROR(1/(1/_xlfn.MAXIFS('Saisie'!$A$5:$A$2004,'Saisie'!$C$5:$C$2004,C311,'Saisie'!$E$5:$E$2004,"Proposition envoyée")),""))</f>
        <v/>
      </c>
      <c r="AR311" s="106">
        <f>IF(C311="","",IF(AQ311="","",AQ311+'Paramètres'!$B$26))</f>
        <v/>
      </c>
      <c r="AS311" s="62">
        <f>IF(OR(C311="",D311="Gagné",D311="Perdu"),0,N(AP311)*IFERROR(INDEX('Paramètres'!$G$6:$G$13,MATCH(D311,'Paramètres'!$F$6:$F$13,0)),0))</f>
        <v/>
      </c>
      <c r="AT311" s="106">
        <f>IF(C311="","",IFERROR(1/(1/_xlfn.MINIFS('Saisie'!$A$5:$A$2004,'Saisie'!$C$5:$C$2004,C311,'Saisie'!$E$5:$E$2004,"Signature")),""))</f>
        <v/>
      </c>
      <c r="AU311" s="60">
        <f>IF(C311="","",IF(OR(AT311="",B311=""),"",AT311-B311))</f>
        <v/>
      </c>
      <c r="AV311" s="60">
        <f>IF(C311="","",IFERROR(INDEX('Saisie'!$L$5:$L$2004,_xlfn.MAXIFS('Saisie'!$AS$5:$AS$2004,'Saisie'!$C$5:$C$2004,C311,'Saisie'!$L$5:$L$2004,"&lt;&gt;")-4),""))</f>
        <v/>
      </c>
      <c r="AW311" s="106">
        <f>IF(C311="","",IF(D311&lt;&gt;"Perdu","",IFERROR(1/(1/_xlfn.MAXIFS('Saisie'!$A$5:$A$2004,'Saisie'!$C$5:$C$2004,C311,'Saisie'!$E$5:$E$2004,"Perdu")),"")))</f>
        <v/>
      </c>
      <c r="AX311" s="106">
        <f>IF(C311="","",IF(AW311="","",AW311+'Paramètres'!$B$28))</f>
        <v/>
      </c>
      <c r="AY311" s="60">
        <f>IF(C311="","",SUMIFS('Saisie'!$H$5:$H$2004,'Saisie'!$C$5:$C$2004,C311))</f>
        <v/>
      </c>
      <c r="AZ311" s="60">
        <f>IF(C311="","",IFERROR(INDEX('Paramètres'!$W$6:$W$20,MATCH(S311,'Paramètres'!$V$6:$V$20,0))&amp;"",""))</f>
        <v/>
      </c>
      <c r="BA311" s="60">
        <f>IF(C311="","",MAX(1,_xlfn.MAXIFS('Saisie'!$AT$5:$AT$2004,'Saisie'!$C$5:$C$2004,C311)))</f>
        <v/>
      </c>
      <c r="BB311" s="60">
        <f>IF(C311="","",IFERROR(INDEX('Saisie'!$X$5:$X$2004,_xlfn.MAXIFS('Saisie'!$AS$5:$AS$2004,'Saisie'!$C$5:$C$2004,C311,'Saisie'!$X$5:$X$2004,"&lt;&gt;")-4),""))</f>
        <v/>
      </c>
      <c r="BC311" s="60">
        <f>IF(C311="","",IFERROR(INDEX('Saisie'!$Y$5:$Y$2004,_xlfn.MAXIFS('Saisie'!$AS$5:$AS$2004,'Saisie'!$C$5:$C$2004,C311,'Saisie'!$Y$5:$Y$2004,"&lt;&gt;")-4),""))</f>
        <v/>
      </c>
      <c r="BD311" s="106">
        <f>IF(C311="","",IFERROR(1/(1/_xlfn.MINIFS('Saisie'!$A$5:$A$2004,'Saisie'!$C$5:$C$2004,C311,'Saisie'!$AT$5:$AT$2004,"&gt;=2")),""))</f>
        <v/>
      </c>
      <c r="BE311" s="106">
        <f>IF(C311="","",IFERROR(1/(1/_xlfn.MINIFS('Saisie'!$A$5:$A$2004,'Saisie'!$C$5:$C$2004,C311,'Saisie'!$AT$5:$AT$2004,"&gt;=3")),""))</f>
        <v/>
      </c>
      <c r="BF311" s="106">
        <f>IF(C311="","",IFERROR(1/(1/_xlfn.MINIFS('Saisie'!$A$5:$A$2004,'Saisie'!$C$5:$C$2004,C311,'Saisie'!$AT$5:$AT$2004,"&gt;=4")),""))</f>
        <v/>
      </c>
      <c r="BG311" s="106">
        <f>IF(C311="","",IFERROR(1/(1/_xlfn.MINIFS('Saisie'!$A$5:$A$2004,'Saisie'!$C$5:$C$2004,C311,'Saisie'!$AT$5:$AT$2004,"&gt;=5")),""))</f>
        <v/>
      </c>
      <c r="BH311" s="106">
        <f>IF(C311="","",IFERROR(1/(1/_xlfn.MINIFS('Saisie'!$A$5:$A$2004,'Saisie'!$C$5:$C$2004,C311,'Saisie'!$AT$5:$AT$2004,"&gt;=6")),""))</f>
        <v/>
      </c>
      <c r="BI311" s="106">
        <f>IF(C311="","",IFERROR(1/(1/_xlfn.MINIFS('Saisie'!$A$5:$A$2004,'Saisie'!$C$5:$C$2004,C311,'Saisie'!$AT$5:$AT$2004,"&gt;=7")),""))</f>
        <v/>
      </c>
      <c r="BJ311" s="60">
        <f>IF(OR(BD311="",B311=""),"",BD311-B311)</f>
        <v/>
      </c>
      <c r="BK311" s="60">
        <f>IF(OR(BE311="",BD311=""),"",BE311-BD311)</f>
        <v/>
      </c>
      <c r="BL311" s="60">
        <f>IF(OR(BF311="",BE311=""),"",BF311-BE311)</f>
        <v/>
      </c>
      <c r="BM311" s="60">
        <f>IF(OR(BG311="",BF311=""),"",BG311-BF311)</f>
        <v/>
      </c>
      <c r="BN311" s="60">
        <f>IF(OR(BH311="",BG311=""),"",BH311-BG311)</f>
        <v/>
      </c>
      <c r="BO311" s="60">
        <f>IF(OR(BI311="",BH311=""),"",BI311-BH311)</f>
        <v/>
      </c>
      <c r="BP311" s="60">
        <f>IF(C311="","",_xlfn.MAXIFS('Saisie'!$AS$5:$AS$2004,'Saisie'!$C$5:$C$2004,C311,'Saisie'!$J$5:$J$2004,"&lt;&gt;"))</f>
        <v/>
      </c>
      <c r="BQ311" s="60">
        <f>IF(C311="","",_xlfn.MAXIFS('Saisie'!$AS$5:$AS$2004,'Saisie'!$C$5:$C$2004,C311))</f>
        <v/>
      </c>
      <c r="BR311" s="60">
        <f>IF(C311="","",_xlfn.MAXIFS('Saisie'!$AS$5:$AS$2004,'Saisie'!$C$5:$C$2004,C311,'Saisie'!$E$5:$E$2004,"Perdu"))</f>
        <v/>
      </c>
      <c r="BS311" s="60">
        <f>IF(C311="","",_xlfn.MAXIFS('Saisie'!$AS$5:$AS$2004,'Saisie'!$C$5:$C$2004,C311,'Saisie'!$AT$5:$AT$2004,"&gt;0"))</f>
        <v/>
      </c>
      <c r="BT311" s="109">
        <f>IF(AND(C311&lt;&gt;"",OR(D311="Nouveau",D311="Contacté",D311="Qualifié"),OR(G311="",N(G311)&lt;=TODAY()),NOT(AND(O311&gt;='Paramètres'!$B$21,P311=0))),E311+307/10000,"")</f>
        <v/>
      </c>
      <c r="BU311" s="60">
        <f>IF(AND(G311&lt;&gt;"",N(G311)&lt;=TODAY()),MAX($BU$4:BU310)+1,"")</f>
        <v/>
      </c>
      <c r="BV311" s="60">
        <f>IF(AND(F311&lt;&gt;"",F311&lt;&gt;"Relance en retard"),MAX($BV$4:BV310)+1,"")</f>
        <v/>
      </c>
      <c r="BW311" s="60">
        <f>IF(C311="","",IF(AND(B311&gt;='Tableau de bord'!$R$4,B311&lt;='Tableau de bord'!$S$4,OR('Tableau de bord'!$G$4="Tous",N311='Tableau de bord'!$G$4)),1,0))</f>
        <v/>
      </c>
      <c r="BX311" s="60">
        <f>IF(AND(C311&lt;&gt;"",N(BA311)=7),MAX($BX$4:BX310)+1,"")</f>
        <v/>
      </c>
    </row>
    <row r="312">
      <c r="A312" s="60">
        <f>IF(C312="","","P-"&amp;TEXT(308,"000"))</f>
        <v/>
      </c>
      <c r="B312" s="106">
        <f>IF(C312="","",IFERROR(1/(1/_xlfn.MINIFS('Saisie'!$A$5:$A$2004,'Saisie'!$C$5:$C$2004,C312)),""))</f>
        <v/>
      </c>
      <c r="C312" s="60">
        <f>IFERROR(INDEX('Saisie'!$C$5:$C$2004,MATCH(308,'Saisie'!$AX$5:$AX$2004,0)),"")</f>
        <v/>
      </c>
      <c r="D312" s="60">
        <f>IF(C312="","",IF(AND(BR312&gt;0,BR312&gt;BS312,BA312&lt;7),"Perdu",INDEX('Paramètres'!$F$6:$F$13,BA312)))</f>
        <v/>
      </c>
      <c r="E312" s="61">
        <f>IF(C312="","",MIN(100,(Z312="Oui")*'Paramètres'!$B$38+(AB312="Régulière")*'Paramètres'!$B$39+IF(AND(N(AA312)&gt;0,TODAY()-N(AA312)&lt;=30),'Paramètres'!$B$40,0)+(W312="")*'Paramètres'!$B$41+(AC312="Absente")*'Paramètres'!$B$42+(AC312="Faible")*'Paramètres'!$B$43+IF(AND(N(AD312)&gt;0,N(AD312)&lt;4),'Paramètres'!$B$44,0)+(AF312="Moyenne")*'Paramètres'!$B$45+(AF312="Grande")*'Paramètres'!$B$46+(Y312&lt;&gt;"")*'Paramètres'!$B$47))</f>
        <v/>
      </c>
      <c r="F312" s="60">
        <f>IF(C312="","",IF(D312="Gagné","",IF(D312="Perdu",IF(AND(AX312&lt;&gt;"",AX312&lt;=TODAY()),"À recontacter (perdu)",""),IF(AND(O312&gt;='Paramètres'!$B$21,P312=0),"Stop : "&amp;'Paramètres'!$B$21&amp;" tentatives sans réponse",IF(AND(D312="Proposition",AR312&lt;&gt;"",TODAY()&gt;N(AR312)),"Proposition expirée",IF(AND(D312="Proposition",N(R312)&gt;='Paramètres'!$B$25),"Proposition sans réponse",IF(AND(G312&lt;&gt;"",N(G312)&lt;TODAY()),"Relance en retard",IF(N(R312)&gt;='Paramètres'!$B$24,"Sans action depuis "&amp;R312&amp;" j",""))))))))</f>
        <v/>
      </c>
      <c r="G312" s="106">
        <f>IF(OR(C312="",D312="Gagné",D312="Perdu"),"",IF(AND(BP312&gt;0,BP312=BQ312),INDEX('Saisie'!$J$5:$J$2004,BP312-4),IF(OR(O312=0,AND(O312&gt;='Paramètres'!$B$21,P312=0)),"",Q312+IF(O312&lt;=1,'Paramètres'!$B$18,IF(O312=2,'Paramètres'!$B$19,'Paramètres'!$B$20)))))</f>
        <v/>
      </c>
      <c r="H312" s="107">
        <f>IF(OR(G312="",BP312&lt;&gt;BQ312),"",IF(INDEX('Saisie'!$K$5:$K$2004,BP312-4)="","",INDEX('Saisie'!$K$5:$K$2004,BP312-4)))</f>
        <v/>
      </c>
      <c r="I312" s="60">
        <f>IF(C312="","",IF(OR(D312="Gagné",D312="Perdu"),"",IFERROR(INDEX('Saisie'!$I$5:$I$2004,_xlfn.MAXIFS('Saisie'!$AS$5:$AS$2004,'Saisie'!$C$5:$C$2004,C312,'Saisie'!$I$5:$I$2004,"&lt;&gt;")-4),"")))</f>
        <v/>
      </c>
      <c r="J312" s="60">
        <f>IF(C312="","",IFERROR(INDEX('Saisie'!$U$5:$U$2004,_xlfn.MAXIFS('Saisie'!$AS$5:$AS$2004,'Saisie'!$C$5:$C$2004,C312,'Saisie'!$U$5:$U$2004,"&lt;&gt;")-4),""))</f>
        <v/>
      </c>
      <c r="K312" s="60">
        <f>IF(C312="","",IFERROR(INDEX('Saisie'!$W$5:$W$2004,_xlfn.MAXIFS('Saisie'!$AS$5:$AS$2004,'Saisie'!$C$5:$C$2004,C312,'Saisie'!$W$5:$W$2004,"&lt;&gt;")-4),""))</f>
        <v/>
      </c>
      <c r="L312" s="60">
        <f>IF(IF(BB312&lt;&gt;"",BB312,K312)="","",HYPERLINK("https://wa.me/"&amp;IF(LEFT(SUBSTITUTE(SUBSTITUTE(SUBSTITUTE(IF(BB312&lt;&gt;"",BB312,K312)," ",""),".",""),"+",""),1)="0",'Paramètres'!$B$35&amp;MID(SUBSTITUTE(SUBSTITUTE(SUBSTITUTE(IF(BB312&lt;&gt;"",BB312,K312)," ",""),".",""),"+",""),2,20),SUBSTITUTE(SUBSTITUTE(SUBSTITUTE(IF(BB312&lt;&gt;"",BB312,K312)," ",""),".",""),"+","")),"WhatsApp"))</f>
        <v/>
      </c>
      <c r="M312" s="60">
        <f>IF(BC312="","",HYPERLINK(IF(LEFT(BC312,4)="http",BC312,"https://www.instagram.com/"&amp;SUBSTITUTE(SUBSTITUTE(BC312,"@","")," ","")),BC312))</f>
        <v/>
      </c>
      <c r="N312" s="60">
        <f>IF(C312="","",IFERROR(INDEX('Saisie'!$D$5:$D$2004,_xlfn.MINIFS('Saisie'!$AS$5:$AS$2004,'Saisie'!$C$5:$C$2004,C312,'Saisie'!$AU$5:$AU$2004,1)-4),IFERROR(INDEX('Saisie'!$D$5:$D$2004,_xlfn.MINIFS('Saisie'!$AS$5:$AS$2004,'Saisie'!$C$5:$C$2004,C312,'Saisie'!$D$5:$D$2004,"&lt;&gt;")-4),"")))</f>
        <v/>
      </c>
      <c r="O312" s="60">
        <f>IF(C312="","",COUNTIFS('Saisie'!$C$5:$C$2004,C312,'Saisie'!$AU$5:$AU$2004,1))</f>
        <v/>
      </c>
      <c r="P312" s="60">
        <f>IF(C312="","",COUNTIFS('Saisie'!$C$5:$C$2004,C312,'Saisie'!$AV$5:$AV$2004,1))</f>
        <v/>
      </c>
      <c r="Q312" s="106">
        <f>IF(C312="","",IFERROR(1/(1/_xlfn.MAXIFS('Saisie'!$A$5:$A$2004,'Saisie'!$C$5:$C$2004,C312)),""))</f>
        <v/>
      </c>
      <c r="R312" s="61">
        <f>IF(C312="","",IF(Q312="","",TODAY()-Q312))</f>
        <v/>
      </c>
      <c r="S312" s="60">
        <f>IF(C312="","",IFERROR(INDEX('Saisie'!$R$5:$R$2004,_xlfn.MAXIFS('Saisie'!$AS$5:$AS$2004,'Saisie'!$C$5:$C$2004,C312,'Saisie'!$R$5:$R$2004,"&lt;&gt;")-4),""))</f>
        <v/>
      </c>
      <c r="T312" s="60">
        <f>IF(C312="","",IFERROR(INDEX('Saisie'!$S$5:$S$2004,_xlfn.MAXIFS('Saisie'!$AS$5:$AS$2004,'Saisie'!$C$5:$C$2004,C312,'Saisie'!$S$5:$S$2004,"&lt;&gt;")-4),""))</f>
        <v/>
      </c>
      <c r="U312" s="60">
        <f>IF(C312="","",IFERROR(INDEX('Saisie'!$T$5:$T$2004,_xlfn.MAXIFS('Saisie'!$AS$5:$AS$2004,'Saisie'!$C$5:$C$2004,C312,'Saisie'!$T$5:$T$2004,"&lt;&gt;")-4),""))</f>
        <v/>
      </c>
      <c r="V312" s="60">
        <f>IF(C312="","",IFERROR(INDEX('Saisie'!$V$5:$V$2004,_xlfn.MAXIFS('Saisie'!$AS$5:$AS$2004,'Saisie'!$C$5:$C$2004,C312,'Saisie'!$V$5:$V$2004,"&lt;&gt;")-4),""))</f>
        <v/>
      </c>
      <c r="W312" s="60">
        <f>IF(C312="","",IFERROR(INDEX('Saisie'!$Z$5:$Z$2004,_xlfn.MAXIFS('Saisie'!$AS$5:$AS$2004,'Saisie'!$C$5:$C$2004,C312,'Saisie'!$Z$5:$Z$2004,"&lt;&gt;")-4),""))</f>
        <v/>
      </c>
      <c r="X312" s="60">
        <f>IF(C312="","",IFERROR(INDEX('Saisie'!$AA$5:$AA$2004,_xlfn.MAXIFS('Saisie'!$AS$5:$AS$2004,'Saisie'!$C$5:$C$2004,C312,'Saisie'!$AA$5:$AA$2004,"&lt;&gt;")-4),""))</f>
        <v/>
      </c>
      <c r="Y312" s="60">
        <f>IF(C312="","",IFERROR(INDEX('Saisie'!$AB$5:$AB$2004,_xlfn.MAXIFS('Saisie'!$AS$5:$AS$2004,'Saisie'!$C$5:$C$2004,C312,'Saisie'!$AB$5:$AB$2004,"&lt;&gt;")-4),""))</f>
        <v/>
      </c>
      <c r="Z312" s="60">
        <f>IF(C312="","",IFERROR(INDEX('Saisie'!$AC$5:$AC$2004,_xlfn.MAXIFS('Saisie'!$AS$5:$AS$2004,'Saisie'!$C$5:$C$2004,C312,'Saisie'!$AC$5:$AC$2004,"&lt;&gt;")-4),""))</f>
        <v/>
      </c>
      <c r="AA312" s="106">
        <f>IF(C312="","",IFERROR(INDEX('Saisie'!$AD$5:$AD$2004,_xlfn.MAXIFS('Saisie'!$AS$5:$AS$2004,'Saisie'!$C$5:$C$2004,C312,'Saisie'!$AD$5:$AD$2004,"&lt;&gt;")-4),""))</f>
        <v/>
      </c>
      <c r="AB312" s="60">
        <f>IF(C312="","",IFERROR(INDEX('Saisie'!$AE$5:$AE$2004,_xlfn.MAXIFS('Saisie'!$AS$5:$AS$2004,'Saisie'!$C$5:$C$2004,C312,'Saisie'!$AE$5:$AE$2004,"&lt;&gt;")-4),""))</f>
        <v/>
      </c>
      <c r="AC312" s="60">
        <f>IF(C312="","",IFERROR(INDEX('Saisie'!$AF$5:$AF$2004,_xlfn.MAXIFS('Saisie'!$AS$5:$AS$2004,'Saisie'!$C$5:$C$2004,C312,'Saisie'!$AF$5:$AF$2004,"&lt;&gt;")-4),""))</f>
        <v/>
      </c>
      <c r="AD312" s="108">
        <f>IF(C312="","",IFERROR(INDEX('Saisie'!$AG$5:$AG$2004,_xlfn.MAXIFS('Saisie'!$AS$5:$AS$2004,'Saisie'!$C$5:$C$2004,C312,'Saisie'!$AG$5:$AG$2004,"&lt;&gt;")-4),""))</f>
        <v/>
      </c>
      <c r="AE312" s="60">
        <f>IF(C312="","",IFERROR(INDEX('Saisie'!$AH$5:$AH$2004,_xlfn.MAXIFS('Saisie'!$AS$5:$AS$2004,'Saisie'!$C$5:$C$2004,C312,'Saisie'!$AH$5:$AH$2004,"&lt;&gt;")-4),""))</f>
        <v/>
      </c>
      <c r="AF312" s="60">
        <f>IF(C312="","",IFERROR(INDEX('Saisie'!$AI$5:$AI$2004,_xlfn.MAXIFS('Saisie'!$AS$5:$AS$2004,'Saisie'!$C$5:$C$2004,C312,'Saisie'!$AI$5:$AI$2004,"&lt;&gt;")-4),""))</f>
        <v/>
      </c>
      <c r="AG312" s="60">
        <f>IF(C312="","",IFERROR(INDEX('Saisie'!$AJ$5:$AJ$2004,_xlfn.MAXIFS('Saisie'!$AS$5:$AS$2004,'Saisie'!$C$5:$C$2004,C312,'Saisie'!$AJ$5:$AJ$2004,"&lt;&gt;")-4),""))</f>
        <v/>
      </c>
      <c r="AH312" s="60">
        <f>IF(C312="","",IFERROR(INDEX('Saisie'!$AK$5:$AK$2004,_xlfn.MAXIFS('Saisie'!$AS$5:$AS$2004,'Saisie'!$C$5:$C$2004,C312,'Saisie'!$AK$5:$AK$2004,"&lt;&gt;")-4),""))</f>
        <v/>
      </c>
      <c r="AI312" s="60">
        <f>IF(C312="","",IFERROR(INDEX('Saisie'!$AN$5:$AN$2004,_xlfn.MAXIFS('Saisie'!$AS$5:$AS$2004,'Saisie'!$C$5:$C$2004,C312,'Saisie'!$AN$5:$AN$2004,"&lt;&gt;")-4),""))</f>
        <v/>
      </c>
      <c r="AJ312" s="60">
        <f>IF(C312="","",IFERROR(INDEX('Saisie'!$AO$5:$AO$2004,_xlfn.MAXIFS('Saisie'!$AS$5:$AS$2004,'Saisie'!$C$5:$C$2004,C312,'Saisie'!$AO$5:$AO$2004,"&lt;&gt;")-4),""))</f>
        <v/>
      </c>
      <c r="AK312" s="60">
        <f>IF(C312="","",IFERROR(INDEX('Saisie'!$AP$5:$AP$2004,_xlfn.MAXIFS('Saisie'!$AS$5:$AS$2004,'Saisie'!$C$5:$C$2004,C312,'Saisie'!$AP$5:$AP$2004,"&lt;&gt;")-4),""))</f>
        <v/>
      </c>
      <c r="AL312" s="60">
        <f>IF(C312="","",IFERROR(INDEX('Saisie'!$AQ$5:$AQ$2004,_xlfn.MAXIFS('Saisie'!$AS$5:$AS$2004,'Saisie'!$C$5:$C$2004,C312,'Saisie'!$AQ$5:$AQ$2004,"&lt;&gt;")-4),""))</f>
        <v/>
      </c>
      <c r="AM312" s="60">
        <f>IF(C312="","",((AI312="Oui")+(AJ312="Oui")+(AK312="Oui")+OR(AL312="Immédiat",AL312="&lt; 1 mois"))&amp;"/4")</f>
        <v/>
      </c>
      <c r="AN312" s="60">
        <f>IF(C312="","",IFERROR(INDEX('Saisie'!$AL$5:$AL$2004,_xlfn.MAXIFS('Saisie'!$AS$5:$AS$2004,'Saisie'!$C$5:$C$2004,C312,'Saisie'!$AL$5:$AL$2004,"&lt;&gt;")-4),""))</f>
        <v/>
      </c>
      <c r="AO312" s="62">
        <f>IF(C312="","",IF(IFERROR(INDEX('Saisie'!$AM$5:$AM$2004,_xlfn.MAXIFS('Saisie'!$AS$5:$AS$2004,'Saisie'!$C$5:$C$2004,C312,'Saisie'!$AM$5:$AM$2004,"&lt;&gt;")-4),"")&lt;&gt;"",IFERROR(INDEX('Saisie'!$AM$5:$AM$2004,_xlfn.MAXIFS('Saisie'!$AS$5:$AS$2004,'Saisie'!$C$5:$C$2004,C312,'Saisie'!$AM$5:$AM$2004,"&lt;&gt;")-4),""),IFERROR(INDEX('Paramètres'!$S$6:$S$15,MATCH(AN312,'Paramètres'!$Q$6:$Q$15,0)),"")))</f>
        <v/>
      </c>
      <c r="AP312" s="62">
        <f>IF(C312="","",IFERROR(INDEX('Saisie'!$AW$5:$AW$2004,_xlfn.MAXIFS('Saisie'!$AS$5:$AS$2004,'Saisie'!$C$5:$C$2004,C312,'Saisie'!$E$5:$E$2004,"Proposition envoyée")-4),""))</f>
        <v/>
      </c>
      <c r="AQ312" s="106">
        <f>IF(C312="","",IFERROR(1/(1/_xlfn.MAXIFS('Saisie'!$A$5:$A$2004,'Saisie'!$C$5:$C$2004,C312,'Saisie'!$E$5:$E$2004,"Proposition envoyée")),""))</f>
        <v/>
      </c>
      <c r="AR312" s="106">
        <f>IF(C312="","",IF(AQ312="","",AQ312+'Paramètres'!$B$26))</f>
        <v/>
      </c>
      <c r="AS312" s="62">
        <f>IF(OR(C312="",D312="Gagné",D312="Perdu"),0,N(AP312)*IFERROR(INDEX('Paramètres'!$G$6:$G$13,MATCH(D312,'Paramètres'!$F$6:$F$13,0)),0))</f>
        <v/>
      </c>
      <c r="AT312" s="106">
        <f>IF(C312="","",IFERROR(1/(1/_xlfn.MINIFS('Saisie'!$A$5:$A$2004,'Saisie'!$C$5:$C$2004,C312,'Saisie'!$E$5:$E$2004,"Signature")),""))</f>
        <v/>
      </c>
      <c r="AU312" s="60">
        <f>IF(C312="","",IF(OR(AT312="",B312=""),"",AT312-B312))</f>
        <v/>
      </c>
      <c r="AV312" s="60">
        <f>IF(C312="","",IFERROR(INDEX('Saisie'!$L$5:$L$2004,_xlfn.MAXIFS('Saisie'!$AS$5:$AS$2004,'Saisie'!$C$5:$C$2004,C312,'Saisie'!$L$5:$L$2004,"&lt;&gt;")-4),""))</f>
        <v/>
      </c>
      <c r="AW312" s="106">
        <f>IF(C312="","",IF(D312&lt;&gt;"Perdu","",IFERROR(1/(1/_xlfn.MAXIFS('Saisie'!$A$5:$A$2004,'Saisie'!$C$5:$C$2004,C312,'Saisie'!$E$5:$E$2004,"Perdu")),"")))</f>
        <v/>
      </c>
      <c r="AX312" s="106">
        <f>IF(C312="","",IF(AW312="","",AW312+'Paramètres'!$B$28))</f>
        <v/>
      </c>
      <c r="AY312" s="60">
        <f>IF(C312="","",SUMIFS('Saisie'!$H$5:$H$2004,'Saisie'!$C$5:$C$2004,C312))</f>
        <v/>
      </c>
      <c r="AZ312" s="60">
        <f>IF(C312="","",IFERROR(INDEX('Paramètres'!$W$6:$W$20,MATCH(S312,'Paramètres'!$V$6:$V$20,0))&amp;"",""))</f>
        <v/>
      </c>
      <c r="BA312" s="60">
        <f>IF(C312="","",MAX(1,_xlfn.MAXIFS('Saisie'!$AT$5:$AT$2004,'Saisie'!$C$5:$C$2004,C312)))</f>
        <v/>
      </c>
      <c r="BB312" s="60">
        <f>IF(C312="","",IFERROR(INDEX('Saisie'!$X$5:$X$2004,_xlfn.MAXIFS('Saisie'!$AS$5:$AS$2004,'Saisie'!$C$5:$C$2004,C312,'Saisie'!$X$5:$X$2004,"&lt;&gt;")-4),""))</f>
        <v/>
      </c>
      <c r="BC312" s="60">
        <f>IF(C312="","",IFERROR(INDEX('Saisie'!$Y$5:$Y$2004,_xlfn.MAXIFS('Saisie'!$AS$5:$AS$2004,'Saisie'!$C$5:$C$2004,C312,'Saisie'!$Y$5:$Y$2004,"&lt;&gt;")-4),""))</f>
        <v/>
      </c>
      <c r="BD312" s="106">
        <f>IF(C312="","",IFERROR(1/(1/_xlfn.MINIFS('Saisie'!$A$5:$A$2004,'Saisie'!$C$5:$C$2004,C312,'Saisie'!$AT$5:$AT$2004,"&gt;=2")),""))</f>
        <v/>
      </c>
      <c r="BE312" s="106">
        <f>IF(C312="","",IFERROR(1/(1/_xlfn.MINIFS('Saisie'!$A$5:$A$2004,'Saisie'!$C$5:$C$2004,C312,'Saisie'!$AT$5:$AT$2004,"&gt;=3")),""))</f>
        <v/>
      </c>
      <c r="BF312" s="106">
        <f>IF(C312="","",IFERROR(1/(1/_xlfn.MINIFS('Saisie'!$A$5:$A$2004,'Saisie'!$C$5:$C$2004,C312,'Saisie'!$AT$5:$AT$2004,"&gt;=4")),""))</f>
        <v/>
      </c>
      <c r="BG312" s="106">
        <f>IF(C312="","",IFERROR(1/(1/_xlfn.MINIFS('Saisie'!$A$5:$A$2004,'Saisie'!$C$5:$C$2004,C312,'Saisie'!$AT$5:$AT$2004,"&gt;=5")),""))</f>
        <v/>
      </c>
      <c r="BH312" s="106">
        <f>IF(C312="","",IFERROR(1/(1/_xlfn.MINIFS('Saisie'!$A$5:$A$2004,'Saisie'!$C$5:$C$2004,C312,'Saisie'!$AT$5:$AT$2004,"&gt;=6")),""))</f>
        <v/>
      </c>
      <c r="BI312" s="106">
        <f>IF(C312="","",IFERROR(1/(1/_xlfn.MINIFS('Saisie'!$A$5:$A$2004,'Saisie'!$C$5:$C$2004,C312,'Saisie'!$AT$5:$AT$2004,"&gt;=7")),""))</f>
        <v/>
      </c>
      <c r="BJ312" s="60">
        <f>IF(OR(BD312="",B312=""),"",BD312-B312)</f>
        <v/>
      </c>
      <c r="BK312" s="60">
        <f>IF(OR(BE312="",BD312=""),"",BE312-BD312)</f>
        <v/>
      </c>
      <c r="BL312" s="60">
        <f>IF(OR(BF312="",BE312=""),"",BF312-BE312)</f>
        <v/>
      </c>
      <c r="BM312" s="60">
        <f>IF(OR(BG312="",BF312=""),"",BG312-BF312)</f>
        <v/>
      </c>
      <c r="BN312" s="60">
        <f>IF(OR(BH312="",BG312=""),"",BH312-BG312)</f>
        <v/>
      </c>
      <c r="BO312" s="60">
        <f>IF(OR(BI312="",BH312=""),"",BI312-BH312)</f>
        <v/>
      </c>
      <c r="BP312" s="60">
        <f>IF(C312="","",_xlfn.MAXIFS('Saisie'!$AS$5:$AS$2004,'Saisie'!$C$5:$C$2004,C312,'Saisie'!$J$5:$J$2004,"&lt;&gt;"))</f>
        <v/>
      </c>
      <c r="BQ312" s="60">
        <f>IF(C312="","",_xlfn.MAXIFS('Saisie'!$AS$5:$AS$2004,'Saisie'!$C$5:$C$2004,C312))</f>
        <v/>
      </c>
      <c r="BR312" s="60">
        <f>IF(C312="","",_xlfn.MAXIFS('Saisie'!$AS$5:$AS$2004,'Saisie'!$C$5:$C$2004,C312,'Saisie'!$E$5:$E$2004,"Perdu"))</f>
        <v/>
      </c>
      <c r="BS312" s="60">
        <f>IF(C312="","",_xlfn.MAXIFS('Saisie'!$AS$5:$AS$2004,'Saisie'!$C$5:$C$2004,C312,'Saisie'!$AT$5:$AT$2004,"&gt;0"))</f>
        <v/>
      </c>
      <c r="BT312" s="109">
        <f>IF(AND(C312&lt;&gt;"",OR(D312="Nouveau",D312="Contacté",D312="Qualifié"),OR(G312="",N(G312)&lt;=TODAY()),NOT(AND(O312&gt;='Paramètres'!$B$21,P312=0))),E312+308/10000,"")</f>
        <v/>
      </c>
      <c r="BU312" s="60">
        <f>IF(AND(G312&lt;&gt;"",N(G312)&lt;=TODAY()),MAX($BU$4:BU311)+1,"")</f>
        <v/>
      </c>
      <c r="BV312" s="60">
        <f>IF(AND(F312&lt;&gt;"",F312&lt;&gt;"Relance en retard"),MAX($BV$4:BV311)+1,"")</f>
        <v/>
      </c>
      <c r="BW312" s="60">
        <f>IF(C312="","",IF(AND(B312&gt;='Tableau de bord'!$R$4,B312&lt;='Tableau de bord'!$S$4,OR('Tableau de bord'!$G$4="Tous",N312='Tableau de bord'!$G$4)),1,0))</f>
        <v/>
      </c>
      <c r="BX312" s="60">
        <f>IF(AND(C312&lt;&gt;"",N(BA312)=7),MAX($BX$4:BX311)+1,"")</f>
        <v/>
      </c>
    </row>
    <row r="313">
      <c r="A313" s="60">
        <f>IF(C313="","","P-"&amp;TEXT(309,"000"))</f>
        <v/>
      </c>
      <c r="B313" s="106">
        <f>IF(C313="","",IFERROR(1/(1/_xlfn.MINIFS('Saisie'!$A$5:$A$2004,'Saisie'!$C$5:$C$2004,C313)),""))</f>
        <v/>
      </c>
      <c r="C313" s="60">
        <f>IFERROR(INDEX('Saisie'!$C$5:$C$2004,MATCH(309,'Saisie'!$AX$5:$AX$2004,0)),"")</f>
        <v/>
      </c>
      <c r="D313" s="60">
        <f>IF(C313="","",IF(AND(BR313&gt;0,BR313&gt;BS313,BA313&lt;7),"Perdu",INDEX('Paramètres'!$F$6:$F$13,BA313)))</f>
        <v/>
      </c>
      <c r="E313" s="61">
        <f>IF(C313="","",MIN(100,(Z313="Oui")*'Paramètres'!$B$38+(AB313="Régulière")*'Paramètres'!$B$39+IF(AND(N(AA313)&gt;0,TODAY()-N(AA313)&lt;=30),'Paramètres'!$B$40,0)+(W313="")*'Paramètres'!$B$41+(AC313="Absente")*'Paramètres'!$B$42+(AC313="Faible")*'Paramètres'!$B$43+IF(AND(N(AD313)&gt;0,N(AD313)&lt;4),'Paramètres'!$B$44,0)+(AF313="Moyenne")*'Paramètres'!$B$45+(AF313="Grande")*'Paramètres'!$B$46+(Y313&lt;&gt;"")*'Paramètres'!$B$47))</f>
        <v/>
      </c>
      <c r="F313" s="60">
        <f>IF(C313="","",IF(D313="Gagné","",IF(D313="Perdu",IF(AND(AX313&lt;&gt;"",AX313&lt;=TODAY()),"À recontacter (perdu)",""),IF(AND(O313&gt;='Paramètres'!$B$21,P313=0),"Stop : "&amp;'Paramètres'!$B$21&amp;" tentatives sans réponse",IF(AND(D313="Proposition",AR313&lt;&gt;"",TODAY()&gt;N(AR313)),"Proposition expirée",IF(AND(D313="Proposition",N(R313)&gt;='Paramètres'!$B$25),"Proposition sans réponse",IF(AND(G313&lt;&gt;"",N(G313)&lt;TODAY()),"Relance en retard",IF(N(R313)&gt;='Paramètres'!$B$24,"Sans action depuis "&amp;R313&amp;" j",""))))))))</f>
        <v/>
      </c>
      <c r="G313" s="106">
        <f>IF(OR(C313="",D313="Gagné",D313="Perdu"),"",IF(AND(BP313&gt;0,BP313=BQ313),INDEX('Saisie'!$J$5:$J$2004,BP313-4),IF(OR(O313=0,AND(O313&gt;='Paramètres'!$B$21,P313=0)),"",Q313+IF(O313&lt;=1,'Paramètres'!$B$18,IF(O313=2,'Paramètres'!$B$19,'Paramètres'!$B$20)))))</f>
        <v/>
      </c>
      <c r="H313" s="107">
        <f>IF(OR(G313="",BP313&lt;&gt;BQ313),"",IF(INDEX('Saisie'!$K$5:$K$2004,BP313-4)="","",INDEX('Saisie'!$K$5:$K$2004,BP313-4)))</f>
        <v/>
      </c>
      <c r="I313" s="60">
        <f>IF(C313="","",IF(OR(D313="Gagné",D313="Perdu"),"",IFERROR(INDEX('Saisie'!$I$5:$I$2004,_xlfn.MAXIFS('Saisie'!$AS$5:$AS$2004,'Saisie'!$C$5:$C$2004,C313,'Saisie'!$I$5:$I$2004,"&lt;&gt;")-4),"")))</f>
        <v/>
      </c>
      <c r="J313" s="60">
        <f>IF(C313="","",IFERROR(INDEX('Saisie'!$U$5:$U$2004,_xlfn.MAXIFS('Saisie'!$AS$5:$AS$2004,'Saisie'!$C$5:$C$2004,C313,'Saisie'!$U$5:$U$2004,"&lt;&gt;")-4),""))</f>
        <v/>
      </c>
      <c r="K313" s="60">
        <f>IF(C313="","",IFERROR(INDEX('Saisie'!$W$5:$W$2004,_xlfn.MAXIFS('Saisie'!$AS$5:$AS$2004,'Saisie'!$C$5:$C$2004,C313,'Saisie'!$W$5:$W$2004,"&lt;&gt;")-4),""))</f>
        <v/>
      </c>
      <c r="L313" s="60">
        <f>IF(IF(BB313&lt;&gt;"",BB313,K313)="","",HYPERLINK("https://wa.me/"&amp;IF(LEFT(SUBSTITUTE(SUBSTITUTE(SUBSTITUTE(IF(BB313&lt;&gt;"",BB313,K313)," ",""),".",""),"+",""),1)="0",'Paramètres'!$B$35&amp;MID(SUBSTITUTE(SUBSTITUTE(SUBSTITUTE(IF(BB313&lt;&gt;"",BB313,K313)," ",""),".",""),"+",""),2,20),SUBSTITUTE(SUBSTITUTE(SUBSTITUTE(IF(BB313&lt;&gt;"",BB313,K313)," ",""),".",""),"+","")),"WhatsApp"))</f>
        <v/>
      </c>
      <c r="M313" s="60">
        <f>IF(BC313="","",HYPERLINK(IF(LEFT(BC313,4)="http",BC313,"https://www.instagram.com/"&amp;SUBSTITUTE(SUBSTITUTE(BC313,"@","")," ","")),BC313))</f>
        <v/>
      </c>
      <c r="N313" s="60">
        <f>IF(C313="","",IFERROR(INDEX('Saisie'!$D$5:$D$2004,_xlfn.MINIFS('Saisie'!$AS$5:$AS$2004,'Saisie'!$C$5:$C$2004,C313,'Saisie'!$AU$5:$AU$2004,1)-4),IFERROR(INDEX('Saisie'!$D$5:$D$2004,_xlfn.MINIFS('Saisie'!$AS$5:$AS$2004,'Saisie'!$C$5:$C$2004,C313,'Saisie'!$D$5:$D$2004,"&lt;&gt;")-4),"")))</f>
        <v/>
      </c>
      <c r="O313" s="60">
        <f>IF(C313="","",COUNTIFS('Saisie'!$C$5:$C$2004,C313,'Saisie'!$AU$5:$AU$2004,1))</f>
        <v/>
      </c>
      <c r="P313" s="60">
        <f>IF(C313="","",COUNTIFS('Saisie'!$C$5:$C$2004,C313,'Saisie'!$AV$5:$AV$2004,1))</f>
        <v/>
      </c>
      <c r="Q313" s="106">
        <f>IF(C313="","",IFERROR(1/(1/_xlfn.MAXIFS('Saisie'!$A$5:$A$2004,'Saisie'!$C$5:$C$2004,C313)),""))</f>
        <v/>
      </c>
      <c r="R313" s="61">
        <f>IF(C313="","",IF(Q313="","",TODAY()-Q313))</f>
        <v/>
      </c>
      <c r="S313" s="60">
        <f>IF(C313="","",IFERROR(INDEX('Saisie'!$R$5:$R$2004,_xlfn.MAXIFS('Saisie'!$AS$5:$AS$2004,'Saisie'!$C$5:$C$2004,C313,'Saisie'!$R$5:$R$2004,"&lt;&gt;")-4),""))</f>
        <v/>
      </c>
      <c r="T313" s="60">
        <f>IF(C313="","",IFERROR(INDEX('Saisie'!$S$5:$S$2004,_xlfn.MAXIFS('Saisie'!$AS$5:$AS$2004,'Saisie'!$C$5:$C$2004,C313,'Saisie'!$S$5:$S$2004,"&lt;&gt;")-4),""))</f>
        <v/>
      </c>
      <c r="U313" s="60">
        <f>IF(C313="","",IFERROR(INDEX('Saisie'!$T$5:$T$2004,_xlfn.MAXIFS('Saisie'!$AS$5:$AS$2004,'Saisie'!$C$5:$C$2004,C313,'Saisie'!$T$5:$T$2004,"&lt;&gt;")-4),""))</f>
        <v/>
      </c>
      <c r="V313" s="60">
        <f>IF(C313="","",IFERROR(INDEX('Saisie'!$V$5:$V$2004,_xlfn.MAXIFS('Saisie'!$AS$5:$AS$2004,'Saisie'!$C$5:$C$2004,C313,'Saisie'!$V$5:$V$2004,"&lt;&gt;")-4),""))</f>
        <v/>
      </c>
      <c r="W313" s="60">
        <f>IF(C313="","",IFERROR(INDEX('Saisie'!$Z$5:$Z$2004,_xlfn.MAXIFS('Saisie'!$AS$5:$AS$2004,'Saisie'!$C$5:$C$2004,C313,'Saisie'!$Z$5:$Z$2004,"&lt;&gt;")-4),""))</f>
        <v/>
      </c>
      <c r="X313" s="60">
        <f>IF(C313="","",IFERROR(INDEX('Saisie'!$AA$5:$AA$2004,_xlfn.MAXIFS('Saisie'!$AS$5:$AS$2004,'Saisie'!$C$5:$C$2004,C313,'Saisie'!$AA$5:$AA$2004,"&lt;&gt;")-4),""))</f>
        <v/>
      </c>
      <c r="Y313" s="60">
        <f>IF(C313="","",IFERROR(INDEX('Saisie'!$AB$5:$AB$2004,_xlfn.MAXIFS('Saisie'!$AS$5:$AS$2004,'Saisie'!$C$5:$C$2004,C313,'Saisie'!$AB$5:$AB$2004,"&lt;&gt;")-4),""))</f>
        <v/>
      </c>
      <c r="Z313" s="60">
        <f>IF(C313="","",IFERROR(INDEX('Saisie'!$AC$5:$AC$2004,_xlfn.MAXIFS('Saisie'!$AS$5:$AS$2004,'Saisie'!$C$5:$C$2004,C313,'Saisie'!$AC$5:$AC$2004,"&lt;&gt;")-4),""))</f>
        <v/>
      </c>
      <c r="AA313" s="106">
        <f>IF(C313="","",IFERROR(INDEX('Saisie'!$AD$5:$AD$2004,_xlfn.MAXIFS('Saisie'!$AS$5:$AS$2004,'Saisie'!$C$5:$C$2004,C313,'Saisie'!$AD$5:$AD$2004,"&lt;&gt;")-4),""))</f>
        <v/>
      </c>
      <c r="AB313" s="60">
        <f>IF(C313="","",IFERROR(INDEX('Saisie'!$AE$5:$AE$2004,_xlfn.MAXIFS('Saisie'!$AS$5:$AS$2004,'Saisie'!$C$5:$C$2004,C313,'Saisie'!$AE$5:$AE$2004,"&lt;&gt;")-4),""))</f>
        <v/>
      </c>
      <c r="AC313" s="60">
        <f>IF(C313="","",IFERROR(INDEX('Saisie'!$AF$5:$AF$2004,_xlfn.MAXIFS('Saisie'!$AS$5:$AS$2004,'Saisie'!$C$5:$C$2004,C313,'Saisie'!$AF$5:$AF$2004,"&lt;&gt;")-4),""))</f>
        <v/>
      </c>
      <c r="AD313" s="108">
        <f>IF(C313="","",IFERROR(INDEX('Saisie'!$AG$5:$AG$2004,_xlfn.MAXIFS('Saisie'!$AS$5:$AS$2004,'Saisie'!$C$5:$C$2004,C313,'Saisie'!$AG$5:$AG$2004,"&lt;&gt;")-4),""))</f>
        <v/>
      </c>
      <c r="AE313" s="60">
        <f>IF(C313="","",IFERROR(INDEX('Saisie'!$AH$5:$AH$2004,_xlfn.MAXIFS('Saisie'!$AS$5:$AS$2004,'Saisie'!$C$5:$C$2004,C313,'Saisie'!$AH$5:$AH$2004,"&lt;&gt;")-4),""))</f>
        <v/>
      </c>
      <c r="AF313" s="60">
        <f>IF(C313="","",IFERROR(INDEX('Saisie'!$AI$5:$AI$2004,_xlfn.MAXIFS('Saisie'!$AS$5:$AS$2004,'Saisie'!$C$5:$C$2004,C313,'Saisie'!$AI$5:$AI$2004,"&lt;&gt;")-4),""))</f>
        <v/>
      </c>
      <c r="AG313" s="60">
        <f>IF(C313="","",IFERROR(INDEX('Saisie'!$AJ$5:$AJ$2004,_xlfn.MAXIFS('Saisie'!$AS$5:$AS$2004,'Saisie'!$C$5:$C$2004,C313,'Saisie'!$AJ$5:$AJ$2004,"&lt;&gt;")-4),""))</f>
        <v/>
      </c>
      <c r="AH313" s="60">
        <f>IF(C313="","",IFERROR(INDEX('Saisie'!$AK$5:$AK$2004,_xlfn.MAXIFS('Saisie'!$AS$5:$AS$2004,'Saisie'!$C$5:$C$2004,C313,'Saisie'!$AK$5:$AK$2004,"&lt;&gt;")-4),""))</f>
        <v/>
      </c>
      <c r="AI313" s="60">
        <f>IF(C313="","",IFERROR(INDEX('Saisie'!$AN$5:$AN$2004,_xlfn.MAXIFS('Saisie'!$AS$5:$AS$2004,'Saisie'!$C$5:$C$2004,C313,'Saisie'!$AN$5:$AN$2004,"&lt;&gt;")-4),""))</f>
        <v/>
      </c>
      <c r="AJ313" s="60">
        <f>IF(C313="","",IFERROR(INDEX('Saisie'!$AO$5:$AO$2004,_xlfn.MAXIFS('Saisie'!$AS$5:$AS$2004,'Saisie'!$C$5:$C$2004,C313,'Saisie'!$AO$5:$AO$2004,"&lt;&gt;")-4),""))</f>
        <v/>
      </c>
      <c r="AK313" s="60">
        <f>IF(C313="","",IFERROR(INDEX('Saisie'!$AP$5:$AP$2004,_xlfn.MAXIFS('Saisie'!$AS$5:$AS$2004,'Saisie'!$C$5:$C$2004,C313,'Saisie'!$AP$5:$AP$2004,"&lt;&gt;")-4),""))</f>
        <v/>
      </c>
      <c r="AL313" s="60">
        <f>IF(C313="","",IFERROR(INDEX('Saisie'!$AQ$5:$AQ$2004,_xlfn.MAXIFS('Saisie'!$AS$5:$AS$2004,'Saisie'!$C$5:$C$2004,C313,'Saisie'!$AQ$5:$AQ$2004,"&lt;&gt;")-4),""))</f>
        <v/>
      </c>
      <c r="AM313" s="60">
        <f>IF(C313="","",((AI313="Oui")+(AJ313="Oui")+(AK313="Oui")+OR(AL313="Immédiat",AL313="&lt; 1 mois"))&amp;"/4")</f>
        <v/>
      </c>
      <c r="AN313" s="60">
        <f>IF(C313="","",IFERROR(INDEX('Saisie'!$AL$5:$AL$2004,_xlfn.MAXIFS('Saisie'!$AS$5:$AS$2004,'Saisie'!$C$5:$C$2004,C313,'Saisie'!$AL$5:$AL$2004,"&lt;&gt;")-4),""))</f>
        <v/>
      </c>
      <c r="AO313" s="62">
        <f>IF(C313="","",IF(IFERROR(INDEX('Saisie'!$AM$5:$AM$2004,_xlfn.MAXIFS('Saisie'!$AS$5:$AS$2004,'Saisie'!$C$5:$C$2004,C313,'Saisie'!$AM$5:$AM$2004,"&lt;&gt;")-4),"")&lt;&gt;"",IFERROR(INDEX('Saisie'!$AM$5:$AM$2004,_xlfn.MAXIFS('Saisie'!$AS$5:$AS$2004,'Saisie'!$C$5:$C$2004,C313,'Saisie'!$AM$5:$AM$2004,"&lt;&gt;")-4),""),IFERROR(INDEX('Paramètres'!$S$6:$S$15,MATCH(AN313,'Paramètres'!$Q$6:$Q$15,0)),"")))</f>
        <v/>
      </c>
      <c r="AP313" s="62">
        <f>IF(C313="","",IFERROR(INDEX('Saisie'!$AW$5:$AW$2004,_xlfn.MAXIFS('Saisie'!$AS$5:$AS$2004,'Saisie'!$C$5:$C$2004,C313,'Saisie'!$E$5:$E$2004,"Proposition envoyée")-4),""))</f>
        <v/>
      </c>
      <c r="AQ313" s="106">
        <f>IF(C313="","",IFERROR(1/(1/_xlfn.MAXIFS('Saisie'!$A$5:$A$2004,'Saisie'!$C$5:$C$2004,C313,'Saisie'!$E$5:$E$2004,"Proposition envoyée")),""))</f>
        <v/>
      </c>
      <c r="AR313" s="106">
        <f>IF(C313="","",IF(AQ313="","",AQ313+'Paramètres'!$B$26))</f>
        <v/>
      </c>
      <c r="AS313" s="62">
        <f>IF(OR(C313="",D313="Gagné",D313="Perdu"),0,N(AP313)*IFERROR(INDEX('Paramètres'!$G$6:$G$13,MATCH(D313,'Paramètres'!$F$6:$F$13,0)),0))</f>
        <v/>
      </c>
      <c r="AT313" s="106">
        <f>IF(C313="","",IFERROR(1/(1/_xlfn.MINIFS('Saisie'!$A$5:$A$2004,'Saisie'!$C$5:$C$2004,C313,'Saisie'!$E$5:$E$2004,"Signature")),""))</f>
        <v/>
      </c>
      <c r="AU313" s="60">
        <f>IF(C313="","",IF(OR(AT313="",B313=""),"",AT313-B313))</f>
        <v/>
      </c>
      <c r="AV313" s="60">
        <f>IF(C313="","",IFERROR(INDEX('Saisie'!$L$5:$L$2004,_xlfn.MAXIFS('Saisie'!$AS$5:$AS$2004,'Saisie'!$C$5:$C$2004,C313,'Saisie'!$L$5:$L$2004,"&lt;&gt;")-4),""))</f>
        <v/>
      </c>
      <c r="AW313" s="106">
        <f>IF(C313="","",IF(D313&lt;&gt;"Perdu","",IFERROR(1/(1/_xlfn.MAXIFS('Saisie'!$A$5:$A$2004,'Saisie'!$C$5:$C$2004,C313,'Saisie'!$E$5:$E$2004,"Perdu")),"")))</f>
        <v/>
      </c>
      <c r="AX313" s="106">
        <f>IF(C313="","",IF(AW313="","",AW313+'Paramètres'!$B$28))</f>
        <v/>
      </c>
      <c r="AY313" s="60">
        <f>IF(C313="","",SUMIFS('Saisie'!$H$5:$H$2004,'Saisie'!$C$5:$C$2004,C313))</f>
        <v/>
      </c>
      <c r="AZ313" s="60">
        <f>IF(C313="","",IFERROR(INDEX('Paramètres'!$W$6:$W$20,MATCH(S313,'Paramètres'!$V$6:$V$20,0))&amp;"",""))</f>
        <v/>
      </c>
      <c r="BA313" s="60">
        <f>IF(C313="","",MAX(1,_xlfn.MAXIFS('Saisie'!$AT$5:$AT$2004,'Saisie'!$C$5:$C$2004,C313)))</f>
        <v/>
      </c>
      <c r="BB313" s="60">
        <f>IF(C313="","",IFERROR(INDEX('Saisie'!$X$5:$X$2004,_xlfn.MAXIFS('Saisie'!$AS$5:$AS$2004,'Saisie'!$C$5:$C$2004,C313,'Saisie'!$X$5:$X$2004,"&lt;&gt;")-4),""))</f>
        <v/>
      </c>
      <c r="BC313" s="60">
        <f>IF(C313="","",IFERROR(INDEX('Saisie'!$Y$5:$Y$2004,_xlfn.MAXIFS('Saisie'!$AS$5:$AS$2004,'Saisie'!$C$5:$C$2004,C313,'Saisie'!$Y$5:$Y$2004,"&lt;&gt;")-4),""))</f>
        <v/>
      </c>
      <c r="BD313" s="106">
        <f>IF(C313="","",IFERROR(1/(1/_xlfn.MINIFS('Saisie'!$A$5:$A$2004,'Saisie'!$C$5:$C$2004,C313,'Saisie'!$AT$5:$AT$2004,"&gt;=2")),""))</f>
        <v/>
      </c>
      <c r="BE313" s="106">
        <f>IF(C313="","",IFERROR(1/(1/_xlfn.MINIFS('Saisie'!$A$5:$A$2004,'Saisie'!$C$5:$C$2004,C313,'Saisie'!$AT$5:$AT$2004,"&gt;=3")),""))</f>
        <v/>
      </c>
      <c r="BF313" s="106">
        <f>IF(C313="","",IFERROR(1/(1/_xlfn.MINIFS('Saisie'!$A$5:$A$2004,'Saisie'!$C$5:$C$2004,C313,'Saisie'!$AT$5:$AT$2004,"&gt;=4")),""))</f>
        <v/>
      </c>
      <c r="BG313" s="106">
        <f>IF(C313="","",IFERROR(1/(1/_xlfn.MINIFS('Saisie'!$A$5:$A$2004,'Saisie'!$C$5:$C$2004,C313,'Saisie'!$AT$5:$AT$2004,"&gt;=5")),""))</f>
        <v/>
      </c>
      <c r="BH313" s="106">
        <f>IF(C313="","",IFERROR(1/(1/_xlfn.MINIFS('Saisie'!$A$5:$A$2004,'Saisie'!$C$5:$C$2004,C313,'Saisie'!$AT$5:$AT$2004,"&gt;=6")),""))</f>
        <v/>
      </c>
      <c r="BI313" s="106">
        <f>IF(C313="","",IFERROR(1/(1/_xlfn.MINIFS('Saisie'!$A$5:$A$2004,'Saisie'!$C$5:$C$2004,C313,'Saisie'!$AT$5:$AT$2004,"&gt;=7")),""))</f>
        <v/>
      </c>
      <c r="BJ313" s="60">
        <f>IF(OR(BD313="",B313=""),"",BD313-B313)</f>
        <v/>
      </c>
      <c r="BK313" s="60">
        <f>IF(OR(BE313="",BD313=""),"",BE313-BD313)</f>
        <v/>
      </c>
      <c r="BL313" s="60">
        <f>IF(OR(BF313="",BE313=""),"",BF313-BE313)</f>
        <v/>
      </c>
      <c r="BM313" s="60">
        <f>IF(OR(BG313="",BF313=""),"",BG313-BF313)</f>
        <v/>
      </c>
      <c r="BN313" s="60">
        <f>IF(OR(BH313="",BG313=""),"",BH313-BG313)</f>
        <v/>
      </c>
      <c r="BO313" s="60">
        <f>IF(OR(BI313="",BH313=""),"",BI313-BH313)</f>
        <v/>
      </c>
      <c r="BP313" s="60">
        <f>IF(C313="","",_xlfn.MAXIFS('Saisie'!$AS$5:$AS$2004,'Saisie'!$C$5:$C$2004,C313,'Saisie'!$J$5:$J$2004,"&lt;&gt;"))</f>
        <v/>
      </c>
      <c r="BQ313" s="60">
        <f>IF(C313="","",_xlfn.MAXIFS('Saisie'!$AS$5:$AS$2004,'Saisie'!$C$5:$C$2004,C313))</f>
        <v/>
      </c>
      <c r="BR313" s="60">
        <f>IF(C313="","",_xlfn.MAXIFS('Saisie'!$AS$5:$AS$2004,'Saisie'!$C$5:$C$2004,C313,'Saisie'!$E$5:$E$2004,"Perdu"))</f>
        <v/>
      </c>
      <c r="BS313" s="60">
        <f>IF(C313="","",_xlfn.MAXIFS('Saisie'!$AS$5:$AS$2004,'Saisie'!$C$5:$C$2004,C313,'Saisie'!$AT$5:$AT$2004,"&gt;0"))</f>
        <v/>
      </c>
      <c r="BT313" s="109">
        <f>IF(AND(C313&lt;&gt;"",OR(D313="Nouveau",D313="Contacté",D313="Qualifié"),OR(G313="",N(G313)&lt;=TODAY()),NOT(AND(O313&gt;='Paramètres'!$B$21,P313=0))),E313+309/10000,"")</f>
        <v/>
      </c>
      <c r="BU313" s="60">
        <f>IF(AND(G313&lt;&gt;"",N(G313)&lt;=TODAY()),MAX($BU$4:BU312)+1,"")</f>
        <v/>
      </c>
      <c r="BV313" s="60">
        <f>IF(AND(F313&lt;&gt;"",F313&lt;&gt;"Relance en retard"),MAX($BV$4:BV312)+1,"")</f>
        <v/>
      </c>
      <c r="BW313" s="60">
        <f>IF(C313="","",IF(AND(B313&gt;='Tableau de bord'!$R$4,B313&lt;='Tableau de bord'!$S$4,OR('Tableau de bord'!$G$4="Tous",N313='Tableau de bord'!$G$4)),1,0))</f>
        <v/>
      </c>
      <c r="BX313" s="60">
        <f>IF(AND(C313&lt;&gt;"",N(BA313)=7),MAX($BX$4:BX312)+1,"")</f>
        <v/>
      </c>
    </row>
    <row r="314">
      <c r="A314" s="60">
        <f>IF(C314="","","P-"&amp;TEXT(310,"000"))</f>
        <v/>
      </c>
      <c r="B314" s="106">
        <f>IF(C314="","",IFERROR(1/(1/_xlfn.MINIFS('Saisie'!$A$5:$A$2004,'Saisie'!$C$5:$C$2004,C314)),""))</f>
        <v/>
      </c>
      <c r="C314" s="60">
        <f>IFERROR(INDEX('Saisie'!$C$5:$C$2004,MATCH(310,'Saisie'!$AX$5:$AX$2004,0)),"")</f>
        <v/>
      </c>
      <c r="D314" s="60">
        <f>IF(C314="","",IF(AND(BR314&gt;0,BR314&gt;BS314,BA314&lt;7),"Perdu",INDEX('Paramètres'!$F$6:$F$13,BA314)))</f>
        <v/>
      </c>
      <c r="E314" s="61">
        <f>IF(C314="","",MIN(100,(Z314="Oui")*'Paramètres'!$B$38+(AB314="Régulière")*'Paramètres'!$B$39+IF(AND(N(AA314)&gt;0,TODAY()-N(AA314)&lt;=30),'Paramètres'!$B$40,0)+(W314="")*'Paramètres'!$B$41+(AC314="Absente")*'Paramètres'!$B$42+(AC314="Faible")*'Paramètres'!$B$43+IF(AND(N(AD314)&gt;0,N(AD314)&lt;4),'Paramètres'!$B$44,0)+(AF314="Moyenne")*'Paramètres'!$B$45+(AF314="Grande")*'Paramètres'!$B$46+(Y314&lt;&gt;"")*'Paramètres'!$B$47))</f>
        <v/>
      </c>
      <c r="F314" s="60">
        <f>IF(C314="","",IF(D314="Gagné","",IF(D314="Perdu",IF(AND(AX314&lt;&gt;"",AX314&lt;=TODAY()),"À recontacter (perdu)",""),IF(AND(O314&gt;='Paramètres'!$B$21,P314=0),"Stop : "&amp;'Paramètres'!$B$21&amp;" tentatives sans réponse",IF(AND(D314="Proposition",AR314&lt;&gt;"",TODAY()&gt;N(AR314)),"Proposition expirée",IF(AND(D314="Proposition",N(R314)&gt;='Paramètres'!$B$25),"Proposition sans réponse",IF(AND(G314&lt;&gt;"",N(G314)&lt;TODAY()),"Relance en retard",IF(N(R314)&gt;='Paramètres'!$B$24,"Sans action depuis "&amp;R314&amp;" j",""))))))))</f>
        <v/>
      </c>
      <c r="G314" s="106">
        <f>IF(OR(C314="",D314="Gagné",D314="Perdu"),"",IF(AND(BP314&gt;0,BP314=BQ314),INDEX('Saisie'!$J$5:$J$2004,BP314-4),IF(OR(O314=0,AND(O314&gt;='Paramètres'!$B$21,P314=0)),"",Q314+IF(O314&lt;=1,'Paramètres'!$B$18,IF(O314=2,'Paramètres'!$B$19,'Paramètres'!$B$20)))))</f>
        <v/>
      </c>
      <c r="H314" s="107">
        <f>IF(OR(G314="",BP314&lt;&gt;BQ314),"",IF(INDEX('Saisie'!$K$5:$K$2004,BP314-4)="","",INDEX('Saisie'!$K$5:$K$2004,BP314-4)))</f>
        <v/>
      </c>
      <c r="I314" s="60">
        <f>IF(C314="","",IF(OR(D314="Gagné",D314="Perdu"),"",IFERROR(INDEX('Saisie'!$I$5:$I$2004,_xlfn.MAXIFS('Saisie'!$AS$5:$AS$2004,'Saisie'!$C$5:$C$2004,C314,'Saisie'!$I$5:$I$2004,"&lt;&gt;")-4),"")))</f>
        <v/>
      </c>
      <c r="J314" s="60">
        <f>IF(C314="","",IFERROR(INDEX('Saisie'!$U$5:$U$2004,_xlfn.MAXIFS('Saisie'!$AS$5:$AS$2004,'Saisie'!$C$5:$C$2004,C314,'Saisie'!$U$5:$U$2004,"&lt;&gt;")-4),""))</f>
        <v/>
      </c>
      <c r="K314" s="60">
        <f>IF(C314="","",IFERROR(INDEX('Saisie'!$W$5:$W$2004,_xlfn.MAXIFS('Saisie'!$AS$5:$AS$2004,'Saisie'!$C$5:$C$2004,C314,'Saisie'!$W$5:$W$2004,"&lt;&gt;")-4),""))</f>
        <v/>
      </c>
      <c r="L314" s="60">
        <f>IF(IF(BB314&lt;&gt;"",BB314,K314)="","",HYPERLINK("https://wa.me/"&amp;IF(LEFT(SUBSTITUTE(SUBSTITUTE(SUBSTITUTE(IF(BB314&lt;&gt;"",BB314,K314)," ",""),".",""),"+",""),1)="0",'Paramètres'!$B$35&amp;MID(SUBSTITUTE(SUBSTITUTE(SUBSTITUTE(IF(BB314&lt;&gt;"",BB314,K314)," ",""),".",""),"+",""),2,20),SUBSTITUTE(SUBSTITUTE(SUBSTITUTE(IF(BB314&lt;&gt;"",BB314,K314)," ",""),".",""),"+","")),"WhatsApp"))</f>
        <v/>
      </c>
      <c r="M314" s="60">
        <f>IF(BC314="","",HYPERLINK(IF(LEFT(BC314,4)="http",BC314,"https://www.instagram.com/"&amp;SUBSTITUTE(SUBSTITUTE(BC314,"@","")," ","")),BC314))</f>
        <v/>
      </c>
      <c r="N314" s="60">
        <f>IF(C314="","",IFERROR(INDEX('Saisie'!$D$5:$D$2004,_xlfn.MINIFS('Saisie'!$AS$5:$AS$2004,'Saisie'!$C$5:$C$2004,C314,'Saisie'!$AU$5:$AU$2004,1)-4),IFERROR(INDEX('Saisie'!$D$5:$D$2004,_xlfn.MINIFS('Saisie'!$AS$5:$AS$2004,'Saisie'!$C$5:$C$2004,C314,'Saisie'!$D$5:$D$2004,"&lt;&gt;")-4),"")))</f>
        <v/>
      </c>
      <c r="O314" s="60">
        <f>IF(C314="","",COUNTIFS('Saisie'!$C$5:$C$2004,C314,'Saisie'!$AU$5:$AU$2004,1))</f>
        <v/>
      </c>
      <c r="P314" s="60">
        <f>IF(C314="","",COUNTIFS('Saisie'!$C$5:$C$2004,C314,'Saisie'!$AV$5:$AV$2004,1))</f>
        <v/>
      </c>
      <c r="Q314" s="106">
        <f>IF(C314="","",IFERROR(1/(1/_xlfn.MAXIFS('Saisie'!$A$5:$A$2004,'Saisie'!$C$5:$C$2004,C314)),""))</f>
        <v/>
      </c>
      <c r="R314" s="61">
        <f>IF(C314="","",IF(Q314="","",TODAY()-Q314))</f>
        <v/>
      </c>
      <c r="S314" s="60">
        <f>IF(C314="","",IFERROR(INDEX('Saisie'!$R$5:$R$2004,_xlfn.MAXIFS('Saisie'!$AS$5:$AS$2004,'Saisie'!$C$5:$C$2004,C314,'Saisie'!$R$5:$R$2004,"&lt;&gt;")-4),""))</f>
        <v/>
      </c>
      <c r="T314" s="60">
        <f>IF(C314="","",IFERROR(INDEX('Saisie'!$S$5:$S$2004,_xlfn.MAXIFS('Saisie'!$AS$5:$AS$2004,'Saisie'!$C$5:$C$2004,C314,'Saisie'!$S$5:$S$2004,"&lt;&gt;")-4),""))</f>
        <v/>
      </c>
      <c r="U314" s="60">
        <f>IF(C314="","",IFERROR(INDEX('Saisie'!$T$5:$T$2004,_xlfn.MAXIFS('Saisie'!$AS$5:$AS$2004,'Saisie'!$C$5:$C$2004,C314,'Saisie'!$T$5:$T$2004,"&lt;&gt;")-4),""))</f>
        <v/>
      </c>
      <c r="V314" s="60">
        <f>IF(C314="","",IFERROR(INDEX('Saisie'!$V$5:$V$2004,_xlfn.MAXIFS('Saisie'!$AS$5:$AS$2004,'Saisie'!$C$5:$C$2004,C314,'Saisie'!$V$5:$V$2004,"&lt;&gt;")-4),""))</f>
        <v/>
      </c>
      <c r="W314" s="60">
        <f>IF(C314="","",IFERROR(INDEX('Saisie'!$Z$5:$Z$2004,_xlfn.MAXIFS('Saisie'!$AS$5:$AS$2004,'Saisie'!$C$5:$C$2004,C314,'Saisie'!$Z$5:$Z$2004,"&lt;&gt;")-4),""))</f>
        <v/>
      </c>
      <c r="X314" s="60">
        <f>IF(C314="","",IFERROR(INDEX('Saisie'!$AA$5:$AA$2004,_xlfn.MAXIFS('Saisie'!$AS$5:$AS$2004,'Saisie'!$C$5:$C$2004,C314,'Saisie'!$AA$5:$AA$2004,"&lt;&gt;")-4),""))</f>
        <v/>
      </c>
      <c r="Y314" s="60">
        <f>IF(C314="","",IFERROR(INDEX('Saisie'!$AB$5:$AB$2004,_xlfn.MAXIFS('Saisie'!$AS$5:$AS$2004,'Saisie'!$C$5:$C$2004,C314,'Saisie'!$AB$5:$AB$2004,"&lt;&gt;")-4),""))</f>
        <v/>
      </c>
      <c r="Z314" s="60">
        <f>IF(C314="","",IFERROR(INDEX('Saisie'!$AC$5:$AC$2004,_xlfn.MAXIFS('Saisie'!$AS$5:$AS$2004,'Saisie'!$C$5:$C$2004,C314,'Saisie'!$AC$5:$AC$2004,"&lt;&gt;")-4),""))</f>
        <v/>
      </c>
      <c r="AA314" s="106">
        <f>IF(C314="","",IFERROR(INDEX('Saisie'!$AD$5:$AD$2004,_xlfn.MAXIFS('Saisie'!$AS$5:$AS$2004,'Saisie'!$C$5:$C$2004,C314,'Saisie'!$AD$5:$AD$2004,"&lt;&gt;")-4),""))</f>
        <v/>
      </c>
      <c r="AB314" s="60">
        <f>IF(C314="","",IFERROR(INDEX('Saisie'!$AE$5:$AE$2004,_xlfn.MAXIFS('Saisie'!$AS$5:$AS$2004,'Saisie'!$C$5:$C$2004,C314,'Saisie'!$AE$5:$AE$2004,"&lt;&gt;")-4),""))</f>
        <v/>
      </c>
      <c r="AC314" s="60">
        <f>IF(C314="","",IFERROR(INDEX('Saisie'!$AF$5:$AF$2004,_xlfn.MAXIFS('Saisie'!$AS$5:$AS$2004,'Saisie'!$C$5:$C$2004,C314,'Saisie'!$AF$5:$AF$2004,"&lt;&gt;")-4),""))</f>
        <v/>
      </c>
      <c r="AD314" s="108">
        <f>IF(C314="","",IFERROR(INDEX('Saisie'!$AG$5:$AG$2004,_xlfn.MAXIFS('Saisie'!$AS$5:$AS$2004,'Saisie'!$C$5:$C$2004,C314,'Saisie'!$AG$5:$AG$2004,"&lt;&gt;")-4),""))</f>
        <v/>
      </c>
      <c r="AE314" s="60">
        <f>IF(C314="","",IFERROR(INDEX('Saisie'!$AH$5:$AH$2004,_xlfn.MAXIFS('Saisie'!$AS$5:$AS$2004,'Saisie'!$C$5:$C$2004,C314,'Saisie'!$AH$5:$AH$2004,"&lt;&gt;")-4),""))</f>
        <v/>
      </c>
      <c r="AF314" s="60">
        <f>IF(C314="","",IFERROR(INDEX('Saisie'!$AI$5:$AI$2004,_xlfn.MAXIFS('Saisie'!$AS$5:$AS$2004,'Saisie'!$C$5:$C$2004,C314,'Saisie'!$AI$5:$AI$2004,"&lt;&gt;")-4),""))</f>
        <v/>
      </c>
      <c r="AG314" s="60">
        <f>IF(C314="","",IFERROR(INDEX('Saisie'!$AJ$5:$AJ$2004,_xlfn.MAXIFS('Saisie'!$AS$5:$AS$2004,'Saisie'!$C$5:$C$2004,C314,'Saisie'!$AJ$5:$AJ$2004,"&lt;&gt;")-4),""))</f>
        <v/>
      </c>
      <c r="AH314" s="60">
        <f>IF(C314="","",IFERROR(INDEX('Saisie'!$AK$5:$AK$2004,_xlfn.MAXIFS('Saisie'!$AS$5:$AS$2004,'Saisie'!$C$5:$C$2004,C314,'Saisie'!$AK$5:$AK$2004,"&lt;&gt;")-4),""))</f>
        <v/>
      </c>
      <c r="AI314" s="60">
        <f>IF(C314="","",IFERROR(INDEX('Saisie'!$AN$5:$AN$2004,_xlfn.MAXIFS('Saisie'!$AS$5:$AS$2004,'Saisie'!$C$5:$C$2004,C314,'Saisie'!$AN$5:$AN$2004,"&lt;&gt;")-4),""))</f>
        <v/>
      </c>
      <c r="AJ314" s="60">
        <f>IF(C314="","",IFERROR(INDEX('Saisie'!$AO$5:$AO$2004,_xlfn.MAXIFS('Saisie'!$AS$5:$AS$2004,'Saisie'!$C$5:$C$2004,C314,'Saisie'!$AO$5:$AO$2004,"&lt;&gt;")-4),""))</f>
        <v/>
      </c>
      <c r="AK314" s="60">
        <f>IF(C314="","",IFERROR(INDEX('Saisie'!$AP$5:$AP$2004,_xlfn.MAXIFS('Saisie'!$AS$5:$AS$2004,'Saisie'!$C$5:$C$2004,C314,'Saisie'!$AP$5:$AP$2004,"&lt;&gt;")-4),""))</f>
        <v/>
      </c>
      <c r="AL314" s="60">
        <f>IF(C314="","",IFERROR(INDEX('Saisie'!$AQ$5:$AQ$2004,_xlfn.MAXIFS('Saisie'!$AS$5:$AS$2004,'Saisie'!$C$5:$C$2004,C314,'Saisie'!$AQ$5:$AQ$2004,"&lt;&gt;")-4),""))</f>
        <v/>
      </c>
      <c r="AM314" s="60">
        <f>IF(C314="","",((AI314="Oui")+(AJ314="Oui")+(AK314="Oui")+OR(AL314="Immédiat",AL314="&lt; 1 mois"))&amp;"/4")</f>
        <v/>
      </c>
      <c r="AN314" s="60">
        <f>IF(C314="","",IFERROR(INDEX('Saisie'!$AL$5:$AL$2004,_xlfn.MAXIFS('Saisie'!$AS$5:$AS$2004,'Saisie'!$C$5:$C$2004,C314,'Saisie'!$AL$5:$AL$2004,"&lt;&gt;")-4),""))</f>
        <v/>
      </c>
      <c r="AO314" s="62">
        <f>IF(C314="","",IF(IFERROR(INDEX('Saisie'!$AM$5:$AM$2004,_xlfn.MAXIFS('Saisie'!$AS$5:$AS$2004,'Saisie'!$C$5:$C$2004,C314,'Saisie'!$AM$5:$AM$2004,"&lt;&gt;")-4),"")&lt;&gt;"",IFERROR(INDEX('Saisie'!$AM$5:$AM$2004,_xlfn.MAXIFS('Saisie'!$AS$5:$AS$2004,'Saisie'!$C$5:$C$2004,C314,'Saisie'!$AM$5:$AM$2004,"&lt;&gt;")-4),""),IFERROR(INDEX('Paramètres'!$S$6:$S$15,MATCH(AN314,'Paramètres'!$Q$6:$Q$15,0)),"")))</f>
        <v/>
      </c>
      <c r="AP314" s="62">
        <f>IF(C314="","",IFERROR(INDEX('Saisie'!$AW$5:$AW$2004,_xlfn.MAXIFS('Saisie'!$AS$5:$AS$2004,'Saisie'!$C$5:$C$2004,C314,'Saisie'!$E$5:$E$2004,"Proposition envoyée")-4),""))</f>
        <v/>
      </c>
      <c r="AQ314" s="106">
        <f>IF(C314="","",IFERROR(1/(1/_xlfn.MAXIFS('Saisie'!$A$5:$A$2004,'Saisie'!$C$5:$C$2004,C314,'Saisie'!$E$5:$E$2004,"Proposition envoyée")),""))</f>
        <v/>
      </c>
      <c r="AR314" s="106">
        <f>IF(C314="","",IF(AQ314="","",AQ314+'Paramètres'!$B$26))</f>
        <v/>
      </c>
      <c r="AS314" s="62">
        <f>IF(OR(C314="",D314="Gagné",D314="Perdu"),0,N(AP314)*IFERROR(INDEX('Paramètres'!$G$6:$G$13,MATCH(D314,'Paramètres'!$F$6:$F$13,0)),0))</f>
        <v/>
      </c>
      <c r="AT314" s="106">
        <f>IF(C314="","",IFERROR(1/(1/_xlfn.MINIFS('Saisie'!$A$5:$A$2004,'Saisie'!$C$5:$C$2004,C314,'Saisie'!$E$5:$E$2004,"Signature")),""))</f>
        <v/>
      </c>
      <c r="AU314" s="60">
        <f>IF(C314="","",IF(OR(AT314="",B314=""),"",AT314-B314))</f>
        <v/>
      </c>
      <c r="AV314" s="60">
        <f>IF(C314="","",IFERROR(INDEX('Saisie'!$L$5:$L$2004,_xlfn.MAXIFS('Saisie'!$AS$5:$AS$2004,'Saisie'!$C$5:$C$2004,C314,'Saisie'!$L$5:$L$2004,"&lt;&gt;")-4),""))</f>
        <v/>
      </c>
      <c r="AW314" s="106">
        <f>IF(C314="","",IF(D314&lt;&gt;"Perdu","",IFERROR(1/(1/_xlfn.MAXIFS('Saisie'!$A$5:$A$2004,'Saisie'!$C$5:$C$2004,C314,'Saisie'!$E$5:$E$2004,"Perdu")),"")))</f>
        <v/>
      </c>
      <c r="AX314" s="106">
        <f>IF(C314="","",IF(AW314="","",AW314+'Paramètres'!$B$28))</f>
        <v/>
      </c>
      <c r="AY314" s="60">
        <f>IF(C314="","",SUMIFS('Saisie'!$H$5:$H$2004,'Saisie'!$C$5:$C$2004,C314))</f>
        <v/>
      </c>
      <c r="AZ314" s="60">
        <f>IF(C314="","",IFERROR(INDEX('Paramètres'!$W$6:$W$20,MATCH(S314,'Paramètres'!$V$6:$V$20,0))&amp;"",""))</f>
        <v/>
      </c>
      <c r="BA314" s="60">
        <f>IF(C314="","",MAX(1,_xlfn.MAXIFS('Saisie'!$AT$5:$AT$2004,'Saisie'!$C$5:$C$2004,C314)))</f>
        <v/>
      </c>
      <c r="BB314" s="60">
        <f>IF(C314="","",IFERROR(INDEX('Saisie'!$X$5:$X$2004,_xlfn.MAXIFS('Saisie'!$AS$5:$AS$2004,'Saisie'!$C$5:$C$2004,C314,'Saisie'!$X$5:$X$2004,"&lt;&gt;")-4),""))</f>
        <v/>
      </c>
      <c r="BC314" s="60">
        <f>IF(C314="","",IFERROR(INDEX('Saisie'!$Y$5:$Y$2004,_xlfn.MAXIFS('Saisie'!$AS$5:$AS$2004,'Saisie'!$C$5:$C$2004,C314,'Saisie'!$Y$5:$Y$2004,"&lt;&gt;")-4),""))</f>
        <v/>
      </c>
      <c r="BD314" s="106">
        <f>IF(C314="","",IFERROR(1/(1/_xlfn.MINIFS('Saisie'!$A$5:$A$2004,'Saisie'!$C$5:$C$2004,C314,'Saisie'!$AT$5:$AT$2004,"&gt;=2")),""))</f>
        <v/>
      </c>
      <c r="BE314" s="106">
        <f>IF(C314="","",IFERROR(1/(1/_xlfn.MINIFS('Saisie'!$A$5:$A$2004,'Saisie'!$C$5:$C$2004,C314,'Saisie'!$AT$5:$AT$2004,"&gt;=3")),""))</f>
        <v/>
      </c>
      <c r="BF314" s="106">
        <f>IF(C314="","",IFERROR(1/(1/_xlfn.MINIFS('Saisie'!$A$5:$A$2004,'Saisie'!$C$5:$C$2004,C314,'Saisie'!$AT$5:$AT$2004,"&gt;=4")),""))</f>
        <v/>
      </c>
      <c r="BG314" s="106">
        <f>IF(C314="","",IFERROR(1/(1/_xlfn.MINIFS('Saisie'!$A$5:$A$2004,'Saisie'!$C$5:$C$2004,C314,'Saisie'!$AT$5:$AT$2004,"&gt;=5")),""))</f>
        <v/>
      </c>
      <c r="BH314" s="106">
        <f>IF(C314="","",IFERROR(1/(1/_xlfn.MINIFS('Saisie'!$A$5:$A$2004,'Saisie'!$C$5:$C$2004,C314,'Saisie'!$AT$5:$AT$2004,"&gt;=6")),""))</f>
        <v/>
      </c>
      <c r="BI314" s="106">
        <f>IF(C314="","",IFERROR(1/(1/_xlfn.MINIFS('Saisie'!$A$5:$A$2004,'Saisie'!$C$5:$C$2004,C314,'Saisie'!$AT$5:$AT$2004,"&gt;=7")),""))</f>
        <v/>
      </c>
      <c r="BJ314" s="60">
        <f>IF(OR(BD314="",B314=""),"",BD314-B314)</f>
        <v/>
      </c>
      <c r="BK314" s="60">
        <f>IF(OR(BE314="",BD314=""),"",BE314-BD314)</f>
        <v/>
      </c>
      <c r="BL314" s="60">
        <f>IF(OR(BF314="",BE314=""),"",BF314-BE314)</f>
        <v/>
      </c>
      <c r="BM314" s="60">
        <f>IF(OR(BG314="",BF314=""),"",BG314-BF314)</f>
        <v/>
      </c>
      <c r="BN314" s="60">
        <f>IF(OR(BH314="",BG314=""),"",BH314-BG314)</f>
        <v/>
      </c>
      <c r="BO314" s="60">
        <f>IF(OR(BI314="",BH314=""),"",BI314-BH314)</f>
        <v/>
      </c>
      <c r="BP314" s="60">
        <f>IF(C314="","",_xlfn.MAXIFS('Saisie'!$AS$5:$AS$2004,'Saisie'!$C$5:$C$2004,C314,'Saisie'!$J$5:$J$2004,"&lt;&gt;"))</f>
        <v/>
      </c>
      <c r="BQ314" s="60">
        <f>IF(C314="","",_xlfn.MAXIFS('Saisie'!$AS$5:$AS$2004,'Saisie'!$C$5:$C$2004,C314))</f>
        <v/>
      </c>
      <c r="BR314" s="60">
        <f>IF(C314="","",_xlfn.MAXIFS('Saisie'!$AS$5:$AS$2004,'Saisie'!$C$5:$C$2004,C314,'Saisie'!$E$5:$E$2004,"Perdu"))</f>
        <v/>
      </c>
      <c r="BS314" s="60">
        <f>IF(C314="","",_xlfn.MAXIFS('Saisie'!$AS$5:$AS$2004,'Saisie'!$C$5:$C$2004,C314,'Saisie'!$AT$5:$AT$2004,"&gt;0"))</f>
        <v/>
      </c>
      <c r="BT314" s="109">
        <f>IF(AND(C314&lt;&gt;"",OR(D314="Nouveau",D314="Contacté",D314="Qualifié"),OR(G314="",N(G314)&lt;=TODAY()),NOT(AND(O314&gt;='Paramètres'!$B$21,P314=0))),E314+310/10000,"")</f>
        <v/>
      </c>
      <c r="BU314" s="60">
        <f>IF(AND(G314&lt;&gt;"",N(G314)&lt;=TODAY()),MAX($BU$4:BU313)+1,"")</f>
        <v/>
      </c>
      <c r="BV314" s="60">
        <f>IF(AND(F314&lt;&gt;"",F314&lt;&gt;"Relance en retard"),MAX($BV$4:BV313)+1,"")</f>
        <v/>
      </c>
      <c r="BW314" s="60">
        <f>IF(C314="","",IF(AND(B314&gt;='Tableau de bord'!$R$4,B314&lt;='Tableau de bord'!$S$4,OR('Tableau de bord'!$G$4="Tous",N314='Tableau de bord'!$G$4)),1,0))</f>
        <v/>
      </c>
      <c r="BX314" s="60">
        <f>IF(AND(C314&lt;&gt;"",N(BA314)=7),MAX($BX$4:BX313)+1,"")</f>
        <v/>
      </c>
    </row>
    <row r="315">
      <c r="A315" s="60">
        <f>IF(C315="","","P-"&amp;TEXT(311,"000"))</f>
        <v/>
      </c>
      <c r="B315" s="106">
        <f>IF(C315="","",IFERROR(1/(1/_xlfn.MINIFS('Saisie'!$A$5:$A$2004,'Saisie'!$C$5:$C$2004,C315)),""))</f>
        <v/>
      </c>
      <c r="C315" s="60">
        <f>IFERROR(INDEX('Saisie'!$C$5:$C$2004,MATCH(311,'Saisie'!$AX$5:$AX$2004,0)),"")</f>
        <v/>
      </c>
      <c r="D315" s="60">
        <f>IF(C315="","",IF(AND(BR315&gt;0,BR315&gt;BS315,BA315&lt;7),"Perdu",INDEX('Paramètres'!$F$6:$F$13,BA315)))</f>
        <v/>
      </c>
      <c r="E315" s="61">
        <f>IF(C315="","",MIN(100,(Z315="Oui")*'Paramètres'!$B$38+(AB315="Régulière")*'Paramètres'!$B$39+IF(AND(N(AA315)&gt;0,TODAY()-N(AA315)&lt;=30),'Paramètres'!$B$40,0)+(W315="")*'Paramètres'!$B$41+(AC315="Absente")*'Paramètres'!$B$42+(AC315="Faible")*'Paramètres'!$B$43+IF(AND(N(AD315)&gt;0,N(AD315)&lt;4),'Paramètres'!$B$44,0)+(AF315="Moyenne")*'Paramètres'!$B$45+(AF315="Grande")*'Paramètres'!$B$46+(Y315&lt;&gt;"")*'Paramètres'!$B$47))</f>
        <v/>
      </c>
      <c r="F315" s="60">
        <f>IF(C315="","",IF(D315="Gagné","",IF(D315="Perdu",IF(AND(AX315&lt;&gt;"",AX315&lt;=TODAY()),"À recontacter (perdu)",""),IF(AND(O315&gt;='Paramètres'!$B$21,P315=0),"Stop : "&amp;'Paramètres'!$B$21&amp;" tentatives sans réponse",IF(AND(D315="Proposition",AR315&lt;&gt;"",TODAY()&gt;N(AR315)),"Proposition expirée",IF(AND(D315="Proposition",N(R315)&gt;='Paramètres'!$B$25),"Proposition sans réponse",IF(AND(G315&lt;&gt;"",N(G315)&lt;TODAY()),"Relance en retard",IF(N(R315)&gt;='Paramètres'!$B$24,"Sans action depuis "&amp;R315&amp;" j",""))))))))</f>
        <v/>
      </c>
      <c r="G315" s="106">
        <f>IF(OR(C315="",D315="Gagné",D315="Perdu"),"",IF(AND(BP315&gt;0,BP315=BQ315),INDEX('Saisie'!$J$5:$J$2004,BP315-4),IF(OR(O315=0,AND(O315&gt;='Paramètres'!$B$21,P315=0)),"",Q315+IF(O315&lt;=1,'Paramètres'!$B$18,IF(O315=2,'Paramètres'!$B$19,'Paramètres'!$B$20)))))</f>
        <v/>
      </c>
      <c r="H315" s="107">
        <f>IF(OR(G315="",BP315&lt;&gt;BQ315),"",IF(INDEX('Saisie'!$K$5:$K$2004,BP315-4)="","",INDEX('Saisie'!$K$5:$K$2004,BP315-4)))</f>
        <v/>
      </c>
      <c r="I315" s="60">
        <f>IF(C315="","",IF(OR(D315="Gagné",D315="Perdu"),"",IFERROR(INDEX('Saisie'!$I$5:$I$2004,_xlfn.MAXIFS('Saisie'!$AS$5:$AS$2004,'Saisie'!$C$5:$C$2004,C315,'Saisie'!$I$5:$I$2004,"&lt;&gt;")-4),"")))</f>
        <v/>
      </c>
      <c r="J315" s="60">
        <f>IF(C315="","",IFERROR(INDEX('Saisie'!$U$5:$U$2004,_xlfn.MAXIFS('Saisie'!$AS$5:$AS$2004,'Saisie'!$C$5:$C$2004,C315,'Saisie'!$U$5:$U$2004,"&lt;&gt;")-4),""))</f>
        <v/>
      </c>
      <c r="K315" s="60">
        <f>IF(C315="","",IFERROR(INDEX('Saisie'!$W$5:$W$2004,_xlfn.MAXIFS('Saisie'!$AS$5:$AS$2004,'Saisie'!$C$5:$C$2004,C315,'Saisie'!$W$5:$W$2004,"&lt;&gt;")-4),""))</f>
        <v/>
      </c>
      <c r="L315" s="60">
        <f>IF(IF(BB315&lt;&gt;"",BB315,K315)="","",HYPERLINK("https://wa.me/"&amp;IF(LEFT(SUBSTITUTE(SUBSTITUTE(SUBSTITUTE(IF(BB315&lt;&gt;"",BB315,K315)," ",""),".",""),"+",""),1)="0",'Paramètres'!$B$35&amp;MID(SUBSTITUTE(SUBSTITUTE(SUBSTITUTE(IF(BB315&lt;&gt;"",BB315,K315)," ",""),".",""),"+",""),2,20),SUBSTITUTE(SUBSTITUTE(SUBSTITUTE(IF(BB315&lt;&gt;"",BB315,K315)," ",""),".",""),"+","")),"WhatsApp"))</f>
        <v/>
      </c>
      <c r="M315" s="60">
        <f>IF(BC315="","",HYPERLINK(IF(LEFT(BC315,4)="http",BC315,"https://www.instagram.com/"&amp;SUBSTITUTE(SUBSTITUTE(BC315,"@","")," ","")),BC315))</f>
        <v/>
      </c>
      <c r="N315" s="60">
        <f>IF(C315="","",IFERROR(INDEX('Saisie'!$D$5:$D$2004,_xlfn.MINIFS('Saisie'!$AS$5:$AS$2004,'Saisie'!$C$5:$C$2004,C315,'Saisie'!$AU$5:$AU$2004,1)-4),IFERROR(INDEX('Saisie'!$D$5:$D$2004,_xlfn.MINIFS('Saisie'!$AS$5:$AS$2004,'Saisie'!$C$5:$C$2004,C315,'Saisie'!$D$5:$D$2004,"&lt;&gt;")-4),"")))</f>
        <v/>
      </c>
      <c r="O315" s="60">
        <f>IF(C315="","",COUNTIFS('Saisie'!$C$5:$C$2004,C315,'Saisie'!$AU$5:$AU$2004,1))</f>
        <v/>
      </c>
      <c r="P315" s="60">
        <f>IF(C315="","",COUNTIFS('Saisie'!$C$5:$C$2004,C315,'Saisie'!$AV$5:$AV$2004,1))</f>
        <v/>
      </c>
      <c r="Q315" s="106">
        <f>IF(C315="","",IFERROR(1/(1/_xlfn.MAXIFS('Saisie'!$A$5:$A$2004,'Saisie'!$C$5:$C$2004,C315)),""))</f>
        <v/>
      </c>
      <c r="R315" s="61">
        <f>IF(C315="","",IF(Q315="","",TODAY()-Q315))</f>
        <v/>
      </c>
      <c r="S315" s="60">
        <f>IF(C315="","",IFERROR(INDEX('Saisie'!$R$5:$R$2004,_xlfn.MAXIFS('Saisie'!$AS$5:$AS$2004,'Saisie'!$C$5:$C$2004,C315,'Saisie'!$R$5:$R$2004,"&lt;&gt;")-4),""))</f>
        <v/>
      </c>
      <c r="T315" s="60">
        <f>IF(C315="","",IFERROR(INDEX('Saisie'!$S$5:$S$2004,_xlfn.MAXIFS('Saisie'!$AS$5:$AS$2004,'Saisie'!$C$5:$C$2004,C315,'Saisie'!$S$5:$S$2004,"&lt;&gt;")-4),""))</f>
        <v/>
      </c>
      <c r="U315" s="60">
        <f>IF(C315="","",IFERROR(INDEX('Saisie'!$T$5:$T$2004,_xlfn.MAXIFS('Saisie'!$AS$5:$AS$2004,'Saisie'!$C$5:$C$2004,C315,'Saisie'!$T$5:$T$2004,"&lt;&gt;")-4),""))</f>
        <v/>
      </c>
      <c r="V315" s="60">
        <f>IF(C315="","",IFERROR(INDEX('Saisie'!$V$5:$V$2004,_xlfn.MAXIFS('Saisie'!$AS$5:$AS$2004,'Saisie'!$C$5:$C$2004,C315,'Saisie'!$V$5:$V$2004,"&lt;&gt;")-4),""))</f>
        <v/>
      </c>
      <c r="W315" s="60">
        <f>IF(C315="","",IFERROR(INDEX('Saisie'!$Z$5:$Z$2004,_xlfn.MAXIFS('Saisie'!$AS$5:$AS$2004,'Saisie'!$C$5:$C$2004,C315,'Saisie'!$Z$5:$Z$2004,"&lt;&gt;")-4),""))</f>
        <v/>
      </c>
      <c r="X315" s="60">
        <f>IF(C315="","",IFERROR(INDEX('Saisie'!$AA$5:$AA$2004,_xlfn.MAXIFS('Saisie'!$AS$5:$AS$2004,'Saisie'!$C$5:$C$2004,C315,'Saisie'!$AA$5:$AA$2004,"&lt;&gt;")-4),""))</f>
        <v/>
      </c>
      <c r="Y315" s="60">
        <f>IF(C315="","",IFERROR(INDEX('Saisie'!$AB$5:$AB$2004,_xlfn.MAXIFS('Saisie'!$AS$5:$AS$2004,'Saisie'!$C$5:$C$2004,C315,'Saisie'!$AB$5:$AB$2004,"&lt;&gt;")-4),""))</f>
        <v/>
      </c>
      <c r="Z315" s="60">
        <f>IF(C315="","",IFERROR(INDEX('Saisie'!$AC$5:$AC$2004,_xlfn.MAXIFS('Saisie'!$AS$5:$AS$2004,'Saisie'!$C$5:$C$2004,C315,'Saisie'!$AC$5:$AC$2004,"&lt;&gt;")-4),""))</f>
        <v/>
      </c>
      <c r="AA315" s="106">
        <f>IF(C315="","",IFERROR(INDEX('Saisie'!$AD$5:$AD$2004,_xlfn.MAXIFS('Saisie'!$AS$5:$AS$2004,'Saisie'!$C$5:$C$2004,C315,'Saisie'!$AD$5:$AD$2004,"&lt;&gt;")-4),""))</f>
        <v/>
      </c>
      <c r="AB315" s="60">
        <f>IF(C315="","",IFERROR(INDEX('Saisie'!$AE$5:$AE$2004,_xlfn.MAXIFS('Saisie'!$AS$5:$AS$2004,'Saisie'!$C$5:$C$2004,C315,'Saisie'!$AE$5:$AE$2004,"&lt;&gt;")-4),""))</f>
        <v/>
      </c>
      <c r="AC315" s="60">
        <f>IF(C315="","",IFERROR(INDEX('Saisie'!$AF$5:$AF$2004,_xlfn.MAXIFS('Saisie'!$AS$5:$AS$2004,'Saisie'!$C$5:$C$2004,C315,'Saisie'!$AF$5:$AF$2004,"&lt;&gt;")-4),""))</f>
        <v/>
      </c>
      <c r="AD315" s="108">
        <f>IF(C315="","",IFERROR(INDEX('Saisie'!$AG$5:$AG$2004,_xlfn.MAXIFS('Saisie'!$AS$5:$AS$2004,'Saisie'!$C$5:$C$2004,C315,'Saisie'!$AG$5:$AG$2004,"&lt;&gt;")-4),""))</f>
        <v/>
      </c>
      <c r="AE315" s="60">
        <f>IF(C315="","",IFERROR(INDEX('Saisie'!$AH$5:$AH$2004,_xlfn.MAXIFS('Saisie'!$AS$5:$AS$2004,'Saisie'!$C$5:$C$2004,C315,'Saisie'!$AH$5:$AH$2004,"&lt;&gt;")-4),""))</f>
        <v/>
      </c>
      <c r="AF315" s="60">
        <f>IF(C315="","",IFERROR(INDEX('Saisie'!$AI$5:$AI$2004,_xlfn.MAXIFS('Saisie'!$AS$5:$AS$2004,'Saisie'!$C$5:$C$2004,C315,'Saisie'!$AI$5:$AI$2004,"&lt;&gt;")-4),""))</f>
        <v/>
      </c>
      <c r="AG315" s="60">
        <f>IF(C315="","",IFERROR(INDEX('Saisie'!$AJ$5:$AJ$2004,_xlfn.MAXIFS('Saisie'!$AS$5:$AS$2004,'Saisie'!$C$5:$C$2004,C315,'Saisie'!$AJ$5:$AJ$2004,"&lt;&gt;")-4),""))</f>
        <v/>
      </c>
      <c r="AH315" s="60">
        <f>IF(C315="","",IFERROR(INDEX('Saisie'!$AK$5:$AK$2004,_xlfn.MAXIFS('Saisie'!$AS$5:$AS$2004,'Saisie'!$C$5:$C$2004,C315,'Saisie'!$AK$5:$AK$2004,"&lt;&gt;")-4),""))</f>
        <v/>
      </c>
      <c r="AI315" s="60">
        <f>IF(C315="","",IFERROR(INDEX('Saisie'!$AN$5:$AN$2004,_xlfn.MAXIFS('Saisie'!$AS$5:$AS$2004,'Saisie'!$C$5:$C$2004,C315,'Saisie'!$AN$5:$AN$2004,"&lt;&gt;")-4),""))</f>
        <v/>
      </c>
      <c r="AJ315" s="60">
        <f>IF(C315="","",IFERROR(INDEX('Saisie'!$AO$5:$AO$2004,_xlfn.MAXIFS('Saisie'!$AS$5:$AS$2004,'Saisie'!$C$5:$C$2004,C315,'Saisie'!$AO$5:$AO$2004,"&lt;&gt;")-4),""))</f>
        <v/>
      </c>
      <c r="AK315" s="60">
        <f>IF(C315="","",IFERROR(INDEX('Saisie'!$AP$5:$AP$2004,_xlfn.MAXIFS('Saisie'!$AS$5:$AS$2004,'Saisie'!$C$5:$C$2004,C315,'Saisie'!$AP$5:$AP$2004,"&lt;&gt;")-4),""))</f>
        <v/>
      </c>
      <c r="AL315" s="60">
        <f>IF(C315="","",IFERROR(INDEX('Saisie'!$AQ$5:$AQ$2004,_xlfn.MAXIFS('Saisie'!$AS$5:$AS$2004,'Saisie'!$C$5:$C$2004,C315,'Saisie'!$AQ$5:$AQ$2004,"&lt;&gt;")-4),""))</f>
        <v/>
      </c>
      <c r="AM315" s="60">
        <f>IF(C315="","",((AI315="Oui")+(AJ315="Oui")+(AK315="Oui")+OR(AL315="Immédiat",AL315="&lt; 1 mois"))&amp;"/4")</f>
        <v/>
      </c>
      <c r="AN315" s="60">
        <f>IF(C315="","",IFERROR(INDEX('Saisie'!$AL$5:$AL$2004,_xlfn.MAXIFS('Saisie'!$AS$5:$AS$2004,'Saisie'!$C$5:$C$2004,C315,'Saisie'!$AL$5:$AL$2004,"&lt;&gt;")-4),""))</f>
        <v/>
      </c>
      <c r="AO315" s="62">
        <f>IF(C315="","",IF(IFERROR(INDEX('Saisie'!$AM$5:$AM$2004,_xlfn.MAXIFS('Saisie'!$AS$5:$AS$2004,'Saisie'!$C$5:$C$2004,C315,'Saisie'!$AM$5:$AM$2004,"&lt;&gt;")-4),"")&lt;&gt;"",IFERROR(INDEX('Saisie'!$AM$5:$AM$2004,_xlfn.MAXIFS('Saisie'!$AS$5:$AS$2004,'Saisie'!$C$5:$C$2004,C315,'Saisie'!$AM$5:$AM$2004,"&lt;&gt;")-4),""),IFERROR(INDEX('Paramètres'!$S$6:$S$15,MATCH(AN315,'Paramètres'!$Q$6:$Q$15,0)),"")))</f>
        <v/>
      </c>
      <c r="AP315" s="62">
        <f>IF(C315="","",IFERROR(INDEX('Saisie'!$AW$5:$AW$2004,_xlfn.MAXIFS('Saisie'!$AS$5:$AS$2004,'Saisie'!$C$5:$C$2004,C315,'Saisie'!$E$5:$E$2004,"Proposition envoyée")-4),""))</f>
        <v/>
      </c>
      <c r="AQ315" s="106">
        <f>IF(C315="","",IFERROR(1/(1/_xlfn.MAXIFS('Saisie'!$A$5:$A$2004,'Saisie'!$C$5:$C$2004,C315,'Saisie'!$E$5:$E$2004,"Proposition envoyée")),""))</f>
        <v/>
      </c>
      <c r="AR315" s="106">
        <f>IF(C315="","",IF(AQ315="","",AQ315+'Paramètres'!$B$26))</f>
        <v/>
      </c>
      <c r="AS315" s="62">
        <f>IF(OR(C315="",D315="Gagné",D315="Perdu"),0,N(AP315)*IFERROR(INDEX('Paramètres'!$G$6:$G$13,MATCH(D315,'Paramètres'!$F$6:$F$13,0)),0))</f>
        <v/>
      </c>
      <c r="AT315" s="106">
        <f>IF(C315="","",IFERROR(1/(1/_xlfn.MINIFS('Saisie'!$A$5:$A$2004,'Saisie'!$C$5:$C$2004,C315,'Saisie'!$E$5:$E$2004,"Signature")),""))</f>
        <v/>
      </c>
      <c r="AU315" s="60">
        <f>IF(C315="","",IF(OR(AT315="",B315=""),"",AT315-B315))</f>
        <v/>
      </c>
      <c r="AV315" s="60">
        <f>IF(C315="","",IFERROR(INDEX('Saisie'!$L$5:$L$2004,_xlfn.MAXIFS('Saisie'!$AS$5:$AS$2004,'Saisie'!$C$5:$C$2004,C315,'Saisie'!$L$5:$L$2004,"&lt;&gt;")-4),""))</f>
        <v/>
      </c>
      <c r="AW315" s="106">
        <f>IF(C315="","",IF(D315&lt;&gt;"Perdu","",IFERROR(1/(1/_xlfn.MAXIFS('Saisie'!$A$5:$A$2004,'Saisie'!$C$5:$C$2004,C315,'Saisie'!$E$5:$E$2004,"Perdu")),"")))</f>
        <v/>
      </c>
      <c r="AX315" s="106">
        <f>IF(C315="","",IF(AW315="","",AW315+'Paramètres'!$B$28))</f>
        <v/>
      </c>
      <c r="AY315" s="60">
        <f>IF(C315="","",SUMIFS('Saisie'!$H$5:$H$2004,'Saisie'!$C$5:$C$2004,C315))</f>
        <v/>
      </c>
      <c r="AZ315" s="60">
        <f>IF(C315="","",IFERROR(INDEX('Paramètres'!$W$6:$W$20,MATCH(S315,'Paramètres'!$V$6:$V$20,0))&amp;"",""))</f>
        <v/>
      </c>
      <c r="BA315" s="60">
        <f>IF(C315="","",MAX(1,_xlfn.MAXIFS('Saisie'!$AT$5:$AT$2004,'Saisie'!$C$5:$C$2004,C315)))</f>
        <v/>
      </c>
      <c r="BB315" s="60">
        <f>IF(C315="","",IFERROR(INDEX('Saisie'!$X$5:$X$2004,_xlfn.MAXIFS('Saisie'!$AS$5:$AS$2004,'Saisie'!$C$5:$C$2004,C315,'Saisie'!$X$5:$X$2004,"&lt;&gt;")-4),""))</f>
        <v/>
      </c>
      <c r="BC315" s="60">
        <f>IF(C315="","",IFERROR(INDEX('Saisie'!$Y$5:$Y$2004,_xlfn.MAXIFS('Saisie'!$AS$5:$AS$2004,'Saisie'!$C$5:$C$2004,C315,'Saisie'!$Y$5:$Y$2004,"&lt;&gt;")-4),""))</f>
        <v/>
      </c>
      <c r="BD315" s="106">
        <f>IF(C315="","",IFERROR(1/(1/_xlfn.MINIFS('Saisie'!$A$5:$A$2004,'Saisie'!$C$5:$C$2004,C315,'Saisie'!$AT$5:$AT$2004,"&gt;=2")),""))</f>
        <v/>
      </c>
      <c r="BE315" s="106">
        <f>IF(C315="","",IFERROR(1/(1/_xlfn.MINIFS('Saisie'!$A$5:$A$2004,'Saisie'!$C$5:$C$2004,C315,'Saisie'!$AT$5:$AT$2004,"&gt;=3")),""))</f>
        <v/>
      </c>
      <c r="BF315" s="106">
        <f>IF(C315="","",IFERROR(1/(1/_xlfn.MINIFS('Saisie'!$A$5:$A$2004,'Saisie'!$C$5:$C$2004,C315,'Saisie'!$AT$5:$AT$2004,"&gt;=4")),""))</f>
        <v/>
      </c>
      <c r="BG315" s="106">
        <f>IF(C315="","",IFERROR(1/(1/_xlfn.MINIFS('Saisie'!$A$5:$A$2004,'Saisie'!$C$5:$C$2004,C315,'Saisie'!$AT$5:$AT$2004,"&gt;=5")),""))</f>
        <v/>
      </c>
      <c r="BH315" s="106">
        <f>IF(C315="","",IFERROR(1/(1/_xlfn.MINIFS('Saisie'!$A$5:$A$2004,'Saisie'!$C$5:$C$2004,C315,'Saisie'!$AT$5:$AT$2004,"&gt;=6")),""))</f>
        <v/>
      </c>
      <c r="BI315" s="106">
        <f>IF(C315="","",IFERROR(1/(1/_xlfn.MINIFS('Saisie'!$A$5:$A$2004,'Saisie'!$C$5:$C$2004,C315,'Saisie'!$AT$5:$AT$2004,"&gt;=7")),""))</f>
        <v/>
      </c>
      <c r="BJ315" s="60">
        <f>IF(OR(BD315="",B315=""),"",BD315-B315)</f>
        <v/>
      </c>
      <c r="BK315" s="60">
        <f>IF(OR(BE315="",BD315=""),"",BE315-BD315)</f>
        <v/>
      </c>
      <c r="BL315" s="60">
        <f>IF(OR(BF315="",BE315=""),"",BF315-BE315)</f>
        <v/>
      </c>
      <c r="BM315" s="60">
        <f>IF(OR(BG315="",BF315=""),"",BG315-BF315)</f>
        <v/>
      </c>
      <c r="BN315" s="60">
        <f>IF(OR(BH315="",BG315=""),"",BH315-BG315)</f>
        <v/>
      </c>
      <c r="BO315" s="60">
        <f>IF(OR(BI315="",BH315=""),"",BI315-BH315)</f>
        <v/>
      </c>
      <c r="BP315" s="60">
        <f>IF(C315="","",_xlfn.MAXIFS('Saisie'!$AS$5:$AS$2004,'Saisie'!$C$5:$C$2004,C315,'Saisie'!$J$5:$J$2004,"&lt;&gt;"))</f>
        <v/>
      </c>
      <c r="BQ315" s="60">
        <f>IF(C315="","",_xlfn.MAXIFS('Saisie'!$AS$5:$AS$2004,'Saisie'!$C$5:$C$2004,C315))</f>
        <v/>
      </c>
      <c r="BR315" s="60">
        <f>IF(C315="","",_xlfn.MAXIFS('Saisie'!$AS$5:$AS$2004,'Saisie'!$C$5:$C$2004,C315,'Saisie'!$E$5:$E$2004,"Perdu"))</f>
        <v/>
      </c>
      <c r="BS315" s="60">
        <f>IF(C315="","",_xlfn.MAXIFS('Saisie'!$AS$5:$AS$2004,'Saisie'!$C$5:$C$2004,C315,'Saisie'!$AT$5:$AT$2004,"&gt;0"))</f>
        <v/>
      </c>
      <c r="BT315" s="109">
        <f>IF(AND(C315&lt;&gt;"",OR(D315="Nouveau",D315="Contacté",D315="Qualifié"),OR(G315="",N(G315)&lt;=TODAY()),NOT(AND(O315&gt;='Paramètres'!$B$21,P315=0))),E315+311/10000,"")</f>
        <v/>
      </c>
      <c r="BU315" s="60">
        <f>IF(AND(G315&lt;&gt;"",N(G315)&lt;=TODAY()),MAX($BU$4:BU314)+1,"")</f>
        <v/>
      </c>
      <c r="BV315" s="60">
        <f>IF(AND(F315&lt;&gt;"",F315&lt;&gt;"Relance en retard"),MAX($BV$4:BV314)+1,"")</f>
        <v/>
      </c>
      <c r="BW315" s="60">
        <f>IF(C315="","",IF(AND(B315&gt;='Tableau de bord'!$R$4,B315&lt;='Tableau de bord'!$S$4,OR('Tableau de bord'!$G$4="Tous",N315='Tableau de bord'!$G$4)),1,0))</f>
        <v/>
      </c>
      <c r="BX315" s="60">
        <f>IF(AND(C315&lt;&gt;"",N(BA315)=7),MAX($BX$4:BX314)+1,"")</f>
        <v/>
      </c>
    </row>
    <row r="316">
      <c r="A316" s="60">
        <f>IF(C316="","","P-"&amp;TEXT(312,"000"))</f>
        <v/>
      </c>
      <c r="B316" s="106">
        <f>IF(C316="","",IFERROR(1/(1/_xlfn.MINIFS('Saisie'!$A$5:$A$2004,'Saisie'!$C$5:$C$2004,C316)),""))</f>
        <v/>
      </c>
      <c r="C316" s="60">
        <f>IFERROR(INDEX('Saisie'!$C$5:$C$2004,MATCH(312,'Saisie'!$AX$5:$AX$2004,0)),"")</f>
        <v/>
      </c>
      <c r="D316" s="60">
        <f>IF(C316="","",IF(AND(BR316&gt;0,BR316&gt;BS316,BA316&lt;7),"Perdu",INDEX('Paramètres'!$F$6:$F$13,BA316)))</f>
        <v/>
      </c>
      <c r="E316" s="61">
        <f>IF(C316="","",MIN(100,(Z316="Oui")*'Paramètres'!$B$38+(AB316="Régulière")*'Paramètres'!$B$39+IF(AND(N(AA316)&gt;0,TODAY()-N(AA316)&lt;=30),'Paramètres'!$B$40,0)+(W316="")*'Paramètres'!$B$41+(AC316="Absente")*'Paramètres'!$B$42+(AC316="Faible")*'Paramètres'!$B$43+IF(AND(N(AD316)&gt;0,N(AD316)&lt;4),'Paramètres'!$B$44,0)+(AF316="Moyenne")*'Paramètres'!$B$45+(AF316="Grande")*'Paramètres'!$B$46+(Y316&lt;&gt;"")*'Paramètres'!$B$47))</f>
        <v/>
      </c>
      <c r="F316" s="60">
        <f>IF(C316="","",IF(D316="Gagné","",IF(D316="Perdu",IF(AND(AX316&lt;&gt;"",AX316&lt;=TODAY()),"À recontacter (perdu)",""),IF(AND(O316&gt;='Paramètres'!$B$21,P316=0),"Stop : "&amp;'Paramètres'!$B$21&amp;" tentatives sans réponse",IF(AND(D316="Proposition",AR316&lt;&gt;"",TODAY()&gt;N(AR316)),"Proposition expirée",IF(AND(D316="Proposition",N(R316)&gt;='Paramètres'!$B$25),"Proposition sans réponse",IF(AND(G316&lt;&gt;"",N(G316)&lt;TODAY()),"Relance en retard",IF(N(R316)&gt;='Paramètres'!$B$24,"Sans action depuis "&amp;R316&amp;" j",""))))))))</f>
        <v/>
      </c>
      <c r="G316" s="106">
        <f>IF(OR(C316="",D316="Gagné",D316="Perdu"),"",IF(AND(BP316&gt;0,BP316=BQ316),INDEX('Saisie'!$J$5:$J$2004,BP316-4),IF(OR(O316=0,AND(O316&gt;='Paramètres'!$B$21,P316=0)),"",Q316+IF(O316&lt;=1,'Paramètres'!$B$18,IF(O316=2,'Paramètres'!$B$19,'Paramètres'!$B$20)))))</f>
        <v/>
      </c>
      <c r="H316" s="107">
        <f>IF(OR(G316="",BP316&lt;&gt;BQ316),"",IF(INDEX('Saisie'!$K$5:$K$2004,BP316-4)="","",INDEX('Saisie'!$K$5:$K$2004,BP316-4)))</f>
        <v/>
      </c>
      <c r="I316" s="60">
        <f>IF(C316="","",IF(OR(D316="Gagné",D316="Perdu"),"",IFERROR(INDEX('Saisie'!$I$5:$I$2004,_xlfn.MAXIFS('Saisie'!$AS$5:$AS$2004,'Saisie'!$C$5:$C$2004,C316,'Saisie'!$I$5:$I$2004,"&lt;&gt;")-4),"")))</f>
        <v/>
      </c>
      <c r="J316" s="60">
        <f>IF(C316="","",IFERROR(INDEX('Saisie'!$U$5:$U$2004,_xlfn.MAXIFS('Saisie'!$AS$5:$AS$2004,'Saisie'!$C$5:$C$2004,C316,'Saisie'!$U$5:$U$2004,"&lt;&gt;")-4),""))</f>
        <v/>
      </c>
      <c r="K316" s="60">
        <f>IF(C316="","",IFERROR(INDEX('Saisie'!$W$5:$W$2004,_xlfn.MAXIFS('Saisie'!$AS$5:$AS$2004,'Saisie'!$C$5:$C$2004,C316,'Saisie'!$W$5:$W$2004,"&lt;&gt;")-4),""))</f>
        <v/>
      </c>
      <c r="L316" s="60">
        <f>IF(IF(BB316&lt;&gt;"",BB316,K316)="","",HYPERLINK("https://wa.me/"&amp;IF(LEFT(SUBSTITUTE(SUBSTITUTE(SUBSTITUTE(IF(BB316&lt;&gt;"",BB316,K316)," ",""),".",""),"+",""),1)="0",'Paramètres'!$B$35&amp;MID(SUBSTITUTE(SUBSTITUTE(SUBSTITUTE(IF(BB316&lt;&gt;"",BB316,K316)," ",""),".",""),"+",""),2,20),SUBSTITUTE(SUBSTITUTE(SUBSTITUTE(IF(BB316&lt;&gt;"",BB316,K316)," ",""),".",""),"+","")),"WhatsApp"))</f>
        <v/>
      </c>
      <c r="M316" s="60">
        <f>IF(BC316="","",HYPERLINK(IF(LEFT(BC316,4)="http",BC316,"https://www.instagram.com/"&amp;SUBSTITUTE(SUBSTITUTE(BC316,"@","")," ","")),BC316))</f>
        <v/>
      </c>
      <c r="N316" s="60">
        <f>IF(C316="","",IFERROR(INDEX('Saisie'!$D$5:$D$2004,_xlfn.MINIFS('Saisie'!$AS$5:$AS$2004,'Saisie'!$C$5:$C$2004,C316,'Saisie'!$AU$5:$AU$2004,1)-4),IFERROR(INDEX('Saisie'!$D$5:$D$2004,_xlfn.MINIFS('Saisie'!$AS$5:$AS$2004,'Saisie'!$C$5:$C$2004,C316,'Saisie'!$D$5:$D$2004,"&lt;&gt;")-4),"")))</f>
        <v/>
      </c>
      <c r="O316" s="60">
        <f>IF(C316="","",COUNTIFS('Saisie'!$C$5:$C$2004,C316,'Saisie'!$AU$5:$AU$2004,1))</f>
        <v/>
      </c>
      <c r="P316" s="60">
        <f>IF(C316="","",COUNTIFS('Saisie'!$C$5:$C$2004,C316,'Saisie'!$AV$5:$AV$2004,1))</f>
        <v/>
      </c>
      <c r="Q316" s="106">
        <f>IF(C316="","",IFERROR(1/(1/_xlfn.MAXIFS('Saisie'!$A$5:$A$2004,'Saisie'!$C$5:$C$2004,C316)),""))</f>
        <v/>
      </c>
      <c r="R316" s="61">
        <f>IF(C316="","",IF(Q316="","",TODAY()-Q316))</f>
        <v/>
      </c>
      <c r="S316" s="60">
        <f>IF(C316="","",IFERROR(INDEX('Saisie'!$R$5:$R$2004,_xlfn.MAXIFS('Saisie'!$AS$5:$AS$2004,'Saisie'!$C$5:$C$2004,C316,'Saisie'!$R$5:$R$2004,"&lt;&gt;")-4),""))</f>
        <v/>
      </c>
      <c r="T316" s="60">
        <f>IF(C316="","",IFERROR(INDEX('Saisie'!$S$5:$S$2004,_xlfn.MAXIFS('Saisie'!$AS$5:$AS$2004,'Saisie'!$C$5:$C$2004,C316,'Saisie'!$S$5:$S$2004,"&lt;&gt;")-4),""))</f>
        <v/>
      </c>
      <c r="U316" s="60">
        <f>IF(C316="","",IFERROR(INDEX('Saisie'!$T$5:$T$2004,_xlfn.MAXIFS('Saisie'!$AS$5:$AS$2004,'Saisie'!$C$5:$C$2004,C316,'Saisie'!$T$5:$T$2004,"&lt;&gt;")-4),""))</f>
        <v/>
      </c>
      <c r="V316" s="60">
        <f>IF(C316="","",IFERROR(INDEX('Saisie'!$V$5:$V$2004,_xlfn.MAXIFS('Saisie'!$AS$5:$AS$2004,'Saisie'!$C$5:$C$2004,C316,'Saisie'!$V$5:$V$2004,"&lt;&gt;")-4),""))</f>
        <v/>
      </c>
      <c r="W316" s="60">
        <f>IF(C316="","",IFERROR(INDEX('Saisie'!$Z$5:$Z$2004,_xlfn.MAXIFS('Saisie'!$AS$5:$AS$2004,'Saisie'!$C$5:$C$2004,C316,'Saisie'!$Z$5:$Z$2004,"&lt;&gt;")-4),""))</f>
        <v/>
      </c>
      <c r="X316" s="60">
        <f>IF(C316="","",IFERROR(INDEX('Saisie'!$AA$5:$AA$2004,_xlfn.MAXIFS('Saisie'!$AS$5:$AS$2004,'Saisie'!$C$5:$C$2004,C316,'Saisie'!$AA$5:$AA$2004,"&lt;&gt;")-4),""))</f>
        <v/>
      </c>
      <c r="Y316" s="60">
        <f>IF(C316="","",IFERROR(INDEX('Saisie'!$AB$5:$AB$2004,_xlfn.MAXIFS('Saisie'!$AS$5:$AS$2004,'Saisie'!$C$5:$C$2004,C316,'Saisie'!$AB$5:$AB$2004,"&lt;&gt;")-4),""))</f>
        <v/>
      </c>
      <c r="Z316" s="60">
        <f>IF(C316="","",IFERROR(INDEX('Saisie'!$AC$5:$AC$2004,_xlfn.MAXIFS('Saisie'!$AS$5:$AS$2004,'Saisie'!$C$5:$C$2004,C316,'Saisie'!$AC$5:$AC$2004,"&lt;&gt;")-4),""))</f>
        <v/>
      </c>
      <c r="AA316" s="106">
        <f>IF(C316="","",IFERROR(INDEX('Saisie'!$AD$5:$AD$2004,_xlfn.MAXIFS('Saisie'!$AS$5:$AS$2004,'Saisie'!$C$5:$C$2004,C316,'Saisie'!$AD$5:$AD$2004,"&lt;&gt;")-4),""))</f>
        <v/>
      </c>
      <c r="AB316" s="60">
        <f>IF(C316="","",IFERROR(INDEX('Saisie'!$AE$5:$AE$2004,_xlfn.MAXIFS('Saisie'!$AS$5:$AS$2004,'Saisie'!$C$5:$C$2004,C316,'Saisie'!$AE$5:$AE$2004,"&lt;&gt;")-4),""))</f>
        <v/>
      </c>
      <c r="AC316" s="60">
        <f>IF(C316="","",IFERROR(INDEX('Saisie'!$AF$5:$AF$2004,_xlfn.MAXIFS('Saisie'!$AS$5:$AS$2004,'Saisie'!$C$5:$C$2004,C316,'Saisie'!$AF$5:$AF$2004,"&lt;&gt;")-4),""))</f>
        <v/>
      </c>
      <c r="AD316" s="108">
        <f>IF(C316="","",IFERROR(INDEX('Saisie'!$AG$5:$AG$2004,_xlfn.MAXIFS('Saisie'!$AS$5:$AS$2004,'Saisie'!$C$5:$C$2004,C316,'Saisie'!$AG$5:$AG$2004,"&lt;&gt;")-4),""))</f>
        <v/>
      </c>
      <c r="AE316" s="60">
        <f>IF(C316="","",IFERROR(INDEX('Saisie'!$AH$5:$AH$2004,_xlfn.MAXIFS('Saisie'!$AS$5:$AS$2004,'Saisie'!$C$5:$C$2004,C316,'Saisie'!$AH$5:$AH$2004,"&lt;&gt;")-4),""))</f>
        <v/>
      </c>
      <c r="AF316" s="60">
        <f>IF(C316="","",IFERROR(INDEX('Saisie'!$AI$5:$AI$2004,_xlfn.MAXIFS('Saisie'!$AS$5:$AS$2004,'Saisie'!$C$5:$C$2004,C316,'Saisie'!$AI$5:$AI$2004,"&lt;&gt;")-4),""))</f>
        <v/>
      </c>
      <c r="AG316" s="60">
        <f>IF(C316="","",IFERROR(INDEX('Saisie'!$AJ$5:$AJ$2004,_xlfn.MAXIFS('Saisie'!$AS$5:$AS$2004,'Saisie'!$C$5:$C$2004,C316,'Saisie'!$AJ$5:$AJ$2004,"&lt;&gt;")-4),""))</f>
        <v/>
      </c>
      <c r="AH316" s="60">
        <f>IF(C316="","",IFERROR(INDEX('Saisie'!$AK$5:$AK$2004,_xlfn.MAXIFS('Saisie'!$AS$5:$AS$2004,'Saisie'!$C$5:$C$2004,C316,'Saisie'!$AK$5:$AK$2004,"&lt;&gt;")-4),""))</f>
        <v/>
      </c>
      <c r="AI316" s="60">
        <f>IF(C316="","",IFERROR(INDEX('Saisie'!$AN$5:$AN$2004,_xlfn.MAXIFS('Saisie'!$AS$5:$AS$2004,'Saisie'!$C$5:$C$2004,C316,'Saisie'!$AN$5:$AN$2004,"&lt;&gt;")-4),""))</f>
        <v/>
      </c>
      <c r="AJ316" s="60">
        <f>IF(C316="","",IFERROR(INDEX('Saisie'!$AO$5:$AO$2004,_xlfn.MAXIFS('Saisie'!$AS$5:$AS$2004,'Saisie'!$C$5:$C$2004,C316,'Saisie'!$AO$5:$AO$2004,"&lt;&gt;")-4),""))</f>
        <v/>
      </c>
      <c r="AK316" s="60">
        <f>IF(C316="","",IFERROR(INDEX('Saisie'!$AP$5:$AP$2004,_xlfn.MAXIFS('Saisie'!$AS$5:$AS$2004,'Saisie'!$C$5:$C$2004,C316,'Saisie'!$AP$5:$AP$2004,"&lt;&gt;")-4),""))</f>
        <v/>
      </c>
      <c r="AL316" s="60">
        <f>IF(C316="","",IFERROR(INDEX('Saisie'!$AQ$5:$AQ$2004,_xlfn.MAXIFS('Saisie'!$AS$5:$AS$2004,'Saisie'!$C$5:$C$2004,C316,'Saisie'!$AQ$5:$AQ$2004,"&lt;&gt;")-4),""))</f>
        <v/>
      </c>
      <c r="AM316" s="60">
        <f>IF(C316="","",((AI316="Oui")+(AJ316="Oui")+(AK316="Oui")+OR(AL316="Immédiat",AL316="&lt; 1 mois"))&amp;"/4")</f>
        <v/>
      </c>
      <c r="AN316" s="60">
        <f>IF(C316="","",IFERROR(INDEX('Saisie'!$AL$5:$AL$2004,_xlfn.MAXIFS('Saisie'!$AS$5:$AS$2004,'Saisie'!$C$5:$C$2004,C316,'Saisie'!$AL$5:$AL$2004,"&lt;&gt;")-4),""))</f>
        <v/>
      </c>
      <c r="AO316" s="62">
        <f>IF(C316="","",IF(IFERROR(INDEX('Saisie'!$AM$5:$AM$2004,_xlfn.MAXIFS('Saisie'!$AS$5:$AS$2004,'Saisie'!$C$5:$C$2004,C316,'Saisie'!$AM$5:$AM$2004,"&lt;&gt;")-4),"")&lt;&gt;"",IFERROR(INDEX('Saisie'!$AM$5:$AM$2004,_xlfn.MAXIFS('Saisie'!$AS$5:$AS$2004,'Saisie'!$C$5:$C$2004,C316,'Saisie'!$AM$5:$AM$2004,"&lt;&gt;")-4),""),IFERROR(INDEX('Paramètres'!$S$6:$S$15,MATCH(AN316,'Paramètres'!$Q$6:$Q$15,0)),"")))</f>
        <v/>
      </c>
      <c r="AP316" s="62">
        <f>IF(C316="","",IFERROR(INDEX('Saisie'!$AW$5:$AW$2004,_xlfn.MAXIFS('Saisie'!$AS$5:$AS$2004,'Saisie'!$C$5:$C$2004,C316,'Saisie'!$E$5:$E$2004,"Proposition envoyée")-4),""))</f>
        <v/>
      </c>
      <c r="AQ316" s="106">
        <f>IF(C316="","",IFERROR(1/(1/_xlfn.MAXIFS('Saisie'!$A$5:$A$2004,'Saisie'!$C$5:$C$2004,C316,'Saisie'!$E$5:$E$2004,"Proposition envoyée")),""))</f>
        <v/>
      </c>
      <c r="AR316" s="106">
        <f>IF(C316="","",IF(AQ316="","",AQ316+'Paramètres'!$B$26))</f>
        <v/>
      </c>
      <c r="AS316" s="62">
        <f>IF(OR(C316="",D316="Gagné",D316="Perdu"),0,N(AP316)*IFERROR(INDEX('Paramètres'!$G$6:$G$13,MATCH(D316,'Paramètres'!$F$6:$F$13,0)),0))</f>
        <v/>
      </c>
      <c r="AT316" s="106">
        <f>IF(C316="","",IFERROR(1/(1/_xlfn.MINIFS('Saisie'!$A$5:$A$2004,'Saisie'!$C$5:$C$2004,C316,'Saisie'!$E$5:$E$2004,"Signature")),""))</f>
        <v/>
      </c>
      <c r="AU316" s="60">
        <f>IF(C316="","",IF(OR(AT316="",B316=""),"",AT316-B316))</f>
        <v/>
      </c>
      <c r="AV316" s="60">
        <f>IF(C316="","",IFERROR(INDEX('Saisie'!$L$5:$L$2004,_xlfn.MAXIFS('Saisie'!$AS$5:$AS$2004,'Saisie'!$C$5:$C$2004,C316,'Saisie'!$L$5:$L$2004,"&lt;&gt;")-4),""))</f>
        <v/>
      </c>
      <c r="AW316" s="106">
        <f>IF(C316="","",IF(D316&lt;&gt;"Perdu","",IFERROR(1/(1/_xlfn.MAXIFS('Saisie'!$A$5:$A$2004,'Saisie'!$C$5:$C$2004,C316,'Saisie'!$E$5:$E$2004,"Perdu")),"")))</f>
        <v/>
      </c>
      <c r="AX316" s="106">
        <f>IF(C316="","",IF(AW316="","",AW316+'Paramètres'!$B$28))</f>
        <v/>
      </c>
      <c r="AY316" s="60">
        <f>IF(C316="","",SUMIFS('Saisie'!$H$5:$H$2004,'Saisie'!$C$5:$C$2004,C316))</f>
        <v/>
      </c>
      <c r="AZ316" s="60">
        <f>IF(C316="","",IFERROR(INDEX('Paramètres'!$W$6:$W$20,MATCH(S316,'Paramètres'!$V$6:$V$20,0))&amp;"",""))</f>
        <v/>
      </c>
      <c r="BA316" s="60">
        <f>IF(C316="","",MAX(1,_xlfn.MAXIFS('Saisie'!$AT$5:$AT$2004,'Saisie'!$C$5:$C$2004,C316)))</f>
        <v/>
      </c>
      <c r="BB316" s="60">
        <f>IF(C316="","",IFERROR(INDEX('Saisie'!$X$5:$X$2004,_xlfn.MAXIFS('Saisie'!$AS$5:$AS$2004,'Saisie'!$C$5:$C$2004,C316,'Saisie'!$X$5:$X$2004,"&lt;&gt;")-4),""))</f>
        <v/>
      </c>
      <c r="BC316" s="60">
        <f>IF(C316="","",IFERROR(INDEX('Saisie'!$Y$5:$Y$2004,_xlfn.MAXIFS('Saisie'!$AS$5:$AS$2004,'Saisie'!$C$5:$C$2004,C316,'Saisie'!$Y$5:$Y$2004,"&lt;&gt;")-4),""))</f>
        <v/>
      </c>
      <c r="BD316" s="106">
        <f>IF(C316="","",IFERROR(1/(1/_xlfn.MINIFS('Saisie'!$A$5:$A$2004,'Saisie'!$C$5:$C$2004,C316,'Saisie'!$AT$5:$AT$2004,"&gt;=2")),""))</f>
        <v/>
      </c>
      <c r="BE316" s="106">
        <f>IF(C316="","",IFERROR(1/(1/_xlfn.MINIFS('Saisie'!$A$5:$A$2004,'Saisie'!$C$5:$C$2004,C316,'Saisie'!$AT$5:$AT$2004,"&gt;=3")),""))</f>
        <v/>
      </c>
      <c r="BF316" s="106">
        <f>IF(C316="","",IFERROR(1/(1/_xlfn.MINIFS('Saisie'!$A$5:$A$2004,'Saisie'!$C$5:$C$2004,C316,'Saisie'!$AT$5:$AT$2004,"&gt;=4")),""))</f>
        <v/>
      </c>
      <c r="BG316" s="106">
        <f>IF(C316="","",IFERROR(1/(1/_xlfn.MINIFS('Saisie'!$A$5:$A$2004,'Saisie'!$C$5:$C$2004,C316,'Saisie'!$AT$5:$AT$2004,"&gt;=5")),""))</f>
        <v/>
      </c>
      <c r="BH316" s="106">
        <f>IF(C316="","",IFERROR(1/(1/_xlfn.MINIFS('Saisie'!$A$5:$A$2004,'Saisie'!$C$5:$C$2004,C316,'Saisie'!$AT$5:$AT$2004,"&gt;=6")),""))</f>
        <v/>
      </c>
      <c r="BI316" s="106">
        <f>IF(C316="","",IFERROR(1/(1/_xlfn.MINIFS('Saisie'!$A$5:$A$2004,'Saisie'!$C$5:$C$2004,C316,'Saisie'!$AT$5:$AT$2004,"&gt;=7")),""))</f>
        <v/>
      </c>
      <c r="BJ316" s="60">
        <f>IF(OR(BD316="",B316=""),"",BD316-B316)</f>
        <v/>
      </c>
      <c r="BK316" s="60">
        <f>IF(OR(BE316="",BD316=""),"",BE316-BD316)</f>
        <v/>
      </c>
      <c r="BL316" s="60">
        <f>IF(OR(BF316="",BE316=""),"",BF316-BE316)</f>
        <v/>
      </c>
      <c r="BM316" s="60">
        <f>IF(OR(BG316="",BF316=""),"",BG316-BF316)</f>
        <v/>
      </c>
      <c r="BN316" s="60">
        <f>IF(OR(BH316="",BG316=""),"",BH316-BG316)</f>
        <v/>
      </c>
      <c r="BO316" s="60">
        <f>IF(OR(BI316="",BH316=""),"",BI316-BH316)</f>
        <v/>
      </c>
      <c r="BP316" s="60">
        <f>IF(C316="","",_xlfn.MAXIFS('Saisie'!$AS$5:$AS$2004,'Saisie'!$C$5:$C$2004,C316,'Saisie'!$J$5:$J$2004,"&lt;&gt;"))</f>
        <v/>
      </c>
      <c r="BQ316" s="60">
        <f>IF(C316="","",_xlfn.MAXIFS('Saisie'!$AS$5:$AS$2004,'Saisie'!$C$5:$C$2004,C316))</f>
        <v/>
      </c>
      <c r="BR316" s="60">
        <f>IF(C316="","",_xlfn.MAXIFS('Saisie'!$AS$5:$AS$2004,'Saisie'!$C$5:$C$2004,C316,'Saisie'!$E$5:$E$2004,"Perdu"))</f>
        <v/>
      </c>
      <c r="BS316" s="60">
        <f>IF(C316="","",_xlfn.MAXIFS('Saisie'!$AS$5:$AS$2004,'Saisie'!$C$5:$C$2004,C316,'Saisie'!$AT$5:$AT$2004,"&gt;0"))</f>
        <v/>
      </c>
      <c r="BT316" s="109">
        <f>IF(AND(C316&lt;&gt;"",OR(D316="Nouveau",D316="Contacté",D316="Qualifié"),OR(G316="",N(G316)&lt;=TODAY()),NOT(AND(O316&gt;='Paramètres'!$B$21,P316=0))),E316+312/10000,"")</f>
        <v/>
      </c>
      <c r="BU316" s="60">
        <f>IF(AND(G316&lt;&gt;"",N(G316)&lt;=TODAY()),MAX($BU$4:BU315)+1,"")</f>
        <v/>
      </c>
      <c r="BV316" s="60">
        <f>IF(AND(F316&lt;&gt;"",F316&lt;&gt;"Relance en retard"),MAX($BV$4:BV315)+1,"")</f>
        <v/>
      </c>
      <c r="BW316" s="60">
        <f>IF(C316="","",IF(AND(B316&gt;='Tableau de bord'!$R$4,B316&lt;='Tableau de bord'!$S$4,OR('Tableau de bord'!$G$4="Tous",N316='Tableau de bord'!$G$4)),1,0))</f>
        <v/>
      </c>
      <c r="BX316" s="60">
        <f>IF(AND(C316&lt;&gt;"",N(BA316)=7),MAX($BX$4:BX315)+1,"")</f>
        <v/>
      </c>
    </row>
    <row r="317">
      <c r="A317" s="60">
        <f>IF(C317="","","P-"&amp;TEXT(313,"000"))</f>
        <v/>
      </c>
      <c r="B317" s="106">
        <f>IF(C317="","",IFERROR(1/(1/_xlfn.MINIFS('Saisie'!$A$5:$A$2004,'Saisie'!$C$5:$C$2004,C317)),""))</f>
        <v/>
      </c>
      <c r="C317" s="60">
        <f>IFERROR(INDEX('Saisie'!$C$5:$C$2004,MATCH(313,'Saisie'!$AX$5:$AX$2004,0)),"")</f>
        <v/>
      </c>
      <c r="D317" s="60">
        <f>IF(C317="","",IF(AND(BR317&gt;0,BR317&gt;BS317,BA317&lt;7),"Perdu",INDEX('Paramètres'!$F$6:$F$13,BA317)))</f>
        <v/>
      </c>
      <c r="E317" s="61">
        <f>IF(C317="","",MIN(100,(Z317="Oui")*'Paramètres'!$B$38+(AB317="Régulière")*'Paramètres'!$B$39+IF(AND(N(AA317)&gt;0,TODAY()-N(AA317)&lt;=30),'Paramètres'!$B$40,0)+(W317="")*'Paramètres'!$B$41+(AC317="Absente")*'Paramètres'!$B$42+(AC317="Faible")*'Paramètres'!$B$43+IF(AND(N(AD317)&gt;0,N(AD317)&lt;4),'Paramètres'!$B$44,0)+(AF317="Moyenne")*'Paramètres'!$B$45+(AF317="Grande")*'Paramètres'!$B$46+(Y317&lt;&gt;"")*'Paramètres'!$B$47))</f>
        <v/>
      </c>
      <c r="F317" s="60">
        <f>IF(C317="","",IF(D317="Gagné","",IF(D317="Perdu",IF(AND(AX317&lt;&gt;"",AX317&lt;=TODAY()),"À recontacter (perdu)",""),IF(AND(O317&gt;='Paramètres'!$B$21,P317=0),"Stop : "&amp;'Paramètres'!$B$21&amp;" tentatives sans réponse",IF(AND(D317="Proposition",AR317&lt;&gt;"",TODAY()&gt;N(AR317)),"Proposition expirée",IF(AND(D317="Proposition",N(R317)&gt;='Paramètres'!$B$25),"Proposition sans réponse",IF(AND(G317&lt;&gt;"",N(G317)&lt;TODAY()),"Relance en retard",IF(N(R317)&gt;='Paramètres'!$B$24,"Sans action depuis "&amp;R317&amp;" j",""))))))))</f>
        <v/>
      </c>
      <c r="G317" s="106">
        <f>IF(OR(C317="",D317="Gagné",D317="Perdu"),"",IF(AND(BP317&gt;0,BP317=BQ317),INDEX('Saisie'!$J$5:$J$2004,BP317-4),IF(OR(O317=0,AND(O317&gt;='Paramètres'!$B$21,P317=0)),"",Q317+IF(O317&lt;=1,'Paramètres'!$B$18,IF(O317=2,'Paramètres'!$B$19,'Paramètres'!$B$20)))))</f>
        <v/>
      </c>
      <c r="H317" s="107">
        <f>IF(OR(G317="",BP317&lt;&gt;BQ317),"",IF(INDEX('Saisie'!$K$5:$K$2004,BP317-4)="","",INDEX('Saisie'!$K$5:$K$2004,BP317-4)))</f>
        <v/>
      </c>
      <c r="I317" s="60">
        <f>IF(C317="","",IF(OR(D317="Gagné",D317="Perdu"),"",IFERROR(INDEX('Saisie'!$I$5:$I$2004,_xlfn.MAXIFS('Saisie'!$AS$5:$AS$2004,'Saisie'!$C$5:$C$2004,C317,'Saisie'!$I$5:$I$2004,"&lt;&gt;")-4),"")))</f>
        <v/>
      </c>
      <c r="J317" s="60">
        <f>IF(C317="","",IFERROR(INDEX('Saisie'!$U$5:$U$2004,_xlfn.MAXIFS('Saisie'!$AS$5:$AS$2004,'Saisie'!$C$5:$C$2004,C317,'Saisie'!$U$5:$U$2004,"&lt;&gt;")-4),""))</f>
        <v/>
      </c>
      <c r="K317" s="60">
        <f>IF(C317="","",IFERROR(INDEX('Saisie'!$W$5:$W$2004,_xlfn.MAXIFS('Saisie'!$AS$5:$AS$2004,'Saisie'!$C$5:$C$2004,C317,'Saisie'!$W$5:$W$2004,"&lt;&gt;")-4),""))</f>
        <v/>
      </c>
      <c r="L317" s="60">
        <f>IF(IF(BB317&lt;&gt;"",BB317,K317)="","",HYPERLINK("https://wa.me/"&amp;IF(LEFT(SUBSTITUTE(SUBSTITUTE(SUBSTITUTE(IF(BB317&lt;&gt;"",BB317,K317)," ",""),".",""),"+",""),1)="0",'Paramètres'!$B$35&amp;MID(SUBSTITUTE(SUBSTITUTE(SUBSTITUTE(IF(BB317&lt;&gt;"",BB317,K317)," ",""),".",""),"+",""),2,20),SUBSTITUTE(SUBSTITUTE(SUBSTITUTE(IF(BB317&lt;&gt;"",BB317,K317)," ",""),".",""),"+","")),"WhatsApp"))</f>
        <v/>
      </c>
      <c r="M317" s="60">
        <f>IF(BC317="","",HYPERLINK(IF(LEFT(BC317,4)="http",BC317,"https://www.instagram.com/"&amp;SUBSTITUTE(SUBSTITUTE(BC317,"@","")," ","")),BC317))</f>
        <v/>
      </c>
      <c r="N317" s="60">
        <f>IF(C317="","",IFERROR(INDEX('Saisie'!$D$5:$D$2004,_xlfn.MINIFS('Saisie'!$AS$5:$AS$2004,'Saisie'!$C$5:$C$2004,C317,'Saisie'!$AU$5:$AU$2004,1)-4),IFERROR(INDEX('Saisie'!$D$5:$D$2004,_xlfn.MINIFS('Saisie'!$AS$5:$AS$2004,'Saisie'!$C$5:$C$2004,C317,'Saisie'!$D$5:$D$2004,"&lt;&gt;")-4),"")))</f>
        <v/>
      </c>
      <c r="O317" s="60">
        <f>IF(C317="","",COUNTIFS('Saisie'!$C$5:$C$2004,C317,'Saisie'!$AU$5:$AU$2004,1))</f>
        <v/>
      </c>
      <c r="P317" s="60">
        <f>IF(C317="","",COUNTIFS('Saisie'!$C$5:$C$2004,C317,'Saisie'!$AV$5:$AV$2004,1))</f>
        <v/>
      </c>
      <c r="Q317" s="106">
        <f>IF(C317="","",IFERROR(1/(1/_xlfn.MAXIFS('Saisie'!$A$5:$A$2004,'Saisie'!$C$5:$C$2004,C317)),""))</f>
        <v/>
      </c>
      <c r="R317" s="61">
        <f>IF(C317="","",IF(Q317="","",TODAY()-Q317))</f>
        <v/>
      </c>
      <c r="S317" s="60">
        <f>IF(C317="","",IFERROR(INDEX('Saisie'!$R$5:$R$2004,_xlfn.MAXIFS('Saisie'!$AS$5:$AS$2004,'Saisie'!$C$5:$C$2004,C317,'Saisie'!$R$5:$R$2004,"&lt;&gt;")-4),""))</f>
        <v/>
      </c>
      <c r="T317" s="60">
        <f>IF(C317="","",IFERROR(INDEX('Saisie'!$S$5:$S$2004,_xlfn.MAXIFS('Saisie'!$AS$5:$AS$2004,'Saisie'!$C$5:$C$2004,C317,'Saisie'!$S$5:$S$2004,"&lt;&gt;")-4),""))</f>
        <v/>
      </c>
      <c r="U317" s="60">
        <f>IF(C317="","",IFERROR(INDEX('Saisie'!$T$5:$T$2004,_xlfn.MAXIFS('Saisie'!$AS$5:$AS$2004,'Saisie'!$C$5:$C$2004,C317,'Saisie'!$T$5:$T$2004,"&lt;&gt;")-4),""))</f>
        <v/>
      </c>
      <c r="V317" s="60">
        <f>IF(C317="","",IFERROR(INDEX('Saisie'!$V$5:$V$2004,_xlfn.MAXIFS('Saisie'!$AS$5:$AS$2004,'Saisie'!$C$5:$C$2004,C317,'Saisie'!$V$5:$V$2004,"&lt;&gt;")-4),""))</f>
        <v/>
      </c>
      <c r="W317" s="60">
        <f>IF(C317="","",IFERROR(INDEX('Saisie'!$Z$5:$Z$2004,_xlfn.MAXIFS('Saisie'!$AS$5:$AS$2004,'Saisie'!$C$5:$C$2004,C317,'Saisie'!$Z$5:$Z$2004,"&lt;&gt;")-4),""))</f>
        <v/>
      </c>
      <c r="X317" s="60">
        <f>IF(C317="","",IFERROR(INDEX('Saisie'!$AA$5:$AA$2004,_xlfn.MAXIFS('Saisie'!$AS$5:$AS$2004,'Saisie'!$C$5:$C$2004,C317,'Saisie'!$AA$5:$AA$2004,"&lt;&gt;")-4),""))</f>
        <v/>
      </c>
      <c r="Y317" s="60">
        <f>IF(C317="","",IFERROR(INDEX('Saisie'!$AB$5:$AB$2004,_xlfn.MAXIFS('Saisie'!$AS$5:$AS$2004,'Saisie'!$C$5:$C$2004,C317,'Saisie'!$AB$5:$AB$2004,"&lt;&gt;")-4),""))</f>
        <v/>
      </c>
      <c r="Z317" s="60">
        <f>IF(C317="","",IFERROR(INDEX('Saisie'!$AC$5:$AC$2004,_xlfn.MAXIFS('Saisie'!$AS$5:$AS$2004,'Saisie'!$C$5:$C$2004,C317,'Saisie'!$AC$5:$AC$2004,"&lt;&gt;")-4),""))</f>
        <v/>
      </c>
      <c r="AA317" s="106">
        <f>IF(C317="","",IFERROR(INDEX('Saisie'!$AD$5:$AD$2004,_xlfn.MAXIFS('Saisie'!$AS$5:$AS$2004,'Saisie'!$C$5:$C$2004,C317,'Saisie'!$AD$5:$AD$2004,"&lt;&gt;")-4),""))</f>
        <v/>
      </c>
      <c r="AB317" s="60">
        <f>IF(C317="","",IFERROR(INDEX('Saisie'!$AE$5:$AE$2004,_xlfn.MAXIFS('Saisie'!$AS$5:$AS$2004,'Saisie'!$C$5:$C$2004,C317,'Saisie'!$AE$5:$AE$2004,"&lt;&gt;")-4),""))</f>
        <v/>
      </c>
      <c r="AC317" s="60">
        <f>IF(C317="","",IFERROR(INDEX('Saisie'!$AF$5:$AF$2004,_xlfn.MAXIFS('Saisie'!$AS$5:$AS$2004,'Saisie'!$C$5:$C$2004,C317,'Saisie'!$AF$5:$AF$2004,"&lt;&gt;")-4),""))</f>
        <v/>
      </c>
      <c r="AD317" s="108">
        <f>IF(C317="","",IFERROR(INDEX('Saisie'!$AG$5:$AG$2004,_xlfn.MAXIFS('Saisie'!$AS$5:$AS$2004,'Saisie'!$C$5:$C$2004,C317,'Saisie'!$AG$5:$AG$2004,"&lt;&gt;")-4),""))</f>
        <v/>
      </c>
      <c r="AE317" s="60">
        <f>IF(C317="","",IFERROR(INDEX('Saisie'!$AH$5:$AH$2004,_xlfn.MAXIFS('Saisie'!$AS$5:$AS$2004,'Saisie'!$C$5:$C$2004,C317,'Saisie'!$AH$5:$AH$2004,"&lt;&gt;")-4),""))</f>
        <v/>
      </c>
      <c r="AF317" s="60">
        <f>IF(C317="","",IFERROR(INDEX('Saisie'!$AI$5:$AI$2004,_xlfn.MAXIFS('Saisie'!$AS$5:$AS$2004,'Saisie'!$C$5:$C$2004,C317,'Saisie'!$AI$5:$AI$2004,"&lt;&gt;")-4),""))</f>
        <v/>
      </c>
      <c r="AG317" s="60">
        <f>IF(C317="","",IFERROR(INDEX('Saisie'!$AJ$5:$AJ$2004,_xlfn.MAXIFS('Saisie'!$AS$5:$AS$2004,'Saisie'!$C$5:$C$2004,C317,'Saisie'!$AJ$5:$AJ$2004,"&lt;&gt;")-4),""))</f>
        <v/>
      </c>
      <c r="AH317" s="60">
        <f>IF(C317="","",IFERROR(INDEX('Saisie'!$AK$5:$AK$2004,_xlfn.MAXIFS('Saisie'!$AS$5:$AS$2004,'Saisie'!$C$5:$C$2004,C317,'Saisie'!$AK$5:$AK$2004,"&lt;&gt;")-4),""))</f>
        <v/>
      </c>
      <c r="AI317" s="60">
        <f>IF(C317="","",IFERROR(INDEX('Saisie'!$AN$5:$AN$2004,_xlfn.MAXIFS('Saisie'!$AS$5:$AS$2004,'Saisie'!$C$5:$C$2004,C317,'Saisie'!$AN$5:$AN$2004,"&lt;&gt;")-4),""))</f>
        <v/>
      </c>
      <c r="AJ317" s="60">
        <f>IF(C317="","",IFERROR(INDEX('Saisie'!$AO$5:$AO$2004,_xlfn.MAXIFS('Saisie'!$AS$5:$AS$2004,'Saisie'!$C$5:$C$2004,C317,'Saisie'!$AO$5:$AO$2004,"&lt;&gt;")-4),""))</f>
        <v/>
      </c>
      <c r="AK317" s="60">
        <f>IF(C317="","",IFERROR(INDEX('Saisie'!$AP$5:$AP$2004,_xlfn.MAXIFS('Saisie'!$AS$5:$AS$2004,'Saisie'!$C$5:$C$2004,C317,'Saisie'!$AP$5:$AP$2004,"&lt;&gt;")-4),""))</f>
        <v/>
      </c>
      <c r="AL317" s="60">
        <f>IF(C317="","",IFERROR(INDEX('Saisie'!$AQ$5:$AQ$2004,_xlfn.MAXIFS('Saisie'!$AS$5:$AS$2004,'Saisie'!$C$5:$C$2004,C317,'Saisie'!$AQ$5:$AQ$2004,"&lt;&gt;")-4),""))</f>
        <v/>
      </c>
      <c r="AM317" s="60">
        <f>IF(C317="","",((AI317="Oui")+(AJ317="Oui")+(AK317="Oui")+OR(AL317="Immédiat",AL317="&lt; 1 mois"))&amp;"/4")</f>
        <v/>
      </c>
      <c r="AN317" s="60">
        <f>IF(C317="","",IFERROR(INDEX('Saisie'!$AL$5:$AL$2004,_xlfn.MAXIFS('Saisie'!$AS$5:$AS$2004,'Saisie'!$C$5:$C$2004,C317,'Saisie'!$AL$5:$AL$2004,"&lt;&gt;")-4),""))</f>
        <v/>
      </c>
      <c r="AO317" s="62">
        <f>IF(C317="","",IF(IFERROR(INDEX('Saisie'!$AM$5:$AM$2004,_xlfn.MAXIFS('Saisie'!$AS$5:$AS$2004,'Saisie'!$C$5:$C$2004,C317,'Saisie'!$AM$5:$AM$2004,"&lt;&gt;")-4),"")&lt;&gt;"",IFERROR(INDEX('Saisie'!$AM$5:$AM$2004,_xlfn.MAXIFS('Saisie'!$AS$5:$AS$2004,'Saisie'!$C$5:$C$2004,C317,'Saisie'!$AM$5:$AM$2004,"&lt;&gt;")-4),""),IFERROR(INDEX('Paramètres'!$S$6:$S$15,MATCH(AN317,'Paramètres'!$Q$6:$Q$15,0)),"")))</f>
        <v/>
      </c>
      <c r="AP317" s="62">
        <f>IF(C317="","",IFERROR(INDEX('Saisie'!$AW$5:$AW$2004,_xlfn.MAXIFS('Saisie'!$AS$5:$AS$2004,'Saisie'!$C$5:$C$2004,C317,'Saisie'!$E$5:$E$2004,"Proposition envoyée")-4),""))</f>
        <v/>
      </c>
      <c r="AQ317" s="106">
        <f>IF(C317="","",IFERROR(1/(1/_xlfn.MAXIFS('Saisie'!$A$5:$A$2004,'Saisie'!$C$5:$C$2004,C317,'Saisie'!$E$5:$E$2004,"Proposition envoyée")),""))</f>
        <v/>
      </c>
      <c r="AR317" s="106">
        <f>IF(C317="","",IF(AQ317="","",AQ317+'Paramètres'!$B$26))</f>
        <v/>
      </c>
      <c r="AS317" s="62">
        <f>IF(OR(C317="",D317="Gagné",D317="Perdu"),0,N(AP317)*IFERROR(INDEX('Paramètres'!$G$6:$G$13,MATCH(D317,'Paramètres'!$F$6:$F$13,0)),0))</f>
        <v/>
      </c>
      <c r="AT317" s="106">
        <f>IF(C317="","",IFERROR(1/(1/_xlfn.MINIFS('Saisie'!$A$5:$A$2004,'Saisie'!$C$5:$C$2004,C317,'Saisie'!$E$5:$E$2004,"Signature")),""))</f>
        <v/>
      </c>
      <c r="AU317" s="60">
        <f>IF(C317="","",IF(OR(AT317="",B317=""),"",AT317-B317))</f>
        <v/>
      </c>
      <c r="AV317" s="60">
        <f>IF(C317="","",IFERROR(INDEX('Saisie'!$L$5:$L$2004,_xlfn.MAXIFS('Saisie'!$AS$5:$AS$2004,'Saisie'!$C$5:$C$2004,C317,'Saisie'!$L$5:$L$2004,"&lt;&gt;")-4),""))</f>
        <v/>
      </c>
      <c r="AW317" s="106">
        <f>IF(C317="","",IF(D317&lt;&gt;"Perdu","",IFERROR(1/(1/_xlfn.MAXIFS('Saisie'!$A$5:$A$2004,'Saisie'!$C$5:$C$2004,C317,'Saisie'!$E$5:$E$2004,"Perdu")),"")))</f>
        <v/>
      </c>
      <c r="AX317" s="106">
        <f>IF(C317="","",IF(AW317="","",AW317+'Paramètres'!$B$28))</f>
        <v/>
      </c>
      <c r="AY317" s="60">
        <f>IF(C317="","",SUMIFS('Saisie'!$H$5:$H$2004,'Saisie'!$C$5:$C$2004,C317))</f>
        <v/>
      </c>
      <c r="AZ317" s="60">
        <f>IF(C317="","",IFERROR(INDEX('Paramètres'!$W$6:$W$20,MATCH(S317,'Paramètres'!$V$6:$V$20,0))&amp;"",""))</f>
        <v/>
      </c>
      <c r="BA317" s="60">
        <f>IF(C317="","",MAX(1,_xlfn.MAXIFS('Saisie'!$AT$5:$AT$2004,'Saisie'!$C$5:$C$2004,C317)))</f>
        <v/>
      </c>
      <c r="BB317" s="60">
        <f>IF(C317="","",IFERROR(INDEX('Saisie'!$X$5:$X$2004,_xlfn.MAXIFS('Saisie'!$AS$5:$AS$2004,'Saisie'!$C$5:$C$2004,C317,'Saisie'!$X$5:$X$2004,"&lt;&gt;")-4),""))</f>
        <v/>
      </c>
      <c r="BC317" s="60">
        <f>IF(C317="","",IFERROR(INDEX('Saisie'!$Y$5:$Y$2004,_xlfn.MAXIFS('Saisie'!$AS$5:$AS$2004,'Saisie'!$C$5:$C$2004,C317,'Saisie'!$Y$5:$Y$2004,"&lt;&gt;")-4),""))</f>
        <v/>
      </c>
      <c r="BD317" s="106">
        <f>IF(C317="","",IFERROR(1/(1/_xlfn.MINIFS('Saisie'!$A$5:$A$2004,'Saisie'!$C$5:$C$2004,C317,'Saisie'!$AT$5:$AT$2004,"&gt;=2")),""))</f>
        <v/>
      </c>
      <c r="BE317" s="106">
        <f>IF(C317="","",IFERROR(1/(1/_xlfn.MINIFS('Saisie'!$A$5:$A$2004,'Saisie'!$C$5:$C$2004,C317,'Saisie'!$AT$5:$AT$2004,"&gt;=3")),""))</f>
        <v/>
      </c>
      <c r="BF317" s="106">
        <f>IF(C317="","",IFERROR(1/(1/_xlfn.MINIFS('Saisie'!$A$5:$A$2004,'Saisie'!$C$5:$C$2004,C317,'Saisie'!$AT$5:$AT$2004,"&gt;=4")),""))</f>
        <v/>
      </c>
      <c r="BG317" s="106">
        <f>IF(C317="","",IFERROR(1/(1/_xlfn.MINIFS('Saisie'!$A$5:$A$2004,'Saisie'!$C$5:$C$2004,C317,'Saisie'!$AT$5:$AT$2004,"&gt;=5")),""))</f>
        <v/>
      </c>
      <c r="BH317" s="106">
        <f>IF(C317="","",IFERROR(1/(1/_xlfn.MINIFS('Saisie'!$A$5:$A$2004,'Saisie'!$C$5:$C$2004,C317,'Saisie'!$AT$5:$AT$2004,"&gt;=6")),""))</f>
        <v/>
      </c>
      <c r="BI317" s="106">
        <f>IF(C317="","",IFERROR(1/(1/_xlfn.MINIFS('Saisie'!$A$5:$A$2004,'Saisie'!$C$5:$C$2004,C317,'Saisie'!$AT$5:$AT$2004,"&gt;=7")),""))</f>
        <v/>
      </c>
      <c r="BJ317" s="60">
        <f>IF(OR(BD317="",B317=""),"",BD317-B317)</f>
        <v/>
      </c>
      <c r="BK317" s="60">
        <f>IF(OR(BE317="",BD317=""),"",BE317-BD317)</f>
        <v/>
      </c>
      <c r="BL317" s="60">
        <f>IF(OR(BF317="",BE317=""),"",BF317-BE317)</f>
        <v/>
      </c>
      <c r="BM317" s="60">
        <f>IF(OR(BG317="",BF317=""),"",BG317-BF317)</f>
        <v/>
      </c>
      <c r="BN317" s="60">
        <f>IF(OR(BH317="",BG317=""),"",BH317-BG317)</f>
        <v/>
      </c>
      <c r="BO317" s="60">
        <f>IF(OR(BI317="",BH317=""),"",BI317-BH317)</f>
        <v/>
      </c>
      <c r="BP317" s="60">
        <f>IF(C317="","",_xlfn.MAXIFS('Saisie'!$AS$5:$AS$2004,'Saisie'!$C$5:$C$2004,C317,'Saisie'!$J$5:$J$2004,"&lt;&gt;"))</f>
        <v/>
      </c>
      <c r="BQ317" s="60">
        <f>IF(C317="","",_xlfn.MAXIFS('Saisie'!$AS$5:$AS$2004,'Saisie'!$C$5:$C$2004,C317))</f>
        <v/>
      </c>
      <c r="BR317" s="60">
        <f>IF(C317="","",_xlfn.MAXIFS('Saisie'!$AS$5:$AS$2004,'Saisie'!$C$5:$C$2004,C317,'Saisie'!$E$5:$E$2004,"Perdu"))</f>
        <v/>
      </c>
      <c r="BS317" s="60">
        <f>IF(C317="","",_xlfn.MAXIFS('Saisie'!$AS$5:$AS$2004,'Saisie'!$C$5:$C$2004,C317,'Saisie'!$AT$5:$AT$2004,"&gt;0"))</f>
        <v/>
      </c>
      <c r="BT317" s="109">
        <f>IF(AND(C317&lt;&gt;"",OR(D317="Nouveau",D317="Contacté",D317="Qualifié"),OR(G317="",N(G317)&lt;=TODAY()),NOT(AND(O317&gt;='Paramètres'!$B$21,P317=0))),E317+313/10000,"")</f>
        <v/>
      </c>
      <c r="BU317" s="60">
        <f>IF(AND(G317&lt;&gt;"",N(G317)&lt;=TODAY()),MAX($BU$4:BU316)+1,"")</f>
        <v/>
      </c>
      <c r="BV317" s="60">
        <f>IF(AND(F317&lt;&gt;"",F317&lt;&gt;"Relance en retard"),MAX($BV$4:BV316)+1,"")</f>
        <v/>
      </c>
      <c r="BW317" s="60">
        <f>IF(C317="","",IF(AND(B317&gt;='Tableau de bord'!$R$4,B317&lt;='Tableau de bord'!$S$4,OR('Tableau de bord'!$G$4="Tous",N317='Tableau de bord'!$G$4)),1,0))</f>
        <v/>
      </c>
      <c r="BX317" s="60">
        <f>IF(AND(C317&lt;&gt;"",N(BA317)=7),MAX($BX$4:BX316)+1,"")</f>
        <v/>
      </c>
    </row>
    <row r="318">
      <c r="A318" s="60">
        <f>IF(C318="","","P-"&amp;TEXT(314,"000"))</f>
        <v/>
      </c>
      <c r="B318" s="106">
        <f>IF(C318="","",IFERROR(1/(1/_xlfn.MINIFS('Saisie'!$A$5:$A$2004,'Saisie'!$C$5:$C$2004,C318)),""))</f>
        <v/>
      </c>
      <c r="C318" s="60">
        <f>IFERROR(INDEX('Saisie'!$C$5:$C$2004,MATCH(314,'Saisie'!$AX$5:$AX$2004,0)),"")</f>
        <v/>
      </c>
      <c r="D318" s="60">
        <f>IF(C318="","",IF(AND(BR318&gt;0,BR318&gt;BS318,BA318&lt;7),"Perdu",INDEX('Paramètres'!$F$6:$F$13,BA318)))</f>
        <v/>
      </c>
      <c r="E318" s="61">
        <f>IF(C318="","",MIN(100,(Z318="Oui")*'Paramètres'!$B$38+(AB318="Régulière")*'Paramètres'!$B$39+IF(AND(N(AA318)&gt;0,TODAY()-N(AA318)&lt;=30),'Paramètres'!$B$40,0)+(W318="")*'Paramètres'!$B$41+(AC318="Absente")*'Paramètres'!$B$42+(AC318="Faible")*'Paramètres'!$B$43+IF(AND(N(AD318)&gt;0,N(AD318)&lt;4),'Paramètres'!$B$44,0)+(AF318="Moyenne")*'Paramètres'!$B$45+(AF318="Grande")*'Paramètres'!$B$46+(Y318&lt;&gt;"")*'Paramètres'!$B$47))</f>
        <v/>
      </c>
      <c r="F318" s="60">
        <f>IF(C318="","",IF(D318="Gagné","",IF(D318="Perdu",IF(AND(AX318&lt;&gt;"",AX318&lt;=TODAY()),"À recontacter (perdu)",""),IF(AND(O318&gt;='Paramètres'!$B$21,P318=0),"Stop : "&amp;'Paramètres'!$B$21&amp;" tentatives sans réponse",IF(AND(D318="Proposition",AR318&lt;&gt;"",TODAY()&gt;N(AR318)),"Proposition expirée",IF(AND(D318="Proposition",N(R318)&gt;='Paramètres'!$B$25),"Proposition sans réponse",IF(AND(G318&lt;&gt;"",N(G318)&lt;TODAY()),"Relance en retard",IF(N(R318)&gt;='Paramètres'!$B$24,"Sans action depuis "&amp;R318&amp;" j",""))))))))</f>
        <v/>
      </c>
      <c r="G318" s="106">
        <f>IF(OR(C318="",D318="Gagné",D318="Perdu"),"",IF(AND(BP318&gt;0,BP318=BQ318),INDEX('Saisie'!$J$5:$J$2004,BP318-4),IF(OR(O318=0,AND(O318&gt;='Paramètres'!$B$21,P318=0)),"",Q318+IF(O318&lt;=1,'Paramètres'!$B$18,IF(O318=2,'Paramètres'!$B$19,'Paramètres'!$B$20)))))</f>
        <v/>
      </c>
      <c r="H318" s="107">
        <f>IF(OR(G318="",BP318&lt;&gt;BQ318),"",IF(INDEX('Saisie'!$K$5:$K$2004,BP318-4)="","",INDEX('Saisie'!$K$5:$K$2004,BP318-4)))</f>
        <v/>
      </c>
      <c r="I318" s="60">
        <f>IF(C318="","",IF(OR(D318="Gagné",D318="Perdu"),"",IFERROR(INDEX('Saisie'!$I$5:$I$2004,_xlfn.MAXIFS('Saisie'!$AS$5:$AS$2004,'Saisie'!$C$5:$C$2004,C318,'Saisie'!$I$5:$I$2004,"&lt;&gt;")-4),"")))</f>
        <v/>
      </c>
      <c r="J318" s="60">
        <f>IF(C318="","",IFERROR(INDEX('Saisie'!$U$5:$U$2004,_xlfn.MAXIFS('Saisie'!$AS$5:$AS$2004,'Saisie'!$C$5:$C$2004,C318,'Saisie'!$U$5:$U$2004,"&lt;&gt;")-4),""))</f>
        <v/>
      </c>
      <c r="K318" s="60">
        <f>IF(C318="","",IFERROR(INDEX('Saisie'!$W$5:$W$2004,_xlfn.MAXIFS('Saisie'!$AS$5:$AS$2004,'Saisie'!$C$5:$C$2004,C318,'Saisie'!$W$5:$W$2004,"&lt;&gt;")-4),""))</f>
        <v/>
      </c>
      <c r="L318" s="60">
        <f>IF(IF(BB318&lt;&gt;"",BB318,K318)="","",HYPERLINK("https://wa.me/"&amp;IF(LEFT(SUBSTITUTE(SUBSTITUTE(SUBSTITUTE(IF(BB318&lt;&gt;"",BB318,K318)," ",""),".",""),"+",""),1)="0",'Paramètres'!$B$35&amp;MID(SUBSTITUTE(SUBSTITUTE(SUBSTITUTE(IF(BB318&lt;&gt;"",BB318,K318)," ",""),".",""),"+",""),2,20),SUBSTITUTE(SUBSTITUTE(SUBSTITUTE(IF(BB318&lt;&gt;"",BB318,K318)," ",""),".",""),"+","")),"WhatsApp"))</f>
        <v/>
      </c>
      <c r="M318" s="60">
        <f>IF(BC318="","",HYPERLINK(IF(LEFT(BC318,4)="http",BC318,"https://www.instagram.com/"&amp;SUBSTITUTE(SUBSTITUTE(BC318,"@","")," ","")),BC318))</f>
        <v/>
      </c>
      <c r="N318" s="60">
        <f>IF(C318="","",IFERROR(INDEX('Saisie'!$D$5:$D$2004,_xlfn.MINIFS('Saisie'!$AS$5:$AS$2004,'Saisie'!$C$5:$C$2004,C318,'Saisie'!$AU$5:$AU$2004,1)-4),IFERROR(INDEX('Saisie'!$D$5:$D$2004,_xlfn.MINIFS('Saisie'!$AS$5:$AS$2004,'Saisie'!$C$5:$C$2004,C318,'Saisie'!$D$5:$D$2004,"&lt;&gt;")-4),"")))</f>
        <v/>
      </c>
      <c r="O318" s="60">
        <f>IF(C318="","",COUNTIFS('Saisie'!$C$5:$C$2004,C318,'Saisie'!$AU$5:$AU$2004,1))</f>
        <v/>
      </c>
      <c r="P318" s="60">
        <f>IF(C318="","",COUNTIFS('Saisie'!$C$5:$C$2004,C318,'Saisie'!$AV$5:$AV$2004,1))</f>
        <v/>
      </c>
      <c r="Q318" s="106">
        <f>IF(C318="","",IFERROR(1/(1/_xlfn.MAXIFS('Saisie'!$A$5:$A$2004,'Saisie'!$C$5:$C$2004,C318)),""))</f>
        <v/>
      </c>
      <c r="R318" s="61">
        <f>IF(C318="","",IF(Q318="","",TODAY()-Q318))</f>
        <v/>
      </c>
      <c r="S318" s="60">
        <f>IF(C318="","",IFERROR(INDEX('Saisie'!$R$5:$R$2004,_xlfn.MAXIFS('Saisie'!$AS$5:$AS$2004,'Saisie'!$C$5:$C$2004,C318,'Saisie'!$R$5:$R$2004,"&lt;&gt;")-4),""))</f>
        <v/>
      </c>
      <c r="T318" s="60">
        <f>IF(C318="","",IFERROR(INDEX('Saisie'!$S$5:$S$2004,_xlfn.MAXIFS('Saisie'!$AS$5:$AS$2004,'Saisie'!$C$5:$C$2004,C318,'Saisie'!$S$5:$S$2004,"&lt;&gt;")-4),""))</f>
        <v/>
      </c>
      <c r="U318" s="60">
        <f>IF(C318="","",IFERROR(INDEX('Saisie'!$T$5:$T$2004,_xlfn.MAXIFS('Saisie'!$AS$5:$AS$2004,'Saisie'!$C$5:$C$2004,C318,'Saisie'!$T$5:$T$2004,"&lt;&gt;")-4),""))</f>
        <v/>
      </c>
      <c r="V318" s="60">
        <f>IF(C318="","",IFERROR(INDEX('Saisie'!$V$5:$V$2004,_xlfn.MAXIFS('Saisie'!$AS$5:$AS$2004,'Saisie'!$C$5:$C$2004,C318,'Saisie'!$V$5:$V$2004,"&lt;&gt;")-4),""))</f>
        <v/>
      </c>
      <c r="W318" s="60">
        <f>IF(C318="","",IFERROR(INDEX('Saisie'!$Z$5:$Z$2004,_xlfn.MAXIFS('Saisie'!$AS$5:$AS$2004,'Saisie'!$C$5:$C$2004,C318,'Saisie'!$Z$5:$Z$2004,"&lt;&gt;")-4),""))</f>
        <v/>
      </c>
      <c r="X318" s="60">
        <f>IF(C318="","",IFERROR(INDEX('Saisie'!$AA$5:$AA$2004,_xlfn.MAXIFS('Saisie'!$AS$5:$AS$2004,'Saisie'!$C$5:$C$2004,C318,'Saisie'!$AA$5:$AA$2004,"&lt;&gt;")-4),""))</f>
        <v/>
      </c>
      <c r="Y318" s="60">
        <f>IF(C318="","",IFERROR(INDEX('Saisie'!$AB$5:$AB$2004,_xlfn.MAXIFS('Saisie'!$AS$5:$AS$2004,'Saisie'!$C$5:$C$2004,C318,'Saisie'!$AB$5:$AB$2004,"&lt;&gt;")-4),""))</f>
        <v/>
      </c>
      <c r="Z318" s="60">
        <f>IF(C318="","",IFERROR(INDEX('Saisie'!$AC$5:$AC$2004,_xlfn.MAXIFS('Saisie'!$AS$5:$AS$2004,'Saisie'!$C$5:$C$2004,C318,'Saisie'!$AC$5:$AC$2004,"&lt;&gt;")-4),""))</f>
        <v/>
      </c>
      <c r="AA318" s="106">
        <f>IF(C318="","",IFERROR(INDEX('Saisie'!$AD$5:$AD$2004,_xlfn.MAXIFS('Saisie'!$AS$5:$AS$2004,'Saisie'!$C$5:$C$2004,C318,'Saisie'!$AD$5:$AD$2004,"&lt;&gt;")-4),""))</f>
        <v/>
      </c>
      <c r="AB318" s="60">
        <f>IF(C318="","",IFERROR(INDEX('Saisie'!$AE$5:$AE$2004,_xlfn.MAXIFS('Saisie'!$AS$5:$AS$2004,'Saisie'!$C$5:$C$2004,C318,'Saisie'!$AE$5:$AE$2004,"&lt;&gt;")-4),""))</f>
        <v/>
      </c>
      <c r="AC318" s="60">
        <f>IF(C318="","",IFERROR(INDEX('Saisie'!$AF$5:$AF$2004,_xlfn.MAXIFS('Saisie'!$AS$5:$AS$2004,'Saisie'!$C$5:$C$2004,C318,'Saisie'!$AF$5:$AF$2004,"&lt;&gt;")-4),""))</f>
        <v/>
      </c>
      <c r="AD318" s="108">
        <f>IF(C318="","",IFERROR(INDEX('Saisie'!$AG$5:$AG$2004,_xlfn.MAXIFS('Saisie'!$AS$5:$AS$2004,'Saisie'!$C$5:$C$2004,C318,'Saisie'!$AG$5:$AG$2004,"&lt;&gt;")-4),""))</f>
        <v/>
      </c>
      <c r="AE318" s="60">
        <f>IF(C318="","",IFERROR(INDEX('Saisie'!$AH$5:$AH$2004,_xlfn.MAXIFS('Saisie'!$AS$5:$AS$2004,'Saisie'!$C$5:$C$2004,C318,'Saisie'!$AH$5:$AH$2004,"&lt;&gt;")-4),""))</f>
        <v/>
      </c>
      <c r="AF318" s="60">
        <f>IF(C318="","",IFERROR(INDEX('Saisie'!$AI$5:$AI$2004,_xlfn.MAXIFS('Saisie'!$AS$5:$AS$2004,'Saisie'!$C$5:$C$2004,C318,'Saisie'!$AI$5:$AI$2004,"&lt;&gt;")-4),""))</f>
        <v/>
      </c>
      <c r="AG318" s="60">
        <f>IF(C318="","",IFERROR(INDEX('Saisie'!$AJ$5:$AJ$2004,_xlfn.MAXIFS('Saisie'!$AS$5:$AS$2004,'Saisie'!$C$5:$C$2004,C318,'Saisie'!$AJ$5:$AJ$2004,"&lt;&gt;")-4),""))</f>
        <v/>
      </c>
      <c r="AH318" s="60">
        <f>IF(C318="","",IFERROR(INDEX('Saisie'!$AK$5:$AK$2004,_xlfn.MAXIFS('Saisie'!$AS$5:$AS$2004,'Saisie'!$C$5:$C$2004,C318,'Saisie'!$AK$5:$AK$2004,"&lt;&gt;")-4),""))</f>
        <v/>
      </c>
      <c r="AI318" s="60">
        <f>IF(C318="","",IFERROR(INDEX('Saisie'!$AN$5:$AN$2004,_xlfn.MAXIFS('Saisie'!$AS$5:$AS$2004,'Saisie'!$C$5:$C$2004,C318,'Saisie'!$AN$5:$AN$2004,"&lt;&gt;")-4),""))</f>
        <v/>
      </c>
      <c r="AJ318" s="60">
        <f>IF(C318="","",IFERROR(INDEX('Saisie'!$AO$5:$AO$2004,_xlfn.MAXIFS('Saisie'!$AS$5:$AS$2004,'Saisie'!$C$5:$C$2004,C318,'Saisie'!$AO$5:$AO$2004,"&lt;&gt;")-4),""))</f>
        <v/>
      </c>
      <c r="AK318" s="60">
        <f>IF(C318="","",IFERROR(INDEX('Saisie'!$AP$5:$AP$2004,_xlfn.MAXIFS('Saisie'!$AS$5:$AS$2004,'Saisie'!$C$5:$C$2004,C318,'Saisie'!$AP$5:$AP$2004,"&lt;&gt;")-4),""))</f>
        <v/>
      </c>
      <c r="AL318" s="60">
        <f>IF(C318="","",IFERROR(INDEX('Saisie'!$AQ$5:$AQ$2004,_xlfn.MAXIFS('Saisie'!$AS$5:$AS$2004,'Saisie'!$C$5:$C$2004,C318,'Saisie'!$AQ$5:$AQ$2004,"&lt;&gt;")-4),""))</f>
        <v/>
      </c>
      <c r="AM318" s="60">
        <f>IF(C318="","",((AI318="Oui")+(AJ318="Oui")+(AK318="Oui")+OR(AL318="Immédiat",AL318="&lt; 1 mois"))&amp;"/4")</f>
        <v/>
      </c>
      <c r="AN318" s="60">
        <f>IF(C318="","",IFERROR(INDEX('Saisie'!$AL$5:$AL$2004,_xlfn.MAXIFS('Saisie'!$AS$5:$AS$2004,'Saisie'!$C$5:$C$2004,C318,'Saisie'!$AL$5:$AL$2004,"&lt;&gt;")-4),""))</f>
        <v/>
      </c>
      <c r="AO318" s="62">
        <f>IF(C318="","",IF(IFERROR(INDEX('Saisie'!$AM$5:$AM$2004,_xlfn.MAXIFS('Saisie'!$AS$5:$AS$2004,'Saisie'!$C$5:$C$2004,C318,'Saisie'!$AM$5:$AM$2004,"&lt;&gt;")-4),"")&lt;&gt;"",IFERROR(INDEX('Saisie'!$AM$5:$AM$2004,_xlfn.MAXIFS('Saisie'!$AS$5:$AS$2004,'Saisie'!$C$5:$C$2004,C318,'Saisie'!$AM$5:$AM$2004,"&lt;&gt;")-4),""),IFERROR(INDEX('Paramètres'!$S$6:$S$15,MATCH(AN318,'Paramètres'!$Q$6:$Q$15,0)),"")))</f>
        <v/>
      </c>
      <c r="AP318" s="62">
        <f>IF(C318="","",IFERROR(INDEX('Saisie'!$AW$5:$AW$2004,_xlfn.MAXIFS('Saisie'!$AS$5:$AS$2004,'Saisie'!$C$5:$C$2004,C318,'Saisie'!$E$5:$E$2004,"Proposition envoyée")-4),""))</f>
        <v/>
      </c>
      <c r="AQ318" s="106">
        <f>IF(C318="","",IFERROR(1/(1/_xlfn.MAXIFS('Saisie'!$A$5:$A$2004,'Saisie'!$C$5:$C$2004,C318,'Saisie'!$E$5:$E$2004,"Proposition envoyée")),""))</f>
        <v/>
      </c>
      <c r="AR318" s="106">
        <f>IF(C318="","",IF(AQ318="","",AQ318+'Paramètres'!$B$26))</f>
        <v/>
      </c>
      <c r="AS318" s="62">
        <f>IF(OR(C318="",D318="Gagné",D318="Perdu"),0,N(AP318)*IFERROR(INDEX('Paramètres'!$G$6:$G$13,MATCH(D318,'Paramètres'!$F$6:$F$13,0)),0))</f>
        <v/>
      </c>
      <c r="AT318" s="106">
        <f>IF(C318="","",IFERROR(1/(1/_xlfn.MINIFS('Saisie'!$A$5:$A$2004,'Saisie'!$C$5:$C$2004,C318,'Saisie'!$E$5:$E$2004,"Signature")),""))</f>
        <v/>
      </c>
      <c r="AU318" s="60">
        <f>IF(C318="","",IF(OR(AT318="",B318=""),"",AT318-B318))</f>
        <v/>
      </c>
      <c r="AV318" s="60">
        <f>IF(C318="","",IFERROR(INDEX('Saisie'!$L$5:$L$2004,_xlfn.MAXIFS('Saisie'!$AS$5:$AS$2004,'Saisie'!$C$5:$C$2004,C318,'Saisie'!$L$5:$L$2004,"&lt;&gt;")-4),""))</f>
        <v/>
      </c>
      <c r="AW318" s="106">
        <f>IF(C318="","",IF(D318&lt;&gt;"Perdu","",IFERROR(1/(1/_xlfn.MAXIFS('Saisie'!$A$5:$A$2004,'Saisie'!$C$5:$C$2004,C318,'Saisie'!$E$5:$E$2004,"Perdu")),"")))</f>
        <v/>
      </c>
      <c r="AX318" s="106">
        <f>IF(C318="","",IF(AW318="","",AW318+'Paramètres'!$B$28))</f>
        <v/>
      </c>
      <c r="AY318" s="60">
        <f>IF(C318="","",SUMIFS('Saisie'!$H$5:$H$2004,'Saisie'!$C$5:$C$2004,C318))</f>
        <v/>
      </c>
      <c r="AZ318" s="60">
        <f>IF(C318="","",IFERROR(INDEX('Paramètres'!$W$6:$W$20,MATCH(S318,'Paramètres'!$V$6:$V$20,0))&amp;"",""))</f>
        <v/>
      </c>
      <c r="BA318" s="60">
        <f>IF(C318="","",MAX(1,_xlfn.MAXIFS('Saisie'!$AT$5:$AT$2004,'Saisie'!$C$5:$C$2004,C318)))</f>
        <v/>
      </c>
      <c r="BB318" s="60">
        <f>IF(C318="","",IFERROR(INDEX('Saisie'!$X$5:$X$2004,_xlfn.MAXIFS('Saisie'!$AS$5:$AS$2004,'Saisie'!$C$5:$C$2004,C318,'Saisie'!$X$5:$X$2004,"&lt;&gt;")-4),""))</f>
        <v/>
      </c>
      <c r="BC318" s="60">
        <f>IF(C318="","",IFERROR(INDEX('Saisie'!$Y$5:$Y$2004,_xlfn.MAXIFS('Saisie'!$AS$5:$AS$2004,'Saisie'!$C$5:$C$2004,C318,'Saisie'!$Y$5:$Y$2004,"&lt;&gt;")-4),""))</f>
        <v/>
      </c>
      <c r="BD318" s="106">
        <f>IF(C318="","",IFERROR(1/(1/_xlfn.MINIFS('Saisie'!$A$5:$A$2004,'Saisie'!$C$5:$C$2004,C318,'Saisie'!$AT$5:$AT$2004,"&gt;=2")),""))</f>
        <v/>
      </c>
      <c r="BE318" s="106">
        <f>IF(C318="","",IFERROR(1/(1/_xlfn.MINIFS('Saisie'!$A$5:$A$2004,'Saisie'!$C$5:$C$2004,C318,'Saisie'!$AT$5:$AT$2004,"&gt;=3")),""))</f>
        <v/>
      </c>
      <c r="BF318" s="106">
        <f>IF(C318="","",IFERROR(1/(1/_xlfn.MINIFS('Saisie'!$A$5:$A$2004,'Saisie'!$C$5:$C$2004,C318,'Saisie'!$AT$5:$AT$2004,"&gt;=4")),""))</f>
        <v/>
      </c>
      <c r="BG318" s="106">
        <f>IF(C318="","",IFERROR(1/(1/_xlfn.MINIFS('Saisie'!$A$5:$A$2004,'Saisie'!$C$5:$C$2004,C318,'Saisie'!$AT$5:$AT$2004,"&gt;=5")),""))</f>
        <v/>
      </c>
      <c r="BH318" s="106">
        <f>IF(C318="","",IFERROR(1/(1/_xlfn.MINIFS('Saisie'!$A$5:$A$2004,'Saisie'!$C$5:$C$2004,C318,'Saisie'!$AT$5:$AT$2004,"&gt;=6")),""))</f>
        <v/>
      </c>
      <c r="BI318" s="106">
        <f>IF(C318="","",IFERROR(1/(1/_xlfn.MINIFS('Saisie'!$A$5:$A$2004,'Saisie'!$C$5:$C$2004,C318,'Saisie'!$AT$5:$AT$2004,"&gt;=7")),""))</f>
        <v/>
      </c>
      <c r="BJ318" s="60">
        <f>IF(OR(BD318="",B318=""),"",BD318-B318)</f>
        <v/>
      </c>
      <c r="BK318" s="60">
        <f>IF(OR(BE318="",BD318=""),"",BE318-BD318)</f>
        <v/>
      </c>
      <c r="BL318" s="60">
        <f>IF(OR(BF318="",BE318=""),"",BF318-BE318)</f>
        <v/>
      </c>
      <c r="BM318" s="60">
        <f>IF(OR(BG318="",BF318=""),"",BG318-BF318)</f>
        <v/>
      </c>
      <c r="BN318" s="60">
        <f>IF(OR(BH318="",BG318=""),"",BH318-BG318)</f>
        <v/>
      </c>
      <c r="BO318" s="60">
        <f>IF(OR(BI318="",BH318=""),"",BI318-BH318)</f>
        <v/>
      </c>
      <c r="BP318" s="60">
        <f>IF(C318="","",_xlfn.MAXIFS('Saisie'!$AS$5:$AS$2004,'Saisie'!$C$5:$C$2004,C318,'Saisie'!$J$5:$J$2004,"&lt;&gt;"))</f>
        <v/>
      </c>
      <c r="BQ318" s="60">
        <f>IF(C318="","",_xlfn.MAXIFS('Saisie'!$AS$5:$AS$2004,'Saisie'!$C$5:$C$2004,C318))</f>
        <v/>
      </c>
      <c r="BR318" s="60">
        <f>IF(C318="","",_xlfn.MAXIFS('Saisie'!$AS$5:$AS$2004,'Saisie'!$C$5:$C$2004,C318,'Saisie'!$E$5:$E$2004,"Perdu"))</f>
        <v/>
      </c>
      <c r="BS318" s="60">
        <f>IF(C318="","",_xlfn.MAXIFS('Saisie'!$AS$5:$AS$2004,'Saisie'!$C$5:$C$2004,C318,'Saisie'!$AT$5:$AT$2004,"&gt;0"))</f>
        <v/>
      </c>
      <c r="BT318" s="109">
        <f>IF(AND(C318&lt;&gt;"",OR(D318="Nouveau",D318="Contacté",D318="Qualifié"),OR(G318="",N(G318)&lt;=TODAY()),NOT(AND(O318&gt;='Paramètres'!$B$21,P318=0))),E318+314/10000,"")</f>
        <v/>
      </c>
      <c r="BU318" s="60">
        <f>IF(AND(G318&lt;&gt;"",N(G318)&lt;=TODAY()),MAX($BU$4:BU317)+1,"")</f>
        <v/>
      </c>
      <c r="BV318" s="60">
        <f>IF(AND(F318&lt;&gt;"",F318&lt;&gt;"Relance en retard"),MAX($BV$4:BV317)+1,"")</f>
        <v/>
      </c>
      <c r="BW318" s="60">
        <f>IF(C318="","",IF(AND(B318&gt;='Tableau de bord'!$R$4,B318&lt;='Tableau de bord'!$S$4,OR('Tableau de bord'!$G$4="Tous",N318='Tableau de bord'!$G$4)),1,0))</f>
        <v/>
      </c>
      <c r="BX318" s="60">
        <f>IF(AND(C318&lt;&gt;"",N(BA318)=7),MAX($BX$4:BX317)+1,"")</f>
        <v/>
      </c>
    </row>
    <row r="319">
      <c r="A319" s="60">
        <f>IF(C319="","","P-"&amp;TEXT(315,"000"))</f>
        <v/>
      </c>
      <c r="B319" s="106">
        <f>IF(C319="","",IFERROR(1/(1/_xlfn.MINIFS('Saisie'!$A$5:$A$2004,'Saisie'!$C$5:$C$2004,C319)),""))</f>
        <v/>
      </c>
      <c r="C319" s="60">
        <f>IFERROR(INDEX('Saisie'!$C$5:$C$2004,MATCH(315,'Saisie'!$AX$5:$AX$2004,0)),"")</f>
        <v/>
      </c>
      <c r="D319" s="60">
        <f>IF(C319="","",IF(AND(BR319&gt;0,BR319&gt;BS319,BA319&lt;7),"Perdu",INDEX('Paramètres'!$F$6:$F$13,BA319)))</f>
        <v/>
      </c>
      <c r="E319" s="61">
        <f>IF(C319="","",MIN(100,(Z319="Oui")*'Paramètres'!$B$38+(AB319="Régulière")*'Paramètres'!$B$39+IF(AND(N(AA319)&gt;0,TODAY()-N(AA319)&lt;=30),'Paramètres'!$B$40,0)+(W319="")*'Paramètres'!$B$41+(AC319="Absente")*'Paramètres'!$B$42+(AC319="Faible")*'Paramètres'!$B$43+IF(AND(N(AD319)&gt;0,N(AD319)&lt;4),'Paramètres'!$B$44,0)+(AF319="Moyenne")*'Paramètres'!$B$45+(AF319="Grande")*'Paramètres'!$B$46+(Y319&lt;&gt;"")*'Paramètres'!$B$47))</f>
        <v/>
      </c>
      <c r="F319" s="60">
        <f>IF(C319="","",IF(D319="Gagné","",IF(D319="Perdu",IF(AND(AX319&lt;&gt;"",AX319&lt;=TODAY()),"À recontacter (perdu)",""),IF(AND(O319&gt;='Paramètres'!$B$21,P319=0),"Stop : "&amp;'Paramètres'!$B$21&amp;" tentatives sans réponse",IF(AND(D319="Proposition",AR319&lt;&gt;"",TODAY()&gt;N(AR319)),"Proposition expirée",IF(AND(D319="Proposition",N(R319)&gt;='Paramètres'!$B$25),"Proposition sans réponse",IF(AND(G319&lt;&gt;"",N(G319)&lt;TODAY()),"Relance en retard",IF(N(R319)&gt;='Paramètres'!$B$24,"Sans action depuis "&amp;R319&amp;" j",""))))))))</f>
        <v/>
      </c>
      <c r="G319" s="106">
        <f>IF(OR(C319="",D319="Gagné",D319="Perdu"),"",IF(AND(BP319&gt;0,BP319=BQ319),INDEX('Saisie'!$J$5:$J$2004,BP319-4),IF(OR(O319=0,AND(O319&gt;='Paramètres'!$B$21,P319=0)),"",Q319+IF(O319&lt;=1,'Paramètres'!$B$18,IF(O319=2,'Paramètres'!$B$19,'Paramètres'!$B$20)))))</f>
        <v/>
      </c>
      <c r="H319" s="107">
        <f>IF(OR(G319="",BP319&lt;&gt;BQ319),"",IF(INDEX('Saisie'!$K$5:$K$2004,BP319-4)="","",INDEX('Saisie'!$K$5:$K$2004,BP319-4)))</f>
        <v/>
      </c>
      <c r="I319" s="60">
        <f>IF(C319="","",IF(OR(D319="Gagné",D319="Perdu"),"",IFERROR(INDEX('Saisie'!$I$5:$I$2004,_xlfn.MAXIFS('Saisie'!$AS$5:$AS$2004,'Saisie'!$C$5:$C$2004,C319,'Saisie'!$I$5:$I$2004,"&lt;&gt;")-4),"")))</f>
        <v/>
      </c>
      <c r="J319" s="60">
        <f>IF(C319="","",IFERROR(INDEX('Saisie'!$U$5:$U$2004,_xlfn.MAXIFS('Saisie'!$AS$5:$AS$2004,'Saisie'!$C$5:$C$2004,C319,'Saisie'!$U$5:$U$2004,"&lt;&gt;")-4),""))</f>
        <v/>
      </c>
      <c r="K319" s="60">
        <f>IF(C319="","",IFERROR(INDEX('Saisie'!$W$5:$W$2004,_xlfn.MAXIFS('Saisie'!$AS$5:$AS$2004,'Saisie'!$C$5:$C$2004,C319,'Saisie'!$W$5:$W$2004,"&lt;&gt;")-4),""))</f>
        <v/>
      </c>
      <c r="L319" s="60">
        <f>IF(IF(BB319&lt;&gt;"",BB319,K319)="","",HYPERLINK("https://wa.me/"&amp;IF(LEFT(SUBSTITUTE(SUBSTITUTE(SUBSTITUTE(IF(BB319&lt;&gt;"",BB319,K319)," ",""),".",""),"+",""),1)="0",'Paramètres'!$B$35&amp;MID(SUBSTITUTE(SUBSTITUTE(SUBSTITUTE(IF(BB319&lt;&gt;"",BB319,K319)," ",""),".",""),"+",""),2,20),SUBSTITUTE(SUBSTITUTE(SUBSTITUTE(IF(BB319&lt;&gt;"",BB319,K319)," ",""),".",""),"+","")),"WhatsApp"))</f>
        <v/>
      </c>
      <c r="M319" s="60">
        <f>IF(BC319="","",HYPERLINK(IF(LEFT(BC319,4)="http",BC319,"https://www.instagram.com/"&amp;SUBSTITUTE(SUBSTITUTE(BC319,"@","")," ","")),BC319))</f>
        <v/>
      </c>
      <c r="N319" s="60">
        <f>IF(C319="","",IFERROR(INDEX('Saisie'!$D$5:$D$2004,_xlfn.MINIFS('Saisie'!$AS$5:$AS$2004,'Saisie'!$C$5:$C$2004,C319,'Saisie'!$AU$5:$AU$2004,1)-4),IFERROR(INDEX('Saisie'!$D$5:$D$2004,_xlfn.MINIFS('Saisie'!$AS$5:$AS$2004,'Saisie'!$C$5:$C$2004,C319,'Saisie'!$D$5:$D$2004,"&lt;&gt;")-4),"")))</f>
        <v/>
      </c>
      <c r="O319" s="60">
        <f>IF(C319="","",COUNTIFS('Saisie'!$C$5:$C$2004,C319,'Saisie'!$AU$5:$AU$2004,1))</f>
        <v/>
      </c>
      <c r="P319" s="60">
        <f>IF(C319="","",COUNTIFS('Saisie'!$C$5:$C$2004,C319,'Saisie'!$AV$5:$AV$2004,1))</f>
        <v/>
      </c>
      <c r="Q319" s="106">
        <f>IF(C319="","",IFERROR(1/(1/_xlfn.MAXIFS('Saisie'!$A$5:$A$2004,'Saisie'!$C$5:$C$2004,C319)),""))</f>
        <v/>
      </c>
      <c r="R319" s="61">
        <f>IF(C319="","",IF(Q319="","",TODAY()-Q319))</f>
        <v/>
      </c>
      <c r="S319" s="60">
        <f>IF(C319="","",IFERROR(INDEX('Saisie'!$R$5:$R$2004,_xlfn.MAXIFS('Saisie'!$AS$5:$AS$2004,'Saisie'!$C$5:$C$2004,C319,'Saisie'!$R$5:$R$2004,"&lt;&gt;")-4),""))</f>
        <v/>
      </c>
      <c r="T319" s="60">
        <f>IF(C319="","",IFERROR(INDEX('Saisie'!$S$5:$S$2004,_xlfn.MAXIFS('Saisie'!$AS$5:$AS$2004,'Saisie'!$C$5:$C$2004,C319,'Saisie'!$S$5:$S$2004,"&lt;&gt;")-4),""))</f>
        <v/>
      </c>
      <c r="U319" s="60">
        <f>IF(C319="","",IFERROR(INDEX('Saisie'!$T$5:$T$2004,_xlfn.MAXIFS('Saisie'!$AS$5:$AS$2004,'Saisie'!$C$5:$C$2004,C319,'Saisie'!$T$5:$T$2004,"&lt;&gt;")-4),""))</f>
        <v/>
      </c>
      <c r="V319" s="60">
        <f>IF(C319="","",IFERROR(INDEX('Saisie'!$V$5:$V$2004,_xlfn.MAXIFS('Saisie'!$AS$5:$AS$2004,'Saisie'!$C$5:$C$2004,C319,'Saisie'!$V$5:$V$2004,"&lt;&gt;")-4),""))</f>
        <v/>
      </c>
      <c r="W319" s="60">
        <f>IF(C319="","",IFERROR(INDEX('Saisie'!$Z$5:$Z$2004,_xlfn.MAXIFS('Saisie'!$AS$5:$AS$2004,'Saisie'!$C$5:$C$2004,C319,'Saisie'!$Z$5:$Z$2004,"&lt;&gt;")-4),""))</f>
        <v/>
      </c>
      <c r="X319" s="60">
        <f>IF(C319="","",IFERROR(INDEX('Saisie'!$AA$5:$AA$2004,_xlfn.MAXIFS('Saisie'!$AS$5:$AS$2004,'Saisie'!$C$5:$C$2004,C319,'Saisie'!$AA$5:$AA$2004,"&lt;&gt;")-4),""))</f>
        <v/>
      </c>
      <c r="Y319" s="60">
        <f>IF(C319="","",IFERROR(INDEX('Saisie'!$AB$5:$AB$2004,_xlfn.MAXIFS('Saisie'!$AS$5:$AS$2004,'Saisie'!$C$5:$C$2004,C319,'Saisie'!$AB$5:$AB$2004,"&lt;&gt;")-4),""))</f>
        <v/>
      </c>
      <c r="Z319" s="60">
        <f>IF(C319="","",IFERROR(INDEX('Saisie'!$AC$5:$AC$2004,_xlfn.MAXIFS('Saisie'!$AS$5:$AS$2004,'Saisie'!$C$5:$C$2004,C319,'Saisie'!$AC$5:$AC$2004,"&lt;&gt;")-4),""))</f>
        <v/>
      </c>
      <c r="AA319" s="106">
        <f>IF(C319="","",IFERROR(INDEX('Saisie'!$AD$5:$AD$2004,_xlfn.MAXIFS('Saisie'!$AS$5:$AS$2004,'Saisie'!$C$5:$C$2004,C319,'Saisie'!$AD$5:$AD$2004,"&lt;&gt;")-4),""))</f>
        <v/>
      </c>
      <c r="AB319" s="60">
        <f>IF(C319="","",IFERROR(INDEX('Saisie'!$AE$5:$AE$2004,_xlfn.MAXIFS('Saisie'!$AS$5:$AS$2004,'Saisie'!$C$5:$C$2004,C319,'Saisie'!$AE$5:$AE$2004,"&lt;&gt;")-4),""))</f>
        <v/>
      </c>
      <c r="AC319" s="60">
        <f>IF(C319="","",IFERROR(INDEX('Saisie'!$AF$5:$AF$2004,_xlfn.MAXIFS('Saisie'!$AS$5:$AS$2004,'Saisie'!$C$5:$C$2004,C319,'Saisie'!$AF$5:$AF$2004,"&lt;&gt;")-4),""))</f>
        <v/>
      </c>
      <c r="AD319" s="108">
        <f>IF(C319="","",IFERROR(INDEX('Saisie'!$AG$5:$AG$2004,_xlfn.MAXIFS('Saisie'!$AS$5:$AS$2004,'Saisie'!$C$5:$C$2004,C319,'Saisie'!$AG$5:$AG$2004,"&lt;&gt;")-4),""))</f>
        <v/>
      </c>
      <c r="AE319" s="60">
        <f>IF(C319="","",IFERROR(INDEX('Saisie'!$AH$5:$AH$2004,_xlfn.MAXIFS('Saisie'!$AS$5:$AS$2004,'Saisie'!$C$5:$C$2004,C319,'Saisie'!$AH$5:$AH$2004,"&lt;&gt;")-4),""))</f>
        <v/>
      </c>
      <c r="AF319" s="60">
        <f>IF(C319="","",IFERROR(INDEX('Saisie'!$AI$5:$AI$2004,_xlfn.MAXIFS('Saisie'!$AS$5:$AS$2004,'Saisie'!$C$5:$C$2004,C319,'Saisie'!$AI$5:$AI$2004,"&lt;&gt;")-4),""))</f>
        <v/>
      </c>
      <c r="AG319" s="60">
        <f>IF(C319="","",IFERROR(INDEX('Saisie'!$AJ$5:$AJ$2004,_xlfn.MAXIFS('Saisie'!$AS$5:$AS$2004,'Saisie'!$C$5:$C$2004,C319,'Saisie'!$AJ$5:$AJ$2004,"&lt;&gt;")-4),""))</f>
        <v/>
      </c>
      <c r="AH319" s="60">
        <f>IF(C319="","",IFERROR(INDEX('Saisie'!$AK$5:$AK$2004,_xlfn.MAXIFS('Saisie'!$AS$5:$AS$2004,'Saisie'!$C$5:$C$2004,C319,'Saisie'!$AK$5:$AK$2004,"&lt;&gt;")-4),""))</f>
        <v/>
      </c>
      <c r="AI319" s="60">
        <f>IF(C319="","",IFERROR(INDEX('Saisie'!$AN$5:$AN$2004,_xlfn.MAXIFS('Saisie'!$AS$5:$AS$2004,'Saisie'!$C$5:$C$2004,C319,'Saisie'!$AN$5:$AN$2004,"&lt;&gt;")-4),""))</f>
        <v/>
      </c>
      <c r="AJ319" s="60">
        <f>IF(C319="","",IFERROR(INDEX('Saisie'!$AO$5:$AO$2004,_xlfn.MAXIFS('Saisie'!$AS$5:$AS$2004,'Saisie'!$C$5:$C$2004,C319,'Saisie'!$AO$5:$AO$2004,"&lt;&gt;")-4),""))</f>
        <v/>
      </c>
      <c r="AK319" s="60">
        <f>IF(C319="","",IFERROR(INDEX('Saisie'!$AP$5:$AP$2004,_xlfn.MAXIFS('Saisie'!$AS$5:$AS$2004,'Saisie'!$C$5:$C$2004,C319,'Saisie'!$AP$5:$AP$2004,"&lt;&gt;")-4),""))</f>
        <v/>
      </c>
      <c r="AL319" s="60">
        <f>IF(C319="","",IFERROR(INDEX('Saisie'!$AQ$5:$AQ$2004,_xlfn.MAXIFS('Saisie'!$AS$5:$AS$2004,'Saisie'!$C$5:$C$2004,C319,'Saisie'!$AQ$5:$AQ$2004,"&lt;&gt;")-4),""))</f>
        <v/>
      </c>
      <c r="AM319" s="60">
        <f>IF(C319="","",((AI319="Oui")+(AJ319="Oui")+(AK319="Oui")+OR(AL319="Immédiat",AL319="&lt; 1 mois"))&amp;"/4")</f>
        <v/>
      </c>
      <c r="AN319" s="60">
        <f>IF(C319="","",IFERROR(INDEX('Saisie'!$AL$5:$AL$2004,_xlfn.MAXIFS('Saisie'!$AS$5:$AS$2004,'Saisie'!$C$5:$C$2004,C319,'Saisie'!$AL$5:$AL$2004,"&lt;&gt;")-4),""))</f>
        <v/>
      </c>
      <c r="AO319" s="62">
        <f>IF(C319="","",IF(IFERROR(INDEX('Saisie'!$AM$5:$AM$2004,_xlfn.MAXIFS('Saisie'!$AS$5:$AS$2004,'Saisie'!$C$5:$C$2004,C319,'Saisie'!$AM$5:$AM$2004,"&lt;&gt;")-4),"")&lt;&gt;"",IFERROR(INDEX('Saisie'!$AM$5:$AM$2004,_xlfn.MAXIFS('Saisie'!$AS$5:$AS$2004,'Saisie'!$C$5:$C$2004,C319,'Saisie'!$AM$5:$AM$2004,"&lt;&gt;")-4),""),IFERROR(INDEX('Paramètres'!$S$6:$S$15,MATCH(AN319,'Paramètres'!$Q$6:$Q$15,0)),"")))</f>
        <v/>
      </c>
      <c r="AP319" s="62">
        <f>IF(C319="","",IFERROR(INDEX('Saisie'!$AW$5:$AW$2004,_xlfn.MAXIFS('Saisie'!$AS$5:$AS$2004,'Saisie'!$C$5:$C$2004,C319,'Saisie'!$E$5:$E$2004,"Proposition envoyée")-4),""))</f>
        <v/>
      </c>
      <c r="AQ319" s="106">
        <f>IF(C319="","",IFERROR(1/(1/_xlfn.MAXIFS('Saisie'!$A$5:$A$2004,'Saisie'!$C$5:$C$2004,C319,'Saisie'!$E$5:$E$2004,"Proposition envoyée")),""))</f>
        <v/>
      </c>
      <c r="AR319" s="106">
        <f>IF(C319="","",IF(AQ319="","",AQ319+'Paramètres'!$B$26))</f>
        <v/>
      </c>
      <c r="AS319" s="62">
        <f>IF(OR(C319="",D319="Gagné",D319="Perdu"),0,N(AP319)*IFERROR(INDEX('Paramètres'!$G$6:$G$13,MATCH(D319,'Paramètres'!$F$6:$F$13,0)),0))</f>
        <v/>
      </c>
      <c r="AT319" s="106">
        <f>IF(C319="","",IFERROR(1/(1/_xlfn.MINIFS('Saisie'!$A$5:$A$2004,'Saisie'!$C$5:$C$2004,C319,'Saisie'!$E$5:$E$2004,"Signature")),""))</f>
        <v/>
      </c>
      <c r="AU319" s="60">
        <f>IF(C319="","",IF(OR(AT319="",B319=""),"",AT319-B319))</f>
        <v/>
      </c>
      <c r="AV319" s="60">
        <f>IF(C319="","",IFERROR(INDEX('Saisie'!$L$5:$L$2004,_xlfn.MAXIFS('Saisie'!$AS$5:$AS$2004,'Saisie'!$C$5:$C$2004,C319,'Saisie'!$L$5:$L$2004,"&lt;&gt;")-4),""))</f>
        <v/>
      </c>
      <c r="AW319" s="106">
        <f>IF(C319="","",IF(D319&lt;&gt;"Perdu","",IFERROR(1/(1/_xlfn.MAXIFS('Saisie'!$A$5:$A$2004,'Saisie'!$C$5:$C$2004,C319,'Saisie'!$E$5:$E$2004,"Perdu")),"")))</f>
        <v/>
      </c>
      <c r="AX319" s="106">
        <f>IF(C319="","",IF(AW319="","",AW319+'Paramètres'!$B$28))</f>
        <v/>
      </c>
      <c r="AY319" s="60">
        <f>IF(C319="","",SUMIFS('Saisie'!$H$5:$H$2004,'Saisie'!$C$5:$C$2004,C319))</f>
        <v/>
      </c>
      <c r="AZ319" s="60">
        <f>IF(C319="","",IFERROR(INDEX('Paramètres'!$W$6:$W$20,MATCH(S319,'Paramètres'!$V$6:$V$20,0))&amp;"",""))</f>
        <v/>
      </c>
      <c r="BA319" s="60">
        <f>IF(C319="","",MAX(1,_xlfn.MAXIFS('Saisie'!$AT$5:$AT$2004,'Saisie'!$C$5:$C$2004,C319)))</f>
        <v/>
      </c>
      <c r="BB319" s="60">
        <f>IF(C319="","",IFERROR(INDEX('Saisie'!$X$5:$X$2004,_xlfn.MAXIFS('Saisie'!$AS$5:$AS$2004,'Saisie'!$C$5:$C$2004,C319,'Saisie'!$X$5:$X$2004,"&lt;&gt;")-4),""))</f>
        <v/>
      </c>
      <c r="BC319" s="60">
        <f>IF(C319="","",IFERROR(INDEX('Saisie'!$Y$5:$Y$2004,_xlfn.MAXIFS('Saisie'!$AS$5:$AS$2004,'Saisie'!$C$5:$C$2004,C319,'Saisie'!$Y$5:$Y$2004,"&lt;&gt;")-4),""))</f>
        <v/>
      </c>
      <c r="BD319" s="106">
        <f>IF(C319="","",IFERROR(1/(1/_xlfn.MINIFS('Saisie'!$A$5:$A$2004,'Saisie'!$C$5:$C$2004,C319,'Saisie'!$AT$5:$AT$2004,"&gt;=2")),""))</f>
        <v/>
      </c>
      <c r="BE319" s="106">
        <f>IF(C319="","",IFERROR(1/(1/_xlfn.MINIFS('Saisie'!$A$5:$A$2004,'Saisie'!$C$5:$C$2004,C319,'Saisie'!$AT$5:$AT$2004,"&gt;=3")),""))</f>
        <v/>
      </c>
      <c r="BF319" s="106">
        <f>IF(C319="","",IFERROR(1/(1/_xlfn.MINIFS('Saisie'!$A$5:$A$2004,'Saisie'!$C$5:$C$2004,C319,'Saisie'!$AT$5:$AT$2004,"&gt;=4")),""))</f>
        <v/>
      </c>
      <c r="BG319" s="106">
        <f>IF(C319="","",IFERROR(1/(1/_xlfn.MINIFS('Saisie'!$A$5:$A$2004,'Saisie'!$C$5:$C$2004,C319,'Saisie'!$AT$5:$AT$2004,"&gt;=5")),""))</f>
        <v/>
      </c>
      <c r="BH319" s="106">
        <f>IF(C319="","",IFERROR(1/(1/_xlfn.MINIFS('Saisie'!$A$5:$A$2004,'Saisie'!$C$5:$C$2004,C319,'Saisie'!$AT$5:$AT$2004,"&gt;=6")),""))</f>
        <v/>
      </c>
      <c r="BI319" s="106">
        <f>IF(C319="","",IFERROR(1/(1/_xlfn.MINIFS('Saisie'!$A$5:$A$2004,'Saisie'!$C$5:$C$2004,C319,'Saisie'!$AT$5:$AT$2004,"&gt;=7")),""))</f>
        <v/>
      </c>
      <c r="BJ319" s="60">
        <f>IF(OR(BD319="",B319=""),"",BD319-B319)</f>
        <v/>
      </c>
      <c r="BK319" s="60">
        <f>IF(OR(BE319="",BD319=""),"",BE319-BD319)</f>
        <v/>
      </c>
      <c r="BL319" s="60">
        <f>IF(OR(BF319="",BE319=""),"",BF319-BE319)</f>
        <v/>
      </c>
      <c r="BM319" s="60">
        <f>IF(OR(BG319="",BF319=""),"",BG319-BF319)</f>
        <v/>
      </c>
      <c r="BN319" s="60">
        <f>IF(OR(BH319="",BG319=""),"",BH319-BG319)</f>
        <v/>
      </c>
      <c r="BO319" s="60">
        <f>IF(OR(BI319="",BH319=""),"",BI319-BH319)</f>
        <v/>
      </c>
      <c r="BP319" s="60">
        <f>IF(C319="","",_xlfn.MAXIFS('Saisie'!$AS$5:$AS$2004,'Saisie'!$C$5:$C$2004,C319,'Saisie'!$J$5:$J$2004,"&lt;&gt;"))</f>
        <v/>
      </c>
      <c r="BQ319" s="60">
        <f>IF(C319="","",_xlfn.MAXIFS('Saisie'!$AS$5:$AS$2004,'Saisie'!$C$5:$C$2004,C319))</f>
        <v/>
      </c>
      <c r="BR319" s="60">
        <f>IF(C319="","",_xlfn.MAXIFS('Saisie'!$AS$5:$AS$2004,'Saisie'!$C$5:$C$2004,C319,'Saisie'!$E$5:$E$2004,"Perdu"))</f>
        <v/>
      </c>
      <c r="BS319" s="60">
        <f>IF(C319="","",_xlfn.MAXIFS('Saisie'!$AS$5:$AS$2004,'Saisie'!$C$5:$C$2004,C319,'Saisie'!$AT$5:$AT$2004,"&gt;0"))</f>
        <v/>
      </c>
      <c r="BT319" s="109">
        <f>IF(AND(C319&lt;&gt;"",OR(D319="Nouveau",D319="Contacté",D319="Qualifié"),OR(G319="",N(G319)&lt;=TODAY()),NOT(AND(O319&gt;='Paramètres'!$B$21,P319=0))),E319+315/10000,"")</f>
        <v/>
      </c>
      <c r="BU319" s="60">
        <f>IF(AND(G319&lt;&gt;"",N(G319)&lt;=TODAY()),MAX($BU$4:BU318)+1,"")</f>
        <v/>
      </c>
      <c r="BV319" s="60">
        <f>IF(AND(F319&lt;&gt;"",F319&lt;&gt;"Relance en retard"),MAX($BV$4:BV318)+1,"")</f>
        <v/>
      </c>
      <c r="BW319" s="60">
        <f>IF(C319="","",IF(AND(B319&gt;='Tableau de bord'!$R$4,B319&lt;='Tableau de bord'!$S$4,OR('Tableau de bord'!$G$4="Tous",N319='Tableau de bord'!$G$4)),1,0))</f>
        <v/>
      </c>
      <c r="BX319" s="60">
        <f>IF(AND(C319&lt;&gt;"",N(BA319)=7),MAX($BX$4:BX318)+1,"")</f>
        <v/>
      </c>
    </row>
    <row r="320">
      <c r="A320" s="60">
        <f>IF(C320="","","P-"&amp;TEXT(316,"000"))</f>
        <v/>
      </c>
      <c r="B320" s="106">
        <f>IF(C320="","",IFERROR(1/(1/_xlfn.MINIFS('Saisie'!$A$5:$A$2004,'Saisie'!$C$5:$C$2004,C320)),""))</f>
        <v/>
      </c>
      <c r="C320" s="60">
        <f>IFERROR(INDEX('Saisie'!$C$5:$C$2004,MATCH(316,'Saisie'!$AX$5:$AX$2004,0)),"")</f>
        <v/>
      </c>
      <c r="D320" s="60">
        <f>IF(C320="","",IF(AND(BR320&gt;0,BR320&gt;BS320,BA320&lt;7),"Perdu",INDEX('Paramètres'!$F$6:$F$13,BA320)))</f>
        <v/>
      </c>
      <c r="E320" s="61">
        <f>IF(C320="","",MIN(100,(Z320="Oui")*'Paramètres'!$B$38+(AB320="Régulière")*'Paramètres'!$B$39+IF(AND(N(AA320)&gt;0,TODAY()-N(AA320)&lt;=30),'Paramètres'!$B$40,0)+(W320="")*'Paramètres'!$B$41+(AC320="Absente")*'Paramètres'!$B$42+(AC320="Faible")*'Paramètres'!$B$43+IF(AND(N(AD320)&gt;0,N(AD320)&lt;4),'Paramètres'!$B$44,0)+(AF320="Moyenne")*'Paramètres'!$B$45+(AF320="Grande")*'Paramètres'!$B$46+(Y320&lt;&gt;"")*'Paramètres'!$B$47))</f>
        <v/>
      </c>
      <c r="F320" s="60">
        <f>IF(C320="","",IF(D320="Gagné","",IF(D320="Perdu",IF(AND(AX320&lt;&gt;"",AX320&lt;=TODAY()),"À recontacter (perdu)",""),IF(AND(O320&gt;='Paramètres'!$B$21,P320=0),"Stop : "&amp;'Paramètres'!$B$21&amp;" tentatives sans réponse",IF(AND(D320="Proposition",AR320&lt;&gt;"",TODAY()&gt;N(AR320)),"Proposition expirée",IF(AND(D320="Proposition",N(R320)&gt;='Paramètres'!$B$25),"Proposition sans réponse",IF(AND(G320&lt;&gt;"",N(G320)&lt;TODAY()),"Relance en retard",IF(N(R320)&gt;='Paramètres'!$B$24,"Sans action depuis "&amp;R320&amp;" j",""))))))))</f>
        <v/>
      </c>
      <c r="G320" s="106">
        <f>IF(OR(C320="",D320="Gagné",D320="Perdu"),"",IF(AND(BP320&gt;0,BP320=BQ320),INDEX('Saisie'!$J$5:$J$2004,BP320-4),IF(OR(O320=0,AND(O320&gt;='Paramètres'!$B$21,P320=0)),"",Q320+IF(O320&lt;=1,'Paramètres'!$B$18,IF(O320=2,'Paramètres'!$B$19,'Paramètres'!$B$20)))))</f>
        <v/>
      </c>
      <c r="H320" s="107">
        <f>IF(OR(G320="",BP320&lt;&gt;BQ320),"",IF(INDEX('Saisie'!$K$5:$K$2004,BP320-4)="","",INDEX('Saisie'!$K$5:$K$2004,BP320-4)))</f>
        <v/>
      </c>
      <c r="I320" s="60">
        <f>IF(C320="","",IF(OR(D320="Gagné",D320="Perdu"),"",IFERROR(INDEX('Saisie'!$I$5:$I$2004,_xlfn.MAXIFS('Saisie'!$AS$5:$AS$2004,'Saisie'!$C$5:$C$2004,C320,'Saisie'!$I$5:$I$2004,"&lt;&gt;")-4),"")))</f>
        <v/>
      </c>
      <c r="J320" s="60">
        <f>IF(C320="","",IFERROR(INDEX('Saisie'!$U$5:$U$2004,_xlfn.MAXIFS('Saisie'!$AS$5:$AS$2004,'Saisie'!$C$5:$C$2004,C320,'Saisie'!$U$5:$U$2004,"&lt;&gt;")-4),""))</f>
        <v/>
      </c>
      <c r="K320" s="60">
        <f>IF(C320="","",IFERROR(INDEX('Saisie'!$W$5:$W$2004,_xlfn.MAXIFS('Saisie'!$AS$5:$AS$2004,'Saisie'!$C$5:$C$2004,C320,'Saisie'!$W$5:$W$2004,"&lt;&gt;")-4),""))</f>
        <v/>
      </c>
      <c r="L320" s="60">
        <f>IF(IF(BB320&lt;&gt;"",BB320,K320)="","",HYPERLINK("https://wa.me/"&amp;IF(LEFT(SUBSTITUTE(SUBSTITUTE(SUBSTITUTE(IF(BB320&lt;&gt;"",BB320,K320)," ",""),".",""),"+",""),1)="0",'Paramètres'!$B$35&amp;MID(SUBSTITUTE(SUBSTITUTE(SUBSTITUTE(IF(BB320&lt;&gt;"",BB320,K320)," ",""),".",""),"+",""),2,20),SUBSTITUTE(SUBSTITUTE(SUBSTITUTE(IF(BB320&lt;&gt;"",BB320,K320)," ",""),".",""),"+","")),"WhatsApp"))</f>
        <v/>
      </c>
      <c r="M320" s="60">
        <f>IF(BC320="","",HYPERLINK(IF(LEFT(BC320,4)="http",BC320,"https://www.instagram.com/"&amp;SUBSTITUTE(SUBSTITUTE(BC320,"@","")," ","")),BC320))</f>
        <v/>
      </c>
      <c r="N320" s="60">
        <f>IF(C320="","",IFERROR(INDEX('Saisie'!$D$5:$D$2004,_xlfn.MINIFS('Saisie'!$AS$5:$AS$2004,'Saisie'!$C$5:$C$2004,C320,'Saisie'!$AU$5:$AU$2004,1)-4),IFERROR(INDEX('Saisie'!$D$5:$D$2004,_xlfn.MINIFS('Saisie'!$AS$5:$AS$2004,'Saisie'!$C$5:$C$2004,C320,'Saisie'!$D$5:$D$2004,"&lt;&gt;")-4),"")))</f>
        <v/>
      </c>
      <c r="O320" s="60">
        <f>IF(C320="","",COUNTIFS('Saisie'!$C$5:$C$2004,C320,'Saisie'!$AU$5:$AU$2004,1))</f>
        <v/>
      </c>
      <c r="P320" s="60">
        <f>IF(C320="","",COUNTIFS('Saisie'!$C$5:$C$2004,C320,'Saisie'!$AV$5:$AV$2004,1))</f>
        <v/>
      </c>
      <c r="Q320" s="106">
        <f>IF(C320="","",IFERROR(1/(1/_xlfn.MAXIFS('Saisie'!$A$5:$A$2004,'Saisie'!$C$5:$C$2004,C320)),""))</f>
        <v/>
      </c>
      <c r="R320" s="61">
        <f>IF(C320="","",IF(Q320="","",TODAY()-Q320))</f>
        <v/>
      </c>
      <c r="S320" s="60">
        <f>IF(C320="","",IFERROR(INDEX('Saisie'!$R$5:$R$2004,_xlfn.MAXIFS('Saisie'!$AS$5:$AS$2004,'Saisie'!$C$5:$C$2004,C320,'Saisie'!$R$5:$R$2004,"&lt;&gt;")-4),""))</f>
        <v/>
      </c>
      <c r="T320" s="60">
        <f>IF(C320="","",IFERROR(INDEX('Saisie'!$S$5:$S$2004,_xlfn.MAXIFS('Saisie'!$AS$5:$AS$2004,'Saisie'!$C$5:$C$2004,C320,'Saisie'!$S$5:$S$2004,"&lt;&gt;")-4),""))</f>
        <v/>
      </c>
      <c r="U320" s="60">
        <f>IF(C320="","",IFERROR(INDEX('Saisie'!$T$5:$T$2004,_xlfn.MAXIFS('Saisie'!$AS$5:$AS$2004,'Saisie'!$C$5:$C$2004,C320,'Saisie'!$T$5:$T$2004,"&lt;&gt;")-4),""))</f>
        <v/>
      </c>
      <c r="V320" s="60">
        <f>IF(C320="","",IFERROR(INDEX('Saisie'!$V$5:$V$2004,_xlfn.MAXIFS('Saisie'!$AS$5:$AS$2004,'Saisie'!$C$5:$C$2004,C320,'Saisie'!$V$5:$V$2004,"&lt;&gt;")-4),""))</f>
        <v/>
      </c>
      <c r="W320" s="60">
        <f>IF(C320="","",IFERROR(INDEX('Saisie'!$Z$5:$Z$2004,_xlfn.MAXIFS('Saisie'!$AS$5:$AS$2004,'Saisie'!$C$5:$C$2004,C320,'Saisie'!$Z$5:$Z$2004,"&lt;&gt;")-4),""))</f>
        <v/>
      </c>
      <c r="X320" s="60">
        <f>IF(C320="","",IFERROR(INDEX('Saisie'!$AA$5:$AA$2004,_xlfn.MAXIFS('Saisie'!$AS$5:$AS$2004,'Saisie'!$C$5:$C$2004,C320,'Saisie'!$AA$5:$AA$2004,"&lt;&gt;")-4),""))</f>
        <v/>
      </c>
      <c r="Y320" s="60">
        <f>IF(C320="","",IFERROR(INDEX('Saisie'!$AB$5:$AB$2004,_xlfn.MAXIFS('Saisie'!$AS$5:$AS$2004,'Saisie'!$C$5:$C$2004,C320,'Saisie'!$AB$5:$AB$2004,"&lt;&gt;")-4),""))</f>
        <v/>
      </c>
      <c r="Z320" s="60">
        <f>IF(C320="","",IFERROR(INDEX('Saisie'!$AC$5:$AC$2004,_xlfn.MAXIFS('Saisie'!$AS$5:$AS$2004,'Saisie'!$C$5:$C$2004,C320,'Saisie'!$AC$5:$AC$2004,"&lt;&gt;")-4),""))</f>
        <v/>
      </c>
      <c r="AA320" s="106">
        <f>IF(C320="","",IFERROR(INDEX('Saisie'!$AD$5:$AD$2004,_xlfn.MAXIFS('Saisie'!$AS$5:$AS$2004,'Saisie'!$C$5:$C$2004,C320,'Saisie'!$AD$5:$AD$2004,"&lt;&gt;")-4),""))</f>
        <v/>
      </c>
      <c r="AB320" s="60">
        <f>IF(C320="","",IFERROR(INDEX('Saisie'!$AE$5:$AE$2004,_xlfn.MAXIFS('Saisie'!$AS$5:$AS$2004,'Saisie'!$C$5:$C$2004,C320,'Saisie'!$AE$5:$AE$2004,"&lt;&gt;")-4),""))</f>
        <v/>
      </c>
      <c r="AC320" s="60">
        <f>IF(C320="","",IFERROR(INDEX('Saisie'!$AF$5:$AF$2004,_xlfn.MAXIFS('Saisie'!$AS$5:$AS$2004,'Saisie'!$C$5:$C$2004,C320,'Saisie'!$AF$5:$AF$2004,"&lt;&gt;")-4),""))</f>
        <v/>
      </c>
      <c r="AD320" s="108">
        <f>IF(C320="","",IFERROR(INDEX('Saisie'!$AG$5:$AG$2004,_xlfn.MAXIFS('Saisie'!$AS$5:$AS$2004,'Saisie'!$C$5:$C$2004,C320,'Saisie'!$AG$5:$AG$2004,"&lt;&gt;")-4),""))</f>
        <v/>
      </c>
      <c r="AE320" s="60">
        <f>IF(C320="","",IFERROR(INDEX('Saisie'!$AH$5:$AH$2004,_xlfn.MAXIFS('Saisie'!$AS$5:$AS$2004,'Saisie'!$C$5:$C$2004,C320,'Saisie'!$AH$5:$AH$2004,"&lt;&gt;")-4),""))</f>
        <v/>
      </c>
      <c r="AF320" s="60">
        <f>IF(C320="","",IFERROR(INDEX('Saisie'!$AI$5:$AI$2004,_xlfn.MAXIFS('Saisie'!$AS$5:$AS$2004,'Saisie'!$C$5:$C$2004,C320,'Saisie'!$AI$5:$AI$2004,"&lt;&gt;")-4),""))</f>
        <v/>
      </c>
      <c r="AG320" s="60">
        <f>IF(C320="","",IFERROR(INDEX('Saisie'!$AJ$5:$AJ$2004,_xlfn.MAXIFS('Saisie'!$AS$5:$AS$2004,'Saisie'!$C$5:$C$2004,C320,'Saisie'!$AJ$5:$AJ$2004,"&lt;&gt;")-4),""))</f>
        <v/>
      </c>
      <c r="AH320" s="60">
        <f>IF(C320="","",IFERROR(INDEX('Saisie'!$AK$5:$AK$2004,_xlfn.MAXIFS('Saisie'!$AS$5:$AS$2004,'Saisie'!$C$5:$C$2004,C320,'Saisie'!$AK$5:$AK$2004,"&lt;&gt;")-4),""))</f>
        <v/>
      </c>
      <c r="AI320" s="60">
        <f>IF(C320="","",IFERROR(INDEX('Saisie'!$AN$5:$AN$2004,_xlfn.MAXIFS('Saisie'!$AS$5:$AS$2004,'Saisie'!$C$5:$C$2004,C320,'Saisie'!$AN$5:$AN$2004,"&lt;&gt;")-4),""))</f>
        <v/>
      </c>
      <c r="AJ320" s="60">
        <f>IF(C320="","",IFERROR(INDEX('Saisie'!$AO$5:$AO$2004,_xlfn.MAXIFS('Saisie'!$AS$5:$AS$2004,'Saisie'!$C$5:$C$2004,C320,'Saisie'!$AO$5:$AO$2004,"&lt;&gt;")-4),""))</f>
        <v/>
      </c>
      <c r="AK320" s="60">
        <f>IF(C320="","",IFERROR(INDEX('Saisie'!$AP$5:$AP$2004,_xlfn.MAXIFS('Saisie'!$AS$5:$AS$2004,'Saisie'!$C$5:$C$2004,C320,'Saisie'!$AP$5:$AP$2004,"&lt;&gt;")-4),""))</f>
        <v/>
      </c>
      <c r="AL320" s="60">
        <f>IF(C320="","",IFERROR(INDEX('Saisie'!$AQ$5:$AQ$2004,_xlfn.MAXIFS('Saisie'!$AS$5:$AS$2004,'Saisie'!$C$5:$C$2004,C320,'Saisie'!$AQ$5:$AQ$2004,"&lt;&gt;")-4),""))</f>
        <v/>
      </c>
      <c r="AM320" s="60">
        <f>IF(C320="","",((AI320="Oui")+(AJ320="Oui")+(AK320="Oui")+OR(AL320="Immédiat",AL320="&lt; 1 mois"))&amp;"/4")</f>
        <v/>
      </c>
      <c r="AN320" s="60">
        <f>IF(C320="","",IFERROR(INDEX('Saisie'!$AL$5:$AL$2004,_xlfn.MAXIFS('Saisie'!$AS$5:$AS$2004,'Saisie'!$C$5:$C$2004,C320,'Saisie'!$AL$5:$AL$2004,"&lt;&gt;")-4),""))</f>
        <v/>
      </c>
      <c r="AO320" s="62">
        <f>IF(C320="","",IF(IFERROR(INDEX('Saisie'!$AM$5:$AM$2004,_xlfn.MAXIFS('Saisie'!$AS$5:$AS$2004,'Saisie'!$C$5:$C$2004,C320,'Saisie'!$AM$5:$AM$2004,"&lt;&gt;")-4),"")&lt;&gt;"",IFERROR(INDEX('Saisie'!$AM$5:$AM$2004,_xlfn.MAXIFS('Saisie'!$AS$5:$AS$2004,'Saisie'!$C$5:$C$2004,C320,'Saisie'!$AM$5:$AM$2004,"&lt;&gt;")-4),""),IFERROR(INDEX('Paramètres'!$S$6:$S$15,MATCH(AN320,'Paramètres'!$Q$6:$Q$15,0)),"")))</f>
        <v/>
      </c>
      <c r="AP320" s="62">
        <f>IF(C320="","",IFERROR(INDEX('Saisie'!$AW$5:$AW$2004,_xlfn.MAXIFS('Saisie'!$AS$5:$AS$2004,'Saisie'!$C$5:$C$2004,C320,'Saisie'!$E$5:$E$2004,"Proposition envoyée")-4),""))</f>
        <v/>
      </c>
      <c r="AQ320" s="106">
        <f>IF(C320="","",IFERROR(1/(1/_xlfn.MAXIFS('Saisie'!$A$5:$A$2004,'Saisie'!$C$5:$C$2004,C320,'Saisie'!$E$5:$E$2004,"Proposition envoyée")),""))</f>
        <v/>
      </c>
      <c r="AR320" s="106">
        <f>IF(C320="","",IF(AQ320="","",AQ320+'Paramètres'!$B$26))</f>
        <v/>
      </c>
      <c r="AS320" s="62">
        <f>IF(OR(C320="",D320="Gagné",D320="Perdu"),0,N(AP320)*IFERROR(INDEX('Paramètres'!$G$6:$G$13,MATCH(D320,'Paramètres'!$F$6:$F$13,0)),0))</f>
        <v/>
      </c>
      <c r="AT320" s="106">
        <f>IF(C320="","",IFERROR(1/(1/_xlfn.MINIFS('Saisie'!$A$5:$A$2004,'Saisie'!$C$5:$C$2004,C320,'Saisie'!$E$5:$E$2004,"Signature")),""))</f>
        <v/>
      </c>
      <c r="AU320" s="60">
        <f>IF(C320="","",IF(OR(AT320="",B320=""),"",AT320-B320))</f>
        <v/>
      </c>
      <c r="AV320" s="60">
        <f>IF(C320="","",IFERROR(INDEX('Saisie'!$L$5:$L$2004,_xlfn.MAXIFS('Saisie'!$AS$5:$AS$2004,'Saisie'!$C$5:$C$2004,C320,'Saisie'!$L$5:$L$2004,"&lt;&gt;")-4),""))</f>
        <v/>
      </c>
      <c r="AW320" s="106">
        <f>IF(C320="","",IF(D320&lt;&gt;"Perdu","",IFERROR(1/(1/_xlfn.MAXIFS('Saisie'!$A$5:$A$2004,'Saisie'!$C$5:$C$2004,C320,'Saisie'!$E$5:$E$2004,"Perdu")),"")))</f>
        <v/>
      </c>
      <c r="AX320" s="106">
        <f>IF(C320="","",IF(AW320="","",AW320+'Paramètres'!$B$28))</f>
        <v/>
      </c>
      <c r="AY320" s="60">
        <f>IF(C320="","",SUMIFS('Saisie'!$H$5:$H$2004,'Saisie'!$C$5:$C$2004,C320))</f>
        <v/>
      </c>
      <c r="AZ320" s="60">
        <f>IF(C320="","",IFERROR(INDEX('Paramètres'!$W$6:$W$20,MATCH(S320,'Paramètres'!$V$6:$V$20,0))&amp;"",""))</f>
        <v/>
      </c>
      <c r="BA320" s="60">
        <f>IF(C320="","",MAX(1,_xlfn.MAXIFS('Saisie'!$AT$5:$AT$2004,'Saisie'!$C$5:$C$2004,C320)))</f>
        <v/>
      </c>
      <c r="BB320" s="60">
        <f>IF(C320="","",IFERROR(INDEX('Saisie'!$X$5:$X$2004,_xlfn.MAXIFS('Saisie'!$AS$5:$AS$2004,'Saisie'!$C$5:$C$2004,C320,'Saisie'!$X$5:$X$2004,"&lt;&gt;")-4),""))</f>
        <v/>
      </c>
      <c r="BC320" s="60">
        <f>IF(C320="","",IFERROR(INDEX('Saisie'!$Y$5:$Y$2004,_xlfn.MAXIFS('Saisie'!$AS$5:$AS$2004,'Saisie'!$C$5:$C$2004,C320,'Saisie'!$Y$5:$Y$2004,"&lt;&gt;")-4),""))</f>
        <v/>
      </c>
      <c r="BD320" s="106">
        <f>IF(C320="","",IFERROR(1/(1/_xlfn.MINIFS('Saisie'!$A$5:$A$2004,'Saisie'!$C$5:$C$2004,C320,'Saisie'!$AT$5:$AT$2004,"&gt;=2")),""))</f>
        <v/>
      </c>
      <c r="BE320" s="106">
        <f>IF(C320="","",IFERROR(1/(1/_xlfn.MINIFS('Saisie'!$A$5:$A$2004,'Saisie'!$C$5:$C$2004,C320,'Saisie'!$AT$5:$AT$2004,"&gt;=3")),""))</f>
        <v/>
      </c>
      <c r="BF320" s="106">
        <f>IF(C320="","",IFERROR(1/(1/_xlfn.MINIFS('Saisie'!$A$5:$A$2004,'Saisie'!$C$5:$C$2004,C320,'Saisie'!$AT$5:$AT$2004,"&gt;=4")),""))</f>
        <v/>
      </c>
      <c r="BG320" s="106">
        <f>IF(C320="","",IFERROR(1/(1/_xlfn.MINIFS('Saisie'!$A$5:$A$2004,'Saisie'!$C$5:$C$2004,C320,'Saisie'!$AT$5:$AT$2004,"&gt;=5")),""))</f>
        <v/>
      </c>
      <c r="BH320" s="106">
        <f>IF(C320="","",IFERROR(1/(1/_xlfn.MINIFS('Saisie'!$A$5:$A$2004,'Saisie'!$C$5:$C$2004,C320,'Saisie'!$AT$5:$AT$2004,"&gt;=6")),""))</f>
        <v/>
      </c>
      <c r="BI320" s="106">
        <f>IF(C320="","",IFERROR(1/(1/_xlfn.MINIFS('Saisie'!$A$5:$A$2004,'Saisie'!$C$5:$C$2004,C320,'Saisie'!$AT$5:$AT$2004,"&gt;=7")),""))</f>
        <v/>
      </c>
      <c r="BJ320" s="60">
        <f>IF(OR(BD320="",B320=""),"",BD320-B320)</f>
        <v/>
      </c>
      <c r="BK320" s="60">
        <f>IF(OR(BE320="",BD320=""),"",BE320-BD320)</f>
        <v/>
      </c>
      <c r="BL320" s="60">
        <f>IF(OR(BF320="",BE320=""),"",BF320-BE320)</f>
        <v/>
      </c>
      <c r="BM320" s="60">
        <f>IF(OR(BG320="",BF320=""),"",BG320-BF320)</f>
        <v/>
      </c>
      <c r="BN320" s="60">
        <f>IF(OR(BH320="",BG320=""),"",BH320-BG320)</f>
        <v/>
      </c>
      <c r="BO320" s="60">
        <f>IF(OR(BI320="",BH320=""),"",BI320-BH320)</f>
        <v/>
      </c>
      <c r="BP320" s="60">
        <f>IF(C320="","",_xlfn.MAXIFS('Saisie'!$AS$5:$AS$2004,'Saisie'!$C$5:$C$2004,C320,'Saisie'!$J$5:$J$2004,"&lt;&gt;"))</f>
        <v/>
      </c>
      <c r="BQ320" s="60">
        <f>IF(C320="","",_xlfn.MAXIFS('Saisie'!$AS$5:$AS$2004,'Saisie'!$C$5:$C$2004,C320))</f>
        <v/>
      </c>
      <c r="BR320" s="60">
        <f>IF(C320="","",_xlfn.MAXIFS('Saisie'!$AS$5:$AS$2004,'Saisie'!$C$5:$C$2004,C320,'Saisie'!$E$5:$E$2004,"Perdu"))</f>
        <v/>
      </c>
      <c r="BS320" s="60">
        <f>IF(C320="","",_xlfn.MAXIFS('Saisie'!$AS$5:$AS$2004,'Saisie'!$C$5:$C$2004,C320,'Saisie'!$AT$5:$AT$2004,"&gt;0"))</f>
        <v/>
      </c>
      <c r="BT320" s="109">
        <f>IF(AND(C320&lt;&gt;"",OR(D320="Nouveau",D320="Contacté",D320="Qualifié"),OR(G320="",N(G320)&lt;=TODAY()),NOT(AND(O320&gt;='Paramètres'!$B$21,P320=0))),E320+316/10000,"")</f>
        <v/>
      </c>
      <c r="BU320" s="60">
        <f>IF(AND(G320&lt;&gt;"",N(G320)&lt;=TODAY()),MAX($BU$4:BU319)+1,"")</f>
        <v/>
      </c>
      <c r="BV320" s="60">
        <f>IF(AND(F320&lt;&gt;"",F320&lt;&gt;"Relance en retard"),MAX($BV$4:BV319)+1,"")</f>
        <v/>
      </c>
      <c r="BW320" s="60">
        <f>IF(C320="","",IF(AND(B320&gt;='Tableau de bord'!$R$4,B320&lt;='Tableau de bord'!$S$4,OR('Tableau de bord'!$G$4="Tous",N320='Tableau de bord'!$G$4)),1,0))</f>
        <v/>
      </c>
      <c r="BX320" s="60">
        <f>IF(AND(C320&lt;&gt;"",N(BA320)=7),MAX($BX$4:BX319)+1,"")</f>
        <v/>
      </c>
    </row>
    <row r="321">
      <c r="A321" s="60">
        <f>IF(C321="","","P-"&amp;TEXT(317,"000"))</f>
        <v/>
      </c>
      <c r="B321" s="106">
        <f>IF(C321="","",IFERROR(1/(1/_xlfn.MINIFS('Saisie'!$A$5:$A$2004,'Saisie'!$C$5:$C$2004,C321)),""))</f>
        <v/>
      </c>
      <c r="C321" s="60">
        <f>IFERROR(INDEX('Saisie'!$C$5:$C$2004,MATCH(317,'Saisie'!$AX$5:$AX$2004,0)),"")</f>
        <v/>
      </c>
      <c r="D321" s="60">
        <f>IF(C321="","",IF(AND(BR321&gt;0,BR321&gt;BS321,BA321&lt;7),"Perdu",INDEX('Paramètres'!$F$6:$F$13,BA321)))</f>
        <v/>
      </c>
      <c r="E321" s="61">
        <f>IF(C321="","",MIN(100,(Z321="Oui")*'Paramètres'!$B$38+(AB321="Régulière")*'Paramètres'!$B$39+IF(AND(N(AA321)&gt;0,TODAY()-N(AA321)&lt;=30),'Paramètres'!$B$40,0)+(W321="")*'Paramètres'!$B$41+(AC321="Absente")*'Paramètres'!$B$42+(AC321="Faible")*'Paramètres'!$B$43+IF(AND(N(AD321)&gt;0,N(AD321)&lt;4),'Paramètres'!$B$44,0)+(AF321="Moyenne")*'Paramètres'!$B$45+(AF321="Grande")*'Paramètres'!$B$46+(Y321&lt;&gt;"")*'Paramètres'!$B$47))</f>
        <v/>
      </c>
      <c r="F321" s="60">
        <f>IF(C321="","",IF(D321="Gagné","",IF(D321="Perdu",IF(AND(AX321&lt;&gt;"",AX321&lt;=TODAY()),"À recontacter (perdu)",""),IF(AND(O321&gt;='Paramètres'!$B$21,P321=0),"Stop : "&amp;'Paramètres'!$B$21&amp;" tentatives sans réponse",IF(AND(D321="Proposition",AR321&lt;&gt;"",TODAY()&gt;N(AR321)),"Proposition expirée",IF(AND(D321="Proposition",N(R321)&gt;='Paramètres'!$B$25),"Proposition sans réponse",IF(AND(G321&lt;&gt;"",N(G321)&lt;TODAY()),"Relance en retard",IF(N(R321)&gt;='Paramètres'!$B$24,"Sans action depuis "&amp;R321&amp;" j",""))))))))</f>
        <v/>
      </c>
      <c r="G321" s="106">
        <f>IF(OR(C321="",D321="Gagné",D321="Perdu"),"",IF(AND(BP321&gt;0,BP321=BQ321),INDEX('Saisie'!$J$5:$J$2004,BP321-4),IF(OR(O321=0,AND(O321&gt;='Paramètres'!$B$21,P321=0)),"",Q321+IF(O321&lt;=1,'Paramètres'!$B$18,IF(O321=2,'Paramètres'!$B$19,'Paramètres'!$B$20)))))</f>
        <v/>
      </c>
      <c r="H321" s="107">
        <f>IF(OR(G321="",BP321&lt;&gt;BQ321),"",IF(INDEX('Saisie'!$K$5:$K$2004,BP321-4)="","",INDEX('Saisie'!$K$5:$K$2004,BP321-4)))</f>
        <v/>
      </c>
      <c r="I321" s="60">
        <f>IF(C321="","",IF(OR(D321="Gagné",D321="Perdu"),"",IFERROR(INDEX('Saisie'!$I$5:$I$2004,_xlfn.MAXIFS('Saisie'!$AS$5:$AS$2004,'Saisie'!$C$5:$C$2004,C321,'Saisie'!$I$5:$I$2004,"&lt;&gt;")-4),"")))</f>
        <v/>
      </c>
      <c r="J321" s="60">
        <f>IF(C321="","",IFERROR(INDEX('Saisie'!$U$5:$U$2004,_xlfn.MAXIFS('Saisie'!$AS$5:$AS$2004,'Saisie'!$C$5:$C$2004,C321,'Saisie'!$U$5:$U$2004,"&lt;&gt;")-4),""))</f>
        <v/>
      </c>
      <c r="K321" s="60">
        <f>IF(C321="","",IFERROR(INDEX('Saisie'!$W$5:$W$2004,_xlfn.MAXIFS('Saisie'!$AS$5:$AS$2004,'Saisie'!$C$5:$C$2004,C321,'Saisie'!$W$5:$W$2004,"&lt;&gt;")-4),""))</f>
        <v/>
      </c>
      <c r="L321" s="60">
        <f>IF(IF(BB321&lt;&gt;"",BB321,K321)="","",HYPERLINK("https://wa.me/"&amp;IF(LEFT(SUBSTITUTE(SUBSTITUTE(SUBSTITUTE(IF(BB321&lt;&gt;"",BB321,K321)," ",""),".",""),"+",""),1)="0",'Paramètres'!$B$35&amp;MID(SUBSTITUTE(SUBSTITUTE(SUBSTITUTE(IF(BB321&lt;&gt;"",BB321,K321)," ",""),".",""),"+",""),2,20),SUBSTITUTE(SUBSTITUTE(SUBSTITUTE(IF(BB321&lt;&gt;"",BB321,K321)," ",""),".",""),"+","")),"WhatsApp"))</f>
        <v/>
      </c>
      <c r="M321" s="60">
        <f>IF(BC321="","",HYPERLINK(IF(LEFT(BC321,4)="http",BC321,"https://www.instagram.com/"&amp;SUBSTITUTE(SUBSTITUTE(BC321,"@","")," ","")),BC321))</f>
        <v/>
      </c>
      <c r="N321" s="60">
        <f>IF(C321="","",IFERROR(INDEX('Saisie'!$D$5:$D$2004,_xlfn.MINIFS('Saisie'!$AS$5:$AS$2004,'Saisie'!$C$5:$C$2004,C321,'Saisie'!$AU$5:$AU$2004,1)-4),IFERROR(INDEX('Saisie'!$D$5:$D$2004,_xlfn.MINIFS('Saisie'!$AS$5:$AS$2004,'Saisie'!$C$5:$C$2004,C321,'Saisie'!$D$5:$D$2004,"&lt;&gt;")-4),"")))</f>
        <v/>
      </c>
      <c r="O321" s="60">
        <f>IF(C321="","",COUNTIFS('Saisie'!$C$5:$C$2004,C321,'Saisie'!$AU$5:$AU$2004,1))</f>
        <v/>
      </c>
      <c r="P321" s="60">
        <f>IF(C321="","",COUNTIFS('Saisie'!$C$5:$C$2004,C321,'Saisie'!$AV$5:$AV$2004,1))</f>
        <v/>
      </c>
      <c r="Q321" s="106">
        <f>IF(C321="","",IFERROR(1/(1/_xlfn.MAXIFS('Saisie'!$A$5:$A$2004,'Saisie'!$C$5:$C$2004,C321)),""))</f>
        <v/>
      </c>
      <c r="R321" s="61">
        <f>IF(C321="","",IF(Q321="","",TODAY()-Q321))</f>
        <v/>
      </c>
      <c r="S321" s="60">
        <f>IF(C321="","",IFERROR(INDEX('Saisie'!$R$5:$R$2004,_xlfn.MAXIFS('Saisie'!$AS$5:$AS$2004,'Saisie'!$C$5:$C$2004,C321,'Saisie'!$R$5:$R$2004,"&lt;&gt;")-4),""))</f>
        <v/>
      </c>
      <c r="T321" s="60">
        <f>IF(C321="","",IFERROR(INDEX('Saisie'!$S$5:$S$2004,_xlfn.MAXIFS('Saisie'!$AS$5:$AS$2004,'Saisie'!$C$5:$C$2004,C321,'Saisie'!$S$5:$S$2004,"&lt;&gt;")-4),""))</f>
        <v/>
      </c>
      <c r="U321" s="60">
        <f>IF(C321="","",IFERROR(INDEX('Saisie'!$T$5:$T$2004,_xlfn.MAXIFS('Saisie'!$AS$5:$AS$2004,'Saisie'!$C$5:$C$2004,C321,'Saisie'!$T$5:$T$2004,"&lt;&gt;")-4),""))</f>
        <v/>
      </c>
      <c r="V321" s="60">
        <f>IF(C321="","",IFERROR(INDEX('Saisie'!$V$5:$V$2004,_xlfn.MAXIFS('Saisie'!$AS$5:$AS$2004,'Saisie'!$C$5:$C$2004,C321,'Saisie'!$V$5:$V$2004,"&lt;&gt;")-4),""))</f>
        <v/>
      </c>
      <c r="W321" s="60">
        <f>IF(C321="","",IFERROR(INDEX('Saisie'!$Z$5:$Z$2004,_xlfn.MAXIFS('Saisie'!$AS$5:$AS$2004,'Saisie'!$C$5:$C$2004,C321,'Saisie'!$Z$5:$Z$2004,"&lt;&gt;")-4),""))</f>
        <v/>
      </c>
      <c r="X321" s="60">
        <f>IF(C321="","",IFERROR(INDEX('Saisie'!$AA$5:$AA$2004,_xlfn.MAXIFS('Saisie'!$AS$5:$AS$2004,'Saisie'!$C$5:$C$2004,C321,'Saisie'!$AA$5:$AA$2004,"&lt;&gt;")-4),""))</f>
        <v/>
      </c>
      <c r="Y321" s="60">
        <f>IF(C321="","",IFERROR(INDEX('Saisie'!$AB$5:$AB$2004,_xlfn.MAXIFS('Saisie'!$AS$5:$AS$2004,'Saisie'!$C$5:$C$2004,C321,'Saisie'!$AB$5:$AB$2004,"&lt;&gt;")-4),""))</f>
        <v/>
      </c>
      <c r="Z321" s="60">
        <f>IF(C321="","",IFERROR(INDEX('Saisie'!$AC$5:$AC$2004,_xlfn.MAXIFS('Saisie'!$AS$5:$AS$2004,'Saisie'!$C$5:$C$2004,C321,'Saisie'!$AC$5:$AC$2004,"&lt;&gt;")-4),""))</f>
        <v/>
      </c>
      <c r="AA321" s="106">
        <f>IF(C321="","",IFERROR(INDEX('Saisie'!$AD$5:$AD$2004,_xlfn.MAXIFS('Saisie'!$AS$5:$AS$2004,'Saisie'!$C$5:$C$2004,C321,'Saisie'!$AD$5:$AD$2004,"&lt;&gt;")-4),""))</f>
        <v/>
      </c>
      <c r="AB321" s="60">
        <f>IF(C321="","",IFERROR(INDEX('Saisie'!$AE$5:$AE$2004,_xlfn.MAXIFS('Saisie'!$AS$5:$AS$2004,'Saisie'!$C$5:$C$2004,C321,'Saisie'!$AE$5:$AE$2004,"&lt;&gt;")-4),""))</f>
        <v/>
      </c>
      <c r="AC321" s="60">
        <f>IF(C321="","",IFERROR(INDEX('Saisie'!$AF$5:$AF$2004,_xlfn.MAXIFS('Saisie'!$AS$5:$AS$2004,'Saisie'!$C$5:$C$2004,C321,'Saisie'!$AF$5:$AF$2004,"&lt;&gt;")-4),""))</f>
        <v/>
      </c>
      <c r="AD321" s="108">
        <f>IF(C321="","",IFERROR(INDEX('Saisie'!$AG$5:$AG$2004,_xlfn.MAXIFS('Saisie'!$AS$5:$AS$2004,'Saisie'!$C$5:$C$2004,C321,'Saisie'!$AG$5:$AG$2004,"&lt;&gt;")-4),""))</f>
        <v/>
      </c>
      <c r="AE321" s="60">
        <f>IF(C321="","",IFERROR(INDEX('Saisie'!$AH$5:$AH$2004,_xlfn.MAXIFS('Saisie'!$AS$5:$AS$2004,'Saisie'!$C$5:$C$2004,C321,'Saisie'!$AH$5:$AH$2004,"&lt;&gt;")-4),""))</f>
        <v/>
      </c>
      <c r="AF321" s="60">
        <f>IF(C321="","",IFERROR(INDEX('Saisie'!$AI$5:$AI$2004,_xlfn.MAXIFS('Saisie'!$AS$5:$AS$2004,'Saisie'!$C$5:$C$2004,C321,'Saisie'!$AI$5:$AI$2004,"&lt;&gt;")-4),""))</f>
        <v/>
      </c>
      <c r="AG321" s="60">
        <f>IF(C321="","",IFERROR(INDEX('Saisie'!$AJ$5:$AJ$2004,_xlfn.MAXIFS('Saisie'!$AS$5:$AS$2004,'Saisie'!$C$5:$C$2004,C321,'Saisie'!$AJ$5:$AJ$2004,"&lt;&gt;")-4),""))</f>
        <v/>
      </c>
      <c r="AH321" s="60">
        <f>IF(C321="","",IFERROR(INDEX('Saisie'!$AK$5:$AK$2004,_xlfn.MAXIFS('Saisie'!$AS$5:$AS$2004,'Saisie'!$C$5:$C$2004,C321,'Saisie'!$AK$5:$AK$2004,"&lt;&gt;")-4),""))</f>
        <v/>
      </c>
      <c r="AI321" s="60">
        <f>IF(C321="","",IFERROR(INDEX('Saisie'!$AN$5:$AN$2004,_xlfn.MAXIFS('Saisie'!$AS$5:$AS$2004,'Saisie'!$C$5:$C$2004,C321,'Saisie'!$AN$5:$AN$2004,"&lt;&gt;")-4),""))</f>
        <v/>
      </c>
      <c r="AJ321" s="60">
        <f>IF(C321="","",IFERROR(INDEX('Saisie'!$AO$5:$AO$2004,_xlfn.MAXIFS('Saisie'!$AS$5:$AS$2004,'Saisie'!$C$5:$C$2004,C321,'Saisie'!$AO$5:$AO$2004,"&lt;&gt;")-4),""))</f>
        <v/>
      </c>
      <c r="AK321" s="60">
        <f>IF(C321="","",IFERROR(INDEX('Saisie'!$AP$5:$AP$2004,_xlfn.MAXIFS('Saisie'!$AS$5:$AS$2004,'Saisie'!$C$5:$C$2004,C321,'Saisie'!$AP$5:$AP$2004,"&lt;&gt;")-4),""))</f>
        <v/>
      </c>
      <c r="AL321" s="60">
        <f>IF(C321="","",IFERROR(INDEX('Saisie'!$AQ$5:$AQ$2004,_xlfn.MAXIFS('Saisie'!$AS$5:$AS$2004,'Saisie'!$C$5:$C$2004,C321,'Saisie'!$AQ$5:$AQ$2004,"&lt;&gt;")-4),""))</f>
        <v/>
      </c>
      <c r="AM321" s="60">
        <f>IF(C321="","",((AI321="Oui")+(AJ321="Oui")+(AK321="Oui")+OR(AL321="Immédiat",AL321="&lt; 1 mois"))&amp;"/4")</f>
        <v/>
      </c>
      <c r="AN321" s="60">
        <f>IF(C321="","",IFERROR(INDEX('Saisie'!$AL$5:$AL$2004,_xlfn.MAXIFS('Saisie'!$AS$5:$AS$2004,'Saisie'!$C$5:$C$2004,C321,'Saisie'!$AL$5:$AL$2004,"&lt;&gt;")-4),""))</f>
        <v/>
      </c>
      <c r="AO321" s="62">
        <f>IF(C321="","",IF(IFERROR(INDEX('Saisie'!$AM$5:$AM$2004,_xlfn.MAXIFS('Saisie'!$AS$5:$AS$2004,'Saisie'!$C$5:$C$2004,C321,'Saisie'!$AM$5:$AM$2004,"&lt;&gt;")-4),"")&lt;&gt;"",IFERROR(INDEX('Saisie'!$AM$5:$AM$2004,_xlfn.MAXIFS('Saisie'!$AS$5:$AS$2004,'Saisie'!$C$5:$C$2004,C321,'Saisie'!$AM$5:$AM$2004,"&lt;&gt;")-4),""),IFERROR(INDEX('Paramètres'!$S$6:$S$15,MATCH(AN321,'Paramètres'!$Q$6:$Q$15,0)),"")))</f>
        <v/>
      </c>
      <c r="AP321" s="62">
        <f>IF(C321="","",IFERROR(INDEX('Saisie'!$AW$5:$AW$2004,_xlfn.MAXIFS('Saisie'!$AS$5:$AS$2004,'Saisie'!$C$5:$C$2004,C321,'Saisie'!$E$5:$E$2004,"Proposition envoyée")-4),""))</f>
        <v/>
      </c>
      <c r="AQ321" s="106">
        <f>IF(C321="","",IFERROR(1/(1/_xlfn.MAXIFS('Saisie'!$A$5:$A$2004,'Saisie'!$C$5:$C$2004,C321,'Saisie'!$E$5:$E$2004,"Proposition envoyée")),""))</f>
        <v/>
      </c>
      <c r="AR321" s="106">
        <f>IF(C321="","",IF(AQ321="","",AQ321+'Paramètres'!$B$26))</f>
        <v/>
      </c>
      <c r="AS321" s="62">
        <f>IF(OR(C321="",D321="Gagné",D321="Perdu"),0,N(AP321)*IFERROR(INDEX('Paramètres'!$G$6:$G$13,MATCH(D321,'Paramètres'!$F$6:$F$13,0)),0))</f>
        <v/>
      </c>
      <c r="AT321" s="106">
        <f>IF(C321="","",IFERROR(1/(1/_xlfn.MINIFS('Saisie'!$A$5:$A$2004,'Saisie'!$C$5:$C$2004,C321,'Saisie'!$E$5:$E$2004,"Signature")),""))</f>
        <v/>
      </c>
      <c r="AU321" s="60">
        <f>IF(C321="","",IF(OR(AT321="",B321=""),"",AT321-B321))</f>
        <v/>
      </c>
      <c r="AV321" s="60">
        <f>IF(C321="","",IFERROR(INDEX('Saisie'!$L$5:$L$2004,_xlfn.MAXIFS('Saisie'!$AS$5:$AS$2004,'Saisie'!$C$5:$C$2004,C321,'Saisie'!$L$5:$L$2004,"&lt;&gt;")-4),""))</f>
        <v/>
      </c>
      <c r="AW321" s="106">
        <f>IF(C321="","",IF(D321&lt;&gt;"Perdu","",IFERROR(1/(1/_xlfn.MAXIFS('Saisie'!$A$5:$A$2004,'Saisie'!$C$5:$C$2004,C321,'Saisie'!$E$5:$E$2004,"Perdu")),"")))</f>
        <v/>
      </c>
      <c r="AX321" s="106">
        <f>IF(C321="","",IF(AW321="","",AW321+'Paramètres'!$B$28))</f>
        <v/>
      </c>
      <c r="AY321" s="60">
        <f>IF(C321="","",SUMIFS('Saisie'!$H$5:$H$2004,'Saisie'!$C$5:$C$2004,C321))</f>
        <v/>
      </c>
      <c r="AZ321" s="60">
        <f>IF(C321="","",IFERROR(INDEX('Paramètres'!$W$6:$W$20,MATCH(S321,'Paramètres'!$V$6:$V$20,0))&amp;"",""))</f>
        <v/>
      </c>
      <c r="BA321" s="60">
        <f>IF(C321="","",MAX(1,_xlfn.MAXIFS('Saisie'!$AT$5:$AT$2004,'Saisie'!$C$5:$C$2004,C321)))</f>
        <v/>
      </c>
      <c r="BB321" s="60">
        <f>IF(C321="","",IFERROR(INDEX('Saisie'!$X$5:$X$2004,_xlfn.MAXIFS('Saisie'!$AS$5:$AS$2004,'Saisie'!$C$5:$C$2004,C321,'Saisie'!$X$5:$X$2004,"&lt;&gt;")-4),""))</f>
        <v/>
      </c>
      <c r="BC321" s="60">
        <f>IF(C321="","",IFERROR(INDEX('Saisie'!$Y$5:$Y$2004,_xlfn.MAXIFS('Saisie'!$AS$5:$AS$2004,'Saisie'!$C$5:$C$2004,C321,'Saisie'!$Y$5:$Y$2004,"&lt;&gt;")-4),""))</f>
        <v/>
      </c>
      <c r="BD321" s="106">
        <f>IF(C321="","",IFERROR(1/(1/_xlfn.MINIFS('Saisie'!$A$5:$A$2004,'Saisie'!$C$5:$C$2004,C321,'Saisie'!$AT$5:$AT$2004,"&gt;=2")),""))</f>
        <v/>
      </c>
      <c r="BE321" s="106">
        <f>IF(C321="","",IFERROR(1/(1/_xlfn.MINIFS('Saisie'!$A$5:$A$2004,'Saisie'!$C$5:$C$2004,C321,'Saisie'!$AT$5:$AT$2004,"&gt;=3")),""))</f>
        <v/>
      </c>
      <c r="BF321" s="106">
        <f>IF(C321="","",IFERROR(1/(1/_xlfn.MINIFS('Saisie'!$A$5:$A$2004,'Saisie'!$C$5:$C$2004,C321,'Saisie'!$AT$5:$AT$2004,"&gt;=4")),""))</f>
        <v/>
      </c>
      <c r="BG321" s="106">
        <f>IF(C321="","",IFERROR(1/(1/_xlfn.MINIFS('Saisie'!$A$5:$A$2004,'Saisie'!$C$5:$C$2004,C321,'Saisie'!$AT$5:$AT$2004,"&gt;=5")),""))</f>
        <v/>
      </c>
      <c r="BH321" s="106">
        <f>IF(C321="","",IFERROR(1/(1/_xlfn.MINIFS('Saisie'!$A$5:$A$2004,'Saisie'!$C$5:$C$2004,C321,'Saisie'!$AT$5:$AT$2004,"&gt;=6")),""))</f>
        <v/>
      </c>
      <c r="BI321" s="106">
        <f>IF(C321="","",IFERROR(1/(1/_xlfn.MINIFS('Saisie'!$A$5:$A$2004,'Saisie'!$C$5:$C$2004,C321,'Saisie'!$AT$5:$AT$2004,"&gt;=7")),""))</f>
        <v/>
      </c>
      <c r="BJ321" s="60">
        <f>IF(OR(BD321="",B321=""),"",BD321-B321)</f>
        <v/>
      </c>
      <c r="BK321" s="60">
        <f>IF(OR(BE321="",BD321=""),"",BE321-BD321)</f>
        <v/>
      </c>
      <c r="BL321" s="60">
        <f>IF(OR(BF321="",BE321=""),"",BF321-BE321)</f>
        <v/>
      </c>
      <c r="BM321" s="60">
        <f>IF(OR(BG321="",BF321=""),"",BG321-BF321)</f>
        <v/>
      </c>
      <c r="BN321" s="60">
        <f>IF(OR(BH321="",BG321=""),"",BH321-BG321)</f>
        <v/>
      </c>
      <c r="BO321" s="60">
        <f>IF(OR(BI321="",BH321=""),"",BI321-BH321)</f>
        <v/>
      </c>
      <c r="BP321" s="60">
        <f>IF(C321="","",_xlfn.MAXIFS('Saisie'!$AS$5:$AS$2004,'Saisie'!$C$5:$C$2004,C321,'Saisie'!$J$5:$J$2004,"&lt;&gt;"))</f>
        <v/>
      </c>
      <c r="BQ321" s="60">
        <f>IF(C321="","",_xlfn.MAXIFS('Saisie'!$AS$5:$AS$2004,'Saisie'!$C$5:$C$2004,C321))</f>
        <v/>
      </c>
      <c r="BR321" s="60">
        <f>IF(C321="","",_xlfn.MAXIFS('Saisie'!$AS$5:$AS$2004,'Saisie'!$C$5:$C$2004,C321,'Saisie'!$E$5:$E$2004,"Perdu"))</f>
        <v/>
      </c>
      <c r="BS321" s="60">
        <f>IF(C321="","",_xlfn.MAXIFS('Saisie'!$AS$5:$AS$2004,'Saisie'!$C$5:$C$2004,C321,'Saisie'!$AT$5:$AT$2004,"&gt;0"))</f>
        <v/>
      </c>
      <c r="BT321" s="109">
        <f>IF(AND(C321&lt;&gt;"",OR(D321="Nouveau",D321="Contacté",D321="Qualifié"),OR(G321="",N(G321)&lt;=TODAY()),NOT(AND(O321&gt;='Paramètres'!$B$21,P321=0))),E321+317/10000,"")</f>
        <v/>
      </c>
      <c r="BU321" s="60">
        <f>IF(AND(G321&lt;&gt;"",N(G321)&lt;=TODAY()),MAX($BU$4:BU320)+1,"")</f>
        <v/>
      </c>
      <c r="BV321" s="60">
        <f>IF(AND(F321&lt;&gt;"",F321&lt;&gt;"Relance en retard"),MAX($BV$4:BV320)+1,"")</f>
        <v/>
      </c>
      <c r="BW321" s="60">
        <f>IF(C321="","",IF(AND(B321&gt;='Tableau de bord'!$R$4,B321&lt;='Tableau de bord'!$S$4,OR('Tableau de bord'!$G$4="Tous",N321='Tableau de bord'!$G$4)),1,0))</f>
        <v/>
      </c>
      <c r="BX321" s="60">
        <f>IF(AND(C321&lt;&gt;"",N(BA321)=7),MAX($BX$4:BX320)+1,"")</f>
        <v/>
      </c>
    </row>
    <row r="322">
      <c r="A322" s="60">
        <f>IF(C322="","","P-"&amp;TEXT(318,"000"))</f>
        <v/>
      </c>
      <c r="B322" s="106">
        <f>IF(C322="","",IFERROR(1/(1/_xlfn.MINIFS('Saisie'!$A$5:$A$2004,'Saisie'!$C$5:$C$2004,C322)),""))</f>
        <v/>
      </c>
      <c r="C322" s="60">
        <f>IFERROR(INDEX('Saisie'!$C$5:$C$2004,MATCH(318,'Saisie'!$AX$5:$AX$2004,0)),"")</f>
        <v/>
      </c>
      <c r="D322" s="60">
        <f>IF(C322="","",IF(AND(BR322&gt;0,BR322&gt;BS322,BA322&lt;7),"Perdu",INDEX('Paramètres'!$F$6:$F$13,BA322)))</f>
        <v/>
      </c>
      <c r="E322" s="61">
        <f>IF(C322="","",MIN(100,(Z322="Oui")*'Paramètres'!$B$38+(AB322="Régulière")*'Paramètres'!$B$39+IF(AND(N(AA322)&gt;0,TODAY()-N(AA322)&lt;=30),'Paramètres'!$B$40,0)+(W322="")*'Paramètres'!$B$41+(AC322="Absente")*'Paramètres'!$B$42+(AC322="Faible")*'Paramètres'!$B$43+IF(AND(N(AD322)&gt;0,N(AD322)&lt;4),'Paramètres'!$B$44,0)+(AF322="Moyenne")*'Paramètres'!$B$45+(AF322="Grande")*'Paramètres'!$B$46+(Y322&lt;&gt;"")*'Paramètres'!$B$47))</f>
        <v/>
      </c>
      <c r="F322" s="60">
        <f>IF(C322="","",IF(D322="Gagné","",IF(D322="Perdu",IF(AND(AX322&lt;&gt;"",AX322&lt;=TODAY()),"À recontacter (perdu)",""),IF(AND(O322&gt;='Paramètres'!$B$21,P322=0),"Stop : "&amp;'Paramètres'!$B$21&amp;" tentatives sans réponse",IF(AND(D322="Proposition",AR322&lt;&gt;"",TODAY()&gt;N(AR322)),"Proposition expirée",IF(AND(D322="Proposition",N(R322)&gt;='Paramètres'!$B$25),"Proposition sans réponse",IF(AND(G322&lt;&gt;"",N(G322)&lt;TODAY()),"Relance en retard",IF(N(R322)&gt;='Paramètres'!$B$24,"Sans action depuis "&amp;R322&amp;" j",""))))))))</f>
        <v/>
      </c>
      <c r="G322" s="106">
        <f>IF(OR(C322="",D322="Gagné",D322="Perdu"),"",IF(AND(BP322&gt;0,BP322=BQ322),INDEX('Saisie'!$J$5:$J$2004,BP322-4),IF(OR(O322=0,AND(O322&gt;='Paramètres'!$B$21,P322=0)),"",Q322+IF(O322&lt;=1,'Paramètres'!$B$18,IF(O322=2,'Paramètres'!$B$19,'Paramètres'!$B$20)))))</f>
        <v/>
      </c>
      <c r="H322" s="107">
        <f>IF(OR(G322="",BP322&lt;&gt;BQ322),"",IF(INDEX('Saisie'!$K$5:$K$2004,BP322-4)="","",INDEX('Saisie'!$K$5:$K$2004,BP322-4)))</f>
        <v/>
      </c>
      <c r="I322" s="60">
        <f>IF(C322="","",IF(OR(D322="Gagné",D322="Perdu"),"",IFERROR(INDEX('Saisie'!$I$5:$I$2004,_xlfn.MAXIFS('Saisie'!$AS$5:$AS$2004,'Saisie'!$C$5:$C$2004,C322,'Saisie'!$I$5:$I$2004,"&lt;&gt;")-4),"")))</f>
        <v/>
      </c>
      <c r="J322" s="60">
        <f>IF(C322="","",IFERROR(INDEX('Saisie'!$U$5:$U$2004,_xlfn.MAXIFS('Saisie'!$AS$5:$AS$2004,'Saisie'!$C$5:$C$2004,C322,'Saisie'!$U$5:$U$2004,"&lt;&gt;")-4),""))</f>
        <v/>
      </c>
      <c r="K322" s="60">
        <f>IF(C322="","",IFERROR(INDEX('Saisie'!$W$5:$W$2004,_xlfn.MAXIFS('Saisie'!$AS$5:$AS$2004,'Saisie'!$C$5:$C$2004,C322,'Saisie'!$W$5:$W$2004,"&lt;&gt;")-4),""))</f>
        <v/>
      </c>
      <c r="L322" s="60">
        <f>IF(IF(BB322&lt;&gt;"",BB322,K322)="","",HYPERLINK("https://wa.me/"&amp;IF(LEFT(SUBSTITUTE(SUBSTITUTE(SUBSTITUTE(IF(BB322&lt;&gt;"",BB322,K322)," ",""),".",""),"+",""),1)="0",'Paramètres'!$B$35&amp;MID(SUBSTITUTE(SUBSTITUTE(SUBSTITUTE(IF(BB322&lt;&gt;"",BB322,K322)," ",""),".",""),"+",""),2,20),SUBSTITUTE(SUBSTITUTE(SUBSTITUTE(IF(BB322&lt;&gt;"",BB322,K322)," ",""),".",""),"+","")),"WhatsApp"))</f>
        <v/>
      </c>
      <c r="M322" s="60">
        <f>IF(BC322="","",HYPERLINK(IF(LEFT(BC322,4)="http",BC322,"https://www.instagram.com/"&amp;SUBSTITUTE(SUBSTITUTE(BC322,"@","")," ","")),BC322))</f>
        <v/>
      </c>
      <c r="N322" s="60">
        <f>IF(C322="","",IFERROR(INDEX('Saisie'!$D$5:$D$2004,_xlfn.MINIFS('Saisie'!$AS$5:$AS$2004,'Saisie'!$C$5:$C$2004,C322,'Saisie'!$AU$5:$AU$2004,1)-4),IFERROR(INDEX('Saisie'!$D$5:$D$2004,_xlfn.MINIFS('Saisie'!$AS$5:$AS$2004,'Saisie'!$C$5:$C$2004,C322,'Saisie'!$D$5:$D$2004,"&lt;&gt;")-4),"")))</f>
        <v/>
      </c>
      <c r="O322" s="60">
        <f>IF(C322="","",COUNTIFS('Saisie'!$C$5:$C$2004,C322,'Saisie'!$AU$5:$AU$2004,1))</f>
        <v/>
      </c>
      <c r="P322" s="60">
        <f>IF(C322="","",COUNTIFS('Saisie'!$C$5:$C$2004,C322,'Saisie'!$AV$5:$AV$2004,1))</f>
        <v/>
      </c>
      <c r="Q322" s="106">
        <f>IF(C322="","",IFERROR(1/(1/_xlfn.MAXIFS('Saisie'!$A$5:$A$2004,'Saisie'!$C$5:$C$2004,C322)),""))</f>
        <v/>
      </c>
      <c r="R322" s="61">
        <f>IF(C322="","",IF(Q322="","",TODAY()-Q322))</f>
        <v/>
      </c>
      <c r="S322" s="60">
        <f>IF(C322="","",IFERROR(INDEX('Saisie'!$R$5:$R$2004,_xlfn.MAXIFS('Saisie'!$AS$5:$AS$2004,'Saisie'!$C$5:$C$2004,C322,'Saisie'!$R$5:$R$2004,"&lt;&gt;")-4),""))</f>
        <v/>
      </c>
      <c r="T322" s="60">
        <f>IF(C322="","",IFERROR(INDEX('Saisie'!$S$5:$S$2004,_xlfn.MAXIFS('Saisie'!$AS$5:$AS$2004,'Saisie'!$C$5:$C$2004,C322,'Saisie'!$S$5:$S$2004,"&lt;&gt;")-4),""))</f>
        <v/>
      </c>
      <c r="U322" s="60">
        <f>IF(C322="","",IFERROR(INDEX('Saisie'!$T$5:$T$2004,_xlfn.MAXIFS('Saisie'!$AS$5:$AS$2004,'Saisie'!$C$5:$C$2004,C322,'Saisie'!$T$5:$T$2004,"&lt;&gt;")-4),""))</f>
        <v/>
      </c>
      <c r="V322" s="60">
        <f>IF(C322="","",IFERROR(INDEX('Saisie'!$V$5:$V$2004,_xlfn.MAXIFS('Saisie'!$AS$5:$AS$2004,'Saisie'!$C$5:$C$2004,C322,'Saisie'!$V$5:$V$2004,"&lt;&gt;")-4),""))</f>
        <v/>
      </c>
      <c r="W322" s="60">
        <f>IF(C322="","",IFERROR(INDEX('Saisie'!$Z$5:$Z$2004,_xlfn.MAXIFS('Saisie'!$AS$5:$AS$2004,'Saisie'!$C$5:$C$2004,C322,'Saisie'!$Z$5:$Z$2004,"&lt;&gt;")-4),""))</f>
        <v/>
      </c>
      <c r="X322" s="60">
        <f>IF(C322="","",IFERROR(INDEX('Saisie'!$AA$5:$AA$2004,_xlfn.MAXIFS('Saisie'!$AS$5:$AS$2004,'Saisie'!$C$5:$C$2004,C322,'Saisie'!$AA$5:$AA$2004,"&lt;&gt;")-4),""))</f>
        <v/>
      </c>
      <c r="Y322" s="60">
        <f>IF(C322="","",IFERROR(INDEX('Saisie'!$AB$5:$AB$2004,_xlfn.MAXIFS('Saisie'!$AS$5:$AS$2004,'Saisie'!$C$5:$C$2004,C322,'Saisie'!$AB$5:$AB$2004,"&lt;&gt;")-4),""))</f>
        <v/>
      </c>
      <c r="Z322" s="60">
        <f>IF(C322="","",IFERROR(INDEX('Saisie'!$AC$5:$AC$2004,_xlfn.MAXIFS('Saisie'!$AS$5:$AS$2004,'Saisie'!$C$5:$C$2004,C322,'Saisie'!$AC$5:$AC$2004,"&lt;&gt;")-4),""))</f>
        <v/>
      </c>
      <c r="AA322" s="106">
        <f>IF(C322="","",IFERROR(INDEX('Saisie'!$AD$5:$AD$2004,_xlfn.MAXIFS('Saisie'!$AS$5:$AS$2004,'Saisie'!$C$5:$C$2004,C322,'Saisie'!$AD$5:$AD$2004,"&lt;&gt;")-4),""))</f>
        <v/>
      </c>
      <c r="AB322" s="60">
        <f>IF(C322="","",IFERROR(INDEX('Saisie'!$AE$5:$AE$2004,_xlfn.MAXIFS('Saisie'!$AS$5:$AS$2004,'Saisie'!$C$5:$C$2004,C322,'Saisie'!$AE$5:$AE$2004,"&lt;&gt;")-4),""))</f>
        <v/>
      </c>
      <c r="AC322" s="60">
        <f>IF(C322="","",IFERROR(INDEX('Saisie'!$AF$5:$AF$2004,_xlfn.MAXIFS('Saisie'!$AS$5:$AS$2004,'Saisie'!$C$5:$C$2004,C322,'Saisie'!$AF$5:$AF$2004,"&lt;&gt;")-4),""))</f>
        <v/>
      </c>
      <c r="AD322" s="108">
        <f>IF(C322="","",IFERROR(INDEX('Saisie'!$AG$5:$AG$2004,_xlfn.MAXIFS('Saisie'!$AS$5:$AS$2004,'Saisie'!$C$5:$C$2004,C322,'Saisie'!$AG$5:$AG$2004,"&lt;&gt;")-4),""))</f>
        <v/>
      </c>
      <c r="AE322" s="60">
        <f>IF(C322="","",IFERROR(INDEX('Saisie'!$AH$5:$AH$2004,_xlfn.MAXIFS('Saisie'!$AS$5:$AS$2004,'Saisie'!$C$5:$C$2004,C322,'Saisie'!$AH$5:$AH$2004,"&lt;&gt;")-4),""))</f>
        <v/>
      </c>
      <c r="AF322" s="60">
        <f>IF(C322="","",IFERROR(INDEX('Saisie'!$AI$5:$AI$2004,_xlfn.MAXIFS('Saisie'!$AS$5:$AS$2004,'Saisie'!$C$5:$C$2004,C322,'Saisie'!$AI$5:$AI$2004,"&lt;&gt;")-4),""))</f>
        <v/>
      </c>
      <c r="AG322" s="60">
        <f>IF(C322="","",IFERROR(INDEX('Saisie'!$AJ$5:$AJ$2004,_xlfn.MAXIFS('Saisie'!$AS$5:$AS$2004,'Saisie'!$C$5:$C$2004,C322,'Saisie'!$AJ$5:$AJ$2004,"&lt;&gt;")-4),""))</f>
        <v/>
      </c>
      <c r="AH322" s="60">
        <f>IF(C322="","",IFERROR(INDEX('Saisie'!$AK$5:$AK$2004,_xlfn.MAXIFS('Saisie'!$AS$5:$AS$2004,'Saisie'!$C$5:$C$2004,C322,'Saisie'!$AK$5:$AK$2004,"&lt;&gt;")-4),""))</f>
        <v/>
      </c>
      <c r="AI322" s="60">
        <f>IF(C322="","",IFERROR(INDEX('Saisie'!$AN$5:$AN$2004,_xlfn.MAXIFS('Saisie'!$AS$5:$AS$2004,'Saisie'!$C$5:$C$2004,C322,'Saisie'!$AN$5:$AN$2004,"&lt;&gt;")-4),""))</f>
        <v/>
      </c>
      <c r="AJ322" s="60">
        <f>IF(C322="","",IFERROR(INDEX('Saisie'!$AO$5:$AO$2004,_xlfn.MAXIFS('Saisie'!$AS$5:$AS$2004,'Saisie'!$C$5:$C$2004,C322,'Saisie'!$AO$5:$AO$2004,"&lt;&gt;")-4),""))</f>
        <v/>
      </c>
      <c r="AK322" s="60">
        <f>IF(C322="","",IFERROR(INDEX('Saisie'!$AP$5:$AP$2004,_xlfn.MAXIFS('Saisie'!$AS$5:$AS$2004,'Saisie'!$C$5:$C$2004,C322,'Saisie'!$AP$5:$AP$2004,"&lt;&gt;")-4),""))</f>
        <v/>
      </c>
      <c r="AL322" s="60">
        <f>IF(C322="","",IFERROR(INDEX('Saisie'!$AQ$5:$AQ$2004,_xlfn.MAXIFS('Saisie'!$AS$5:$AS$2004,'Saisie'!$C$5:$C$2004,C322,'Saisie'!$AQ$5:$AQ$2004,"&lt;&gt;")-4),""))</f>
        <v/>
      </c>
      <c r="AM322" s="60">
        <f>IF(C322="","",((AI322="Oui")+(AJ322="Oui")+(AK322="Oui")+OR(AL322="Immédiat",AL322="&lt; 1 mois"))&amp;"/4")</f>
        <v/>
      </c>
      <c r="AN322" s="60">
        <f>IF(C322="","",IFERROR(INDEX('Saisie'!$AL$5:$AL$2004,_xlfn.MAXIFS('Saisie'!$AS$5:$AS$2004,'Saisie'!$C$5:$C$2004,C322,'Saisie'!$AL$5:$AL$2004,"&lt;&gt;")-4),""))</f>
        <v/>
      </c>
      <c r="AO322" s="62">
        <f>IF(C322="","",IF(IFERROR(INDEX('Saisie'!$AM$5:$AM$2004,_xlfn.MAXIFS('Saisie'!$AS$5:$AS$2004,'Saisie'!$C$5:$C$2004,C322,'Saisie'!$AM$5:$AM$2004,"&lt;&gt;")-4),"")&lt;&gt;"",IFERROR(INDEX('Saisie'!$AM$5:$AM$2004,_xlfn.MAXIFS('Saisie'!$AS$5:$AS$2004,'Saisie'!$C$5:$C$2004,C322,'Saisie'!$AM$5:$AM$2004,"&lt;&gt;")-4),""),IFERROR(INDEX('Paramètres'!$S$6:$S$15,MATCH(AN322,'Paramètres'!$Q$6:$Q$15,0)),"")))</f>
        <v/>
      </c>
      <c r="AP322" s="62">
        <f>IF(C322="","",IFERROR(INDEX('Saisie'!$AW$5:$AW$2004,_xlfn.MAXIFS('Saisie'!$AS$5:$AS$2004,'Saisie'!$C$5:$C$2004,C322,'Saisie'!$E$5:$E$2004,"Proposition envoyée")-4),""))</f>
        <v/>
      </c>
      <c r="AQ322" s="106">
        <f>IF(C322="","",IFERROR(1/(1/_xlfn.MAXIFS('Saisie'!$A$5:$A$2004,'Saisie'!$C$5:$C$2004,C322,'Saisie'!$E$5:$E$2004,"Proposition envoyée")),""))</f>
        <v/>
      </c>
      <c r="AR322" s="106">
        <f>IF(C322="","",IF(AQ322="","",AQ322+'Paramètres'!$B$26))</f>
        <v/>
      </c>
      <c r="AS322" s="62">
        <f>IF(OR(C322="",D322="Gagné",D322="Perdu"),0,N(AP322)*IFERROR(INDEX('Paramètres'!$G$6:$G$13,MATCH(D322,'Paramètres'!$F$6:$F$13,0)),0))</f>
        <v/>
      </c>
      <c r="AT322" s="106">
        <f>IF(C322="","",IFERROR(1/(1/_xlfn.MINIFS('Saisie'!$A$5:$A$2004,'Saisie'!$C$5:$C$2004,C322,'Saisie'!$E$5:$E$2004,"Signature")),""))</f>
        <v/>
      </c>
      <c r="AU322" s="60">
        <f>IF(C322="","",IF(OR(AT322="",B322=""),"",AT322-B322))</f>
        <v/>
      </c>
      <c r="AV322" s="60">
        <f>IF(C322="","",IFERROR(INDEX('Saisie'!$L$5:$L$2004,_xlfn.MAXIFS('Saisie'!$AS$5:$AS$2004,'Saisie'!$C$5:$C$2004,C322,'Saisie'!$L$5:$L$2004,"&lt;&gt;")-4),""))</f>
        <v/>
      </c>
      <c r="AW322" s="106">
        <f>IF(C322="","",IF(D322&lt;&gt;"Perdu","",IFERROR(1/(1/_xlfn.MAXIFS('Saisie'!$A$5:$A$2004,'Saisie'!$C$5:$C$2004,C322,'Saisie'!$E$5:$E$2004,"Perdu")),"")))</f>
        <v/>
      </c>
      <c r="AX322" s="106">
        <f>IF(C322="","",IF(AW322="","",AW322+'Paramètres'!$B$28))</f>
        <v/>
      </c>
      <c r="AY322" s="60">
        <f>IF(C322="","",SUMIFS('Saisie'!$H$5:$H$2004,'Saisie'!$C$5:$C$2004,C322))</f>
        <v/>
      </c>
      <c r="AZ322" s="60">
        <f>IF(C322="","",IFERROR(INDEX('Paramètres'!$W$6:$W$20,MATCH(S322,'Paramètres'!$V$6:$V$20,0))&amp;"",""))</f>
        <v/>
      </c>
      <c r="BA322" s="60">
        <f>IF(C322="","",MAX(1,_xlfn.MAXIFS('Saisie'!$AT$5:$AT$2004,'Saisie'!$C$5:$C$2004,C322)))</f>
        <v/>
      </c>
      <c r="BB322" s="60">
        <f>IF(C322="","",IFERROR(INDEX('Saisie'!$X$5:$X$2004,_xlfn.MAXIFS('Saisie'!$AS$5:$AS$2004,'Saisie'!$C$5:$C$2004,C322,'Saisie'!$X$5:$X$2004,"&lt;&gt;")-4),""))</f>
        <v/>
      </c>
      <c r="BC322" s="60">
        <f>IF(C322="","",IFERROR(INDEX('Saisie'!$Y$5:$Y$2004,_xlfn.MAXIFS('Saisie'!$AS$5:$AS$2004,'Saisie'!$C$5:$C$2004,C322,'Saisie'!$Y$5:$Y$2004,"&lt;&gt;")-4),""))</f>
        <v/>
      </c>
      <c r="BD322" s="106">
        <f>IF(C322="","",IFERROR(1/(1/_xlfn.MINIFS('Saisie'!$A$5:$A$2004,'Saisie'!$C$5:$C$2004,C322,'Saisie'!$AT$5:$AT$2004,"&gt;=2")),""))</f>
        <v/>
      </c>
      <c r="BE322" s="106">
        <f>IF(C322="","",IFERROR(1/(1/_xlfn.MINIFS('Saisie'!$A$5:$A$2004,'Saisie'!$C$5:$C$2004,C322,'Saisie'!$AT$5:$AT$2004,"&gt;=3")),""))</f>
        <v/>
      </c>
      <c r="BF322" s="106">
        <f>IF(C322="","",IFERROR(1/(1/_xlfn.MINIFS('Saisie'!$A$5:$A$2004,'Saisie'!$C$5:$C$2004,C322,'Saisie'!$AT$5:$AT$2004,"&gt;=4")),""))</f>
        <v/>
      </c>
      <c r="BG322" s="106">
        <f>IF(C322="","",IFERROR(1/(1/_xlfn.MINIFS('Saisie'!$A$5:$A$2004,'Saisie'!$C$5:$C$2004,C322,'Saisie'!$AT$5:$AT$2004,"&gt;=5")),""))</f>
        <v/>
      </c>
      <c r="BH322" s="106">
        <f>IF(C322="","",IFERROR(1/(1/_xlfn.MINIFS('Saisie'!$A$5:$A$2004,'Saisie'!$C$5:$C$2004,C322,'Saisie'!$AT$5:$AT$2004,"&gt;=6")),""))</f>
        <v/>
      </c>
      <c r="BI322" s="106">
        <f>IF(C322="","",IFERROR(1/(1/_xlfn.MINIFS('Saisie'!$A$5:$A$2004,'Saisie'!$C$5:$C$2004,C322,'Saisie'!$AT$5:$AT$2004,"&gt;=7")),""))</f>
        <v/>
      </c>
      <c r="BJ322" s="60">
        <f>IF(OR(BD322="",B322=""),"",BD322-B322)</f>
        <v/>
      </c>
      <c r="BK322" s="60">
        <f>IF(OR(BE322="",BD322=""),"",BE322-BD322)</f>
        <v/>
      </c>
      <c r="BL322" s="60">
        <f>IF(OR(BF322="",BE322=""),"",BF322-BE322)</f>
        <v/>
      </c>
      <c r="BM322" s="60">
        <f>IF(OR(BG322="",BF322=""),"",BG322-BF322)</f>
        <v/>
      </c>
      <c r="BN322" s="60">
        <f>IF(OR(BH322="",BG322=""),"",BH322-BG322)</f>
        <v/>
      </c>
      <c r="BO322" s="60">
        <f>IF(OR(BI322="",BH322=""),"",BI322-BH322)</f>
        <v/>
      </c>
      <c r="BP322" s="60">
        <f>IF(C322="","",_xlfn.MAXIFS('Saisie'!$AS$5:$AS$2004,'Saisie'!$C$5:$C$2004,C322,'Saisie'!$J$5:$J$2004,"&lt;&gt;"))</f>
        <v/>
      </c>
      <c r="BQ322" s="60">
        <f>IF(C322="","",_xlfn.MAXIFS('Saisie'!$AS$5:$AS$2004,'Saisie'!$C$5:$C$2004,C322))</f>
        <v/>
      </c>
      <c r="BR322" s="60">
        <f>IF(C322="","",_xlfn.MAXIFS('Saisie'!$AS$5:$AS$2004,'Saisie'!$C$5:$C$2004,C322,'Saisie'!$E$5:$E$2004,"Perdu"))</f>
        <v/>
      </c>
      <c r="BS322" s="60">
        <f>IF(C322="","",_xlfn.MAXIFS('Saisie'!$AS$5:$AS$2004,'Saisie'!$C$5:$C$2004,C322,'Saisie'!$AT$5:$AT$2004,"&gt;0"))</f>
        <v/>
      </c>
      <c r="BT322" s="109">
        <f>IF(AND(C322&lt;&gt;"",OR(D322="Nouveau",D322="Contacté",D322="Qualifié"),OR(G322="",N(G322)&lt;=TODAY()),NOT(AND(O322&gt;='Paramètres'!$B$21,P322=0))),E322+318/10000,"")</f>
        <v/>
      </c>
      <c r="BU322" s="60">
        <f>IF(AND(G322&lt;&gt;"",N(G322)&lt;=TODAY()),MAX($BU$4:BU321)+1,"")</f>
        <v/>
      </c>
      <c r="BV322" s="60">
        <f>IF(AND(F322&lt;&gt;"",F322&lt;&gt;"Relance en retard"),MAX($BV$4:BV321)+1,"")</f>
        <v/>
      </c>
      <c r="BW322" s="60">
        <f>IF(C322="","",IF(AND(B322&gt;='Tableau de bord'!$R$4,B322&lt;='Tableau de bord'!$S$4,OR('Tableau de bord'!$G$4="Tous",N322='Tableau de bord'!$G$4)),1,0))</f>
        <v/>
      </c>
      <c r="BX322" s="60">
        <f>IF(AND(C322&lt;&gt;"",N(BA322)=7),MAX($BX$4:BX321)+1,"")</f>
        <v/>
      </c>
    </row>
    <row r="323">
      <c r="A323" s="60">
        <f>IF(C323="","","P-"&amp;TEXT(319,"000"))</f>
        <v/>
      </c>
      <c r="B323" s="106">
        <f>IF(C323="","",IFERROR(1/(1/_xlfn.MINIFS('Saisie'!$A$5:$A$2004,'Saisie'!$C$5:$C$2004,C323)),""))</f>
        <v/>
      </c>
      <c r="C323" s="60">
        <f>IFERROR(INDEX('Saisie'!$C$5:$C$2004,MATCH(319,'Saisie'!$AX$5:$AX$2004,0)),"")</f>
        <v/>
      </c>
      <c r="D323" s="60">
        <f>IF(C323="","",IF(AND(BR323&gt;0,BR323&gt;BS323,BA323&lt;7),"Perdu",INDEX('Paramètres'!$F$6:$F$13,BA323)))</f>
        <v/>
      </c>
      <c r="E323" s="61">
        <f>IF(C323="","",MIN(100,(Z323="Oui")*'Paramètres'!$B$38+(AB323="Régulière")*'Paramètres'!$B$39+IF(AND(N(AA323)&gt;0,TODAY()-N(AA323)&lt;=30),'Paramètres'!$B$40,0)+(W323="")*'Paramètres'!$B$41+(AC323="Absente")*'Paramètres'!$B$42+(AC323="Faible")*'Paramètres'!$B$43+IF(AND(N(AD323)&gt;0,N(AD323)&lt;4),'Paramètres'!$B$44,0)+(AF323="Moyenne")*'Paramètres'!$B$45+(AF323="Grande")*'Paramètres'!$B$46+(Y323&lt;&gt;"")*'Paramètres'!$B$47))</f>
        <v/>
      </c>
      <c r="F323" s="60">
        <f>IF(C323="","",IF(D323="Gagné","",IF(D323="Perdu",IF(AND(AX323&lt;&gt;"",AX323&lt;=TODAY()),"À recontacter (perdu)",""),IF(AND(O323&gt;='Paramètres'!$B$21,P323=0),"Stop : "&amp;'Paramètres'!$B$21&amp;" tentatives sans réponse",IF(AND(D323="Proposition",AR323&lt;&gt;"",TODAY()&gt;N(AR323)),"Proposition expirée",IF(AND(D323="Proposition",N(R323)&gt;='Paramètres'!$B$25),"Proposition sans réponse",IF(AND(G323&lt;&gt;"",N(G323)&lt;TODAY()),"Relance en retard",IF(N(R323)&gt;='Paramètres'!$B$24,"Sans action depuis "&amp;R323&amp;" j",""))))))))</f>
        <v/>
      </c>
      <c r="G323" s="106">
        <f>IF(OR(C323="",D323="Gagné",D323="Perdu"),"",IF(AND(BP323&gt;0,BP323=BQ323),INDEX('Saisie'!$J$5:$J$2004,BP323-4),IF(OR(O323=0,AND(O323&gt;='Paramètres'!$B$21,P323=0)),"",Q323+IF(O323&lt;=1,'Paramètres'!$B$18,IF(O323=2,'Paramètres'!$B$19,'Paramètres'!$B$20)))))</f>
        <v/>
      </c>
      <c r="H323" s="107">
        <f>IF(OR(G323="",BP323&lt;&gt;BQ323),"",IF(INDEX('Saisie'!$K$5:$K$2004,BP323-4)="","",INDEX('Saisie'!$K$5:$K$2004,BP323-4)))</f>
        <v/>
      </c>
      <c r="I323" s="60">
        <f>IF(C323="","",IF(OR(D323="Gagné",D323="Perdu"),"",IFERROR(INDEX('Saisie'!$I$5:$I$2004,_xlfn.MAXIFS('Saisie'!$AS$5:$AS$2004,'Saisie'!$C$5:$C$2004,C323,'Saisie'!$I$5:$I$2004,"&lt;&gt;")-4),"")))</f>
        <v/>
      </c>
      <c r="J323" s="60">
        <f>IF(C323="","",IFERROR(INDEX('Saisie'!$U$5:$U$2004,_xlfn.MAXIFS('Saisie'!$AS$5:$AS$2004,'Saisie'!$C$5:$C$2004,C323,'Saisie'!$U$5:$U$2004,"&lt;&gt;")-4),""))</f>
        <v/>
      </c>
      <c r="K323" s="60">
        <f>IF(C323="","",IFERROR(INDEX('Saisie'!$W$5:$W$2004,_xlfn.MAXIFS('Saisie'!$AS$5:$AS$2004,'Saisie'!$C$5:$C$2004,C323,'Saisie'!$W$5:$W$2004,"&lt;&gt;")-4),""))</f>
        <v/>
      </c>
      <c r="L323" s="60">
        <f>IF(IF(BB323&lt;&gt;"",BB323,K323)="","",HYPERLINK("https://wa.me/"&amp;IF(LEFT(SUBSTITUTE(SUBSTITUTE(SUBSTITUTE(IF(BB323&lt;&gt;"",BB323,K323)," ",""),".",""),"+",""),1)="0",'Paramètres'!$B$35&amp;MID(SUBSTITUTE(SUBSTITUTE(SUBSTITUTE(IF(BB323&lt;&gt;"",BB323,K323)," ",""),".",""),"+",""),2,20),SUBSTITUTE(SUBSTITUTE(SUBSTITUTE(IF(BB323&lt;&gt;"",BB323,K323)," ",""),".",""),"+","")),"WhatsApp"))</f>
        <v/>
      </c>
      <c r="M323" s="60">
        <f>IF(BC323="","",HYPERLINK(IF(LEFT(BC323,4)="http",BC323,"https://www.instagram.com/"&amp;SUBSTITUTE(SUBSTITUTE(BC323,"@","")," ","")),BC323))</f>
        <v/>
      </c>
      <c r="N323" s="60">
        <f>IF(C323="","",IFERROR(INDEX('Saisie'!$D$5:$D$2004,_xlfn.MINIFS('Saisie'!$AS$5:$AS$2004,'Saisie'!$C$5:$C$2004,C323,'Saisie'!$AU$5:$AU$2004,1)-4),IFERROR(INDEX('Saisie'!$D$5:$D$2004,_xlfn.MINIFS('Saisie'!$AS$5:$AS$2004,'Saisie'!$C$5:$C$2004,C323,'Saisie'!$D$5:$D$2004,"&lt;&gt;")-4),"")))</f>
        <v/>
      </c>
      <c r="O323" s="60">
        <f>IF(C323="","",COUNTIFS('Saisie'!$C$5:$C$2004,C323,'Saisie'!$AU$5:$AU$2004,1))</f>
        <v/>
      </c>
      <c r="P323" s="60">
        <f>IF(C323="","",COUNTIFS('Saisie'!$C$5:$C$2004,C323,'Saisie'!$AV$5:$AV$2004,1))</f>
        <v/>
      </c>
      <c r="Q323" s="106">
        <f>IF(C323="","",IFERROR(1/(1/_xlfn.MAXIFS('Saisie'!$A$5:$A$2004,'Saisie'!$C$5:$C$2004,C323)),""))</f>
        <v/>
      </c>
      <c r="R323" s="61">
        <f>IF(C323="","",IF(Q323="","",TODAY()-Q323))</f>
        <v/>
      </c>
      <c r="S323" s="60">
        <f>IF(C323="","",IFERROR(INDEX('Saisie'!$R$5:$R$2004,_xlfn.MAXIFS('Saisie'!$AS$5:$AS$2004,'Saisie'!$C$5:$C$2004,C323,'Saisie'!$R$5:$R$2004,"&lt;&gt;")-4),""))</f>
        <v/>
      </c>
      <c r="T323" s="60">
        <f>IF(C323="","",IFERROR(INDEX('Saisie'!$S$5:$S$2004,_xlfn.MAXIFS('Saisie'!$AS$5:$AS$2004,'Saisie'!$C$5:$C$2004,C323,'Saisie'!$S$5:$S$2004,"&lt;&gt;")-4),""))</f>
        <v/>
      </c>
      <c r="U323" s="60">
        <f>IF(C323="","",IFERROR(INDEX('Saisie'!$T$5:$T$2004,_xlfn.MAXIFS('Saisie'!$AS$5:$AS$2004,'Saisie'!$C$5:$C$2004,C323,'Saisie'!$T$5:$T$2004,"&lt;&gt;")-4),""))</f>
        <v/>
      </c>
      <c r="V323" s="60">
        <f>IF(C323="","",IFERROR(INDEX('Saisie'!$V$5:$V$2004,_xlfn.MAXIFS('Saisie'!$AS$5:$AS$2004,'Saisie'!$C$5:$C$2004,C323,'Saisie'!$V$5:$V$2004,"&lt;&gt;")-4),""))</f>
        <v/>
      </c>
      <c r="W323" s="60">
        <f>IF(C323="","",IFERROR(INDEX('Saisie'!$Z$5:$Z$2004,_xlfn.MAXIFS('Saisie'!$AS$5:$AS$2004,'Saisie'!$C$5:$C$2004,C323,'Saisie'!$Z$5:$Z$2004,"&lt;&gt;")-4),""))</f>
        <v/>
      </c>
      <c r="X323" s="60">
        <f>IF(C323="","",IFERROR(INDEX('Saisie'!$AA$5:$AA$2004,_xlfn.MAXIFS('Saisie'!$AS$5:$AS$2004,'Saisie'!$C$5:$C$2004,C323,'Saisie'!$AA$5:$AA$2004,"&lt;&gt;")-4),""))</f>
        <v/>
      </c>
      <c r="Y323" s="60">
        <f>IF(C323="","",IFERROR(INDEX('Saisie'!$AB$5:$AB$2004,_xlfn.MAXIFS('Saisie'!$AS$5:$AS$2004,'Saisie'!$C$5:$C$2004,C323,'Saisie'!$AB$5:$AB$2004,"&lt;&gt;")-4),""))</f>
        <v/>
      </c>
      <c r="Z323" s="60">
        <f>IF(C323="","",IFERROR(INDEX('Saisie'!$AC$5:$AC$2004,_xlfn.MAXIFS('Saisie'!$AS$5:$AS$2004,'Saisie'!$C$5:$C$2004,C323,'Saisie'!$AC$5:$AC$2004,"&lt;&gt;")-4),""))</f>
        <v/>
      </c>
      <c r="AA323" s="106">
        <f>IF(C323="","",IFERROR(INDEX('Saisie'!$AD$5:$AD$2004,_xlfn.MAXIFS('Saisie'!$AS$5:$AS$2004,'Saisie'!$C$5:$C$2004,C323,'Saisie'!$AD$5:$AD$2004,"&lt;&gt;")-4),""))</f>
        <v/>
      </c>
      <c r="AB323" s="60">
        <f>IF(C323="","",IFERROR(INDEX('Saisie'!$AE$5:$AE$2004,_xlfn.MAXIFS('Saisie'!$AS$5:$AS$2004,'Saisie'!$C$5:$C$2004,C323,'Saisie'!$AE$5:$AE$2004,"&lt;&gt;")-4),""))</f>
        <v/>
      </c>
      <c r="AC323" s="60">
        <f>IF(C323="","",IFERROR(INDEX('Saisie'!$AF$5:$AF$2004,_xlfn.MAXIFS('Saisie'!$AS$5:$AS$2004,'Saisie'!$C$5:$C$2004,C323,'Saisie'!$AF$5:$AF$2004,"&lt;&gt;")-4),""))</f>
        <v/>
      </c>
      <c r="AD323" s="108">
        <f>IF(C323="","",IFERROR(INDEX('Saisie'!$AG$5:$AG$2004,_xlfn.MAXIFS('Saisie'!$AS$5:$AS$2004,'Saisie'!$C$5:$C$2004,C323,'Saisie'!$AG$5:$AG$2004,"&lt;&gt;")-4),""))</f>
        <v/>
      </c>
      <c r="AE323" s="60">
        <f>IF(C323="","",IFERROR(INDEX('Saisie'!$AH$5:$AH$2004,_xlfn.MAXIFS('Saisie'!$AS$5:$AS$2004,'Saisie'!$C$5:$C$2004,C323,'Saisie'!$AH$5:$AH$2004,"&lt;&gt;")-4),""))</f>
        <v/>
      </c>
      <c r="AF323" s="60">
        <f>IF(C323="","",IFERROR(INDEX('Saisie'!$AI$5:$AI$2004,_xlfn.MAXIFS('Saisie'!$AS$5:$AS$2004,'Saisie'!$C$5:$C$2004,C323,'Saisie'!$AI$5:$AI$2004,"&lt;&gt;")-4),""))</f>
        <v/>
      </c>
      <c r="AG323" s="60">
        <f>IF(C323="","",IFERROR(INDEX('Saisie'!$AJ$5:$AJ$2004,_xlfn.MAXIFS('Saisie'!$AS$5:$AS$2004,'Saisie'!$C$5:$C$2004,C323,'Saisie'!$AJ$5:$AJ$2004,"&lt;&gt;")-4),""))</f>
        <v/>
      </c>
      <c r="AH323" s="60">
        <f>IF(C323="","",IFERROR(INDEX('Saisie'!$AK$5:$AK$2004,_xlfn.MAXIFS('Saisie'!$AS$5:$AS$2004,'Saisie'!$C$5:$C$2004,C323,'Saisie'!$AK$5:$AK$2004,"&lt;&gt;")-4),""))</f>
        <v/>
      </c>
      <c r="AI323" s="60">
        <f>IF(C323="","",IFERROR(INDEX('Saisie'!$AN$5:$AN$2004,_xlfn.MAXIFS('Saisie'!$AS$5:$AS$2004,'Saisie'!$C$5:$C$2004,C323,'Saisie'!$AN$5:$AN$2004,"&lt;&gt;")-4),""))</f>
        <v/>
      </c>
      <c r="AJ323" s="60">
        <f>IF(C323="","",IFERROR(INDEX('Saisie'!$AO$5:$AO$2004,_xlfn.MAXIFS('Saisie'!$AS$5:$AS$2004,'Saisie'!$C$5:$C$2004,C323,'Saisie'!$AO$5:$AO$2004,"&lt;&gt;")-4),""))</f>
        <v/>
      </c>
      <c r="AK323" s="60">
        <f>IF(C323="","",IFERROR(INDEX('Saisie'!$AP$5:$AP$2004,_xlfn.MAXIFS('Saisie'!$AS$5:$AS$2004,'Saisie'!$C$5:$C$2004,C323,'Saisie'!$AP$5:$AP$2004,"&lt;&gt;")-4),""))</f>
        <v/>
      </c>
      <c r="AL323" s="60">
        <f>IF(C323="","",IFERROR(INDEX('Saisie'!$AQ$5:$AQ$2004,_xlfn.MAXIFS('Saisie'!$AS$5:$AS$2004,'Saisie'!$C$5:$C$2004,C323,'Saisie'!$AQ$5:$AQ$2004,"&lt;&gt;")-4),""))</f>
        <v/>
      </c>
      <c r="AM323" s="60">
        <f>IF(C323="","",((AI323="Oui")+(AJ323="Oui")+(AK323="Oui")+OR(AL323="Immédiat",AL323="&lt; 1 mois"))&amp;"/4")</f>
        <v/>
      </c>
      <c r="AN323" s="60">
        <f>IF(C323="","",IFERROR(INDEX('Saisie'!$AL$5:$AL$2004,_xlfn.MAXIFS('Saisie'!$AS$5:$AS$2004,'Saisie'!$C$5:$C$2004,C323,'Saisie'!$AL$5:$AL$2004,"&lt;&gt;")-4),""))</f>
        <v/>
      </c>
      <c r="AO323" s="62">
        <f>IF(C323="","",IF(IFERROR(INDEX('Saisie'!$AM$5:$AM$2004,_xlfn.MAXIFS('Saisie'!$AS$5:$AS$2004,'Saisie'!$C$5:$C$2004,C323,'Saisie'!$AM$5:$AM$2004,"&lt;&gt;")-4),"")&lt;&gt;"",IFERROR(INDEX('Saisie'!$AM$5:$AM$2004,_xlfn.MAXIFS('Saisie'!$AS$5:$AS$2004,'Saisie'!$C$5:$C$2004,C323,'Saisie'!$AM$5:$AM$2004,"&lt;&gt;")-4),""),IFERROR(INDEX('Paramètres'!$S$6:$S$15,MATCH(AN323,'Paramètres'!$Q$6:$Q$15,0)),"")))</f>
        <v/>
      </c>
      <c r="AP323" s="62">
        <f>IF(C323="","",IFERROR(INDEX('Saisie'!$AW$5:$AW$2004,_xlfn.MAXIFS('Saisie'!$AS$5:$AS$2004,'Saisie'!$C$5:$C$2004,C323,'Saisie'!$E$5:$E$2004,"Proposition envoyée")-4),""))</f>
        <v/>
      </c>
      <c r="AQ323" s="106">
        <f>IF(C323="","",IFERROR(1/(1/_xlfn.MAXIFS('Saisie'!$A$5:$A$2004,'Saisie'!$C$5:$C$2004,C323,'Saisie'!$E$5:$E$2004,"Proposition envoyée")),""))</f>
        <v/>
      </c>
      <c r="AR323" s="106">
        <f>IF(C323="","",IF(AQ323="","",AQ323+'Paramètres'!$B$26))</f>
        <v/>
      </c>
      <c r="AS323" s="62">
        <f>IF(OR(C323="",D323="Gagné",D323="Perdu"),0,N(AP323)*IFERROR(INDEX('Paramètres'!$G$6:$G$13,MATCH(D323,'Paramètres'!$F$6:$F$13,0)),0))</f>
        <v/>
      </c>
      <c r="AT323" s="106">
        <f>IF(C323="","",IFERROR(1/(1/_xlfn.MINIFS('Saisie'!$A$5:$A$2004,'Saisie'!$C$5:$C$2004,C323,'Saisie'!$E$5:$E$2004,"Signature")),""))</f>
        <v/>
      </c>
      <c r="AU323" s="60">
        <f>IF(C323="","",IF(OR(AT323="",B323=""),"",AT323-B323))</f>
        <v/>
      </c>
      <c r="AV323" s="60">
        <f>IF(C323="","",IFERROR(INDEX('Saisie'!$L$5:$L$2004,_xlfn.MAXIFS('Saisie'!$AS$5:$AS$2004,'Saisie'!$C$5:$C$2004,C323,'Saisie'!$L$5:$L$2004,"&lt;&gt;")-4),""))</f>
        <v/>
      </c>
      <c r="AW323" s="106">
        <f>IF(C323="","",IF(D323&lt;&gt;"Perdu","",IFERROR(1/(1/_xlfn.MAXIFS('Saisie'!$A$5:$A$2004,'Saisie'!$C$5:$C$2004,C323,'Saisie'!$E$5:$E$2004,"Perdu")),"")))</f>
        <v/>
      </c>
      <c r="AX323" s="106">
        <f>IF(C323="","",IF(AW323="","",AW323+'Paramètres'!$B$28))</f>
        <v/>
      </c>
      <c r="AY323" s="60">
        <f>IF(C323="","",SUMIFS('Saisie'!$H$5:$H$2004,'Saisie'!$C$5:$C$2004,C323))</f>
        <v/>
      </c>
      <c r="AZ323" s="60">
        <f>IF(C323="","",IFERROR(INDEX('Paramètres'!$W$6:$W$20,MATCH(S323,'Paramètres'!$V$6:$V$20,0))&amp;"",""))</f>
        <v/>
      </c>
      <c r="BA323" s="60">
        <f>IF(C323="","",MAX(1,_xlfn.MAXIFS('Saisie'!$AT$5:$AT$2004,'Saisie'!$C$5:$C$2004,C323)))</f>
        <v/>
      </c>
      <c r="BB323" s="60">
        <f>IF(C323="","",IFERROR(INDEX('Saisie'!$X$5:$X$2004,_xlfn.MAXIFS('Saisie'!$AS$5:$AS$2004,'Saisie'!$C$5:$C$2004,C323,'Saisie'!$X$5:$X$2004,"&lt;&gt;")-4),""))</f>
        <v/>
      </c>
      <c r="BC323" s="60">
        <f>IF(C323="","",IFERROR(INDEX('Saisie'!$Y$5:$Y$2004,_xlfn.MAXIFS('Saisie'!$AS$5:$AS$2004,'Saisie'!$C$5:$C$2004,C323,'Saisie'!$Y$5:$Y$2004,"&lt;&gt;")-4),""))</f>
        <v/>
      </c>
      <c r="BD323" s="106">
        <f>IF(C323="","",IFERROR(1/(1/_xlfn.MINIFS('Saisie'!$A$5:$A$2004,'Saisie'!$C$5:$C$2004,C323,'Saisie'!$AT$5:$AT$2004,"&gt;=2")),""))</f>
        <v/>
      </c>
      <c r="BE323" s="106">
        <f>IF(C323="","",IFERROR(1/(1/_xlfn.MINIFS('Saisie'!$A$5:$A$2004,'Saisie'!$C$5:$C$2004,C323,'Saisie'!$AT$5:$AT$2004,"&gt;=3")),""))</f>
        <v/>
      </c>
      <c r="BF323" s="106">
        <f>IF(C323="","",IFERROR(1/(1/_xlfn.MINIFS('Saisie'!$A$5:$A$2004,'Saisie'!$C$5:$C$2004,C323,'Saisie'!$AT$5:$AT$2004,"&gt;=4")),""))</f>
        <v/>
      </c>
      <c r="BG323" s="106">
        <f>IF(C323="","",IFERROR(1/(1/_xlfn.MINIFS('Saisie'!$A$5:$A$2004,'Saisie'!$C$5:$C$2004,C323,'Saisie'!$AT$5:$AT$2004,"&gt;=5")),""))</f>
        <v/>
      </c>
      <c r="BH323" s="106">
        <f>IF(C323="","",IFERROR(1/(1/_xlfn.MINIFS('Saisie'!$A$5:$A$2004,'Saisie'!$C$5:$C$2004,C323,'Saisie'!$AT$5:$AT$2004,"&gt;=6")),""))</f>
        <v/>
      </c>
      <c r="BI323" s="106">
        <f>IF(C323="","",IFERROR(1/(1/_xlfn.MINIFS('Saisie'!$A$5:$A$2004,'Saisie'!$C$5:$C$2004,C323,'Saisie'!$AT$5:$AT$2004,"&gt;=7")),""))</f>
        <v/>
      </c>
      <c r="BJ323" s="60">
        <f>IF(OR(BD323="",B323=""),"",BD323-B323)</f>
        <v/>
      </c>
      <c r="BK323" s="60">
        <f>IF(OR(BE323="",BD323=""),"",BE323-BD323)</f>
        <v/>
      </c>
      <c r="BL323" s="60">
        <f>IF(OR(BF323="",BE323=""),"",BF323-BE323)</f>
        <v/>
      </c>
      <c r="BM323" s="60">
        <f>IF(OR(BG323="",BF323=""),"",BG323-BF323)</f>
        <v/>
      </c>
      <c r="BN323" s="60">
        <f>IF(OR(BH323="",BG323=""),"",BH323-BG323)</f>
        <v/>
      </c>
      <c r="BO323" s="60">
        <f>IF(OR(BI323="",BH323=""),"",BI323-BH323)</f>
        <v/>
      </c>
      <c r="BP323" s="60">
        <f>IF(C323="","",_xlfn.MAXIFS('Saisie'!$AS$5:$AS$2004,'Saisie'!$C$5:$C$2004,C323,'Saisie'!$J$5:$J$2004,"&lt;&gt;"))</f>
        <v/>
      </c>
      <c r="BQ323" s="60">
        <f>IF(C323="","",_xlfn.MAXIFS('Saisie'!$AS$5:$AS$2004,'Saisie'!$C$5:$C$2004,C323))</f>
        <v/>
      </c>
      <c r="BR323" s="60">
        <f>IF(C323="","",_xlfn.MAXIFS('Saisie'!$AS$5:$AS$2004,'Saisie'!$C$5:$C$2004,C323,'Saisie'!$E$5:$E$2004,"Perdu"))</f>
        <v/>
      </c>
      <c r="BS323" s="60">
        <f>IF(C323="","",_xlfn.MAXIFS('Saisie'!$AS$5:$AS$2004,'Saisie'!$C$5:$C$2004,C323,'Saisie'!$AT$5:$AT$2004,"&gt;0"))</f>
        <v/>
      </c>
      <c r="BT323" s="109">
        <f>IF(AND(C323&lt;&gt;"",OR(D323="Nouveau",D323="Contacté",D323="Qualifié"),OR(G323="",N(G323)&lt;=TODAY()),NOT(AND(O323&gt;='Paramètres'!$B$21,P323=0))),E323+319/10000,"")</f>
        <v/>
      </c>
      <c r="BU323" s="60">
        <f>IF(AND(G323&lt;&gt;"",N(G323)&lt;=TODAY()),MAX($BU$4:BU322)+1,"")</f>
        <v/>
      </c>
      <c r="BV323" s="60">
        <f>IF(AND(F323&lt;&gt;"",F323&lt;&gt;"Relance en retard"),MAX($BV$4:BV322)+1,"")</f>
        <v/>
      </c>
      <c r="BW323" s="60">
        <f>IF(C323="","",IF(AND(B323&gt;='Tableau de bord'!$R$4,B323&lt;='Tableau de bord'!$S$4,OR('Tableau de bord'!$G$4="Tous",N323='Tableau de bord'!$G$4)),1,0))</f>
        <v/>
      </c>
      <c r="BX323" s="60">
        <f>IF(AND(C323&lt;&gt;"",N(BA323)=7),MAX($BX$4:BX322)+1,"")</f>
        <v/>
      </c>
    </row>
    <row r="324">
      <c r="A324" s="60">
        <f>IF(C324="","","P-"&amp;TEXT(320,"000"))</f>
        <v/>
      </c>
      <c r="B324" s="106">
        <f>IF(C324="","",IFERROR(1/(1/_xlfn.MINIFS('Saisie'!$A$5:$A$2004,'Saisie'!$C$5:$C$2004,C324)),""))</f>
        <v/>
      </c>
      <c r="C324" s="60">
        <f>IFERROR(INDEX('Saisie'!$C$5:$C$2004,MATCH(320,'Saisie'!$AX$5:$AX$2004,0)),"")</f>
        <v/>
      </c>
      <c r="D324" s="60">
        <f>IF(C324="","",IF(AND(BR324&gt;0,BR324&gt;BS324,BA324&lt;7),"Perdu",INDEX('Paramètres'!$F$6:$F$13,BA324)))</f>
        <v/>
      </c>
      <c r="E324" s="61">
        <f>IF(C324="","",MIN(100,(Z324="Oui")*'Paramètres'!$B$38+(AB324="Régulière")*'Paramètres'!$B$39+IF(AND(N(AA324)&gt;0,TODAY()-N(AA324)&lt;=30),'Paramètres'!$B$40,0)+(W324="")*'Paramètres'!$B$41+(AC324="Absente")*'Paramètres'!$B$42+(AC324="Faible")*'Paramètres'!$B$43+IF(AND(N(AD324)&gt;0,N(AD324)&lt;4),'Paramètres'!$B$44,0)+(AF324="Moyenne")*'Paramètres'!$B$45+(AF324="Grande")*'Paramètres'!$B$46+(Y324&lt;&gt;"")*'Paramètres'!$B$47))</f>
        <v/>
      </c>
      <c r="F324" s="60">
        <f>IF(C324="","",IF(D324="Gagné","",IF(D324="Perdu",IF(AND(AX324&lt;&gt;"",AX324&lt;=TODAY()),"À recontacter (perdu)",""),IF(AND(O324&gt;='Paramètres'!$B$21,P324=0),"Stop : "&amp;'Paramètres'!$B$21&amp;" tentatives sans réponse",IF(AND(D324="Proposition",AR324&lt;&gt;"",TODAY()&gt;N(AR324)),"Proposition expirée",IF(AND(D324="Proposition",N(R324)&gt;='Paramètres'!$B$25),"Proposition sans réponse",IF(AND(G324&lt;&gt;"",N(G324)&lt;TODAY()),"Relance en retard",IF(N(R324)&gt;='Paramètres'!$B$24,"Sans action depuis "&amp;R324&amp;" j",""))))))))</f>
        <v/>
      </c>
      <c r="G324" s="106">
        <f>IF(OR(C324="",D324="Gagné",D324="Perdu"),"",IF(AND(BP324&gt;0,BP324=BQ324),INDEX('Saisie'!$J$5:$J$2004,BP324-4),IF(OR(O324=0,AND(O324&gt;='Paramètres'!$B$21,P324=0)),"",Q324+IF(O324&lt;=1,'Paramètres'!$B$18,IF(O324=2,'Paramètres'!$B$19,'Paramètres'!$B$20)))))</f>
        <v/>
      </c>
      <c r="H324" s="107">
        <f>IF(OR(G324="",BP324&lt;&gt;BQ324),"",IF(INDEX('Saisie'!$K$5:$K$2004,BP324-4)="","",INDEX('Saisie'!$K$5:$K$2004,BP324-4)))</f>
        <v/>
      </c>
      <c r="I324" s="60">
        <f>IF(C324="","",IF(OR(D324="Gagné",D324="Perdu"),"",IFERROR(INDEX('Saisie'!$I$5:$I$2004,_xlfn.MAXIFS('Saisie'!$AS$5:$AS$2004,'Saisie'!$C$5:$C$2004,C324,'Saisie'!$I$5:$I$2004,"&lt;&gt;")-4),"")))</f>
        <v/>
      </c>
      <c r="J324" s="60">
        <f>IF(C324="","",IFERROR(INDEX('Saisie'!$U$5:$U$2004,_xlfn.MAXIFS('Saisie'!$AS$5:$AS$2004,'Saisie'!$C$5:$C$2004,C324,'Saisie'!$U$5:$U$2004,"&lt;&gt;")-4),""))</f>
        <v/>
      </c>
      <c r="K324" s="60">
        <f>IF(C324="","",IFERROR(INDEX('Saisie'!$W$5:$W$2004,_xlfn.MAXIFS('Saisie'!$AS$5:$AS$2004,'Saisie'!$C$5:$C$2004,C324,'Saisie'!$W$5:$W$2004,"&lt;&gt;")-4),""))</f>
        <v/>
      </c>
      <c r="L324" s="60">
        <f>IF(IF(BB324&lt;&gt;"",BB324,K324)="","",HYPERLINK("https://wa.me/"&amp;IF(LEFT(SUBSTITUTE(SUBSTITUTE(SUBSTITUTE(IF(BB324&lt;&gt;"",BB324,K324)," ",""),".",""),"+",""),1)="0",'Paramètres'!$B$35&amp;MID(SUBSTITUTE(SUBSTITUTE(SUBSTITUTE(IF(BB324&lt;&gt;"",BB324,K324)," ",""),".",""),"+",""),2,20),SUBSTITUTE(SUBSTITUTE(SUBSTITUTE(IF(BB324&lt;&gt;"",BB324,K324)," ",""),".",""),"+","")),"WhatsApp"))</f>
        <v/>
      </c>
      <c r="M324" s="60">
        <f>IF(BC324="","",HYPERLINK(IF(LEFT(BC324,4)="http",BC324,"https://www.instagram.com/"&amp;SUBSTITUTE(SUBSTITUTE(BC324,"@","")," ","")),BC324))</f>
        <v/>
      </c>
      <c r="N324" s="60">
        <f>IF(C324="","",IFERROR(INDEX('Saisie'!$D$5:$D$2004,_xlfn.MINIFS('Saisie'!$AS$5:$AS$2004,'Saisie'!$C$5:$C$2004,C324,'Saisie'!$AU$5:$AU$2004,1)-4),IFERROR(INDEX('Saisie'!$D$5:$D$2004,_xlfn.MINIFS('Saisie'!$AS$5:$AS$2004,'Saisie'!$C$5:$C$2004,C324,'Saisie'!$D$5:$D$2004,"&lt;&gt;")-4),"")))</f>
        <v/>
      </c>
      <c r="O324" s="60">
        <f>IF(C324="","",COUNTIFS('Saisie'!$C$5:$C$2004,C324,'Saisie'!$AU$5:$AU$2004,1))</f>
        <v/>
      </c>
      <c r="P324" s="60">
        <f>IF(C324="","",COUNTIFS('Saisie'!$C$5:$C$2004,C324,'Saisie'!$AV$5:$AV$2004,1))</f>
        <v/>
      </c>
      <c r="Q324" s="106">
        <f>IF(C324="","",IFERROR(1/(1/_xlfn.MAXIFS('Saisie'!$A$5:$A$2004,'Saisie'!$C$5:$C$2004,C324)),""))</f>
        <v/>
      </c>
      <c r="R324" s="61">
        <f>IF(C324="","",IF(Q324="","",TODAY()-Q324))</f>
        <v/>
      </c>
      <c r="S324" s="60">
        <f>IF(C324="","",IFERROR(INDEX('Saisie'!$R$5:$R$2004,_xlfn.MAXIFS('Saisie'!$AS$5:$AS$2004,'Saisie'!$C$5:$C$2004,C324,'Saisie'!$R$5:$R$2004,"&lt;&gt;")-4),""))</f>
        <v/>
      </c>
      <c r="T324" s="60">
        <f>IF(C324="","",IFERROR(INDEX('Saisie'!$S$5:$S$2004,_xlfn.MAXIFS('Saisie'!$AS$5:$AS$2004,'Saisie'!$C$5:$C$2004,C324,'Saisie'!$S$5:$S$2004,"&lt;&gt;")-4),""))</f>
        <v/>
      </c>
      <c r="U324" s="60">
        <f>IF(C324="","",IFERROR(INDEX('Saisie'!$T$5:$T$2004,_xlfn.MAXIFS('Saisie'!$AS$5:$AS$2004,'Saisie'!$C$5:$C$2004,C324,'Saisie'!$T$5:$T$2004,"&lt;&gt;")-4),""))</f>
        <v/>
      </c>
      <c r="V324" s="60">
        <f>IF(C324="","",IFERROR(INDEX('Saisie'!$V$5:$V$2004,_xlfn.MAXIFS('Saisie'!$AS$5:$AS$2004,'Saisie'!$C$5:$C$2004,C324,'Saisie'!$V$5:$V$2004,"&lt;&gt;")-4),""))</f>
        <v/>
      </c>
      <c r="W324" s="60">
        <f>IF(C324="","",IFERROR(INDEX('Saisie'!$Z$5:$Z$2004,_xlfn.MAXIFS('Saisie'!$AS$5:$AS$2004,'Saisie'!$C$5:$C$2004,C324,'Saisie'!$Z$5:$Z$2004,"&lt;&gt;")-4),""))</f>
        <v/>
      </c>
      <c r="X324" s="60">
        <f>IF(C324="","",IFERROR(INDEX('Saisie'!$AA$5:$AA$2004,_xlfn.MAXIFS('Saisie'!$AS$5:$AS$2004,'Saisie'!$C$5:$C$2004,C324,'Saisie'!$AA$5:$AA$2004,"&lt;&gt;")-4),""))</f>
        <v/>
      </c>
      <c r="Y324" s="60">
        <f>IF(C324="","",IFERROR(INDEX('Saisie'!$AB$5:$AB$2004,_xlfn.MAXIFS('Saisie'!$AS$5:$AS$2004,'Saisie'!$C$5:$C$2004,C324,'Saisie'!$AB$5:$AB$2004,"&lt;&gt;")-4),""))</f>
        <v/>
      </c>
      <c r="Z324" s="60">
        <f>IF(C324="","",IFERROR(INDEX('Saisie'!$AC$5:$AC$2004,_xlfn.MAXIFS('Saisie'!$AS$5:$AS$2004,'Saisie'!$C$5:$C$2004,C324,'Saisie'!$AC$5:$AC$2004,"&lt;&gt;")-4),""))</f>
        <v/>
      </c>
      <c r="AA324" s="106">
        <f>IF(C324="","",IFERROR(INDEX('Saisie'!$AD$5:$AD$2004,_xlfn.MAXIFS('Saisie'!$AS$5:$AS$2004,'Saisie'!$C$5:$C$2004,C324,'Saisie'!$AD$5:$AD$2004,"&lt;&gt;")-4),""))</f>
        <v/>
      </c>
      <c r="AB324" s="60">
        <f>IF(C324="","",IFERROR(INDEX('Saisie'!$AE$5:$AE$2004,_xlfn.MAXIFS('Saisie'!$AS$5:$AS$2004,'Saisie'!$C$5:$C$2004,C324,'Saisie'!$AE$5:$AE$2004,"&lt;&gt;")-4),""))</f>
        <v/>
      </c>
      <c r="AC324" s="60">
        <f>IF(C324="","",IFERROR(INDEX('Saisie'!$AF$5:$AF$2004,_xlfn.MAXIFS('Saisie'!$AS$5:$AS$2004,'Saisie'!$C$5:$C$2004,C324,'Saisie'!$AF$5:$AF$2004,"&lt;&gt;")-4),""))</f>
        <v/>
      </c>
      <c r="AD324" s="108">
        <f>IF(C324="","",IFERROR(INDEX('Saisie'!$AG$5:$AG$2004,_xlfn.MAXIFS('Saisie'!$AS$5:$AS$2004,'Saisie'!$C$5:$C$2004,C324,'Saisie'!$AG$5:$AG$2004,"&lt;&gt;")-4),""))</f>
        <v/>
      </c>
      <c r="AE324" s="60">
        <f>IF(C324="","",IFERROR(INDEX('Saisie'!$AH$5:$AH$2004,_xlfn.MAXIFS('Saisie'!$AS$5:$AS$2004,'Saisie'!$C$5:$C$2004,C324,'Saisie'!$AH$5:$AH$2004,"&lt;&gt;")-4),""))</f>
        <v/>
      </c>
      <c r="AF324" s="60">
        <f>IF(C324="","",IFERROR(INDEX('Saisie'!$AI$5:$AI$2004,_xlfn.MAXIFS('Saisie'!$AS$5:$AS$2004,'Saisie'!$C$5:$C$2004,C324,'Saisie'!$AI$5:$AI$2004,"&lt;&gt;")-4),""))</f>
        <v/>
      </c>
      <c r="AG324" s="60">
        <f>IF(C324="","",IFERROR(INDEX('Saisie'!$AJ$5:$AJ$2004,_xlfn.MAXIFS('Saisie'!$AS$5:$AS$2004,'Saisie'!$C$5:$C$2004,C324,'Saisie'!$AJ$5:$AJ$2004,"&lt;&gt;")-4),""))</f>
        <v/>
      </c>
      <c r="AH324" s="60">
        <f>IF(C324="","",IFERROR(INDEX('Saisie'!$AK$5:$AK$2004,_xlfn.MAXIFS('Saisie'!$AS$5:$AS$2004,'Saisie'!$C$5:$C$2004,C324,'Saisie'!$AK$5:$AK$2004,"&lt;&gt;")-4),""))</f>
        <v/>
      </c>
      <c r="AI324" s="60">
        <f>IF(C324="","",IFERROR(INDEX('Saisie'!$AN$5:$AN$2004,_xlfn.MAXIFS('Saisie'!$AS$5:$AS$2004,'Saisie'!$C$5:$C$2004,C324,'Saisie'!$AN$5:$AN$2004,"&lt;&gt;")-4),""))</f>
        <v/>
      </c>
      <c r="AJ324" s="60">
        <f>IF(C324="","",IFERROR(INDEX('Saisie'!$AO$5:$AO$2004,_xlfn.MAXIFS('Saisie'!$AS$5:$AS$2004,'Saisie'!$C$5:$C$2004,C324,'Saisie'!$AO$5:$AO$2004,"&lt;&gt;")-4),""))</f>
        <v/>
      </c>
      <c r="AK324" s="60">
        <f>IF(C324="","",IFERROR(INDEX('Saisie'!$AP$5:$AP$2004,_xlfn.MAXIFS('Saisie'!$AS$5:$AS$2004,'Saisie'!$C$5:$C$2004,C324,'Saisie'!$AP$5:$AP$2004,"&lt;&gt;")-4),""))</f>
        <v/>
      </c>
      <c r="AL324" s="60">
        <f>IF(C324="","",IFERROR(INDEX('Saisie'!$AQ$5:$AQ$2004,_xlfn.MAXIFS('Saisie'!$AS$5:$AS$2004,'Saisie'!$C$5:$C$2004,C324,'Saisie'!$AQ$5:$AQ$2004,"&lt;&gt;")-4),""))</f>
        <v/>
      </c>
      <c r="AM324" s="60">
        <f>IF(C324="","",((AI324="Oui")+(AJ324="Oui")+(AK324="Oui")+OR(AL324="Immédiat",AL324="&lt; 1 mois"))&amp;"/4")</f>
        <v/>
      </c>
      <c r="AN324" s="60">
        <f>IF(C324="","",IFERROR(INDEX('Saisie'!$AL$5:$AL$2004,_xlfn.MAXIFS('Saisie'!$AS$5:$AS$2004,'Saisie'!$C$5:$C$2004,C324,'Saisie'!$AL$5:$AL$2004,"&lt;&gt;")-4),""))</f>
        <v/>
      </c>
      <c r="AO324" s="62">
        <f>IF(C324="","",IF(IFERROR(INDEX('Saisie'!$AM$5:$AM$2004,_xlfn.MAXIFS('Saisie'!$AS$5:$AS$2004,'Saisie'!$C$5:$C$2004,C324,'Saisie'!$AM$5:$AM$2004,"&lt;&gt;")-4),"")&lt;&gt;"",IFERROR(INDEX('Saisie'!$AM$5:$AM$2004,_xlfn.MAXIFS('Saisie'!$AS$5:$AS$2004,'Saisie'!$C$5:$C$2004,C324,'Saisie'!$AM$5:$AM$2004,"&lt;&gt;")-4),""),IFERROR(INDEX('Paramètres'!$S$6:$S$15,MATCH(AN324,'Paramètres'!$Q$6:$Q$15,0)),"")))</f>
        <v/>
      </c>
      <c r="AP324" s="62">
        <f>IF(C324="","",IFERROR(INDEX('Saisie'!$AW$5:$AW$2004,_xlfn.MAXIFS('Saisie'!$AS$5:$AS$2004,'Saisie'!$C$5:$C$2004,C324,'Saisie'!$E$5:$E$2004,"Proposition envoyée")-4),""))</f>
        <v/>
      </c>
      <c r="AQ324" s="106">
        <f>IF(C324="","",IFERROR(1/(1/_xlfn.MAXIFS('Saisie'!$A$5:$A$2004,'Saisie'!$C$5:$C$2004,C324,'Saisie'!$E$5:$E$2004,"Proposition envoyée")),""))</f>
        <v/>
      </c>
      <c r="AR324" s="106">
        <f>IF(C324="","",IF(AQ324="","",AQ324+'Paramètres'!$B$26))</f>
        <v/>
      </c>
      <c r="AS324" s="62">
        <f>IF(OR(C324="",D324="Gagné",D324="Perdu"),0,N(AP324)*IFERROR(INDEX('Paramètres'!$G$6:$G$13,MATCH(D324,'Paramètres'!$F$6:$F$13,0)),0))</f>
        <v/>
      </c>
      <c r="AT324" s="106">
        <f>IF(C324="","",IFERROR(1/(1/_xlfn.MINIFS('Saisie'!$A$5:$A$2004,'Saisie'!$C$5:$C$2004,C324,'Saisie'!$E$5:$E$2004,"Signature")),""))</f>
        <v/>
      </c>
      <c r="AU324" s="60">
        <f>IF(C324="","",IF(OR(AT324="",B324=""),"",AT324-B324))</f>
        <v/>
      </c>
      <c r="AV324" s="60">
        <f>IF(C324="","",IFERROR(INDEX('Saisie'!$L$5:$L$2004,_xlfn.MAXIFS('Saisie'!$AS$5:$AS$2004,'Saisie'!$C$5:$C$2004,C324,'Saisie'!$L$5:$L$2004,"&lt;&gt;")-4),""))</f>
        <v/>
      </c>
      <c r="AW324" s="106">
        <f>IF(C324="","",IF(D324&lt;&gt;"Perdu","",IFERROR(1/(1/_xlfn.MAXIFS('Saisie'!$A$5:$A$2004,'Saisie'!$C$5:$C$2004,C324,'Saisie'!$E$5:$E$2004,"Perdu")),"")))</f>
        <v/>
      </c>
      <c r="AX324" s="106">
        <f>IF(C324="","",IF(AW324="","",AW324+'Paramètres'!$B$28))</f>
        <v/>
      </c>
      <c r="AY324" s="60">
        <f>IF(C324="","",SUMIFS('Saisie'!$H$5:$H$2004,'Saisie'!$C$5:$C$2004,C324))</f>
        <v/>
      </c>
      <c r="AZ324" s="60">
        <f>IF(C324="","",IFERROR(INDEX('Paramètres'!$W$6:$W$20,MATCH(S324,'Paramètres'!$V$6:$V$20,0))&amp;"",""))</f>
        <v/>
      </c>
      <c r="BA324" s="60">
        <f>IF(C324="","",MAX(1,_xlfn.MAXIFS('Saisie'!$AT$5:$AT$2004,'Saisie'!$C$5:$C$2004,C324)))</f>
        <v/>
      </c>
      <c r="BB324" s="60">
        <f>IF(C324="","",IFERROR(INDEX('Saisie'!$X$5:$X$2004,_xlfn.MAXIFS('Saisie'!$AS$5:$AS$2004,'Saisie'!$C$5:$C$2004,C324,'Saisie'!$X$5:$X$2004,"&lt;&gt;")-4),""))</f>
        <v/>
      </c>
      <c r="BC324" s="60">
        <f>IF(C324="","",IFERROR(INDEX('Saisie'!$Y$5:$Y$2004,_xlfn.MAXIFS('Saisie'!$AS$5:$AS$2004,'Saisie'!$C$5:$C$2004,C324,'Saisie'!$Y$5:$Y$2004,"&lt;&gt;")-4),""))</f>
        <v/>
      </c>
      <c r="BD324" s="106">
        <f>IF(C324="","",IFERROR(1/(1/_xlfn.MINIFS('Saisie'!$A$5:$A$2004,'Saisie'!$C$5:$C$2004,C324,'Saisie'!$AT$5:$AT$2004,"&gt;=2")),""))</f>
        <v/>
      </c>
      <c r="BE324" s="106">
        <f>IF(C324="","",IFERROR(1/(1/_xlfn.MINIFS('Saisie'!$A$5:$A$2004,'Saisie'!$C$5:$C$2004,C324,'Saisie'!$AT$5:$AT$2004,"&gt;=3")),""))</f>
        <v/>
      </c>
      <c r="BF324" s="106">
        <f>IF(C324="","",IFERROR(1/(1/_xlfn.MINIFS('Saisie'!$A$5:$A$2004,'Saisie'!$C$5:$C$2004,C324,'Saisie'!$AT$5:$AT$2004,"&gt;=4")),""))</f>
        <v/>
      </c>
      <c r="BG324" s="106">
        <f>IF(C324="","",IFERROR(1/(1/_xlfn.MINIFS('Saisie'!$A$5:$A$2004,'Saisie'!$C$5:$C$2004,C324,'Saisie'!$AT$5:$AT$2004,"&gt;=5")),""))</f>
        <v/>
      </c>
      <c r="BH324" s="106">
        <f>IF(C324="","",IFERROR(1/(1/_xlfn.MINIFS('Saisie'!$A$5:$A$2004,'Saisie'!$C$5:$C$2004,C324,'Saisie'!$AT$5:$AT$2004,"&gt;=6")),""))</f>
        <v/>
      </c>
      <c r="BI324" s="106">
        <f>IF(C324="","",IFERROR(1/(1/_xlfn.MINIFS('Saisie'!$A$5:$A$2004,'Saisie'!$C$5:$C$2004,C324,'Saisie'!$AT$5:$AT$2004,"&gt;=7")),""))</f>
        <v/>
      </c>
      <c r="BJ324" s="60">
        <f>IF(OR(BD324="",B324=""),"",BD324-B324)</f>
        <v/>
      </c>
      <c r="BK324" s="60">
        <f>IF(OR(BE324="",BD324=""),"",BE324-BD324)</f>
        <v/>
      </c>
      <c r="BL324" s="60">
        <f>IF(OR(BF324="",BE324=""),"",BF324-BE324)</f>
        <v/>
      </c>
      <c r="BM324" s="60">
        <f>IF(OR(BG324="",BF324=""),"",BG324-BF324)</f>
        <v/>
      </c>
      <c r="BN324" s="60">
        <f>IF(OR(BH324="",BG324=""),"",BH324-BG324)</f>
        <v/>
      </c>
      <c r="BO324" s="60">
        <f>IF(OR(BI324="",BH324=""),"",BI324-BH324)</f>
        <v/>
      </c>
      <c r="BP324" s="60">
        <f>IF(C324="","",_xlfn.MAXIFS('Saisie'!$AS$5:$AS$2004,'Saisie'!$C$5:$C$2004,C324,'Saisie'!$J$5:$J$2004,"&lt;&gt;"))</f>
        <v/>
      </c>
      <c r="BQ324" s="60">
        <f>IF(C324="","",_xlfn.MAXIFS('Saisie'!$AS$5:$AS$2004,'Saisie'!$C$5:$C$2004,C324))</f>
        <v/>
      </c>
      <c r="BR324" s="60">
        <f>IF(C324="","",_xlfn.MAXIFS('Saisie'!$AS$5:$AS$2004,'Saisie'!$C$5:$C$2004,C324,'Saisie'!$E$5:$E$2004,"Perdu"))</f>
        <v/>
      </c>
      <c r="BS324" s="60">
        <f>IF(C324="","",_xlfn.MAXIFS('Saisie'!$AS$5:$AS$2004,'Saisie'!$C$5:$C$2004,C324,'Saisie'!$AT$5:$AT$2004,"&gt;0"))</f>
        <v/>
      </c>
      <c r="BT324" s="109">
        <f>IF(AND(C324&lt;&gt;"",OR(D324="Nouveau",D324="Contacté",D324="Qualifié"),OR(G324="",N(G324)&lt;=TODAY()),NOT(AND(O324&gt;='Paramètres'!$B$21,P324=0))),E324+320/10000,"")</f>
        <v/>
      </c>
      <c r="BU324" s="60">
        <f>IF(AND(G324&lt;&gt;"",N(G324)&lt;=TODAY()),MAX($BU$4:BU323)+1,"")</f>
        <v/>
      </c>
      <c r="BV324" s="60">
        <f>IF(AND(F324&lt;&gt;"",F324&lt;&gt;"Relance en retard"),MAX($BV$4:BV323)+1,"")</f>
        <v/>
      </c>
      <c r="BW324" s="60">
        <f>IF(C324="","",IF(AND(B324&gt;='Tableau de bord'!$R$4,B324&lt;='Tableau de bord'!$S$4,OR('Tableau de bord'!$G$4="Tous",N324='Tableau de bord'!$G$4)),1,0))</f>
        <v/>
      </c>
      <c r="BX324" s="60">
        <f>IF(AND(C324&lt;&gt;"",N(BA324)=7),MAX($BX$4:BX323)+1,"")</f>
        <v/>
      </c>
    </row>
    <row r="325">
      <c r="A325" s="60">
        <f>IF(C325="","","P-"&amp;TEXT(321,"000"))</f>
        <v/>
      </c>
      <c r="B325" s="106">
        <f>IF(C325="","",IFERROR(1/(1/_xlfn.MINIFS('Saisie'!$A$5:$A$2004,'Saisie'!$C$5:$C$2004,C325)),""))</f>
        <v/>
      </c>
      <c r="C325" s="60">
        <f>IFERROR(INDEX('Saisie'!$C$5:$C$2004,MATCH(321,'Saisie'!$AX$5:$AX$2004,0)),"")</f>
        <v/>
      </c>
      <c r="D325" s="60">
        <f>IF(C325="","",IF(AND(BR325&gt;0,BR325&gt;BS325,BA325&lt;7),"Perdu",INDEX('Paramètres'!$F$6:$F$13,BA325)))</f>
        <v/>
      </c>
      <c r="E325" s="61">
        <f>IF(C325="","",MIN(100,(Z325="Oui")*'Paramètres'!$B$38+(AB325="Régulière")*'Paramètres'!$B$39+IF(AND(N(AA325)&gt;0,TODAY()-N(AA325)&lt;=30),'Paramètres'!$B$40,0)+(W325="")*'Paramètres'!$B$41+(AC325="Absente")*'Paramètres'!$B$42+(AC325="Faible")*'Paramètres'!$B$43+IF(AND(N(AD325)&gt;0,N(AD325)&lt;4),'Paramètres'!$B$44,0)+(AF325="Moyenne")*'Paramètres'!$B$45+(AF325="Grande")*'Paramètres'!$B$46+(Y325&lt;&gt;"")*'Paramètres'!$B$47))</f>
        <v/>
      </c>
      <c r="F325" s="60">
        <f>IF(C325="","",IF(D325="Gagné","",IF(D325="Perdu",IF(AND(AX325&lt;&gt;"",AX325&lt;=TODAY()),"À recontacter (perdu)",""),IF(AND(O325&gt;='Paramètres'!$B$21,P325=0),"Stop : "&amp;'Paramètres'!$B$21&amp;" tentatives sans réponse",IF(AND(D325="Proposition",AR325&lt;&gt;"",TODAY()&gt;N(AR325)),"Proposition expirée",IF(AND(D325="Proposition",N(R325)&gt;='Paramètres'!$B$25),"Proposition sans réponse",IF(AND(G325&lt;&gt;"",N(G325)&lt;TODAY()),"Relance en retard",IF(N(R325)&gt;='Paramètres'!$B$24,"Sans action depuis "&amp;R325&amp;" j",""))))))))</f>
        <v/>
      </c>
      <c r="G325" s="106">
        <f>IF(OR(C325="",D325="Gagné",D325="Perdu"),"",IF(AND(BP325&gt;0,BP325=BQ325),INDEX('Saisie'!$J$5:$J$2004,BP325-4),IF(OR(O325=0,AND(O325&gt;='Paramètres'!$B$21,P325=0)),"",Q325+IF(O325&lt;=1,'Paramètres'!$B$18,IF(O325=2,'Paramètres'!$B$19,'Paramètres'!$B$20)))))</f>
        <v/>
      </c>
      <c r="H325" s="107">
        <f>IF(OR(G325="",BP325&lt;&gt;BQ325),"",IF(INDEX('Saisie'!$K$5:$K$2004,BP325-4)="","",INDEX('Saisie'!$K$5:$K$2004,BP325-4)))</f>
        <v/>
      </c>
      <c r="I325" s="60">
        <f>IF(C325="","",IF(OR(D325="Gagné",D325="Perdu"),"",IFERROR(INDEX('Saisie'!$I$5:$I$2004,_xlfn.MAXIFS('Saisie'!$AS$5:$AS$2004,'Saisie'!$C$5:$C$2004,C325,'Saisie'!$I$5:$I$2004,"&lt;&gt;")-4),"")))</f>
        <v/>
      </c>
      <c r="J325" s="60">
        <f>IF(C325="","",IFERROR(INDEX('Saisie'!$U$5:$U$2004,_xlfn.MAXIFS('Saisie'!$AS$5:$AS$2004,'Saisie'!$C$5:$C$2004,C325,'Saisie'!$U$5:$U$2004,"&lt;&gt;")-4),""))</f>
        <v/>
      </c>
      <c r="K325" s="60">
        <f>IF(C325="","",IFERROR(INDEX('Saisie'!$W$5:$W$2004,_xlfn.MAXIFS('Saisie'!$AS$5:$AS$2004,'Saisie'!$C$5:$C$2004,C325,'Saisie'!$W$5:$W$2004,"&lt;&gt;")-4),""))</f>
        <v/>
      </c>
      <c r="L325" s="60">
        <f>IF(IF(BB325&lt;&gt;"",BB325,K325)="","",HYPERLINK("https://wa.me/"&amp;IF(LEFT(SUBSTITUTE(SUBSTITUTE(SUBSTITUTE(IF(BB325&lt;&gt;"",BB325,K325)," ",""),".",""),"+",""),1)="0",'Paramètres'!$B$35&amp;MID(SUBSTITUTE(SUBSTITUTE(SUBSTITUTE(IF(BB325&lt;&gt;"",BB325,K325)," ",""),".",""),"+",""),2,20),SUBSTITUTE(SUBSTITUTE(SUBSTITUTE(IF(BB325&lt;&gt;"",BB325,K325)," ",""),".",""),"+","")),"WhatsApp"))</f>
        <v/>
      </c>
      <c r="M325" s="60">
        <f>IF(BC325="","",HYPERLINK(IF(LEFT(BC325,4)="http",BC325,"https://www.instagram.com/"&amp;SUBSTITUTE(SUBSTITUTE(BC325,"@","")," ","")),BC325))</f>
        <v/>
      </c>
      <c r="N325" s="60">
        <f>IF(C325="","",IFERROR(INDEX('Saisie'!$D$5:$D$2004,_xlfn.MINIFS('Saisie'!$AS$5:$AS$2004,'Saisie'!$C$5:$C$2004,C325,'Saisie'!$AU$5:$AU$2004,1)-4),IFERROR(INDEX('Saisie'!$D$5:$D$2004,_xlfn.MINIFS('Saisie'!$AS$5:$AS$2004,'Saisie'!$C$5:$C$2004,C325,'Saisie'!$D$5:$D$2004,"&lt;&gt;")-4),"")))</f>
        <v/>
      </c>
      <c r="O325" s="60">
        <f>IF(C325="","",COUNTIFS('Saisie'!$C$5:$C$2004,C325,'Saisie'!$AU$5:$AU$2004,1))</f>
        <v/>
      </c>
      <c r="P325" s="60">
        <f>IF(C325="","",COUNTIFS('Saisie'!$C$5:$C$2004,C325,'Saisie'!$AV$5:$AV$2004,1))</f>
        <v/>
      </c>
      <c r="Q325" s="106">
        <f>IF(C325="","",IFERROR(1/(1/_xlfn.MAXIFS('Saisie'!$A$5:$A$2004,'Saisie'!$C$5:$C$2004,C325)),""))</f>
        <v/>
      </c>
      <c r="R325" s="61">
        <f>IF(C325="","",IF(Q325="","",TODAY()-Q325))</f>
        <v/>
      </c>
      <c r="S325" s="60">
        <f>IF(C325="","",IFERROR(INDEX('Saisie'!$R$5:$R$2004,_xlfn.MAXIFS('Saisie'!$AS$5:$AS$2004,'Saisie'!$C$5:$C$2004,C325,'Saisie'!$R$5:$R$2004,"&lt;&gt;")-4),""))</f>
        <v/>
      </c>
      <c r="T325" s="60">
        <f>IF(C325="","",IFERROR(INDEX('Saisie'!$S$5:$S$2004,_xlfn.MAXIFS('Saisie'!$AS$5:$AS$2004,'Saisie'!$C$5:$C$2004,C325,'Saisie'!$S$5:$S$2004,"&lt;&gt;")-4),""))</f>
        <v/>
      </c>
      <c r="U325" s="60">
        <f>IF(C325="","",IFERROR(INDEX('Saisie'!$T$5:$T$2004,_xlfn.MAXIFS('Saisie'!$AS$5:$AS$2004,'Saisie'!$C$5:$C$2004,C325,'Saisie'!$T$5:$T$2004,"&lt;&gt;")-4),""))</f>
        <v/>
      </c>
      <c r="V325" s="60">
        <f>IF(C325="","",IFERROR(INDEX('Saisie'!$V$5:$V$2004,_xlfn.MAXIFS('Saisie'!$AS$5:$AS$2004,'Saisie'!$C$5:$C$2004,C325,'Saisie'!$V$5:$V$2004,"&lt;&gt;")-4),""))</f>
        <v/>
      </c>
      <c r="W325" s="60">
        <f>IF(C325="","",IFERROR(INDEX('Saisie'!$Z$5:$Z$2004,_xlfn.MAXIFS('Saisie'!$AS$5:$AS$2004,'Saisie'!$C$5:$C$2004,C325,'Saisie'!$Z$5:$Z$2004,"&lt;&gt;")-4),""))</f>
        <v/>
      </c>
      <c r="X325" s="60">
        <f>IF(C325="","",IFERROR(INDEX('Saisie'!$AA$5:$AA$2004,_xlfn.MAXIFS('Saisie'!$AS$5:$AS$2004,'Saisie'!$C$5:$C$2004,C325,'Saisie'!$AA$5:$AA$2004,"&lt;&gt;")-4),""))</f>
        <v/>
      </c>
      <c r="Y325" s="60">
        <f>IF(C325="","",IFERROR(INDEX('Saisie'!$AB$5:$AB$2004,_xlfn.MAXIFS('Saisie'!$AS$5:$AS$2004,'Saisie'!$C$5:$C$2004,C325,'Saisie'!$AB$5:$AB$2004,"&lt;&gt;")-4),""))</f>
        <v/>
      </c>
      <c r="Z325" s="60">
        <f>IF(C325="","",IFERROR(INDEX('Saisie'!$AC$5:$AC$2004,_xlfn.MAXIFS('Saisie'!$AS$5:$AS$2004,'Saisie'!$C$5:$C$2004,C325,'Saisie'!$AC$5:$AC$2004,"&lt;&gt;")-4),""))</f>
        <v/>
      </c>
      <c r="AA325" s="106">
        <f>IF(C325="","",IFERROR(INDEX('Saisie'!$AD$5:$AD$2004,_xlfn.MAXIFS('Saisie'!$AS$5:$AS$2004,'Saisie'!$C$5:$C$2004,C325,'Saisie'!$AD$5:$AD$2004,"&lt;&gt;")-4),""))</f>
        <v/>
      </c>
      <c r="AB325" s="60">
        <f>IF(C325="","",IFERROR(INDEX('Saisie'!$AE$5:$AE$2004,_xlfn.MAXIFS('Saisie'!$AS$5:$AS$2004,'Saisie'!$C$5:$C$2004,C325,'Saisie'!$AE$5:$AE$2004,"&lt;&gt;")-4),""))</f>
        <v/>
      </c>
      <c r="AC325" s="60">
        <f>IF(C325="","",IFERROR(INDEX('Saisie'!$AF$5:$AF$2004,_xlfn.MAXIFS('Saisie'!$AS$5:$AS$2004,'Saisie'!$C$5:$C$2004,C325,'Saisie'!$AF$5:$AF$2004,"&lt;&gt;")-4),""))</f>
        <v/>
      </c>
      <c r="AD325" s="108">
        <f>IF(C325="","",IFERROR(INDEX('Saisie'!$AG$5:$AG$2004,_xlfn.MAXIFS('Saisie'!$AS$5:$AS$2004,'Saisie'!$C$5:$C$2004,C325,'Saisie'!$AG$5:$AG$2004,"&lt;&gt;")-4),""))</f>
        <v/>
      </c>
      <c r="AE325" s="60">
        <f>IF(C325="","",IFERROR(INDEX('Saisie'!$AH$5:$AH$2004,_xlfn.MAXIFS('Saisie'!$AS$5:$AS$2004,'Saisie'!$C$5:$C$2004,C325,'Saisie'!$AH$5:$AH$2004,"&lt;&gt;")-4),""))</f>
        <v/>
      </c>
      <c r="AF325" s="60">
        <f>IF(C325="","",IFERROR(INDEX('Saisie'!$AI$5:$AI$2004,_xlfn.MAXIFS('Saisie'!$AS$5:$AS$2004,'Saisie'!$C$5:$C$2004,C325,'Saisie'!$AI$5:$AI$2004,"&lt;&gt;")-4),""))</f>
        <v/>
      </c>
      <c r="AG325" s="60">
        <f>IF(C325="","",IFERROR(INDEX('Saisie'!$AJ$5:$AJ$2004,_xlfn.MAXIFS('Saisie'!$AS$5:$AS$2004,'Saisie'!$C$5:$C$2004,C325,'Saisie'!$AJ$5:$AJ$2004,"&lt;&gt;")-4),""))</f>
        <v/>
      </c>
      <c r="AH325" s="60">
        <f>IF(C325="","",IFERROR(INDEX('Saisie'!$AK$5:$AK$2004,_xlfn.MAXIFS('Saisie'!$AS$5:$AS$2004,'Saisie'!$C$5:$C$2004,C325,'Saisie'!$AK$5:$AK$2004,"&lt;&gt;")-4),""))</f>
        <v/>
      </c>
      <c r="AI325" s="60">
        <f>IF(C325="","",IFERROR(INDEX('Saisie'!$AN$5:$AN$2004,_xlfn.MAXIFS('Saisie'!$AS$5:$AS$2004,'Saisie'!$C$5:$C$2004,C325,'Saisie'!$AN$5:$AN$2004,"&lt;&gt;")-4),""))</f>
        <v/>
      </c>
      <c r="AJ325" s="60">
        <f>IF(C325="","",IFERROR(INDEX('Saisie'!$AO$5:$AO$2004,_xlfn.MAXIFS('Saisie'!$AS$5:$AS$2004,'Saisie'!$C$5:$C$2004,C325,'Saisie'!$AO$5:$AO$2004,"&lt;&gt;")-4),""))</f>
        <v/>
      </c>
      <c r="AK325" s="60">
        <f>IF(C325="","",IFERROR(INDEX('Saisie'!$AP$5:$AP$2004,_xlfn.MAXIFS('Saisie'!$AS$5:$AS$2004,'Saisie'!$C$5:$C$2004,C325,'Saisie'!$AP$5:$AP$2004,"&lt;&gt;")-4),""))</f>
        <v/>
      </c>
      <c r="AL325" s="60">
        <f>IF(C325="","",IFERROR(INDEX('Saisie'!$AQ$5:$AQ$2004,_xlfn.MAXIFS('Saisie'!$AS$5:$AS$2004,'Saisie'!$C$5:$C$2004,C325,'Saisie'!$AQ$5:$AQ$2004,"&lt;&gt;")-4),""))</f>
        <v/>
      </c>
      <c r="AM325" s="60">
        <f>IF(C325="","",((AI325="Oui")+(AJ325="Oui")+(AK325="Oui")+OR(AL325="Immédiat",AL325="&lt; 1 mois"))&amp;"/4")</f>
        <v/>
      </c>
      <c r="AN325" s="60">
        <f>IF(C325="","",IFERROR(INDEX('Saisie'!$AL$5:$AL$2004,_xlfn.MAXIFS('Saisie'!$AS$5:$AS$2004,'Saisie'!$C$5:$C$2004,C325,'Saisie'!$AL$5:$AL$2004,"&lt;&gt;")-4),""))</f>
        <v/>
      </c>
      <c r="AO325" s="62">
        <f>IF(C325="","",IF(IFERROR(INDEX('Saisie'!$AM$5:$AM$2004,_xlfn.MAXIFS('Saisie'!$AS$5:$AS$2004,'Saisie'!$C$5:$C$2004,C325,'Saisie'!$AM$5:$AM$2004,"&lt;&gt;")-4),"")&lt;&gt;"",IFERROR(INDEX('Saisie'!$AM$5:$AM$2004,_xlfn.MAXIFS('Saisie'!$AS$5:$AS$2004,'Saisie'!$C$5:$C$2004,C325,'Saisie'!$AM$5:$AM$2004,"&lt;&gt;")-4),""),IFERROR(INDEX('Paramètres'!$S$6:$S$15,MATCH(AN325,'Paramètres'!$Q$6:$Q$15,0)),"")))</f>
        <v/>
      </c>
      <c r="AP325" s="62">
        <f>IF(C325="","",IFERROR(INDEX('Saisie'!$AW$5:$AW$2004,_xlfn.MAXIFS('Saisie'!$AS$5:$AS$2004,'Saisie'!$C$5:$C$2004,C325,'Saisie'!$E$5:$E$2004,"Proposition envoyée")-4),""))</f>
        <v/>
      </c>
      <c r="AQ325" s="106">
        <f>IF(C325="","",IFERROR(1/(1/_xlfn.MAXIFS('Saisie'!$A$5:$A$2004,'Saisie'!$C$5:$C$2004,C325,'Saisie'!$E$5:$E$2004,"Proposition envoyée")),""))</f>
        <v/>
      </c>
      <c r="AR325" s="106">
        <f>IF(C325="","",IF(AQ325="","",AQ325+'Paramètres'!$B$26))</f>
        <v/>
      </c>
      <c r="AS325" s="62">
        <f>IF(OR(C325="",D325="Gagné",D325="Perdu"),0,N(AP325)*IFERROR(INDEX('Paramètres'!$G$6:$G$13,MATCH(D325,'Paramètres'!$F$6:$F$13,0)),0))</f>
        <v/>
      </c>
      <c r="AT325" s="106">
        <f>IF(C325="","",IFERROR(1/(1/_xlfn.MINIFS('Saisie'!$A$5:$A$2004,'Saisie'!$C$5:$C$2004,C325,'Saisie'!$E$5:$E$2004,"Signature")),""))</f>
        <v/>
      </c>
      <c r="AU325" s="60">
        <f>IF(C325="","",IF(OR(AT325="",B325=""),"",AT325-B325))</f>
        <v/>
      </c>
      <c r="AV325" s="60">
        <f>IF(C325="","",IFERROR(INDEX('Saisie'!$L$5:$L$2004,_xlfn.MAXIFS('Saisie'!$AS$5:$AS$2004,'Saisie'!$C$5:$C$2004,C325,'Saisie'!$L$5:$L$2004,"&lt;&gt;")-4),""))</f>
        <v/>
      </c>
      <c r="AW325" s="106">
        <f>IF(C325="","",IF(D325&lt;&gt;"Perdu","",IFERROR(1/(1/_xlfn.MAXIFS('Saisie'!$A$5:$A$2004,'Saisie'!$C$5:$C$2004,C325,'Saisie'!$E$5:$E$2004,"Perdu")),"")))</f>
        <v/>
      </c>
      <c r="AX325" s="106">
        <f>IF(C325="","",IF(AW325="","",AW325+'Paramètres'!$B$28))</f>
        <v/>
      </c>
      <c r="AY325" s="60">
        <f>IF(C325="","",SUMIFS('Saisie'!$H$5:$H$2004,'Saisie'!$C$5:$C$2004,C325))</f>
        <v/>
      </c>
      <c r="AZ325" s="60">
        <f>IF(C325="","",IFERROR(INDEX('Paramètres'!$W$6:$W$20,MATCH(S325,'Paramètres'!$V$6:$V$20,0))&amp;"",""))</f>
        <v/>
      </c>
      <c r="BA325" s="60">
        <f>IF(C325="","",MAX(1,_xlfn.MAXIFS('Saisie'!$AT$5:$AT$2004,'Saisie'!$C$5:$C$2004,C325)))</f>
        <v/>
      </c>
      <c r="BB325" s="60">
        <f>IF(C325="","",IFERROR(INDEX('Saisie'!$X$5:$X$2004,_xlfn.MAXIFS('Saisie'!$AS$5:$AS$2004,'Saisie'!$C$5:$C$2004,C325,'Saisie'!$X$5:$X$2004,"&lt;&gt;")-4),""))</f>
        <v/>
      </c>
      <c r="BC325" s="60">
        <f>IF(C325="","",IFERROR(INDEX('Saisie'!$Y$5:$Y$2004,_xlfn.MAXIFS('Saisie'!$AS$5:$AS$2004,'Saisie'!$C$5:$C$2004,C325,'Saisie'!$Y$5:$Y$2004,"&lt;&gt;")-4),""))</f>
        <v/>
      </c>
      <c r="BD325" s="106">
        <f>IF(C325="","",IFERROR(1/(1/_xlfn.MINIFS('Saisie'!$A$5:$A$2004,'Saisie'!$C$5:$C$2004,C325,'Saisie'!$AT$5:$AT$2004,"&gt;=2")),""))</f>
        <v/>
      </c>
      <c r="BE325" s="106">
        <f>IF(C325="","",IFERROR(1/(1/_xlfn.MINIFS('Saisie'!$A$5:$A$2004,'Saisie'!$C$5:$C$2004,C325,'Saisie'!$AT$5:$AT$2004,"&gt;=3")),""))</f>
        <v/>
      </c>
      <c r="BF325" s="106">
        <f>IF(C325="","",IFERROR(1/(1/_xlfn.MINIFS('Saisie'!$A$5:$A$2004,'Saisie'!$C$5:$C$2004,C325,'Saisie'!$AT$5:$AT$2004,"&gt;=4")),""))</f>
        <v/>
      </c>
      <c r="BG325" s="106">
        <f>IF(C325="","",IFERROR(1/(1/_xlfn.MINIFS('Saisie'!$A$5:$A$2004,'Saisie'!$C$5:$C$2004,C325,'Saisie'!$AT$5:$AT$2004,"&gt;=5")),""))</f>
        <v/>
      </c>
      <c r="BH325" s="106">
        <f>IF(C325="","",IFERROR(1/(1/_xlfn.MINIFS('Saisie'!$A$5:$A$2004,'Saisie'!$C$5:$C$2004,C325,'Saisie'!$AT$5:$AT$2004,"&gt;=6")),""))</f>
        <v/>
      </c>
      <c r="BI325" s="106">
        <f>IF(C325="","",IFERROR(1/(1/_xlfn.MINIFS('Saisie'!$A$5:$A$2004,'Saisie'!$C$5:$C$2004,C325,'Saisie'!$AT$5:$AT$2004,"&gt;=7")),""))</f>
        <v/>
      </c>
      <c r="BJ325" s="60">
        <f>IF(OR(BD325="",B325=""),"",BD325-B325)</f>
        <v/>
      </c>
      <c r="BK325" s="60">
        <f>IF(OR(BE325="",BD325=""),"",BE325-BD325)</f>
        <v/>
      </c>
      <c r="BL325" s="60">
        <f>IF(OR(BF325="",BE325=""),"",BF325-BE325)</f>
        <v/>
      </c>
      <c r="BM325" s="60">
        <f>IF(OR(BG325="",BF325=""),"",BG325-BF325)</f>
        <v/>
      </c>
      <c r="BN325" s="60">
        <f>IF(OR(BH325="",BG325=""),"",BH325-BG325)</f>
        <v/>
      </c>
      <c r="BO325" s="60">
        <f>IF(OR(BI325="",BH325=""),"",BI325-BH325)</f>
        <v/>
      </c>
      <c r="BP325" s="60">
        <f>IF(C325="","",_xlfn.MAXIFS('Saisie'!$AS$5:$AS$2004,'Saisie'!$C$5:$C$2004,C325,'Saisie'!$J$5:$J$2004,"&lt;&gt;"))</f>
        <v/>
      </c>
      <c r="BQ325" s="60">
        <f>IF(C325="","",_xlfn.MAXIFS('Saisie'!$AS$5:$AS$2004,'Saisie'!$C$5:$C$2004,C325))</f>
        <v/>
      </c>
      <c r="BR325" s="60">
        <f>IF(C325="","",_xlfn.MAXIFS('Saisie'!$AS$5:$AS$2004,'Saisie'!$C$5:$C$2004,C325,'Saisie'!$E$5:$E$2004,"Perdu"))</f>
        <v/>
      </c>
      <c r="BS325" s="60">
        <f>IF(C325="","",_xlfn.MAXIFS('Saisie'!$AS$5:$AS$2004,'Saisie'!$C$5:$C$2004,C325,'Saisie'!$AT$5:$AT$2004,"&gt;0"))</f>
        <v/>
      </c>
      <c r="BT325" s="109">
        <f>IF(AND(C325&lt;&gt;"",OR(D325="Nouveau",D325="Contacté",D325="Qualifié"),OR(G325="",N(G325)&lt;=TODAY()),NOT(AND(O325&gt;='Paramètres'!$B$21,P325=0))),E325+321/10000,"")</f>
        <v/>
      </c>
      <c r="BU325" s="60">
        <f>IF(AND(G325&lt;&gt;"",N(G325)&lt;=TODAY()),MAX($BU$4:BU324)+1,"")</f>
        <v/>
      </c>
      <c r="BV325" s="60">
        <f>IF(AND(F325&lt;&gt;"",F325&lt;&gt;"Relance en retard"),MAX($BV$4:BV324)+1,"")</f>
        <v/>
      </c>
      <c r="BW325" s="60">
        <f>IF(C325="","",IF(AND(B325&gt;='Tableau de bord'!$R$4,B325&lt;='Tableau de bord'!$S$4,OR('Tableau de bord'!$G$4="Tous",N325='Tableau de bord'!$G$4)),1,0))</f>
        <v/>
      </c>
      <c r="BX325" s="60">
        <f>IF(AND(C325&lt;&gt;"",N(BA325)=7),MAX($BX$4:BX324)+1,"")</f>
        <v/>
      </c>
    </row>
    <row r="326">
      <c r="A326" s="60">
        <f>IF(C326="","","P-"&amp;TEXT(322,"000"))</f>
        <v/>
      </c>
      <c r="B326" s="106">
        <f>IF(C326="","",IFERROR(1/(1/_xlfn.MINIFS('Saisie'!$A$5:$A$2004,'Saisie'!$C$5:$C$2004,C326)),""))</f>
        <v/>
      </c>
      <c r="C326" s="60">
        <f>IFERROR(INDEX('Saisie'!$C$5:$C$2004,MATCH(322,'Saisie'!$AX$5:$AX$2004,0)),"")</f>
        <v/>
      </c>
      <c r="D326" s="60">
        <f>IF(C326="","",IF(AND(BR326&gt;0,BR326&gt;BS326,BA326&lt;7),"Perdu",INDEX('Paramètres'!$F$6:$F$13,BA326)))</f>
        <v/>
      </c>
      <c r="E326" s="61">
        <f>IF(C326="","",MIN(100,(Z326="Oui")*'Paramètres'!$B$38+(AB326="Régulière")*'Paramètres'!$B$39+IF(AND(N(AA326)&gt;0,TODAY()-N(AA326)&lt;=30),'Paramètres'!$B$40,0)+(W326="")*'Paramètres'!$B$41+(AC326="Absente")*'Paramètres'!$B$42+(AC326="Faible")*'Paramètres'!$B$43+IF(AND(N(AD326)&gt;0,N(AD326)&lt;4),'Paramètres'!$B$44,0)+(AF326="Moyenne")*'Paramètres'!$B$45+(AF326="Grande")*'Paramètres'!$B$46+(Y326&lt;&gt;"")*'Paramètres'!$B$47))</f>
        <v/>
      </c>
      <c r="F326" s="60">
        <f>IF(C326="","",IF(D326="Gagné","",IF(D326="Perdu",IF(AND(AX326&lt;&gt;"",AX326&lt;=TODAY()),"À recontacter (perdu)",""),IF(AND(O326&gt;='Paramètres'!$B$21,P326=0),"Stop : "&amp;'Paramètres'!$B$21&amp;" tentatives sans réponse",IF(AND(D326="Proposition",AR326&lt;&gt;"",TODAY()&gt;N(AR326)),"Proposition expirée",IF(AND(D326="Proposition",N(R326)&gt;='Paramètres'!$B$25),"Proposition sans réponse",IF(AND(G326&lt;&gt;"",N(G326)&lt;TODAY()),"Relance en retard",IF(N(R326)&gt;='Paramètres'!$B$24,"Sans action depuis "&amp;R326&amp;" j",""))))))))</f>
        <v/>
      </c>
      <c r="G326" s="106">
        <f>IF(OR(C326="",D326="Gagné",D326="Perdu"),"",IF(AND(BP326&gt;0,BP326=BQ326),INDEX('Saisie'!$J$5:$J$2004,BP326-4),IF(OR(O326=0,AND(O326&gt;='Paramètres'!$B$21,P326=0)),"",Q326+IF(O326&lt;=1,'Paramètres'!$B$18,IF(O326=2,'Paramètres'!$B$19,'Paramètres'!$B$20)))))</f>
        <v/>
      </c>
      <c r="H326" s="107">
        <f>IF(OR(G326="",BP326&lt;&gt;BQ326),"",IF(INDEX('Saisie'!$K$5:$K$2004,BP326-4)="","",INDEX('Saisie'!$K$5:$K$2004,BP326-4)))</f>
        <v/>
      </c>
      <c r="I326" s="60">
        <f>IF(C326="","",IF(OR(D326="Gagné",D326="Perdu"),"",IFERROR(INDEX('Saisie'!$I$5:$I$2004,_xlfn.MAXIFS('Saisie'!$AS$5:$AS$2004,'Saisie'!$C$5:$C$2004,C326,'Saisie'!$I$5:$I$2004,"&lt;&gt;")-4),"")))</f>
        <v/>
      </c>
      <c r="J326" s="60">
        <f>IF(C326="","",IFERROR(INDEX('Saisie'!$U$5:$U$2004,_xlfn.MAXIFS('Saisie'!$AS$5:$AS$2004,'Saisie'!$C$5:$C$2004,C326,'Saisie'!$U$5:$U$2004,"&lt;&gt;")-4),""))</f>
        <v/>
      </c>
      <c r="K326" s="60">
        <f>IF(C326="","",IFERROR(INDEX('Saisie'!$W$5:$W$2004,_xlfn.MAXIFS('Saisie'!$AS$5:$AS$2004,'Saisie'!$C$5:$C$2004,C326,'Saisie'!$W$5:$W$2004,"&lt;&gt;")-4),""))</f>
        <v/>
      </c>
      <c r="L326" s="60">
        <f>IF(IF(BB326&lt;&gt;"",BB326,K326)="","",HYPERLINK("https://wa.me/"&amp;IF(LEFT(SUBSTITUTE(SUBSTITUTE(SUBSTITUTE(IF(BB326&lt;&gt;"",BB326,K326)," ",""),".",""),"+",""),1)="0",'Paramètres'!$B$35&amp;MID(SUBSTITUTE(SUBSTITUTE(SUBSTITUTE(IF(BB326&lt;&gt;"",BB326,K326)," ",""),".",""),"+",""),2,20),SUBSTITUTE(SUBSTITUTE(SUBSTITUTE(IF(BB326&lt;&gt;"",BB326,K326)," ",""),".",""),"+","")),"WhatsApp"))</f>
        <v/>
      </c>
      <c r="M326" s="60">
        <f>IF(BC326="","",HYPERLINK(IF(LEFT(BC326,4)="http",BC326,"https://www.instagram.com/"&amp;SUBSTITUTE(SUBSTITUTE(BC326,"@","")," ","")),BC326))</f>
        <v/>
      </c>
      <c r="N326" s="60">
        <f>IF(C326="","",IFERROR(INDEX('Saisie'!$D$5:$D$2004,_xlfn.MINIFS('Saisie'!$AS$5:$AS$2004,'Saisie'!$C$5:$C$2004,C326,'Saisie'!$AU$5:$AU$2004,1)-4),IFERROR(INDEX('Saisie'!$D$5:$D$2004,_xlfn.MINIFS('Saisie'!$AS$5:$AS$2004,'Saisie'!$C$5:$C$2004,C326,'Saisie'!$D$5:$D$2004,"&lt;&gt;")-4),"")))</f>
        <v/>
      </c>
      <c r="O326" s="60">
        <f>IF(C326="","",COUNTIFS('Saisie'!$C$5:$C$2004,C326,'Saisie'!$AU$5:$AU$2004,1))</f>
        <v/>
      </c>
      <c r="P326" s="60">
        <f>IF(C326="","",COUNTIFS('Saisie'!$C$5:$C$2004,C326,'Saisie'!$AV$5:$AV$2004,1))</f>
        <v/>
      </c>
      <c r="Q326" s="106">
        <f>IF(C326="","",IFERROR(1/(1/_xlfn.MAXIFS('Saisie'!$A$5:$A$2004,'Saisie'!$C$5:$C$2004,C326)),""))</f>
        <v/>
      </c>
      <c r="R326" s="61">
        <f>IF(C326="","",IF(Q326="","",TODAY()-Q326))</f>
        <v/>
      </c>
      <c r="S326" s="60">
        <f>IF(C326="","",IFERROR(INDEX('Saisie'!$R$5:$R$2004,_xlfn.MAXIFS('Saisie'!$AS$5:$AS$2004,'Saisie'!$C$5:$C$2004,C326,'Saisie'!$R$5:$R$2004,"&lt;&gt;")-4),""))</f>
        <v/>
      </c>
      <c r="T326" s="60">
        <f>IF(C326="","",IFERROR(INDEX('Saisie'!$S$5:$S$2004,_xlfn.MAXIFS('Saisie'!$AS$5:$AS$2004,'Saisie'!$C$5:$C$2004,C326,'Saisie'!$S$5:$S$2004,"&lt;&gt;")-4),""))</f>
        <v/>
      </c>
      <c r="U326" s="60">
        <f>IF(C326="","",IFERROR(INDEX('Saisie'!$T$5:$T$2004,_xlfn.MAXIFS('Saisie'!$AS$5:$AS$2004,'Saisie'!$C$5:$C$2004,C326,'Saisie'!$T$5:$T$2004,"&lt;&gt;")-4),""))</f>
        <v/>
      </c>
      <c r="V326" s="60">
        <f>IF(C326="","",IFERROR(INDEX('Saisie'!$V$5:$V$2004,_xlfn.MAXIFS('Saisie'!$AS$5:$AS$2004,'Saisie'!$C$5:$C$2004,C326,'Saisie'!$V$5:$V$2004,"&lt;&gt;")-4),""))</f>
        <v/>
      </c>
      <c r="W326" s="60">
        <f>IF(C326="","",IFERROR(INDEX('Saisie'!$Z$5:$Z$2004,_xlfn.MAXIFS('Saisie'!$AS$5:$AS$2004,'Saisie'!$C$5:$C$2004,C326,'Saisie'!$Z$5:$Z$2004,"&lt;&gt;")-4),""))</f>
        <v/>
      </c>
      <c r="X326" s="60">
        <f>IF(C326="","",IFERROR(INDEX('Saisie'!$AA$5:$AA$2004,_xlfn.MAXIFS('Saisie'!$AS$5:$AS$2004,'Saisie'!$C$5:$C$2004,C326,'Saisie'!$AA$5:$AA$2004,"&lt;&gt;")-4),""))</f>
        <v/>
      </c>
      <c r="Y326" s="60">
        <f>IF(C326="","",IFERROR(INDEX('Saisie'!$AB$5:$AB$2004,_xlfn.MAXIFS('Saisie'!$AS$5:$AS$2004,'Saisie'!$C$5:$C$2004,C326,'Saisie'!$AB$5:$AB$2004,"&lt;&gt;")-4),""))</f>
        <v/>
      </c>
      <c r="Z326" s="60">
        <f>IF(C326="","",IFERROR(INDEX('Saisie'!$AC$5:$AC$2004,_xlfn.MAXIFS('Saisie'!$AS$5:$AS$2004,'Saisie'!$C$5:$C$2004,C326,'Saisie'!$AC$5:$AC$2004,"&lt;&gt;")-4),""))</f>
        <v/>
      </c>
      <c r="AA326" s="106">
        <f>IF(C326="","",IFERROR(INDEX('Saisie'!$AD$5:$AD$2004,_xlfn.MAXIFS('Saisie'!$AS$5:$AS$2004,'Saisie'!$C$5:$C$2004,C326,'Saisie'!$AD$5:$AD$2004,"&lt;&gt;")-4),""))</f>
        <v/>
      </c>
      <c r="AB326" s="60">
        <f>IF(C326="","",IFERROR(INDEX('Saisie'!$AE$5:$AE$2004,_xlfn.MAXIFS('Saisie'!$AS$5:$AS$2004,'Saisie'!$C$5:$C$2004,C326,'Saisie'!$AE$5:$AE$2004,"&lt;&gt;")-4),""))</f>
        <v/>
      </c>
      <c r="AC326" s="60">
        <f>IF(C326="","",IFERROR(INDEX('Saisie'!$AF$5:$AF$2004,_xlfn.MAXIFS('Saisie'!$AS$5:$AS$2004,'Saisie'!$C$5:$C$2004,C326,'Saisie'!$AF$5:$AF$2004,"&lt;&gt;")-4),""))</f>
        <v/>
      </c>
      <c r="AD326" s="108">
        <f>IF(C326="","",IFERROR(INDEX('Saisie'!$AG$5:$AG$2004,_xlfn.MAXIFS('Saisie'!$AS$5:$AS$2004,'Saisie'!$C$5:$C$2004,C326,'Saisie'!$AG$5:$AG$2004,"&lt;&gt;")-4),""))</f>
        <v/>
      </c>
      <c r="AE326" s="60">
        <f>IF(C326="","",IFERROR(INDEX('Saisie'!$AH$5:$AH$2004,_xlfn.MAXIFS('Saisie'!$AS$5:$AS$2004,'Saisie'!$C$5:$C$2004,C326,'Saisie'!$AH$5:$AH$2004,"&lt;&gt;")-4),""))</f>
        <v/>
      </c>
      <c r="AF326" s="60">
        <f>IF(C326="","",IFERROR(INDEX('Saisie'!$AI$5:$AI$2004,_xlfn.MAXIFS('Saisie'!$AS$5:$AS$2004,'Saisie'!$C$5:$C$2004,C326,'Saisie'!$AI$5:$AI$2004,"&lt;&gt;")-4),""))</f>
        <v/>
      </c>
      <c r="AG326" s="60">
        <f>IF(C326="","",IFERROR(INDEX('Saisie'!$AJ$5:$AJ$2004,_xlfn.MAXIFS('Saisie'!$AS$5:$AS$2004,'Saisie'!$C$5:$C$2004,C326,'Saisie'!$AJ$5:$AJ$2004,"&lt;&gt;")-4),""))</f>
        <v/>
      </c>
      <c r="AH326" s="60">
        <f>IF(C326="","",IFERROR(INDEX('Saisie'!$AK$5:$AK$2004,_xlfn.MAXIFS('Saisie'!$AS$5:$AS$2004,'Saisie'!$C$5:$C$2004,C326,'Saisie'!$AK$5:$AK$2004,"&lt;&gt;")-4),""))</f>
        <v/>
      </c>
      <c r="AI326" s="60">
        <f>IF(C326="","",IFERROR(INDEX('Saisie'!$AN$5:$AN$2004,_xlfn.MAXIFS('Saisie'!$AS$5:$AS$2004,'Saisie'!$C$5:$C$2004,C326,'Saisie'!$AN$5:$AN$2004,"&lt;&gt;")-4),""))</f>
        <v/>
      </c>
      <c r="AJ326" s="60">
        <f>IF(C326="","",IFERROR(INDEX('Saisie'!$AO$5:$AO$2004,_xlfn.MAXIFS('Saisie'!$AS$5:$AS$2004,'Saisie'!$C$5:$C$2004,C326,'Saisie'!$AO$5:$AO$2004,"&lt;&gt;")-4),""))</f>
        <v/>
      </c>
      <c r="AK326" s="60">
        <f>IF(C326="","",IFERROR(INDEX('Saisie'!$AP$5:$AP$2004,_xlfn.MAXIFS('Saisie'!$AS$5:$AS$2004,'Saisie'!$C$5:$C$2004,C326,'Saisie'!$AP$5:$AP$2004,"&lt;&gt;")-4),""))</f>
        <v/>
      </c>
      <c r="AL326" s="60">
        <f>IF(C326="","",IFERROR(INDEX('Saisie'!$AQ$5:$AQ$2004,_xlfn.MAXIFS('Saisie'!$AS$5:$AS$2004,'Saisie'!$C$5:$C$2004,C326,'Saisie'!$AQ$5:$AQ$2004,"&lt;&gt;")-4),""))</f>
        <v/>
      </c>
      <c r="AM326" s="60">
        <f>IF(C326="","",((AI326="Oui")+(AJ326="Oui")+(AK326="Oui")+OR(AL326="Immédiat",AL326="&lt; 1 mois"))&amp;"/4")</f>
        <v/>
      </c>
      <c r="AN326" s="60">
        <f>IF(C326="","",IFERROR(INDEX('Saisie'!$AL$5:$AL$2004,_xlfn.MAXIFS('Saisie'!$AS$5:$AS$2004,'Saisie'!$C$5:$C$2004,C326,'Saisie'!$AL$5:$AL$2004,"&lt;&gt;")-4),""))</f>
        <v/>
      </c>
      <c r="AO326" s="62">
        <f>IF(C326="","",IF(IFERROR(INDEX('Saisie'!$AM$5:$AM$2004,_xlfn.MAXIFS('Saisie'!$AS$5:$AS$2004,'Saisie'!$C$5:$C$2004,C326,'Saisie'!$AM$5:$AM$2004,"&lt;&gt;")-4),"")&lt;&gt;"",IFERROR(INDEX('Saisie'!$AM$5:$AM$2004,_xlfn.MAXIFS('Saisie'!$AS$5:$AS$2004,'Saisie'!$C$5:$C$2004,C326,'Saisie'!$AM$5:$AM$2004,"&lt;&gt;")-4),""),IFERROR(INDEX('Paramètres'!$S$6:$S$15,MATCH(AN326,'Paramètres'!$Q$6:$Q$15,0)),"")))</f>
        <v/>
      </c>
      <c r="AP326" s="62">
        <f>IF(C326="","",IFERROR(INDEX('Saisie'!$AW$5:$AW$2004,_xlfn.MAXIFS('Saisie'!$AS$5:$AS$2004,'Saisie'!$C$5:$C$2004,C326,'Saisie'!$E$5:$E$2004,"Proposition envoyée")-4),""))</f>
        <v/>
      </c>
      <c r="AQ326" s="106">
        <f>IF(C326="","",IFERROR(1/(1/_xlfn.MAXIFS('Saisie'!$A$5:$A$2004,'Saisie'!$C$5:$C$2004,C326,'Saisie'!$E$5:$E$2004,"Proposition envoyée")),""))</f>
        <v/>
      </c>
      <c r="AR326" s="106">
        <f>IF(C326="","",IF(AQ326="","",AQ326+'Paramètres'!$B$26))</f>
        <v/>
      </c>
      <c r="AS326" s="62">
        <f>IF(OR(C326="",D326="Gagné",D326="Perdu"),0,N(AP326)*IFERROR(INDEX('Paramètres'!$G$6:$G$13,MATCH(D326,'Paramètres'!$F$6:$F$13,0)),0))</f>
        <v/>
      </c>
      <c r="AT326" s="106">
        <f>IF(C326="","",IFERROR(1/(1/_xlfn.MINIFS('Saisie'!$A$5:$A$2004,'Saisie'!$C$5:$C$2004,C326,'Saisie'!$E$5:$E$2004,"Signature")),""))</f>
        <v/>
      </c>
      <c r="AU326" s="60">
        <f>IF(C326="","",IF(OR(AT326="",B326=""),"",AT326-B326))</f>
        <v/>
      </c>
      <c r="AV326" s="60">
        <f>IF(C326="","",IFERROR(INDEX('Saisie'!$L$5:$L$2004,_xlfn.MAXIFS('Saisie'!$AS$5:$AS$2004,'Saisie'!$C$5:$C$2004,C326,'Saisie'!$L$5:$L$2004,"&lt;&gt;")-4),""))</f>
        <v/>
      </c>
      <c r="AW326" s="106">
        <f>IF(C326="","",IF(D326&lt;&gt;"Perdu","",IFERROR(1/(1/_xlfn.MAXIFS('Saisie'!$A$5:$A$2004,'Saisie'!$C$5:$C$2004,C326,'Saisie'!$E$5:$E$2004,"Perdu")),"")))</f>
        <v/>
      </c>
      <c r="AX326" s="106">
        <f>IF(C326="","",IF(AW326="","",AW326+'Paramètres'!$B$28))</f>
        <v/>
      </c>
      <c r="AY326" s="60">
        <f>IF(C326="","",SUMIFS('Saisie'!$H$5:$H$2004,'Saisie'!$C$5:$C$2004,C326))</f>
        <v/>
      </c>
      <c r="AZ326" s="60">
        <f>IF(C326="","",IFERROR(INDEX('Paramètres'!$W$6:$W$20,MATCH(S326,'Paramètres'!$V$6:$V$20,0))&amp;"",""))</f>
        <v/>
      </c>
      <c r="BA326" s="60">
        <f>IF(C326="","",MAX(1,_xlfn.MAXIFS('Saisie'!$AT$5:$AT$2004,'Saisie'!$C$5:$C$2004,C326)))</f>
        <v/>
      </c>
      <c r="BB326" s="60">
        <f>IF(C326="","",IFERROR(INDEX('Saisie'!$X$5:$X$2004,_xlfn.MAXIFS('Saisie'!$AS$5:$AS$2004,'Saisie'!$C$5:$C$2004,C326,'Saisie'!$X$5:$X$2004,"&lt;&gt;")-4),""))</f>
        <v/>
      </c>
      <c r="BC326" s="60">
        <f>IF(C326="","",IFERROR(INDEX('Saisie'!$Y$5:$Y$2004,_xlfn.MAXIFS('Saisie'!$AS$5:$AS$2004,'Saisie'!$C$5:$C$2004,C326,'Saisie'!$Y$5:$Y$2004,"&lt;&gt;")-4),""))</f>
        <v/>
      </c>
      <c r="BD326" s="106">
        <f>IF(C326="","",IFERROR(1/(1/_xlfn.MINIFS('Saisie'!$A$5:$A$2004,'Saisie'!$C$5:$C$2004,C326,'Saisie'!$AT$5:$AT$2004,"&gt;=2")),""))</f>
        <v/>
      </c>
      <c r="BE326" s="106">
        <f>IF(C326="","",IFERROR(1/(1/_xlfn.MINIFS('Saisie'!$A$5:$A$2004,'Saisie'!$C$5:$C$2004,C326,'Saisie'!$AT$5:$AT$2004,"&gt;=3")),""))</f>
        <v/>
      </c>
      <c r="BF326" s="106">
        <f>IF(C326="","",IFERROR(1/(1/_xlfn.MINIFS('Saisie'!$A$5:$A$2004,'Saisie'!$C$5:$C$2004,C326,'Saisie'!$AT$5:$AT$2004,"&gt;=4")),""))</f>
        <v/>
      </c>
      <c r="BG326" s="106">
        <f>IF(C326="","",IFERROR(1/(1/_xlfn.MINIFS('Saisie'!$A$5:$A$2004,'Saisie'!$C$5:$C$2004,C326,'Saisie'!$AT$5:$AT$2004,"&gt;=5")),""))</f>
        <v/>
      </c>
      <c r="BH326" s="106">
        <f>IF(C326="","",IFERROR(1/(1/_xlfn.MINIFS('Saisie'!$A$5:$A$2004,'Saisie'!$C$5:$C$2004,C326,'Saisie'!$AT$5:$AT$2004,"&gt;=6")),""))</f>
        <v/>
      </c>
      <c r="BI326" s="106">
        <f>IF(C326="","",IFERROR(1/(1/_xlfn.MINIFS('Saisie'!$A$5:$A$2004,'Saisie'!$C$5:$C$2004,C326,'Saisie'!$AT$5:$AT$2004,"&gt;=7")),""))</f>
        <v/>
      </c>
      <c r="BJ326" s="60">
        <f>IF(OR(BD326="",B326=""),"",BD326-B326)</f>
        <v/>
      </c>
      <c r="BK326" s="60">
        <f>IF(OR(BE326="",BD326=""),"",BE326-BD326)</f>
        <v/>
      </c>
      <c r="BL326" s="60">
        <f>IF(OR(BF326="",BE326=""),"",BF326-BE326)</f>
        <v/>
      </c>
      <c r="BM326" s="60">
        <f>IF(OR(BG326="",BF326=""),"",BG326-BF326)</f>
        <v/>
      </c>
      <c r="BN326" s="60">
        <f>IF(OR(BH326="",BG326=""),"",BH326-BG326)</f>
        <v/>
      </c>
      <c r="BO326" s="60">
        <f>IF(OR(BI326="",BH326=""),"",BI326-BH326)</f>
        <v/>
      </c>
      <c r="BP326" s="60">
        <f>IF(C326="","",_xlfn.MAXIFS('Saisie'!$AS$5:$AS$2004,'Saisie'!$C$5:$C$2004,C326,'Saisie'!$J$5:$J$2004,"&lt;&gt;"))</f>
        <v/>
      </c>
      <c r="BQ326" s="60">
        <f>IF(C326="","",_xlfn.MAXIFS('Saisie'!$AS$5:$AS$2004,'Saisie'!$C$5:$C$2004,C326))</f>
        <v/>
      </c>
      <c r="BR326" s="60">
        <f>IF(C326="","",_xlfn.MAXIFS('Saisie'!$AS$5:$AS$2004,'Saisie'!$C$5:$C$2004,C326,'Saisie'!$E$5:$E$2004,"Perdu"))</f>
        <v/>
      </c>
      <c r="BS326" s="60">
        <f>IF(C326="","",_xlfn.MAXIFS('Saisie'!$AS$5:$AS$2004,'Saisie'!$C$5:$C$2004,C326,'Saisie'!$AT$5:$AT$2004,"&gt;0"))</f>
        <v/>
      </c>
      <c r="BT326" s="109">
        <f>IF(AND(C326&lt;&gt;"",OR(D326="Nouveau",D326="Contacté",D326="Qualifié"),OR(G326="",N(G326)&lt;=TODAY()),NOT(AND(O326&gt;='Paramètres'!$B$21,P326=0))),E326+322/10000,"")</f>
        <v/>
      </c>
      <c r="BU326" s="60">
        <f>IF(AND(G326&lt;&gt;"",N(G326)&lt;=TODAY()),MAX($BU$4:BU325)+1,"")</f>
        <v/>
      </c>
      <c r="BV326" s="60">
        <f>IF(AND(F326&lt;&gt;"",F326&lt;&gt;"Relance en retard"),MAX($BV$4:BV325)+1,"")</f>
        <v/>
      </c>
      <c r="BW326" s="60">
        <f>IF(C326="","",IF(AND(B326&gt;='Tableau de bord'!$R$4,B326&lt;='Tableau de bord'!$S$4,OR('Tableau de bord'!$G$4="Tous",N326='Tableau de bord'!$G$4)),1,0))</f>
        <v/>
      </c>
      <c r="BX326" s="60">
        <f>IF(AND(C326&lt;&gt;"",N(BA326)=7),MAX($BX$4:BX325)+1,"")</f>
        <v/>
      </c>
    </row>
    <row r="327">
      <c r="A327" s="60">
        <f>IF(C327="","","P-"&amp;TEXT(323,"000"))</f>
        <v/>
      </c>
      <c r="B327" s="106">
        <f>IF(C327="","",IFERROR(1/(1/_xlfn.MINIFS('Saisie'!$A$5:$A$2004,'Saisie'!$C$5:$C$2004,C327)),""))</f>
        <v/>
      </c>
      <c r="C327" s="60">
        <f>IFERROR(INDEX('Saisie'!$C$5:$C$2004,MATCH(323,'Saisie'!$AX$5:$AX$2004,0)),"")</f>
        <v/>
      </c>
      <c r="D327" s="60">
        <f>IF(C327="","",IF(AND(BR327&gt;0,BR327&gt;BS327,BA327&lt;7),"Perdu",INDEX('Paramètres'!$F$6:$F$13,BA327)))</f>
        <v/>
      </c>
      <c r="E327" s="61">
        <f>IF(C327="","",MIN(100,(Z327="Oui")*'Paramètres'!$B$38+(AB327="Régulière")*'Paramètres'!$B$39+IF(AND(N(AA327)&gt;0,TODAY()-N(AA327)&lt;=30),'Paramètres'!$B$40,0)+(W327="")*'Paramètres'!$B$41+(AC327="Absente")*'Paramètres'!$B$42+(AC327="Faible")*'Paramètres'!$B$43+IF(AND(N(AD327)&gt;0,N(AD327)&lt;4),'Paramètres'!$B$44,0)+(AF327="Moyenne")*'Paramètres'!$B$45+(AF327="Grande")*'Paramètres'!$B$46+(Y327&lt;&gt;"")*'Paramètres'!$B$47))</f>
        <v/>
      </c>
      <c r="F327" s="60">
        <f>IF(C327="","",IF(D327="Gagné","",IF(D327="Perdu",IF(AND(AX327&lt;&gt;"",AX327&lt;=TODAY()),"À recontacter (perdu)",""),IF(AND(O327&gt;='Paramètres'!$B$21,P327=0),"Stop : "&amp;'Paramètres'!$B$21&amp;" tentatives sans réponse",IF(AND(D327="Proposition",AR327&lt;&gt;"",TODAY()&gt;N(AR327)),"Proposition expirée",IF(AND(D327="Proposition",N(R327)&gt;='Paramètres'!$B$25),"Proposition sans réponse",IF(AND(G327&lt;&gt;"",N(G327)&lt;TODAY()),"Relance en retard",IF(N(R327)&gt;='Paramètres'!$B$24,"Sans action depuis "&amp;R327&amp;" j",""))))))))</f>
        <v/>
      </c>
      <c r="G327" s="106">
        <f>IF(OR(C327="",D327="Gagné",D327="Perdu"),"",IF(AND(BP327&gt;0,BP327=BQ327),INDEX('Saisie'!$J$5:$J$2004,BP327-4),IF(OR(O327=0,AND(O327&gt;='Paramètres'!$B$21,P327=0)),"",Q327+IF(O327&lt;=1,'Paramètres'!$B$18,IF(O327=2,'Paramètres'!$B$19,'Paramètres'!$B$20)))))</f>
        <v/>
      </c>
      <c r="H327" s="107">
        <f>IF(OR(G327="",BP327&lt;&gt;BQ327),"",IF(INDEX('Saisie'!$K$5:$K$2004,BP327-4)="","",INDEX('Saisie'!$K$5:$K$2004,BP327-4)))</f>
        <v/>
      </c>
      <c r="I327" s="60">
        <f>IF(C327="","",IF(OR(D327="Gagné",D327="Perdu"),"",IFERROR(INDEX('Saisie'!$I$5:$I$2004,_xlfn.MAXIFS('Saisie'!$AS$5:$AS$2004,'Saisie'!$C$5:$C$2004,C327,'Saisie'!$I$5:$I$2004,"&lt;&gt;")-4),"")))</f>
        <v/>
      </c>
      <c r="J327" s="60">
        <f>IF(C327="","",IFERROR(INDEX('Saisie'!$U$5:$U$2004,_xlfn.MAXIFS('Saisie'!$AS$5:$AS$2004,'Saisie'!$C$5:$C$2004,C327,'Saisie'!$U$5:$U$2004,"&lt;&gt;")-4),""))</f>
        <v/>
      </c>
      <c r="K327" s="60">
        <f>IF(C327="","",IFERROR(INDEX('Saisie'!$W$5:$W$2004,_xlfn.MAXIFS('Saisie'!$AS$5:$AS$2004,'Saisie'!$C$5:$C$2004,C327,'Saisie'!$W$5:$W$2004,"&lt;&gt;")-4),""))</f>
        <v/>
      </c>
      <c r="L327" s="60">
        <f>IF(IF(BB327&lt;&gt;"",BB327,K327)="","",HYPERLINK("https://wa.me/"&amp;IF(LEFT(SUBSTITUTE(SUBSTITUTE(SUBSTITUTE(IF(BB327&lt;&gt;"",BB327,K327)," ",""),".",""),"+",""),1)="0",'Paramètres'!$B$35&amp;MID(SUBSTITUTE(SUBSTITUTE(SUBSTITUTE(IF(BB327&lt;&gt;"",BB327,K327)," ",""),".",""),"+",""),2,20),SUBSTITUTE(SUBSTITUTE(SUBSTITUTE(IF(BB327&lt;&gt;"",BB327,K327)," ",""),".",""),"+","")),"WhatsApp"))</f>
        <v/>
      </c>
      <c r="M327" s="60">
        <f>IF(BC327="","",HYPERLINK(IF(LEFT(BC327,4)="http",BC327,"https://www.instagram.com/"&amp;SUBSTITUTE(SUBSTITUTE(BC327,"@","")," ","")),BC327))</f>
        <v/>
      </c>
      <c r="N327" s="60">
        <f>IF(C327="","",IFERROR(INDEX('Saisie'!$D$5:$D$2004,_xlfn.MINIFS('Saisie'!$AS$5:$AS$2004,'Saisie'!$C$5:$C$2004,C327,'Saisie'!$AU$5:$AU$2004,1)-4),IFERROR(INDEX('Saisie'!$D$5:$D$2004,_xlfn.MINIFS('Saisie'!$AS$5:$AS$2004,'Saisie'!$C$5:$C$2004,C327,'Saisie'!$D$5:$D$2004,"&lt;&gt;")-4),"")))</f>
        <v/>
      </c>
      <c r="O327" s="60">
        <f>IF(C327="","",COUNTIFS('Saisie'!$C$5:$C$2004,C327,'Saisie'!$AU$5:$AU$2004,1))</f>
        <v/>
      </c>
      <c r="P327" s="60">
        <f>IF(C327="","",COUNTIFS('Saisie'!$C$5:$C$2004,C327,'Saisie'!$AV$5:$AV$2004,1))</f>
        <v/>
      </c>
      <c r="Q327" s="106">
        <f>IF(C327="","",IFERROR(1/(1/_xlfn.MAXIFS('Saisie'!$A$5:$A$2004,'Saisie'!$C$5:$C$2004,C327)),""))</f>
        <v/>
      </c>
      <c r="R327" s="61">
        <f>IF(C327="","",IF(Q327="","",TODAY()-Q327))</f>
        <v/>
      </c>
      <c r="S327" s="60">
        <f>IF(C327="","",IFERROR(INDEX('Saisie'!$R$5:$R$2004,_xlfn.MAXIFS('Saisie'!$AS$5:$AS$2004,'Saisie'!$C$5:$C$2004,C327,'Saisie'!$R$5:$R$2004,"&lt;&gt;")-4),""))</f>
        <v/>
      </c>
      <c r="T327" s="60">
        <f>IF(C327="","",IFERROR(INDEX('Saisie'!$S$5:$S$2004,_xlfn.MAXIFS('Saisie'!$AS$5:$AS$2004,'Saisie'!$C$5:$C$2004,C327,'Saisie'!$S$5:$S$2004,"&lt;&gt;")-4),""))</f>
        <v/>
      </c>
      <c r="U327" s="60">
        <f>IF(C327="","",IFERROR(INDEX('Saisie'!$T$5:$T$2004,_xlfn.MAXIFS('Saisie'!$AS$5:$AS$2004,'Saisie'!$C$5:$C$2004,C327,'Saisie'!$T$5:$T$2004,"&lt;&gt;")-4),""))</f>
        <v/>
      </c>
      <c r="V327" s="60">
        <f>IF(C327="","",IFERROR(INDEX('Saisie'!$V$5:$V$2004,_xlfn.MAXIFS('Saisie'!$AS$5:$AS$2004,'Saisie'!$C$5:$C$2004,C327,'Saisie'!$V$5:$V$2004,"&lt;&gt;")-4),""))</f>
        <v/>
      </c>
      <c r="W327" s="60">
        <f>IF(C327="","",IFERROR(INDEX('Saisie'!$Z$5:$Z$2004,_xlfn.MAXIFS('Saisie'!$AS$5:$AS$2004,'Saisie'!$C$5:$C$2004,C327,'Saisie'!$Z$5:$Z$2004,"&lt;&gt;")-4),""))</f>
        <v/>
      </c>
      <c r="X327" s="60">
        <f>IF(C327="","",IFERROR(INDEX('Saisie'!$AA$5:$AA$2004,_xlfn.MAXIFS('Saisie'!$AS$5:$AS$2004,'Saisie'!$C$5:$C$2004,C327,'Saisie'!$AA$5:$AA$2004,"&lt;&gt;")-4),""))</f>
        <v/>
      </c>
      <c r="Y327" s="60">
        <f>IF(C327="","",IFERROR(INDEX('Saisie'!$AB$5:$AB$2004,_xlfn.MAXIFS('Saisie'!$AS$5:$AS$2004,'Saisie'!$C$5:$C$2004,C327,'Saisie'!$AB$5:$AB$2004,"&lt;&gt;")-4),""))</f>
        <v/>
      </c>
      <c r="Z327" s="60">
        <f>IF(C327="","",IFERROR(INDEX('Saisie'!$AC$5:$AC$2004,_xlfn.MAXIFS('Saisie'!$AS$5:$AS$2004,'Saisie'!$C$5:$C$2004,C327,'Saisie'!$AC$5:$AC$2004,"&lt;&gt;")-4),""))</f>
        <v/>
      </c>
      <c r="AA327" s="106">
        <f>IF(C327="","",IFERROR(INDEX('Saisie'!$AD$5:$AD$2004,_xlfn.MAXIFS('Saisie'!$AS$5:$AS$2004,'Saisie'!$C$5:$C$2004,C327,'Saisie'!$AD$5:$AD$2004,"&lt;&gt;")-4),""))</f>
        <v/>
      </c>
      <c r="AB327" s="60">
        <f>IF(C327="","",IFERROR(INDEX('Saisie'!$AE$5:$AE$2004,_xlfn.MAXIFS('Saisie'!$AS$5:$AS$2004,'Saisie'!$C$5:$C$2004,C327,'Saisie'!$AE$5:$AE$2004,"&lt;&gt;")-4),""))</f>
        <v/>
      </c>
      <c r="AC327" s="60">
        <f>IF(C327="","",IFERROR(INDEX('Saisie'!$AF$5:$AF$2004,_xlfn.MAXIFS('Saisie'!$AS$5:$AS$2004,'Saisie'!$C$5:$C$2004,C327,'Saisie'!$AF$5:$AF$2004,"&lt;&gt;")-4),""))</f>
        <v/>
      </c>
      <c r="AD327" s="108">
        <f>IF(C327="","",IFERROR(INDEX('Saisie'!$AG$5:$AG$2004,_xlfn.MAXIFS('Saisie'!$AS$5:$AS$2004,'Saisie'!$C$5:$C$2004,C327,'Saisie'!$AG$5:$AG$2004,"&lt;&gt;")-4),""))</f>
        <v/>
      </c>
      <c r="AE327" s="60">
        <f>IF(C327="","",IFERROR(INDEX('Saisie'!$AH$5:$AH$2004,_xlfn.MAXIFS('Saisie'!$AS$5:$AS$2004,'Saisie'!$C$5:$C$2004,C327,'Saisie'!$AH$5:$AH$2004,"&lt;&gt;")-4),""))</f>
        <v/>
      </c>
      <c r="AF327" s="60">
        <f>IF(C327="","",IFERROR(INDEX('Saisie'!$AI$5:$AI$2004,_xlfn.MAXIFS('Saisie'!$AS$5:$AS$2004,'Saisie'!$C$5:$C$2004,C327,'Saisie'!$AI$5:$AI$2004,"&lt;&gt;")-4),""))</f>
        <v/>
      </c>
      <c r="AG327" s="60">
        <f>IF(C327="","",IFERROR(INDEX('Saisie'!$AJ$5:$AJ$2004,_xlfn.MAXIFS('Saisie'!$AS$5:$AS$2004,'Saisie'!$C$5:$C$2004,C327,'Saisie'!$AJ$5:$AJ$2004,"&lt;&gt;")-4),""))</f>
        <v/>
      </c>
      <c r="AH327" s="60">
        <f>IF(C327="","",IFERROR(INDEX('Saisie'!$AK$5:$AK$2004,_xlfn.MAXIFS('Saisie'!$AS$5:$AS$2004,'Saisie'!$C$5:$C$2004,C327,'Saisie'!$AK$5:$AK$2004,"&lt;&gt;")-4),""))</f>
        <v/>
      </c>
      <c r="AI327" s="60">
        <f>IF(C327="","",IFERROR(INDEX('Saisie'!$AN$5:$AN$2004,_xlfn.MAXIFS('Saisie'!$AS$5:$AS$2004,'Saisie'!$C$5:$C$2004,C327,'Saisie'!$AN$5:$AN$2004,"&lt;&gt;")-4),""))</f>
        <v/>
      </c>
      <c r="AJ327" s="60">
        <f>IF(C327="","",IFERROR(INDEX('Saisie'!$AO$5:$AO$2004,_xlfn.MAXIFS('Saisie'!$AS$5:$AS$2004,'Saisie'!$C$5:$C$2004,C327,'Saisie'!$AO$5:$AO$2004,"&lt;&gt;")-4),""))</f>
        <v/>
      </c>
      <c r="AK327" s="60">
        <f>IF(C327="","",IFERROR(INDEX('Saisie'!$AP$5:$AP$2004,_xlfn.MAXIFS('Saisie'!$AS$5:$AS$2004,'Saisie'!$C$5:$C$2004,C327,'Saisie'!$AP$5:$AP$2004,"&lt;&gt;")-4),""))</f>
        <v/>
      </c>
      <c r="AL327" s="60">
        <f>IF(C327="","",IFERROR(INDEX('Saisie'!$AQ$5:$AQ$2004,_xlfn.MAXIFS('Saisie'!$AS$5:$AS$2004,'Saisie'!$C$5:$C$2004,C327,'Saisie'!$AQ$5:$AQ$2004,"&lt;&gt;")-4),""))</f>
        <v/>
      </c>
      <c r="AM327" s="60">
        <f>IF(C327="","",((AI327="Oui")+(AJ327="Oui")+(AK327="Oui")+OR(AL327="Immédiat",AL327="&lt; 1 mois"))&amp;"/4")</f>
        <v/>
      </c>
      <c r="AN327" s="60">
        <f>IF(C327="","",IFERROR(INDEX('Saisie'!$AL$5:$AL$2004,_xlfn.MAXIFS('Saisie'!$AS$5:$AS$2004,'Saisie'!$C$5:$C$2004,C327,'Saisie'!$AL$5:$AL$2004,"&lt;&gt;")-4),""))</f>
        <v/>
      </c>
      <c r="AO327" s="62">
        <f>IF(C327="","",IF(IFERROR(INDEX('Saisie'!$AM$5:$AM$2004,_xlfn.MAXIFS('Saisie'!$AS$5:$AS$2004,'Saisie'!$C$5:$C$2004,C327,'Saisie'!$AM$5:$AM$2004,"&lt;&gt;")-4),"")&lt;&gt;"",IFERROR(INDEX('Saisie'!$AM$5:$AM$2004,_xlfn.MAXIFS('Saisie'!$AS$5:$AS$2004,'Saisie'!$C$5:$C$2004,C327,'Saisie'!$AM$5:$AM$2004,"&lt;&gt;")-4),""),IFERROR(INDEX('Paramètres'!$S$6:$S$15,MATCH(AN327,'Paramètres'!$Q$6:$Q$15,0)),"")))</f>
        <v/>
      </c>
      <c r="AP327" s="62">
        <f>IF(C327="","",IFERROR(INDEX('Saisie'!$AW$5:$AW$2004,_xlfn.MAXIFS('Saisie'!$AS$5:$AS$2004,'Saisie'!$C$5:$C$2004,C327,'Saisie'!$E$5:$E$2004,"Proposition envoyée")-4),""))</f>
        <v/>
      </c>
      <c r="AQ327" s="106">
        <f>IF(C327="","",IFERROR(1/(1/_xlfn.MAXIFS('Saisie'!$A$5:$A$2004,'Saisie'!$C$5:$C$2004,C327,'Saisie'!$E$5:$E$2004,"Proposition envoyée")),""))</f>
        <v/>
      </c>
      <c r="AR327" s="106">
        <f>IF(C327="","",IF(AQ327="","",AQ327+'Paramètres'!$B$26))</f>
        <v/>
      </c>
      <c r="AS327" s="62">
        <f>IF(OR(C327="",D327="Gagné",D327="Perdu"),0,N(AP327)*IFERROR(INDEX('Paramètres'!$G$6:$G$13,MATCH(D327,'Paramètres'!$F$6:$F$13,0)),0))</f>
        <v/>
      </c>
      <c r="AT327" s="106">
        <f>IF(C327="","",IFERROR(1/(1/_xlfn.MINIFS('Saisie'!$A$5:$A$2004,'Saisie'!$C$5:$C$2004,C327,'Saisie'!$E$5:$E$2004,"Signature")),""))</f>
        <v/>
      </c>
      <c r="AU327" s="60">
        <f>IF(C327="","",IF(OR(AT327="",B327=""),"",AT327-B327))</f>
        <v/>
      </c>
      <c r="AV327" s="60">
        <f>IF(C327="","",IFERROR(INDEX('Saisie'!$L$5:$L$2004,_xlfn.MAXIFS('Saisie'!$AS$5:$AS$2004,'Saisie'!$C$5:$C$2004,C327,'Saisie'!$L$5:$L$2004,"&lt;&gt;")-4),""))</f>
        <v/>
      </c>
      <c r="AW327" s="106">
        <f>IF(C327="","",IF(D327&lt;&gt;"Perdu","",IFERROR(1/(1/_xlfn.MAXIFS('Saisie'!$A$5:$A$2004,'Saisie'!$C$5:$C$2004,C327,'Saisie'!$E$5:$E$2004,"Perdu")),"")))</f>
        <v/>
      </c>
      <c r="AX327" s="106">
        <f>IF(C327="","",IF(AW327="","",AW327+'Paramètres'!$B$28))</f>
        <v/>
      </c>
      <c r="AY327" s="60">
        <f>IF(C327="","",SUMIFS('Saisie'!$H$5:$H$2004,'Saisie'!$C$5:$C$2004,C327))</f>
        <v/>
      </c>
      <c r="AZ327" s="60">
        <f>IF(C327="","",IFERROR(INDEX('Paramètres'!$W$6:$W$20,MATCH(S327,'Paramètres'!$V$6:$V$20,0))&amp;"",""))</f>
        <v/>
      </c>
      <c r="BA327" s="60">
        <f>IF(C327="","",MAX(1,_xlfn.MAXIFS('Saisie'!$AT$5:$AT$2004,'Saisie'!$C$5:$C$2004,C327)))</f>
        <v/>
      </c>
      <c r="BB327" s="60">
        <f>IF(C327="","",IFERROR(INDEX('Saisie'!$X$5:$X$2004,_xlfn.MAXIFS('Saisie'!$AS$5:$AS$2004,'Saisie'!$C$5:$C$2004,C327,'Saisie'!$X$5:$X$2004,"&lt;&gt;")-4),""))</f>
        <v/>
      </c>
      <c r="BC327" s="60">
        <f>IF(C327="","",IFERROR(INDEX('Saisie'!$Y$5:$Y$2004,_xlfn.MAXIFS('Saisie'!$AS$5:$AS$2004,'Saisie'!$C$5:$C$2004,C327,'Saisie'!$Y$5:$Y$2004,"&lt;&gt;")-4),""))</f>
        <v/>
      </c>
      <c r="BD327" s="106">
        <f>IF(C327="","",IFERROR(1/(1/_xlfn.MINIFS('Saisie'!$A$5:$A$2004,'Saisie'!$C$5:$C$2004,C327,'Saisie'!$AT$5:$AT$2004,"&gt;=2")),""))</f>
        <v/>
      </c>
      <c r="BE327" s="106">
        <f>IF(C327="","",IFERROR(1/(1/_xlfn.MINIFS('Saisie'!$A$5:$A$2004,'Saisie'!$C$5:$C$2004,C327,'Saisie'!$AT$5:$AT$2004,"&gt;=3")),""))</f>
        <v/>
      </c>
      <c r="BF327" s="106">
        <f>IF(C327="","",IFERROR(1/(1/_xlfn.MINIFS('Saisie'!$A$5:$A$2004,'Saisie'!$C$5:$C$2004,C327,'Saisie'!$AT$5:$AT$2004,"&gt;=4")),""))</f>
        <v/>
      </c>
      <c r="BG327" s="106">
        <f>IF(C327="","",IFERROR(1/(1/_xlfn.MINIFS('Saisie'!$A$5:$A$2004,'Saisie'!$C$5:$C$2004,C327,'Saisie'!$AT$5:$AT$2004,"&gt;=5")),""))</f>
        <v/>
      </c>
      <c r="BH327" s="106">
        <f>IF(C327="","",IFERROR(1/(1/_xlfn.MINIFS('Saisie'!$A$5:$A$2004,'Saisie'!$C$5:$C$2004,C327,'Saisie'!$AT$5:$AT$2004,"&gt;=6")),""))</f>
        <v/>
      </c>
      <c r="BI327" s="106">
        <f>IF(C327="","",IFERROR(1/(1/_xlfn.MINIFS('Saisie'!$A$5:$A$2004,'Saisie'!$C$5:$C$2004,C327,'Saisie'!$AT$5:$AT$2004,"&gt;=7")),""))</f>
        <v/>
      </c>
      <c r="BJ327" s="60">
        <f>IF(OR(BD327="",B327=""),"",BD327-B327)</f>
        <v/>
      </c>
      <c r="BK327" s="60">
        <f>IF(OR(BE327="",BD327=""),"",BE327-BD327)</f>
        <v/>
      </c>
      <c r="BL327" s="60">
        <f>IF(OR(BF327="",BE327=""),"",BF327-BE327)</f>
        <v/>
      </c>
      <c r="BM327" s="60">
        <f>IF(OR(BG327="",BF327=""),"",BG327-BF327)</f>
        <v/>
      </c>
      <c r="BN327" s="60">
        <f>IF(OR(BH327="",BG327=""),"",BH327-BG327)</f>
        <v/>
      </c>
      <c r="BO327" s="60">
        <f>IF(OR(BI327="",BH327=""),"",BI327-BH327)</f>
        <v/>
      </c>
      <c r="BP327" s="60">
        <f>IF(C327="","",_xlfn.MAXIFS('Saisie'!$AS$5:$AS$2004,'Saisie'!$C$5:$C$2004,C327,'Saisie'!$J$5:$J$2004,"&lt;&gt;"))</f>
        <v/>
      </c>
      <c r="BQ327" s="60">
        <f>IF(C327="","",_xlfn.MAXIFS('Saisie'!$AS$5:$AS$2004,'Saisie'!$C$5:$C$2004,C327))</f>
        <v/>
      </c>
      <c r="BR327" s="60">
        <f>IF(C327="","",_xlfn.MAXIFS('Saisie'!$AS$5:$AS$2004,'Saisie'!$C$5:$C$2004,C327,'Saisie'!$E$5:$E$2004,"Perdu"))</f>
        <v/>
      </c>
      <c r="BS327" s="60">
        <f>IF(C327="","",_xlfn.MAXIFS('Saisie'!$AS$5:$AS$2004,'Saisie'!$C$5:$C$2004,C327,'Saisie'!$AT$5:$AT$2004,"&gt;0"))</f>
        <v/>
      </c>
      <c r="BT327" s="109">
        <f>IF(AND(C327&lt;&gt;"",OR(D327="Nouveau",D327="Contacté",D327="Qualifié"),OR(G327="",N(G327)&lt;=TODAY()),NOT(AND(O327&gt;='Paramètres'!$B$21,P327=0))),E327+323/10000,"")</f>
        <v/>
      </c>
      <c r="BU327" s="60">
        <f>IF(AND(G327&lt;&gt;"",N(G327)&lt;=TODAY()),MAX($BU$4:BU326)+1,"")</f>
        <v/>
      </c>
      <c r="BV327" s="60">
        <f>IF(AND(F327&lt;&gt;"",F327&lt;&gt;"Relance en retard"),MAX($BV$4:BV326)+1,"")</f>
        <v/>
      </c>
      <c r="BW327" s="60">
        <f>IF(C327="","",IF(AND(B327&gt;='Tableau de bord'!$R$4,B327&lt;='Tableau de bord'!$S$4,OR('Tableau de bord'!$G$4="Tous",N327='Tableau de bord'!$G$4)),1,0))</f>
        <v/>
      </c>
      <c r="BX327" s="60">
        <f>IF(AND(C327&lt;&gt;"",N(BA327)=7),MAX($BX$4:BX326)+1,"")</f>
        <v/>
      </c>
    </row>
    <row r="328">
      <c r="A328" s="60">
        <f>IF(C328="","","P-"&amp;TEXT(324,"000"))</f>
        <v/>
      </c>
      <c r="B328" s="106">
        <f>IF(C328="","",IFERROR(1/(1/_xlfn.MINIFS('Saisie'!$A$5:$A$2004,'Saisie'!$C$5:$C$2004,C328)),""))</f>
        <v/>
      </c>
      <c r="C328" s="60">
        <f>IFERROR(INDEX('Saisie'!$C$5:$C$2004,MATCH(324,'Saisie'!$AX$5:$AX$2004,0)),"")</f>
        <v/>
      </c>
      <c r="D328" s="60">
        <f>IF(C328="","",IF(AND(BR328&gt;0,BR328&gt;BS328,BA328&lt;7),"Perdu",INDEX('Paramètres'!$F$6:$F$13,BA328)))</f>
        <v/>
      </c>
      <c r="E328" s="61">
        <f>IF(C328="","",MIN(100,(Z328="Oui")*'Paramètres'!$B$38+(AB328="Régulière")*'Paramètres'!$B$39+IF(AND(N(AA328)&gt;0,TODAY()-N(AA328)&lt;=30),'Paramètres'!$B$40,0)+(W328="")*'Paramètres'!$B$41+(AC328="Absente")*'Paramètres'!$B$42+(AC328="Faible")*'Paramètres'!$B$43+IF(AND(N(AD328)&gt;0,N(AD328)&lt;4),'Paramètres'!$B$44,0)+(AF328="Moyenne")*'Paramètres'!$B$45+(AF328="Grande")*'Paramètres'!$B$46+(Y328&lt;&gt;"")*'Paramètres'!$B$47))</f>
        <v/>
      </c>
      <c r="F328" s="60">
        <f>IF(C328="","",IF(D328="Gagné","",IF(D328="Perdu",IF(AND(AX328&lt;&gt;"",AX328&lt;=TODAY()),"À recontacter (perdu)",""),IF(AND(O328&gt;='Paramètres'!$B$21,P328=0),"Stop : "&amp;'Paramètres'!$B$21&amp;" tentatives sans réponse",IF(AND(D328="Proposition",AR328&lt;&gt;"",TODAY()&gt;N(AR328)),"Proposition expirée",IF(AND(D328="Proposition",N(R328)&gt;='Paramètres'!$B$25),"Proposition sans réponse",IF(AND(G328&lt;&gt;"",N(G328)&lt;TODAY()),"Relance en retard",IF(N(R328)&gt;='Paramètres'!$B$24,"Sans action depuis "&amp;R328&amp;" j",""))))))))</f>
        <v/>
      </c>
      <c r="G328" s="106">
        <f>IF(OR(C328="",D328="Gagné",D328="Perdu"),"",IF(AND(BP328&gt;0,BP328=BQ328),INDEX('Saisie'!$J$5:$J$2004,BP328-4),IF(OR(O328=0,AND(O328&gt;='Paramètres'!$B$21,P328=0)),"",Q328+IF(O328&lt;=1,'Paramètres'!$B$18,IF(O328=2,'Paramètres'!$B$19,'Paramètres'!$B$20)))))</f>
        <v/>
      </c>
      <c r="H328" s="107">
        <f>IF(OR(G328="",BP328&lt;&gt;BQ328),"",IF(INDEX('Saisie'!$K$5:$K$2004,BP328-4)="","",INDEX('Saisie'!$K$5:$K$2004,BP328-4)))</f>
        <v/>
      </c>
      <c r="I328" s="60">
        <f>IF(C328="","",IF(OR(D328="Gagné",D328="Perdu"),"",IFERROR(INDEX('Saisie'!$I$5:$I$2004,_xlfn.MAXIFS('Saisie'!$AS$5:$AS$2004,'Saisie'!$C$5:$C$2004,C328,'Saisie'!$I$5:$I$2004,"&lt;&gt;")-4),"")))</f>
        <v/>
      </c>
      <c r="J328" s="60">
        <f>IF(C328="","",IFERROR(INDEX('Saisie'!$U$5:$U$2004,_xlfn.MAXIFS('Saisie'!$AS$5:$AS$2004,'Saisie'!$C$5:$C$2004,C328,'Saisie'!$U$5:$U$2004,"&lt;&gt;")-4),""))</f>
        <v/>
      </c>
      <c r="K328" s="60">
        <f>IF(C328="","",IFERROR(INDEX('Saisie'!$W$5:$W$2004,_xlfn.MAXIFS('Saisie'!$AS$5:$AS$2004,'Saisie'!$C$5:$C$2004,C328,'Saisie'!$W$5:$W$2004,"&lt;&gt;")-4),""))</f>
        <v/>
      </c>
      <c r="L328" s="60">
        <f>IF(IF(BB328&lt;&gt;"",BB328,K328)="","",HYPERLINK("https://wa.me/"&amp;IF(LEFT(SUBSTITUTE(SUBSTITUTE(SUBSTITUTE(IF(BB328&lt;&gt;"",BB328,K328)," ",""),".",""),"+",""),1)="0",'Paramètres'!$B$35&amp;MID(SUBSTITUTE(SUBSTITUTE(SUBSTITUTE(IF(BB328&lt;&gt;"",BB328,K328)," ",""),".",""),"+",""),2,20),SUBSTITUTE(SUBSTITUTE(SUBSTITUTE(IF(BB328&lt;&gt;"",BB328,K328)," ",""),".",""),"+","")),"WhatsApp"))</f>
        <v/>
      </c>
      <c r="M328" s="60">
        <f>IF(BC328="","",HYPERLINK(IF(LEFT(BC328,4)="http",BC328,"https://www.instagram.com/"&amp;SUBSTITUTE(SUBSTITUTE(BC328,"@","")," ","")),BC328))</f>
        <v/>
      </c>
      <c r="N328" s="60">
        <f>IF(C328="","",IFERROR(INDEX('Saisie'!$D$5:$D$2004,_xlfn.MINIFS('Saisie'!$AS$5:$AS$2004,'Saisie'!$C$5:$C$2004,C328,'Saisie'!$AU$5:$AU$2004,1)-4),IFERROR(INDEX('Saisie'!$D$5:$D$2004,_xlfn.MINIFS('Saisie'!$AS$5:$AS$2004,'Saisie'!$C$5:$C$2004,C328,'Saisie'!$D$5:$D$2004,"&lt;&gt;")-4),"")))</f>
        <v/>
      </c>
      <c r="O328" s="60">
        <f>IF(C328="","",COUNTIFS('Saisie'!$C$5:$C$2004,C328,'Saisie'!$AU$5:$AU$2004,1))</f>
        <v/>
      </c>
      <c r="P328" s="60">
        <f>IF(C328="","",COUNTIFS('Saisie'!$C$5:$C$2004,C328,'Saisie'!$AV$5:$AV$2004,1))</f>
        <v/>
      </c>
      <c r="Q328" s="106">
        <f>IF(C328="","",IFERROR(1/(1/_xlfn.MAXIFS('Saisie'!$A$5:$A$2004,'Saisie'!$C$5:$C$2004,C328)),""))</f>
        <v/>
      </c>
      <c r="R328" s="61">
        <f>IF(C328="","",IF(Q328="","",TODAY()-Q328))</f>
        <v/>
      </c>
      <c r="S328" s="60">
        <f>IF(C328="","",IFERROR(INDEX('Saisie'!$R$5:$R$2004,_xlfn.MAXIFS('Saisie'!$AS$5:$AS$2004,'Saisie'!$C$5:$C$2004,C328,'Saisie'!$R$5:$R$2004,"&lt;&gt;")-4),""))</f>
        <v/>
      </c>
      <c r="T328" s="60">
        <f>IF(C328="","",IFERROR(INDEX('Saisie'!$S$5:$S$2004,_xlfn.MAXIFS('Saisie'!$AS$5:$AS$2004,'Saisie'!$C$5:$C$2004,C328,'Saisie'!$S$5:$S$2004,"&lt;&gt;")-4),""))</f>
        <v/>
      </c>
      <c r="U328" s="60">
        <f>IF(C328="","",IFERROR(INDEX('Saisie'!$T$5:$T$2004,_xlfn.MAXIFS('Saisie'!$AS$5:$AS$2004,'Saisie'!$C$5:$C$2004,C328,'Saisie'!$T$5:$T$2004,"&lt;&gt;")-4),""))</f>
        <v/>
      </c>
      <c r="V328" s="60">
        <f>IF(C328="","",IFERROR(INDEX('Saisie'!$V$5:$V$2004,_xlfn.MAXIFS('Saisie'!$AS$5:$AS$2004,'Saisie'!$C$5:$C$2004,C328,'Saisie'!$V$5:$V$2004,"&lt;&gt;")-4),""))</f>
        <v/>
      </c>
      <c r="W328" s="60">
        <f>IF(C328="","",IFERROR(INDEX('Saisie'!$Z$5:$Z$2004,_xlfn.MAXIFS('Saisie'!$AS$5:$AS$2004,'Saisie'!$C$5:$C$2004,C328,'Saisie'!$Z$5:$Z$2004,"&lt;&gt;")-4),""))</f>
        <v/>
      </c>
      <c r="X328" s="60">
        <f>IF(C328="","",IFERROR(INDEX('Saisie'!$AA$5:$AA$2004,_xlfn.MAXIFS('Saisie'!$AS$5:$AS$2004,'Saisie'!$C$5:$C$2004,C328,'Saisie'!$AA$5:$AA$2004,"&lt;&gt;")-4),""))</f>
        <v/>
      </c>
      <c r="Y328" s="60">
        <f>IF(C328="","",IFERROR(INDEX('Saisie'!$AB$5:$AB$2004,_xlfn.MAXIFS('Saisie'!$AS$5:$AS$2004,'Saisie'!$C$5:$C$2004,C328,'Saisie'!$AB$5:$AB$2004,"&lt;&gt;")-4),""))</f>
        <v/>
      </c>
      <c r="Z328" s="60">
        <f>IF(C328="","",IFERROR(INDEX('Saisie'!$AC$5:$AC$2004,_xlfn.MAXIFS('Saisie'!$AS$5:$AS$2004,'Saisie'!$C$5:$C$2004,C328,'Saisie'!$AC$5:$AC$2004,"&lt;&gt;")-4),""))</f>
        <v/>
      </c>
      <c r="AA328" s="106">
        <f>IF(C328="","",IFERROR(INDEX('Saisie'!$AD$5:$AD$2004,_xlfn.MAXIFS('Saisie'!$AS$5:$AS$2004,'Saisie'!$C$5:$C$2004,C328,'Saisie'!$AD$5:$AD$2004,"&lt;&gt;")-4),""))</f>
        <v/>
      </c>
      <c r="AB328" s="60">
        <f>IF(C328="","",IFERROR(INDEX('Saisie'!$AE$5:$AE$2004,_xlfn.MAXIFS('Saisie'!$AS$5:$AS$2004,'Saisie'!$C$5:$C$2004,C328,'Saisie'!$AE$5:$AE$2004,"&lt;&gt;")-4),""))</f>
        <v/>
      </c>
      <c r="AC328" s="60">
        <f>IF(C328="","",IFERROR(INDEX('Saisie'!$AF$5:$AF$2004,_xlfn.MAXIFS('Saisie'!$AS$5:$AS$2004,'Saisie'!$C$5:$C$2004,C328,'Saisie'!$AF$5:$AF$2004,"&lt;&gt;")-4),""))</f>
        <v/>
      </c>
      <c r="AD328" s="108">
        <f>IF(C328="","",IFERROR(INDEX('Saisie'!$AG$5:$AG$2004,_xlfn.MAXIFS('Saisie'!$AS$5:$AS$2004,'Saisie'!$C$5:$C$2004,C328,'Saisie'!$AG$5:$AG$2004,"&lt;&gt;")-4),""))</f>
        <v/>
      </c>
      <c r="AE328" s="60">
        <f>IF(C328="","",IFERROR(INDEX('Saisie'!$AH$5:$AH$2004,_xlfn.MAXIFS('Saisie'!$AS$5:$AS$2004,'Saisie'!$C$5:$C$2004,C328,'Saisie'!$AH$5:$AH$2004,"&lt;&gt;")-4),""))</f>
        <v/>
      </c>
      <c r="AF328" s="60">
        <f>IF(C328="","",IFERROR(INDEX('Saisie'!$AI$5:$AI$2004,_xlfn.MAXIFS('Saisie'!$AS$5:$AS$2004,'Saisie'!$C$5:$C$2004,C328,'Saisie'!$AI$5:$AI$2004,"&lt;&gt;")-4),""))</f>
        <v/>
      </c>
      <c r="AG328" s="60">
        <f>IF(C328="","",IFERROR(INDEX('Saisie'!$AJ$5:$AJ$2004,_xlfn.MAXIFS('Saisie'!$AS$5:$AS$2004,'Saisie'!$C$5:$C$2004,C328,'Saisie'!$AJ$5:$AJ$2004,"&lt;&gt;")-4),""))</f>
        <v/>
      </c>
      <c r="AH328" s="60">
        <f>IF(C328="","",IFERROR(INDEX('Saisie'!$AK$5:$AK$2004,_xlfn.MAXIFS('Saisie'!$AS$5:$AS$2004,'Saisie'!$C$5:$C$2004,C328,'Saisie'!$AK$5:$AK$2004,"&lt;&gt;")-4),""))</f>
        <v/>
      </c>
      <c r="AI328" s="60">
        <f>IF(C328="","",IFERROR(INDEX('Saisie'!$AN$5:$AN$2004,_xlfn.MAXIFS('Saisie'!$AS$5:$AS$2004,'Saisie'!$C$5:$C$2004,C328,'Saisie'!$AN$5:$AN$2004,"&lt;&gt;")-4),""))</f>
        <v/>
      </c>
      <c r="AJ328" s="60">
        <f>IF(C328="","",IFERROR(INDEX('Saisie'!$AO$5:$AO$2004,_xlfn.MAXIFS('Saisie'!$AS$5:$AS$2004,'Saisie'!$C$5:$C$2004,C328,'Saisie'!$AO$5:$AO$2004,"&lt;&gt;")-4),""))</f>
        <v/>
      </c>
      <c r="AK328" s="60">
        <f>IF(C328="","",IFERROR(INDEX('Saisie'!$AP$5:$AP$2004,_xlfn.MAXIFS('Saisie'!$AS$5:$AS$2004,'Saisie'!$C$5:$C$2004,C328,'Saisie'!$AP$5:$AP$2004,"&lt;&gt;")-4),""))</f>
        <v/>
      </c>
      <c r="AL328" s="60">
        <f>IF(C328="","",IFERROR(INDEX('Saisie'!$AQ$5:$AQ$2004,_xlfn.MAXIFS('Saisie'!$AS$5:$AS$2004,'Saisie'!$C$5:$C$2004,C328,'Saisie'!$AQ$5:$AQ$2004,"&lt;&gt;")-4),""))</f>
        <v/>
      </c>
      <c r="AM328" s="60">
        <f>IF(C328="","",((AI328="Oui")+(AJ328="Oui")+(AK328="Oui")+OR(AL328="Immédiat",AL328="&lt; 1 mois"))&amp;"/4")</f>
        <v/>
      </c>
      <c r="AN328" s="60">
        <f>IF(C328="","",IFERROR(INDEX('Saisie'!$AL$5:$AL$2004,_xlfn.MAXIFS('Saisie'!$AS$5:$AS$2004,'Saisie'!$C$5:$C$2004,C328,'Saisie'!$AL$5:$AL$2004,"&lt;&gt;")-4),""))</f>
        <v/>
      </c>
      <c r="AO328" s="62">
        <f>IF(C328="","",IF(IFERROR(INDEX('Saisie'!$AM$5:$AM$2004,_xlfn.MAXIFS('Saisie'!$AS$5:$AS$2004,'Saisie'!$C$5:$C$2004,C328,'Saisie'!$AM$5:$AM$2004,"&lt;&gt;")-4),"")&lt;&gt;"",IFERROR(INDEX('Saisie'!$AM$5:$AM$2004,_xlfn.MAXIFS('Saisie'!$AS$5:$AS$2004,'Saisie'!$C$5:$C$2004,C328,'Saisie'!$AM$5:$AM$2004,"&lt;&gt;")-4),""),IFERROR(INDEX('Paramètres'!$S$6:$S$15,MATCH(AN328,'Paramètres'!$Q$6:$Q$15,0)),"")))</f>
        <v/>
      </c>
      <c r="AP328" s="62">
        <f>IF(C328="","",IFERROR(INDEX('Saisie'!$AW$5:$AW$2004,_xlfn.MAXIFS('Saisie'!$AS$5:$AS$2004,'Saisie'!$C$5:$C$2004,C328,'Saisie'!$E$5:$E$2004,"Proposition envoyée")-4),""))</f>
        <v/>
      </c>
      <c r="AQ328" s="106">
        <f>IF(C328="","",IFERROR(1/(1/_xlfn.MAXIFS('Saisie'!$A$5:$A$2004,'Saisie'!$C$5:$C$2004,C328,'Saisie'!$E$5:$E$2004,"Proposition envoyée")),""))</f>
        <v/>
      </c>
      <c r="AR328" s="106">
        <f>IF(C328="","",IF(AQ328="","",AQ328+'Paramètres'!$B$26))</f>
        <v/>
      </c>
      <c r="AS328" s="62">
        <f>IF(OR(C328="",D328="Gagné",D328="Perdu"),0,N(AP328)*IFERROR(INDEX('Paramètres'!$G$6:$G$13,MATCH(D328,'Paramètres'!$F$6:$F$13,0)),0))</f>
        <v/>
      </c>
      <c r="AT328" s="106">
        <f>IF(C328="","",IFERROR(1/(1/_xlfn.MINIFS('Saisie'!$A$5:$A$2004,'Saisie'!$C$5:$C$2004,C328,'Saisie'!$E$5:$E$2004,"Signature")),""))</f>
        <v/>
      </c>
      <c r="AU328" s="60">
        <f>IF(C328="","",IF(OR(AT328="",B328=""),"",AT328-B328))</f>
        <v/>
      </c>
      <c r="AV328" s="60">
        <f>IF(C328="","",IFERROR(INDEX('Saisie'!$L$5:$L$2004,_xlfn.MAXIFS('Saisie'!$AS$5:$AS$2004,'Saisie'!$C$5:$C$2004,C328,'Saisie'!$L$5:$L$2004,"&lt;&gt;")-4),""))</f>
        <v/>
      </c>
      <c r="AW328" s="106">
        <f>IF(C328="","",IF(D328&lt;&gt;"Perdu","",IFERROR(1/(1/_xlfn.MAXIFS('Saisie'!$A$5:$A$2004,'Saisie'!$C$5:$C$2004,C328,'Saisie'!$E$5:$E$2004,"Perdu")),"")))</f>
        <v/>
      </c>
      <c r="AX328" s="106">
        <f>IF(C328="","",IF(AW328="","",AW328+'Paramètres'!$B$28))</f>
        <v/>
      </c>
      <c r="AY328" s="60">
        <f>IF(C328="","",SUMIFS('Saisie'!$H$5:$H$2004,'Saisie'!$C$5:$C$2004,C328))</f>
        <v/>
      </c>
      <c r="AZ328" s="60">
        <f>IF(C328="","",IFERROR(INDEX('Paramètres'!$W$6:$W$20,MATCH(S328,'Paramètres'!$V$6:$V$20,0))&amp;"",""))</f>
        <v/>
      </c>
      <c r="BA328" s="60">
        <f>IF(C328="","",MAX(1,_xlfn.MAXIFS('Saisie'!$AT$5:$AT$2004,'Saisie'!$C$5:$C$2004,C328)))</f>
        <v/>
      </c>
      <c r="BB328" s="60">
        <f>IF(C328="","",IFERROR(INDEX('Saisie'!$X$5:$X$2004,_xlfn.MAXIFS('Saisie'!$AS$5:$AS$2004,'Saisie'!$C$5:$C$2004,C328,'Saisie'!$X$5:$X$2004,"&lt;&gt;")-4),""))</f>
        <v/>
      </c>
      <c r="BC328" s="60">
        <f>IF(C328="","",IFERROR(INDEX('Saisie'!$Y$5:$Y$2004,_xlfn.MAXIFS('Saisie'!$AS$5:$AS$2004,'Saisie'!$C$5:$C$2004,C328,'Saisie'!$Y$5:$Y$2004,"&lt;&gt;")-4),""))</f>
        <v/>
      </c>
      <c r="BD328" s="106">
        <f>IF(C328="","",IFERROR(1/(1/_xlfn.MINIFS('Saisie'!$A$5:$A$2004,'Saisie'!$C$5:$C$2004,C328,'Saisie'!$AT$5:$AT$2004,"&gt;=2")),""))</f>
        <v/>
      </c>
      <c r="BE328" s="106">
        <f>IF(C328="","",IFERROR(1/(1/_xlfn.MINIFS('Saisie'!$A$5:$A$2004,'Saisie'!$C$5:$C$2004,C328,'Saisie'!$AT$5:$AT$2004,"&gt;=3")),""))</f>
        <v/>
      </c>
      <c r="BF328" s="106">
        <f>IF(C328="","",IFERROR(1/(1/_xlfn.MINIFS('Saisie'!$A$5:$A$2004,'Saisie'!$C$5:$C$2004,C328,'Saisie'!$AT$5:$AT$2004,"&gt;=4")),""))</f>
        <v/>
      </c>
      <c r="BG328" s="106">
        <f>IF(C328="","",IFERROR(1/(1/_xlfn.MINIFS('Saisie'!$A$5:$A$2004,'Saisie'!$C$5:$C$2004,C328,'Saisie'!$AT$5:$AT$2004,"&gt;=5")),""))</f>
        <v/>
      </c>
      <c r="BH328" s="106">
        <f>IF(C328="","",IFERROR(1/(1/_xlfn.MINIFS('Saisie'!$A$5:$A$2004,'Saisie'!$C$5:$C$2004,C328,'Saisie'!$AT$5:$AT$2004,"&gt;=6")),""))</f>
        <v/>
      </c>
      <c r="BI328" s="106">
        <f>IF(C328="","",IFERROR(1/(1/_xlfn.MINIFS('Saisie'!$A$5:$A$2004,'Saisie'!$C$5:$C$2004,C328,'Saisie'!$AT$5:$AT$2004,"&gt;=7")),""))</f>
        <v/>
      </c>
      <c r="BJ328" s="60">
        <f>IF(OR(BD328="",B328=""),"",BD328-B328)</f>
        <v/>
      </c>
      <c r="BK328" s="60">
        <f>IF(OR(BE328="",BD328=""),"",BE328-BD328)</f>
        <v/>
      </c>
      <c r="BL328" s="60">
        <f>IF(OR(BF328="",BE328=""),"",BF328-BE328)</f>
        <v/>
      </c>
      <c r="BM328" s="60">
        <f>IF(OR(BG328="",BF328=""),"",BG328-BF328)</f>
        <v/>
      </c>
      <c r="BN328" s="60">
        <f>IF(OR(BH328="",BG328=""),"",BH328-BG328)</f>
        <v/>
      </c>
      <c r="BO328" s="60">
        <f>IF(OR(BI328="",BH328=""),"",BI328-BH328)</f>
        <v/>
      </c>
      <c r="BP328" s="60">
        <f>IF(C328="","",_xlfn.MAXIFS('Saisie'!$AS$5:$AS$2004,'Saisie'!$C$5:$C$2004,C328,'Saisie'!$J$5:$J$2004,"&lt;&gt;"))</f>
        <v/>
      </c>
      <c r="BQ328" s="60">
        <f>IF(C328="","",_xlfn.MAXIFS('Saisie'!$AS$5:$AS$2004,'Saisie'!$C$5:$C$2004,C328))</f>
        <v/>
      </c>
      <c r="BR328" s="60">
        <f>IF(C328="","",_xlfn.MAXIFS('Saisie'!$AS$5:$AS$2004,'Saisie'!$C$5:$C$2004,C328,'Saisie'!$E$5:$E$2004,"Perdu"))</f>
        <v/>
      </c>
      <c r="BS328" s="60">
        <f>IF(C328="","",_xlfn.MAXIFS('Saisie'!$AS$5:$AS$2004,'Saisie'!$C$5:$C$2004,C328,'Saisie'!$AT$5:$AT$2004,"&gt;0"))</f>
        <v/>
      </c>
      <c r="BT328" s="109">
        <f>IF(AND(C328&lt;&gt;"",OR(D328="Nouveau",D328="Contacté",D328="Qualifié"),OR(G328="",N(G328)&lt;=TODAY()),NOT(AND(O328&gt;='Paramètres'!$B$21,P328=0))),E328+324/10000,"")</f>
        <v/>
      </c>
      <c r="BU328" s="60">
        <f>IF(AND(G328&lt;&gt;"",N(G328)&lt;=TODAY()),MAX($BU$4:BU327)+1,"")</f>
        <v/>
      </c>
      <c r="BV328" s="60">
        <f>IF(AND(F328&lt;&gt;"",F328&lt;&gt;"Relance en retard"),MAX($BV$4:BV327)+1,"")</f>
        <v/>
      </c>
      <c r="BW328" s="60">
        <f>IF(C328="","",IF(AND(B328&gt;='Tableau de bord'!$R$4,B328&lt;='Tableau de bord'!$S$4,OR('Tableau de bord'!$G$4="Tous",N328='Tableau de bord'!$G$4)),1,0))</f>
        <v/>
      </c>
      <c r="BX328" s="60">
        <f>IF(AND(C328&lt;&gt;"",N(BA328)=7),MAX($BX$4:BX327)+1,"")</f>
        <v/>
      </c>
    </row>
    <row r="329">
      <c r="A329" s="60">
        <f>IF(C329="","","P-"&amp;TEXT(325,"000"))</f>
        <v/>
      </c>
      <c r="B329" s="106">
        <f>IF(C329="","",IFERROR(1/(1/_xlfn.MINIFS('Saisie'!$A$5:$A$2004,'Saisie'!$C$5:$C$2004,C329)),""))</f>
        <v/>
      </c>
      <c r="C329" s="60">
        <f>IFERROR(INDEX('Saisie'!$C$5:$C$2004,MATCH(325,'Saisie'!$AX$5:$AX$2004,0)),"")</f>
        <v/>
      </c>
      <c r="D329" s="60">
        <f>IF(C329="","",IF(AND(BR329&gt;0,BR329&gt;BS329,BA329&lt;7),"Perdu",INDEX('Paramètres'!$F$6:$F$13,BA329)))</f>
        <v/>
      </c>
      <c r="E329" s="61">
        <f>IF(C329="","",MIN(100,(Z329="Oui")*'Paramètres'!$B$38+(AB329="Régulière")*'Paramètres'!$B$39+IF(AND(N(AA329)&gt;0,TODAY()-N(AA329)&lt;=30),'Paramètres'!$B$40,0)+(W329="")*'Paramètres'!$B$41+(AC329="Absente")*'Paramètres'!$B$42+(AC329="Faible")*'Paramètres'!$B$43+IF(AND(N(AD329)&gt;0,N(AD329)&lt;4),'Paramètres'!$B$44,0)+(AF329="Moyenne")*'Paramètres'!$B$45+(AF329="Grande")*'Paramètres'!$B$46+(Y329&lt;&gt;"")*'Paramètres'!$B$47))</f>
        <v/>
      </c>
      <c r="F329" s="60">
        <f>IF(C329="","",IF(D329="Gagné","",IF(D329="Perdu",IF(AND(AX329&lt;&gt;"",AX329&lt;=TODAY()),"À recontacter (perdu)",""),IF(AND(O329&gt;='Paramètres'!$B$21,P329=0),"Stop : "&amp;'Paramètres'!$B$21&amp;" tentatives sans réponse",IF(AND(D329="Proposition",AR329&lt;&gt;"",TODAY()&gt;N(AR329)),"Proposition expirée",IF(AND(D329="Proposition",N(R329)&gt;='Paramètres'!$B$25),"Proposition sans réponse",IF(AND(G329&lt;&gt;"",N(G329)&lt;TODAY()),"Relance en retard",IF(N(R329)&gt;='Paramètres'!$B$24,"Sans action depuis "&amp;R329&amp;" j",""))))))))</f>
        <v/>
      </c>
      <c r="G329" s="106">
        <f>IF(OR(C329="",D329="Gagné",D329="Perdu"),"",IF(AND(BP329&gt;0,BP329=BQ329),INDEX('Saisie'!$J$5:$J$2004,BP329-4),IF(OR(O329=0,AND(O329&gt;='Paramètres'!$B$21,P329=0)),"",Q329+IF(O329&lt;=1,'Paramètres'!$B$18,IF(O329=2,'Paramètres'!$B$19,'Paramètres'!$B$20)))))</f>
        <v/>
      </c>
      <c r="H329" s="107">
        <f>IF(OR(G329="",BP329&lt;&gt;BQ329),"",IF(INDEX('Saisie'!$K$5:$K$2004,BP329-4)="","",INDEX('Saisie'!$K$5:$K$2004,BP329-4)))</f>
        <v/>
      </c>
      <c r="I329" s="60">
        <f>IF(C329="","",IF(OR(D329="Gagné",D329="Perdu"),"",IFERROR(INDEX('Saisie'!$I$5:$I$2004,_xlfn.MAXIFS('Saisie'!$AS$5:$AS$2004,'Saisie'!$C$5:$C$2004,C329,'Saisie'!$I$5:$I$2004,"&lt;&gt;")-4),"")))</f>
        <v/>
      </c>
      <c r="J329" s="60">
        <f>IF(C329="","",IFERROR(INDEX('Saisie'!$U$5:$U$2004,_xlfn.MAXIFS('Saisie'!$AS$5:$AS$2004,'Saisie'!$C$5:$C$2004,C329,'Saisie'!$U$5:$U$2004,"&lt;&gt;")-4),""))</f>
        <v/>
      </c>
      <c r="K329" s="60">
        <f>IF(C329="","",IFERROR(INDEX('Saisie'!$W$5:$W$2004,_xlfn.MAXIFS('Saisie'!$AS$5:$AS$2004,'Saisie'!$C$5:$C$2004,C329,'Saisie'!$W$5:$W$2004,"&lt;&gt;")-4),""))</f>
        <v/>
      </c>
      <c r="L329" s="60">
        <f>IF(IF(BB329&lt;&gt;"",BB329,K329)="","",HYPERLINK("https://wa.me/"&amp;IF(LEFT(SUBSTITUTE(SUBSTITUTE(SUBSTITUTE(IF(BB329&lt;&gt;"",BB329,K329)," ",""),".",""),"+",""),1)="0",'Paramètres'!$B$35&amp;MID(SUBSTITUTE(SUBSTITUTE(SUBSTITUTE(IF(BB329&lt;&gt;"",BB329,K329)," ",""),".",""),"+",""),2,20),SUBSTITUTE(SUBSTITUTE(SUBSTITUTE(IF(BB329&lt;&gt;"",BB329,K329)," ",""),".",""),"+","")),"WhatsApp"))</f>
        <v/>
      </c>
      <c r="M329" s="60">
        <f>IF(BC329="","",HYPERLINK(IF(LEFT(BC329,4)="http",BC329,"https://www.instagram.com/"&amp;SUBSTITUTE(SUBSTITUTE(BC329,"@","")," ","")),BC329))</f>
        <v/>
      </c>
      <c r="N329" s="60">
        <f>IF(C329="","",IFERROR(INDEX('Saisie'!$D$5:$D$2004,_xlfn.MINIFS('Saisie'!$AS$5:$AS$2004,'Saisie'!$C$5:$C$2004,C329,'Saisie'!$AU$5:$AU$2004,1)-4),IFERROR(INDEX('Saisie'!$D$5:$D$2004,_xlfn.MINIFS('Saisie'!$AS$5:$AS$2004,'Saisie'!$C$5:$C$2004,C329,'Saisie'!$D$5:$D$2004,"&lt;&gt;")-4),"")))</f>
        <v/>
      </c>
      <c r="O329" s="60">
        <f>IF(C329="","",COUNTIFS('Saisie'!$C$5:$C$2004,C329,'Saisie'!$AU$5:$AU$2004,1))</f>
        <v/>
      </c>
      <c r="P329" s="60">
        <f>IF(C329="","",COUNTIFS('Saisie'!$C$5:$C$2004,C329,'Saisie'!$AV$5:$AV$2004,1))</f>
        <v/>
      </c>
      <c r="Q329" s="106">
        <f>IF(C329="","",IFERROR(1/(1/_xlfn.MAXIFS('Saisie'!$A$5:$A$2004,'Saisie'!$C$5:$C$2004,C329)),""))</f>
        <v/>
      </c>
      <c r="R329" s="61">
        <f>IF(C329="","",IF(Q329="","",TODAY()-Q329))</f>
        <v/>
      </c>
      <c r="S329" s="60">
        <f>IF(C329="","",IFERROR(INDEX('Saisie'!$R$5:$R$2004,_xlfn.MAXIFS('Saisie'!$AS$5:$AS$2004,'Saisie'!$C$5:$C$2004,C329,'Saisie'!$R$5:$R$2004,"&lt;&gt;")-4),""))</f>
        <v/>
      </c>
      <c r="T329" s="60">
        <f>IF(C329="","",IFERROR(INDEX('Saisie'!$S$5:$S$2004,_xlfn.MAXIFS('Saisie'!$AS$5:$AS$2004,'Saisie'!$C$5:$C$2004,C329,'Saisie'!$S$5:$S$2004,"&lt;&gt;")-4),""))</f>
        <v/>
      </c>
      <c r="U329" s="60">
        <f>IF(C329="","",IFERROR(INDEX('Saisie'!$T$5:$T$2004,_xlfn.MAXIFS('Saisie'!$AS$5:$AS$2004,'Saisie'!$C$5:$C$2004,C329,'Saisie'!$T$5:$T$2004,"&lt;&gt;")-4),""))</f>
        <v/>
      </c>
      <c r="V329" s="60">
        <f>IF(C329="","",IFERROR(INDEX('Saisie'!$V$5:$V$2004,_xlfn.MAXIFS('Saisie'!$AS$5:$AS$2004,'Saisie'!$C$5:$C$2004,C329,'Saisie'!$V$5:$V$2004,"&lt;&gt;")-4),""))</f>
        <v/>
      </c>
      <c r="W329" s="60">
        <f>IF(C329="","",IFERROR(INDEX('Saisie'!$Z$5:$Z$2004,_xlfn.MAXIFS('Saisie'!$AS$5:$AS$2004,'Saisie'!$C$5:$C$2004,C329,'Saisie'!$Z$5:$Z$2004,"&lt;&gt;")-4),""))</f>
        <v/>
      </c>
      <c r="X329" s="60">
        <f>IF(C329="","",IFERROR(INDEX('Saisie'!$AA$5:$AA$2004,_xlfn.MAXIFS('Saisie'!$AS$5:$AS$2004,'Saisie'!$C$5:$C$2004,C329,'Saisie'!$AA$5:$AA$2004,"&lt;&gt;")-4),""))</f>
        <v/>
      </c>
      <c r="Y329" s="60">
        <f>IF(C329="","",IFERROR(INDEX('Saisie'!$AB$5:$AB$2004,_xlfn.MAXIFS('Saisie'!$AS$5:$AS$2004,'Saisie'!$C$5:$C$2004,C329,'Saisie'!$AB$5:$AB$2004,"&lt;&gt;")-4),""))</f>
        <v/>
      </c>
      <c r="Z329" s="60">
        <f>IF(C329="","",IFERROR(INDEX('Saisie'!$AC$5:$AC$2004,_xlfn.MAXIFS('Saisie'!$AS$5:$AS$2004,'Saisie'!$C$5:$C$2004,C329,'Saisie'!$AC$5:$AC$2004,"&lt;&gt;")-4),""))</f>
        <v/>
      </c>
      <c r="AA329" s="106">
        <f>IF(C329="","",IFERROR(INDEX('Saisie'!$AD$5:$AD$2004,_xlfn.MAXIFS('Saisie'!$AS$5:$AS$2004,'Saisie'!$C$5:$C$2004,C329,'Saisie'!$AD$5:$AD$2004,"&lt;&gt;")-4),""))</f>
        <v/>
      </c>
      <c r="AB329" s="60">
        <f>IF(C329="","",IFERROR(INDEX('Saisie'!$AE$5:$AE$2004,_xlfn.MAXIFS('Saisie'!$AS$5:$AS$2004,'Saisie'!$C$5:$C$2004,C329,'Saisie'!$AE$5:$AE$2004,"&lt;&gt;")-4),""))</f>
        <v/>
      </c>
      <c r="AC329" s="60">
        <f>IF(C329="","",IFERROR(INDEX('Saisie'!$AF$5:$AF$2004,_xlfn.MAXIFS('Saisie'!$AS$5:$AS$2004,'Saisie'!$C$5:$C$2004,C329,'Saisie'!$AF$5:$AF$2004,"&lt;&gt;")-4),""))</f>
        <v/>
      </c>
      <c r="AD329" s="108">
        <f>IF(C329="","",IFERROR(INDEX('Saisie'!$AG$5:$AG$2004,_xlfn.MAXIFS('Saisie'!$AS$5:$AS$2004,'Saisie'!$C$5:$C$2004,C329,'Saisie'!$AG$5:$AG$2004,"&lt;&gt;")-4),""))</f>
        <v/>
      </c>
      <c r="AE329" s="60">
        <f>IF(C329="","",IFERROR(INDEX('Saisie'!$AH$5:$AH$2004,_xlfn.MAXIFS('Saisie'!$AS$5:$AS$2004,'Saisie'!$C$5:$C$2004,C329,'Saisie'!$AH$5:$AH$2004,"&lt;&gt;")-4),""))</f>
        <v/>
      </c>
      <c r="AF329" s="60">
        <f>IF(C329="","",IFERROR(INDEX('Saisie'!$AI$5:$AI$2004,_xlfn.MAXIFS('Saisie'!$AS$5:$AS$2004,'Saisie'!$C$5:$C$2004,C329,'Saisie'!$AI$5:$AI$2004,"&lt;&gt;")-4),""))</f>
        <v/>
      </c>
      <c r="AG329" s="60">
        <f>IF(C329="","",IFERROR(INDEX('Saisie'!$AJ$5:$AJ$2004,_xlfn.MAXIFS('Saisie'!$AS$5:$AS$2004,'Saisie'!$C$5:$C$2004,C329,'Saisie'!$AJ$5:$AJ$2004,"&lt;&gt;")-4),""))</f>
        <v/>
      </c>
      <c r="AH329" s="60">
        <f>IF(C329="","",IFERROR(INDEX('Saisie'!$AK$5:$AK$2004,_xlfn.MAXIFS('Saisie'!$AS$5:$AS$2004,'Saisie'!$C$5:$C$2004,C329,'Saisie'!$AK$5:$AK$2004,"&lt;&gt;")-4),""))</f>
        <v/>
      </c>
      <c r="AI329" s="60">
        <f>IF(C329="","",IFERROR(INDEX('Saisie'!$AN$5:$AN$2004,_xlfn.MAXIFS('Saisie'!$AS$5:$AS$2004,'Saisie'!$C$5:$C$2004,C329,'Saisie'!$AN$5:$AN$2004,"&lt;&gt;")-4),""))</f>
        <v/>
      </c>
      <c r="AJ329" s="60">
        <f>IF(C329="","",IFERROR(INDEX('Saisie'!$AO$5:$AO$2004,_xlfn.MAXIFS('Saisie'!$AS$5:$AS$2004,'Saisie'!$C$5:$C$2004,C329,'Saisie'!$AO$5:$AO$2004,"&lt;&gt;")-4),""))</f>
        <v/>
      </c>
      <c r="AK329" s="60">
        <f>IF(C329="","",IFERROR(INDEX('Saisie'!$AP$5:$AP$2004,_xlfn.MAXIFS('Saisie'!$AS$5:$AS$2004,'Saisie'!$C$5:$C$2004,C329,'Saisie'!$AP$5:$AP$2004,"&lt;&gt;")-4),""))</f>
        <v/>
      </c>
      <c r="AL329" s="60">
        <f>IF(C329="","",IFERROR(INDEX('Saisie'!$AQ$5:$AQ$2004,_xlfn.MAXIFS('Saisie'!$AS$5:$AS$2004,'Saisie'!$C$5:$C$2004,C329,'Saisie'!$AQ$5:$AQ$2004,"&lt;&gt;")-4),""))</f>
        <v/>
      </c>
      <c r="AM329" s="60">
        <f>IF(C329="","",((AI329="Oui")+(AJ329="Oui")+(AK329="Oui")+OR(AL329="Immédiat",AL329="&lt; 1 mois"))&amp;"/4")</f>
        <v/>
      </c>
      <c r="AN329" s="60">
        <f>IF(C329="","",IFERROR(INDEX('Saisie'!$AL$5:$AL$2004,_xlfn.MAXIFS('Saisie'!$AS$5:$AS$2004,'Saisie'!$C$5:$C$2004,C329,'Saisie'!$AL$5:$AL$2004,"&lt;&gt;")-4),""))</f>
        <v/>
      </c>
      <c r="AO329" s="62">
        <f>IF(C329="","",IF(IFERROR(INDEX('Saisie'!$AM$5:$AM$2004,_xlfn.MAXIFS('Saisie'!$AS$5:$AS$2004,'Saisie'!$C$5:$C$2004,C329,'Saisie'!$AM$5:$AM$2004,"&lt;&gt;")-4),"")&lt;&gt;"",IFERROR(INDEX('Saisie'!$AM$5:$AM$2004,_xlfn.MAXIFS('Saisie'!$AS$5:$AS$2004,'Saisie'!$C$5:$C$2004,C329,'Saisie'!$AM$5:$AM$2004,"&lt;&gt;")-4),""),IFERROR(INDEX('Paramètres'!$S$6:$S$15,MATCH(AN329,'Paramètres'!$Q$6:$Q$15,0)),"")))</f>
        <v/>
      </c>
      <c r="AP329" s="62">
        <f>IF(C329="","",IFERROR(INDEX('Saisie'!$AW$5:$AW$2004,_xlfn.MAXIFS('Saisie'!$AS$5:$AS$2004,'Saisie'!$C$5:$C$2004,C329,'Saisie'!$E$5:$E$2004,"Proposition envoyée")-4),""))</f>
        <v/>
      </c>
      <c r="AQ329" s="106">
        <f>IF(C329="","",IFERROR(1/(1/_xlfn.MAXIFS('Saisie'!$A$5:$A$2004,'Saisie'!$C$5:$C$2004,C329,'Saisie'!$E$5:$E$2004,"Proposition envoyée")),""))</f>
        <v/>
      </c>
      <c r="AR329" s="106">
        <f>IF(C329="","",IF(AQ329="","",AQ329+'Paramètres'!$B$26))</f>
        <v/>
      </c>
      <c r="AS329" s="62">
        <f>IF(OR(C329="",D329="Gagné",D329="Perdu"),0,N(AP329)*IFERROR(INDEX('Paramètres'!$G$6:$G$13,MATCH(D329,'Paramètres'!$F$6:$F$13,0)),0))</f>
        <v/>
      </c>
      <c r="AT329" s="106">
        <f>IF(C329="","",IFERROR(1/(1/_xlfn.MINIFS('Saisie'!$A$5:$A$2004,'Saisie'!$C$5:$C$2004,C329,'Saisie'!$E$5:$E$2004,"Signature")),""))</f>
        <v/>
      </c>
      <c r="AU329" s="60">
        <f>IF(C329="","",IF(OR(AT329="",B329=""),"",AT329-B329))</f>
        <v/>
      </c>
      <c r="AV329" s="60">
        <f>IF(C329="","",IFERROR(INDEX('Saisie'!$L$5:$L$2004,_xlfn.MAXIFS('Saisie'!$AS$5:$AS$2004,'Saisie'!$C$5:$C$2004,C329,'Saisie'!$L$5:$L$2004,"&lt;&gt;")-4),""))</f>
        <v/>
      </c>
      <c r="AW329" s="106">
        <f>IF(C329="","",IF(D329&lt;&gt;"Perdu","",IFERROR(1/(1/_xlfn.MAXIFS('Saisie'!$A$5:$A$2004,'Saisie'!$C$5:$C$2004,C329,'Saisie'!$E$5:$E$2004,"Perdu")),"")))</f>
        <v/>
      </c>
      <c r="AX329" s="106">
        <f>IF(C329="","",IF(AW329="","",AW329+'Paramètres'!$B$28))</f>
        <v/>
      </c>
      <c r="AY329" s="60">
        <f>IF(C329="","",SUMIFS('Saisie'!$H$5:$H$2004,'Saisie'!$C$5:$C$2004,C329))</f>
        <v/>
      </c>
      <c r="AZ329" s="60">
        <f>IF(C329="","",IFERROR(INDEX('Paramètres'!$W$6:$W$20,MATCH(S329,'Paramètres'!$V$6:$V$20,0))&amp;"",""))</f>
        <v/>
      </c>
      <c r="BA329" s="60">
        <f>IF(C329="","",MAX(1,_xlfn.MAXIFS('Saisie'!$AT$5:$AT$2004,'Saisie'!$C$5:$C$2004,C329)))</f>
        <v/>
      </c>
      <c r="BB329" s="60">
        <f>IF(C329="","",IFERROR(INDEX('Saisie'!$X$5:$X$2004,_xlfn.MAXIFS('Saisie'!$AS$5:$AS$2004,'Saisie'!$C$5:$C$2004,C329,'Saisie'!$X$5:$X$2004,"&lt;&gt;")-4),""))</f>
        <v/>
      </c>
      <c r="BC329" s="60">
        <f>IF(C329="","",IFERROR(INDEX('Saisie'!$Y$5:$Y$2004,_xlfn.MAXIFS('Saisie'!$AS$5:$AS$2004,'Saisie'!$C$5:$C$2004,C329,'Saisie'!$Y$5:$Y$2004,"&lt;&gt;")-4),""))</f>
        <v/>
      </c>
      <c r="BD329" s="106">
        <f>IF(C329="","",IFERROR(1/(1/_xlfn.MINIFS('Saisie'!$A$5:$A$2004,'Saisie'!$C$5:$C$2004,C329,'Saisie'!$AT$5:$AT$2004,"&gt;=2")),""))</f>
        <v/>
      </c>
      <c r="BE329" s="106">
        <f>IF(C329="","",IFERROR(1/(1/_xlfn.MINIFS('Saisie'!$A$5:$A$2004,'Saisie'!$C$5:$C$2004,C329,'Saisie'!$AT$5:$AT$2004,"&gt;=3")),""))</f>
        <v/>
      </c>
      <c r="BF329" s="106">
        <f>IF(C329="","",IFERROR(1/(1/_xlfn.MINIFS('Saisie'!$A$5:$A$2004,'Saisie'!$C$5:$C$2004,C329,'Saisie'!$AT$5:$AT$2004,"&gt;=4")),""))</f>
        <v/>
      </c>
      <c r="BG329" s="106">
        <f>IF(C329="","",IFERROR(1/(1/_xlfn.MINIFS('Saisie'!$A$5:$A$2004,'Saisie'!$C$5:$C$2004,C329,'Saisie'!$AT$5:$AT$2004,"&gt;=5")),""))</f>
        <v/>
      </c>
      <c r="BH329" s="106">
        <f>IF(C329="","",IFERROR(1/(1/_xlfn.MINIFS('Saisie'!$A$5:$A$2004,'Saisie'!$C$5:$C$2004,C329,'Saisie'!$AT$5:$AT$2004,"&gt;=6")),""))</f>
        <v/>
      </c>
      <c r="BI329" s="106">
        <f>IF(C329="","",IFERROR(1/(1/_xlfn.MINIFS('Saisie'!$A$5:$A$2004,'Saisie'!$C$5:$C$2004,C329,'Saisie'!$AT$5:$AT$2004,"&gt;=7")),""))</f>
        <v/>
      </c>
      <c r="BJ329" s="60">
        <f>IF(OR(BD329="",B329=""),"",BD329-B329)</f>
        <v/>
      </c>
      <c r="BK329" s="60">
        <f>IF(OR(BE329="",BD329=""),"",BE329-BD329)</f>
        <v/>
      </c>
      <c r="BL329" s="60">
        <f>IF(OR(BF329="",BE329=""),"",BF329-BE329)</f>
        <v/>
      </c>
      <c r="BM329" s="60">
        <f>IF(OR(BG329="",BF329=""),"",BG329-BF329)</f>
        <v/>
      </c>
      <c r="BN329" s="60">
        <f>IF(OR(BH329="",BG329=""),"",BH329-BG329)</f>
        <v/>
      </c>
      <c r="BO329" s="60">
        <f>IF(OR(BI329="",BH329=""),"",BI329-BH329)</f>
        <v/>
      </c>
      <c r="BP329" s="60">
        <f>IF(C329="","",_xlfn.MAXIFS('Saisie'!$AS$5:$AS$2004,'Saisie'!$C$5:$C$2004,C329,'Saisie'!$J$5:$J$2004,"&lt;&gt;"))</f>
        <v/>
      </c>
      <c r="BQ329" s="60">
        <f>IF(C329="","",_xlfn.MAXIFS('Saisie'!$AS$5:$AS$2004,'Saisie'!$C$5:$C$2004,C329))</f>
        <v/>
      </c>
      <c r="BR329" s="60">
        <f>IF(C329="","",_xlfn.MAXIFS('Saisie'!$AS$5:$AS$2004,'Saisie'!$C$5:$C$2004,C329,'Saisie'!$E$5:$E$2004,"Perdu"))</f>
        <v/>
      </c>
      <c r="BS329" s="60">
        <f>IF(C329="","",_xlfn.MAXIFS('Saisie'!$AS$5:$AS$2004,'Saisie'!$C$5:$C$2004,C329,'Saisie'!$AT$5:$AT$2004,"&gt;0"))</f>
        <v/>
      </c>
      <c r="BT329" s="109">
        <f>IF(AND(C329&lt;&gt;"",OR(D329="Nouveau",D329="Contacté",D329="Qualifié"),OR(G329="",N(G329)&lt;=TODAY()),NOT(AND(O329&gt;='Paramètres'!$B$21,P329=0))),E329+325/10000,"")</f>
        <v/>
      </c>
      <c r="BU329" s="60">
        <f>IF(AND(G329&lt;&gt;"",N(G329)&lt;=TODAY()),MAX($BU$4:BU328)+1,"")</f>
        <v/>
      </c>
      <c r="BV329" s="60">
        <f>IF(AND(F329&lt;&gt;"",F329&lt;&gt;"Relance en retard"),MAX($BV$4:BV328)+1,"")</f>
        <v/>
      </c>
      <c r="BW329" s="60">
        <f>IF(C329="","",IF(AND(B329&gt;='Tableau de bord'!$R$4,B329&lt;='Tableau de bord'!$S$4,OR('Tableau de bord'!$G$4="Tous",N329='Tableau de bord'!$G$4)),1,0))</f>
        <v/>
      </c>
      <c r="BX329" s="60">
        <f>IF(AND(C329&lt;&gt;"",N(BA329)=7),MAX($BX$4:BX328)+1,"")</f>
        <v/>
      </c>
    </row>
    <row r="330">
      <c r="A330" s="60">
        <f>IF(C330="","","P-"&amp;TEXT(326,"000"))</f>
        <v/>
      </c>
      <c r="B330" s="106">
        <f>IF(C330="","",IFERROR(1/(1/_xlfn.MINIFS('Saisie'!$A$5:$A$2004,'Saisie'!$C$5:$C$2004,C330)),""))</f>
        <v/>
      </c>
      <c r="C330" s="60">
        <f>IFERROR(INDEX('Saisie'!$C$5:$C$2004,MATCH(326,'Saisie'!$AX$5:$AX$2004,0)),"")</f>
        <v/>
      </c>
      <c r="D330" s="60">
        <f>IF(C330="","",IF(AND(BR330&gt;0,BR330&gt;BS330,BA330&lt;7),"Perdu",INDEX('Paramètres'!$F$6:$F$13,BA330)))</f>
        <v/>
      </c>
      <c r="E330" s="61">
        <f>IF(C330="","",MIN(100,(Z330="Oui")*'Paramètres'!$B$38+(AB330="Régulière")*'Paramètres'!$B$39+IF(AND(N(AA330)&gt;0,TODAY()-N(AA330)&lt;=30),'Paramètres'!$B$40,0)+(W330="")*'Paramètres'!$B$41+(AC330="Absente")*'Paramètres'!$B$42+(AC330="Faible")*'Paramètres'!$B$43+IF(AND(N(AD330)&gt;0,N(AD330)&lt;4),'Paramètres'!$B$44,0)+(AF330="Moyenne")*'Paramètres'!$B$45+(AF330="Grande")*'Paramètres'!$B$46+(Y330&lt;&gt;"")*'Paramètres'!$B$47))</f>
        <v/>
      </c>
      <c r="F330" s="60">
        <f>IF(C330="","",IF(D330="Gagné","",IF(D330="Perdu",IF(AND(AX330&lt;&gt;"",AX330&lt;=TODAY()),"À recontacter (perdu)",""),IF(AND(O330&gt;='Paramètres'!$B$21,P330=0),"Stop : "&amp;'Paramètres'!$B$21&amp;" tentatives sans réponse",IF(AND(D330="Proposition",AR330&lt;&gt;"",TODAY()&gt;N(AR330)),"Proposition expirée",IF(AND(D330="Proposition",N(R330)&gt;='Paramètres'!$B$25),"Proposition sans réponse",IF(AND(G330&lt;&gt;"",N(G330)&lt;TODAY()),"Relance en retard",IF(N(R330)&gt;='Paramètres'!$B$24,"Sans action depuis "&amp;R330&amp;" j",""))))))))</f>
        <v/>
      </c>
      <c r="G330" s="106">
        <f>IF(OR(C330="",D330="Gagné",D330="Perdu"),"",IF(AND(BP330&gt;0,BP330=BQ330),INDEX('Saisie'!$J$5:$J$2004,BP330-4),IF(OR(O330=0,AND(O330&gt;='Paramètres'!$B$21,P330=0)),"",Q330+IF(O330&lt;=1,'Paramètres'!$B$18,IF(O330=2,'Paramètres'!$B$19,'Paramètres'!$B$20)))))</f>
        <v/>
      </c>
      <c r="H330" s="107">
        <f>IF(OR(G330="",BP330&lt;&gt;BQ330),"",IF(INDEX('Saisie'!$K$5:$K$2004,BP330-4)="","",INDEX('Saisie'!$K$5:$K$2004,BP330-4)))</f>
        <v/>
      </c>
      <c r="I330" s="60">
        <f>IF(C330="","",IF(OR(D330="Gagné",D330="Perdu"),"",IFERROR(INDEX('Saisie'!$I$5:$I$2004,_xlfn.MAXIFS('Saisie'!$AS$5:$AS$2004,'Saisie'!$C$5:$C$2004,C330,'Saisie'!$I$5:$I$2004,"&lt;&gt;")-4),"")))</f>
        <v/>
      </c>
      <c r="J330" s="60">
        <f>IF(C330="","",IFERROR(INDEX('Saisie'!$U$5:$U$2004,_xlfn.MAXIFS('Saisie'!$AS$5:$AS$2004,'Saisie'!$C$5:$C$2004,C330,'Saisie'!$U$5:$U$2004,"&lt;&gt;")-4),""))</f>
        <v/>
      </c>
      <c r="K330" s="60">
        <f>IF(C330="","",IFERROR(INDEX('Saisie'!$W$5:$W$2004,_xlfn.MAXIFS('Saisie'!$AS$5:$AS$2004,'Saisie'!$C$5:$C$2004,C330,'Saisie'!$W$5:$W$2004,"&lt;&gt;")-4),""))</f>
        <v/>
      </c>
      <c r="L330" s="60">
        <f>IF(IF(BB330&lt;&gt;"",BB330,K330)="","",HYPERLINK("https://wa.me/"&amp;IF(LEFT(SUBSTITUTE(SUBSTITUTE(SUBSTITUTE(IF(BB330&lt;&gt;"",BB330,K330)," ",""),".",""),"+",""),1)="0",'Paramètres'!$B$35&amp;MID(SUBSTITUTE(SUBSTITUTE(SUBSTITUTE(IF(BB330&lt;&gt;"",BB330,K330)," ",""),".",""),"+",""),2,20),SUBSTITUTE(SUBSTITUTE(SUBSTITUTE(IF(BB330&lt;&gt;"",BB330,K330)," ",""),".",""),"+","")),"WhatsApp"))</f>
        <v/>
      </c>
      <c r="M330" s="60">
        <f>IF(BC330="","",HYPERLINK(IF(LEFT(BC330,4)="http",BC330,"https://www.instagram.com/"&amp;SUBSTITUTE(SUBSTITUTE(BC330,"@","")," ","")),BC330))</f>
        <v/>
      </c>
      <c r="N330" s="60">
        <f>IF(C330="","",IFERROR(INDEX('Saisie'!$D$5:$D$2004,_xlfn.MINIFS('Saisie'!$AS$5:$AS$2004,'Saisie'!$C$5:$C$2004,C330,'Saisie'!$AU$5:$AU$2004,1)-4),IFERROR(INDEX('Saisie'!$D$5:$D$2004,_xlfn.MINIFS('Saisie'!$AS$5:$AS$2004,'Saisie'!$C$5:$C$2004,C330,'Saisie'!$D$5:$D$2004,"&lt;&gt;")-4),"")))</f>
        <v/>
      </c>
      <c r="O330" s="60">
        <f>IF(C330="","",COUNTIFS('Saisie'!$C$5:$C$2004,C330,'Saisie'!$AU$5:$AU$2004,1))</f>
        <v/>
      </c>
      <c r="P330" s="60">
        <f>IF(C330="","",COUNTIFS('Saisie'!$C$5:$C$2004,C330,'Saisie'!$AV$5:$AV$2004,1))</f>
        <v/>
      </c>
      <c r="Q330" s="106">
        <f>IF(C330="","",IFERROR(1/(1/_xlfn.MAXIFS('Saisie'!$A$5:$A$2004,'Saisie'!$C$5:$C$2004,C330)),""))</f>
        <v/>
      </c>
      <c r="R330" s="61">
        <f>IF(C330="","",IF(Q330="","",TODAY()-Q330))</f>
        <v/>
      </c>
      <c r="S330" s="60">
        <f>IF(C330="","",IFERROR(INDEX('Saisie'!$R$5:$R$2004,_xlfn.MAXIFS('Saisie'!$AS$5:$AS$2004,'Saisie'!$C$5:$C$2004,C330,'Saisie'!$R$5:$R$2004,"&lt;&gt;")-4),""))</f>
        <v/>
      </c>
      <c r="T330" s="60">
        <f>IF(C330="","",IFERROR(INDEX('Saisie'!$S$5:$S$2004,_xlfn.MAXIFS('Saisie'!$AS$5:$AS$2004,'Saisie'!$C$5:$C$2004,C330,'Saisie'!$S$5:$S$2004,"&lt;&gt;")-4),""))</f>
        <v/>
      </c>
      <c r="U330" s="60">
        <f>IF(C330="","",IFERROR(INDEX('Saisie'!$T$5:$T$2004,_xlfn.MAXIFS('Saisie'!$AS$5:$AS$2004,'Saisie'!$C$5:$C$2004,C330,'Saisie'!$T$5:$T$2004,"&lt;&gt;")-4),""))</f>
        <v/>
      </c>
      <c r="V330" s="60">
        <f>IF(C330="","",IFERROR(INDEX('Saisie'!$V$5:$V$2004,_xlfn.MAXIFS('Saisie'!$AS$5:$AS$2004,'Saisie'!$C$5:$C$2004,C330,'Saisie'!$V$5:$V$2004,"&lt;&gt;")-4),""))</f>
        <v/>
      </c>
      <c r="W330" s="60">
        <f>IF(C330="","",IFERROR(INDEX('Saisie'!$Z$5:$Z$2004,_xlfn.MAXIFS('Saisie'!$AS$5:$AS$2004,'Saisie'!$C$5:$C$2004,C330,'Saisie'!$Z$5:$Z$2004,"&lt;&gt;")-4),""))</f>
        <v/>
      </c>
      <c r="X330" s="60">
        <f>IF(C330="","",IFERROR(INDEX('Saisie'!$AA$5:$AA$2004,_xlfn.MAXIFS('Saisie'!$AS$5:$AS$2004,'Saisie'!$C$5:$C$2004,C330,'Saisie'!$AA$5:$AA$2004,"&lt;&gt;")-4),""))</f>
        <v/>
      </c>
      <c r="Y330" s="60">
        <f>IF(C330="","",IFERROR(INDEX('Saisie'!$AB$5:$AB$2004,_xlfn.MAXIFS('Saisie'!$AS$5:$AS$2004,'Saisie'!$C$5:$C$2004,C330,'Saisie'!$AB$5:$AB$2004,"&lt;&gt;")-4),""))</f>
        <v/>
      </c>
      <c r="Z330" s="60">
        <f>IF(C330="","",IFERROR(INDEX('Saisie'!$AC$5:$AC$2004,_xlfn.MAXIFS('Saisie'!$AS$5:$AS$2004,'Saisie'!$C$5:$C$2004,C330,'Saisie'!$AC$5:$AC$2004,"&lt;&gt;")-4),""))</f>
        <v/>
      </c>
      <c r="AA330" s="106">
        <f>IF(C330="","",IFERROR(INDEX('Saisie'!$AD$5:$AD$2004,_xlfn.MAXIFS('Saisie'!$AS$5:$AS$2004,'Saisie'!$C$5:$C$2004,C330,'Saisie'!$AD$5:$AD$2004,"&lt;&gt;")-4),""))</f>
        <v/>
      </c>
      <c r="AB330" s="60">
        <f>IF(C330="","",IFERROR(INDEX('Saisie'!$AE$5:$AE$2004,_xlfn.MAXIFS('Saisie'!$AS$5:$AS$2004,'Saisie'!$C$5:$C$2004,C330,'Saisie'!$AE$5:$AE$2004,"&lt;&gt;")-4),""))</f>
        <v/>
      </c>
      <c r="AC330" s="60">
        <f>IF(C330="","",IFERROR(INDEX('Saisie'!$AF$5:$AF$2004,_xlfn.MAXIFS('Saisie'!$AS$5:$AS$2004,'Saisie'!$C$5:$C$2004,C330,'Saisie'!$AF$5:$AF$2004,"&lt;&gt;")-4),""))</f>
        <v/>
      </c>
      <c r="AD330" s="108">
        <f>IF(C330="","",IFERROR(INDEX('Saisie'!$AG$5:$AG$2004,_xlfn.MAXIFS('Saisie'!$AS$5:$AS$2004,'Saisie'!$C$5:$C$2004,C330,'Saisie'!$AG$5:$AG$2004,"&lt;&gt;")-4),""))</f>
        <v/>
      </c>
      <c r="AE330" s="60">
        <f>IF(C330="","",IFERROR(INDEX('Saisie'!$AH$5:$AH$2004,_xlfn.MAXIFS('Saisie'!$AS$5:$AS$2004,'Saisie'!$C$5:$C$2004,C330,'Saisie'!$AH$5:$AH$2004,"&lt;&gt;")-4),""))</f>
        <v/>
      </c>
      <c r="AF330" s="60">
        <f>IF(C330="","",IFERROR(INDEX('Saisie'!$AI$5:$AI$2004,_xlfn.MAXIFS('Saisie'!$AS$5:$AS$2004,'Saisie'!$C$5:$C$2004,C330,'Saisie'!$AI$5:$AI$2004,"&lt;&gt;")-4),""))</f>
        <v/>
      </c>
      <c r="AG330" s="60">
        <f>IF(C330="","",IFERROR(INDEX('Saisie'!$AJ$5:$AJ$2004,_xlfn.MAXIFS('Saisie'!$AS$5:$AS$2004,'Saisie'!$C$5:$C$2004,C330,'Saisie'!$AJ$5:$AJ$2004,"&lt;&gt;")-4),""))</f>
        <v/>
      </c>
      <c r="AH330" s="60">
        <f>IF(C330="","",IFERROR(INDEX('Saisie'!$AK$5:$AK$2004,_xlfn.MAXIFS('Saisie'!$AS$5:$AS$2004,'Saisie'!$C$5:$C$2004,C330,'Saisie'!$AK$5:$AK$2004,"&lt;&gt;")-4),""))</f>
        <v/>
      </c>
      <c r="AI330" s="60">
        <f>IF(C330="","",IFERROR(INDEX('Saisie'!$AN$5:$AN$2004,_xlfn.MAXIFS('Saisie'!$AS$5:$AS$2004,'Saisie'!$C$5:$C$2004,C330,'Saisie'!$AN$5:$AN$2004,"&lt;&gt;")-4),""))</f>
        <v/>
      </c>
      <c r="AJ330" s="60">
        <f>IF(C330="","",IFERROR(INDEX('Saisie'!$AO$5:$AO$2004,_xlfn.MAXIFS('Saisie'!$AS$5:$AS$2004,'Saisie'!$C$5:$C$2004,C330,'Saisie'!$AO$5:$AO$2004,"&lt;&gt;")-4),""))</f>
        <v/>
      </c>
      <c r="AK330" s="60">
        <f>IF(C330="","",IFERROR(INDEX('Saisie'!$AP$5:$AP$2004,_xlfn.MAXIFS('Saisie'!$AS$5:$AS$2004,'Saisie'!$C$5:$C$2004,C330,'Saisie'!$AP$5:$AP$2004,"&lt;&gt;")-4),""))</f>
        <v/>
      </c>
      <c r="AL330" s="60">
        <f>IF(C330="","",IFERROR(INDEX('Saisie'!$AQ$5:$AQ$2004,_xlfn.MAXIFS('Saisie'!$AS$5:$AS$2004,'Saisie'!$C$5:$C$2004,C330,'Saisie'!$AQ$5:$AQ$2004,"&lt;&gt;")-4),""))</f>
        <v/>
      </c>
      <c r="AM330" s="60">
        <f>IF(C330="","",((AI330="Oui")+(AJ330="Oui")+(AK330="Oui")+OR(AL330="Immédiat",AL330="&lt; 1 mois"))&amp;"/4")</f>
        <v/>
      </c>
      <c r="AN330" s="60">
        <f>IF(C330="","",IFERROR(INDEX('Saisie'!$AL$5:$AL$2004,_xlfn.MAXIFS('Saisie'!$AS$5:$AS$2004,'Saisie'!$C$5:$C$2004,C330,'Saisie'!$AL$5:$AL$2004,"&lt;&gt;")-4),""))</f>
        <v/>
      </c>
      <c r="AO330" s="62">
        <f>IF(C330="","",IF(IFERROR(INDEX('Saisie'!$AM$5:$AM$2004,_xlfn.MAXIFS('Saisie'!$AS$5:$AS$2004,'Saisie'!$C$5:$C$2004,C330,'Saisie'!$AM$5:$AM$2004,"&lt;&gt;")-4),"")&lt;&gt;"",IFERROR(INDEX('Saisie'!$AM$5:$AM$2004,_xlfn.MAXIFS('Saisie'!$AS$5:$AS$2004,'Saisie'!$C$5:$C$2004,C330,'Saisie'!$AM$5:$AM$2004,"&lt;&gt;")-4),""),IFERROR(INDEX('Paramètres'!$S$6:$S$15,MATCH(AN330,'Paramètres'!$Q$6:$Q$15,0)),"")))</f>
        <v/>
      </c>
      <c r="AP330" s="62">
        <f>IF(C330="","",IFERROR(INDEX('Saisie'!$AW$5:$AW$2004,_xlfn.MAXIFS('Saisie'!$AS$5:$AS$2004,'Saisie'!$C$5:$C$2004,C330,'Saisie'!$E$5:$E$2004,"Proposition envoyée")-4),""))</f>
        <v/>
      </c>
      <c r="AQ330" s="106">
        <f>IF(C330="","",IFERROR(1/(1/_xlfn.MAXIFS('Saisie'!$A$5:$A$2004,'Saisie'!$C$5:$C$2004,C330,'Saisie'!$E$5:$E$2004,"Proposition envoyée")),""))</f>
        <v/>
      </c>
      <c r="AR330" s="106">
        <f>IF(C330="","",IF(AQ330="","",AQ330+'Paramètres'!$B$26))</f>
        <v/>
      </c>
      <c r="AS330" s="62">
        <f>IF(OR(C330="",D330="Gagné",D330="Perdu"),0,N(AP330)*IFERROR(INDEX('Paramètres'!$G$6:$G$13,MATCH(D330,'Paramètres'!$F$6:$F$13,0)),0))</f>
        <v/>
      </c>
      <c r="AT330" s="106">
        <f>IF(C330="","",IFERROR(1/(1/_xlfn.MINIFS('Saisie'!$A$5:$A$2004,'Saisie'!$C$5:$C$2004,C330,'Saisie'!$E$5:$E$2004,"Signature")),""))</f>
        <v/>
      </c>
      <c r="AU330" s="60">
        <f>IF(C330="","",IF(OR(AT330="",B330=""),"",AT330-B330))</f>
        <v/>
      </c>
      <c r="AV330" s="60">
        <f>IF(C330="","",IFERROR(INDEX('Saisie'!$L$5:$L$2004,_xlfn.MAXIFS('Saisie'!$AS$5:$AS$2004,'Saisie'!$C$5:$C$2004,C330,'Saisie'!$L$5:$L$2004,"&lt;&gt;")-4),""))</f>
        <v/>
      </c>
      <c r="AW330" s="106">
        <f>IF(C330="","",IF(D330&lt;&gt;"Perdu","",IFERROR(1/(1/_xlfn.MAXIFS('Saisie'!$A$5:$A$2004,'Saisie'!$C$5:$C$2004,C330,'Saisie'!$E$5:$E$2004,"Perdu")),"")))</f>
        <v/>
      </c>
      <c r="AX330" s="106">
        <f>IF(C330="","",IF(AW330="","",AW330+'Paramètres'!$B$28))</f>
        <v/>
      </c>
      <c r="AY330" s="60">
        <f>IF(C330="","",SUMIFS('Saisie'!$H$5:$H$2004,'Saisie'!$C$5:$C$2004,C330))</f>
        <v/>
      </c>
      <c r="AZ330" s="60">
        <f>IF(C330="","",IFERROR(INDEX('Paramètres'!$W$6:$W$20,MATCH(S330,'Paramètres'!$V$6:$V$20,0))&amp;"",""))</f>
        <v/>
      </c>
      <c r="BA330" s="60">
        <f>IF(C330="","",MAX(1,_xlfn.MAXIFS('Saisie'!$AT$5:$AT$2004,'Saisie'!$C$5:$C$2004,C330)))</f>
        <v/>
      </c>
      <c r="BB330" s="60">
        <f>IF(C330="","",IFERROR(INDEX('Saisie'!$X$5:$X$2004,_xlfn.MAXIFS('Saisie'!$AS$5:$AS$2004,'Saisie'!$C$5:$C$2004,C330,'Saisie'!$X$5:$X$2004,"&lt;&gt;")-4),""))</f>
        <v/>
      </c>
      <c r="BC330" s="60">
        <f>IF(C330="","",IFERROR(INDEX('Saisie'!$Y$5:$Y$2004,_xlfn.MAXIFS('Saisie'!$AS$5:$AS$2004,'Saisie'!$C$5:$C$2004,C330,'Saisie'!$Y$5:$Y$2004,"&lt;&gt;")-4),""))</f>
        <v/>
      </c>
      <c r="BD330" s="106">
        <f>IF(C330="","",IFERROR(1/(1/_xlfn.MINIFS('Saisie'!$A$5:$A$2004,'Saisie'!$C$5:$C$2004,C330,'Saisie'!$AT$5:$AT$2004,"&gt;=2")),""))</f>
        <v/>
      </c>
      <c r="BE330" s="106">
        <f>IF(C330="","",IFERROR(1/(1/_xlfn.MINIFS('Saisie'!$A$5:$A$2004,'Saisie'!$C$5:$C$2004,C330,'Saisie'!$AT$5:$AT$2004,"&gt;=3")),""))</f>
        <v/>
      </c>
      <c r="BF330" s="106">
        <f>IF(C330="","",IFERROR(1/(1/_xlfn.MINIFS('Saisie'!$A$5:$A$2004,'Saisie'!$C$5:$C$2004,C330,'Saisie'!$AT$5:$AT$2004,"&gt;=4")),""))</f>
        <v/>
      </c>
      <c r="BG330" s="106">
        <f>IF(C330="","",IFERROR(1/(1/_xlfn.MINIFS('Saisie'!$A$5:$A$2004,'Saisie'!$C$5:$C$2004,C330,'Saisie'!$AT$5:$AT$2004,"&gt;=5")),""))</f>
        <v/>
      </c>
      <c r="BH330" s="106">
        <f>IF(C330="","",IFERROR(1/(1/_xlfn.MINIFS('Saisie'!$A$5:$A$2004,'Saisie'!$C$5:$C$2004,C330,'Saisie'!$AT$5:$AT$2004,"&gt;=6")),""))</f>
        <v/>
      </c>
      <c r="BI330" s="106">
        <f>IF(C330="","",IFERROR(1/(1/_xlfn.MINIFS('Saisie'!$A$5:$A$2004,'Saisie'!$C$5:$C$2004,C330,'Saisie'!$AT$5:$AT$2004,"&gt;=7")),""))</f>
        <v/>
      </c>
      <c r="BJ330" s="60">
        <f>IF(OR(BD330="",B330=""),"",BD330-B330)</f>
        <v/>
      </c>
      <c r="BK330" s="60">
        <f>IF(OR(BE330="",BD330=""),"",BE330-BD330)</f>
        <v/>
      </c>
      <c r="BL330" s="60">
        <f>IF(OR(BF330="",BE330=""),"",BF330-BE330)</f>
        <v/>
      </c>
      <c r="BM330" s="60">
        <f>IF(OR(BG330="",BF330=""),"",BG330-BF330)</f>
        <v/>
      </c>
      <c r="BN330" s="60">
        <f>IF(OR(BH330="",BG330=""),"",BH330-BG330)</f>
        <v/>
      </c>
      <c r="BO330" s="60">
        <f>IF(OR(BI330="",BH330=""),"",BI330-BH330)</f>
        <v/>
      </c>
      <c r="BP330" s="60">
        <f>IF(C330="","",_xlfn.MAXIFS('Saisie'!$AS$5:$AS$2004,'Saisie'!$C$5:$C$2004,C330,'Saisie'!$J$5:$J$2004,"&lt;&gt;"))</f>
        <v/>
      </c>
      <c r="BQ330" s="60">
        <f>IF(C330="","",_xlfn.MAXIFS('Saisie'!$AS$5:$AS$2004,'Saisie'!$C$5:$C$2004,C330))</f>
        <v/>
      </c>
      <c r="BR330" s="60">
        <f>IF(C330="","",_xlfn.MAXIFS('Saisie'!$AS$5:$AS$2004,'Saisie'!$C$5:$C$2004,C330,'Saisie'!$E$5:$E$2004,"Perdu"))</f>
        <v/>
      </c>
      <c r="BS330" s="60">
        <f>IF(C330="","",_xlfn.MAXIFS('Saisie'!$AS$5:$AS$2004,'Saisie'!$C$5:$C$2004,C330,'Saisie'!$AT$5:$AT$2004,"&gt;0"))</f>
        <v/>
      </c>
      <c r="BT330" s="109">
        <f>IF(AND(C330&lt;&gt;"",OR(D330="Nouveau",D330="Contacté",D330="Qualifié"),OR(G330="",N(G330)&lt;=TODAY()),NOT(AND(O330&gt;='Paramètres'!$B$21,P330=0))),E330+326/10000,"")</f>
        <v/>
      </c>
      <c r="BU330" s="60">
        <f>IF(AND(G330&lt;&gt;"",N(G330)&lt;=TODAY()),MAX($BU$4:BU329)+1,"")</f>
        <v/>
      </c>
      <c r="BV330" s="60">
        <f>IF(AND(F330&lt;&gt;"",F330&lt;&gt;"Relance en retard"),MAX($BV$4:BV329)+1,"")</f>
        <v/>
      </c>
      <c r="BW330" s="60">
        <f>IF(C330="","",IF(AND(B330&gt;='Tableau de bord'!$R$4,B330&lt;='Tableau de bord'!$S$4,OR('Tableau de bord'!$G$4="Tous",N330='Tableau de bord'!$G$4)),1,0))</f>
        <v/>
      </c>
      <c r="BX330" s="60">
        <f>IF(AND(C330&lt;&gt;"",N(BA330)=7),MAX($BX$4:BX329)+1,"")</f>
        <v/>
      </c>
    </row>
    <row r="331">
      <c r="A331" s="60">
        <f>IF(C331="","","P-"&amp;TEXT(327,"000"))</f>
        <v/>
      </c>
      <c r="B331" s="106">
        <f>IF(C331="","",IFERROR(1/(1/_xlfn.MINIFS('Saisie'!$A$5:$A$2004,'Saisie'!$C$5:$C$2004,C331)),""))</f>
        <v/>
      </c>
      <c r="C331" s="60">
        <f>IFERROR(INDEX('Saisie'!$C$5:$C$2004,MATCH(327,'Saisie'!$AX$5:$AX$2004,0)),"")</f>
        <v/>
      </c>
      <c r="D331" s="60">
        <f>IF(C331="","",IF(AND(BR331&gt;0,BR331&gt;BS331,BA331&lt;7),"Perdu",INDEX('Paramètres'!$F$6:$F$13,BA331)))</f>
        <v/>
      </c>
      <c r="E331" s="61">
        <f>IF(C331="","",MIN(100,(Z331="Oui")*'Paramètres'!$B$38+(AB331="Régulière")*'Paramètres'!$B$39+IF(AND(N(AA331)&gt;0,TODAY()-N(AA331)&lt;=30),'Paramètres'!$B$40,0)+(W331="")*'Paramètres'!$B$41+(AC331="Absente")*'Paramètres'!$B$42+(AC331="Faible")*'Paramètres'!$B$43+IF(AND(N(AD331)&gt;0,N(AD331)&lt;4),'Paramètres'!$B$44,0)+(AF331="Moyenne")*'Paramètres'!$B$45+(AF331="Grande")*'Paramètres'!$B$46+(Y331&lt;&gt;"")*'Paramètres'!$B$47))</f>
        <v/>
      </c>
      <c r="F331" s="60">
        <f>IF(C331="","",IF(D331="Gagné","",IF(D331="Perdu",IF(AND(AX331&lt;&gt;"",AX331&lt;=TODAY()),"À recontacter (perdu)",""),IF(AND(O331&gt;='Paramètres'!$B$21,P331=0),"Stop : "&amp;'Paramètres'!$B$21&amp;" tentatives sans réponse",IF(AND(D331="Proposition",AR331&lt;&gt;"",TODAY()&gt;N(AR331)),"Proposition expirée",IF(AND(D331="Proposition",N(R331)&gt;='Paramètres'!$B$25),"Proposition sans réponse",IF(AND(G331&lt;&gt;"",N(G331)&lt;TODAY()),"Relance en retard",IF(N(R331)&gt;='Paramètres'!$B$24,"Sans action depuis "&amp;R331&amp;" j",""))))))))</f>
        <v/>
      </c>
      <c r="G331" s="106">
        <f>IF(OR(C331="",D331="Gagné",D331="Perdu"),"",IF(AND(BP331&gt;0,BP331=BQ331),INDEX('Saisie'!$J$5:$J$2004,BP331-4),IF(OR(O331=0,AND(O331&gt;='Paramètres'!$B$21,P331=0)),"",Q331+IF(O331&lt;=1,'Paramètres'!$B$18,IF(O331=2,'Paramètres'!$B$19,'Paramètres'!$B$20)))))</f>
        <v/>
      </c>
      <c r="H331" s="107">
        <f>IF(OR(G331="",BP331&lt;&gt;BQ331),"",IF(INDEX('Saisie'!$K$5:$K$2004,BP331-4)="","",INDEX('Saisie'!$K$5:$K$2004,BP331-4)))</f>
        <v/>
      </c>
      <c r="I331" s="60">
        <f>IF(C331="","",IF(OR(D331="Gagné",D331="Perdu"),"",IFERROR(INDEX('Saisie'!$I$5:$I$2004,_xlfn.MAXIFS('Saisie'!$AS$5:$AS$2004,'Saisie'!$C$5:$C$2004,C331,'Saisie'!$I$5:$I$2004,"&lt;&gt;")-4),"")))</f>
        <v/>
      </c>
      <c r="J331" s="60">
        <f>IF(C331="","",IFERROR(INDEX('Saisie'!$U$5:$U$2004,_xlfn.MAXIFS('Saisie'!$AS$5:$AS$2004,'Saisie'!$C$5:$C$2004,C331,'Saisie'!$U$5:$U$2004,"&lt;&gt;")-4),""))</f>
        <v/>
      </c>
      <c r="K331" s="60">
        <f>IF(C331="","",IFERROR(INDEX('Saisie'!$W$5:$W$2004,_xlfn.MAXIFS('Saisie'!$AS$5:$AS$2004,'Saisie'!$C$5:$C$2004,C331,'Saisie'!$W$5:$W$2004,"&lt;&gt;")-4),""))</f>
        <v/>
      </c>
      <c r="L331" s="60">
        <f>IF(IF(BB331&lt;&gt;"",BB331,K331)="","",HYPERLINK("https://wa.me/"&amp;IF(LEFT(SUBSTITUTE(SUBSTITUTE(SUBSTITUTE(IF(BB331&lt;&gt;"",BB331,K331)," ",""),".",""),"+",""),1)="0",'Paramètres'!$B$35&amp;MID(SUBSTITUTE(SUBSTITUTE(SUBSTITUTE(IF(BB331&lt;&gt;"",BB331,K331)," ",""),".",""),"+",""),2,20),SUBSTITUTE(SUBSTITUTE(SUBSTITUTE(IF(BB331&lt;&gt;"",BB331,K331)," ",""),".",""),"+","")),"WhatsApp"))</f>
        <v/>
      </c>
      <c r="M331" s="60">
        <f>IF(BC331="","",HYPERLINK(IF(LEFT(BC331,4)="http",BC331,"https://www.instagram.com/"&amp;SUBSTITUTE(SUBSTITUTE(BC331,"@","")," ","")),BC331))</f>
        <v/>
      </c>
      <c r="N331" s="60">
        <f>IF(C331="","",IFERROR(INDEX('Saisie'!$D$5:$D$2004,_xlfn.MINIFS('Saisie'!$AS$5:$AS$2004,'Saisie'!$C$5:$C$2004,C331,'Saisie'!$AU$5:$AU$2004,1)-4),IFERROR(INDEX('Saisie'!$D$5:$D$2004,_xlfn.MINIFS('Saisie'!$AS$5:$AS$2004,'Saisie'!$C$5:$C$2004,C331,'Saisie'!$D$5:$D$2004,"&lt;&gt;")-4),"")))</f>
        <v/>
      </c>
      <c r="O331" s="60">
        <f>IF(C331="","",COUNTIFS('Saisie'!$C$5:$C$2004,C331,'Saisie'!$AU$5:$AU$2004,1))</f>
        <v/>
      </c>
      <c r="P331" s="60">
        <f>IF(C331="","",COUNTIFS('Saisie'!$C$5:$C$2004,C331,'Saisie'!$AV$5:$AV$2004,1))</f>
        <v/>
      </c>
      <c r="Q331" s="106">
        <f>IF(C331="","",IFERROR(1/(1/_xlfn.MAXIFS('Saisie'!$A$5:$A$2004,'Saisie'!$C$5:$C$2004,C331)),""))</f>
        <v/>
      </c>
      <c r="R331" s="61">
        <f>IF(C331="","",IF(Q331="","",TODAY()-Q331))</f>
        <v/>
      </c>
      <c r="S331" s="60">
        <f>IF(C331="","",IFERROR(INDEX('Saisie'!$R$5:$R$2004,_xlfn.MAXIFS('Saisie'!$AS$5:$AS$2004,'Saisie'!$C$5:$C$2004,C331,'Saisie'!$R$5:$R$2004,"&lt;&gt;")-4),""))</f>
        <v/>
      </c>
      <c r="T331" s="60">
        <f>IF(C331="","",IFERROR(INDEX('Saisie'!$S$5:$S$2004,_xlfn.MAXIFS('Saisie'!$AS$5:$AS$2004,'Saisie'!$C$5:$C$2004,C331,'Saisie'!$S$5:$S$2004,"&lt;&gt;")-4),""))</f>
        <v/>
      </c>
      <c r="U331" s="60">
        <f>IF(C331="","",IFERROR(INDEX('Saisie'!$T$5:$T$2004,_xlfn.MAXIFS('Saisie'!$AS$5:$AS$2004,'Saisie'!$C$5:$C$2004,C331,'Saisie'!$T$5:$T$2004,"&lt;&gt;")-4),""))</f>
        <v/>
      </c>
      <c r="V331" s="60">
        <f>IF(C331="","",IFERROR(INDEX('Saisie'!$V$5:$V$2004,_xlfn.MAXIFS('Saisie'!$AS$5:$AS$2004,'Saisie'!$C$5:$C$2004,C331,'Saisie'!$V$5:$V$2004,"&lt;&gt;")-4),""))</f>
        <v/>
      </c>
      <c r="W331" s="60">
        <f>IF(C331="","",IFERROR(INDEX('Saisie'!$Z$5:$Z$2004,_xlfn.MAXIFS('Saisie'!$AS$5:$AS$2004,'Saisie'!$C$5:$C$2004,C331,'Saisie'!$Z$5:$Z$2004,"&lt;&gt;")-4),""))</f>
        <v/>
      </c>
      <c r="X331" s="60">
        <f>IF(C331="","",IFERROR(INDEX('Saisie'!$AA$5:$AA$2004,_xlfn.MAXIFS('Saisie'!$AS$5:$AS$2004,'Saisie'!$C$5:$C$2004,C331,'Saisie'!$AA$5:$AA$2004,"&lt;&gt;")-4),""))</f>
        <v/>
      </c>
      <c r="Y331" s="60">
        <f>IF(C331="","",IFERROR(INDEX('Saisie'!$AB$5:$AB$2004,_xlfn.MAXIFS('Saisie'!$AS$5:$AS$2004,'Saisie'!$C$5:$C$2004,C331,'Saisie'!$AB$5:$AB$2004,"&lt;&gt;")-4),""))</f>
        <v/>
      </c>
      <c r="Z331" s="60">
        <f>IF(C331="","",IFERROR(INDEX('Saisie'!$AC$5:$AC$2004,_xlfn.MAXIFS('Saisie'!$AS$5:$AS$2004,'Saisie'!$C$5:$C$2004,C331,'Saisie'!$AC$5:$AC$2004,"&lt;&gt;")-4),""))</f>
        <v/>
      </c>
      <c r="AA331" s="106">
        <f>IF(C331="","",IFERROR(INDEX('Saisie'!$AD$5:$AD$2004,_xlfn.MAXIFS('Saisie'!$AS$5:$AS$2004,'Saisie'!$C$5:$C$2004,C331,'Saisie'!$AD$5:$AD$2004,"&lt;&gt;")-4),""))</f>
        <v/>
      </c>
      <c r="AB331" s="60">
        <f>IF(C331="","",IFERROR(INDEX('Saisie'!$AE$5:$AE$2004,_xlfn.MAXIFS('Saisie'!$AS$5:$AS$2004,'Saisie'!$C$5:$C$2004,C331,'Saisie'!$AE$5:$AE$2004,"&lt;&gt;")-4),""))</f>
        <v/>
      </c>
      <c r="AC331" s="60">
        <f>IF(C331="","",IFERROR(INDEX('Saisie'!$AF$5:$AF$2004,_xlfn.MAXIFS('Saisie'!$AS$5:$AS$2004,'Saisie'!$C$5:$C$2004,C331,'Saisie'!$AF$5:$AF$2004,"&lt;&gt;")-4),""))</f>
        <v/>
      </c>
      <c r="AD331" s="108">
        <f>IF(C331="","",IFERROR(INDEX('Saisie'!$AG$5:$AG$2004,_xlfn.MAXIFS('Saisie'!$AS$5:$AS$2004,'Saisie'!$C$5:$C$2004,C331,'Saisie'!$AG$5:$AG$2004,"&lt;&gt;")-4),""))</f>
        <v/>
      </c>
      <c r="AE331" s="60">
        <f>IF(C331="","",IFERROR(INDEX('Saisie'!$AH$5:$AH$2004,_xlfn.MAXIFS('Saisie'!$AS$5:$AS$2004,'Saisie'!$C$5:$C$2004,C331,'Saisie'!$AH$5:$AH$2004,"&lt;&gt;")-4),""))</f>
        <v/>
      </c>
      <c r="AF331" s="60">
        <f>IF(C331="","",IFERROR(INDEX('Saisie'!$AI$5:$AI$2004,_xlfn.MAXIFS('Saisie'!$AS$5:$AS$2004,'Saisie'!$C$5:$C$2004,C331,'Saisie'!$AI$5:$AI$2004,"&lt;&gt;")-4),""))</f>
        <v/>
      </c>
      <c r="AG331" s="60">
        <f>IF(C331="","",IFERROR(INDEX('Saisie'!$AJ$5:$AJ$2004,_xlfn.MAXIFS('Saisie'!$AS$5:$AS$2004,'Saisie'!$C$5:$C$2004,C331,'Saisie'!$AJ$5:$AJ$2004,"&lt;&gt;")-4),""))</f>
        <v/>
      </c>
      <c r="AH331" s="60">
        <f>IF(C331="","",IFERROR(INDEX('Saisie'!$AK$5:$AK$2004,_xlfn.MAXIFS('Saisie'!$AS$5:$AS$2004,'Saisie'!$C$5:$C$2004,C331,'Saisie'!$AK$5:$AK$2004,"&lt;&gt;")-4),""))</f>
        <v/>
      </c>
      <c r="AI331" s="60">
        <f>IF(C331="","",IFERROR(INDEX('Saisie'!$AN$5:$AN$2004,_xlfn.MAXIFS('Saisie'!$AS$5:$AS$2004,'Saisie'!$C$5:$C$2004,C331,'Saisie'!$AN$5:$AN$2004,"&lt;&gt;")-4),""))</f>
        <v/>
      </c>
      <c r="AJ331" s="60">
        <f>IF(C331="","",IFERROR(INDEX('Saisie'!$AO$5:$AO$2004,_xlfn.MAXIFS('Saisie'!$AS$5:$AS$2004,'Saisie'!$C$5:$C$2004,C331,'Saisie'!$AO$5:$AO$2004,"&lt;&gt;")-4),""))</f>
        <v/>
      </c>
      <c r="AK331" s="60">
        <f>IF(C331="","",IFERROR(INDEX('Saisie'!$AP$5:$AP$2004,_xlfn.MAXIFS('Saisie'!$AS$5:$AS$2004,'Saisie'!$C$5:$C$2004,C331,'Saisie'!$AP$5:$AP$2004,"&lt;&gt;")-4),""))</f>
        <v/>
      </c>
      <c r="AL331" s="60">
        <f>IF(C331="","",IFERROR(INDEX('Saisie'!$AQ$5:$AQ$2004,_xlfn.MAXIFS('Saisie'!$AS$5:$AS$2004,'Saisie'!$C$5:$C$2004,C331,'Saisie'!$AQ$5:$AQ$2004,"&lt;&gt;")-4),""))</f>
        <v/>
      </c>
      <c r="AM331" s="60">
        <f>IF(C331="","",((AI331="Oui")+(AJ331="Oui")+(AK331="Oui")+OR(AL331="Immédiat",AL331="&lt; 1 mois"))&amp;"/4")</f>
        <v/>
      </c>
      <c r="AN331" s="60">
        <f>IF(C331="","",IFERROR(INDEX('Saisie'!$AL$5:$AL$2004,_xlfn.MAXIFS('Saisie'!$AS$5:$AS$2004,'Saisie'!$C$5:$C$2004,C331,'Saisie'!$AL$5:$AL$2004,"&lt;&gt;")-4),""))</f>
        <v/>
      </c>
      <c r="AO331" s="62">
        <f>IF(C331="","",IF(IFERROR(INDEX('Saisie'!$AM$5:$AM$2004,_xlfn.MAXIFS('Saisie'!$AS$5:$AS$2004,'Saisie'!$C$5:$C$2004,C331,'Saisie'!$AM$5:$AM$2004,"&lt;&gt;")-4),"")&lt;&gt;"",IFERROR(INDEX('Saisie'!$AM$5:$AM$2004,_xlfn.MAXIFS('Saisie'!$AS$5:$AS$2004,'Saisie'!$C$5:$C$2004,C331,'Saisie'!$AM$5:$AM$2004,"&lt;&gt;")-4),""),IFERROR(INDEX('Paramètres'!$S$6:$S$15,MATCH(AN331,'Paramètres'!$Q$6:$Q$15,0)),"")))</f>
        <v/>
      </c>
      <c r="AP331" s="62">
        <f>IF(C331="","",IFERROR(INDEX('Saisie'!$AW$5:$AW$2004,_xlfn.MAXIFS('Saisie'!$AS$5:$AS$2004,'Saisie'!$C$5:$C$2004,C331,'Saisie'!$E$5:$E$2004,"Proposition envoyée")-4),""))</f>
        <v/>
      </c>
      <c r="AQ331" s="106">
        <f>IF(C331="","",IFERROR(1/(1/_xlfn.MAXIFS('Saisie'!$A$5:$A$2004,'Saisie'!$C$5:$C$2004,C331,'Saisie'!$E$5:$E$2004,"Proposition envoyée")),""))</f>
        <v/>
      </c>
      <c r="AR331" s="106">
        <f>IF(C331="","",IF(AQ331="","",AQ331+'Paramètres'!$B$26))</f>
        <v/>
      </c>
      <c r="AS331" s="62">
        <f>IF(OR(C331="",D331="Gagné",D331="Perdu"),0,N(AP331)*IFERROR(INDEX('Paramètres'!$G$6:$G$13,MATCH(D331,'Paramètres'!$F$6:$F$13,0)),0))</f>
        <v/>
      </c>
      <c r="AT331" s="106">
        <f>IF(C331="","",IFERROR(1/(1/_xlfn.MINIFS('Saisie'!$A$5:$A$2004,'Saisie'!$C$5:$C$2004,C331,'Saisie'!$E$5:$E$2004,"Signature")),""))</f>
        <v/>
      </c>
      <c r="AU331" s="60">
        <f>IF(C331="","",IF(OR(AT331="",B331=""),"",AT331-B331))</f>
        <v/>
      </c>
      <c r="AV331" s="60">
        <f>IF(C331="","",IFERROR(INDEX('Saisie'!$L$5:$L$2004,_xlfn.MAXIFS('Saisie'!$AS$5:$AS$2004,'Saisie'!$C$5:$C$2004,C331,'Saisie'!$L$5:$L$2004,"&lt;&gt;")-4),""))</f>
        <v/>
      </c>
      <c r="AW331" s="106">
        <f>IF(C331="","",IF(D331&lt;&gt;"Perdu","",IFERROR(1/(1/_xlfn.MAXIFS('Saisie'!$A$5:$A$2004,'Saisie'!$C$5:$C$2004,C331,'Saisie'!$E$5:$E$2004,"Perdu")),"")))</f>
        <v/>
      </c>
      <c r="AX331" s="106">
        <f>IF(C331="","",IF(AW331="","",AW331+'Paramètres'!$B$28))</f>
        <v/>
      </c>
      <c r="AY331" s="60">
        <f>IF(C331="","",SUMIFS('Saisie'!$H$5:$H$2004,'Saisie'!$C$5:$C$2004,C331))</f>
        <v/>
      </c>
      <c r="AZ331" s="60">
        <f>IF(C331="","",IFERROR(INDEX('Paramètres'!$W$6:$W$20,MATCH(S331,'Paramètres'!$V$6:$V$20,0))&amp;"",""))</f>
        <v/>
      </c>
      <c r="BA331" s="60">
        <f>IF(C331="","",MAX(1,_xlfn.MAXIFS('Saisie'!$AT$5:$AT$2004,'Saisie'!$C$5:$C$2004,C331)))</f>
        <v/>
      </c>
      <c r="BB331" s="60">
        <f>IF(C331="","",IFERROR(INDEX('Saisie'!$X$5:$X$2004,_xlfn.MAXIFS('Saisie'!$AS$5:$AS$2004,'Saisie'!$C$5:$C$2004,C331,'Saisie'!$X$5:$X$2004,"&lt;&gt;")-4),""))</f>
        <v/>
      </c>
      <c r="BC331" s="60">
        <f>IF(C331="","",IFERROR(INDEX('Saisie'!$Y$5:$Y$2004,_xlfn.MAXIFS('Saisie'!$AS$5:$AS$2004,'Saisie'!$C$5:$C$2004,C331,'Saisie'!$Y$5:$Y$2004,"&lt;&gt;")-4),""))</f>
        <v/>
      </c>
      <c r="BD331" s="106">
        <f>IF(C331="","",IFERROR(1/(1/_xlfn.MINIFS('Saisie'!$A$5:$A$2004,'Saisie'!$C$5:$C$2004,C331,'Saisie'!$AT$5:$AT$2004,"&gt;=2")),""))</f>
        <v/>
      </c>
      <c r="BE331" s="106">
        <f>IF(C331="","",IFERROR(1/(1/_xlfn.MINIFS('Saisie'!$A$5:$A$2004,'Saisie'!$C$5:$C$2004,C331,'Saisie'!$AT$5:$AT$2004,"&gt;=3")),""))</f>
        <v/>
      </c>
      <c r="BF331" s="106">
        <f>IF(C331="","",IFERROR(1/(1/_xlfn.MINIFS('Saisie'!$A$5:$A$2004,'Saisie'!$C$5:$C$2004,C331,'Saisie'!$AT$5:$AT$2004,"&gt;=4")),""))</f>
        <v/>
      </c>
      <c r="BG331" s="106">
        <f>IF(C331="","",IFERROR(1/(1/_xlfn.MINIFS('Saisie'!$A$5:$A$2004,'Saisie'!$C$5:$C$2004,C331,'Saisie'!$AT$5:$AT$2004,"&gt;=5")),""))</f>
        <v/>
      </c>
      <c r="BH331" s="106">
        <f>IF(C331="","",IFERROR(1/(1/_xlfn.MINIFS('Saisie'!$A$5:$A$2004,'Saisie'!$C$5:$C$2004,C331,'Saisie'!$AT$5:$AT$2004,"&gt;=6")),""))</f>
        <v/>
      </c>
      <c r="BI331" s="106">
        <f>IF(C331="","",IFERROR(1/(1/_xlfn.MINIFS('Saisie'!$A$5:$A$2004,'Saisie'!$C$5:$C$2004,C331,'Saisie'!$AT$5:$AT$2004,"&gt;=7")),""))</f>
        <v/>
      </c>
      <c r="BJ331" s="60">
        <f>IF(OR(BD331="",B331=""),"",BD331-B331)</f>
        <v/>
      </c>
      <c r="BK331" s="60">
        <f>IF(OR(BE331="",BD331=""),"",BE331-BD331)</f>
        <v/>
      </c>
      <c r="BL331" s="60">
        <f>IF(OR(BF331="",BE331=""),"",BF331-BE331)</f>
        <v/>
      </c>
      <c r="BM331" s="60">
        <f>IF(OR(BG331="",BF331=""),"",BG331-BF331)</f>
        <v/>
      </c>
      <c r="BN331" s="60">
        <f>IF(OR(BH331="",BG331=""),"",BH331-BG331)</f>
        <v/>
      </c>
      <c r="BO331" s="60">
        <f>IF(OR(BI331="",BH331=""),"",BI331-BH331)</f>
        <v/>
      </c>
      <c r="BP331" s="60">
        <f>IF(C331="","",_xlfn.MAXIFS('Saisie'!$AS$5:$AS$2004,'Saisie'!$C$5:$C$2004,C331,'Saisie'!$J$5:$J$2004,"&lt;&gt;"))</f>
        <v/>
      </c>
      <c r="BQ331" s="60">
        <f>IF(C331="","",_xlfn.MAXIFS('Saisie'!$AS$5:$AS$2004,'Saisie'!$C$5:$C$2004,C331))</f>
        <v/>
      </c>
      <c r="BR331" s="60">
        <f>IF(C331="","",_xlfn.MAXIFS('Saisie'!$AS$5:$AS$2004,'Saisie'!$C$5:$C$2004,C331,'Saisie'!$E$5:$E$2004,"Perdu"))</f>
        <v/>
      </c>
      <c r="BS331" s="60">
        <f>IF(C331="","",_xlfn.MAXIFS('Saisie'!$AS$5:$AS$2004,'Saisie'!$C$5:$C$2004,C331,'Saisie'!$AT$5:$AT$2004,"&gt;0"))</f>
        <v/>
      </c>
      <c r="BT331" s="109">
        <f>IF(AND(C331&lt;&gt;"",OR(D331="Nouveau",D331="Contacté",D331="Qualifié"),OR(G331="",N(G331)&lt;=TODAY()),NOT(AND(O331&gt;='Paramètres'!$B$21,P331=0))),E331+327/10000,"")</f>
        <v/>
      </c>
      <c r="BU331" s="60">
        <f>IF(AND(G331&lt;&gt;"",N(G331)&lt;=TODAY()),MAX($BU$4:BU330)+1,"")</f>
        <v/>
      </c>
      <c r="BV331" s="60">
        <f>IF(AND(F331&lt;&gt;"",F331&lt;&gt;"Relance en retard"),MAX($BV$4:BV330)+1,"")</f>
        <v/>
      </c>
      <c r="BW331" s="60">
        <f>IF(C331="","",IF(AND(B331&gt;='Tableau de bord'!$R$4,B331&lt;='Tableau de bord'!$S$4,OR('Tableau de bord'!$G$4="Tous",N331='Tableau de bord'!$G$4)),1,0))</f>
        <v/>
      </c>
      <c r="BX331" s="60">
        <f>IF(AND(C331&lt;&gt;"",N(BA331)=7),MAX($BX$4:BX330)+1,"")</f>
        <v/>
      </c>
    </row>
    <row r="332">
      <c r="A332" s="60">
        <f>IF(C332="","","P-"&amp;TEXT(328,"000"))</f>
        <v/>
      </c>
      <c r="B332" s="106">
        <f>IF(C332="","",IFERROR(1/(1/_xlfn.MINIFS('Saisie'!$A$5:$A$2004,'Saisie'!$C$5:$C$2004,C332)),""))</f>
        <v/>
      </c>
      <c r="C332" s="60">
        <f>IFERROR(INDEX('Saisie'!$C$5:$C$2004,MATCH(328,'Saisie'!$AX$5:$AX$2004,0)),"")</f>
        <v/>
      </c>
      <c r="D332" s="60">
        <f>IF(C332="","",IF(AND(BR332&gt;0,BR332&gt;BS332,BA332&lt;7),"Perdu",INDEX('Paramètres'!$F$6:$F$13,BA332)))</f>
        <v/>
      </c>
      <c r="E332" s="61">
        <f>IF(C332="","",MIN(100,(Z332="Oui")*'Paramètres'!$B$38+(AB332="Régulière")*'Paramètres'!$B$39+IF(AND(N(AA332)&gt;0,TODAY()-N(AA332)&lt;=30),'Paramètres'!$B$40,0)+(W332="")*'Paramètres'!$B$41+(AC332="Absente")*'Paramètres'!$B$42+(AC332="Faible")*'Paramètres'!$B$43+IF(AND(N(AD332)&gt;0,N(AD332)&lt;4),'Paramètres'!$B$44,0)+(AF332="Moyenne")*'Paramètres'!$B$45+(AF332="Grande")*'Paramètres'!$B$46+(Y332&lt;&gt;"")*'Paramètres'!$B$47))</f>
        <v/>
      </c>
      <c r="F332" s="60">
        <f>IF(C332="","",IF(D332="Gagné","",IF(D332="Perdu",IF(AND(AX332&lt;&gt;"",AX332&lt;=TODAY()),"À recontacter (perdu)",""),IF(AND(O332&gt;='Paramètres'!$B$21,P332=0),"Stop : "&amp;'Paramètres'!$B$21&amp;" tentatives sans réponse",IF(AND(D332="Proposition",AR332&lt;&gt;"",TODAY()&gt;N(AR332)),"Proposition expirée",IF(AND(D332="Proposition",N(R332)&gt;='Paramètres'!$B$25),"Proposition sans réponse",IF(AND(G332&lt;&gt;"",N(G332)&lt;TODAY()),"Relance en retard",IF(N(R332)&gt;='Paramètres'!$B$24,"Sans action depuis "&amp;R332&amp;" j",""))))))))</f>
        <v/>
      </c>
      <c r="G332" s="106">
        <f>IF(OR(C332="",D332="Gagné",D332="Perdu"),"",IF(AND(BP332&gt;0,BP332=BQ332),INDEX('Saisie'!$J$5:$J$2004,BP332-4),IF(OR(O332=0,AND(O332&gt;='Paramètres'!$B$21,P332=0)),"",Q332+IF(O332&lt;=1,'Paramètres'!$B$18,IF(O332=2,'Paramètres'!$B$19,'Paramètres'!$B$20)))))</f>
        <v/>
      </c>
      <c r="H332" s="107">
        <f>IF(OR(G332="",BP332&lt;&gt;BQ332),"",IF(INDEX('Saisie'!$K$5:$K$2004,BP332-4)="","",INDEX('Saisie'!$K$5:$K$2004,BP332-4)))</f>
        <v/>
      </c>
      <c r="I332" s="60">
        <f>IF(C332="","",IF(OR(D332="Gagné",D332="Perdu"),"",IFERROR(INDEX('Saisie'!$I$5:$I$2004,_xlfn.MAXIFS('Saisie'!$AS$5:$AS$2004,'Saisie'!$C$5:$C$2004,C332,'Saisie'!$I$5:$I$2004,"&lt;&gt;")-4),"")))</f>
        <v/>
      </c>
      <c r="J332" s="60">
        <f>IF(C332="","",IFERROR(INDEX('Saisie'!$U$5:$U$2004,_xlfn.MAXIFS('Saisie'!$AS$5:$AS$2004,'Saisie'!$C$5:$C$2004,C332,'Saisie'!$U$5:$U$2004,"&lt;&gt;")-4),""))</f>
        <v/>
      </c>
      <c r="K332" s="60">
        <f>IF(C332="","",IFERROR(INDEX('Saisie'!$W$5:$W$2004,_xlfn.MAXIFS('Saisie'!$AS$5:$AS$2004,'Saisie'!$C$5:$C$2004,C332,'Saisie'!$W$5:$W$2004,"&lt;&gt;")-4),""))</f>
        <v/>
      </c>
      <c r="L332" s="60">
        <f>IF(IF(BB332&lt;&gt;"",BB332,K332)="","",HYPERLINK("https://wa.me/"&amp;IF(LEFT(SUBSTITUTE(SUBSTITUTE(SUBSTITUTE(IF(BB332&lt;&gt;"",BB332,K332)," ",""),".",""),"+",""),1)="0",'Paramètres'!$B$35&amp;MID(SUBSTITUTE(SUBSTITUTE(SUBSTITUTE(IF(BB332&lt;&gt;"",BB332,K332)," ",""),".",""),"+",""),2,20),SUBSTITUTE(SUBSTITUTE(SUBSTITUTE(IF(BB332&lt;&gt;"",BB332,K332)," ",""),".",""),"+","")),"WhatsApp"))</f>
        <v/>
      </c>
      <c r="M332" s="60">
        <f>IF(BC332="","",HYPERLINK(IF(LEFT(BC332,4)="http",BC332,"https://www.instagram.com/"&amp;SUBSTITUTE(SUBSTITUTE(BC332,"@","")," ","")),BC332))</f>
        <v/>
      </c>
      <c r="N332" s="60">
        <f>IF(C332="","",IFERROR(INDEX('Saisie'!$D$5:$D$2004,_xlfn.MINIFS('Saisie'!$AS$5:$AS$2004,'Saisie'!$C$5:$C$2004,C332,'Saisie'!$AU$5:$AU$2004,1)-4),IFERROR(INDEX('Saisie'!$D$5:$D$2004,_xlfn.MINIFS('Saisie'!$AS$5:$AS$2004,'Saisie'!$C$5:$C$2004,C332,'Saisie'!$D$5:$D$2004,"&lt;&gt;")-4),"")))</f>
        <v/>
      </c>
      <c r="O332" s="60">
        <f>IF(C332="","",COUNTIFS('Saisie'!$C$5:$C$2004,C332,'Saisie'!$AU$5:$AU$2004,1))</f>
        <v/>
      </c>
      <c r="P332" s="60">
        <f>IF(C332="","",COUNTIFS('Saisie'!$C$5:$C$2004,C332,'Saisie'!$AV$5:$AV$2004,1))</f>
        <v/>
      </c>
      <c r="Q332" s="106">
        <f>IF(C332="","",IFERROR(1/(1/_xlfn.MAXIFS('Saisie'!$A$5:$A$2004,'Saisie'!$C$5:$C$2004,C332)),""))</f>
        <v/>
      </c>
      <c r="R332" s="61">
        <f>IF(C332="","",IF(Q332="","",TODAY()-Q332))</f>
        <v/>
      </c>
      <c r="S332" s="60">
        <f>IF(C332="","",IFERROR(INDEX('Saisie'!$R$5:$R$2004,_xlfn.MAXIFS('Saisie'!$AS$5:$AS$2004,'Saisie'!$C$5:$C$2004,C332,'Saisie'!$R$5:$R$2004,"&lt;&gt;")-4),""))</f>
        <v/>
      </c>
      <c r="T332" s="60">
        <f>IF(C332="","",IFERROR(INDEX('Saisie'!$S$5:$S$2004,_xlfn.MAXIFS('Saisie'!$AS$5:$AS$2004,'Saisie'!$C$5:$C$2004,C332,'Saisie'!$S$5:$S$2004,"&lt;&gt;")-4),""))</f>
        <v/>
      </c>
      <c r="U332" s="60">
        <f>IF(C332="","",IFERROR(INDEX('Saisie'!$T$5:$T$2004,_xlfn.MAXIFS('Saisie'!$AS$5:$AS$2004,'Saisie'!$C$5:$C$2004,C332,'Saisie'!$T$5:$T$2004,"&lt;&gt;")-4),""))</f>
        <v/>
      </c>
      <c r="V332" s="60">
        <f>IF(C332="","",IFERROR(INDEX('Saisie'!$V$5:$V$2004,_xlfn.MAXIFS('Saisie'!$AS$5:$AS$2004,'Saisie'!$C$5:$C$2004,C332,'Saisie'!$V$5:$V$2004,"&lt;&gt;")-4),""))</f>
        <v/>
      </c>
      <c r="W332" s="60">
        <f>IF(C332="","",IFERROR(INDEX('Saisie'!$Z$5:$Z$2004,_xlfn.MAXIFS('Saisie'!$AS$5:$AS$2004,'Saisie'!$C$5:$C$2004,C332,'Saisie'!$Z$5:$Z$2004,"&lt;&gt;")-4),""))</f>
        <v/>
      </c>
      <c r="X332" s="60">
        <f>IF(C332="","",IFERROR(INDEX('Saisie'!$AA$5:$AA$2004,_xlfn.MAXIFS('Saisie'!$AS$5:$AS$2004,'Saisie'!$C$5:$C$2004,C332,'Saisie'!$AA$5:$AA$2004,"&lt;&gt;")-4),""))</f>
        <v/>
      </c>
      <c r="Y332" s="60">
        <f>IF(C332="","",IFERROR(INDEX('Saisie'!$AB$5:$AB$2004,_xlfn.MAXIFS('Saisie'!$AS$5:$AS$2004,'Saisie'!$C$5:$C$2004,C332,'Saisie'!$AB$5:$AB$2004,"&lt;&gt;")-4),""))</f>
        <v/>
      </c>
      <c r="Z332" s="60">
        <f>IF(C332="","",IFERROR(INDEX('Saisie'!$AC$5:$AC$2004,_xlfn.MAXIFS('Saisie'!$AS$5:$AS$2004,'Saisie'!$C$5:$C$2004,C332,'Saisie'!$AC$5:$AC$2004,"&lt;&gt;")-4),""))</f>
        <v/>
      </c>
      <c r="AA332" s="106">
        <f>IF(C332="","",IFERROR(INDEX('Saisie'!$AD$5:$AD$2004,_xlfn.MAXIFS('Saisie'!$AS$5:$AS$2004,'Saisie'!$C$5:$C$2004,C332,'Saisie'!$AD$5:$AD$2004,"&lt;&gt;")-4),""))</f>
        <v/>
      </c>
      <c r="AB332" s="60">
        <f>IF(C332="","",IFERROR(INDEX('Saisie'!$AE$5:$AE$2004,_xlfn.MAXIFS('Saisie'!$AS$5:$AS$2004,'Saisie'!$C$5:$C$2004,C332,'Saisie'!$AE$5:$AE$2004,"&lt;&gt;")-4),""))</f>
        <v/>
      </c>
      <c r="AC332" s="60">
        <f>IF(C332="","",IFERROR(INDEX('Saisie'!$AF$5:$AF$2004,_xlfn.MAXIFS('Saisie'!$AS$5:$AS$2004,'Saisie'!$C$5:$C$2004,C332,'Saisie'!$AF$5:$AF$2004,"&lt;&gt;")-4),""))</f>
        <v/>
      </c>
      <c r="AD332" s="108">
        <f>IF(C332="","",IFERROR(INDEX('Saisie'!$AG$5:$AG$2004,_xlfn.MAXIFS('Saisie'!$AS$5:$AS$2004,'Saisie'!$C$5:$C$2004,C332,'Saisie'!$AG$5:$AG$2004,"&lt;&gt;")-4),""))</f>
        <v/>
      </c>
      <c r="AE332" s="60">
        <f>IF(C332="","",IFERROR(INDEX('Saisie'!$AH$5:$AH$2004,_xlfn.MAXIFS('Saisie'!$AS$5:$AS$2004,'Saisie'!$C$5:$C$2004,C332,'Saisie'!$AH$5:$AH$2004,"&lt;&gt;")-4),""))</f>
        <v/>
      </c>
      <c r="AF332" s="60">
        <f>IF(C332="","",IFERROR(INDEX('Saisie'!$AI$5:$AI$2004,_xlfn.MAXIFS('Saisie'!$AS$5:$AS$2004,'Saisie'!$C$5:$C$2004,C332,'Saisie'!$AI$5:$AI$2004,"&lt;&gt;")-4),""))</f>
        <v/>
      </c>
      <c r="AG332" s="60">
        <f>IF(C332="","",IFERROR(INDEX('Saisie'!$AJ$5:$AJ$2004,_xlfn.MAXIFS('Saisie'!$AS$5:$AS$2004,'Saisie'!$C$5:$C$2004,C332,'Saisie'!$AJ$5:$AJ$2004,"&lt;&gt;")-4),""))</f>
        <v/>
      </c>
      <c r="AH332" s="60">
        <f>IF(C332="","",IFERROR(INDEX('Saisie'!$AK$5:$AK$2004,_xlfn.MAXIFS('Saisie'!$AS$5:$AS$2004,'Saisie'!$C$5:$C$2004,C332,'Saisie'!$AK$5:$AK$2004,"&lt;&gt;")-4),""))</f>
        <v/>
      </c>
      <c r="AI332" s="60">
        <f>IF(C332="","",IFERROR(INDEX('Saisie'!$AN$5:$AN$2004,_xlfn.MAXIFS('Saisie'!$AS$5:$AS$2004,'Saisie'!$C$5:$C$2004,C332,'Saisie'!$AN$5:$AN$2004,"&lt;&gt;")-4),""))</f>
        <v/>
      </c>
      <c r="AJ332" s="60">
        <f>IF(C332="","",IFERROR(INDEX('Saisie'!$AO$5:$AO$2004,_xlfn.MAXIFS('Saisie'!$AS$5:$AS$2004,'Saisie'!$C$5:$C$2004,C332,'Saisie'!$AO$5:$AO$2004,"&lt;&gt;")-4),""))</f>
        <v/>
      </c>
      <c r="AK332" s="60">
        <f>IF(C332="","",IFERROR(INDEX('Saisie'!$AP$5:$AP$2004,_xlfn.MAXIFS('Saisie'!$AS$5:$AS$2004,'Saisie'!$C$5:$C$2004,C332,'Saisie'!$AP$5:$AP$2004,"&lt;&gt;")-4),""))</f>
        <v/>
      </c>
      <c r="AL332" s="60">
        <f>IF(C332="","",IFERROR(INDEX('Saisie'!$AQ$5:$AQ$2004,_xlfn.MAXIFS('Saisie'!$AS$5:$AS$2004,'Saisie'!$C$5:$C$2004,C332,'Saisie'!$AQ$5:$AQ$2004,"&lt;&gt;")-4),""))</f>
        <v/>
      </c>
      <c r="AM332" s="60">
        <f>IF(C332="","",((AI332="Oui")+(AJ332="Oui")+(AK332="Oui")+OR(AL332="Immédiat",AL332="&lt; 1 mois"))&amp;"/4")</f>
        <v/>
      </c>
      <c r="AN332" s="60">
        <f>IF(C332="","",IFERROR(INDEX('Saisie'!$AL$5:$AL$2004,_xlfn.MAXIFS('Saisie'!$AS$5:$AS$2004,'Saisie'!$C$5:$C$2004,C332,'Saisie'!$AL$5:$AL$2004,"&lt;&gt;")-4),""))</f>
        <v/>
      </c>
      <c r="AO332" s="62">
        <f>IF(C332="","",IF(IFERROR(INDEX('Saisie'!$AM$5:$AM$2004,_xlfn.MAXIFS('Saisie'!$AS$5:$AS$2004,'Saisie'!$C$5:$C$2004,C332,'Saisie'!$AM$5:$AM$2004,"&lt;&gt;")-4),"")&lt;&gt;"",IFERROR(INDEX('Saisie'!$AM$5:$AM$2004,_xlfn.MAXIFS('Saisie'!$AS$5:$AS$2004,'Saisie'!$C$5:$C$2004,C332,'Saisie'!$AM$5:$AM$2004,"&lt;&gt;")-4),""),IFERROR(INDEX('Paramètres'!$S$6:$S$15,MATCH(AN332,'Paramètres'!$Q$6:$Q$15,0)),"")))</f>
        <v/>
      </c>
      <c r="AP332" s="62">
        <f>IF(C332="","",IFERROR(INDEX('Saisie'!$AW$5:$AW$2004,_xlfn.MAXIFS('Saisie'!$AS$5:$AS$2004,'Saisie'!$C$5:$C$2004,C332,'Saisie'!$E$5:$E$2004,"Proposition envoyée")-4),""))</f>
        <v/>
      </c>
      <c r="AQ332" s="106">
        <f>IF(C332="","",IFERROR(1/(1/_xlfn.MAXIFS('Saisie'!$A$5:$A$2004,'Saisie'!$C$5:$C$2004,C332,'Saisie'!$E$5:$E$2004,"Proposition envoyée")),""))</f>
        <v/>
      </c>
      <c r="AR332" s="106">
        <f>IF(C332="","",IF(AQ332="","",AQ332+'Paramètres'!$B$26))</f>
        <v/>
      </c>
      <c r="AS332" s="62">
        <f>IF(OR(C332="",D332="Gagné",D332="Perdu"),0,N(AP332)*IFERROR(INDEX('Paramètres'!$G$6:$G$13,MATCH(D332,'Paramètres'!$F$6:$F$13,0)),0))</f>
        <v/>
      </c>
      <c r="AT332" s="106">
        <f>IF(C332="","",IFERROR(1/(1/_xlfn.MINIFS('Saisie'!$A$5:$A$2004,'Saisie'!$C$5:$C$2004,C332,'Saisie'!$E$5:$E$2004,"Signature")),""))</f>
        <v/>
      </c>
      <c r="AU332" s="60">
        <f>IF(C332="","",IF(OR(AT332="",B332=""),"",AT332-B332))</f>
        <v/>
      </c>
      <c r="AV332" s="60">
        <f>IF(C332="","",IFERROR(INDEX('Saisie'!$L$5:$L$2004,_xlfn.MAXIFS('Saisie'!$AS$5:$AS$2004,'Saisie'!$C$5:$C$2004,C332,'Saisie'!$L$5:$L$2004,"&lt;&gt;")-4),""))</f>
        <v/>
      </c>
      <c r="AW332" s="106">
        <f>IF(C332="","",IF(D332&lt;&gt;"Perdu","",IFERROR(1/(1/_xlfn.MAXIFS('Saisie'!$A$5:$A$2004,'Saisie'!$C$5:$C$2004,C332,'Saisie'!$E$5:$E$2004,"Perdu")),"")))</f>
        <v/>
      </c>
      <c r="AX332" s="106">
        <f>IF(C332="","",IF(AW332="","",AW332+'Paramètres'!$B$28))</f>
        <v/>
      </c>
      <c r="AY332" s="60">
        <f>IF(C332="","",SUMIFS('Saisie'!$H$5:$H$2004,'Saisie'!$C$5:$C$2004,C332))</f>
        <v/>
      </c>
      <c r="AZ332" s="60">
        <f>IF(C332="","",IFERROR(INDEX('Paramètres'!$W$6:$W$20,MATCH(S332,'Paramètres'!$V$6:$V$20,0))&amp;"",""))</f>
        <v/>
      </c>
      <c r="BA332" s="60">
        <f>IF(C332="","",MAX(1,_xlfn.MAXIFS('Saisie'!$AT$5:$AT$2004,'Saisie'!$C$5:$C$2004,C332)))</f>
        <v/>
      </c>
      <c r="BB332" s="60">
        <f>IF(C332="","",IFERROR(INDEX('Saisie'!$X$5:$X$2004,_xlfn.MAXIFS('Saisie'!$AS$5:$AS$2004,'Saisie'!$C$5:$C$2004,C332,'Saisie'!$X$5:$X$2004,"&lt;&gt;")-4),""))</f>
        <v/>
      </c>
      <c r="BC332" s="60">
        <f>IF(C332="","",IFERROR(INDEX('Saisie'!$Y$5:$Y$2004,_xlfn.MAXIFS('Saisie'!$AS$5:$AS$2004,'Saisie'!$C$5:$C$2004,C332,'Saisie'!$Y$5:$Y$2004,"&lt;&gt;")-4),""))</f>
        <v/>
      </c>
      <c r="BD332" s="106">
        <f>IF(C332="","",IFERROR(1/(1/_xlfn.MINIFS('Saisie'!$A$5:$A$2004,'Saisie'!$C$5:$C$2004,C332,'Saisie'!$AT$5:$AT$2004,"&gt;=2")),""))</f>
        <v/>
      </c>
      <c r="BE332" s="106">
        <f>IF(C332="","",IFERROR(1/(1/_xlfn.MINIFS('Saisie'!$A$5:$A$2004,'Saisie'!$C$5:$C$2004,C332,'Saisie'!$AT$5:$AT$2004,"&gt;=3")),""))</f>
        <v/>
      </c>
      <c r="BF332" s="106">
        <f>IF(C332="","",IFERROR(1/(1/_xlfn.MINIFS('Saisie'!$A$5:$A$2004,'Saisie'!$C$5:$C$2004,C332,'Saisie'!$AT$5:$AT$2004,"&gt;=4")),""))</f>
        <v/>
      </c>
      <c r="BG332" s="106">
        <f>IF(C332="","",IFERROR(1/(1/_xlfn.MINIFS('Saisie'!$A$5:$A$2004,'Saisie'!$C$5:$C$2004,C332,'Saisie'!$AT$5:$AT$2004,"&gt;=5")),""))</f>
        <v/>
      </c>
      <c r="BH332" s="106">
        <f>IF(C332="","",IFERROR(1/(1/_xlfn.MINIFS('Saisie'!$A$5:$A$2004,'Saisie'!$C$5:$C$2004,C332,'Saisie'!$AT$5:$AT$2004,"&gt;=6")),""))</f>
        <v/>
      </c>
      <c r="BI332" s="106">
        <f>IF(C332="","",IFERROR(1/(1/_xlfn.MINIFS('Saisie'!$A$5:$A$2004,'Saisie'!$C$5:$C$2004,C332,'Saisie'!$AT$5:$AT$2004,"&gt;=7")),""))</f>
        <v/>
      </c>
      <c r="BJ332" s="60">
        <f>IF(OR(BD332="",B332=""),"",BD332-B332)</f>
        <v/>
      </c>
      <c r="BK332" s="60">
        <f>IF(OR(BE332="",BD332=""),"",BE332-BD332)</f>
        <v/>
      </c>
      <c r="BL332" s="60">
        <f>IF(OR(BF332="",BE332=""),"",BF332-BE332)</f>
        <v/>
      </c>
      <c r="BM332" s="60">
        <f>IF(OR(BG332="",BF332=""),"",BG332-BF332)</f>
        <v/>
      </c>
      <c r="BN332" s="60">
        <f>IF(OR(BH332="",BG332=""),"",BH332-BG332)</f>
        <v/>
      </c>
      <c r="BO332" s="60">
        <f>IF(OR(BI332="",BH332=""),"",BI332-BH332)</f>
        <v/>
      </c>
      <c r="BP332" s="60">
        <f>IF(C332="","",_xlfn.MAXIFS('Saisie'!$AS$5:$AS$2004,'Saisie'!$C$5:$C$2004,C332,'Saisie'!$J$5:$J$2004,"&lt;&gt;"))</f>
        <v/>
      </c>
      <c r="BQ332" s="60">
        <f>IF(C332="","",_xlfn.MAXIFS('Saisie'!$AS$5:$AS$2004,'Saisie'!$C$5:$C$2004,C332))</f>
        <v/>
      </c>
      <c r="BR332" s="60">
        <f>IF(C332="","",_xlfn.MAXIFS('Saisie'!$AS$5:$AS$2004,'Saisie'!$C$5:$C$2004,C332,'Saisie'!$E$5:$E$2004,"Perdu"))</f>
        <v/>
      </c>
      <c r="BS332" s="60">
        <f>IF(C332="","",_xlfn.MAXIFS('Saisie'!$AS$5:$AS$2004,'Saisie'!$C$5:$C$2004,C332,'Saisie'!$AT$5:$AT$2004,"&gt;0"))</f>
        <v/>
      </c>
      <c r="BT332" s="109">
        <f>IF(AND(C332&lt;&gt;"",OR(D332="Nouveau",D332="Contacté",D332="Qualifié"),OR(G332="",N(G332)&lt;=TODAY()),NOT(AND(O332&gt;='Paramètres'!$B$21,P332=0))),E332+328/10000,"")</f>
        <v/>
      </c>
      <c r="BU332" s="60">
        <f>IF(AND(G332&lt;&gt;"",N(G332)&lt;=TODAY()),MAX($BU$4:BU331)+1,"")</f>
        <v/>
      </c>
      <c r="BV332" s="60">
        <f>IF(AND(F332&lt;&gt;"",F332&lt;&gt;"Relance en retard"),MAX($BV$4:BV331)+1,"")</f>
        <v/>
      </c>
      <c r="BW332" s="60">
        <f>IF(C332="","",IF(AND(B332&gt;='Tableau de bord'!$R$4,B332&lt;='Tableau de bord'!$S$4,OR('Tableau de bord'!$G$4="Tous",N332='Tableau de bord'!$G$4)),1,0))</f>
        <v/>
      </c>
      <c r="BX332" s="60">
        <f>IF(AND(C332&lt;&gt;"",N(BA332)=7),MAX($BX$4:BX331)+1,"")</f>
        <v/>
      </c>
    </row>
    <row r="333">
      <c r="A333" s="60">
        <f>IF(C333="","","P-"&amp;TEXT(329,"000"))</f>
        <v/>
      </c>
      <c r="B333" s="106">
        <f>IF(C333="","",IFERROR(1/(1/_xlfn.MINIFS('Saisie'!$A$5:$A$2004,'Saisie'!$C$5:$C$2004,C333)),""))</f>
        <v/>
      </c>
      <c r="C333" s="60">
        <f>IFERROR(INDEX('Saisie'!$C$5:$C$2004,MATCH(329,'Saisie'!$AX$5:$AX$2004,0)),"")</f>
        <v/>
      </c>
      <c r="D333" s="60">
        <f>IF(C333="","",IF(AND(BR333&gt;0,BR333&gt;BS333,BA333&lt;7),"Perdu",INDEX('Paramètres'!$F$6:$F$13,BA333)))</f>
        <v/>
      </c>
      <c r="E333" s="61">
        <f>IF(C333="","",MIN(100,(Z333="Oui")*'Paramètres'!$B$38+(AB333="Régulière")*'Paramètres'!$B$39+IF(AND(N(AA333)&gt;0,TODAY()-N(AA333)&lt;=30),'Paramètres'!$B$40,0)+(W333="")*'Paramètres'!$B$41+(AC333="Absente")*'Paramètres'!$B$42+(AC333="Faible")*'Paramètres'!$B$43+IF(AND(N(AD333)&gt;0,N(AD333)&lt;4),'Paramètres'!$B$44,0)+(AF333="Moyenne")*'Paramètres'!$B$45+(AF333="Grande")*'Paramètres'!$B$46+(Y333&lt;&gt;"")*'Paramètres'!$B$47))</f>
        <v/>
      </c>
      <c r="F333" s="60">
        <f>IF(C333="","",IF(D333="Gagné","",IF(D333="Perdu",IF(AND(AX333&lt;&gt;"",AX333&lt;=TODAY()),"À recontacter (perdu)",""),IF(AND(O333&gt;='Paramètres'!$B$21,P333=0),"Stop : "&amp;'Paramètres'!$B$21&amp;" tentatives sans réponse",IF(AND(D333="Proposition",AR333&lt;&gt;"",TODAY()&gt;N(AR333)),"Proposition expirée",IF(AND(D333="Proposition",N(R333)&gt;='Paramètres'!$B$25),"Proposition sans réponse",IF(AND(G333&lt;&gt;"",N(G333)&lt;TODAY()),"Relance en retard",IF(N(R333)&gt;='Paramètres'!$B$24,"Sans action depuis "&amp;R333&amp;" j",""))))))))</f>
        <v/>
      </c>
      <c r="G333" s="106">
        <f>IF(OR(C333="",D333="Gagné",D333="Perdu"),"",IF(AND(BP333&gt;0,BP333=BQ333),INDEX('Saisie'!$J$5:$J$2004,BP333-4),IF(OR(O333=0,AND(O333&gt;='Paramètres'!$B$21,P333=0)),"",Q333+IF(O333&lt;=1,'Paramètres'!$B$18,IF(O333=2,'Paramètres'!$B$19,'Paramètres'!$B$20)))))</f>
        <v/>
      </c>
      <c r="H333" s="107">
        <f>IF(OR(G333="",BP333&lt;&gt;BQ333),"",IF(INDEX('Saisie'!$K$5:$K$2004,BP333-4)="","",INDEX('Saisie'!$K$5:$K$2004,BP333-4)))</f>
        <v/>
      </c>
      <c r="I333" s="60">
        <f>IF(C333="","",IF(OR(D333="Gagné",D333="Perdu"),"",IFERROR(INDEX('Saisie'!$I$5:$I$2004,_xlfn.MAXIFS('Saisie'!$AS$5:$AS$2004,'Saisie'!$C$5:$C$2004,C333,'Saisie'!$I$5:$I$2004,"&lt;&gt;")-4),"")))</f>
        <v/>
      </c>
      <c r="J333" s="60">
        <f>IF(C333="","",IFERROR(INDEX('Saisie'!$U$5:$U$2004,_xlfn.MAXIFS('Saisie'!$AS$5:$AS$2004,'Saisie'!$C$5:$C$2004,C333,'Saisie'!$U$5:$U$2004,"&lt;&gt;")-4),""))</f>
        <v/>
      </c>
      <c r="K333" s="60">
        <f>IF(C333="","",IFERROR(INDEX('Saisie'!$W$5:$W$2004,_xlfn.MAXIFS('Saisie'!$AS$5:$AS$2004,'Saisie'!$C$5:$C$2004,C333,'Saisie'!$W$5:$W$2004,"&lt;&gt;")-4),""))</f>
        <v/>
      </c>
      <c r="L333" s="60">
        <f>IF(IF(BB333&lt;&gt;"",BB333,K333)="","",HYPERLINK("https://wa.me/"&amp;IF(LEFT(SUBSTITUTE(SUBSTITUTE(SUBSTITUTE(IF(BB333&lt;&gt;"",BB333,K333)," ",""),".",""),"+",""),1)="0",'Paramètres'!$B$35&amp;MID(SUBSTITUTE(SUBSTITUTE(SUBSTITUTE(IF(BB333&lt;&gt;"",BB333,K333)," ",""),".",""),"+",""),2,20),SUBSTITUTE(SUBSTITUTE(SUBSTITUTE(IF(BB333&lt;&gt;"",BB333,K333)," ",""),".",""),"+","")),"WhatsApp"))</f>
        <v/>
      </c>
      <c r="M333" s="60">
        <f>IF(BC333="","",HYPERLINK(IF(LEFT(BC333,4)="http",BC333,"https://www.instagram.com/"&amp;SUBSTITUTE(SUBSTITUTE(BC333,"@","")," ","")),BC333))</f>
        <v/>
      </c>
      <c r="N333" s="60">
        <f>IF(C333="","",IFERROR(INDEX('Saisie'!$D$5:$D$2004,_xlfn.MINIFS('Saisie'!$AS$5:$AS$2004,'Saisie'!$C$5:$C$2004,C333,'Saisie'!$AU$5:$AU$2004,1)-4),IFERROR(INDEX('Saisie'!$D$5:$D$2004,_xlfn.MINIFS('Saisie'!$AS$5:$AS$2004,'Saisie'!$C$5:$C$2004,C333,'Saisie'!$D$5:$D$2004,"&lt;&gt;")-4),"")))</f>
        <v/>
      </c>
      <c r="O333" s="60">
        <f>IF(C333="","",COUNTIFS('Saisie'!$C$5:$C$2004,C333,'Saisie'!$AU$5:$AU$2004,1))</f>
        <v/>
      </c>
      <c r="P333" s="60">
        <f>IF(C333="","",COUNTIFS('Saisie'!$C$5:$C$2004,C333,'Saisie'!$AV$5:$AV$2004,1))</f>
        <v/>
      </c>
      <c r="Q333" s="106">
        <f>IF(C333="","",IFERROR(1/(1/_xlfn.MAXIFS('Saisie'!$A$5:$A$2004,'Saisie'!$C$5:$C$2004,C333)),""))</f>
        <v/>
      </c>
      <c r="R333" s="61">
        <f>IF(C333="","",IF(Q333="","",TODAY()-Q333))</f>
        <v/>
      </c>
      <c r="S333" s="60">
        <f>IF(C333="","",IFERROR(INDEX('Saisie'!$R$5:$R$2004,_xlfn.MAXIFS('Saisie'!$AS$5:$AS$2004,'Saisie'!$C$5:$C$2004,C333,'Saisie'!$R$5:$R$2004,"&lt;&gt;")-4),""))</f>
        <v/>
      </c>
      <c r="T333" s="60">
        <f>IF(C333="","",IFERROR(INDEX('Saisie'!$S$5:$S$2004,_xlfn.MAXIFS('Saisie'!$AS$5:$AS$2004,'Saisie'!$C$5:$C$2004,C333,'Saisie'!$S$5:$S$2004,"&lt;&gt;")-4),""))</f>
        <v/>
      </c>
      <c r="U333" s="60">
        <f>IF(C333="","",IFERROR(INDEX('Saisie'!$T$5:$T$2004,_xlfn.MAXIFS('Saisie'!$AS$5:$AS$2004,'Saisie'!$C$5:$C$2004,C333,'Saisie'!$T$5:$T$2004,"&lt;&gt;")-4),""))</f>
        <v/>
      </c>
      <c r="V333" s="60">
        <f>IF(C333="","",IFERROR(INDEX('Saisie'!$V$5:$V$2004,_xlfn.MAXIFS('Saisie'!$AS$5:$AS$2004,'Saisie'!$C$5:$C$2004,C333,'Saisie'!$V$5:$V$2004,"&lt;&gt;")-4),""))</f>
        <v/>
      </c>
      <c r="W333" s="60">
        <f>IF(C333="","",IFERROR(INDEX('Saisie'!$Z$5:$Z$2004,_xlfn.MAXIFS('Saisie'!$AS$5:$AS$2004,'Saisie'!$C$5:$C$2004,C333,'Saisie'!$Z$5:$Z$2004,"&lt;&gt;")-4),""))</f>
        <v/>
      </c>
      <c r="X333" s="60">
        <f>IF(C333="","",IFERROR(INDEX('Saisie'!$AA$5:$AA$2004,_xlfn.MAXIFS('Saisie'!$AS$5:$AS$2004,'Saisie'!$C$5:$C$2004,C333,'Saisie'!$AA$5:$AA$2004,"&lt;&gt;")-4),""))</f>
        <v/>
      </c>
      <c r="Y333" s="60">
        <f>IF(C333="","",IFERROR(INDEX('Saisie'!$AB$5:$AB$2004,_xlfn.MAXIFS('Saisie'!$AS$5:$AS$2004,'Saisie'!$C$5:$C$2004,C333,'Saisie'!$AB$5:$AB$2004,"&lt;&gt;")-4),""))</f>
        <v/>
      </c>
      <c r="Z333" s="60">
        <f>IF(C333="","",IFERROR(INDEX('Saisie'!$AC$5:$AC$2004,_xlfn.MAXIFS('Saisie'!$AS$5:$AS$2004,'Saisie'!$C$5:$C$2004,C333,'Saisie'!$AC$5:$AC$2004,"&lt;&gt;")-4),""))</f>
        <v/>
      </c>
      <c r="AA333" s="106">
        <f>IF(C333="","",IFERROR(INDEX('Saisie'!$AD$5:$AD$2004,_xlfn.MAXIFS('Saisie'!$AS$5:$AS$2004,'Saisie'!$C$5:$C$2004,C333,'Saisie'!$AD$5:$AD$2004,"&lt;&gt;")-4),""))</f>
        <v/>
      </c>
      <c r="AB333" s="60">
        <f>IF(C333="","",IFERROR(INDEX('Saisie'!$AE$5:$AE$2004,_xlfn.MAXIFS('Saisie'!$AS$5:$AS$2004,'Saisie'!$C$5:$C$2004,C333,'Saisie'!$AE$5:$AE$2004,"&lt;&gt;")-4),""))</f>
        <v/>
      </c>
      <c r="AC333" s="60">
        <f>IF(C333="","",IFERROR(INDEX('Saisie'!$AF$5:$AF$2004,_xlfn.MAXIFS('Saisie'!$AS$5:$AS$2004,'Saisie'!$C$5:$C$2004,C333,'Saisie'!$AF$5:$AF$2004,"&lt;&gt;")-4),""))</f>
        <v/>
      </c>
      <c r="AD333" s="108">
        <f>IF(C333="","",IFERROR(INDEX('Saisie'!$AG$5:$AG$2004,_xlfn.MAXIFS('Saisie'!$AS$5:$AS$2004,'Saisie'!$C$5:$C$2004,C333,'Saisie'!$AG$5:$AG$2004,"&lt;&gt;")-4),""))</f>
        <v/>
      </c>
      <c r="AE333" s="60">
        <f>IF(C333="","",IFERROR(INDEX('Saisie'!$AH$5:$AH$2004,_xlfn.MAXIFS('Saisie'!$AS$5:$AS$2004,'Saisie'!$C$5:$C$2004,C333,'Saisie'!$AH$5:$AH$2004,"&lt;&gt;")-4),""))</f>
        <v/>
      </c>
      <c r="AF333" s="60">
        <f>IF(C333="","",IFERROR(INDEX('Saisie'!$AI$5:$AI$2004,_xlfn.MAXIFS('Saisie'!$AS$5:$AS$2004,'Saisie'!$C$5:$C$2004,C333,'Saisie'!$AI$5:$AI$2004,"&lt;&gt;")-4),""))</f>
        <v/>
      </c>
      <c r="AG333" s="60">
        <f>IF(C333="","",IFERROR(INDEX('Saisie'!$AJ$5:$AJ$2004,_xlfn.MAXIFS('Saisie'!$AS$5:$AS$2004,'Saisie'!$C$5:$C$2004,C333,'Saisie'!$AJ$5:$AJ$2004,"&lt;&gt;")-4),""))</f>
        <v/>
      </c>
      <c r="AH333" s="60">
        <f>IF(C333="","",IFERROR(INDEX('Saisie'!$AK$5:$AK$2004,_xlfn.MAXIFS('Saisie'!$AS$5:$AS$2004,'Saisie'!$C$5:$C$2004,C333,'Saisie'!$AK$5:$AK$2004,"&lt;&gt;")-4),""))</f>
        <v/>
      </c>
      <c r="AI333" s="60">
        <f>IF(C333="","",IFERROR(INDEX('Saisie'!$AN$5:$AN$2004,_xlfn.MAXIFS('Saisie'!$AS$5:$AS$2004,'Saisie'!$C$5:$C$2004,C333,'Saisie'!$AN$5:$AN$2004,"&lt;&gt;")-4),""))</f>
        <v/>
      </c>
      <c r="AJ333" s="60">
        <f>IF(C333="","",IFERROR(INDEX('Saisie'!$AO$5:$AO$2004,_xlfn.MAXIFS('Saisie'!$AS$5:$AS$2004,'Saisie'!$C$5:$C$2004,C333,'Saisie'!$AO$5:$AO$2004,"&lt;&gt;")-4),""))</f>
        <v/>
      </c>
      <c r="AK333" s="60">
        <f>IF(C333="","",IFERROR(INDEX('Saisie'!$AP$5:$AP$2004,_xlfn.MAXIFS('Saisie'!$AS$5:$AS$2004,'Saisie'!$C$5:$C$2004,C333,'Saisie'!$AP$5:$AP$2004,"&lt;&gt;")-4),""))</f>
        <v/>
      </c>
      <c r="AL333" s="60">
        <f>IF(C333="","",IFERROR(INDEX('Saisie'!$AQ$5:$AQ$2004,_xlfn.MAXIFS('Saisie'!$AS$5:$AS$2004,'Saisie'!$C$5:$C$2004,C333,'Saisie'!$AQ$5:$AQ$2004,"&lt;&gt;")-4),""))</f>
        <v/>
      </c>
      <c r="AM333" s="60">
        <f>IF(C333="","",((AI333="Oui")+(AJ333="Oui")+(AK333="Oui")+OR(AL333="Immédiat",AL333="&lt; 1 mois"))&amp;"/4")</f>
        <v/>
      </c>
      <c r="AN333" s="60">
        <f>IF(C333="","",IFERROR(INDEX('Saisie'!$AL$5:$AL$2004,_xlfn.MAXIFS('Saisie'!$AS$5:$AS$2004,'Saisie'!$C$5:$C$2004,C333,'Saisie'!$AL$5:$AL$2004,"&lt;&gt;")-4),""))</f>
        <v/>
      </c>
      <c r="AO333" s="62">
        <f>IF(C333="","",IF(IFERROR(INDEX('Saisie'!$AM$5:$AM$2004,_xlfn.MAXIFS('Saisie'!$AS$5:$AS$2004,'Saisie'!$C$5:$C$2004,C333,'Saisie'!$AM$5:$AM$2004,"&lt;&gt;")-4),"")&lt;&gt;"",IFERROR(INDEX('Saisie'!$AM$5:$AM$2004,_xlfn.MAXIFS('Saisie'!$AS$5:$AS$2004,'Saisie'!$C$5:$C$2004,C333,'Saisie'!$AM$5:$AM$2004,"&lt;&gt;")-4),""),IFERROR(INDEX('Paramètres'!$S$6:$S$15,MATCH(AN333,'Paramètres'!$Q$6:$Q$15,0)),"")))</f>
        <v/>
      </c>
      <c r="AP333" s="62">
        <f>IF(C333="","",IFERROR(INDEX('Saisie'!$AW$5:$AW$2004,_xlfn.MAXIFS('Saisie'!$AS$5:$AS$2004,'Saisie'!$C$5:$C$2004,C333,'Saisie'!$E$5:$E$2004,"Proposition envoyée")-4),""))</f>
        <v/>
      </c>
      <c r="AQ333" s="106">
        <f>IF(C333="","",IFERROR(1/(1/_xlfn.MAXIFS('Saisie'!$A$5:$A$2004,'Saisie'!$C$5:$C$2004,C333,'Saisie'!$E$5:$E$2004,"Proposition envoyée")),""))</f>
        <v/>
      </c>
      <c r="AR333" s="106">
        <f>IF(C333="","",IF(AQ333="","",AQ333+'Paramètres'!$B$26))</f>
        <v/>
      </c>
      <c r="AS333" s="62">
        <f>IF(OR(C333="",D333="Gagné",D333="Perdu"),0,N(AP333)*IFERROR(INDEX('Paramètres'!$G$6:$G$13,MATCH(D333,'Paramètres'!$F$6:$F$13,0)),0))</f>
        <v/>
      </c>
      <c r="AT333" s="106">
        <f>IF(C333="","",IFERROR(1/(1/_xlfn.MINIFS('Saisie'!$A$5:$A$2004,'Saisie'!$C$5:$C$2004,C333,'Saisie'!$E$5:$E$2004,"Signature")),""))</f>
        <v/>
      </c>
      <c r="AU333" s="60">
        <f>IF(C333="","",IF(OR(AT333="",B333=""),"",AT333-B333))</f>
        <v/>
      </c>
      <c r="AV333" s="60">
        <f>IF(C333="","",IFERROR(INDEX('Saisie'!$L$5:$L$2004,_xlfn.MAXIFS('Saisie'!$AS$5:$AS$2004,'Saisie'!$C$5:$C$2004,C333,'Saisie'!$L$5:$L$2004,"&lt;&gt;")-4),""))</f>
        <v/>
      </c>
      <c r="AW333" s="106">
        <f>IF(C333="","",IF(D333&lt;&gt;"Perdu","",IFERROR(1/(1/_xlfn.MAXIFS('Saisie'!$A$5:$A$2004,'Saisie'!$C$5:$C$2004,C333,'Saisie'!$E$5:$E$2004,"Perdu")),"")))</f>
        <v/>
      </c>
      <c r="AX333" s="106">
        <f>IF(C333="","",IF(AW333="","",AW333+'Paramètres'!$B$28))</f>
        <v/>
      </c>
      <c r="AY333" s="60">
        <f>IF(C333="","",SUMIFS('Saisie'!$H$5:$H$2004,'Saisie'!$C$5:$C$2004,C333))</f>
        <v/>
      </c>
      <c r="AZ333" s="60">
        <f>IF(C333="","",IFERROR(INDEX('Paramètres'!$W$6:$W$20,MATCH(S333,'Paramètres'!$V$6:$V$20,0))&amp;"",""))</f>
        <v/>
      </c>
      <c r="BA333" s="60">
        <f>IF(C333="","",MAX(1,_xlfn.MAXIFS('Saisie'!$AT$5:$AT$2004,'Saisie'!$C$5:$C$2004,C333)))</f>
        <v/>
      </c>
      <c r="BB333" s="60">
        <f>IF(C333="","",IFERROR(INDEX('Saisie'!$X$5:$X$2004,_xlfn.MAXIFS('Saisie'!$AS$5:$AS$2004,'Saisie'!$C$5:$C$2004,C333,'Saisie'!$X$5:$X$2004,"&lt;&gt;")-4),""))</f>
        <v/>
      </c>
      <c r="BC333" s="60">
        <f>IF(C333="","",IFERROR(INDEX('Saisie'!$Y$5:$Y$2004,_xlfn.MAXIFS('Saisie'!$AS$5:$AS$2004,'Saisie'!$C$5:$C$2004,C333,'Saisie'!$Y$5:$Y$2004,"&lt;&gt;")-4),""))</f>
        <v/>
      </c>
      <c r="BD333" s="106">
        <f>IF(C333="","",IFERROR(1/(1/_xlfn.MINIFS('Saisie'!$A$5:$A$2004,'Saisie'!$C$5:$C$2004,C333,'Saisie'!$AT$5:$AT$2004,"&gt;=2")),""))</f>
        <v/>
      </c>
      <c r="BE333" s="106">
        <f>IF(C333="","",IFERROR(1/(1/_xlfn.MINIFS('Saisie'!$A$5:$A$2004,'Saisie'!$C$5:$C$2004,C333,'Saisie'!$AT$5:$AT$2004,"&gt;=3")),""))</f>
        <v/>
      </c>
      <c r="BF333" s="106">
        <f>IF(C333="","",IFERROR(1/(1/_xlfn.MINIFS('Saisie'!$A$5:$A$2004,'Saisie'!$C$5:$C$2004,C333,'Saisie'!$AT$5:$AT$2004,"&gt;=4")),""))</f>
        <v/>
      </c>
      <c r="BG333" s="106">
        <f>IF(C333="","",IFERROR(1/(1/_xlfn.MINIFS('Saisie'!$A$5:$A$2004,'Saisie'!$C$5:$C$2004,C333,'Saisie'!$AT$5:$AT$2004,"&gt;=5")),""))</f>
        <v/>
      </c>
      <c r="BH333" s="106">
        <f>IF(C333="","",IFERROR(1/(1/_xlfn.MINIFS('Saisie'!$A$5:$A$2004,'Saisie'!$C$5:$C$2004,C333,'Saisie'!$AT$5:$AT$2004,"&gt;=6")),""))</f>
        <v/>
      </c>
      <c r="BI333" s="106">
        <f>IF(C333="","",IFERROR(1/(1/_xlfn.MINIFS('Saisie'!$A$5:$A$2004,'Saisie'!$C$5:$C$2004,C333,'Saisie'!$AT$5:$AT$2004,"&gt;=7")),""))</f>
        <v/>
      </c>
      <c r="BJ333" s="60">
        <f>IF(OR(BD333="",B333=""),"",BD333-B333)</f>
        <v/>
      </c>
      <c r="BK333" s="60">
        <f>IF(OR(BE333="",BD333=""),"",BE333-BD333)</f>
        <v/>
      </c>
      <c r="BL333" s="60">
        <f>IF(OR(BF333="",BE333=""),"",BF333-BE333)</f>
        <v/>
      </c>
      <c r="BM333" s="60">
        <f>IF(OR(BG333="",BF333=""),"",BG333-BF333)</f>
        <v/>
      </c>
      <c r="BN333" s="60">
        <f>IF(OR(BH333="",BG333=""),"",BH333-BG333)</f>
        <v/>
      </c>
      <c r="BO333" s="60">
        <f>IF(OR(BI333="",BH333=""),"",BI333-BH333)</f>
        <v/>
      </c>
      <c r="BP333" s="60">
        <f>IF(C333="","",_xlfn.MAXIFS('Saisie'!$AS$5:$AS$2004,'Saisie'!$C$5:$C$2004,C333,'Saisie'!$J$5:$J$2004,"&lt;&gt;"))</f>
        <v/>
      </c>
      <c r="BQ333" s="60">
        <f>IF(C333="","",_xlfn.MAXIFS('Saisie'!$AS$5:$AS$2004,'Saisie'!$C$5:$C$2004,C333))</f>
        <v/>
      </c>
      <c r="BR333" s="60">
        <f>IF(C333="","",_xlfn.MAXIFS('Saisie'!$AS$5:$AS$2004,'Saisie'!$C$5:$C$2004,C333,'Saisie'!$E$5:$E$2004,"Perdu"))</f>
        <v/>
      </c>
      <c r="BS333" s="60">
        <f>IF(C333="","",_xlfn.MAXIFS('Saisie'!$AS$5:$AS$2004,'Saisie'!$C$5:$C$2004,C333,'Saisie'!$AT$5:$AT$2004,"&gt;0"))</f>
        <v/>
      </c>
      <c r="BT333" s="109">
        <f>IF(AND(C333&lt;&gt;"",OR(D333="Nouveau",D333="Contacté",D333="Qualifié"),OR(G333="",N(G333)&lt;=TODAY()),NOT(AND(O333&gt;='Paramètres'!$B$21,P333=0))),E333+329/10000,"")</f>
        <v/>
      </c>
      <c r="BU333" s="60">
        <f>IF(AND(G333&lt;&gt;"",N(G333)&lt;=TODAY()),MAX($BU$4:BU332)+1,"")</f>
        <v/>
      </c>
      <c r="BV333" s="60">
        <f>IF(AND(F333&lt;&gt;"",F333&lt;&gt;"Relance en retard"),MAX($BV$4:BV332)+1,"")</f>
        <v/>
      </c>
      <c r="BW333" s="60">
        <f>IF(C333="","",IF(AND(B333&gt;='Tableau de bord'!$R$4,B333&lt;='Tableau de bord'!$S$4,OR('Tableau de bord'!$G$4="Tous",N333='Tableau de bord'!$G$4)),1,0))</f>
        <v/>
      </c>
      <c r="BX333" s="60">
        <f>IF(AND(C333&lt;&gt;"",N(BA333)=7),MAX($BX$4:BX332)+1,"")</f>
        <v/>
      </c>
    </row>
    <row r="334">
      <c r="A334" s="60">
        <f>IF(C334="","","P-"&amp;TEXT(330,"000"))</f>
        <v/>
      </c>
      <c r="B334" s="106">
        <f>IF(C334="","",IFERROR(1/(1/_xlfn.MINIFS('Saisie'!$A$5:$A$2004,'Saisie'!$C$5:$C$2004,C334)),""))</f>
        <v/>
      </c>
      <c r="C334" s="60">
        <f>IFERROR(INDEX('Saisie'!$C$5:$C$2004,MATCH(330,'Saisie'!$AX$5:$AX$2004,0)),"")</f>
        <v/>
      </c>
      <c r="D334" s="60">
        <f>IF(C334="","",IF(AND(BR334&gt;0,BR334&gt;BS334,BA334&lt;7),"Perdu",INDEX('Paramètres'!$F$6:$F$13,BA334)))</f>
        <v/>
      </c>
      <c r="E334" s="61">
        <f>IF(C334="","",MIN(100,(Z334="Oui")*'Paramètres'!$B$38+(AB334="Régulière")*'Paramètres'!$B$39+IF(AND(N(AA334)&gt;0,TODAY()-N(AA334)&lt;=30),'Paramètres'!$B$40,0)+(W334="")*'Paramètres'!$B$41+(AC334="Absente")*'Paramètres'!$B$42+(AC334="Faible")*'Paramètres'!$B$43+IF(AND(N(AD334)&gt;0,N(AD334)&lt;4),'Paramètres'!$B$44,0)+(AF334="Moyenne")*'Paramètres'!$B$45+(AF334="Grande")*'Paramètres'!$B$46+(Y334&lt;&gt;"")*'Paramètres'!$B$47))</f>
        <v/>
      </c>
      <c r="F334" s="60">
        <f>IF(C334="","",IF(D334="Gagné","",IF(D334="Perdu",IF(AND(AX334&lt;&gt;"",AX334&lt;=TODAY()),"À recontacter (perdu)",""),IF(AND(O334&gt;='Paramètres'!$B$21,P334=0),"Stop : "&amp;'Paramètres'!$B$21&amp;" tentatives sans réponse",IF(AND(D334="Proposition",AR334&lt;&gt;"",TODAY()&gt;N(AR334)),"Proposition expirée",IF(AND(D334="Proposition",N(R334)&gt;='Paramètres'!$B$25),"Proposition sans réponse",IF(AND(G334&lt;&gt;"",N(G334)&lt;TODAY()),"Relance en retard",IF(N(R334)&gt;='Paramètres'!$B$24,"Sans action depuis "&amp;R334&amp;" j",""))))))))</f>
        <v/>
      </c>
      <c r="G334" s="106">
        <f>IF(OR(C334="",D334="Gagné",D334="Perdu"),"",IF(AND(BP334&gt;0,BP334=BQ334),INDEX('Saisie'!$J$5:$J$2004,BP334-4),IF(OR(O334=0,AND(O334&gt;='Paramètres'!$B$21,P334=0)),"",Q334+IF(O334&lt;=1,'Paramètres'!$B$18,IF(O334=2,'Paramètres'!$B$19,'Paramètres'!$B$20)))))</f>
        <v/>
      </c>
      <c r="H334" s="107">
        <f>IF(OR(G334="",BP334&lt;&gt;BQ334),"",IF(INDEX('Saisie'!$K$5:$K$2004,BP334-4)="","",INDEX('Saisie'!$K$5:$K$2004,BP334-4)))</f>
        <v/>
      </c>
      <c r="I334" s="60">
        <f>IF(C334="","",IF(OR(D334="Gagné",D334="Perdu"),"",IFERROR(INDEX('Saisie'!$I$5:$I$2004,_xlfn.MAXIFS('Saisie'!$AS$5:$AS$2004,'Saisie'!$C$5:$C$2004,C334,'Saisie'!$I$5:$I$2004,"&lt;&gt;")-4),"")))</f>
        <v/>
      </c>
      <c r="J334" s="60">
        <f>IF(C334="","",IFERROR(INDEX('Saisie'!$U$5:$U$2004,_xlfn.MAXIFS('Saisie'!$AS$5:$AS$2004,'Saisie'!$C$5:$C$2004,C334,'Saisie'!$U$5:$U$2004,"&lt;&gt;")-4),""))</f>
        <v/>
      </c>
      <c r="K334" s="60">
        <f>IF(C334="","",IFERROR(INDEX('Saisie'!$W$5:$W$2004,_xlfn.MAXIFS('Saisie'!$AS$5:$AS$2004,'Saisie'!$C$5:$C$2004,C334,'Saisie'!$W$5:$W$2004,"&lt;&gt;")-4),""))</f>
        <v/>
      </c>
      <c r="L334" s="60">
        <f>IF(IF(BB334&lt;&gt;"",BB334,K334)="","",HYPERLINK("https://wa.me/"&amp;IF(LEFT(SUBSTITUTE(SUBSTITUTE(SUBSTITUTE(IF(BB334&lt;&gt;"",BB334,K334)," ",""),".",""),"+",""),1)="0",'Paramètres'!$B$35&amp;MID(SUBSTITUTE(SUBSTITUTE(SUBSTITUTE(IF(BB334&lt;&gt;"",BB334,K334)," ",""),".",""),"+",""),2,20),SUBSTITUTE(SUBSTITUTE(SUBSTITUTE(IF(BB334&lt;&gt;"",BB334,K334)," ",""),".",""),"+","")),"WhatsApp"))</f>
        <v/>
      </c>
      <c r="M334" s="60">
        <f>IF(BC334="","",HYPERLINK(IF(LEFT(BC334,4)="http",BC334,"https://www.instagram.com/"&amp;SUBSTITUTE(SUBSTITUTE(BC334,"@","")," ","")),BC334))</f>
        <v/>
      </c>
      <c r="N334" s="60">
        <f>IF(C334="","",IFERROR(INDEX('Saisie'!$D$5:$D$2004,_xlfn.MINIFS('Saisie'!$AS$5:$AS$2004,'Saisie'!$C$5:$C$2004,C334,'Saisie'!$AU$5:$AU$2004,1)-4),IFERROR(INDEX('Saisie'!$D$5:$D$2004,_xlfn.MINIFS('Saisie'!$AS$5:$AS$2004,'Saisie'!$C$5:$C$2004,C334,'Saisie'!$D$5:$D$2004,"&lt;&gt;")-4),"")))</f>
        <v/>
      </c>
      <c r="O334" s="60">
        <f>IF(C334="","",COUNTIFS('Saisie'!$C$5:$C$2004,C334,'Saisie'!$AU$5:$AU$2004,1))</f>
        <v/>
      </c>
      <c r="P334" s="60">
        <f>IF(C334="","",COUNTIFS('Saisie'!$C$5:$C$2004,C334,'Saisie'!$AV$5:$AV$2004,1))</f>
        <v/>
      </c>
      <c r="Q334" s="106">
        <f>IF(C334="","",IFERROR(1/(1/_xlfn.MAXIFS('Saisie'!$A$5:$A$2004,'Saisie'!$C$5:$C$2004,C334)),""))</f>
        <v/>
      </c>
      <c r="R334" s="61">
        <f>IF(C334="","",IF(Q334="","",TODAY()-Q334))</f>
        <v/>
      </c>
      <c r="S334" s="60">
        <f>IF(C334="","",IFERROR(INDEX('Saisie'!$R$5:$R$2004,_xlfn.MAXIFS('Saisie'!$AS$5:$AS$2004,'Saisie'!$C$5:$C$2004,C334,'Saisie'!$R$5:$R$2004,"&lt;&gt;")-4),""))</f>
        <v/>
      </c>
      <c r="T334" s="60">
        <f>IF(C334="","",IFERROR(INDEX('Saisie'!$S$5:$S$2004,_xlfn.MAXIFS('Saisie'!$AS$5:$AS$2004,'Saisie'!$C$5:$C$2004,C334,'Saisie'!$S$5:$S$2004,"&lt;&gt;")-4),""))</f>
        <v/>
      </c>
      <c r="U334" s="60">
        <f>IF(C334="","",IFERROR(INDEX('Saisie'!$T$5:$T$2004,_xlfn.MAXIFS('Saisie'!$AS$5:$AS$2004,'Saisie'!$C$5:$C$2004,C334,'Saisie'!$T$5:$T$2004,"&lt;&gt;")-4),""))</f>
        <v/>
      </c>
      <c r="V334" s="60">
        <f>IF(C334="","",IFERROR(INDEX('Saisie'!$V$5:$V$2004,_xlfn.MAXIFS('Saisie'!$AS$5:$AS$2004,'Saisie'!$C$5:$C$2004,C334,'Saisie'!$V$5:$V$2004,"&lt;&gt;")-4),""))</f>
        <v/>
      </c>
      <c r="W334" s="60">
        <f>IF(C334="","",IFERROR(INDEX('Saisie'!$Z$5:$Z$2004,_xlfn.MAXIFS('Saisie'!$AS$5:$AS$2004,'Saisie'!$C$5:$C$2004,C334,'Saisie'!$Z$5:$Z$2004,"&lt;&gt;")-4),""))</f>
        <v/>
      </c>
      <c r="X334" s="60">
        <f>IF(C334="","",IFERROR(INDEX('Saisie'!$AA$5:$AA$2004,_xlfn.MAXIFS('Saisie'!$AS$5:$AS$2004,'Saisie'!$C$5:$C$2004,C334,'Saisie'!$AA$5:$AA$2004,"&lt;&gt;")-4),""))</f>
        <v/>
      </c>
      <c r="Y334" s="60">
        <f>IF(C334="","",IFERROR(INDEX('Saisie'!$AB$5:$AB$2004,_xlfn.MAXIFS('Saisie'!$AS$5:$AS$2004,'Saisie'!$C$5:$C$2004,C334,'Saisie'!$AB$5:$AB$2004,"&lt;&gt;")-4),""))</f>
        <v/>
      </c>
      <c r="Z334" s="60">
        <f>IF(C334="","",IFERROR(INDEX('Saisie'!$AC$5:$AC$2004,_xlfn.MAXIFS('Saisie'!$AS$5:$AS$2004,'Saisie'!$C$5:$C$2004,C334,'Saisie'!$AC$5:$AC$2004,"&lt;&gt;")-4),""))</f>
        <v/>
      </c>
      <c r="AA334" s="106">
        <f>IF(C334="","",IFERROR(INDEX('Saisie'!$AD$5:$AD$2004,_xlfn.MAXIFS('Saisie'!$AS$5:$AS$2004,'Saisie'!$C$5:$C$2004,C334,'Saisie'!$AD$5:$AD$2004,"&lt;&gt;")-4),""))</f>
        <v/>
      </c>
      <c r="AB334" s="60">
        <f>IF(C334="","",IFERROR(INDEX('Saisie'!$AE$5:$AE$2004,_xlfn.MAXIFS('Saisie'!$AS$5:$AS$2004,'Saisie'!$C$5:$C$2004,C334,'Saisie'!$AE$5:$AE$2004,"&lt;&gt;")-4),""))</f>
        <v/>
      </c>
      <c r="AC334" s="60">
        <f>IF(C334="","",IFERROR(INDEX('Saisie'!$AF$5:$AF$2004,_xlfn.MAXIFS('Saisie'!$AS$5:$AS$2004,'Saisie'!$C$5:$C$2004,C334,'Saisie'!$AF$5:$AF$2004,"&lt;&gt;")-4),""))</f>
        <v/>
      </c>
      <c r="AD334" s="108">
        <f>IF(C334="","",IFERROR(INDEX('Saisie'!$AG$5:$AG$2004,_xlfn.MAXIFS('Saisie'!$AS$5:$AS$2004,'Saisie'!$C$5:$C$2004,C334,'Saisie'!$AG$5:$AG$2004,"&lt;&gt;")-4),""))</f>
        <v/>
      </c>
      <c r="AE334" s="60">
        <f>IF(C334="","",IFERROR(INDEX('Saisie'!$AH$5:$AH$2004,_xlfn.MAXIFS('Saisie'!$AS$5:$AS$2004,'Saisie'!$C$5:$C$2004,C334,'Saisie'!$AH$5:$AH$2004,"&lt;&gt;")-4),""))</f>
        <v/>
      </c>
      <c r="AF334" s="60">
        <f>IF(C334="","",IFERROR(INDEX('Saisie'!$AI$5:$AI$2004,_xlfn.MAXIFS('Saisie'!$AS$5:$AS$2004,'Saisie'!$C$5:$C$2004,C334,'Saisie'!$AI$5:$AI$2004,"&lt;&gt;")-4),""))</f>
        <v/>
      </c>
      <c r="AG334" s="60">
        <f>IF(C334="","",IFERROR(INDEX('Saisie'!$AJ$5:$AJ$2004,_xlfn.MAXIFS('Saisie'!$AS$5:$AS$2004,'Saisie'!$C$5:$C$2004,C334,'Saisie'!$AJ$5:$AJ$2004,"&lt;&gt;")-4),""))</f>
        <v/>
      </c>
      <c r="AH334" s="60">
        <f>IF(C334="","",IFERROR(INDEX('Saisie'!$AK$5:$AK$2004,_xlfn.MAXIFS('Saisie'!$AS$5:$AS$2004,'Saisie'!$C$5:$C$2004,C334,'Saisie'!$AK$5:$AK$2004,"&lt;&gt;")-4),""))</f>
        <v/>
      </c>
      <c r="AI334" s="60">
        <f>IF(C334="","",IFERROR(INDEX('Saisie'!$AN$5:$AN$2004,_xlfn.MAXIFS('Saisie'!$AS$5:$AS$2004,'Saisie'!$C$5:$C$2004,C334,'Saisie'!$AN$5:$AN$2004,"&lt;&gt;")-4),""))</f>
        <v/>
      </c>
      <c r="AJ334" s="60">
        <f>IF(C334="","",IFERROR(INDEX('Saisie'!$AO$5:$AO$2004,_xlfn.MAXIFS('Saisie'!$AS$5:$AS$2004,'Saisie'!$C$5:$C$2004,C334,'Saisie'!$AO$5:$AO$2004,"&lt;&gt;")-4),""))</f>
        <v/>
      </c>
      <c r="AK334" s="60">
        <f>IF(C334="","",IFERROR(INDEX('Saisie'!$AP$5:$AP$2004,_xlfn.MAXIFS('Saisie'!$AS$5:$AS$2004,'Saisie'!$C$5:$C$2004,C334,'Saisie'!$AP$5:$AP$2004,"&lt;&gt;")-4),""))</f>
        <v/>
      </c>
      <c r="AL334" s="60">
        <f>IF(C334="","",IFERROR(INDEX('Saisie'!$AQ$5:$AQ$2004,_xlfn.MAXIFS('Saisie'!$AS$5:$AS$2004,'Saisie'!$C$5:$C$2004,C334,'Saisie'!$AQ$5:$AQ$2004,"&lt;&gt;")-4),""))</f>
        <v/>
      </c>
      <c r="AM334" s="60">
        <f>IF(C334="","",((AI334="Oui")+(AJ334="Oui")+(AK334="Oui")+OR(AL334="Immédiat",AL334="&lt; 1 mois"))&amp;"/4")</f>
        <v/>
      </c>
      <c r="AN334" s="60">
        <f>IF(C334="","",IFERROR(INDEX('Saisie'!$AL$5:$AL$2004,_xlfn.MAXIFS('Saisie'!$AS$5:$AS$2004,'Saisie'!$C$5:$C$2004,C334,'Saisie'!$AL$5:$AL$2004,"&lt;&gt;")-4),""))</f>
        <v/>
      </c>
      <c r="AO334" s="62">
        <f>IF(C334="","",IF(IFERROR(INDEX('Saisie'!$AM$5:$AM$2004,_xlfn.MAXIFS('Saisie'!$AS$5:$AS$2004,'Saisie'!$C$5:$C$2004,C334,'Saisie'!$AM$5:$AM$2004,"&lt;&gt;")-4),"")&lt;&gt;"",IFERROR(INDEX('Saisie'!$AM$5:$AM$2004,_xlfn.MAXIFS('Saisie'!$AS$5:$AS$2004,'Saisie'!$C$5:$C$2004,C334,'Saisie'!$AM$5:$AM$2004,"&lt;&gt;")-4),""),IFERROR(INDEX('Paramètres'!$S$6:$S$15,MATCH(AN334,'Paramètres'!$Q$6:$Q$15,0)),"")))</f>
        <v/>
      </c>
      <c r="AP334" s="62">
        <f>IF(C334="","",IFERROR(INDEX('Saisie'!$AW$5:$AW$2004,_xlfn.MAXIFS('Saisie'!$AS$5:$AS$2004,'Saisie'!$C$5:$C$2004,C334,'Saisie'!$E$5:$E$2004,"Proposition envoyée")-4),""))</f>
        <v/>
      </c>
      <c r="AQ334" s="106">
        <f>IF(C334="","",IFERROR(1/(1/_xlfn.MAXIFS('Saisie'!$A$5:$A$2004,'Saisie'!$C$5:$C$2004,C334,'Saisie'!$E$5:$E$2004,"Proposition envoyée")),""))</f>
        <v/>
      </c>
      <c r="AR334" s="106">
        <f>IF(C334="","",IF(AQ334="","",AQ334+'Paramètres'!$B$26))</f>
        <v/>
      </c>
      <c r="AS334" s="62">
        <f>IF(OR(C334="",D334="Gagné",D334="Perdu"),0,N(AP334)*IFERROR(INDEX('Paramètres'!$G$6:$G$13,MATCH(D334,'Paramètres'!$F$6:$F$13,0)),0))</f>
        <v/>
      </c>
      <c r="AT334" s="106">
        <f>IF(C334="","",IFERROR(1/(1/_xlfn.MINIFS('Saisie'!$A$5:$A$2004,'Saisie'!$C$5:$C$2004,C334,'Saisie'!$E$5:$E$2004,"Signature")),""))</f>
        <v/>
      </c>
      <c r="AU334" s="60">
        <f>IF(C334="","",IF(OR(AT334="",B334=""),"",AT334-B334))</f>
        <v/>
      </c>
      <c r="AV334" s="60">
        <f>IF(C334="","",IFERROR(INDEX('Saisie'!$L$5:$L$2004,_xlfn.MAXIFS('Saisie'!$AS$5:$AS$2004,'Saisie'!$C$5:$C$2004,C334,'Saisie'!$L$5:$L$2004,"&lt;&gt;")-4),""))</f>
        <v/>
      </c>
      <c r="AW334" s="106">
        <f>IF(C334="","",IF(D334&lt;&gt;"Perdu","",IFERROR(1/(1/_xlfn.MAXIFS('Saisie'!$A$5:$A$2004,'Saisie'!$C$5:$C$2004,C334,'Saisie'!$E$5:$E$2004,"Perdu")),"")))</f>
        <v/>
      </c>
      <c r="AX334" s="106">
        <f>IF(C334="","",IF(AW334="","",AW334+'Paramètres'!$B$28))</f>
        <v/>
      </c>
      <c r="AY334" s="60">
        <f>IF(C334="","",SUMIFS('Saisie'!$H$5:$H$2004,'Saisie'!$C$5:$C$2004,C334))</f>
        <v/>
      </c>
      <c r="AZ334" s="60">
        <f>IF(C334="","",IFERROR(INDEX('Paramètres'!$W$6:$W$20,MATCH(S334,'Paramètres'!$V$6:$V$20,0))&amp;"",""))</f>
        <v/>
      </c>
      <c r="BA334" s="60">
        <f>IF(C334="","",MAX(1,_xlfn.MAXIFS('Saisie'!$AT$5:$AT$2004,'Saisie'!$C$5:$C$2004,C334)))</f>
        <v/>
      </c>
      <c r="BB334" s="60">
        <f>IF(C334="","",IFERROR(INDEX('Saisie'!$X$5:$X$2004,_xlfn.MAXIFS('Saisie'!$AS$5:$AS$2004,'Saisie'!$C$5:$C$2004,C334,'Saisie'!$X$5:$X$2004,"&lt;&gt;")-4),""))</f>
        <v/>
      </c>
      <c r="BC334" s="60">
        <f>IF(C334="","",IFERROR(INDEX('Saisie'!$Y$5:$Y$2004,_xlfn.MAXIFS('Saisie'!$AS$5:$AS$2004,'Saisie'!$C$5:$C$2004,C334,'Saisie'!$Y$5:$Y$2004,"&lt;&gt;")-4),""))</f>
        <v/>
      </c>
      <c r="BD334" s="106">
        <f>IF(C334="","",IFERROR(1/(1/_xlfn.MINIFS('Saisie'!$A$5:$A$2004,'Saisie'!$C$5:$C$2004,C334,'Saisie'!$AT$5:$AT$2004,"&gt;=2")),""))</f>
        <v/>
      </c>
      <c r="BE334" s="106">
        <f>IF(C334="","",IFERROR(1/(1/_xlfn.MINIFS('Saisie'!$A$5:$A$2004,'Saisie'!$C$5:$C$2004,C334,'Saisie'!$AT$5:$AT$2004,"&gt;=3")),""))</f>
        <v/>
      </c>
      <c r="BF334" s="106">
        <f>IF(C334="","",IFERROR(1/(1/_xlfn.MINIFS('Saisie'!$A$5:$A$2004,'Saisie'!$C$5:$C$2004,C334,'Saisie'!$AT$5:$AT$2004,"&gt;=4")),""))</f>
        <v/>
      </c>
      <c r="BG334" s="106">
        <f>IF(C334="","",IFERROR(1/(1/_xlfn.MINIFS('Saisie'!$A$5:$A$2004,'Saisie'!$C$5:$C$2004,C334,'Saisie'!$AT$5:$AT$2004,"&gt;=5")),""))</f>
        <v/>
      </c>
      <c r="BH334" s="106">
        <f>IF(C334="","",IFERROR(1/(1/_xlfn.MINIFS('Saisie'!$A$5:$A$2004,'Saisie'!$C$5:$C$2004,C334,'Saisie'!$AT$5:$AT$2004,"&gt;=6")),""))</f>
        <v/>
      </c>
      <c r="BI334" s="106">
        <f>IF(C334="","",IFERROR(1/(1/_xlfn.MINIFS('Saisie'!$A$5:$A$2004,'Saisie'!$C$5:$C$2004,C334,'Saisie'!$AT$5:$AT$2004,"&gt;=7")),""))</f>
        <v/>
      </c>
      <c r="BJ334" s="60">
        <f>IF(OR(BD334="",B334=""),"",BD334-B334)</f>
        <v/>
      </c>
      <c r="BK334" s="60">
        <f>IF(OR(BE334="",BD334=""),"",BE334-BD334)</f>
        <v/>
      </c>
      <c r="BL334" s="60">
        <f>IF(OR(BF334="",BE334=""),"",BF334-BE334)</f>
        <v/>
      </c>
      <c r="BM334" s="60">
        <f>IF(OR(BG334="",BF334=""),"",BG334-BF334)</f>
        <v/>
      </c>
      <c r="BN334" s="60">
        <f>IF(OR(BH334="",BG334=""),"",BH334-BG334)</f>
        <v/>
      </c>
      <c r="BO334" s="60">
        <f>IF(OR(BI334="",BH334=""),"",BI334-BH334)</f>
        <v/>
      </c>
      <c r="BP334" s="60">
        <f>IF(C334="","",_xlfn.MAXIFS('Saisie'!$AS$5:$AS$2004,'Saisie'!$C$5:$C$2004,C334,'Saisie'!$J$5:$J$2004,"&lt;&gt;"))</f>
        <v/>
      </c>
      <c r="BQ334" s="60">
        <f>IF(C334="","",_xlfn.MAXIFS('Saisie'!$AS$5:$AS$2004,'Saisie'!$C$5:$C$2004,C334))</f>
        <v/>
      </c>
      <c r="BR334" s="60">
        <f>IF(C334="","",_xlfn.MAXIFS('Saisie'!$AS$5:$AS$2004,'Saisie'!$C$5:$C$2004,C334,'Saisie'!$E$5:$E$2004,"Perdu"))</f>
        <v/>
      </c>
      <c r="BS334" s="60">
        <f>IF(C334="","",_xlfn.MAXIFS('Saisie'!$AS$5:$AS$2004,'Saisie'!$C$5:$C$2004,C334,'Saisie'!$AT$5:$AT$2004,"&gt;0"))</f>
        <v/>
      </c>
      <c r="BT334" s="109">
        <f>IF(AND(C334&lt;&gt;"",OR(D334="Nouveau",D334="Contacté",D334="Qualifié"),OR(G334="",N(G334)&lt;=TODAY()),NOT(AND(O334&gt;='Paramètres'!$B$21,P334=0))),E334+330/10000,"")</f>
        <v/>
      </c>
      <c r="BU334" s="60">
        <f>IF(AND(G334&lt;&gt;"",N(G334)&lt;=TODAY()),MAX($BU$4:BU333)+1,"")</f>
        <v/>
      </c>
      <c r="BV334" s="60">
        <f>IF(AND(F334&lt;&gt;"",F334&lt;&gt;"Relance en retard"),MAX($BV$4:BV333)+1,"")</f>
        <v/>
      </c>
      <c r="BW334" s="60">
        <f>IF(C334="","",IF(AND(B334&gt;='Tableau de bord'!$R$4,B334&lt;='Tableau de bord'!$S$4,OR('Tableau de bord'!$G$4="Tous",N334='Tableau de bord'!$G$4)),1,0))</f>
        <v/>
      </c>
      <c r="BX334" s="60">
        <f>IF(AND(C334&lt;&gt;"",N(BA334)=7),MAX($BX$4:BX333)+1,"")</f>
        <v/>
      </c>
    </row>
    <row r="335">
      <c r="A335" s="60">
        <f>IF(C335="","","P-"&amp;TEXT(331,"000"))</f>
        <v/>
      </c>
      <c r="B335" s="106">
        <f>IF(C335="","",IFERROR(1/(1/_xlfn.MINIFS('Saisie'!$A$5:$A$2004,'Saisie'!$C$5:$C$2004,C335)),""))</f>
        <v/>
      </c>
      <c r="C335" s="60">
        <f>IFERROR(INDEX('Saisie'!$C$5:$C$2004,MATCH(331,'Saisie'!$AX$5:$AX$2004,0)),"")</f>
        <v/>
      </c>
      <c r="D335" s="60">
        <f>IF(C335="","",IF(AND(BR335&gt;0,BR335&gt;BS335,BA335&lt;7),"Perdu",INDEX('Paramètres'!$F$6:$F$13,BA335)))</f>
        <v/>
      </c>
      <c r="E335" s="61">
        <f>IF(C335="","",MIN(100,(Z335="Oui")*'Paramètres'!$B$38+(AB335="Régulière")*'Paramètres'!$B$39+IF(AND(N(AA335)&gt;0,TODAY()-N(AA335)&lt;=30),'Paramètres'!$B$40,0)+(W335="")*'Paramètres'!$B$41+(AC335="Absente")*'Paramètres'!$B$42+(AC335="Faible")*'Paramètres'!$B$43+IF(AND(N(AD335)&gt;0,N(AD335)&lt;4),'Paramètres'!$B$44,0)+(AF335="Moyenne")*'Paramètres'!$B$45+(AF335="Grande")*'Paramètres'!$B$46+(Y335&lt;&gt;"")*'Paramètres'!$B$47))</f>
        <v/>
      </c>
      <c r="F335" s="60">
        <f>IF(C335="","",IF(D335="Gagné","",IF(D335="Perdu",IF(AND(AX335&lt;&gt;"",AX335&lt;=TODAY()),"À recontacter (perdu)",""),IF(AND(O335&gt;='Paramètres'!$B$21,P335=0),"Stop : "&amp;'Paramètres'!$B$21&amp;" tentatives sans réponse",IF(AND(D335="Proposition",AR335&lt;&gt;"",TODAY()&gt;N(AR335)),"Proposition expirée",IF(AND(D335="Proposition",N(R335)&gt;='Paramètres'!$B$25),"Proposition sans réponse",IF(AND(G335&lt;&gt;"",N(G335)&lt;TODAY()),"Relance en retard",IF(N(R335)&gt;='Paramètres'!$B$24,"Sans action depuis "&amp;R335&amp;" j",""))))))))</f>
        <v/>
      </c>
      <c r="G335" s="106">
        <f>IF(OR(C335="",D335="Gagné",D335="Perdu"),"",IF(AND(BP335&gt;0,BP335=BQ335),INDEX('Saisie'!$J$5:$J$2004,BP335-4),IF(OR(O335=0,AND(O335&gt;='Paramètres'!$B$21,P335=0)),"",Q335+IF(O335&lt;=1,'Paramètres'!$B$18,IF(O335=2,'Paramètres'!$B$19,'Paramètres'!$B$20)))))</f>
        <v/>
      </c>
      <c r="H335" s="107">
        <f>IF(OR(G335="",BP335&lt;&gt;BQ335),"",IF(INDEX('Saisie'!$K$5:$K$2004,BP335-4)="","",INDEX('Saisie'!$K$5:$K$2004,BP335-4)))</f>
        <v/>
      </c>
      <c r="I335" s="60">
        <f>IF(C335="","",IF(OR(D335="Gagné",D335="Perdu"),"",IFERROR(INDEX('Saisie'!$I$5:$I$2004,_xlfn.MAXIFS('Saisie'!$AS$5:$AS$2004,'Saisie'!$C$5:$C$2004,C335,'Saisie'!$I$5:$I$2004,"&lt;&gt;")-4),"")))</f>
        <v/>
      </c>
      <c r="J335" s="60">
        <f>IF(C335="","",IFERROR(INDEX('Saisie'!$U$5:$U$2004,_xlfn.MAXIFS('Saisie'!$AS$5:$AS$2004,'Saisie'!$C$5:$C$2004,C335,'Saisie'!$U$5:$U$2004,"&lt;&gt;")-4),""))</f>
        <v/>
      </c>
      <c r="K335" s="60">
        <f>IF(C335="","",IFERROR(INDEX('Saisie'!$W$5:$W$2004,_xlfn.MAXIFS('Saisie'!$AS$5:$AS$2004,'Saisie'!$C$5:$C$2004,C335,'Saisie'!$W$5:$W$2004,"&lt;&gt;")-4),""))</f>
        <v/>
      </c>
      <c r="L335" s="60">
        <f>IF(IF(BB335&lt;&gt;"",BB335,K335)="","",HYPERLINK("https://wa.me/"&amp;IF(LEFT(SUBSTITUTE(SUBSTITUTE(SUBSTITUTE(IF(BB335&lt;&gt;"",BB335,K335)," ",""),".",""),"+",""),1)="0",'Paramètres'!$B$35&amp;MID(SUBSTITUTE(SUBSTITUTE(SUBSTITUTE(IF(BB335&lt;&gt;"",BB335,K335)," ",""),".",""),"+",""),2,20),SUBSTITUTE(SUBSTITUTE(SUBSTITUTE(IF(BB335&lt;&gt;"",BB335,K335)," ",""),".",""),"+","")),"WhatsApp"))</f>
        <v/>
      </c>
      <c r="M335" s="60">
        <f>IF(BC335="","",HYPERLINK(IF(LEFT(BC335,4)="http",BC335,"https://www.instagram.com/"&amp;SUBSTITUTE(SUBSTITUTE(BC335,"@","")," ","")),BC335))</f>
        <v/>
      </c>
      <c r="N335" s="60">
        <f>IF(C335="","",IFERROR(INDEX('Saisie'!$D$5:$D$2004,_xlfn.MINIFS('Saisie'!$AS$5:$AS$2004,'Saisie'!$C$5:$C$2004,C335,'Saisie'!$AU$5:$AU$2004,1)-4),IFERROR(INDEX('Saisie'!$D$5:$D$2004,_xlfn.MINIFS('Saisie'!$AS$5:$AS$2004,'Saisie'!$C$5:$C$2004,C335,'Saisie'!$D$5:$D$2004,"&lt;&gt;")-4),"")))</f>
        <v/>
      </c>
      <c r="O335" s="60">
        <f>IF(C335="","",COUNTIFS('Saisie'!$C$5:$C$2004,C335,'Saisie'!$AU$5:$AU$2004,1))</f>
        <v/>
      </c>
      <c r="P335" s="60">
        <f>IF(C335="","",COUNTIFS('Saisie'!$C$5:$C$2004,C335,'Saisie'!$AV$5:$AV$2004,1))</f>
        <v/>
      </c>
      <c r="Q335" s="106">
        <f>IF(C335="","",IFERROR(1/(1/_xlfn.MAXIFS('Saisie'!$A$5:$A$2004,'Saisie'!$C$5:$C$2004,C335)),""))</f>
        <v/>
      </c>
      <c r="R335" s="61">
        <f>IF(C335="","",IF(Q335="","",TODAY()-Q335))</f>
        <v/>
      </c>
      <c r="S335" s="60">
        <f>IF(C335="","",IFERROR(INDEX('Saisie'!$R$5:$R$2004,_xlfn.MAXIFS('Saisie'!$AS$5:$AS$2004,'Saisie'!$C$5:$C$2004,C335,'Saisie'!$R$5:$R$2004,"&lt;&gt;")-4),""))</f>
        <v/>
      </c>
      <c r="T335" s="60">
        <f>IF(C335="","",IFERROR(INDEX('Saisie'!$S$5:$S$2004,_xlfn.MAXIFS('Saisie'!$AS$5:$AS$2004,'Saisie'!$C$5:$C$2004,C335,'Saisie'!$S$5:$S$2004,"&lt;&gt;")-4),""))</f>
        <v/>
      </c>
      <c r="U335" s="60">
        <f>IF(C335="","",IFERROR(INDEX('Saisie'!$T$5:$T$2004,_xlfn.MAXIFS('Saisie'!$AS$5:$AS$2004,'Saisie'!$C$5:$C$2004,C335,'Saisie'!$T$5:$T$2004,"&lt;&gt;")-4),""))</f>
        <v/>
      </c>
      <c r="V335" s="60">
        <f>IF(C335="","",IFERROR(INDEX('Saisie'!$V$5:$V$2004,_xlfn.MAXIFS('Saisie'!$AS$5:$AS$2004,'Saisie'!$C$5:$C$2004,C335,'Saisie'!$V$5:$V$2004,"&lt;&gt;")-4),""))</f>
        <v/>
      </c>
      <c r="W335" s="60">
        <f>IF(C335="","",IFERROR(INDEX('Saisie'!$Z$5:$Z$2004,_xlfn.MAXIFS('Saisie'!$AS$5:$AS$2004,'Saisie'!$C$5:$C$2004,C335,'Saisie'!$Z$5:$Z$2004,"&lt;&gt;")-4),""))</f>
        <v/>
      </c>
      <c r="X335" s="60">
        <f>IF(C335="","",IFERROR(INDEX('Saisie'!$AA$5:$AA$2004,_xlfn.MAXIFS('Saisie'!$AS$5:$AS$2004,'Saisie'!$C$5:$C$2004,C335,'Saisie'!$AA$5:$AA$2004,"&lt;&gt;")-4),""))</f>
        <v/>
      </c>
      <c r="Y335" s="60">
        <f>IF(C335="","",IFERROR(INDEX('Saisie'!$AB$5:$AB$2004,_xlfn.MAXIFS('Saisie'!$AS$5:$AS$2004,'Saisie'!$C$5:$C$2004,C335,'Saisie'!$AB$5:$AB$2004,"&lt;&gt;")-4),""))</f>
        <v/>
      </c>
      <c r="Z335" s="60">
        <f>IF(C335="","",IFERROR(INDEX('Saisie'!$AC$5:$AC$2004,_xlfn.MAXIFS('Saisie'!$AS$5:$AS$2004,'Saisie'!$C$5:$C$2004,C335,'Saisie'!$AC$5:$AC$2004,"&lt;&gt;")-4),""))</f>
        <v/>
      </c>
      <c r="AA335" s="106">
        <f>IF(C335="","",IFERROR(INDEX('Saisie'!$AD$5:$AD$2004,_xlfn.MAXIFS('Saisie'!$AS$5:$AS$2004,'Saisie'!$C$5:$C$2004,C335,'Saisie'!$AD$5:$AD$2004,"&lt;&gt;")-4),""))</f>
        <v/>
      </c>
      <c r="AB335" s="60">
        <f>IF(C335="","",IFERROR(INDEX('Saisie'!$AE$5:$AE$2004,_xlfn.MAXIFS('Saisie'!$AS$5:$AS$2004,'Saisie'!$C$5:$C$2004,C335,'Saisie'!$AE$5:$AE$2004,"&lt;&gt;")-4),""))</f>
        <v/>
      </c>
      <c r="AC335" s="60">
        <f>IF(C335="","",IFERROR(INDEX('Saisie'!$AF$5:$AF$2004,_xlfn.MAXIFS('Saisie'!$AS$5:$AS$2004,'Saisie'!$C$5:$C$2004,C335,'Saisie'!$AF$5:$AF$2004,"&lt;&gt;")-4),""))</f>
        <v/>
      </c>
      <c r="AD335" s="108">
        <f>IF(C335="","",IFERROR(INDEX('Saisie'!$AG$5:$AG$2004,_xlfn.MAXIFS('Saisie'!$AS$5:$AS$2004,'Saisie'!$C$5:$C$2004,C335,'Saisie'!$AG$5:$AG$2004,"&lt;&gt;")-4),""))</f>
        <v/>
      </c>
      <c r="AE335" s="60">
        <f>IF(C335="","",IFERROR(INDEX('Saisie'!$AH$5:$AH$2004,_xlfn.MAXIFS('Saisie'!$AS$5:$AS$2004,'Saisie'!$C$5:$C$2004,C335,'Saisie'!$AH$5:$AH$2004,"&lt;&gt;")-4),""))</f>
        <v/>
      </c>
      <c r="AF335" s="60">
        <f>IF(C335="","",IFERROR(INDEX('Saisie'!$AI$5:$AI$2004,_xlfn.MAXIFS('Saisie'!$AS$5:$AS$2004,'Saisie'!$C$5:$C$2004,C335,'Saisie'!$AI$5:$AI$2004,"&lt;&gt;")-4),""))</f>
        <v/>
      </c>
      <c r="AG335" s="60">
        <f>IF(C335="","",IFERROR(INDEX('Saisie'!$AJ$5:$AJ$2004,_xlfn.MAXIFS('Saisie'!$AS$5:$AS$2004,'Saisie'!$C$5:$C$2004,C335,'Saisie'!$AJ$5:$AJ$2004,"&lt;&gt;")-4),""))</f>
        <v/>
      </c>
      <c r="AH335" s="60">
        <f>IF(C335="","",IFERROR(INDEX('Saisie'!$AK$5:$AK$2004,_xlfn.MAXIFS('Saisie'!$AS$5:$AS$2004,'Saisie'!$C$5:$C$2004,C335,'Saisie'!$AK$5:$AK$2004,"&lt;&gt;")-4),""))</f>
        <v/>
      </c>
      <c r="AI335" s="60">
        <f>IF(C335="","",IFERROR(INDEX('Saisie'!$AN$5:$AN$2004,_xlfn.MAXIFS('Saisie'!$AS$5:$AS$2004,'Saisie'!$C$5:$C$2004,C335,'Saisie'!$AN$5:$AN$2004,"&lt;&gt;")-4),""))</f>
        <v/>
      </c>
      <c r="AJ335" s="60">
        <f>IF(C335="","",IFERROR(INDEX('Saisie'!$AO$5:$AO$2004,_xlfn.MAXIFS('Saisie'!$AS$5:$AS$2004,'Saisie'!$C$5:$C$2004,C335,'Saisie'!$AO$5:$AO$2004,"&lt;&gt;")-4),""))</f>
        <v/>
      </c>
      <c r="AK335" s="60">
        <f>IF(C335="","",IFERROR(INDEX('Saisie'!$AP$5:$AP$2004,_xlfn.MAXIFS('Saisie'!$AS$5:$AS$2004,'Saisie'!$C$5:$C$2004,C335,'Saisie'!$AP$5:$AP$2004,"&lt;&gt;")-4),""))</f>
        <v/>
      </c>
      <c r="AL335" s="60">
        <f>IF(C335="","",IFERROR(INDEX('Saisie'!$AQ$5:$AQ$2004,_xlfn.MAXIFS('Saisie'!$AS$5:$AS$2004,'Saisie'!$C$5:$C$2004,C335,'Saisie'!$AQ$5:$AQ$2004,"&lt;&gt;")-4),""))</f>
        <v/>
      </c>
      <c r="AM335" s="60">
        <f>IF(C335="","",((AI335="Oui")+(AJ335="Oui")+(AK335="Oui")+OR(AL335="Immédiat",AL335="&lt; 1 mois"))&amp;"/4")</f>
        <v/>
      </c>
      <c r="AN335" s="60">
        <f>IF(C335="","",IFERROR(INDEX('Saisie'!$AL$5:$AL$2004,_xlfn.MAXIFS('Saisie'!$AS$5:$AS$2004,'Saisie'!$C$5:$C$2004,C335,'Saisie'!$AL$5:$AL$2004,"&lt;&gt;")-4),""))</f>
        <v/>
      </c>
      <c r="AO335" s="62">
        <f>IF(C335="","",IF(IFERROR(INDEX('Saisie'!$AM$5:$AM$2004,_xlfn.MAXIFS('Saisie'!$AS$5:$AS$2004,'Saisie'!$C$5:$C$2004,C335,'Saisie'!$AM$5:$AM$2004,"&lt;&gt;")-4),"")&lt;&gt;"",IFERROR(INDEX('Saisie'!$AM$5:$AM$2004,_xlfn.MAXIFS('Saisie'!$AS$5:$AS$2004,'Saisie'!$C$5:$C$2004,C335,'Saisie'!$AM$5:$AM$2004,"&lt;&gt;")-4),""),IFERROR(INDEX('Paramètres'!$S$6:$S$15,MATCH(AN335,'Paramètres'!$Q$6:$Q$15,0)),"")))</f>
        <v/>
      </c>
      <c r="AP335" s="62">
        <f>IF(C335="","",IFERROR(INDEX('Saisie'!$AW$5:$AW$2004,_xlfn.MAXIFS('Saisie'!$AS$5:$AS$2004,'Saisie'!$C$5:$C$2004,C335,'Saisie'!$E$5:$E$2004,"Proposition envoyée")-4),""))</f>
        <v/>
      </c>
      <c r="AQ335" s="106">
        <f>IF(C335="","",IFERROR(1/(1/_xlfn.MAXIFS('Saisie'!$A$5:$A$2004,'Saisie'!$C$5:$C$2004,C335,'Saisie'!$E$5:$E$2004,"Proposition envoyée")),""))</f>
        <v/>
      </c>
      <c r="AR335" s="106">
        <f>IF(C335="","",IF(AQ335="","",AQ335+'Paramètres'!$B$26))</f>
        <v/>
      </c>
      <c r="AS335" s="62">
        <f>IF(OR(C335="",D335="Gagné",D335="Perdu"),0,N(AP335)*IFERROR(INDEX('Paramètres'!$G$6:$G$13,MATCH(D335,'Paramètres'!$F$6:$F$13,0)),0))</f>
        <v/>
      </c>
      <c r="AT335" s="106">
        <f>IF(C335="","",IFERROR(1/(1/_xlfn.MINIFS('Saisie'!$A$5:$A$2004,'Saisie'!$C$5:$C$2004,C335,'Saisie'!$E$5:$E$2004,"Signature")),""))</f>
        <v/>
      </c>
      <c r="AU335" s="60">
        <f>IF(C335="","",IF(OR(AT335="",B335=""),"",AT335-B335))</f>
        <v/>
      </c>
      <c r="AV335" s="60">
        <f>IF(C335="","",IFERROR(INDEX('Saisie'!$L$5:$L$2004,_xlfn.MAXIFS('Saisie'!$AS$5:$AS$2004,'Saisie'!$C$5:$C$2004,C335,'Saisie'!$L$5:$L$2004,"&lt;&gt;")-4),""))</f>
        <v/>
      </c>
      <c r="AW335" s="106">
        <f>IF(C335="","",IF(D335&lt;&gt;"Perdu","",IFERROR(1/(1/_xlfn.MAXIFS('Saisie'!$A$5:$A$2004,'Saisie'!$C$5:$C$2004,C335,'Saisie'!$E$5:$E$2004,"Perdu")),"")))</f>
        <v/>
      </c>
      <c r="AX335" s="106">
        <f>IF(C335="","",IF(AW335="","",AW335+'Paramètres'!$B$28))</f>
        <v/>
      </c>
      <c r="AY335" s="60">
        <f>IF(C335="","",SUMIFS('Saisie'!$H$5:$H$2004,'Saisie'!$C$5:$C$2004,C335))</f>
        <v/>
      </c>
      <c r="AZ335" s="60">
        <f>IF(C335="","",IFERROR(INDEX('Paramètres'!$W$6:$W$20,MATCH(S335,'Paramètres'!$V$6:$V$20,0))&amp;"",""))</f>
        <v/>
      </c>
      <c r="BA335" s="60">
        <f>IF(C335="","",MAX(1,_xlfn.MAXIFS('Saisie'!$AT$5:$AT$2004,'Saisie'!$C$5:$C$2004,C335)))</f>
        <v/>
      </c>
      <c r="BB335" s="60">
        <f>IF(C335="","",IFERROR(INDEX('Saisie'!$X$5:$X$2004,_xlfn.MAXIFS('Saisie'!$AS$5:$AS$2004,'Saisie'!$C$5:$C$2004,C335,'Saisie'!$X$5:$X$2004,"&lt;&gt;")-4),""))</f>
        <v/>
      </c>
      <c r="BC335" s="60">
        <f>IF(C335="","",IFERROR(INDEX('Saisie'!$Y$5:$Y$2004,_xlfn.MAXIFS('Saisie'!$AS$5:$AS$2004,'Saisie'!$C$5:$C$2004,C335,'Saisie'!$Y$5:$Y$2004,"&lt;&gt;")-4),""))</f>
        <v/>
      </c>
      <c r="BD335" s="106">
        <f>IF(C335="","",IFERROR(1/(1/_xlfn.MINIFS('Saisie'!$A$5:$A$2004,'Saisie'!$C$5:$C$2004,C335,'Saisie'!$AT$5:$AT$2004,"&gt;=2")),""))</f>
        <v/>
      </c>
      <c r="BE335" s="106">
        <f>IF(C335="","",IFERROR(1/(1/_xlfn.MINIFS('Saisie'!$A$5:$A$2004,'Saisie'!$C$5:$C$2004,C335,'Saisie'!$AT$5:$AT$2004,"&gt;=3")),""))</f>
        <v/>
      </c>
      <c r="BF335" s="106">
        <f>IF(C335="","",IFERROR(1/(1/_xlfn.MINIFS('Saisie'!$A$5:$A$2004,'Saisie'!$C$5:$C$2004,C335,'Saisie'!$AT$5:$AT$2004,"&gt;=4")),""))</f>
        <v/>
      </c>
      <c r="BG335" s="106">
        <f>IF(C335="","",IFERROR(1/(1/_xlfn.MINIFS('Saisie'!$A$5:$A$2004,'Saisie'!$C$5:$C$2004,C335,'Saisie'!$AT$5:$AT$2004,"&gt;=5")),""))</f>
        <v/>
      </c>
      <c r="BH335" s="106">
        <f>IF(C335="","",IFERROR(1/(1/_xlfn.MINIFS('Saisie'!$A$5:$A$2004,'Saisie'!$C$5:$C$2004,C335,'Saisie'!$AT$5:$AT$2004,"&gt;=6")),""))</f>
        <v/>
      </c>
      <c r="BI335" s="106">
        <f>IF(C335="","",IFERROR(1/(1/_xlfn.MINIFS('Saisie'!$A$5:$A$2004,'Saisie'!$C$5:$C$2004,C335,'Saisie'!$AT$5:$AT$2004,"&gt;=7")),""))</f>
        <v/>
      </c>
      <c r="BJ335" s="60">
        <f>IF(OR(BD335="",B335=""),"",BD335-B335)</f>
        <v/>
      </c>
      <c r="BK335" s="60">
        <f>IF(OR(BE335="",BD335=""),"",BE335-BD335)</f>
        <v/>
      </c>
      <c r="BL335" s="60">
        <f>IF(OR(BF335="",BE335=""),"",BF335-BE335)</f>
        <v/>
      </c>
      <c r="BM335" s="60">
        <f>IF(OR(BG335="",BF335=""),"",BG335-BF335)</f>
        <v/>
      </c>
      <c r="BN335" s="60">
        <f>IF(OR(BH335="",BG335=""),"",BH335-BG335)</f>
        <v/>
      </c>
      <c r="BO335" s="60">
        <f>IF(OR(BI335="",BH335=""),"",BI335-BH335)</f>
        <v/>
      </c>
      <c r="BP335" s="60">
        <f>IF(C335="","",_xlfn.MAXIFS('Saisie'!$AS$5:$AS$2004,'Saisie'!$C$5:$C$2004,C335,'Saisie'!$J$5:$J$2004,"&lt;&gt;"))</f>
        <v/>
      </c>
      <c r="BQ335" s="60">
        <f>IF(C335="","",_xlfn.MAXIFS('Saisie'!$AS$5:$AS$2004,'Saisie'!$C$5:$C$2004,C335))</f>
        <v/>
      </c>
      <c r="BR335" s="60">
        <f>IF(C335="","",_xlfn.MAXIFS('Saisie'!$AS$5:$AS$2004,'Saisie'!$C$5:$C$2004,C335,'Saisie'!$E$5:$E$2004,"Perdu"))</f>
        <v/>
      </c>
      <c r="BS335" s="60">
        <f>IF(C335="","",_xlfn.MAXIFS('Saisie'!$AS$5:$AS$2004,'Saisie'!$C$5:$C$2004,C335,'Saisie'!$AT$5:$AT$2004,"&gt;0"))</f>
        <v/>
      </c>
      <c r="BT335" s="109">
        <f>IF(AND(C335&lt;&gt;"",OR(D335="Nouveau",D335="Contacté",D335="Qualifié"),OR(G335="",N(G335)&lt;=TODAY()),NOT(AND(O335&gt;='Paramètres'!$B$21,P335=0))),E335+331/10000,"")</f>
        <v/>
      </c>
      <c r="BU335" s="60">
        <f>IF(AND(G335&lt;&gt;"",N(G335)&lt;=TODAY()),MAX($BU$4:BU334)+1,"")</f>
        <v/>
      </c>
      <c r="BV335" s="60">
        <f>IF(AND(F335&lt;&gt;"",F335&lt;&gt;"Relance en retard"),MAX($BV$4:BV334)+1,"")</f>
        <v/>
      </c>
      <c r="BW335" s="60">
        <f>IF(C335="","",IF(AND(B335&gt;='Tableau de bord'!$R$4,B335&lt;='Tableau de bord'!$S$4,OR('Tableau de bord'!$G$4="Tous",N335='Tableau de bord'!$G$4)),1,0))</f>
        <v/>
      </c>
      <c r="BX335" s="60">
        <f>IF(AND(C335&lt;&gt;"",N(BA335)=7),MAX($BX$4:BX334)+1,"")</f>
        <v/>
      </c>
    </row>
    <row r="336">
      <c r="A336" s="60">
        <f>IF(C336="","","P-"&amp;TEXT(332,"000"))</f>
        <v/>
      </c>
      <c r="B336" s="106">
        <f>IF(C336="","",IFERROR(1/(1/_xlfn.MINIFS('Saisie'!$A$5:$A$2004,'Saisie'!$C$5:$C$2004,C336)),""))</f>
        <v/>
      </c>
      <c r="C336" s="60">
        <f>IFERROR(INDEX('Saisie'!$C$5:$C$2004,MATCH(332,'Saisie'!$AX$5:$AX$2004,0)),"")</f>
        <v/>
      </c>
      <c r="D336" s="60">
        <f>IF(C336="","",IF(AND(BR336&gt;0,BR336&gt;BS336,BA336&lt;7),"Perdu",INDEX('Paramètres'!$F$6:$F$13,BA336)))</f>
        <v/>
      </c>
      <c r="E336" s="61">
        <f>IF(C336="","",MIN(100,(Z336="Oui")*'Paramètres'!$B$38+(AB336="Régulière")*'Paramètres'!$B$39+IF(AND(N(AA336)&gt;0,TODAY()-N(AA336)&lt;=30),'Paramètres'!$B$40,0)+(W336="")*'Paramètres'!$B$41+(AC336="Absente")*'Paramètres'!$B$42+(AC336="Faible")*'Paramètres'!$B$43+IF(AND(N(AD336)&gt;0,N(AD336)&lt;4),'Paramètres'!$B$44,0)+(AF336="Moyenne")*'Paramètres'!$B$45+(AF336="Grande")*'Paramètres'!$B$46+(Y336&lt;&gt;"")*'Paramètres'!$B$47))</f>
        <v/>
      </c>
      <c r="F336" s="60">
        <f>IF(C336="","",IF(D336="Gagné","",IF(D336="Perdu",IF(AND(AX336&lt;&gt;"",AX336&lt;=TODAY()),"À recontacter (perdu)",""),IF(AND(O336&gt;='Paramètres'!$B$21,P336=0),"Stop : "&amp;'Paramètres'!$B$21&amp;" tentatives sans réponse",IF(AND(D336="Proposition",AR336&lt;&gt;"",TODAY()&gt;N(AR336)),"Proposition expirée",IF(AND(D336="Proposition",N(R336)&gt;='Paramètres'!$B$25),"Proposition sans réponse",IF(AND(G336&lt;&gt;"",N(G336)&lt;TODAY()),"Relance en retard",IF(N(R336)&gt;='Paramètres'!$B$24,"Sans action depuis "&amp;R336&amp;" j",""))))))))</f>
        <v/>
      </c>
      <c r="G336" s="106">
        <f>IF(OR(C336="",D336="Gagné",D336="Perdu"),"",IF(AND(BP336&gt;0,BP336=BQ336),INDEX('Saisie'!$J$5:$J$2004,BP336-4),IF(OR(O336=0,AND(O336&gt;='Paramètres'!$B$21,P336=0)),"",Q336+IF(O336&lt;=1,'Paramètres'!$B$18,IF(O336=2,'Paramètres'!$B$19,'Paramètres'!$B$20)))))</f>
        <v/>
      </c>
      <c r="H336" s="107">
        <f>IF(OR(G336="",BP336&lt;&gt;BQ336),"",IF(INDEX('Saisie'!$K$5:$K$2004,BP336-4)="","",INDEX('Saisie'!$K$5:$K$2004,BP336-4)))</f>
        <v/>
      </c>
      <c r="I336" s="60">
        <f>IF(C336="","",IF(OR(D336="Gagné",D336="Perdu"),"",IFERROR(INDEX('Saisie'!$I$5:$I$2004,_xlfn.MAXIFS('Saisie'!$AS$5:$AS$2004,'Saisie'!$C$5:$C$2004,C336,'Saisie'!$I$5:$I$2004,"&lt;&gt;")-4),"")))</f>
        <v/>
      </c>
      <c r="J336" s="60">
        <f>IF(C336="","",IFERROR(INDEX('Saisie'!$U$5:$U$2004,_xlfn.MAXIFS('Saisie'!$AS$5:$AS$2004,'Saisie'!$C$5:$C$2004,C336,'Saisie'!$U$5:$U$2004,"&lt;&gt;")-4),""))</f>
        <v/>
      </c>
      <c r="K336" s="60">
        <f>IF(C336="","",IFERROR(INDEX('Saisie'!$W$5:$W$2004,_xlfn.MAXIFS('Saisie'!$AS$5:$AS$2004,'Saisie'!$C$5:$C$2004,C336,'Saisie'!$W$5:$W$2004,"&lt;&gt;")-4),""))</f>
        <v/>
      </c>
      <c r="L336" s="60">
        <f>IF(IF(BB336&lt;&gt;"",BB336,K336)="","",HYPERLINK("https://wa.me/"&amp;IF(LEFT(SUBSTITUTE(SUBSTITUTE(SUBSTITUTE(IF(BB336&lt;&gt;"",BB336,K336)," ",""),".",""),"+",""),1)="0",'Paramètres'!$B$35&amp;MID(SUBSTITUTE(SUBSTITUTE(SUBSTITUTE(IF(BB336&lt;&gt;"",BB336,K336)," ",""),".",""),"+",""),2,20),SUBSTITUTE(SUBSTITUTE(SUBSTITUTE(IF(BB336&lt;&gt;"",BB336,K336)," ",""),".",""),"+","")),"WhatsApp"))</f>
        <v/>
      </c>
      <c r="M336" s="60">
        <f>IF(BC336="","",HYPERLINK(IF(LEFT(BC336,4)="http",BC336,"https://www.instagram.com/"&amp;SUBSTITUTE(SUBSTITUTE(BC336,"@","")," ","")),BC336))</f>
        <v/>
      </c>
      <c r="N336" s="60">
        <f>IF(C336="","",IFERROR(INDEX('Saisie'!$D$5:$D$2004,_xlfn.MINIFS('Saisie'!$AS$5:$AS$2004,'Saisie'!$C$5:$C$2004,C336,'Saisie'!$AU$5:$AU$2004,1)-4),IFERROR(INDEX('Saisie'!$D$5:$D$2004,_xlfn.MINIFS('Saisie'!$AS$5:$AS$2004,'Saisie'!$C$5:$C$2004,C336,'Saisie'!$D$5:$D$2004,"&lt;&gt;")-4),"")))</f>
        <v/>
      </c>
      <c r="O336" s="60">
        <f>IF(C336="","",COUNTIFS('Saisie'!$C$5:$C$2004,C336,'Saisie'!$AU$5:$AU$2004,1))</f>
        <v/>
      </c>
      <c r="P336" s="60">
        <f>IF(C336="","",COUNTIFS('Saisie'!$C$5:$C$2004,C336,'Saisie'!$AV$5:$AV$2004,1))</f>
        <v/>
      </c>
      <c r="Q336" s="106">
        <f>IF(C336="","",IFERROR(1/(1/_xlfn.MAXIFS('Saisie'!$A$5:$A$2004,'Saisie'!$C$5:$C$2004,C336)),""))</f>
        <v/>
      </c>
      <c r="R336" s="61">
        <f>IF(C336="","",IF(Q336="","",TODAY()-Q336))</f>
        <v/>
      </c>
      <c r="S336" s="60">
        <f>IF(C336="","",IFERROR(INDEX('Saisie'!$R$5:$R$2004,_xlfn.MAXIFS('Saisie'!$AS$5:$AS$2004,'Saisie'!$C$5:$C$2004,C336,'Saisie'!$R$5:$R$2004,"&lt;&gt;")-4),""))</f>
        <v/>
      </c>
      <c r="T336" s="60">
        <f>IF(C336="","",IFERROR(INDEX('Saisie'!$S$5:$S$2004,_xlfn.MAXIFS('Saisie'!$AS$5:$AS$2004,'Saisie'!$C$5:$C$2004,C336,'Saisie'!$S$5:$S$2004,"&lt;&gt;")-4),""))</f>
        <v/>
      </c>
      <c r="U336" s="60">
        <f>IF(C336="","",IFERROR(INDEX('Saisie'!$T$5:$T$2004,_xlfn.MAXIFS('Saisie'!$AS$5:$AS$2004,'Saisie'!$C$5:$C$2004,C336,'Saisie'!$T$5:$T$2004,"&lt;&gt;")-4),""))</f>
        <v/>
      </c>
      <c r="V336" s="60">
        <f>IF(C336="","",IFERROR(INDEX('Saisie'!$V$5:$V$2004,_xlfn.MAXIFS('Saisie'!$AS$5:$AS$2004,'Saisie'!$C$5:$C$2004,C336,'Saisie'!$V$5:$V$2004,"&lt;&gt;")-4),""))</f>
        <v/>
      </c>
      <c r="W336" s="60">
        <f>IF(C336="","",IFERROR(INDEX('Saisie'!$Z$5:$Z$2004,_xlfn.MAXIFS('Saisie'!$AS$5:$AS$2004,'Saisie'!$C$5:$C$2004,C336,'Saisie'!$Z$5:$Z$2004,"&lt;&gt;")-4),""))</f>
        <v/>
      </c>
      <c r="X336" s="60">
        <f>IF(C336="","",IFERROR(INDEX('Saisie'!$AA$5:$AA$2004,_xlfn.MAXIFS('Saisie'!$AS$5:$AS$2004,'Saisie'!$C$5:$C$2004,C336,'Saisie'!$AA$5:$AA$2004,"&lt;&gt;")-4),""))</f>
        <v/>
      </c>
      <c r="Y336" s="60">
        <f>IF(C336="","",IFERROR(INDEX('Saisie'!$AB$5:$AB$2004,_xlfn.MAXIFS('Saisie'!$AS$5:$AS$2004,'Saisie'!$C$5:$C$2004,C336,'Saisie'!$AB$5:$AB$2004,"&lt;&gt;")-4),""))</f>
        <v/>
      </c>
      <c r="Z336" s="60">
        <f>IF(C336="","",IFERROR(INDEX('Saisie'!$AC$5:$AC$2004,_xlfn.MAXIFS('Saisie'!$AS$5:$AS$2004,'Saisie'!$C$5:$C$2004,C336,'Saisie'!$AC$5:$AC$2004,"&lt;&gt;")-4),""))</f>
        <v/>
      </c>
      <c r="AA336" s="106">
        <f>IF(C336="","",IFERROR(INDEX('Saisie'!$AD$5:$AD$2004,_xlfn.MAXIFS('Saisie'!$AS$5:$AS$2004,'Saisie'!$C$5:$C$2004,C336,'Saisie'!$AD$5:$AD$2004,"&lt;&gt;")-4),""))</f>
        <v/>
      </c>
      <c r="AB336" s="60">
        <f>IF(C336="","",IFERROR(INDEX('Saisie'!$AE$5:$AE$2004,_xlfn.MAXIFS('Saisie'!$AS$5:$AS$2004,'Saisie'!$C$5:$C$2004,C336,'Saisie'!$AE$5:$AE$2004,"&lt;&gt;")-4),""))</f>
        <v/>
      </c>
      <c r="AC336" s="60">
        <f>IF(C336="","",IFERROR(INDEX('Saisie'!$AF$5:$AF$2004,_xlfn.MAXIFS('Saisie'!$AS$5:$AS$2004,'Saisie'!$C$5:$C$2004,C336,'Saisie'!$AF$5:$AF$2004,"&lt;&gt;")-4),""))</f>
        <v/>
      </c>
      <c r="AD336" s="108">
        <f>IF(C336="","",IFERROR(INDEX('Saisie'!$AG$5:$AG$2004,_xlfn.MAXIFS('Saisie'!$AS$5:$AS$2004,'Saisie'!$C$5:$C$2004,C336,'Saisie'!$AG$5:$AG$2004,"&lt;&gt;")-4),""))</f>
        <v/>
      </c>
      <c r="AE336" s="60">
        <f>IF(C336="","",IFERROR(INDEX('Saisie'!$AH$5:$AH$2004,_xlfn.MAXIFS('Saisie'!$AS$5:$AS$2004,'Saisie'!$C$5:$C$2004,C336,'Saisie'!$AH$5:$AH$2004,"&lt;&gt;")-4),""))</f>
        <v/>
      </c>
      <c r="AF336" s="60">
        <f>IF(C336="","",IFERROR(INDEX('Saisie'!$AI$5:$AI$2004,_xlfn.MAXIFS('Saisie'!$AS$5:$AS$2004,'Saisie'!$C$5:$C$2004,C336,'Saisie'!$AI$5:$AI$2004,"&lt;&gt;")-4),""))</f>
        <v/>
      </c>
      <c r="AG336" s="60">
        <f>IF(C336="","",IFERROR(INDEX('Saisie'!$AJ$5:$AJ$2004,_xlfn.MAXIFS('Saisie'!$AS$5:$AS$2004,'Saisie'!$C$5:$C$2004,C336,'Saisie'!$AJ$5:$AJ$2004,"&lt;&gt;")-4),""))</f>
        <v/>
      </c>
      <c r="AH336" s="60">
        <f>IF(C336="","",IFERROR(INDEX('Saisie'!$AK$5:$AK$2004,_xlfn.MAXIFS('Saisie'!$AS$5:$AS$2004,'Saisie'!$C$5:$C$2004,C336,'Saisie'!$AK$5:$AK$2004,"&lt;&gt;")-4),""))</f>
        <v/>
      </c>
      <c r="AI336" s="60">
        <f>IF(C336="","",IFERROR(INDEX('Saisie'!$AN$5:$AN$2004,_xlfn.MAXIFS('Saisie'!$AS$5:$AS$2004,'Saisie'!$C$5:$C$2004,C336,'Saisie'!$AN$5:$AN$2004,"&lt;&gt;")-4),""))</f>
        <v/>
      </c>
      <c r="AJ336" s="60">
        <f>IF(C336="","",IFERROR(INDEX('Saisie'!$AO$5:$AO$2004,_xlfn.MAXIFS('Saisie'!$AS$5:$AS$2004,'Saisie'!$C$5:$C$2004,C336,'Saisie'!$AO$5:$AO$2004,"&lt;&gt;")-4),""))</f>
        <v/>
      </c>
      <c r="AK336" s="60">
        <f>IF(C336="","",IFERROR(INDEX('Saisie'!$AP$5:$AP$2004,_xlfn.MAXIFS('Saisie'!$AS$5:$AS$2004,'Saisie'!$C$5:$C$2004,C336,'Saisie'!$AP$5:$AP$2004,"&lt;&gt;")-4),""))</f>
        <v/>
      </c>
      <c r="AL336" s="60">
        <f>IF(C336="","",IFERROR(INDEX('Saisie'!$AQ$5:$AQ$2004,_xlfn.MAXIFS('Saisie'!$AS$5:$AS$2004,'Saisie'!$C$5:$C$2004,C336,'Saisie'!$AQ$5:$AQ$2004,"&lt;&gt;")-4),""))</f>
        <v/>
      </c>
      <c r="AM336" s="60">
        <f>IF(C336="","",((AI336="Oui")+(AJ336="Oui")+(AK336="Oui")+OR(AL336="Immédiat",AL336="&lt; 1 mois"))&amp;"/4")</f>
        <v/>
      </c>
      <c r="AN336" s="60">
        <f>IF(C336="","",IFERROR(INDEX('Saisie'!$AL$5:$AL$2004,_xlfn.MAXIFS('Saisie'!$AS$5:$AS$2004,'Saisie'!$C$5:$C$2004,C336,'Saisie'!$AL$5:$AL$2004,"&lt;&gt;")-4),""))</f>
        <v/>
      </c>
      <c r="AO336" s="62">
        <f>IF(C336="","",IF(IFERROR(INDEX('Saisie'!$AM$5:$AM$2004,_xlfn.MAXIFS('Saisie'!$AS$5:$AS$2004,'Saisie'!$C$5:$C$2004,C336,'Saisie'!$AM$5:$AM$2004,"&lt;&gt;")-4),"")&lt;&gt;"",IFERROR(INDEX('Saisie'!$AM$5:$AM$2004,_xlfn.MAXIFS('Saisie'!$AS$5:$AS$2004,'Saisie'!$C$5:$C$2004,C336,'Saisie'!$AM$5:$AM$2004,"&lt;&gt;")-4),""),IFERROR(INDEX('Paramètres'!$S$6:$S$15,MATCH(AN336,'Paramètres'!$Q$6:$Q$15,0)),"")))</f>
        <v/>
      </c>
      <c r="AP336" s="62">
        <f>IF(C336="","",IFERROR(INDEX('Saisie'!$AW$5:$AW$2004,_xlfn.MAXIFS('Saisie'!$AS$5:$AS$2004,'Saisie'!$C$5:$C$2004,C336,'Saisie'!$E$5:$E$2004,"Proposition envoyée")-4),""))</f>
        <v/>
      </c>
      <c r="AQ336" s="106">
        <f>IF(C336="","",IFERROR(1/(1/_xlfn.MAXIFS('Saisie'!$A$5:$A$2004,'Saisie'!$C$5:$C$2004,C336,'Saisie'!$E$5:$E$2004,"Proposition envoyée")),""))</f>
        <v/>
      </c>
      <c r="AR336" s="106">
        <f>IF(C336="","",IF(AQ336="","",AQ336+'Paramètres'!$B$26))</f>
        <v/>
      </c>
      <c r="AS336" s="62">
        <f>IF(OR(C336="",D336="Gagné",D336="Perdu"),0,N(AP336)*IFERROR(INDEX('Paramètres'!$G$6:$G$13,MATCH(D336,'Paramètres'!$F$6:$F$13,0)),0))</f>
        <v/>
      </c>
      <c r="AT336" s="106">
        <f>IF(C336="","",IFERROR(1/(1/_xlfn.MINIFS('Saisie'!$A$5:$A$2004,'Saisie'!$C$5:$C$2004,C336,'Saisie'!$E$5:$E$2004,"Signature")),""))</f>
        <v/>
      </c>
      <c r="AU336" s="60">
        <f>IF(C336="","",IF(OR(AT336="",B336=""),"",AT336-B336))</f>
        <v/>
      </c>
      <c r="AV336" s="60">
        <f>IF(C336="","",IFERROR(INDEX('Saisie'!$L$5:$L$2004,_xlfn.MAXIFS('Saisie'!$AS$5:$AS$2004,'Saisie'!$C$5:$C$2004,C336,'Saisie'!$L$5:$L$2004,"&lt;&gt;")-4),""))</f>
        <v/>
      </c>
      <c r="AW336" s="106">
        <f>IF(C336="","",IF(D336&lt;&gt;"Perdu","",IFERROR(1/(1/_xlfn.MAXIFS('Saisie'!$A$5:$A$2004,'Saisie'!$C$5:$C$2004,C336,'Saisie'!$E$5:$E$2004,"Perdu")),"")))</f>
        <v/>
      </c>
      <c r="AX336" s="106">
        <f>IF(C336="","",IF(AW336="","",AW336+'Paramètres'!$B$28))</f>
        <v/>
      </c>
      <c r="AY336" s="60">
        <f>IF(C336="","",SUMIFS('Saisie'!$H$5:$H$2004,'Saisie'!$C$5:$C$2004,C336))</f>
        <v/>
      </c>
      <c r="AZ336" s="60">
        <f>IF(C336="","",IFERROR(INDEX('Paramètres'!$W$6:$W$20,MATCH(S336,'Paramètres'!$V$6:$V$20,0))&amp;"",""))</f>
        <v/>
      </c>
      <c r="BA336" s="60">
        <f>IF(C336="","",MAX(1,_xlfn.MAXIFS('Saisie'!$AT$5:$AT$2004,'Saisie'!$C$5:$C$2004,C336)))</f>
        <v/>
      </c>
      <c r="BB336" s="60">
        <f>IF(C336="","",IFERROR(INDEX('Saisie'!$X$5:$X$2004,_xlfn.MAXIFS('Saisie'!$AS$5:$AS$2004,'Saisie'!$C$5:$C$2004,C336,'Saisie'!$X$5:$X$2004,"&lt;&gt;")-4),""))</f>
        <v/>
      </c>
      <c r="BC336" s="60">
        <f>IF(C336="","",IFERROR(INDEX('Saisie'!$Y$5:$Y$2004,_xlfn.MAXIFS('Saisie'!$AS$5:$AS$2004,'Saisie'!$C$5:$C$2004,C336,'Saisie'!$Y$5:$Y$2004,"&lt;&gt;")-4),""))</f>
        <v/>
      </c>
      <c r="BD336" s="106">
        <f>IF(C336="","",IFERROR(1/(1/_xlfn.MINIFS('Saisie'!$A$5:$A$2004,'Saisie'!$C$5:$C$2004,C336,'Saisie'!$AT$5:$AT$2004,"&gt;=2")),""))</f>
        <v/>
      </c>
      <c r="BE336" s="106">
        <f>IF(C336="","",IFERROR(1/(1/_xlfn.MINIFS('Saisie'!$A$5:$A$2004,'Saisie'!$C$5:$C$2004,C336,'Saisie'!$AT$5:$AT$2004,"&gt;=3")),""))</f>
        <v/>
      </c>
      <c r="BF336" s="106">
        <f>IF(C336="","",IFERROR(1/(1/_xlfn.MINIFS('Saisie'!$A$5:$A$2004,'Saisie'!$C$5:$C$2004,C336,'Saisie'!$AT$5:$AT$2004,"&gt;=4")),""))</f>
        <v/>
      </c>
      <c r="BG336" s="106">
        <f>IF(C336="","",IFERROR(1/(1/_xlfn.MINIFS('Saisie'!$A$5:$A$2004,'Saisie'!$C$5:$C$2004,C336,'Saisie'!$AT$5:$AT$2004,"&gt;=5")),""))</f>
        <v/>
      </c>
      <c r="BH336" s="106">
        <f>IF(C336="","",IFERROR(1/(1/_xlfn.MINIFS('Saisie'!$A$5:$A$2004,'Saisie'!$C$5:$C$2004,C336,'Saisie'!$AT$5:$AT$2004,"&gt;=6")),""))</f>
        <v/>
      </c>
      <c r="BI336" s="106">
        <f>IF(C336="","",IFERROR(1/(1/_xlfn.MINIFS('Saisie'!$A$5:$A$2004,'Saisie'!$C$5:$C$2004,C336,'Saisie'!$AT$5:$AT$2004,"&gt;=7")),""))</f>
        <v/>
      </c>
      <c r="BJ336" s="60">
        <f>IF(OR(BD336="",B336=""),"",BD336-B336)</f>
        <v/>
      </c>
      <c r="BK336" s="60">
        <f>IF(OR(BE336="",BD336=""),"",BE336-BD336)</f>
        <v/>
      </c>
      <c r="BL336" s="60">
        <f>IF(OR(BF336="",BE336=""),"",BF336-BE336)</f>
        <v/>
      </c>
      <c r="BM336" s="60">
        <f>IF(OR(BG336="",BF336=""),"",BG336-BF336)</f>
        <v/>
      </c>
      <c r="BN336" s="60">
        <f>IF(OR(BH336="",BG336=""),"",BH336-BG336)</f>
        <v/>
      </c>
      <c r="BO336" s="60">
        <f>IF(OR(BI336="",BH336=""),"",BI336-BH336)</f>
        <v/>
      </c>
      <c r="BP336" s="60">
        <f>IF(C336="","",_xlfn.MAXIFS('Saisie'!$AS$5:$AS$2004,'Saisie'!$C$5:$C$2004,C336,'Saisie'!$J$5:$J$2004,"&lt;&gt;"))</f>
        <v/>
      </c>
      <c r="BQ336" s="60">
        <f>IF(C336="","",_xlfn.MAXIFS('Saisie'!$AS$5:$AS$2004,'Saisie'!$C$5:$C$2004,C336))</f>
        <v/>
      </c>
      <c r="BR336" s="60">
        <f>IF(C336="","",_xlfn.MAXIFS('Saisie'!$AS$5:$AS$2004,'Saisie'!$C$5:$C$2004,C336,'Saisie'!$E$5:$E$2004,"Perdu"))</f>
        <v/>
      </c>
      <c r="BS336" s="60">
        <f>IF(C336="","",_xlfn.MAXIFS('Saisie'!$AS$5:$AS$2004,'Saisie'!$C$5:$C$2004,C336,'Saisie'!$AT$5:$AT$2004,"&gt;0"))</f>
        <v/>
      </c>
      <c r="BT336" s="109">
        <f>IF(AND(C336&lt;&gt;"",OR(D336="Nouveau",D336="Contacté",D336="Qualifié"),OR(G336="",N(G336)&lt;=TODAY()),NOT(AND(O336&gt;='Paramètres'!$B$21,P336=0))),E336+332/10000,"")</f>
        <v/>
      </c>
      <c r="BU336" s="60">
        <f>IF(AND(G336&lt;&gt;"",N(G336)&lt;=TODAY()),MAX($BU$4:BU335)+1,"")</f>
        <v/>
      </c>
      <c r="BV336" s="60">
        <f>IF(AND(F336&lt;&gt;"",F336&lt;&gt;"Relance en retard"),MAX($BV$4:BV335)+1,"")</f>
        <v/>
      </c>
      <c r="BW336" s="60">
        <f>IF(C336="","",IF(AND(B336&gt;='Tableau de bord'!$R$4,B336&lt;='Tableau de bord'!$S$4,OR('Tableau de bord'!$G$4="Tous",N336='Tableau de bord'!$G$4)),1,0))</f>
        <v/>
      </c>
      <c r="BX336" s="60">
        <f>IF(AND(C336&lt;&gt;"",N(BA336)=7),MAX($BX$4:BX335)+1,"")</f>
        <v/>
      </c>
    </row>
    <row r="337">
      <c r="A337" s="60">
        <f>IF(C337="","","P-"&amp;TEXT(333,"000"))</f>
        <v/>
      </c>
      <c r="B337" s="106">
        <f>IF(C337="","",IFERROR(1/(1/_xlfn.MINIFS('Saisie'!$A$5:$A$2004,'Saisie'!$C$5:$C$2004,C337)),""))</f>
        <v/>
      </c>
      <c r="C337" s="60">
        <f>IFERROR(INDEX('Saisie'!$C$5:$C$2004,MATCH(333,'Saisie'!$AX$5:$AX$2004,0)),"")</f>
        <v/>
      </c>
      <c r="D337" s="60">
        <f>IF(C337="","",IF(AND(BR337&gt;0,BR337&gt;BS337,BA337&lt;7),"Perdu",INDEX('Paramètres'!$F$6:$F$13,BA337)))</f>
        <v/>
      </c>
      <c r="E337" s="61">
        <f>IF(C337="","",MIN(100,(Z337="Oui")*'Paramètres'!$B$38+(AB337="Régulière")*'Paramètres'!$B$39+IF(AND(N(AA337)&gt;0,TODAY()-N(AA337)&lt;=30),'Paramètres'!$B$40,0)+(W337="")*'Paramètres'!$B$41+(AC337="Absente")*'Paramètres'!$B$42+(AC337="Faible")*'Paramètres'!$B$43+IF(AND(N(AD337)&gt;0,N(AD337)&lt;4),'Paramètres'!$B$44,0)+(AF337="Moyenne")*'Paramètres'!$B$45+(AF337="Grande")*'Paramètres'!$B$46+(Y337&lt;&gt;"")*'Paramètres'!$B$47))</f>
        <v/>
      </c>
      <c r="F337" s="60">
        <f>IF(C337="","",IF(D337="Gagné","",IF(D337="Perdu",IF(AND(AX337&lt;&gt;"",AX337&lt;=TODAY()),"À recontacter (perdu)",""),IF(AND(O337&gt;='Paramètres'!$B$21,P337=0),"Stop : "&amp;'Paramètres'!$B$21&amp;" tentatives sans réponse",IF(AND(D337="Proposition",AR337&lt;&gt;"",TODAY()&gt;N(AR337)),"Proposition expirée",IF(AND(D337="Proposition",N(R337)&gt;='Paramètres'!$B$25),"Proposition sans réponse",IF(AND(G337&lt;&gt;"",N(G337)&lt;TODAY()),"Relance en retard",IF(N(R337)&gt;='Paramètres'!$B$24,"Sans action depuis "&amp;R337&amp;" j",""))))))))</f>
        <v/>
      </c>
      <c r="G337" s="106">
        <f>IF(OR(C337="",D337="Gagné",D337="Perdu"),"",IF(AND(BP337&gt;0,BP337=BQ337),INDEX('Saisie'!$J$5:$J$2004,BP337-4),IF(OR(O337=0,AND(O337&gt;='Paramètres'!$B$21,P337=0)),"",Q337+IF(O337&lt;=1,'Paramètres'!$B$18,IF(O337=2,'Paramètres'!$B$19,'Paramètres'!$B$20)))))</f>
        <v/>
      </c>
      <c r="H337" s="107">
        <f>IF(OR(G337="",BP337&lt;&gt;BQ337),"",IF(INDEX('Saisie'!$K$5:$K$2004,BP337-4)="","",INDEX('Saisie'!$K$5:$K$2004,BP337-4)))</f>
        <v/>
      </c>
      <c r="I337" s="60">
        <f>IF(C337="","",IF(OR(D337="Gagné",D337="Perdu"),"",IFERROR(INDEX('Saisie'!$I$5:$I$2004,_xlfn.MAXIFS('Saisie'!$AS$5:$AS$2004,'Saisie'!$C$5:$C$2004,C337,'Saisie'!$I$5:$I$2004,"&lt;&gt;")-4),"")))</f>
        <v/>
      </c>
      <c r="J337" s="60">
        <f>IF(C337="","",IFERROR(INDEX('Saisie'!$U$5:$U$2004,_xlfn.MAXIFS('Saisie'!$AS$5:$AS$2004,'Saisie'!$C$5:$C$2004,C337,'Saisie'!$U$5:$U$2004,"&lt;&gt;")-4),""))</f>
        <v/>
      </c>
      <c r="K337" s="60">
        <f>IF(C337="","",IFERROR(INDEX('Saisie'!$W$5:$W$2004,_xlfn.MAXIFS('Saisie'!$AS$5:$AS$2004,'Saisie'!$C$5:$C$2004,C337,'Saisie'!$W$5:$W$2004,"&lt;&gt;")-4),""))</f>
        <v/>
      </c>
      <c r="L337" s="60">
        <f>IF(IF(BB337&lt;&gt;"",BB337,K337)="","",HYPERLINK("https://wa.me/"&amp;IF(LEFT(SUBSTITUTE(SUBSTITUTE(SUBSTITUTE(IF(BB337&lt;&gt;"",BB337,K337)," ",""),".",""),"+",""),1)="0",'Paramètres'!$B$35&amp;MID(SUBSTITUTE(SUBSTITUTE(SUBSTITUTE(IF(BB337&lt;&gt;"",BB337,K337)," ",""),".",""),"+",""),2,20),SUBSTITUTE(SUBSTITUTE(SUBSTITUTE(IF(BB337&lt;&gt;"",BB337,K337)," ",""),".",""),"+","")),"WhatsApp"))</f>
        <v/>
      </c>
      <c r="M337" s="60">
        <f>IF(BC337="","",HYPERLINK(IF(LEFT(BC337,4)="http",BC337,"https://www.instagram.com/"&amp;SUBSTITUTE(SUBSTITUTE(BC337,"@","")," ","")),BC337))</f>
        <v/>
      </c>
      <c r="N337" s="60">
        <f>IF(C337="","",IFERROR(INDEX('Saisie'!$D$5:$D$2004,_xlfn.MINIFS('Saisie'!$AS$5:$AS$2004,'Saisie'!$C$5:$C$2004,C337,'Saisie'!$AU$5:$AU$2004,1)-4),IFERROR(INDEX('Saisie'!$D$5:$D$2004,_xlfn.MINIFS('Saisie'!$AS$5:$AS$2004,'Saisie'!$C$5:$C$2004,C337,'Saisie'!$D$5:$D$2004,"&lt;&gt;")-4),"")))</f>
        <v/>
      </c>
      <c r="O337" s="60">
        <f>IF(C337="","",COUNTIFS('Saisie'!$C$5:$C$2004,C337,'Saisie'!$AU$5:$AU$2004,1))</f>
        <v/>
      </c>
      <c r="P337" s="60">
        <f>IF(C337="","",COUNTIFS('Saisie'!$C$5:$C$2004,C337,'Saisie'!$AV$5:$AV$2004,1))</f>
        <v/>
      </c>
      <c r="Q337" s="106">
        <f>IF(C337="","",IFERROR(1/(1/_xlfn.MAXIFS('Saisie'!$A$5:$A$2004,'Saisie'!$C$5:$C$2004,C337)),""))</f>
        <v/>
      </c>
      <c r="R337" s="61">
        <f>IF(C337="","",IF(Q337="","",TODAY()-Q337))</f>
        <v/>
      </c>
      <c r="S337" s="60">
        <f>IF(C337="","",IFERROR(INDEX('Saisie'!$R$5:$R$2004,_xlfn.MAXIFS('Saisie'!$AS$5:$AS$2004,'Saisie'!$C$5:$C$2004,C337,'Saisie'!$R$5:$R$2004,"&lt;&gt;")-4),""))</f>
        <v/>
      </c>
      <c r="T337" s="60">
        <f>IF(C337="","",IFERROR(INDEX('Saisie'!$S$5:$S$2004,_xlfn.MAXIFS('Saisie'!$AS$5:$AS$2004,'Saisie'!$C$5:$C$2004,C337,'Saisie'!$S$5:$S$2004,"&lt;&gt;")-4),""))</f>
        <v/>
      </c>
      <c r="U337" s="60">
        <f>IF(C337="","",IFERROR(INDEX('Saisie'!$T$5:$T$2004,_xlfn.MAXIFS('Saisie'!$AS$5:$AS$2004,'Saisie'!$C$5:$C$2004,C337,'Saisie'!$T$5:$T$2004,"&lt;&gt;")-4),""))</f>
        <v/>
      </c>
      <c r="V337" s="60">
        <f>IF(C337="","",IFERROR(INDEX('Saisie'!$V$5:$V$2004,_xlfn.MAXIFS('Saisie'!$AS$5:$AS$2004,'Saisie'!$C$5:$C$2004,C337,'Saisie'!$V$5:$V$2004,"&lt;&gt;")-4),""))</f>
        <v/>
      </c>
      <c r="W337" s="60">
        <f>IF(C337="","",IFERROR(INDEX('Saisie'!$Z$5:$Z$2004,_xlfn.MAXIFS('Saisie'!$AS$5:$AS$2004,'Saisie'!$C$5:$C$2004,C337,'Saisie'!$Z$5:$Z$2004,"&lt;&gt;")-4),""))</f>
        <v/>
      </c>
      <c r="X337" s="60">
        <f>IF(C337="","",IFERROR(INDEX('Saisie'!$AA$5:$AA$2004,_xlfn.MAXIFS('Saisie'!$AS$5:$AS$2004,'Saisie'!$C$5:$C$2004,C337,'Saisie'!$AA$5:$AA$2004,"&lt;&gt;")-4),""))</f>
        <v/>
      </c>
      <c r="Y337" s="60">
        <f>IF(C337="","",IFERROR(INDEX('Saisie'!$AB$5:$AB$2004,_xlfn.MAXIFS('Saisie'!$AS$5:$AS$2004,'Saisie'!$C$5:$C$2004,C337,'Saisie'!$AB$5:$AB$2004,"&lt;&gt;")-4),""))</f>
        <v/>
      </c>
      <c r="Z337" s="60">
        <f>IF(C337="","",IFERROR(INDEX('Saisie'!$AC$5:$AC$2004,_xlfn.MAXIFS('Saisie'!$AS$5:$AS$2004,'Saisie'!$C$5:$C$2004,C337,'Saisie'!$AC$5:$AC$2004,"&lt;&gt;")-4),""))</f>
        <v/>
      </c>
      <c r="AA337" s="106">
        <f>IF(C337="","",IFERROR(INDEX('Saisie'!$AD$5:$AD$2004,_xlfn.MAXIFS('Saisie'!$AS$5:$AS$2004,'Saisie'!$C$5:$C$2004,C337,'Saisie'!$AD$5:$AD$2004,"&lt;&gt;")-4),""))</f>
        <v/>
      </c>
      <c r="AB337" s="60">
        <f>IF(C337="","",IFERROR(INDEX('Saisie'!$AE$5:$AE$2004,_xlfn.MAXIFS('Saisie'!$AS$5:$AS$2004,'Saisie'!$C$5:$C$2004,C337,'Saisie'!$AE$5:$AE$2004,"&lt;&gt;")-4),""))</f>
        <v/>
      </c>
      <c r="AC337" s="60">
        <f>IF(C337="","",IFERROR(INDEX('Saisie'!$AF$5:$AF$2004,_xlfn.MAXIFS('Saisie'!$AS$5:$AS$2004,'Saisie'!$C$5:$C$2004,C337,'Saisie'!$AF$5:$AF$2004,"&lt;&gt;")-4),""))</f>
        <v/>
      </c>
      <c r="AD337" s="108">
        <f>IF(C337="","",IFERROR(INDEX('Saisie'!$AG$5:$AG$2004,_xlfn.MAXIFS('Saisie'!$AS$5:$AS$2004,'Saisie'!$C$5:$C$2004,C337,'Saisie'!$AG$5:$AG$2004,"&lt;&gt;")-4),""))</f>
        <v/>
      </c>
      <c r="AE337" s="60">
        <f>IF(C337="","",IFERROR(INDEX('Saisie'!$AH$5:$AH$2004,_xlfn.MAXIFS('Saisie'!$AS$5:$AS$2004,'Saisie'!$C$5:$C$2004,C337,'Saisie'!$AH$5:$AH$2004,"&lt;&gt;")-4),""))</f>
        <v/>
      </c>
      <c r="AF337" s="60">
        <f>IF(C337="","",IFERROR(INDEX('Saisie'!$AI$5:$AI$2004,_xlfn.MAXIFS('Saisie'!$AS$5:$AS$2004,'Saisie'!$C$5:$C$2004,C337,'Saisie'!$AI$5:$AI$2004,"&lt;&gt;")-4),""))</f>
        <v/>
      </c>
      <c r="AG337" s="60">
        <f>IF(C337="","",IFERROR(INDEX('Saisie'!$AJ$5:$AJ$2004,_xlfn.MAXIFS('Saisie'!$AS$5:$AS$2004,'Saisie'!$C$5:$C$2004,C337,'Saisie'!$AJ$5:$AJ$2004,"&lt;&gt;")-4),""))</f>
        <v/>
      </c>
      <c r="AH337" s="60">
        <f>IF(C337="","",IFERROR(INDEX('Saisie'!$AK$5:$AK$2004,_xlfn.MAXIFS('Saisie'!$AS$5:$AS$2004,'Saisie'!$C$5:$C$2004,C337,'Saisie'!$AK$5:$AK$2004,"&lt;&gt;")-4),""))</f>
        <v/>
      </c>
      <c r="AI337" s="60">
        <f>IF(C337="","",IFERROR(INDEX('Saisie'!$AN$5:$AN$2004,_xlfn.MAXIFS('Saisie'!$AS$5:$AS$2004,'Saisie'!$C$5:$C$2004,C337,'Saisie'!$AN$5:$AN$2004,"&lt;&gt;")-4),""))</f>
        <v/>
      </c>
      <c r="AJ337" s="60">
        <f>IF(C337="","",IFERROR(INDEX('Saisie'!$AO$5:$AO$2004,_xlfn.MAXIFS('Saisie'!$AS$5:$AS$2004,'Saisie'!$C$5:$C$2004,C337,'Saisie'!$AO$5:$AO$2004,"&lt;&gt;")-4),""))</f>
        <v/>
      </c>
      <c r="AK337" s="60">
        <f>IF(C337="","",IFERROR(INDEX('Saisie'!$AP$5:$AP$2004,_xlfn.MAXIFS('Saisie'!$AS$5:$AS$2004,'Saisie'!$C$5:$C$2004,C337,'Saisie'!$AP$5:$AP$2004,"&lt;&gt;")-4),""))</f>
        <v/>
      </c>
      <c r="AL337" s="60">
        <f>IF(C337="","",IFERROR(INDEX('Saisie'!$AQ$5:$AQ$2004,_xlfn.MAXIFS('Saisie'!$AS$5:$AS$2004,'Saisie'!$C$5:$C$2004,C337,'Saisie'!$AQ$5:$AQ$2004,"&lt;&gt;")-4),""))</f>
        <v/>
      </c>
      <c r="AM337" s="60">
        <f>IF(C337="","",((AI337="Oui")+(AJ337="Oui")+(AK337="Oui")+OR(AL337="Immédiat",AL337="&lt; 1 mois"))&amp;"/4")</f>
        <v/>
      </c>
      <c r="AN337" s="60">
        <f>IF(C337="","",IFERROR(INDEX('Saisie'!$AL$5:$AL$2004,_xlfn.MAXIFS('Saisie'!$AS$5:$AS$2004,'Saisie'!$C$5:$C$2004,C337,'Saisie'!$AL$5:$AL$2004,"&lt;&gt;")-4),""))</f>
        <v/>
      </c>
      <c r="AO337" s="62">
        <f>IF(C337="","",IF(IFERROR(INDEX('Saisie'!$AM$5:$AM$2004,_xlfn.MAXIFS('Saisie'!$AS$5:$AS$2004,'Saisie'!$C$5:$C$2004,C337,'Saisie'!$AM$5:$AM$2004,"&lt;&gt;")-4),"")&lt;&gt;"",IFERROR(INDEX('Saisie'!$AM$5:$AM$2004,_xlfn.MAXIFS('Saisie'!$AS$5:$AS$2004,'Saisie'!$C$5:$C$2004,C337,'Saisie'!$AM$5:$AM$2004,"&lt;&gt;")-4),""),IFERROR(INDEX('Paramètres'!$S$6:$S$15,MATCH(AN337,'Paramètres'!$Q$6:$Q$15,0)),"")))</f>
        <v/>
      </c>
      <c r="AP337" s="62">
        <f>IF(C337="","",IFERROR(INDEX('Saisie'!$AW$5:$AW$2004,_xlfn.MAXIFS('Saisie'!$AS$5:$AS$2004,'Saisie'!$C$5:$C$2004,C337,'Saisie'!$E$5:$E$2004,"Proposition envoyée")-4),""))</f>
        <v/>
      </c>
      <c r="AQ337" s="106">
        <f>IF(C337="","",IFERROR(1/(1/_xlfn.MAXIFS('Saisie'!$A$5:$A$2004,'Saisie'!$C$5:$C$2004,C337,'Saisie'!$E$5:$E$2004,"Proposition envoyée")),""))</f>
        <v/>
      </c>
      <c r="AR337" s="106">
        <f>IF(C337="","",IF(AQ337="","",AQ337+'Paramètres'!$B$26))</f>
        <v/>
      </c>
      <c r="AS337" s="62">
        <f>IF(OR(C337="",D337="Gagné",D337="Perdu"),0,N(AP337)*IFERROR(INDEX('Paramètres'!$G$6:$G$13,MATCH(D337,'Paramètres'!$F$6:$F$13,0)),0))</f>
        <v/>
      </c>
      <c r="AT337" s="106">
        <f>IF(C337="","",IFERROR(1/(1/_xlfn.MINIFS('Saisie'!$A$5:$A$2004,'Saisie'!$C$5:$C$2004,C337,'Saisie'!$E$5:$E$2004,"Signature")),""))</f>
        <v/>
      </c>
      <c r="AU337" s="60">
        <f>IF(C337="","",IF(OR(AT337="",B337=""),"",AT337-B337))</f>
        <v/>
      </c>
      <c r="AV337" s="60">
        <f>IF(C337="","",IFERROR(INDEX('Saisie'!$L$5:$L$2004,_xlfn.MAXIFS('Saisie'!$AS$5:$AS$2004,'Saisie'!$C$5:$C$2004,C337,'Saisie'!$L$5:$L$2004,"&lt;&gt;")-4),""))</f>
        <v/>
      </c>
      <c r="AW337" s="106">
        <f>IF(C337="","",IF(D337&lt;&gt;"Perdu","",IFERROR(1/(1/_xlfn.MAXIFS('Saisie'!$A$5:$A$2004,'Saisie'!$C$5:$C$2004,C337,'Saisie'!$E$5:$E$2004,"Perdu")),"")))</f>
        <v/>
      </c>
      <c r="AX337" s="106">
        <f>IF(C337="","",IF(AW337="","",AW337+'Paramètres'!$B$28))</f>
        <v/>
      </c>
      <c r="AY337" s="60">
        <f>IF(C337="","",SUMIFS('Saisie'!$H$5:$H$2004,'Saisie'!$C$5:$C$2004,C337))</f>
        <v/>
      </c>
      <c r="AZ337" s="60">
        <f>IF(C337="","",IFERROR(INDEX('Paramètres'!$W$6:$W$20,MATCH(S337,'Paramètres'!$V$6:$V$20,0))&amp;"",""))</f>
        <v/>
      </c>
      <c r="BA337" s="60">
        <f>IF(C337="","",MAX(1,_xlfn.MAXIFS('Saisie'!$AT$5:$AT$2004,'Saisie'!$C$5:$C$2004,C337)))</f>
        <v/>
      </c>
      <c r="BB337" s="60">
        <f>IF(C337="","",IFERROR(INDEX('Saisie'!$X$5:$X$2004,_xlfn.MAXIFS('Saisie'!$AS$5:$AS$2004,'Saisie'!$C$5:$C$2004,C337,'Saisie'!$X$5:$X$2004,"&lt;&gt;")-4),""))</f>
        <v/>
      </c>
      <c r="BC337" s="60">
        <f>IF(C337="","",IFERROR(INDEX('Saisie'!$Y$5:$Y$2004,_xlfn.MAXIFS('Saisie'!$AS$5:$AS$2004,'Saisie'!$C$5:$C$2004,C337,'Saisie'!$Y$5:$Y$2004,"&lt;&gt;")-4),""))</f>
        <v/>
      </c>
      <c r="BD337" s="106">
        <f>IF(C337="","",IFERROR(1/(1/_xlfn.MINIFS('Saisie'!$A$5:$A$2004,'Saisie'!$C$5:$C$2004,C337,'Saisie'!$AT$5:$AT$2004,"&gt;=2")),""))</f>
        <v/>
      </c>
      <c r="BE337" s="106">
        <f>IF(C337="","",IFERROR(1/(1/_xlfn.MINIFS('Saisie'!$A$5:$A$2004,'Saisie'!$C$5:$C$2004,C337,'Saisie'!$AT$5:$AT$2004,"&gt;=3")),""))</f>
        <v/>
      </c>
      <c r="BF337" s="106">
        <f>IF(C337="","",IFERROR(1/(1/_xlfn.MINIFS('Saisie'!$A$5:$A$2004,'Saisie'!$C$5:$C$2004,C337,'Saisie'!$AT$5:$AT$2004,"&gt;=4")),""))</f>
        <v/>
      </c>
      <c r="BG337" s="106">
        <f>IF(C337="","",IFERROR(1/(1/_xlfn.MINIFS('Saisie'!$A$5:$A$2004,'Saisie'!$C$5:$C$2004,C337,'Saisie'!$AT$5:$AT$2004,"&gt;=5")),""))</f>
        <v/>
      </c>
      <c r="BH337" s="106">
        <f>IF(C337="","",IFERROR(1/(1/_xlfn.MINIFS('Saisie'!$A$5:$A$2004,'Saisie'!$C$5:$C$2004,C337,'Saisie'!$AT$5:$AT$2004,"&gt;=6")),""))</f>
        <v/>
      </c>
      <c r="BI337" s="106">
        <f>IF(C337="","",IFERROR(1/(1/_xlfn.MINIFS('Saisie'!$A$5:$A$2004,'Saisie'!$C$5:$C$2004,C337,'Saisie'!$AT$5:$AT$2004,"&gt;=7")),""))</f>
        <v/>
      </c>
      <c r="BJ337" s="60">
        <f>IF(OR(BD337="",B337=""),"",BD337-B337)</f>
        <v/>
      </c>
      <c r="BK337" s="60">
        <f>IF(OR(BE337="",BD337=""),"",BE337-BD337)</f>
        <v/>
      </c>
      <c r="BL337" s="60">
        <f>IF(OR(BF337="",BE337=""),"",BF337-BE337)</f>
        <v/>
      </c>
      <c r="BM337" s="60">
        <f>IF(OR(BG337="",BF337=""),"",BG337-BF337)</f>
        <v/>
      </c>
      <c r="BN337" s="60">
        <f>IF(OR(BH337="",BG337=""),"",BH337-BG337)</f>
        <v/>
      </c>
      <c r="BO337" s="60">
        <f>IF(OR(BI337="",BH337=""),"",BI337-BH337)</f>
        <v/>
      </c>
      <c r="BP337" s="60">
        <f>IF(C337="","",_xlfn.MAXIFS('Saisie'!$AS$5:$AS$2004,'Saisie'!$C$5:$C$2004,C337,'Saisie'!$J$5:$J$2004,"&lt;&gt;"))</f>
        <v/>
      </c>
      <c r="BQ337" s="60">
        <f>IF(C337="","",_xlfn.MAXIFS('Saisie'!$AS$5:$AS$2004,'Saisie'!$C$5:$C$2004,C337))</f>
        <v/>
      </c>
      <c r="BR337" s="60">
        <f>IF(C337="","",_xlfn.MAXIFS('Saisie'!$AS$5:$AS$2004,'Saisie'!$C$5:$C$2004,C337,'Saisie'!$E$5:$E$2004,"Perdu"))</f>
        <v/>
      </c>
      <c r="BS337" s="60">
        <f>IF(C337="","",_xlfn.MAXIFS('Saisie'!$AS$5:$AS$2004,'Saisie'!$C$5:$C$2004,C337,'Saisie'!$AT$5:$AT$2004,"&gt;0"))</f>
        <v/>
      </c>
      <c r="BT337" s="109">
        <f>IF(AND(C337&lt;&gt;"",OR(D337="Nouveau",D337="Contacté",D337="Qualifié"),OR(G337="",N(G337)&lt;=TODAY()),NOT(AND(O337&gt;='Paramètres'!$B$21,P337=0))),E337+333/10000,"")</f>
        <v/>
      </c>
      <c r="BU337" s="60">
        <f>IF(AND(G337&lt;&gt;"",N(G337)&lt;=TODAY()),MAX($BU$4:BU336)+1,"")</f>
        <v/>
      </c>
      <c r="BV337" s="60">
        <f>IF(AND(F337&lt;&gt;"",F337&lt;&gt;"Relance en retard"),MAX($BV$4:BV336)+1,"")</f>
        <v/>
      </c>
      <c r="BW337" s="60">
        <f>IF(C337="","",IF(AND(B337&gt;='Tableau de bord'!$R$4,B337&lt;='Tableau de bord'!$S$4,OR('Tableau de bord'!$G$4="Tous",N337='Tableau de bord'!$G$4)),1,0))</f>
        <v/>
      </c>
      <c r="BX337" s="60">
        <f>IF(AND(C337&lt;&gt;"",N(BA337)=7),MAX($BX$4:BX336)+1,"")</f>
        <v/>
      </c>
    </row>
    <row r="338">
      <c r="A338" s="60">
        <f>IF(C338="","","P-"&amp;TEXT(334,"000"))</f>
        <v/>
      </c>
      <c r="B338" s="106">
        <f>IF(C338="","",IFERROR(1/(1/_xlfn.MINIFS('Saisie'!$A$5:$A$2004,'Saisie'!$C$5:$C$2004,C338)),""))</f>
        <v/>
      </c>
      <c r="C338" s="60">
        <f>IFERROR(INDEX('Saisie'!$C$5:$C$2004,MATCH(334,'Saisie'!$AX$5:$AX$2004,0)),"")</f>
        <v/>
      </c>
      <c r="D338" s="60">
        <f>IF(C338="","",IF(AND(BR338&gt;0,BR338&gt;BS338,BA338&lt;7),"Perdu",INDEX('Paramètres'!$F$6:$F$13,BA338)))</f>
        <v/>
      </c>
      <c r="E338" s="61">
        <f>IF(C338="","",MIN(100,(Z338="Oui")*'Paramètres'!$B$38+(AB338="Régulière")*'Paramètres'!$B$39+IF(AND(N(AA338)&gt;0,TODAY()-N(AA338)&lt;=30),'Paramètres'!$B$40,0)+(W338="")*'Paramètres'!$B$41+(AC338="Absente")*'Paramètres'!$B$42+(AC338="Faible")*'Paramètres'!$B$43+IF(AND(N(AD338)&gt;0,N(AD338)&lt;4),'Paramètres'!$B$44,0)+(AF338="Moyenne")*'Paramètres'!$B$45+(AF338="Grande")*'Paramètres'!$B$46+(Y338&lt;&gt;"")*'Paramètres'!$B$47))</f>
        <v/>
      </c>
      <c r="F338" s="60">
        <f>IF(C338="","",IF(D338="Gagné","",IF(D338="Perdu",IF(AND(AX338&lt;&gt;"",AX338&lt;=TODAY()),"À recontacter (perdu)",""),IF(AND(O338&gt;='Paramètres'!$B$21,P338=0),"Stop : "&amp;'Paramètres'!$B$21&amp;" tentatives sans réponse",IF(AND(D338="Proposition",AR338&lt;&gt;"",TODAY()&gt;N(AR338)),"Proposition expirée",IF(AND(D338="Proposition",N(R338)&gt;='Paramètres'!$B$25),"Proposition sans réponse",IF(AND(G338&lt;&gt;"",N(G338)&lt;TODAY()),"Relance en retard",IF(N(R338)&gt;='Paramètres'!$B$24,"Sans action depuis "&amp;R338&amp;" j",""))))))))</f>
        <v/>
      </c>
      <c r="G338" s="106">
        <f>IF(OR(C338="",D338="Gagné",D338="Perdu"),"",IF(AND(BP338&gt;0,BP338=BQ338),INDEX('Saisie'!$J$5:$J$2004,BP338-4),IF(OR(O338=0,AND(O338&gt;='Paramètres'!$B$21,P338=0)),"",Q338+IF(O338&lt;=1,'Paramètres'!$B$18,IF(O338=2,'Paramètres'!$B$19,'Paramètres'!$B$20)))))</f>
        <v/>
      </c>
      <c r="H338" s="107">
        <f>IF(OR(G338="",BP338&lt;&gt;BQ338),"",IF(INDEX('Saisie'!$K$5:$K$2004,BP338-4)="","",INDEX('Saisie'!$K$5:$K$2004,BP338-4)))</f>
        <v/>
      </c>
      <c r="I338" s="60">
        <f>IF(C338="","",IF(OR(D338="Gagné",D338="Perdu"),"",IFERROR(INDEX('Saisie'!$I$5:$I$2004,_xlfn.MAXIFS('Saisie'!$AS$5:$AS$2004,'Saisie'!$C$5:$C$2004,C338,'Saisie'!$I$5:$I$2004,"&lt;&gt;")-4),"")))</f>
        <v/>
      </c>
      <c r="J338" s="60">
        <f>IF(C338="","",IFERROR(INDEX('Saisie'!$U$5:$U$2004,_xlfn.MAXIFS('Saisie'!$AS$5:$AS$2004,'Saisie'!$C$5:$C$2004,C338,'Saisie'!$U$5:$U$2004,"&lt;&gt;")-4),""))</f>
        <v/>
      </c>
      <c r="K338" s="60">
        <f>IF(C338="","",IFERROR(INDEX('Saisie'!$W$5:$W$2004,_xlfn.MAXIFS('Saisie'!$AS$5:$AS$2004,'Saisie'!$C$5:$C$2004,C338,'Saisie'!$W$5:$W$2004,"&lt;&gt;")-4),""))</f>
        <v/>
      </c>
      <c r="L338" s="60">
        <f>IF(IF(BB338&lt;&gt;"",BB338,K338)="","",HYPERLINK("https://wa.me/"&amp;IF(LEFT(SUBSTITUTE(SUBSTITUTE(SUBSTITUTE(IF(BB338&lt;&gt;"",BB338,K338)," ",""),".",""),"+",""),1)="0",'Paramètres'!$B$35&amp;MID(SUBSTITUTE(SUBSTITUTE(SUBSTITUTE(IF(BB338&lt;&gt;"",BB338,K338)," ",""),".",""),"+",""),2,20),SUBSTITUTE(SUBSTITUTE(SUBSTITUTE(IF(BB338&lt;&gt;"",BB338,K338)," ",""),".",""),"+","")),"WhatsApp"))</f>
        <v/>
      </c>
      <c r="M338" s="60">
        <f>IF(BC338="","",HYPERLINK(IF(LEFT(BC338,4)="http",BC338,"https://www.instagram.com/"&amp;SUBSTITUTE(SUBSTITUTE(BC338,"@","")," ","")),BC338))</f>
        <v/>
      </c>
      <c r="N338" s="60">
        <f>IF(C338="","",IFERROR(INDEX('Saisie'!$D$5:$D$2004,_xlfn.MINIFS('Saisie'!$AS$5:$AS$2004,'Saisie'!$C$5:$C$2004,C338,'Saisie'!$AU$5:$AU$2004,1)-4),IFERROR(INDEX('Saisie'!$D$5:$D$2004,_xlfn.MINIFS('Saisie'!$AS$5:$AS$2004,'Saisie'!$C$5:$C$2004,C338,'Saisie'!$D$5:$D$2004,"&lt;&gt;")-4),"")))</f>
        <v/>
      </c>
      <c r="O338" s="60">
        <f>IF(C338="","",COUNTIFS('Saisie'!$C$5:$C$2004,C338,'Saisie'!$AU$5:$AU$2004,1))</f>
        <v/>
      </c>
      <c r="P338" s="60">
        <f>IF(C338="","",COUNTIFS('Saisie'!$C$5:$C$2004,C338,'Saisie'!$AV$5:$AV$2004,1))</f>
        <v/>
      </c>
      <c r="Q338" s="106">
        <f>IF(C338="","",IFERROR(1/(1/_xlfn.MAXIFS('Saisie'!$A$5:$A$2004,'Saisie'!$C$5:$C$2004,C338)),""))</f>
        <v/>
      </c>
      <c r="R338" s="61">
        <f>IF(C338="","",IF(Q338="","",TODAY()-Q338))</f>
        <v/>
      </c>
      <c r="S338" s="60">
        <f>IF(C338="","",IFERROR(INDEX('Saisie'!$R$5:$R$2004,_xlfn.MAXIFS('Saisie'!$AS$5:$AS$2004,'Saisie'!$C$5:$C$2004,C338,'Saisie'!$R$5:$R$2004,"&lt;&gt;")-4),""))</f>
        <v/>
      </c>
      <c r="T338" s="60">
        <f>IF(C338="","",IFERROR(INDEX('Saisie'!$S$5:$S$2004,_xlfn.MAXIFS('Saisie'!$AS$5:$AS$2004,'Saisie'!$C$5:$C$2004,C338,'Saisie'!$S$5:$S$2004,"&lt;&gt;")-4),""))</f>
        <v/>
      </c>
      <c r="U338" s="60">
        <f>IF(C338="","",IFERROR(INDEX('Saisie'!$T$5:$T$2004,_xlfn.MAXIFS('Saisie'!$AS$5:$AS$2004,'Saisie'!$C$5:$C$2004,C338,'Saisie'!$T$5:$T$2004,"&lt;&gt;")-4),""))</f>
        <v/>
      </c>
      <c r="V338" s="60">
        <f>IF(C338="","",IFERROR(INDEX('Saisie'!$V$5:$V$2004,_xlfn.MAXIFS('Saisie'!$AS$5:$AS$2004,'Saisie'!$C$5:$C$2004,C338,'Saisie'!$V$5:$V$2004,"&lt;&gt;")-4),""))</f>
        <v/>
      </c>
      <c r="W338" s="60">
        <f>IF(C338="","",IFERROR(INDEX('Saisie'!$Z$5:$Z$2004,_xlfn.MAXIFS('Saisie'!$AS$5:$AS$2004,'Saisie'!$C$5:$C$2004,C338,'Saisie'!$Z$5:$Z$2004,"&lt;&gt;")-4),""))</f>
        <v/>
      </c>
      <c r="X338" s="60">
        <f>IF(C338="","",IFERROR(INDEX('Saisie'!$AA$5:$AA$2004,_xlfn.MAXIFS('Saisie'!$AS$5:$AS$2004,'Saisie'!$C$5:$C$2004,C338,'Saisie'!$AA$5:$AA$2004,"&lt;&gt;")-4),""))</f>
        <v/>
      </c>
      <c r="Y338" s="60">
        <f>IF(C338="","",IFERROR(INDEX('Saisie'!$AB$5:$AB$2004,_xlfn.MAXIFS('Saisie'!$AS$5:$AS$2004,'Saisie'!$C$5:$C$2004,C338,'Saisie'!$AB$5:$AB$2004,"&lt;&gt;")-4),""))</f>
        <v/>
      </c>
      <c r="Z338" s="60">
        <f>IF(C338="","",IFERROR(INDEX('Saisie'!$AC$5:$AC$2004,_xlfn.MAXIFS('Saisie'!$AS$5:$AS$2004,'Saisie'!$C$5:$C$2004,C338,'Saisie'!$AC$5:$AC$2004,"&lt;&gt;")-4),""))</f>
        <v/>
      </c>
      <c r="AA338" s="106">
        <f>IF(C338="","",IFERROR(INDEX('Saisie'!$AD$5:$AD$2004,_xlfn.MAXIFS('Saisie'!$AS$5:$AS$2004,'Saisie'!$C$5:$C$2004,C338,'Saisie'!$AD$5:$AD$2004,"&lt;&gt;")-4),""))</f>
        <v/>
      </c>
      <c r="AB338" s="60">
        <f>IF(C338="","",IFERROR(INDEX('Saisie'!$AE$5:$AE$2004,_xlfn.MAXIFS('Saisie'!$AS$5:$AS$2004,'Saisie'!$C$5:$C$2004,C338,'Saisie'!$AE$5:$AE$2004,"&lt;&gt;")-4),""))</f>
        <v/>
      </c>
      <c r="AC338" s="60">
        <f>IF(C338="","",IFERROR(INDEX('Saisie'!$AF$5:$AF$2004,_xlfn.MAXIFS('Saisie'!$AS$5:$AS$2004,'Saisie'!$C$5:$C$2004,C338,'Saisie'!$AF$5:$AF$2004,"&lt;&gt;")-4),""))</f>
        <v/>
      </c>
      <c r="AD338" s="108">
        <f>IF(C338="","",IFERROR(INDEX('Saisie'!$AG$5:$AG$2004,_xlfn.MAXIFS('Saisie'!$AS$5:$AS$2004,'Saisie'!$C$5:$C$2004,C338,'Saisie'!$AG$5:$AG$2004,"&lt;&gt;")-4),""))</f>
        <v/>
      </c>
      <c r="AE338" s="60">
        <f>IF(C338="","",IFERROR(INDEX('Saisie'!$AH$5:$AH$2004,_xlfn.MAXIFS('Saisie'!$AS$5:$AS$2004,'Saisie'!$C$5:$C$2004,C338,'Saisie'!$AH$5:$AH$2004,"&lt;&gt;")-4),""))</f>
        <v/>
      </c>
      <c r="AF338" s="60">
        <f>IF(C338="","",IFERROR(INDEX('Saisie'!$AI$5:$AI$2004,_xlfn.MAXIFS('Saisie'!$AS$5:$AS$2004,'Saisie'!$C$5:$C$2004,C338,'Saisie'!$AI$5:$AI$2004,"&lt;&gt;")-4),""))</f>
        <v/>
      </c>
      <c r="AG338" s="60">
        <f>IF(C338="","",IFERROR(INDEX('Saisie'!$AJ$5:$AJ$2004,_xlfn.MAXIFS('Saisie'!$AS$5:$AS$2004,'Saisie'!$C$5:$C$2004,C338,'Saisie'!$AJ$5:$AJ$2004,"&lt;&gt;")-4),""))</f>
        <v/>
      </c>
      <c r="AH338" s="60">
        <f>IF(C338="","",IFERROR(INDEX('Saisie'!$AK$5:$AK$2004,_xlfn.MAXIFS('Saisie'!$AS$5:$AS$2004,'Saisie'!$C$5:$C$2004,C338,'Saisie'!$AK$5:$AK$2004,"&lt;&gt;")-4),""))</f>
        <v/>
      </c>
      <c r="AI338" s="60">
        <f>IF(C338="","",IFERROR(INDEX('Saisie'!$AN$5:$AN$2004,_xlfn.MAXIFS('Saisie'!$AS$5:$AS$2004,'Saisie'!$C$5:$C$2004,C338,'Saisie'!$AN$5:$AN$2004,"&lt;&gt;")-4),""))</f>
        <v/>
      </c>
      <c r="AJ338" s="60">
        <f>IF(C338="","",IFERROR(INDEX('Saisie'!$AO$5:$AO$2004,_xlfn.MAXIFS('Saisie'!$AS$5:$AS$2004,'Saisie'!$C$5:$C$2004,C338,'Saisie'!$AO$5:$AO$2004,"&lt;&gt;")-4),""))</f>
        <v/>
      </c>
      <c r="AK338" s="60">
        <f>IF(C338="","",IFERROR(INDEX('Saisie'!$AP$5:$AP$2004,_xlfn.MAXIFS('Saisie'!$AS$5:$AS$2004,'Saisie'!$C$5:$C$2004,C338,'Saisie'!$AP$5:$AP$2004,"&lt;&gt;")-4),""))</f>
        <v/>
      </c>
      <c r="AL338" s="60">
        <f>IF(C338="","",IFERROR(INDEX('Saisie'!$AQ$5:$AQ$2004,_xlfn.MAXIFS('Saisie'!$AS$5:$AS$2004,'Saisie'!$C$5:$C$2004,C338,'Saisie'!$AQ$5:$AQ$2004,"&lt;&gt;")-4),""))</f>
        <v/>
      </c>
      <c r="AM338" s="60">
        <f>IF(C338="","",((AI338="Oui")+(AJ338="Oui")+(AK338="Oui")+OR(AL338="Immédiat",AL338="&lt; 1 mois"))&amp;"/4")</f>
        <v/>
      </c>
      <c r="AN338" s="60">
        <f>IF(C338="","",IFERROR(INDEX('Saisie'!$AL$5:$AL$2004,_xlfn.MAXIFS('Saisie'!$AS$5:$AS$2004,'Saisie'!$C$5:$C$2004,C338,'Saisie'!$AL$5:$AL$2004,"&lt;&gt;")-4),""))</f>
        <v/>
      </c>
      <c r="AO338" s="62">
        <f>IF(C338="","",IF(IFERROR(INDEX('Saisie'!$AM$5:$AM$2004,_xlfn.MAXIFS('Saisie'!$AS$5:$AS$2004,'Saisie'!$C$5:$C$2004,C338,'Saisie'!$AM$5:$AM$2004,"&lt;&gt;")-4),"")&lt;&gt;"",IFERROR(INDEX('Saisie'!$AM$5:$AM$2004,_xlfn.MAXIFS('Saisie'!$AS$5:$AS$2004,'Saisie'!$C$5:$C$2004,C338,'Saisie'!$AM$5:$AM$2004,"&lt;&gt;")-4),""),IFERROR(INDEX('Paramètres'!$S$6:$S$15,MATCH(AN338,'Paramètres'!$Q$6:$Q$15,0)),"")))</f>
        <v/>
      </c>
      <c r="AP338" s="62">
        <f>IF(C338="","",IFERROR(INDEX('Saisie'!$AW$5:$AW$2004,_xlfn.MAXIFS('Saisie'!$AS$5:$AS$2004,'Saisie'!$C$5:$C$2004,C338,'Saisie'!$E$5:$E$2004,"Proposition envoyée")-4),""))</f>
        <v/>
      </c>
      <c r="AQ338" s="106">
        <f>IF(C338="","",IFERROR(1/(1/_xlfn.MAXIFS('Saisie'!$A$5:$A$2004,'Saisie'!$C$5:$C$2004,C338,'Saisie'!$E$5:$E$2004,"Proposition envoyée")),""))</f>
        <v/>
      </c>
      <c r="AR338" s="106">
        <f>IF(C338="","",IF(AQ338="","",AQ338+'Paramètres'!$B$26))</f>
        <v/>
      </c>
      <c r="AS338" s="62">
        <f>IF(OR(C338="",D338="Gagné",D338="Perdu"),0,N(AP338)*IFERROR(INDEX('Paramètres'!$G$6:$G$13,MATCH(D338,'Paramètres'!$F$6:$F$13,0)),0))</f>
        <v/>
      </c>
      <c r="AT338" s="106">
        <f>IF(C338="","",IFERROR(1/(1/_xlfn.MINIFS('Saisie'!$A$5:$A$2004,'Saisie'!$C$5:$C$2004,C338,'Saisie'!$E$5:$E$2004,"Signature")),""))</f>
        <v/>
      </c>
      <c r="AU338" s="60">
        <f>IF(C338="","",IF(OR(AT338="",B338=""),"",AT338-B338))</f>
        <v/>
      </c>
      <c r="AV338" s="60">
        <f>IF(C338="","",IFERROR(INDEX('Saisie'!$L$5:$L$2004,_xlfn.MAXIFS('Saisie'!$AS$5:$AS$2004,'Saisie'!$C$5:$C$2004,C338,'Saisie'!$L$5:$L$2004,"&lt;&gt;")-4),""))</f>
        <v/>
      </c>
      <c r="AW338" s="106">
        <f>IF(C338="","",IF(D338&lt;&gt;"Perdu","",IFERROR(1/(1/_xlfn.MAXIFS('Saisie'!$A$5:$A$2004,'Saisie'!$C$5:$C$2004,C338,'Saisie'!$E$5:$E$2004,"Perdu")),"")))</f>
        <v/>
      </c>
      <c r="AX338" s="106">
        <f>IF(C338="","",IF(AW338="","",AW338+'Paramètres'!$B$28))</f>
        <v/>
      </c>
      <c r="AY338" s="60">
        <f>IF(C338="","",SUMIFS('Saisie'!$H$5:$H$2004,'Saisie'!$C$5:$C$2004,C338))</f>
        <v/>
      </c>
      <c r="AZ338" s="60">
        <f>IF(C338="","",IFERROR(INDEX('Paramètres'!$W$6:$W$20,MATCH(S338,'Paramètres'!$V$6:$V$20,0))&amp;"",""))</f>
        <v/>
      </c>
      <c r="BA338" s="60">
        <f>IF(C338="","",MAX(1,_xlfn.MAXIFS('Saisie'!$AT$5:$AT$2004,'Saisie'!$C$5:$C$2004,C338)))</f>
        <v/>
      </c>
      <c r="BB338" s="60">
        <f>IF(C338="","",IFERROR(INDEX('Saisie'!$X$5:$X$2004,_xlfn.MAXIFS('Saisie'!$AS$5:$AS$2004,'Saisie'!$C$5:$C$2004,C338,'Saisie'!$X$5:$X$2004,"&lt;&gt;")-4),""))</f>
        <v/>
      </c>
      <c r="BC338" s="60">
        <f>IF(C338="","",IFERROR(INDEX('Saisie'!$Y$5:$Y$2004,_xlfn.MAXIFS('Saisie'!$AS$5:$AS$2004,'Saisie'!$C$5:$C$2004,C338,'Saisie'!$Y$5:$Y$2004,"&lt;&gt;")-4),""))</f>
        <v/>
      </c>
      <c r="BD338" s="106">
        <f>IF(C338="","",IFERROR(1/(1/_xlfn.MINIFS('Saisie'!$A$5:$A$2004,'Saisie'!$C$5:$C$2004,C338,'Saisie'!$AT$5:$AT$2004,"&gt;=2")),""))</f>
        <v/>
      </c>
      <c r="BE338" s="106">
        <f>IF(C338="","",IFERROR(1/(1/_xlfn.MINIFS('Saisie'!$A$5:$A$2004,'Saisie'!$C$5:$C$2004,C338,'Saisie'!$AT$5:$AT$2004,"&gt;=3")),""))</f>
        <v/>
      </c>
      <c r="BF338" s="106">
        <f>IF(C338="","",IFERROR(1/(1/_xlfn.MINIFS('Saisie'!$A$5:$A$2004,'Saisie'!$C$5:$C$2004,C338,'Saisie'!$AT$5:$AT$2004,"&gt;=4")),""))</f>
        <v/>
      </c>
      <c r="BG338" s="106">
        <f>IF(C338="","",IFERROR(1/(1/_xlfn.MINIFS('Saisie'!$A$5:$A$2004,'Saisie'!$C$5:$C$2004,C338,'Saisie'!$AT$5:$AT$2004,"&gt;=5")),""))</f>
        <v/>
      </c>
      <c r="BH338" s="106">
        <f>IF(C338="","",IFERROR(1/(1/_xlfn.MINIFS('Saisie'!$A$5:$A$2004,'Saisie'!$C$5:$C$2004,C338,'Saisie'!$AT$5:$AT$2004,"&gt;=6")),""))</f>
        <v/>
      </c>
      <c r="BI338" s="106">
        <f>IF(C338="","",IFERROR(1/(1/_xlfn.MINIFS('Saisie'!$A$5:$A$2004,'Saisie'!$C$5:$C$2004,C338,'Saisie'!$AT$5:$AT$2004,"&gt;=7")),""))</f>
        <v/>
      </c>
      <c r="BJ338" s="60">
        <f>IF(OR(BD338="",B338=""),"",BD338-B338)</f>
        <v/>
      </c>
      <c r="BK338" s="60">
        <f>IF(OR(BE338="",BD338=""),"",BE338-BD338)</f>
        <v/>
      </c>
      <c r="BL338" s="60">
        <f>IF(OR(BF338="",BE338=""),"",BF338-BE338)</f>
        <v/>
      </c>
      <c r="BM338" s="60">
        <f>IF(OR(BG338="",BF338=""),"",BG338-BF338)</f>
        <v/>
      </c>
      <c r="BN338" s="60">
        <f>IF(OR(BH338="",BG338=""),"",BH338-BG338)</f>
        <v/>
      </c>
      <c r="BO338" s="60">
        <f>IF(OR(BI338="",BH338=""),"",BI338-BH338)</f>
        <v/>
      </c>
      <c r="BP338" s="60">
        <f>IF(C338="","",_xlfn.MAXIFS('Saisie'!$AS$5:$AS$2004,'Saisie'!$C$5:$C$2004,C338,'Saisie'!$J$5:$J$2004,"&lt;&gt;"))</f>
        <v/>
      </c>
      <c r="BQ338" s="60">
        <f>IF(C338="","",_xlfn.MAXIFS('Saisie'!$AS$5:$AS$2004,'Saisie'!$C$5:$C$2004,C338))</f>
        <v/>
      </c>
      <c r="BR338" s="60">
        <f>IF(C338="","",_xlfn.MAXIFS('Saisie'!$AS$5:$AS$2004,'Saisie'!$C$5:$C$2004,C338,'Saisie'!$E$5:$E$2004,"Perdu"))</f>
        <v/>
      </c>
      <c r="BS338" s="60">
        <f>IF(C338="","",_xlfn.MAXIFS('Saisie'!$AS$5:$AS$2004,'Saisie'!$C$5:$C$2004,C338,'Saisie'!$AT$5:$AT$2004,"&gt;0"))</f>
        <v/>
      </c>
      <c r="BT338" s="109">
        <f>IF(AND(C338&lt;&gt;"",OR(D338="Nouveau",D338="Contacté",D338="Qualifié"),OR(G338="",N(G338)&lt;=TODAY()),NOT(AND(O338&gt;='Paramètres'!$B$21,P338=0))),E338+334/10000,"")</f>
        <v/>
      </c>
      <c r="BU338" s="60">
        <f>IF(AND(G338&lt;&gt;"",N(G338)&lt;=TODAY()),MAX($BU$4:BU337)+1,"")</f>
        <v/>
      </c>
      <c r="BV338" s="60">
        <f>IF(AND(F338&lt;&gt;"",F338&lt;&gt;"Relance en retard"),MAX($BV$4:BV337)+1,"")</f>
        <v/>
      </c>
      <c r="BW338" s="60">
        <f>IF(C338="","",IF(AND(B338&gt;='Tableau de bord'!$R$4,B338&lt;='Tableau de bord'!$S$4,OR('Tableau de bord'!$G$4="Tous",N338='Tableau de bord'!$G$4)),1,0))</f>
        <v/>
      </c>
      <c r="BX338" s="60">
        <f>IF(AND(C338&lt;&gt;"",N(BA338)=7),MAX($BX$4:BX337)+1,"")</f>
        <v/>
      </c>
    </row>
    <row r="339">
      <c r="A339" s="60">
        <f>IF(C339="","","P-"&amp;TEXT(335,"000"))</f>
        <v/>
      </c>
      <c r="B339" s="106">
        <f>IF(C339="","",IFERROR(1/(1/_xlfn.MINIFS('Saisie'!$A$5:$A$2004,'Saisie'!$C$5:$C$2004,C339)),""))</f>
        <v/>
      </c>
      <c r="C339" s="60">
        <f>IFERROR(INDEX('Saisie'!$C$5:$C$2004,MATCH(335,'Saisie'!$AX$5:$AX$2004,0)),"")</f>
        <v/>
      </c>
      <c r="D339" s="60">
        <f>IF(C339="","",IF(AND(BR339&gt;0,BR339&gt;BS339,BA339&lt;7),"Perdu",INDEX('Paramètres'!$F$6:$F$13,BA339)))</f>
        <v/>
      </c>
      <c r="E339" s="61">
        <f>IF(C339="","",MIN(100,(Z339="Oui")*'Paramètres'!$B$38+(AB339="Régulière")*'Paramètres'!$B$39+IF(AND(N(AA339)&gt;0,TODAY()-N(AA339)&lt;=30),'Paramètres'!$B$40,0)+(W339="")*'Paramètres'!$B$41+(AC339="Absente")*'Paramètres'!$B$42+(AC339="Faible")*'Paramètres'!$B$43+IF(AND(N(AD339)&gt;0,N(AD339)&lt;4),'Paramètres'!$B$44,0)+(AF339="Moyenne")*'Paramètres'!$B$45+(AF339="Grande")*'Paramètres'!$B$46+(Y339&lt;&gt;"")*'Paramètres'!$B$47))</f>
        <v/>
      </c>
      <c r="F339" s="60">
        <f>IF(C339="","",IF(D339="Gagné","",IF(D339="Perdu",IF(AND(AX339&lt;&gt;"",AX339&lt;=TODAY()),"À recontacter (perdu)",""),IF(AND(O339&gt;='Paramètres'!$B$21,P339=0),"Stop : "&amp;'Paramètres'!$B$21&amp;" tentatives sans réponse",IF(AND(D339="Proposition",AR339&lt;&gt;"",TODAY()&gt;N(AR339)),"Proposition expirée",IF(AND(D339="Proposition",N(R339)&gt;='Paramètres'!$B$25),"Proposition sans réponse",IF(AND(G339&lt;&gt;"",N(G339)&lt;TODAY()),"Relance en retard",IF(N(R339)&gt;='Paramètres'!$B$24,"Sans action depuis "&amp;R339&amp;" j",""))))))))</f>
        <v/>
      </c>
      <c r="G339" s="106">
        <f>IF(OR(C339="",D339="Gagné",D339="Perdu"),"",IF(AND(BP339&gt;0,BP339=BQ339),INDEX('Saisie'!$J$5:$J$2004,BP339-4),IF(OR(O339=0,AND(O339&gt;='Paramètres'!$B$21,P339=0)),"",Q339+IF(O339&lt;=1,'Paramètres'!$B$18,IF(O339=2,'Paramètres'!$B$19,'Paramètres'!$B$20)))))</f>
        <v/>
      </c>
      <c r="H339" s="107">
        <f>IF(OR(G339="",BP339&lt;&gt;BQ339),"",IF(INDEX('Saisie'!$K$5:$K$2004,BP339-4)="","",INDEX('Saisie'!$K$5:$K$2004,BP339-4)))</f>
        <v/>
      </c>
      <c r="I339" s="60">
        <f>IF(C339="","",IF(OR(D339="Gagné",D339="Perdu"),"",IFERROR(INDEX('Saisie'!$I$5:$I$2004,_xlfn.MAXIFS('Saisie'!$AS$5:$AS$2004,'Saisie'!$C$5:$C$2004,C339,'Saisie'!$I$5:$I$2004,"&lt;&gt;")-4),"")))</f>
        <v/>
      </c>
      <c r="J339" s="60">
        <f>IF(C339="","",IFERROR(INDEX('Saisie'!$U$5:$U$2004,_xlfn.MAXIFS('Saisie'!$AS$5:$AS$2004,'Saisie'!$C$5:$C$2004,C339,'Saisie'!$U$5:$U$2004,"&lt;&gt;")-4),""))</f>
        <v/>
      </c>
      <c r="K339" s="60">
        <f>IF(C339="","",IFERROR(INDEX('Saisie'!$W$5:$W$2004,_xlfn.MAXIFS('Saisie'!$AS$5:$AS$2004,'Saisie'!$C$5:$C$2004,C339,'Saisie'!$W$5:$W$2004,"&lt;&gt;")-4),""))</f>
        <v/>
      </c>
      <c r="L339" s="60">
        <f>IF(IF(BB339&lt;&gt;"",BB339,K339)="","",HYPERLINK("https://wa.me/"&amp;IF(LEFT(SUBSTITUTE(SUBSTITUTE(SUBSTITUTE(IF(BB339&lt;&gt;"",BB339,K339)," ",""),".",""),"+",""),1)="0",'Paramètres'!$B$35&amp;MID(SUBSTITUTE(SUBSTITUTE(SUBSTITUTE(IF(BB339&lt;&gt;"",BB339,K339)," ",""),".",""),"+",""),2,20),SUBSTITUTE(SUBSTITUTE(SUBSTITUTE(IF(BB339&lt;&gt;"",BB339,K339)," ",""),".",""),"+","")),"WhatsApp"))</f>
        <v/>
      </c>
      <c r="M339" s="60">
        <f>IF(BC339="","",HYPERLINK(IF(LEFT(BC339,4)="http",BC339,"https://www.instagram.com/"&amp;SUBSTITUTE(SUBSTITUTE(BC339,"@","")," ","")),BC339))</f>
        <v/>
      </c>
      <c r="N339" s="60">
        <f>IF(C339="","",IFERROR(INDEX('Saisie'!$D$5:$D$2004,_xlfn.MINIFS('Saisie'!$AS$5:$AS$2004,'Saisie'!$C$5:$C$2004,C339,'Saisie'!$AU$5:$AU$2004,1)-4),IFERROR(INDEX('Saisie'!$D$5:$D$2004,_xlfn.MINIFS('Saisie'!$AS$5:$AS$2004,'Saisie'!$C$5:$C$2004,C339,'Saisie'!$D$5:$D$2004,"&lt;&gt;")-4),"")))</f>
        <v/>
      </c>
      <c r="O339" s="60">
        <f>IF(C339="","",COUNTIFS('Saisie'!$C$5:$C$2004,C339,'Saisie'!$AU$5:$AU$2004,1))</f>
        <v/>
      </c>
      <c r="P339" s="60">
        <f>IF(C339="","",COUNTIFS('Saisie'!$C$5:$C$2004,C339,'Saisie'!$AV$5:$AV$2004,1))</f>
        <v/>
      </c>
      <c r="Q339" s="106">
        <f>IF(C339="","",IFERROR(1/(1/_xlfn.MAXIFS('Saisie'!$A$5:$A$2004,'Saisie'!$C$5:$C$2004,C339)),""))</f>
        <v/>
      </c>
      <c r="R339" s="61">
        <f>IF(C339="","",IF(Q339="","",TODAY()-Q339))</f>
        <v/>
      </c>
      <c r="S339" s="60">
        <f>IF(C339="","",IFERROR(INDEX('Saisie'!$R$5:$R$2004,_xlfn.MAXIFS('Saisie'!$AS$5:$AS$2004,'Saisie'!$C$5:$C$2004,C339,'Saisie'!$R$5:$R$2004,"&lt;&gt;")-4),""))</f>
        <v/>
      </c>
      <c r="T339" s="60">
        <f>IF(C339="","",IFERROR(INDEX('Saisie'!$S$5:$S$2004,_xlfn.MAXIFS('Saisie'!$AS$5:$AS$2004,'Saisie'!$C$5:$C$2004,C339,'Saisie'!$S$5:$S$2004,"&lt;&gt;")-4),""))</f>
        <v/>
      </c>
      <c r="U339" s="60">
        <f>IF(C339="","",IFERROR(INDEX('Saisie'!$T$5:$T$2004,_xlfn.MAXIFS('Saisie'!$AS$5:$AS$2004,'Saisie'!$C$5:$C$2004,C339,'Saisie'!$T$5:$T$2004,"&lt;&gt;")-4),""))</f>
        <v/>
      </c>
      <c r="V339" s="60">
        <f>IF(C339="","",IFERROR(INDEX('Saisie'!$V$5:$V$2004,_xlfn.MAXIFS('Saisie'!$AS$5:$AS$2004,'Saisie'!$C$5:$C$2004,C339,'Saisie'!$V$5:$V$2004,"&lt;&gt;")-4),""))</f>
        <v/>
      </c>
      <c r="W339" s="60">
        <f>IF(C339="","",IFERROR(INDEX('Saisie'!$Z$5:$Z$2004,_xlfn.MAXIFS('Saisie'!$AS$5:$AS$2004,'Saisie'!$C$5:$C$2004,C339,'Saisie'!$Z$5:$Z$2004,"&lt;&gt;")-4),""))</f>
        <v/>
      </c>
      <c r="X339" s="60">
        <f>IF(C339="","",IFERROR(INDEX('Saisie'!$AA$5:$AA$2004,_xlfn.MAXIFS('Saisie'!$AS$5:$AS$2004,'Saisie'!$C$5:$C$2004,C339,'Saisie'!$AA$5:$AA$2004,"&lt;&gt;")-4),""))</f>
        <v/>
      </c>
      <c r="Y339" s="60">
        <f>IF(C339="","",IFERROR(INDEX('Saisie'!$AB$5:$AB$2004,_xlfn.MAXIFS('Saisie'!$AS$5:$AS$2004,'Saisie'!$C$5:$C$2004,C339,'Saisie'!$AB$5:$AB$2004,"&lt;&gt;")-4),""))</f>
        <v/>
      </c>
      <c r="Z339" s="60">
        <f>IF(C339="","",IFERROR(INDEX('Saisie'!$AC$5:$AC$2004,_xlfn.MAXIFS('Saisie'!$AS$5:$AS$2004,'Saisie'!$C$5:$C$2004,C339,'Saisie'!$AC$5:$AC$2004,"&lt;&gt;")-4),""))</f>
        <v/>
      </c>
      <c r="AA339" s="106">
        <f>IF(C339="","",IFERROR(INDEX('Saisie'!$AD$5:$AD$2004,_xlfn.MAXIFS('Saisie'!$AS$5:$AS$2004,'Saisie'!$C$5:$C$2004,C339,'Saisie'!$AD$5:$AD$2004,"&lt;&gt;")-4),""))</f>
        <v/>
      </c>
      <c r="AB339" s="60">
        <f>IF(C339="","",IFERROR(INDEX('Saisie'!$AE$5:$AE$2004,_xlfn.MAXIFS('Saisie'!$AS$5:$AS$2004,'Saisie'!$C$5:$C$2004,C339,'Saisie'!$AE$5:$AE$2004,"&lt;&gt;")-4),""))</f>
        <v/>
      </c>
      <c r="AC339" s="60">
        <f>IF(C339="","",IFERROR(INDEX('Saisie'!$AF$5:$AF$2004,_xlfn.MAXIFS('Saisie'!$AS$5:$AS$2004,'Saisie'!$C$5:$C$2004,C339,'Saisie'!$AF$5:$AF$2004,"&lt;&gt;")-4),""))</f>
        <v/>
      </c>
      <c r="AD339" s="108">
        <f>IF(C339="","",IFERROR(INDEX('Saisie'!$AG$5:$AG$2004,_xlfn.MAXIFS('Saisie'!$AS$5:$AS$2004,'Saisie'!$C$5:$C$2004,C339,'Saisie'!$AG$5:$AG$2004,"&lt;&gt;")-4),""))</f>
        <v/>
      </c>
      <c r="AE339" s="60">
        <f>IF(C339="","",IFERROR(INDEX('Saisie'!$AH$5:$AH$2004,_xlfn.MAXIFS('Saisie'!$AS$5:$AS$2004,'Saisie'!$C$5:$C$2004,C339,'Saisie'!$AH$5:$AH$2004,"&lt;&gt;")-4),""))</f>
        <v/>
      </c>
      <c r="AF339" s="60">
        <f>IF(C339="","",IFERROR(INDEX('Saisie'!$AI$5:$AI$2004,_xlfn.MAXIFS('Saisie'!$AS$5:$AS$2004,'Saisie'!$C$5:$C$2004,C339,'Saisie'!$AI$5:$AI$2004,"&lt;&gt;")-4),""))</f>
        <v/>
      </c>
      <c r="AG339" s="60">
        <f>IF(C339="","",IFERROR(INDEX('Saisie'!$AJ$5:$AJ$2004,_xlfn.MAXIFS('Saisie'!$AS$5:$AS$2004,'Saisie'!$C$5:$C$2004,C339,'Saisie'!$AJ$5:$AJ$2004,"&lt;&gt;")-4),""))</f>
        <v/>
      </c>
      <c r="AH339" s="60">
        <f>IF(C339="","",IFERROR(INDEX('Saisie'!$AK$5:$AK$2004,_xlfn.MAXIFS('Saisie'!$AS$5:$AS$2004,'Saisie'!$C$5:$C$2004,C339,'Saisie'!$AK$5:$AK$2004,"&lt;&gt;")-4),""))</f>
        <v/>
      </c>
      <c r="AI339" s="60">
        <f>IF(C339="","",IFERROR(INDEX('Saisie'!$AN$5:$AN$2004,_xlfn.MAXIFS('Saisie'!$AS$5:$AS$2004,'Saisie'!$C$5:$C$2004,C339,'Saisie'!$AN$5:$AN$2004,"&lt;&gt;")-4),""))</f>
        <v/>
      </c>
      <c r="AJ339" s="60">
        <f>IF(C339="","",IFERROR(INDEX('Saisie'!$AO$5:$AO$2004,_xlfn.MAXIFS('Saisie'!$AS$5:$AS$2004,'Saisie'!$C$5:$C$2004,C339,'Saisie'!$AO$5:$AO$2004,"&lt;&gt;")-4),""))</f>
        <v/>
      </c>
      <c r="AK339" s="60">
        <f>IF(C339="","",IFERROR(INDEX('Saisie'!$AP$5:$AP$2004,_xlfn.MAXIFS('Saisie'!$AS$5:$AS$2004,'Saisie'!$C$5:$C$2004,C339,'Saisie'!$AP$5:$AP$2004,"&lt;&gt;")-4),""))</f>
        <v/>
      </c>
      <c r="AL339" s="60">
        <f>IF(C339="","",IFERROR(INDEX('Saisie'!$AQ$5:$AQ$2004,_xlfn.MAXIFS('Saisie'!$AS$5:$AS$2004,'Saisie'!$C$5:$C$2004,C339,'Saisie'!$AQ$5:$AQ$2004,"&lt;&gt;")-4),""))</f>
        <v/>
      </c>
      <c r="AM339" s="60">
        <f>IF(C339="","",((AI339="Oui")+(AJ339="Oui")+(AK339="Oui")+OR(AL339="Immédiat",AL339="&lt; 1 mois"))&amp;"/4")</f>
        <v/>
      </c>
      <c r="AN339" s="60">
        <f>IF(C339="","",IFERROR(INDEX('Saisie'!$AL$5:$AL$2004,_xlfn.MAXIFS('Saisie'!$AS$5:$AS$2004,'Saisie'!$C$5:$C$2004,C339,'Saisie'!$AL$5:$AL$2004,"&lt;&gt;")-4),""))</f>
        <v/>
      </c>
      <c r="AO339" s="62">
        <f>IF(C339="","",IF(IFERROR(INDEX('Saisie'!$AM$5:$AM$2004,_xlfn.MAXIFS('Saisie'!$AS$5:$AS$2004,'Saisie'!$C$5:$C$2004,C339,'Saisie'!$AM$5:$AM$2004,"&lt;&gt;")-4),"")&lt;&gt;"",IFERROR(INDEX('Saisie'!$AM$5:$AM$2004,_xlfn.MAXIFS('Saisie'!$AS$5:$AS$2004,'Saisie'!$C$5:$C$2004,C339,'Saisie'!$AM$5:$AM$2004,"&lt;&gt;")-4),""),IFERROR(INDEX('Paramètres'!$S$6:$S$15,MATCH(AN339,'Paramètres'!$Q$6:$Q$15,0)),"")))</f>
        <v/>
      </c>
      <c r="AP339" s="62">
        <f>IF(C339="","",IFERROR(INDEX('Saisie'!$AW$5:$AW$2004,_xlfn.MAXIFS('Saisie'!$AS$5:$AS$2004,'Saisie'!$C$5:$C$2004,C339,'Saisie'!$E$5:$E$2004,"Proposition envoyée")-4),""))</f>
        <v/>
      </c>
      <c r="AQ339" s="106">
        <f>IF(C339="","",IFERROR(1/(1/_xlfn.MAXIFS('Saisie'!$A$5:$A$2004,'Saisie'!$C$5:$C$2004,C339,'Saisie'!$E$5:$E$2004,"Proposition envoyée")),""))</f>
        <v/>
      </c>
      <c r="AR339" s="106">
        <f>IF(C339="","",IF(AQ339="","",AQ339+'Paramètres'!$B$26))</f>
        <v/>
      </c>
      <c r="AS339" s="62">
        <f>IF(OR(C339="",D339="Gagné",D339="Perdu"),0,N(AP339)*IFERROR(INDEX('Paramètres'!$G$6:$G$13,MATCH(D339,'Paramètres'!$F$6:$F$13,0)),0))</f>
        <v/>
      </c>
      <c r="AT339" s="106">
        <f>IF(C339="","",IFERROR(1/(1/_xlfn.MINIFS('Saisie'!$A$5:$A$2004,'Saisie'!$C$5:$C$2004,C339,'Saisie'!$E$5:$E$2004,"Signature")),""))</f>
        <v/>
      </c>
      <c r="AU339" s="60">
        <f>IF(C339="","",IF(OR(AT339="",B339=""),"",AT339-B339))</f>
        <v/>
      </c>
      <c r="AV339" s="60">
        <f>IF(C339="","",IFERROR(INDEX('Saisie'!$L$5:$L$2004,_xlfn.MAXIFS('Saisie'!$AS$5:$AS$2004,'Saisie'!$C$5:$C$2004,C339,'Saisie'!$L$5:$L$2004,"&lt;&gt;")-4),""))</f>
        <v/>
      </c>
      <c r="AW339" s="106">
        <f>IF(C339="","",IF(D339&lt;&gt;"Perdu","",IFERROR(1/(1/_xlfn.MAXIFS('Saisie'!$A$5:$A$2004,'Saisie'!$C$5:$C$2004,C339,'Saisie'!$E$5:$E$2004,"Perdu")),"")))</f>
        <v/>
      </c>
      <c r="AX339" s="106">
        <f>IF(C339="","",IF(AW339="","",AW339+'Paramètres'!$B$28))</f>
        <v/>
      </c>
      <c r="AY339" s="60">
        <f>IF(C339="","",SUMIFS('Saisie'!$H$5:$H$2004,'Saisie'!$C$5:$C$2004,C339))</f>
        <v/>
      </c>
      <c r="AZ339" s="60">
        <f>IF(C339="","",IFERROR(INDEX('Paramètres'!$W$6:$W$20,MATCH(S339,'Paramètres'!$V$6:$V$20,0))&amp;"",""))</f>
        <v/>
      </c>
      <c r="BA339" s="60">
        <f>IF(C339="","",MAX(1,_xlfn.MAXIFS('Saisie'!$AT$5:$AT$2004,'Saisie'!$C$5:$C$2004,C339)))</f>
        <v/>
      </c>
      <c r="BB339" s="60">
        <f>IF(C339="","",IFERROR(INDEX('Saisie'!$X$5:$X$2004,_xlfn.MAXIFS('Saisie'!$AS$5:$AS$2004,'Saisie'!$C$5:$C$2004,C339,'Saisie'!$X$5:$X$2004,"&lt;&gt;")-4),""))</f>
        <v/>
      </c>
      <c r="BC339" s="60">
        <f>IF(C339="","",IFERROR(INDEX('Saisie'!$Y$5:$Y$2004,_xlfn.MAXIFS('Saisie'!$AS$5:$AS$2004,'Saisie'!$C$5:$C$2004,C339,'Saisie'!$Y$5:$Y$2004,"&lt;&gt;")-4),""))</f>
        <v/>
      </c>
      <c r="BD339" s="106">
        <f>IF(C339="","",IFERROR(1/(1/_xlfn.MINIFS('Saisie'!$A$5:$A$2004,'Saisie'!$C$5:$C$2004,C339,'Saisie'!$AT$5:$AT$2004,"&gt;=2")),""))</f>
        <v/>
      </c>
      <c r="BE339" s="106">
        <f>IF(C339="","",IFERROR(1/(1/_xlfn.MINIFS('Saisie'!$A$5:$A$2004,'Saisie'!$C$5:$C$2004,C339,'Saisie'!$AT$5:$AT$2004,"&gt;=3")),""))</f>
        <v/>
      </c>
      <c r="BF339" s="106">
        <f>IF(C339="","",IFERROR(1/(1/_xlfn.MINIFS('Saisie'!$A$5:$A$2004,'Saisie'!$C$5:$C$2004,C339,'Saisie'!$AT$5:$AT$2004,"&gt;=4")),""))</f>
        <v/>
      </c>
      <c r="BG339" s="106">
        <f>IF(C339="","",IFERROR(1/(1/_xlfn.MINIFS('Saisie'!$A$5:$A$2004,'Saisie'!$C$5:$C$2004,C339,'Saisie'!$AT$5:$AT$2004,"&gt;=5")),""))</f>
        <v/>
      </c>
      <c r="BH339" s="106">
        <f>IF(C339="","",IFERROR(1/(1/_xlfn.MINIFS('Saisie'!$A$5:$A$2004,'Saisie'!$C$5:$C$2004,C339,'Saisie'!$AT$5:$AT$2004,"&gt;=6")),""))</f>
        <v/>
      </c>
      <c r="BI339" s="106">
        <f>IF(C339="","",IFERROR(1/(1/_xlfn.MINIFS('Saisie'!$A$5:$A$2004,'Saisie'!$C$5:$C$2004,C339,'Saisie'!$AT$5:$AT$2004,"&gt;=7")),""))</f>
        <v/>
      </c>
      <c r="BJ339" s="60">
        <f>IF(OR(BD339="",B339=""),"",BD339-B339)</f>
        <v/>
      </c>
      <c r="BK339" s="60">
        <f>IF(OR(BE339="",BD339=""),"",BE339-BD339)</f>
        <v/>
      </c>
      <c r="BL339" s="60">
        <f>IF(OR(BF339="",BE339=""),"",BF339-BE339)</f>
        <v/>
      </c>
      <c r="BM339" s="60">
        <f>IF(OR(BG339="",BF339=""),"",BG339-BF339)</f>
        <v/>
      </c>
      <c r="BN339" s="60">
        <f>IF(OR(BH339="",BG339=""),"",BH339-BG339)</f>
        <v/>
      </c>
      <c r="BO339" s="60">
        <f>IF(OR(BI339="",BH339=""),"",BI339-BH339)</f>
        <v/>
      </c>
      <c r="BP339" s="60">
        <f>IF(C339="","",_xlfn.MAXIFS('Saisie'!$AS$5:$AS$2004,'Saisie'!$C$5:$C$2004,C339,'Saisie'!$J$5:$J$2004,"&lt;&gt;"))</f>
        <v/>
      </c>
      <c r="BQ339" s="60">
        <f>IF(C339="","",_xlfn.MAXIFS('Saisie'!$AS$5:$AS$2004,'Saisie'!$C$5:$C$2004,C339))</f>
        <v/>
      </c>
      <c r="BR339" s="60">
        <f>IF(C339="","",_xlfn.MAXIFS('Saisie'!$AS$5:$AS$2004,'Saisie'!$C$5:$C$2004,C339,'Saisie'!$E$5:$E$2004,"Perdu"))</f>
        <v/>
      </c>
      <c r="BS339" s="60">
        <f>IF(C339="","",_xlfn.MAXIFS('Saisie'!$AS$5:$AS$2004,'Saisie'!$C$5:$C$2004,C339,'Saisie'!$AT$5:$AT$2004,"&gt;0"))</f>
        <v/>
      </c>
      <c r="BT339" s="109">
        <f>IF(AND(C339&lt;&gt;"",OR(D339="Nouveau",D339="Contacté",D339="Qualifié"),OR(G339="",N(G339)&lt;=TODAY()),NOT(AND(O339&gt;='Paramètres'!$B$21,P339=0))),E339+335/10000,"")</f>
        <v/>
      </c>
      <c r="BU339" s="60">
        <f>IF(AND(G339&lt;&gt;"",N(G339)&lt;=TODAY()),MAX($BU$4:BU338)+1,"")</f>
        <v/>
      </c>
      <c r="BV339" s="60">
        <f>IF(AND(F339&lt;&gt;"",F339&lt;&gt;"Relance en retard"),MAX($BV$4:BV338)+1,"")</f>
        <v/>
      </c>
      <c r="BW339" s="60">
        <f>IF(C339="","",IF(AND(B339&gt;='Tableau de bord'!$R$4,B339&lt;='Tableau de bord'!$S$4,OR('Tableau de bord'!$G$4="Tous",N339='Tableau de bord'!$G$4)),1,0))</f>
        <v/>
      </c>
      <c r="BX339" s="60">
        <f>IF(AND(C339&lt;&gt;"",N(BA339)=7),MAX($BX$4:BX338)+1,"")</f>
        <v/>
      </c>
    </row>
    <row r="340">
      <c r="A340" s="60">
        <f>IF(C340="","","P-"&amp;TEXT(336,"000"))</f>
        <v/>
      </c>
      <c r="B340" s="106">
        <f>IF(C340="","",IFERROR(1/(1/_xlfn.MINIFS('Saisie'!$A$5:$A$2004,'Saisie'!$C$5:$C$2004,C340)),""))</f>
        <v/>
      </c>
      <c r="C340" s="60">
        <f>IFERROR(INDEX('Saisie'!$C$5:$C$2004,MATCH(336,'Saisie'!$AX$5:$AX$2004,0)),"")</f>
        <v/>
      </c>
      <c r="D340" s="60">
        <f>IF(C340="","",IF(AND(BR340&gt;0,BR340&gt;BS340,BA340&lt;7),"Perdu",INDEX('Paramètres'!$F$6:$F$13,BA340)))</f>
        <v/>
      </c>
      <c r="E340" s="61">
        <f>IF(C340="","",MIN(100,(Z340="Oui")*'Paramètres'!$B$38+(AB340="Régulière")*'Paramètres'!$B$39+IF(AND(N(AA340)&gt;0,TODAY()-N(AA340)&lt;=30),'Paramètres'!$B$40,0)+(W340="")*'Paramètres'!$B$41+(AC340="Absente")*'Paramètres'!$B$42+(AC340="Faible")*'Paramètres'!$B$43+IF(AND(N(AD340)&gt;0,N(AD340)&lt;4),'Paramètres'!$B$44,0)+(AF340="Moyenne")*'Paramètres'!$B$45+(AF340="Grande")*'Paramètres'!$B$46+(Y340&lt;&gt;"")*'Paramètres'!$B$47))</f>
        <v/>
      </c>
      <c r="F340" s="60">
        <f>IF(C340="","",IF(D340="Gagné","",IF(D340="Perdu",IF(AND(AX340&lt;&gt;"",AX340&lt;=TODAY()),"À recontacter (perdu)",""),IF(AND(O340&gt;='Paramètres'!$B$21,P340=0),"Stop : "&amp;'Paramètres'!$B$21&amp;" tentatives sans réponse",IF(AND(D340="Proposition",AR340&lt;&gt;"",TODAY()&gt;N(AR340)),"Proposition expirée",IF(AND(D340="Proposition",N(R340)&gt;='Paramètres'!$B$25),"Proposition sans réponse",IF(AND(G340&lt;&gt;"",N(G340)&lt;TODAY()),"Relance en retard",IF(N(R340)&gt;='Paramètres'!$B$24,"Sans action depuis "&amp;R340&amp;" j",""))))))))</f>
        <v/>
      </c>
      <c r="G340" s="106">
        <f>IF(OR(C340="",D340="Gagné",D340="Perdu"),"",IF(AND(BP340&gt;0,BP340=BQ340),INDEX('Saisie'!$J$5:$J$2004,BP340-4),IF(OR(O340=0,AND(O340&gt;='Paramètres'!$B$21,P340=0)),"",Q340+IF(O340&lt;=1,'Paramètres'!$B$18,IF(O340=2,'Paramètres'!$B$19,'Paramètres'!$B$20)))))</f>
        <v/>
      </c>
      <c r="H340" s="107">
        <f>IF(OR(G340="",BP340&lt;&gt;BQ340),"",IF(INDEX('Saisie'!$K$5:$K$2004,BP340-4)="","",INDEX('Saisie'!$K$5:$K$2004,BP340-4)))</f>
        <v/>
      </c>
      <c r="I340" s="60">
        <f>IF(C340="","",IF(OR(D340="Gagné",D340="Perdu"),"",IFERROR(INDEX('Saisie'!$I$5:$I$2004,_xlfn.MAXIFS('Saisie'!$AS$5:$AS$2004,'Saisie'!$C$5:$C$2004,C340,'Saisie'!$I$5:$I$2004,"&lt;&gt;")-4),"")))</f>
        <v/>
      </c>
      <c r="J340" s="60">
        <f>IF(C340="","",IFERROR(INDEX('Saisie'!$U$5:$U$2004,_xlfn.MAXIFS('Saisie'!$AS$5:$AS$2004,'Saisie'!$C$5:$C$2004,C340,'Saisie'!$U$5:$U$2004,"&lt;&gt;")-4),""))</f>
        <v/>
      </c>
      <c r="K340" s="60">
        <f>IF(C340="","",IFERROR(INDEX('Saisie'!$W$5:$W$2004,_xlfn.MAXIFS('Saisie'!$AS$5:$AS$2004,'Saisie'!$C$5:$C$2004,C340,'Saisie'!$W$5:$W$2004,"&lt;&gt;")-4),""))</f>
        <v/>
      </c>
      <c r="L340" s="60">
        <f>IF(IF(BB340&lt;&gt;"",BB340,K340)="","",HYPERLINK("https://wa.me/"&amp;IF(LEFT(SUBSTITUTE(SUBSTITUTE(SUBSTITUTE(IF(BB340&lt;&gt;"",BB340,K340)," ",""),".",""),"+",""),1)="0",'Paramètres'!$B$35&amp;MID(SUBSTITUTE(SUBSTITUTE(SUBSTITUTE(IF(BB340&lt;&gt;"",BB340,K340)," ",""),".",""),"+",""),2,20),SUBSTITUTE(SUBSTITUTE(SUBSTITUTE(IF(BB340&lt;&gt;"",BB340,K340)," ",""),".",""),"+","")),"WhatsApp"))</f>
        <v/>
      </c>
      <c r="M340" s="60">
        <f>IF(BC340="","",HYPERLINK(IF(LEFT(BC340,4)="http",BC340,"https://www.instagram.com/"&amp;SUBSTITUTE(SUBSTITUTE(BC340,"@","")," ","")),BC340))</f>
        <v/>
      </c>
      <c r="N340" s="60">
        <f>IF(C340="","",IFERROR(INDEX('Saisie'!$D$5:$D$2004,_xlfn.MINIFS('Saisie'!$AS$5:$AS$2004,'Saisie'!$C$5:$C$2004,C340,'Saisie'!$AU$5:$AU$2004,1)-4),IFERROR(INDEX('Saisie'!$D$5:$D$2004,_xlfn.MINIFS('Saisie'!$AS$5:$AS$2004,'Saisie'!$C$5:$C$2004,C340,'Saisie'!$D$5:$D$2004,"&lt;&gt;")-4),"")))</f>
        <v/>
      </c>
      <c r="O340" s="60">
        <f>IF(C340="","",COUNTIFS('Saisie'!$C$5:$C$2004,C340,'Saisie'!$AU$5:$AU$2004,1))</f>
        <v/>
      </c>
      <c r="P340" s="60">
        <f>IF(C340="","",COUNTIFS('Saisie'!$C$5:$C$2004,C340,'Saisie'!$AV$5:$AV$2004,1))</f>
        <v/>
      </c>
      <c r="Q340" s="106">
        <f>IF(C340="","",IFERROR(1/(1/_xlfn.MAXIFS('Saisie'!$A$5:$A$2004,'Saisie'!$C$5:$C$2004,C340)),""))</f>
        <v/>
      </c>
      <c r="R340" s="61">
        <f>IF(C340="","",IF(Q340="","",TODAY()-Q340))</f>
        <v/>
      </c>
      <c r="S340" s="60">
        <f>IF(C340="","",IFERROR(INDEX('Saisie'!$R$5:$R$2004,_xlfn.MAXIFS('Saisie'!$AS$5:$AS$2004,'Saisie'!$C$5:$C$2004,C340,'Saisie'!$R$5:$R$2004,"&lt;&gt;")-4),""))</f>
        <v/>
      </c>
      <c r="T340" s="60">
        <f>IF(C340="","",IFERROR(INDEX('Saisie'!$S$5:$S$2004,_xlfn.MAXIFS('Saisie'!$AS$5:$AS$2004,'Saisie'!$C$5:$C$2004,C340,'Saisie'!$S$5:$S$2004,"&lt;&gt;")-4),""))</f>
        <v/>
      </c>
      <c r="U340" s="60">
        <f>IF(C340="","",IFERROR(INDEX('Saisie'!$T$5:$T$2004,_xlfn.MAXIFS('Saisie'!$AS$5:$AS$2004,'Saisie'!$C$5:$C$2004,C340,'Saisie'!$T$5:$T$2004,"&lt;&gt;")-4),""))</f>
        <v/>
      </c>
      <c r="V340" s="60">
        <f>IF(C340="","",IFERROR(INDEX('Saisie'!$V$5:$V$2004,_xlfn.MAXIFS('Saisie'!$AS$5:$AS$2004,'Saisie'!$C$5:$C$2004,C340,'Saisie'!$V$5:$V$2004,"&lt;&gt;")-4),""))</f>
        <v/>
      </c>
      <c r="W340" s="60">
        <f>IF(C340="","",IFERROR(INDEX('Saisie'!$Z$5:$Z$2004,_xlfn.MAXIFS('Saisie'!$AS$5:$AS$2004,'Saisie'!$C$5:$C$2004,C340,'Saisie'!$Z$5:$Z$2004,"&lt;&gt;")-4),""))</f>
        <v/>
      </c>
      <c r="X340" s="60">
        <f>IF(C340="","",IFERROR(INDEX('Saisie'!$AA$5:$AA$2004,_xlfn.MAXIFS('Saisie'!$AS$5:$AS$2004,'Saisie'!$C$5:$C$2004,C340,'Saisie'!$AA$5:$AA$2004,"&lt;&gt;")-4),""))</f>
        <v/>
      </c>
      <c r="Y340" s="60">
        <f>IF(C340="","",IFERROR(INDEX('Saisie'!$AB$5:$AB$2004,_xlfn.MAXIFS('Saisie'!$AS$5:$AS$2004,'Saisie'!$C$5:$C$2004,C340,'Saisie'!$AB$5:$AB$2004,"&lt;&gt;")-4),""))</f>
        <v/>
      </c>
      <c r="Z340" s="60">
        <f>IF(C340="","",IFERROR(INDEX('Saisie'!$AC$5:$AC$2004,_xlfn.MAXIFS('Saisie'!$AS$5:$AS$2004,'Saisie'!$C$5:$C$2004,C340,'Saisie'!$AC$5:$AC$2004,"&lt;&gt;")-4),""))</f>
        <v/>
      </c>
      <c r="AA340" s="106">
        <f>IF(C340="","",IFERROR(INDEX('Saisie'!$AD$5:$AD$2004,_xlfn.MAXIFS('Saisie'!$AS$5:$AS$2004,'Saisie'!$C$5:$C$2004,C340,'Saisie'!$AD$5:$AD$2004,"&lt;&gt;")-4),""))</f>
        <v/>
      </c>
      <c r="AB340" s="60">
        <f>IF(C340="","",IFERROR(INDEX('Saisie'!$AE$5:$AE$2004,_xlfn.MAXIFS('Saisie'!$AS$5:$AS$2004,'Saisie'!$C$5:$C$2004,C340,'Saisie'!$AE$5:$AE$2004,"&lt;&gt;")-4),""))</f>
        <v/>
      </c>
      <c r="AC340" s="60">
        <f>IF(C340="","",IFERROR(INDEX('Saisie'!$AF$5:$AF$2004,_xlfn.MAXIFS('Saisie'!$AS$5:$AS$2004,'Saisie'!$C$5:$C$2004,C340,'Saisie'!$AF$5:$AF$2004,"&lt;&gt;")-4),""))</f>
        <v/>
      </c>
      <c r="AD340" s="108">
        <f>IF(C340="","",IFERROR(INDEX('Saisie'!$AG$5:$AG$2004,_xlfn.MAXIFS('Saisie'!$AS$5:$AS$2004,'Saisie'!$C$5:$C$2004,C340,'Saisie'!$AG$5:$AG$2004,"&lt;&gt;")-4),""))</f>
        <v/>
      </c>
      <c r="AE340" s="60">
        <f>IF(C340="","",IFERROR(INDEX('Saisie'!$AH$5:$AH$2004,_xlfn.MAXIFS('Saisie'!$AS$5:$AS$2004,'Saisie'!$C$5:$C$2004,C340,'Saisie'!$AH$5:$AH$2004,"&lt;&gt;")-4),""))</f>
        <v/>
      </c>
      <c r="AF340" s="60">
        <f>IF(C340="","",IFERROR(INDEX('Saisie'!$AI$5:$AI$2004,_xlfn.MAXIFS('Saisie'!$AS$5:$AS$2004,'Saisie'!$C$5:$C$2004,C340,'Saisie'!$AI$5:$AI$2004,"&lt;&gt;")-4),""))</f>
        <v/>
      </c>
      <c r="AG340" s="60">
        <f>IF(C340="","",IFERROR(INDEX('Saisie'!$AJ$5:$AJ$2004,_xlfn.MAXIFS('Saisie'!$AS$5:$AS$2004,'Saisie'!$C$5:$C$2004,C340,'Saisie'!$AJ$5:$AJ$2004,"&lt;&gt;")-4),""))</f>
        <v/>
      </c>
      <c r="AH340" s="60">
        <f>IF(C340="","",IFERROR(INDEX('Saisie'!$AK$5:$AK$2004,_xlfn.MAXIFS('Saisie'!$AS$5:$AS$2004,'Saisie'!$C$5:$C$2004,C340,'Saisie'!$AK$5:$AK$2004,"&lt;&gt;")-4),""))</f>
        <v/>
      </c>
      <c r="AI340" s="60">
        <f>IF(C340="","",IFERROR(INDEX('Saisie'!$AN$5:$AN$2004,_xlfn.MAXIFS('Saisie'!$AS$5:$AS$2004,'Saisie'!$C$5:$C$2004,C340,'Saisie'!$AN$5:$AN$2004,"&lt;&gt;")-4),""))</f>
        <v/>
      </c>
      <c r="AJ340" s="60">
        <f>IF(C340="","",IFERROR(INDEX('Saisie'!$AO$5:$AO$2004,_xlfn.MAXIFS('Saisie'!$AS$5:$AS$2004,'Saisie'!$C$5:$C$2004,C340,'Saisie'!$AO$5:$AO$2004,"&lt;&gt;")-4),""))</f>
        <v/>
      </c>
      <c r="AK340" s="60">
        <f>IF(C340="","",IFERROR(INDEX('Saisie'!$AP$5:$AP$2004,_xlfn.MAXIFS('Saisie'!$AS$5:$AS$2004,'Saisie'!$C$5:$C$2004,C340,'Saisie'!$AP$5:$AP$2004,"&lt;&gt;")-4),""))</f>
        <v/>
      </c>
      <c r="AL340" s="60">
        <f>IF(C340="","",IFERROR(INDEX('Saisie'!$AQ$5:$AQ$2004,_xlfn.MAXIFS('Saisie'!$AS$5:$AS$2004,'Saisie'!$C$5:$C$2004,C340,'Saisie'!$AQ$5:$AQ$2004,"&lt;&gt;")-4),""))</f>
        <v/>
      </c>
      <c r="AM340" s="60">
        <f>IF(C340="","",((AI340="Oui")+(AJ340="Oui")+(AK340="Oui")+OR(AL340="Immédiat",AL340="&lt; 1 mois"))&amp;"/4")</f>
        <v/>
      </c>
      <c r="AN340" s="60">
        <f>IF(C340="","",IFERROR(INDEX('Saisie'!$AL$5:$AL$2004,_xlfn.MAXIFS('Saisie'!$AS$5:$AS$2004,'Saisie'!$C$5:$C$2004,C340,'Saisie'!$AL$5:$AL$2004,"&lt;&gt;")-4),""))</f>
        <v/>
      </c>
      <c r="AO340" s="62">
        <f>IF(C340="","",IF(IFERROR(INDEX('Saisie'!$AM$5:$AM$2004,_xlfn.MAXIFS('Saisie'!$AS$5:$AS$2004,'Saisie'!$C$5:$C$2004,C340,'Saisie'!$AM$5:$AM$2004,"&lt;&gt;")-4),"")&lt;&gt;"",IFERROR(INDEX('Saisie'!$AM$5:$AM$2004,_xlfn.MAXIFS('Saisie'!$AS$5:$AS$2004,'Saisie'!$C$5:$C$2004,C340,'Saisie'!$AM$5:$AM$2004,"&lt;&gt;")-4),""),IFERROR(INDEX('Paramètres'!$S$6:$S$15,MATCH(AN340,'Paramètres'!$Q$6:$Q$15,0)),"")))</f>
        <v/>
      </c>
      <c r="AP340" s="62">
        <f>IF(C340="","",IFERROR(INDEX('Saisie'!$AW$5:$AW$2004,_xlfn.MAXIFS('Saisie'!$AS$5:$AS$2004,'Saisie'!$C$5:$C$2004,C340,'Saisie'!$E$5:$E$2004,"Proposition envoyée")-4),""))</f>
        <v/>
      </c>
      <c r="AQ340" s="106">
        <f>IF(C340="","",IFERROR(1/(1/_xlfn.MAXIFS('Saisie'!$A$5:$A$2004,'Saisie'!$C$5:$C$2004,C340,'Saisie'!$E$5:$E$2004,"Proposition envoyée")),""))</f>
        <v/>
      </c>
      <c r="AR340" s="106">
        <f>IF(C340="","",IF(AQ340="","",AQ340+'Paramètres'!$B$26))</f>
        <v/>
      </c>
      <c r="AS340" s="62">
        <f>IF(OR(C340="",D340="Gagné",D340="Perdu"),0,N(AP340)*IFERROR(INDEX('Paramètres'!$G$6:$G$13,MATCH(D340,'Paramètres'!$F$6:$F$13,0)),0))</f>
        <v/>
      </c>
      <c r="AT340" s="106">
        <f>IF(C340="","",IFERROR(1/(1/_xlfn.MINIFS('Saisie'!$A$5:$A$2004,'Saisie'!$C$5:$C$2004,C340,'Saisie'!$E$5:$E$2004,"Signature")),""))</f>
        <v/>
      </c>
      <c r="AU340" s="60">
        <f>IF(C340="","",IF(OR(AT340="",B340=""),"",AT340-B340))</f>
        <v/>
      </c>
      <c r="AV340" s="60">
        <f>IF(C340="","",IFERROR(INDEX('Saisie'!$L$5:$L$2004,_xlfn.MAXIFS('Saisie'!$AS$5:$AS$2004,'Saisie'!$C$5:$C$2004,C340,'Saisie'!$L$5:$L$2004,"&lt;&gt;")-4),""))</f>
        <v/>
      </c>
      <c r="AW340" s="106">
        <f>IF(C340="","",IF(D340&lt;&gt;"Perdu","",IFERROR(1/(1/_xlfn.MAXIFS('Saisie'!$A$5:$A$2004,'Saisie'!$C$5:$C$2004,C340,'Saisie'!$E$5:$E$2004,"Perdu")),"")))</f>
        <v/>
      </c>
      <c r="AX340" s="106">
        <f>IF(C340="","",IF(AW340="","",AW340+'Paramètres'!$B$28))</f>
        <v/>
      </c>
      <c r="AY340" s="60">
        <f>IF(C340="","",SUMIFS('Saisie'!$H$5:$H$2004,'Saisie'!$C$5:$C$2004,C340))</f>
        <v/>
      </c>
      <c r="AZ340" s="60">
        <f>IF(C340="","",IFERROR(INDEX('Paramètres'!$W$6:$W$20,MATCH(S340,'Paramètres'!$V$6:$V$20,0))&amp;"",""))</f>
        <v/>
      </c>
      <c r="BA340" s="60">
        <f>IF(C340="","",MAX(1,_xlfn.MAXIFS('Saisie'!$AT$5:$AT$2004,'Saisie'!$C$5:$C$2004,C340)))</f>
        <v/>
      </c>
      <c r="BB340" s="60">
        <f>IF(C340="","",IFERROR(INDEX('Saisie'!$X$5:$X$2004,_xlfn.MAXIFS('Saisie'!$AS$5:$AS$2004,'Saisie'!$C$5:$C$2004,C340,'Saisie'!$X$5:$X$2004,"&lt;&gt;")-4),""))</f>
        <v/>
      </c>
      <c r="BC340" s="60">
        <f>IF(C340="","",IFERROR(INDEX('Saisie'!$Y$5:$Y$2004,_xlfn.MAXIFS('Saisie'!$AS$5:$AS$2004,'Saisie'!$C$5:$C$2004,C340,'Saisie'!$Y$5:$Y$2004,"&lt;&gt;")-4),""))</f>
        <v/>
      </c>
      <c r="BD340" s="106">
        <f>IF(C340="","",IFERROR(1/(1/_xlfn.MINIFS('Saisie'!$A$5:$A$2004,'Saisie'!$C$5:$C$2004,C340,'Saisie'!$AT$5:$AT$2004,"&gt;=2")),""))</f>
        <v/>
      </c>
      <c r="BE340" s="106">
        <f>IF(C340="","",IFERROR(1/(1/_xlfn.MINIFS('Saisie'!$A$5:$A$2004,'Saisie'!$C$5:$C$2004,C340,'Saisie'!$AT$5:$AT$2004,"&gt;=3")),""))</f>
        <v/>
      </c>
      <c r="BF340" s="106">
        <f>IF(C340="","",IFERROR(1/(1/_xlfn.MINIFS('Saisie'!$A$5:$A$2004,'Saisie'!$C$5:$C$2004,C340,'Saisie'!$AT$5:$AT$2004,"&gt;=4")),""))</f>
        <v/>
      </c>
      <c r="BG340" s="106">
        <f>IF(C340="","",IFERROR(1/(1/_xlfn.MINIFS('Saisie'!$A$5:$A$2004,'Saisie'!$C$5:$C$2004,C340,'Saisie'!$AT$5:$AT$2004,"&gt;=5")),""))</f>
        <v/>
      </c>
      <c r="BH340" s="106">
        <f>IF(C340="","",IFERROR(1/(1/_xlfn.MINIFS('Saisie'!$A$5:$A$2004,'Saisie'!$C$5:$C$2004,C340,'Saisie'!$AT$5:$AT$2004,"&gt;=6")),""))</f>
        <v/>
      </c>
      <c r="BI340" s="106">
        <f>IF(C340="","",IFERROR(1/(1/_xlfn.MINIFS('Saisie'!$A$5:$A$2004,'Saisie'!$C$5:$C$2004,C340,'Saisie'!$AT$5:$AT$2004,"&gt;=7")),""))</f>
        <v/>
      </c>
      <c r="BJ340" s="60">
        <f>IF(OR(BD340="",B340=""),"",BD340-B340)</f>
        <v/>
      </c>
      <c r="BK340" s="60">
        <f>IF(OR(BE340="",BD340=""),"",BE340-BD340)</f>
        <v/>
      </c>
      <c r="BL340" s="60">
        <f>IF(OR(BF340="",BE340=""),"",BF340-BE340)</f>
        <v/>
      </c>
      <c r="BM340" s="60">
        <f>IF(OR(BG340="",BF340=""),"",BG340-BF340)</f>
        <v/>
      </c>
      <c r="BN340" s="60">
        <f>IF(OR(BH340="",BG340=""),"",BH340-BG340)</f>
        <v/>
      </c>
      <c r="BO340" s="60">
        <f>IF(OR(BI340="",BH340=""),"",BI340-BH340)</f>
        <v/>
      </c>
      <c r="BP340" s="60">
        <f>IF(C340="","",_xlfn.MAXIFS('Saisie'!$AS$5:$AS$2004,'Saisie'!$C$5:$C$2004,C340,'Saisie'!$J$5:$J$2004,"&lt;&gt;"))</f>
        <v/>
      </c>
      <c r="BQ340" s="60">
        <f>IF(C340="","",_xlfn.MAXIFS('Saisie'!$AS$5:$AS$2004,'Saisie'!$C$5:$C$2004,C340))</f>
        <v/>
      </c>
      <c r="BR340" s="60">
        <f>IF(C340="","",_xlfn.MAXIFS('Saisie'!$AS$5:$AS$2004,'Saisie'!$C$5:$C$2004,C340,'Saisie'!$E$5:$E$2004,"Perdu"))</f>
        <v/>
      </c>
      <c r="BS340" s="60">
        <f>IF(C340="","",_xlfn.MAXIFS('Saisie'!$AS$5:$AS$2004,'Saisie'!$C$5:$C$2004,C340,'Saisie'!$AT$5:$AT$2004,"&gt;0"))</f>
        <v/>
      </c>
      <c r="BT340" s="109">
        <f>IF(AND(C340&lt;&gt;"",OR(D340="Nouveau",D340="Contacté",D340="Qualifié"),OR(G340="",N(G340)&lt;=TODAY()),NOT(AND(O340&gt;='Paramètres'!$B$21,P340=0))),E340+336/10000,"")</f>
        <v/>
      </c>
      <c r="BU340" s="60">
        <f>IF(AND(G340&lt;&gt;"",N(G340)&lt;=TODAY()),MAX($BU$4:BU339)+1,"")</f>
        <v/>
      </c>
      <c r="BV340" s="60">
        <f>IF(AND(F340&lt;&gt;"",F340&lt;&gt;"Relance en retard"),MAX($BV$4:BV339)+1,"")</f>
        <v/>
      </c>
      <c r="BW340" s="60">
        <f>IF(C340="","",IF(AND(B340&gt;='Tableau de bord'!$R$4,B340&lt;='Tableau de bord'!$S$4,OR('Tableau de bord'!$G$4="Tous",N340='Tableau de bord'!$G$4)),1,0))</f>
        <v/>
      </c>
      <c r="BX340" s="60">
        <f>IF(AND(C340&lt;&gt;"",N(BA340)=7),MAX($BX$4:BX339)+1,"")</f>
        <v/>
      </c>
    </row>
    <row r="341">
      <c r="A341" s="60">
        <f>IF(C341="","","P-"&amp;TEXT(337,"000"))</f>
        <v/>
      </c>
      <c r="B341" s="106">
        <f>IF(C341="","",IFERROR(1/(1/_xlfn.MINIFS('Saisie'!$A$5:$A$2004,'Saisie'!$C$5:$C$2004,C341)),""))</f>
        <v/>
      </c>
      <c r="C341" s="60">
        <f>IFERROR(INDEX('Saisie'!$C$5:$C$2004,MATCH(337,'Saisie'!$AX$5:$AX$2004,0)),"")</f>
        <v/>
      </c>
      <c r="D341" s="60">
        <f>IF(C341="","",IF(AND(BR341&gt;0,BR341&gt;BS341,BA341&lt;7),"Perdu",INDEX('Paramètres'!$F$6:$F$13,BA341)))</f>
        <v/>
      </c>
      <c r="E341" s="61">
        <f>IF(C341="","",MIN(100,(Z341="Oui")*'Paramètres'!$B$38+(AB341="Régulière")*'Paramètres'!$B$39+IF(AND(N(AA341)&gt;0,TODAY()-N(AA341)&lt;=30),'Paramètres'!$B$40,0)+(W341="")*'Paramètres'!$B$41+(AC341="Absente")*'Paramètres'!$B$42+(AC341="Faible")*'Paramètres'!$B$43+IF(AND(N(AD341)&gt;0,N(AD341)&lt;4),'Paramètres'!$B$44,0)+(AF341="Moyenne")*'Paramètres'!$B$45+(AF341="Grande")*'Paramètres'!$B$46+(Y341&lt;&gt;"")*'Paramètres'!$B$47))</f>
        <v/>
      </c>
      <c r="F341" s="60">
        <f>IF(C341="","",IF(D341="Gagné","",IF(D341="Perdu",IF(AND(AX341&lt;&gt;"",AX341&lt;=TODAY()),"À recontacter (perdu)",""),IF(AND(O341&gt;='Paramètres'!$B$21,P341=0),"Stop : "&amp;'Paramètres'!$B$21&amp;" tentatives sans réponse",IF(AND(D341="Proposition",AR341&lt;&gt;"",TODAY()&gt;N(AR341)),"Proposition expirée",IF(AND(D341="Proposition",N(R341)&gt;='Paramètres'!$B$25),"Proposition sans réponse",IF(AND(G341&lt;&gt;"",N(G341)&lt;TODAY()),"Relance en retard",IF(N(R341)&gt;='Paramètres'!$B$24,"Sans action depuis "&amp;R341&amp;" j",""))))))))</f>
        <v/>
      </c>
      <c r="G341" s="106">
        <f>IF(OR(C341="",D341="Gagné",D341="Perdu"),"",IF(AND(BP341&gt;0,BP341=BQ341),INDEX('Saisie'!$J$5:$J$2004,BP341-4),IF(OR(O341=0,AND(O341&gt;='Paramètres'!$B$21,P341=0)),"",Q341+IF(O341&lt;=1,'Paramètres'!$B$18,IF(O341=2,'Paramètres'!$B$19,'Paramètres'!$B$20)))))</f>
        <v/>
      </c>
      <c r="H341" s="107">
        <f>IF(OR(G341="",BP341&lt;&gt;BQ341),"",IF(INDEX('Saisie'!$K$5:$K$2004,BP341-4)="","",INDEX('Saisie'!$K$5:$K$2004,BP341-4)))</f>
        <v/>
      </c>
      <c r="I341" s="60">
        <f>IF(C341="","",IF(OR(D341="Gagné",D341="Perdu"),"",IFERROR(INDEX('Saisie'!$I$5:$I$2004,_xlfn.MAXIFS('Saisie'!$AS$5:$AS$2004,'Saisie'!$C$5:$C$2004,C341,'Saisie'!$I$5:$I$2004,"&lt;&gt;")-4),"")))</f>
        <v/>
      </c>
      <c r="J341" s="60">
        <f>IF(C341="","",IFERROR(INDEX('Saisie'!$U$5:$U$2004,_xlfn.MAXIFS('Saisie'!$AS$5:$AS$2004,'Saisie'!$C$5:$C$2004,C341,'Saisie'!$U$5:$U$2004,"&lt;&gt;")-4),""))</f>
        <v/>
      </c>
      <c r="K341" s="60">
        <f>IF(C341="","",IFERROR(INDEX('Saisie'!$W$5:$W$2004,_xlfn.MAXIFS('Saisie'!$AS$5:$AS$2004,'Saisie'!$C$5:$C$2004,C341,'Saisie'!$W$5:$W$2004,"&lt;&gt;")-4),""))</f>
        <v/>
      </c>
      <c r="L341" s="60">
        <f>IF(IF(BB341&lt;&gt;"",BB341,K341)="","",HYPERLINK("https://wa.me/"&amp;IF(LEFT(SUBSTITUTE(SUBSTITUTE(SUBSTITUTE(IF(BB341&lt;&gt;"",BB341,K341)," ",""),".",""),"+",""),1)="0",'Paramètres'!$B$35&amp;MID(SUBSTITUTE(SUBSTITUTE(SUBSTITUTE(IF(BB341&lt;&gt;"",BB341,K341)," ",""),".",""),"+",""),2,20),SUBSTITUTE(SUBSTITUTE(SUBSTITUTE(IF(BB341&lt;&gt;"",BB341,K341)," ",""),".",""),"+","")),"WhatsApp"))</f>
        <v/>
      </c>
      <c r="M341" s="60">
        <f>IF(BC341="","",HYPERLINK(IF(LEFT(BC341,4)="http",BC341,"https://www.instagram.com/"&amp;SUBSTITUTE(SUBSTITUTE(BC341,"@","")," ","")),BC341))</f>
        <v/>
      </c>
      <c r="N341" s="60">
        <f>IF(C341="","",IFERROR(INDEX('Saisie'!$D$5:$D$2004,_xlfn.MINIFS('Saisie'!$AS$5:$AS$2004,'Saisie'!$C$5:$C$2004,C341,'Saisie'!$AU$5:$AU$2004,1)-4),IFERROR(INDEX('Saisie'!$D$5:$D$2004,_xlfn.MINIFS('Saisie'!$AS$5:$AS$2004,'Saisie'!$C$5:$C$2004,C341,'Saisie'!$D$5:$D$2004,"&lt;&gt;")-4),"")))</f>
        <v/>
      </c>
      <c r="O341" s="60">
        <f>IF(C341="","",COUNTIFS('Saisie'!$C$5:$C$2004,C341,'Saisie'!$AU$5:$AU$2004,1))</f>
        <v/>
      </c>
      <c r="P341" s="60">
        <f>IF(C341="","",COUNTIFS('Saisie'!$C$5:$C$2004,C341,'Saisie'!$AV$5:$AV$2004,1))</f>
        <v/>
      </c>
      <c r="Q341" s="106">
        <f>IF(C341="","",IFERROR(1/(1/_xlfn.MAXIFS('Saisie'!$A$5:$A$2004,'Saisie'!$C$5:$C$2004,C341)),""))</f>
        <v/>
      </c>
      <c r="R341" s="61">
        <f>IF(C341="","",IF(Q341="","",TODAY()-Q341))</f>
        <v/>
      </c>
      <c r="S341" s="60">
        <f>IF(C341="","",IFERROR(INDEX('Saisie'!$R$5:$R$2004,_xlfn.MAXIFS('Saisie'!$AS$5:$AS$2004,'Saisie'!$C$5:$C$2004,C341,'Saisie'!$R$5:$R$2004,"&lt;&gt;")-4),""))</f>
        <v/>
      </c>
      <c r="T341" s="60">
        <f>IF(C341="","",IFERROR(INDEX('Saisie'!$S$5:$S$2004,_xlfn.MAXIFS('Saisie'!$AS$5:$AS$2004,'Saisie'!$C$5:$C$2004,C341,'Saisie'!$S$5:$S$2004,"&lt;&gt;")-4),""))</f>
        <v/>
      </c>
      <c r="U341" s="60">
        <f>IF(C341="","",IFERROR(INDEX('Saisie'!$T$5:$T$2004,_xlfn.MAXIFS('Saisie'!$AS$5:$AS$2004,'Saisie'!$C$5:$C$2004,C341,'Saisie'!$T$5:$T$2004,"&lt;&gt;")-4),""))</f>
        <v/>
      </c>
      <c r="V341" s="60">
        <f>IF(C341="","",IFERROR(INDEX('Saisie'!$V$5:$V$2004,_xlfn.MAXIFS('Saisie'!$AS$5:$AS$2004,'Saisie'!$C$5:$C$2004,C341,'Saisie'!$V$5:$V$2004,"&lt;&gt;")-4),""))</f>
        <v/>
      </c>
      <c r="W341" s="60">
        <f>IF(C341="","",IFERROR(INDEX('Saisie'!$Z$5:$Z$2004,_xlfn.MAXIFS('Saisie'!$AS$5:$AS$2004,'Saisie'!$C$5:$C$2004,C341,'Saisie'!$Z$5:$Z$2004,"&lt;&gt;")-4),""))</f>
        <v/>
      </c>
      <c r="X341" s="60">
        <f>IF(C341="","",IFERROR(INDEX('Saisie'!$AA$5:$AA$2004,_xlfn.MAXIFS('Saisie'!$AS$5:$AS$2004,'Saisie'!$C$5:$C$2004,C341,'Saisie'!$AA$5:$AA$2004,"&lt;&gt;")-4),""))</f>
        <v/>
      </c>
      <c r="Y341" s="60">
        <f>IF(C341="","",IFERROR(INDEX('Saisie'!$AB$5:$AB$2004,_xlfn.MAXIFS('Saisie'!$AS$5:$AS$2004,'Saisie'!$C$5:$C$2004,C341,'Saisie'!$AB$5:$AB$2004,"&lt;&gt;")-4),""))</f>
        <v/>
      </c>
      <c r="Z341" s="60">
        <f>IF(C341="","",IFERROR(INDEX('Saisie'!$AC$5:$AC$2004,_xlfn.MAXIFS('Saisie'!$AS$5:$AS$2004,'Saisie'!$C$5:$C$2004,C341,'Saisie'!$AC$5:$AC$2004,"&lt;&gt;")-4),""))</f>
        <v/>
      </c>
      <c r="AA341" s="106">
        <f>IF(C341="","",IFERROR(INDEX('Saisie'!$AD$5:$AD$2004,_xlfn.MAXIFS('Saisie'!$AS$5:$AS$2004,'Saisie'!$C$5:$C$2004,C341,'Saisie'!$AD$5:$AD$2004,"&lt;&gt;")-4),""))</f>
        <v/>
      </c>
      <c r="AB341" s="60">
        <f>IF(C341="","",IFERROR(INDEX('Saisie'!$AE$5:$AE$2004,_xlfn.MAXIFS('Saisie'!$AS$5:$AS$2004,'Saisie'!$C$5:$C$2004,C341,'Saisie'!$AE$5:$AE$2004,"&lt;&gt;")-4),""))</f>
        <v/>
      </c>
      <c r="AC341" s="60">
        <f>IF(C341="","",IFERROR(INDEX('Saisie'!$AF$5:$AF$2004,_xlfn.MAXIFS('Saisie'!$AS$5:$AS$2004,'Saisie'!$C$5:$C$2004,C341,'Saisie'!$AF$5:$AF$2004,"&lt;&gt;")-4),""))</f>
        <v/>
      </c>
      <c r="AD341" s="108">
        <f>IF(C341="","",IFERROR(INDEX('Saisie'!$AG$5:$AG$2004,_xlfn.MAXIFS('Saisie'!$AS$5:$AS$2004,'Saisie'!$C$5:$C$2004,C341,'Saisie'!$AG$5:$AG$2004,"&lt;&gt;")-4),""))</f>
        <v/>
      </c>
      <c r="AE341" s="60">
        <f>IF(C341="","",IFERROR(INDEX('Saisie'!$AH$5:$AH$2004,_xlfn.MAXIFS('Saisie'!$AS$5:$AS$2004,'Saisie'!$C$5:$C$2004,C341,'Saisie'!$AH$5:$AH$2004,"&lt;&gt;")-4),""))</f>
        <v/>
      </c>
      <c r="AF341" s="60">
        <f>IF(C341="","",IFERROR(INDEX('Saisie'!$AI$5:$AI$2004,_xlfn.MAXIFS('Saisie'!$AS$5:$AS$2004,'Saisie'!$C$5:$C$2004,C341,'Saisie'!$AI$5:$AI$2004,"&lt;&gt;")-4),""))</f>
        <v/>
      </c>
      <c r="AG341" s="60">
        <f>IF(C341="","",IFERROR(INDEX('Saisie'!$AJ$5:$AJ$2004,_xlfn.MAXIFS('Saisie'!$AS$5:$AS$2004,'Saisie'!$C$5:$C$2004,C341,'Saisie'!$AJ$5:$AJ$2004,"&lt;&gt;")-4),""))</f>
        <v/>
      </c>
      <c r="AH341" s="60">
        <f>IF(C341="","",IFERROR(INDEX('Saisie'!$AK$5:$AK$2004,_xlfn.MAXIFS('Saisie'!$AS$5:$AS$2004,'Saisie'!$C$5:$C$2004,C341,'Saisie'!$AK$5:$AK$2004,"&lt;&gt;")-4),""))</f>
        <v/>
      </c>
      <c r="AI341" s="60">
        <f>IF(C341="","",IFERROR(INDEX('Saisie'!$AN$5:$AN$2004,_xlfn.MAXIFS('Saisie'!$AS$5:$AS$2004,'Saisie'!$C$5:$C$2004,C341,'Saisie'!$AN$5:$AN$2004,"&lt;&gt;")-4),""))</f>
        <v/>
      </c>
      <c r="AJ341" s="60">
        <f>IF(C341="","",IFERROR(INDEX('Saisie'!$AO$5:$AO$2004,_xlfn.MAXIFS('Saisie'!$AS$5:$AS$2004,'Saisie'!$C$5:$C$2004,C341,'Saisie'!$AO$5:$AO$2004,"&lt;&gt;")-4),""))</f>
        <v/>
      </c>
      <c r="AK341" s="60">
        <f>IF(C341="","",IFERROR(INDEX('Saisie'!$AP$5:$AP$2004,_xlfn.MAXIFS('Saisie'!$AS$5:$AS$2004,'Saisie'!$C$5:$C$2004,C341,'Saisie'!$AP$5:$AP$2004,"&lt;&gt;")-4),""))</f>
        <v/>
      </c>
      <c r="AL341" s="60">
        <f>IF(C341="","",IFERROR(INDEX('Saisie'!$AQ$5:$AQ$2004,_xlfn.MAXIFS('Saisie'!$AS$5:$AS$2004,'Saisie'!$C$5:$C$2004,C341,'Saisie'!$AQ$5:$AQ$2004,"&lt;&gt;")-4),""))</f>
        <v/>
      </c>
      <c r="AM341" s="60">
        <f>IF(C341="","",((AI341="Oui")+(AJ341="Oui")+(AK341="Oui")+OR(AL341="Immédiat",AL341="&lt; 1 mois"))&amp;"/4")</f>
        <v/>
      </c>
      <c r="AN341" s="60">
        <f>IF(C341="","",IFERROR(INDEX('Saisie'!$AL$5:$AL$2004,_xlfn.MAXIFS('Saisie'!$AS$5:$AS$2004,'Saisie'!$C$5:$C$2004,C341,'Saisie'!$AL$5:$AL$2004,"&lt;&gt;")-4),""))</f>
        <v/>
      </c>
      <c r="AO341" s="62">
        <f>IF(C341="","",IF(IFERROR(INDEX('Saisie'!$AM$5:$AM$2004,_xlfn.MAXIFS('Saisie'!$AS$5:$AS$2004,'Saisie'!$C$5:$C$2004,C341,'Saisie'!$AM$5:$AM$2004,"&lt;&gt;")-4),"")&lt;&gt;"",IFERROR(INDEX('Saisie'!$AM$5:$AM$2004,_xlfn.MAXIFS('Saisie'!$AS$5:$AS$2004,'Saisie'!$C$5:$C$2004,C341,'Saisie'!$AM$5:$AM$2004,"&lt;&gt;")-4),""),IFERROR(INDEX('Paramètres'!$S$6:$S$15,MATCH(AN341,'Paramètres'!$Q$6:$Q$15,0)),"")))</f>
        <v/>
      </c>
      <c r="AP341" s="62">
        <f>IF(C341="","",IFERROR(INDEX('Saisie'!$AW$5:$AW$2004,_xlfn.MAXIFS('Saisie'!$AS$5:$AS$2004,'Saisie'!$C$5:$C$2004,C341,'Saisie'!$E$5:$E$2004,"Proposition envoyée")-4),""))</f>
        <v/>
      </c>
      <c r="AQ341" s="106">
        <f>IF(C341="","",IFERROR(1/(1/_xlfn.MAXIFS('Saisie'!$A$5:$A$2004,'Saisie'!$C$5:$C$2004,C341,'Saisie'!$E$5:$E$2004,"Proposition envoyée")),""))</f>
        <v/>
      </c>
      <c r="AR341" s="106">
        <f>IF(C341="","",IF(AQ341="","",AQ341+'Paramètres'!$B$26))</f>
        <v/>
      </c>
      <c r="AS341" s="62">
        <f>IF(OR(C341="",D341="Gagné",D341="Perdu"),0,N(AP341)*IFERROR(INDEX('Paramètres'!$G$6:$G$13,MATCH(D341,'Paramètres'!$F$6:$F$13,0)),0))</f>
        <v/>
      </c>
      <c r="AT341" s="106">
        <f>IF(C341="","",IFERROR(1/(1/_xlfn.MINIFS('Saisie'!$A$5:$A$2004,'Saisie'!$C$5:$C$2004,C341,'Saisie'!$E$5:$E$2004,"Signature")),""))</f>
        <v/>
      </c>
      <c r="AU341" s="60">
        <f>IF(C341="","",IF(OR(AT341="",B341=""),"",AT341-B341))</f>
        <v/>
      </c>
      <c r="AV341" s="60">
        <f>IF(C341="","",IFERROR(INDEX('Saisie'!$L$5:$L$2004,_xlfn.MAXIFS('Saisie'!$AS$5:$AS$2004,'Saisie'!$C$5:$C$2004,C341,'Saisie'!$L$5:$L$2004,"&lt;&gt;")-4),""))</f>
        <v/>
      </c>
      <c r="AW341" s="106">
        <f>IF(C341="","",IF(D341&lt;&gt;"Perdu","",IFERROR(1/(1/_xlfn.MAXIFS('Saisie'!$A$5:$A$2004,'Saisie'!$C$5:$C$2004,C341,'Saisie'!$E$5:$E$2004,"Perdu")),"")))</f>
        <v/>
      </c>
      <c r="AX341" s="106">
        <f>IF(C341="","",IF(AW341="","",AW341+'Paramètres'!$B$28))</f>
        <v/>
      </c>
      <c r="AY341" s="60">
        <f>IF(C341="","",SUMIFS('Saisie'!$H$5:$H$2004,'Saisie'!$C$5:$C$2004,C341))</f>
        <v/>
      </c>
      <c r="AZ341" s="60">
        <f>IF(C341="","",IFERROR(INDEX('Paramètres'!$W$6:$W$20,MATCH(S341,'Paramètres'!$V$6:$V$20,0))&amp;"",""))</f>
        <v/>
      </c>
      <c r="BA341" s="60">
        <f>IF(C341="","",MAX(1,_xlfn.MAXIFS('Saisie'!$AT$5:$AT$2004,'Saisie'!$C$5:$C$2004,C341)))</f>
        <v/>
      </c>
      <c r="BB341" s="60">
        <f>IF(C341="","",IFERROR(INDEX('Saisie'!$X$5:$X$2004,_xlfn.MAXIFS('Saisie'!$AS$5:$AS$2004,'Saisie'!$C$5:$C$2004,C341,'Saisie'!$X$5:$X$2004,"&lt;&gt;")-4),""))</f>
        <v/>
      </c>
      <c r="BC341" s="60">
        <f>IF(C341="","",IFERROR(INDEX('Saisie'!$Y$5:$Y$2004,_xlfn.MAXIFS('Saisie'!$AS$5:$AS$2004,'Saisie'!$C$5:$C$2004,C341,'Saisie'!$Y$5:$Y$2004,"&lt;&gt;")-4),""))</f>
        <v/>
      </c>
      <c r="BD341" s="106">
        <f>IF(C341="","",IFERROR(1/(1/_xlfn.MINIFS('Saisie'!$A$5:$A$2004,'Saisie'!$C$5:$C$2004,C341,'Saisie'!$AT$5:$AT$2004,"&gt;=2")),""))</f>
        <v/>
      </c>
      <c r="BE341" s="106">
        <f>IF(C341="","",IFERROR(1/(1/_xlfn.MINIFS('Saisie'!$A$5:$A$2004,'Saisie'!$C$5:$C$2004,C341,'Saisie'!$AT$5:$AT$2004,"&gt;=3")),""))</f>
        <v/>
      </c>
      <c r="BF341" s="106">
        <f>IF(C341="","",IFERROR(1/(1/_xlfn.MINIFS('Saisie'!$A$5:$A$2004,'Saisie'!$C$5:$C$2004,C341,'Saisie'!$AT$5:$AT$2004,"&gt;=4")),""))</f>
        <v/>
      </c>
      <c r="BG341" s="106">
        <f>IF(C341="","",IFERROR(1/(1/_xlfn.MINIFS('Saisie'!$A$5:$A$2004,'Saisie'!$C$5:$C$2004,C341,'Saisie'!$AT$5:$AT$2004,"&gt;=5")),""))</f>
        <v/>
      </c>
      <c r="BH341" s="106">
        <f>IF(C341="","",IFERROR(1/(1/_xlfn.MINIFS('Saisie'!$A$5:$A$2004,'Saisie'!$C$5:$C$2004,C341,'Saisie'!$AT$5:$AT$2004,"&gt;=6")),""))</f>
        <v/>
      </c>
      <c r="BI341" s="106">
        <f>IF(C341="","",IFERROR(1/(1/_xlfn.MINIFS('Saisie'!$A$5:$A$2004,'Saisie'!$C$5:$C$2004,C341,'Saisie'!$AT$5:$AT$2004,"&gt;=7")),""))</f>
        <v/>
      </c>
      <c r="BJ341" s="60">
        <f>IF(OR(BD341="",B341=""),"",BD341-B341)</f>
        <v/>
      </c>
      <c r="BK341" s="60">
        <f>IF(OR(BE341="",BD341=""),"",BE341-BD341)</f>
        <v/>
      </c>
      <c r="BL341" s="60">
        <f>IF(OR(BF341="",BE341=""),"",BF341-BE341)</f>
        <v/>
      </c>
      <c r="BM341" s="60">
        <f>IF(OR(BG341="",BF341=""),"",BG341-BF341)</f>
        <v/>
      </c>
      <c r="BN341" s="60">
        <f>IF(OR(BH341="",BG341=""),"",BH341-BG341)</f>
        <v/>
      </c>
      <c r="BO341" s="60">
        <f>IF(OR(BI341="",BH341=""),"",BI341-BH341)</f>
        <v/>
      </c>
      <c r="BP341" s="60">
        <f>IF(C341="","",_xlfn.MAXIFS('Saisie'!$AS$5:$AS$2004,'Saisie'!$C$5:$C$2004,C341,'Saisie'!$J$5:$J$2004,"&lt;&gt;"))</f>
        <v/>
      </c>
      <c r="BQ341" s="60">
        <f>IF(C341="","",_xlfn.MAXIFS('Saisie'!$AS$5:$AS$2004,'Saisie'!$C$5:$C$2004,C341))</f>
        <v/>
      </c>
      <c r="BR341" s="60">
        <f>IF(C341="","",_xlfn.MAXIFS('Saisie'!$AS$5:$AS$2004,'Saisie'!$C$5:$C$2004,C341,'Saisie'!$E$5:$E$2004,"Perdu"))</f>
        <v/>
      </c>
      <c r="BS341" s="60">
        <f>IF(C341="","",_xlfn.MAXIFS('Saisie'!$AS$5:$AS$2004,'Saisie'!$C$5:$C$2004,C341,'Saisie'!$AT$5:$AT$2004,"&gt;0"))</f>
        <v/>
      </c>
      <c r="BT341" s="109">
        <f>IF(AND(C341&lt;&gt;"",OR(D341="Nouveau",D341="Contacté",D341="Qualifié"),OR(G341="",N(G341)&lt;=TODAY()),NOT(AND(O341&gt;='Paramètres'!$B$21,P341=0))),E341+337/10000,"")</f>
        <v/>
      </c>
      <c r="BU341" s="60">
        <f>IF(AND(G341&lt;&gt;"",N(G341)&lt;=TODAY()),MAX($BU$4:BU340)+1,"")</f>
        <v/>
      </c>
      <c r="BV341" s="60">
        <f>IF(AND(F341&lt;&gt;"",F341&lt;&gt;"Relance en retard"),MAX($BV$4:BV340)+1,"")</f>
        <v/>
      </c>
      <c r="BW341" s="60">
        <f>IF(C341="","",IF(AND(B341&gt;='Tableau de bord'!$R$4,B341&lt;='Tableau de bord'!$S$4,OR('Tableau de bord'!$G$4="Tous",N341='Tableau de bord'!$G$4)),1,0))</f>
        <v/>
      </c>
      <c r="BX341" s="60">
        <f>IF(AND(C341&lt;&gt;"",N(BA341)=7),MAX($BX$4:BX340)+1,"")</f>
        <v/>
      </c>
    </row>
    <row r="342">
      <c r="A342" s="60">
        <f>IF(C342="","","P-"&amp;TEXT(338,"000"))</f>
        <v/>
      </c>
      <c r="B342" s="106">
        <f>IF(C342="","",IFERROR(1/(1/_xlfn.MINIFS('Saisie'!$A$5:$A$2004,'Saisie'!$C$5:$C$2004,C342)),""))</f>
        <v/>
      </c>
      <c r="C342" s="60">
        <f>IFERROR(INDEX('Saisie'!$C$5:$C$2004,MATCH(338,'Saisie'!$AX$5:$AX$2004,0)),"")</f>
        <v/>
      </c>
      <c r="D342" s="60">
        <f>IF(C342="","",IF(AND(BR342&gt;0,BR342&gt;BS342,BA342&lt;7),"Perdu",INDEX('Paramètres'!$F$6:$F$13,BA342)))</f>
        <v/>
      </c>
      <c r="E342" s="61">
        <f>IF(C342="","",MIN(100,(Z342="Oui")*'Paramètres'!$B$38+(AB342="Régulière")*'Paramètres'!$B$39+IF(AND(N(AA342)&gt;0,TODAY()-N(AA342)&lt;=30),'Paramètres'!$B$40,0)+(W342="")*'Paramètres'!$B$41+(AC342="Absente")*'Paramètres'!$B$42+(AC342="Faible")*'Paramètres'!$B$43+IF(AND(N(AD342)&gt;0,N(AD342)&lt;4),'Paramètres'!$B$44,0)+(AF342="Moyenne")*'Paramètres'!$B$45+(AF342="Grande")*'Paramètres'!$B$46+(Y342&lt;&gt;"")*'Paramètres'!$B$47))</f>
        <v/>
      </c>
      <c r="F342" s="60">
        <f>IF(C342="","",IF(D342="Gagné","",IF(D342="Perdu",IF(AND(AX342&lt;&gt;"",AX342&lt;=TODAY()),"À recontacter (perdu)",""),IF(AND(O342&gt;='Paramètres'!$B$21,P342=0),"Stop : "&amp;'Paramètres'!$B$21&amp;" tentatives sans réponse",IF(AND(D342="Proposition",AR342&lt;&gt;"",TODAY()&gt;N(AR342)),"Proposition expirée",IF(AND(D342="Proposition",N(R342)&gt;='Paramètres'!$B$25),"Proposition sans réponse",IF(AND(G342&lt;&gt;"",N(G342)&lt;TODAY()),"Relance en retard",IF(N(R342)&gt;='Paramètres'!$B$24,"Sans action depuis "&amp;R342&amp;" j",""))))))))</f>
        <v/>
      </c>
      <c r="G342" s="106">
        <f>IF(OR(C342="",D342="Gagné",D342="Perdu"),"",IF(AND(BP342&gt;0,BP342=BQ342),INDEX('Saisie'!$J$5:$J$2004,BP342-4),IF(OR(O342=0,AND(O342&gt;='Paramètres'!$B$21,P342=0)),"",Q342+IF(O342&lt;=1,'Paramètres'!$B$18,IF(O342=2,'Paramètres'!$B$19,'Paramètres'!$B$20)))))</f>
        <v/>
      </c>
      <c r="H342" s="107">
        <f>IF(OR(G342="",BP342&lt;&gt;BQ342),"",IF(INDEX('Saisie'!$K$5:$K$2004,BP342-4)="","",INDEX('Saisie'!$K$5:$K$2004,BP342-4)))</f>
        <v/>
      </c>
      <c r="I342" s="60">
        <f>IF(C342="","",IF(OR(D342="Gagné",D342="Perdu"),"",IFERROR(INDEX('Saisie'!$I$5:$I$2004,_xlfn.MAXIFS('Saisie'!$AS$5:$AS$2004,'Saisie'!$C$5:$C$2004,C342,'Saisie'!$I$5:$I$2004,"&lt;&gt;")-4),"")))</f>
        <v/>
      </c>
      <c r="J342" s="60">
        <f>IF(C342="","",IFERROR(INDEX('Saisie'!$U$5:$U$2004,_xlfn.MAXIFS('Saisie'!$AS$5:$AS$2004,'Saisie'!$C$5:$C$2004,C342,'Saisie'!$U$5:$U$2004,"&lt;&gt;")-4),""))</f>
        <v/>
      </c>
      <c r="K342" s="60">
        <f>IF(C342="","",IFERROR(INDEX('Saisie'!$W$5:$W$2004,_xlfn.MAXIFS('Saisie'!$AS$5:$AS$2004,'Saisie'!$C$5:$C$2004,C342,'Saisie'!$W$5:$W$2004,"&lt;&gt;")-4),""))</f>
        <v/>
      </c>
      <c r="L342" s="60">
        <f>IF(IF(BB342&lt;&gt;"",BB342,K342)="","",HYPERLINK("https://wa.me/"&amp;IF(LEFT(SUBSTITUTE(SUBSTITUTE(SUBSTITUTE(IF(BB342&lt;&gt;"",BB342,K342)," ",""),".",""),"+",""),1)="0",'Paramètres'!$B$35&amp;MID(SUBSTITUTE(SUBSTITUTE(SUBSTITUTE(IF(BB342&lt;&gt;"",BB342,K342)," ",""),".",""),"+",""),2,20),SUBSTITUTE(SUBSTITUTE(SUBSTITUTE(IF(BB342&lt;&gt;"",BB342,K342)," ",""),".",""),"+","")),"WhatsApp"))</f>
        <v/>
      </c>
      <c r="M342" s="60">
        <f>IF(BC342="","",HYPERLINK(IF(LEFT(BC342,4)="http",BC342,"https://www.instagram.com/"&amp;SUBSTITUTE(SUBSTITUTE(BC342,"@","")," ","")),BC342))</f>
        <v/>
      </c>
      <c r="N342" s="60">
        <f>IF(C342="","",IFERROR(INDEX('Saisie'!$D$5:$D$2004,_xlfn.MINIFS('Saisie'!$AS$5:$AS$2004,'Saisie'!$C$5:$C$2004,C342,'Saisie'!$AU$5:$AU$2004,1)-4),IFERROR(INDEX('Saisie'!$D$5:$D$2004,_xlfn.MINIFS('Saisie'!$AS$5:$AS$2004,'Saisie'!$C$5:$C$2004,C342,'Saisie'!$D$5:$D$2004,"&lt;&gt;")-4),"")))</f>
        <v/>
      </c>
      <c r="O342" s="60">
        <f>IF(C342="","",COUNTIFS('Saisie'!$C$5:$C$2004,C342,'Saisie'!$AU$5:$AU$2004,1))</f>
        <v/>
      </c>
      <c r="P342" s="60">
        <f>IF(C342="","",COUNTIFS('Saisie'!$C$5:$C$2004,C342,'Saisie'!$AV$5:$AV$2004,1))</f>
        <v/>
      </c>
      <c r="Q342" s="106">
        <f>IF(C342="","",IFERROR(1/(1/_xlfn.MAXIFS('Saisie'!$A$5:$A$2004,'Saisie'!$C$5:$C$2004,C342)),""))</f>
        <v/>
      </c>
      <c r="R342" s="61">
        <f>IF(C342="","",IF(Q342="","",TODAY()-Q342))</f>
        <v/>
      </c>
      <c r="S342" s="60">
        <f>IF(C342="","",IFERROR(INDEX('Saisie'!$R$5:$R$2004,_xlfn.MAXIFS('Saisie'!$AS$5:$AS$2004,'Saisie'!$C$5:$C$2004,C342,'Saisie'!$R$5:$R$2004,"&lt;&gt;")-4),""))</f>
        <v/>
      </c>
      <c r="T342" s="60">
        <f>IF(C342="","",IFERROR(INDEX('Saisie'!$S$5:$S$2004,_xlfn.MAXIFS('Saisie'!$AS$5:$AS$2004,'Saisie'!$C$5:$C$2004,C342,'Saisie'!$S$5:$S$2004,"&lt;&gt;")-4),""))</f>
        <v/>
      </c>
      <c r="U342" s="60">
        <f>IF(C342="","",IFERROR(INDEX('Saisie'!$T$5:$T$2004,_xlfn.MAXIFS('Saisie'!$AS$5:$AS$2004,'Saisie'!$C$5:$C$2004,C342,'Saisie'!$T$5:$T$2004,"&lt;&gt;")-4),""))</f>
        <v/>
      </c>
      <c r="V342" s="60">
        <f>IF(C342="","",IFERROR(INDEX('Saisie'!$V$5:$V$2004,_xlfn.MAXIFS('Saisie'!$AS$5:$AS$2004,'Saisie'!$C$5:$C$2004,C342,'Saisie'!$V$5:$V$2004,"&lt;&gt;")-4),""))</f>
        <v/>
      </c>
      <c r="W342" s="60">
        <f>IF(C342="","",IFERROR(INDEX('Saisie'!$Z$5:$Z$2004,_xlfn.MAXIFS('Saisie'!$AS$5:$AS$2004,'Saisie'!$C$5:$C$2004,C342,'Saisie'!$Z$5:$Z$2004,"&lt;&gt;")-4),""))</f>
        <v/>
      </c>
      <c r="X342" s="60">
        <f>IF(C342="","",IFERROR(INDEX('Saisie'!$AA$5:$AA$2004,_xlfn.MAXIFS('Saisie'!$AS$5:$AS$2004,'Saisie'!$C$5:$C$2004,C342,'Saisie'!$AA$5:$AA$2004,"&lt;&gt;")-4),""))</f>
        <v/>
      </c>
      <c r="Y342" s="60">
        <f>IF(C342="","",IFERROR(INDEX('Saisie'!$AB$5:$AB$2004,_xlfn.MAXIFS('Saisie'!$AS$5:$AS$2004,'Saisie'!$C$5:$C$2004,C342,'Saisie'!$AB$5:$AB$2004,"&lt;&gt;")-4),""))</f>
        <v/>
      </c>
      <c r="Z342" s="60">
        <f>IF(C342="","",IFERROR(INDEX('Saisie'!$AC$5:$AC$2004,_xlfn.MAXIFS('Saisie'!$AS$5:$AS$2004,'Saisie'!$C$5:$C$2004,C342,'Saisie'!$AC$5:$AC$2004,"&lt;&gt;")-4),""))</f>
        <v/>
      </c>
      <c r="AA342" s="106">
        <f>IF(C342="","",IFERROR(INDEX('Saisie'!$AD$5:$AD$2004,_xlfn.MAXIFS('Saisie'!$AS$5:$AS$2004,'Saisie'!$C$5:$C$2004,C342,'Saisie'!$AD$5:$AD$2004,"&lt;&gt;")-4),""))</f>
        <v/>
      </c>
      <c r="AB342" s="60">
        <f>IF(C342="","",IFERROR(INDEX('Saisie'!$AE$5:$AE$2004,_xlfn.MAXIFS('Saisie'!$AS$5:$AS$2004,'Saisie'!$C$5:$C$2004,C342,'Saisie'!$AE$5:$AE$2004,"&lt;&gt;")-4),""))</f>
        <v/>
      </c>
      <c r="AC342" s="60">
        <f>IF(C342="","",IFERROR(INDEX('Saisie'!$AF$5:$AF$2004,_xlfn.MAXIFS('Saisie'!$AS$5:$AS$2004,'Saisie'!$C$5:$C$2004,C342,'Saisie'!$AF$5:$AF$2004,"&lt;&gt;")-4),""))</f>
        <v/>
      </c>
      <c r="AD342" s="108">
        <f>IF(C342="","",IFERROR(INDEX('Saisie'!$AG$5:$AG$2004,_xlfn.MAXIFS('Saisie'!$AS$5:$AS$2004,'Saisie'!$C$5:$C$2004,C342,'Saisie'!$AG$5:$AG$2004,"&lt;&gt;")-4),""))</f>
        <v/>
      </c>
      <c r="AE342" s="60">
        <f>IF(C342="","",IFERROR(INDEX('Saisie'!$AH$5:$AH$2004,_xlfn.MAXIFS('Saisie'!$AS$5:$AS$2004,'Saisie'!$C$5:$C$2004,C342,'Saisie'!$AH$5:$AH$2004,"&lt;&gt;")-4),""))</f>
        <v/>
      </c>
      <c r="AF342" s="60">
        <f>IF(C342="","",IFERROR(INDEX('Saisie'!$AI$5:$AI$2004,_xlfn.MAXIFS('Saisie'!$AS$5:$AS$2004,'Saisie'!$C$5:$C$2004,C342,'Saisie'!$AI$5:$AI$2004,"&lt;&gt;")-4),""))</f>
        <v/>
      </c>
      <c r="AG342" s="60">
        <f>IF(C342="","",IFERROR(INDEX('Saisie'!$AJ$5:$AJ$2004,_xlfn.MAXIFS('Saisie'!$AS$5:$AS$2004,'Saisie'!$C$5:$C$2004,C342,'Saisie'!$AJ$5:$AJ$2004,"&lt;&gt;")-4),""))</f>
        <v/>
      </c>
      <c r="AH342" s="60">
        <f>IF(C342="","",IFERROR(INDEX('Saisie'!$AK$5:$AK$2004,_xlfn.MAXIFS('Saisie'!$AS$5:$AS$2004,'Saisie'!$C$5:$C$2004,C342,'Saisie'!$AK$5:$AK$2004,"&lt;&gt;")-4),""))</f>
        <v/>
      </c>
      <c r="AI342" s="60">
        <f>IF(C342="","",IFERROR(INDEX('Saisie'!$AN$5:$AN$2004,_xlfn.MAXIFS('Saisie'!$AS$5:$AS$2004,'Saisie'!$C$5:$C$2004,C342,'Saisie'!$AN$5:$AN$2004,"&lt;&gt;")-4),""))</f>
        <v/>
      </c>
      <c r="AJ342" s="60">
        <f>IF(C342="","",IFERROR(INDEX('Saisie'!$AO$5:$AO$2004,_xlfn.MAXIFS('Saisie'!$AS$5:$AS$2004,'Saisie'!$C$5:$C$2004,C342,'Saisie'!$AO$5:$AO$2004,"&lt;&gt;")-4),""))</f>
        <v/>
      </c>
      <c r="AK342" s="60">
        <f>IF(C342="","",IFERROR(INDEX('Saisie'!$AP$5:$AP$2004,_xlfn.MAXIFS('Saisie'!$AS$5:$AS$2004,'Saisie'!$C$5:$C$2004,C342,'Saisie'!$AP$5:$AP$2004,"&lt;&gt;")-4),""))</f>
        <v/>
      </c>
      <c r="AL342" s="60">
        <f>IF(C342="","",IFERROR(INDEX('Saisie'!$AQ$5:$AQ$2004,_xlfn.MAXIFS('Saisie'!$AS$5:$AS$2004,'Saisie'!$C$5:$C$2004,C342,'Saisie'!$AQ$5:$AQ$2004,"&lt;&gt;")-4),""))</f>
        <v/>
      </c>
      <c r="AM342" s="60">
        <f>IF(C342="","",((AI342="Oui")+(AJ342="Oui")+(AK342="Oui")+OR(AL342="Immédiat",AL342="&lt; 1 mois"))&amp;"/4")</f>
        <v/>
      </c>
      <c r="AN342" s="60">
        <f>IF(C342="","",IFERROR(INDEX('Saisie'!$AL$5:$AL$2004,_xlfn.MAXIFS('Saisie'!$AS$5:$AS$2004,'Saisie'!$C$5:$C$2004,C342,'Saisie'!$AL$5:$AL$2004,"&lt;&gt;")-4),""))</f>
        <v/>
      </c>
      <c r="AO342" s="62">
        <f>IF(C342="","",IF(IFERROR(INDEX('Saisie'!$AM$5:$AM$2004,_xlfn.MAXIFS('Saisie'!$AS$5:$AS$2004,'Saisie'!$C$5:$C$2004,C342,'Saisie'!$AM$5:$AM$2004,"&lt;&gt;")-4),"")&lt;&gt;"",IFERROR(INDEX('Saisie'!$AM$5:$AM$2004,_xlfn.MAXIFS('Saisie'!$AS$5:$AS$2004,'Saisie'!$C$5:$C$2004,C342,'Saisie'!$AM$5:$AM$2004,"&lt;&gt;")-4),""),IFERROR(INDEX('Paramètres'!$S$6:$S$15,MATCH(AN342,'Paramètres'!$Q$6:$Q$15,0)),"")))</f>
        <v/>
      </c>
      <c r="AP342" s="62">
        <f>IF(C342="","",IFERROR(INDEX('Saisie'!$AW$5:$AW$2004,_xlfn.MAXIFS('Saisie'!$AS$5:$AS$2004,'Saisie'!$C$5:$C$2004,C342,'Saisie'!$E$5:$E$2004,"Proposition envoyée")-4),""))</f>
        <v/>
      </c>
      <c r="AQ342" s="106">
        <f>IF(C342="","",IFERROR(1/(1/_xlfn.MAXIFS('Saisie'!$A$5:$A$2004,'Saisie'!$C$5:$C$2004,C342,'Saisie'!$E$5:$E$2004,"Proposition envoyée")),""))</f>
        <v/>
      </c>
      <c r="AR342" s="106">
        <f>IF(C342="","",IF(AQ342="","",AQ342+'Paramètres'!$B$26))</f>
        <v/>
      </c>
      <c r="AS342" s="62">
        <f>IF(OR(C342="",D342="Gagné",D342="Perdu"),0,N(AP342)*IFERROR(INDEX('Paramètres'!$G$6:$G$13,MATCH(D342,'Paramètres'!$F$6:$F$13,0)),0))</f>
        <v/>
      </c>
      <c r="AT342" s="106">
        <f>IF(C342="","",IFERROR(1/(1/_xlfn.MINIFS('Saisie'!$A$5:$A$2004,'Saisie'!$C$5:$C$2004,C342,'Saisie'!$E$5:$E$2004,"Signature")),""))</f>
        <v/>
      </c>
      <c r="AU342" s="60">
        <f>IF(C342="","",IF(OR(AT342="",B342=""),"",AT342-B342))</f>
        <v/>
      </c>
      <c r="AV342" s="60">
        <f>IF(C342="","",IFERROR(INDEX('Saisie'!$L$5:$L$2004,_xlfn.MAXIFS('Saisie'!$AS$5:$AS$2004,'Saisie'!$C$5:$C$2004,C342,'Saisie'!$L$5:$L$2004,"&lt;&gt;")-4),""))</f>
        <v/>
      </c>
      <c r="AW342" s="106">
        <f>IF(C342="","",IF(D342&lt;&gt;"Perdu","",IFERROR(1/(1/_xlfn.MAXIFS('Saisie'!$A$5:$A$2004,'Saisie'!$C$5:$C$2004,C342,'Saisie'!$E$5:$E$2004,"Perdu")),"")))</f>
        <v/>
      </c>
      <c r="AX342" s="106">
        <f>IF(C342="","",IF(AW342="","",AW342+'Paramètres'!$B$28))</f>
        <v/>
      </c>
      <c r="AY342" s="60">
        <f>IF(C342="","",SUMIFS('Saisie'!$H$5:$H$2004,'Saisie'!$C$5:$C$2004,C342))</f>
        <v/>
      </c>
      <c r="AZ342" s="60">
        <f>IF(C342="","",IFERROR(INDEX('Paramètres'!$W$6:$W$20,MATCH(S342,'Paramètres'!$V$6:$V$20,0))&amp;"",""))</f>
        <v/>
      </c>
      <c r="BA342" s="60">
        <f>IF(C342="","",MAX(1,_xlfn.MAXIFS('Saisie'!$AT$5:$AT$2004,'Saisie'!$C$5:$C$2004,C342)))</f>
        <v/>
      </c>
      <c r="BB342" s="60">
        <f>IF(C342="","",IFERROR(INDEX('Saisie'!$X$5:$X$2004,_xlfn.MAXIFS('Saisie'!$AS$5:$AS$2004,'Saisie'!$C$5:$C$2004,C342,'Saisie'!$X$5:$X$2004,"&lt;&gt;")-4),""))</f>
        <v/>
      </c>
      <c r="BC342" s="60">
        <f>IF(C342="","",IFERROR(INDEX('Saisie'!$Y$5:$Y$2004,_xlfn.MAXIFS('Saisie'!$AS$5:$AS$2004,'Saisie'!$C$5:$C$2004,C342,'Saisie'!$Y$5:$Y$2004,"&lt;&gt;")-4),""))</f>
        <v/>
      </c>
      <c r="BD342" s="106">
        <f>IF(C342="","",IFERROR(1/(1/_xlfn.MINIFS('Saisie'!$A$5:$A$2004,'Saisie'!$C$5:$C$2004,C342,'Saisie'!$AT$5:$AT$2004,"&gt;=2")),""))</f>
        <v/>
      </c>
      <c r="BE342" s="106">
        <f>IF(C342="","",IFERROR(1/(1/_xlfn.MINIFS('Saisie'!$A$5:$A$2004,'Saisie'!$C$5:$C$2004,C342,'Saisie'!$AT$5:$AT$2004,"&gt;=3")),""))</f>
        <v/>
      </c>
      <c r="BF342" s="106">
        <f>IF(C342="","",IFERROR(1/(1/_xlfn.MINIFS('Saisie'!$A$5:$A$2004,'Saisie'!$C$5:$C$2004,C342,'Saisie'!$AT$5:$AT$2004,"&gt;=4")),""))</f>
        <v/>
      </c>
      <c r="BG342" s="106">
        <f>IF(C342="","",IFERROR(1/(1/_xlfn.MINIFS('Saisie'!$A$5:$A$2004,'Saisie'!$C$5:$C$2004,C342,'Saisie'!$AT$5:$AT$2004,"&gt;=5")),""))</f>
        <v/>
      </c>
      <c r="BH342" s="106">
        <f>IF(C342="","",IFERROR(1/(1/_xlfn.MINIFS('Saisie'!$A$5:$A$2004,'Saisie'!$C$5:$C$2004,C342,'Saisie'!$AT$5:$AT$2004,"&gt;=6")),""))</f>
        <v/>
      </c>
      <c r="BI342" s="106">
        <f>IF(C342="","",IFERROR(1/(1/_xlfn.MINIFS('Saisie'!$A$5:$A$2004,'Saisie'!$C$5:$C$2004,C342,'Saisie'!$AT$5:$AT$2004,"&gt;=7")),""))</f>
        <v/>
      </c>
      <c r="BJ342" s="60">
        <f>IF(OR(BD342="",B342=""),"",BD342-B342)</f>
        <v/>
      </c>
      <c r="BK342" s="60">
        <f>IF(OR(BE342="",BD342=""),"",BE342-BD342)</f>
        <v/>
      </c>
      <c r="BL342" s="60">
        <f>IF(OR(BF342="",BE342=""),"",BF342-BE342)</f>
        <v/>
      </c>
      <c r="BM342" s="60">
        <f>IF(OR(BG342="",BF342=""),"",BG342-BF342)</f>
        <v/>
      </c>
      <c r="BN342" s="60">
        <f>IF(OR(BH342="",BG342=""),"",BH342-BG342)</f>
        <v/>
      </c>
      <c r="BO342" s="60">
        <f>IF(OR(BI342="",BH342=""),"",BI342-BH342)</f>
        <v/>
      </c>
      <c r="BP342" s="60">
        <f>IF(C342="","",_xlfn.MAXIFS('Saisie'!$AS$5:$AS$2004,'Saisie'!$C$5:$C$2004,C342,'Saisie'!$J$5:$J$2004,"&lt;&gt;"))</f>
        <v/>
      </c>
      <c r="BQ342" s="60">
        <f>IF(C342="","",_xlfn.MAXIFS('Saisie'!$AS$5:$AS$2004,'Saisie'!$C$5:$C$2004,C342))</f>
        <v/>
      </c>
      <c r="BR342" s="60">
        <f>IF(C342="","",_xlfn.MAXIFS('Saisie'!$AS$5:$AS$2004,'Saisie'!$C$5:$C$2004,C342,'Saisie'!$E$5:$E$2004,"Perdu"))</f>
        <v/>
      </c>
      <c r="BS342" s="60">
        <f>IF(C342="","",_xlfn.MAXIFS('Saisie'!$AS$5:$AS$2004,'Saisie'!$C$5:$C$2004,C342,'Saisie'!$AT$5:$AT$2004,"&gt;0"))</f>
        <v/>
      </c>
      <c r="BT342" s="109">
        <f>IF(AND(C342&lt;&gt;"",OR(D342="Nouveau",D342="Contacté",D342="Qualifié"),OR(G342="",N(G342)&lt;=TODAY()),NOT(AND(O342&gt;='Paramètres'!$B$21,P342=0))),E342+338/10000,"")</f>
        <v/>
      </c>
      <c r="BU342" s="60">
        <f>IF(AND(G342&lt;&gt;"",N(G342)&lt;=TODAY()),MAX($BU$4:BU341)+1,"")</f>
        <v/>
      </c>
      <c r="BV342" s="60">
        <f>IF(AND(F342&lt;&gt;"",F342&lt;&gt;"Relance en retard"),MAX($BV$4:BV341)+1,"")</f>
        <v/>
      </c>
      <c r="BW342" s="60">
        <f>IF(C342="","",IF(AND(B342&gt;='Tableau de bord'!$R$4,B342&lt;='Tableau de bord'!$S$4,OR('Tableau de bord'!$G$4="Tous",N342='Tableau de bord'!$G$4)),1,0))</f>
        <v/>
      </c>
      <c r="BX342" s="60">
        <f>IF(AND(C342&lt;&gt;"",N(BA342)=7),MAX($BX$4:BX341)+1,"")</f>
        <v/>
      </c>
    </row>
    <row r="343">
      <c r="A343" s="60">
        <f>IF(C343="","","P-"&amp;TEXT(339,"000"))</f>
        <v/>
      </c>
      <c r="B343" s="106">
        <f>IF(C343="","",IFERROR(1/(1/_xlfn.MINIFS('Saisie'!$A$5:$A$2004,'Saisie'!$C$5:$C$2004,C343)),""))</f>
        <v/>
      </c>
      <c r="C343" s="60">
        <f>IFERROR(INDEX('Saisie'!$C$5:$C$2004,MATCH(339,'Saisie'!$AX$5:$AX$2004,0)),"")</f>
        <v/>
      </c>
      <c r="D343" s="60">
        <f>IF(C343="","",IF(AND(BR343&gt;0,BR343&gt;BS343,BA343&lt;7),"Perdu",INDEX('Paramètres'!$F$6:$F$13,BA343)))</f>
        <v/>
      </c>
      <c r="E343" s="61">
        <f>IF(C343="","",MIN(100,(Z343="Oui")*'Paramètres'!$B$38+(AB343="Régulière")*'Paramètres'!$B$39+IF(AND(N(AA343)&gt;0,TODAY()-N(AA343)&lt;=30),'Paramètres'!$B$40,0)+(W343="")*'Paramètres'!$B$41+(AC343="Absente")*'Paramètres'!$B$42+(AC343="Faible")*'Paramètres'!$B$43+IF(AND(N(AD343)&gt;0,N(AD343)&lt;4),'Paramètres'!$B$44,0)+(AF343="Moyenne")*'Paramètres'!$B$45+(AF343="Grande")*'Paramètres'!$B$46+(Y343&lt;&gt;"")*'Paramètres'!$B$47))</f>
        <v/>
      </c>
      <c r="F343" s="60">
        <f>IF(C343="","",IF(D343="Gagné","",IF(D343="Perdu",IF(AND(AX343&lt;&gt;"",AX343&lt;=TODAY()),"À recontacter (perdu)",""),IF(AND(O343&gt;='Paramètres'!$B$21,P343=0),"Stop : "&amp;'Paramètres'!$B$21&amp;" tentatives sans réponse",IF(AND(D343="Proposition",AR343&lt;&gt;"",TODAY()&gt;N(AR343)),"Proposition expirée",IF(AND(D343="Proposition",N(R343)&gt;='Paramètres'!$B$25),"Proposition sans réponse",IF(AND(G343&lt;&gt;"",N(G343)&lt;TODAY()),"Relance en retard",IF(N(R343)&gt;='Paramètres'!$B$24,"Sans action depuis "&amp;R343&amp;" j",""))))))))</f>
        <v/>
      </c>
      <c r="G343" s="106">
        <f>IF(OR(C343="",D343="Gagné",D343="Perdu"),"",IF(AND(BP343&gt;0,BP343=BQ343),INDEX('Saisie'!$J$5:$J$2004,BP343-4),IF(OR(O343=0,AND(O343&gt;='Paramètres'!$B$21,P343=0)),"",Q343+IF(O343&lt;=1,'Paramètres'!$B$18,IF(O343=2,'Paramètres'!$B$19,'Paramètres'!$B$20)))))</f>
        <v/>
      </c>
      <c r="H343" s="107">
        <f>IF(OR(G343="",BP343&lt;&gt;BQ343),"",IF(INDEX('Saisie'!$K$5:$K$2004,BP343-4)="","",INDEX('Saisie'!$K$5:$K$2004,BP343-4)))</f>
        <v/>
      </c>
      <c r="I343" s="60">
        <f>IF(C343="","",IF(OR(D343="Gagné",D343="Perdu"),"",IFERROR(INDEX('Saisie'!$I$5:$I$2004,_xlfn.MAXIFS('Saisie'!$AS$5:$AS$2004,'Saisie'!$C$5:$C$2004,C343,'Saisie'!$I$5:$I$2004,"&lt;&gt;")-4),"")))</f>
        <v/>
      </c>
      <c r="J343" s="60">
        <f>IF(C343="","",IFERROR(INDEX('Saisie'!$U$5:$U$2004,_xlfn.MAXIFS('Saisie'!$AS$5:$AS$2004,'Saisie'!$C$5:$C$2004,C343,'Saisie'!$U$5:$U$2004,"&lt;&gt;")-4),""))</f>
        <v/>
      </c>
      <c r="K343" s="60">
        <f>IF(C343="","",IFERROR(INDEX('Saisie'!$W$5:$W$2004,_xlfn.MAXIFS('Saisie'!$AS$5:$AS$2004,'Saisie'!$C$5:$C$2004,C343,'Saisie'!$W$5:$W$2004,"&lt;&gt;")-4),""))</f>
        <v/>
      </c>
      <c r="L343" s="60">
        <f>IF(IF(BB343&lt;&gt;"",BB343,K343)="","",HYPERLINK("https://wa.me/"&amp;IF(LEFT(SUBSTITUTE(SUBSTITUTE(SUBSTITUTE(IF(BB343&lt;&gt;"",BB343,K343)," ",""),".",""),"+",""),1)="0",'Paramètres'!$B$35&amp;MID(SUBSTITUTE(SUBSTITUTE(SUBSTITUTE(IF(BB343&lt;&gt;"",BB343,K343)," ",""),".",""),"+",""),2,20),SUBSTITUTE(SUBSTITUTE(SUBSTITUTE(IF(BB343&lt;&gt;"",BB343,K343)," ",""),".",""),"+","")),"WhatsApp"))</f>
        <v/>
      </c>
      <c r="M343" s="60">
        <f>IF(BC343="","",HYPERLINK(IF(LEFT(BC343,4)="http",BC343,"https://www.instagram.com/"&amp;SUBSTITUTE(SUBSTITUTE(BC343,"@","")," ","")),BC343))</f>
        <v/>
      </c>
      <c r="N343" s="60">
        <f>IF(C343="","",IFERROR(INDEX('Saisie'!$D$5:$D$2004,_xlfn.MINIFS('Saisie'!$AS$5:$AS$2004,'Saisie'!$C$5:$C$2004,C343,'Saisie'!$AU$5:$AU$2004,1)-4),IFERROR(INDEX('Saisie'!$D$5:$D$2004,_xlfn.MINIFS('Saisie'!$AS$5:$AS$2004,'Saisie'!$C$5:$C$2004,C343,'Saisie'!$D$5:$D$2004,"&lt;&gt;")-4),"")))</f>
        <v/>
      </c>
      <c r="O343" s="60">
        <f>IF(C343="","",COUNTIFS('Saisie'!$C$5:$C$2004,C343,'Saisie'!$AU$5:$AU$2004,1))</f>
        <v/>
      </c>
      <c r="P343" s="60">
        <f>IF(C343="","",COUNTIFS('Saisie'!$C$5:$C$2004,C343,'Saisie'!$AV$5:$AV$2004,1))</f>
        <v/>
      </c>
      <c r="Q343" s="106">
        <f>IF(C343="","",IFERROR(1/(1/_xlfn.MAXIFS('Saisie'!$A$5:$A$2004,'Saisie'!$C$5:$C$2004,C343)),""))</f>
        <v/>
      </c>
      <c r="R343" s="61">
        <f>IF(C343="","",IF(Q343="","",TODAY()-Q343))</f>
        <v/>
      </c>
      <c r="S343" s="60">
        <f>IF(C343="","",IFERROR(INDEX('Saisie'!$R$5:$R$2004,_xlfn.MAXIFS('Saisie'!$AS$5:$AS$2004,'Saisie'!$C$5:$C$2004,C343,'Saisie'!$R$5:$R$2004,"&lt;&gt;")-4),""))</f>
        <v/>
      </c>
      <c r="T343" s="60">
        <f>IF(C343="","",IFERROR(INDEX('Saisie'!$S$5:$S$2004,_xlfn.MAXIFS('Saisie'!$AS$5:$AS$2004,'Saisie'!$C$5:$C$2004,C343,'Saisie'!$S$5:$S$2004,"&lt;&gt;")-4),""))</f>
        <v/>
      </c>
      <c r="U343" s="60">
        <f>IF(C343="","",IFERROR(INDEX('Saisie'!$T$5:$T$2004,_xlfn.MAXIFS('Saisie'!$AS$5:$AS$2004,'Saisie'!$C$5:$C$2004,C343,'Saisie'!$T$5:$T$2004,"&lt;&gt;")-4),""))</f>
        <v/>
      </c>
      <c r="V343" s="60">
        <f>IF(C343="","",IFERROR(INDEX('Saisie'!$V$5:$V$2004,_xlfn.MAXIFS('Saisie'!$AS$5:$AS$2004,'Saisie'!$C$5:$C$2004,C343,'Saisie'!$V$5:$V$2004,"&lt;&gt;")-4),""))</f>
        <v/>
      </c>
      <c r="W343" s="60">
        <f>IF(C343="","",IFERROR(INDEX('Saisie'!$Z$5:$Z$2004,_xlfn.MAXIFS('Saisie'!$AS$5:$AS$2004,'Saisie'!$C$5:$C$2004,C343,'Saisie'!$Z$5:$Z$2004,"&lt;&gt;")-4),""))</f>
        <v/>
      </c>
      <c r="X343" s="60">
        <f>IF(C343="","",IFERROR(INDEX('Saisie'!$AA$5:$AA$2004,_xlfn.MAXIFS('Saisie'!$AS$5:$AS$2004,'Saisie'!$C$5:$C$2004,C343,'Saisie'!$AA$5:$AA$2004,"&lt;&gt;")-4),""))</f>
        <v/>
      </c>
      <c r="Y343" s="60">
        <f>IF(C343="","",IFERROR(INDEX('Saisie'!$AB$5:$AB$2004,_xlfn.MAXIFS('Saisie'!$AS$5:$AS$2004,'Saisie'!$C$5:$C$2004,C343,'Saisie'!$AB$5:$AB$2004,"&lt;&gt;")-4),""))</f>
        <v/>
      </c>
      <c r="Z343" s="60">
        <f>IF(C343="","",IFERROR(INDEX('Saisie'!$AC$5:$AC$2004,_xlfn.MAXIFS('Saisie'!$AS$5:$AS$2004,'Saisie'!$C$5:$C$2004,C343,'Saisie'!$AC$5:$AC$2004,"&lt;&gt;")-4),""))</f>
        <v/>
      </c>
      <c r="AA343" s="106">
        <f>IF(C343="","",IFERROR(INDEX('Saisie'!$AD$5:$AD$2004,_xlfn.MAXIFS('Saisie'!$AS$5:$AS$2004,'Saisie'!$C$5:$C$2004,C343,'Saisie'!$AD$5:$AD$2004,"&lt;&gt;")-4),""))</f>
        <v/>
      </c>
      <c r="AB343" s="60">
        <f>IF(C343="","",IFERROR(INDEX('Saisie'!$AE$5:$AE$2004,_xlfn.MAXIFS('Saisie'!$AS$5:$AS$2004,'Saisie'!$C$5:$C$2004,C343,'Saisie'!$AE$5:$AE$2004,"&lt;&gt;")-4),""))</f>
        <v/>
      </c>
      <c r="AC343" s="60">
        <f>IF(C343="","",IFERROR(INDEX('Saisie'!$AF$5:$AF$2004,_xlfn.MAXIFS('Saisie'!$AS$5:$AS$2004,'Saisie'!$C$5:$C$2004,C343,'Saisie'!$AF$5:$AF$2004,"&lt;&gt;")-4),""))</f>
        <v/>
      </c>
      <c r="AD343" s="108">
        <f>IF(C343="","",IFERROR(INDEX('Saisie'!$AG$5:$AG$2004,_xlfn.MAXIFS('Saisie'!$AS$5:$AS$2004,'Saisie'!$C$5:$C$2004,C343,'Saisie'!$AG$5:$AG$2004,"&lt;&gt;")-4),""))</f>
        <v/>
      </c>
      <c r="AE343" s="60">
        <f>IF(C343="","",IFERROR(INDEX('Saisie'!$AH$5:$AH$2004,_xlfn.MAXIFS('Saisie'!$AS$5:$AS$2004,'Saisie'!$C$5:$C$2004,C343,'Saisie'!$AH$5:$AH$2004,"&lt;&gt;")-4),""))</f>
        <v/>
      </c>
      <c r="AF343" s="60">
        <f>IF(C343="","",IFERROR(INDEX('Saisie'!$AI$5:$AI$2004,_xlfn.MAXIFS('Saisie'!$AS$5:$AS$2004,'Saisie'!$C$5:$C$2004,C343,'Saisie'!$AI$5:$AI$2004,"&lt;&gt;")-4),""))</f>
        <v/>
      </c>
      <c r="AG343" s="60">
        <f>IF(C343="","",IFERROR(INDEX('Saisie'!$AJ$5:$AJ$2004,_xlfn.MAXIFS('Saisie'!$AS$5:$AS$2004,'Saisie'!$C$5:$C$2004,C343,'Saisie'!$AJ$5:$AJ$2004,"&lt;&gt;")-4),""))</f>
        <v/>
      </c>
      <c r="AH343" s="60">
        <f>IF(C343="","",IFERROR(INDEX('Saisie'!$AK$5:$AK$2004,_xlfn.MAXIFS('Saisie'!$AS$5:$AS$2004,'Saisie'!$C$5:$C$2004,C343,'Saisie'!$AK$5:$AK$2004,"&lt;&gt;")-4),""))</f>
        <v/>
      </c>
      <c r="AI343" s="60">
        <f>IF(C343="","",IFERROR(INDEX('Saisie'!$AN$5:$AN$2004,_xlfn.MAXIFS('Saisie'!$AS$5:$AS$2004,'Saisie'!$C$5:$C$2004,C343,'Saisie'!$AN$5:$AN$2004,"&lt;&gt;")-4),""))</f>
        <v/>
      </c>
      <c r="AJ343" s="60">
        <f>IF(C343="","",IFERROR(INDEX('Saisie'!$AO$5:$AO$2004,_xlfn.MAXIFS('Saisie'!$AS$5:$AS$2004,'Saisie'!$C$5:$C$2004,C343,'Saisie'!$AO$5:$AO$2004,"&lt;&gt;")-4),""))</f>
        <v/>
      </c>
      <c r="AK343" s="60">
        <f>IF(C343="","",IFERROR(INDEX('Saisie'!$AP$5:$AP$2004,_xlfn.MAXIFS('Saisie'!$AS$5:$AS$2004,'Saisie'!$C$5:$C$2004,C343,'Saisie'!$AP$5:$AP$2004,"&lt;&gt;")-4),""))</f>
        <v/>
      </c>
      <c r="AL343" s="60">
        <f>IF(C343="","",IFERROR(INDEX('Saisie'!$AQ$5:$AQ$2004,_xlfn.MAXIFS('Saisie'!$AS$5:$AS$2004,'Saisie'!$C$5:$C$2004,C343,'Saisie'!$AQ$5:$AQ$2004,"&lt;&gt;")-4),""))</f>
        <v/>
      </c>
      <c r="AM343" s="60">
        <f>IF(C343="","",((AI343="Oui")+(AJ343="Oui")+(AK343="Oui")+OR(AL343="Immédiat",AL343="&lt; 1 mois"))&amp;"/4")</f>
        <v/>
      </c>
      <c r="AN343" s="60">
        <f>IF(C343="","",IFERROR(INDEX('Saisie'!$AL$5:$AL$2004,_xlfn.MAXIFS('Saisie'!$AS$5:$AS$2004,'Saisie'!$C$5:$C$2004,C343,'Saisie'!$AL$5:$AL$2004,"&lt;&gt;")-4),""))</f>
        <v/>
      </c>
      <c r="AO343" s="62">
        <f>IF(C343="","",IF(IFERROR(INDEX('Saisie'!$AM$5:$AM$2004,_xlfn.MAXIFS('Saisie'!$AS$5:$AS$2004,'Saisie'!$C$5:$C$2004,C343,'Saisie'!$AM$5:$AM$2004,"&lt;&gt;")-4),"")&lt;&gt;"",IFERROR(INDEX('Saisie'!$AM$5:$AM$2004,_xlfn.MAXIFS('Saisie'!$AS$5:$AS$2004,'Saisie'!$C$5:$C$2004,C343,'Saisie'!$AM$5:$AM$2004,"&lt;&gt;")-4),""),IFERROR(INDEX('Paramètres'!$S$6:$S$15,MATCH(AN343,'Paramètres'!$Q$6:$Q$15,0)),"")))</f>
        <v/>
      </c>
      <c r="AP343" s="62">
        <f>IF(C343="","",IFERROR(INDEX('Saisie'!$AW$5:$AW$2004,_xlfn.MAXIFS('Saisie'!$AS$5:$AS$2004,'Saisie'!$C$5:$C$2004,C343,'Saisie'!$E$5:$E$2004,"Proposition envoyée")-4),""))</f>
        <v/>
      </c>
      <c r="AQ343" s="106">
        <f>IF(C343="","",IFERROR(1/(1/_xlfn.MAXIFS('Saisie'!$A$5:$A$2004,'Saisie'!$C$5:$C$2004,C343,'Saisie'!$E$5:$E$2004,"Proposition envoyée")),""))</f>
        <v/>
      </c>
      <c r="AR343" s="106">
        <f>IF(C343="","",IF(AQ343="","",AQ343+'Paramètres'!$B$26))</f>
        <v/>
      </c>
      <c r="AS343" s="62">
        <f>IF(OR(C343="",D343="Gagné",D343="Perdu"),0,N(AP343)*IFERROR(INDEX('Paramètres'!$G$6:$G$13,MATCH(D343,'Paramètres'!$F$6:$F$13,0)),0))</f>
        <v/>
      </c>
      <c r="AT343" s="106">
        <f>IF(C343="","",IFERROR(1/(1/_xlfn.MINIFS('Saisie'!$A$5:$A$2004,'Saisie'!$C$5:$C$2004,C343,'Saisie'!$E$5:$E$2004,"Signature")),""))</f>
        <v/>
      </c>
      <c r="AU343" s="60">
        <f>IF(C343="","",IF(OR(AT343="",B343=""),"",AT343-B343))</f>
        <v/>
      </c>
      <c r="AV343" s="60">
        <f>IF(C343="","",IFERROR(INDEX('Saisie'!$L$5:$L$2004,_xlfn.MAXIFS('Saisie'!$AS$5:$AS$2004,'Saisie'!$C$5:$C$2004,C343,'Saisie'!$L$5:$L$2004,"&lt;&gt;")-4),""))</f>
        <v/>
      </c>
      <c r="AW343" s="106">
        <f>IF(C343="","",IF(D343&lt;&gt;"Perdu","",IFERROR(1/(1/_xlfn.MAXIFS('Saisie'!$A$5:$A$2004,'Saisie'!$C$5:$C$2004,C343,'Saisie'!$E$5:$E$2004,"Perdu")),"")))</f>
        <v/>
      </c>
      <c r="AX343" s="106">
        <f>IF(C343="","",IF(AW343="","",AW343+'Paramètres'!$B$28))</f>
        <v/>
      </c>
      <c r="AY343" s="60">
        <f>IF(C343="","",SUMIFS('Saisie'!$H$5:$H$2004,'Saisie'!$C$5:$C$2004,C343))</f>
        <v/>
      </c>
      <c r="AZ343" s="60">
        <f>IF(C343="","",IFERROR(INDEX('Paramètres'!$W$6:$W$20,MATCH(S343,'Paramètres'!$V$6:$V$20,0))&amp;"",""))</f>
        <v/>
      </c>
      <c r="BA343" s="60">
        <f>IF(C343="","",MAX(1,_xlfn.MAXIFS('Saisie'!$AT$5:$AT$2004,'Saisie'!$C$5:$C$2004,C343)))</f>
        <v/>
      </c>
      <c r="BB343" s="60">
        <f>IF(C343="","",IFERROR(INDEX('Saisie'!$X$5:$X$2004,_xlfn.MAXIFS('Saisie'!$AS$5:$AS$2004,'Saisie'!$C$5:$C$2004,C343,'Saisie'!$X$5:$X$2004,"&lt;&gt;")-4),""))</f>
        <v/>
      </c>
      <c r="BC343" s="60">
        <f>IF(C343="","",IFERROR(INDEX('Saisie'!$Y$5:$Y$2004,_xlfn.MAXIFS('Saisie'!$AS$5:$AS$2004,'Saisie'!$C$5:$C$2004,C343,'Saisie'!$Y$5:$Y$2004,"&lt;&gt;")-4),""))</f>
        <v/>
      </c>
      <c r="BD343" s="106">
        <f>IF(C343="","",IFERROR(1/(1/_xlfn.MINIFS('Saisie'!$A$5:$A$2004,'Saisie'!$C$5:$C$2004,C343,'Saisie'!$AT$5:$AT$2004,"&gt;=2")),""))</f>
        <v/>
      </c>
      <c r="BE343" s="106">
        <f>IF(C343="","",IFERROR(1/(1/_xlfn.MINIFS('Saisie'!$A$5:$A$2004,'Saisie'!$C$5:$C$2004,C343,'Saisie'!$AT$5:$AT$2004,"&gt;=3")),""))</f>
        <v/>
      </c>
      <c r="BF343" s="106">
        <f>IF(C343="","",IFERROR(1/(1/_xlfn.MINIFS('Saisie'!$A$5:$A$2004,'Saisie'!$C$5:$C$2004,C343,'Saisie'!$AT$5:$AT$2004,"&gt;=4")),""))</f>
        <v/>
      </c>
      <c r="BG343" s="106">
        <f>IF(C343="","",IFERROR(1/(1/_xlfn.MINIFS('Saisie'!$A$5:$A$2004,'Saisie'!$C$5:$C$2004,C343,'Saisie'!$AT$5:$AT$2004,"&gt;=5")),""))</f>
        <v/>
      </c>
      <c r="BH343" s="106">
        <f>IF(C343="","",IFERROR(1/(1/_xlfn.MINIFS('Saisie'!$A$5:$A$2004,'Saisie'!$C$5:$C$2004,C343,'Saisie'!$AT$5:$AT$2004,"&gt;=6")),""))</f>
        <v/>
      </c>
      <c r="BI343" s="106">
        <f>IF(C343="","",IFERROR(1/(1/_xlfn.MINIFS('Saisie'!$A$5:$A$2004,'Saisie'!$C$5:$C$2004,C343,'Saisie'!$AT$5:$AT$2004,"&gt;=7")),""))</f>
        <v/>
      </c>
      <c r="BJ343" s="60">
        <f>IF(OR(BD343="",B343=""),"",BD343-B343)</f>
        <v/>
      </c>
      <c r="BK343" s="60">
        <f>IF(OR(BE343="",BD343=""),"",BE343-BD343)</f>
        <v/>
      </c>
      <c r="BL343" s="60">
        <f>IF(OR(BF343="",BE343=""),"",BF343-BE343)</f>
        <v/>
      </c>
      <c r="BM343" s="60">
        <f>IF(OR(BG343="",BF343=""),"",BG343-BF343)</f>
        <v/>
      </c>
      <c r="BN343" s="60">
        <f>IF(OR(BH343="",BG343=""),"",BH343-BG343)</f>
        <v/>
      </c>
      <c r="BO343" s="60">
        <f>IF(OR(BI343="",BH343=""),"",BI343-BH343)</f>
        <v/>
      </c>
      <c r="BP343" s="60">
        <f>IF(C343="","",_xlfn.MAXIFS('Saisie'!$AS$5:$AS$2004,'Saisie'!$C$5:$C$2004,C343,'Saisie'!$J$5:$J$2004,"&lt;&gt;"))</f>
        <v/>
      </c>
      <c r="BQ343" s="60">
        <f>IF(C343="","",_xlfn.MAXIFS('Saisie'!$AS$5:$AS$2004,'Saisie'!$C$5:$C$2004,C343))</f>
        <v/>
      </c>
      <c r="BR343" s="60">
        <f>IF(C343="","",_xlfn.MAXIFS('Saisie'!$AS$5:$AS$2004,'Saisie'!$C$5:$C$2004,C343,'Saisie'!$E$5:$E$2004,"Perdu"))</f>
        <v/>
      </c>
      <c r="BS343" s="60">
        <f>IF(C343="","",_xlfn.MAXIFS('Saisie'!$AS$5:$AS$2004,'Saisie'!$C$5:$C$2004,C343,'Saisie'!$AT$5:$AT$2004,"&gt;0"))</f>
        <v/>
      </c>
      <c r="BT343" s="109">
        <f>IF(AND(C343&lt;&gt;"",OR(D343="Nouveau",D343="Contacté",D343="Qualifié"),OR(G343="",N(G343)&lt;=TODAY()),NOT(AND(O343&gt;='Paramètres'!$B$21,P343=0))),E343+339/10000,"")</f>
        <v/>
      </c>
      <c r="BU343" s="60">
        <f>IF(AND(G343&lt;&gt;"",N(G343)&lt;=TODAY()),MAX($BU$4:BU342)+1,"")</f>
        <v/>
      </c>
      <c r="BV343" s="60">
        <f>IF(AND(F343&lt;&gt;"",F343&lt;&gt;"Relance en retard"),MAX($BV$4:BV342)+1,"")</f>
        <v/>
      </c>
      <c r="BW343" s="60">
        <f>IF(C343="","",IF(AND(B343&gt;='Tableau de bord'!$R$4,B343&lt;='Tableau de bord'!$S$4,OR('Tableau de bord'!$G$4="Tous",N343='Tableau de bord'!$G$4)),1,0))</f>
        <v/>
      </c>
      <c r="BX343" s="60">
        <f>IF(AND(C343&lt;&gt;"",N(BA343)=7),MAX($BX$4:BX342)+1,"")</f>
        <v/>
      </c>
    </row>
    <row r="344">
      <c r="A344" s="60">
        <f>IF(C344="","","P-"&amp;TEXT(340,"000"))</f>
        <v/>
      </c>
      <c r="B344" s="106">
        <f>IF(C344="","",IFERROR(1/(1/_xlfn.MINIFS('Saisie'!$A$5:$A$2004,'Saisie'!$C$5:$C$2004,C344)),""))</f>
        <v/>
      </c>
      <c r="C344" s="60">
        <f>IFERROR(INDEX('Saisie'!$C$5:$C$2004,MATCH(340,'Saisie'!$AX$5:$AX$2004,0)),"")</f>
        <v/>
      </c>
      <c r="D344" s="60">
        <f>IF(C344="","",IF(AND(BR344&gt;0,BR344&gt;BS344,BA344&lt;7),"Perdu",INDEX('Paramètres'!$F$6:$F$13,BA344)))</f>
        <v/>
      </c>
      <c r="E344" s="61">
        <f>IF(C344="","",MIN(100,(Z344="Oui")*'Paramètres'!$B$38+(AB344="Régulière")*'Paramètres'!$B$39+IF(AND(N(AA344)&gt;0,TODAY()-N(AA344)&lt;=30),'Paramètres'!$B$40,0)+(W344="")*'Paramètres'!$B$41+(AC344="Absente")*'Paramètres'!$B$42+(AC344="Faible")*'Paramètres'!$B$43+IF(AND(N(AD344)&gt;0,N(AD344)&lt;4),'Paramètres'!$B$44,0)+(AF344="Moyenne")*'Paramètres'!$B$45+(AF344="Grande")*'Paramètres'!$B$46+(Y344&lt;&gt;"")*'Paramètres'!$B$47))</f>
        <v/>
      </c>
      <c r="F344" s="60">
        <f>IF(C344="","",IF(D344="Gagné","",IF(D344="Perdu",IF(AND(AX344&lt;&gt;"",AX344&lt;=TODAY()),"À recontacter (perdu)",""),IF(AND(O344&gt;='Paramètres'!$B$21,P344=0),"Stop : "&amp;'Paramètres'!$B$21&amp;" tentatives sans réponse",IF(AND(D344="Proposition",AR344&lt;&gt;"",TODAY()&gt;N(AR344)),"Proposition expirée",IF(AND(D344="Proposition",N(R344)&gt;='Paramètres'!$B$25),"Proposition sans réponse",IF(AND(G344&lt;&gt;"",N(G344)&lt;TODAY()),"Relance en retard",IF(N(R344)&gt;='Paramètres'!$B$24,"Sans action depuis "&amp;R344&amp;" j",""))))))))</f>
        <v/>
      </c>
      <c r="G344" s="106">
        <f>IF(OR(C344="",D344="Gagné",D344="Perdu"),"",IF(AND(BP344&gt;0,BP344=BQ344),INDEX('Saisie'!$J$5:$J$2004,BP344-4),IF(OR(O344=0,AND(O344&gt;='Paramètres'!$B$21,P344=0)),"",Q344+IF(O344&lt;=1,'Paramètres'!$B$18,IF(O344=2,'Paramètres'!$B$19,'Paramètres'!$B$20)))))</f>
        <v/>
      </c>
      <c r="H344" s="107">
        <f>IF(OR(G344="",BP344&lt;&gt;BQ344),"",IF(INDEX('Saisie'!$K$5:$K$2004,BP344-4)="","",INDEX('Saisie'!$K$5:$K$2004,BP344-4)))</f>
        <v/>
      </c>
      <c r="I344" s="60">
        <f>IF(C344="","",IF(OR(D344="Gagné",D344="Perdu"),"",IFERROR(INDEX('Saisie'!$I$5:$I$2004,_xlfn.MAXIFS('Saisie'!$AS$5:$AS$2004,'Saisie'!$C$5:$C$2004,C344,'Saisie'!$I$5:$I$2004,"&lt;&gt;")-4),"")))</f>
        <v/>
      </c>
      <c r="J344" s="60">
        <f>IF(C344="","",IFERROR(INDEX('Saisie'!$U$5:$U$2004,_xlfn.MAXIFS('Saisie'!$AS$5:$AS$2004,'Saisie'!$C$5:$C$2004,C344,'Saisie'!$U$5:$U$2004,"&lt;&gt;")-4),""))</f>
        <v/>
      </c>
      <c r="K344" s="60">
        <f>IF(C344="","",IFERROR(INDEX('Saisie'!$W$5:$W$2004,_xlfn.MAXIFS('Saisie'!$AS$5:$AS$2004,'Saisie'!$C$5:$C$2004,C344,'Saisie'!$W$5:$W$2004,"&lt;&gt;")-4),""))</f>
        <v/>
      </c>
      <c r="L344" s="60">
        <f>IF(IF(BB344&lt;&gt;"",BB344,K344)="","",HYPERLINK("https://wa.me/"&amp;IF(LEFT(SUBSTITUTE(SUBSTITUTE(SUBSTITUTE(IF(BB344&lt;&gt;"",BB344,K344)," ",""),".",""),"+",""),1)="0",'Paramètres'!$B$35&amp;MID(SUBSTITUTE(SUBSTITUTE(SUBSTITUTE(IF(BB344&lt;&gt;"",BB344,K344)," ",""),".",""),"+",""),2,20),SUBSTITUTE(SUBSTITUTE(SUBSTITUTE(IF(BB344&lt;&gt;"",BB344,K344)," ",""),".",""),"+","")),"WhatsApp"))</f>
        <v/>
      </c>
      <c r="M344" s="60">
        <f>IF(BC344="","",HYPERLINK(IF(LEFT(BC344,4)="http",BC344,"https://www.instagram.com/"&amp;SUBSTITUTE(SUBSTITUTE(BC344,"@","")," ","")),BC344))</f>
        <v/>
      </c>
      <c r="N344" s="60">
        <f>IF(C344="","",IFERROR(INDEX('Saisie'!$D$5:$D$2004,_xlfn.MINIFS('Saisie'!$AS$5:$AS$2004,'Saisie'!$C$5:$C$2004,C344,'Saisie'!$AU$5:$AU$2004,1)-4),IFERROR(INDEX('Saisie'!$D$5:$D$2004,_xlfn.MINIFS('Saisie'!$AS$5:$AS$2004,'Saisie'!$C$5:$C$2004,C344,'Saisie'!$D$5:$D$2004,"&lt;&gt;")-4),"")))</f>
        <v/>
      </c>
      <c r="O344" s="60">
        <f>IF(C344="","",COUNTIFS('Saisie'!$C$5:$C$2004,C344,'Saisie'!$AU$5:$AU$2004,1))</f>
        <v/>
      </c>
      <c r="P344" s="60">
        <f>IF(C344="","",COUNTIFS('Saisie'!$C$5:$C$2004,C344,'Saisie'!$AV$5:$AV$2004,1))</f>
        <v/>
      </c>
      <c r="Q344" s="106">
        <f>IF(C344="","",IFERROR(1/(1/_xlfn.MAXIFS('Saisie'!$A$5:$A$2004,'Saisie'!$C$5:$C$2004,C344)),""))</f>
        <v/>
      </c>
      <c r="R344" s="61">
        <f>IF(C344="","",IF(Q344="","",TODAY()-Q344))</f>
        <v/>
      </c>
      <c r="S344" s="60">
        <f>IF(C344="","",IFERROR(INDEX('Saisie'!$R$5:$R$2004,_xlfn.MAXIFS('Saisie'!$AS$5:$AS$2004,'Saisie'!$C$5:$C$2004,C344,'Saisie'!$R$5:$R$2004,"&lt;&gt;")-4),""))</f>
        <v/>
      </c>
      <c r="T344" s="60">
        <f>IF(C344="","",IFERROR(INDEX('Saisie'!$S$5:$S$2004,_xlfn.MAXIFS('Saisie'!$AS$5:$AS$2004,'Saisie'!$C$5:$C$2004,C344,'Saisie'!$S$5:$S$2004,"&lt;&gt;")-4),""))</f>
        <v/>
      </c>
      <c r="U344" s="60">
        <f>IF(C344="","",IFERROR(INDEX('Saisie'!$T$5:$T$2004,_xlfn.MAXIFS('Saisie'!$AS$5:$AS$2004,'Saisie'!$C$5:$C$2004,C344,'Saisie'!$T$5:$T$2004,"&lt;&gt;")-4),""))</f>
        <v/>
      </c>
      <c r="V344" s="60">
        <f>IF(C344="","",IFERROR(INDEX('Saisie'!$V$5:$V$2004,_xlfn.MAXIFS('Saisie'!$AS$5:$AS$2004,'Saisie'!$C$5:$C$2004,C344,'Saisie'!$V$5:$V$2004,"&lt;&gt;")-4),""))</f>
        <v/>
      </c>
      <c r="W344" s="60">
        <f>IF(C344="","",IFERROR(INDEX('Saisie'!$Z$5:$Z$2004,_xlfn.MAXIFS('Saisie'!$AS$5:$AS$2004,'Saisie'!$C$5:$C$2004,C344,'Saisie'!$Z$5:$Z$2004,"&lt;&gt;")-4),""))</f>
        <v/>
      </c>
      <c r="X344" s="60">
        <f>IF(C344="","",IFERROR(INDEX('Saisie'!$AA$5:$AA$2004,_xlfn.MAXIFS('Saisie'!$AS$5:$AS$2004,'Saisie'!$C$5:$C$2004,C344,'Saisie'!$AA$5:$AA$2004,"&lt;&gt;")-4),""))</f>
        <v/>
      </c>
      <c r="Y344" s="60">
        <f>IF(C344="","",IFERROR(INDEX('Saisie'!$AB$5:$AB$2004,_xlfn.MAXIFS('Saisie'!$AS$5:$AS$2004,'Saisie'!$C$5:$C$2004,C344,'Saisie'!$AB$5:$AB$2004,"&lt;&gt;")-4),""))</f>
        <v/>
      </c>
      <c r="Z344" s="60">
        <f>IF(C344="","",IFERROR(INDEX('Saisie'!$AC$5:$AC$2004,_xlfn.MAXIFS('Saisie'!$AS$5:$AS$2004,'Saisie'!$C$5:$C$2004,C344,'Saisie'!$AC$5:$AC$2004,"&lt;&gt;")-4),""))</f>
        <v/>
      </c>
      <c r="AA344" s="106">
        <f>IF(C344="","",IFERROR(INDEX('Saisie'!$AD$5:$AD$2004,_xlfn.MAXIFS('Saisie'!$AS$5:$AS$2004,'Saisie'!$C$5:$C$2004,C344,'Saisie'!$AD$5:$AD$2004,"&lt;&gt;")-4),""))</f>
        <v/>
      </c>
      <c r="AB344" s="60">
        <f>IF(C344="","",IFERROR(INDEX('Saisie'!$AE$5:$AE$2004,_xlfn.MAXIFS('Saisie'!$AS$5:$AS$2004,'Saisie'!$C$5:$C$2004,C344,'Saisie'!$AE$5:$AE$2004,"&lt;&gt;")-4),""))</f>
        <v/>
      </c>
      <c r="AC344" s="60">
        <f>IF(C344="","",IFERROR(INDEX('Saisie'!$AF$5:$AF$2004,_xlfn.MAXIFS('Saisie'!$AS$5:$AS$2004,'Saisie'!$C$5:$C$2004,C344,'Saisie'!$AF$5:$AF$2004,"&lt;&gt;")-4),""))</f>
        <v/>
      </c>
      <c r="AD344" s="108">
        <f>IF(C344="","",IFERROR(INDEX('Saisie'!$AG$5:$AG$2004,_xlfn.MAXIFS('Saisie'!$AS$5:$AS$2004,'Saisie'!$C$5:$C$2004,C344,'Saisie'!$AG$5:$AG$2004,"&lt;&gt;")-4),""))</f>
        <v/>
      </c>
      <c r="AE344" s="60">
        <f>IF(C344="","",IFERROR(INDEX('Saisie'!$AH$5:$AH$2004,_xlfn.MAXIFS('Saisie'!$AS$5:$AS$2004,'Saisie'!$C$5:$C$2004,C344,'Saisie'!$AH$5:$AH$2004,"&lt;&gt;")-4),""))</f>
        <v/>
      </c>
      <c r="AF344" s="60">
        <f>IF(C344="","",IFERROR(INDEX('Saisie'!$AI$5:$AI$2004,_xlfn.MAXIFS('Saisie'!$AS$5:$AS$2004,'Saisie'!$C$5:$C$2004,C344,'Saisie'!$AI$5:$AI$2004,"&lt;&gt;")-4),""))</f>
        <v/>
      </c>
      <c r="AG344" s="60">
        <f>IF(C344="","",IFERROR(INDEX('Saisie'!$AJ$5:$AJ$2004,_xlfn.MAXIFS('Saisie'!$AS$5:$AS$2004,'Saisie'!$C$5:$C$2004,C344,'Saisie'!$AJ$5:$AJ$2004,"&lt;&gt;")-4),""))</f>
        <v/>
      </c>
      <c r="AH344" s="60">
        <f>IF(C344="","",IFERROR(INDEX('Saisie'!$AK$5:$AK$2004,_xlfn.MAXIFS('Saisie'!$AS$5:$AS$2004,'Saisie'!$C$5:$C$2004,C344,'Saisie'!$AK$5:$AK$2004,"&lt;&gt;")-4),""))</f>
        <v/>
      </c>
      <c r="AI344" s="60">
        <f>IF(C344="","",IFERROR(INDEX('Saisie'!$AN$5:$AN$2004,_xlfn.MAXIFS('Saisie'!$AS$5:$AS$2004,'Saisie'!$C$5:$C$2004,C344,'Saisie'!$AN$5:$AN$2004,"&lt;&gt;")-4),""))</f>
        <v/>
      </c>
      <c r="AJ344" s="60">
        <f>IF(C344="","",IFERROR(INDEX('Saisie'!$AO$5:$AO$2004,_xlfn.MAXIFS('Saisie'!$AS$5:$AS$2004,'Saisie'!$C$5:$C$2004,C344,'Saisie'!$AO$5:$AO$2004,"&lt;&gt;")-4),""))</f>
        <v/>
      </c>
      <c r="AK344" s="60">
        <f>IF(C344="","",IFERROR(INDEX('Saisie'!$AP$5:$AP$2004,_xlfn.MAXIFS('Saisie'!$AS$5:$AS$2004,'Saisie'!$C$5:$C$2004,C344,'Saisie'!$AP$5:$AP$2004,"&lt;&gt;")-4),""))</f>
        <v/>
      </c>
      <c r="AL344" s="60">
        <f>IF(C344="","",IFERROR(INDEX('Saisie'!$AQ$5:$AQ$2004,_xlfn.MAXIFS('Saisie'!$AS$5:$AS$2004,'Saisie'!$C$5:$C$2004,C344,'Saisie'!$AQ$5:$AQ$2004,"&lt;&gt;")-4),""))</f>
        <v/>
      </c>
      <c r="AM344" s="60">
        <f>IF(C344="","",((AI344="Oui")+(AJ344="Oui")+(AK344="Oui")+OR(AL344="Immédiat",AL344="&lt; 1 mois"))&amp;"/4")</f>
        <v/>
      </c>
      <c r="AN344" s="60">
        <f>IF(C344="","",IFERROR(INDEX('Saisie'!$AL$5:$AL$2004,_xlfn.MAXIFS('Saisie'!$AS$5:$AS$2004,'Saisie'!$C$5:$C$2004,C344,'Saisie'!$AL$5:$AL$2004,"&lt;&gt;")-4),""))</f>
        <v/>
      </c>
      <c r="AO344" s="62">
        <f>IF(C344="","",IF(IFERROR(INDEX('Saisie'!$AM$5:$AM$2004,_xlfn.MAXIFS('Saisie'!$AS$5:$AS$2004,'Saisie'!$C$5:$C$2004,C344,'Saisie'!$AM$5:$AM$2004,"&lt;&gt;")-4),"")&lt;&gt;"",IFERROR(INDEX('Saisie'!$AM$5:$AM$2004,_xlfn.MAXIFS('Saisie'!$AS$5:$AS$2004,'Saisie'!$C$5:$C$2004,C344,'Saisie'!$AM$5:$AM$2004,"&lt;&gt;")-4),""),IFERROR(INDEX('Paramètres'!$S$6:$S$15,MATCH(AN344,'Paramètres'!$Q$6:$Q$15,0)),"")))</f>
        <v/>
      </c>
      <c r="AP344" s="62">
        <f>IF(C344="","",IFERROR(INDEX('Saisie'!$AW$5:$AW$2004,_xlfn.MAXIFS('Saisie'!$AS$5:$AS$2004,'Saisie'!$C$5:$C$2004,C344,'Saisie'!$E$5:$E$2004,"Proposition envoyée")-4),""))</f>
        <v/>
      </c>
      <c r="AQ344" s="106">
        <f>IF(C344="","",IFERROR(1/(1/_xlfn.MAXIFS('Saisie'!$A$5:$A$2004,'Saisie'!$C$5:$C$2004,C344,'Saisie'!$E$5:$E$2004,"Proposition envoyée")),""))</f>
        <v/>
      </c>
      <c r="AR344" s="106">
        <f>IF(C344="","",IF(AQ344="","",AQ344+'Paramètres'!$B$26))</f>
        <v/>
      </c>
      <c r="AS344" s="62">
        <f>IF(OR(C344="",D344="Gagné",D344="Perdu"),0,N(AP344)*IFERROR(INDEX('Paramètres'!$G$6:$G$13,MATCH(D344,'Paramètres'!$F$6:$F$13,0)),0))</f>
        <v/>
      </c>
      <c r="AT344" s="106">
        <f>IF(C344="","",IFERROR(1/(1/_xlfn.MINIFS('Saisie'!$A$5:$A$2004,'Saisie'!$C$5:$C$2004,C344,'Saisie'!$E$5:$E$2004,"Signature")),""))</f>
        <v/>
      </c>
      <c r="AU344" s="60">
        <f>IF(C344="","",IF(OR(AT344="",B344=""),"",AT344-B344))</f>
        <v/>
      </c>
      <c r="AV344" s="60">
        <f>IF(C344="","",IFERROR(INDEX('Saisie'!$L$5:$L$2004,_xlfn.MAXIFS('Saisie'!$AS$5:$AS$2004,'Saisie'!$C$5:$C$2004,C344,'Saisie'!$L$5:$L$2004,"&lt;&gt;")-4),""))</f>
        <v/>
      </c>
      <c r="AW344" s="106">
        <f>IF(C344="","",IF(D344&lt;&gt;"Perdu","",IFERROR(1/(1/_xlfn.MAXIFS('Saisie'!$A$5:$A$2004,'Saisie'!$C$5:$C$2004,C344,'Saisie'!$E$5:$E$2004,"Perdu")),"")))</f>
        <v/>
      </c>
      <c r="AX344" s="106">
        <f>IF(C344="","",IF(AW344="","",AW344+'Paramètres'!$B$28))</f>
        <v/>
      </c>
      <c r="AY344" s="60">
        <f>IF(C344="","",SUMIFS('Saisie'!$H$5:$H$2004,'Saisie'!$C$5:$C$2004,C344))</f>
        <v/>
      </c>
      <c r="AZ344" s="60">
        <f>IF(C344="","",IFERROR(INDEX('Paramètres'!$W$6:$W$20,MATCH(S344,'Paramètres'!$V$6:$V$20,0))&amp;"",""))</f>
        <v/>
      </c>
      <c r="BA344" s="60">
        <f>IF(C344="","",MAX(1,_xlfn.MAXIFS('Saisie'!$AT$5:$AT$2004,'Saisie'!$C$5:$C$2004,C344)))</f>
        <v/>
      </c>
      <c r="BB344" s="60">
        <f>IF(C344="","",IFERROR(INDEX('Saisie'!$X$5:$X$2004,_xlfn.MAXIFS('Saisie'!$AS$5:$AS$2004,'Saisie'!$C$5:$C$2004,C344,'Saisie'!$X$5:$X$2004,"&lt;&gt;")-4),""))</f>
        <v/>
      </c>
      <c r="BC344" s="60">
        <f>IF(C344="","",IFERROR(INDEX('Saisie'!$Y$5:$Y$2004,_xlfn.MAXIFS('Saisie'!$AS$5:$AS$2004,'Saisie'!$C$5:$C$2004,C344,'Saisie'!$Y$5:$Y$2004,"&lt;&gt;")-4),""))</f>
        <v/>
      </c>
      <c r="BD344" s="106">
        <f>IF(C344="","",IFERROR(1/(1/_xlfn.MINIFS('Saisie'!$A$5:$A$2004,'Saisie'!$C$5:$C$2004,C344,'Saisie'!$AT$5:$AT$2004,"&gt;=2")),""))</f>
        <v/>
      </c>
      <c r="BE344" s="106">
        <f>IF(C344="","",IFERROR(1/(1/_xlfn.MINIFS('Saisie'!$A$5:$A$2004,'Saisie'!$C$5:$C$2004,C344,'Saisie'!$AT$5:$AT$2004,"&gt;=3")),""))</f>
        <v/>
      </c>
      <c r="BF344" s="106">
        <f>IF(C344="","",IFERROR(1/(1/_xlfn.MINIFS('Saisie'!$A$5:$A$2004,'Saisie'!$C$5:$C$2004,C344,'Saisie'!$AT$5:$AT$2004,"&gt;=4")),""))</f>
        <v/>
      </c>
      <c r="BG344" s="106">
        <f>IF(C344="","",IFERROR(1/(1/_xlfn.MINIFS('Saisie'!$A$5:$A$2004,'Saisie'!$C$5:$C$2004,C344,'Saisie'!$AT$5:$AT$2004,"&gt;=5")),""))</f>
        <v/>
      </c>
      <c r="BH344" s="106">
        <f>IF(C344="","",IFERROR(1/(1/_xlfn.MINIFS('Saisie'!$A$5:$A$2004,'Saisie'!$C$5:$C$2004,C344,'Saisie'!$AT$5:$AT$2004,"&gt;=6")),""))</f>
        <v/>
      </c>
      <c r="BI344" s="106">
        <f>IF(C344="","",IFERROR(1/(1/_xlfn.MINIFS('Saisie'!$A$5:$A$2004,'Saisie'!$C$5:$C$2004,C344,'Saisie'!$AT$5:$AT$2004,"&gt;=7")),""))</f>
        <v/>
      </c>
      <c r="BJ344" s="60">
        <f>IF(OR(BD344="",B344=""),"",BD344-B344)</f>
        <v/>
      </c>
      <c r="BK344" s="60">
        <f>IF(OR(BE344="",BD344=""),"",BE344-BD344)</f>
        <v/>
      </c>
      <c r="BL344" s="60">
        <f>IF(OR(BF344="",BE344=""),"",BF344-BE344)</f>
        <v/>
      </c>
      <c r="BM344" s="60">
        <f>IF(OR(BG344="",BF344=""),"",BG344-BF344)</f>
        <v/>
      </c>
      <c r="BN344" s="60">
        <f>IF(OR(BH344="",BG344=""),"",BH344-BG344)</f>
        <v/>
      </c>
      <c r="BO344" s="60">
        <f>IF(OR(BI344="",BH344=""),"",BI344-BH344)</f>
        <v/>
      </c>
      <c r="BP344" s="60">
        <f>IF(C344="","",_xlfn.MAXIFS('Saisie'!$AS$5:$AS$2004,'Saisie'!$C$5:$C$2004,C344,'Saisie'!$J$5:$J$2004,"&lt;&gt;"))</f>
        <v/>
      </c>
      <c r="BQ344" s="60">
        <f>IF(C344="","",_xlfn.MAXIFS('Saisie'!$AS$5:$AS$2004,'Saisie'!$C$5:$C$2004,C344))</f>
        <v/>
      </c>
      <c r="BR344" s="60">
        <f>IF(C344="","",_xlfn.MAXIFS('Saisie'!$AS$5:$AS$2004,'Saisie'!$C$5:$C$2004,C344,'Saisie'!$E$5:$E$2004,"Perdu"))</f>
        <v/>
      </c>
      <c r="BS344" s="60">
        <f>IF(C344="","",_xlfn.MAXIFS('Saisie'!$AS$5:$AS$2004,'Saisie'!$C$5:$C$2004,C344,'Saisie'!$AT$5:$AT$2004,"&gt;0"))</f>
        <v/>
      </c>
      <c r="BT344" s="109">
        <f>IF(AND(C344&lt;&gt;"",OR(D344="Nouveau",D344="Contacté",D344="Qualifié"),OR(G344="",N(G344)&lt;=TODAY()),NOT(AND(O344&gt;='Paramètres'!$B$21,P344=0))),E344+340/10000,"")</f>
        <v/>
      </c>
      <c r="BU344" s="60">
        <f>IF(AND(G344&lt;&gt;"",N(G344)&lt;=TODAY()),MAX($BU$4:BU343)+1,"")</f>
        <v/>
      </c>
      <c r="BV344" s="60">
        <f>IF(AND(F344&lt;&gt;"",F344&lt;&gt;"Relance en retard"),MAX($BV$4:BV343)+1,"")</f>
        <v/>
      </c>
      <c r="BW344" s="60">
        <f>IF(C344="","",IF(AND(B344&gt;='Tableau de bord'!$R$4,B344&lt;='Tableau de bord'!$S$4,OR('Tableau de bord'!$G$4="Tous",N344='Tableau de bord'!$G$4)),1,0))</f>
        <v/>
      </c>
      <c r="BX344" s="60">
        <f>IF(AND(C344&lt;&gt;"",N(BA344)=7),MAX($BX$4:BX343)+1,"")</f>
        <v/>
      </c>
    </row>
    <row r="345">
      <c r="A345" s="60">
        <f>IF(C345="","","P-"&amp;TEXT(341,"000"))</f>
        <v/>
      </c>
      <c r="B345" s="106">
        <f>IF(C345="","",IFERROR(1/(1/_xlfn.MINIFS('Saisie'!$A$5:$A$2004,'Saisie'!$C$5:$C$2004,C345)),""))</f>
        <v/>
      </c>
      <c r="C345" s="60">
        <f>IFERROR(INDEX('Saisie'!$C$5:$C$2004,MATCH(341,'Saisie'!$AX$5:$AX$2004,0)),"")</f>
        <v/>
      </c>
      <c r="D345" s="60">
        <f>IF(C345="","",IF(AND(BR345&gt;0,BR345&gt;BS345,BA345&lt;7),"Perdu",INDEX('Paramètres'!$F$6:$F$13,BA345)))</f>
        <v/>
      </c>
      <c r="E345" s="61">
        <f>IF(C345="","",MIN(100,(Z345="Oui")*'Paramètres'!$B$38+(AB345="Régulière")*'Paramètres'!$B$39+IF(AND(N(AA345)&gt;0,TODAY()-N(AA345)&lt;=30),'Paramètres'!$B$40,0)+(W345="")*'Paramètres'!$B$41+(AC345="Absente")*'Paramètres'!$B$42+(AC345="Faible")*'Paramètres'!$B$43+IF(AND(N(AD345)&gt;0,N(AD345)&lt;4),'Paramètres'!$B$44,0)+(AF345="Moyenne")*'Paramètres'!$B$45+(AF345="Grande")*'Paramètres'!$B$46+(Y345&lt;&gt;"")*'Paramètres'!$B$47))</f>
        <v/>
      </c>
      <c r="F345" s="60">
        <f>IF(C345="","",IF(D345="Gagné","",IF(D345="Perdu",IF(AND(AX345&lt;&gt;"",AX345&lt;=TODAY()),"À recontacter (perdu)",""),IF(AND(O345&gt;='Paramètres'!$B$21,P345=0),"Stop : "&amp;'Paramètres'!$B$21&amp;" tentatives sans réponse",IF(AND(D345="Proposition",AR345&lt;&gt;"",TODAY()&gt;N(AR345)),"Proposition expirée",IF(AND(D345="Proposition",N(R345)&gt;='Paramètres'!$B$25),"Proposition sans réponse",IF(AND(G345&lt;&gt;"",N(G345)&lt;TODAY()),"Relance en retard",IF(N(R345)&gt;='Paramètres'!$B$24,"Sans action depuis "&amp;R345&amp;" j",""))))))))</f>
        <v/>
      </c>
      <c r="G345" s="106">
        <f>IF(OR(C345="",D345="Gagné",D345="Perdu"),"",IF(AND(BP345&gt;0,BP345=BQ345),INDEX('Saisie'!$J$5:$J$2004,BP345-4),IF(OR(O345=0,AND(O345&gt;='Paramètres'!$B$21,P345=0)),"",Q345+IF(O345&lt;=1,'Paramètres'!$B$18,IF(O345=2,'Paramètres'!$B$19,'Paramètres'!$B$20)))))</f>
        <v/>
      </c>
      <c r="H345" s="107">
        <f>IF(OR(G345="",BP345&lt;&gt;BQ345),"",IF(INDEX('Saisie'!$K$5:$K$2004,BP345-4)="","",INDEX('Saisie'!$K$5:$K$2004,BP345-4)))</f>
        <v/>
      </c>
      <c r="I345" s="60">
        <f>IF(C345="","",IF(OR(D345="Gagné",D345="Perdu"),"",IFERROR(INDEX('Saisie'!$I$5:$I$2004,_xlfn.MAXIFS('Saisie'!$AS$5:$AS$2004,'Saisie'!$C$5:$C$2004,C345,'Saisie'!$I$5:$I$2004,"&lt;&gt;")-4),"")))</f>
        <v/>
      </c>
      <c r="J345" s="60">
        <f>IF(C345="","",IFERROR(INDEX('Saisie'!$U$5:$U$2004,_xlfn.MAXIFS('Saisie'!$AS$5:$AS$2004,'Saisie'!$C$5:$C$2004,C345,'Saisie'!$U$5:$U$2004,"&lt;&gt;")-4),""))</f>
        <v/>
      </c>
      <c r="K345" s="60">
        <f>IF(C345="","",IFERROR(INDEX('Saisie'!$W$5:$W$2004,_xlfn.MAXIFS('Saisie'!$AS$5:$AS$2004,'Saisie'!$C$5:$C$2004,C345,'Saisie'!$W$5:$W$2004,"&lt;&gt;")-4),""))</f>
        <v/>
      </c>
      <c r="L345" s="60">
        <f>IF(IF(BB345&lt;&gt;"",BB345,K345)="","",HYPERLINK("https://wa.me/"&amp;IF(LEFT(SUBSTITUTE(SUBSTITUTE(SUBSTITUTE(IF(BB345&lt;&gt;"",BB345,K345)," ",""),".",""),"+",""),1)="0",'Paramètres'!$B$35&amp;MID(SUBSTITUTE(SUBSTITUTE(SUBSTITUTE(IF(BB345&lt;&gt;"",BB345,K345)," ",""),".",""),"+",""),2,20),SUBSTITUTE(SUBSTITUTE(SUBSTITUTE(IF(BB345&lt;&gt;"",BB345,K345)," ",""),".",""),"+","")),"WhatsApp"))</f>
        <v/>
      </c>
      <c r="M345" s="60">
        <f>IF(BC345="","",HYPERLINK(IF(LEFT(BC345,4)="http",BC345,"https://www.instagram.com/"&amp;SUBSTITUTE(SUBSTITUTE(BC345,"@","")," ","")),BC345))</f>
        <v/>
      </c>
      <c r="N345" s="60">
        <f>IF(C345="","",IFERROR(INDEX('Saisie'!$D$5:$D$2004,_xlfn.MINIFS('Saisie'!$AS$5:$AS$2004,'Saisie'!$C$5:$C$2004,C345,'Saisie'!$AU$5:$AU$2004,1)-4),IFERROR(INDEX('Saisie'!$D$5:$D$2004,_xlfn.MINIFS('Saisie'!$AS$5:$AS$2004,'Saisie'!$C$5:$C$2004,C345,'Saisie'!$D$5:$D$2004,"&lt;&gt;")-4),"")))</f>
        <v/>
      </c>
      <c r="O345" s="60">
        <f>IF(C345="","",COUNTIFS('Saisie'!$C$5:$C$2004,C345,'Saisie'!$AU$5:$AU$2004,1))</f>
        <v/>
      </c>
      <c r="P345" s="60">
        <f>IF(C345="","",COUNTIFS('Saisie'!$C$5:$C$2004,C345,'Saisie'!$AV$5:$AV$2004,1))</f>
        <v/>
      </c>
      <c r="Q345" s="106">
        <f>IF(C345="","",IFERROR(1/(1/_xlfn.MAXIFS('Saisie'!$A$5:$A$2004,'Saisie'!$C$5:$C$2004,C345)),""))</f>
        <v/>
      </c>
      <c r="R345" s="61">
        <f>IF(C345="","",IF(Q345="","",TODAY()-Q345))</f>
        <v/>
      </c>
      <c r="S345" s="60">
        <f>IF(C345="","",IFERROR(INDEX('Saisie'!$R$5:$R$2004,_xlfn.MAXIFS('Saisie'!$AS$5:$AS$2004,'Saisie'!$C$5:$C$2004,C345,'Saisie'!$R$5:$R$2004,"&lt;&gt;")-4),""))</f>
        <v/>
      </c>
      <c r="T345" s="60">
        <f>IF(C345="","",IFERROR(INDEX('Saisie'!$S$5:$S$2004,_xlfn.MAXIFS('Saisie'!$AS$5:$AS$2004,'Saisie'!$C$5:$C$2004,C345,'Saisie'!$S$5:$S$2004,"&lt;&gt;")-4),""))</f>
        <v/>
      </c>
      <c r="U345" s="60">
        <f>IF(C345="","",IFERROR(INDEX('Saisie'!$T$5:$T$2004,_xlfn.MAXIFS('Saisie'!$AS$5:$AS$2004,'Saisie'!$C$5:$C$2004,C345,'Saisie'!$T$5:$T$2004,"&lt;&gt;")-4),""))</f>
        <v/>
      </c>
      <c r="V345" s="60">
        <f>IF(C345="","",IFERROR(INDEX('Saisie'!$V$5:$V$2004,_xlfn.MAXIFS('Saisie'!$AS$5:$AS$2004,'Saisie'!$C$5:$C$2004,C345,'Saisie'!$V$5:$V$2004,"&lt;&gt;")-4),""))</f>
        <v/>
      </c>
      <c r="W345" s="60">
        <f>IF(C345="","",IFERROR(INDEX('Saisie'!$Z$5:$Z$2004,_xlfn.MAXIFS('Saisie'!$AS$5:$AS$2004,'Saisie'!$C$5:$C$2004,C345,'Saisie'!$Z$5:$Z$2004,"&lt;&gt;")-4),""))</f>
        <v/>
      </c>
      <c r="X345" s="60">
        <f>IF(C345="","",IFERROR(INDEX('Saisie'!$AA$5:$AA$2004,_xlfn.MAXIFS('Saisie'!$AS$5:$AS$2004,'Saisie'!$C$5:$C$2004,C345,'Saisie'!$AA$5:$AA$2004,"&lt;&gt;")-4),""))</f>
        <v/>
      </c>
      <c r="Y345" s="60">
        <f>IF(C345="","",IFERROR(INDEX('Saisie'!$AB$5:$AB$2004,_xlfn.MAXIFS('Saisie'!$AS$5:$AS$2004,'Saisie'!$C$5:$C$2004,C345,'Saisie'!$AB$5:$AB$2004,"&lt;&gt;")-4),""))</f>
        <v/>
      </c>
      <c r="Z345" s="60">
        <f>IF(C345="","",IFERROR(INDEX('Saisie'!$AC$5:$AC$2004,_xlfn.MAXIFS('Saisie'!$AS$5:$AS$2004,'Saisie'!$C$5:$C$2004,C345,'Saisie'!$AC$5:$AC$2004,"&lt;&gt;")-4),""))</f>
        <v/>
      </c>
      <c r="AA345" s="106">
        <f>IF(C345="","",IFERROR(INDEX('Saisie'!$AD$5:$AD$2004,_xlfn.MAXIFS('Saisie'!$AS$5:$AS$2004,'Saisie'!$C$5:$C$2004,C345,'Saisie'!$AD$5:$AD$2004,"&lt;&gt;")-4),""))</f>
        <v/>
      </c>
      <c r="AB345" s="60">
        <f>IF(C345="","",IFERROR(INDEX('Saisie'!$AE$5:$AE$2004,_xlfn.MAXIFS('Saisie'!$AS$5:$AS$2004,'Saisie'!$C$5:$C$2004,C345,'Saisie'!$AE$5:$AE$2004,"&lt;&gt;")-4),""))</f>
        <v/>
      </c>
      <c r="AC345" s="60">
        <f>IF(C345="","",IFERROR(INDEX('Saisie'!$AF$5:$AF$2004,_xlfn.MAXIFS('Saisie'!$AS$5:$AS$2004,'Saisie'!$C$5:$C$2004,C345,'Saisie'!$AF$5:$AF$2004,"&lt;&gt;")-4),""))</f>
        <v/>
      </c>
      <c r="AD345" s="108">
        <f>IF(C345="","",IFERROR(INDEX('Saisie'!$AG$5:$AG$2004,_xlfn.MAXIFS('Saisie'!$AS$5:$AS$2004,'Saisie'!$C$5:$C$2004,C345,'Saisie'!$AG$5:$AG$2004,"&lt;&gt;")-4),""))</f>
        <v/>
      </c>
      <c r="AE345" s="60">
        <f>IF(C345="","",IFERROR(INDEX('Saisie'!$AH$5:$AH$2004,_xlfn.MAXIFS('Saisie'!$AS$5:$AS$2004,'Saisie'!$C$5:$C$2004,C345,'Saisie'!$AH$5:$AH$2004,"&lt;&gt;")-4),""))</f>
        <v/>
      </c>
      <c r="AF345" s="60">
        <f>IF(C345="","",IFERROR(INDEX('Saisie'!$AI$5:$AI$2004,_xlfn.MAXIFS('Saisie'!$AS$5:$AS$2004,'Saisie'!$C$5:$C$2004,C345,'Saisie'!$AI$5:$AI$2004,"&lt;&gt;")-4),""))</f>
        <v/>
      </c>
      <c r="AG345" s="60">
        <f>IF(C345="","",IFERROR(INDEX('Saisie'!$AJ$5:$AJ$2004,_xlfn.MAXIFS('Saisie'!$AS$5:$AS$2004,'Saisie'!$C$5:$C$2004,C345,'Saisie'!$AJ$5:$AJ$2004,"&lt;&gt;")-4),""))</f>
        <v/>
      </c>
      <c r="AH345" s="60">
        <f>IF(C345="","",IFERROR(INDEX('Saisie'!$AK$5:$AK$2004,_xlfn.MAXIFS('Saisie'!$AS$5:$AS$2004,'Saisie'!$C$5:$C$2004,C345,'Saisie'!$AK$5:$AK$2004,"&lt;&gt;")-4),""))</f>
        <v/>
      </c>
      <c r="AI345" s="60">
        <f>IF(C345="","",IFERROR(INDEX('Saisie'!$AN$5:$AN$2004,_xlfn.MAXIFS('Saisie'!$AS$5:$AS$2004,'Saisie'!$C$5:$C$2004,C345,'Saisie'!$AN$5:$AN$2004,"&lt;&gt;")-4),""))</f>
        <v/>
      </c>
      <c r="AJ345" s="60">
        <f>IF(C345="","",IFERROR(INDEX('Saisie'!$AO$5:$AO$2004,_xlfn.MAXIFS('Saisie'!$AS$5:$AS$2004,'Saisie'!$C$5:$C$2004,C345,'Saisie'!$AO$5:$AO$2004,"&lt;&gt;")-4),""))</f>
        <v/>
      </c>
      <c r="AK345" s="60">
        <f>IF(C345="","",IFERROR(INDEX('Saisie'!$AP$5:$AP$2004,_xlfn.MAXIFS('Saisie'!$AS$5:$AS$2004,'Saisie'!$C$5:$C$2004,C345,'Saisie'!$AP$5:$AP$2004,"&lt;&gt;")-4),""))</f>
        <v/>
      </c>
      <c r="AL345" s="60">
        <f>IF(C345="","",IFERROR(INDEX('Saisie'!$AQ$5:$AQ$2004,_xlfn.MAXIFS('Saisie'!$AS$5:$AS$2004,'Saisie'!$C$5:$C$2004,C345,'Saisie'!$AQ$5:$AQ$2004,"&lt;&gt;")-4),""))</f>
        <v/>
      </c>
      <c r="AM345" s="60">
        <f>IF(C345="","",((AI345="Oui")+(AJ345="Oui")+(AK345="Oui")+OR(AL345="Immédiat",AL345="&lt; 1 mois"))&amp;"/4")</f>
        <v/>
      </c>
      <c r="AN345" s="60">
        <f>IF(C345="","",IFERROR(INDEX('Saisie'!$AL$5:$AL$2004,_xlfn.MAXIFS('Saisie'!$AS$5:$AS$2004,'Saisie'!$C$5:$C$2004,C345,'Saisie'!$AL$5:$AL$2004,"&lt;&gt;")-4),""))</f>
        <v/>
      </c>
      <c r="AO345" s="62">
        <f>IF(C345="","",IF(IFERROR(INDEX('Saisie'!$AM$5:$AM$2004,_xlfn.MAXIFS('Saisie'!$AS$5:$AS$2004,'Saisie'!$C$5:$C$2004,C345,'Saisie'!$AM$5:$AM$2004,"&lt;&gt;")-4),"")&lt;&gt;"",IFERROR(INDEX('Saisie'!$AM$5:$AM$2004,_xlfn.MAXIFS('Saisie'!$AS$5:$AS$2004,'Saisie'!$C$5:$C$2004,C345,'Saisie'!$AM$5:$AM$2004,"&lt;&gt;")-4),""),IFERROR(INDEX('Paramètres'!$S$6:$S$15,MATCH(AN345,'Paramètres'!$Q$6:$Q$15,0)),"")))</f>
        <v/>
      </c>
      <c r="AP345" s="62">
        <f>IF(C345="","",IFERROR(INDEX('Saisie'!$AW$5:$AW$2004,_xlfn.MAXIFS('Saisie'!$AS$5:$AS$2004,'Saisie'!$C$5:$C$2004,C345,'Saisie'!$E$5:$E$2004,"Proposition envoyée")-4),""))</f>
        <v/>
      </c>
      <c r="AQ345" s="106">
        <f>IF(C345="","",IFERROR(1/(1/_xlfn.MAXIFS('Saisie'!$A$5:$A$2004,'Saisie'!$C$5:$C$2004,C345,'Saisie'!$E$5:$E$2004,"Proposition envoyée")),""))</f>
        <v/>
      </c>
      <c r="AR345" s="106">
        <f>IF(C345="","",IF(AQ345="","",AQ345+'Paramètres'!$B$26))</f>
        <v/>
      </c>
      <c r="AS345" s="62">
        <f>IF(OR(C345="",D345="Gagné",D345="Perdu"),0,N(AP345)*IFERROR(INDEX('Paramètres'!$G$6:$G$13,MATCH(D345,'Paramètres'!$F$6:$F$13,0)),0))</f>
        <v/>
      </c>
      <c r="AT345" s="106">
        <f>IF(C345="","",IFERROR(1/(1/_xlfn.MINIFS('Saisie'!$A$5:$A$2004,'Saisie'!$C$5:$C$2004,C345,'Saisie'!$E$5:$E$2004,"Signature")),""))</f>
        <v/>
      </c>
      <c r="AU345" s="60">
        <f>IF(C345="","",IF(OR(AT345="",B345=""),"",AT345-B345))</f>
        <v/>
      </c>
      <c r="AV345" s="60">
        <f>IF(C345="","",IFERROR(INDEX('Saisie'!$L$5:$L$2004,_xlfn.MAXIFS('Saisie'!$AS$5:$AS$2004,'Saisie'!$C$5:$C$2004,C345,'Saisie'!$L$5:$L$2004,"&lt;&gt;")-4),""))</f>
        <v/>
      </c>
      <c r="AW345" s="106">
        <f>IF(C345="","",IF(D345&lt;&gt;"Perdu","",IFERROR(1/(1/_xlfn.MAXIFS('Saisie'!$A$5:$A$2004,'Saisie'!$C$5:$C$2004,C345,'Saisie'!$E$5:$E$2004,"Perdu")),"")))</f>
        <v/>
      </c>
      <c r="AX345" s="106">
        <f>IF(C345="","",IF(AW345="","",AW345+'Paramètres'!$B$28))</f>
        <v/>
      </c>
      <c r="AY345" s="60">
        <f>IF(C345="","",SUMIFS('Saisie'!$H$5:$H$2004,'Saisie'!$C$5:$C$2004,C345))</f>
        <v/>
      </c>
      <c r="AZ345" s="60">
        <f>IF(C345="","",IFERROR(INDEX('Paramètres'!$W$6:$W$20,MATCH(S345,'Paramètres'!$V$6:$V$20,0))&amp;"",""))</f>
        <v/>
      </c>
      <c r="BA345" s="60">
        <f>IF(C345="","",MAX(1,_xlfn.MAXIFS('Saisie'!$AT$5:$AT$2004,'Saisie'!$C$5:$C$2004,C345)))</f>
        <v/>
      </c>
      <c r="BB345" s="60">
        <f>IF(C345="","",IFERROR(INDEX('Saisie'!$X$5:$X$2004,_xlfn.MAXIFS('Saisie'!$AS$5:$AS$2004,'Saisie'!$C$5:$C$2004,C345,'Saisie'!$X$5:$X$2004,"&lt;&gt;")-4),""))</f>
        <v/>
      </c>
      <c r="BC345" s="60">
        <f>IF(C345="","",IFERROR(INDEX('Saisie'!$Y$5:$Y$2004,_xlfn.MAXIFS('Saisie'!$AS$5:$AS$2004,'Saisie'!$C$5:$C$2004,C345,'Saisie'!$Y$5:$Y$2004,"&lt;&gt;")-4),""))</f>
        <v/>
      </c>
      <c r="BD345" s="106">
        <f>IF(C345="","",IFERROR(1/(1/_xlfn.MINIFS('Saisie'!$A$5:$A$2004,'Saisie'!$C$5:$C$2004,C345,'Saisie'!$AT$5:$AT$2004,"&gt;=2")),""))</f>
        <v/>
      </c>
      <c r="BE345" s="106">
        <f>IF(C345="","",IFERROR(1/(1/_xlfn.MINIFS('Saisie'!$A$5:$A$2004,'Saisie'!$C$5:$C$2004,C345,'Saisie'!$AT$5:$AT$2004,"&gt;=3")),""))</f>
        <v/>
      </c>
      <c r="BF345" s="106">
        <f>IF(C345="","",IFERROR(1/(1/_xlfn.MINIFS('Saisie'!$A$5:$A$2004,'Saisie'!$C$5:$C$2004,C345,'Saisie'!$AT$5:$AT$2004,"&gt;=4")),""))</f>
        <v/>
      </c>
      <c r="BG345" s="106">
        <f>IF(C345="","",IFERROR(1/(1/_xlfn.MINIFS('Saisie'!$A$5:$A$2004,'Saisie'!$C$5:$C$2004,C345,'Saisie'!$AT$5:$AT$2004,"&gt;=5")),""))</f>
        <v/>
      </c>
      <c r="BH345" s="106">
        <f>IF(C345="","",IFERROR(1/(1/_xlfn.MINIFS('Saisie'!$A$5:$A$2004,'Saisie'!$C$5:$C$2004,C345,'Saisie'!$AT$5:$AT$2004,"&gt;=6")),""))</f>
        <v/>
      </c>
      <c r="BI345" s="106">
        <f>IF(C345="","",IFERROR(1/(1/_xlfn.MINIFS('Saisie'!$A$5:$A$2004,'Saisie'!$C$5:$C$2004,C345,'Saisie'!$AT$5:$AT$2004,"&gt;=7")),""))</f>
        <v/>
      </c>
      <c r="BJ345" s="60">
        <f>IF(OR(BD345="",B345=""),"",BD345-B345)</f>
        <v/>
      </c>
      <c r="BK345" s="60">
        <f>IF(OR(BE345="",BD345=""),"",BE345-BD345)</f>
        <v/>
      </c>
      <c r="BL345" s="60">
        <f>IF(OR(BF345="",BE345=""),"",BF345-BE345)</f>
        <v/>
      </c>
      <c r="BM345" s="60">
        <f>IF(OR(BG345="",BF345=""),"",BG345-BF345)</f>
        <v/>
      </c>
      <c r="BN345" s="60">
        <f>IF(OR(BH345="",BG345=""),"",BH345-BG345)</f>
        <v/>
      </c>
      <c r="BO345" s="60">
        <f>IF(OR(BI345="",BH345=""),"",BI345-BH345)</f>
        <v/>
      </c>
      <c r="BP345" s="60">
        <f>IF(C345="","",_xlfn.MAXIFS('Saisie'!$AS$5:$AS$2004,'Saisie'!$C$5:$C$2004,C345,'Saisie'!$J$5:$J$2004,"&lt;&gt;"))</f>
        <v/>
      </c>
      <c r="BQ345" s="60">
        <f>IF(C345="","",_xlfn.MAXIFS('Saisie'!$AS$5:$AS$2004,'Saisie'!$C$5:$C$2004,C345))</f>
        <v/>
      </c>
      <c r="BR345" s="60">
        <f>IF(C345="","",_xlfn.MAXIFS('Saisie'!$AS$5:$AS$2004,'Saisie'!$C$5:$C$2004,C345,'Saisie'!$E$5:$E$2004,"Perdu"))</f>
        <v/>
      </c>
      <c r="BS345" s="60">
        <f>IF(C345="","",_xlfn.MAXIFS('Saisie'!$AS$5:$AS$2004,'Saisie'!$C$5:$C$2004,C345,'Saisie'!$AT$5:$AT$2004,"&gt;0"))</f>
        <v/>
      </c>
      <c r="BT345" s="109">
        <f>IF(AND(C345&lt;&gt;"",OR(D345="Nouveau",D345="Contacté",D345="Qualifié"),OR(G345="",N(G345)&lt;=TODAY()),NOT(AND(O345&gt;='Paramètres'!$B$21,P345=0))),E345+341/10000,"")</f>
        <v/>
      </c>
      <c r="BU345" s="60">
        <f>IF(AND(G345&lt;&gt;"",N(G345)&lt;=TODAY()),MAX($BU$4:BU344)+1,"")</f>
        <v/>
      </c>
      <c r="BV345" s="60">
        <f>IF(AND(F345&lt;&gt;"",F345&lt;&gt;"Relance en retard"),MAX($BV$4:BV344)+1,"")</f>
        <v/>
      </c>
      <c r="BW345" s="60">
        <f>IF(C345="","",IF(AND(B345&gt;='Tableau de bord'!$R$4,B345&lt;='Tableau de bord'!$S$4,OR('Tableau de bord'!$G$4="Tous",N345='Tableau de bord'!$G$4)),1,0))</f>
        <v/>
      </c>
      <c r="BX345" s="60">
        <f>IF(AND(C345&lt;&gt;"",N(BA345)=7),MAX($BX$4:BX344)+1,"")</f>
        <v/>
      </c>
    </row>
    <row r="346">
      <c r="A346" s="60">
        <f>IF(C346="","","P-"&amp;TEXT(342,"000"))</f>
        <v/>
      </c>
      <c r="B346" s="106">
        <f>IF(C346="","",IFERROR(1/(1/_xlfn.MINIFS('Saisie'!$A$5:$A$2004,'Saisie'!$C$5:$C$2004,C346)),""))</f>
        <v/>
      </c>
      <c r="C346" s="60">
        <f>IFERROR(INDEX('Saisie'!$C$5:$C$2004,MATCH(342,'Saisie'!$AX$5:$AX$2004,0)),"")</f>
        <v/>
      </c>
      <c r="D346" s="60">
        <f>IF(C346="","",IF(AND(BR346&gt;0,BR346&gt;BS346,BA346&lt;7),"Perdu",INDEX('Paramètres'!$F$6:$F$13,BA346)))</f>
        <v/>
      </c>
      <c r="E346" s="61">
        <f>IF(C346="","",MIN(100,(Z346="Oui")*'Paramètres'!$B$38+(AB346="Régulière")*'Paramètres'!$B$39+IF(AND(N(AA346)&gt;0,TODAY()-N(AA346)&lt;=30),'Paramètres'!$B$40,0)+(W346="")*'Paramètres'!$B$41+(AC346="Absente")*'Paramètres'!$B$42+(AC346="Faible")*'Paramètres'!$B$43+IF(AND(N(AD346)&gt;0,N(AD346)&lt;4),'Paramètres'!$B$44,0)+(AF346="Moyenne")*'Paramètres'!$B$45+(AF346="Grande")*'Paramètres'!$B$46+(Y346&lt;&gt;"")*'Paramètres'!$B$47))</f>
        <v/>
      </c>
      <c r="F346" s="60">
        <f>IF(C346="","",IF(D346="Gagné","",IF(D346="Perdu",IF(AND(AX346&lt;&gt;"",AX346&lt;=TODAY()),"À recontacter (perdu)",""),IF(AND(O346&gt;='Paramètres'!$B$21,P346=0),"Stop : "&amp;'Paramètres'!$B$21&amp;" tentatives sans réponse",IF(AND(D346="Proposition",AR346&lt;&gt;"",TODAY()&gt;N(AR346)),"Proposition expirée",IF(AND(D346="Proposition",N(R346)&gt;='Paramètres'!$B$25),"Proposition sans réponse",IF(AND(G346&lt;&gt;"",N(G346)&lt;TODAY()),"Relance en retard",IF(N(R346)&gt;='Paramètres'!$B$24,"Sans action depuis "&amp;R346&amp;" j",""))))))))</f>
        <v/>
      </c>
      <c r="G346" s="106">
        <f>IF(OR(C346="",D346="Gagné",D346="Perdu"),"",IF(AND(BP346&gt;0,BP346=BQ346),INDEX('Saisie'!$J$5:$J$2004,BP346-4),IF(OR(O346=0,AND(O346&gt;='Paramètres'!$B$21,P346=0)),"",Q346+IF(O346&lt;=1,'Paramètres'!$B$18,IF(O346=2,'Paramètres'!$B$19,'Paramètres'!$B$20)))))</f>
        <v/>
      </c>
      <c r="H346" s="107">
        <f>IF(OR(G346="",BP346&lt;&gt;BQ346),"",IF(INDEX('Saisie'!$K$5:$K$2004,BP346-4)="","",INDEX('Saisie'!$K$5:$K$2004,BP346-4)))</f>
        <v/>
      </c>
      <c r="I346" s="60">
        <f>IF(C346="","",IF(OR(D346="Gagné",D346="Perdu"),"",IFERROR(INDEX('Saisie'!$I$5:$I$2004,_xlfn.MAXIFS('Saisie'!$AS$5:$AS$2004,'Saisie'!$C$5:$C$2004,C346,'Saisie'!$I$5:$I$2004,"&lt;&gt;")-4),"")))</f>
        <v/>
      </c>
      <c r="J346" s="60">
        <f>IF(C346="","",IFERROR(INDEX('Saisie'!$U$5:$U$2004,_xlfn.MAXIFS('Saisie'!$AS$5:$AS$2004,'Saisie'!$C$5:$C$2004,C346,'Saisie'!$U$5:$U$2004,"&lt;&gt;")-4),""))</f>
        <v/>
      </c>
      <c r="K346" s="60">
        <f>IF(C346="","",IFERROR(INDEX('Saisie'!$W$5:$W$2004,_xlfn.MAXIFS('Saisie'!$AS$5:$AS$2004,'Saisie'!$C$5:$C$2004,C346,'Saisie'!$W$5:$W$2004,"&lt;&gt;")-4),""))</f>
        <v/>
      </c>
      <c r="L346" s="60">
        <f>IF(IF(BB346&lt;&gt;"",BB346,K346)="","",HYPERLINK("https://wa.me/"&amp;IF(LEFT(SUBSTITUTE(SUBSTITUTE(SUBSTITUTE(IF(BB346&lt;&gt;"",BB346,K346)," ",""),".",""),"+",""),1)="0",'Paramètres'!$B$35&amp;MID(SUBSTITUTE(SUBSTITUTE(SUBSTITUTE(IF(BB346&lt;&gt;"",BB346,K346)," ",""),".",""),"+",""),2,20),SUBSTITUTE(SUBSTITUTE(SUBSTITUTE(IF(BB346&lt;&gt;"",BB346,K346)," ",""),".",""),"+","")),"WhatsApp"))</f>
        <v/>
      </c>
      <c r="M346" s="60">
        <f>IF(BC346="","",HYPERLINK(IF(LEFT(BC346,4)="http",BC346,"https://www.instagram.com/"&amp;SUBSTITUTE(SUBSTITUTE(BC346,"@","")," ","")),BC346))</f>
        <v/>
      </c>
      <c r="N346" s="60">
        <f>IF(C346="","",IFERROR(INDEX('Saisie'!$D$5:$D$2004,_xlfn.MINIFS('Saisie'!$AS$5:$AS$2004,'Saisie'!$C$5:$C$2004,C346,'Saisie'!$AU$5:$AU$2004,1)-4),IFERROR(INDEX('Saisie'!$D$5:$D$2004,_xlfn.MINIFS('Saisie'!$AS$5:$AS$2004,'Saisie'!$C$5:$C$2004,C346,'Saisie'!$D$5:$D$2004,"&lt;&gt;")-4),"")))</f>
        <v/>
      </c>
      <c r="O346" s="60">
        <f>IF(C346="","",COUNTIFS('Saisie'!$C$5:$C$2004,C346,'Saisie'!$AU$5:$AU$2004,1))</f>
        <v/>
      </c>
      <c r="P346" s="60">
        <f>IF(C346="","",COUNTIFS('Saisie'!$C$5:$C$2004,C346,'Saisie'!$AV$5:$AV$2004,1))</f>
        <v/>
      </c>
      <c r="Q346" s="106">
        <f>IF(C346="","",IFERROR(1/(1/_xlfn.MAXIFS('Saisie'!$A$5:$A$2004,'Saisie'!$C$5:$C$2004,C346)),""))</f>
        <v/>
      </c>
      <c r="R346" s="61">
        <f>IF(C346="","",IF(Q346="","",TODAY()-Q346))</f>
        <v/>
      </c>
      <c r="S346" s="60">
        <f>IF(C346="","",IFERROR(INDEX('Saisie'!$R$5:$R$2004,_xlfn.MAXIFS('Saisie'!$AS$5:$AS$2004,'Saisie'!$C$5:$C$2004,C346,'Saisie'!$R$5:$R$2004,"&lt;&gt;")-4),""))</f>
        <v/>
      </c>
      <c r="T346" s="60">
        <f>IF(C346="","",IFERROR(INDEX('Saisie'!$S$5:$S$2004,_xlfn.MAXIFS('Saisie'!$AS$5:$AS$2004,'Saisie'!$C$5:$C$2004,C346,'Saisie'!$S$5:$S$2004,"&lt;&gt;")-4),""))</f>
        <v/>
      </c>
      <c r="U346" s="60">
        <f>IF(C346="","",IFERROR(INDEX('Saisie'!$T$5:$T$2004,_xlfn.MAXIFS('Saisie'!$AS$5:$AS$2004,'Saisie'!$C$5:$C$2004,C346,'Saisie'!$T$5:$T$2004,"&lt;&gt;")-4),""))</f>
        <v/>
      </c>
      <c r="V346" s="60">
        <f>IF(C346="","",IFERROR(INDEX('Saisie'!$V$5:$V$2004,_xlfn.MAXIFS('Saisie'!$AS$5:$AS$2004,'Saisie'!$C$5:$C$2004,C346,'Saisie'!$V$5:$V$2004,"&lt;&gt;")-4),""))</f>
        <v/>
      </c>
      <c r="W346" s="60">
        <f>IF(C346="","",IFERROR(INDEX('Saisie'!$Z$5:$Z$2004,_xlfn.MAXIFS('Saisie'!$AS$5:$AS$2004,'Saisie'!$C$5:$C$2004,C346,'Saisie'!$Z$5:$Z$2004,"&lt;&gt;")-4),""))</f>
        <v/>
      </c>
      <c r="X346" s="60">
        <f>IF(C346="","",IFERROR(INDEX('Saisie'!$AA$5:$AA$2004,_xlfn.MAXIFS('Saisie'!$AS$5:$AS$2004,'Saisie'!$C$5:$C$2004,C346,'Saisie'!$AA$5:$AA$2004,"&lt;&gt;")-4),""))</f>
        <v/>
      </c>
      <c r="Y346" s="60">
        <f>IF(C346="","",IFERROR(INDEX('Saisie'!$AB$5:$AB$2004,_xlfn.MAXIFS('Saisie'!$AS$5:$AS$2004,'Saisie'!$C$5:$C$2004,C346,'Saisie'!$AB$5:$AB$2004,"&lt;&gt;")-4),""))</f>
        <v/>
      </c>
      <c r="Z346" s="60">
        <f>IF(C346="","",IFERROR(INDEX('Saisie'!$AC$5:$AC$2004,_xlfn.MAXIFS('Saisie'!$AS$5:$AS$2004,'Saisie'!$C$5:$C$2004,C346,'Saisie'!$AC$5:$AC$2004,"&lt;&gt;")-4),""))</f>
        <v/>
      </c>
      <c r="AA346" s="106">
        <f>IF(C346="","",IFERROR(INDEX('Saisie'!$AD$5:$AD$2004,_xlfn.MAXIFS('Saisie'!$AS$5:$AS$2004,'Saisie'!$C$5:$C$2004,C346,'Saisie'!$AD$5:$AD$2004,"&lt;&gt;")-4),""))</f>
        <v/>
      </c>
      <c r="AB346" s="60">
        <f>IF(C346="","",IFERROR(INDEX('Saisie'!$AE$5:$AE$2004,_xlfn.MAXIFS('Saisie'!$AS$5:$AS$2004,'Saisie'!$C$5:$C$2004,C346,'Saisie'!$AE$5:$AE$2004,"&lt;&gt;")-4),""))</f>
        <v/>
      </c>
      <c r="AC346" s="60">
        <f>IF(C346="","",IFERROR(INDEX('Saisie'!$AF$5:$AF$2004,_xlfn.MAXIFS('Saisie'!$AS$5:$AS$2004,'Saisie'!$C$5:$C$2004,C346,'Saisie'!$AF$5:$AF$2004,"&lt;&gt;")-4),""))</f>
        <v/>
      </c>
      <c r="AD346" s="108">
        <f>IF(C346="","",IFERROR(INDEX('Saisie'!$AG$5:$AG$2004,_xlfn.MAXIFS('Saisie'!$AS$5:$AS$2004,'Saisie'!$C$5:$C$2004,C346,'Saisie'!$AG$5:$AG$2004,"&lt;&gt;")-4),""))</f>
        <v/>
      </c>
      <c r="AE346" s="60">
        <f>IF(C346="","",IFERROR(INDEX('Saisie'!$AH$5:$AH$2004,_xlfn.MAXIFS('Saisie'!$AS$5:$AS$2004,'Saisie'!$C$5:$C$2004,C346,'Saisie'!$AH$5:$AH$2004,"&lt;&gt;")-4),""))</f>
        <v/>
      </c>
      <c r="AF346" s="60">
        <f>IF(C346="","",IFERROR(INDEX('Saisie'!$AI$5:$AI$2004,_xlfn.MAXIFS('Saisie'!$AS$5:$AS$2004,'Saisie'!$C$5:$C$2004,C346,'Saisie'!$AI$5:$AI$2004,"&lt;&gt;")-4),""))</f>
        <v/>
      </c>
      <c r="AG346" s="60">
        <f>IF(C346="","",IFERROR(INDEX('Saisie'!$AJ$5:$AJ$2004,_xlfn.MAXIFS('Saisie'!$AS$5:$AS$2004,'Saisie'!$C$5:$C$2004,C346,'Saisie'!$AJ$5:$AJ$2004,"&lt;&gt;")-4),""))</f>
        <v/>
      </c>
      <c r="AH346" s="60">
        <f>IF(C346="","",IFERROR(INDEX('Saisie'!$AK$5:$AK$2004,_xlfn.MAXIFS('Saisie'!$AS$5:$AS$2004,'Saisie'!$C$5:$C$2004,C346,'Saisie'!$AK$5:$AK$2004,"&lt;&gt;")-4),""))</f>
        <v/>
      </c>
      <c r="AI346" s="60">
        <f>IF(C346="","",IFERROR(INDEX('Saisie'!$AN$5:$AN$2004,_xlfn.MAXIFS('Saisie'!$AS$5:$AS$2004,'Saisie'!$C$5:$C$2004,C346,'Saisie'!$AN$5:$AN$2004,"&lt;&gt;")-4),""))</f>
        <v/>
      </c>
      <c r="AJ346" s="60">
        <f>IF(C346="","",IFERROR(INDEX('Saisie'!$AO$5:$AO$2004,_xlfn.MAXIFS('Saisie'!$AS$5:$AS$2004,'Saisie'!$C$5:$C$2004,C346,'Saisie'!$AO$5:$AO$2004,"&lt;&gt;")-4),""))</f>
        <v/>
      </c>
      <c r="AK346" s="60">
        <f>IF(C346="","",IFERROR(INDEX('Saisie'!$AP$5:$AP$2004,_xlfn.MAXIFS('Saisie'!$AS$5:$AS$2004,'Saisie'!$C$5:$C$2004,C346,'Saisie'!$AP$5:$AP$2004,"&lt;&gt;")-4),""))</f>
        <v/>
      </c>
      <c r="AL346" s="60">
        <f>IF(C346="","",IFERROR(INDEX('Saisie'!$AQ$5:$AQ$2004,_xlfn.MAXIFS('Saisie'!$AS$5:$AS$2004,'Saisie'!$C$5:$C$2004,C346,'Saisie'!$AQ$5:$AQ$2004,"&lt;&gt;")-4),""))</f>
        <v/>
      </c>
      <c r="AM346" s="60">
        <f>IF(C346="","",((AI346="Oui")+(AJ346="Oui")+(AK346="Oui")+OR(AL346="Immédiat",AL346="&lt; 1 mois"))&amp;"/4")</f>
        <v/>
      </c>
      <c r="AN346" s="60">
        <f>IF(C346="","",IFERROR(INDEX('Saisie'!$AL$5:$AL$2004,_xlfn.MAXIFS('Saisie'!$AS$5:$AS$2004,'Saisie'!$C$5:$C$2004,C346,'Saisie'!$AL$5:$AL$2004,"&lt;&gt;")-4),""))</f>
        <v/>
      </c>
      <c r="AO346" s="62">
        <f>IF(C346="","",IF(IFERROR(INDEX('Saisie'!$AM$5:$AM$2004,_xlfn.MAXIFS('Saisie'!$AS$5:$AS$2004,'Saisie'!$C$5:$C$2004,C346,'Saisie'!$AM$5:$AM$2004,"&lt;&gt;")-4),"")&lt;&gt;"",IFERROR(INDEX('Saisie'!$AM$5:$AM$2004,_xlfn.MAXIFS('Saisie'!$AS$5:$AS$2004,'Saisie'!$C$5:$C$2004,C346,'Saisie'!$AM$5:$AM$2004,"&lt;&gt;")-4),""),IFERROR(INDEX('Paramètres'!$S$6:$S$15,MATCH(AN346,'Paramètres'!$Q$6:$Q$15,0)),"")))</f>
        <v/>
      </c>
      <c r="AP346" s="62">
        <f>IF(C346="","",IFERROR(INDEX('Saisie'!$AW$5:$AW$2004,_xlfn.MAXIFS('Saisie'!$AS$5:$AS$2004,'Saisie'!$C$5:$C$2004,C346,'Saisie'!$E$5:$E$2004,"Proposition envoyée")-4),""))</f>
        <v/>
      </c>
      <c r="AQ346" s="106">
        <f>IF(C346="","",IFERROR(1/(1/_xlfn.MAXIFS('Saisie'!$A$5:$A$2004,'Saisie'!$C$5:$C$2004,C346,'Saisie'!$E$5:$E$2004,"Proposition envoyée")),""))</f>
        <v/>
      </c>
      <c r="AR346" s="106">
        <f>IF(C346="","",IF(AQ346="","",AQ346+'Paramètres'!$B$26))</f>
        <v/>
      </c>
      <c r="AS346" s="62">
        <f>IF(OR(C346="",D346="Gagné",D346="Perdu"),0,N(AP346)*IFERROR(INDEX('Paramètres'!$G$6:$G$13,MATCH(D346,'Paramètres'!$F$6:$F$13,0)),0))</f>
        <v/>
      </c>
      <c r="AT346" s="106">
        <f>IF(C346="","",IFERROR(1/(1/_xlfn.MINIFS('Saisie'!$A$5:$A$2004,'Saisie'!$C$5:$C$2004,C346,'Saisie'!$E$5:$E$2004,"Signature")),""))</f>
        <v/>
      </c>
      <c r="AU346" s="60">
        <f>IF(C346="","",IF(OR(AT346="",B346=""),"",AT346-B346))</f>
        <v/>
      </c>
      <c r="AV346" s="60">
        <f>IF(C346="","",IFERROR(INDEX('Saisie'!$L$5:$L$2004,_xlfn.MAXIFS('Saisie'!$AS$5:$AS$2004,'Saisie'!$C$5:$C$2004,C346,'Saisie'!$L$5:$L$2004,"&lt;&gt;")-4),""))</f>
        <v/>
      </c>
      <c r="AW346" s="106">
        <f>IF(C346="","",IF(D346&lt;&gt;"Perdu","",IFERROR(1/(1/_xlfn.MAXIFS('Saisie'!$A$5:$A$2004,'Saisie'!$C$5:$C$2004,C346,'Saisie'!$E$5:$E$2004,"Perdu")),"")))</f>
        <v/>
      </c>
      <c r="AX346" s="106">
        <f>IF(C346="","",IF(AW346="","",AW346+'Paramètres'!$B$28))</f>
        <v/>
      </c>
      <c r="AY346" s="60">
        <f>IF(C346="","",SUMIFS('Saisie'!$H$5:$H$2004,'Saisie'!$C$5:$C$2004,C346))</f>
        <v/>
      </c>
      <c r="AZ346" s="60">
        <f>IF(C346="","",IFERROR(INDEX('Paramètres'!$W$6:$W$20,MATCH(S346,'Paramètres'!$V$6:$V$20,0))&amp;"",""))</f>
        <v/>
      </c>
      <c r="BA346" s="60">
        <f>IF(C346="","",MAX(1,_xlfn.MAXIFS('Saisie'!$AT$5:$AT$2004,'Saisie'!$C$5:$C$2004,C346)))</f>
        <v/>
      </c>
      <c r="BB346" s="60">
        <f>IF(C346="","",IFERROR(INDEX('Saisie'!$X$5:$X$2004,_xlfn.MAXIFS('Saisie'!$AS$5:$AS$2004,'Saisie'!$C$5:$C$2004,C346,'Saisie'!$X$5:$X$2004,"&lt;&gt;")-4),""))</f>
        <v/>
      </c>
      <c r="BC346" s="60">
        <f>IF(C346="","",IFERROR(INDEX('Saisie'!$Y$5:$Y$2004,_xlfn.MAXIFS('Saisie'!$AS$5:$AS$2004,'Saisie'!$C$5:$C$2004,C346,'Saisie'!$Y$5:$Y$2004,"&lt;&gt;")-4),""))</f>
        <v/>
      </c>
      <c r="BD346" s="106">
        <f>IF(C346="","",IFERROR(1/(1/_xlfn.MINIFS('Saisie'!$A$5:$A$2004,'Saisie'!$C$5:$C$2004,C346,'Saisie'!$AT$5:$AT$2004,"&gt;=2")),""))</f>
        <v/>
      </c>
      <c r="BE346" s="106">
        <f>IF(C346="","",IFERROR(1/(1/_xlfn.MINIFS('Saisie'!$A$5:$A$2004,'Saisie'!$C$5:$C$2004,C346,'Saisie'!$AT$5:$AT$2004,"&gt;=3")),""))</f>
        <v/>
      </c>
      <c r="BF346" s="106">
        <f>IF(C346="","",IFERROR(1/(1/_xlfn.MINIFS('Saisie'!$A$5:$A$2004,'Saisie'!$C$5:$C$2004,C346,'Saisie'!$AT$5:$AT$2004,"&gt;=4")),""))</f>
        <v/>
      </c>
      <c r="BG346" s="106">
        <f>IF(C346="","",IFERROR(1/(1/_xlfn.MINIFS('Saisie'!$A$5:$A$2004,'Saisie'!$C$5:$C$2004,C346,'Saisie'!$AT$5:$AT$2004,"&gt;=5")),""))</f>
        <v/>
      </c>
      <c r="BH346" s="106">
        <f>IF(C346="","",IFERROR(1/(1/_xlfn.MINIFS('Saisie'!$A$5:$A$2004,'Saisie'!$C$5:$C$2004,C346,'Saisie'!$AT$5:$AT$2004,"&gt;=6")),""))</f>
        <v/>
      </c>
      <c r="BI346" s="106">
        <f>IF(C346="","",IFERROR(1/(1/_xlfn.MINIFS('Saisie'!$A$5:$A$2004,'Saisie'!$C$5:$C$2004,C346,'Saisie'!$AT$5:$AT$2004,"&gt;=7")),""))</f>
        <v/>
      </c>
      <c r="BJ346" s="60">
        <f>IF(OR(BD346="",B346=""),"",BD346-B346)</f>
        <v/>
      </c>
      <c r="BK346" s="60">
        <f>IF(OR(BE346="",BD346=""),"",BE346-BD346)</f>
        <v/>
      </c>
      <c r="BL346" s="60">
        <f>IF(OR(BF346="",BE346=""),"",BF346-BE346)</f>
        <v/>
      </c>
      <c r="BM346" s="60">
        <f>IF(OR(BG346="",BF346=""),"",BG346-BF346)</f>
        <v/>
      </c>
      <c r="BN346" s="60">
        <f>IF(OR(BH346="",BG346=""),"",BH346-BG346)</f>
        <v/>
      </c>
      <c r="BO346" s="60">
        <f>IF(OR(BI346="",BH346=""),"",BI346-BH346)</f>
        <v/>
      </c>
      <c r="BP346" s="60">
        <f>IF(C346="","",_xlfn.MAXIFS('Saisie'!$AS$5:$AS$2004,'Saisie'!$C$5:$C$2004,C346,'Saisie'!$J$5:$J$2004,"&lt;&gt;"))</f>
        <v/>
      </c>
      <c r="BQ346" s="60">
        <f>IF(C346="","",_xlfn.MAXIFS('Saisie'!$AS$5:$AS$2004,'Saisie'!$C$5:$C$2004,C346))</f>
        <v/>
      </c>
      <c r="BR346" s="60">
        <f>IF(C346="","",_xlfn.MAXIFS('Saisie'!$AS$5:$AS$2004,'Saisie'!$C$5:$C$2004,C346,'Saisie'!$E$5:$E$2004,"Perdu"))</f>
        <v/>
      </c>
      <c r="BS346" s="60">
        <f>IF(C346="","",_xlfn.MAXIFS('Saisie'!$AS$5:$AS$2004,'Saisie'!$C$5:$C$2004,C346,'Saisie'!$AT$5:$AT$2004,"&gt;0"))</f>
        <v/>
      </c>
      <c r="BT346" s="109">
        <f>IF(AND(C346&lt;&gt;"",OR(D346="Nouveau",D346="Contacté",D346="Qualifié"),OR(G346="",N(G346)&lt;=TODAY()),NOT(AND(O346&gt;='Paramètres'!$B$21,P346=0))),E346+342/10000,"")</f>
        <v/>
      </c>
      <c r="BU346" s="60">
        <f>IF(AND(G346&lt;&gt;"",N(G346)&lt;=TODAY()),MAX($BU$4:BU345)+1,"")</f>
        <v/>
      </c>
      <c r="BV346" s="60">
        <f>IF(AND(F346&lt;&gt;"",F346&lt;&gt;"Relance en retard"),MAX($BV$4:BV345)+1,"")</f>
        <v/>
      </c>
      <c r="BW346" s="60">
        <f>IF(C346="","",IF(AND(B346&gt;='Tableau de bord'!$R$4,B346&lt;='Tableau de bord'!$S$4,OR('Tableau de bord'!$G$4="Tous",N346='Tableau de bord'!$G$4)),1,0))</f>
        <v/>
      </c>
      <c r="BX346" s="60">
        <f>IF(AND(C346&lt;&gt;"",N(BA346)=7),MAX($BX$4:BX345)+1,"")</f>
        <v/>
      </c>
    </row>
    <row r="347">
      <c r="A347" s="60">
        <f>IF(C347="","","P-"&amp;TEXT(343,"000"))</f>
        <v/>
      </c>
      <c r="B347" s="106">
        <f>IF(C347="","",IFERROR(1/(1/_xlfn.MINIFS('Saisie'!$A$5:$A$2004,'Saisie'!$C$5:$C$2004,C347)),""))</f>
        <v/>
      </c>
      <c r="C347" s="60">
        <f>IFERROR(INDEX('Saisie'!$C$5:$C$2004,MATCH(343,'Saisie'!$AX$5:$AX$2004,0)),"")</f>
        <v/>
      </c>
      <c r="D347" s="60">
        <f>IF(C347="","",IF(AND(BR347&gt;0,BR347&gt;BS347,BA347&lt;7),"Perdu",INDEX('Paramètres'!$F$6:$F$13,BA347)))</f>
        <v/>
      </c>
      <c r="E347" s="61">
        <f>IF(C347="","",MIN(100,(Z347="Oui")*'Paramètres'!$B$38+(AB347="Régulière")*'Paramètres'!$B$39+IF(AND(N(AA347)&gt;0,TODAY()-N(AA347)&lt;=30),'Paramètres'!$B$40,0)+(W347="")*'Paramètres'!$B$41+(AC347="Absente")*'Paramètres'!$B$42+(AC347="Faible")*'Paramètres'!$B$43+IF(AND(N(AD347)&gt;0,N(AD347)&lt;4),'Paramètres'!$B$44,0)+(AF347="Moyenne")*'Paramètres'!$B$45+(AF347="Grande")*'Paramètres'!$B$46+(Y347&lt;&gt;"")*'Paramètres'!$B$47))</f>
        <v/>
      </c>
      <c r="F347" s="60">
        <f>IF(C347="","",IF(D347="Gagné","",IF(D347="Perdu",IF(AND(AX347&lt;&gt;"",AX347&lt;=TODAY()),"À recontacter (perdu)",""),IF(AND(O347&gt;='Paramètres'!$B$21,P347=0),"Stop : "&amp;'Paramètres'!$B$21&amp;" tentatives sans réponse",IF(AND(D347="Proposition",AR347&lt;&gt;"",TODAY()&gt;N(AR347)),"Proposition expirée",IF(AND(D347="Proposition",N(R347)&gt;='Paramètres'!$B$25),"Proposition sans réponse",IF(AND(G347&lt;&gt;"",N(G347)&lt;TODAY()),"Relance en retard",IF(N(R347)&gt;='Paramètres'!$B$24,"Sans action depuis "&amp;R347&amp;" j",""))))))))</f>
        <v/>
      </c>
      <c r="G347" s="106">
        <f>IF(OR(C347="",D347="Gagné",D347="Perdu"),"",IF(AND(BP347&gt;0,BP347=BQ347),INDEX('Saisie'!$J$5:$J$2004,BP347-4),IF(OR(O347=0,AND(O347&gt;='Paramètres'!$B$21,P347=0)),"",Q347+IF(O347&lt;=1,'Paramètres'!$B$18,IF(O347=2,'Paramètres'!$B$19,'Paramètres'!$B$20)))))</f>
        <v/>
      </c>
      <c r="H347" s="107">
        <f>IF(OR(G347="",BP347&lt;&gt;BQ347),"",IF(INDEX('Saisie'!$K$5:$K$2004,BP347-4)="","",INDEX('Saisie'!$K$5:$K$2004,BP347-4)))</f>
        <v/>
      </c>
      <c r="I347" s="60">
        <f>IF(C347="","",IF(OR(D347="Gagné",D347="Perdu"),"",IFERROR(INDEX('Saisie'!$I$5:$I$2004,_xlfn.MAXIFS('Saisie'!$AS$5:$AS$2004,'Saisie'!$C$5:$C$2004,C347,'Saisie'!$I$5:$I$2004,"&lt;&gt;")-4),"")))</f>
        <v/>
      </c>
      <c r="J347" s="60">
        <f>IF(C347="","",IFERROR(INDEX('Saisie'!$U$5:$U$2004,_xlfn.MAXIFS('Saisie'!$AS$5:$AS$2004,'Saisie'!$C$5:$C$2004,C347,'Saisie'!$U$5:$U$2004,"&lt;&gt;")-4),""))</f>
        <v/>
      </c>
      <c r="K347" s="60">
        <f>IF(C347="","",IFERROR(INDEX('Saisie'!$W$5:$W$2004,_xlfn.MAXIFS('Saisie'!$AS$5:$AS$2004,'Saisie'!$C$5:$C$2004,C347,'Saisie'!$W$5:$W$2004,"&lt;&gt;")-4),""))</f>
        <v/>
      </c>
      <c r="L347" s="60">
        <f>IF(IF(BB347&lt;&gt;"",BB347,K347)="","",HYPERLINK("https://wa.me/"&amp;IF(LEFT(SUBSTITUTE(SUBSTITUTE(SUBSTITUTE(IF(BB347&lt;&gt;"",BB347,K347)," ",""),".",""),"+",""),1)="0",'Paramètres'!$B$35&amp;MID(SUBSTITUTE(SUBSTITUTE(SUBSTITUTE(IF(BB347&lt;&gt;"",BB347,K347)," ",""),".",""),"+",""),2,20),SUBSTITUTE(SUBSTITUTE(SUBSTITUTE(IF(BB347&lt;&gt;"",BB347,K347)," ",""),".",""),"+","")),"WhatsApp"))</f>
        <v/>
      </c>
      <c r="M347" s="60">
        <f>IF(BC347="","",HYPERLINK(IF(LEFT(BC347,4)="http",BC347,"https://www.instagram.com/"&amp;SUBSTITUTE(SUBSTITUTE(BC347,"@","")," ","")),BC347))</f>
        <v/>
      </c>
      <c r="N347" s="60">
        <f>IF(C347="","",IFERROR(INDEX('Saisie'!$D$5:$D$2004,_xlfn.MINIFS('Saisie'!$AS$5:$AS$2004,'Saisie'!$C$5:$C$2004,C347,'Saisie'!$AU$5:$AU$2004,1)-4),IFERROR(INDEX('Saisie'!$D$5:$D$2004,_xlfn.MINIFS('Saisie'!$AS$5:$AS$2004,'Saisie'!$C$5:$C$2004,C347,'Saisie'!$D$5:$D$2004,"&lt;&gt;")-4),"")))</f>
        <v/>
      </c>
      <c r="O347" s="60">
        <f>IF(C347="","",COUNTIFS('Saisie'!$C$5:$C$2004,C347,'Saisie'!$AU$5:$AU$2004,1))</f>
        <v/>
      </c>
      <c r="P347" s="60">
        <f>IF(C347="","",COUNTIFS('Saisie'!$C$5:$C$2004,C347,'Saisie'!$AV$5:$AV$2004,1))</f>
        <v/>
      </c>
      <c r="Q347" s="106">
        <f>IF(C347="","",IFERROR(1/(1/_xlfn.MAXIFS('Saisie'!$A$5:$A$2004,'Saisie'!$C$5:$C$2004,C347)),""))</f>
        <v/>
      </c>
      <c r="R347" s="61">
        <f>IF(C347="","",IF(Q347="","",TODAY()-Q347))</f>
        <v/>
      </c>
      <c r="S347" s="60">
        <f>IF(C347="","",IFERROR(INDEX('Saisie'!$R$5:$R$2004,_xlfn.MAXIFS('Saisie'!$AS$5:$AS$2004,'Saisie'!$C$5:$C$2004,C347,'Saisie'!$R$5:$R$2004,"&lt;&gt;")-4),""))</f>
        <v/>
      </c>
      <c r="T347" s="60">
        <f>IF(C347="","",IFERROR(INDEX('Saisie'!$S$5:$S$2004,_xlfn.MAXIFS('Saisie'!$AS$5:$AS$2004,'Saisie'!$C$5:$C$2004,C347,'Saisie'!$S$5:$S$2004,"&lt;&gt;")-4),""))</f>
        <v/>
      </c>
      <c r="U347" s="60">
        <f>IF(C347="","",IFERROR(INDEX('Saisie'!$T$5:$T$2004,_xlfn.MAXIFS('Saisie'!$AS$5:$AS$2004,'Saisie'!$C$5:$C$2004,C347,'Saisie'!$T$5:$T$2004,"&lt;&gt;")-4),""))</f>
        <v/>
      </c>
      <c r="V347" s="60">
        <f>IF(C347="","",IFERROR(INDEX('Saisie'!$V$5:$V$2004,_xlfn.MAXIFS('Saisie'!$AS$5:$AS$2004,'Saisie'!$C$5:$C$2004,C347,'Saisie'!$V$5:$V$2004,"&lt;&gt;")-4),""))</f>
        <v/>
      </c>
      <c r="W347" s="60">
        <f>IF(C347="","",IFERROR(INDEX('Saisie'!$Z$5:$Z$2004,_xlfn.MAXIFS('Saisie'!$AS$5:$AS$2004,'Saisie'!$C$5:$C$2004,C347,'Saisie'!$Z$5:$Z$2004,"&lt;&gt;")-4),""))</f>
        <v/>
      </c>
      <c r="X347" s="60">
        <f>IF(C347="","",IFERROR(INDEX('Saisie'!$AA$5:$AA$2004,_xlfn.MAXIFS('Saisie'!$AS$5:$AS$2004,'Saisie'!$C$5:$C$2004,C347,'Saisie'!$AA$5:$AA$2004,"&lt;&gt;")-4),""))</f>
        <v/>
      </c>
      <c r="Y347" s="60">
        <f>IF(C347="","",IFERROR(INDEX('Saisie'!$AB$5:$AB$2004,_xlfn.MAXIFS('Saisie'!$AS$5:$AS$2004,'Saisie'!$C$5:$C$2004,C347,'Saisie'!$AB$5:$AB$2004,"&lt;&gt;")-4),""))</f>
        <v/>
      </c>
      <c r="Z347" s="60">
        <f>IF(C347="","",IFERROR(INDEX('Saisie'!$AC$5:$AC$2004,_xlfn.MAXIFS('Saisie'!$AS$5:$AS$2004,'Saisie'!$C$5:$C$2004,C347,'Saisie'!$AC$5:$AC$2004,"&lt;&gt;")-4),""))</f>
        <v/>
      </c>
      <c r="AA347" s="106">
        <f>IF(C347="","",IFERROR(INDEX('Saisie'!$AD$5:$AD$2004,_xlfn.MAXIFS('Saisie'!$AS$5:$AS$2004,'Saisie'!$C$5:$C$2004,C347,'Saisie'!$AD$5:$AD$2004,"&lt;&gt;")-4),""))</f>
        <v/>
      </c>
      <c r="AB347" s="60">
        <f>IF(C347="","",IFERROR(INDEX('Saisie'!$AE$5:$AE$2004,_xlfn.MAXIFS('Saisie'!$AS$5:$AS$2004,'Saisie'!$C$5:$C$2004,C347,'Saisie'!$AE$5:$AE$2004,"&lt;&gt;")-4),""))</f>
        <v/>
      </c>
      <c r="AC347" s="60">
        <f>IF(C347="","",IFERROR(INDEX('Saisie'!$AF$5:$AF$2004,_xlfn.MAXIFS('Saisie'!$AS$5:$AS$2004,'Saisie'!$C$5:$C$2004,C347,'Saisie'!$AF$5:$AF$2004,"&lt;&gt;")-4),""))</f>
        <v/>
      </c>
      <c r="AD347" s="108">
        <f>IF(C347="","",IFERROR(INDEX('Saisie'!$AG$5:$AG$2004,_xlfn.MAXIFS('Saisie'!$AS$5:$AS$2004,'Saisie'!$C$5:$C$2004,C347,'Saisie'!$AG$5:$AG$2004,"&lt;&gt;")-4),""))</f>
        <v/>
      </c>
      <c r="AE347" s="60">
        <f>IF(C347="","",IFERROR(INDEX('Saisie'!$AH$5:$AH$2004,_xlfn.MAXIFS('Saisie'!$AS$5:$AS$2004,'Saisie'!$C$5:$C$2004,C347,'Saisie'!$AH$5:$AH$2004,"&lt;&gt;")-4),""))</f>
        <v/>
      </c>
      <c r="AF347" s="60">
        <f>IF(C347="","",IFERROR(INDEX('Saisie'!$AI$5:$AI$2004,_xlfn.MAXIFS('Saisie'!$AS$5:$AS$2004,'Saisie'!$C$5:$C$2004,C347,'Saisie'!$AI$5:$AI$2004,"&lt;&gt;")-4),""))</f>
        <v/>
      </c>
      <c r="AG347" s="60">
        <f>IF(C347="","",IFERROR(INDEX('Saisie'!$AJ$5:$AJ$2004,_xlfn.MAXIFS('Saisie'!$AS$5:$AS$2004,'Saisie'!$C$5:$C$2004,C347,'Saisie'!$AJ$5:$AJ$2004,"&lt;&gt;")-4),""))</f>
        <v/>
      </c>
      <c r="AH347" s="60">
        <f>IF(C347="","",IFERROR(INDEX('Saisie'!$AK$5:$AK$2004,_xlfn.MAXIFS('Saisie'!$AS$5:$AS$2004,'Saisie'!$C$5:$C$2004,C347,'Saisie'!$AK$5:$AK$2004,"&lt;&gt;")-4),""))</f>
        <v/>
      </c>
      <c r="AI347" s="60">
        <f>IF(C347="","",IFERROR(INDEX('Saisie'!$AN$5:$AN$2004,_xlfn.MAXIFS('Saisie'!$AS$5:$AS$2004,'Saisie'!$C$5:$C$2004,C347,'Saisie'!$AN$5:$AN$2004,"&lt;&gt;")-4),""))</f>
        <v/>
      </c>
      <c r="AJ347" s="60">
        <f>IF(C347="","",IFERROR(INDEX('Saisie'!$AO$5:$AO$2004,_xlfn.MAXIFS('Saisie'!$AS$5:$AS$2004,'Saisie'!$C$5:$C$2004,C347,'Saisie'!$AO$5:$AO$2004,"&lt;&gt;")-4),""))</f>
        <v/>
      </c>
      <c r="AK347" s="60">
        <f>IF(C347="","",IFERROR(INDEX('Saisie'!$AP$5:$AP$2004,_xlfn.MAXIFS('Saisie'!$AS$5:$AS$2004,'Saisie'!$C$5:$C$2004,C347,'Saisie'!$AP$5:$AP$2004,"&lt;&gt;")-4),""))</f>
        <v/>
      </c>
      <c r="AL347" s="60">
        <f>IF(C347="","",IFERROR(INDEX('Saisie'!$AQ$5:$AQ$2004,_xlfn.MAXIFS('Saisie'!$AS$5:$AS$2004,'Saisie'!$C$5:$C$2004,C347,'Saisie'!$AQ$5:$AQ$2004,"&lt;&gt;")-4),""))</f>
        <v/>
      </c>
      <c r="AM347" s="60">
        <f>IF(C347="","",((AI347="Oui")+(AJ347="Oui")+(AK347="Oui")+OR(AL347="Immédiat",AL347="&lt; 1 mois"))&amp;"/4")</f>
        <v/>
      </c>
      <c r="AN347" s="60">
        <f>IF(C347="","",IFERROR(INDEX('Saisie'!$AL$5:$AL$2004,_xlfn.MAXIFS('Saisie'!$AS$5:$AS$2004,'Saisie'!$C$5:$C$2004,C347,'Saisie'!$AL$5:$AL$2004,"&lt;&gt;")-4),""))</f>
        <v/>
      </c>
      <c r="AO347" s="62">
        <f>IF(C347="","",IF(IFERROR(INDEX('Saisie'!$AM$5:$AM$2004,_xlfn.MAXIFS('Saisie'!$AS$5:$AS$2004,'Saisie'!$C$5:$C$2004,C347,'Saisie'!$AM$5:$AM$2004,"&lt;&gt;")-4),"")&lt;&gt;"",IFERROR(INDEX('Saisie'!$AM$5:$AM$2004,_xlfn.MAXIFS('Saisie'!$AS$5:$AS$2004,'Saisie'!$C$5:$C$2004,C347,'Saisie'!$AM$5:$AM$2004,"&lt;&gt;")-4),""),IFERROR(INDEX('Paramètres'!$S$6:$S$15,MATCH(AN347,'Paramètres'!$Q$6:$Q$15,0)),"")))</f>
        <v/>
      </c>
      <c r="AP347" s="62">
        <f>IF(C347="","",IFERROR(INDEX('Saisie'!$AW$5:$AW$2004,_xlfn.MAXIFS('Saisie'!$AS$5:$AS$2004,'Saisie'!$C$5:$C$2004,C347,'Saisie'!$E$5:$E$2004,"Proposition envoyée")-4),""))</f>
        <v/>
      </c>
      <c r="AQ347" s="106">
        <f>IF(C347="","",IFERROR(1/(1/_xlfn.MAXIFS('Saisie'!$A$5:$A$2004,'Saisie'!$C$5:$C$2004,C347,'Saisie'!$E$5:$E$2004,"Proposition envoyée")),""))</f>
        <v/>
      </c>
      <c r="AR347" s="106">
        <f>IF(C347="","",IF(AQ347="","",AQ347+'Paramètres'!$B$26))</f>
        <v/>
      </c>
      <c r="AS347" s="62">
        <f>IF(OR(C347="",D347="Gagné",D347="Perdu"),0,N(AP347)*IFERROR(INDEX('Paramètres'!$G$6:$G$13,MATCH(D347,'Paramètres'!$F$6:$F$13,0)),0))</f>
        <v/>
      </c>
      <c r="AT347" s="106">
        <f>IF(C347="","",IFERROR(1/(1/_xlfn.MINIFS('Saisie'!$A$5:$A$2004,'Saisie'!$C$5:$C$2004,C347,'Saisie'!$E$5:$E$2004,"Signature")),""))</f>
        <v/>
      </c>
      <c r="AU347" s="60">
        <f>IF(C347="","",IF(OR(AT347="",B347=""),"",AT347-B347))</f>
        <v/>
      </c>
      <c r="AV347" s="60">
        <f>IF(C347="","",IFERROR(INDEX('Saisie'!$L$5:$L$2004,_xlfn.MAXIFS('Saisie'!$AS$5:$AS$2004,'Saisie'!$C$5:$C$2004,C347,'Saisie'!$L$5:$L$2004,"&lt;&gt;")-4),""))</f>
        <v/>
      </c>
      <c r="AW347" s="106">
        <f>IF(C347="","",IF(D347&lt;&gt;"Perdu","",IFERROR(1/(1/_xlfn.MAXIFS('Saisie'!$A$5:$A$2004,'Saisie'!$C$5:$C$2004,C347,'Saisie'!$E$5:$E$2004,"Perdu")),"")))</f>
        <v/>
      </c>
      <c r="AX347" s="106">
        <f>IF(C347="","",IF(AW347="","",AW347+'Paramètres'!$B$28))</f>
        <v/>
      </c>
      <c r="AY347" s="60">
        <f>IF(C347="","",SUMIFS('Saisie'!$H$5:$H$2004,'Saisie'!$C$5:$C$2004,C347))</f>
        <v/>
      </c>
      <c r="AZ347" s="60">
        <f>IF(C347="","",IFERROR(INDEX('Paramètres'!$W$6:$W$20,MATCH(S347,'Paramètres'!$V$6:$V$20,0))&amp;"",""))</f>
        <v/>
      </c>
      <c r="BA347" s="60">
        <f>IF(C347="","",MAX(1,_xlfn.MAXIFS('Saisie'!$AT$5:$AT$2004,'Saisie'!$C$5:$C$2004,C347)))</f>
        <v/>
      </c>
      <c r="BB347" s="60">
        <f>IF(C347="","",IFERROR(INDEX('Saisie'!$X$5:$X$2004,_xlfn.MAXIFS('Saisie'!$AS$5:$AS$2004,'Saisie'!$C$5:$C$2004,C347,'Saisie'!$X$5:$X$2004,"&lt;&gt;")-4),""))</f>
        <v/>
      </c>
      <c r="BC347" s="60">
        <f>IF(C347="","",IFERROR(INDEX('Saisie'!$Y$5:$Y$2004,_xlfn.MAXIFS('Saisie'!$AS$5:$AS$2004,'Saisie'!$C$5:$C$2004,C347,'Saisie'!$Y$5:$Y$2004,"&lt;&gt;")-4),""))</f>
        <v/>
      </c>
      <c r="BD347" s="106">
        <f>IF(C347="","",IFERROR(1/(1/_xlfn.MINIFS('Saisie'!$A$5:$A$2004,'Saisie'!$C$5:$C$2004,C347,'Saisie'!$AT$5:$AT$2004,"&gt;=2")),""))</f>
        <v/>
      </c>
      <c r="BE347" s="106">
        <f>IF(C347="","",IFERROR(1/(1/_xlfn.MINIFS('Saisie'!$A$5:$A$2004,'Saisie'!$C$5:$C$2004,C347,'Saisie'!$AT$5:$AT$2004,"&gt;=3")),""))</f>
        <v/>
      </c>
      <c r="BF347" s="106">
        <f>IF(C347="","",IFERROR(1/(1/_xlfn.MINIFS('Saisie'!$A$5:$A$2004,'Saisie'!$C$5:$C$2004,C347,'Saisie'!$AT$5:$AT$2004,"&gt;=4")),""))</f>
        <v/>
      </c>
      <c r="BG347" s="106">
        <f>IF(C347="","",IFERROR(1/(1/_xlfn.MINIFS('Saisie'!$A$5:$A$2004,'Saisie'!$C$5:$C$2004,C347,'Saisie'!$AT$5:$AT$2004,"&gt;=5")),""))</f>
        <v/>
      </c>
      <c r="BH347" s="106">
        <f>IF(C347="","",IFERROR(1/(1/_xlfn.MINIFS('Saisie'!$A$5:$A$2004,'Saisie'!$C$5:$C$2004,C347,'Saisie'!$AT$5:$AT$2004,"&gt;=6")),""))</f>
        <v/>
      </c>
      <c r="BI347" s="106">
        <f>IF(C347="","",IFERROR(1/(1/_xlfn.MINIFS('Saisie'!$A$5:$A$2004,'Saisie'!$C$5:$C$2004,C347,'Saisie'!$AT$5:$AT$2004,"&gt;=7")),""))</f>
        <v/>
      </c>
      <c r="BJ347" s="60">
        <f>IF(OR(BD347="",B347=""),"",BD347-B347)</f>
        <v/>
      </c>
      <c r="BK347" s="60">
        <f>IF(OR(BE347="",BD347=""),"",BE347-BD347)</f>
        <v/>
      </c>
      <c r="BL347" s="60">
        <f>IF(OR(BF347="",BE347=""),"",BF347-BE347)</f>
        <v/>
      </c>
      <c r="BM347" s="60">
        <f>IF(OR(BG347="",BF347=""),"",BG347-BF347)</f>
        <v/>
      </c>
      <c r="BN347" s="60">
        <f>IF(OR(BH347="",BG347=""),"",BH347-BG347)</f>
        <v/>
      </c>
      <c r="BO347" s="60">
        <f>IF(OR(BI347="",BH347=""),"",BI347-BH347)</f>
        <v/>
      </c>
      <c r="BP347" s="60">
        <f>IF(C347="","",_xlfn.MAXIFS('Saisie'!$AS$5:$AS$2004,'Saisie'!$C$5:$C$2004,C347,'Saisie'!$J$5:$J$2004,"&lt;&gt;"))</f>
        <v/>
      </c>
      <c r="BQ347" s="60">
        <f>IF(C347="","",_xlfn.MAXIFS('Saisie'!$AS$5:$AS$2004,'Saisie'!$C$5:$C$2004,C347))</f>
        <v/>
      </c>
      <c r="BR347" s="60">
        <f>IF(C347="","",_xlfn.MAXIFS('Saisie'!$AS$5:$AS$2004,'Saisie'!$C$5:$C$2004,C347,'Saisie'!$E$5:$E$2004,"Perdu"))</f>
        <v/>
      </c>
      <c r="BS347" s="60">
        <f>IF(C347="","",_xlfn.MAXIFS('Saisie'!$AS$5:$AS$2004,'Saisie'!$C$5:$C$2004,C347,'Saisie'!$AT$5:$AT$2004,"&gt;0"))</f>
        <v/>
      </c>
      <c r="BT347" s="109">
        <f>IF(AND(C347&lt;&gt;"",OR(D347="Nouveau",D347="Contacté",D347="Qualifié"),OR(G347="",N(G347)&lt;=TODAY()),NOT(AND(O347&gt;='Paramètres'!$B$21,P347=0))),E347+343/10000,"")</f>
        <v/>
      </c>
      <c r="BU347" s="60">
        <f>IF(AND(G347&lt;&gt;"",N(G347)&lt;=TODAY()),MAX($BU$4:BU346)+1,"")</f>
        <v/>
      </c>
      <c r="BV347" s="60">
        <f>IF(AND(F347&lt;&gt;"",F347&lt;&gt;"Relance en retard"),MAX($BV$4:BV346)+1,"")</f>
        <v/>
      </c>
      <c r="BW347" s="60">
        <f>IF(C347="","",IF(AND(B347&gt;='Tableau de bord'!$R$4,B347&lt;='Tableau de bord'!$S$4,OR('Tableau de bord'!$G$4="Tous",N347='Tableau de bord'!$G$4)),1,0))</f>
        <v/>
      </c>
      <c r="BX347" s="60">
        <f>IF(AND(C347&lt;&gt;"",N(BA347)=7),MAX($BX$4:BX346)+1,"")</f>
        <v/>
      </c>
    </row>
    <row r="348">
      <c r="A348" s="60">
        <f>IF(C348="","","P-"&amp;TEXT(344,"000"))</f>
        <v/>
      </c>
      <c r="B348" s="106">
        <f>IF(C348="","",IFERROR(1/(1/_xlfn.MINIFS('Saisie'!$A$5:$A$2004,'Saisie'!$C$5:$C$2004,C348)),""))</f>
        <v/>
      </c>
      <c r="C348" s="60">
        <f>IFERROR(INDEX('Saisie'!$C$5:$C$2004,MATCH(344,'Saisie'!$AX$5:$AX$2004,0)),"")</f>
        <v/>
      </c>
      <c r="D348" s="60">
        <f>IF(C348="","",IF(AND(BR348&gt;0,BR348&gt;BS348,BA348&lt;7),"Perdu",INDEX('Paramètres'!$F$6:$F$13,BA348)))</f>
        <v/>
      </c>
      <c r="E348" s="61">
        <f>IF(C348="","",MIN(100,(Z348="Oui")*'Paramètres'!$B$38+(AB348="Régulière")*'Paramètres'!$B$39+IF(AND(N(AA348)&gt;0,TODAY()-N(AA348)&lt;=30),'Paramètres'!$B$40,0)+(W348="")*'Paramètres'!$B$41+(AC348="Absente")*'Paramètres'!$B$42+(AC348="Faible")*'Paramètres'!$B$43+IF(AND(N(AD348)&gt;0,N(AD348)&lt;4),'Paramètres'!$B$44,0)+(AF348="Moyenne")*'Paramètres'!$B$45+(AF348="Grande")*'Paramètres'!$B$46+(Y348&lt;&gt;"")*'Paramètres'!$B$47))</f>
        <v/>
      </c>
      <c r="F348" s="60">
        <f>IF(C348="","",IF(D348="Gagné","",IF(D348="Perdu",IF(AND(AX348&lt;&gt;"",AX348&lt;=TODAY()),"À recontacter (perdu)",""),IF(AND(O348&gt;='Paramètres'!$B$21,P348=0),"Stop : "&amp;'Paramètres'!$B$21&amp;" tentatives sans réponse",IF(AND(D348="Proposition",AR348&lt;&gt;"",TODAY()&gt;N(AR348)),"Proposition expirée",IF(AND(D348="Proposition",N(R348)&gt;='Paramètres'!$B$25),"Proposition sans réponse",IF(AND(G348&lt;&gt;"",N(G348)&lt;TODAY()),"Relance en retard",IF(N(R348)&gt;='Paramètres'!$B$24,"Sans action depuis "&amp;R348&amp;" j",""))))))))</f>
        <v/>
      </c>
      <c r="G348" s="106">
        <f>IF(OR(C348="",D348="Gagné",D348="Perdu"),"",IF(AND(BP348&gt;0,BP348=BQ348),INDEX('Saisie'!$J$5:$J$2004,BP348-4),IF(OR(O348=0,AND(O348&gt;='Paramètres'!$B$21,P348=0)),"",Q348+IF(O348&lt;=1,'Paramètres'!$B$18,IF(O348=2,'Paramètres'!$B$19,'Paramètres'!$B$20)))))</f>
        <v/>
      </c>
      <c r="H348" s="107">
        <f>IF(OR(G348="",BP348&lt;&gt;BQ348),"",IF(INDEX('Saisie'!$K$5:$K$2004,BP348-4)="","",INDEX('Saisie'!$K$5:$K$2004,BP348-4)))</f>
        <v/>
      </c>
      <c r="I348" s="60">
        <f>IF(C348="","",IF(OR(D348="Gagné",D348="Perdu"),"",IFERROR(INDEX('Saisie'!$I$5:$I$2004,_xlfn.MAXIFS('Saisie'!$AS$5:$AS$2004,'Saisie'!$C$5:$C$2004,C348,'Saisie'!$I$5:$I$2004,"&lt;&gt;")-4),"")))</f>
        <v/>
      </c>
      <c r="J348" s="60">
        <f>IF(C348="","",IFERROR(INDEX('Saisie'!$U$5:$U$2004,_xlfn.MAXIFS('Saisie'!$AS$5:$AS$2004,'Saisie'!$C$5:$C$2004,C348,'Saisie'!$U$5:$U$2004,"&lt;&gt;")-4),""))</f>
        <v/>
      </c>
      <c r="K348" s="60">
        <f>IF(C348="","",IFERROR(INDEX('Saisie'!$W$5:$W$2004,_xlfn.MAXIFS('Saisie'!$AS$5:$AS$2004,'Saisie'!$C$5:$C$2004,C348,'Saisie'!$W$5:$W$2004,"&lt;&gt;")-4),""))</f>
        <v/>
      </c>
      <c r="L348" s="60">
        <f>IF(IF(BB348&lt;&gt;"",BB348,K348)="","",HYPERLINK("https://wa.me/"&amp;IF(LEFT(SUBSTITUTE(SUBSTITUTE(SUBSTITUTE(IF(BB348&lt;&gt;"",BB348,K348)," ",""),".",""),"+",""),1)="0",'Paramètres'!$B$35&amp;MID(SUBSTITUTE(SUBSTITUTE(SUBSTITUTE(IF(BB348&lt;&gt;"",BB348,K348)," ",""),".",""),"+",""),2,20),SUBSTITUTE(SUBSTITUTE(SUBSTITUTE(IF(BB348&lt;&gt;"",BB348,K348)," ",""),".",""),"+","")),"WhatsApp"))</f>
        <v/>
      </c>
      <c r="M348" s="60">
        <f>IF(BC348="","",HYPERLINK(IF(LEFT(BC348,4)="http",BC348,"https://www.instagram.com/"&amp;SUBSTITUTE(SUBSTITUTE(BC348,"@","")," ","")),BC348))</f>
        <v/>
      </c>
      <c r="N348" s="60">
        <f>IF(C348="","",IFERROR(INDEX('Saisie'!$D$5:$D$2004,_xlfn.MINIFS('Saisie'!$AS$5:$AS$2004,'Saisie'!$C$5:$C$2004,C348,'Saisie'!$AU$5:$AU$2004,1)-4),IFERROR(INDEX('Saisie'!$D$5:$D$2004,_xlfn.MINIFS('Saisie'!$AS$5:$AS$2004,'Saisie'!$C$5:$C$2004,C348,'Saisie'!$D$5:$D$2004,"&lt;&gt;")-4),"")))</f>
        <v/>
      </c>
      <c r="O348" s="60">
        <f>IF(C348="","",COUNTIFS('Saisie'!$C$5:$C$2004,C348,'Saisie'!$AU$5:$AU$2004,1))</f>
        <v/>
      </c>
      <c r="P348" s="60">
        <f>IF(C348="","",COUNTIFS('Saisie'!$C$5:$C$2004,C348,'Saisie'!$AV$5:$AV$2004,1))</f>
        <v/>
      </c>
      <c r="Q348" s="106">
        <f>IF(C348="","",IFERROR(1/(1/_xlfn.MAXIFS('Saisie'!$A$5:$A$2004,'Saisie'!$C$5:$C$2004,C348)),""))</f>
        <v/>
      </c>
      <c r="R348" s="61">
        <f>IF(C348="","",IF(Q348="","",TODAY()-Q348))</f>
        <v/>
      </c>
      <c r="S348" s="60">
        <f>IF(C348="","",IFERROR(INDEX('Saisie'!$R$5:$R$2004,_xlfn.MAXIFS('Saisie'!$AS$5:$AS$2004,'Saisie'!$C$5:$C$2004,C348,'Saisie'!$R$5:$R$2004,"&lt;&gt;")-4),""))</f>
        <v/>
      </c>
      <c r="T348" s="60">
        <f>IF(C348="","",IFERROR(INDEX('Saisie'!$S$5:$S$2004,_xlfn.MAXIFS('Saisie'!$AS$5:$AS$2004,'Saisie'!$C$5:$C$2004,C348,'Saisie'!$S$5:$S$2004,"&lt;&gt;")-4),""))</f>
        <v/>
      </c>
      <c r="U348" s="60">
        <f>IF(C348="","",IFERROR(INDEX('Saisie'!$T$5:$T$2004,_xlfn.MAXIFS('Saisie'!$AS$5:$AS$2004,'Saisie'!$C$5:$C$2004,C348,'Saisie'!$T$5:$T$2004,"&lt;&gt;")-4),""))</f>
        <v/>
      </c>
      <c r="V348" s="60">
        <f>IF(C348="","",IFERROR(INDEX('Saisie'!$V$5:$V$2004,_xlfn.MAXIFS('Saisie'!$AS$5:$AS$2004,'Saisie'!$C$5:$C$2004,C348,'Saisie'!$V$5:$V$2004,"&lt;&gt;")-4),""))</f>
        <v/>
      </c>
      <c r="W348" s="60">
        <f>IF(C348="","",IFERROR(INDEX('Saisie'!$Z$5:$Z$2004,_xlfn.MAXIFS('Saisie'!$AS$5:$AS$2004,'Saisie'!$C$5:$C$2004,C348,'Saisie'!$Z$5:$Z$2004,"&lt;&gt;")-4),""))</f>
        <v/>
      </c>
      <c r="X348" s="60">
        <f>IF(C348="","",IFERROR(INDEX('Saisie'!$AA$5:$AA$2004,_xlfn.MAXIFS('Saisie'!$AS$5:$AS$2004,'Saisie'!$C$5:$C$2004,C348,'Saisie'!$AA$5:$AA$2004,"&lt;&gt;")-4),""))</f>
        <v/>
      </c>
      <c r="Y348" s="60">
        <f>IF(C348="","",IFERROR(INDEX('Saisie'!$AB$5:$AB$2004,_xlfn.MAXIFS('Saisie'!$AS$5:$AS$2004,'Saisie'!$C$5:$C$2004,C348,'Saisie'!$AB$5:$AB$2004,"&lt;&gt;")-4),""))</f>
        <v/>
      </c>
      <c r="Z348" s="60">
        <f>IF(C348="","",IFERROR(INDEX('Saisie'!$AC$5:$AC$2004,_xlfn.MAXIFS('Saisie'!$AS$5:$AS$2004,'Saisie'!$C$5:$C$2004,C348,'Saisie'!$AC$5:$AC$2004,"&lt;&gt;")-4),""))</f>
        <v/>
      </c>
      <c r="AA348" s="106">
        <f>IF(C348="","",IFERROR(INDEX('Saisie'!$AD$5:$AD$2004,_xlfn.MAXIFS('Saisie'!$AS$5:$AS$2004,'Saisie'!$C$5:$C$2004,C348,'Saisie'!$AD$5:$AD$2004,"&lt;&gt;")-4),""))</f>
        <v/>
      </c>
      <c r="AB348" s="60">
        <f>IF(C348="","",IFERROR(INDEX('Saisie'!$AE$5:$AE$2004,_xlfn.MAXIFS('Saisie'!$AS$5:$AS$2004,'Saisie'!$C$5:$C$2004,C348,'Saisie'!$AE$5:$AE$2004,"&lt;&gt;")-4),""))</f>
        <v/>
      </c>
      <c r="AC348" s="60">
        <f>IF(C348="","",IFERROR(INDEX('Saisie'!$AF$5:$AF$2004,_xlfn.MAXIFS('Saisie'!$AS$5:$AS$2004,'Saisie'!$C$5:$C$2004,C348,'Saisie'!$AF$5:$AF$2004,"&lt;&gt;")-4),""))</f>
        <v/>
      </c>
      <c r="AD348" s="108">
        <f>IF(C348="","",IFERROR(INDEX('Saisie'!$AG$5:$AG$2004,_xlfn.MAXIFS('Saisie'!$AS$5:$AS$2004,'Saisie'!$C$5:$C$2004,C348,'Saisie'!$AG$5:$AG$2004,"&lt;&gt;")-4),""))</f>
        <v/>
      </c>
      <c r="AE348" s="60">
        <f>IF(C348="","",IFERROR(INDEX('Saisie'!$AH$5:$AH$2004,_xlfn.MAXIFS('Saisie'!$AS$5:$AS$2004,'Saisie'!$C$5:$C$2004,C348,'Saisie'!$AH$5:$AH$2004,"&lt;&gt;")-4),""))</f>
        <v/>
      </c>
      <c r="AF348" s="60">
        <f>IF(C348="","",IFERROR(INDEX('Saisie'!$AI$5:$AI$2004,_xlfn.MAXIFS('Saisie'!$AS$5:$AS$2004,'Saisie'!$C$5:$C$2004,C348,'Saisie'!$AI$5:$AI$2004,"&lt;&gt;")-4),""))</f>
        <v/>
      </c>
      <c r="AG348" s="60">
        <f>IF(C348="","",IFERROR(INDEX('Saisie'!$AJ$5:$AJ$2004,_xlfn.MAXIFS('Saisie'!$AS$5:$AS$2004,'Saisie'!$C$5:$C$2004,C348,'Saisie'!$AJ$5:$AJ$2004,"&lt;&gt;")-4),""))</f>
        <v/>
      </c>
      <c r="AH348" s="60">
        <f>IF(C348="","",IFERROR(INDEX('Saisie'!$AK$5:$AK$2004,_xlfn.MAXIFS('Saisie'!$AS$5:$AS$2004,'Saisie'!$C$5:$C$2004,C348,'Saisie'!$AK$5:$AK$2004,"&lt;&gt;")-4),""))</f>
        <v/>
      </c>
      <c r="AI348" s="60">
        <f>IF(C348="","",IFERROR(INDEX('Saisie'!$AN$5:$AN$2004,_xlfn.MAXIFS('Saisie'!$AS$5:$AS$2004,'Saisie'!$C$5:$C$2004,C348,'Saisie'!$AN$5:$AN$2004,"&lt;&gt;")-4),""))</f>
        <v/>
      </c>
      <c r="AJ348" s="60">
        <f>IF(C348="","",IFERROR(INDEX('Saisie'!$AO$5:$AO$2004,_xlfn.MAXIFS('Saisie'!$AS$5:$AS$2004,'Saisie'!$C$5:$C$2004,C348,'Saisie'!$AO$5:$AO$2004,"&lt;&gt;")-4),""))</f>
        <v/>
      </c>
      <c r="AK348" s="60">
        <f>IF(C348="","",IFERROR(INDEX('Saisie'!$AP$5:$AP$2004,_xlfn.MAXIFS('Saisie'!$AS$5:$AS$2004,'Saisie'!$C$5:$C$2004,C348,'Saisie'!$AP$5:$AP$2004,"&lt;&gt;")-4),""))</f>
        <v/>
      </c>
      <c r="AL348" s="60">
        <f>IF(C348="","",IFERROR(INDEX('Saisie'!$AQ$5:$AQ$2004,_xlfn.MAXIFS('Saisie'!$AS$5:$AS$2004,'Saisie'!$C$5:$C$2004,C348,'Saisie'!$AQ$5:$AQ$2004,"&lt;&gt;")-4),""))</f>
        <v/>
      </c>
      <c r="AM348" s="60">
        <f>IF(C348="","",((AI348="Oui")+(AJ348="Oui")+(AK348="Oui")+OR(AL348="Immédiat",AL348="&lt; 1 mois"))&amp;"/4")</f>
        <v/>
      </c>
      <c r="AN348" s="60">
        <f>IF(C348="","",IFERROR(INDEX('Saisie'!$AL$5:$AL$2004,_xlfn.MAXIFS('Saisie'!$AS$5:$AS$2004,'Saisie'!$C$5:$C$2004,C348,'Saisie'!$AL$5:$AL$2004,"&lt;&gt;")-4),""))</f>
        <v/>
      </c>
      <c r="AO348" s="62">
        <f>IF(C348="","",IF(IFERROR(INDEX('Saisie'!$AM$5:$AM$2004,_xlfn.MAXIFS('Saisie'!$AS$5:$AS$2004,'Saisie'!$C$5:$C$2004,C348,'Saisie'!$AM$5:$AM$2004,"&lt;&gt;")-4),"")&lt;&gt;"",IFERROR(INDEX('Saisie'!$AM$5:$AM$2004,_xlfn.MAXIFS('Saisie'!$AS$5:$AS$2004,'Saisie'!$C$5:$C$2004,C348,'Saisie'!$AM$5:$AM$2004,"&lt;&gt;")-4),""),IFERROR(INDEX('Paramètres'!$S$6:$S$15,MATCH(AN348,'Paramètres'!$Q$6:$Q$15,0)),"")))</f>
        <v/>
      </c>
      <c r="AP348" s="62">
        <f>IF(C348="","",IFERROR(INDEX('Saisie'!$AW$5:$AW$2004,_xlfn.MAXIFS('Saisie'!$AS$5:$AS$2004,'Saisie'!$C$5:$C$2004,C348,'Saisie'!$E$5:$E$2004,"Proposition envoyée")-4),""))</f>
        <v/>
      </c>
      <c r="AQ348" s="106">
        <f>IF(C348="","",IFERROR(1/(1/_xlfn.MAXIFS('Saisie'!$A$5:$A$2004,'Saisie'!$C$5:$C$2004,C348,'Saisie'!$E$5:$E$2004,"Proposition envoyée")),""))</f>
        <v/>
      </c>
      <c r="AR348" s="106">
        <f>IF(C348="","",IF(AQ348="","",AQ348+'Paramètres'!$B$26))</f>
        <v/>
      </c>
      <c r="AS348" s="62">
        <f>IF(OR(C348="",D348="Gagné",D348="Perdu"),0,N(AP348)*IFERROR(INDEX('Paramètres'!$G$6:$G$13,MATCH(D348,'Paramètres'!$F$6:$F$13,0)),0))</f>
        <v/>
      </c>
      <c r="AT348" s="106">
        <f>IF(C348="","",IFERROR(1/(1/_xlfn.MINIFS('Saisie'!$A$5:$A$2004,'Saisie'!$C$5:$C$2004,C348,'Saisie'!$E$5:$E$2004,"Signature")),""))</f>
        <v/>
      </c>
      <c r="AU348" s="60">
        <f>IF(C348="","",IF(OR(AT348="",B348=""),"",AT348-B348))</f>
        <v/>
      </c>
      <c r="AV348" s="60">
        <f>IF(C348="","",IFERROR(INDEX('Saisie'!$L$5:$L$2004,_xlfn.MAXIFS('Saisie'!$AS$5:$AS$2004,'Saisie'!$C$5:$C$2004,C348,'Saisie'!$L$5:$L$2004,"&lt;&gt;")-4),""))</f>
        <v/>
      </c>
      <c r="AW348" s="106">
        <f>IF(C348="","",IF(D348&lt;&gt;"Perdu","",IFERROR(1/(1/_xlfn.MAXIFS('Saisie'!$A$5:$A$2004,'Saisie'!$C$5:$C$2004,C348,'Saisie'!$E$5:$E$2004,"Perdu")),"")))</f>
        <v/>
      </c>
      <c r="AX348" s="106">
        <f>IF(C348="","",IF(AW348="","",AW348+'Paramètres'!$B$28))</f>
        <v/>
      </c>
      <c r="AY348" s="60">
        <f>IF(C348="","",SUMIFS('Saisie'!$H$5:$H$2004,'Saisie'!$C$5:$C$2004,C348))</f>
        <v/>
      </c>
      <c r="AZ348" s="60">
        <f>IF(C348="","",IFERROR(INDEX('Paramètres'!$W$6:$W$20,MATCH(S348,'Paramètres'!$V$6:$V$20,0))&amp;"",""))</f>
        <v/>
      </c>
      <c r="BA348" s="60">
        <f>IF(C348="","",MAX(1,_xlfn.MAXIFS('Saisie'!$AT$5:$AT$2004,'Saisie'!$C$5:$C$2004,C348)))</f>
        <v/>
      </c>
      <c r="BB348" s="60">
        <f>IF(C348="","",IFERROR(INDEX('Saisie'!$X$5:$X$2004,_xlfn.MAXIFS('Saisie'!$AS$5:$AS$2004,'Saisie'!$C$5:$C$2004,C348,'Saisie'!$X$5:$X$2004,"&lt;&gt;")-4),""))</f>
        <v/>
      </c>
      <c r="BC348" s="60">
        <f>IF(C348="","",IFERROR(INDEX('Saisie'!$Y$5:$Y$2004,_xlfn.MAXIFS('Saisie'!$AS$5:$AS$2004,'Saisie'!$C$5:$C$2004,C348,'Saisie'!$Y$5:$Y$2004,"&lt;&gt;")-4),""))</f>
        <v/>
      </c>
      <c r="BD348" s="106">
        <f>IF(C348="","",IFERROR(1/(1/_xlfn.MINIFS('Saisie'!$A$5:$A$2004,'Saisie'!$C$5:$C$2004,C348,'Saisie'!$AT$5:$AT$2004,"&gt;=2")),""))</f>
        <v/>
      </c>
      <c r="BE348" s="106">
        <f>IF(C348="","",IFERROR(1/(1/_xlfn.MINIFS('Saisie'!$A$5:$A$2004,'Saisie'!$C$5:$C$2004,C348,'Saisie'!$AT$5:$AT$2004,"&gt;=3")),""))</f>
        <v/>
      </c>
      <c r="BF348" s="106">
        <f>IF(C348="","",IFERROR(1/(1/_xlfn.MINIFS('Saisie'!$A$5:$A$2004,'Saisie'!$C$5:$C$2004,C348,'Saisie'!$AT$5:$AT$2004,"&gt;=4")),""))</f>
        <v/>
      </c>
      <c r="BG348" s="106">
        <f>IF(C348="","",IFERROR(1/(1/_xlfn.MINIFS('Saisie'!$A$5:$A$2004,'Saisie'!$C$5:$C$2004,C348,'Saisie'!$AT$5:$AT$2004,"&gt;=5")),""))</f>
        <v/>
      </c>
      <c r="BH348" s="106">
        <f>IF(C348="","",IFERROR(1/(1/_xlfn.MINIFS('Saisie'!$A$5:$A$2004,'Saisie'!$C$5:$C$2004,C348,'Saisie'!$AT$5:$AT$2004,"&gt;=6")),""))</f>
        <v/>
      </c>
      <c r="BI348" s="106">
        <f>IF(C348="","",IFERROR(1/(1/_xlfn.MINIFS('Saisie'!$A$5:$A$2004,'Saisie'!$C$5:$C$2004,C348,'Saisie'!$AT$5:$AT$2004,"&gt;=7")),""))</f>
        <v/>
      </c>
      <c r="BJ348" s="60">
        <f>IF(OR(BD348="",B348=""),"",BD348-B348)</f>
        <v/>
      </c>
      <c r="BK348" s="60">
        <f>IF(OR(BE348="",BD348=""),"",BE348-BD348)</f>
        <v/>
      </c>
      <c r="BL348" s="60">
        <f>IF(OR(BF348="",BE348=""),"",BF348-BE348)</f>
        <v/>
      </c>
      <c r="BM348" s="60">
        <f>IF(OR(BG348="",BF348=""),"",BG348-BF348)</f>
        <v/>
      </c>
      <c r="BN348" s="60">
        <f>IF(OR(BH348="",BG348=""),"",BH348-BG348)</f>
        <v/>
      </c>
      <c r="BO348" s="60">
        <f>IF(OR(BI348="",BH348=""),"",BI348-BH348)</f>
        <v/>
      </c>
      <c r="BP348" s="60">
        <f>IF(C348="","",_xlfn.MAXIFS('Saisie'!$AS$5:$AS$2004,'Saisie'!$C$5:$C$2004,C348,'Saisie'!$J$5:$J$2004,"&lt;&gt;"))</f>
        <v/>
      </c>
      <c r="BQ348" s="60">
        <f>IF(C348="","",_xlfn.MAXIFS('Saisie'!$AS$5:$AS$2004,'Saisie'!$C$5:$C$2004,C348))</f>
        <v/>
      </c>
      <c r="BR348" s="60">
        <f>IF(C348="","",_xlfn.MAXIFS('Saisie'!$AS$5:$AS$2004,'Saisie'!$C$5:$C$2004,C348,'Saisie'!$E$5:$E$2004,"Perdu"))</f>
        <v/>
      </c>
      <c r="BS348" s="60">
        <f>IF(C348="","",_xlfn.MAXIFS('Saisie'!$AS$5:$AS$2004,'Saisie'!$C$5:$C$2004,C348,'Saisie'!$AT$5:$AT$2004,"&gt;0"))</f>
        <v/>
      </c>
      <c r="BT348" s="109">
        <f>IF(AND(C348&lt;&gt;"",OR(D348="Nouveau",D348="Contacté",D348="Qualifié"),OR(G348="",N(G348)&lt;=TODAY()),NOT(AND(O348&gt;='Paramètres'!$B$21,P348=0))),E348+344/10000,"")</f>
        <v/>
      </c>
      <c r="BU348" s="60">
        <f>IF(AND(G348&lt;&gt;"",N(G348)&lt;=TODAY()),MAX($BU$4:BU347)+1,"")</f>
        <v/>
      </c>
      <c r="BV348" s="60">
        <f>IF(AND(F348&lt;&gt;"",F348&lt;&gt;"Relance en retard"),MAX($BV$4:BV347)+1,"")</f>
        <v/>
      </c>
      <c r="BW348" s="60">
        <f>IF(C348="","",IF(AND(B348&gt;='Tableau de bord'!$R$4,B348&lt;='Tableau de bord'!$S$4,OR('Tableau de bord'!$G$4="Tous",N348='Tableau de bord'!$G$4)),1,0))</f>
        <v/>
      </c>
      <c r="BX348" s="60">
        <f>IF(AND(C348&lt;&gt;"",N(BA348)=7),MAX($BX$4:BX347)+1,"")</f>
        <v/>
      </c>
    </row>
    <row r="349">
      <c r="A349" s="60">
        <f>IF(C349="","","P-"&amp;TEXT(345,"000"))</f>
        <v/>
      </c>
      <c r="B349" s="106">
        <f>IF(C349="","",IFERROR(1/(1/_xlfn.MINIFS('Saisie'!$A$5:$A$2004,'Saisie'!$C$5:$C$2004,C349)),""))</f>
        <v/>
      </c>
      <c r="C349" s="60">
        <f>IFERROR(INDEX('Saisie'!$C$5:$C$2004,MATCH(345,'Saisie'!$AX$5:$AX$2004,0)),"")</f>
        <v/>
      </c>
      <c r="D349" s="60">
        <f>IF(C349="","",IF(AND(BR349&gt;0,BR349&gt;BS349,BA349&lt;7),"Perdu",INDEX('Paramètres'!$F$6:$F$13,BA349)))</f>
        <v/>
      </c>
      <c r="E349" s="61">
        <f>IF(C349="","",MIN(100,(Z349="Oui")*'Paramètres'!$B$38+(AB349="Régulière")*'Paramètres'!$B$39+IF(AND(N(AA349)&gt;0,TODAY()-N(AA349)&lt;=30),'Paramètres'!$B$40,0)+(W349="")*'Paramètres'!$B$41+(AC349="Absente")*'Paramètres'!$B$42+(AC349="Faible")*'Paramètres'!$B$43+IF(AND(N(AD349)&gt;0,N(AD349)&lt;4),'Paramètres'!$B$44,0)+(AF349="Moyenne")*'Paramètres'!$B$45+(AF349="Grande")*'Paramètres'!$B$46+(Y349&lt;&gt;"")*'Paramètres'!$B$47))</f>
        <v/>
      </c>
      <c r="F349" s="60">
        <f>IF(C349="","",IF(D349="Gagné","",IF(D349="Perdu",IF(AND(AX349&lt;&gt;"",AX349&lt;=TODAY()),"À recontacter (perdu)",""),IF(AND(O349&gt;='Paramètres'!$B$21,P349=0),"Stop : "&amp;'Paramètres'!$B$21&amp;" tentatives sans réponse",IF(AND(D349="Proposition",AR349&lt;&gt;"",TODAY()&gt;N(AR349)),"Proposition expirée",IF(AND(D349="Proposition",N(R349)&gt;='Paramètres'!$B$25),"Proposition sans réponse",IF(AND(G349&lt;&gt;"",N(G349)&lt;TODAY()),"Relance en retard",IF(N(R349)&gt;='Paramètres'!$B$24,"Sans action depuis "&amp;R349&amp;" j",""))))))))</f>
        <v/>
      </c>
      <c r="G349" s="106">
        <f>IF(OR(C349="",D349="Gagné",D349="Perdu"),"",IF(AND(BP349&gt;0,BP349=BQ349),INDEX('Saisie'!$J$5:$J$2004,BP349-4),IF(OR(O349=0,AND(O349&gt;='Paramètres'!$B$21,P349=0)),"",Q349+IF(O349&lt;=1,'Paramètres'!$B$18,IF(O349=2,'Paramètres'!$B$19,'Paramètres'!$B$20)))))</f>
        <v/>
      </c>
      <c r="H349" s="107">
        <f>IF(OR(G349="",BP349&lt;&gt;BQ349),"",IF(INDEX('Saisie'!$K$5:$K$2004,BP349-4)="","",INDEX('Saisie'!$K$5:$K$2004,BP349-4)))</f>
        <v/>
      </c>
      <c r="I349" s="60">
        <f>IF(C349="","",IF(OR(D349="Gagné",D349="Perdu"),"",IFERROR(INDEX('Saisie'!$I$5:$I$2004,_xlfn.MAXIFS('Saisie'!$AS$5:$AS$2004,'Saisie'!$C$5:$C$2004,C349,'Saisie'!$I$5:$I$2004,"&lt;&gt;")-4),"")))</f>
        <v/>
      </c>
      <c r="J349" s="60">
        <f>IF(C349="","",IFERROR(INDEX('Saisie'!$U$5:$U$2004,_xlfn.MAXIFS('Saisie'!$AS$5:$AS$2004,'Saisie'!$C$5:$C$2004,C349,'Saisie'!$U$5:$U$2004,"&lt;&gt;")-4),""))</f>
        <v/>
      </c>
      <c r="K349" s="60">
        <f>IF(C349="","",IFERROR(INDEX('Saisie'!$W$5:$W$2004,_xlfn.MAXIFS('Saisie'!$AS$5:$AS$2004,'Saisie'!$C$5:$C$2004,C349,'Saisie'!$W$5:$W$2004,"&lt;&gt;")-4),""))</f>
        <v/>
      </c>
      <c r="L349" s="60">
        <f>IF(IF(BB349&lt;&gt;"",BB349,K349)="","",HYPERLINK("https://wa.me/"&amp;IF(LEFT(SUBSTITUTE(SUBSTITUTE(SUBSTITUTE(IF(BB349&lt;&gt;"",BB349,K349)," ",""),".",""),"+",""),1)="0",'Paramètres'!$B$35&amp;MID(SUBSTITUTE(SUBSTITUTE(SUBSTITUTE(IF(BB349&lt;&gt;"",BB349,K349)," ",""),".",""),"+",""),2,20),SUBSTITUTE(SUBSTITUTE(SUBSTITUTE(IF(BB349&lt;&gt;"",BB349,K349)," ",""),".",""),"+","")),"WhatsApp"))</f>
        <v/>
      </c>
      <c r="M349" s="60">
        <f>IF(BC349="","",HYPERLINK(IF(LEFT(BC349,4)="http",BC349,"https://www.instagram.com/"&amp;SUBSTITUTE(SUBSTITUTE(BC349,"@","")," ","")),BC349))</f>
        <v/>
      </c>
      <c r="N349" s="60">
        <f>IF(C349="","",IFERROR(INDEX('Saisie'!$D$5:$D$2004,_xlfn.MINIFS('Saisie'!$AS$5:$AS$2004,'Saisie'!$C$5:$C$2004,C349,'Saisie'!$AU$5:$AU$2004,1)-4),IFERROR(INDEX('Saisie'!$D$5:$D$2004,_xlfn.MINIFS('Saisie'!$AS$5:$AS$2004,'Saisie'!$C$5:$C$2004,C349,'Saisie'!$D$5:$D$2004,"&lt;&gt;")-4),"")))</f>
        <v/>
      </c>
      <c r="O349" s="60">
        <f>IF(C349="","",COUNTIFS('Saisie'!$C$5:$C$2004,C349,'Saisie'!$AU$5:$AU$2004,1))</f>
        <v/>
      </c>
      <c r="P349" s="60">
        <f>IF(C349="","",COUNTIFS('Saisie'!$C$5:$C$2004,C349,'Saisie'!$AV$5:$AV$2004,1))</f>
        <v/>
      </c>
      <c r="Q349" s="106">
        <f>IF(C349="","",IFERROR(1/(1/_xlfn.MAXIFS('Saisie'!$A$5:$A$2004,'Saisie'!$C$5:$C$2004,C349)),""))</f>
        <v/>
      </c>
      <c r="R349" s="61">
        <f>IF(C349="","",IF(Q349="","",TODAY()-Q349))</f>
        <v/>
      </c>
      <c r="S349" s="60">
        <f>IF(C349="","",IFERROR(INDEX('Saisie'!$R$5:$R$2004,_xlfn.MAXIFS('Saisie'!$AS$5:$AS$2004,'Saisie'!$C$5:$C$2004,C349,'Saisie'!$R$5:$R$2004,"&lt;&gt;")-4),""))</f>
        <v/>
      </c>
      <c r="T349" s="60">
        <f>IF(C349="","",IFERROR(INDEX('Saisie'!$S$5:$S$2004,_xlfn.MAXIFS('Saisie'!$AS$5:$AS$2004,'Saisie'!$C$5:$C$2004,C349,'Saisie'!$S$5:$S$2004,"&lt;&gt;")-4),""))</f>
        <v/>
      </c>
      <c r="U349" s="60">
        <f>IF(C349="","",IFERROR(INDEX('Saisie'!$T$5:$T$2004,_xlfn.MAXIFS('Saisie'!$AS$5:$AS$2004,'Saisie'!$C$5:$C$2004,C349,'Saisie'!$T$5:$T$2004,"&lt;&gt;")-4),""))</f>
        <v/>
      </c>
      <c r="V349" s="60">
        <f>IF(C349="","",IFERROR(INDEX('Saisie'!$V$5:$V$2004,_xlfn.MAXIFS('Saisie'!$AS$5:$AS$2004,'Saisie'!$C$5:$C$2004,C349,'Saisie'!$V$5:$V$2004,"&lt;&gt;")-4),""))</f>
        <v/>
      </c>
      <c r="W349" s="60">
        <f>IF(C349="","",IFERROR(INDEX('Saisie'!$Z$5:$Z$2004,_xlfn.MAXIFS('Saisie'!$AS$5:$AS$2004,'Saisie'!$C$5:$C$2004,C349,'Saisie'!$Z$5:$Z$2004,"&lt;&gt;")-4),""))</f>
        <v/>
      </c>
      <c r="X349" s="60">
        <f>IF(C349="","",IFERROR(INDEX('Saisie'!$AA$5:$AA$2004,_xlfn.MAXIFS('Saisie'!$AS$5:$AS$2004,'Saisie'!$C$5:$C$2004,C349,'Saisie'!$AA$5:$AA$2004,"&lt;&gt;")-4),""))</f>
        <v/>
      </c>
      <c r="Y349" s="60">
        <f>IF(C349="","",IFERROR(INDEX('Saisie'!$AB$5:$AB$2004,_xlfn.MAXIFS('Saisie'!$AS$5:$AS$2004,'Saisie'!$C$5:$C$2004,C349,'Saisie'!$AB$5:$AB$2004,"&lt;&gt;")-4),""))</f>
        <v/>
      </c>
      <c r="Z349" s="60">
        <f>IF(C349="","",IFERROR(INDEX('Saisie'!$AC$5:$AC$2004,_xlfn.MAXIFS('Saisie'!$AS$5:$AS$2004,'Saisie'!$C$5:$C$2004,C349,'Saisie'!$AC$5:$AC$2004,"&lt;&gt;")-4),""))</f>
        <v/>
      </c>
      <c r="AA349" s="106">
        <f>IF(C349="","",IFERROR(INDEX('Saisie'!$AD$5:$AD$2004,_xlfn.MAXIFS('Saisie'!$AS$5:$AS$2004,'Saisie'!$C$5:$C$2004,C349,'Saisie'!$AD$5:$AD$2004,"&lt;&gt;")-4),""))</f>
        <v/>
      </c>
      <c r="AB349" s="60">
        <f>IF(C349="","",IFERROR(INDEX('Saisie'!$AE$5:$AE$2004,_xlfn.MAXIFS('Saisie'!$AS$5:$AS$2004,'Saisie'!$C$5:$C$2004,C349,'Saisie'!$AE$5:$AE$2004,"&lt;&gt;")-4),""))</f>
        <v/>
      </c>
      <c r="AC349" s="60">
        <f>IF(C349="","",IFERROR(INDEX('Saisie'!$AF$5:$AF$2004,_xlfn.MAXIFS('Saisie'!$AS$5:$AS$2004,'Saisie'!$C$5:$C$2004,C349,'Saisie'!$AF$5:$AF$2004,"&lt;&gt;")-4),""))</f>
        <v/>
      </c>
      <c r="AD349" s="108">
        <f>IF(C349="","",IFERROR(INDEX('Saisie'!$AG$5:$AG$2004,_xlfn.MAXIFS('Saisie'!$AS$5:$AS$2004,'Saisie'!$C$5:$C$2004,C349,'Saisie'!$AG$5:$AG$2004,"&lt;&gt;")-4),""))</f>
        <v/>
      </c>
      <c r="AE349" s="60">
        <f>IF(C349="","",IFERROR(INDEX('Saisie'!$AH$5:$AH$2004,_xlfn.MAXIFS('Saisie'!$AS$5:$AS$2004,'Saisie'!$C$5:$C$2004,C349,'Saisie'!$AH$5:$AH$2004,"&lt;&gt;")-4),""))</f>
        <v/>
      </c>
      <c r="AF349" s="60">
        <f>IF(C349="","",IFERROR(INDEX('Saisie'!$AI$5:$AI$2004,_xlfn.MAXIFS('Saisie'!$AS$5:$AS$2004,'Saisie'!$C$5:$C$2004,C349,'Saisie'!$AI$5:$AI$2004,"&lt;&gt;")-4),""))</f>
        <v/>
      </c>
      <c r="AG349" s="60">
        <f>IF(C349="","",IFERROR(INDEX('Saisie'!$AJ$5:$AJ$2004,_xlfn.MAXIFS('Saisie'!$AS$5:$AS$2004,'Saisie'!$C$5:$C$2004,C349,'Saisie'!$AJ$5:$AJ$2004,"&lt;&gt;")-4),""))</f>
        <v/>
      </c>
      <c r="AH349" s="60">
        <f>IF(C349="","",IFERROR(INDEX('Saisie'!$AK$5:$AK$2004,_xlfn.MAXIFS('Saisie'!$AS$5:$AS$2004,'Saisie'!$C$5:$C$2004,C349,'Saisie'!$AK$5:$AK$2004,"&lt;&gt;")-4),""))</f>
        <v/>
      </c>
      <c r="AI349" s="60">
        <f>IF(C349="","",IFERROR(INDEX('Saisie'!$AN$5:$AN$2004,_xlfn.MAXIFS('Saisie'!$AS$5:$AS$2004,'Saisie'!$C$5:$C$2004,C349,'Saisie'!$AN$5:$AN$2004,"&lt;&gt;")-4),""))</f>
        <v/>
      </c>
      <c r="AJ349" s="60">
        <f>IF(C349="","",IFERROR(INDEX('Saisie'!$AO$5:$AO$2004,_xlfn.MAXIFS('Saisie'!$AS$5:$AS$2004,'Saisie'!$C$5:$C$2004,C349,'Saisie'!$AO$5:$AO$2004,"&lt;&gt;")-4),""))</f>
        <v/>
      </c>
      <c r="AK349" s="60">
        <f>IF(C349="","",IFERROR(INDEX('Saisie'!$AP$5:$AP$2004,_xlfn.MAXIFS('Saisie'!$AS$5:$AS$2004,'Saisie'!$C$5:$C$2004,C349,'Saisie'!$AP$5:$AP$2004,"&lt;&gt;")-4),""))</f>
        <v/>
      </c>
      <c r="AL349" s="60">
        <f>IF(C349="","",IFERROR(INDEX('Saisie'!$AQ$5:$AQ$2004,_xlfn.MAXIFS('Saisie'!$AS$5:$AS$2004,'Saisie'!$C$5:$C$2004,C349,'Saisie'!$AQ$5:$AQ$2004,"&lt;&gt;")-4),""))</f>
        <v/>
      </c>
      <c r="AM349" s="60">
        <f>IF(C349="","",((AI349="Oui")+(AJ349="Oui")+(AK349="Oui")+OR(AL349="Immédiat",AL349="&lt; 1 mois"))&amp;"/4")</f>
        <v/>
      </c>
      <c r="AN349" s="60">
        <f>IF(C349="","",IFERROR(INDEX('Saisie'!$AL$5:$AL$2004,_xlfn.MAXIFS('Saisie'!$AS$5:$AS$2004,'Saisie'!$C$5:$C$2004,C349,'Saisie'!$AL$5:$AL$2004,"&lt;&gt;")-4),""))</f>
        <v/>
      </c>
      <c r="AO349" s="62">
        <f>IF(C349="","",IF(IFERROR(INDEX('Saisie'!$AM$5:$AM$2004,_xlfn.MAXIFS('Saisie'!$AS$5:$AS$2004,'Saisie'!$C$5:$C$2004,C349,'Saisie'!$AM$5:$AM$2004,"&lt;&gt;")-4),"")&lt;&gt;"",IFERROR(INDEX('Saisie'!$AM$5:$AM$2004,_xlfn.MAXIFS('Saisie'!$AS$5:$AS$2004,'Saisie'!$C$5:$C$2004,C349,'Saisie'!$AM$5:$AM$2004,"&lt;&gt;")-4),""),IFERROR(INDEX('Paramètres'!$S$6:$S$15,MATCH(AN349,'Paramètres'!$Q$6:$Q$15,0)),"")))</f>
        <v/>
      </c>
      <c r="AP349" s="62">
        <f>IF(C349="","",IFERROR(INDEX('Saisie'!$AW$5:$AW$2004,_xlfn.MAXIFS('Saisie'!$AS$5:$AS$2004,'Saisie'!$C$5:$C$2004,C349,'Saisie'!$E$5:$E$2004,"Proposition envoyée")-4),""))</f>
        <v/>
      </c>
      <c r="AQ349" s="106">
        <f>IF(C349="","",IFERROR(1/(1/_xlfn.MAXIFS('Saisie'!$A$5:$A$2004,'Saisie'!$C$5:$C$2004,C349,'Saisie'!$E$5:$E$2004,"Proposition envoyée")),""))</f>
        <v/>
      </c>
      <c r="AR349" s="106">
        <f>IF(C349="","",IF(AQ349="","",AQ349+'Paramètres'!$B$26))</f>
        <v/>
      </c>
      <c r="AS349" s="62">
        <f>IF(OR(C349="",D349="Gagné",D349="Perdu"),0,N(AP349)*IFERROR(INDEX('Paramètres'!$G$6:$G$13,MATCH(D349,'Paramètres'!$F$6:$F$13,0)),0))</f>
        <v/>
      </c>
      <c r="AT349" s="106">
        <f>IF(C349="","",IFERROR(1/(1/_xlfn.MINIFS('Saisie'!$A$5:$A$2004,'Saisie'!$C$5:$C$2004,C349,'Saisie'!$E$5:$E$2004,"Signature")),""))</f>
        <v/>
      </c>
      <c r="AU349" s="60">
        <f>IF(C349="","",IF(OR(AT349="",B349=""),"",AT349-B349))</f>
        <v/>
      </c>
      <c r="AV349" s="60">
        <f>IF(C349="","",IFERROR(INDEX('Saisie'!$L$5:$L$2004,_xlfn.MAXIFS('Saisie'!$AS$5:$AS$2004,'Saisie'!$C$5:$C$2004,C349,'Saisie'!$L$5:$L$2004,"&lt;&gt;")-4),""))</f>
        <v/>
      </c>
      <c r="AW349" s="106">
        <f>IF(C349="","",IF(D349&lt;&gt;"Perdu","",IFERROR(1/(1/_xlfn.MAXIFS('Saisie'!$A$5:$A$2004,'Saisie'!$C$5:$C$2004,C349,'Saisie'!$E$5:$E$2004,"Perdu")),"")))</f>
        <v/>
      </c>
      <c r="AX349" s="106">
        <f>IF(C349="","",IF(AW349="","",AW349+'Paramètres'!$B$28))</f>
        <v/>
      </c>
      <c r="AY349" s="60">
        <f>IF(C349="","",SUMIFS('Saisie'!$H$5:$H$2004,'Saisie'!$C$5:$C$2004,C349))</f>
        <v/>
      </c>
      <c r="AZ349" s="60">
        <f>IF(C349="","",IFERROR(INDEX('Paramètres'!$W$6:$W$20,MATCH(S349,'Paramètres'!$V$6:$V$20,0))&amp;"",""))</f>
        <v/>
      </c>
      <c r="BA349" s="60">
        <f>IF(C349="","",MAX(1,_xlfn.MAXIFS('Saisie'!$AT$5:$AT$2004,'Saisie'!$C$5:$C$2004,C349)))</f>
        <v/>
      </c>
      <c r="BB349" s="60">
        <f>IF(C349="","",IFERROR(INDEX('Saisie'!$X$5:$X$2004,_xlfn.MAXIFS('Saisie'!$AS$5:$AS$2004,'Saisie'!$C$5:$C$2004,C349,'Saisie'!$X$5:$X$2004,"&lt;&gt;")-4),""))</f>
        <v/>
      </c>
      <c r="BC349" s="60">
        <f>IF(C349="","",IFERROR(INDEX('Saisie'!$Y$5:$Y$2004,_xlfn.MAXIFS('Saisie'!$AS$5:$AS$2004,'Saisie'!$C$5:$C$2004,C349,'Saisie'!$Y$5:$Y$2004,"&lt;&gt;")-4),""))</f>
        <v/>
      </c>
      <c r="BD349" s="106">
        <f>IF(C349="","",IFERROR(1/(1/_xlfn.MINIFS('Saisie'!$A$5:$A$2004,'Saisie'!$C$5:$C$2004,C349,'Saisie'!$AT$5:$AT$2004,"&gt;=2")),""))</f>
        <v/>
      </c>
      <c r="BE349" s="106">
        <f>IF(C349="","",IFERROR(1/(1/_xlfn.MINIFS('Saisie'!$A$5:$A$2004,'Saisie'!$C$5:$C$2004,C349,'Saisie'!$AT$5:$AT$2004,"&gt;=3")),""))</f>
        <v/>
      </c>
      <c r="BF349" s="106">
        <f>IF(C349="","",IFERROR(1/(1/_xlfn.MINIFS('Saisie'!$A$5:$A$2004,'Saisie'!$C$5:$C$2004,C349,'Saisie'!$AT$5:$AT$2004,"&gt;=4")),""))</f>
        <v/>
      </c>
      <c r="BG349" s="106">
        <f>IF(C349="","",IFERROR(1/(1/_xlfn.MINIFS('Saisie'!$A$5:$A$2004,'Saisie'!$C$5:$C$2004,C349,'Saisie'!$AT$5:$AT$2004,"&gt;=5")),""))</f>
        <v/>
      </c>
      <c r="BH349" s="106">
        <f>IF(C349="","",IFERROR(1/(1/_xlfn.MINIFS('Saisie'!$A$5:$A$2004,'Saisie'!$C$5:$C$2004,C349,'Saisie'!$AT$5:$AT$2004,"&gt;=6")),""))</f>
        <v/>
      </c>
      <c r="BI349" s="106">
        <f>IF(C349="","",IFERROR(1/(1/_xlfn.MINIFS('Saisie'!$A$5:$A$2004,'Saisie'!$C$5:$C$2004,C349,'Saisie'!$AT$5:$AT$2004,"&gt;=7")),""))</f>
        <v/>
      </c>
      <c r="BJ349" s="60">
        <f>IF(OR(BD349="",B349=""),"",BD349-B349)</f>
        <v/>
      </c>
      <c r="BK349" s="60">
        <f>IF(OR(BE349="",BD349=""),"",BE349-BD349)</f>
        <v/>
      </c>
      <c r="BL349" s="60">
        <f>IF(OR(BF349="",BE349=""),"",BF349-BE349)</f>
        <v/>
      </c>
      <c r="BM349" s="60">
        <f>IF(OR(BG349="",BF349=""),"",BG349-BF349)</f>
        <v/>
      </c>
      <c r="BN349" s="60">
        <f>IF(OR(BH349="",BG349=""),"",BH349-BG349)</f>
        <v/>
      </c>
      <c r="BO349" s="60">
        <f>IF(OR(BI349="",BH349=""),"",BI349-BH349)</f>
        <v/>
      </c>
      <c r="BP349" s="60">
        <f>IF(C349="","",_xlfn.MAXIFS('Saisie'!$AS$5:$AS$2004,'Saisie'!$C$5:$C$2004,C349,'Saisie'!$J$5:$J$2004,"&lt;&gt;"))</f>
        <v/>
      </c>
      <c r="BQ349" s="60">
        <f>IF(C349="","",_xlfn.MAXIFS('Saisie'!$AS$5:$AS$2004,'Saisie'!$C$5:$C$2004,C349))</f>
        <v/>
      </c>
      <c r="BR349" s="60">
        <f>IF(C349="","",_xlfn.MAXIFS('Saisie'!$AS$5:$AS$2004,'Saisie'!$C$5:$C$2004,C349,'Saisie'!$E$5:$E$2004,"Perdu"))</f>
        <v/>
      </c>
      <c r="BS349" s="60">
        <f>IF(C349="","",_xlfn.MAXIFS('Saisie'!$AS$5:$AS$2004,'Saisie'!$C$5:$C$2004,C349,'Saisie'!$AT$5:$AT$2004,"&gt;0"))</f>
        <v/>
      </c>
      <c r="BT349" s="109">
        <f>IF(AND(C349&lt;&gt;"",OR(D349="Nouveau",D349="Contacté",D349="Qualifié"),OR(G349="",N(G349)&lt;=TODAY()),NOT(AND(O349&gt;='Paramètres'!$B$21,P349=0))),E349+345/10000,"")</f>
        <v/>
      </c>
      <c r="BU349" s="60">
        <f>IF(AND(G349&lt;&gt;"",N(G349)&lt;=TODAY()),MAX($BU$4:BU348)+1,"")</f>
        <v/>
      </c>
      <c r="BV349" s="60">
        <f>IF(AND(F349&lt;&gt;"",F349&lt;&gt;"Relance en retard"),MAX($BV$4:BV348)+1,"")</f>
        <v/>
      </c>
      <c r="BW349" s="60">
        <f>IF(C349="","",IF(AND(B349&gt;='Tableau de bord'!$R$4,B349&lt;='Tableau de bord'!$S$4,OR('Tableau de bord'!$G$4="Tous",N349='Tableau de bord'!$G$4)),1,0))</f>
        <v/>
      </c>
      <c r="BX349" s="60">
        <f>IF(AND(C349&lt;&gt;"",N(BA349)=7),MAX($BX$4:BX348)+1,"")</f>
        <v/>
      </c>
    </row>
    <row r="350">
      <c r="A350" s="60">
        <f>IF(C350="","","P-"&amp;TEXT(346,"000"))</f>
        <v/>
      </c>
      <c r="B350" s="106">
        <f>IF(C350="","",IFERROR(1/(1/_xlfn.MINIFS('Saisie'!$A$5:$A$2004,'Saisie'!$C$5:$C$2004,C350)),""))</f>
        <v/>
      </c>
      <c r="C350" s="60">
        <f>IFERROR(INDEX('Saisie'!$C$5:$C$2004,MATCH(346,'Saisie'!$AX$5:$AX$2004,0)),"")</f>
        <v/>
      </c>
      <c r="D350" s="60">
        <f>IF(C350="","",IF(AND(BR350&gt;0,BR350&gt;BS350,BA350&lt;7),"Perdu",INDEX('Paramètres'!$F$6:$F$13,BA350)))</f>
        <v/>
      </c>
      <c r="E350" s="61">
        <f>IF(C350="","",MIN(100,(Z350="Oui")*'Paramètres'!$B$38+(AB350="Régulière")*'Paramètres'!$B$39+IF(AND(N(AA350)&gt;0,TODAY()-N(AA350)&lt;=30),'Paramètres'!$B$40,0)+(W350="")*'Paramètres'!$B$41+(AC350="Absente")*'Paramètres'!$B$42+(AC350="Faible")*'Paramètres'!$B$43+IF(AND(N(AD350)&gt;0,N(AD350)&lt;4),'Paramètres'!$B$44,0)+(AF350="Moyenne")*'Paramètres'!$B$45+(AF350="Grande")*'Paramètres'!$B$46+(Y350&lt;&gt;"")*'Paramètres'!$B$47))</f>
        <v/>
      </c>
      <c r="F350" s="60">
        <f>IF(C350="","",IF(D350="Gagné","",IF(D350="Perdu",IF(AND(AX350&lt;&gt;"",AX350&lt;=TODAY()),"À recontacter (perdu)",""),IF(AND(O350&gt;='Paramètres'!$B$21,P350=0),"Stop : "&amp;'Paramètres'!$B$21&amp;" tentatives sans réponse",IF(AND(D350="Proposition",AR350&lt;&gt;"",TODAY()&gt;N(AR350)),"Proposition expirée",IF(AND(D350="Proposition",N(R350)&gt;='Paramètres'!$B$25),"Proposition sans réponse",IF(AND(G350&lt;&gt;"",N(G350)&lt;TODAY()),"Relance en retard",IF(N(R350)&gt;='Paramètres'!$B$24,"Sans action depuis "&amp;R350&amp;" j",""))))))))</f>
        <v/>
      </c>
      <c r="G350" s="106">
        <f>IF(OR(C350="",D350="Gagné",D350="Perdu"),"",IF(AND(BP350&gt;0,BP350=BQ350),INDEX('Saisie'!$J$5:$J$2004,BP350-4),IF(OR(O350=0,AND(O350&gt;='Paramètres'!$B$21,P350=0)),"",Q350+IF(O350&lt;=1,'Paramètres'!$B$18,IF(O350=2,'Paramètres'!$B$19,'Paramètres'!$B$20)))))</f>
        <v/>
      </c>
      <c r="H350" s="107">
        <f>IF(OR(G350="",BP350&lt;&gt;BQ350),"",IF(INDEX('Saisie'!$K$5:$K$2004,BP350-4)="","",INDEX('Saisie'!$K$5:$K$2004,BP350-4)))</f>
        <v/>
      </c>
      <c r="I350" s="60">
        <f>IF(C350="","",IF(OR(D350="Gagné",D350="Perdu"),"",IFERROR(INDEX('Saisie'!$I$5:$I$2004,_xlfn.MAXIFS('Saisie'!$AS$5:$AS$2004,'Saisie'!$C$5:$C$2004,C350,'Saisie'!$I$5:$I$2004,"&lt;&gt;")-4),"")))</f>
        <v/>
      </c>
      <c r="J350" s="60">
        <f>IF(C350="","",IFERROR(INDEX('Saisie'!$U$5:$U$2004,_xlfn.MAXIFS('Saisie'!$AS$5:$AS$2004,'Saisie'!$C$5:$C$2004,C350,'Saisie'!$U$5:$U$2004,"&lt;&gt;")-4),""))</f>
        <v/>
      </c>
      <c r="K350" s="60">
        <f>IF(C350="","",IFERROR(INDEX('Saisie'!$W$5:$W$2004,_xlfn.MAXIFS('Saisie'!$AS$5:$AS$2004,'Saisie'!$C$5:$C$2004,C350,'Saisie'!$W$5:$W$2004,"&lt;&gt;")-4),""))</f>
        <v/>
      </c>
      <c r="L350" s="60">
        <f>IF(IF(BB350&lt;&gt;"",BB350,K350)="","",HYPERLINK("https://wa.me/"&amp;IF(LEFT(SUBSTITUTE(SUBSTITUTE(SUBSTITUTE(IF(BB350&lt;&gt;"",BB350,K350)," ",""),".",""),"+",""),1)="0",'Paramètres'!$B$35&amp;MID(SUBSTITUTE(SUBSTITUTE(SUBSTITUTE(IF(BB350&lt;&gt;"",BB350,K350)," ",""),".",""),"+",""),2,20),SUBSTITUTE(SUBSTITUTE(SUBSTITUTE(IF(BB350&lt;&gt;"",BB350,K350)," ",""),".",""),"+","")),"WhatsApp"))</f>
        <v/>
      </c>
      <c r="M350" s="60">
        <f>IF(BC350="","",HYPERLINK(IF(LEFT(BC350,4)="http",BC350,"https://www.instagram.com/"&amp;SUBSTITUTE(SUBSTITUTE(BC350,"@","")," ","")),BC350))</f>
        <v/>
      </c>
      <c r="N350" s="60">
        <f>IF(C350="","",IFERROR(INDEX('Saisie'!$D$5:$D$2004,_xlfn.MINIFS('Saisie'!$AS$5:$AS$2004,'Saisie'!$C$5:$C$2004,C350,'Saisie'!$AU$5:$AU$2004,1)-4),IFERROR(INDEX('Saisie'!$D$5:$D$2004,_xlfn.MINIFS('Saisie'!$AS$5:$AS$2004,'Saisie'!$C$5:$C$2004,C350,'Saisie'!$D$5:$D$2004,"&lt;&gt;")-4),"")))</f>
        <v/>
      </c>
      <c r="O350" s="60">
        <f>IF(C350="","",COUNTIFS('Saisie'!$C$5:$C$2004,C350,'Saisie'!$AU$5:$AU$2004,1))</f>
        <v/>
      </c>
      <c r="P350" s="60">
        <f>IF(C350="","",COUNTIFS('Saisie'!$C$5:$C$2004,C350,'Saisie'!$AV$5:$AV$2004,1))</f>
        <v/>
      </c>
      <c r="Q350" s="106">
        <f>IF(C350="","",IFERROR(1/(1/_xlfn.MAXIFS('Saisie'!$A$5:$A$2004,'Saisie'!$C$5:$C$2004,C350)),""))</f>
        <v/>
      </c>
      <c r="R350" s="61">
        <f>IF(C350="","",IF(Q350="","",TODAY()-Q350))</f>
        <v/>
      </c>
      <c r="S350" s="60">
        <f>IF(C350="","",IFERROR(INDEX('Saisie'!$R$5:$R$2004,_xlfn.MAXIFS('Saisie'!$AS$5:$AS$2004,'Saisie'!$C$5:$C$2004,C350,'Saisie'!$R$5:$R$2004,"&lt;&gt;")-4),""))</f>
        <v/>
      </c>
      <c r="T350" s="60">
        <f>IF(C350="","",IFERROR(INDEX('Saisie'!$S$5:$S$2004,_xlfn.MAXIFS('Saisie'!$AS$5:$AS$2004,'Saisie'!$C$5:$C$2004,C350,'Saisie'!$S$5:$S$2004,"&lt;&gt;")-4),""))</f>
        <v/>
      </c>
      <c r="U350" s="60">
        <f>IF(C350="","",IFERROR(INDEX('Saisie'!$T$5:$T$2004,_xlfn.MAXIFS('Saisie'!$AS$5:$AS$2004,'Saisie'!$C$5:$C$2004,C350,'Saisie'!$T$5:$T$2004,"&lt;&gt;")-4),""))</f>
        <v/>
      </c>
      <c r="V350" s="60">
        <f>IF(C350="","",IFERROR(INDEX('Saisie'!$V$5:$V$2004,_xlfn.MAXIFS('Saisie'!$AS$5:$AS$2004,'Saisie'!$C$5:$C$2004,C350,'Saisie'!$V$5:$V$2004,"&lt;&gt;")-4),""))</f>
        <v/>
      </c>
      <c r="W350" s="60">
        <f>IF(C350="","",IFERROR(INDEX('Saisie'!$Z$5:$Z$2004,_xlfn.MAXIFS('Saisie'!$AS$5:$AS$2004,'Saisie'!$C$5:$C$2004,C350,'Saisie'!$Z$5:$Z$2004,"&lt;&gt;")-4),""))</f>
        <v/>
      </c>
      <c r="X350" s="60">
        <f>IF(C350="","",IFERROR(INDEX('Saisie'!$AA$5:$AA$2004,_xlfn.MAXIFS('Saisie'!$AS$5:$AS$2004,'Saisie'!$C$5:$C$2004,C350,'Saisie'!$AA$5:$AA$2004,"&lt;&gt;")-4),""))</f>
        <v/>
      </c>
      <c r="Y350" s="60">
        <f>IF(C350="","",IFERROR(INDEX('Saisie'!$AB$5:$AB$2004,_xlfn.MAXIFS('Saisie'!$AS$5:$AS$2004,'Saisie'!$C$5:$C$2004,C350,'Saisie'!$AB$5:$AB$2004,"&lt;&gt;")-4),""))</f>
        <v/>
      </c>
      <c r="Z350" s="60">
        <f>IF(C350="","",IFERROR(INDEX('Saisie'!$AC$5:$AC$2004,_xlfn.MAXIFS('Saisie'!$AS$5:$AS$2004,'Saisie'!$C$5:$C$2004,C350,'Saisie'!$AC$5:$AC$2004,"&lt;&gt;")-4),""))</f>
        <v/>
      </c>
      <c r="AA350" s="106">
        <f>IF(C350="","",IFERROR(INDEX('Saisie'!$AD$5:$AD$2004,_xlfn.MAXIFS('Saisie'!$AS$5:$AS$2004,'Saisie'!$C$5:$C$2004,C350,'Saisie'!$AD$5:$AD$2004,"&lt;&gt;")-4),""))</f>
        <v/>
      </c>
      <c r="AB350" s="60">
        <f>IF(C350="","",IFERROR(INDEX('Saisie'!$AE$5:$AE$2004,_xlfn.MAXIFS('Saisie'!$AS$5:$AS$2004,'Saisie'!$C$5:$C$2004,C350,'Saisie'!$AE$5:$AE$2004,"&lt;&gt;")-4),""))</f>
        <v/>
      </c>
      <c r="AC350" s="60">
        <f>IF(C350="","",IFERROR(INDEX('Saisie'!$AF$5:$AF$2004,_xlfn.MAXIFS('Saisie'!$AS$5:$AS$2004,'Saisie'!$C$5:$C$2004,C350,'Saisie'!$AF$5:$AF$2004,"&lt;&gt;")-4),""))</f>
        <v/>
      </c>
      <c r="AD350" s="108">
        <f>IF(C350="","",IFERROR(INDEX('Saisie'!$AG$5:$AG$2004,_xlfn.MAXIFS('Saisie'!$AS$5:$AS$2004,'Saisie'!$C$5:$C$2004,C350,'Saisie'!$AG$5:$AG$2004,"&lt;&gt;")-4),""))</f>
        <v/>
      </c>
      <c r="AE350" s="60">
        <f>IF(C350="","",IFERROR(INDEX('Saisie'!$AH$5:$AH$2004,_xlfn.MAXIFS('Saisie'!$AS$5:$AS$2004,'Saisie'!$C$5:$C$2004,C350,'Saisie'!$AH$5:$AH$2004,"&lt;&gt;")-4),""))</f>
        <v/>
      </c>
      <c r="AF350" s="60">
        <f>IF(C350="","",IFERROR(INDEX('Saisie'!$AI$5:$AI$2004,_xlfn.MAXIFS('Saisie'!$AS$5:$AS$2004,'Saisie'!$C$5:$C$2004,C350,'Saisie'!$AI$5:$AI$2004,"&lt;&gt;")-4),""))</f>
        <v/>
      </c>
      <c r="AG350" s="60">
        <f>IF(C350="","",IFERROR(INDEX('Saisie'!$AJ$5:$AJ$2004,_xlfn.MAXIFS('Saisie'!$AS$5:$AS$2004,'Saisie'!$C$5:$C$2004,C350,'Saisie'!$AJ$5:$AJ$2004,"&lt;&gt;")-4),""))</f>
        <v/>
      </c>
      <c r="AH350" s="60">
        <f>IF(C350="","",IFERROR(INDEX('Saisie'!$AK$5:$AK$2004,_xlfn.MAXIFS('Saisie'!$AS$5:$AS$2004,'Saisie'!$C$5:$C$2004,C350,'Saisie'!$AK$5:$AK$2004,"&lt;&gt;")-4),""))</f>
        <v/>
      </c>
      <c r="AI350" s="60">
        <f>IF(C350="","",IFERROR(INDEX('Saisie'!$AN$5:$AN$2004,_xlfn.MAXIFS('Saisie'!$AS$5:$AS$2004,'Saisie'!$C$5:$C$2004,C350,'Saisie'!$AN$5:$AN$2004,"&lt;&gt;")-4),""))</f>
        <v/>
      </c>
      <c r="AJ350" s="60">
        <f>IF(C350="","",IFERROR(INDEX('Saisie'!$AO$5:$AO$2004,_xlfn.MAXIFS('Saisie'!$AS$5:$AS$2004,'Saisie'!$C$5:$C$2004,C350,'Saisie'!$AO$5:$AO$2004,"&lt;&gt;")-4),""))</f>
        <v/>
      </c>
      <c r="AK350" s="60">
        <f>IF(C350="","",IFERROR(INDEX('Saisie'!$AP$5:$AP$2004,_xlfn.MAXIFS('Saisie'!$AS$5:$AS$2004,'Saisie'!$C$5:$C$2004,C350,'Saisie'!$AP$5:$AP$2004,"&lt;&gt;")-4),""))</f>
        <v/>
      </c>
      <c r="AL350" s="60">
        <f>IF(C350="","",IFERROR(INDEX('Saisie'!$AQ$5:$AQ$2004,_xlfn.MAXIFS('Saisie'!$AS$5:$AS$2004,'Saisie'!$C$5:$C$2004,C350,'Saisie'!$AQ$5:$AQ$2004,"&lt;&gt;")-4),""))</f>
        <v/>
      </c>
      <c r="AM350" s="60">
        <f>IF(C350="","",((AI350="Oui")+(AJ350="Oui")+(AK350="Oui")+OR(AL350="Immédiat",AL350="&lt; 1 mois"))&amp;"/4")</f>
        <v/>
      </c>
      <c r="AN350" s="60">
        <f>IF(C350="","",IFERROR(INDEX('Saisie'!$AL$5:$AL$2004,_xlfn.MAXIFS('Saisie'!$AS$5:$AS$2004,'Saisie'!$C$5:$C$2004,C350,'Saisie'!$AL$5:$AL$2004,"&lt;&gt;")-4),""))</f>
        <v/>
      </c>
      <c r="AO350" s="62">
        <f>IF(C350="","",IF(IFERROR(INDEX('Saisie'!$AM$5:$AM$2004,_xlfn.MAXIFS('Saisie'!$AS$5:$AS$2004,'Saisie'!$C$5:$C$2004,C350,'Saisie'!$AM$5:$AM$2004,"&lt;&gt;")-4),"")&lt;&gt;"",IFERROR(INDEX('Saisie'!$AM$5:$AM$2004,_xlfn.MAXIFS('Saisie'!$AS$5:$AS$2004,'Saisie'!$C$5:$C$2004,C350,'Saisie'!$AM$5:$AM$2004,"&lt;&gt;")-4),""),IFERROR(INDEX('Paramètres'!$S$6:$S$15,MATCH(AN350,'Paramètres'!$Q$6:$Q$15,0)),"")))</f>
        <v/>
      </c>
      <c r="AP350" s="62">
        <f>IF(C350="","",IFERROR(INDEX('Saisie'!$AW$5:$AW$2004,_xlfn.MAXIFS('Saisie'!$AS$5:$AS$2004,'Saisie'!$C$5:$C$2004,C350,'Saisie'!$E$5:$E$2004,"Proposition envoyée")-4),""))</f>
        <v/>
      </c>
      <c r="AQ350" s="106">
        <f>IF(C350="","",IFERROR(1/(1/_xlfn.MAXIFS('Saisie'!$A$5:$A$2004,'Saisie'!$C$5:$C$2004,C350,'Saisie'!$E$5:$E$2004,"Proposition envoyée")),""))</f>
        <v/>
      </c>
      <c r="AR350" s="106">
        <f>IF(C350="","",IF(AQ350="","",AQ350+'Paramètres'!$B$26))</f>
        <v/>
      </c>
      <c r="AS350" s="62">
        <f>IF(OR(C350="",D350="Gagné",D350="Perdu"),0,N(AP350)*IFERROR(INDEX('Paramètres'!$G$6:$G$13,MATCH(D350,'Paramètres'!$F$6:$F$13,0)),0))</f>
        <v/>
      </c>
      <c r="AT350" s="106">
        <f>IF(C350="","",IFERROR(1/(1/_xlfn.MINIFS('Saisie'!$A$5:$A$2004,'Saisie'!$C$5:$C$2004,C350,'Saisie'!$E$5:$E$2004,"Signature")),""))</f>
        <v/>
      </c>
      <c r="AU350" s="60">
        <f>IF(C350="","",IF(OR(AT350="",B350=""),"",AT350-B350))</f>
        <v/>
      </c>
      <c r="AV350" s="60">
        <f>IF(C350="","",IFERROR(INDEX('Saisie'!$L$5:$L$2004,_xlfn.MAXIFS('Saisie'!$AS$5:$AS$2004,'Saisie'!$C$5:$C$2004,C350,'Saisie'!$L$5:$L$2004,"&lt;&gt;")-4),""))</f>
        <v/>
      </c>
      <c r="AW350" s="106">
        <f>IF(C350="","",IF(D350&lt;&gt;"Perdu","",IFERROR(1/(1/_xlfn.MAXIFS('Saisie'!$A$5:$A$2004,'Saisie'!$C$5:$C$2004,C350,'Saisie'!$E$5:$E$2004,"Perdu")),"")))</f>
        <v/>
      </c>
      <c r="AX350" s="106">
        <f>IF(C350="","",IF(AW350="","",AW350+'Paramètres'!$B$28))</f>
        <v/>
      </c>
      <c r="AY350" s="60">
        <f>IF(C350="","",SUMIFS('Saisie'!$H$5:$H$2004,'Saisie'!$C$5:$C$2004,C350))</f>
        <v/>
      </c>
      <c r="AZ350" s="60">
        <f>IF(C350="","",IFERROR(INDEX('Paramètres'!$W$6:$W$20,MATCH(S350,'Paramètres'!$V$6:$V$20,0))&amp;"",""))</f>
        <v/>
      </c>
      <c r="BA350" s="60">
        <f>IF(C350="","",MAX(1,_xlfn.MAXIFS('Saisie'!$AT$5:$AT$2004,'Saisie'!$C$5:$C$2004,C350)))</f>
        <v/>
      </c>
      <c r="BB350" s="60">
        <f>IF(C350="","",IFERROR(INDEX('Saisie'!$X$5:$X$2004,_xlfn.MAXIFS('Saisie'!$AS$5:$AS$2004,'Saisie'!$C$5:$C$2004,C350,'Saisie'!$X$5:$X$2004,"&lt;&gt;")-4),""))</f>
        <v/>
      </c>
      <c r="BC350" s="60">
        <f>IF(C350="","",IFERROR(INDEX('Saisie'!$Y$5:$Y$2004,_xlfn.MAXIFS('Saisie'!$AS$5:$AS$2004,'Saisie'!$C$5:$C$2004,C350,'Saisie'!$Y$5:$Y$2004,"&lt;&gt;")-4),""))</f>
        <v/>
      </c>
      <c r="BD350" s="106">
        <f>IF(C350="","",IFERROR(1/(1/_xlfn.MINIFS('Saisie'!$A$5:$A$2004,'Saisie'!$C$5:$C$2004,C350,'Saisie'!$AT$5:$AT$2004,"&gt;=2")),""))</f>
        <v/>
      </c>
      <c r="BE350" s="106">
        <f>IF(C350="","",IFERROR(1/(1/_xlfn.MINIFS('Saisie'!$A$5:$A$2004,'Saisie'!$C$5:$C$2004,C350,'Saisie'!$AT$5:$AT$2004,"&gt;=3")),""))</f>
        <v/>
      </c>
      <c r="BF350" s="106">
        <f>IF(C350="","",IFERROR(1/(1/_xlfn.MINIFS('Saisie'!$A$5:$A$2004,'Saisie'!$C$5:$C$2004,C350,'Saisie'!$AT$5:$AT$2004,"&gt;=4")),""))</f>
        <v/>
      </c>
      <c r="BG350" s="106">
        <f>IF(C350="","",IFERROR(1/(1/_xlfn.MINIFS('Saisie'!$A$5:$A$2004,'Saisie'!$C$5:$C$2004,C350,'Saisie'!$AT$5:$AT$2004,"&gt;=5")),""))</f>
        <v/>
      </c>
      <c r="BH350" s="106">
        <f>IF(C350="","",IFERROR(1/(1/_xlfn.MINIFS('Saisie'!$A$5:$A$2004,'Saisie'!$C$5:$C$2004,C350,'Saisie'!$AT$5:$AT$2004,"&gt;=6")),""))</f>
        <v/>
      </c>
      <c r="BI350" s="106">
        <f>IF(C350="","",IFERROR(1/(1/_xlfn.MINIFS('Saisie'!$A$5:$A$2004,'Saisie'!$C$5:$C$2004,C350,'Saisie'!$AT$5:$AT$2004,"&gt;=7")),""))</f>
        <v/>
      </c>
      <c r="BJ350" s="60">
        <f>IF(OR(BD350="",B350=""),"",BD350-B350)</f>
        <v/>
      </c>
      <c r="BK350" s="60">
        <f>IF(OR(BE350="",BD350=""),"",BE350-BD350)</f>
        <v/>
      </c>
      <c r="BL350" s="60">
        <f>IF(OR(BF350="",BE350=""),"",BF350-BE350)</f>
        <v/>
      </c>
      <c r="BM350" s="60">
        <f>IF(OR(BG350="",BF350=""),"",BG350-BF350)</f>
        <v/>
      </c>
      <c r="BN350" s="60">
        <f>IF(OR(BH350="",BG350=""),"",BH350-BG350)</f>
        <v/>
      </c>
      <c r="BO350" s="60">
        <f>IF(OR(BI350="",BH350=""),"",BI350-BH350)</f>
        <v/>
      </c>
      <c r="BP350" s="60">
        <f>IF(C350="","",_xlfn.MAXIFS('Saisie'!$AS$5:$AS$2004,'Saisie'!$C$5:$C$2004,C350,'Saisie'!$J$5:$J$2004,"&lt;&gt;"))</f>
        <v/>
      </c>
      <c r="BQ350" s="60">
        <f>IF(C350="","",_xlfn.MAXIFS('Saisie'!$AS$5:$AS$2004,'Saisie'!$C$5:$C$2004,C350))</f>
        <v/>
      </c>
      <c r="BR350" s="60">
        <f>IF(C350="","",_xlfn.MAXIFS('Saisie'!$AS$5:$AS$2004,'Saisie'!$C$5:$C$2004,C350,'Saisie'!$E$5:$E$2004,"Perdu"))</f>
        <v/>
      </c>
      <c r="BS350" s="60">
        <f>IF(C350="","",_xlfn.MAXIFS('Saisie'!$AS$5:$AS$2004,'Saisie'!$C$5:$C$2004,C350,'Saisie'!$AT$5:$AT$2004,"&gt;0"))</f>
        <v/>
      </c>
      <c r="BT350" s="109">
        <f>IF(AND(C350&lt;&gt;"",OR(D350="Nouveau",D350="Contacté",D350="Qualifié"),OR(G350="",N(G350)&lt;=TODAY()),NOT(AND(O350&gt;='Paramètres'!$B$21,P350=0))),E350+346/10000,"")</f>
        <v/>
      </c>
      <c r="BU350" s="60">
        <f>IF(AND(G350&lt;&gt;"",N(G350)&lt;=TODAY()),MAX($BU$4:BU349)+1,"")</f>
        <v/>
      </c>
      <c r="BV350" s="60">
        <f>IF(AND(F350&lt;&gt;"",F350&lt;&gt;"Relance en retard"),MAX($BV$4:BV349)+1,"")</f>
        <v/>
      </c>
      <c r="BW350" s="60">
        <f>IF(C350="","",IF(AND(B350&gt;='Tableau de bord'!$R$4,B350&lt;='Tableau de bord'!$S$4,OR('Tableau de bord'!$G$4="Tous",N350='Tableau de bord'!$G$4)),1,0))</f>
        <v/>
      </c>
      <c r="BX350" s="60">
        <f>IF(AND(C350&lt;&gt;"",N(BA350)=7),MAX($BX$4:BX349)+1,"")</f>
        <v/>
      </c>
    </row>
    <row r="351">
      <c r="A351" s="60">
        <f>IF(C351="","","P-"&amp;TEXT(347,"000"))</f>
        <v/>
      </c>
      <c r="B351" s="106">
        <f>IF(C351="","",IFERROR(1/(1/_xlfn.MINIFS('Saisie'!$A$5:$A$2004,'Saisie'!$C$5:$C$2004,C351)),""))</f>
        <v/>
      </c>
      <c r="C351" s="60">
        <f>IFERROR(INDEX('Saisie'!$C$5:$C$2004,MATCH(347,'Saisie'!$AX$5:$AX$2004,0)),"")</f>
        <v/>
      </c>
      <c r="D351" s="60">
        <f>IF(C351="","",IF(AND(BR351&gt;0,BR351&gt;BS351,BA351&lt;7),"Perdu",INDEX('Paramètres'!$F$6:$F$13,BA351)))</f>
        <v/>
      </c>
      <c r="E351" s="61">
        <f>IF(C351="","",MIN(100,(Z351="Oui")*'Paramètres'!$B$38+(AB351="Régulière")*'Paramètres'!$B$39+IF(AND(N(AA351)&gt;0,TODAY()-N(AA351)&lt;=30),'Paramètres'!$B$40,0)+(W351="")*'Paramètres'!$B$41+(AC351="Absente")*'Paramètres'!$B$42+(AC351="Faible")*'Paramètres'!$B$43+IF(AND(N(AD351)&gt;0,N(AD351)&lt;4),'Paramètres'!$B$44,0)+(AF351="Moyenne")*'Paramètres'!$B$45+(AF351="Grande")*'Paramètres'!$B$46+(Y351&lt;&gt;"")*'Paramètres'!$B$47))</f>
        <v/>
      </c>
      <c r="F351" s="60">
        <f>IF(C351="","",IF(D351="Gagné","",IF(D351="Perdu",IF(AND(AX351&lt;&gt;"",AX351&lt;=TODAY()),"À recontacter (perdu)",""),IF(AND(O351&gt;='Paramètres'!$B$21,P351=0),"Stop : "&amp;'Paramètres'!$B$21&amp;" tentatives sans réponse",IF(AND(D351="Proposition",AR351&lt;&gt;"",TODAY()&gt;N(AR351)),"Proposition expirée",IF(AND(D351="Proposition",N(R351)&gt;='Paramètres'!$B$25),"Proposition sans réponse",IF(AND(G351&lt;&gt;"",N(G351)&lt;TODAY()),"Relance en retard",IF(N(R351)&gt;='Paramètres'!$B$24,"Sans action depuis "&amp;R351&amp;" j",""))))))))</f>
        <v/>
      </c>
      <c r="G351" s="106">
        <f>IF(OR(C351="",D351="Gagné",D351="Perdu"),"",IF(AND(BP351&gt;0,BP351=BQ351),INDEX('Saisie'!$J$5:$J$2004,BP351-4),IF(OR(O351=0,AND(O351&gt;='Paramètres'!$B$21,P351=0)),"",Q351+IF(O351&lt;=1,'Paramètres'!$B$18,IF(O351=2,'Paramètres'!$B$19,'Paramètres'!$B$20)))))</f>
        <v/>
      </c>
      <c r="H351" s="107">
        <f>IF(OR(G351="",BP351&lt;&gt;BQ351),"",IF(INDEX('Saisie'!$K$5:$K$2004,BP351-4)="","",INDEX('Saisie'!$K$5:$K$2004,BP351-4)))</f>
        <v/>
      </c>
      <c r="I351" s="60">
        <f>IF(C351="","",IF(OR(D351="Gagné",D351="Perdu"),"",IFERROR(INDEX('Saisie'!$I$5:$I$2004,_xlfn.MAXIFS('Saisie'!$AS$5:$AS$2004,'Saisie'!$C$5:$C$2004,C351,'Saisie'!$I$5:$I$2004,"&lt;&gt;")-4),"")))</f>
        <v/>
      </c>
      <c r="J351" s="60">
        <f>IF(C351="","",IFERROR(INDEX('Saisie'!$U$5:$U$2004,_xlfn.MAXIFS('Saisie'!$AS$5:$AS$2004,'Saisie'!$C$5:$C$2004,C351,'Saisie'!$U$5:$U$2004,"&lt;&gt;")-4),""))</f>
        <v/>
      </c>
      <c r="K351" s="60">
        <f>IF(C351="","",IFERROR(INDEX('Saisie'!$W$5:$W$2004,_xlfn.MAXIFS('Saisie'!$AS$5:$AS$2004,'Saisie'!$C$5:$C$2004,C351,'Saisie'!$W$5:$W$2004,"&lt;&gt;")-4),""))</f>
        <v/>
      </c>
      <c r="L351" s="60">
        <f>IF(IF(BB351&lt;&gt;"",BB351,K351)="","",HYPERLINK("https://wa.me/"&amp;IF(LEFT(SUBSTITUTE(SUBSTITUTE(SUBSTITUTE(IF(BB351&lt;&gt;"",BB351,K351)," ",""),".",""),"+",""),1)="0",'Paramètres'!$B$35&amp;MID(SUBSTITUTE(SUBSTITUTE(SUBSTITUTE(IF(BB351&lt;&gt;"",BB351,K351)," ",""),".",""),"+",""),2,20),SUBSTITUTE(SUBSTITUTE(SUBSTITUTE(IF(BB351&lt;&gt;"",BB351,K351)," ",""),".",""),"+","")),"WhatsApp"))</f>
        <v/>
      </c>
      <c r="M351" s="60">
        <f>IF(BC351="","",HYPERLINK(IF(LEFT(BC351,4)="http",BC351,"https://www.instagram.com/"&amp;SUBSTITUTE(SUBSTITUTE(BC351,"@","")," ","")),BC351))</f>
        <v/>
      </c>
      <c r="N351" s="60">
        <f>IF(C351="","",IFERROR(INDEX('Saisie'!$D$5:$D$2004,_xlfn.MINIFS('Saisie'!$AS$5:$AS$2004,'Saisie'!$C$5:$C$2004,C351,'Saisie'!$AU$5:$AU$2004,1)-4),IFERROR(INDEX('Saisie'!$D$5:$D$2004,_xlfn.MINIFS('Saisie'!$AS$5:$AS$2004,'Saisie'!$C$5:$C$2004,C351,'Saisie'!$D$5:$D$2004,"&lt;&gt;")-4),"")))</f>
        <v/>
      </c>
      <c r="O351" s="60">
        <f>IF(C351="","",COUNTIFS('Saisie'!$C$5:$C$2004,C351,'Saisie'!$AU$5:$AU$2004,1))</f>
        <v/>
      </c>
      <c r="P351" s="60">
        <f>IF(C351="","",COUNTIFS('Saisie'!$C$5:$C$2004,C351,'Saisie'!$AV$5:$AV$2004,1))</f>
        <v/>
      </c>
      <c r="Q351" s="106">
        <f>IF(C351="","",IFERROR(1/(1/_xlfn.MAXIFS('Saisie'!$A$5:$A$2004,'Saisie'!$C$5:$C$2004,C351)),""))</f>
        <v/>
      </c>
      <c r="R351" s="61">
        <f>IF(C351="","",IF(Q351="","",TODAY()-Q351))</f>
        <v/>
      </c>
      <c r="S351" s="60">
        <f>IF(C351="","",IFERROR(INDEX('Saisie'!$R$5:$R$2004,_xlfn.MAXIFS('Saisie'!$AS$5:$AS$2004,'Saisie'!$C$5:$C$2004,C351,'Saisie'!$R$5:$R$2004,"&lt;&gt;")-4),""))</f>
        <v/>
      </c>
      <c r="T351" s="60">
        <f>IF(C351="","",IFERROR(INDEX('Saisie'!$S$5:$S$2004,_xlfn.MAXIFS('Saisie'!$AS$5:$AS$2004,'Saisie'!$C$5:$C$2004,C351,'Saisie'!$S$5:$S$2004,"&lt;&gt;")-4),""))</f>
        <v/>
      </c>
      <c r="U351" s="60">
        <f>IF(C351="","",IFERROR(INDEX('Saisie'!$T$5:$T$2004,_xlfn.MAXIFS('Saisie'!$AS$5:$AS$2004,'Saisie'!$C$5:$C$2004,C351,'Saisie'!$T$5:$T$2004,"&lt;&gt;")-4),""))</f>
        <v/>
      </c>
      <c r="V351" s="60">
        <f>IF(C351="","",IFERROR(INDEX('Saisie'!$V$5:$V$2004,_xlfn.MAXIFS('Saisie'!$AS$5:$AS$2004,'Saisie'!$C$5:$C$2004,C351,'Saisie'!$V$5:$V$2004,"&lt;&gt;")-4),""))</f>
        <v/>
      </c>
      <c r="W351" s="60">
        <f>IF(C351="","",IFERROR(INDEX('Saisie'!$Z$5:$Z$2004,_xlfn.MAXIFS('Saisie'!$AS$5:$AS$2004,'Saisie'!$C$5:$C$2004,C351,'Saisie'!$Z$5:$Z$2004,"&lt;&gt;")-4),""))</f>
        <v/>
      </c>
      <c r="X351" s="60">
        <f>IF(C351="","",IFERROR(INDEX('Saisie'!$AA$5:$AA$2004,_xlfn.MAXIFS('Saisie'!$AS$5:$AS$2004,'Saisie'!$C$5:$C$2004,C351,'Saisie'!$AA$5:$AA$2004,"&lt;&gt;")-4),""))</f>
        <v/>
      </c>
      <c r="Y351" s="60">
        <f>IF(C351="","",IFERROR(INDEX('Saisie'!$AB$5:$AB$2004,_xlfn.MAXIFS('Saisie'!$AS$5:$AS$2004,'Saisie'!$C$5:$C$2004,C351,'Saisie'!$AB$5:$AB$2004,"&lt;&gt;")-4),""))</f>
        <v/>
      </c>
      <c r="Z351" s="60">
        <f>IF(C351="","",IFERROR(INDEX('Saisie'!$AC$5:$AC$2004,_xlfn.MAXIFS('Saisie'!$AS$5:$AS$2004,'Saisie'!$C$5:$C$2004,C351,'Saisie'!$AC$5:$AC$2004,"&lt;&gt;")-4),""))</f>
        <v/>
      </c>
      <c r="AA351" s="106">
        <f>IF(C351="","",IFERROR(INDEX('Saisie'!$AD$5:$AD$2004,_xlfn.MAXIFS('Saisie'!$AS$5:$AS$2004,'Saisie'!$C$5:$C$2004,C351,'Saisie'!$AD$5:$AD$2004,"&lt;&gt;")-4),""))</f>
        <v/>
      </c>
      <c r="AB351" s="60">
        <f>IF(C351="","",IFERROR(INDEX('Saisie'!$AE$5:$AE$2004,_xlfn.MAXIFS('Saisie'!$AS$5:$AS$2004,'Saisie'!$C$5:$C$2004,C351,'Saisie'!$AE$5:$AE$2004,"&lt;&gt;")-4),""))</f>
        <v/>
      </c>
      <c r="AC351" s="60">
        <f>IF(C351="","",IFERROR(INDEX('Saisie'!$AF$5:$AF$2004,_xlfn.MAXIFS('Saisie'!$AS$5:$AS$2004,'Saisie'!$C$5:$C$2004,C351,'Saisie'!$AF$5:$AF$2004,"&lt;&gt;")-4),""))</f>
        <v/>
      </c>
      <c r="AD351" s="108">
        <f>IF(C351="","",IFERROR(INDEX('Saisie'!$AG$5:$AG$2004,_xlfn.MAXIFS('Saisie'!$AS$5:$AS$2004,'Saisie'!$C$5:$C$2004,C351,'Saisie'!$AG$5:$AG$2004,"&lt;&gt;")-4),""))</f>
        <v/>
      </c>
      <c r="AE351" s="60">
        <f>IF(C351="","",IFERROR(INDEX('Saisie'!$AH$5:$AH$2004,_xlfn.MAXIFS('Saisie'!$AS$5:$AS$2004,'Saisie'!$C$5:$C$2004,C351,'Saisie'!$AH$5:$AH$2004,"&lt;&gt;")-4),""))</f>
        <v/>
      </c>
      <c r="AF351" s="60">
        <f>IF(C351="","",IFERROR(INDEX('Saisie'!$AI$5:$AI$2004,_xlfn.MAXIFS('Saisie'!$AS$5:$AS$2004,'Saisie'!$C$5:$C$2004,C351,'Saisie'!$AI$5:$AI$2004,"&lt;&gt;")-4),""))</f>
        <v/>
      </c>
      <c r="AG351" s="60">
        <f>IF(C351="","",IFERROR(INDEX('Saisie'!$AJ$5:$AJ$2004,_xlfn.MAXIFS('Saisie'!$AS$5:$AS$2004,'Saisie'!$C$5:$C$2004,C351,'Saisie'!$AJ$5:$AJ$2004,"&lt;&gt;")-4),""))</f>
        <v/>
      </c>
      <c r="AH351" s="60">
        <f>IF(C351="","",IFERROR(INDEX('Saisie'!$AK$5:$AK$2004,_xlfn.MAXIFS('Saisie'!$AS$5:$AS$2004,'Saisie'!$C$5:$C$2004,C351,'Saisie'!$AK$5:$AK$2004,"&lt;&gt;")-4),""))</f>
        <v/>
      </c>
      <c r="AI351" s="60">
        <f>IF(C351="","",IFERROR(INDEX('Saisie'!$AN$5:$AN$2004,_xlfn.MAXIFS('Saisie'!$AS$5:$AS$2004,'Saisie'!$C$5:$C$2004,C351,'Saisie'!$AN$5:$AN$2004,"&lt;&gt;")-4),""))</f>
        <v/>
      </c>
      <c r="AJ351" s="60">
        <f>IF(C351="","",IFERROR(INDEX('Saisie'!$AO$5:$AO$2004,_xlfn.MAXIFS('Saisie'!$AS$5:$AS$2004,'Saisie'!$C$5:$C$2004,C351,'Saisie'!$AO$5:$AO$2004,"&lt;&gt;")-4),""))</f>
        <v/>
      </c>
      <c r="AK351" s="60">
        <f>IF(C351="","",IFERROR(INDEX('Saisie'!$AP$5:$AP$2004,_xlfn.MAXIFS('Saisie'!$AS$5:$AS$2004,'Saisie'!$C$5:$C$2004,C351,'Saisie'!$AP$5:$AP$2004,"&lt;&gt;")-4),""))</f>
        <v/>
      </c>
      <c r="AL351" s="60">
        <f>IF(C351="","",IFERROR(INDEX('Saisie'!$AQ$5:$AQ$2004,_xlfn.MAXIFS('Saisie'!$AS$5:$AS$2004,'Saisie'!$C$5:$C$2004,C351,'Saisie'!$AQ$5:$AQ$2004,"&lt;&gt;")-4),""))</f>
        <v/>
      </c>
      <c r="AM351" s="60">
        <f>IF(C351="","",((AI351="Oui")+(AJ351="Oui")+(AK351="Oui")+OR(AL351="Immédiat",AL351="&lt; 1 mois"))&amp;"/4")</f>
        <v/>
      </c>
      <c r="AN351" s="60">
        <f>IF(C351="","",IFERROR(INDEX('Saisie'!$AL$5:$AL$2004,_xlfn.MAXIFS('Saisie'!$AS$5:$AS$2004,'Saisie'!$C$5:$C$2004,C351,'Saisie'!$AL$5:$AL$2004,"&lt;&gt;")-4),""))</f>
        <v/>
      </c>
      <c r="AO351" s="62">
        <f>IF(C351="","",IF(IFERROR(INDEX('Saisie'!$AM$5:$AM$2004,_xlfn.MAXIFS('Saisie'!$AS$5:$AS$2004,'Saisie'!$C$5:$C$2004,C351,'Saisie'!$AM$5:$AM$2004,"&lt;&gt;")-4),"")&lt;&gt;"",IFERROR(INDEX('Saisie'!$AM$5:$AM$2004,_xlfn.MAXIFS('Saisie'!$AS$5:$AS$2004,'Saisie'!$C$5:$C$2004,C351,'Saisie'!$AM$5:$AM$2004,"&lt;&gt;")-4),""),IFERROR(INDEX('Paramètres'!$S$6:$S$15,MATCH(AN351,'Paramètres'!$Q$6:$Q$15,0)),"")))</f>
        <v/>
      </c>
      <c r="AP351" s="62">
        <f>IF(C351="","",IFERROR(INDEX('Saisie'!$AW$5:$AW$2004,_xlfn.MAXIFS('Saisie'!$AS$5:$AS$2004,'Saisie'!$C$5:$C$2004,C351,'Saisie'!$E$5:$E$2004,"Proposition envoyée")-4),""))</f>
        <v/>
      </c>
      <c r="AQ351" s="106">
        <f>IF(C351="","",IFERROR(1/(1/_xlfn.MAXIFS('Saisie'!$A$5:$A$2004,'Saisie'!$C$5:$C$2004,C351,'Saisie'!$E$5:$E$2004,"Proposition envoyée")),""))</f>
        <v/>
      </c>
      <c r="AR351" s="106">
        <f>IF(C351="","",IF(AQ351="","",AQ351+'Paramètres'!$B$26))</f>
        <v/>
      </c>
      <c r="AS351" s="62">
        <f>IF(OR(C351="",D351="Gagné",D351="Perdu"),0,N(AP351)*IFERROR(INDEX('Paramètres'!$G$6:$G$13,MATCH(D351,'Paramètres'!$F$6:$F$13,0)),0))</f>
        <v/>
      </c>
      <c r="AT351" s="106">
        <f>IF(C351="","",IFERROR(1/(1/_xlfn.MINIFS('Saisie'!$A$5:$A$2004,'Saisie'!$C$5:$C$2004,C351,'Saisie'!$E$5:$E$2004,"Signature")),""))</f>
        <v/>
      </c>
      <c r="AU351" s="60">
        <f>IF(C351="","",IF(OR(AT351="",B351=""),"",AT351-B351))</f>
        <v/>
      </c>
      <c r="AV351" s="60">
        <f>IF(C351="","",IFERROR(INDEX('Saisie'!$L$5:$L$2004,_xlfn.MAXIFS('Saisie'!$AS$5:$AS$2004,'Saisie'!$C$5:$C$2004,C351,'Saisie'!$L$5:$L$2004,"&lt;&gt;")-4),""))</f>
        <v/>
      </c>
      <c r="AW351" s="106">
        <f>IF(C351="","",IF(D351&lt;&gt;"Perdu","",IFERROR(1/(1/_xlfn.MAXIFS('Saisie'!$A$5:$A$2004,'Saisie'!$C$5:$C$2004,C351,'Saisie'!$E$5:$E$2004,"Perdu")),"")))</f>
        <v/>
      </c>
      <c r="AX351" s="106">
        <f>IF(C351="","",IF(AW351="","",AW351+'Paramètres'!$B$28))</f>
        <v/>
      </c>
      <c r="AY351" s="60">
        <f>IF(C351="","",SUMIFS('Saisie'!$H$5:$H$2004,'Saisie'!$C$5:$C$2004,C351))</f>
        <v/>
      </c>
      <c r="AZ351" s="60">
        <f>IF(C351="","",IFERROR(INDEX('Paramètres'!$W$6:$W$20,MATCH(S351,'Paramètres'!$V$6:$V$20,0))&amp;"",""))</f>
        <v/>
      </c>
      <c r="BA351" s="60">
        <f>IF(C351="","",MAX(1,_xlfn.MAXIFS('Saisie'!$AT$5:$AT$2004,'Saisie'!$C$5:$C$2004,C351)))</f>
        <v/>
      </c>
      <c r="BB351" s="60">
        <f>IF(C351="","",IFERROR(INDEX('Saisie'!$X$5:$X$2004,_xlfn.MAXIFS('Saisie'!$AS$5:$AS$2004,'Saisie'!$C$5:$C$2004,C351,'Saisie'!$X$5:$X$2004,"&lt;&gt;")-4),""))</f>
        <v/>
      </c>
      <c r="BC351" s="60">
        <f>IF(C351="","",IFERROR(INDEX('Saisie'!$Y$5:$Y$2004,_xlfn.MAXIFS('Saisie'!$AS$5:$AS$2004,'Saisie'!$C$5:$C$2004,C351,'Saisie'!$Y$5:$Y$2004,"&lt;&gt;")-4),""))</f>
        <v/>
      </c>
      <c r="BD351" s="106">
        <f>IF(C351="","",IFERROR(1/(1/_xlfn.MINIFS('Saisie'!$A$5:$A$2004,'Saisie'!$C$5:$C$2004,C351,'Saisie'!$AT$5:$AT$2004,"&gt;=2")),""))</f>
        <v/>
      </c>
      <c r="BE351" s="106">
        <f>IF(C351="","",IFERROR(1/(1/_xlfn.MINIFS('Saisie'!$A$5:$A$2004,'Saisie'!$C$5:$C$2004,C351,'Saisie'!$AT$5:$AT$2004,"&gt;=3")),""))</f>
        <v/>
      </c>
      <c r="BF351" s="106">
        <f>IF(C351="","",IFERROR(1/(1/_xlfn.MINIFS('Saisie'!$A$5:$A$2004,'Saisie'!$C$5:$C$2004,C351,'Saisie'!$AT$5:$AT$2004,"&gt;=4")),""))</f>
        <v/>
      </c>
      <c r="BG351" s="106">
        <f>IF(C351="","",IFERROR(1/(1/_xlfn.MINIFS('Saisie'!$A$5:$A$2004,'Saisie'!$C$5:$C$2004,C351,'Saisie'!$AT$5:$AT$2004,"&gt;=5")),""))</f>
        <v/>
      </c>
      <c r="BH351" s="106">
        <f>IF(C351="","",IFERROR(1/(1/_xlfn.MINIFS('Saisie'!$A$5:$A$2004,'Saisie'!$C$5:$C$2004,C351,'Saisie'!$AT$5:$AT$2004,"&gt;=6")),""))</f>
        <v/>
      </c>
      <c r="BI351" s="106">
        <f>IF(C351="","",IFERROR(1/(1/_xlfn.MINIFS('Saisie'!$A$5:$A$2004,'Saisie'!$C$5:$C$2004,C351,'Saisie'!$AT$5:$AT$2004,"&gt;=7")),""))</f>
        <v/>
      </c>
      <c r="BJ351" s="60">
        <f>IF(OR(BD351="",B351=""),"",BD351-B351)</f>
        <v/>
      </c>
      <c r="BK351" s="60">
        <f>IF(OR(BE351="",BD351=""),"",BE351-BD351)</f>
        <v/>
      </c>
      <c r="BL351" s="60">
        <f>IF(OR(BF351="",BE351=""),"",BF351-BE351)</f>
        <v/>
      </c>
      <c r="BM351" s="60">
        <f>IF(OR(BG351="",BF351=""),"",BG351-BF351)</f>
        <v/>
      </c>
      <c r="BN351" s="60">
        <f>IF(OR(BH351="",BG351=""),"",BH351-BG351)</f>
        <v/>
      </c>
      <c r="BO351" s="60">
        <f>IF(OR(BI351="",BH351=""),"",BI351-BH351)</f>
        <v/>
      </c>
      <c r="BP351" s="60">
        <f>IF(C351="","",_xlfn.MAXIFS('Saisie'!$AS$5:$AS$2004,'Saisie'!$C$5:$C$2004,C351,'Saisie'!$J$5:$J$2004,"&lt;&gt;"))</f>
        <v/>
      </c>
      <c r="BQ351" s="60">
        <f>IF(C351="","",_xlfn.MAXIFS('Saisie'!$AS$5:$AS$2004,'Saisie'!$C$5:$C$2004,C351))</f>
        <v/>
      </c>
      <c r="BR351" s="60">
        <f>IF(C351="","",_xlfn.MAXIFS('Saisie'!$AS$5:$AS$2004,'Saisie'!$C$5:$C$2004,C351,'Saisie'!$E$5:$E$2004,"Perdu"))</f>
        <v/>
      </c>
      <c r="BS351" s="60">
        <f>IF(C351="","",_xlfn.MAXIFS('Saisie'!$AS$5:$AS$2004,'Saisie'!$C$5:$C$2004,C351,'Saisie'!$AT$5:$AT$2004,"&gt;0"))</f>
        <v/>
      </c>
      <c r="BT351" s="109">
        <f>IF(AND(C351&lt;&gt;"",OR(D351="Nouveau",D351="Contacté",D351="Qualifié"),OR(G351="",N(G351)&lt;=TODAY()),NOT(AND(O351&gt;='Paramètres'!$B$21,P351=0))),E351+347/10000,"")</f>
        <v/>
      </c>
      <c r="BU351" s="60">
        <f>IF(AND(G351&lt;&gt;"",N(G351)&lt;=TODAY()),MAX($BU$4:BU350)+1,"")</f>
        <v/>
      </c>
      <c r="BV351" s="60">
        <f>IF(AND(F351&lt;&gt;"",F351&lt;&gt;"Relance en retard"),MAX($BV$4:BV350)+1,"")</f>
        <v/>
      </c>
      <c r="BW351" s="60">
        <f>IF(C351="","",IF(AND(B351&gt;='Tableau de bord'!$R$4,B351&lt;='Tableau de bord'!$S$4,OR('Tableau de bord'!$G$4="Tous",N351='Tableau de bord'!$G$4)),1,0))</f>
        <v/>
      </c>
      <c r="BX351" s="60">
        <f>IF(AND(C351&lt;&gt;"",N(BA351)=7),MAX($BX$4:BX350)+1,"")</f>
        <v/>
      </c>
    </row>
    <row r="352">
      <c r="A352" s="60">
        <f>IF(C352="","","P-"&amp;TEXT(348,"000"))</f>
        <v/>
      </c>
      <c r="B352" s="106">
        <f>IF(C352="","",IFERROR(1/(1/_xlfn.MINIFS('Saisie'!$A$5:$A$2004,'Saisie'!$C$5:$C$2004,C352)),""))</f>
        <v/>
      </c>
      <c r="C352" s="60">
        <f>IFERROR(INDEX('Saisie'!$C$5:$C$2004,MATCH(348,'Saisie'!$AX$5:$AX$2004,0)),"")</f>
        <v/>
      </c>
      <c r="D352" s="60">
        <f>IF(C352="","",IF(AND(BR352&gt;0,BR352&gt;BS352,BA352&lt;7),"Perdu",INDEX('Paramètres'!$F$6:$F$13,BA352)))</f>
        <v/>
      </c>
      <c r="E352" s="61">
        <f>IF(C352="","",MIN(100,(Z352="Oui")*'Paramètres'!$B$38+(AB352="Régulière")*'Paramètres'!$B$39+IF(AND(N(AA352)&gt;0,TODAY()-N(AA352)&lt;=30),'Paramètres'!$B$40,0)+(W352="")*'Paramètres'!$B$41+(AC352="Absente")*'Paramètres'!$B$42+(AC352="Faible")*'Paramètres'!$B$43+IF(AND(N(AD352)&gt;0,N(AD352)&lt;4),'Paramètres'!$B$44,0)+(AF352="Moyenne")*'Paramètres'!$B$45+(AF352="Grande")*'Paramètres'!$B$46+(Y352&lt;&gt;"")*'Paramètres'!$B$47))</f>
        <v/>
      </c>
      <c r="F352" s="60">
        <f>IF(C352="","",IF(D352="Gagné","",IF(D352="Perdu",IF(AND(AX352&lt;&gt;"",AX352&lt;=TODAY()),"À recontacter (perdu)",""),IF(AND(O352&gt;='Paramètres'!$B$21,P352=0),"Stop : "&amp;'Paramètres'!$B$21&amp;" tentatives sans réponse",IF(AND(D352="Proposition",AR352&lt;&gt;"",TODAY()&gt;N(AR352)),"Proposition expirée",IF(AND(D352="Proposition",N(R352)&gt;='Paramètres'!$B$25),"Proposition sans réponse",IF(AND(G352&lt;&gt;"",N(G352)&lt;TODAY()),"Relance en retard",IF(N(R352)&gt;='Paramètres'!$B$24,"Sans action depuis "&amp;R352&amp;" j",""))))))))</f>
        <v/>
      </c>
      <c r="G352" s="106">
        <f>IF(OR(C352="",D352="Gagné",D352="Perdu"),"",IF(AND(BP352&gt;0,BP352=BQ352),INDEX('Saisie'!$J$5:$J$2004,BP352-4),IF(OR(O352=0,AND(O352&gt;='Paramètres'!$B$21,P352=0)),"",Q352+IF(O352&lt;=1,'Paramètres'!$B$18,IF(O352=2,'Paramètres'!$B$19,'Paramètres'!$B$20)))))</f>
        <v/>
      </c>
      <c r="H352" s="107">
        <f>IF(OR(G352="",BP352&lt;&gt;BQ352),"",IF(INDEX('Saisie'!$K$5:$K$2004,BP352-4)="","",INDEX('Saisie'!$K$5:$K$2004,BP352-4)))</f>
        <v/>
      </c>
      <c r="I352" s="60">
        <f>IF(C352="","",IF(OR(D352="Gagné",D352="Perdu"),"",IFERROR(INDEX('Saisie'!$I$5:$I$2004,_xlfn.MAXIFS('Saisie'!$AS$5:$AS$2004,'Saisie'!$C$5:$C$2004,C352,'Saisie'!$I$5:$I$2004,"&lt;&gt;")-4),"")))</f>
        <v/>
      </c>
      <c r="J352" s="60">
        <f>IF(C352="","",IFERROR(INDEX('Saisie'!$U$5:$U$2004,_xlfn.MAXIFS('Saisie'!$AS$5:$AS$2004,'Saisie'!$C$5:$C$2004,C352,'Saisie'!$U$5:$U$2004,"&lt;&gt;")-4),""))</f>
        <v/>
      </c>
      <c r="K352" s="60">
        <f>IF(C352="","",IFERROR(INDEX('Saisie'!$W$5:$W$2004,_xlfn.MAXIFS('Saisie'!$AS$5:$AS$2004,'Saisie'!$C$5:$C$2004,C352,'Saisie'!$W$5:$W$2004,"&lt;&gt;")-4),""))</f>
        <v/>
      </c>
      <c r="L352" s="60">
        <f>IF(IF(BB352&lt;&gt;"",BB352,K352)="","",HYPERLINK("https://wa.me/"&amp;IF(LEFT(SUBSTITUTE(SUBSTITUTE(SUBSTITUTE(IF(BB352&lt;&gt;"",BB352,K352)," ",""),".",""),"+",""),1)="0",'Paramètres'!$B$35&amp;MID(SUBSTITUTE(SUBSTITUTE(SUBSTITUTE(IF(BB352&lt;&gt;"",BB352,K352)," ",""),".",""),"+",""),2,20),SUBSTITUTE(SUBSTITUTE(SUBSTITUTE(IF(BB352&lt;&gt;"",BB352,K352)," ",""),".",""),"+","")),"WhatsApp"))</f>
        <v/>
      </c>
      <c r="M352" s="60">
        <f>IF(BC352="","",HYPERLINK(IF(LEFT(BC352,4)="http",BC352,"https://www.instagram.com/"&amp;SUBSTITUTE(SUBSTITUTE(BC352,"@","")," ","")),BC352))</f>
        <v/>
      </c>
      <c r="N352" s="60">
        <f>IF(C352="","",IFERROR(INDEX('Saisie'!$D$5:$D$2004,_xlfn.MINIFS('Saisie'!$AS$5:$AS$2004,'Saisie'!$C$5:$C$2004,C352,'Saisie'!$AU$5:$AU$2004,1)-4),IFERROR(INDEX('Saisie'!$D$5:$D$2004,_xlfn.MINIFS('Saisie'!$AS$5:$AS$2004,'Saisie'!$C$5:$C$2004,C352,'Saisie'!$D$5:$D$2004,"&lt;&gt;")-4),"")))</f>
        <v/>
      </c>
      <c r="O352" s="60">
        <f>IF(C352="","",COUNTIFS('Saisie'!$C$5:$C$2004,C352,'Saisie'!$AU$5:$AU$2004,1))</f>
        <v/>
      </c>
      <c r="P352" s="60">
        <f>IF(C352="","",COUNTIFS('Saisie'!$C$5:$C$2004,C352,'Saisie'!$AV$5:$AV$2004,1))</f>
        <v/>
      </c>
      <c r="Q352" s="106">
        <f>IF(C352="","",IFERROR(1/(1/_xlfn.MAXIFS('Saisie'!$A$5:$A$2004,'Saisie'!$C$5:$C$2004,C352)),""))</f>
        <v/>
      </c>
      <c r="R352" s="61">
        <f>IF(C352="","",IF(Q352="","",TODAY()-Q352))</f>
        <v/>
      </c>
      <c r="S352" s="60">
        <f>IF(C352="","",IFERROR(INDEX('Saisie'!$R$5:$R$2004,_xlfn.MAXIFS('Saisie'!$AS$5:$AS$2004,'Saisie'!$C$5:$C$2004,C352,'Saisie'!$R$5:$R$2004,"&lt;&gt;")-4),""))</f>
        <v/>
      </c>
      <c r="T352" s="60">
        <f>IF(C352="","",IFERROR(INDEX('Saisie'!$S$5:$S$2004,_xlfn.MAXIFS('Saisie'!$AS$5:$AS$2004,'Saisie'!$C$5:$C$2004,C352,'Saisie'!$S$5:$S$2004,"&lt;&gt;")-4),""))</f>
        <v/>
      </c>
      <c r="U352" s="60">
        <f>IF(C352="","",IFERROR(INDEX('Saisie'!$T$5:$T$2004,_xlfn.MAXIFS('Saisie'!$AS$5:$AS$2004,'Saisie'!$C$5:$C$2004,C352,'Saisie'!$T$5:$T$2004,"&lt;&gt;")-4),""))</f>
        <v/>
      </c>
      <c r="V352" s="60">
        <f>IF(C352="","",IFERROR(INDEX('Saisie'!$V$5:$V$2004,_xlfn.MAXIFS('Saisie'!$AS$5:$AS$2004,'Saisie'!$C$5:$C$2004,C352,'Saisie'!$V$5:$V$2004,"&lt;&gt;")-4),""))</f>
        <v/>
      </c>
      <c r="W352" s="60">
        <f>IF(C352="","",IFERROR(INDEX('Saisie'!$Z$5:$Z$2004,_xlfn.MAXIFS('Saisie'!$AS$5:$AS$2004,'Saisie'!$C$5:$C$2004,C352,'Saisie'!$Z$5:$Z$2004,"&lt;&gt;")-4),""))</f>
        <v/>
      </c>
      <c r="X352" s="60">
        <f>IF(C352="","",IFERROR(INDEX('Saisie'!$AA$5:$AA$2004,_xlfn.MAXIFS('Saisie'!$AS$5:$AS$2004,'Saisie'!$C$5:$C$2004,C352,'Saisie'!$AA$5:$AA$2004,"&lt;&gt;")-4),""))</f>
        <v/>
      </c>
      <c r="Y352" s="60">
        <f>IF(C352="","",IFERROR(INDEX('Saisie'!$AB$5:$AB$2004,_xlfn.MAXIFS('Saisie'!$AS$5:$AS$2004,'Saisie'!$C$5:$C$2004,C352,'Saisie'!$AB$5:$AB$2004,"&lt;&gt;")-4),""))</f>
        <v/>
      </c>
      <c r="Z352" s="60">
        <f>IF(C352="","",IFERROR(INDEX('Saisie'!$AC$5:$AC$2004,_xlfn.MAXIFS('Saisie'!$AS$5:$AS$2004,'Saisie'!$C$5:$C$2004,C352,'Saisie'!$AC$5:$AC$2004,"&lt;&gt;")-4),""))</f>
        <v/>
      </c>
      <c r="AA352" s="106">
        <f>IF(C352="","",IFERROR(INDEX('Saisie'!$AD$5:$AD$2004,_xlfn.MAXIFS('Saisie'!$AS$5:$AS$2004,'Saisie'!$C$5:$C$2004,C352,'Saisie'!$AD$5:$AD$2004,"&lt;&gt;")-4),""))</f>
        <v/>
      </c>
      <c r="AB352" s="60">
        <f>IF(C352="","",IFERROR(INDEX('Saisie'!$AE$5:$AE$2004,_xlfn.MAXIFS('Saisie'!$AS$5:$AS$2004,'Saisie'!$C$5:$C$2004,C352,'Saisie'!$AE$5:$AE$2004,"&lt;&gt;")-4),""))</f>
        <v/>
      </c>
      <c r="AC352" s="60">
        <f>IF(C352="","",IFERROR(INDEX('Saisie'!$AF$5:$AF$2004,_xlfn.MAXIFS('Saisie'!$AS$5:$AS$2004,'Saisie'!$C$5:$C$2004,C352,'Saisie'!$AF$5:$AF$2004,"&lt;&gt;")-4),""))</f>
        <v/>
      </c>
      <c r="AD352" s="108">
        <f>IF(C352="","",IFERROR(INDEX('Saisie'!$AG$5:$AG$2004,_xlfn.MAXIFS('Saisie'!$AS$5:$AS$2004,'Saisie'!$C$5:$C$2004,C352,'Saisie'!$AG$5:$AG$2004,"&lt;&gt;")-4),""))</f>
        <v/>
      </c>
      <c r="AE352" s="60">
        <f>IF(C352="","",IFERROR(INDEX('Saisie'!$AH$5:$AH$2004,_xlfn.MAXIFS('Saisie'!$AS$5:$AS$2004,'Saisie'!$C$5:$C$2004,C352,'Saisie'!$AH$5:$AH$2004,"&lt;&gt;")-4),""))</f>
        <v/>
      </c>
      <c r="AF352" s="60">
        <f>IF(C352="","",IFERROR(INDEX('Saisie'!$AI$5:$AI$2004,_xlfn.MAXIFS('Saisie'!$AS$5:$AS$2004,'Saisie'!$C$5:$C$2004,C352,'Saisie'!$AI$5:$AI$2004,"&lt;&gt;")-4),""))</f>
        <v/>
      </c>
      <c r="AG352" s="60">
        <f>IF(C352="","",IFERROR(INDEX('Saisie'!$AJ$5:$AJ$2004,_xlfn.MAXIFS('Saisie'!$AS$5:$AS$2004,'Saisie'!$C$5:$C$2004,C352,'Saisie'!$AJ$5:$AJ$2004,"&lt;&gt;")-4),""))</f>
        <v/>
      </c>
      <c r="AH352" s="60">
        <f>IF(C352="","",IFERROR(INDEX('Saisie'!$AK$5:$AK$2004,_xlfn.MAXIFS('Saisie'!$AS$5:$AS$2004,'Saisie'!$C$5:$C$2004,C352,'Saisie'!$AK$5:$AK$2004,"&lt;&gt;")-4),""))</f>
        <v/>
      </c>
      <c r="AI352" s="60">
        <f>IF(C352="","",IFERROR(INDEX('Saisie'!$AN$5:$AN$2004,_xlfn.MAXIFS('Saisie'!$AS$5:$AS$2004,'Saisie'!$C$5:$C$2004,C352,'Saisie'!$AN$5:$AN$2004,"&lt;&gt;")-4),""))</f>
        <v/>
      </c>
      <c r="AJ352" s="60">
        <f>IF(C352="","",IFERROR(INDEX('Saisie'!$AO$5:$AO$2004,_xlfn.MAXIFS('Saisie'!$AS$5:$AS$2004,'Saisie'!$C$5:$C$2004,C352,'Saisie'!$AO$5:$AO$2004,"&lt;&gt;")-4),""))</f>
        <v/>
      </c>
      <c r="AK352" s="60">
        <f>IF(C352="","",IFERROR(INDEX('Saisie'!$AP$5:$AP$2004,_xlfn.MAXIFS('Saisie'!$AS$5:$AS$2004,'Saisie'!$C$5:$C$2004,C352,'Saisie'!$AP$5:$AP$2004,"&lt;&gt;")-4),""))</f>
        <v/>
      </c>
      <c r="AL352" s="60">
        <f>IF(C352="","",IFERROR(INDEX('Saisie'!$AQ$5:$AQ$2004,_xlfn.MAXIFS('Saisie'!$AS$5:$AS$2004,'Saisie'!$C$5:$C$2004,C352,'Saisie'!$AQ$5:$AQ$2004,"&lt;&gt;")-4),""))</f>
        <v/>
      </c>
      <c r="AM352" s="60">
        <f>IF(C352="","",((AI352="Oui")+(AJ352="Oui")+(AK352="Oui")+OR(AL352="Immédiat",AL352="&lt; 1 mois"))&amp;"/4")</f>
        <v/>
      </c>
      <c r="AN352" s="60">
        <f>IF(C352="","",IFERROR(INDEX('Saisie'!$AL$5:$AL$2004,_xlfn.MAXIFS('Saisie'!$AS$5:$AS$2004,'Saisie'!$C$5:$C$2004,C352,'Saisie'!$AL$5:$AL$2004,"&lt;&gt;")-4),""))</f>
        <v/>
      </c>
      <c r="AO352" s="62">
        <f>IF(C352="","",IF(IFERROR(INDEX('Saisie'!$AM$5:$AM$2004,_xlfn.MAXIFS('Saisie'!$AS$5:$AS$2004,'Saisie'!$C$5:$C$2004,C352,'Saisie'!$AM$5:$AM$2004,"&lt;&gt;")-4),"")&lt;&gt;"",IFERROR(INDEX('Saisie'!$AM$5:$AM$2004,_xlfn.MAXIFS('Saisie'!$AS$5:$AS$2004,'Saisie'!$C$5:$C$2004,C352,'Saisie'!$AM$5:$AM$2004,"&lt;&gt;")-4),""),IFERROR(INDEX('Paramètres'!$S$6:$S$15,MATCH(AN352,'Paramètres'!$Q$6:$Q$15,0)),"")))</f>
        <v/>
      </c>
      <c r="AP352" s="62">
        <f>IF(C352="","",IFERROR(INDEX('Saisie'!$AW$5:$AW$2004,_xlfn.MAXIFS('Saisie'!$AS$5:$AS$2004,'Saisie'!$C$5:$C$2004,C352,'Saisie'!$E$5:$E$2004,"Proposition envoyée")-4),""))</f>
        <v/>
      </c>
      <c r="AQ352" s="106">
        <f>IF(C352="","",IFERROR(1/(1/_xlfn.MAXIFS('Saisie'!$A$5:$A$2004,'Saisie'!$C$5:$C$2004,C352,'Saisie'!$E$5:$E$2004,"Proposition envoyée")),""))</f>
        <v/>
      </c>
      <c r="AR352" s="106">
        <f>IF(C352="","",IF(AQ352="","",AQ352+'Paramètres'!$B$26))</f>
        <v/>
      </c>
      <c r="AS352" s="62">
        <f>IF(OR(C352="",D352="Gagné",D352="Perdu"),0,N(AP352)*IFERROR(INDEX('Paramètres'!$G$6:$G$13,MATCH(D352,'Paramètres'!$F$6:$F$13,0)),0))</f>
        <v/>
      </c>
      <c r="AT352" s="106">
        <f>IF(C352="","",IFERROR(1/(1/_xlfn.MINIFS('Saisie'!$A$5:$A$2004,'Saisie'!$C$5:$C$2004,C352,'Saisie'!$E$5:$E$2004,"Signature")),""))</f>
        <v/>
      </c>
      <c r="AU352" s="60">
        <f>IF(C352="","",IF(OR(AT352="",B352=""),"",AT352-B352))</f>
        <v/>
      </c>
      <c r="AV352" s="60">
        <f>IF(C352="","",IFERROR(INDEX('Saisie'!$L$5:$L$2004,_xlfn.MAXIFS('Saisie'!$AS$5:$AS$2004,'Saisie'!$C$5:$C$2004,C352,'Saisie'!$L$5:$L$2004,"&lt;&gt;")-4),""))</f>
        <v/>
      </c>
      <c r="AW352" s="106">
        <f>IF(C352="","",IF(D352&lt;&gt;"Perdu","",IFERROR(1/(1/_xlfn.MAXIFS('Saisie'!$A$5:$A$2004,'Saisie'!$C$5:$C$2004,C352,'Saisie'!$E$5:$E$2004,"Perdu")),"")))</f>
        <v/>
      </c>
      <c r="AX352" s="106">
        <f>IF(C352="","",IF(AW352="","",AW352+'Paramètres'!$B$28))</f>
        <v/>
      </c>
      <c r="AY352" s="60">
        <f>IF(C352="","",SUMIFS('Saisie'!$H$5:$H$2004,'Saisie'!$C$5:$C$2004,C352))</f>
        <v/>
      </c>
      <c r="AZ352" s="60">
        <f>IF(C352="","",IFERROR(INDEX('Paramètres'!$W$6:$W$20,MATCH(S352,'Paramètres'!$V$6:$V$20,0))&amp;"",""))</f>
        <v/>
      </c>
      <c r="BA352" s="60">
        <f>IF(C352="","",MAX(1,_xlfn.MAXIFS('Saisie'!$AT$5:$AT$2004,'Saisie'!$C$5:$C$2004,C352)))</f>
        <v/>
      </c>
      <c r="BB352" s="60">
        <f>IF(C352="","",IFERROR(INDEX('Saisie'!$X$5:$X$2004,_xlfn.MAXIFS('Saisie'!$AS$5:$AS$2004,'Saisie'!$C$5:$C$2004,C352,'Saisie'!$X$5:$X$2004,"&lt;&gt;")-4),""))</f>
        <v/>
      </c>
      <c r="BC352" s="60">
        <f>IF(C352="","",IFERROR(INDEX('Saisie'!$Y$5:$Y$2004,_xlfn.MAXIFS('Saisie'!$AS$5:$AS$2004,'Saisie'!$C$5:$C$2004,C352,'Saisie'!$Y$5:$Y$2004,"&lt;&gt;")-4),""))</f>
        <v/>
      </c>
      <c r="BD352" s="106">
        <f>IF(C352="","",IFERROR(1/(1/_xlfn.MINIFS('Saisie'!$A$5:$A$2004,'Saisie'!$C$5:$C$2004,C352,'Saisie'!$AT$5:$AT$2004,"&gt;=2")),""))</f>
        <v/>
      </c>
      <c r="BE352" s="106">
        <f>IF(C352="","",IFERROR(1/(1/_xlfn.MINIFS('Saisie'!$A$5:$A$2004,'Saisie'!$C$5:$C$2004,C352,'Saisie'!$AT$5:$AT$2004,"&gt;=3")),""))</f>
        <v/>
      </c>
      <c r="BF352" s="106">
        <f>IF(C352="","",IFERROR(1/(1/_xlfn.MINIFS('Saisie'!$A$5:$A$2004,'Saisie'!$C$5:$C$2004,C352,'Saisie'!$AT$5:$AT$2004,"&gt;=4")),""))</f>
        <v/>
      </c>
      <c r="BG352" s="106">
        <f>IF(C352="","",IFERROR(1/(1/_xlfn.MINIFS('Saisie'!$A$5:$A$2004,'Saisie'!$C$5:$C$2004,C352,'Saisie'!$AT$5:$AT$2004,"&gt;=5")),""))</f>
        <v/>
      </c>
      <c r="BH352" s="106">
        <f>IF(C352="","",IFERROR(1/(1/_xlfn.MINIFS('Saisie'!$A$5:$A$2004,'Saisie'!$C$5:$C$2004,C352,'Saisie'!$AT$5:$AT$2004,"&gt;=6")),""))</f>
        <v/>
      </c>
      <c r="BI352" s="106">
        <f>IF(C352="","",IFERROR(1/(1/_xlfn.MINIFS('Saisie'!$A$5:$A$2004,'Saisie'!$C$5:$C$2004,C352,'Saisie'!$AT$5:$AT$2004,"&gt;=7")),""))</f>
        <v/>
      </c>
      <c r="BJ352" s="60">
        <f>IF(OR(BD352="",B352=""),"",BD352-B352)</f>
        <v/>
      </c>
      <c r="BK352" s="60">
        <f>IF(OR(BE352="",BD352=""),"",BE352-BD352)</f>
        <v/>
      </c>
      <c r="BL352" s="60">
        <f>IF(OR(BF352="",BE352=""),"",BF352-BE352)</f>
        <v/>
      </c>
      <c r="BM352" s="60">
        <f>IF(OR(BG352="",BF352=""),"",BG352-BF352)</f>
        <v/>
      </c>
      <c r="BN352" s="60">
        <f>IF(OR(BH352="",BG352=""),"",BH352-BG352)</f>
        <v/>
      </c>
      <c r="BO352" s="60">
        <f>IF(OR(BI352="",BH352=""),"",BI352-BH352)</f>
        <v/>
      </c>
      <c r="BP352" s="60">
        <f>IF(C352="","",_xlfn.MAXIFS('Saisie'!$AS$5:$AS$2004,'Saisie'!$C$5:$C$2004,C352,'Saisie'!$J$5:$J$2004,"&lt;&gt;"))</f>
        <v/>
      </c>
      <c r="BQ352" s="60">
        <f>IF(C352="","",_xlfn.MAXIFS('Saisie'!$AS$5:$AS$2004,'Saisie'!$C$5:$C$2004,C352))</f>
        <v/>
      </c>
      <c r="BR352" s="60">
        <f>IF(C352="","",_xlfn.MAXIFS('Saisie'!$AS$5:$AS$2004,'Saisie'!$C$5:$C$2004,C352,'Saisie'!$E$5:$E$2004,"Perdu"))</f>
        <v/>
      </c>
      <c r="BS352" s="60">
        <f>IF(C352="","",_xlfn.MAXIFS('Saisie'!$AS$5:$AS$2004,'Saisie'!$C$5:$C$2004,C352,'Saisie'!$AT$5:$AT$2004,"&gt;0"))</f>
        <v/>
      </c>
      <c r="BT352" s="109">
        <f>IF(AND(C352&lt;&gt;"",OR(D352="Nouveau",D352="Contacté",D352="Qualifié"),OR(G352="",N(G352)&lt;=TODAY()),NOT(AND(O352&gt;='Paramètres'!$B$21,P352=0))),E352+348/10000,"")</f>
        <v/>
      </c>
      <c r="BU352" s="60">
        <f>IF(AND(G352&lt;&gt;"",N(G352)&lt;=TODAY()),MAX($BU$4:BU351)+1,"")</f>
        <v/>
      </c>
      <c r="BV352" s="60">
        <f>IF(AND(F352&lt;&gt;"",F352&lt;&gt;"Relance en retard"),MAX($BV$4:BV351)+1,"")</f>
        <v/>
      </c>
      <c r="BW352" s="60">
        <f>IF(C352="","",IF(AND(B352&gt;='Tableau de bord'!$R$4,B352&lt;='Tableau de bord'!$S$4,OR('Tableau de bord'!$G$4="Tous",N352='Tableau de bord'!$G$4)),1,0))</f>
        <v/>
      </c>
      <c r="BX352" s="60">
        <f>IF(AND(C352&lt;&gt;"",N(BA352)=7),MAX($BX$4:BX351)+1,"")</f>
        <v/>
      </c>
    </row>
    <row r="353">
      <c r="A353" s="60">
        <f>IF(C353="","","P-"&amp;TEXT(349,"000"))</f>
        <v/>
      </c>
      <c r="B353" s="106">
        <f>IF(C353="","",IFERROR(1/(1/_xlfn.MINIFS('Saisie'!$A$5:$A$2004,'Saisie'!$C$5:$C$2004,C353)),""))</f>
        <v/>
      </c>
      <c r="C353" s="60">
        <f>IFERROR(INDEX('Saisie'!$C$5:$C$2004,MATCH(349,'Saisie'!$AX$5:$AX$2004,0)),"")</f>
        <v/>
      </c>
      <c r="D353" s="60">
        <f>IF(C353="","",IF(AND(BR353&gt;0,BR353&gt;BS353,BA353&lt;7),"Perdu",INDEX('Paramètres'!$F$6:$F$13,BA353)))</f>
        <v/>
      </c>
      <c r="E353" s="61">
        <f>IF(C353="","",MIN(100,(Z353="Oui")*'Paramètres'!$B$38+(AB353="Régulière")*'Paramètres'!$B$39+IF(AND(N(AA353)&gt;0,TODAY()-N(AA353)&lt;=30),'Paramètres'!$B$40,0)+(W353="")*'Paramètres'!$B$41+(AC353="Absente")*'Paramètres'!$B$42+(AC353="Faible")*'Paramètres'!$B$43+IF(AND(N(AD353)&gt;0,N(AD353)&lt;4),'Paramètres'!$B$44,0)+(AF353="Moyenne")*'Paramètres'!$B$45+(AF353="Grande")*'Paramètres'!$B$46+(Y353&lt;&gt;"")*'Paramètres'!$B$47))</f>
        <v/>
      </c>
      <c r="F353" s="60">
        <f>IF(C353="","",IF(D353="Gagné","",IF(D353="Perdu",IF(AND(AX353&lt;&gt;"",AX353&lt;=TODAY()),"À recontacter (perdu)",""),IF(AND(O353&gt;='Paramètres'!$B$21,P353=0),"Stop : "&amp;'Paramètres'!$B$21&amp;" tentatives sans réponse",IF(AND(D353="Proposition",AR353&lt;&gt;"",TODAY()&gt;N(AR353)),"Proposition expirée",IF(AND(D353="Proposition",N(R353)&gt;='Paramètres'!$B$25),"Proposition sans réponse",IF(AND(G353&lt;&gt;"",N(G353)&lt;TODAY()),"Relance en retard",IF(N(R353)&gt;='Paramètres'!$B$24,"Sans action depuis "&amp;R353&amp;" j",""))))))))</f>
        <v/>
      </c>
      <c r="G353" s="106">
        <f>IF(OR(C353="",D353="Gagné",D353="Perdu"),"",IF(AND(BP353&gt;0,BP353=BQ353),INDEX('Saisie'!$J$5:$J$2004,BP353-4),IF(OR(O353=0,AND(O353&gt;='Paramètres'!$B$21,P353=0)),"",Q353+IF(O353&lt;=1,'Paramètres'!$B$18,IF(O353=2,'Paramètres'!$B$19,'Paramètres'!$B$20)))))</f>
        <v/>
      </c>
      <c r="H353" s="107">
        <f>IF(OR(G353="",BP353&lt;&gt;BQ353),"",IF(INDEX('Saisie'!$K$5:$K$2004,BP353-4)="","",INDEX('Saisie'!$K$5:$K$2004,BP353-4)))</f>
        <v/>
      </c>
      <c r="I353" s="60">
        <f>IF(C353="","",IF(OR(D353="Gagné",D353="Perdu"),"",IFERROR(INDEX('Saisie'!$I$5:$I$2004,_xlfn.MAXIFS('Saisie'!$AS$5:$AS$2004,'Saisie'!$C$5:$C$2004,C353,'Saisie'!$I$5:$I$2004,"&lt;&gt;")-4),"")))</f>
        <v/>
      </c>
      <c r="J353" s="60">
        <f>IF(C353="","",IFERROR(INDEX('Saisie'!$U$5:$U$2004,_xlfn.MAXIFS('Saisie'!$AS$5:$AS$2004,'Saisie'!$C$5:$C$2004,C353,'Saisie'!$U$5:$U$2004,"&lt;&gt;")-4),""))</f>
        <v/>
      </c>
      <c r="K353" s="60">
        <f>IF(C353="","",IFERROR(INDEX('Saisie'!$W$5:$W$2004,_xlfn.MAXIFS('Saisie'!$AS$5:$AS$2004,'Saisie'!$C$5:$C$2004,C353,'Saisie'!$W$5:$W$2004,"&lt;&gt;")-4),""))</f>
        <v/>
      </c>
      <c r="L353" s="60">
        <f>IF(IF(BB353&lt;&gt;"",BB353,K353)="","",HYPERLINK("https://wa.me/"&amp;IF(LEFT(SUBSTITUTE(SUBSTITUTE(SUBSTITUTE(IF(BB353&lt;&gt;"",BB353,K353)," ",""),".",""),"+",""),1)="0",'Paramètres'!$B$35&amp;MID(SUBSTITUTE(SUBSTITUTE(SUBSTITUTE(IF(BB353&lt;&gt;"",BB353,K353)," ",""),".",""),"+",""),2,20),SUBSTITUTE(SUBSTITUTE(SUBSTITUTE(IF(BB353&lt;&gt;"",BB353,K353)," ",""),".",""),"+","")),"WhatsApp"))</f>
        <v/>
      </c>
      <c r="M353" s="60">
        <f>IF(BC353="","",HYPERLINK(IF(LEFT(BC353,4)="http",BC353,"https://www.instagram.com/"&amp;SUBSTITUTE(SUBSTITUTE(BC353,"@","")," ","")),BC353))</f>
        <v/>
      </c>
      <c r="N353" s="60">
        <f>IF(C353="","",IFERROR(INDEX('Saisie'!$D$5:$D$2004,_xlfn.MINIFS('Saisie'!$AS$5:$AS$2004,'Saisie'!$C$5:$C$2004,C353,'Saisie'!$AU$5:$AU$2004,1)-4),IFERROR(INDEX('Saisie'!$D$5:$D$2004,_xlfn.MINIFS('Saisie'!$AS$5:$AS$2004,'Saisie'!$C$5:$C$2004,C353,'Saisie'!$D$5:$D$2004,"&lt;&gt;")-4),"")))</f>
        <v/>
      </c>
      <c r="O353" s="60">
        <f>IF(C353="","",COUNTIFS('Saisie'!$C$5:$C$2004,C353,'Saisie'!$AU$5:$AU$2004,1))</f>
        <v/>
      </c>
      <c r="P353" s="60">
        <f>IF(C353="","",COUNTIFS('Saisie'!$C$5:$C$2004,C353,'Saisie'!$AV$5:$AV$2004,1))</f>
        <v/>
      </c>
      <c r="Q353" s="106">
        <f>IF(C353="","",IFERROR(1/(1/_xlfn.MAXIFS('Saisie'!$A$5:$A$2004,'Saisie'!$C$5:$C$2004,C353)),""))</f>
        <v/>
      </c>
      <c r="R353" s="61">
        <f>IF(C353="","",IF(Q353="","",TODAY()-Q353))</f>
        <v/>
      </c>
      <c r="S353" s="60">
        <f>IF(C353="","",IFERROR(INDEX('Saisie'!$R$5:$R$2004,_xlfn.MAXIFS('Saisie'!$AS$5:$AS$2004,'Saisie'!$C$5:$C$2004,C353,'Saisie'!$R$5:$R$2004,"&lt;&gt;")-4),""))</f>
        <v/>
      </c>
      <c r="T353" s="60">
        <f>IF(C353="","",IFERROR(INDEX('Saisie'!$S$5:$S$2004,_xlfn.MAXIFS('Saisie'!$AS$5:$AS$2004,'Saisie'!$C$5:$C$2004,C353,'Saisie'!$S$5:$S$2004,"&lt;&gt;")-4),""))</f>
        <v/>
      </c>
      <c r="U353" s="60">
        <f>IF(C353="","",IFERROR(INDEX('Saisie'!$T$5:$T$2004,_xlfn.MAXIFS('Saisie'!$AS$5:$AS$2004,'Saisie'!$C$5:$C$2004,C353,'Saisie'!$T$5:$T$2004,"&lt;&gt;")-4),""))</f>
        <v/>
      </c>
      <c r="V353" s="60">
        <f>IF(C353="","",IFERROR(INDEX('Saisie'!$V$5:$V$2004,_xlfn.MAXIFS('Saisie'!$AS$5:$AS$2004,'Saisie'!$C$5:$C$2004,C353,'Saisie'!$V$5:$V$2004,"&lt;&gt;")-4),""))</f>
        <v/>
      </c>
      <c r="W353" s="60">
        <f>IF(C353="","",IFERROR(INDEX('Saisie'!$Z$5:$Z$2004,_xlfn.MAXIFS('Saisie'!$AS$5:$AS$2004,'Saisie'!$C$5:$C$2004,C353,'Saisie'!$Z$5:$Z$2004,"&lt;&gt;")-4),""))</f>
        <v/>
      </c>
      <c r="X353" s="60">
        <f>IF(C353="","",IFERROR(INDEX('Saisie'!$AA$5:$AA$2004,_xlfn.MAXIFS('Saisie'!$AS$5:$AS$2004,'Saisie'!$C$5:$C$2004,C353,'Saisie'!$AA$5:$AA$2004,"&lt;&gt;")-4),""))</f>
        <v/>
      </c>
      <c r="Y353" s="60">
        <f>IF(C353="","",IFERROR(INDEX('Saisie'!$AB$5:$AB$2004,_xlfn.MAXIFS('Saisie'!$AS$5:$AS$2004,'Saisie'!$C$5:$C$2004,C353,'Saisie'!$AB$5:$AB$2004,"&lt;&gt;")-4),""))</f>
        <v/>
      </c>
      <c r="Z353" s="60">
        <f>IF(C353="","",IFERROR(INDEX('Saisie'!$AC$5:$AC$2004,_xlfn.MAXIFS('Saisie'!$AS$5:$AS$2004,'Saisie'!$C$5:$C$2004,C353,'Saisie'!$AC$5:$AC$2004,"&lt;&gt;")-4),""))</f>
        <v/>
      </c>
      <c r="AA353" s="106">
        <f>IF(C353="","",IFERROR(INDEX('Saisie'!$AD$5:$AD$2004,_xlfn.MAXIFS('Saisie'!$AS$5:$AS$2004,'Saisie'!$C$5:$C$2004,C353,'Saisie'!$AD$5:$AD$2004,"&lt;&gt;")-4),""))</f>
        <v/>
      </c>
      <c r="AB353" s="60">
        <f>IF(C353="","",IFERROR(INDEX('Saisie'!$AE$5:$AE$2004,_xlfn.MAXIFS('Saisie'!$AS$5:$AS$2004,'Saisie'!$C$5:$C$2004,C353,'Saisie'!$AE$5:$AE$2004,"&lt;&gt;")-4),""))</f>
        <v/>
      </c>
      <c r="AC353" s="60">
        <f>IF(C353="","",IFERROR(INDEX('Saisie'!$AF$5:$AF$2004,_xlfn.MAXIFS('Saisie'!$AS$5:$AS$2004,'Saisie'!$C$5:$C$2004,C353,'Saisie'!$AF$5:$AF$2004,"&lt;&gt;")-4),""))</f>
        <v/>
      </c>
      <c r="AD353" s="108">
        <f>IF(C353="","",IFERROR(INDEX('Saisie'!$AG$5:$AG$2004,_xlfn.MAXIFS('Saisie'!$AS$5:$AS$2004,'Saisie'!$C$5:$C$2004,C353,'Saisie'!$AG$5:$AG$2004,"&lt;&gt;")-4),""))</f>
        <v/>
      </c>
      <c r="AE353" s="60">
        <f>IF(C353="","",IFERROR(INDEX('Saisie'!$AH$5:$AH$2004,_xlfn.MAXIFS('Saisie'!$AS$5:$AS$2004,'Saisie'!$C$5:$C$2004,C353,'Saisie'!$AH$5:$AH$2004,"&lt;&gt;")-4),""))</f>
        <v/>
      </c>
      <c r="AF353" s="60">
        <f>IF(C353="","",IFERROR(INDEX('Saisie'!$AI$5:$AI$2004,_xlfn.MAXIFS('Saisie'!$AS$5:$AS$2004,'Saisie'!$C$5:$C$2004,C353,'Saisie'!$AI$5:$AI$2004,"&lt;&gt;")-4),""))</f>
        <v/>
      </c>
      <c r="AG353" s="60">
        <f>IF(C353="","",IFERROR(INDEX('Saisie'!$AJ$5:$AJ$2004,_xlfn.MAXIFS('Saisie'!$AS$5:$AS$2004,'Saisie'!$C$5:$C$2004,C353,'Saisie'!$AJ$5:$AJ$2004,"&lt;&gt;")-4),""))</f>
        <v/>
      </c>
      <c r="AH353" s="60">
        <f>IF(C353="","",IFERROR(INDEX('Saisie'!$AK$5:$AK$2004,_xlfn.MAXIFS('Saisie'!$AS$5:$AS$2004,'Saisie'!$C$5:$C$2004,C353,'Saisie'!$AK$5:$AK$2004,"&lt;&gt;")-4),""))</f>
        <v/>
      </c>
      <c r="AI353" s="60">
        <f>IF(C353="","",IFERROR(INDEX('Saisie'!$AN$5:$AN$2004,_xlfn.MAXIFS('Saisie'!$AS$5:$AS$2004,'Saisie'!$C$5:$C$2004,C353,'Saisie'!$AN$5:$AN$2004,"&lt;&gt;")-4),""))</f>
        <v/>
      </c>
      <c r="AJ353" s="60">
        <f>IF(C353="","",IFERROR(INDEX('Saisie'!$AO$5:$AO$2004,_xlfn.MAXIFS('Saisie'!$AS$5:$AS$2004,'Saisie'!$C$5:$C$2004,C353,'Saisie'!$AO$5:$AO$2004,"&lt;&gt;")-4),""))</f>
        <v/>
      </c>
      <c r="AK353" s="60">
        <f>IF(C353="","",IFERROR(INDEX('Saisie'!$AP$5:$AP$2004,_xlfn.MAXIFS('Saisie'!$AS$5:$AS$2004,'Saisie'!$C$5:$C$2004,C353,'Saisie'!$AP$5:$AP$2004,"&lt;&gt;")-4),""))</f>
        <v/>
      </c>
      <c r="AL353" s="60">
        <f>IF(C353="","",IFERROR(INDEX('Saisie'!$AQ$5:$AQ$2004,_xlfn.MAXIFS('Saisie'!$AS$5:$AS$2004,'Saisie'!$C$5:$C$2004,C353,'Saisie'!$AQ$5:$AQ$2004,"&lt;&gt;")-4),""))</f>
        <v/>
      </c>
      <c r="AM353" s="60">
        <f>IF(C353="","",((AI353="Oui")+(AJ353="Oui")+(AK353="Oui")+OR(AL353="Immédiat",AL353="&lt; 1 mois"))&amp;"/4")</f>
        <v/>
      </c>
      <c r="AN353" s="60">
        <f>IF(C353="","",IFERROR(INDEX('Saisie'!$AL$5:$AL$2004,_xlfn.MAXIFS('Saisie'!$AS$5:$AS$2004,'Saisie'!$C$5:$C$2004,C353,'Saisie'!$AL$5:$AL$2004,"&lt;&gt;")-4),""))</f>
        <v/>
      </c>
      <c r="AO353" s="62">
        <f>IF(C353="","",IF(IFERROR(INDEX('Saisie'!$AM$5:$AM$2004,_xlfn.MAXIFS('Saisie'!$AS$5:$AS$2004,'Saisie'!$C$5:$C$2004,C353,'Saisie'!$AM$5:$AM$2004,"&lt;&gt;")-4),"")&lt;&gt;"",IFERROR(INDEX('Saisie'!$AM$5:$AM$2004,_xlfn.MAXIFS('Saisie'!$AS$5:$AS$2004,'Saisie'!$C$5:$C$2004,C353,'Saisie'!$AM$5:$AM$2004,"&lt;&gt;")-4),""),IFERROR(INDEX('Paramètres'!$S$6:$S$15,MATCH(AN353,'Paramètres'!$Q$6:$Q$15,0)),"")))</f>
        <v/>
      </c>
      <c r="AP353" s="62">
        <f>IF(C353="","",IFERROR(INDEX('Saisie'!$AW$5:$AW$2004,_xlfn.MAXIFS('Saisie'!$AS$5:$AS$2004,'Saisie'!$C$5:$C$2004,C353,'Saisie'!$E$5:$E$2004,"Proposition envoyée")-4),""))</f>
        <v/>
      </c>
      <c r="AQ353" s="106">
        <f>IF(C353="","",IFERROR(1/(1/_xlfn.MAXIFS('Saisie'!$A$5:$A$2004,'Saisie'!$C$5:$C$2004,C353,'Saisie'!$E$5:$E$2004,"Proposition envoyée")),""))</f>
        <v/>
      </c>
      <c r="AR353" s="106">
        <f>IF(C353="","",IF(AQ353="","",AQ353+'Paramètres'!$B$26))</f>
        <v/>
      </c>
      <c r="AS353" s="62">
        <f>IF(OR(C353="",D353="Gagné",D353="Perdu"),0,N(AP353)*IFERROR(INDEX('Paramètres'!$G$6:$G$13,MATCH(D353,'Paramètres'!$F$6:$F$13,0)),0))</f>
        <v/>
      </c>
      <c r="AT353" s="106">
        <f>IF(C353="","",IFERROR(1/(1/_xlfn.MINIFS('Saisie'!$A$5:$A$2004,'Saisie'!$C$5:$C$2004,C353,'Saisie'!$E$5:$E$2004,"Signature")),""))</f>
        <v/>
      </c>
      <c r="AU353" s="60">
        <f>IF(C353="","",IF(OR(AT353="",B353=""),"",AT353-B353))</f>
        <v/>
      </c>
      <c r="AV353" s="60">
        <f>IF(C353="","",IFERROR(INDEX('Saisie'!$L$5:$L$2004,_xlfn.MAXIFS('Saisie'!$AS$5:$AS$2004,'Saisie'!$C$5:$C$2004,C353,'Saisie'!$L$5:$L$2004,"&lt;&gt;")-4),""))</f>
        <v/>
      </c>
      <c r="AW353" s="106">
        <f>IF(C353="","",IF(D353&lt;&gt;"Perdu","",IFERROR(1/(1/_xlfn.MAXIFS('Saisie'!$A$5:$A$2004,'Saisie'!$C$5:$C$2004,C353,'Saisie'!$E$5:$E$2004,"Perdu")),"")))</f>
        <v/>
      </c>
      <c r="AX353" s="106">
        <f>IF(C353="","",IF(AW353="","",AW353+'Paramètres'!$B$28))</f>
        <v/>
      </c>
      <c r="AY353" s="60">
        <f>IF(C353="","",SUMIFS('Saisie'!$H$5:$H$2004,'Saisie'!$C$5:$C$2004,C353))</f>
        <v/>
      </c>
      <c r="AZ353" s="60">
        <f>IF(C353="","",IFERROR(INDEX('Paramètres'!$W$6:$W$20,MATCH(S353,'Paramètres'!$V$6:$V$20,0))&amp;"",""))</f>
        <v/>
      </c>
      <c r="BA353" s="60">
        <f>IF(C353="","",MAX(1,_xlfn.MAXIFS('Saisie'!$AT$5:$AT$2004,'Saisie'!$C$5:$C$2004,C353)))</f>
        <v/>
      </c>
      <c r="BB353" s="60">
        <f>IF(C353="","",IFERROR(INDEX('Saisie'!$X$5:$X$2004,_xlfn.MAXIFS('Saisie'!$AS$5:$AS$2004,'Saisie'!$C$5:$C$2004,C353,'Saisie'!$X$5:$X$2004,"&lt;&gt;")-4),""))</f>
        <v/>
      </c>
      <c r="BC353" s="60">
        <f>IF(C353="","",IFERROR(INDEX('Saisie'!$Y$5:$Y$2004,_xlfn.MAXIFS('Saisie'!$AS$5:$AS$2004,'Saisie'!$C$5:$C$2004,C353,'Saisie'!$Y$5:$Y$2004,"&lt;&gt;")-4),""))</f>
        <v/>
      </c>
      <c r="BD353" s="106">
        <f>IF(C353="","",IFERROR(1/(1/_xlfn.MINIFS('Saisie'!$A$5:$A$2004,'Saisie'!$C$5:$C$2004,C353,'Saisie'!$AT$5:$AT$2004,"&gt;=2")),""))</f>
        <v/>
      </c>
      <c r="BE353" s="106">
        <f>IF(C353="","",IFERROR(1/(1/_xlfn.MINIFS('Saisie'!$A$5:$A$2004,'Saisie'!$C$5:$C$2004,C353,'Saisie'!$AT$5:$AT$2004,"&gt;=3")),""))</f>
        <v/>
      </c>
      <c r="BF353" s="106">
        <f>IF(C353="","",IFERROR(1/(1/_xlfn.MINIFS('Saisie'!$A$5:$A$2004,'Saisie'!$C$5:$C$2004,C353,'Saisie'!$AT$5:$AT$2004,"&gt;=4")),""))</f>
        <v/>
      </c>
      <c r="BG353" s="106">
        <f>IF(C353="","",IFERROR(1/(1/_xlfn.MINIFS('Saisie'!$A$5:$A$2004,'Saisie'!$C$5:$C$2004,C353,'Saisie'!$AT$5:$AT$2004,"&gt;=5")),""))</f>
        <v/>
      </c>
      <c r="BH353" s="106">
        <f>IF(C353="","",IFERROR(1/(1/_xlfn.MINIFS('Saisie'!$A$5:$A$2004,'Saisie'!$C$5:$C$2004,C353,'Saisie'!$AT$5:$AT$2004,"&gt;=6")),""))</f>
        <v/>
      </c>
      <c r="BI353" s="106">
        <f>IF(C353="","",IFERROR(1/(1/_xlfn.MINIFS('Saisie'!$A$5:$A$2004,'Saisie'!$C$5:$C$2004,C353,'Saisie'!$AT$5:$AT$2004,"&gt;=7")),""))</f>
        <v/>
      </c>
      <c r="BJ353" s="60">
        <f>IF(OR(BD353="",B353=""),"",BD353-B353)</f>
        <v/>
      </c>
      <c r="BK353" s="60">
        <f>IF(OR(BE353="",BD353=""),"",BE353-BD353)</f>
        <v/>
      </c>
      <c r="BL353" s="60">
        <f>IF(OR(BF353="",BE353=""),"",BF353-BE353)</f>
        <v/>
      </c>
      <c r="BM353" s="60">
        <f>IF(OR(BG353="",BF353=""),"",BG353-BF353)</f>
        <v/>
      </c>
      <c r="BN353" s="60">
        <f>IF(OR(BH353="",BG353=""),"",BH353-BG353)</f>
        <v/>
      </c>
      <c r="BO353" s="60">
        <f>IF(OR(BI353="",BH353=""),"",BI353-BH353)</f>
        <v/>
      </c>
      <c r="BP353" s="60">
        <f>IF(C353="","",_xlfn.MAXIFS('Saisie'!$AS$5:$AS$2004,'Saisie'!$C$5:$C$2004,C353,'Saisie'!$J$5:$J$2004,"&lt;&gt;"))</f>
        <v/>
      </c>
      <c r="BQ353" s="60">
        <f>IF(C353="","",_xlfn.MAXIFS('Saisie'!$AS$5:$AS$2004,'Saisie'!$C$5:$C$2004,C353))</f>
        <v/>
      </c>
      <c r="BR353" s="60">
        <f>IF(C353="","",_xlfn.MAXIFS('Saisie'!$AS$5:$AS$2004,'Saisie'!$C$5:$C$2004,C353,'Saisie'!$E$5:$E$2004,"Perdu"))</f>
        <v/>
      </c>
      <c r="BS353" s="60">
        <f>IF(C353="","",_xlfn.MAXIFS('Saisie'!$AS$5:$AS$2004,'Saisie'!$C$5:$C$2004,C353,'Saisie'!$AT$5:$AT$2004,"&gt;0"))</f>
        <v/>
      </c>
      <c r="BT353" s="109">
        <f>IF(AND(C353&lt;&gt;"",OR(D353="Nouveau",D353="Contacté",D353="Qualifié"),OR(G353="",N(G353)&lt;=TODAY()),NOT(AND(O353&gt;='Paramètres'!$B$21,P353=0))),E353+349/10000,"")</f>
        <v/>
      </c>
      <c r="BU353" s="60">
        <f>IF(AND(G353&lt;&gt;"",N(G353)&lt;=TODAY()),MAX($BU$4:BU352)+1,"")</f>
        <v/>
      </c>
      <c r="BV353" s="60">
        <f>IF(AND(F353&lt;&gt;"",F353&lt;&gt;"Relance en retard"),MAX($BV$4:BV352)+1,"")</f>
        <v/>
      </c>
      <c r="BW353" s="60">
        <f>IF(C353="","",IF(AND(B353&gt;='Tableau de bord'!$R$4,B353&lt;='Tableau de bord'!$S$4,OR('Tableau de bord'!$G$4="Tous",N353='Tableau de bord'!$G$4)),1,0))</f>
        <v/>
      </c>
      <c r="BX353" s="60">
        <f>IF(AND(C353&lt;&gt;"",N(BA353)=7),MAX($BX$4:BX352)+1,"")</f>
        <v/>
      </c>
    </row>
    <row r="354">
      <c r="A354" s="60">
        <f>IF(C354="","","P-"&amp;TEXT(350,"000"))</f>
        <v/>
      </c>
      <c r="B354" s="106">
        <f>IF(C354="","",IFERROR(1/(1/_xlfn.MINIFS('Saisie'!$A$5:$A$2004,'Saisie'!$C$5:$C$2004,C354)),""))</f>
        <v/>
      </c>
      <c r="C354" s="60">
        <f>IFERROR(INDEX('Saisie'!$C$5:$C$2004,MATCH(350,'Saisie'!$AX$5:$AX$2004,0)),"")</f>
        <v/>
      </c>
      <c r="D354" s="60">
        <f>IF(C354="","",IF(AND(BR354&gt;0,BR354&gt;BS354,BA354&lt;7),"Perdu",INDEX('Paramètres'!$F$6:$F$13,BA354)))</f>
        <v/>
      </c>
      <c r="E354" s="61">
        <f>IF(C354="","",MIN(100,(Z354="Oui")*'Paramètres'!$B$38+(AB354="Régulière")*'Paramètres'!$B$39+IF(AND(N(AA354)&gt;0,TODAY()-N(AA354)&lt;=30),'Paramètres'!$B$40,0)+(W354="")*'Paramètres'!$B$41+(AC354="Absente")*'Paramètres'!$B$42+(AC354="Faible")*'Paramètres'!$B$43+IF(AND(N(AD354)&gt;0,N(AD354)&lt;4),'Paramètres'!$B$44,0)+(AF354="Moyenne")*'Paramètres'!$B$45+(AF354="Grande")*'Paramètres'!$B$46+(Y354&lt;&gt;"")*'Paramètres'!$B$47))</f>
        <v/>
      </c>
      <c r="F354" s="60">
        <f>IF(C354="","",IF(D354="Gagné","",IF(D354="Perdu",IF(AND(AX354&lt;&gt;"",AX354&lt;=TODAY()),"À recontacter (perdu)",""),IF(AND(O354&gt;='Paramètres'!$B$21,P354=0),"Stop : "&amp;'Paramètres'!$B$21&amp;" tentatives sans réponse",IF(AND(D354="Proposition",AR354&lt;&gt;"",TODAY()&gt;N(AR354)),"Proposition expirée",IF(AND(D354="Proposition",N(R354)&gt;='Paramètres'!$B$25),"Proposition sans réponse",IF(AND(G354&lt;&gt;"",N(G354)&lt;TODAY()),"Relance en retard",IF(N(R354)&gt;='Paramètres'!$B$24,"Sans action depuis "&amp;R354&amp;" j",""))))))))</f>
        <v/>
      </c>
      <c r="G354" s="106">
        <f>IF(OR(C354="",D354="Gagné",D354="Perdu"),"",IF(AND(BP354&gt;0,BP354=BQ354),INDEX('Saisie'!$J$5:$J$2004,BP354-4),IF(OR(O354=0,AND(O354&gt;='Paramètres'!$B$21,P354=0)),"",Q354+IF(O354&lt;=1,'Paramètres'!$B$18,IF(O354=2,'Paramètres'!$B$19,'Paramètres'!$B$20)))))</f>
        <v/>
      </c>
      <c r="H354" s="107">
        <f>IF(OR(G354="",BP354&lt;&gt;BQ354),"",IF(INDEX('Saisie'!$K$5:$K$2004,BP354-4)="","",INDEX('Saisie'!$K$5:$K$2004,BP354-4)))</f>
        <v/>
      </c>
      <c r="I354" s="60">
        <f>IF(C354="","",IF(OR(D354="Gagné",D354="Perdu"),"",IFERROR(INDEX('Saisie'!$I$5:$I$2004,_xlfn.MAXIFS('Saisie'!$AS$5:$AS$2004,'Saisie'!$C$5:$C$2004,C354,'Saisie'!$I$5:$I$2004,"&lt;&gt;")-4),"")))</f>
        <v/>
      </c>
      <c r="J354" s="60">
        <f>IF(C354="","",IFERROR(INDEX('Saisie'!$U$5:$U$2004,_xlfn.MAXIFS('Saisie'!$AS$5:$AS$2004,'Saisie'!$C$5:$C$2004,C354,'Saisie'!$U$5:$U$2004,"&lt;&gt;")-4),""))</f>
        <v/>
      </c>
      <c r="K354" s="60">
        <f>IF(C354="","",IFERROR(INDEX('Saisie'!$W$5:$W$2004,_xlfn.MAXIFS('Saisie'!$AS$5:$AS$2004,'Saisie'!$C$5:$C$2004,C354,'Saisie'!$W$5:$W$2004,"&lt;&gt;")-4),""))</f>
        <v/>
      </c>
      <c r="L354" s="60">
        <f>IF(IF(BB354&lt;&gt;"",BB354,K354)="","",HYPERLINK("https://wa.me/"&amp;IF(LEFT(SUBSTITUTE(SUBSTITUTE(SUBSTITUTE(IF(BB354&lt;&gt;"",BB354,K354)," ",""),".",""),"+",""),1)="0",'Paramètres'!$B$35&amp;MID(SUBSTITUTE(SUBSTITUTE(SUBSTITUTE(IF(BB354&lt;&gt;"",BB354,K354)," ",""),".",""),"+",""),2,20),SUBSTITUTE(SUBSTITUTE(SUBSTITUTE(IF(BB354&lt;&gt;"",BB354,K354)," ",""),".",""),"+","")),"WhatsApp"))</f>
        <v/>
      </c>
      <c r="M354" s="60">
        <f>IF(BC354="","",HYPERLINK(IF(LEFT(BC354,4)="http",BC354,"https://www.instagram.com/"&amp;SUBSTITUTE(SUBSTITUTE(BC354,"@","")," ","")),BC354))</f>
        <v/>
      </c>
      <c r="N354" s="60">
        <f>IF(C354="","",IFERROR(INDEX('Saisie'!$D$5:$D$2004,_xlfn.MINIFS('Saisie'!$AS$5:$AS$2004,'Saisie'!$C$5:$C$2004,C354,'Saisie'!$AU$5:$AU$2004,1)-4),IFERROR(INDEX('Saisie'!$D$5:$D$2004,_xlfn.MINIFS('Saisie'!$AS$5:$AS$2004,'Saisie'!$C$5:$C$2004,C354,'Saisie'!$D$5:$D$2004,"&lt;&gt;")-4),"")))</f>
        <v/>
      </c>
      <c r="O354" s="60">
        <f>IF(C354="","",COUNTIFS('Saisie'!$C$5:$C$2004,C354,'Saisie'!$AU$5:$AU$2004,1))</f>
        <v/>
      </c>
      <c r="P354" s="60">
        <f>IF(C354="","",COUNTIFS('Saisie'!$C$5:$C$2004,C354,'Saisie'!$AV$5:$AV$2004,1))</f>
        <v/>
      </c>
      <c r="Q354" s="106">
        <f>IF(C354="","",IFERROR(1/(1/_xlfn.MAXIFS('Saisie'!$A$5:$A$2004,'Saisie'!$C$5:$C$2004,C354)),""))</f>
        <v/>
      </c>
      <c r="R354" s="61">
        <f>IF(C354="","",IF(Q354="","",TODAY()-Q354))</f>
        <v/>
      </c>
      <c r="S354" s="60">
        <f>IF(C354="","",IFERROR(INDEX('Saisie'!$R$5:$R$2004,_xlfn.MAXIFS('Saisie'!$AS$5:$AS$2004,'Saisie'!$C$5:$C$2004,C354,'Saisie'!$R$5:$R$2004,"&lt;&gt;")-4),""))</f>
        <v/>
      </c>
      <c r="T354" s="60">
        <f>IF(C354="","",IFERROR(INDEX('Saisie'!$S$5:$S$2004,_xlfn.MAXIFS('Saisie'!$AS$5:$AS$2004,'Saisie'!$C$5:$C$2004,C354,'Saisie'!$S$5:$S$2004,"&lt;&gt;")-4),""))</f>
        <v/>
      </c>
      <c r="U354" s="60">
        <f>IF(C354="","",IFERROR(INDEX('Saisie'!$T$5:$T$2004,_xlfn.MAXIFS('Saisie'!$AS$5:$AS$2004,'Saisie'!$C$5:$C$2004,C354,'Saisie'!$T$5:$T$2004,"&lt;&gt;")-4),""))</f>
        <v/>
      </c>
      <c r="V354" s="60">
        <f>IF(C354="","",IFERROR(INDEX('Saisie'!$V$5:$V$2004,_xlfn.MAXIFS('Saisie'!$AS$5:$AS$2004,'Saisie'!$C$5:$C$2004,C354,'Saisie'!$V$5:$V$2004,"&lt;&gt;")-4),""))</f>
        <v/>
      </c>
      <c r="W354" s="60">
        <f>IF(C354="","",IFERROR(INDEX('Saisie'!$Z$5:$Z$2004,_xlfn.MAXIFS('Saisie'!$AS$5:$AS$2004,'Saisie'!$C$5:$C$2004,C354,'Saisie'!$Z$5:$Z$2004,"&lt;&gt;")-4),""))</f>
        <v/>
      </c>
      <c r="X354" s="60">
        <f>IF(C354="","",IFERROR(INDEX('Saisie'!$AA$5:$AA$2004,_xlfn.MAXIFS('Saisie'!$AS$5:$AS$2004,'Saisie'!$C$5:$C$2004,C354,'Saisie'!$AA$5:$AA$2004,"&lt;&gt;")-4),""))</f>
        <v/>
      </c>
      <c r="Y354" s="60">
        <f>IF(C354="","",IFERROR(INDEX('Saisie'!$AB$5:$AB$2004,_xlfn.MAXIFS('Saisie'!$AS$5:$AS$2004,'Saisie'!$C$5:$C$2004,C354,'Saisie'!$AB$5:$AB$2004,"&lt;&gt;")-4),""))</f>
        <v/>
      </c>
      <c r="Z354" s="60">
        <f>IF(C354="","",IFERROR(INDEX('Saisie'!$AC$5:$AC$2004,_xlfn.MAXIFS('Saisie'!$AS$5:$AS$2004,'Saisie'!$C$5:$C$2004,C354,'Saisie'!$AC$5:$AC$2004,"&lt;&gt;")-4),""))</f>
        <v/>
      </c>
      <c r="AA354" s="106">
        <f>IF(C354="","",IFERROR(INDEX('Saisie'!$AD$5:$AD$2004,_xlfn.MAXIFS('Saisie'!$AS$5:$AS$2004,'Saisie'!$C$5:$C$2004,C354,'Saisie'!$AD$5:$AD$2004,"&lt;&gt;")-4),""))</f>
        <v/>
      </c>
      <c r="AB354" s="60">
        <f>IF(C354="","",IFERROR(INDEX('Saisie'!$AE$5:$AE$2004,_xlfn.MAXIFS('Saisie'!$AS$5:$AS$2004,'Saisie'!$C$5:$C$2004,C354,'Saisie'!$AE$5:$AE$2004,"&lt;&gt;")-4),""))</f>
        <v/>
      </c>
      <c r="AC354" s="60">
        <f>IF(C354="","",IFERROR(INDEX('Saisie'!$AF$5:$AF$2004,_xlfn.MAXIFS('Saisie'!$AS$5:$AS$2004,'Saisie'!$C$5:$C$2004,C354,'Saisie'!$AF$5:$AF$2004,"&lt;&gt;")-4),""))</f>
        <v/>
      </c>
      <c r="AD354" s="108">
        <f>IF(C354="","",IFERROR(INDEX('Saisie'!$AG$5:$AG$2004,_xlfn.MAXIFS('Saisie'!$AS$5:$AS$2004,'Saisie'!$C$5:$C$2004,C354,'Saisie'!$AG$5:$AG$2004,"&lt;&gt;")-4),""))</f>
        <v/>
      </c>
      <c r="AE354" s="60">
        <f>IF(C354="","",IFERROR(INDEX('Saisie'!$AH$5:$AH$2004,_xlfn.MAXIFS('Saisie'!$AS$5:$AS$2004,'Saisie'!$C$5:$C$2004,C354,'Saisie'!$AH$5:$AH$2004,"&lt;&gt;")-4),""))</f>
        <v/>
      </c>
      <c r="AF354" s="60">
        <f>IF(C354="","",IFERROR(INDEX('Saisie'!$AI$5:$AI$2004,_xlfn.MAXIFS('Saisie'!$AS$5:$AS$2004,'Saisie'!$C$5:$C$2004,C354,'Saisie'!$AI$5:$AI$2004,"&lt;&gt;")-4),""))</f>
        <v/>
      </c>
      <c r="AG354" s="60">
        <f>IF(C354="","",IFERROR(INDEX('Saisie'!$AJ$5:$AJ$2004,_xlfn.MAXIFS('Saisie'!$AS$5:$AS$2004,'Saisie'!$C$5:$C$2004,C354,'Saisie'!$AJ$5:$AJ$2004,"&lt;&gt;")-4),""))</f>
        <v/>
      </c>
      <c r="AH354" s="60">
        <f>IF(C354="","",IFERROR(INDEX('Saisie'!$AK$5:$AK$2004,_xlfn.MAXIFS('Saisie'!$AS$5:$AS$2004,'Saisie'!$C$5:$C$2004,C354,'Saisie'!$AK$5:$AK$2004,"&lt;&gt;")-4),""))</f>
        <v/>
      </c>
      <c r="AI354" s="60">
        <f>IF(C354="","",IFERROR(INDEX('Saisie'!$AN$5:$AN$2004,_xlfn.MAXIFS('Saisie'!$AS$5:$AS$2004,'Saisie'!$C$5:$C$2004,C354,'Saisie'!$AN$5:$AN$2004,"&lt;&gt;")-4),""))</f>
        <v/>
      </c>
      <c r="AJ354" s="60">
        <f>IF(C354="","",IFERROR(INDEX('Saisie'!$AO$5:$AO$2004,_xlfn.MAXIFS('Saisie'!$AS$5:$AS$2004,'Saisie'!$C$5:$C$2004,C354,'Saisie'!$AO$5:$AO$2004,"&lt;&gt;")-4),""))</f>
        <v/>
      </c>
      <c r="AK354" s="60">
        <f>IF(C354="","",IFERROR(INDEX('Saisie'!$AP$5:$AP$2004,_xlfn.MAXIFS('Saisie'!$AS$5:$AS$2004,'Saisie'!$C$5:$C$2004,C354,'Saisie'!$AP$5:$AP$2004,"&lt;&gt;")-4),""))</f>
        <v/>
      </c>
      <c r="AL354" s="60">
        <f>IF(C354="","",IFERROR(INDEX('Saisie'!$AQ$5:$AQ$2004,_xlfn.MAXIFS('Saisie'!$AS$5:$AS$2004,'Saisie'!$C$5:$C$2004,C354,'Saisie'!$AQ$5:$AQ$2004,"&lt;&gt;")-4),""))</f>
        <v/>
      </c>
      <c r="AM354" s="60">
        <f>IF(C354="","",((AI354="Oui")+(AJ354="Oui")+(AK354="Oui")+OR(AL354="Immédiat",AL354="&lt; 1 mois"))&amp;"/4")</f>
        <v/>
      </c>
      <c r="AN354" s="60">
        <f>IF(C354="","",IFERROR(INDEX('Saisie'!$AL$5:$AL$2004,_xlfn.MAXIFS('Saisie'!$AS$5:$AS$2004,'Saisie'!$C$5:$C$2004,C354,'Saisie'!$AL$5:$AL$2004,"&lt;&gt;")-4),""))</f>
        <v/>
      </c>
      <c r="AO354" s="62">
        <f>IF(C354="","",IF(IFERROR(INDEX('Saisie'!$AM$5:$AM$2004,_xlfn.MAXIFS('Saisie'!$AS$5:$AS$2004,'Saisie'!$C$5:$C$2004,C354,'Saisie'!$AM$5:$AM$2004,"&lt;&gt;")-4),"")&lt;&gt;"",IFERROR(INDEX('Saisie'!$AM$5:$AM$2004,_xlfn.MAXIFS('Saisie'!$AS$5:$AS$2004,'Saisie'!$C$5:$C$2004,C354,'Saisie'!$AM$5:$AM$2004,"&lt;&gt;")-4),""),IFERROR(INDEX('Paramètres'!$S$6:$S$15,MATCH(AN354,'Paramètres'!$Q$6:$Q$15,0)),"")))</f>
        <v/>
      </c>
      <c r="AP354" s="62">
        <f>IF(C354="","",IFERROR(INDEX('Saisie'!$AW$5:$AW$2004,_xlfn.MAXIFS('Saisie'!$AS$5:$AS$2004,'Saisie'!$C$5:$C$2004,C354,'Saisie'!$E$5:$E$2004,"Proposition envoyée")-4),""))</f>
        <v/>
      </c>
      <c r="AQ354" s="106">
        <f>IF(C354="","",IFERROR(1/(1/_xlfn.MAXIFS('Saisie'!$A$5:$A$2004,'Saisie'!$C$5:$C$2004,C354,'Saisie'!$E$5:$E$2004,"Proposition envoyée")),""))</f>
        <v/>
      </c>
      <c r="AR354" s="106">
        <f>IF(C354="","",IF(AQ354="","",AQ354+'Paramètres'!$B$26))</f>
        <v/>
      </c>
      <c r="AS354" s="62">
        <f>IF(OR(C354="",D354="Gagné",D354="Perdu"),0,N(AP354)*IFERROR(INDEX('Paramètres'!$G$6:$G$13,MATCH(D354,'Paramètres'!$F$6:$F$13,0)),0))</f>
        <v/>
      </c>
      <c r="AT354" s="106">
        <f>IF(C354="","",IFERROR(1/(1/_xlfn.MINIFS('Saisie'!$A$5:$A$2004,'Saisie'!$C$5:$C$2004,C354,'Saisie'!$E$5:$E$2004,"Signature")),""))</f>
        <v/>
      </c>
      <c r="AU354" s="60">
        <f>IF(C354="","",IF(OR(AT354="",B354=""),"",AT354-B354))</f>
        <v/>
      </c>
      <c r="AV354" s="60">
        <f>IF(C354="","",IFERROR(INDEX('Saisie'!$L$5:$L$2004,_xlfn.MAXIFS('Saisie'!$AS$5:$AS$2004,'Saisie'!$C$5:$C$2004,C354,'Saisie'!$L$5:$L$2004,"&lt;&gt;")-4),""))</f>
        <v/>
      </c>
      <c r="AW354" s="106">
        <f>IF(C354="","",IF(D354&lt;&gt;"Perdu","",IFERROR(1/(1/_xlfn.MAXIFS('Saisie'!$A$5:$A$2004,'Saisie'!$C$5:$C$2004,C354,'Saisie'!$E$5:$E$2004,"Perdu")),"")))</f>
        <v/>
      </c>
      <c r="AX354" s="106">
        <f>IF(C354="","",IF(AW354="","",AW354+'Paramètres'!$B$28))</f>
        <v/>
      </c>
      <c r="AY354" s="60">
        <f>IF(C354="","",SUMIFS('Saisie'!$H$5:$H$2004,'Saisie'!$C$5:$C$2004,C354))</f>
        <v/>
      </c>
      <c r="AZ354" s="60">
        <f>IF(C354="","",IFERROR(INDEX('Paramètres'!$W$6:$W$20,MATCH(S354,'Paramètres'!$V$6:$V$20,0))&amp;"",""))</f>
        <v/>
      </c>
      <c r="BA354" s="60">
        <f>IF(C354="","",MAX(1,_xlfn.MAXIFS('Saisie'!$AT$5:$AT$2004,'Saisie'!$C$5:$C$2004,C354)))</f>
        <v/>
      </c>
      <c r="BB354" s="60">
        <f>IF(C354="","",IFERROR(INDEX('Saisie'!$X$5:$X$2004,_xlfn.MAXIFS('Saisie'!$AS$5:$AS$2004,'Saisie'!$C$5:$C$2004,C354,'Saisie'!$X$5:$X$2004,"&lt;&gt;")-4),""))</f>
        <v/>
      </c>
      <c r="BC354" s="60">
        <f>IF(C354="","",IFERROR(INDEX('Saisie'!$Y$5:$Y$2004,_xlfn.MAXIFS('Saisie'!$AS$5:$AS$2004,'Saisie'!$C$5:$C$2004,C354,'Saisie'!$Y$5:$Y$2004,"&lt;&gt;")-4),""))</f>
        <v/>
      </c>
      <c r="BD354" s="106">
        <f>IF(C354="","",IFERROR(1/(1/_xlfn.MINIFS('Saisie'!$A$5:$A$2004,'Saisie'!$C$5:$C$2004,C354,'Saisie'!$AT$5:$AT$2004,"&gt;=2")),""))</f>
        <v/>
      </c>
      <c r="BE354" s="106">
        <f>IF(C354="","",IFERROR(1/(1/_xlfn.MINIFS('Saisie'!$A$5:$A$2004,'Saisie'!$C$5:$C$2004,C354,'Saisie'!$AT$5:$AT$2004,"&gt;=3")),""))</f>
        <v/>
      </c>
      <c r="BF354" s="106">
        <f>IF(C354="","",IFERROR(1/(1/_xlfn.MINIFS('Saisie'!$A$5:$A$2004,'Saisie'!$C$5:$C$2004,C354,'Saisie'!$AT$5:$AT$2004,"&gt;=4")),""))</f>
        <v/>
      </c>
      <c r="BG354" s="106">
        <f>IF(C354="","",IFERROR(1/(1/_xlfn.MINIFS('Saisie'!$A$5:$A$2004,'Saisie'!$C$5:$C$2004,C354,'Saisie'!$AT$5:$AT$2004,"&gt;=5")),""))</f>
        <v/>
      </c>
      <c r="BH354" s="106">
        <f>IF(C354="","",IFERROR(1/(1/_xlfn.MINIFS('Saisie'!$A$5:$A$2004,'Saisie'!$C$5:$C$2004,C354,'Saisie'!$AT$5:$AT$2004,"&gt;=6")),""))</f>
        <v/>
      </c>
      <c r="BI354" s="106">
        <f>IF(C354="","",IFERROR(1/(1/_xlfn.MINIFS('Saisie'!$A$5:$A$2004,'Saisie'!$C$5:$C$2004,C354,'Saisie'!$AT$5:$AT$2004,"&gt;=7")),""))</f>
        <v/>
      </c>
      <c r="BJ354" s="60">
        <f>IF(OR(BD354="",B354=""),"",BD354-B354)</f>
        <v/>
      </c>
      <c r="BK354" s="60">
        <f>IF(OR(BE354="",BD354=""),"",BE354-BD354)</f>
        <v/>
      </c>
      <c r="BL354" s="60">
        <f>IF(OR(BF354="",BE354=""),"",BF354-BE354)</f>
        <v/>
      </c>
      <c r="BM354" s="60">
        <f>IF(OR(BG354="",BF354=""),"",BG354-BF354)</f>
        <v/>
      </c>
      <c r="BN354" s="60">
        <f>IF(OR(BH354="",BG354=""),"",BH354-BG354)</f>
        <v/>
      </c>
      <c r="BO354" s="60">
        <f>IF(OR(BI354="",BH354=""),"",BI354-BH354)</f>
        <v/>
      </c>
      <c r="BP354" s="60">
        <f>IF(C354="","",_xlfn.MAXIFS('Saisie'!$AS$5:$AS$2004,'Saisie'!$C$5:$C$2004,C354,'Saisie'!$J$5:$J$2004,"&lt;&gt;"))</f>
        <v/>
      </c>
      <c r="BQ354" s="60">
        <f>IF(C354="","",_xlfn.MAXIFS('Saisie'!$AS$5:$AS$2004,'Saisie'!$C$5:$C$2004,C354))</f>
        <v/>
      </c>
      <c r="BR354" s="60">
        <f>IF(C354="","",_xlfn.MAXIFS('Saisie'!$AS$5:$AS$2004,'Saisie'!$C$5:$C$2004,C354,'Saisie'!$E$5:$E$2004,"Perdu"))</f>
        <v/>
      </c>
      <c r="BS354" s="60">
        <f>IF(C354="","",_xlfn.MAXIFS('Saisie'!$AS$5:$AS$2004,'Saisie'!$C$5:$C$2004,C354,'Saisie'!$AT$5:$AT$2004,"&gt;0"))</f>
        <v/>
      </c>
      <c r="BT354" s="109">
        <f>IF(AND(C354&lt;&gt;"",OR(D354="Nouveau",D354="Contacté",D354="Qualifié"),OR(G354="",N(G354)&lt;=TODAY()),NOT(AND(O354&gt;='Paramètres'!$B$21,P354=0))),E354+350/10000,"")</f>
        <v/>
      </c>
      <c r="BU354" s="60">
        <f>IF(AND(G354&lt;&gt;"",N(G354)&lt;=TODAY()),MAX($BU$4:BU353)+1,"")</f>
        <v/>
      </c>
      <c r="BV354" s="60">
        <f>IF(AND(F354&lt;&gt;"",F354&lt;&gt;"Relance en retard"),MAX($BV$4:BV353)+1,"")</f>
        <v/>
      </c>
      <c r="BW354" s="60">
        <f>IF(C354="","",IF(AND(B354&gt;='Tableau de bord'!$R$4,B354&lt;='Tableau de bord'!$S$4,OR('Tableau de bord'!$G$4="Tous",N354='Tableau de bord'!$G$4)),1,0))</f>
        <v/>
      </c>
      <c r="BX354" s="60">
        <f>IF(AND(C354&lt;&gt;"",N(BA354)=7),MAX($BX$4:BX353)+1,"")</f>
        <v/>
      </c>
    </row>
    <row r="355">
      <c r="A355" s="60">
        <f>IF(C355="","","P-"&amp;TEXT(351,"000"))</f>
        <v/>
      </c>
      <c r="B355" s="106">
        <f>IF(C355="","",IFERROR(1/(1/_xlfn.MINIFS('Saisie'!$A$5:$A$2004,'Saisie'!$C$5:$C$2004,C355)),""))</f>
        <v/>
      </c>
      <c r="C355" s="60">
        <f>IFERROR(INDEX('Saisie'!$C$5:$C$2004,MATCH(351,'Saisie'!$AX$5:$AX$2004,0)),"")</f>
        <v/>
      </c>
      <c r="D355" s="60">
        <f>IF(C355="","",IF(AND(BR355&gt;0,BR355&gt;BS355,BA355&lt;7),"Perdu",INDEX('Paramètres'!$F$6:$F$13,BA355)))</f>
        <v/>
      </c>
      <c r="E355" s="61">
        <f>IF(C355="","",MIN(100,(Z355="Oui")*'Paramètres'!$B$38+(AB355="Régulière")*'Paramètres'!$B$39+IF(AND(N(AA355)&gt;0,TODAY()-N(AA355)&lt;=30),'Paramètres'!$B$40,0)+(W355="")*'Paramètres'!$B$41+(AC355="Absente")*'Paramètres'!$B$42+(AC355="Faible")*'Paramètres'!$B$43+IF(AND(N(AD355)&gt;0,N(AD355)&lt;4),'Paramètres'!$B$44,0)+(AF355="Moyenne")*'Paramètres'!$B$45+(AF355="Grande")*'Paramètres'!$B$46+(Y355&lt;&gt;"")*'Paramètres'!$B$47))</f>
        <v/>
      </c>
      <c r="F355" s="60">
        <f>IF(C355="","",IF(D355="Gagné","",IF(D355="Perdu",IF(AND(AX355&lt;&gt;"",AX355&lt;=TODAY()),"À recontacter (perdu)",""),IF(AND(O355&gt;='Paramètres'!$B$21,P355=0),"Stop : "&amp;'Paramètres'!$B$21&amp;" tentatives sans réponse",IF(AND(D355="Proposition",AR355&lt;&gt;"",TODAY()&gt;N(AR355)),"Proposition expirée",IF(AND(D355="Proposition",N(R355)&gt;='Paramètres'!$B$25),"Proposition sans réponse",IF(AND(G355&lt;&gt;"",N(G355)&lt;TODAY()),"Relance en retard",IF(N(R355)&gt;='Paramètres'!$B$24,"Sans action depuis "&amp;R355&amp;" j",""))))))))</f>
        <v/>
      </c>
      <c r="G355" s="106">
        <f>IF(OR(C355="",D355="Gagné",D355="Perdu"),"",IF(AND(BP355&gt;0,BP355=BQ355),INDEX('Saisie'!$J$5:$J$2004,BP355-4),IF(OR(O355=0,AND(O355&gt;='Paramètres'!$B$21,P355=0)),"",Q355+IF(O355&lt;=1,'Paramètres'!$B$18,IF(O355=2,'Paramètres'!$B$19,'Paramètres'!$B$20)))))</f>
        <v/>
      </c>
      <c r="H355" s="107">
        <f>IF(OR(G355="",BP355&lt;&gt;BQ355),"",IF(INDEX('Saisie'!$K$5:$K$2004,BP355-4)="","",INDEX('Saisie'!$K$5:$K$2004,BP355-4)))</f>
        <v/>
      </c>
      <c r="I355" s="60">
        <f>IF(C355="","",IF(OR(D355="Gagné",D355="Perdu"),"",IFERROR(INDEX('Saisie'!$I$5:$I$2004,_xlfn.MAXIFS('Saisie'!$AS$5:$AS$2004,'Saisie'!$C$5:$C$2004,C355,'Saisie'!$I$5:$I$2004,"&lt;&gt;")-4),"")))</f>
        <v/>
      </c>
      <c r="J355" s="60">
        <f>IF(C355="","",IFERROR(INDEX('Saisie'!$U$5:$U$2004,_xlfn.MAXIFS('Saisie'!$AS$5:$AS$2004,'Saisie'!$C$5:$C$2004,C355,'Saisie'!$U$5:$U$2004,"&lt;&gt;")-4),""))</f>
        <v/>
      </c>
      <c r="K355" s="60">
        <f>IF(C355="","",IFERROR(INDEX('Saisie'!$W$5:$W$2004,_xlfn.MAXIFS('Saisie'!$AS$5:$AS$2004,'Saisie'!$C$5:$C$2004,C355,'Saisie'!$W$5:$W$2004,"&lt;&gt;")-4),""))</f>
        <v/>
      </c>
      <c r="L355" s="60">
        <f>IF(IF(BB355&lt;&gt;"",BB355,K355)="","",HYPERLINK("https://wa.me/"&amp;IF(LEFT(SUBSTITUTE(SUBSTITUTE(SUBSTITUTE(IF(BB355&lt;&gt;"",BB355,K355)," ",""),".",""),"+",""),1)="0",'Paramètres'!$B$35&amp;MID(SUBSTITUTE(SUBSTITUTE(SUBSTITUTE(IF(BB355&lt;&gt;"",BB355,K355)," ",""),".",""),"+",""),2,20),SUBSTITUTE(SUBSTITUTE(SUBSTITUTE(IF(BB355&lt;&gt;"",BB355,K355)," ",""),".",""),"+","")),"WhatsApp"))</f>
        <v/>
      </c>
      <c r="M355" s="60">
        <f>IF(BC355="","",HYPERLINK(IF(LEFT(BC355,4)="http",BC355,"https://www.instagram.com/"&amp;SUBSTITUTE(SUBSTITUTE(BC355,"@","")," ","")),BC355))</f>
        <v/>
      </c>
      <c r="N355" s="60">
        <f>IF(C355="","",IFERROR(INDEX('Saisie'!$D$5:$D$2004,_xlfn.MINIFS('Saisie'!$AS$5:$AS$2004,'Saisie'!$C$5:$C$2004,C355,'Saisie'!$AU$5:$AU$2004,1)-4),IFERROR(INDEX('Saisie'!$D$5:$D$2004,_xlfn.MINIFS('Saisie'!$AS$5:$AS$2004,'Saisie'!$C$5:$C$2004,C355,'Saisie'!$D$5:$D$2004,"&lt;&gt;")-4),"")))</f>
        <v/>
      </c>
      <c r="O355" s="60">
        <f>IF(C355="","",COUNTIFS('Saisie'!$C$5:$C$2004,C355,'Saisie'!$AU$5:$AU$2004,1))</f>
        <v/>
      </c>
      <c r="P355" s="60">
        <f>IF(C355="","",COUNTIFS('Saisie'!$C$5:$C$2004,C355,'Saisie'!$AV$5:$AV$2004,1))</f>
        <v/>
      </c>
      <c r="Q355" s="106">
        <f>IF(C355="","",IFERROR(1/(1/_xlfn.MAXIFS('Saisie'!$A$5:$A$2004,'Saisie'!$C$5:$C$2004,C355)),""))</f>
        <v/>
      </c>
      <c r="R355" s="61">
        <f>IF(C355="","",IF(Q355="","",TODAY()-Q355))</f>
        <v/>
      </c>
      <c r="S355" s="60">
        <f>IF(C355="","",IFERROR(INDEX('Saisie'!$R$5:$R$2004,_xlfn.MAXIFS('Saisie'!$AS$5:$AS$2004,'Saisie'!$C$5:$C$2004,C355,'Saisie'!$R$5:$R$2004,"&lt;&gt;")-4),""))</f>
        <v/>
      </c>
      <c r="T355" s="60">
        <f>IF(C355="","",IFERROR(INDEX('Saisie'!$S$5:$S$2004,_xlfn.MAXIFS('Saisie'!$AS$5:$AS$2004,'Saisie'!$C$5:$C$2004,C355,'Saisie'!$S$5:$S$2004,"&lt;&gt;")-4),""))</f>
        <v/>
      </c>
      <c r="U355" s="60">
        <f>IF(C355="","",IFERROR(INDEX('Saisie'!$T$5:$T$2004,_xlfn.MAXIFS('Saisie'!$AS$5:$AS$2004,'Saisie'!$C$5:$C$2004,C355,'Saisie'!$T$5:$T$2004,"&lt;&gt;")-4),""))</f>
        <v/>
      </c>
      <c r="V355" s="60">
        <f>IF(C355="","",IFERROR(INDEX('Saisie'!$V$5:$V$2004,_xlfn.MAXIFS('Saisie'!$AS$5:$AS$2004,'Saisie'!$C$5:$C$2004,C355,'Saisie'!$V$5:$V$2004,"&lt;&gt;")-4),""))</f>
        <v/>
      </c>
      <c r="W355" s="60">
        <f>IF(C355="","",IFERROR(INDEX('Saisie'!$Z$5:$Z$2004,_xlfn.MAXIFS('Saisie'!$AS$5:$AS$2004,'Saisie'!$C$5:$C$2004,C355,'Saisie'!$Z$5:$Z$2004,"&lt;&gt;")-4),""))</f>
        <v/>
      </c>
      <c r="X355" s="60">
        <f>IF(C355="","",IFERROR(INDEX('Saisie'!$AA$5:$AA$2004,_xlfn.MAXIFS('Saisie'!$AS$5:$AS$2004,'Saisie'!$C$5:$C$2004,C355,'Saisie'!$AA$5:$AA$2004,"&lt;&gt;")-4),""))</f>
        <v/>
      </c>
      <c r="Y355" s="60">
        <f>IF(C355="","",IFERROR(INDEX('Saisie'!$AB$5:$AB$2004,_xlfn.MAXIFS('Saisie'!$AS$5:$AS$2004,'Saisie'!$C$5:$C$2004,C355,'Saisie'!$AB$5:$AB$2004,"&lt;&gt;")-4),""))</f>
        <v/>
      </c>
      <c r="Z355" s="60">
        <f>IF(C355="","",IFERROR(INDEX('Saisie'!$AC$5:$AC$2004,_xlfn.MAXIFS('Saisie'!$AS$5:$AS$2004,'Saisie'!$C$5:$C$2004,C355,'Saisie'!$AC$5:$AC$2004,"&lt;&gt;")-4),""))</f>
        <v/>
      </c>
      <c r="AA355" s="106">
        <f>IF(C355="","",IFERROR(INDEX('Saisie'!$AD$5:$AD$2004,_xlfn.MAXIFS('Saisie'!$AS$5:$AS$2004,'Saisie'!$C$5:$C$2004,C355,'Saisie'!$AD$5:$AD$2004,"&lt;&gt;")-4),""))</f>
        <v/>
      </c>
      <c r="AB355" s="60">
        <f>IF(C355="","",IFERROR(INDEX('Saisie'!$AE$5:$AE$2004,_xlfn.MAXIFS('Saisie'!$AS$5:$AS$2004,'Saisie'!$C$5:$C$2004,C355,'Saisie'!$AE$5:$AE$2004,"&lt;&gt;")-4),""))</f>
        <v/>
      </c>
      <c r="AC355" s="60">
        <f>IF(C355="","",IFERROR(INDEX('Saisie'!$AF$5:$AF$2004,_xlfn.MAXIFS('Saisie'!$AS$5:$AS$2004,'Saisie'!$C$5:$C$2004,C355,'Saisie'!$AF$5:$AF$2004,"&lt;&gt;")-4),""))</f>
        <v/>
      </c>
      <c r="AD355" s="108">
        <f>IF(C355="","",IFERROR(INDEX('Saisie'!$AG$5:$AG$2004,_xlfn.MAXIFS('Saisie'!$AS$5:$AS$2004,'Saisie'!$C$5:$C$2004,C355,'Saisie'!$AG$5:$AG$2004,"&lt;&gt;")-4),""))</f>
        <v/>
      </c>
      <c r="AE355" s="60">
        <f>IF(C355="","",IFERROR(INDEX('Saisie'!$AH$5:$AH$2004,_xlfn.MAXIFS('Saisie'!$AS$5:$AS$2004,'Saisie'!$C$5:$C$2004,C355,'Saisie'!$AH$5:$AH$2004,"&lt;&gt;")-4),""))</f>
        <v/>
      </c>
      <c r="AF355" s="60">
        <f>IF(C355="","",IFERROR(INDEX('Saisie'!$AI$5:$AI$2004,_xlfn.MAXIFS('Saisie'!$AS$5:$AS$2004,'Saisie'!$C$5:$C$2004,C355,'Saisie'!$AI$5:$AI$2004,"&lt;&gt;")-4),""))</f>
        <v/>
      </c>
      <c r="AG355" s="60">
        <f>IF(C355="","",IFERROR(INDEX('Saisie'!$AJ$5:$AJ$2004,_xlfn.MAXIFS('Saisie'!$AS$5:$AS$2004,'Saisie'!$C$5:$C$2004,C355,'Saisie'!$AJ$5:$AJ$2004,"&lt;&gt;")-4),""))</f>
        <v/>
      </c>
      <c r="AH355" s="60">
        <f>IF(C355="","",IFERROR(INDEX('Saisie'!$AK$5:$AK$2004,_xlfn.MAXIFS('Saisie'!$AS$5:$AS$2004,'Saisie'!$C$5:$C$2004,C355,'Saisie'!$AK$5:$AK$2004,"&lt;&gt;")-4),""))</f>
        <v/>
      </c>
      <c r="AI355" s="60">
        <f>IF(C355="","",IFERROR(INDEX('Saisie'!$AN$5:$AN$2004,_xlfn.MAXIFS('Saisie'!$AS$5:$AS$2004,'Saisie'!$C$5:$C$2004,C355,'Saisie'!$AN$5:$AN$2004,"&lt;&gt;")-4),""))</f>
        <v/>
      </c>
      <c r="AJ355" s="60">
        <f>IF(C355="","",IFERROR(INDEX('Saisie'!$AO$5:$AO$2004,_xlfn.MAXIFS('Saisie'!$AS$5:$AS$2004,'Saisie'!$C$5:$C$2004,C355,'Saisie'!$AO$5:$AO$2004,"&lt;&gt;")-4),""))</f>
        <v/>
      </c>
      <c r="AK355" s="60">
        <f>IF(C355="","",IFERROR(INDEX('Saisie'!$AP$5:$AP$2004,_xlfn.MAXIFS('Saisie'!$AS$5:$AS$2004,'Saisie'!$C$5:$C$2004,C355,'Saisie'!$AP$5:$AP$2004,"&lt;&gt;")-4),""))</f>
        <v/>
      </c>
      <c r="AL355" s="60">
        <f>IF(C355="","",IFERROR(INDEX('Saisie'!$AQ$5:$AQ$2004,_xlfn.MAXIFS('Saisie'!$AS$5:$AS$2004,'Saisie'!$C$5:$C$2004,C355,'Saisie'!$AQ$5:$AQ$2004,"&lt;&gt;")-4),""))</f>
        <v/>
      </c>
      <c r="AM355" s="60">
        <f>IF(C355="","",((AI355="Oui")+(AJ355="Oui")+(AK355="Oui")+OR(AL355="Immédiat",AL355="&lt; 1 mois"))&amp;"/4")</f>
        <v/>
      </c>
      <c r="AN355" s="60">
        <f>IF(C355="","",IFERROR(INDEX('Saisie'!$AL$5:$AL$2004,_xlfn.MAXIFS('Saisie'!$AS$5:$AS$2004,'Saisie'!$C$5:$C$2004,C355,'Saisie'!$AL$5:$AL$2004,"&lt;&gt;")-4),""))</f>
        <v/>
      </c>
      <c r="AO355" s="62">
        <f>IF(C355="","",IF(IFERROR(INDEX('Saisie'!$AM$5:$AM$2004,_xlfn.MAXIFS('Saisie'!$AS$5:$AS$2004,'Saisie'!$C$5:$C$2004,C355,'Saisie'!$AM$5:$AM$2004,"&lt;&gt;")-4),"")&lt;&gt;"",IFERROR(INDEX('Saisie'!$AM$5:$AM$2004,_xlfn.MAXIFS('Saisie'!$AS$5:$AS$2004,'Saisie'!$C$5:$C$2004,C355,'Saisie'!$AM$5:$AM$2004,"&lt;&gt;")-4),""),IFERROR(INDEX('Paramètres'!$S$6:$S$15,MATCH(AN355,'Paramètres'!$Q$6:$Q$15,0)),"")))</f>
        <v/>
      </c>
      <c r="AP355" s="62">
        <f>IF(C355="","",IFERROR(INDEX('Saisie'!$AW$5:$AW$2004,_xlfn.MAXIFS('Saisie'!$AS$5:$AS$2004,'Saisie'!$C$5:$C$2004,C355,'Saisie'!$E$5:$E$2004,"Proposition envoyée")-4),""))</f>
        <v/>
      </c>
      <c r="AQ355" s="106">
        <f>IF(C355="","",IFERROR(1/(1/_xlfn.MAXIFS('Saisie'!$A$5:$A$2004,'Saisie'!$C$5:$C$2004,C355,'Saisie'!$E$5:$E$2004,"Proposition envoyée")),""))</f>
        <v/>
      </c>
      <c r="AR355" s="106">
        <f>IF(C355="","",IF(AQ355="","",AQ355+'Paramètres'!$B$26))</f>
        <v/>
      </c>
      <c r="AS355" s="62">
        <f>IF(OR(C355="",D355="Gagné",D355="Perdu"),0,N(AP355)*IFERROR(INDEX('Paramètres'!$G$6:$G$13,MATCH(D355,'Paramètres'!$F$6:$F$13,0)),0))</f>
        <v/>
      </c>
      <c r="AT355" s="106">
        <f>IF(C355="","",IFERROR(1/(1/_xlfn.MINIFS('Saisie'!$A$5:$A$2004,'Saisie'!$C$5:$C$2004,C355,'Saisie'!$E$5:$E$2004,"Signature")),""))</f>
        <v/>
      </c>
      <c r="AU355" s="60">
        <f>IF(C355="","",IF(OR(AT355="",B355=""),"",AT355-B355))</f>
        <v/>
      </c>
      <c r="AV355" s="60">
        <f>IF(C355="","",IFERROR(INDEX('Saisie'!$L$5:$L$2004,_xlfn.MAXIFS('Saisie'!$AS$5:$AS$2004,'Saisie'!$C$5:$C$2004,C355,'Saisie'!$L$5:$L$2004,"&lt;&gt;")-4),""))</f>
        <v/>
      </c>
      <c r="AW355" s="106">
        <f>IF(C355="","",IF(D355&lt;&gt;"Perdu","",IFERROR(1/(1/_xlfn.MAXIFS('Saisie'!$A$5:$A$2004,'Saisie'!$C$5:$C$2004,C355,'Saisie'!$E$5:$E$2004,"Perdu")),"")))</f>
        <v/>
      </c>
      <c r="AX355" s="106">
        <f>IF(C355="","",IF(AW355="","",AW355+'Paramètres'!$B$28))</f>
        <v/>
      </c>
      <c r="AY355" s="60">
        <f>IF(C355="","",SUMIFS('Saisie'!$H$5:$H$2004,'Saisie'!$C$5:$C$2004,C355))</f>
        <v/>
      </c>
      <c r="AZ355" s="60">
        <f>IF(C355="","",IFERROR(INDEX('Paramètres'!$W$6:$W$20,MATCH(S355,'Paramètres'!$V$6:$V$20,0))&amp;"",""))</f>
        <v/>
      </c>
      <c r="BA355" s="60">
        <f>IF(C355="","",MAX(1,_xlfn.MAXIFS('Saisie'!$AT$5:$AT$2004,'Saisie'!$C$5:$C$2004,C355)))</f>
        <v/>
      </c>
      <c r="BB355" s="60">
        <f>IF(C355="","",IFERROR(INDEX('Saisie'!$X$5:$X$2004,_xlfn.MAXIFS('Saisie'!$AS$5:$AS$2004,'Saisie'!$C$5:$C$2004,C355,'Saisie'!$X$5:$X$2004,"&lt;&gt;")-4),""))</f>
        <v/>
      </c>
      <c r="BC355" s="60">
        <f>IF(C355="","",IFERROR(INDEX('Saisie'!$Y$5:$Y$2004,_xlfn.MAXIFS('Saisie'!$AS$5:$AS$2004,'Saisie'!$C$5:$C$2004,C355,'Saisie'!$Y$5:$Y$2004,"&lt;&gt;")-4),""))</f>
        <v/>
      </c>
      <c r="BD355" s="106">
        <f>IF(C355="","",IFERROR(1/(1/_xlfn.MINIFS('Saisie'!$A$5:$A$2004,'Saisie'!$C$5:$C$2004,C355,'Saisie'!$AT$5:$AT$2004,"&gt;=2")),""))</f>
        <v/>
      </c>
      <c r="BE355" s="106">
        <f>IF(C355="","",IFERROR(1/(1/_xlfn.MINIFS('Saisie'!$A$5:$A$2004,'Saisie'!$C$5:$C$2004,C355,'Saisie'!$AT$5:$AT$2004,"&gt;=3")),""))</f>
        <v/>
      </c>
      <c r="BF355" s="106">
        <f>IF(C355="","",IFERROR(1/(1/_xlfn.MINIFS('Saisie'!$A$5:$A$2004,'Saisie'!$C$5:$C$2004,C355,'Saisie'!$AT$5:$AT$2004,"&gt;=4")),""))</f>
        <v/>
      </c>
      <c r="BG355" s="106">
        <f>IF(C355="","",IFERROR(1/(1/_xlfn.MINIFS('Saisie'!$A$5:$A$2004,'Saisie'!$C$5:$C$2004,C355,'Saisie'!$AT$5:$AT$2004,"&gt;=5")),""))</f>
        <v/>
      </c>
      <c r="BH355" s="106">
        <f>IF(C355="","",IFERROR(1/(1/_xlfn.MINIFS('Saisie'!$A$5:$A$2004,'Saisie'!$C$5:$C$2004,C355,'Saisie'!$AT$5:$AT$2004,"&gt;=6")),""))</f>
        <v/>
      </c>
      <c r="BI355" s="106">
        <f>IF(C355="","",IFERROR(1/(1/_xlfn.MINIFS('Saisie'!$A$5:$A$2004,'Saisie'!$C$5:$C$2004,C355,'Saisie'!$AT$5:$AT$2004,"&gt;=7")),""))</f>
        <v/>
      </c>
      <c r="BJ355" s="60">
        <f>IF(OR(BD355="",B355=""),"",BD355-B355)</f>
        <v/>
      </c>
      <c r="BK355" s="60">
        <f>IF(OR(BE355="",BD355=""),"",BE355-BD355)</f>
        <v/>
      </c>
      <c r="BL355" s="60">
        <f>IF(OR(BF355="",BE355=""),"",BF355-BE355)</f>
        <v/>
      </c>
      <c r="BM355" s="60">
        <f>IF(OR(BG355="",BF355=""),"",BG355-BF355)</f>
        <v/>
      </c>
      <c r="BN355" s="60">
        <f>IF(OR(BH355="",BG355=""),"",BH355-BG355)</f>
        <v/>
      </c>
      <c r="BO355" s="60">
        <f>IF(OR(BI355="",BH355=""),"",BI355-BH355)</f>
        <v/>
      </c>
      <c r="BP355" s="60">
        <f>IF(C355="","",_xlfn.MAXIFS('Saisie'!$AS$5:$AS$2004,'Saisie'!$C$5:$C$2004,C355,'Saisie'!$J$5:$J$2004,"&lt;&gt;"))</f>
        <v/>
      </c>
      <c r="BQ355" s="60">
        <f>IF(C355="","",_xlfn.MAXIFS('Saisie'!$AS$5:$AS$2004,'Saisie'!$C$5:$C$2004,C355))</f>
        <v/>
      </c>
      <c r="BR355" s="60">
        <f>IF(C355="","",_xlfn.MAXIFS('Saisie'!$AS$5:$AS$2004,'Saisie'!$C$5:$C$2004,C355,'Saisie'!$E$5:$E$2004,"Perdu"))</f>
        <v/>
      </c>
      <c r="BS355" s="60">
        <f>IF(C355="","",_xlfn.MAXIFS('Saisie'!$AS$5:$AS$2004,'Saisie'!$C$5:$C$2004,C355,'Saisie'!$AT$5:$AT$2004,"&gt;0"))</f>
        <v/>
      </c>
      <c r="BT355" s="109">
        <f>IF(AND(C355&lt;&gt;"",OR(D355="Nouveau",D355="Contacté",D355="Qualifié"),OR(G355="",N(G355)&lt;=TODAY()),NOT(AND(O355&gt;='Paramètres'!$B$21,P355=0))),E355+351/10000,"")</f>
        <v/>
      </c>
      <c r="BU355" s="60">
        <f>IF(AND(G355&lt;&gt;"",N(G355)&lt;=TODAY()),MAX($BU$4:BU354)+1,"")</f>
        <v/>
      </c>
      <c r="BV355" s="60">
        <f>IF(AND(F355&lt;&gt;"",F355&lt;&gt;"Relance en retard"),MAX($BV$4:BV354)+1,"")</f>
        <v/>
      </c>
      <c r="BW355" s="60">
        <f>IF(C355="","",IF(AND(B355&gt;='Tableau de bord'!$R$4,B355&lt;='Tableau de bord'!$S$4,OR('Tableau de bord'!$G$4="Tous",N355='Tableau de bord'!$G$4)),1,0))</f>
        <v/>
      </c>
      <c r="BX355" s="60">
        <f>IF(AND(C355&lt;&gt;"",N(BA355)=7),MAX($BX$4:BX354)+1,"")</f>
        <v/>
      </c>
    </row>
    <row r="356">
      <c r="A356" s="60">
        <f>IF(C356="","","P-"&amp;TEXT(352,"000"))</f>
        <v/>
      </c>
      <c r="B356" s="106">
        <f>IF(C356="","",IFERROR(1/(1/_xlfn.MINIFS('Saisie'!$A$5:$A$2004,'Saisie'!$C$5:$C$2004,C356)),""))</f>
        <v/>
      </c>
      <c r="C356" s="60">
        <f>IFERROR(INDEX('Saisie'!$C$5:$C$2004,MATCH(352,'Saisie'!$AX$5:$AX$2004,0)),"")</f>
        <v/>
      </c>
      <c r="D356" s="60">
        <f>IF(C356="","",IF(AND(BR356&gt;0,BR356&gt;BS356,BA356&lt;7),"Perdu",INDEX('Paramètres'!$F$6:$F$13,BA356)))</f>
        <v/>
      </c>
      <c r="E356" s="61">
        <f>IF(C356="","",MIN(100,(Z356="Oui")*'Paramètres'!$B$38+(AB356="Régulière")*'Paramètres'!$B$39+IF(AND(N(AA356)&gt;0,TODAY()-N(AA356)&lt;=30),'Paramètres'!$B$40,0)+(W356="")*'Paramètres'!$B$41+(AC356="Absente")*'Paramètres'!$B$42+(AC356="Faible")*'Paramètres'!$B$43+IF(AND(N(AD356)&gt;0,N(AD356)&lt;4),'Paramètres'!$B$44,0)+(AF356="Moyenne")*'Paramètres'!$B$45+(AF356="Grande")*'Paramètres'!$B$46+(Y356&lt;&gt;"")*'Paramètres'!$B$47))</f>
        <v/>
      </c>
      <c r="F356" s="60">
        <f>IF(C356="","",IF(D356="Gagné","",IF(D356="Perdu",IF(AND(AX356&lt;&gt;"",AX356&lt;=TODAY()),"À recontacter (perdu)",""),IF(AND(O356&gt;='Paramètres'!$B$21,P356=0),"Stop : "&amp;'Paramètres'!$B$21&amp;" tentatives sans réponse",IF(AND(D356="Proposition",AR356&lt;&gt;"",TODAY()&gt;N(AR356)),"Proposition expirée",IF(AND(D356="Proposition",N(R356)&gt;='Paramètres'!$B$25),"Proposition sans réponse",IF(AND(G356&lt;&gt;"",N(G356)&lt;TODAY()),"Relance en retard",IF(N(R356)&gt;='Paramètres'!$B$24,"Sans action depuis "&amp;R356&amp;" j",""))))))))</f>
        <v/>
      </c>
      <c r="G356" s="106">
        <f>IF(OR(C356="",D356="Gagné",D356="Perdu"),"",IF(AND(BP356&gt;0,BP356=BQ356),INDEX('Saisie'!$J$5:$J$2004,BP356-4),IF(OR(O356=0,AND(O356&gt;='Paramètres'!$B$21,P356=0)),"",Q356+IF(O356&lt;=1,'Paramètres'!$B$18,IF(O356=2,'Paramètres'!$B$19,'Paramètres'!$B$20)))))</f>
        <v/>
      </c>
      <c r="H356" s="107">
        <f>IF(OR(G356="",BP356&lt;&gt;BQ356),"",IF(INDEX('Saisie'!$K$5:$K$2004,BP356-4)="","",INDEX('Saisie'!$K$5:$K$2004,BP356-4)))</f>
        <v/>
      </c>
      <c r="I356" s="60">
        <f>IF(C356="","",IF(OR(D356="Gagné",D356="Perdu"),"",IFERROR(INDEX('Saisie'!$I$5:$I$2004,_xlfn.MAXIFS('Saisie'!$AS$5:$AS$2004,'Saisie'!$C$5:$C$2004,C356,'Saisie'!$I$5:$I$2004,"&lt;&gt;")-4),"")))</f>
        <v/>
      </c>
      <c r="J356" s="60">
        <f>IF(C356="","",IFERROR(INDEX('Saisie'!$U$5:$U$2004,_xlfn.MAXIFS('Saisie'!$AS$5:$AS$2004,'Saisie'!$C$5:$C$2004,C356,'Saisie'!$U$5:$U$2004,"&lt;&gt;")-4),""))</f>
        <v/>
      </c>
      <c r="K356" s="60">
        <f>IF(C356="","",IFERROR(INDEX('Saisie'!$W$5:$W$2004,_xlfn.MAXIFS('Saisie'!$AS$5:$AS$2004,'Saisie'!$C$5:$C$2004,C356,'Saisie'!$W$5:$W$2004,"&lt;&gt;")-4),""))</f>
        <v/>
      </c>
      <c r="L356" s="60">
        <f>IF(IF(BB356&lt;&gt;"",BB356,K356)="","",HYPERLINK("https://wa.me/"&amp;IF(LEFT(SUBSTITUTE(SUBSTITUTE(SUBSTITUTE(IF(BB356&lt;&gt;"",BB356,K356)," ",""),".",""),"+",""),1)="0",'Paramètres'!$B$35&amp;MID(SUBSTITUTE(SUBSTITUTE(SUBSTITUTE(IF(BB356&lt;&gt;"",BB356,K356)," ",""),".",""),"+",""),2,20),SUBSTITUTE(SUBSTITUTE(SUBSTITUTE(IF(BB356&lt;&gt;"",BB356,K356)," ",""),".",""),"+","")),"WhatsApp"))</f>
        <v/>
      </c>
      <c r="M356" s="60">
        <f>IF(BC356="","",HYPERLINK(IF(LEFT(BC356,4)="http",BC356,"https://www.instagram.com/"&amp;SUBSTITUTE(SUBSTITUTE(BC356,"@","")," ","")),BC356))</f>
        <v/>
      </c>
      <c r="N356" s="60">
        <f>IF(C356="","",IFERROR(INDEX('Saisie'!$D$5:$D$2004,_xlfn.MINIFS('Saisie'!$AS$5:$AS$2004,'Saisie'!$C$5:$C$2004,C356,'Saisie'!$AU$5:$AU$2004,1)-4),IFERROR(INDEX('Saisie'!$D$5:$D$2004,_xlfn.MINIFS('Saisie'!$AS$5:$AS$2004,'Saisie'!$C$5:$C$2004,C356,'Saisie'!$D$5:$D$2004,"&lt;&gt;")-4),"")))</f>
        <v/>
      </c>
      <c r="O356" s="60">
        <f>IF(C356="","",COUNTIFS('Saisie'!$C$5:$C$2004,C356,'Saisie'!$AU$5:$AU$2004,1))</f>
        <v/>
      </c>
      <c r="P356" s="60">
        <f>IF(C356="","",COUNTIFS('Saisie'!$C$5:$C$2004,C356,'Saisie'!$AV$5:$AV$2004,1))</f>
        <v/>
      </c>
      <c r="Q356" s="106">
        <f>IF(C356="","",IFERROR(1/(1/_xlfn.MAXIFS('Saisie'!$A$5:$A$2004,'Saisie'!$C$5:$C$2004,C356)),""))</f>
        <v/>
      </c>
      <c r="R356" s="61">
        <f>IF(C356="","",IF(Q356="","",TODAY()-Q356))</f>
        <v/>
      </c>
      <c r="S356" s="60">
        <f>IF(C356="","",IFERROR(INDEX('Saisie'!$R$5:$R$2004,_xlfn.MAXIFS('Saisie'!$AS$5:$AS$2004,'Saisie'!$C$5:$C$2004,C356,'Saisie'!$R$5:$R$2004,"&lt;&gt;")-4),""))</f>
        <v/>
      </c>
      <c r="T356" s="60">
        <f>IF(C356="","",IFERROR(INDEX('Saisie'!$S$5:$S$2004,_xlfn.MAXIFS('Saisie'!$AS$5:$AS$2004,'Saisie'!$C$5:$C$2004,C356,'Saisie'!$S$5:$S$2004,"&lt;&gt;")-4),""))</f>
        <v/>
      </c>
      <c r="U356" s="60">
        <f>IF(C356="","",IFERROR(INDEX('Saisie'!$T$5:$T$2004,_xlfn.MAXIFS('Saisie'!$AS$5:$AS$2004,'Saisie'!$C$5:$C$2004,C356,'Saisie'!$T$5:$T$2004,"&lt;&gt;")-4),""))</f>
        <v/>
      </c>
      <c r="V356" s="60">
        <f>IF(C356="","",IFERROR(INDEX('Saisie'!$V$5:$V$2004,_xlfn.MAXIFS('Saisie'!$AS$5:$AS$2004,'Saisie'!$C$5:$C$2004,C356,'Saisie'!$V$5:$V$2004,"&lt;&gt;")-4),""))</f>
        <v/>
      </c>
      <c r="W356" s="60">
        <f>IF(C356="","",IFERROR(INDEX('Saisie'!$Z$5:$Z$2004,_xlfn.MAXIFS('Saisie'!$AS$5:$AS$2004,'Saisie'!$C$5:$C$2004,C356,'Saisie'!$Z$5:$Z$2004,"&lt;&gt;")-4),""))</f>
        <v/>
      </c>
      <c r="X356" s="60">
        <f>IF(C356="","",IFERROR(INDEX('Saisie'!$AA$5:$AA$2004,_xlfn.MAXIFS('Saisie'!$AS$5:$AS$2004,'Saisie'!$C$5:$C$2004,C356,'Saisie'!$AA$5:$AA$2004,"&lt;&gt;")-4),""))</f>
        <v/>
      </c>
      <c r="Y356" s="60">
        <f>IF(C356="","",IFERROR(INDEX('Saisie'!$AB$5:$AB$2004,_xlfn.MAXIFS('Saisie'!$AS$5:$AS$2004,'Saisie'!$C$5:$C$2004,C356,'Saisie'!$AB$5:$AB$2004,"&lt;&gt;")-4),""))</f>
        <v/>
      </c>
      <c r="Z356" s="60">
        <f>IF(C356="","",IFERROR(INDEX('Saisie'!$AC$5:$AC$2004,_xlfn.MAXIFS('Saisie'!$AS$5:$AS$2004,'Saisie'!$C$5:$C$2004,C356,'Saisie'!$AC$5:$AC$2004,"&lt;&gt;")-4),""))</f>
        <v/>
      </c>
      <c r="AA356" s="106">
        <f>IF(C356="","",IFERROR(INDEX('Saisie'!$AD$5:$AD$2004,_xlfn.MAXIFS('Saisie'!$AS$5:$AS$2004,'Saisie'!$C$5:$C$2004,C356,'Saisie'!$AD$5:$AD$2004,"&lt;&gt;")-4),""))</f>
        <v/>
      </c>
      <c r="AB356" s="60">
        <f>IF(C356="","",IFERROR(INDEX('Saisie'!$AE$5:$AE$2004,_xlfn.MAXIFS('Saisie'!$AS$5:$AS$2004,'Saisie'!$C$5:$C$2004,C356,'Saisie'!$AE$5:$AE$2004,"&lt;&gt;")-4),""))</f>
        <v/>
      </c>
      <c r="AC356" s="60">
        <f>IF(C356="","",IFERROR(INDEX('Saisie'!$AF$5:$AF$2004,_xlfn.MAXIFS('Saisie'!$AS$5:$AS$2004,'Saisie'!$C$5:$C$2004,C356,'Saisie'!$AF$5:$AF$2004,"&lt;&gt;")-4),""))</f>
        <v/>
      </c>
      <c r="AD356" s="108">
        <f>IF(C356="","",IFERROR(INDEX('Saisie'!$AG$5:$AG$2004,_xlfn.MAXIFS('Saisie'!$AS$5:$AS$2004,'Saisie'!$C$5:$C$2004,C356,'Saisie'!$AG$5:$AG$2004,"&lt;&gt;")-4),""))</f>
        <v/>
      </c>
      <c r="AE356" s="60">
        <f>IF(C356="","",IFERROR(INDEX('Saisie'!$AH$5:$AH$2004,_xlfn.MAXIFS('Saisie'!$AS$5:$AS$2004,'Saisie'!$C$5:$C$2004,C356,'Saisie'!$AH$5:$AH$2004,"&lt;&gt;")-4),""))</f>
        <v/>
      </c>
      <c r="AF356" s="60">
        <f>IF(C356="","",IFERROR(INDEX('Saisie'!$AI$5:$AI$2004,_xlfn.MAXIFS('Saisie'!$AS$5:$AS$2004,'Saisie'!$C$5:$C$2004,C356,'Saisie'!$AI$5:$AI$2004,"&lt;&gt;")-4),""))</f>
        <v/>
      </c>
      <c r="AG356" s="60">
        <f>IF(C356="","",IFERROR(INDEX('Saisie'!$AJ$5:$AJ$2004,_xlfn.MAXIFS('Saisie'!$AS$5:$AS$2004,'Saisie'!$C$5:$C$2004,C356,'Saisie'!$AJ$5:$AJ$2004,"&lt;&gt;")-4),""))</f>
        <v/>
      </c>
      <c r="AH356" s="60">
        <f>IF(C356="","",IFERROR(INDEX('Saisie'!$AK$5:$AK$2004,_xlfn.MAXIFS('Saisie'!$AS$5:$AS$2004,'Saisie'!$C$5:$C$2004,C356,'Saisie'!$AK$5:$AK$2004,"&lt;&gt;")-4),""))</f>
        <v/>
      </c>
      <c r="AI356" s="60">
        <f>IF(C356="","",IFERROR(INDEX('Saisie'!$AN$5:$AN$2004,_xlfn.MAXIFS('Saisie'!$AS$5:$AS$2004,'Saisie'!$C$5:$C$2004,C356,'Saisie'!$AN$5:$AN$2004,"&lt;&gt;")-4),""))</f>
        <v/>
      </c>
      <c r="AJ356" s="60">
        <f>IF(C356="","",IFERROR(INDEX('Saisie'!$AO$5:$AO$2004,_xlfn.MAXIFS('Saisie'!$AS$5:$AS$2004,'Saisie'!$C$5:$C$2004,C356,'Saisie'!$AO$5:$AO$2004,"&lt;&gt;")-4),""))</f>
        <v/>
      </c>
      <c r="AK356" s="60">
        <f>IF(C356="","",IFERROR(INDEX('Saisie'!$AP$5:$AP$2004,_xlfn.MAXIFS('Saisie'!$AS$5:$AS$2004,'Saisie'!$C$5:$C$2004,C356,'Saisie'!$AP$5:$AP$2004,"&lt;&gt;")-4),""))</f>
        <v/>
      </c>
      <c r="AL356" s="60">
        <f>IF(C356="","",IFERROR(INDEX('Saisie'!$AQ$5:$AQ$2004,_xlfn.MAXIFS('Saisie'!$AS$5:$AS$2004,'Saisie'!$C$5:$C$2004,C356,'Saisie'!$AQ$5:$AQ$2004,"&lt;&gt;")-4),""))</f>
        <v/>
      </c>
      <c r="AM356" s="60">
        <f>IF(C356="","",((AI356="Oui")+(AJ356="Oui")+(AK356="Oui")+OR(AL356="Immédiat",AL356="&lt; 1 mois"))&amp;"/4")</f>
        <v/>
      </c>
      <c r="AN356" s="60">
        <f>IF(C356="","",IFERROR(INDEX('Saisie'!$AL$5:$AL$2004,_xlfn.MAXIFS('Saisie'!$AS$5:$AS$2004,'Saisie'!$C$5:$C$2004,C356,'Saisie'!$AL$5:$AL$2004,"&lt;&gt;")-4),""))</f>
        <v/>
      </c>
      <c r="AO356" s="62">
        <f>IF(C356="","",IF(IFERROR(INDEX('Saisie'!$AM$5:$AM$2004,_xlfn.MAXIFS('Saisie'!$AS$5:$AS$2004,'Saisie'!$C$5:$C$2004,C356,'Saisie'!$AM$5:$AM$2004,"&lt;&gt;")-4),"")&lt;&gt;"",IFERROR(INDEX('Saisie'!$AM$5:$AM$2004,_xlfn.MAXIFS('Saisie'!$AS$5:$AS$2004,'Saisie'!$C$5:$C$2004,C356,'Saisie'!$AM$5:$AM$2004,"&lt;&gt;")-4),""),IFERROR(INDEX('Paramètres'!$S$6:$S$15,MATCH(AN356,'Paramètres'!$Q$6:$Q$15,0)),"")))</f>
        <v/>
      </c>
      <c r="AP356" s="62">
        <f>IF(C356="","",IFERROR(INDEX('Saisie'!$AW$5:$AW$2004,_xlfn.MAXIFS('Saisie'!$AS$5:$AS$2004,'Saisie'!$C$5:$C$2004,C356,'Saisie'!$E$5:$E$2004,"Proposition envoyée")-4),""))</f>
        <v/>
      </c>
      <c r="AQ356" s="106">
        <f>IF(C356="","",IFERROR(1/(1/_xlfn.MAXIFS('Saisie'!$A$5:$A$2004,'Saisie'!$C$5:$C$2004,C356,'Saisie'!$E$5:$E$2004,"Proposition envoyée")),""))</f>
        <v/>
      </c>
      <c r="AR356" s="106">
        <f>IF(C356="","",IF(AQ356="","",AQ356+'Paramètres'!$B$26))</f>
        <v/>
      </c>
      <c r="AS356" s="62">
        <f>IF(OR(C356="",D356="Gagné",D356="Perdu"),0,N(AP356)*IFERROR(INDEX('Paramètres'!$G$6:$G$13,MATCH(D356,'Paramètres'!$F$6:$F$13,0)),0))</f>
        <v/>
      </c>
      <c r="AT356" s="106">
        <f>IF(C356="","",IFERROR(1/(1/_xlfn.MINIFS('Saisie'!$A$5:$A$2004,'Saisie'!$C$5:$C$2004,C356,'Saisie'!$E$5:$E$2004,"Signature")),""))</f>
        <v/>
      </c>
      <c r="AU356" s="60">
        <f>IF(C356="","",IF(OR(AT356="",B356=""),"",AT356-B356))</f>
        <v/>
      </c>
      <c r="AV356" s="60">
        <f>IF(C356="","",IFERROR(INDEX('Saisie'!$L$5:$L$2004,_xlfn.MAXIFS('Saisie'!$AS$5:$AS$2004,'Saisie'!$C$5:$C$2004,C356,'Saisie'!$L$5:$L$2004,"&lt;&gt;")-4),""))</f>
        <v/>
      </c>
      <c r="AW356" s="106">
        <f>IF(C356="","",IF(D356&lt;&gt;"Perdu","",IFERROR(1/(1/_xlfn.MAXIFS('Saisie'!$A$5:$A$2004,'Saisie'!$C$5:$C$2004,C356,'Saisie'!$E$5:$E$2004,"Perdu")),"")))</f>
        <v/>
      </c>
      <c r="AX356" s="106">
        <f>IF(C356="","",IF(AW356="","",AW356+'Paramètres'!$B$28))</f>
        <v/>
      </c>
      <c r="AY356" s="60">
        <f>IF(C356="","",SUMIFS('Saisie'!$H$5:$H$2004,'Saisie'!$C$5:$C$2004,C356))</f>
        <v/>
      </c>
      <c r="AZ356" s="60">
        <f>IF(C356="","",IFERROR(INDEX('Paramètres'!$W$6:$W$20,MATCH(S356,'Paramètres'!$V$6:$V$20,0))&amp;"",""))</f>
        <v/>
      </c>
      <c r="BA356" s="60">
        <f>IF(C356="","",MAX(1,_xlfn.MAXIFS('Saisie'!$AT$5:$AT$2004,'Saisie'!$C$5:$C$2004,C356)))</f>
        <v/>
      </c>
      <c r="BB356" s="60">
        <f>IF(C356="","",IFERROR(INDEX('Saisie'!$X$5:$X$2004,_xlfn.MAXIFS('Saisie'!$AS$5:$AS$2004,'Saisie'!$C$5:$C$2004,C356,'Saisie'!$X$5:$X$2004,"&lt;&gt;")-4),""))</f>
        <v/>
      </c>
      <c r="BC356" s="60">
        <f>IF(C356="","",IFERROR(INDEX('Saisie'!$Y$5:$Y$2004,_xlfn.MAXIFS('Saisie'!$AS$5:$AS$2004,'Saisie'!$C$5:$C$2004,C356,'Saisie'!$Y$5:$Y$2004,"&lt;&gt;")-4),""))</f>
        <v/>
      </c>
      <c r="BD356" s="106">
        <f>IF(C356="","",IFERROR(1/(1/_xlfn.MINIFS('Saisie'!$A$5:$A$2004,'Saisie'!$C$5:$C$2004,C356,'Saisie'!$AT$5:$AT$2004,"&gt;=2")),""))</f>
        <v/>
      </c>
      <c r="BE356" s="106">
        <f>IF(C356="","",IFERROR(1/(1/_xlfn.MINIFS('Saisie'!$A$5:$A$2004,'Saisie'!$C$5:$C$2004,C356,'Saisie'!$AT$5:$AT$2004,"&gt;=3")),""))</f>
        <v/>
      </c>
      <c r="BF356" s="106">
        <f>IF(C356="","",IFERROR(1/(1/_xlfn.MINIFS('Saisie'!$A$5:$A$2004,'Saisie'!$C$5:$C$2004,C356,'Saisie'!$AT$5:$AT$2004,"&gt;=4")),""))</f>
        <v/>
      </c>
      <c r="BG356" s="106">
        <f>IF(C356="","",IFERROR(1/(1/_xlfn.MINIFS('Saisie'!$A$5:$A$2004,'Saisie'!$C$5:$C$2004,C356,'Saisie'!$AT$5:$AT$2004,"&gt;=5")),""))</f>
        <v/>
      </c>
      <c r="BH356" s="106">
        <f>IF(C356="","",IFERROR(1/(1/_xlfn.MINIFS('Saisie'!$A$5:$A$2004,'Saisie'!$C$5:$C$2004,C356,'Saisie'!$AT$5:$AT$2004,"&gt;=6")),""))</f>
        <v/>
      </c>
      <c r="BI356" s="106">
        <f>IF(C356="","",IFERROR(1/(1/_xlfn.MINIFS('Saisie'!$A$5:$A$2004,'Saisie'!$C$5:$C$2004,C356,'Saisie'!$AT$5:$AT$2004,"&gt;=7")),""))</f>
        <v/>
      </c>
      <c r="BJ356" s="60">
        <f>IF(OR(BD356="",B356=""),"",BD356-B356)</f>
        <v/>
      </c>
      <c r="BK356" s="60">
        <f>IF(OR(BE356="",BD356=""),"",BE356-BD356)</f>
        <v/>
      </c>
      <c r="BL356" s="60">
        <f>IF(OR(BF356="",BE356=""),"",BF356-BE356)</f>
        <v/>
      </c>
      <c r="BM356" s="60">
        <f>IF(OR(BG356="",BF356=""),"",BG356-BF356)</f>
        <v/>
      </c>
      <c r="BN356" s="60">
        <f>IF(OR(BH356="",BG356=""),"",BH356-BG356)</f>
        <v/>
      </c>
      <c r="BO356" s="60">
        <f>IF(OR(BI356="",BH356=""),"",BI356-BH356)</f>
        <v/>
      </c>
      <c r="BP356" s="60">
        <f>IF(C356="","",_xlfn.MAXIFS('Saisie'!$AS$5:$AS$2004,'Saisie'!$C$5:$C$2004,C356,'Saisie'!$J$5:$J$2004,"&lt;&gt;"))</f>
        <v/>
      </c>
      <c r="BQ356" s="60">
        <f>IF(C356="","",_xlfn.MAXIFS('Saisie'!$AS$5:$AS$2004,'Saisie'!$C$5:$C$2004,C356))</f>
        <v/>
      </c>
      <c r="BR356" s="60">
        <f>IF(C356="","",_xlfn.MAXIFS('Saisie'!$AS$5:$AS$2004,'Saisie'!$C$5:$C$2004,C356,'Saisie'!$E$5:$E$2004,"Perdu"))</f>
        <v/>
      </c>
      <c r="BS356" s="60">
        <f>IF(C356="","",_xlfn.MAXIFS('Saisie'!$AS$5:$AS$2004,'Saisie'!$C$5:$C$2004,C356,'Saisie'!$AT$5:$AT$2004,"&gt;0"))</f>
        <v/>
      </c>
      <c r="BT356" s="109">
        <f>IF(AND(C356&lt;&gt;"",OR(D356="Nouveau",D356="Contacté",D356="Qualifié"),OR(G356="",N(G356)&lt;=TODAY()),NOT(AND(O356&gt;='Paramètres'!$B$21,P356=0))),E356+352/10000,"")</f>
        <v/>
      </c>
      <c r="BU356" s="60">
        <f>IF(AND(G356&lt;&gt;"",N(G356)&lt;=TODAY()),MAX($BU$4:BU355)+1,"")</f>
        <v/>
      </c>
      <c r="BV356" s="60">
        <f>IF(AND(F356&lt;&gt;"",F356&lt;&gt;"Relance en retard"),MAX($BV$4:BV355)+1,"")</f>
        <v/>
      </c>
      <c r="BW356" s="60">
        <f>IF(C356="","",IF(AND(B356&gt;='Tableau de bord'!$R$4,B356&lt;='Tableau de bord'!$S$4,OR('Tableau de bord'!$G$4="Tous",N356='Tableau de bord'!$G$4)),1,0))</f>
        <v/>
      </c>
      <c r="BX356" s="60">
        <f>IF(AND(C356&lt;&gt;"",N(BA356)=7),MAX($BX$4:BX355)+1,"")</f>
        <v/>
      </c>
    </row>
    <row r="357">
      <c r="A357" s="60">
        <f>IF(C357="","","P-"&amp;TEXT(353,"000"))</f>
        <v/>
      </c>
      <c r="B357" s="106">
        <f>IF(C357="","",IFERROR(1/(1/_xlfn.MINIFS('Saisie'!$A$5:$A$2004,'Saisie'!$C$5:$C$2004,C357)),""))</f>
        <v/>
      </c>
      <c r="C357" s="60">
        <f>IFERROR(INDEX('Saisie'!$C$5:$C$2004,MATCH(353,'Saisie'!$AX$5:$AX$2004,0)),"")</f>
        <v/>
      </c>
      <c r="D357" s="60">
        <f>IF(C357="","",IF(AND(BR357&gt;0,BR357&gt;BS357,BA357&lt;7),"Perdu",INDEX('Paramètres'!$F$6:$F$13,BA357)))</f>
        <v/>
      </c>
      <c r="E357" s="61">
        <f>IF(C357="","",MIN(100,(Z357="Oui")*'Paramètres'!$B$38+(AB357="Régulière")*'Paramètres'!$B$39+IF(AND(N(AA357)&gt;0,TODAY()-N(AA357)&lt;=30),'Paramètres'!$B$40,0)+(W357="")*'Paramètres'!$B$41+(AC357="Absente")*'Paramètres'!$B$42+(AC357="Faible")*'Paramètres'!$B$43+IF(AND(N(AD357)&gt;0,N(AD357)&lt;4),'Paramètres'!$B$44,0)+(AF357="Moyenne")*'Paramètres'!$B$45+(AF357="Grande")*'Paramètres'!$B$46+(Y357&lt;&gt;"")*'Paramètres'!$B$47))</f>
        <v/>
      </c>
      <c r="F357" s="60">
        <f>IF(C357="","",IF(D357="Gagné","",IF(D357="Perdu",IF(AND(AX357&lt;&gt;"",AX357&lt;=TODAY()),"À recontacter (perdu)",""),IF(AND(O357&gt;='Paramètres'!$B$21,P357=0),"Stop : "&amp;'Paramètres'!$B$21&amp;" tentatives sans réponse",IF(AND(D357="Proposition",AR357&lt;&gt;"",TODAY()&gt;N(AR357)),"Proposition expirée",IF(AND(D357="Proposition",N(R357)&gt;='Paramètres'!$B$25),"Proposition sans réponse",IF(AND(G357&lt;&gt;"",N(G357)&lt;TODAY()),"Relance en retard",IF(N(R357)&gt;='Paramètres'!$B$24,"Sans action depuis "&amp;R357&amp;" j",""))))))))</f>
        <v/>
      </c>
      <c r="G357" s="106">
        <f>IF(OR(C357="",D357="Gagné",D357="Perdu"),"",IF(AND(BP357&gt;0,BP357=BQ357),INDEX('Saisie'!$J$5:$J$2004,BP357-4),IF(OR(O357=0,AND(O357&gt;='Paramètres'!$B$21,P357=0)),"",Q357+IF(O357&lt;=1,'Paramètres'!$B$18,IF(O357=2,'Paramètres'!$B$19,'Paramètres'!$B$20)))))</f>
        <v/>
      </c>
      <c r="H357" s="107">
        <f>IF(OR(G357="",BP357&lt;&gt;BQ357),"",IF(INDEX('Saisie'!$K$5:$K$2004,BP357-4)="","",INDEX('Saisie'!$K$5:$K$2004,BP357-4)))</f>
        <v/>
      </c>
      <c r="I357" s="60">
        <f>IF(C357="","",IF(OR(D357="Gagné",D357="Perdu"),"",IFERROR(INDEX('Saisie'!$I$5:$I$2004,_xlfn.MAXIFS('Saisie'!$AS$5:$AS$2004,'Saisie'!$C$5:$C$2004,C357,'Saisie'!$I$5:$I$2004,"&lt;&gt;")-4),"")))</f>
        <v/>
      </c>
      <c r="J357" s="60">
        <f>IF(C357="","",IFERROR(INDEX('Saisie'!$U$5:$U$2004,_xlfn.MAXIFS('Saisie'!$AS$5:$AS$2004,'Saisie'!$C$5:$C$2004,C357,'Saisie'!$U$5:$U$2004,"&lt;&gt;")-4),""))</f>
        <v/>
      </c>
      <c r="K357" s="60">
        <f>IF(C357="","",IFERROR(INDEX('Saisie'!$W$5:$W$2004,_xlfn.MAXIFS('Saisie'!$AS$5:$AS$2004,'Saisie'!$C$5:$C$2004,C357,'Saisie'!$W$5:$W$2004,"&lt;&gt;")-4),""))</f>
        <v/>
      </c>
      <c r="L357" s="60">
        <f>IF(IF(BB357&lt;&gt;"",BB357,K357)="","",HYPERLINK("https://wa.me/"&amp;IF(LEFT(SUBSTITUTE(SUBSTITUTE(SUBSTITUTE(IF(BB357&lt;&gt;"",BB357,K357)," ",""),".",""),"+",""),1)="0",'Paramètres'!$B$35&amp;MID(SUBSTITUTE(SUBSTITUTE(SUBSTITUTE(IF(BB357&lt;&gt;"",BB357,K357)," ",""),".",""),"+",""),2,20),SUBSTITUTE(SUBSTITUTE(SUBSTITUTE(IF(BB357&lt;&gt;"",BB357,K357)," ",""),".",""),"+","")),"WhatsApp"))</f>
        <v/>
      </c>
      <c r="M357" s="60">
        <f>IF(BC357="","",HYPERLINK(IF(LEFT(BC357,4)="http",BC357,"https://www.instagram.com/"&amp;SUBSTITUTE(SUBSTITUTE(BC357,"@","")," ","")),BC357))</f>
        <v/>
      </c>
      <c r="N357" s="60">
        <f>IF(C357="","",IFERROR(INDEX('Saisie'!$D$5:$D$2004,_xlfn.MINIFS('Saisie'!$AS$5:$AS$2004,'Saisie'!$C$5:$C$2004,C357,'Saisie'!$AU$5:$AU$2004,1)-4),IFERROR(INDEX('Saisie'!$D$5:$D$2004,_xlfn.MINIFS('Saisie'!$AS$5:$AS$2004,'Saisie'!$C$5:$C$2004,C357,'Saisie'!$D$5:$D$2004,"&lt;&gt;")-4),"")))</f>
        <v/>
      </c>
      <c r="O357" s="60">
        <f>IF(C357="","",COUNTIFS('Saisie'!$C$5:$C$2004,C357,'Saisie'!$AU$5:$AU$2004,1))</f>
        <v/>
      </c>
      <c r="P357" s="60">
        <f>IF(C357="","",COUNTIFS('Saisie'!$C$5:$C$2004,C357,'Saisie'!$AV$5:$AV$2004,1))</f>
        <v/>
      </c>
      <c r="Q357" s="106">
        <f>IF(C357="","",IFERROR(1/(1/_xlfn.MAXIFS('Saisie'!$A$5:$A$2004,'Saisie'!$C$5:$C$2004,C357)),""))</f>
        <v/>
      </c>
      <c r="R357" s="61">
        <f>IF(C357="","",IF(Q357="","",TODAY()-Q357))</f>
        <v/>
      </c>
      <c r="S357" s="60">
        <f>IF(C357="","",IFERROR(INDEX('Saisie'!$R$5:$R$2004,_xlfn.MAXIFS('Saisie'!$AS$5:$AS$2004,'Saisie'!$C$5:$C$2004,C357,'Saisie'!$R$5:$R$2004,"&lt;&gt;")-4),""))</f>
        <v/>
      </c>
      <c r="T357" s="60">
        <f>IF(C357="","",IFERROR(INDEX('Saisie'!$S$5:$S$2004,_xlfn.MAXIFS('Saisie'!$AS$5:$AS$2004,'Saisie'!$C$5:$C$2004,C357,'Saisie'!$S$5:$S$2004,"&lt;&gt;")-4),""))</f>
        <v/>
      </c>
      <c r="U357" s="60">
        <f>IF(C357="","",IFERROR(INDEX('Saisie'!$T$5:$T$2004,_xlfn.MAXIFS('Saisie'!$AS$5:$AS$2004,'Saisie'!$C$5:$C$2004,C357,'Saisie'!$T$5:$T$2004,"&lt;&gt;")-4),""))</f>
        <v/>
      </c>
      <c r="V357" s="60">
        <f>IF(C357="","",IFERROR(INDEX('Saisie'!$V$5:$V$2004,_xlfn.MAXIFS('Saisie'!$AS$5:$AS$2004,'Saisie'!$C$5:$C$2004,C357,'Saisie'!$V$5:$V$2004,"&lt;&gt;")-4),""))</f>
        <v/>
      </c>
      <c r="W357" s="60">
        <f>IF(C357="","",IFERROR(INDEX('Saisie'!$Z$5:$Z$2004,_xlfn.MAXIFS('Saisie'!$AS$5:$AS$2004,'Saisie'!$C$5:$C$2004,C357,'Saisie'!$Z$5:$Z$2004,"&lt;&gt;")-4),""))</f>
        <v/>
      </c>
      <c r="X357" s="60">
        <f>IF(C357="","",IFERROR(INDEX('Saisie'!$AA$5:$AA$2004,_xlfn.MAXIFS('Saisie'!$AS$5:$AS$2004,'Saisie'!$C$5:$C$2004,C357,'Saisie'!$AA$5:$AA$2004,"&lt;&gt;")-4),""))</f>
        <v/>
      </c>
      <c r="Y357" s="60">
        <f>IF(C357="","",IFERROR(INDEX('Saisie'!$AB$5:$AB$2004,_xlfn.MAXIFS('Saisie'!$AS$5:$AS$2004,'Saisie'!$C$5:$C$2004,C357,'Saisie'!$AB$5:$AB$2004,"&lt;&gt;")-4),""))</f>
        <v/>
      </c>
      <c r="Z357" s="60">
        <f>IF(C357="","",IFERROR(INDEX('Saisie'!$AC$5:$AC$2004,_xlfn.MAXIFS('Saisie'!$AS$5:$AS$2004,'Saisie'!$C$5:$C$2004,C357,'Saisie'!$AC$5:$AC$2004,"&lt;&gt;")-4),""))</f>
        <v/>
      </c>
      <c r="AA357" s="106">
        <f>IF(C357="","",IFERROR(INDEX('Saisie'!$AD$5:$AD$2004,_xlfn.MAXIFS('Saisie'!$AS$5:$AS$2004,'Saisie'!$C$5:$C$2004,C357,'Saisie'!$AD$5:$AD$2004,"&lt;&gt;")-4),""))</f>
        <v/>
      </c>
      <c r="AB357" s="60">
        <f>IF(C357="","",IFERROR(INDEX('Saisie'!$AE$5:$AE$2004,_xlfn.MAXIFS('Saisie'!$AS$5:$AS$2004,'Saisie'!$C$5:$C$2004,C357,'Saisie'!$AE$5:$AE$2004,"&lt;&gt;")-4),""))</f>
        <v/>
      </c>
      <c r="AC357" s="60">
        <f>IF(C357="","",IFERROR(INDEX('Saisie'!$AF$5:$AF$2004,_xlfn.MAXIFS('Saisie'!$AS$5:$AS$2004,'Saisie'!$C$5:$C$2004,C357,'Saisie'!$AF$5:$AF$2004,"&lt;&gt;")-4),""))</f>
        <v/>
      </c>
      <c r="AD357" s="108">
        <f>IF(C357="","",IFERROR(INDEX('Saisie'!$AG$5:$AG$2004,_xlfn.MAXIFS('Saisie'!$AS$5:$AS$2004,'Saisie'!$C$5:$C$2004,C357,'Saisie'!$AG$5:$AG$2004,"&lt;&gt;")-4),""))</f>
        <v/>
      </c>
      <c r="AE357" s="60">
        <f>IF(C357="","",IFERROR(INDEX('Saisie'!$AH$5:$AH$2004,_xlfn.MAXIFS('Saisie'!$AS$5:$AS$2004,'Saisie'!$C$5:$C$2004,C357,'Saisie'!$AH$5:$AH$2004,"&lt;&gt;")-4),""))</f>
        <v/>
      </c>
      <c r="AF357" s="60">
        <f>IF(C357="","",IFERROR(INDEX('Saisie'!$AI$5:$AI$2004,_xlfn.MAXIFS('Saisie'!$AS$5:$AS$2004,'Saisie'!$C$5:$C$2004,C357,'Saisie'!$AI$5:$AI$2004,"&lt;&gt;")-4),""))</f>
        <v/>
      </c>
      <c r="AG357" s="60">
        <f>IF(C357="","",IFERROR(INDEX('Saisie'!$AJ$5:$AJ$2004,_xlfn.MAXIFS('Saisie'!$AS$5:$AS$2004,'Saisie'!$C$5:$C$2004,C357,'Saisie'!$AJ$5:$AJ$2004,"&lt;&gt;")-4),""))</f>
        <v/>
      </c>
      <c r="AH357" s="60">
        <f>IF(C357="","",IFERROR(INDEX('Saisie'!$AK$5:$AK$2004,_xlfn.MAXIFS('Saisie'!$AS$5:$AS$2004,'Saisie'!$C$5:$C$2004,C357,'Saisie'!$AK$5:$AK$2004,"&lt;&gt;")-4),""))</f>
        <v/>
      </c>
      <c r="AI357" s="60">
        <f>IF(C357="","",IFERROR(INDEX('Saisie'!$AN$5:$AN$2004,_xlfn.MAXIFS('Saisie'!$AS$5:$AS$2004,'Saisie'!$C$5:$C$2004,C357,'Saisie'!$AN$5:$AN$2004,"&lt;&gt;")-4),""))</f>
        <v/>
      </c>
      <c r="AJ357" s="60">
        <f>IF(C357="","",IFERROR(INDEX('Saisie'!$AO$5:$AO$2004,_xlfn.MAXIFS('Saisie'!$AS$5:$AS$2004,'Saisie'!$C$5:$C$2004,C357,'Saisie'!$AO$5:$AO$2004,"&lt;&gt;")-4),""))</f>
        <v/>
      </c>
      <c r="AK357" s="60">
        <f>IF(C357="","",IFERROR(INDEX('Saisie'!$AP$5:$AP$2004,_xlfn.MAXIFS('Saisie'!$AS$5:$AS$2004,'Saisie'!$C$5:$C$2004,C357,'Saisie'!$AP$5:$AP$2004,"&lt;&gt;")-4),""))</f>
        <v/>
      </c>
      <c r="AL357" s="60">
        <f>IF(C357="","",IFERROR(INDEX('Saisie'!$AQ$5:$AQ$2004,_xlfn.MAXIFS('Saisie'!$AS$5:$AS$2004,'Saisie'!$C$5:$C$2004,C357,'Saisie'!$AQ$5:$AQ$2004,"&lt;&gt;")-4),""))</f>
        <v/>
      </c>
      <c r="AM357" s="60">
        <f>IF(C357="","",((AI357="Oui")+(AJ357="Oui")+(AK357="Oui")+OR(AL357="Immédiat",AL357="&lt; 1 mois"))&amp;"/4")</f>
        <v/>
      </c>
      <c r="AN357" s="60">
        <f>IF(C357="","",IFERROR(INDEX('Saisie'!$AL$5:$AL$2004,_xlfn.MAXIFS('Saisie'!$AS$5:$AS$2004,'Saisie'!$C$5:$C$2004,C357,'Saisie'!$AL$5:$AL$2004,"&lt;&gt;")-4),""))</f>
        <v/>
      </c>
      <c r="AO357" s="62">
        <f>IF(C357="","",IF(IFERROR(INDEX('Saisie'!$AM$5:$AM$2004,_xlfn.MAXIFS('Saisie'!$AS$5:$AS$2004,'Saisie'!$C$5:$C$2004,C357,'Saisie'!$AM$5:$AM$2004,"&lt;&gt;")-4),"")&lt;&gt;"",IFERROR(INDEX('Saisie'!$AM$5:$AM$2004,_xlfn.MAXIFS('Saisie'!$AS$5:$AS$2004,'Saisie'!$C$5:$C$2004,C357,'Saisie'!$AM$5:$AM$2004,"&lt;&gt;")-4),""),IFERROR(INDEX('Paramètres'!$S$6:$S$15,MATCH(AN357,'Paramètres'!$Q$6:$Q$15,0)),"")))</f>
        <v/>
      </c>
      <c r="AP357" s="62">
        <f>IF(C357="","",IFERROR(INDEX('Saisie'!$AW$5:$AW$2004,_xlfn.MAXIFS('Saisie'!$AS$5:$AS$2004,'Saisie'!$C$5:$C$2004,C357,'Saisie'!$E$5:$E$2004,"Proposition envoyée")-4),""))</f>
        <v/>
      </c>
      <c r="AQ357" s="106">
        <f>IF(C357="","",IFERROR(1/(1/_xlfn.MAXIFS('Saisie'!$A$5:$A$2004,'Saisie'!$C$5:$C$2004,C357,'Saisie'!$E$5:$E$2004,"Proposition envoyée")),""))</f>
        <v/>
      </c>
      <c r="AR357" s="106">
        <f>IF(C357="","",IF(AQ357="","",AQ357+'Paramètres'!$B$26))</f>
        <v/>
      </c>
      <c r="AS357" s="62">
        <f>IF(OR(C357="",D357="Gagné",D357="Perdu"),0,N(AP357)*IFERROR(INDEX('Paramètres'!$G$6:$G$13,MATCH(D357,'Paramètres'!$F$6:$F$13,0)),0))</f>
        <v/>
      </c>
      <c r="AT357" s="106">
        <f>IF(C357="","",IFERROR(1/(1/_xlfn.MINIFS('Saisie'!$A$5:$A$2004,'Saisie'!$C$5:$C$2004,C357,'Saisie'!$E$5:$E$2004,"Signature")),""))</f>
        <v/>
      </c>
      <c r="AU357" s="60">
        <f>IF(C357="","",IF(OR(AT357="",B357=""),"",AT357-B357))</f>
        <v/>
      </c>
      <c r="AV357" s="60">
        <f>IF(C357="","",IFERROR(INDEX('Saisie'!$L$5:$L$2004,_xlfn.MAXIFS('Saisie'!$AS$5:$AS$2004,'Saisie'!$C$5:$C$2004,C357,'Saisie'!$L$5:$L$2004,"&lt;&gt;")-4),""))</f>
        <v/>
      </c>
      <c r="AW357" s="106">
        <f>IF(C357="","",IF(D357&lt;&gt;"Perdu","",IFERROR(1/(1/_xlfn.MAXIFS('Saisie'!$A$5:$A$2004,'Saisie'!$C$5:$C$2004,C357,'Saisie'!$E$5:$E$2004,"Perdu")),"")))</f>
        <v/>
      </c>
      <c r="AX357" s="106">
        <f>IF(C357="","",IF(AW357="","",AW357+'Paramètres'!$B$28))</f>
        <v/>
      </c>
      <c r="AY357" s="60">
        <f>IF(C357="","",SUMIFS('Saisie'!$H$5:$H$2004,'Saisie'!$C$5:$C$2004,C357))</f>
        <v/>
      </c>
      <c r="AZ357" s="60">
        <f>IF(C357="","",IFERROR(INDEX('Paramètres'!$W$6:$W$20,MATCH(S357,'Paramètres'!$V$6:$V$20,0))&amp;"",""))</f>
        <v/>
      </c>
      <c r="BA357" s="60">
        <f>IF(C357="","",MAX(1,_xlfn.MAXIFS('Saisie'!$AT$5:$AT$2004,'Saisie'!$C$5:$C$2004,C357)))</f>
        <v/>
      </c>
      <c r="BB357" s="60">
        <f>IF(C357="","",IFERROR(INDEX('Saisie'!$X$5:$X$2004,_xlfn.MAXIFS('Saisie'!$AS$5:$AS$2004,'Saisie'!$C$5:$C$2004,C357,'Saisie'!$X$5:$X$2004,"&lt;&gt;")-4),""))</f>
        <v/>
      </c>
      <c r="BC357" s="60">
        <f>IF(C357="","",IFERROR(INDEX('Saisie'!$Y$5:$Y$2004,_xlfn.MAXIFS('Saisie'!$AS$5:$AS$2004,'Saisie'!$C$5:$C$2004,C357,'Saisie'!$Y$5:$Y$2004,"&lt;&gt;")-4),""))</f>
        <v/>
      </c>
      <c r="BD357" s="106">
        <f>IF(C357="","",IFERROR(1/(1/_xlfn.MINIFS('Saisie'!$A$5:$A$2004,'Saisie'!$C$5:$C$2004,C357,'Saisie'!$AT$5:$AT$2004,"&gt;=2")),""))</f>
        <v/>
      </c>
      <c r="BE357" s="106">
        <f>IF(C357="","",IFERROR(1/(1/_xlfn.MINIFS('Saisie'!$A$5:$A$2004,'Saisie'!$C$5:$C$2004,C357,'Saisie'!$AT$5:$AT$2004,"&gt;=3")),""))</f>
        <v/>
      </c>
      <c r="BF357" s="106">
        <f>IF(C357="","",IFERROR(1/(1/_xlfn.MINIFS('Saisie'!$A$5:$A$2004,'Saisie'!$C$5:$C$2004,C357,'Saisie'!$AT$5:$AT$2004,"&gt;=4")),""))</f>
        <v/>
      </c>
      <c r="BG357" s="106">
        <f>IF(C357="","",IFERROR(1/(1/_xlfn.MINIFS('Saisie'!$A$5:$A$2004,'Saisie'!$C$5:$C$2004,C357,'Saisie'!$AT$5:$AT$2004,"&gt;=5")),""))</f>
        <v/>
      </c>
      <c r="BH357" s="106">
        <f>IF(C357="","",IFERROR(1/(1/_xlfn.MINIFS('Saisie'!$A$5:$A$2004,'Saisie'!$C$5:$C$2004,C357,'Saisie'!$AT$5:$AT$2004,"&gt;=6")),""))</f>
        <v/>
      </c>
      <c r="BI357" s="106">
        <f>IF(C357="","",IFERROR(1/(1/_xlfn.MINIFS('Saisie'!$A$5:$A$2004,'Saisie'!$C$5:$C$2004,C357,'Saisie'!$AT$5:$AT$2004,"&gt;=7")),""))</f>
        <v/>
      </c>
      <c r="BJ357" s="60">
        <f>IF(OR(BD357="",B357=""),"",BD357-B357)</f>
        <v/>
      </c>
      <c r="BK357" s="60">
        <f>IF(OR(BE357="",BD357=""),"",BE357-BD357)</f>
        <v/>
      </c>
      <c r="BL357" s="60">
        <f>IF(OR(BF357="",BE357=""),"",BF357-BE357)</f>
        <v/>
      </c>
      <c r="BM357" s="60">
        <f>IF(OR(BG357="",BF357=""),"",BG357-BF357)</f>
        <v/>
      </c>
      <c r="BN357" s="60">
        <f>IF(OR(BH357="",BG357=""),"",BH357-BG357)</f>
        <v/>
      </c>
      <c r="BO357" s="60">
        <f>IF(OR(BI357="",BH357=""),"",BI357-BH357)</f>
        <v/>
      </c>
      <c r="BP357" s="60">
        <f>IF(C357="","",_xlfn.MAXIFS('Saisie'!$AS$5:$AS$2004,'Saisie'!$C$5:$C$2004,C357,'Saisie'!$J$5:$J$2004,"&lt;&gt;"))</f>
        <v/>
      </c>
      <c r="BQ357" s="60">
        <f>IF(C357="","",_xlfn.MAXIFS('Saisie'!$AS$5:$AS$2004,'Saisie'!$C$5:$C$2004,C357))</f>
        <v/>
      </c>
      <c r="BR357" s="60">
        <f>IF(C357="","",_xlfn.MAXIFS('Saisie'!$AS$5:$AS$2004,'Saisie'!$C$5:$C$2004,C357,'Saisie'!$E$5:$E$2004,"Perdu"))</f>
        <v/>
      </c>
      <c r="BS357" s="60">
        <f>IF(C357="","",_xlfn.MAXIFS('Saisie'!$AS$5:$AS$2004,'Saisie'!$C$5:$C$2004,C357,'Saisie'!$AT$5:$AT$2004,"&gt;0"))</f>
        <v/>
      </c>
      <c r="BT357" s="109">
        <f>IF(AND(C357&lt;&gt;"",OR(D357="Nouveau",D357="Contacté",D357="Qualifié"),OR(G357="",N(G357)&lt;=TODAY()),NOT(AND(O357&gt;='Paramètres'!$B$21,P357=0))),E357+353/10000,"")</f>
        <v/>
      </c>
      <c r="BU357" s="60">
        <f>IF(AND(G357&lt;&gt;"",N(G357)&lt;=TODAY()),MAX($BU$4:BU356)+1,"")</f>
        <v/>
      </c>
      <c r="BV357" s="60">
        <f>IF(AND(F357&lt;&gt;"",F357&lt;&gt;"Relance en retard"),MAX($BV$4:BV356)+1,"")</f>
        <v/>
      </c>
      <c r="BW357" s="60">
        <f>IF(C357="","",IF(AND(B357&gt;='Tableau de bord'!$R$4,B357&lt;='Tableau de bord'!$S$4,OR('Tableau de bord'!$G$4="Tous",N357='Tableau de bord'!$G$4)),1,0))</f>
        <v/>
      </c>
      <c r="BX357" s="60">
        <f>IF(AND(C357&lt;&gt;"",N(BA357)=7),MAX($BX$4:BX356)+1,"")</f>
        <v/>
      </c>
    </row>
    <row r="358">
      <c r="A358" s="60">
        <f>IF(C358="","","P-"&amp;TEXT(354,"000"))</f>
        <v/>
      </c>
      <c r="B358" s="106">
        <f>IF(C358="","",IFERROR(1/(1/_xlfn.MINIFS('Saisie'!$A$5:$A$2004,'Saisie'!$C$5:$C$2004,C358)),""))</f>
        <v/>
      </c>
      <c r="C358" s="60">
        <f>IFERROR(INDEX('Saisie'!$C$5:$C$2004,MATCH(354,'Saisie'!$AX$5:$AX$2004,0)),"")</f>
        <v/>
      </c>
      <c r="D358" s="60">
        <f>IF(C358="","",IF(AND(BR358&gt;0,BR358&gt;BS358,BA358&lt;7),"Perdu",INDEX('Paramètres'!$F$6:$F$13,BA358)))</f>
        <v/>
      </c>
      <c r="E358" s="61">
        <f>IF(C358="","",MIN(100,(Z358="Oui")*'Paramètres'!$B$38+(AB358="Régulière")*'Paramètres'!$B$39+IF(AND(N(AA358)&gt;0,TODAY()-N(AA358)&lt;=30),'Paramètres'!$B$40,0)+(W358="")*'Paramètres'!$B$41+(AC358="Absente")*'Paramètres'!$B$42+(AC358="Faible")*'Paramètres'!$B$43+IF(AND(N(AD358)&gt;0,N(AD358)&lt;4),'Paramètres'!$B$44,0)+(AF358="Moyenne")*'Paramètres'!$B$45+(AF358="Grande")*'Paramètres'!$B$46+(Y358&lt;&gt;"")*'Paramètres'!$B$47))</f>
        <v/>
      </c>
      <c r="F358" s="60">
        <f>IF(C358="","",IF(D358="Gagné","",IF(D358="Perdu",IF(AND(AX358&lt;&gt;"",AX358&lt;=TODAY()),"À recontacter (perdu)",""),IF(AND(O358&gt;='Paramètres'!$B$21,P358=0),"Stop : "&amp;'Paramètres'!$B$21&amp;" tentatives sans réponse",IF(AND(D358="Proposition",AR358&lt;&gt;"",TODAY()&gt;N(AR358)),"Proposition expirée",IF(AND(D358="Proposition",N(R358)&gt;='Paramètres'!$B$25),"Proposition sans réponse",IF(AND(G358&lt;&gt;"",N(G358)&lt;TODAY()),"Relance en retard",IF(N(R358)&gt;='Paramètres'!$B$24,"Sans action depuis "&amp;R358&amp;" j",""))))))))</f>
        <v/>
      </c>
      <c r="G358" s="106">
        <f>IF(OR(C358="",D358="Gagné",D358="Perdu"),"",IF(AND(BP358&gt;0,BP358=BQ358),INDEX('Saisie'!$J$5:$J$2004,BP358-4),IF(OR(O358=0,AND(O358&gt;='Paramètres'!$B$21,P358=0)),"",Q358+IF(O358&lt;=1,'Paramètres'!$B$18,IF(O358=2,'Paramètres'!$B$19,'Paramètres'!$B$20)))))</f>
        <v/>
      </c>
      <c r="H358" s="107">
        <f>IF(OR(G358="",BP358&lt;&gt;BQ358),"",IF(INDEX('Saisie'!$K$5:$K$2004,BP358-4)="","",INDEX('Saisie'!$K$5:$K$2004,BP358-4)))</f>
        <v/>
      </c>
      <c r="I358" s="60">
        <f>IF(C358="","",IF(OR(D358="Gagné",D358="Perdu"),"",IFERROR(INDEX('Saisie'!$I$5:$I$2004,_xlfn.MAXIFS('Saisie'!$AS$5:$AS$2004,'Saisie'!$C$5:$C$2004,C358,'Saisie'!$I$5:$I$2004,"&lt;&gt;")-4),"")))</f>
        <v/>
      </c>
      <c r="J358" s="60">
        <f>IF(C358="","",IFERROR(INDEX('Saisie'!$U$5:$U$2004,_xlfn.MAXIFS('Saisie'!$AS$5:$AS$2004,'Saisie'!$C$5:$C$2004,C358,'Saisie'!$U$5:$U$2004,"&lt;&gt;")-4),""))</f>
        <v/>
      </c>
      <c r="K358" s="60">
        <f>IF(C358="","",IFERROR(INDEX('Saisie'!$W$5:$W$2004,_xlfn.MAXIFS('Saisie'!$AS$5:$AS$2004,'Saisie'!$C$5:$C$2004,C358,'Saisie'!$W$5:$W$2004,"&lt;&gt;")-4),""))</f>
        <v/>
      </c>
      <c r="L358" s="60">
        <f>IF(IF(BB358&lt;&gt;"",BB358,K358)="","",HYPERLINK("https://wa.me/"&amp;IF(LEFT(SUBSTITUTE(SUBSTITUTE(SUBSTITUTE(IF(BB358&lt;&gt;"",BB358,K358)," ",""),".",""),"+",""),1)="0",'Paramètres'!$B$35&amp;MID(SUBSTITUTE(SUBSTITUTE(SUBSTITUTE(IF(BB358&lt;&gt;"",BB358,K358)," ",""),".",""),"+",""),2,20),SUBSTITUTE(SUBSTITUTE(SUBSTITUTE(IF(BB358&lt;&gt;"",BB358,K358)," ",""),".",""),"+","")),"WhatsApp"))</f>
        <v/>
      </c>
      <c r="M358" s="60">
        <f>IF(BC358="","",HYPERLINK(IF(LEFT(BC358,4)="http",BC358,"https://www.instagram.com/"&amp;SUBSTITUTE(SUBSTITUTE(BC358,"@","")," ","")),BC358))</f>
        <v/>
      </c>
      <c r="N358" s="60">
        <f>IF(C358="","",IFERROR(INDEX('Saisie'!$D$5:$D$2004,_xlfn.MINIFS('Saisie'!$AS$5:$AS$2004,'Saisie'!$C$5:$C$2004,C358,'Saisie'!$AU$5:$AU$2004,1)-4),IFERROR(INDEX('Saisie'!$D$5:$D$2004,_xlfn.MINIFS('Saisie'!$AS$5:$AS$2004,'Saisie'!$C$5:$C$2004,C358,'Saisie'!$D$5:$D$2004,"&lt;&gt;")-4),"")))</f>
        <v/>
      </c>
      <c r="O358" s="60">
        <f>IF(C358="","",COUNTIFS('Saisie'!$C$5:$C$2004,C358,'Saisie'!$AU$5:$AU$2004,1))</f>
        <v/>
      </c>
      <c r="P358" s="60">
        <f>IF(C358="","",COUNTIFS('Saisie'!$C$5:$C$2004,C358,'Saisie'!$AV$5:$AV$2004,1))</f>
        <v/>
      </c>
      <c r="Q358" s="106">
        <f>IF(C358="","",IFERROR(1/(1/_xlfn.MAXIFS('Saisie'!$A$5:$A$2004,'Saisie'!$C$5:$C$2004,C358)),""))</f>
        <v/>
      </c>
      <c r="R358" s="61">
        <f>IF(C358="","",IF(Q358="","",TODAY()-Q358))</f>
        <v/>
      </c>
      <c r="S358" s="60">
        <f>IF(C358="","",IFERROR(INDEX('Saisie'!$R$5:$R$2004,_xlfn.MAXIFS('Saisie'!$AS$5:$AS$2004,'Saisie'!$C$5:$C$2004,C358,'Saisie'!$R$5:$R$2004,"&lt;&gt;")-4),""))</f>
        <v/>
      </c>
      <c r="T358" s="60">
        <f>IF(C358="","",IFERROR(INDEX('Saisie'!$S$5:$S$2004,_xlfn.MAXIFS('Saisie'!$AS$5:$AS$2004,'Saisie'!$C$5:$C$2004,C358,'Saisie'!$S$5:$S$2004,"&lt;&gt;")-4),""))</f>
        <v/>
      </c>
      <c r="U358" s="60">
        <f>IF(C358="","",IFERROR(INDEX('Saisie'!$T$5:$T$2004,_xlfn.MAXIFS('Saisie'!$AS$5:$AS$2004,'Saisie'!$C$5:$C$2004,C358,'Saisie'!$T$5:$T$2004,"&lt;&gt;")-4),""))</f>
        <v/>
      </c>
      <c r="V358" s="60">
        <f>IF(C358="","",IFERROR(INDEX('Saisie'!$V$5:$V$2004,_xlfn.MAXIFS('Saisie'!$AS$5:$AS$2004,'Saisie'!$C$5:$C$2004,C358,'Saisie'!$V$5:$V$2004,"&lt;&gt;")-4),""))</f>
        <v/>
      </c>
      <c r="W358" s="60">
        <f>IF(C358="","",IFERROR(INDEX('Saisie'!$Z$5:$Z$2004,_xlfn.MAXIFS('Saisie'!$AS$5:$AS$2004,'Saisie'!$C$5:$C$2004,C358,'Saisie'!$Z$5:$Z$2004,"&lt;&gt;")-4),""))</f>
        <v/>
      </c>
      <c r="X358" s="60">
        <f>IF(C358="","",IFERROR(INDEX('Saisie'!$AA$5:$AA$2004,_xlfn.MAXIFS('Saisie'!$AS$5:$AS$2004,'Saisie'!$C$5:$C$2004,C358,'Saisie'!$AA$5:$AA$2004,"&lt;&gt;")-4),""))</f>
        <v/>
      </c>
      <c r="Y358" s="60">
        <f>IF(C358="","",IFERROR(INDEX('Saisie'!$AB$5:$AB$2004,_xlfn.MAXIFS('Saisie'!$AS$5:$AS$2004,'Saisie'!$C$5:$C$2004,C358,'Saisie'!$AB$5:$AB$2004,"&lt;&gt;")-4),""))</f>
        <v/>
      </c>
      <c r="Z358" s="60">
        <f>IF(C358="","",IFERROR(INDEX('Saisie'!$AC$5:$AC$2004,_xlfn.MAXIFS('Saisie'!$AS$5:$AS$2004,'Saisie'!$C$5:$C$2004,C358,'Saisie'!$AC$5:$AC$2004,"&lt;&gt;")-4),""))</f>
        <v/>
      </c>
      <c r="AA358" s="106">
        <f>IF(C358="","",IFERROR(INDEX('Saisie'!$AD$5:$AD$2004,_xlfn.MAXIFS('Saisie'!$AS$5:$AS$2004,'Saisie'!$C$5:$C$2004,C358,'Saisie'!$AD$5:$AD$2004,"&lt;&gt;")-4),""))</f>
        <v/>
      </c>
      <c r="AB358" s="60">
        <f>IF(C358="","",IFERROR(INDEX('Saisie'!$AE$5:$AE$2004,_xlfn.MAXIFS('Saisie'!$AS$5:$AS$2004,'Saisie'!$C$5:$C$2004,C358,'Saisie'!$AE$5:$AE$2004,"&lt;&gt;")-4),""))</f>
        <v/>
      </c>
      <c r="AC358" s="60">
        <f>IF(C358="","",IFERROR(INDEX('Saisie'!$AF$5:$AF$2004,_xlfn.MAXIFS('Saisie'!$AS$5:$AS$2004,'Saisie'!$C$5:$C$2004,C358,'Saisie'!$AF$5:$AF$2004,"&lt;&gt;")-4),""))</f>
        <v/>
      </c>
      <c r="AD358" s="108">
        <f>IF(C358="","",IFERROR(INDEX('Saisie'!$AG$5:$AG$2004,_xlfn.MAXIFS('Saisie'!$AS$5:$AS$2004,'Saisie'!$C$5:$C$2004,C358,'Saisie'!$AG$5:$AG$2004,"&lt;&gt;")-4),""))</f>
        <v/>
      </c>
      <c r="AE358" s="60">
        <f>IF(C358="","",IFERROR(INDEX('Saisie'!$AH$5:$AH$2004,_xlfn.MAXIFS('Saisie'!$AS$5:$AS$2004,'Saisie'!$C$5:$C$2004,C358,'Saisie'!$AH$5:$AH$2004,"&lt;&gt;")-4),""))</f>
        <v/>
      </c>
      <c r="AF358" s="60">
        <f>IF(C358="","",IFERROR(INDEX('Saisie'!$AI$5:$AI$2004,_xlfn.MAXIFS('Saisie'!$AS$5:$AS$2004,'Saisie'!$C$5:$C$2004,C358,'Saisie'!$AI$5:$AI$2004,"&lt;&gt;")-4),""))</f>
        <v/>
      </c>
      <c r="AG358" s="60">
        <f>IF(C358="","",IFERROR(INDEX('Saisie'!$AJ$5:$AJ$2004,_xlfn.MAXIFS('Saisie'!$AS$5:$AS$2004,'Saisie'!$C$5:$C$2004,C358,'Saisie'!$AJ$5:$AJ$2004,"&lt;&gt;")-4),""))</f>
        <v/>
      </c>
      <c r="AH358" s="60">
        <f>IF(C358="","",IFERROR(INDEX('Saisie'!$AK$5:$AK$2004,_xlfn.MAXIFS('Saisie'!$AS$5:$AS$2004,'Saisie'!$C$5:$C$2004,C358,'Saisie'!$AK$5:$AK$2004,"&lt;&gt;")-4),""))</f>
        <v/>
      </c>
      <c r="AI358" s="60">
        <f>IF(C358="","",IFERROR(INDEX('Saisie'!$AN$5:$AN$2004,_xlfn.MAXIFS('Saisie'!$AS$5:$AS$2004,'Saisie'!$C$5:$C$2004,C358,'Saisie'!$AN$5:$AN$2004,"&lt;&gt;")-4),""))</f>
        <v/>
      </c>
      <c r="AJ358" s="60">
        <f>IF(C358="","",IFERROR(INDEX('Saisie'!$AO$5:$AO$2004,_xlfn.MAXIFS('Saisie'!$AS$5:$AS$2004,'Saisie'!$C$5:$C$2004,C358,'Saisie'!$AO$5:$AO$2004,"&lt;&gt;")-4),""))</f>
        <v/>
      </c>
      <c r="AK358" s="60">
        <f>IF(C358="","",IFERROR(INDEX('Saisie'!$AP$5:$AP$2004,_xlfn.MAXIFS('Saisie'!$AS$5:$AS$2004,'Saisie'!$C$5:$C$2004,C358,'Saisie'!$AP$5:$AP$2004,"&lt;&gt;")-4),""))</f>
        <v/>
      </c>
      <c r="AL358" s="60">
        <f>IF(C358="","",IFERROR(INDEX('Saisie'!$AQ$5:$AQ$2004,_xlfn.MAXIFS('Saisie'!$AS$5:$AS$2004,'Saisie'!$C$5:$C$2004,C358,'Saisie'!$AQ$5:$AQ$2004,"&lt;&gt;")-4),""))</f>
        <v/>
      </c>
      <c r="AM358" s="60">
        <f>IF(C358="","",((AI358="Oui")+(AJ358="Oui")+(AK358="Oui")+OR(AL358="Immédiat",AL358="&lt; 1 mois"))&amp;"/4")</f>
        <v/>
      </c>
      <c r="AN358" s="60">
        <f>IF(C358="","",IFERROR(INDEX('Saisie'!$AL$5:$AL$2004,_xlfn.MAXIFS('Saisie'!$AS$5:$AS$2004,'Saisie'!$C$5:$C$2004,C358,'Saisie'!$AL$5:$AL$2004,"&lt;&gt;")-4),""))</f>
        <v/>
      </c>
      <c r="AO358" s="62">
        <f>IF(C358="","",IF(IFERROR(INDEX('Saisie'!$AM$5:$AM$2004,_xlfn.MAXIFS('Saisie'!$AS$5:$AS$2004,'Saisie'!$C$5:$C$2004,C358,'Saisie'!$AM$5:$AM$2004,"&lt;&gt;")-4),"")&lt;&gt;"",IFERROR(INDEX('Saisie'!$AM$5:$AM$2004,_xlfn.MAXIFS('Saisie'!$AS$5:$AS$2004,'Saisie'!$C$5:$C$2004,C358,'Saisie'!$AM$5:$AM$2004,"&lt;&gt;")-4),""),IFERROR(INDEX('Paramètres'!$S$6:$S$15,MATCH(AN358,'Paramètres'!$Q$6:$Q$15,0)),"")))</f>
        <v/>
      </c>
      <c r="AP358" s="62">
        <f>IF(C358="","",IFERROR(INDEX('Saisie'!$AW$5:$AW$2004,_xlfn.MAXIFS('Saisie'!$AS$5:$AS$2004,'Saisie'!$C$5:$C$2004,C358,'Saisie'!$E$5:$E$2004,"Proposition envoyée")-4),""))</f>
        <v/>
      </c>
      <c r="AQ358" s="106">
        <f>IF(C358="","",IFERROR(1/(1/_xlfn.MAXIFS('Saisie'!$A$5:$A$2004,'Saisie'!$C$5:$C$2004,C358,'Saisie'!$E$5:$E$2004,"Proposition envoyée")),""))</f>
        <v/>
      </c>
      <c r="AR358" s="106">
        <f>IF(C358="","",IF(AQ358="","",AQ358+'Paramètres'!$B$26))</f>
        <v/>
      </c>
      <c r="AS358" s="62">
        <f>IF(OR(C358="",D358="Gagné",D358="Perdu"),0,N(AP358)*IFERROR(INDEX('Paramètres'!$G$6:$G$13,MATCH(D358,'Paramètres'!$F$6:$F$13,0)),0))</f>
        <v/>
      </c>
      <c r="AT358" s="106">
        <f>IF(C358="","",IFERROR(1/(1/_xlfn.MINIFS('Saisie'!$A$5:$A$2004,'Saisie'!$C$5:$C$2004,C358,'Saisie'!$E$5:$E$2004,"Signature")),""))</f>
        <v/>
      </c>
      <c r="AU358" s="60">
        <f>IF(C358="","",IF(OR(AT358="",B358=""),"",AT358-B358))</f>
        <v/>
      </c>
      <c r="AV358" s="60">
        <f>IF(C358="","",IFERROR(INDEX('Saisie'!$L$5:$L$2004,_xlfn.MAXIFS('Saisie'!$AS$5:$AS$2004,'Saisie'!$C$5:$C$2004,C358,'Saisie'!$L$5:$L$2004,"&lt;&gt;")-4),""))</f>
        <v/>
      </c>
      <c r="AW358" s="106">
        <f>IF(C358="","",IF(D358&lt;&gt;"Perdu","",IFERROR(1/(1/_xlfn.MAXIFS('Saisie'!$A$5:$A$2004,'Saisie'!$C$5:$C$2004,C358,'Saisie'!$E$5:$E$2004,"Perdu")),"")))</f>
        <v/>
      </c>
      <c r="AX358" s="106">
        <f>IF(C358="","",IF(AW358="","",AW358+'Paramètres'!$B$28))</f>
        <v/>
      </c>
      <c r="AY358" s="60">
        <f>IF(C358="","",SUMIFS('Saisie'!$H$5:$H$2004,'Saisie'!$C$5:$C$2004,C358))</f>
        <v/>
      </c>
      <c r="AZ358" s="60">
        <f>IF(C358="","",IFERROR(INDEX('Paramètres'!$W$6:$W$20,MATCH(S358,'Paramètres'!$V$6:$V$20,0))&amp;"",""))</f>
        <v/>
      </c>
      <c r="BA358" s="60">
        <f>IF(C358="","",MAX(1,_xlfn.MAXIFS('Saisie'!$AT$5:$AT$2004,'Saisie'!$C$5:$C$2004,C358)))</f>
        <v/>
      </c>
      <c r="BB358" s="60">
        <f>IF(C358="","",IFERROR(INDEX('Saisie'!$X$5:$X$2004,_xlfn.MAXIFS('Saisie'!$AS$5:$AS$2004,'Saisie'!$C$5:$C$2004,C358,'Saisie'!$X$5:$X$2004,"&lt;&gt;")-4),""))</f>
        <v/>
      </c>
      <c r="BC358" s="60">
        <f>IF(C358="","",IFERROR(INDEX('Saisie'!$Y$5:$Y$2004,_xlfn.MAXIFS('Saisie'!$AS$5:$AS$2004,'Saisie'!$C$5:$C$2004,C358,'Saisie'!$Y$5:$Y$2004,"&lt;&gt;")-4),""))</f>
        <v/>
      </c>
      <c r="BD358" s="106">
        <f>IF(C358="","",IFERROR(1/(1/_xlfn.MINIFS('Saisie'!$A$5:$A$2004,'Saisie'!$C$5:$C$2004,C358,'Saisie'!$AT$5:$AT$2004,"&gt;=2")),""))</f>
        <v/>
      </c>
      <c r="BE358" s="106">
        <f>IF(C358="","",IFERROR(1/(1/_xlfn.MINIFS('Saisie'!$A$5:$A$2004,'Saisie'!$C$5:$C$2004,C358,'Saisie'!$AT$5:$AT$2004,"&gt;=3")),""))</f>
        <v/>
      </c>
      <c r="BF358" s="106">
        <f>IF(C358="","",IFERROR(1/(1/_xlfn.MINIFS('Saisie'!$A$5:$A$2004,'Saisie'!$C$5:$C$2004,C358,'Saisie'!$AT$5:$AT$2004,"&gt;=4")),""))</f>
        <v/>
      </c>
      <c r="BG358" s="106">
        <f>IF(C358="","",IFERROR(1/(1/_xlfn.MINIFS('Saisie'!$A$5:$A$2004,'Saisie'!$C$5:$C$2004,C358,'Saisie'!$AT$5:$AT$2004,"&gt;=5")),""))</f>
        <v/>
      </c>
      <c r="BH358" s="106">
        <f>IF(C358="","",IFERROR(1/(1/_xlfn.MINIFS('Saisie'!$A$5:$A$2004,'Saisie'!$C$5:$C$2004,C358,'Saisie'!$AT$5:$AT$2004,"&gt;=6")),""))</f>
        <v/>
      </c>
      <c r="BI358" s="106">
        <f>IF(C358="","",IFERROR(1/(1/_xlfn.MINIFS('Saisie'!$A$5:$A$2004,'Saisie'!$C$5:$C$2004,C358,'Saisie'!$AT$5:$AT$2004,"&gt;=7")),""))</f>
        <v/>
      </c>
      <c r="BJ358" s="60">
        <f>IF(OR(BD358="",B358=""),"",BD358-B358)</f>
        <v/>
      </c>
      <c r="BK358" s="60">
        <f>IF(OR(BE358="",BD358=""),"",BE358-BD358)</f>
        <v/>
      </c>
      <c r="BL358" s="60">
        <f>IF(OR(BF358="",BE358=""),"",BF358-BE358)</f>
        <v/>
      </c>
      <c r="BM358" s="60">
        <f>IF(OR(BG358="",BF358=""),"",BG358-BF358)</f>
        <v/>
      </c>
      <c r="BN358" s="60">
        <f>IF(OR(BH358="",BG358=""),"",BH358-BG358)</f>
        <v/>
      </c>
      <c r="BO358" s="60">
        <f>IF(OR(BI358="",BH358=""),"",BI358-BH358)</f>
        <v/>
      </c>
      <c r="BP358" s="60">
        <f>IF(C358="","",_xlfn.MAXIFS('Saisie'!$AS$5:$AS$2004,'Saisie'!$C$5:$C$2004,C358,'Saisie'!$J$5:$J$2004,"&lt;&gt;"))</f>
        <v/>
      </c>
      <c r="BQ358" s="60">
        <f>IF(C358="","",_xlfn.MAXIFS('Saisie'!$AS$5:$AS$2004,'Saisie'!$C$5:$C$2004,C358))</f>
        <v/>
      </c>
      <c r="BR358" s="60">
        <f>IF(C358="","",_xlfn.MAXIFS('Saisie'!$AS$5:$AS$2004,'Saisie'!$C$5:$C$2004,C358,'Saisie'!$E$5:$E$2004,"Perdu"))</f>
        <v/>
      </c>
      <c r="BS358" s="60">
        <f>IF(C358="","",_xlfn.MAXIFS('Saisie'!$AS$5:$AS$2004,'Saisie'!$C$5:$C$2004,C358,'Saisie'!$AT$5:$AT$2004,"&gt;0"))</f>
        <v/>
      </c>
      <c r="BT358" s="109">
        <f>IF(AND(C358&lt;&gt;"",OR(D358="Nouveau",D358="Contacté",D358="Qualifié"),OR(G358="",N(G358)&lt;=TODAY()),NOT(AND(O358&gt;='Paramètres'!$B$21,P358=0))),E358+354/10000,"")</f>
        <v/>
      </c>
      <c r="BU358" s="60">
        <f>IF(AND(G358&lt;&gt;"",N(G358)&lt;=TODAY()),MAX($BU$4:BU357)+1,"")</f>
        <v/>
      </c>
      <c r="BV358" s="60">
        <f>IF(AND(F358&lt;&gt;"",F358&lt;&gt;"Relance en retard"),MAX($BV$4:BV357)+1,"")</f>
        <v/>
      </c>
      <c r="BW358" s="60">
        <f>IF(C358="","",IF(AND(B358&gt;='Tableau de bord'!$R$4,B358&lt;='Tableau de bord'!$S$4,OR('Tableau de bord'!$G$4="Tous",N358='Tableau de bord'!$G$4)),1,0))</f>
        <v/>
      </c>
      <c r="BX358" s="60">
        <f>IF(AND(C358&lt;&gt;"",N(BA358)=7),MAX($BX$4:BX357)+1,"")</f>
        <v/>
      </c>
    </row>
    <row r="359">
      <c r="A359" s="60">
        <f>IF(C359="","","P-"&amp;TEXT(355,"000"))</f>
        <v/>
      </c>
      <c r="B359" s="106">
        <f>IF(C359="","",IFERROR(1/(1/_xlfn.MINIFS('Saisie'!$A$5:$A$2004,'Saisie'!$C$5:$C$2004,C359)),""))</f>
        <v/>
      </c>
      <c r="C359" s="60">
        <f>IFERROR(INDEX('Saisie'!$C$5:$C$2004,MATCH(355,'Saisie'!$AX$5:$AX$2004,0)),"")</f>
        <v/>
      </c>
      <c r="D359" s="60">
        <f>IF(C359="","",IF(AND(BR359&gt;0,BR359&gt;BS359,BA359&lt;7),"Perdu",INDEX('Paramètres'!$F$6:$F$13,BA359)))</f>
        <v/>
      </c>
      <c r="E359" s="61">
        <f>IF(C359="","",MIN(100,(Z359="Oui")*'Paramètres'!$B$38+(AB359="Régulière")*'Paramètres'!$B$39+IF(AND(N(AA359)&gt;0,TODAY()-N(AA359)&lt;=30),'Paramètres'!$B$40,0)+(W359="")*'Paramètres'!$B$41+(AC359="Absente")*'Paramètres'!$B$42+(AC359="Faible")*'Paramètres'!$B$43+IF(AND(N(AD359)&gt;0,N(AD359)&lt;4),'Paramètres'!$B$44,0)+(AF359="Moyenne")*'Paramètres'!$B$45+(AF359="Grande")*'Paramètres'!$B$46+(Y359&lt;&gt;"")*'Paramètres'!$B$47))</f>
        <v/>
      </c>
      <c r="F359" s="60">
        <f>IF(C359="","",IF(D359="Gagné","",IF(D359="Perdu",IF(AND(AX359&lt;&gt;"",AX359&lt;=TODAY()),"À recontacter (perdu)",""),IF(AND(O359&gt;='Paramètres'!$B$21,P359=0),"Stop : "&amp;'Paramètres'!$B$21&amp;" tentatives sans réponse",IF(AND(D359="Proposition",AR359&lt;&gt;"",TODAY()&gt;N(AR359)),"Proposition expirée",IF(AND(D359="Proposition",N(R359)&gt;='Paramètres'!$B$25),"Proposition sans réponse",IF(AND(G359&lt;&gt;"",N(G359)&lt;TODAY()),"Relance en retard",IF(N(R359)&gt;='Paramètres'!$B$24,"Sans action depuis "&amp;R359&amp;" j",""))))))))</f>
        <v/>
      </c>
      <c r="G359" s="106">
        <f>IF(OR(C359="",D359="Gagné",D359="Perdu"),"",IF(AND(BP359&gt;0,BP359=BQ359),INDEX('Saisie'!$J$5:$J$2004,BP359-4),IF(OR(O359=0,AND(O359&gt;='Paramètres'!$B$21,P359=0)),"",Q359+IF(O359&lt;=1,'Paramètres'!$B$18,IF(O359=2,'Paramètres'!$B$19,'Paramètres'!$B$20)))))</f>
        <v/>
      </c>
      <c r="H359" s="107">
        <f>IF(OR(G359="",BP359&lt;&gt;BQ359),"",IF(INDEX('Saisie'!$K$5:$K$2004,BP359-4)="","",INDEX('Saisie'!$K$5:$K$2004,BP359-4)))</f>
        <v/>
      </c>
      <c r="I359" s="60">
        <f>IF(C359="","",IF(OR(D359="Gagné",D359="Perdu"),"",IFERROR(INDEX('Saisie'!$I$5:$I$2004,_xlfn.MAXIFS('Saisie'!$AS$5:$AS$2004,'Saisie'!$C$5:$C$2004,C359,'Saisie'!$I$5:$I$2004,"&lt;&gt;")-4),"")))</f>
        <v/>
      </c>
      <c r="J359" s="60">
        <f>IF(C359="","",IFERROR(INDEX('Saisie'!$U$5:$U$2004,_xlfn.MAXIFS('Saisie'!$AS$5:$AS$2004,'Saisie'!$C$5:$C$2004,C359,'Saisie'!$U$5:$U$2004,"&lt;&gt;")-4),""))</f>
        <v/>
      </c>
      <c r="K359" s="60">
        <f>IF(C359="","",IFERROR(INDEX('Saisie'!$W$5:$W$2004,_xlfn.MAXIFS('Saisie'!$AS$5:$AS$2004,'Saisie'!$C$5:$C$2004,C359,'Saisie'!$W$5:$W$2004,"&lt;&gt;")-4),""))</f>
        <v/>
      </c>
      <c r="L359" s="60">
        <f>IF(IF(BB359&lt;&gt;"",BB359,K359)="","",HYPERLINK("https://wa.me/"&amp;IF(LEFT(SUBSTITUTE(SUBSTITUTE(SUBSTITUTE(IF(BB359&lt;&gt;"",BB359,K359)," ",""),".",""),"+",""),1)="0",'Paramètres'!$B$35&amp;MID(SUBSTITUTE(SUBSTITUTE(SUBSTITUTE(IF(BB359&lt;&gt;"",BB359,K359)," ",""),".",""),"+",""),2,20),SUBSTITUTE(SUBSTITUTE(SUBSTITUTE(IF(BB359&lt;&gt;"",BB359,K359)," ",""),".",""),"+","")),"WhatsApp"))</f>
        <v/>
      </c>
      <c r="M359" s="60">
        <f>IF(BC359="","",HYPERLINK(IF(LEFT(BC359,4)="http",BC359,"https://www.instagram.com/"&amp;SUBSTITUTE(SUBSTITUTE(BC359,"@","")," ","")),BC359))</f>
        <v/>
      </c>
      <c r="N359" s="60">
        <f>IF(C359="","",IFERROR(INDEX('Saisie'!$D$5:$D$2004,_xlfn.MINIFS('Saisie'!$AS$5:$AS$2004,'Saisie'!$C$5:$C$2004,C359,'Saisie'!$AU$5:$AU$2004,1)-4),IFERROR(INDEX('Saisie'!$D$5:$D$2004,_xlfn.MINIFS('Saisie'!$AS$5:$AS$2004,'Saisie'!$C$5:$C$2004,C359,'Saisie'!$D$5:$D$2004,"&lt;&gt;")-4),"")))</f>
        <v/>
      </c>
      <c r="O359" s="60">
        <f>IF(C359="","",COUNTIFS('Saisie'!$C$5:$C$2004,C359,'Saisie'!$AU$5:$AU$2004,1))</f>
        <v/>
      </c>
      <c r="P359" s="60">
        <f>IF(C359="","",COUNTIFS('Saisie'!$C$5:$C$2004,C359,'Saisie'!$AV$5:$AV$2004,1))</f>
        <v/>
      </c>
      <c r="Q359" s="106">
        <f>IF(C359="","",IFERROR(1/(1/_xlfn.MAXIFS('Saisie'!$A$5:$A$2004,'Saisie'!$C$5:$C$2004,C359)),""))</f>
        <v/>
      </c>
      <c r="R359" s="61">
        <f>IF(C359="","",IF(Q359="","",TODAY()-Q359))</f>
        <v/>
      </c>
      <c r="S359" s="60">
        <f>IF(C359="","",IFERROR(INDEX('Saisie'!$R$5:$R$2004,_xlfn.MAXIFS('Saisie'!$AS$5:$AS$2004,'Saisie'!$C$5:$C$2004,C359,'Saisie'!$R$5:$R$2004,"&lt;&gt;")-4),""))</f>
        <v/>
      </c>
      <c r="T359" s="60">
        <f>IF(C359="","",IFERROR(INDEX('Saisie'!$S$5:$S$2004,_xlfn.MAXIFS('Saisie'!$AS$5:$AS$2004,'Saisie'!$C$5:$C$2004,C359,'Saisie'!$S$5:$S$2004,"&lt;&gt;")-4),""))</f>
        <v/>
      </c>
      <c r="U359" s="60">
        <f>IF(C359="","",IFERROR(INDEX('Saisie'!$T$5:$T$2004,_xlfn.MAXIFS('Saisie'!$AS$5:$AS$2004,'Saisie'!$C$5:$C$2004,C359,'Saisie'!$T$5:$T$2004,"&lt;&gt;")-4),""))</f>
        <v/>
      </c>
      <c r="V359" s="60">
        <f>IF(C359="","",IFERROR(INDEX('Saisie'!$V$5:$V$2004,_xlfn.MAXIFS('Saisie'!$AS$5:$AS$2004,'Saisie'!$C$5:$C$2004,C359,'Saisie'!$V$5:$V$2004,"&lt;&gt;")-4),""))</f>
        <v/>
      </c>
      <c r="W359" s="60">
        <f>IF(C359="","",IFERROR(INDEX('Saisie'!$Z$5:$Z$2004,_xlfn.MAXIFS('Saisie'!$AS$5:$AS$2004,'Saisie'!$C$5:$C$2004,C359,'Saisie'!$Z$5:$Z$2004,"&lt;&gt;")-4),""))</f>
        <v/>
      </c>
      <c r="X359" s="60">
        <f>IF(C359="","",IFERROR(INDEX('Saisie'!$AA$5:$AA$2004,_xlfn.MAXIFS('Saisie'!$AS$5:$AS$2004,'Saisie'!$C$5:$C$2004,C359,'Saisie'!$AA$5:$AA$2004,"&lt;&gt;")-4),""))</f>
        <v/>
      </c>
      <c r="Y359" s="60">
        <f>IF(C359="","",IFERROR(INDEX('Saisie'!$AB$5:$AB$2004,_xlfn.MAXIFS('Saisie'!$AS$5:$AS$2004,'Saisie'!$C$5:$C$2004,C359,'Saisie'!$AB$5:$AB$2004,"&lt;&gt;")-4),""))</f>
        <v/>
      </c>
      <c r="Z359" s="60">
        <f>IF(C359="","",IFERROR(INDEX('Saisie'!$AC$5:$AC$2004,_xlfn.MAXIFS('Saisie'!$AS$5:$AS$2004,'Saisie'!$C$5:$C$2004,C359,'Saisie'!$AC$5:$AC$2004,"&lt;&gt;")-4),""))</f>
        <v/>
      </c>
      <c r="AA359" s="106">
        <f>IF(C359="","",IFERROR(INDEX('Saisie'!$AD$5:$AD$2004,_xlfn.MAXIFS('Saisie'!$AS$5:$AS$2004,'Saisie'!$C$5:$C$2004,C359,'Saisie'!$AD$5:$AD$2004,"&lt;&gt;")-4),""))</f>
        <v/>
      </c>
      <c r="AB359" s="60">
        <f>IF(C359="","",IFERROR(INDEX('Saisie'!$AE$5:$AE$2004,_xlfn.MAXIFS('Saisie'!$AS$5:$AS$2004,'Saisie'!$C$5:$C$2004,C359,'Saisie'!$AE$5:$AE$2004,"&lt;&gt;")-4),""))</f>
        <v/>
      </c>
      <c r="AC359" s="60">
        <f>IF(C359="","",IFERROR(INDEX('Saisie'!$AF$5:$AF$2004,_xlfn.MAXIFS('Saisie'!$AS$5:$AS$2004,'Saisie'!$C$5:$C$2004,C359,'Saisie'!$AF$5:$AF$2004,"&lt;&gt;")-4),""))</f>
        <v/>
      </c>
      <c r="AD359" s="108">
        <f>IF(C359="","",IFERROR(INDEX('Saisie'!$AG$5:$AG$2004,_xlfn.MAXIFS('Saisie'!$AS$5:$AS$2004,'Saisie'!$C$5:$C$2004,C359,'Saisie'!$AG$5:$AG$2004,"&lt;&gt;")-4),""))</f>
        <v/>
      </c>
      <c r="AE359" s="60">
        <f>IF(C359="","",IFERROR(INDEX('Saisie'!$AH$5:$AH$2004,_xlfn.MAXIFS('Saisie'!$AS$5:$AS$2004,'Saisie'!$C$5:$C$2004,C359,'Saisie'!$AH$5:$AH$2004,"&lt;&gt;")-4),""))</f>
        <v/>
      </c>
      <c r="AF359" s="60">
        <f>IF(C359="","",IFERROR(INDEX('Saisie'!$AI$5:$AI$2004,_xlfn.MAXIFS('Saisie'!$AS$5:$AS$2004,'Saisie'!$C$5:$C$2004,C359,'Saisie'!$AI$5:$AI$2004,"&lt;&gt;")-4),""))</f>
        <v/>
      </c>
      <c r="AG359" s="60">
        <f>IF(C359="","",IFERROR(INDEX('Saisie'!$AJ$5:$AJ$2004,_xlfn.MAXIFS('Saisie'!$AS$5:$AS$2004,'Saisie'!$C$5:$C$2004,C359,'Saisie'!$AJ$5:$AJ$2004,"&lt;&gt;")-4),""))</f>
        <v/>
      </c>
      <c r="AH359" s="60">
        <f>IF(C359="","",IFERROR(INDEX('Saisie'!$AK$5:$AK$2004,_xlfn.MAXIFS('Saisie'!$AS$5:$AS$2004,'Saisie'!$C$5:$C$2004,C359,'Saisie'!$AK$5:$AK$2004,"&lt;&gt;")-4),""))</f>
        <v/>
      </c>
      <c r="AI359" s="60">
        <f>IF(C359="","",IFERROR(INDEX('Saisie'!$AN$5:$AN$2004,_xlfn.MAXIFS('Saisie'!$AS$5:$AS$2004,'Saisie'!$C$5:$C$2004,C359,'Saisie'!$AN$5:$AN$2004,"&lt;&gt;")-4),""))</f>
        <v/>
      </c>
      <c r="AJ359" s="60">
        <f>IF(C359="","",IFERROR(INDEX('Saisie'!$AO$5:$AO$2004,_xlfn.MAXIFS('Saisie'!$AS$5:$AS$2004,'Saisie'!$C$5:$C$2004,C359,'Saisie'!$AO$5:$AO$2004,"&lt;&gt;")-4),""))</f>
        <v/>
      </c>
      <c r="AK359" s="60">
        <f>IF(C359="","",IFERROR(INDEX('Saisie'!$AP$5:$AP$2004,_xlfn.MAXIFS('Saisie'!$AS$5:$AS$2004,'Saisie'!$C$5:$C$2004,C359,'Saisie'!$AP$5:$AP$2004,"&lt;&gt;")-4),""))</f>
        <v/>
      </c>
      <c r="AL359" s="60">
        <f>IF(C359="","",IFERROR(INDEX('Saisie'!$AQ$5:$AQ$2004,_xlfn.MAXIFS('Saisie'!$AS$5:$AS$2004,'Saisie'!$C$5:$C$2004,C359,'Saisie'!$AQ$5:$AQ$2004,"&lt;&gt;")-4),""))</f>
        <v/>
      </c>
      <c r="AM359" s="60">
        <f>IF(C359="","",((AI359="Oui")+(AJ359="Oui")+(AK359="Oui")+OR(AL359="Immédiat",AL359="&lt; 1 mois"))&amp;"/4")</f>
        <v/>
      </c>
      <c r="AN359" s="60">
        <f>IF(C359="","",IFERROR(INDEX('Saisie'!$AL$5:$AL$2004,_xlfn.MAXIFS('Saisie'!$AS$5:$AS$2004,'Saisie'!$C$5:$C$2004,C359,'Saisie'!$AL$5:$AL$2004,"&lt;&gt;")-4),""))</f>
        <v/>
      </c>
      <c r="AO359" s="62">
        <f>IF(C359="","",IF(IFERROR(INDEX('Saisie'!$AM$5:$AM$2004,_xlfn.MAXIFS('Saisie'!$AS$5:$AS$2004,'Saisie'!$C$5:$C$2004,C359,'Saisie'!$AM$5:$AM$2004,"&lt;&gt;")-4),"")&lt;&gt;"",IFERROR(INDEX('Saisie'!$AM$5:$AM$2004,_xlfn.MAXIFS('Saisie'!$AS$5:$AS$2004,'Saisie'!$C$5:$C$2004,C359,'Saisie'!$AM$5:$AM$2004,"&lt;&gt;")-4),""),IFERROR(INDEX('Paramètres'!$S$6:$S$15,MATCH(AN359,'Paramètres'!$Q$6:$Q$15,0)),"")))</f>
        <v/>
      </c>
      <c r="AP359" s="62">
        <f>IF(C359="","",IFERROR(INDEX('Saisie'!$AW$5:$AW$2004,_xlfn.MAXIFS('Saisie'!$AS$5:$AS$2004,'Saisie'!$C$5:$C$2004,C359,'Saisie'!$E$5:$E$2004,"Proposition envoyée")-4),""))</f>
        <v/>
      </c>
      <c r="AQ359" s="106">
        <f>IF(C359="","",IFERROR(1/(1/_xlfn.MAXIFS('Saisie'!$A$5:$A$2004,'Saisie'!$C$5:$C$2004,C359,'Saisie'!$E$5:$E$2004,"Proposition envoyée")),""))</f>
        <v/>
      </c>
      <c r="AR359" s="106">
        <f>IF(C359="","",IF(AQ359="","",AQ359+'Paramètres'!$B$26))</f>
        <v/>
      </c>
      <c r="AS359" s="62">
        <f>IF(OR(C359="",D359="Gagné",D359="Perdu"),0,N(AP359)*IFERROR(INDEX('Paramètres'!$G$6:$G$13,MATCH(D359,'Paramètres'!$F$6:$F$13,0)),0))</f>
        <v/>
      </c>
      <c r="AT359" s="106">
        <f>IF(C359="","",IFERROR(1/(1/_xlfn.MINIFS('Saisie'!$A$5:$A$2004,'Saisie'!$C$5:$C$2004,C359,'Saisie'!$E$5:$E$2004,"Signature")),""))</f>
        <v/>
      </c>
      <c r="AU359" s="60">
        <f>IF(C359="","",IF(OR(AT359="",B359=""),"",AT359-B359))</f>
        <v/>
      </c>
      <c r="AV359" s="60">
        <f>IF(C359="","",IFERROR(INDEX('Saisie'!$L$5:$L$2004,_xlfn.MAXIFS('Saisie'!$AS$5:$AS$2004,'Saisie'!$C$5:$C$2004,C359,'Saisie'!$L$5:$L$2004,"&lt;&gt;")-4),""))</f>
        <v/>
      </c>
      <c r="AW359" s="106">
        <f>IF(C359="","",IF(D359&lt;&gt;"Perdu","",IFERROR(1/(1/_xlfn.MAXIFS('Saisie'!$A$5:$A$2004,'Saisie'!$C$5:$C$2004,C359,'Saisie'!$E$5:$E$2004,"Perdu")),"")))</f>
        <v/>
      </c>
      <c r="AX359" s="106">
        <f>IF(C359="","",IF(AW359="","",AW359+'Paramètres'!$B$28))</f>
        <v/>
      </c>
      <c r="AY359" s="60">
        <f>IF(C359="","",SUMIFS('Saisie'!$H$5:$H$2004,'Saisie'!$C$5:$C$2004,C359))</f>
        <v/>
      </c>
      <c r="AZ359" s="60">
        <f>IF(C359="","",IFERROR(INDEX('Paramètres'!$W$6:$W$20,MATCH(S359,'Paramètres'!$V$6:$V$20,0))&amp;"",""))</f>
        <v/>
      </c>
      <c r="BA359" s="60">
        <f>IF(C359="","",MAX(1,_xlfn.MAXIFS('Saisie'!$AT$5:$AT$2004,'Saisie'!$C$5:$C$2004,C359)))</f>
        <v/>
      </c>
      <c r="BB359" s="60">
        <f>IF(C359="","",IFERROR(INDEX('Saisie'!$X$5:$X$2004,_xlfn.MAXIFS('Saisie'!$AS$5:$AS$2004,'Saisie'!$C$5:$C$2004,C359,'Saisie'!$X$5:$X$2004,"&lt;&gt;")-4),""))</f>
        <v/>
      </c>
      <c r="BC359" s="60">
        <f>IF(C359="","",IFERROR(INDEX('Saisie'!$Y$5:$Y$2004,_xlfn.MAXIFS('Saisie'!$AS$5:$AS$2004,'Saisie'!$C$5:$C$2004,C359,'Saisie'!$Y$5:$Y$2004,"&lt;&gt;")-4),""))</f>
        <v/>
      </c>
      <c r="BD359" s="106">
        <f>IF(C359="","",IFERROR(1/(1/_xlfn.MINIFS('Saisie'!$A$5:$A$2004,'Saisie'!$C$5:$C$2004,C359,'Saisie'!$AT$5:$AT$2004,"&gt;=2")),""))</f>
        <v/>
      </c>
      <c r="BE359" s="106">
        <f>IF(C359="","",IFERROR(1/(1/_xlfn.MINIFS('Saisie'!$A$5:$A$2004,'Saisie'!$C$5:$C$2004,C359,'Saisie'!$AT$5:$AT$2004,"&gt;=3")),""))</f>
        <v/>
      </c>
      <c r="BF359" s="106">
        <f>IF(C359="","",IFERROR(1/(1/_xlfn.MINIFS('Saisie'!$A$5:$A$2004,'Saisie'!$C$5:$C$2004,C359,'Saisie'!$AT$5:$AT$2004,"&gt;=4")),""))</f>
        <v/>
      </c>
      <c r="BG359" s="106">
        <f>IF(C359="","",IFERROR(1/(1/_xlfn.MINIFS('Saisie'!$A$5:$A$2004,'Saisie'!$C$5:$C$2004,C359,'Saisie'!$AT$5:$AT$2004,"&gt;=5")),""))</f>
        <v/>
      </c>
      <c r="BH359" s="106">
        <f>IF(C359="","",IFERROR(1/(1/_xlfn.MINIFS('Saisie'!$A$5:$A$2004,'Saisie'!$C$5:$C$2004,C359,'Saisie'!$AT$5:$AT$2004,"&gt;=6")),""))</f>
        <v/>
      </c>
      <c r="BI359" s="106">
        <f>IF(C359="","",IFERROR(1/(1/_xlfn.MINIFS('Saisie'!$A$5:$A$2004,'Saisie'!$C$5:$C$2004,C359,'Saisie'!$AT$5:$AT$2004,"&gt;=7")),""))</f>
        <v/>
      </c>
      <c r="BJ359" s="60">
        <f>IF(OR(BD359="",B359=""),"",BD359-B359)</f>
        <v/>
      </c>
      <c r="BK359" s="60">
        <f>IF(OR(BE359="",BD359=""),"",BE359-BD359)</f>
        <v/>
      </c>
      <c r="BL359" s="60">
        <f>IF(OR(BF359="",BE359=""),"",BF359-BE359)</f>
        <v/>
      </c>
      <c r="BM359" s="60">
        <f>IF(OR(BG359="",BF359=""),"",BG359-BF359)</f>
        <v/>
      </c>
      <c r="BN359" s="60">
        <f>IF(OR(BH359="",BG359=""),"",BH359-BG359)</f>
        <v/>
      </c>
      <c r="BO359" s="60">
        <f>IF(OR(BI359="",BH359=""),"",BI359-BH359)</f>
        <v/>
      </c>
      <c r="BP359" s="60">
        <f>IF(C359="","",_xlfn.MAXIFS('Saisie'!$AS$5:$AS$2004,'Saisie'!$C$5:$C$2004,C359,'Saisie'!$J$5:$J$2004,"&lt;&gt;"))</f>
        <v/>
      </c>
      <c r="BQ359" s="60">
        <f>IF(C359="","",_xlfn.MAXIFS('Saisie'!$AS$5:$AS$2004,'Saisie'!$C$5:$C$2004,C359))</f>
        <v/>
      </c>
      <c r="BR359" s="60">
        <f>IF(C359="","",_xlfn.MAXIFS('Saisie'!$AS$5:$AS$2004,'Saisie'!$C$5:$C$2004,C359,'Saisie'!$E$5:$E$2004,"Perdu"))</f>
        <v/>
      </c>
      <c r="BS359" s="60">
        <f>IF(C359="","",_xlfn.MAXIFS('Saisie'!$AS$5:$AS$2004,'Saisie'!$C$5:$C$2004,C359,'Saisie'!$AT$5:$AT$2004,"&gt;0"))</f>
        <v/>
      </c>
      <c r="BT359" s="109">
        <f>IF(AND(C359&lt;&gt;"",OR(D359="Nouveau",D359="Contacté",D359="Qualifié"),OR(G359="",N(G359)&lt;=TODAY()),NOT(AND(O359&gt;='Paramètres'!$B$21,P359=0))),E359+355/10000,"")</f>
        <v/>
      </c>
      <c r="BU359" s="60">
        <f>IF(AND(G359&lt;&gt;"",N(G359)&lt;=TODAY()),MAX($BU$4:BU358)+1,"")</f>
        <v/>
      </c>
      <c r="BV359" s="60">
        <f>IF(AND(F359&lt;&gt;"",F359&lt;&gt;"Relance en retard"),MAX($BV$4:BV358)+1,"")</f>
        <v/>
      </c>
      <c r="BW359" s="60">
        <f>IF(C359="","",IF(AND(B359&gt;='Tableau de bord'!$R$4,B359&lt;='Tableau de bord'!$S$4,OR('Tableau de bord'!$G$4="Tous",N359='Tableau de bord'!$G$4)),1,0))</f>
        <v/>
      </c>
      <c r="BX359" s="60">
        <f>IF(AND(C359&lt;&gt;"",N(BA359)=7),MAX($BX$4:BX358)+1,"")</f>
        <v/>
      </c>
    </row>
    <row r="360">
      <c r="A360" s="60">
        <f>IF(C360="","","P-"&amp;TEXT(356,"000"))</f>
        <v/>
      </c>
      <c r="B360" s="106">
        <f>IF(C360="","",IFERROR(1/(1/_xlfn.MINIFS('Saisie'!$A$5:$A$2004,'Saisie'!$C$5:$C$2004,C360)),""))</f>
        <v/>
      </c>
      <c r="C360" s="60">
        <f>IFERROR(INDEX('Saisie'!$C$5:$C$2004,MATCH(356,'Saisie'!$AX$5:$AX$2004,0)),"")</f>
        <v/>
      </c>
      <c r="D360" s="60">
        <f>IF(C360="","",IF(AND(BR360&gt;0,BR360&gt;BS360,BA360&lt;7),"Perdu",INDEX('Paramètres'!$F$6:$F$13,BA360)))</f>
        <v/>
      </c>
      <c r="E360" s="61">
        <f>IF(C360="","",MIN(100,(Z360="Oui")*'Paramètres'!$B$38+(AB360="Régulière")*'Paramètres'!$B$39+IF(AND(N(AA360)&gt;0,TODAY()-N(AA360)&lt;=30),'Paramètres'!$B$40,0)+(W360="")*'Paramètres'!$B$41+(AC360="Absente")*'Paramètres'!$B$42+(AC360="Faible")*'Paramètres'!$B$43+IF(AND(N(AD360)&gt;0,N(AD360)&lt;4),'Paramètres'!$B$44,0)+(AF360="Moyenne")*'Paramètres'!$B$45+(AF360="Grande")*'Paramètres'!$B$46+(Y360&lt;&gt;"")*'Paramètres'!$B$47))</f>
        <v/>
      </c>
      <c r="F360" s="60">
        <f>IF(C360="","",IF(D360="Gagné","",IF(D360="Perdu",IF(AND(AX360&lt;&gt;"",AX360&lt;=TODAY()),"À recontacter (perdu)",""),IF(AND(O360&gt;='Paramètres'!$B$21,P360=0),"Stop : "&amp;'Paramètres'!$B$21&amp;" tentatives sans réponse",IF(AND(D360="Proposition",AR360&lt;&gt;"",TODAY()&gt;N(AR360)),"Proposition expirée",IF(AND(D360="Proposition",N(R360)&gt;='Paramètres'!$B$25),"Proposition sans réponse",IF(AND(G360&lt;&gt;"",N(G360)&lt;TODAY()),"Relance en retard",IF(N(R360)&gt;='Paramètres'!$B$24,"Sans action depuis "&amp;R360&amp;" j",""))))))))</f>
        <v/>
      </c>
      <c r="G360" s="106">
        <f>IF(OR(C360="",D360="Gagné",D360="Perdu"),"",IF(AND(BP360&gt;0,BP360=BQ360),INDEX('Saisie'!$J$5:$J$2004,BP360-4),IF(OR(O360=0,AND(O360&gt;='Paramètres'!$B$21,P360=0)),"",Q360+IF(O360&lt;=1,'Paramètres'!$B$18,IF(O360=2,'Paramètres'!$B$19,'Paramètres'!$B$20)))))</f>
        <v/>
      </c>
      <c r="H360" s="107">
        <f>IF(OR(G360="",BP360&lt;&gt;BQ360),"",IF(INDEX('Saisie'!$K$5:$K$2004,BP360-4)="","",INDEX('Saisie'!$K$5:$K$2004,BP360-4)))</f>
        <v/>
      </c>
      <c r="I360" s="60">
        <f>IF(C360="","",IF(OR(D360="Gagné",D360="Perdu"),"",IFERROR(INDEX('Saisie'!$I$5:$I$2004,_xlfn.MAXIFS('Saisie'!$AS$5:$AS$2004,'Saisie'!$C$5:$C$2004,C360,'Saisie'!$I$5:$I$2004,"&lt;&gt;")-4),"")))</f>
        <v/>
      </c>
      <c r="J360" s="60">
        <f>IF(C360="","",IFERROR(INDEX('Saisie'!$U$5:$U$2004,_xlfn.MAXIFS('Saisie'!$AS$5:$AS$2004,'Saisie'!$C$5:$C$2004,C360,'Saisie'!$U$5:$U$2004,"&lt;&gt;")-4),""))</f>
        <v/>
      </c>
      <c r="K360" s="60">
        <f>IF(C360="","",IFERROR(INDEX('Saisie'!$W$5:$W$2004,_xlfn.MAXIFS('Saisie'!$AS$5:$AS$2004,'Saisie'!$C$5:$C$2004,C360,'Saisie'!$W$5:$W$2004,"&lt;&gt;")-4),""))</f>
        <v/>
      </c>
      <c r="L360" s="60">
        <f>IF(IF(BB360&lt;&gt;"",BB360,K360)="","",HYPERLINK("https://wa.me/"&amp;IF(LEFT(SUBSTITUTE(SUBSTITUTE(SUBSTITUTE(IF(BB360&lt;&gt;"",BB360,K360)," ",""),".",""),"+",""),1)="0",'Paramètres'!$B$35&amp;MID(SUBSTITUTE(SUBSTITUTE(SUBSTITUTE(IF(BB360&lt;&gt;"",BB360,K360)," ",""),".",""),"+",""),2,20),SUBSTITUTE(SUBSTITUTE(SUBSTITUTE(IF(BB360&lt;&gt;"",BB360,K360)," ",""),".",""),"+","")),"WhatsApp"))</f>
        <v/>
      </c>
      <c r="M360" s="60">
        <f>IF(BC360="","",HYPERLINK(IF(LEFT(BC360,4)="http",BC360,"https://www.instagram.com/"&amp;SUBSTITUTE(SUBSTITUTE(BC360,"@","")," ","")),BC360))</f>
        <v/>
      </c>
      <c r="N360" s="60">
        <f>IF(C360="","",IFERROR(INDEX('Saisie'!$D$5:$D$2004,_xlfn.MINIFS('Saisie'!$AS$5:$AS$2004,'Saisie'!$C$5:$C$2004,C360,'Saisie'!$AU$5:$AU$2004,1)-4),IFERROR(INDEX('Saisie'!$D$5:$D$2004,_xlfn.MINIFS('Saisie'!$AS$5:$AS$2004,'Saisie'!$C$5:$C$2004,C360,'Saisie'!$D$5:$D$2004,"&lt;&gt;")-4),"")))</f>
        <v/>
      </c>
      <c r="O360" s="60">
        <f>IF(C360="","",COUNTIFS('Saisie'!$C$5:$C$2004,C360,'Saisie'!$AU$5:$AU$2004,1))</f>
        <v/>
      </c>
      <c r="P360" s="60">
        <f>IF(C360="","",COUNTIFS('Saisie'!$C$5:$C$2004,C360,'Saisie'!$AV$5:$AV$2004,1))</f>
        <v/>
      </c>
      <c r="Q360" s="106">
        <f>IF(C360="","",IFERROR(1/(1/_xlfn.MAXIFS('Saisie'!$A$5:$A$2004,'Saisie'!$C$5:$C$2004,C360)),""))</f>
        <v/>
      </c>
      <c r="R360" s="61">
        <f>IF(C360="","",IF(Q360="","",TODAY()-Q360))</f>
        <v/>
      </c>
      <c r="S360" s="60">
        <f>IF(C360="","",IFERROR(INDEX('Saisie'!$R$5:$R$2004,_xlfn.MAXIFS('Saisie'!$AS$5:$AS$2004,'Saisie'!$C$5:$C$2004,C360,'Saisie'!$R$5:$R$2004,"&lt;&gt;")-4),""))</f>
        <v/>
      </c>
      <c r="T360" s="60">
        <f>IF(C360="","",IFERROR(INDEX('Saisie'!$S$5:$S$2004,_xlfn.MAXIFS('Saisie'!$AS$5:$AS$2004,'Saisie'!$C$5:$C$2004,C360,'Saisie'!$S$5:$S$2004,"&lt;&gt;")-4),""))</f>
        <v/>
      </c>
      <c r="U360" s="60">
        <f>IF(C360="","",IFERROR(INDEX('Saisie'!$T$5:$T$2004,_xlfn.MAXIFS('Saisie'!$AS$5:$AS$2004,'Saisie'!$C$5:$C$2004,C360,'Saisie'!$T$5:$T$2004,"&lt;&gt;")-4),""))</f>
        <v/>
      </c>
      <c r="V360" s="60">
        <f>IF(C360="","",IFERROR(INDEX('Saisie'!$V$5:$V$2004,_xlfn.MAXIFS('Saisie'!$AS$5:$AS$2004,'Saisie'!$C$5:$C$2004,C360,'Saisie'!$V$5:$V$2004,"&lt;&gt;")-4),""))</f>
        <v/>
      </c>
      <c r="W360" s="60">
        <f>IF(C360="","",IFERROR(INDEX('Saisie'!$Z$5:$Z$2004,_xlfn.MAXIFS('Saisie'!$AS$5:$AS$2004,'Saisie'!$C$5:$C$2004,C360,'Saisie'!$Z$5:$Z$2004,"&lt;&gt;")-4),""))</f>
        <v/>
      </c>
      <c r="X360" s="60">
        <f>IF(C360="","",IFERROR(INDEX('Saisie'!$AA$5:$AA$2004,_xlfn.MAXIFS('Saisie'!$AS$5:$AS$2004,'Saisie'!$C$5:$C$2004,C360,'Saisie'!$AA$5:$AA$2004,"&lt;&gt;")-4),""))</f>
        <v/>
      </c>
      <c r="Y360" s="60">
        <f>IF(C360="","",IFERROR(INDEX('Saisie'!$AB$5:$AB$2004,_xlfn.MAXIFS('Saisie'!$AS$5:$AS$2004,'Saisie'!$C$5:$C$2004,C360,'Saisie'!$AB$5:$AB$2004,"&lt;&gt;")-4),""))</f>
        <v/>
      </c>
      <c r="Z360" s="60">
        <f>IF(C360="","",IFERROR(INDEX('Saisie'!$AC$5:$AC$2004,_xlfn.MAXIFS('Saisie'!$AS$5:$AS$2004,'Saisie'!$C$5:$C$2004,C360,'Saisie'!$AC$5:$AC$2004,"&lt;&gt;")-4),""))</f>
        <v/>
      </c>
      <c r="AA360" s="106">
        <f>IF(C360="","",IFERROR(INDEX('Saisie'!$AD$5:$AD$2004,_xlfn.MAXIFS('Saisie'!$AS$5:$AS$2004,'Saisie'!$C$5:$C$2004,C360,'Saisie'!$AD$5:$AD$2004,"&lt;&gt;")-4),""))</f>
        <v/>
      </c>
      <c r="AB360" s="60">
        <f>IF(C360="","",IFERROR(INDEX('Saisie'!$AE$5:$AE$2004,_xlfn.MAXIFS('Saisie'!$AS$5:$AS$2004,'Saisie'!$C$5:$C$2004,C360,'Saisie'!$AE$5:$AE$2004,"&lt;&gt;")-4),""))</f>
        <v/>
      </c>
      <c r="AC360" s="60">
        <f>IF(C360="","",IFERROR(INDEX('Saisie'!$AF$5:$AF$2004,_xlfn.MAXIFS('Saisie'!$AS$5:$AS$2004,'Saisie'!$C$5:$C$2004,C360,'Saisie'!$AF$5:$AF$2004,"&lt;&gt;")-4),""))</f>
        <v/>
      </c>
      <c r="AD360" s="108">
        <f>IF(C360="","",IFERROR(INDEX('Saisie'!$AG$5:$AG$2004,_xlfn.MAXIFS('Saisie'!$AS$5:$AS$2004,'Saisie'!$C$5:$C$2004,C360,'Saisie'!$AG$5:$AG$2004,"&lt;&gt;")-4),""))</f>
        <v/>
      </c>
      <c r="AE360" s="60">
        <f>IF(C360="","",IFERROR(INDEX('Saisie'!$AH$5:$AH$2004,_xlfn.MAXIFS('Saisie'!$AS$5:$AS$2004,'Saisie'!$C$5:$C$2004,C360,'Saisie'!$AH$5:$AH$2004,"&lt;&gt;")-4),""))</f>
        <v/>
      </c>
      <c r="AF360" s="60">
        <f>IF(C360="","",IFERROR(INDEX('Saisie'!$AI$5:$AI$2004,_xlfn.MAXIFS('Saisie'!$AS$5:$AS$2004,'Saisie'!$C$5:$C$2004,C360,'Saisie'!$AI$5:$AI$2004,"&lt;&gt;")-4),""))</f>
        <v/>
      </c>
      <c r="AG360" s="60">
        <f>IF(C360="","",IFERROR(INDEX('Saisie'!$AJ$5:$AJ$2004,_xlfn.MAXIFS('Saisie'!$AS$5:$AS$2004,'Saisie'!$C$5:$C$2004,C360,'Saisie'!$AJ$5:$AJ$2004,"&lt;&gt;")-4),""))</f>
        <v/>
      </c>
      <c r="AH360" s="60">
        <f>IF(C360="","",IFERROR(INDEX('Saisie'!$AK$5:$AK$2004,_xlfn.MAXIFS('Saisie'!$AS$5:$AS$2004,'Saisie'!$C$5:$C$2004,C360,'Saisie'!$AK$5:$AK$2004,"&lt;&gt;")-4),""))</f>
        <v/>
      </c>
      <c r="AI360" s="60">
        <f>IF(C360="","",IFERROR(INDEX('Saisie'!$AN$5:$AN$2004,_xlfn.MAXIFS('Saisie'!$AS$5:$AS$2004,'Saisie'!$C$5:$C$2004,C360,'Saisie'!$AN$5:$AN$2004,"&lt;&gt;")-4),""))</f>
        <v/>
      </c>
      <c r="AJ360" s="60">
        <f>IF(C360="","",IFERROR(INDEX('Saisie'!$AO$5:$AO$2004,_xlfn.MAXIFS('Saisie'!$AS$5:$AS$2004,'Saisie'!$C$5:$C$2004,C360,'Saisie'!$AO$5:$AO$2004,"&lt;&gt;")-4),""))</f>
        <v/>
      </c>
      <c r="AK360" s="60">
        <f>IF(C360="","",IFERROR(INDEX('Saisie'!$AP$5:$AP$2004,_xlfn.MAXIFS('Saisie'!$AS$5:$AS$2004,'Saisie'!$C$5:$C$2004,C360,'Saisie'!$AP$5:$AP$2004,"&lt;&gt;")-4),""))</f>
        <v/>
      </c>
      <c r="AL360" s="60">
        <f>IF(C360="","",IFERROR(INDEX('Saisie'!$AQ$5:$AQ$2004,_xlfn.MAXIFS('Saisie'!$AS$5:$AS$2004,'Saisie'!$C$5:$C$2004,C360,'Saisie'!$AQ$5:$AQ$2004,"&lt;&gt;")-4),""))</f>
        <v/>
      </c>
      <c r="AM360" s="60">
        <f>IF(C360="","",((AI360="Oui")+(AJ360="Oui")+(AK360="Oui")+OR(AL360="Immédiat",AL360="&lt; 1 mois"))&amp;"/4")</f>
        <v/>
      </c>
      <c r="AN360" s="60">
        <f>IF(C360="","",IFERROR(INDEX('Saisie'!$AL$5:$AL$2004,_xlfn.MAXIFS('Saisie'!$AS$5:$AS$2004,'Saisie'!$C$5:$C$2004,C360,'Saisie'!$AL$5:$AL$2004,"&lt;&gt;")-4),""))</f>
        <v/>
      </c>
      <c r="AO360" s="62">
        <f>IF(C360="","",IF(IFERROR(INDEX('Saisie'!$AM$5:$AM$2004,_xlfn.MAXIFS('Saisie'!$AS$5:$AS$2004,'Saisie'!$C$5:$C$2004,C360,'Saisie'!$AM$5:$AM$2004,"&lt;&gt;")-4),"")&lt;&gt;"",IFERROR(INDEX('Saisie'!$AM$5:$AM$2004,_xlfn.MAXIFS('Saisie'!$AS$5:$AS$2004,'Saisie'!$C$5:$C$2004,C360,'Saisie'!$AM$5:$AM$2004,"&lt;&gt;")-4),""),IFERROR(INDEX('Paramètres'!$S$6:$S$15,MATCH(AN360,'Paramètres'!$Q$6:$Q$15,0)),"")))</f>
        <v/>
      </c>
      <c r="AP360" s="62">
        <f>IF(C360="","",IFERROR(INDEX('Saisie'!$AW$5:$AW$2004,_xlfn.MAXIFS('Saisie'!$AS$5:$AS$2004,'Saisie'!$C$5:$C$2004,C360,'Saisie'!$E$5:$E$2004,"Proposition envoyée")-4),""))</f>
        <v/>
      </c>
      <c r="AQ360" s="106">
        <f>IF(C360="","",IFERROR(1/(1/_xlfn.MAXIFS('Saisie'!$A$5:$A$2004,'Saisie'!$C$5:$C$2004,C360,'Saisie'!$E$5:$E$2004,"Proposition envoyée")),""))</f>
        <v/>
      </c>
      <c r="AR360" s="106">
        <f>IF(C360="","",IF(AQ360="","",AQ360+'Paramètres'!$B$26))</f>
        <v/>
      </c>
      <c r="AS360" s="62">
        <f>IF(OR(C360="",D360="Gagné",D360="Perdu"),0,N(AP360)*IFERROR(INDEX('Paramètres'!$G$6:$G$13,MATCH(D360,'Paramètres'!$F$6:$F$13,0)),0))</f>
        <v/>
      </c>
      <c r="AT360" s="106">
        <f>IF(C360="","",IFERROR(1/(1/_xlfn.MINIFS('Saisie'!$A$5:$A$2004,'Saisie'!$C$5:$C$2004,C360,'Saisie'!$E$5:$E$2004,"Signature")),""))</f>
        <v/>
      </c>
      <c r="AU360" s="60">
        <f>IF(C360="","",IF(OR(AT360="",B360=""),"",AT360-B360))</f>
        <v/>
      </c>
      <c r="AV360" s="60">
        <f>IF(C360="","",IFERROR(INDEX('Saisie'!$L$5:$L$2004,_xlfn.MAXIFS('Saisie'!$AS$5:$AS$2004,'Saisie'!$C$5:$C$2004,C360,'Saisie'!$L$5:$L$2004,"&lt;&gt;")-4),""))</f>
        <v/>
      </c>
      <c r="AW360" s="106">
        <f>IF(C360="","",IF(D360&lt;&gt;"Perdu","",IFERROR(1/(1/_xlfn.MAXIFS('Saisie'!$A$5:$A$2004,'Saisie'!$C$5:$C$2004,C360,'Saisie'!$E$5:$E$2004,"Perdu")),"")))</f>
        <v/>
      </c>
      <c r="AX360" s="106">
        <f>IF(C360="","",IF(AW360="","",AW360+'Paramètres'!$B$28))</f>
        <v/>
      </c>
      <c r="AY360" s="60">
        <f>IF(C360="","",SUMIFS('Saisie'!$H$5:$H$2004,'Saisie'!$C$5:$C$2004,C360))</f>
        <v/>
      </c>
      <c r="AZ360" s="60">
        <f>IF(C360="","",IFERROR(INDEX('Paramètres'!$W$6:$W$20,MATCH(S360,'Paramètres'!$V$6:$V$20,0))&amp;"",""))</f>
        <v/>
      </c>
      <c r="BA360" s="60">
        <f>IF(C360="","",MAX(1,_xlfn.MAXIFS('Saisie'!$AT$5:$AT$2004,'Saisie'!$C$5:$C$2004,C360)))</f>
        <v/>
      </c>
      <c r="BB360" s="60">
        <f>IF(C360="","",IFERROR(INDEX('Saisie'!$X$5:$X$2004,_xlfn.MAXIFS('Saisie'!$AS$5:$AS$2004,'Saisie'!$C$5:$C$2004,C360,'Saisie'!$X$5:$X$2004,"&lt;&gt;")-4),""))</f>
        <v/>
      </c>
      <c r="BC360" s="60">
        <f>IF(C360="","",IFERROR(INDEX('Saisie'!$Y$5:$Y$2004,_xlfn.MAXIFS('Saisie'!$AS$5:$AS$2004,'Saisie'!$C$5:$C$2004,C360,'Saisie'!$Y$5:$Y$2004,"&lt;&gt;")-4),""))</f>
        <v/>
      </c>
      <c r="BD360" s="106">
        <f>IF(C360="","",IFERROR(1/(1/_xlfn.MINIFS('Saisie'!$A$5:$A$2004,'Saisie'!$C$5:$C$2004,C360,'Saisie'!$AT$5:$AT$2004,"&gt;=2")),""))</f>
        <v/>
      </c>
      <c r="BE360" s="106">
        <f>IF(C360="","",IFERROR(1/(1/_xlfn.MINIFS('Saisie'!$A$5:$A$2004,'Saisie'!$C$5:$C$2004,C360,'Saisie'!$AT$5:$AT$2004,"&gt;=3")),""))</f>
        <v/>
      </c>
      <c r="BF360" s="106">
        <f>IF(C360="","",IFERROR(1/(1/_xlfn.MINIFS('Saisie'!$A$5:$A$2004,'Saisie'!$C$5:$C$2004,C360,'Saisie'!$AT$5:$AT$2004,"&gt;=4")),""))</f>
        <v/>
      </c>
      <c r="BG360" s="106">
        <f>IF(C360="","",IFERROR(1/(1/_xlfn.MINIFS('Saisie'!$A$5:$A$2004,'Saisie'!$C$5:$C$2004,C360,'Saisie'!$AT$5:$AT$2004,"&gt;=5")),""))</f>
        <v/>
      </c>
      <c r="BH360" s="106">
        <f>IF(C360="","",IFERROR(1/(1/_xlfn.MINIFS('Saisie'!$A$5:$A$2004,'Saisie'!$C$5:$C$2004,C360,'Saisie'!$AT$5:$AT$2004,"&gt;=6")),""))</f>
        <v/>
      </c>
      <c r="BI360" s="106">
        <f>IF(C360="","",IFERROR(1/(1/_xlfn.MINIFS('Saisie'!$A$5:$A$2004,'Saisie'!$C$5:$C$2004,C360,'Saisie'!$AT$5:$AT$2004,"&gt;=7")),""))</f>
        <v/>
      </c>
      <c r="BJ360" s="60">
        <f>IF(OR(BD360="",B360=""),"",BD360-B360)</f>
        <v/>
      </c>
      <c r="BK360" s="60">
        <f>IF(OR(BE360="",BD360=""),"",BE360-BD360)</f>
        <v/>
      </c>
      <c r="BL360" s="60">
        <f>IF(OR(BF360="",BE360=""),"",BF360-BE360)</f>
        <v/>
      </c>
      <c r="BM360" s="60">
        <f>IF(OR(BG360="",BF360=""),"",BG360-BF360)</f>
        <v/>
      </c>
      <c r="BN360" s="60">
        <f>IF(OR(BH360="",BG360=""),"",BH360-BG360)</f>
        <v/>
      </c>
      <c r="BO360" s="60">
        <f>IF(OR(BI360="",BH360=""),"",BI360-BH360)</f>
        <v/>
      </c>
      <c r="BP360" s="60">
        <f>IF(C360="","",_xlfn.MAXIFS('Saisie'!$AS$5:$AS$2004,'Saisie'!$C$5:$C$2004,C360,'Saisie'!$J$5:$J$2004,"&lt;&gt;"))</f>
        <v/>
      </c>
      <c r="BQ360" s="60">
        <f>IF(C360="","",_xlfn.MAXIFS('Saisie'!$AS$5:$AS$2004,'Saisie'!$C$5:$C$2004,C360))</f>
        <v/>
      </c>
      <c r="BR360" s="60">
        <f>IF(C360="","",_xlfn.MAXIFS('Saisie'!$AS$5:$AS$2004,'Saisie'!$C$5:$C$2004,C360,'Saisie'!$E$5:$E$2004,"Perdu"))</f>
        <v/>
      </c>
      <c r="BS360" s="60">
        <f>IF(C360="","",_xlfn.MAXIFS('Saisie'!$AS$5:$AS$2004,'Saisie'!$C$5:$C$2004,C360,'Saisie'!$AT$5:$AT$2004,"&gt;0"))</f>
        <v/>
      </c>
      <c r="BT360" s="109">
        <f>IF(AND(C360&lt;&gt;"",OR(D360="Nouveau",D360="Contacté",D360="Qualifié"),OR(G360="",N(G360)&lt;=TODAY()),NOT(AND(O360&gt;='Paramètres'!$B$21,P360=0))),E360+356/10000,"")</f>
        <v/>
      </c>
      <c r="BU360" s="60">
        <f>IF(AND(G360&lt;&gt;"",N(G360)&lt;=TODAY()),MAX($BU$4:BU359)+1,"")</f>
        <v/>
      </c>
      <c r="BV360" s="60">
        <f>IF(AND(F360&lt;&gt;"",F360&lt;&gt;"Relance en retard"),MAX($BV$4:BV359)+1,"")</f>
        <v/>
      </c>
      <c r="BW360" s="60">
        <f>IF(C360="","",IF(AND(B360&gt;='Tableau de bord'!$R$4,B360&lt;='Tableau de bord'!$S$4,OR('Tableau de bord'!$G$4="Tous",N360='Tableau de bord'!$G$4)),1,0))</f>
        <v/>
      </c>
      <c r="BX360" s="60">
        <f>IF(AND(C360&lt;&gt;"",N(BA360)=7),MAX($BX$4:BX359)+1,"")</f>
        <v/>
      </c>
    </row>
    <row r="361">
      <c r="A361" s="60">
        <f>IF(C361="","","P-"&amp;TEXT(357,"000"))</f>
        <v/>
      </c>
      <c r="B361" s="106">
        <f>IF(C361="","",IFERROR(1/(1/_xlfn.MINIFS('Saisie'!$A$5:$A$2004,'Saisie'!$C$5:$C$2004,C361)),""))</f>
        <v/>
      </c>
      <c r="C361" s="60">
        <f>IFERROR(INDEX('Saisie'!$C$5:$C$2004,MATCH(357,'Saisie'!$AX$5:$AX$2004,0)),"")</f>
        <v/>
      </c>
      <c r="D361" s="60">
        <f>IF(C361="","",IF(AND(BR361&gt;0,BR361&gt;BS361,BA361&lt;7),"Perdu",INDEX('Paramètres'!$F$6:$F$13,BA361)))</f>
        <v/>
      </c>
      <c r="E361" s="61">
        <f>IF(C361="","",MIN(100,(Z361="Oui")*'Paramètres'!$B$38+(AB361="Régulière")*'Paramètres'!$B$39+IF(AND(N(AA361)&gt;0,TODAY()-N(AA361)&lt;=30),'Paramètres'!$B$40,0)+(W361="")*'Paramètres'!$B$41+(AC361="Absente")*'Paramètres'!$B$42+(AC361="Faible")*'Paramètres'!$B$43+IF(AND(N(AD361)&gt;0,N(AD361)&lt;4),'Paramètres'!$B$44,0)+(AF361="Moyenne")*'Paramètres'!$B$45+(AF361="Grande")*'Paramètres'!$B$46+(Y361&lt;&gt;"")*'Paramètres'!$B$47))</f>
        <v/>
      </c>
      <c r="F361" s="60">
        <f>IF(C361="","",IF(D361="Gagné","",IF(D361="Perdu",IF(AND(AX361&lt;&gt;"",AX361&lt;=TODAY()),"À recontacter (perdu)",""),IF(AND(O361&gt;='Paramètres'!$B$21,P361=0),"Stop : "&amp;'Paramètres'!$B$21&amp;" tentatives sans réponse",IF(AND(D361="Proposition",AR361&lt;&gt;"",TODAY()&gt;N(AR361)),"Proposition expirée",IF(AND(D361="Proposition",N(R361)&gt;='Paramètres'!$B$25),"Proposition sans réponse",IF(AND(G361&lt;&gt;"",N(G361)&lt;TODAY()),"Relance en retard",IF(N(R361)&gt;='Paramètres'!$B$24,"Sans action depuis "&amp;R361&amp;" j",""))))))))</f>
        <v/>
      </c>
      <c r="G361" s="106">
        <f>IF(OR(C361="",D361="Gagné",D361="Perdu"),"",IF(AND(BP361&gt;0,BP361=BQ361),INDEX('Saisie'!$J$5:$J$2004,BP361-4),IF(OR(O361=0,AND(O361&gt;='Paramètres'!$B$21,P361=0)),"",Q361+IF(O361&lt;=1,'Paramètres'!$B$18,IF(O361=2,'Paramètres'!$B$19,'Paramètres'!$B$20)))))</f>
        <v/>
      </c>
      <c r="H361" s="107">
        <f>IF(OR(G361="",BP361&lt;&gt;BQ361),"",IF(INDEX('Saisie'!$K$5:$K$2004,BP361-4)="","",INDEX('Saisie'!$K$5:$K$2004,BP361-4)))</f>
        <v/>
      </c>
      <c r="I361" s="60">
        <f>IF(C361="","",IF(OR(D361="Gagné",D361="Perdu"),"",IFERROR(INDEX('Saisie'!$I$5:$I$2004,_xlfn.MAXIFS('Saisie'!$AS$5:$AS$2004,'Saisie'!$C$5:$C$2004,C361,'Saisie'!$I$5:$I$2004,"&lt;&gt;")-4),"")))</f>
        <v/>
      </c>
      <c r="J361" s="60">
        <f>IF(C361="","",IFERROR(INDEX('Saisie'!$U$5:$U$2004,_xlfn.MAXIFS('Saisie'!$AS$5:$AS$2004,'Saisie'!$C$5:$C$2004,C361,'Saisie'!$U$5:$U$2004,"&lt;&gt;")-4),""))</f>
        <v/>
      </c>
      <c r="K361" s="60">
        <f>IF(C361="","",IFERROR(INDEX('Saisie'!$W$5:$W$2004,_xlfn.MAXIFS('Saisie'!$AS$5:$AS$2004,'Saisie'!$C$5:$C$2004,C361,'Saisie'!$W$5:$W$2004,"&lt;&gt;")-4),""))</f>
        <v/>
      </c>
      <c r="L361" s="60">
        <f>IF(IF(BB361&lt;&gt;"",BB361,K361)="","",HYPERLINK("https://wa.me/"&amp;IF(LEFT(SUBSTITUTE(SUBSTITUTE(SUBSTITUTE(IF(BB361&lt;&gt;"",BB361,K361)," ",""),".",""),"+",""),1)="0",'Paramètres'!$B$35&amp;MID(SUBSTITUTE(SUBSTITUTE(SUBSTITUTE(IF(BB361&lt;&gt;"",BB361,K361)," ",""),".",""),"+",""),2,20),SUBSTITUTE(SUBSTITUTE(SUBSTITUTE(IF(BB361&lt;&gt;"",BB361,K361)," ",""),".",""),"+","")),"WhatsApp"))</f>
        <v/>
      </c>
      <c r="M361" s="60">
        <f>IF(BC361="","",HYPERLINK(IF(LEFT(BC361,4)="http",BC361,"https://www.instagram.com/"&amp;SUBSTITUTE(SUBSTITUTE(BC361,"@","")," ","")),BC361))</f>
        <v/>
      </c>
      <c r="N361" s="60">
        <f>IF(C361="","",IFERROR(INDEX('Saisie'!$D$5:$D$2004,_xlfn.MINIFS('Saisie'!$AS$5:$AS$2004,'Saisie'!$C$5:$C$2004,C361,'Saisie'!$AU$5:$AU$2004,1)-4),IFERROR(INDEX('Saisie'!$D$5:$D$2004,_xlfn.MINIFS('Saisie'!$AS$5:$AS$2004,'Saisie'!$C$5:$C$2004,C361,'Saisie'!$D$5:$D$2004,"&lt;&gt;")-4),"")))</f>
        <v/>
      </c>
      <c r="O361" s="60">
        <f>IF(C361="","",COUNTIFS('Saisie'!$C$5:$C$2004,C361,'Saisie'!$AU$5:$AU$2004,1))</f>
        <v/>
      </c>
      <c r="P361" s="60">
        <f>IF(C361="","",COUNTIFS('Saisie'!$C$5:$C$2004,C361,'Saisie'!$AV$5:$AV$2004,1))</f>
        <v/>
      </c>
      <c r="Q361" s="106">
        <f>IF(C361="","",IFERROR(1/(1/_xlfn.MAXIFS('Saisie'!$A$5:$A$2004,'Saisie'!$C$5:$C$2004,C361)),""))</f>
        <v/>
      </c>
      <c r="R361" s="61">
        <f>IF(C361="","",IF(Q361="","",TODAY()-Q361))</f>
        <v/>
      </c>
      <c r="S361" s="60">
        <f>IF(C361="","",IFERROR(INDEX('Saisie'!$R$5:$R$2004,_xlfn.MAXIFS('Saisie'!$AS$5:$AS$2004,'Saisie'!$C$5:$C$2004,C361,'Saisie'!$R$5:$R$2004,"&lt;&gt;")-4),""))</f>
        <v/>
      </c>
      <c r="T361" s="60">
        <f>IF(C361="","",IFERROR(INDEX('Saisie'!$S$5:$S$2004,_xlfn.MAXIFS('Saisie'!$AS$5:$AS$2004,'Saisie'!$C$5:$C$2004,C361,'Saisie'!$S$5:$S$2004,"&lt;&gt;")-4),""))</f>
        <v/>
      </c>
      <c r="U361" s="60">
        <f>IF(C361="","",IFERROR(INDEX('Saisie'!$T$5:$T$2004,_xlfn.MAXIFS('Saisie'!$AS$5:$AS$2004,'Saisie'!$C$5:$C$2004,C361,'Saisie'!$T$5:$T$2004,"&lt;&gt;")-4),""))</f>
        <v/>
      </c>
      <c r="V361" s="60">
        <f>IF(C361="","",IFERROR(INDEX('Saisie'!$V$5:$V$2004,_xlfn.MAXIFS('Saisie'!$AS$5:$AS$2004,'Saisie'!$C$5:$C$2004,C361,'Saisie'!$V$5:$V$2004,"&lt;&gt;")-4),""))</f>
        <v/>
      </c>
      <c r="W361" s="60">
        <f>IF(C361="","",IFERROR(INDEX('Saisie'!$Z$5:$Z$2004,_xlfn.MAXIFS('Saisie'!$AS$5:$AS$2004,'Saisie'!$C$5:$C$2004,C361,'Saisie'!$Z$5:$Z$2004,"&lt;&gt;")-4),""))</f>
        <v/>
      </c>
      <c r="X361" s="60">
        <f>IF(C361="","",IFERROR(INDEX('Saisie'!$AA$5:$AA$2004,_xlfn.MAXIFS('Saisie'!$AS$5:$AS$2004,'Saisie'!$C$5:$C$2004,C361,'Saisie'!$AA$5:$AA$2004,"&lt;&gt;")-4),""))</f>
        <v/>
      </c>
      <c r="Y361" s="60">
        <f>IF(C361="","",IFERROR(INDEX('Saisie'!$AB$5:$AB$2004,_xlfn.MAXIFS('Saisie'!$AS$5:$AS$2004,'Saisie'!$C$5:$C$2004,C361,'Saisie'!$AB$5:$AB$2004,"&lt;&gt;")-4),""))</f>
        <v/>
      </c>
      <c r="Z361" s="60">
        <f>IF(C361="","",IFERROR(INDEX('Saisie'!$AC$5:$AC$2004,_xlfn.MAXIFS('Saisie'!$AS$5:$AS$2004,'Saisie'!$C$5:$C$2004,C361,'Saisie'!$AC$5:$AC$2004,"&lt;&gt;")-4),""))</f>
        <v/>
      </c>
      <c r="AA361" s="106">
        <f>IF(C361="","",IFERROR(INDEX('Saisie'!$AD$5:$AD$2004,_xlfn.MAXIFS('Saisie'!$AS$5:$AS$2004,'Saisie'!$C$5:$C$2004,C361,'Saisie'!$AD$5:$AD$2004,"&lt;&gt;")-4),""))</f>
        <v/>
      </c>
      <c r="AB361" s="60">
        <f>IF(C361="","",IFERROR(INDEX('Saisie'!$AE$5:$AE$2004,_xlfn.MAXIFS('Saisie'!$AS$5:$AS$2004,'Saisie'!$C$5:$C$2004,C361,'Saisie'!$AE$5:$AE$2004,"&lt;&gt;")-4),""))</f>
        <v/>
      </c>
      <c r="AC361" s="60">
        <f>IF(C361="","",IFERROR(INDEX('Saisie'!$AF$5:$AF$2004,_xlfn.MAXIFS('Saisie'!$AS$5:$AS$2004,'Saisie'!$C$5:$C$2004,C361,'Saisie'!$AF$5:$AF$2004,"&lt;&gt;")-4),""))</f>
        <v/>
      </c>
      <c r="AD361" s="108">
        <f>IF(C361="","",IFERROR(INDEX('Saisie'!$AG$5:$AG$2004,_xlfn.MAXIFS('Saisie'!$AS$5:$AS$2004,'Saisie'!$C$5:$C$2004,C361,'Saisie'!$AG$5:$AG$2004,"&lt;&gt;")-4),""))</f>
        <v/>
      </c>
      <c r="AE361" s="60">
        <f>IF(C361="","",IFERROR(INDEX('Saisie'!$AH$5:$AH$2004,_xlfn.MAXIFS('Saisie'!$AS$5:$AS$2004,'Saisie'!$C$5:$C$2004,C361,'Saisie'!$AH$5:$AH$2004,"&lt;&gt;")-4),""))</f>
        <v/>
      </c>
      <c r="AF361" s="60">
        <f>IF(C361="","",IFERROR(INDEX('Saisie'!$AI$5:$AI$2004,_xlfn.MAXIFS('Saisie'!$AS$5:$AS$2004,'Saisie'!$C$5:$C$2004,C361,'Saisie'!$AI$5:$AI$2004,"&lt;&gt;")-4),""))</f>
        <v/>
      </c>
      <c r="AG361" s="60">
        <f>IF(C361="","",IFERROR(INDEX('Saisie'!$AJ$5:$AJ$2004,_xlfn.MAXIFS('Saisie'!$AS$5:$AS$2004,'Saisie'!$C$5:$C$2004,C361,'Saisie'!$AJ$5:$AJ$2004,"&lt;&gt;")-4),""))</f>
        <v/>
      </c>
      <c r="AH361" s="60">
        <f>IF(C361="","",IFERROR(INDEX('Saisie'!$AK$5:$AK$2004,_xlfn.MAXIFS('Saisie'!$AS$5:$AS$2004,'Saisie'!$C$5:$C$2004,C361,'Saisie'!$AK$5:$AK$2004,"&lt;&gt;")-4),""))</f>
        <v/>
      </c>
      <c r="AI361" s="60">
        <f>IF(C361="","",IFERROR(INDEX('Saisie'!$AN$5:$AN$2004,_xlfn.MAXIFS('Saisie'!$AS$5:$AS$2004,'Saisie'!$C$5:$C$2004,C361,'Saisie'!$AN$5:$AN$2004,"&lt;&gt;")-4),""))</f>
        <v/>
      </c>
      <c r="AJ361" s="60">
        <f>IF(C361="","",IFERROR(INDEX('Saisie'!$AO$5:$AO$2004,_xlfn.MAXIFS('Saisie'!$AS$5:$AS$2004,'Saisie'!$C$5:$C$2004,C361,'Saisie'!$AO$5:$AO$2004,"&lt;&gt;")-4),""))</f>
        <v/>
      </c>
      <c r="AK361" s="60">
        <f>IF(C361="","",IFERROR(INDEX('Saisie'!$AP$5:$AP$2004,_xlfn.MAXIFS('Saisie'!$AS$5:$AS$2004,'Saisie'!$C$5:$C$2004,C361,'Saisie'!$AP$5:$AP$2004,"&lt;&gt;")-4),""))</f>
        <v/>
      </c>
      <c r="AL361" s="60">
        <f>IF(C361="","",IFERROR(INDEX('Saisie'!$AQ$5:$AQ$2004,_xlfn.MAXIFS('Saisie'!$AS$5:$AS$2004,'Saisie'!$C$5:$C$2004,C361,'Saisie'!$AQ$5:$AQ$2004,"&lt;&gt;")-4),""))</f>
        <v/>
      </c>
      <c r="AM361" s="60">
        <f>IF(C361="","",((AI361="Oui")+(AJ361="Oui")+(AK361="Oui")+OR(AL361="Immédiat",AL361="&lt; 1 mois"))&amp;"/4")</f>
        <v/>
      </c>
      <c r="AN361" s="60">
        <f>IF(C361="","",IFERROR(INDEX('Saisie'!$AL$5:$AL$2004,_xlfn.MAXIFS('Saisie'!$AS$5:$AS$2004,'Saisie'!$C$5:$C$2004,C361,'Saisie'!$AL$5:$AL$2004,"&lt;&gt;")-4),""))</f>
        <v/>
      </c>
      <c r="AO361" s="62">
        <f>IF(C361="","",IF(IFERROR(INDEX('Saisie'!$AM$5:$AM$2004,_xlfn.MAXIFS('Saisie'!$AS$5:$AS$2004,'Saisie'!$C$5:$C$2004,C361,'Saisie'!$AM$5:$AM$2004,"&lt;&gt;")-4),"")&lt;&gt;"",IFERROR(INDEX('Saisie'!$AM$5:$AM$2004,_xlfn.MAXIFS('Saisie'!$AS$5:$AS$2004,'Saisie'!$C$5:$C$2004,C361,'Saisie'!$AM$5:$AM$2004,"&lt;&gt;")-4),""),IFERROR(INDEX('Paramètres'!$S$6:$S$15,MATCH(AN361,'Paramètres'!$Q$6:$Q$15,0)),"")))</f>
        <v/>
      </c>
      <c r="AP361" s="62">
        <f>IF(C361="","",IFERROR(INDEX('Saisie'!$AW$5:$AW$2004,_xlfn.MAXIFS('Saisie'!$AS$5:$AS$2004,'Saisie'!$C$5:$C$2004,C361,'Saisie'!$E$5:$E$2004,"Proposition envoyée")-4),""))</f>
        <v/>
      </c>
      <c r="AQ361" s="106">
        <f>IF(C361="","",IFERROR(1/(1/_xlfn.MAXIFS('Saisie'!$A$5:$A$2004,'Saisie'!$C$5:$C$2004,C361,'Saisie'!$E$5:$E$2004,"Proposition envoyée")),""))</f>
        <v/>
      </c>
      <c r="AR361" s="106">
        <f>IF(C361="","",IF(AQ361="","",AQ361+'Paramètres'!$B$26))</f>
        <v/>
      </c>
      <c r="AS361" s="62">
        <f>IF(OR(C361="",D361="Gagné",D361="Perdu"),0,N(AP361)*IFERROR(INDEX('Paramètres'!$G$6:$G$13,MATCH(D361,'Paramètres'!$F$6:$F$13,0)),0))</f>
        <v/>
      </c>
      <c r="AT361" s="106">
        <f>IF(C361="","",IFERROR(1/(1/_xlfn.MINIFS('Saisie'!$A$5:$A$2004,'Saisie'!$C$5:$C$2004,C361,'Saisie'!$E$5:$E$2004,"Signature")),""))</f>
        <v/>
      </c>
      <c r="AU361" s="60">
        <f>IF(C361="","",IF(OR(AT361="",B361=""),"",AT361-B361))</f>
        <v/>
      </c>
      <c r="AV361" s="60">
        <f>IF(C361="","",IFERROR(INDEX('Saisie'!$L$5:$L$2004,_xlfn.MAXIFS('Saisie'!$AS$5:$AS$2004,'Saisie'!$C$5:$C$2004,C361,'Saisie'!$L$5:$L$2004,"&lt;&gt;")-4),""))</f>
        <v/>
      </c>
      <c r="AW361" s="106">
        <f>IF(C361="","",IF(D361&lt;&gt;"Perdu","",IFERROR(1/(1/_xlfn.MAXIFS('Saisie'!$A$5:$A$2004,'Saisie'!$C$5:$C$2004,C361,'Saisie'!$E$5:$E$2004,"Perdu")),"")))</f>
        <v/>
      </c>
      <c r="AX361" s="106">
        <f>IF(C361="","",IF(AW361="","",AW361+'Paramètres'!$B$28))</f>
        <v/>
      </c>
      <c r="AY361" s="60">
        <f>IF(C361="","",SUMIFS('Saisie'!$H$5:$H$2004,'Saisie'!$C$5:$C$2004,C361))</f>
        <v/>
      </c>
      <c r="AZ361" s="60">
        <f>IF(C361="","",IFERROR(INDEX('Paramètres'!$W$6:$W$20,MATCH(S361,'Paramètres'!$V$6:$V$20,0))&amp;"",""))</f>
        <v/>
      </c>
      <c r="BA361" s="60">
        <f>IF(C361="","",MAX(1,_xlfn.MAXIFS('Saisie'!$AT$5:$AT$2004,'Saisie'!$C$5:$C$2004,C361)))</f>
        <v/>
      </c>
      <c r="BB361" s="60">
        <f>IF(C361="","",IFERROR(INDEX('Saisie'!$X$5:$X$2004,_xlfn.MAXIFS('Saisie'!$AS$5:$AS$2004,'Saisie'!$C$5:$C$2004,C361,'Saisie'!$X$5:$X$2004,"&lt;&gt;")-4),""))</f>
        <v/>
      </c>
      <c r="BC361" s="60">
        <f>IF(C361="","",IFERROR(INDEX('Saisie'!$Y$5:$Y$2004,_xlfn.MAXIFS('Saisie'!$AS$5:$AS$2004,'Saisie'!$C$5:$C$2004,C361,'Saisie'!$Y$5:$Y$2004,"&lt;&gt;")-4),""))</f>
        <v/>
      </c>
      <c r="BD361" s="106">
        <f>IF(C361="","",IFERROR(1/(1/_xlfn.MINIFS('Saisie'!$A$5:$A$2004,'Saisie'!$C$5:$C$2004,C361,'Saisie'!$AT$5:$AT$2004,"&gt;=2")),""))</f>
        <v/>
      </c>
      <c r="BE361" s="106">
        <f>IF(C361="","",IFERROR(1/(1/_xlfn.MINIFS('Saisie'!$A$5:$A$2004,'Saisie'!$C$5:$C$2004,C361,'Saisie'!$AT$5:$AT$2004,"&gt;=3")),""))</f>
        <v/>
      </c>
      <c r="BF361" s="106">
        <f>IF(C361="","",IFERROR(1/(1/_xlfn.MINIFS('Saisie'!$A$5:$A$2004,'Saisie'!$C$5:$C$2004,C361,'Saisie'!$AT$5:$AT$2004,"&gt;=4")),""))</f>
        <v/>
      </c>
      <c r="BG361" s="106">
        <f>IF(C361="","",IFERROR(1/(1/_xlfn.MINIFS('Saisie'!$A$5:$A$2004,'Saisie'!$C$5:$C$2004,C361,'Saisie'!$AT$5:$AT$2004,"&gt;=5")),""))</f>
        <v/>
      </c>
      <c r="BH361" s="106">
        <f>IF(C361="","",IFERROR(1/(1/_xlfn.MINIFS('Saisie'!$A$5:$A$2004,'Saisie'!$C$5:$C$2004,C361,'Saisie'!$AT$5:$AT$2004,"&gt;=6")),""))</f>
        <v/>
      </c>
      <c r="BI361" s="106">
        <f>IF(C361="","",IFERROR(1/(1/_xlfn.MINIFS('Saisie'!$A$5:$A$2004,'Saisie'!$C$5:$C$2004,C361,'Saisie'!$AT$5:$AT$2004,"&gt;=7")),""))</f>
        <v/>
      </c>
      <c r="BJ361" s="60">
        <f>IF(OR(BD361="",B361=""),"",BD361-B361)</f>
        <v/>
      </c>
      <c r="BK361" s="60">
        <f>IF(OR(BE361="",BD361=""),"",BE361-BD361)</f>
        <v/>
      </c>
      <c r="BL361" s="60">
        <f>IF(OR(BF361="",BE361=""),"",BF361-BE361)</f>
        <v/>
      </c>
      <c r="BM361" s="60">
        <f>IF(OR(BG361="",BF361=""),"",BG361-BF361)</f>
        <v/>
      </c>
      <c r="BN361" s="60">
        <f>IF(OR(BH361="",BG361=""),"",BH361-BG361)</f>
        <v/>
      </c>
      <c r="BO361" s="60">
        <f>IF(OR(BI361="",BH361=""),"",BI361-BH361)</f>
        <v/>
      </c>
      <c r="BP361" s="60">
        <f>IF(C361="","",_xlfn.MAXIFS('Saisie'!$AS$5:$AS$2004,'Saisie'!$C$5:$C$2004,C361,'Saisie'!$J$5:$J$2004,"&lt;&gt;"))</f>
        <v/>
      </c>
      <c r="BQ361" s="60">
        <f>IF(C361="","",_xlfn.MAXIFS('Saisie'!$AS$5:$AS$2004,'Saisie'!$C$5:$C$2004,C361))</f>
        <v/>
      </c>
      <c r="BR361" s="60">
        <f>IF(C361="","",_xlfn.MAXIFS('Saisie'!$AS$5:$AS$2004,'Saisie'!$C$5:$C$2004,C361,'Saisie'!$E$5:$E$2004,"Perdu"))</f>
        <v/>
      </c>
      <c r="BS361" s="60">
        <f>IF(C361="","",_xlfn.MAXIFS('Saisie'!$AS$5:$AS$2004,'Saisie'!$C$5:$C$2004,C361,'Saisie'!$AT$5:$AT$2004,"&gt;0"))</f>
        <v/>
      </c>
      <c r="BT361" s="109">
        <f>IF(AND(C361&lt;&gt;"",OR(D361="Nouveau",D361="Contacté",D361="Qualifié"),OR(G361="",N(G361)&lt;=TODAY()),NOT(AND(O361&gt;='Paramètres'!$B$21,P361=0))),E361+357/10000,"")</f>
        <v/>
      </c>
      <c r="BU361" s="60">
        <f>IF(AND(G361&lt;&gt;"",N(G361)&lt;=TODAY()),MAX($BU$4:BU360)+1,"")</f>
        <v/>
      </c>
      <c r="BV361" s="60">
        <f>IF(AND(F361&lt;&gt;"",F361&lt;&gt;"Relance en retard"),MAX($BV$4:BV360)+1,"")</f>
        <v/>
      </c>
      <c r="BW361" s="60">
        <f>IF(C361="","",IF(AND(B361&gt;='Tableau de bord'!$R$4,B361&lt;='Tableau de bord'!$S$4,OR('Tableau de bord'!$G$4="Tous",N361='Tableau de bord'!$G$4)),1,0))</f>
        <v/>
      </c>
      <c r="BX361" s="60">
        <f>IF(AND(C361&lt;&gt;"",N(BA361)=7),MAX($BX$4:BX360)+1,"")</f>
        <v/>
      </c>
    </row>
    <row r="362">
      <c r="A362" s="60">
        <f>IF(C362="","","P-"&amp;TEXT(358,"000"))</f>
        <v/>
      </c>
      <c r="B362" s="106">
        <f>IF(C362="","",IFERROR(1/(1/_xlfn.MINIFS('Saisie'!$A$5:$A$2004,'Saisie'!$C$5:$C$2004,C362)),""))</f>
        <v/>
      </c>
      <c r="C362" s="60">
        <f>IFERROR(INDEX('Saisie'!$C$5:$C$2004,MATCH(358,'Saisie'!$AX$5:$AX$2004,0)),"")</f>
        <v/>
      </c>
      <c r="D362" s="60">
        <f>IF(C362="","",IF(AND(BR362&gt;0,BR362&gt;BS362,BA362&lt;7),"Perdu",INDEX('Paramètres'!$F$6:$F$13,BA362)))</f>
        <v/>
      </c>
      <c r="E362" s="61">
        <f>IF(C362="","",MIN(100,(Z362="Oui")*'Paramètres'!$B$38+(AB362="Régulière")*'Paramètres'!$B$39+IF(AND(N(AA362)&gt;0,TODAY()-N(AA362)&lt;=30),'Paramètres'!$B$40,0)+(W362="")*'Paramètres'!$B$41+(AC362="Absente")*'Paramètres'!$B$42+(AC362="Faible")*'Paramètres'!$B$43+IF(AND(N(AD362)&gt;0,N(AD362)&lt;4),'Paramètres'!$B$44,0)+(AF362="Moyenne")*'Paramètres'!$B$45+(AF362="Grande")*'Paramètres'!$B$46+(Y362&lt;&gt;"")*'Paramètres'!$B$47))</f>
        <v/>
      </c>
      <c r="F362" s="60">
        <f>IF(C362="","",IF(D362="Gagné","",IF(D362="Perdu",IF(AND(AX362&lt;&gt;"",AX362&lt;=TODAY()),"À recontacter (perdu)",""),IF(AND(O362&gt;='Paramètres'!$B$21,P362=0),"Stop : "&amp;'Paramètres'!$B$21&amp;" tentatives sans réponse",IF(AND(D362="Proposition",AR362&lt;&gt;"",TODAY()&gt;N(AR362)),"Proposition expirée",IF(AND(D362="Proposition",N(R362)&gt;='Paramètres'!$B$25),"Proposition sans réponse",IF(AND(G362&lt;&gt;"",N(G362)&lt;TODAY()),"Relance en retard",IF(N(R362)&gt;='Paramètres'!$B$24,"Sans action depuis "&amp;R362&amp;" j",""))))))))</f>
        <v/>
      </c>
      <c r="G362" s="106">
        <f>IF(OR(C362="",D362="Gagné",D362="Perdu"),"",IF(AND(BP362&gt;0,BP362=BQ362),INDEX('Saisie'!$J$5:$J$2004,BP362-4),IF(OR(O362=0,AND(O362&gt;='Paramètres'!$B$21,P362=0)),"",Q362+IF(O362&lt;=1,'Paramètres'!$B$18,IF(O362=2,'Paramètres'!$B$19,'Paramètres'!$B$20)))))</f>
        <v/>
      </c>
      <c r="H362" s="107">
        <f>IF(OR(G362="",BP362&lt;&gt;BQ362),"",IF(INDEX('Saisie'!$K$5:$K$2004,BP362-4)="","",INDEX('Saisie'!$K$5:$K$2004,BP362-4)))</f>
        <v/>
      </c>
      <c r="I362" s="60">
        <f>IF(C362="","",IF(OR(D362="Gagné",D362="Perdu"),"",IFERROR(INDEX('Saisie'!$I$5:$I$2004,_xlfn.MAXIFS('Saisie'!$AS$5:$AS$2004,'Saisie'!$C$5:$C$2004,C362,'Saisie'!$I$5:$I$2004,"&lt;&gt;")-4),"")))</f>
        <v/>
      </c>
      <c r="J362" s="60">
        <f>IF(C362="","",IFERROR(INDEX('Saisie'!$U$5:$U$2004,_xlfn.MAXIFS('Saisie'!$AS$5:$AS$2004,'Saisie'!$C$5:$C$2004,C362,'Saisie'!$U$5:$U$2004,"&lt;&gt;")-4),""))</f>
        <v/>
      </c>
      <c r="K362" s="60">
        <f>IF(C362="","",IFERROR(INDEX('Saisie'!$W$5:$W$2004,_xlfn.MAXIFS('Saisie'!$AS$5:$AS$2004,'Saisie'!$C$5:$C$2004,C362,'Saisie'!$W$5:$W$2004,"&lt;&gt;")-4),""))</f>
        <v/>
      </c>
      <c r="L362" s="60">
        <f>IF(IF(BB362&lt;&gt;"",BB362,K362)="","",HYPERLINK("https://wa.me/"&amp;IF(LEFT(SUBSTITUTE(SUBSTITUTE(SUBSTITUTE(IF(BB362&lt;&gt;"",BB362,K362)," ",""),".",""),"+",""),1)="0",'Paramètres'!$B$35&amp;MID(SUBSTITUTE(SUBSTITUTE(SUBSTITUTE(IF(BB362&lt;&gt;"",BB362,K362)," ",""),".",""),"+",""),2,20),SUBSTITUTE(SUBSTITUTE(SUBSTITUTE(IF(BB362&lt;&gt;"",BB362,K362)," ",""),".",""),"+","")),"WhatsApp"))</f>
        <v/>
      </c>
      <c r="M362" s="60">
        <f>IF(BC362="","",HYPERLINK(IF(LEFT(BC362,4)="http",BC362,"https://www.instagram.com/"&amp;SUBSTITUTE(SUBSTITUTE(BC362,"@","")," ","")),BC362))</f>
        <v/>
      </c>
      <c r="N362" s="60">
        <f>IF(C362="","",IFERROR(INDEX('Saisie'!$D$5:$D$2004,_xlfn.MINIFS('Saisie'!$AS$5:$AS$2004,'Saisie'!$C$5:$C$2004,C362,'Saisie'!$AU$5:$AU$2004,1)-4),IFERROR(INDEX('Saisie'!$D$5:$D$2004,_xlfn.MINIFS('Saisie'!$AS$5:$AS$2004,'Saisie'!$C$5:$C$2004,C362,'Saisie'!$D$5:$D$2004,"&lt;&gt;")-4),"")))</f>
        <v/>
      </c>
      <c r="O362" s="60">
        <f>IF(C362="","",COUNTIFS('Saisie'!$C$5:$C$2004,C362,'Saisie'!$AU$5:$AU$2004,1))</f>
        <v/>
      </c>
      <c r="P362" s="60">
        <f>IF(C362="","",COUNTIFS('Saisie'!$C$5:$C$2004,C362,'Saisie'!$AV$5:$AV$2004,1))</f>
        <v/>
      </c>
      <c r="Q362" s="106">
        <f>IF(C362="","",IFERROR(1/(1/_xlfn.MAXIFS('Saisie'!$A$5:$A$2004,'Saisie'!$C$5:$C$2004,C362)),""))</f>
        <v/>
      </c>
      <c r="R362" s="61">
        <f>IF(C362="","",IF(Q362="","",TODAY()-Q362))</f>
        <v/>
      </c>
      <c r="S362" s="60">
        <f>IF(C362="","",IFERROR(INDEX('Saisie'!$R$5:$R$2004,_xlfn.MAXIFS('Saisie'!$AS$5:$AS$2004,'Saisie'!$C$5:$C$2004,C362,'Saisie'!$R$5:$R$2004,"&lt;&gt;")-4),""))</f>
        <v/>
      </c>
      <c r="T362" s="60">
        <f>IF(C362="","",IFERROR(INDEX('Saisie'!$S$5:$S$2004,_xlfn.MAXIFS('Saisie'!$AS$5:$AS$2004,'Saisie'!$C$5:$C$2004,C362,'Saisie'!$S$5:$S$2004,"&lt;&gt;")-4),""))</f>
        <v/>
      </c>
      <c r="U362" s="60">
        <f>IF(C362="","",IFERROR(INDEX('Saisie'!$T$5:$T$2004,_xlfn.MAXIFS('Saisie'!$AS$5:$AS$2004,'Saisie'!$C$5:$C$2004,C362,'Saisie'!$T$5:$T$2004,"&lt;&gt;")-4),""))</f>
        <v/>
      </c>
      <c r="V362" s="60">
        <f>IF(C362="","",IFERROR(INDEX('Saisie'!$V$5:$V$2004,_xlfn.MAXIFS('Saisie'!$AS$5:$AS$2004,'Saisie'!$C$5:$C$2004,C362,'Saisie'!$V$5:$V$2004,"&lt;&gt;")-4),""))</f>
        <v/>
      </c>
      <c r="W362" s="60">
        <f>IF(C362="","",IFERROR(INDEX('Saisie'!$Z$5:$Z$2004,_xlfn.MAXIFS('Saisie'!$AS$5:$AS$2004,'Saisie'!$C$5:$C$2004,C362,'Saisie'!$Z$5:$Z$2004,"&lt;&gt;")-4),""))</f>
        <v/>
      </c>
      <c r="X362" s="60">
        <f>IF(C362="","",IFERROR(INDEX('Saisie'!$AA$5:$AA$2004,_xlfn.MAXIFS('Saisie'!$AS$5:$AS$2004,'Saisie'!$C$5:$C$2004,C362,'Saisie'!$AA$5:$AA$2004,"&lt;&gt;")-4),""))</f>
        <v/>
      </c>
      <c r="Y362" s="60">
        <f>IF(C362="","",IFERROR(INDEX('Saisie'!$AB$5:$AB$2004,_xlfn.MAXIFS('Saisie'!$AS$5:$AS$2004,'Saisie'!$C$5:$C$2004,C362,'Saisie'!$AB$5:$AB$2004,"&lt;&gt;")-4),""))</f>
        <v/>
      </c>
      <c r="Z362" s="60">
        <f>IF(C362="","",IFERROR(INDEX('Saisie'!$AC$5:$AC$2004,_xlfn.MAXIFS('Saisie'!$AS$5:$AS$2004,'Saisie'!$C$5:$C$2004,C362,'Saisie'!$AC$5:$AC$2004,"&lt;&gt;")-4),""))</f>
        <v/>
      </c>
      <c r="AA362" s="106">
        <f>IF(C362="","",IFERROR(INDEX('Saisie'!$AD$5:$AD$2004,_xlfn.MAXIFS('Saisie'!$AS$5:$AS$2004,'Saisie'!$C$5:$C$2004,C362,'Saisie'!$AD$5:$AD$2004,"&lt;&gt;")-4),""))</f>
        <v/>
      </c>
      <c r="AB362" s="60">
        <f>IF(C362="","",IFERROR(INDEX('Saisie'!$AE$5:$AE$2004,_xlfn.MAXIFS('Saisie'!$AS$5:$AS$2004,'Saisie'!$C$5:$C$2004,C362,'Saisie'!$AE$5:$AE$2004,"&lt;&gt;")-4),""))</f>
        <v/>
      </c>
      <c r="AC362" s="60">
        <f>IF(C362="","",IFERROR(INDEX('Saisie'!$AF$5:$AF$2004,_xlfn.MAXIFS('Saisie'!$AS$5:$AS$2004,'Saisie'!$C$5:$C$2004,C362,'Saisie'!$AF$5:$AF$2004,"&lt;&gt;")-4),""))</f>
        <v/>
      </c>
      <c r="AD362" s="108">
        <f>IF(C362="","",IFERROR(INDEX('Saisie'!$AG$5:$AG$2004,_xlfn.MAXIFS('Saisie'!$AS$5:$AS$2004,'Saisie'!$C$5:$C$2004,C362,'Saisie'!$AG$5:$AG$2004,"&lt;&gt;")-4),""))</f>
        <v/>
      </c>
      <c r="AE362" s="60">
        <f>IF(C362="","",IFERROR(INDEX('Saisie'!$AH$5:$AH$2004,_xlfn.MAXIFS('Saisie'!$AS$5:$AS$2004,'Saisie'!$C$5:$C$2004,C362,'Saisie'!$AH$5:$AH$2004,"&lt;&gt;")-4),""))</f>
        <v/>
      </c>
      <c r="AF362" s="60">
        <f>IF(C362="","",IFERROR(INDEX('Saisie'!$AI$5:$AI$2004,_xlfn.MAXIFS('Saisie'!$AS$5:$AS$2004,'Saisie'!$C$5:$C$2004,C362,'Saisie'!$AI$5:$AI$2004,"&lt;&gt;")-4),""))</f>
        <v/>
      </c>
      <c r="AG362" s="60">
        <f>IF(C362="","",IFERROR(INDEX('Saisie'!$AJ$5:$AJ$2004,_xlfn.MAXIFS('Saisie'!$AS$5:$AS$2004,'Saisie'!$C$5:$C$2004,C362,'Saisie'!$AJ$5:$AJ$2004,"&lt;&gt;")-4),""))</f>
        <v/>
      </c>
      <c r="AH362" s="60">
        <f>IF(C362="","",IFERROR(INDEX('Saisie'!$AK$5:$AK$2004,_xlfn.MAXIFS('Saisie'!$AS$5:$AS$2004,'Saisie'!$C$5:$C$2004,C362,'Saisie'!$AK$5:$AK$2004,"&lt;&gt;")-4),""))</f>
        <v/>
      </c>
      <c r="AI362" s="60">
        <f>IF(C362="","",IFERROR(INDEX('Saisie'!$AN$5:$AN$2004,_xlfn.MAXIFS('Saisie'!$AS$5:$AS$2004,'Saisie'!$C$5:$C$2004,C362,'Saisie'!$AN$5:$AN$2004,"&lt;&gt;")-4),""))</f>
        <v/>
      </c>
      <c r="AJ362" s="60">
        <f>IF(C362="","",IFERROR(INDEX('Saisie'!$AO$5:$AO$2004,_xlfn.MAXIFS('Saisie'!$AS$5:$AS$2004,'Saisie'!$C$5:$C$2004,C362,'Saisie'!$AO$5:$AO$2004,"&lt;&gt;")-4),""))</f>
        <v/>
      </c>
      <c r="AK362" s="60">
        <f>IF(C362="","",IFERROR(INDEX('Saisie'!$AP$5:$AP$2004,_xlfn.MAXIFS('Saisie'!$AS$5:$AS$2004,'Saisie'!$C$5:$C$2004,C362,'Saisie'!$AP$5:$AP$2004,"&lt;&gt;")-4),""))</f>
        <v/>
      </c>
      <c r="AL362" s="60">
        <f>IF(C362="","",IFERROR(INDEX('Saisie'!$AQ$5:$AQ$2004,_xlfn.MAXIFS('Saisie'!$AS$5:$AS$2004,'Saisie'!$C$5:$C$2004,C362,'Saisie'!$AQ$5:$AQ$2004,"&lt;&gt;")-4),""))</f>
        <v/>
      </c>
      <c r="AM362" s="60">
        <f>IF(C362="","",((AI362="Oui")+(AJ362="Oui")+(AK362="Oui")+OR(AL362="Immédiat",AL362="&lt; 1 mois"))&amp;"/4")</f>
        <v/>
      </c>
      <c r="AN362" s="60">
        <f>IF(C362="","",IFERROR(INDEX('Saisie'!$AL$5:$AL$2004,_xlfn.MAXIFS('Saisie'!$AS$5:$AS$2004,'Saisie'!$C$5:$C$2004,C362,'Saisie'!$AL$5:$AL$2004,"&lt;&gt;")-4),""))</f>
        <v/>
      </c>
      <c r="AO362" s="62">
        <f>IF(C362="","",IF(IFERROR(INDEX('Saisie'!$AM$5:$AM$2004,_xlfn.MAXIFS('Saisie'!$AS$5:$AS$2004,'Saisie'!$C$5:$C$2004,C362,'Saisie'!$AM$5:$AM$2004,"&lt;&gt;")-4),"")&lt;&gt;"",IFERROR(INDEX('Saisie'!$AM$5:$AM$2004,_xlfn.MAXIFS('Saisie'!$AS$5:$AS$2004,'Saisie'!$C$5:$C$2004,C362,'Saisie'!$AM$5:$AM$2004,"&lt;&gt;")-4),""),IFERROR(INDEX('Paramètres'!$S$6:$S$15,MATCH(AN362,'Paramètres'!$Q$6:$Q$15,0)),"")))</f>
        <v/>
      </c>
      <c r="AP362" s="62">
        <f>IF(C362="","",IFERROR(INDEX('Saisie'!$AW$5:$AW$2004,_xlfn.MAXIFS('Saisie'!$AS$5:$AS$2004,'Saisie'!$C$5:$C$2004,C362,'Saisie'!$E$5:$E$2004,"Proposition envoyée")-4),""))</f>
        <v/>
      </c>
      <c r="AQ362" s="106">
        <f>IF(C362="","",IFERROR(1/(1/_xlfn.MAXIFS('Saisie'!$A$5:$A$2004,'Saisie'!$C$5:$C$2004,C362,'Saisie'!$E$5:$E$2004,"Proposition envoyée")),""))</f>
        <v/>
      </c>
      <c r="AR362" s="106">
        <f>IF(C362="","",IF(AQ362="","",AQ362+'Paramètres'!$B$26))</f>
        <v/>
      </c>
      <c r="AS362" s="62">
        <f>IF(OR(C362="",D362="Gagné",D362="Perdu"),0,N(AP362)*IFERROR(INDEX('Paramètres'!$G$6:$G$13,MATCH(D362,'Paramètres'!$F$6:$F$13,0)),0))</f>
        <v/>
      </c>
      <c r="AT362" s="106">
        <f>IF(C362="","",IFERROR(1/(1/_xlfn.MINIFS('Saisie'!$A$5:$A$2004,'Saisie'!$C$5:$C$2004,C362,'Saisie'!$E$5:$E$2004,"Signature")),""))</f>
        <v/>
      </c>
      <c r="AU362" s="60">
        <f>IF(C362="","",IF(OR(AT362="",B362=""),"",AT362-B362))</f>
        <v/>
      </c>
      <c r="AV362" s="60">
        <f>IF(C362="","",IFERROR(INDEX('Saisie'!$L$5:$L$2004,_xlfn.MAXIFS('Saisie'!$AS$5:$AS$2004,'Saisie'!$C$5:$C$2004,C362,'Saisie'!$L$5:$L$2004,"&lt;&gt;")-4),""))</f>
        <v/>
      </c>
      <c r="AW362" s="106">
        <f>IF(C362="","",IF(D362&lt;&gt;"Perdu","",IFERROR(1/(1/_xlfn.MAXIFS('Saisie'!$A$5:$A$2004,'Saisie'!$C$5:$C$2004,C362,'Saisie'!$E$5:$E$2004,"Perdu")),"")))</f>
        <v/>
      </c>
      <c r="AX362" s="106">
        <f>IF(C362="","",IF(AW362="","",AW362+'Paramètres'!$B$28))</f>
        <v/>
      </c>
      <c r="AY362" s="60">
        <f>IF(C362="","",SUMIFS('Saisie'!$H$5:$H$2004,'Saisie'!$C$5:$C$2004,C362))</f>
        <v/>
      </c>
      <c r="AZ362" s="60">
        <f>IF(C362="","",IFERROR(INDEX('Paramètres'!$W$6:$W$20,MATCH(S362,'Paramètres'!$V$6:$V$20,0))&amp;"",""))</f>
        <v/>
      </c>
      <c r="BA362" s="60">
        <f>IF(C362="","",MAX(1,_xlfn.MAXIFS('Saisie'!$AT$5:$AT$2004,'Saisie'!$C$5:$C$2004,C362)))</f>
        <v/>
      </c>
      <c r="BB362" s="60">
        <f>IF(C362="","",IFERROR(INDEX('Saisie'!$X$5:$X$2004,_xlfn.MAXIFS('Saisie'!$AS$5:$AS$2004,'Saisie'!$C$5:$C$2004,C362,'Saisie'!$X$5:$X$2004,"&lt;&gt;")-4),""))</f>
        <v/>
      </c>
      <c r="BC362" s="60">
        <f>IF(C362="","",IFERROR(INDEX('Saisie'!$Y$5:$Y$2004,_xlfn.MAXIFS('Saisie'!$AS$5:$AS$2004,'Saisie'!$C$5:$C$2004,C362,'Saisie'!$Y$5:$Y$2004,"&lt;&gt;")-4),""))</f>
        <v/>
      </c>
      <c r="BD362" s="106">
        <f>IF(C362="","",IFERROR(1/(1/_xlfn.MINIFS('Saisie'!$A$5:$A$2004,'Saisie'!$C$5:$C$2004,C362,'Saisie'!$AT$5:$AT$2004,"&gt;=2")),""))</f>
        <v/>
      </c>
      <c r="BE362" s="106">
        <f>IF(C362="","",IFERROR(1/(1/_xlfn.MINIFS('Saisie'!$A$5:$A$2004,'Saisie'!$C$5:$C$2004,C362,'Saisie'!$AT$5:$AT$2004,"&gt;=3")),""))</f>
        <v/>
      </c>
      <c r="BF362" s="106">
        <f>IF(C362="","",IFERROR(1/(1/_xlfn.MINIFS('Saisie'!$A$5:$A$2004,'Saisie'!$C$5:$C$2004,C362,'Saisie'!$AT$5:$AT$2004,"&gt;=4")),""))</f>
        <v/>
      </c>
      <c r="BG362" s="106">
        <f>IF(C362="","",IFERROR(1/(1/_xlfn.MINIFS('Saisie'!$A$5:$A$2004,'Saisie'!$C$5:$C$2004,C362,'Saisie'!$AT$5:$AT$2004,"&gt;=5")),""))</f>
        <v/>
      </c>
      <c r="BH362" s="106">
        <f>IF(C362="","",IFERROR(1/(1/_xlfn.MINIFS('Saisie'!$A$5:$A$2004,'Saisie'!$C$5:$C$2004,C362,'Saisie'!$AT$5:$AT$2004,"&gt;=6")),""))</f>
        <v/>
      </c>
      <c r="BI362" s="106">
        <f>IF(C362="","",IFERROR(1/(1/_xlfn.MINIFS('Saisie'!$A$5:$A$2004,'Saisie'!$C$5:$C$2004,C362,'Saisie'!$AT$5:$AT$2004,"&gt;=7")),""))</f>
        <v/>
      </c>
      <c r="BJ362" s="60">
        <f>IF(OR(BD362="",B362=""),"",BD362-B362)</f>
        <v/>
      </c>
      <c r="BK362" s="60">
        <f>IF(OR(BE362="",BD362=""),"",BE362-BD362)</f>
        <v/>
      </c>
      <c r="BL362" s="60">
        <f>IF(OR(BF362="",BE362=""),"",BF362-BE362)</f>
        <v/>
      </c>
      <c r="BM362" s="60">
        <f>IF(OR(BG362="",BF362=""),"",BG362-BF362)</f>
        <v/>
      </c>
      <c r="BN362" s="60">
        <f>IF(OR(BH362="",BG362=""),"",BH362-BG362)</f>
        <v/>
      </c>
      <c r="BO362" s="60">
        <f>IF(OR(BI362="",BH362=""),"",BI362-BH362)</f>
        <v/>
      </c>
      <c r="BP362" s="60">
        <f>IF(C362="","",_xlfn.MAXIFS('Saisie'!$AS$5:$AS$2004,'Saisie'!$C$5:$C$2004,C362,'Saisie'!$J$5:$J$2004,"&lt;&gt;"))</f>
        <v/>
      </c>
      <c r="BQ362" s="60">
        <f>IF(C362="","",_xlfn.MAXIFS('Saisie'!$AS$5:$AS$2004,'Saisie'!$C$5:$C$2004,C362))</f>
        <v/>
      </c>
      <c r="BR362" s="60">
        <f>IF(C362="","",_xlfn.MAXIFS('Saisie'!$AS$5:$AS$2004,'Saisie'!$C$5:$C$2004,C362,'Saisie'!$E$5:$E$2004,"Perdu"))</f>
        <v/>
      </c>
      <c r="BS362" s="60">
        <f>IF(C362="","",_xlfn.MAXIFS('Saisie'!$AS$5:$AS$2004,'Saisie'!$C$5:$C$2004,C362,'Saisie'!$AT$5:$AT$2004,"&gt;0"))</f>
        <v/>
      </c>
      <c r="BT362" s="109">
        <f>IF(AND(C362&lt;&gt;"",OR(D362="Nouveau",D362="Contacté",D362="Qualifié"),OR(G362="",N(G362)&lt;=TODAY()),NOT(AND(O362&gt;='Paramètres'!$B$21,P362=0))),E362+358/10000,"")</f>
        <v/>
      </c>
      <c r="BU362" s="60">
        <f>IF(AND(G362&lt;&gt;"",N(G362)&lt;=TODAY()),MAX($BU$4:BU361)+1,"")</f>
        <v/>
      </c>
      <c r="BV362" s="60">
        <f>IF(AND(F362&lt;&gt;"",F362&lt;&gt;"Relance en retard"),MAX($BV$4:BV361)+1,"")</f>
        <v/>
      </c>
      <c r="BW362" s="60">
        <f>IF(C362="","",IF(AND(B362&gt;='Tableau de bord'!$R$4,B362&lt;='Tableau de bord'!$S$4,OR('Tableau de bord'!$G$4="Tous",N362='Tableau de bord'!$G$4)),1,0))</f>
        <v/>
      </c>
      <c r="BX362" s="60">
        <f>IF(AND(C362&lt;&gt;"",N(BA362)=7),MAX($BX$4:BX361)+1,"")</f>
        <v/>
      </c>
    </row>
    <row r="363">
      <c r="A363" s="60">
        <f>IF(C363="","","P-"&amp;TEXT(359,"000"))</f>
        <v/>
      </c>
      <c r="B363" s="106">
        <f>IF(C363="","",IFERROR(1/(1/_xlfn.MINIFS('Saisie'!$A$5:$A$2004,'Saisie'!$C$5:$C$2004,C363)),""))</f>
        <v/>
      </c>
      <c r="C363" s="60">
        <f>IFERROR(INDEX('Saisie'!$C$5:$C$2004,MATCH(359,'Saisie'!$AX$5:$AX$2004,0)),"")</f>
        <v/>
      </c>
      <c r="D363" s="60">
        <f>IF(C363="","",IF(AND(BR363&gt;0,BR363&gt;BS363,BA363&lt;7),"Perdu",INDEX('Paramètres'!$F$6:$F$13,BA363)))</f>
        <v/>
      </c>
      <c r="E363" s="61">
        <f>IF(C363="","",MIN(100,(Z363="Oui")*'Paramètres'!$B$38+(AB363="Régulière")*'Paramètres'!$B$39+IF(AND(N(AA363)&gt;0,TODAY()-N(AA363)&lt;=30),'Paramètres'!$B$40,0)+(W363="")*'Paramètres'!$B$41+(AC363="Absente")*'Paramètres'!$B$42+(AC363="Faible")*'Paramètres'!$B$43+IF(AND(N(AD363)&gt;0,N(AD363)&lt;4),'Paramètres'!$B$44,0)+(AF363="Moyenne")*'Paramètres'!$B$45+(AF363="Grande")*'Paramètres'!$B$46+(Y363&lt;&gt;"")*'Paramètres'!$B$47))</f>
        <v/>
      </c>
      <c r="F363" s="60">
        <f>IF(C363="","",IF(D363="Gagné","",IF(D363="Perdu",IF(AND(AX363&lt;&gt;"",AX363&lt;=TODAY()),"À recontacter (perdu)",""),IF(AND(O363&gt;='Paramètres'!$B$21,P363=0),"Stop : "&amp;'Paramètres'!$B$21&amp;" tentatives sans réponse",IF(AND(D363="Proposition",AR363&lt;&gt;"",TODAY()&gt;N(AR363)),"Proposition expirée",IF(AND(D363="Proposition",N(R363)&gt;='Paramètres'!$B$25),"Proposition sans réponse",IF(AND(G363&lt;&gt;"",N(G363)&lt;TODAY()),"Relance en retard",IF(N(R363)&gt;='Paramètres'!$B$24,"Sans action depuis "&amp;R363&amp;" j",""))))))))</f>
        <v/>
      </c>
      <c r="G363" s="106">
        <f>IF(OR(C363="",D363="Gagné",D363="Perdu"),"",IF(AND(BP363&gt;0,BP363=BQ363),INDEX('Saisie'!$J$5:$J$2004,BP363-4),IF(OR(O363=0,AND(O363&gt;='Paramètres'!$B$21,P363=0)),"",Q363+IF(O363&lt;=1,'Paramètres'!$B$18,IF(O363=2,'Paramètres'!$B$19,'Paramètres'!$B$20)))))</f>
        <v/>
      </c>
      <c r="H363" s="107">
        <f>IF(OR(G363="",BP363&lt;&gt;BQ363),"",IF(INDEX('Saisie'!$K$5:$K$2004,BP363-4)="","",INDEX('Saisie'!$K$5:$K$2004,BP363-4)))</f>
        <v/>
      </c>
      <c r="I363" s="60">
        <f>IF(C363="","",IF(OR(D363="Gagné",D363="Perdu"),"",IFERROR(INDEX('Saisie'!$I$5:$I$2004,_xlfn.MAXIFS('Saisie'!$AS$5:$AS$2004,'Saisie'!$C$5:$C$2004,C363,'Saisie'!$I$5:$I$2004,"&lt;&gt;")-4),"")))</f>
        <v/>
      </c>
      <c r="J363" s="60">
        <f>IF(C363="","",IFERROR(INDEX('Saisie'!$U$5:$U$2004,_xlfn.MAXIFS('Saisie'!$AS$5:$AS$2004,'Saisie'!$C$5:$C$2004,C363,'Saisie'!$U$5:$U$2004,"&lt;&gt;")-4),""))</f>
        <v/>
      </c>
      <c r="K363" s="60">
        <f>IF(C363="","",IFERROR(INDEX('Saisie'!$W$5:$W$2004,_xlfn.MAXIFS('Saisie'!$AS$5:$AS$2004,'Saisie'!$C$5:$C$2004,C363,'Saisie'!$W$5:$W$2004,"&lt;&gt;")-4),""))</f>
        <v/>
      </c>
      <c r="L363" s="60">
        <f>IF(IF(BB363&lt;&gt;"",BB363,K363)="","",HYPERLINK("https://wa.me/"&amp;IF(LEFT(SUBSTITUTE(SUBSTITUTE(SUBSTITUTE(IF(BB363&lt;&gt;"",BB363,K363)," ",""),".",""),"+",""),1)="0",'Paramètres'!$B$35&amp;MID(SUBSTITUTE(SUBSTITUTE(SUBSTITUTE(IF(BB363&lt;&gt;"",BB363,K363)," ",""),".",""),"+",""),2,20),SUBSTITUTE(SUBSTITUTE(SUBSTITUTE(IF(BB363&lt;&gt;"",BB363,K363)," ",""),".",""),"+","")),"WhatsApp"))</f>
        <v/>
      </c>
      <c r="M363" s="60">
        <f>IF(BC363="","",HYPERLINK(IF(LEFT(BC363,4)="http",BC363,"https://www.instagram.com/"&amp;SUBSTITUTE(SUBSTITUTE(BC363,"@","")," ","")),BC363))</f>
        <v/>
      </c>
      <c r="N363" s="60">
        <f>IF(C363="","",IFERROR(INDEX('Saisie'!$D$5:$D$2004,_xlfn.MINIFS('Saisie'!$AS$5:$AS$2004,'Saisie'!$C$5:$C$2004,C363,'Saisie'!$AU$5:$AU$2004,1)-4),IFERROR(INDEX('Saisie'!$D$5:$D$2004,_xlfn.MINIFS('Saisie'!$AS$5:$AS$2004,'Saisie'!$C$5:$C$2004,C363,'Saisie'!$D$5:$D$2004,"&lt;&gt;")-4),"")))</f>
        <v/>
      </c>
      <c r="O363" s="60">
        <f>IF(C363="","",COUNTIFS('Saisie'!$C$5:$C$2004,C363,'Saisie'!$AU$5:$AU$2004,1))</f>
        <v/>
      </c>
      <c r="P363" s="60">
        <f>IF(C363="","",COUNTIFS('Saisie'!$C$5:$C$2004,C363,'Saisie'!$AV$5:$AV$2004,1))</f>
        <v/>
      </c>
      <c r="Q363" s="106">
        <f>IF(C363="","",IFERROR(1/(1/_xlfn.MAXIFS('Saisie'!$A$5:$A$2004,'Saisie'!$C$5:$C$2004,C363)),""))</f>
        <v/>
      </c>
      <c r="R363" s="61">
        <f>IF(C363="","",IF(Q363="","",TODAY()-Q363))</f>
        <v/>
      </c>
      <c r="S363" s="60">
        <f>IF(C363="","",IFERROR(INDEX('Saisie'!$R$5:$R$2004,_xlfn.MAXIFS('Saisie'!$AS$5:$AS$2004,'Saisie'!$C$5:$C$2004,C363,'Saisie'!$R$5:$R$2004,"&lt;&gt;")-4),""))</f>
        <v/>
      </c>
      <c r="T363" s="60">
        <f>IF(C363="","",IFERROR(INDEX('Saisie'!$S$5:$S$2004,_xlfn.MAXIFS('Saisie'!$AS$5:$AS$2004,'Saisie'!$C$5:$C$2004,C363,'Saisie'!$S$5:$S$2004,"&lt;&gt;")-4),""))</f>
        <v/>
      </c>
      <c r="U363" s="60">
        <f>IF(C363="","",IFERROR(INDEX('Saisie'!$T$5:$T$2004,_xlfn.MAXIFS('Saisie'!$AS$5:$AS$2004,'Saisie'!$C$5:$C$2004,C363,'Saisie'!$T$5:$T$2004,"&lt;&gt;")-4),""))</f>
        <v/>
      </c>
      <c r="V363" s="60">
        <f>IF(C363="","",IFERROR(INDEX('Saisie'!$V$5:$V$2004,_xlfn.MAXIFS('Saisie'!$AS$5:$AS$2004,'Saisie'!$C$5:$C$2004,C363,'Saisie'!$V$5:$V$2004,"&lt;&gt;")-4),""))</f>
        <v/>
      </c>
      <c r="W363" s="60">
        <f>IF(C363="","",IFERROR(INDEX('Saisie'!$Z$5:$Z$2004,_xlfn.MAXIFS('Saisie'!$AS$5:$AS$2004,'Saisie'!$C$5:$C$2004,C363,'Saisie'!$Z$5:$Z$2004,"&lt;&gt;")-4),""))</f>
        <v/>
      </c>
      <c r="X363" s="60">
        <f>IF(C363="","",IFERROR(INDEX('Saisie'!$AA$5:$AA$2004,_xlfn.MAXIFS('Saisie'!$AS$5:$AS$2004,'Saisie'!$C$5:$C$2004,C363,'Saisie'!$AA$5:$AA$2004,"&lt;&gt;")-4),""))</f>
        <v/>
      </c>
      <c r="Y363" s="60">
        <f>IF(C363="","",IFERROR(INDEX('Saisie'!$AB$5:$AB$2004,_xlfn.MAXIFS('Saisie'!$AS$5:$AS$2004,'Saisie'!$C$5:$C$2004,C363,'Saisie'!$AB$5:$AB$2004,"&lt;&gt;")-4),""))</f>
        <v/>
      </c>
      <c r="Z363" s="60">
        <f>IF(C363="","",IFERROR(INDEX('Saisie'!$AC$5:$AC$2004,_xlfn.MAXIFS('Saisie'!$AS$5:$AS$2004,'Saisie'!$C$5:$C$2004,C363,'Saisie'!$AC$5:$AC$2004,"&lt;&gt;")-4),""))</f>
        <v/>
      </c>
      <c r="AA363" s="106">
        <f>IF(C363="","",IFERROR(INDEX('Saisie'!$AD$5:$AD$2004,_xlfn.MAXIFS('Saisie'!$AS$5:$AS$2004,'Saisie'!$C$5:$C$2004,C363,'Saisie'!$AD$5:$AD$2004,"&lt;&gt;")-4),""))</f>
        <v/>
      </c>
      <c r="AB363" s="60">
        <f>IF(C363="","",IFERROR(INDEX('Saisie'!$AE$5:$AE$2004,_xlfn.MAXIFS('Saisie'!$AS$5:$AS$2004,'Saisie'!$C$5:$C$2004,C363,'Saisie'!$AE$5:$AE$2004,"&lt;&gt;")-4),""))</f>
        <v/>
      </c>
      <c r="AC363" s="60">
        <f>IF(C363="","",IFERROR(INDEX('Saisie'!$AF$5:$AF$2004,_xlfn.MAXIFS('Saisie'!$AS$5:$AS$2004,'Saisie'!$C$5:$C$2004,C363,'Saisie'!$AF$5:$AF$2004,"&lt;&gt;")-4),""))</f>
        <v/>
      </c>
      <c r="AD363" s="108">
        <f>IF(C363="","",IFERROR(INDEX('Saisie'!$AG$5:$AG$2004,_xlfn.MAXIFS('Saisie'!$AS$5:$AS$2004,'Saisie'!$C$5:$C$2004,C363,'Saisie'!$AG$5:$AG$2004,"&lt;&gt;")-4),""))</f>
        <v/>
      </c>
      <c r="AE363" s="60">
        <f>IF(C363="","",IFERROR(INDEX('Saisie'!$AH$5:$AH$2004,_xlfn.MAXIFS('Saisie'!$AS$5:$AS$2004,'Saisie'!$C$5:$C$2004,C363,'Saisie'!$AH$5:$AH$2004,"&lt;&gt;")-4),""))</f>
        <v/>
      </c>
      <c r="AF363" s="60">
        <f>IF(C363="","",IFERROR(INDEX('Saisie'!$AI$5:$AI$2004,_xlfn.MAXIFS('Saisie'!$AS$5:$AS$2004,'Saisie'!$C$5:$C$2004,C363,'Saisie'!$AI$5:$AI$2004,"&lt;&gt;")-4),""))</f>
        <v/>
      </c>
      <c r="AG363" s="60">
        <f>IF(C363="","",IFERROR(INDEX('Saisie'!$AJ$5:$AJ$2004,_xlfn.MAXIFS('Saisie'!$AS$5:$AS$2004,'Saisie'!$C$5:$C$2004,C363,'Saisie'!$AJ$5:$AJ$2004,"&lt;&gt;")-4),""))</f>
        <v/>
      </c>
      <c r="AH363" s="60">
        <f>IF(C363="","",IFERROR(INDEX('Saisie'!$AK$5:$AK$2004,_xlfn.MAXIFS('Saisie'!$AS$5:$AS$2004,'Saisie'!$C$5:$C$2004,C363,'Saisie'!$AK$5:$AK$2004,"&lt;&gt;")-4),""))</f>
        <v/>
      </c>
      <c r="AI363" s="60">
        <f>IF(C363="","",IFERROR(INDEX('Saisie'!$AN$5:$AN$2004,_xlfn.MAXIFS('Saisie'!$AS$5:$AS$2004,'Saisie'!$C$5:$C$2004,C363,'Saisie'!$AN$5:$AN$2004,"&lt;&gt;")-4),""))</f>
        <v/>
      </c>
      <c r="AJ363" s="60">
        <f>IF(C363="","",IFERROR(INDEX('Saisie'!$AO$5:$AO$2004,_xlfn.MAXIFS('Saisie'!$AS$5:$AS$2004,'Saisie'!$C$5:$C$2004,C363,'Saisie'!$AO$5:$AO$2004,"&lt;&gt;")-4),""))</f>
        <v/>
      </c>
      <c r="AK363" s="60">
        <f>IF(C363="","",IFERROR(INDEX('Saisie'!$AP$5:$AP$2004,_xlfn.MAXIFS('Saisie'!$AS$5:$AS$2004,'Saisie'!$C$5:$C$2004,C363,'Saisie'!$AP$5:$AP$2004,"&lt;&gt;")-4),""))</f>
        <v/>
      </c>
      <c r="AL363" s="60">
        <f>IF(C363="","",IFERROR(INDEX('Saisie'!$AQ$5:$AQ$2004,_xlfn.MAXIFS('Saisie'!$AS$5:$AS$2004,'Saisie'!$C$5:$C$2004,C363,'Saisie'!$AQ$5:$AQ$2004,"&lt;&gt;")-4),""))</f>
        <v/>
      </c>
      <c r="AM363" s="60">
        <f>IF(C363="","",((AI363="Oui")+(AJ363="Oui")+(AK363="Oui")+OR(AL363="Immédiat",AL363="&lt; 1 mois"))&amp;"/4")</f>
        <v/>
      </c>
      <c r="AN363" s="60">
        <f>IF(C363="","",IFERROR(INDEX('Saisie'!$AL$5:$AL$2004,_xlfn.MAXIFS('Saisie'!$AS$5:$AS$2004,'Saisie'!$C$5:$C$2004,C363,'Saisie'!$AL$5:$AL$2004,"&lt;&gt;")-4),""))</f>
        <v/>
      </c>
      <c r="AO363" s="62">
        <f>IF(C363="","",IF(IFERROR(INDEX('Saisie'!$AM$5:$AM$2004,_xlfn.MAXIFS('Saisie'!$AS$5:$AS$2004,'Saisie'!$C$5:$C$2004,C363,'Saisie'!$AM$5:$AM$2004,"&lt;&gt;")-4),"")&lt;&gt;"",IFERROR(INDEX('Saisie'!$AM$5:$AM$2004,_xlfn.MAXIFS('Saisie'!$AS$5:$AS$2004,'Saisie'!$C$5:$C$2004,C363,'Saisie'!$AM$5:$AM$2004,"&lt;&gt;")-4),""),IFERROR(INDEX('Paramètres'!$S$6:$S$15,MATCH(AN363,'Paramètres'!$Q$6:$Q$15,0)),"")))</f>
        <v/>
      </c>
      <c r="AP363" s="62">
        <f>IF(C363="","",IFERROR(INDEX('Saisie'!$AW$5:$AW$2004,_xlfn.MAXIFS('Saisie'!$AS$5:$AS$2004,'Saisie'!$C$5:$C$2004,C363,'Saisie'!$E$5:$E$2004,"Proposition envoyée")-4),""))</f>
        <v/>
      </c>
      <c r="AQ363" s="106">
        <f>IF(C363="","",IFERROR(1/(1/_xlfn.MAXIFS('Saisie'!$A$5:$A$2004,'Saisie'!$C$5:$C$2004,C363,'Saisie'!$E$5:$E$2004,"Proposition envoyée")),""))</f>
        <v/>
      </c>
      <c r="AR363" s="106">
        <f>IF(C363="","",IF(AQ363="","",AQ363+'Paramètres'!$B$26))</f>
        <v/>
      </c>
      <c r="AS363" s="62">
        <f>IF(OR(C363="",D363="Gagné",D363="Perdu"),0,N(AP363)*IFERROR(INDEX('Paramètres'!$G$6:$G$13,MATCH(D363,'Paramètres'!$F$6:$F$13,0)),0))</f>
        <v/>
      </c>
      <c r="AT363" s="106">
        <f>IF(C363="","",IFERROR(1/(1/_xlfn.MINIFS('Saisie'!$A$5:$A$2004,'Saisie'!$C$5:$C$2004,C363,'Saisie'!$E$5:$E$2004,"Signature")),""))</f>
        <v/>
      </c>
      <c r="AU363" s="60">
        <f>IF(C363="","",IF(OR(AT363="",B363=""),"",AT363-B363))</f>
        <v/>
      </c>
      <c r="AV363" s="60">
        <f>IF(C363="","",IFERROR(INDEX('Saisie'!$L$5:$L$2004,_xlfn.MAXIFS('Saisie'!$AS$5:$AS$2004,'Saisie'!$C$5:$C$2004,C363,'Saisie'!$L$5:$L$2004,"&lt;&gt;")-4),""))</f>
        <v/>
      </c>
      <c r="AW363" s="106">
        <f>IF(C363="","",IF(D363&lt;&gt;"Perdu","",IFERROR(1/(1/_xlfn.MAXIFS('Saisie'!$A$5:$A$2004,'Saisie'!$C$5:$C$2004,C363,'Saisie'!$E$5:$E$2004,"Perdu")),"")))</f>
        <v/>
      </c>
      <c r="AX363" s="106">
        <f>IF(C363="","",IF(AW363="","",AW363+'Paramètres'!$B$28))</f>
        <v/>
      </c>
      <c r="AY363" s="60">
        <f>IF(C363="","",SUMIFS('Saisie'!$H$5:$H$2004,'Saisie'!$C$5:$C$2004,C363))</f>
        <v/>
      </c>
      <c r="AZ363" s="60">
        <f>IF(C363="","",IFERROR(INDEX('Paramètres'!$W$6:$W$20,MATCH(S363,'Paramètres'!$V$6:$V$20,0))&amp;"",""))</f>
        <v/>
      </c>
      <c r="BA363" s="60">
        <f>IF(C363="","",MAX(1,_xlfn.MAXIFS('Saisie'!$AT$5:$AT$2004,'Saisie'!$C$5:$C$2004,C363)))</f>
        <v/>
      </c>
      <c r="BB363" s="60">
        <f>IF(C363="","",IFERROR(INDEX('Saisie'!$X$5:$X$2004,_xlfn.MAXIFS('Saisie'!$AS$5:$AS$2004,'Saisie'!$C$5:$C$2004,C363,'Saisie'!$X$5:$X$2004,"&lt;&gt;")-4),""))</f>
        <v/>
      </c>
      <c r="BC363" s="60">
        <f>IF(C363="","",IFERROR(INDEX('Saisie'!$Y$5:$Y$2004,_xlfn.MAXIFS('Saisie'!$AS$5:$AS$2004,'Saisie'!$C$5:$C$2004,C363,'Saisie'!$Y$5:$Y$2004,"&lt;&gt;")-4),""))</f>
        <v/>
      </c>
      <c r="BD363" s="106">
        <f>IF(C363="","",IFERROR(1/(1/_xlfn.MINIFS('Saisie'!$A$5:$A$2004,'Saisie'!$C$5:$C$2004,C363,'Saisie'!$AT$5:$AT$2004,"&gt;=2")),""))</f>
        <v/>
      </c>
      <c r="BE363" s="106">
        <f>IF(C363="","",IFERROR(1/(1/_xlfn.MINIFS('Saisie'!$A$5:$A$2004,'Saisie'!$C$5:$C$2004,C363,'Saisie'!$AT$5:$AT$2004,"&gt;=3")),""))</f>
        <v/>
      </c>
      <c r="BF363" s="106">
        <f>IF(C363="","",IFERROR(1/(1/_xlfn.MINIFS('Saisie'!$A$5:$A$2004,'Saisie'!$C$5:$C$2004,C363,'Saisie'!$AT$5:$AT$2004,"&gt;=4")),""))</f>
        <v/>
      </c>
      <c r="BG363" s="106">
        <f>IF(C363="","",IFERROR(1/(1/_xlfn.MINIFS('Saisie'!$A$5:$A$2004,'Saisie'!$C$5:$C$2004,C363,'Saisie'!$AT$5:$AT$2004,"&gt;=5")),""))</f>
        <v/>
      </c>
      <c r="BH363" s="106">
        <f>IF(C363="","",IFERROR(1/(1/_xlfn.MINIFS('Saisie'!$A$5:$A$2004,'Saisie'!$C$5:$C$2004,C363,'Saisie'!$AT$5:$AT$2004,"&gt;=6")),""))</f>
        <v/>
      </c>
      <c r="BI363" s="106">
        <f>IF(C363="","",IFERROR(1/(1/_xlfn.MINIFS('Saisie'!$A$5:$A$2004,'Saisie'!$C$5:$C$2004,C363,'Saisie'!$AT$5:$AT$2004,"&gt;=7")),""))</f>
        <v/>
      </c>
      <c r="BJ363" s="60">
        <f>IF(OR(BD363="",B363=""),"",BD363-B363)</f>
        <v/>
      </c>
      <c r="BK363" s="60">
        <f>IF(OR(BE363="",BD363=""),"",BE363-BD363)</f>
        <v/>
      </c>
      <c r="BL363" s="60">
        <f>IF(OR(BF363="",BE363=""),"",BF363-BE363)</f>
        <v/>
      </c>
      <c r="BM363" s="60">
        <f>IF(OR(BG363="",BF363=""),"",BG363-BF363)</f>
        <v/>
      </c>
      <c r="BN363" s="60">
        <f>IF(OR(BH363="",BG363=""),"",BH363-BG363)</f>
        <v/>
      </c>
      <c r="BO363" s="60">
        <f>IF(OR(BI363="",BH363=""),"",BI363-BH363)</f>
        <v/>
      </c>
      <c r="BP363" s="60">
        <f>IF(C363="","",_xlfn.MAXIFS('Saisie'!$AS$5:$AS$2004,'Saisie'!$C$5:$C$2004,C363,'Saisie'!$J$5:$J$2004,"&lt;&gt;"))</f>
        <v/>
      </c>
      <c r="BQ363" s="60">
        <f>IF(C363="","",_xlfn.MAXIFS('Saisie'!$AS$5:$AS$2004,'Saisie'!$C$5:$C$2004,C363))</f>
        <v/>
      </c>
      <c r="BR363" s="60">
        <f>IF(C363="","",_xlfn.MAXIFS('Saisie'!$AS$5:$AS$2004,'Saisie'!$C$5:$C$2004,C363,'Saisie'!$E$5:$E$2004,"Perdu"))</f>
        <v/>
      </c>
      <c r="BS363" s="60">
        <f>IF(C363="","",_xlfn.MAXIFS('Saisie'!$AS$5:$AS$2004,'Saisie'!$C$5:$C$2004,C363,'Saisie'!$AT$5:$AT$2004,"&gt;0"))</f>
        <v/>
      </c>
      <c r="BT363" s="109">
        <f>IF(AND(C363&lt;&gt;"",OR(D363="Nouveau",D363="Contacté",D363="Qualifié"),OR(G363="",N(G363)&lt;=TODAY()),NOT(AND(O363&gt;='Paramètres'!$B$21,P363=0))),E363+359/10000,"")</f>
        <v/>
      </c>
      <c r="BU363" s="60">
        <f>IF(AND(G363&lt;&gt;"",N(G363)&lt;=TODAY()),MAX($BU$4:BU362)+1,"")</f>
        <v/>
      </c>
      <c r="BV363" s="60">
        <f>IF(AND(F363&lt;&gt;"",F363&lt;&gt;"Relance en retard"),MAX($BV$4:BV362)+1,"")</f>
        <v/>
      </c>
      <c r="BW363" s="60">
        <f>IF(C363="","",IF(AND(B363&gt;='Tableau de bord'!$R$4,B363&lt;='Tableau de bord'!$S$4,OR('Tableau de bord'!$G$4="Tous",N363='Tableau de bord'!$G$4)),1,0))</f>
        <v/>
      </c>
      <c r="BX363" s="60">
        <f>IF(AND(C363&lt;&gt;"",N(BA363)=7),MAX($BX$4:BX362)+1,"")</f>
        <v/>
      </c>
    </row>
    <row r="364">
      <c r="A364" s="60">
        <f>IF(C364="","","P-"&amp;TEXT(360,"000"))</f>
        <v/>
      </c>
      <c r="B364" s="106">
        <f>IF(C364="","",IFERROR(1/(1/_xlfn.MINIFS('Saisie'!$A$5:$A$2004,'Saisie'!$C$5:$C$2004,C364)),""))</f>
        <v/>
      </c>
      <c r="C364" s="60">
        <f>IFERROR(INDEX('Saisie'!$C$5:$C$2004,MATCH(360,'Saisie'!$AX$5:$AX$2004,0)),"")</f>
        <v/>
      </c>
      <c r="D364" s="60">
        <f>IF(C364="","",IF(AND(BR364&gt;0,BR364&gt;BS364,BA364&lt;7),"Perdu",INDEX('Paramètres'!$F$6:$F$13,BA364)))</f>
        <v/>
      </c>
      <c r="E364" s="61">
        <f>IF(C364="","",MIN(100,(Z364="Oui")*'Paramètres'!$B$38+(AB364="Régulière")*'Paramètres'!$B$39+IF(AND(N(AA364)&gt;0,TODAY()-N(AA364)&lt;=30),'Paramètres'!$B$40,0)+(W364="")*'Paramètres'!$B$41+(AC364="Absente")*'Paramètres'!$B$42+(AC364="Faible")*'Paramètres'!$B$43+IF(AND(N(AD364)&gt;0,N(AD364)&lt;4),'Paramètres'!$B$44,0)+(AF364="Moyenne")*'Paramètres'!$B$45+(AF364="Grande")*'Paramètres'!$B$46+(Y364&lt;&gt;"")*'Paramètres'!$B$47))</f>
        <v/>
      </c>
      <c r="F364" s="60">
        <f>IF(C364="","",IF(D364="Gagné","",IF(D364="Perdu",IF(AND(AX364&lt;&gt;"",AX364&lt;=TODAY()),"À recontacter (perdu)",""),IF(AND(O364&gt;='Paramètres'!$B$21,P364=0),"Stop : "&amp;'Paramètres'!$B$21&amp;" tentatives sans réponse",IF(AND(D364="Proposition",AR364&lt;&gt;"",TODAY()&gt;N(AR364)),"Proposition expirée",IF(AND(D364="Proposition",N(R364)&gt;='Paramètres'!$B$25),"Proposition sans réponse",IF(AND(G364&lt;&gt;"",N(G364)&lt;TODAY()),"Relance en retard",IF(N(R364)&gt;='Paramètres'!$B$24,"Sans action depuis "&amp;R364&amp;" j",""))))))))</f>
        <v/>
      </c>
      <c r="G364" s="106">
        <f>IF(OR(C364="",D364="Gagné",D364="Perdu"),"",IF(AND(BP364&gt;0,BP364=BQ364),INDEX('Saisie'!$J$5:$J$2004,BP364-4),IF(OR(O364=0,AND(O364&gt;='Paramètres'!$B$21,P364=0)),"",Q364+IF(O364&lt;=1,'Paramètres'!$B$18,IF(O364=2,'Paramètres'!$B$19,'Paramètres'!$B$20)))))</f>
        <v/>
      </c>
      <c r="H364" s="107">
        <f>IF(OR(G364="",BP364&lt;&gt;BQ364),"",IF(INDEX('Saisie'!$K$5:$K$2004,BP364-4)="","",INDEX('Saisie'!$K$5:$K$2004,BP364-4)))</f>
        <v/>
      </c>
      <c r="I364" s="60">
        <f>IF(C364="","",IF(OR(D364="Gagné",D364="Perdu"),"",IFERROR(INDEX('Saisie'!$I$5:$I$2004,_xlfn.MAXIFS('Saisie'!$AS$5:$AS$2004,'Saisie'!$C$5:$C$2004,C364,'Saisie'!$I$5:$I$2004,"&lt;&gt;")-4),"")))</f>
        <v/>
      </c>
      <c r="J364" s="60">
        <f>IF(C364="","",IFERROR(INDEX('Saisie'!$U$5:$U$2004,_xlfn.MAXIFS('Saisie'!$AS$5:$AS$2004,'Saisie'!$C$5:$C$2004,C364,'Saisie'!$U$5:$U$2004,"&lt;&gt;")-4),""))</f>
        <v/>
      </c>
      <c r="K364" s="60">
        <f>IF(C364="","",IFERROR(INDEX('Saisie'!$W$5:$W$2004,_xlfn.MAXIFS('Saisie'!$AS$5:$AS$2004,'Saisie'!$C$5:$C$2004,C364,'Saisie'!$W$5:$W$2004,"&lt;&gt;")-4),""))</f>
        <v/>
      </c>
      <c r="L364" s="60">
        <f>IF(IF(BB364&lt;&gt;"",BB364,K364)="","",HYPERLINK("https://wa.me/"&amp;IF(LEFT(SUBSTITUTE(SUBSTITUTE(SUBSTITUTE(IF(BB364&lt;&gt;"",BB364,K364)," ",""),".",""),"+",""),1)="0",'Paramètres'!$B$35&amp;MID(SUBSTITUTE(SUBSTITUTE(SUBSTITUTE(IF(BB364&lt;&gt;"",BB364,K364)," ",""),".",""),"+",""),2,20),SUBSTITUTE(SUBSTITUTE(SUBSTITUTE(IF(BB364&lt;&gt;"",BB364,K364)," ",""),".",""),"+","")),"WhatsApp"))</f>
        <v/>
      </c>
      <c r="M364" s="60">
        <f>IF(BC364="","",HYPERLINK(IF(LEFT(BC364,4)="http",BC364,"https://www.instagram.com/"&amp;SUBSTITUTE(SUBSTITUTE(BC364,"@","")," ","")),BC364))</f>
        <v/>
      </c>
      <c r="N364" s="60">
        <f>IF(C364="","",IFERROR(INDEX('Saisie'!$D$5:$D$2004,_xlfn.MINIFS('Saisie'!$AS$5:$AS$2004,'Saisie'!$C$5:$C$2004,C364,'Saisie'!$AU$5:$AU$2004,1)-4),IFERROR(INDEX('Saisie'!$D$5:$D$2004,_xlfn.MINIFS('Saisie'!$AS$5:$AS$2004,'Saisie'!$C$5:$C$2004,C364,'Saisie'!$D$5:$D$2004,"&lt;&gt;")-4),"")))</f>
        <v/>
      </c>
      <c r="O364" s="60">
        <f>IF(C364="","",COUNTIFS('Saisie'!$C$5:$C$2004,C364,'Saisie'!$AU$5:$AU$2004,1))</f>
        <v/>
      </c>
      <c r="P364" s="60">
        <f>IF(C364="","",COUNTIFS('Saisie'!$C$5:$C$2004,C364,'Saisie'!$AV$5:$AV$2004,1))</f>
        <v/>
      </c>
      <c r="Q364" s="106">
        <f>IF(C364="","",IFERROR(1/(1/_xlfn.MAXIFS('Saisie'!$A$5:$A$2004,'Saisie'!$C$5:$C$2004,C364)),""))</f>
        <v/>
      </c>
      <c r="R364" s="61">
        <f>IF(C364="","",IF(Q364="","",TODAY()-Q364))</f>
        <v/>
      </c>
      <c r="S364" s="60">
        <f>IF(C364="","",IFERROR(INDEX('Saisie'!$R$5:$R$2004,_xlfn.MAXIFS('Saisie'!$AS$5:$AS$2004,'Saisie'!$C$5:$C$2004,C364,'Saisie'!$R$5:$R$2004,"&lt;&gt;")-4),""))</f>
        <v/>
      </c>
      <c r="T364" s="60">
        <f>IF(C364="","",IFERROR(INDEX('Saisie'!$S$5:$S$2004,_xlfn.MAXIFS('Saisie'!$AS$5:$AS$2004,'Saisie'!$C$5:$C$2004,C364,'Saisie'!$S$5:$S$2004,"&lt;&gt;")-4),""))</f>
        <v/>
      </c>
      <c r="U364" s="60">
        <f>IF(C364="","",IFERROR(INDEX('Saisie'!$T$5:$T$2004,_xlfn.MAXIFS('Saisie'!$AS$5:$AS$2004,'Saisie'!$C$5:$C$2004,C364,'Saisie'!$T$5:$T$2004,"&lt;&gt;")-4),""))</f>
        <v/>
      </c>
      <c r="V364" s="60">
        <f>IF(C364="","",IFERROR(INDEX('Saisie'!$V$5:$V$2004,_xlfn.MAXIFS('Saisie'!$AS$5:$AS$2004,'Saisie'!$C$5:$C$2004,C364,'Saisie'!$V$5:$V$2004,"&lt;&gt;")-4),""))</f>
        <v/>
      </c>
      <c r="W364" s="60">
        <f>IF(C364="","",IFERROR(INDEX('Saisie'!$Z$5:$Z$2004,_xlfn.MAXIFS('Saisie'!$AS$5:$AS$2004,'Saisie'!$C$5:$C$2004,C364,'Saisie'!$Z$5:$Z$2004,"&lt;&gt;")-4),""))</f>
        <v/>
      </c>
      <c r="X364" s="60">
        <f>IF(C364="","",IFERROR(INDEX('Saisie'!$AA$5:$AA$2004,_xlfn.MAXIFS('Saisie'!$AS$5:$AS$2004,'Saisie'!$C$5:$C$2004,C364,'Saisie'!$AA$5:$AA$2004,"&lt;&gt;")-4),""))</f>
        <v/>
      </c>
      <c r="Y364" s="60">
        <f>IF(C364="","",IFERROR(INDEX('Saisie'!$AB$5:$AB$2004,_xlfn.MAXIFS('Saisie'!$AS$5:$AS$2004,'Saisie'!$C$5:$C$2004,C364,'Saisie'!$AB$5:$AB$2004,"&lt;&gt;")-4),""))</f>
        <v/>
      </c>
      <c r="Z364" s="60">
        <f>IF(C364="","",IFERROR(INDEX('Saisie'!$AC$5:$AC$2004,_xlfn.MAXIFS('Saisie'!$AS$5:$AS$2004,'Saisie'!$C$5:$C$2004,C364,'Saisie'!$AC$5:$AC$2004,"&lt;&gt;")-4),""))</f>
        <v/>
      </c>
      <c r="AA364" s="106">
        <f>IF(C364="","",IFERROR(INDEX('Saisie'!$AD$5:$AD$2004,_xlfn.MAXIFS('Saisie'!$AS$5:$AS$2004,'Saisie'!$C$5:$C$2004,C364,'Saisie'!$AD$5:$AD$2004,"&lt;&gt;")-4),""))</f>
        <v/>
      </c>
      <c r="AB364" s="60">
        <f>IF(C364="","",IFERROR(INDEX('Saisie'!$AE$5:$AE$2004,_xlfn.MAXIFS('Saisie'!$AS$5:$AS$2004,'Saisie'!$C$5:$C$2004,C364,'Saisie'!$AE$5:$AE$2004,"&lt;&gt;")-4),""))</f>
        <v/>
      </c>
      <c r="AC364" s="60">
        <f>IF(C364="","",IFERROR(INDEX('Saisie'!$AF$5:$AF$2004,_xlfn.MAXIFS('Saisie'!$AS$5:$AS$2004,'Saisie'!$C$5:$C$2004,C364,'Saisie'!$AF$5:$AF$2004,"&lt;&gt;")-4),""))</f>
        <v/>
      </c>
      <c r="AD364" s="108">
        <f>IF(C364="","",IFERROR(INDEX('Saisie'!$AG$5:$AG$2004,_xlfn.MAXIFS('Saisie'!$AS$5:$AS$2004,'Saisie'!$C$5:$C$2004,C364,'Saisie'!$AG$5:$AG$2004,"&lt;&gt;")-4),""))</f>
        <v/>
      </c>
      <c r="AE364" s="60">
        <f>IF(C364="","",IFERROR(INDEX('Saisie'!$AH$5:$AH$2004,_xlfn.MAXIFS('Saisie'!$AS$5:$AS$2004,'Saisie'!$C$5:$C$2004,C364,'Saisie'!$AH$5:$AH$2004,"&lt;&gt;")-4),""))</f>
        <v/>
      </c>
      <c r="AF364" s="60">
        <f>IF(C364="","",IFERROR(INDEX('Saisie'!$AI$5:$AI$2004,_xlfn.MAXIFS('Saisie'!$AS$5:$AS$2004,'Saisie'!$C$5:$C$2004,C364,'Saisie'!$AI$5:$AI$2004,"&lt;&gt;")-4),""))</f>
        <v/>
      </c>
      <c r="AG364" s="60">
        <f>IF(C364="","",IFERROR(INDEX('Saisie'!$AJ$5:$AJ$2004,_xlfn.MAXIFS('Saisie'!$AS$5:$AS$2004,'Saisie'!$C$5:$C$2004,C364,'Saisie'!$AJ$5:$AJ$2004,"&lt;&gt;")-4),""))</f>
        <v/>
      </c>
      <c r="AH364" s="60">
        <f>IF(C364="","",IFERROR(INDEX('Saisie'!$AK$5:$AK$2004,_xlfn.MAXIFS('Saisie'!$AS$5:$AS$2004,'Saisie'!$C$5:$C$2004,C364,'Saisie'!$AK$5:$AK$2004,"&lt;&gt;")-4),""))</f>
        <v/>
      </c>
      <c r="AI364" s="60">
        <f>IF(C364="","",IFERROR(INDEX('Saisie'!$AN$5:$AN$2004,_xlfn.MAXIFS('Saisie'!$AS$5:$AS$2004,'Saisie'!$C$5:$C$2004,C364,'Saisie'!$AN$5:$AN$2004,"&lt;&gt;")-4),""))</f>
        <v/>
      </c>
      <c r="AJ364" s="60">
        <f>IF(C364="","",IFERROR(INDEX('Saisie'!$AO$5:$AO$2004,_xlfn.MAXIFS('Saisie'!$AS$5:$AS$2004,'Saisie'!$C$5:$C$2004,C364,'Saisie'!$AO$5:$AO$2004,"&lt;&gt;")-4),""))</f>
        <v/>
      </c>
      <c r="AK364" s="60">
        <f>IF(C364="","",IFERROR(INDEX('Saisie'!$AP$5:$AP$2004,_xlfn.MAXIFS('Saisie'!$AS$5:$AS$2004,'Saisie'!$C$5:$C$2004,C364,'Saisie'!$AP$5:$AP$2004,"&lt;&gt;")-4),""))</f>
        <v/>
      </c>
      <c r="AL364" s="60">
        <f>IF(C364="","",IFERROR(INDEX('Saisie'!$AQ$5:$AQ$2004,_xlfn.MAXIFS('Saisie'!$AS$5:$AS$2004,'Saisie'!$C$5:$C$2004,C364,'Saisie'!$AQ$5:$AQ$2004,"&lt;&gt;")-4),""))</f>
        <v/>
      </c>
      <c r="AM364" s="60">
        <f>IF(C364="","",((AI364="Oui")+(AJ364="Oui")+(AK364="Oui")+OR(AL364="Immédiat",AL364="&lt; 1 mois"))&amp;"/4")</f>
        <v/>
      </c>
      <c r="AN364" s="60">
        <f>IF(C364="","",IFERROR(INDEX('Saisie'!$AL$5:$AL$2004,_xlfn.MAXIFS('Saisie'!$AS$5:$AS$2004,'Saisie'!$C$5:$C$2004,C364,'Saisie'!$AL$5:$AL$2004,"&lt;&gt;")-4),""))</f>
        <v/>
      </c>
      <c r="AO364" s="62">
        <f>IF(C364="","",IF(IFERROR(INDEX('Saisie'!$AM$5:$AM$2004,_xlfn.MAXIFS('Saisie'!$AS$5:$AS$2004,'Saisie'!$C$5:$C$2004,C364,'Saisie'!$AM$5:$AM$2004,"&lt;&gt;")-4),"")&lt;&gt;"",IFERROR(INDEX('Saisie'!$AM$5:$AM$2004,_xlfn.MAXIFS('Saisie'!$AS$5:$AS$2004,'Saisie'!$C$5:$C$2004,C364,'Saisie'!$AM$5:$AM$2004,"&lt;&gt;")-4),""),IFERROR(INDEX('Paramètres'!$S$6:$S$15,MATCH(AN364,'Paramètres'!$Q$6:$Q$15,0)),"")))</f>
        <v/>
      </c>
      <c r="AP364" s="62">
        <f>IF(C364="","",IFERROR(INDEX('Saisie'!$AW$5:$AW$2004,_xlfn.MAXIFS('Saisie'!$AS$5:$AS$2004,'Saisie'!$C$5:$C$2004,C364,'Saisie'!$E$5:$E$2004,"Proposition envoyée")-4),""))</f>
        <v/>
      </c>
      <c r="AQ364" s="106">
        <f>IF(C364="","",IFERROR(1/(1/_xlfn.MAXIFS('Saisie'!$A$5:$A$2004,'Saisie'!$C$5:$C$2004,C364,'Saisie'!$E$5:$E$2004,"Proposition envoyée")),""))</f>
        <v/>
      </c>
      <c r="AR364" s="106">
        <f>IF(C364="","",IF(AQ364="","",AQ364+'Paramètres'!$B$26))</f>
        <v/>
      </c>
      <c r="AS364" s="62">
        <f>IF(OR(C364="",D364="Gagné",D364="Perdu"),0,N(AP364)*IFERROR(INDEX('Paramètres'!$G$6:$G$13,MATCH(D364,'Paramètres'!$F$6:$F$13,0)),0))</f>
        <v/>
      </c>
      <c r="AT364" s="106">
        <f>IF(C364="","",IFERROR(1/(1/_xlfn.MINIFS('Saisie'!$A$5:$A$2004,'Saisie'!$C$5:$C$2004,C364,'Saisie'!$E$5:$E$2004,"Signature")),""))</f>
        <v/>
      </c>
      <c r="AU364" s="60">
        <f>IF(C364="","",IF(OR(AT364="",B364=""),"",AT364-B364))</f>
        <v/>
      </c>
      <c r="AV364" s="60">
        <f>IF(C364="","",IFERROR(INDEX('Saisie'!$L$5:$L$2004,_xlfn.MAXIFS('Saisie'!$AS$5:$AS$2004,'Saisie'!$C$5:$C$2004,C364,'Saisie'!$L$5:$L$2004,"&lt;&gt;")-4),""))</f>
        <v/>
      </c>
      <c r="AW364" s="106">
        <f>IF(C364="","",IF(D364&lt;&gt;"Perdu","",IFERROR(1/(1/_xlfn.MAXIFS('Saisie'!$A$5:$A$2004,'Saisie'!$C$5:$C$2004,C364,'Saisie'!$E$5:$E$2004,"Perdu")),"")))</f>
        <v/>
      </c>
      <c r="AX364" s="106">
        <f>IF(C364="","",IF(AW364="","",AW364+'Paramètres'!$B$28))</f>
        <v/>
      </c>
      <c r="AY364" s="60">
        <f>IF(C364="","",SUMIFS('Saisie'!$H$5:$H$2004,'Saisie'!$C$5:$C$2004,C364))</f>
        <v/>
      </c>
      <c r="AZ364" s="60">
        <f>IF(C364="","",IFERROR(INDEX('Paramètres'!$W$6:$W$20,MATCH(S364,'Paramètres'!$V$6:$V$20,0))&amp;"",""))</f>
        <v/>
      </c>
      <c r="BA364" s="60">
        <f>IF(C364="","",MAX(1,_xlfn.MAXIFS('Saisie'!$AT$5:$AT$2004,'Saisie'!$C$5:$C$2004,C364)))</f>
        <v/>
      </c>
      <c r="BB364" s="60">
        <f>IF(C364="","",IFERROR(INDEX('Saisie'!$X$5:$X$2004,_xlfn.MAXIFS('Saisie'!$AS$5:$AS$2004,'Saisie'!$C$5:$C$2004,C364,'Saisie'!$X$5:$X$2004,"&lt;&gt;")-4),""))</f>
        <v/>
      </c>
      <c r="BC364" s="60">
        <f>IF(C364="","",IFERROR(INDEX('Saisie'!$Y$5:$Y$2004,_xlfn.MAXIFS('Saisie'!$AS$5:$AS$2004,'Saisie'!$C$5:$C$2004,C364,'Saisie'!$Y$5:$Y$2004,"&lt;&gt;")-4),""))</f>
        <v/>
      </c>
      <c r="BD364" s="106">
        <f>IF(C364="","",IFERROR(1/(1/_xlfn.MINIFS('Saisie'!$A$5:$A$2004,'Saisie'!$C$5:$C$2004,C364,'Saisie'!$AT$5:$AT$2004,"&gt;=2")),""))</f>
        <v/>
      </c>
      <c r="BE364" s="106">
        <f>IF(C364="","",IFERROR(1/(1/_xlfn.MINIFS('Saisie'!$A$5:$A$2004,'Saisie'!$C$5:$C$2004,C364,'Saisie'!$AT$5:$AT$2004,"&gt;=3")),""))</f>
        <v/>
      </c>
      <c r="BF364" s="106">
        <f>IF(C364="","",IFERROR(1/(1/_xlfn.MINIFS('Saisie'!$A$5:$A$2004,'Saisie'!$C$5:$C$2004,C364,'Saisie'!$AT$5:$AT$2004,"&gt;=4")),""))</f>
        <v/>
      </c>
      <c r="BG364" s="106">
        <f>IF(C364="","",IFERROR(1/(1/_xlfn.MINIFS('Saisie'!$A$5:$A$2004,'Saisie'!$C$5:$C$2004,C364,'Saisie'!$AT$5:$AT$2004,"&gt;=5")),""))</f>
        <v/>
      </c>
      <c r="BH364" s="106">
        <f>IF(C364="","",IFERROR(1/(1/_xlfn.MINIFS('Saisie'!$A$5:$A$2004,'Saisie'!$C$5:$C$2004,C364,'Saisie'!$AT$5:$AT$2004,"&gt;=6")),""))</f>
        <v/>
      </c>
      <c r="BI364" s="106">
        <f>IF(C364="","",IFERROR(1/(1/_xlfn.MINIFS('Saisie'!$A$5:$A$2004,'Saisie'!$C$5:$C$2004,C364,'Saisie'!$AT$5:$AT$2004,"&gt;=7")),""))</f>
        <v/>
      </c>
      <c r="BJ364" s="60">
        <f>IF(OR(BD364="",B364=""),"",BD364-B364)</f>
        <v/>
      </c>
      <c r="BK364" s="60">
        <f>IF(OR(BE364="",BD364=""),"",BE364-BD364)</f>
        <v/>
      </c>
      <c r="BL364" s="60">
        <f>IF(OR(BF364="",BE364=""),"",BF364-BE364)</f>
        <v/>
      </c>
      <c r="BM364" s="60">
        <f>IF(OR(BG364="",BF364=""),"",BG364-BF364)</f>
        <v/>
      </c>
      <c r="BN364" s="60">
        <f>IF(OR(BH364="",BG364=""),"",BH364-BG364)</f>
        <v/>
      </c>
      <c r="BO364" s="60">
        <f>IF(OR(BI364="",BH364=""),"",BI364-BH364)</f>
        <v/>
      </c>
      <c r="BP364" s="60">
        <f>IF(C364="","",_xlfn.MAXIFS('Saisie'!$AS$5:$AS$2004,'Saisie'!$C$5:$C$2004,C364,'Saisie'!$J$5:$J$2004,"&lt;&gt;"))</f>
        <v/>
      </c>
      <c r="BQ364" s="60">
        <f>IF(C364="","",_xlfn.MAXIFS('Saisie'!$AS$5:$AS$2004,'Saisie'!$C$5:$C$2004,C364))</f>
        <v/>
      </c>
      <c r="BR364" s="60">
        <f>IF(C364="","",_xlfn.MAXIFS('Saisie'!$AS$5:$AS$2004,'Saisie'!$C$5:$C$2004,C364,'Saisie'!$E$5:$E$2004,"Perdu"))</f>
        <v/>
      </c>
      <c r="BS364" s="60">
        <f>IF(C364="","",_xlfn.MAXIFS('Saisie'!$AS$5:$AS$2004,'Saisie'!$C$5:$C$2004,C364,'Saisie'!$AT$5:$AT$2004,"&gt;0"))</f>
        <v/>
      </c>
      <c r="BT364" s="109">
        <f>IF(AND(C364&lt;&gt;"",OR(D364="Nouveau",D364="Contacté",D364="Qualifié"),OR(G364="",N(G364)&lt;=TODAY()),NOT(AND(O364&gt;='Paramètres'!$B$21,P364=0))),E364+360/10000,"")</f>
        <v/>
      </c>
      <c r="BU364" s="60">
        <f>IF(AND(G364&lt;&gt;"",N(G364)&lt;=TODAY()),MAX($BU$4:BU363)+1,"")</f>
        <v/>
      </c>
      <c r="BV364" s="60">
        <f>IF(AND(F364&lt;&gt;"",F364&lt;&gt;"Relance en retard"),MAX($BV$4:BV363)+1,"")</f>
        <v/>
      </c>
      <c r="BW364" s="60">
        <f>IF(C364="","",IF(AND(B364&gt;='Tableau de bord'!$R$4,B364&lt;='Tableau de bord'!$S$4,OR('Tableau de bord'!$G$4="Tous",N364='Tableau de bord'!$G$4)),1,0))</f>
        <v/>
      </c>
      <c r="BX364" s="60">
        <f>IF(AND(C364&lt;&gt;"",N(BA364)=7),MAX($BX$4:BX363)+1,"")</f>
        <v/>
      </c>
    </row>
    <row r="365">
      <c r="A365" s="60">
        <f>IF(C365="","","P-"&amp;TEXT(361,"000"))</f>
        <v/>
      </c>
      <c r="B365" s="106">
        <f>IF(C365="","",IFERROR(1/(1/_xlfn.MINIFS('Saisie'!$A$5:$A$2004,'Saisie'!$C$5:$C$2004,C365)),""))</f>
        <v/>
      </c>
      <c r="C365" s="60">
        <f>IFERROR(INDEX('Saisie'!$C$5:$C$2004,MATCH(361,'Saisie'!$AX$5:$AX$2004,0)),"")</f>
        <v/>
      </c>
      <c r="D365" s="60">
        <f>IF(C365="","",IF(AND(BR365&gt;0,BR365&gt;BS365,BA365&lt;7),"Perdu",INDEX('Paramètres'!$F$6:$F$13,BA365)))</f>
        <v/>
      </c>
      <c r="E365" s="61">
        <f>IF(C365="","",MIN(100,(Z365="Oui")*'Paramètres'!$B$38+(AB365="Régulière")*'Paramètres'!$B$39+IF(AND(N(AA365)&gt;0,TODAY()-N(AA365)&lt;=30),'Paramètres'!$B$40,0)+(W365="")*'Paramètres'!$B$41+(AC365="Absente")*'Paramètres'!$B$42+(AC365="Faible")*'Paramètres'!$B$43+IF(AND(N(AD365)&gt;0,N(AD365)&lt;4),'Paramètres'!$B$44,0)+(AF365="Moyenne")*'Paramètres'!$B$45+(AF365="Grande")*'Paramètres'!$B$46+(Y365&lt;&gt;"")*'Paramètres'!$B$47))</f>
        <v/>
      </c>
      <c r="F365" s="60">
        <f>IF(C365="","",IF(D365="Gagné","",IF(D365="Perdu",IF(AND(AX365&lt;&gt;"",AX365&lt;=TODAY()),"À recontacter (perdu)",""),IF(AND(O365&gt;='Paramètres'!$B$21,P365=0),"Stop : "&amp;'Paramètres'!$B$21&amp;" tentatives sans réponse",IF(AND(D365="Proposition",AR365&lt;&gt;"",TODAY()&gt;N(AR365)),"Proposition expirée",IF(AND(D365="Proposition",N(R365)&gt;='Paramètres'!$B$25),"Proposition sans réponse",IF(AND(G365&lt;&gt;"",N(G365)&lt;TODAY()),"Relance en retard",IF(N(R365)&gt;='Paramètres'!$B$24,"Sans action depuis "&amp;R365&amp;" j",""))))))))</f>
        <v/>
      </c>
      <c r="G365" s="106">
        <f>IF(OR(C365="",D365="Gagné",D365="Perdu"),"",IF(AND(BP365&gt;0,BP365=BQ365),INDEX('Saisie'!$J$5:$J$2004,BP365-4),IF(OR(O365=0,AND(O365&gt;='Paramètres'!$B$21,P365=0)),"",Q365+IF(O365&lt;=1,'Paramètres'!$B$18,IF(O365=2,'Paramètres'!$B$19,'Paramètres'!$B$20)))))</f>
        <v/>
      </c>
      <c r="H365" s="107">
        <f>IF(OR(G365="",BP365&lt;&gt;BQ365),"",IF(INDEX('Saisie'!$K$5:$K$2004,BP365-4)="","",INDEX('Saisie'!$K$5:$K$2004,BP365-4)))</f>
        <v/>
      </c>
      <c r="I365" s="60">
        <f>IF(C365="","",IF(OR(D365="Gagné",D365="Perdu"),"",IFERROR(INDEX('Saisie'!$I$5:$I$2004,_xlfn.MAXIFS('Saisie'!$AS$5:$AS$2004,'Saisie'!$C$5:$C$2004,C365,'Saisie'!$I$5:$I$2004,"&lt;&gt;")-4),"")))</f>
        <v/>
      </c>
      <c r="J365" s="60">
        <f>IF(C365="","",IFERROR(INDEX('Saisie'!$U$5:$U$2004,_xlfn.MAXIFS('Saisie'!$AS$5:$AS$2004,'Saisie'!$C$5:$C$2004,C365,'Saisie'!$U$5:$U$2004,"&lt;&gt;")-4),""))</f>
        <v/>
      </c>
      <c r="K365" s="60">
        <f>IF(C365="","",IFERROR(INDEX('Saisie'!$W$5:$W$2004,_xlfn.MAXIFS('Saisie'!$AS$5:$AS$2004,'Saisie'!$C$5:$C$2004,C365,'Saisie'!$W$5:$W$2004,"&lt;&gt;")-4),""))</f>
        <v/>
      </c>
      <c r="L365" s="60">
        <f>IF(IF(BB365&lt;&gt;"",BB365,K365)="","",HYPERLINK("https://wa.me/"&amp;IF(LEFT(SUBSTITUTE(SUBSTITUTE(SUBSTITUTE(IF(BB365&lt;&gt;"",BB365,K365)," ",""),".",""),"+",""),1)="0",'Paramètres'!$B$35&amp;MID(SUBSTITUTE(SUBSTITUTE(SUBSTITUTE(IF(BB365&lt;&gt;"",BB365,K365)," ",""),".",""),"+",""),2,20),SUBSTITUTE(SUBSTITUTE(SUBSTITUTE(IF(BB365&lt;&gt;"",BB365,K365)," ",""),".",""),"+","")),"WhatsApp"))</f>
        <v/>
      </c>
      <c r="M365" s="60">
        <f>IF(BC365="","",HYPERLINK(IF(LEFT(BC365,4)="http",BC365,"https://www.instagram.com/"&amp;SUBSTITUTE(SUBSTITUTE(BC365,"@","")," ","")),BC365))</f>
        <v/>
      </c>
      <c r="N365" s="60">
        <f>IF(C365="","",IFERROR(INDEX('Saisie'!$D$5:$D$2004,_xlfn.MINIFS('Saisie'!$AS$5:$AS$2004,'Saisie'!$C$5:$C$2004,C365,'Saisie'!$AU$5:$AU$2004,1)-4),IFERROR(INDEX('Saisie'!$D$5:$D$2004,_xlfn.MINIFS('Saisie'!$AS$5:$AS$2004,'Saisie'!$C$5:$C$2004,C365,'Saisie'!$D$5:$D$2004,"&lt;&gt;")-4),"")))</f>
        <v/>
      </c>
      <c r="O365" s="60">
        <f>IF(C365="","",COUNTIFS('Saisie'!$C$5:$C$2004,C365,'Saisie'!$AU$5:$AU$2004,1))</f>
        <v/>
      </c>
      <c r="P365" s="60">
        <f>IF(C365="","",COUNTIFS('Saisie'!$C$5:$C$2004,C365,'Saisie'!$AV$5:$AV$2004,1))</f>
        <v/>
      </c>
      <c r="Q365" s="106">
        <f>IF(C365="","",IFERROR(1/(1/_xlfn.MAXIFS('Saisie'!$A$5:$A$2004,'Saisie'!$C$5:$C$2004,C365)),""))</f>
        <v/>
      </c>
      <c r="R365" s="61">
        <f>IF(C365="","",IF(Q365="","",TODAY()-Q365))</f>
        <v/>
      </c>
      <c r="S365" s="60">
        <f>IF(C365="","",IFERROR(INDEX('Saisie'!$R$5:$R$2004,_xlfn.MAXIFS('Saisie'!$AS$5:$AS$2004,'Saisie'!$C$5:$C$2004,C365,'Saisie'!$R$5:$R$2004,"&lt;&gt;")-4),""))</f>
        <v/>
      </c>
      <c r="T365" s="60">
        <f>IF(C365="","",IFERROR(INDEX('Saisie'!$S$5:$S$2004,_xlfn.MAXIFS('Saisie'!$AS$5:$AS$2004,'Saisie'!$C$5:$C$2004,C365,'Saisie'!$S$5:$S$2004,"&lt;&gt;")-4),""))</f>
        <v/>
      </c>
      <c r="U365" s="60">
        <f>IF(C365="","",IFERROR(INDEX('Saisie'!$T$5:$T$2004,_xlfn.MAXIFS('Saisie'!$AS$5:$AS$2004,'Saisie'!$C$5:$C$2004,C365,'Saisie'!$T$5:$T$2004,"&lt;&gt;")-4),""))</f>
        <v/>
      </c>
      <c r="V365" s="60">
        <f>IF(C365="","",IFERROR(INDEX('Saisie'!$V$5:$V$2004,_xlfn.MAXIFS('Saisie'!$AS$5:$AS$2004,'Saisie'!$C$5:$C$2004,C365,'Saisie'!$V$5:$V$2004,"&lt;&gt;")-4),""))</f>
        <v/>
      </c>
      <c r="W365" s="60">
        <f>IF(C365="","",IFERROR(INDEX('Saisie'!$Z$5:$Z$2004,_xlfn.MAXIFS('Saisie'!$AS$5:$AS$2004,'Saisie'!$C$5:$C$2004,C365,'Saisie'!$Z$5:$Z$2004,"&lt;&gt;")-4),""))</f>
        <v/>
      </c>
      <c r="X365" s="60">
        <f>IF(C365="","",IFERROR(INDEX('Saisie'!$AA$5:$AA$2004,_xlfn.MAXIFS('Saisie'!$AS$5:$AS$2004,'Saisie'!$C$5:$C$2004,C365,'Saisie'!$AA$5:$AA$2004,"&lt;&gt;")-4),""))</f>
        <v/>
      </c>
      <c r="Y365" s="60">
        <f>IF(C365="","",IFERROR(INDEX('Saisie'!$AB$5:$AB$2004,_xlfn.MAXIFS('Saisie'!$AS$5:$AS$2004,'Saisie'!$C$5:$C$2004,C365,'Saisie'!$AB$5:$AB$2004,"&lt;&gt;")-4),""))</f>
        <v/>
      </c>
      <c r="Z365" s="60">
        <f>IF(C365="","",IFERROR(INDEX('Saisie'!$AC$5:$AC$2004,_xlfn.MAXIFS('Saisie'!$AS$5:$AS$2004,'Saisie'!$C$5:$C$2004,C365,'Saisie'!$AC$5:$AC$2004,"&lt;&gt;")-4),""))</f>
        <v/>
      </c>
      <c r="AA365" s="106">
        <f>IF(C365="","",IFERROR(INDEX('Saisie'!$AD$5:$AD$2004,_xlfn.MAXIFS('Saisie'!$AS$5:$AS$2004,'Saisie'!$C$5:$C$2004,C365,'Saisie'!$AD$5:$AD$2004,"&lt;&gt;")-4),""))</f>
        <v/>
      </c>
      <c r="AB365" s="60">
        <f>IF(C365="","",IFERROR(INDEX('Saisie'!$AE$5:$AE$2004,_xlfn.MAXIFS('Saisie'!$AS$5:$AS$2004,'Saisie'!$C$5:$C$2004,C365,'Saisie'!$AE$5:$AE$2004,"&lt;&gt;")-4),""))</f>
        <v/>
      </c>
      <c r="AC365" s="60">
        <f>IF(C365="","",IFERROR(INDEX('Saisie'!$AF$5:$AF$2004,_xlfn.MAXIFS('Saisie'!$AS$5:$AS$2004,'Saisie'!$C$5:$C$2004,C365,'Saisie'!$AF$5:$AF$2004,"&lt;&gt;")-4),""))</f>
        <v/>
      </c>
      <c r="AD365" s="108">
        <f>IF(C365="","",IFERROR(INDEX('Saisie'!$AG$5:$AG$2004,_xlfn.MAXIFS('Saisie'!$AS$5:$AS$2004,'Saisie'!$C$5:$C$2004,C365,'Saisie'!$AG$5:$AG$2004,"&lt;&gt;")-4),""))</f>
        <v/>
      </c>
      <c r="AE365" s="60">
        <f>IF(C365="","",IFERROR(INDEX('Saisie'!$AH$5:$AH$2004,_xlfn.MAXIFS('Saisie'!$AS$5:$AS$2004,'Saisie'!$C$5:$C$2004,C365,'Saisie'!$AH$5:$AH$2004,"&lt;&gt;")-4),""))</f>
        <v/>
      </c>
      <c r="AF365" s="60">
        <f>IF(C365="","",IFERROR(INDEX('Saisie'!$AI$5:$AI$2004,_xlfn.MAXIFS('Saisie'!$AS$5:$AS$2004,'Saisie'!$C$5:$C$2004,C365,'Saisie'!$AI$5:$AI$2004,"&lt;&gt;")-4),""))</f>
        <v/>
      </c>
      <c r="AG365" s="60">
        <f>IF(C365="","",IFERROR(INDEX('Saisie'!$AJ$5:$AJ$2004,_xlfn.MAXIFS('Saisie'!$AS$5:$AS$2004,'Saisie'!$C$5:$C$2004,C365,'Saisie'!$AJ$5:$AJ$2004,"&lt;&gt;")-4),""))</f>
        <v/>
      </c>
      <c r="AH365" s="60">
        <f>IF(C365="","",IFERROR(INDEX('Saisie'!$AK$5:$AK$2004,_xlfn.MAXIFS('Saisie'!$AS$5:$AS$2004,'Saisie'!$C$5:$C$2004,C365,'Saisie'!$AK$5:$AK$2004,"&lt;&gt;")-4),""))</f>
        <v/>
      </c>
      <c r="AI365" s="60">
        <f>IF(C365="","",IFERROR(INDEX('Saisie'!$AN$5:$AN$2004,_xlfn.MAXIFS('Saisie'!$AS$5:$AS$2004,'Saisie'!$C$5:$C$2004,C365,'Saisie'!$AN$5:$AN$2004,"&lt;&gt;")-4),""))</f>
        <v/>
      </c>
      <c r="AJ365" s="60">
        <f>IF(C365="","",IFERROR(INDEX('Saisie'!$AO$5:$AO$2004,_xlfn.MAXIFS('Saisie'!$AS$5:$AS$2004,'Saisie'!$C$5:$C$2004,C365,'Saisie'!$AO$5:$AO$2004,"&lt;&gt;")-4),""))</f>
        <v/>
      </c>
      <c r="AK365" s="60">
        <f>IF(C365="","",IFERROR(INDEX('Saisie'!$AP$5:$AP$2004,_xlfn.MAXIFS('Saisie'!$AS$5:$AS$2004,'Saisie'!$C$5:$C$2004,C365,'Saisie'!$AP$5:$AP$2004,"&lt;&gt;")-4),""))</f>
        <v/>
      </c>
      <c r="AL365" s="60">
        <f>IF(C365="","",IFERROR(INDEX('Saisie'!$AQ$5:$AQ$2004,_xlfn.MAXIFS('Saisie'!$AS$5:$AS$2004,'Saisie'!$C$5:$C$2004,C365,'Saisie'!$AQ$5:$AQ$2004,"&lt;&gt;")-4),""))</f>
        <v/>
      </c>
      <c r="AM365" s="60">
        <f>IF(C365="","",((AI365="Oui")+(AJ365="Oui")+(AK365="Oui")+OR(AL365="Immédiat",AL365="&lt; 1 mois"))&amp;"/4")</f>
        <v/>
      </c>
      <c r="AN365" s="60">
        <f>IF(C365="","",IFERROR(INDEX('Saisie'!$AL$5:$AL$2004,_xlfn.MAXIFS('Saisie'!$AS$5:$AS$2004,'Saisie'!$C$5:$C$2004,C365,'Saisie'!$AL$5:$AL$2004,"&lt;&gt;")-4),""))</f>
        <v/>
      </c>
      <c r="AO365" s="62">
        <f>IF(C365="","",IF(IFERROR(INDEX('Saisie'!$AM$5:$AM$2004,_xlfn.MAXIFS('Saisie'!$AS$5:$AS$2004,'Saisie'!$C$5:$C$2004,C365,'Saisie'!$AM$5:$AM$2004,"&lt;&gt;")-4),"")&lt;&gt;"",IFERROR(INDEX('Saisie'!$AM$5:$AM$2004,_xlfn.MAXIFS('Saisie'!$AS$5:$AS$2004,'Saisie'!$C$5:$C$2004,C365,'Saisie'!$AM$5:$AM$2004,"&lt;&gt;")-4),""),IFERROR(INDEX('Paramètres'!$S$6:$S$15,MATCH(AN365,'Paramètres'!$Q$6:$Q$15,0)),"")))</f>
        <v/>
      </c>
      <c r="AP365" s="62">
        <f>IF(C365="","",IFERROR(INDEX('Saisie'!$AW$5:$AW$2004,_xlfn.MAXIFS('Saisie'!$AS$5:$AS$2004,'Saisie'!$C$5:$C$2004,C365,'Saisie'!$E$5:$E$2004,"Proposition envoyée")-4),""))</f>
        <v/>
      </c>
      <c r="AQ365" s="106">
        <f>IF(C365="","",IFERROR(1/(1/_xlfn.MAXIFS('Saisie'!$A$5:$A$2004,'Saisie'!$C$5:$C$2004,C365,'Saisie'!$E$5:$E$2004,"Proposition envoyée")),""))</f>
        <v/>
      </c>
      <c r="AR365" s="106">
        <f>IF(C365="","",IF(AQ365="","",AQ365+'Paramètres'!$B$26))</f>
        <v/>
      </c>
      <c r="AS365" s="62">
        <f>IF(OR(C365="",D365="Gagné",D365="Perdu"),0,N(AP365)*IFERROR(INDEX('Paramètres'!$G$6:$G$13,MATCH(D365,'Paramètres'!$F$6:$F$13,0)),0))</f>
        <v/>
      </c>
      <c r="AT365" s="106">
        <f>IF(C365="","",IFERROR(1/(1/_xlfn.MINIFS('Saisie'!$A$5:$A$2004,'Saisie'!$C$5:$C$2004,C365,'Saisie'!$E$5:$E$2004,"Signature")),""))</f>
        <v/>
      </c>
      <c r="AU365" s="60">
        <f>IF(C365="","",IF(OR(AT365="",B365=""),"",AT365-B365))</f>
        <v/>
      </c>
      <c r="AV365" s="60">
        <f>IF(C365="","",IFERROR(INDEX('Saisie'!$L$5:$L$2004,_xlfn.MAXIFS('Saisie'!$AS$5:$AS$2004,'Saisie'!$C$5:$C$2004,C365,'Saisie'!$L$5:$L$2004,"&lt;&gt;")-4),""))</f>
        <v/>
      </c>
      <c r="AW365" s="106">
        <f>IF(C365="","",IF(D365&lt;&gt;"Perdu","",IFERROR(1/(1/_xlfn.MAXIFS('Saisie'!$A$5:$A$2004,'Saisie'!$C$5:$C$2004,C365,'Saisie'!$E$5:$E$2004,"Perdu")),"")))</f>
        <v/>
      </c>
      <c r="AX365" s="106">
        <f>IF(C365="","",IF(AW365="","",AW365+'Paramètres'!$B$28))</f>
        <v/>
      </c>
      <c r="AY365" s="60">
        <f>IF(C365="","",SUMIFS('Saisie'!$H$5:$H$2004,'Saisie'!$C$5:$C$2004,C365))</f>
        <v/>
      </c>
      <c r="AZ365" s="60">
        <f>IF(C365="","",IFERROR(INDEX('Paramètres'!$W$6:$W$20,MATCH(S365,'Paramètres'!$V$6:$V$20,0))&amp;"",""))</f>
        <v/>
      </c>
      <c r="BA365" s="60">
        <f>IF(C365="","",MAX(1,_xlfn.MAXIFS('Saisie'!$AT$5:$AT$2004,'Saisie'!$C$5:$C$2004,C365)))</f>
        <v/>
      </c>
      <c r="BB365" s="60">
        <f>IF(C365="","",IFERROR(INDEX('Saisie'!$X$5:$X$2004,_xlfn.MAXIFS('Saisie'!$AS$5:$AS$2004,'Saisie'!$C$5:$C$2004,C365,'Saisie'!$X$5:$X$2004,"&lt;&gt;")-4),""))</f>
        <v/>
      </c>
      <c r="BC365" s="60">
        <f>IF(C365="","",IFERROR(INDEX('Saisie'!$Y$5:$Y$2004,_xlfn.MAXIFS('Saisie'!$AS$5:$AS$2004,'Saisie'!$C$5:$C$2004,C365,'Saisie'!$Y$5:$Y$2004,"&lt;&gt;")-4),""))</f>
        <v/>
      </c>
      <c r="BD365" s="106">
        <f>IF(C365="","",IFERROR(1/(1/_xlfn.MINIFS('Saisie'!$A$5:$A$2004,'Saisie'!$C$5:$C$2004,C365,'Saisie'!$AT$5:$AT$2004,"&gt;=2")),""))</f>
        <v/>
      </c>
      <c r="BE365" s="106">
        <f>IF(C365="","",IFERROR(1/(1/_xlfn.MINIFS('Saisie'!$A$5:$A$2004,'Saisie'!$C$5:$C$2004,C365,'Saisie'!$AT$5:$AT$2004,"&gt;=3")),""))</f>
        <v/>
      </c>
      <c r="BF365" s="106">
        <f>IF(C365="","",IFERROR(1/(1/_xlfn.MINIFS('Saisie'!$A$5:$A$2004,'Saisie'!$C$5:$C$2004,C365,'Saisie'!$AT$5:$AT$2004,"&gt;=4")),""))</f>
        <v/>
      </c>
      <c r="BG365" s="106">
        <f>IF(C365="","",IFERROR(1/(1/_xlfn.MINIFS('Saisie'!$A$5:$A$2004,'Saisie'!$C$5:$C$2004,C365,'Saisie'!$AT$5:$AT$2004,"&gt;=5")),""))</f>
        <v/>
      </c>
      <c r="BH365" s="106">
        <f>IF(C365="","",IFERROR(1/(1/_xlfn.MINIFS('Saisie'!$A$5:$A$2004,'Saisie'!$C$5:$C$2004,C365,'Saisie'!$AT$5:$AT$2004,"&gt;=6")),""))</f>
        <v/>
      </c>
      <c r="BI365" s="106">
        <f>IF(C365="","",IFERROR(1/(1/_xlfn.MINIFS('Saisie'!$A$5:$A$2004,'Saisie'!$C$5:$C$2004,C365,'Saisie'!$AT$5:$AT$2004,"&gt;=7")),""))</f>
        <v/>
      </c>
      <c r="BJ365" s="60">
        <f>IF(OR(BD365="",B365=""),"",BD365-B365)</f>
        <v/>
      </c>
      <c r="BK365" s="60">
        <f>IF(OR(BE365="",BD365=""),"",BE365-BD365)</f>
        <v/>
      </c>
      <c r="BL365" s="60">
        <f>IF(OR(BF365="",BE365=""),"",BF365-BE365)</f>
        <v/>
      </c>
      <c r="BM365" s="60">
        <f>IF(OR(BG365="",BF365=""),"",BG365-BF365)</f>
        <v/>
      </c>
      <c r="BN365" s="60">
        <f>IF(OR(BH365="",BG365=""),"",BH365-BG365)</f>
        <v/>
      </c>
      <c r="BO365" s="60">
        <f>IF(OR(BI365="",BH365=""),"",BI365-BH365)</f>
        <v/>
      </c>
      <c r="BP365" s="60">
        <f>IF(C365="","",_xlfn.MAXIFS('Saisie'!$AS$5:$AS$2004,'Saisie'!$C$5:$C$2004,C365,'Saisie'!$J$5:$J$2004,"&lt;&gt;"))</f>
        <v/>
      </c>
      <c r="BQ365" s="60">
        <f>IF(C365="","",_xlfn.MAXIFS('Saisie'!$AS$5:$AS$2004,'Saisie'!$C$5:$C$2004,C365))</f>
        <v/>
      </c>
      <c r="BR365" s="60">
        <f>IF(C365="","",_xlfn.MAXIFS('Saisie'!$AS$5:$AS$2004,'Saisie'!$C$5:$C$2004,C365,'Saisie'!$E$5:$E$2004,"Perdu"))</f>
        <v/>
      </c>
      <c r="BS365" s="60">
        <f>IF(C365="","",_xlfn.MAXIFS('Saisie'!$AS$5:$AS$2004,'Saisie'!$C$5:$C$2004,C365,'Saisie'!$AT$5:$AT$2004,"&gt;0"))</f>
        <v/>
      </c>
      <c r="BT365" s="109">
        <f>IF(AND(C365&lt;&gt;"",OR(D365="Nouveau",D365="Contacté",D365="Qualifié"),OR(G365="",N(G365)&lt;=TODAY()),NOT(AND(O365&gt;='Paramètres'!$B$21,P365=0))),E365+361/10000,"")</f>
        <v/>
      </c>
      <c r="BU365" s="60">
        <f>IF(AND(G365&lt;&gt;"",N(G365)&lt;=TODAY()),MAX($BU$4:BU364)+1,"")</f>
        <v/>
      </c>
      <c r="BV365" s="60">
        <f>IF(AND(F365&lt;&gt;"",F365&lt;&gt;"Relance en retard"),MAX($BV$4:BV364)+1,"")</f>
        <v/>
      </c>
      <c r="BW365" s="60">
        <f>IF(C365="","",IF(AND(B365&gt;='Tableau de bord'!$R$4,B365&lt;='Tableau de bord'!$S$4,OR('Tableau de bord'!$G$4="Tous",N365='Tableau de bord'!$G$4)),1,0))</f>
        <v/>
      </c>
      <c r="BX365" s="60">
        <f>IF(AND(C365&lt;&gt;"",N(BA365)=7),MAX($BX$4:BX364)+1,"")</f>
        <v/>
      </c>
    </row>
    <row r="366">
      <c r="A366" s="60">
        <f>IF(C366="","","P-"&amp;TEXT(362,"000"))</f>
        <v/>
      </c>
      <c r="B366" s="106">
        <f>IF(C366="","",IFERROR(1/(1/_xlfn.MINIFS('Saisie'!$A$5:$A$2004,'Saisie'!$C$5:$C$2004,C366)),""))</f>
        <v/>
      </c>
      <c r="C366" s="60">
        <f>IFERROR(INDEX('Saisie'!$C$5:$C$2004,MATCH(362,'Saisie'!$AX$5:$AX$2004,0)),"")</f>
        <v/>
      </c>
      <c r="D366" s="60">
        <f>IF(C366="","",IF(AND(BR366&gt;0,BR366&gt;BS366,BA366&lt;7),"Perdu",INDEX('Paramètres'!$F$6:$F$13,BA366)))</f>
        <v/>
      </c>
      <c r="E366" s="61">
        <f>IF(C366="","",MIN(100,(Z366="Oui")*'Paramètres'!$B$38+(AB366="Régulière")*'Paramètres'!$B$39+IF(AND(N(AA366)&gt;0,TODAY()-N(AA366)&lt;=30),'Paramètres'!$B$40,0)+(W366="")*'Paramètres'!$B$41+(AC366="Absente")*'Paramètres'!$B$42+(AC366="Faible")*'Paramètres'!$B$43+IF(AND(N(AD366)&gt;0,N(AD366)&lt;4),'Paramètres'!$B$44,0)+(AF366="Moyenne")*'Paramètres'!$B$45+(AF366="Grande")*'Paramètres'!$B$46+(Y366&lt;&gt;"")*'Paramètres'!$B$47))</f>
        <v/>
      </c>
      <c r="F366" s="60">
        <f>IF(C366="","",IF(D366="Gagné","",IF(D366="Perdu",IF(AND(AX366&lt;&gt;"",AX366&lt;=TODAY()),"À recontacter (perdu)",""),IF(AND(O366&gt;='Paramètres'!$B$21,P366=0),"Stop : "&amp;'Paramètres'!$B$21&amp;" tentatives sans réponse",IF(AND(D366="Proposition",AR366&lt;&gt;"",TODAY()&gt;N(AR366)),"Proposition expirée",IF(AND(D366="Proposition",N(R366)&gt;='Paramètres'!$B$25),"Proposition sans réponse",IF(AND(G366&lt;&gt;"",N(G366)&lt;TODAY()),"Relance en retard",IF(N(R366)&gt;='Paramètres'!$B$24,"Sans action depuis "&amp;R366&amp;" j",""))))))))</f>
        <v/>
      </c>
      <c r="G366" s="106">
        <f>IF(OR(C366="",D366="Gagné",D366="Perdu"),"",IF(AND(BP366&gt;0,BP366=BQ366),INDEX('Saisie'!$J$5:$J$2004,BP366-4),IF(OR(O366=0,AND(O366&gt;='Paramètres'!$B$21,P366=0)),"",Q366+IF(O366&lt;=1,'Paramètres'!$B$18,IF(O366=2,'Paramètres'!$B$19,'Paramètres'!$B$20)))))</f>
        <v/>
      </c>
      <c r="H366" s="107">
        <f>IF(OR(G366="",BP366&lt;&gt;BQ366),"",IF(INDEX('Saisie'!$K$5:$K$2004,BP366-4)="","",INDEX('Saisie'!$K$5:$K$2004,BP366-4)))</f>
        <v/>
      </c>
      <c r="I366" s="60">
        <f>IF(C366="","",IF(OR(D366="Gagné",D366="Perdu"),"",IFERROR(INDEX('Saisie'!$I$5:$I$2004,_xlfn.MAXIFS('Saisie'!$AS$5:$AS$2004,'Saisie'!$C$5:$C$2004,C366,'Saisie'!$I$5:$I$2004,"&lt;&gt;")-4),"")))</f>
        <v/>
      </c>
      <c r="J366" s="60">
        <f>IF(C366="","",IFERROR(INDEX('Saisie'!$U$5:$U$2004,_xlfn.MAXIFS('Saisie'!$AS$5:$AS$2004,'Saisie'!$C$5:$C$2004,C366,'Saisie'!$U$5:$U$2004,"&lt;&gt;")-4),""))</f>
        <v/>
      </c>
      <c r="K366" s="60">
        <f>IF(C366="","",IFERROR(INDEX('Saisie'!$W$5:$W$2004,_xlfn.MAXIFS('Saisie'!$AS$5:$AS$2004,'Saisie'!$C$5:$C$2004,C366,'Saisie'!$W$5:$W$2004,"&lt;&gt;")-4),""))</f>
        <v/>
      </c>
      <c r="L366" s="60">
        <f>IF(IF(BB366&lt;&gt;"",BB366,K366)="","",HYPERLINK("https://wa.me/"&amp;IF(LEFT(SUBSTITUTE(SUBSTITUTE(SUBSTITUTE(IF(BB366&lt;&gt;"",BB366,K366)," ",""),".",""),"+",""),1)="0",'Paramètres'!$B$35&amp;MID(SUBSTITUTE(SUBSTITUTE(SUBSTITUTE(IF(BB366&lt;&gt;"",BB366,K366)," ",""),".",""),"+",""),2,20),SUBSTITUTE(SUBSTITUTE(SUBSTITUTE(IF(BB366&lt;&gt;"",BB366,K366)," ",""),".",""),"+","")),"WhatsApp"))</f>
        <v/>
      </c>
      <c r="M366" s="60">
        <f>IF(BC366="","",HYPERLINK(IF(LEFT(BC366,4)="http",BC366,"https://www.instagram.com/"&amp;SUBSTITUTE(SUBSTITUTE(BC366,"@","")," ","")),BC366))</f>
        <v/>
      </c>
      <c r="N366" s="60">
        <f>IF(C366="","",IFERROR(INDEX('Saisie'!$D$5:$D$2004,_xlfn.MINIFS('Saisie'!$AS$5:$AS$2004,'Saisie'!$C$5:$C$2004,C366,'Saisie'!$AU$5:$AU$2004,1)-4),IFERROR(INDEX('Saisie'!$D$5:$D$2004,_xlfn.MINIFS('Saisie'!$AS$5:$AS$2004,'Saisie'!$C$5:$C$2004,C366,'Saisie'!$D$5:$D$2004,"&lt;&gt;")-4),"")))</f>
        <v/>
      </c>
      <c r="O366" s="60">
        <f>IF(C366="","",COUNTIFS('Saisie'!$C$5:$C$2004,C366,'Saisie'!$AU$5:$AU$2004,1))</f>
        <v/>
      </c>
      <c r="P366" s="60">
        <f>IF(C366="","",COUNTIFS('Saisie'!$C$5:$C$2004,C366,'Saisie'!$AV$5:$AV$2004,1))</f>
        <v/>
      </c>
      <c r="Q366" s="106">
        <f>IF(C366="","",IFERROR(1/(1/_xlfn.MAXIFS('Saisie'!$A$5:$A$2004,'Saisie'!$C$5:$C$2004,C366)),""))</f>
        <v/>
      </c>
      <c r="R366" s="61">
        <f>IF(C366="","",IF(Q366="","",TODAY()-Q366))</f>
        <v/>
      </c>
      <c r="S366" s="60">
        <f>IF(C366="","",IFERROR(INDEX('Saisie'!$R$5:$R$2004,_xlfn.MAXIFS('Saisie'!$AS$5:$AS$2004,'Saisie'!$C$5:$C$2004,C366,'Saisie'!$R$5:$R$2004,"&lt;&gt;")-4),""))</f>
        <v/>
      </c>
      <c r="T366" s="60">
        <f>IF(C366="","",IFERROR(INDEX('Saisie'!$S$5:$S$2004,_xlfn.MAXIFS('Saisie'!$AS$5:$AS$2004,'Saisie'!$C$5:$C$2004,C366,'Saisie'!$S$5:$S$2004,"&lt;&gt;")-4),""))</f>
        <v/>
      </c>
      <c r="U366" s="60">
        <f>IF(C366="","",IFERROR(INDEX('Saisie'!$T$5:$T$2004,_xlfn.MAXIFS('Saisie'!$AS$5:$AS$2004,'Saisie'!$C$5:$C$2004,C366,'Saisie'!$T$5:$T$2004,"&lt;&gt;")-4),""))</f>
        <v/>
      </c>
      <c r="V366" s="60">
        <f>IF(C366="","",IFERROR(INDEX('Saisie'!$V$5:$V$2004,_xlfn.MAXIFS('Saisie'!$AS$5:$AS$2004,'Saisie'!$C$5:$C$2004,C366,'Saisie'!$V$5:$V$2004,"&lt;&gt;")-4),""))</f>
        <v/>
      </c>
      <c r="W366" s="60">
        <f>IF(C366="","",IFERROR(INDEX('Saisie'!$Z$5:$Z$2004,_xlfn.MAXIFS('Saisie'!$AS$5:$AS$2004,'Saisie'!$C$5:$C$2004,C366,'Saisie'!$Z$5:$Z$2004,"&lt;&gt;")-4),""))</f>
        <v/>
      </c>
      <c r="X366" s="60">
        <f>IF(C366="","",IFERROR(INDEX('Saisie'!$AA$5:$AA$2004,_xlfn.MAXIFS('Saisie'!$AS$5:$AS$2004,'Saisie'!$C$5:$C$2004,C366,'Saisie'!$AA$5:$AA$2004,"&lt;&gt;")-4),""))</f>
        <v/>
      </c>
      <c r="Y366" s="60">
        <f>IF(C366="","",IFERROR(INDEX('Saisie'!$AB$5:$AB$2004,_xlfn.MAXIFS('Saisie'!$AS$5:$AS$2004,'Saisie'!$C$5:$C$2004,C366,'Saisie'!$AB$5:$AB$2004,"&lt;&gt;")-4),""))</f>
        <v/>
      </c>
      <c r="Z366" s="60">
        <f>IF(C366="","",IFERROR(INDEX('Saisie'!$AC$5:$AC$2004,_xlfn.MAXIFS('Saisie'!$AS$5:$AS$2004,'Saisie'!$C$5:$C$2004,C366,'Saisie'!$AC$5:$AC$2004,"&lt;&gt;")-4),""))</f>
        <v/>
      </c>
      <c r="AA366" s="106">
        <f>IF(C366="","",IFERROR(INDEX('Saisie'!$AD$5:$AD$2004,_xlfn.MAXIFS('Saisie'!$AS$5:$AS$2004,'Saisie'!$C$5:$C$2004,C366,'Saisie'!$AD$5:$AD$2004,"&lt;&gt;")-4),""))</f>
        <v/>
      </c>
      <c r="AB366" s="60">
        <f>IF(C366="","",IFERROR(INDEX('Saisie'!$AE$5:$AE$2004,_xlfn.MAXIFS('Saisie'!$AS$5:$AS$2004,'Saisie'!$C$5:$C$2004,C366,'Saisie'!$AE$5:$AE$2004,"&lt;&gt;")-4),""))</f>
        <v/>
      </c>
      <c r="AC366" s="60">
        <f>IF(C366="","",IFERROR(INDEX('Saisie'!$AF$5:$AF$2004,_xlfn.MAXIFS('Saisie'!$AS$5:$AS$2004,'Saisie'!$C$5:$C$2004,C366,'Saisie'!$AF$5:$AF$2004,"&lt;&gt;")-4),""))</f>
        <v/>
      </c>
      <c r="AD366" s="108">
        <f>IF(C366="","",IFERROR(INDEX('Saisie'!$AG$5:$AG$2004,_xlfn.MAXIFS('Saisie'!$AS$5:$AS$2004,'Saisie'!$C$5:$C$2004,C366,'Saisie'!$AG$5:$AG$2004,"&lt;&gt;")-4),""))</f>
        <v/>
      </c>
      <c r="AE366" s="60">
        <f>IF(C366="","",IFERROR(INDEX('Saisie'!$AH$5:$AH$2004,_xlfn.MAXIFS('Saisie'!$AS$5:$AS$2004,'Saisie'!$C$5:$C$2004,C366,'Saisie'!$AH$5:$AH$2004,"&lt;&gt;")-4),""))</f>
        <v/>
      </c>
      <c r="AF366" s="60">
        <f>IF(C366="","",IFERROR(INDEX('Saisie'!$AI$5:$AI$2004,_xlfn.MAXIFS('Saisie'!$AS$5:$AS$2004,'Saisie'!$C$5:$C$2004,C366,'Saisie'!$AI$5:$AI$2004,"&lt;&gt;")-4),""))</f>
        <v/>
      </c>
      <c r="AG366" s="60">
        <f>IF(C366="","",IFERROR(INDEX('Saisie'!$AJ$5:$AJ$2004,_xlfn.MAXIFS('Saisie'!$AS$5:$AS$2004,'Saisie'!$C$5:$C$2004,C366,'Saisie'!$AJ$5:$AJ$2004,"&lt;&gt;")-4),""))</f>
        <v/>
      </c>
      <c r="AH366" s="60">
        <f>IF(C366="","",IFERROR(INDEX('Saisie'!$AK$5:$AK$2004,_xlfn.MAXIFS('Saisie'!$AS$5:$AS$2004,'Saisie'!$C$5:$C$2004,C366,'Saisie'!$AK$5:$AK$2004,"&lt;&gt;")-4),""))</f>
        <v/>
      </c>
      <c r="AI366" s="60">
        <f>IF(C366="","",IFERROR(INDEX('Saisie'!$AN$5:$AN$2004,_xlfn.MAXIFS('Saisie'!$AS$5:$AS$2004,'Saisie'!$C$5:$C$2004,C366,'Saisie'!$AN$5:$AN$2004,"&lt;&gt;")-4),""))</f>
        <v/>
      </c>
      <c r="AJ366" s="60">
        <f>IF(C366="","",IFERROR(INDEX('Saisie'!$AO$5:$AO$2004,_xlfn.MAXIFS('Saisie'!$AS$5:$AS$2004,'Saisie'!$C$5:$C$2004,C366,'Saisie'!$AO$5:$AO$2004,"&lt;&gt;")-4),""))</f>
        <v/>
      </c>
      <c r="AK366" s="60">
        <f>IF(C366="","",IFERROR(INDEX('Saisie'!$AP$5:$AP$2004,_xlfn.MAXIFS('Saisie'!$AS$5:$AS$2004,'Saisie'!$C$5:$C$2004,C366,'Saisie'!$AP$5:$AP$2004,"&lt;&gt;")-4),""))</f>
        <v/>
      </c>
      <c r="AL366" s="60">
        <f>IF(C366="","",IFERROR(INDEX('Saisie'!$AQ$5:$AQ$2004,_xlfn.MAXIFS('Saisie'!$AS$5:$AS$2004,'Saisie'!$C$5:$C$2004,C366,'Saisie'!$AQ$5:$AQ$2004,"&lt;&gt;")-4),""))</f>
        <v/>
      </c>
      <c r="AM366" s="60">
        <f>IF(C366="","",((AI366="Oui")+(AJ366="Oui")+(AK366="Oui")+OR(AL366="Immédiat",AL366="&lt; 1 mois"))&amp;"/4")</f>
        <v/>
      </c>
      <c r="AN366" s="60">
        <f>IF(C366="","",IFERROR(INDEX('Saisie'!$AL$5:$AL$2004,_xlfn.MAXIFS('Saisie'!$AS$5:$AS$2004,'Saisie'!$C$5:$C$2004,C366,'Saisie'!$AL$5:$AL$2004,"&lt;&gt;")-4),""))</f>
        <v/>
      </c>
      <c r="AO366" s="62">
        <f>IF(C366="","",IF(IFERROR(INDEX('Saisie'!$AM$5:$AM$2004,_xlfn.MAXIFS('Saisie'!$AS$5:$AS$2004,'Saisie'!$C$5:$C$2004,C366,'Saisie'!$AM$5:$AM$2004,"&lt;&gt;")-4),"")&lt;&gt;"",IFERROR(INDEX('Saisie'!$AM$5:$AM$2004,_xlfn.MAXIFS('Saisie'!$AS$5:$AS$2004,'Saisie'!$C$5:$C$2004,C366,'Saisie'!$AM$5:$AM$2004,"&lt;&gt;")-4),""),IFERROR(INDEX('Paramètres'!$S$6:$S$15,MATCH(AN366,'Paramètres'!$Q$6:$Q$15,0)),"")))</f>
        <v/>
      </c>
      <c r="AP366" s="62">
        <f>IF(C366="","",IFERROR(INDEX('Saisie'!$AW$5:$AW$2004,_xlfn.MAXIFS('Saisie'!$AS$5:$AS$2004,'Saisie'!$C$5:$C$2004,C366,'Saisie'!$E$5:$E$2004,"Proposition envoyée")-4),""))</f>
        <v/>
      </c>
      <c r="AQ366" s="106">
        <f>IF(C366="","",IFERROR(1/(1/_xlfn.MAXIFS('Saisie'!$A$5:$A$2004,'Saisie'!$C$5:$C$2004,C366,'Saisie'!$E$5:$E$2004,"Proposition envoyée")),""))</f>
        <v/>
      </c>
      <c r="AR366" s="106">
        <f>IF(C366="","",IF(AQ366="","",AQ366+'Paramètres'!$B$26))</f>
        <v/>
      </c>
      <c r="AS366" s="62">
        <f>IF(OR(C366="",D366="Gagné",D366="Perdu"),0,N(AP366)*IFERROR(INDEX('Paramètres'!$G$6:$G$13,MATCH(D366,'Paramètres'!$F$6:$F$13,0)),0))</f>
        <v/>
      </c>
      <c r="AT366" s="106">
        <f>IF(C366="","",IFERROR(1/(1/_xlfn.MINIFS('Saisie'!$A$5:$A$2004,'Saisie'!$C$5:$C$2004,C366,'Saisie'!$E$5:$E$2004,"Signature")),""))</f>
        <v/>
      </c>
      <c r="AU366" s="60">
        <f>IF(C366="","",IF(OR(AT366="",B366=""),"",AT366-B366))</f>
        <v/>
      </c>
      <c r="AV366" s="60">
        <f>IF(C366="","",IFERROR(INDEX('Saisie'!$L$5:$L$2004,_xlfn.MAXIFS('Saisie'!$AS$5:$AS$2004,'Saisie'!$C$5:$C$2004,C366,'Saisie'!$L$5:$L$2004,"&lt;&gt;")-4),""))</f>
        <v/>
      </c>
      <c r="AW366" s="106">
        <f>IF(C366="","",IF(D366&lt;&gt;"Perdu","",IFERROR(1/(1/_xlfn.MAXIFS('Saisie'!$A$5:$A$2004,'Saisie'!$C$5:$C$2004,C366,'Saisie'!$E$5:$E$2004,"Perdu")),"")))</f>
        <v/>
      </c>
      <c r="AX366" s="106">
        <f>IF(C366="","",IF(AW366="","",AW366+'Paramètres'!$B$28))</f>
        <v/>
      </c>
      <c r="AY366" s="60">
        <f>IF(C366="","",SUMIFS('Saisie'!$H$5:$H$2004,'Saisie'!$C$5:$C$2004,C366))</f>
        <v/>
      </c>
      <c r="AZ366" s="60">
        <f>IF(C366="","",IFERROR(INDEX('Paramètres'!$W$6:$W$20,MATCH(S366,'Paramètres'!$V$6:$V$20,0))&amp;"",""))</f>
        <v/>
      </c>
      <c r="BA366" s="60">
        <f>IF(C366="","",MAX(1,_xlfn.MAXIFS('Saisie'!$AT$5:$AT$2004,'Saisie'!$C$5:$C$2004,C366)))</f>
        <v/>
      </c>
      <c r="BB366" s="60">
        <f>IF(C366="","",IFERROR(INDEX('Saisie'!$X$5:$X$2004,_xlfn.MAXIFS('Saisie'!$AS$5:$AS$2004,'Saisie'!$C$5:$C$2004,C366,'Saisie'!$X$5:$X$2004,"&lt;&gt;")-4),""))</f>
        <v/>
      </c>
      <c r="BC366" s="60">
        <f>IF(C366="","",IFERROR(INDEX('Saisie'!$Y$5:$Y$2004,_xlfn.MAXIFS('Saisie'!$AS$5:$AS$2004,'Saisie'!$C$5:$C$2004,C366,'Saisie'!$Y$5:$Y$2004,"&lt;&gt;")-4),""))</f>
        <v/>
      </c>
      <c r="BD366" s="106">
        <f>IF(C366="","",IFERROR(1/(1/_xlfn.MINIFS('Saisie'!$A$5:$A$2004,'Saisie'!$C$5:$C$2004,C366,'Saisie'!$AT$5:$AT$2004,"&gt;=2")),""))</f>
        <v/>
      </c>
      <c r="BE366" s="106">
        <f>IF(C366="","",IFERROR(1/(1/_xlfn.MINIFS('Saisie'!$A$5:$A$2004,'Saisie'!$C$5:$C$2004,C366,'Saisie'!$AT$5:$AT$2004,"&gt;=3")),""))</f>
        <v/>
      </c>
      <c r="BF366" s="106">
        <f>IF(C366="","",IFERROR(1/(1/_xlfn.MINIFS('Saisie'!$A$5:$A$2004,'Saisie'!$C$5:$C$2004,C366,'Saisie'!$AT$5:$AT$2004,"&gt;=4")),""))</f>
        <v/>
      </c>
      <c r="BG366" s="106">
        <f>IF(C366="","",IFERROR(1/(1/_xlfn.MINIFS('Saisie'!$A$5:$A$2004,'Saisie'!$C$5:$C$2004,C366,'Saisie'!$AT$5:$AT$2004,"&gt;=5")),""))</f>
        <v/>
      </c>
      <c r="BH366" s="106">
        <f>IF(C366="","",IFERROR(1/(1/_xlfn.MINIFS('Saisie'!$A$5:$A$2004,'Saisie'!$C$5:$C$2004,C366,'Saisie'!$AT$5:$AT$2004,"&gt;=6")),""))</f>
        <v/>
      </c>
      <c r="BI366" s="106">
        <f>IF(C366="","",IFERROR(1/(1/_xlfn.MINIFS('Saisie'!$A$5:$A$2004,'Saisie'!$C$5:$C$2004,C366,'Saisie'!$AT$5:$AT$2004,"&gt;=7")),""))</f>
        <v/>
      </c>
      <c r="BJ366" s="60">
        <f>IF(OR(BD366="",B366=""),"",BD366-B366)</f>
        <v/>
      </c>
      <c r="BK366" s="60">
        <f>IF(OR(BE366="",BD366=""),"",BE366-BD366)</f>
        <v/>
      </c>
      <c r="BL366" s="60">
        <f>IF(OR(BF366="",BE366=""),"",BF366-BE366)</f>
        <v/>
      </c>
      <c r="BM366" s="60">
        <f>IF(OR(BG366="",BF366=""),"",BG366-BF366)</f>
        <v/>
      </c>
      <c r="BN366" s="60">
        <f>IF(OR(BH366="",BG366=""),"",BH366-BG366)</f>
        <v/>
      </c>
      <c r="BO366" s="60">
        <f>IF(OR(BI366="",BH366=""),"",BI366-BH366)</f>
        <v/>
      </c>
      <c r="BP366" s="60">
        <f>IF(C366="","",_xlfn.MAXIFS('Saisie'!$AS$5:$AS$2004,'Saisie'!$C$5:$C$2004,C366,'Saisie'!$J$5:$J$2004,"&lt;&gt;"))</f>
        <v/>
      </c>
      <c r="BQ366" s="60">
        <f>IF(C366="","",_xlfn.MAXIFS('Saisie'!$AS$5:$AS$2004,'Saisie'!$C$5:$C$2004,C366))</f>
        <v/>
      </c>
      <c r="BR366" s="60">
        <f>IF(C366="","",_xlfn.MAXIFS('Saisie'!$AS$5:$AS$2004,'Saisie'!$C$5:$C$2004,C366,'Saisie'!$E$5:$E$2004,"Perdu"))</f>
        <v/>
      </c>
      <c r="BS366" s="60">
        <f>IF(C366="","",_xlfn.MAXIFS('Saisie'!$AS$5:$AS$2004,'Saisie'!$C$5:$C$2004,C366,'Saisie'!$AT$5:$AT$2004,"&gt;0"))</f>
        <v/>
      </c>
      <c r="BT366" s="109">
        <f>IF(AND(C366&lt;&gt;"",OR(D366="Nouveau",D366="Contacté",D366="Qualifié"),OR(G366="",N(G366)&lt;=TODAY()),NOT(AND(O366&gt;='Paramètres'!$B$21,P366=0))),E366+362/10000,"")</f>
        <v/>
      </c>
      <c r="BU366" s="60">
        <f>IF(AND(G366&lt;&gt;"",N(G366)&lt;=TODAY()),MAX($BU$4:BU365)+1,"")</f>
        <v/>
      </c>
      <c r="BV366" s="60">
        <f>IF(AND(F366&lt;&gt;"",F366&lt;&gt;"Relance en retard"),MAX($BV$4:BV365)+1,"")</f>
        <v/>
      </c>
      <c r="BW366" s="60">
        <f>IF(C366="","",IF(AND(B366&gt;='Tableau de bord'!$R$4,B366&lt;='Tableau de bord'!$S$4,OR('Tableau de bord'!$G$4="Tous",N366='Tableau de bord'!$G$4)),1,0))</f>
        <v/>
      </c>
      <c r="BX366" s="60">
        <f>IF(AND(C366&lt;&gt;"",N(BA366)=7),MAX($BX$4:BX365)+1,"")</f>
        <v/>
      </c>
    </row>
    <row r="367">
      <c r="A367" s="60">
        <f>IF(C367="","","P-"&amp;TEXT(363,"000"))</f>
        <v/>
      </c>
      <c r="B367" s="106">
        <f>IF(C367="","",IFERROR(1/(1/_xlfn.MINIFS('Saisie'!$A$5:$A$2004,'Saisie'!$C$5:$C$2004,C367)),""))</f>
        <v/>
      </c>
      <c r="C367" s="60">
        <f>IFERROR(INDEX('Saisie'!$C$5:$C$2004,MATCH(363,'Saisie'!$AX$5:$AX$2004,0)),"")</f>
        <v/>
      </c>
      <c r="D367" s="60">
        <f>IF(C367="","",IF(AND(BR367&gt;0,BR367&gt;BS367,BA367&lt;7),"Perdu",INDEX('Paramètres'!$F$6:$F$13,BA367)))</f>
        <v/>
      </c>
      <c r="E367" s="61">
        <f>IF(C367="","",MIN(100,(Z367="Oui")*'Paramètres'!$B$38+(AB367="Régulière")*'Paramètres'!$B$39+IF(AND(N(AA367)&gt;0,TODAY()-N(AA367)&lt;=30),'Paramètres'!$B$40,0)+(W367="")*'Paramètres'!$B$41+(AC367="Absente")*'Paramètres'!$B$42+(AC367="Faible")*'Paramètres'!$B$43+IF(AND(N(AD367)&gt;0,N(AD367)&lt;4),'Paramètres'!$B$44,0)+(AF367="Moyenne")*'Paramètres'!$B$45+(AF367="Grande")*'Paramètres'!$B$46+(Y367&lt;&gt;"")*'Paramètres'!$B$47))</f>
        <v/>
      </c>
      <c r="F367" s="60">
        <f>IF(C367="","",IF(D367="Gagné","",IF(D367="Perdu",IF(AND(AX367&lt;&gt;"",AX367&lt;=TODAY()),"À recontacter (perdu)",""),IF(AND(O367&gt;='Paramètres'!$B$21,P367=0),"Stop : "&amp;'Paramètres'!$B$21&amp;" tentatives sans réponse",IF(AND(D367="Proposition",AR367&lt;&gt;"",TODAY()&gt;N(AR367)),"Proposition expirée",IF(AND(D367="Proposition",N(R367)&gt;='Paramètres'!$B$25),"Proposition sans réponse",IF(AND(G367&lt;&gt;"",N(G367)&lt;TODAY()),"Relance en retard",IF(N(R367)&gt;='Paramètres'!$B$24,"Sans action depuis "&amp;R367&amp;" j",""))))))))</f>
        <v/>
      </c>
      <c r="G367" s="106">
        <f>IF(OR(C367="",D367="Gagné",D367="Perdu"),"",IF(AND(BP367&gt;0,BP367=BQ367),INDEX('Saisie'!$J$5:$J$2004,BP367-4),IF(OR(O367=0,AND(O367&gt;='Paramètres'!$B$21,P367=0)),"",Q367+IF(O367&lt;=1,'Paramètres'!$B$18,IF(O367=2,'Paramètres'!$B$19,'Paramètres'!$B$20)))))</f>
        <v/>
      </c>
      <c r="H367" s="107">
        <f>IF(OR(G367="",BP367&lt;&gt;BQ367),"",IF(INDEX('Saisie'!$K$5:$K$2004,BP367-4)="","",INDEX('Saisie'!$K$5:$K$2004,BP367-4)))</f>
        <v/>
      </c>
      <c r="I367" s="60">
        <f>IF(C367="","",IF(OR(D367="Gagné",D367="Perdu"),"",IFERROR(INDEX('Saisie'!$I$5:$I$2004,_xlfn.MAXIFS('Saisie'!$AS$5:$AS$2004,'Saisie'!$C$5:$C$2004,C367,'Saisie'!$I$5:$I$2004,"&lt;&gt;")-4),"")))</f>
        <v/>
      </c>
      <c r="J367" s="60">
        <f>IF(C367="","",IFERROR(INDEX('Saisie'!$U$5:$U$2004,_xlfn.MAXIFS('Saisie'!$AS$5:$AS$2004,'Saisie'!$C$5:$C$2004,C367,'Saisie'!$U$5:$U$2004,"&lt;&gt;")-4),""))</f>
        <v/>
      </c>
      <c r="K367" s="60">
        <f>IF(C367="","",IFERROR(INDEX('Saisie'!$W$5:$W$2004,_xlfn.MAXIFS('Saisie'!$AS$5:$AS$2004,'Saisie'!$C$5:$C$2004,C367,'Saisie'!$W$5:$W$2004,"&lt;&gt;")-4),""))</f>
        <v/>
      </c>
      <c r="L367" s="60">
        <f>IF(IF(BB367&lt;&gt;"",BB367,K367)="","",HYPERLINK("https://wa.me/"&amp;IF(LEFT(SUBSTITUTE(SUBSTITUTE(SUBSTITUTE(IF(BB367&lt;&gt;"",BB367,K367)," ",""),".",""),"+",""),1)="0",'Paramètres'!$B$35&amp;MID(SUBSTITUTE(SUBSTITUTE(SUBSTITUTE(IF(BB367&lt;&gt;"",BB367,K367)," ",""),".",""),"+",""),2,20),SUBSTITUTE(SUBSTITUTE(SUBSTITUTE(IF(BB367&lt;&gt;"",BB367,K367)," ",""),".",""),"+","")),"WhatsApp"))</f>
        <v/>
      </c>
      <c r="M367" s="60">
        <f>IF(BC367="","",HYPERLINK(IF(LEFT(BC367,4)="http",BC367,"https://www.instagram.com/"&amp;SUBSTITUTE(SUBSTITUTE(BC367,"@","")," ","")),BC367))</f>
        <v/>
      </c>
      <c r="N367" s="60">
        <f>IF(C367="","",IFERROR(INDEX('Saisie'!$D$5:$D$2004,_xlfn.MINIFS('Saisie'!$AS$5:$AS$2004,'Saisie'!$C$5:$C$2004,C367,'Saisie'!$AU$5:$AU$2004,1)-4),IFERROR(INDEX('Saisie'!$D$5:$D$2004,_xlfn.MINIFS('Saisie'!$AS$5:$AS$2004,'Saisie'!$C$5:$C$2004,C367,'Saisie'!$D$5:$D$2004,"&lt;&gt;")-4),"")))</f>
        <v/>
      </c>
      <c r="O367" s="60">
        <f>IF(C367="","",COUNTIFS('Saisie'!$C$5:$C$2004,C367,'Saisie'!$AU$5:$AU$2004,1))</f>
        <v/>
      </c>
      <c r="P367" s="60">
        <f>IF(C367="","",COUNTIFS('Saisie'!$C$5:$C$2004,C367,'Saisie'!$AV$5:$AV$2004,1))</f>
        <v/>
      </c>
      <c r="Q367" s="106">
        <f>IF(C367="","",IFERROR(1/(1/_xlfn.MAXIFS('Saisie'!$A$5:$A$2004,'Saisie'!$C$5:$C$2004,C367)),""))</f>
        <v/>
      </c>
      <c r="R367" s="61">
        <f>IF(C367="","",IF(Q367="","",TODAY()-Q367))</f>
        <v/>
      </c>
      <c r="S367" s="60">
        <f>IF(C367="","",IFERROR(INDEX('Saisie'!$R$5:$R$2004,_xlfn.MAXIFS('Saisie'!$AS$5:$AS$2004,'Saisie'!$C$5:$C$2004,C367,'Saisie'!$R$5:$R$2004,"&lt;&gt;")-4),""))</f>
        <v/>
      </c>
      <c r="T367" s="60">
        <f>IF(C367="","",IFERROR(INDEX('Saisie'!$S$5:$S$2004,_xlfn.MAXIFS('Saisie'!$AS$5:$AS$2004,'Saisie'!$C$5:$C$2004,C367,'Saisie'!$S$5:$S$2004,"&lt;&gt;")-4),""))</f>
        <v/>
      </c>
      <c r="U367" s="60">
        <f>IF(C367="","",IFERROR(INDEX('Saisie'!$T$5:$T$2004,_xlfn.MAXIFS('Saisie'!$AS$5:$AS$2004,'Saisie'!$C$5:$C$2004,C367,'Saisie'!$T$5:$T$2004,"&lt;&gt;")-4),""))</f>
        <v/>
      </c>
      <c r="V367" s="60">
        <f>IF(C367="","",IFERROR(INDEX('Saisie'!$V$5:$V$2004,_xlfn.MAXIFS('Saisie'!$AS$5:$AS$2004,'Saisie'!$C$5:$C$2004,C367,'Saisie'!$V$5:$V$2004,"&lt;&gt;")-4),""))</f>
        <v/>
      </c>
      <c r="W367" s="60">
        <f>IF(C367="","",IFERROR(INDEX('Saisie'!$Z$5:$Z$2004,_xlfn.MAXIFS('Saisie'!$AS$5:$AS$2004,'Saisie'!$C$5:$C$2004,C367,'Saisie'!$Z$5:$Z$2004,"&lt;&gt;")-4),""))</f>
        <v/>
      </c>
      <c r="X367" s="60">
        <f>IF(C367="","",IFERROR(INDEX('Saisie'!$AA$5:$AA$2004,_xlfn.MAXIFS('Saisie'!$AS$5:$AS$2004,'Saisie'!$C$5:$C$2004,C367,'Saisie'!$AA$5:$AA$2004,"&lt;&gt;")-4),""))</f>
        <v/>
      </c>
      <c r="Y367" s="60">
        <f>IF(C367="","",IFERROR(INDEX('Saisie'!$AB$5:$AB$2004,_xlfn.MAXIFS('Saisie'!$AS$5:$AS$2004,'Saisie'!$C$5:$C$2004,C367,'Saisie'!$AB$5:$AB$2004,"&lt;&gt;")-4),""))</f>
        <v/>
      </c>
      <c r="Z367" s="60">
        <f>IF(C367="","",IFERROR(INDEX('Saisie'!$AC$5:$AC$2004,_xlfn.MAXIFS('Saisie'!$AS$5:$AS$2004,'Saisie'!$C$5:$C$2004,C367,'Saisie'!$AC$5:$AC$2004,"&lt;&gt;")-4),""))</f>
        <v/>
      </c>
      <c r="AA367" s="106">
        <f>IF(C367="","",IFERROR(INDEX('Saisie'!$AD$5:$AD$2004,_xlfn.MAXIFS('Saisie'!$AS$5:$AS$2004,'Saisie'!$C$5:$C$2004,C367,'Saisie'!$AD$5:$AD$2004,"&lt;&gt;")-4),""))</f>
        <v/>
      </c>
      <c r="AB367" s="60">
        <f>IF(C367="","",IFERROR(INDEX('Saisie'!$AE$5:$AE$2004,_xlfn.MAXIFS('Saisie'!$AS$5:$AS$2004,'Saisie'!$C$5:$C$2004,C367,'Saisie'!$AE$5:$AE$2004,"&lt;&gt;")-4),""))</f>
        <v/>
      </c>
      <c r="AC367" s="60">
        <f>IF(C367="","",IFERROR(INDEX('Saisie'!$AF$5:$AF$2004,_xlfn.MAXIFS('Saisie'!$AS$5:$AS$2004,'Saisie'!$C$5:$C$2004,C367,'Saisie'!$AF$5:$AF$2004,"&lt;&gt;")-4),""))</f>
        <v/>
      </c>
      <c r="AD367" s="108">
        <f>IF(C367="","",IFERROR(INDEX('Saisie'!$AG$5:$AG$2004,_xlfn.MAXIFS('Saisie'!$AS$5:$AS$2004,'Saisie'!$C$5:$C$2004,C367,'Saisie'!$AG$5:$AG$2004,"&lt;&gt;")-4),""))</f>
        <v/>
      </c>
      <c r="AE367" s="60">
        <f>IF(C367="","",IFERROR(INDEX('Saisie'!$AH$5:$AH$2004,_xlfn.MAXIFS('Saisie'!$AS$5:$AS$2004,'Saisie'!$C$5:$C$2004,C367,'Saisie'!$AH$5:$AH$2004,"&lt;&gt;")-4),""))</f>
        <v/>
      </c>
      <c r="AF367" s="60">
        <f>IF(C367="","",IFERROR(INDEX('Saisie'!$AI$5:$AI$2004,_xlfn.MAXIFS('Saisie'!$AS$5:$AS$2004,'Saisie'!$C$5:$C$2004,C367,'Saisie'!$AI$5:$AI$2004,"&lt;&gt;")-4),""))</f>
        <v/>
      </c>
      <c r="AG367" s="60">
        <f>IF(C367="","",IFERROR(INDEX('Saisie'!$AJ$5:$AJ$2004,_xlfn.MAXIFS('Saisie'!$AS$5:$AS$2004,'Saisie'!$C$5:$C$2004,C367,'Saisie'!$AJ$5:$AJ$2004,"&lt;&gt;")-4),""))</f>
        <v/>
      </c>
      <c r="AH367" s="60">
        <f>IF(C367="","",IFERROR(INDEX('Saisie'!$AK$5:$AK$2004,_xlfn.MAXIFS('Saisie'!$AS$5:$AS$2004,'Saisie'!$C$5:$C$2004,C367,'Saisie'!$AK$5:$AK$2004,"&lt;&gt;")-4),""))</f>
        <v/>
      </c>
      <c r="AI367" s="60">
        <f>IF(C367="","",IFERROR(INDEX('Saisie'!$AN$5:$AN$2004,_xlfn.MAXIFS('Saisie'!$AS$5:$AS$2004,'Saisie'!$C$5:$C$2004,C367,'Saisie'!$AN$5:$AN$2004,"&lt;&gt;")-4),""))</f>
        <v/>
      </c>
      <c r="AJ367" s="60">
        <f>IF(C367="","",IFERROR(INDEX('Saisie'!$AO$5:$AO$2004,_xlfn.MAXIFS('Saisie'!$AS$5:$AS$2004,'Saisie'!$C$5:$C$2004,C367,'Saisie'!$AO$5:$AO$2004,"&lt;&gt;")-4),""))</f>
        <v/>
      </c>
      <c r="AK367" s="60">
        <f>IF(C367="","",IFERROR(INDEX('Saisie'!$AP$5:$AP$2004,_xlfn.MAXIFS('Saisie'!$AS$5:$AS$2004,'Saisie'!$C$5:$C$2004,C367,'Saisie'!$AP$5:$AP$2004,"&lt;&gt;")-4),""))</f>
        <v/>
      </c>
      <c r="AL367" s="60">
        <f>IF(C367="","",IFERROR(INDEX('Saisie'!$AQ$5:$AQ$2004,_xlfn.MAXIFS('Saisie'!$AS$5:$AS$2004,'Saisie'!$C$5:$C$2004,C367,'Saisie'!$AQ$5:$AQ$2004,"&lt;&gt;")-4),""))</f>
        <v/>
      </c>
      <c r="AM367" s="60">
        <f>IF(C367="","",((AI367="Oui")+(AJ367="Oui")+(AK367="Oui")+OR(AL367="Immédiat",AL367="&lt; 1 mois"))&amp;"/4")</f>
        <v/>
      </c>
      <c r="AN367" s="60">
        <f>IF(C367="","",IFERROR(INDEX('Saisie'!$AL$5:$AL$2004,_xlfn.MAXIFS('Saisie'!$AS$5:$AS$2004,'Saisie'!$C$5:$C$2004,C367,'Saisie'!$AL$5:$AL$2004,"&lt;&gt;")-4),""))</f>
        <v/>
      </c>
      <c r="AO367" s="62">
        <f>IF(C367="","",IF(IFERROR(INDEX('Saisie'!$AM$5:$AM$2004,_xlfn.MAXIFS('Saisie'!$AS$5:$AS$2004,'Saisie'!$C$5:$C$2004,C367,'Saisie'!$AM$5:$AM$2004,"&lt;&gt;")-4),"")&lt;&gt;"",IFERROR(INDEX('Saisie'!$AM$5:$AM$2004,_xlfn.MAXIFS('Saisie'!$AS$5:$AS$2004,'Saisie'!$C$5:$C$2004,C367,'Saisie'!$AM$5:$AM$2004,"&lt;&gt;")-4),""),IFERROR(INDEX('Paramètres'!$S$6:$S$15,MATCH(AN367,'Paramètres'!$Q$6:$Q$15,0)),"")))</f>
        <v/>
      </c>
      <c r="AP367" s="62">
        <f>IF(C367="","",IFERROR(INDEX('Saisie'!$AW$5:$AW$2004,_xlfn.MAXIFS('Saisie'!$AS$5:$AS$2004,'Saisie'!$C$5:$C$2004,C367,'Saisie'!$E$5:$E$2004,"Proposition envoyée")-4),""))</f>
        <v/>
      </c>
      <c r="AQ367" s="106">
        <f>IF(C367="","",IFERROR(1/(1/_xlfn.MAXIFS('Saisie'!$A$5:$A$2004,'Saisie'!$C$5:$C$2004,C367,'Saisie'!$E$5:$E$2004,"Proposition envoyée")),""))</f>
        <v/>
      </c>
      <c r="AR367" s="106">
        <f>IF(C367="","",IF(AQ367="","",AQ367+'Paramètres'!$B$26))</f>
        <v/>
      </c>
      <c r="AS367" s="62">
        <f>IF(OR(C367="",D367="Gagné",D367="Perdu"),0,N(AP367)*IFERROR(INDEX('Paramètres'!$G$6:$G$13,MATCH(D367,'Paramètres'!$F$6:$F$13,0)),0))</f>
        <v/>
      </c>
      <c r="AT367" s="106">
        <f>IF(C367="","",IFERROR(1/(1/_xlfn.MINIFS('Saisie'!$A$5:$A$2004,'Saisie'!$C$5:$C$2004,C367,'Saisie'!$E$5:$E$2004,"Signature")),""))</f>
        <v/>
      </c>
      <c r="AU367" s="60">
        <f>IF(C367="","",IF(OR(AT367="",B367=""),"",AT367-B367))</f>
        <v/>
      </c>
      <c r="AV367" s="60">
        <f>IF(C367="","",IFERROR(INDEX('Saisie'!$L$5:$L$2004,_xlfn.MAXIFS('Saisie'!$AS$5:$AS$2004,'Saisie'!$C$5:$C$2004,C367,'Saisie'!$L$5:$L$2004,"&lt;&gt;")-4),""))</f>
        <v/>
      </c>
      <c r="AW367" s="106">
        <f>IF(C367="","",IF(D367&lt;&gt;"Perdu","",IFERROR(1/(1/_xlfn.MAXIFS('Saisie'!$A$5:$A$2004,'Saisie'!$C$5:$C$2004,C367,'Saisie'!$E$5:$E$2004,"Perdu")),"")))</f>
        <v/>
      </c>
      <c r="AX367" s="106">
        <f>IF(C367="","",IF(AW367="","",AW367+'Paramètres'!$B$28))</f>
        <v/>
      </c>
      <c r="AY367" s="60">
        <f>IF(C367="","",SUMIFS('Saisie'!$H$5:$H$2004,'Saisie'!$C$5:$C$2004,C367))</f>
        <v/>
      </c>
      <c r="AZ367" s="60">
        <f>IF(C367="","",IFERROR(INDEX('Paramètres'!$W$6:$W$20,MATCH(S367,'Paramètres'!$V$6:$V$20,0))&amp;"",""))</f>
        <v/>
      </c>
      <c r="BA367" s="60">
        <f>IF(C367="","",MAX(1,_xlfn.MAXIFS('Saisie'!$AT$5:$AT$2004,'Saisie'!$C$5:$C$2004,C367)))</f>
        <v/>
      </c>
      <c r="BB367" s="60">
        <f>IF(C367="","",IFERROR(INDEX('Saisie'!$X$5:$X$2004,_xlfn.MAXIFS('Saisie'!$AS$5:$AS$2004,'Saisie'!$C$5:$C$2004,C367,'Saisie'!$X$5:$X$2004,"&lt;&gt;")-4),""))</f>
        <v/>
      </c>
      <c r="BC367" s="60">
        <f>IF(C367="","",IFERROR(INDEX('Saisie'!$Y$5:$Y$2004,_xlfn.MAXIFS('Saisie'!$AS$5:$AS$2004,'Saisie'!$C$5:$C$2004,C367,'Saisie'!$Y$5:$Y$2004,"&lt;&gt;")-4),""))</f>
        <v/>
      </c>
      <c r="BD367" s="106">
        <f>IF(C367="","",IFERROR(1/(1/_xlfn.MINIFS('Saisie'!$A$5:$A$2004,'Saisie'!$C$5:$C$2004,C367,'Saisie'!$AT$5:$AT$2004,"&gt;=2")),""))</f>
        <v/>
      </c>
      <c r="BE367" s="106">
        <f>IF(C367="","",IFERROR(1/(1/_xlfn.MINIFS('Saisie'!$A$5:$A$2004,'Saisie'!$C$5:$C$2004,C367,'Saisie'!$AT$5:$AT$2004,"&gt;=3")),""))</f>
        <v/>
      </c>
      <c r="BF367" s="106">
        <f>IF(C367="","",IFERROR(1/(1/_xlfn.MINIFS('Saisie'!$A$5:$A$2004,'Saisie'!$C$5:$C$2004,C367,'Saisie'!$AT$5:$AT$2004,"&gt;=4")),""))</f>
        <v/>
      </c>
      <c r="BG367" s="106">
        <f>IF(C367="","",IFERROR(1/(1/_xlfn.MINIFS('Saisie'!$A$5:$A$2004,'Saisie'!$C$5:$C$2004,C367,'Saisie'!$AT$5:$AT$2004,"&gt;=5")),""))</f>
        <v/>
      </c>
      <c r="BH367" s="106">
        <f>IF(C367="","",IFERROR(1/(1/_xlfn.MINIFS('Saisie'!$A$5:$A$2004,'Saisie'!$C$5:$C$2004,C367,'Saisie'!$AT$5:$AT$2004,"&gt;=6")),""))</f>
        <v/>
      </c>
      <c r="BI367" s="106">
        <f>IF(C367="","",IFERROR(1/(1/_xlfn.MINIFS('Saisie'!$A$5:$A$2004,'Saisie'!$C$5:$C$2004,C367,'Saisie'!$AT$5:$AT$2004,"&gt;=7")),""))</f>
        <v/>
      </c>
      <c r="BJ367" s="60">
        <f>IF(OR(BD367="",B367=""),"",BD367-B367)</f>
        <v/>
      </c>
      <c r="BK367" s="60">
        <f>IF(OR(BE367="",BD367=""),"",BE367-BD367)</f>
        <v/>
      </c>
      <c r="BL367" s="60">
        <f>IF(OR(BF367="",BE367=""),"",BF367-BE367)</f>
        <v/>
      </c>
      <c r="BM367" s="60">
        <f>IF(OR(BG367="",BF367=""),"",BG367-BF367)</f>
        <v/>
      </c>
      <c r="BN367" s="60">
        <f>IF(OR(BH367="",BG367=""),"",BH367-BG367)</f>
        <v/>
      </c>
      <c r="BO367" s="60">
        <f>IF(OR(BI367="",BH367=""),"",BI367-BH367)</f>
        <v/>
      </c>
      <c r="BP367" s="60">
        <f>IF(C367="","",_xlfn.MAXIFS('Saisie'!$AS$5:$AS$2004,'Saisie'!$C$5:$C$2004,C367,'Saisie'!$J$5:$J$2004,"&lt;&gt;"))</f>
        <v/>
      </c>
      <c r="BQ367" s="60">
        <f>IF(C367="","",_xlfn.MAXIFS('Saisie'!$AS$5:$AS$2004,'Saisie'!$C$5:$C$2004,C367))</f>
        <v/>
      </c>
      <c r="BR367" s="60">
        <f>IF(C367="","",_xlfn.MAXIFS('Saisie'!$AS$5:$AS$2004,'Saisie'!$C$5:$C$2004,C367,'Saisie'!$E$5:$E$2004,"Perdu"))</f>
        <v/>
      </c>
      <c r="BS367" s="60">
        <f>IF(C367="","",_xlfn.MAXIFS('Saisie'!$AS$5:$AS$2004,'Saisie'!$C$5:$C$2004,C367,'Saisie'!$AT$5:$AT$2004,"&gt;0"))</f>
        <v/>
      </c>
      <c r="BT367" s="109">
        <f>IF(AND(C367&lt;&gt;"",OR(D367="Nouveau",D367="Contacté",D367="Qualifié"),OR(G367="",N(G367)&lt;=TODAY()),NOT(AND(O367&gt;='Paramètres'!$B$21,P367=0))),E367+363/10000,"")</f>
        <v/>
      </c>
      <c r="BU367" s="60">
        <f>IF(AND(G367&lt;&gt;"",N(G367)&lt;=TODAY()),MAX($BU$4:BU366)+1,"")</f>
        <v/>
      </c>
      <c r="BV367" s="60">
        <f>IF(AND(F367&lt;&gt;"",F367&lt;&gt;"Relance en retard"),MAX($BV$4:BV366)+1,"")</f>
        <v/>
      </c>
      <c r="BW367" s="60">
        <f>IF(C367="","",IF(AND(B367&gt;='Tableau de bord'!$R$4,B367&lt;='Tableau de bord'!$S$4,OR('Tableau de bord'!$G$4="Tous",N367='Tableau de bord'!$G$4)),1,0))</f>
        <v/>
      </c>
      <c r="BX367" s="60">
        <f>IF(AND(C367&lt;&gt;"",N(BA367)=7),MAX($BX$4:BX366)+1,"")</f>
        <v/>
      </c>
    </row>
    <row r="368">
      <c r="A368" s="60">
        <f>IF(C368="","","P-"&amp;TEXT(364,"000"))</f>
        <v/>
      </c>
      <c r="B368" s="106">
        <f>IF(C368="","",IFERROR(1/(1/_xlfn.MINIFS('Saisie'!$A$5:$A$2004,'Saisie'!$C$5:$C$2004,C368)),""))</f>
        <v/>
      </c>
      <c r="C368" s="60">
        <f>IFERROR(INDEX('Saisie'!$C$5:$C$2004,MATCH(364,'Saisie'!$AX$5:$AX$2004,0)),"")</f>
        <v/>
      </c>
      <c r="D368" s="60">
        <f>IF(C368="","",IF(AND(BR368&gt;0,BR368&gt;BS368,BA368&lt;7),"Perdu",INDEX('Paramètres'!$F$6:$F$13,BA368)))</f>
        <v/>
      </c>
      <c r="E368" s="61">
        <f>IF(C368="","",MIN(100,(Z368="Oui")*'Paramètres'!$B$38+(AB368="Régulière")*'Paramètres'!$B$39+IF(AND(N(AA368)&gt;0,TODAY()-N(AA368)&lt;=30),'Paramètres'!$B$40,0)+(W368="")*'Paramètres'!$B$41+(AC368="Absente")*'Paramètres'!$B$42+(AC368="Faible")*'Paramètres'!$B$43+IF(AND(N(AD368)&gt;0,N(AD368)&lt;4),'Paramètres'!$B$44,0)+(AF368="Moyenne")*'Paramètres'!$B$45+(AF368="Grande")*'Paramètres'!$B$46+(Y368&lt;&gt;"")*'Paramètres'!$B$47))</f>
        <v/>
      </c>
      <c r="F368" s="60">
        <f>IF(C368="","",IF(D368="Gagné","",IF(D368="Perdu",IF(AND(AX368&lt;&gt;"",AX368&lt;=TODAY()),"À recontacter (perdu)",""),IF(AND(O368&gt;='Paramètres'!$B$21,P368=0),"Stop : "&amp;'Paramètres'!$B$21&amp;" tentatives sans réponse",IF(AND(D368="Proposition",AR368&lt;&gt;"",TODAY()&gt;N(AR368)),"Proposition expirée",IF(AND(D368="Proposition",N(R368)&gt;='Paramètres'!$B$25),"Proposition sans réponse",IF(AND(G368&lt;&gt;"",N(G368)&lt;TODAY()),"Relance en retard",IF(N(R368)&gt;='Paramètres'!$B$24,"Sans action depuis "&amp;R368&amp;" j",""))))))))</f>
        <v/>
      </c>
      <c r="G368" s="106">
        <f>IF(OR(C368="",D368="Gagné",D368="Perdu"),"",IF(AND(BP368&gt;0,BP368=BQ368),INDEX('Saisie'!$J$5:$J$2004,BP368-4),IF(OR(O368=0,AND(O368&gt;='Paramètres'!$B$21,P368=0)),"",Q368+IF(O368&lt;=1,'Paramètres'!$B$18,IF(O368=2,'Paramètres'!$B$19,'Paramètres'!$B$20)))))</f>
        <v/>
      </c>
      <c r="H368" s="107">
        <f>IF(OR(G368="",BP368&lt;&gt;BQ368),"",IF(INDEX('Saisie'!$K$5:$K$2004,BP368-4)="","",INDEX('Saisie'!$K$5:$K$2004,BP368-4)))</f>
        <v/>
      </c>
      <c r="I368" s="60">
        <f>IF(C368="","",IF(OR(D368="Gagné",D368="Perdu"),"",IFERROR(INDEX('Saisie'!$I$5:$I$2004,_xlfn.MAXIFS('Saisie'!$AS$5:$AS$2004,'Saisie'!$C$5:$C$2004,C368,'Saisie'!$I$5:$I$2004,"&lt;&gt;")-4),"")))</f>
        <v/>
      </c>
      <c r="J368" s="60">
        <f>IF(C368="","",IFERROR(INDEX('Saisie'!$U$5:$U$2004,_xlfn.MAXIFS('Saisie'!$AS$5:$AS$2004,'Saisie'!$C$5:$C$2004,C368,'Saisie'!$U$5:$U$2004,"&lt;&gt;")-4),""))</f>
        <v/>
      </c>
      <c r="K368" s="60">
        <f>IF(C368="","",IFERROR(INDEX('Saisie'!$W$5:$W$2004,_xlfn.MAXIFS('Saisie'!$AS$5:$AS$2004,'Saisie'!$C$5:$C$2004,C368,'Saisie'!$W$5:$W$2004,"&lt;&gt;")-4),""))</f>
        <v/>
      </c>
      <c r="L368" s="60">
        <f>IF(IF(BB368&lt;&gt;"",BB368,K368)="","",HYPERLINK("https://wa.me/"&amp;IF(LEFT(SUBSTITUTE(SUBSTITUTE(SUBSTITUTE(IF(BB368&lt;&gt;"",BB368,K368)," ",""),".",""),"+",""),1)="0",'Paramètres'!$B$35&amp;MID(SUBSTITUTE(SUBSTITUTE(SUBSTITUTE(IF(BB368&lt;&gt;"",BB368,K368)," ",""),".",""),"+",""),2,20),SUBSTITUTE(SUBSTITUTE(SUBSTITUTE(IF(BB368&lt;&gt;"",BB368,K368)," ",""),".",""),"+","")),"WhatsApp"))</f>
        <v/>
      </c>
      <c r="M368" s="60">
        <f>IF(BC368="","",HYPERLINK(IF(LEFT(BC368,4)="http",BC368,"https://www.instagram.com/"&amp;SUBSTITUTE(SUBSTITUTE(BC368,"@","")," ","")),BC368))</f>
        <v/>
      </c>
      <c r="N368" s="60">
        <f>IF(C368="","",IFERROR(INDEX('Saisie'!$D$5:$D$2004,_xlfn.MINIFS('Saisie'!$AS$5:$AS$2004,'Saisie'!$C$5:$C$2004,C368,'Saisie'!$AU$5:$AU$2004,1)-4),IFERROR(INDEX('Saisie'!$D$5:$D$2004,_xlfn.MINIFS('Saisie'!$AS$5:$AS$2004,'Saisie'!$C$5:$C$2004,C368,'Saisie'!$D$5:$D$2004,"&lt;&gt;")-4),"")))</f>
        <v/>
      </c>
      <c r="O368" s="60">
        <f>IF(C368="","",COUNTIFS('Saisie'!$C$5:$C$2004,C368,'Saisie'!$AU$5:$AU$2004,1))</f>
        <v/>
      </c>
      <c r="P368" s="60">
        <f>IF(C368="","",COUNTIFS('Saisie'!$C$5:$C$2004,C368,'Saisie'!$AV$5:$AV$2004,1))</f>
        <v/>
      </c>
      <c r="Q368" s="106">
        <f>IF(C368="","",IFERROR(1/(1/_xlfn.MAXIFS('Saisie'!$A$5:$A$2004,'Saisie'!$C$5:$C$2004,C368)),""))</f>
        <v/>
      </c>
      <c r="R368" s="61">
        <f>IF(C368="","",IF(Q368="","",TODAY()-Q368))</f>
        <v/>
      </c>
      <c r="S368" s="60">
        <f>IF(C368="","",IFERROR(INDEX('Saisie'!$R$5:$R$2004,_xlfn.MAXIFS('Saisie'!$AS$5:$AS$2004,'Saisie'!$C$5:$C$2004,C368,'Saisie'!$R$5:$R$2004,"&lt;&gt;")-4),""))</f>
        <v/>
      </c>
      <c r="T368" s="60">
        <f>IF(C368="","",IFERROR(INDEX('Saisie'!$S$5:$S$2004,_xlfn.MAXIFS('Saisie'!$AS$5:$AS$2004,'Saisie'!$C$5:$C$2004,C368,'Saisie'!$S$5:$S$2004,"&lt;&gt;")-4),""))</f>
        <v/>
      </c>
      <c r="U368" s="60">
        <f>IF(C368="","",IFERROR(INDEX('Saisie'!$T$5:$T$2004,_xlfn.MAXIFS('Saisie'!$AS$5:$AS$2004,'Saisie'!$C$5:$C$2004,C368,'Saisie'!$T$5:$T$2004,"&lt;&gt;")-4),""))</f>
        <v/>
      </c>
      <c r="V368" s="60">
        <f>IF(C368="","",IFERROR(INDEX('Saisie'!$V$5:$V$2004,_xlfn.MAXIFS('Saisie'!$AS$5:$AS$2004,'Saisie'!$C$5:$C$2004,C368,'Saisie'!$V$5:$V$2004,"&lt;&gt;")-4),""))</f>
        <v/>
      </c>
      <c r="W368" s="60">
        <f>IF(C368="","",IFERROR(INDEX('Saisie'!$Z$5:$Z$2004,_xlfn.MAXIFS('Saisie'!$AS$5:$AS$2004,'Saisie'!$C$5:$C$2004,C368,'Saisie'!$Z$5:$Z$2004,"&lt;&gt;")-4),""))</f>
        <v/>
      </c>
      <c r="X368" s="60">
        <f>IF(C368="","",IFERROR(INDEX('Saisie'!$AA$5:$AA$2004,_xlfn.MAXIFS('Saisie'!$AS$5:$AS$2004,'Saisie'!$C$5:$C$2004,C368,'Saisie'!$AA$5:$AA$2004,"&lt;&gt;")-4),""))</f>
        <v/>
      </c>
      <c r="Y368" s="60">
        <f>IF(C368="","",IFERROR(INDEX('Saisie'!$AB$5:$AB$2004,_xlfn.MAXIFS('Saisie'!$AS$5:$AS$2004,'Saisie'!$C$5:$C$2004,C368,'Saisie'!$AB$5:$AB$2004,"&lt;&gt;")-4),""))</f>
        <v/>
      </c>
      <c r="Z368" s="60">
        <f>IF(C368="","",IFERROR(INDEX('Saisie'!$AC$5:$AC$2004,_xlfn.MAXIFS('Saisie'!$AS$5:$AS$2004,'Saisie'!$C$5:$C$2004,C368,'Saisie'!$AC$5:$AC$2004,"&lt;&gt;")-4),""))</f>
        <v/>
      </c>
      <c r="AA368" s="106">
        <f>IF(C368="","",IFERROR(INDEX('Saisie'!$AD$5:$AD$2004,_xlfn.MAXIFS('Saisie'!$AS$5:$AS$2004,'Saisie'!$C$5:$C$2004,C368,'Saisie'!$AD$5:$AD$2004,"&lt;&gt;")-4),""))</f>
        <v/>
      </c>
      <c r="AB368" s="60">
        <f>IF(C368="","",IFERROR(INDEX('Saisie'!$AE$5:$AE$2004,_xlfn.MAXIFS('Saisie'!$AS$5:$AS$2004,'Saisie'!$C$5:$C$2004,C368,'Saisie'!$AE$5:$AE$2004,"&lt;&gt;")-4),""))</f>
        <v/>
      </c>
      <c r="AC368" s="60">
        <f>IF(C368="","",IFERROR(INDEX('Saisie'!$AF$5:$AF$2004,_xlfn.MAXIFS('Saisie'!$AS$5:$AS$2004,'Saisie'!$C$5:$C$2004,C368,'Saisie'!$AF$5:$AF$2004,"&lt;&gt;")-4),""))</f>
        <v/>
      </c>
      <c r="AD368" s="108">
        <f>IF(C368="","",IFERROR(INDEX('Saisie'!$AG$5:$AG$2004,_xlfn.MAXIFS('Saisie'!$AS$5:$AS$2004,'Saisie'!$C$5:$C$2004,C368,'Saisie'!$AG$5:$AG$2004,"&lt;&gt;")-4),""))</f>
        <v/>
      </c>
      <c r="AE368" s="60">
        <f>IF(C368="","",IFERROR(INDEX('Saisie'!$AH$5:$AH$2004,_xlfn.MAXIFS('Saisie'!$AS$5:$AS$2004,'Saisie'!$C$5:$C$2004,C368,'Saisie'!$AH$5:$AH$2004,"&lt;&gt;")-4),""))</f>
        <v/>
      </c>
      <c r="AF368" s="60">
        <f>IF(C368="","",IFERROR(INDEX('Saisie'!$AI$5:$AI$2004,_xlfn.MAXIFS('Saisie'!$AS$5:$AS$2004,'Saisie'!$C$5:$C$2004,C368,'Saisie'!$AI$5:$AI$2004,"&lt;&gt;")-4),""))</f>
        <v/>
      </c>
      <c r="AG368" s="60">
        <f>IF(C368="","",IFERROR(INDEX('Saisie'!$AJ$5:$AJ$2004,_xlfn.MAXIFS('Saisie'!$AS$5:$AS$2004,'Saisie'!$C$5:$C$2004,C368,'Saisie'!$AJ$5:$AJ$2004,"&lt;&gt;")-4),""))</f>
        <v/>
      </c>
      <c r="AH368" s="60">
        <f>IF(C368="","",IFERROR(INDEX('Saisie'!$AK$5:$AK$2004,_xlfn.MAXIFS('Saisie'!$AS$5:$AS$2004,'Saisie'!$C$5:$C$2004,C368,'Saisie'!$AK$5:$AK$2004,"&lt;&gt;")-4),""))</f>
        <v/>
      </c>
      <c r="AI368" s="60">
        <f>IF(C368="","",IFERROR(INDEX('Saisie'!$AN$5:$AN$2004,_xlfn.MAXIFS('Saisie'!$AS$5:$AS$2004,'Saisie'!$C$5:$C$2004,C368,'Saisie'!$AN$5:$AN$2004,"&lt;&gt;")-4),""))</f>
        <v/>
      </c>
      <c r="AJ368" s="60">
        <f>IF(C368="","",IFERROR(INDEX('Saisie'!$AO$5:$AO$2004,_xlfn.MAXIFS('Saisie'!$AS$5:$AS$2004,'Saisie'!$C$5:$C$2004,C368,'Saisie'!$AO$5:$AO$2004,"&lt;&gt;")-4),""))</f>
        <v/>
      </c>
      <c r="AK368" s="60">
        <f>IF(C368="","",IFERROR(INDEX('Saisie'!$AP$5:$AP$2004,_xlfn.MAXIFS('Saisie'!$AS$5:$AS$2004,'Saisie'!$C$5:$C$2004,C368,'Saisie'!$AP$5:$AP$2004,"&lt;&gt;")-4),""))</f>
        <v/>
      </c>
      <c r="AL368" s="60">
        <f>IF(C368="","",IFERROR(INDEX('Saisie'!$AQ$5:$AQ$2004,_xlfn.MAXIFS('Saisie'!$AS$5:$AS$2004,'Saisie'!$C$5:$C$2004,C368,'Saisie'!$AQ$5:$AQ$2004,"&lt;&gt;")-4),""))</f>
        <v/>
      </c>
      <c r="AM368" s="60">
        <f>IF(C368="","",((AI368="Oui")+(AJ368="Oui")+(AK368="Oui")+OR(AL368="Immédiat",AL368="&lt; 1 mois"))&amp;"/4")</f>
        <v/>
      </c>
      <c r="AN368" s="60">
        <f>IF(C368="","",IFERROR(INDEX('Saisie'!$AL$5:$AL$2004,_xlfn.MAXIFS('Saisie'!$AS$5:$AS$2004,'Saisie'!$C$5:$C$2004,C368,'Saisie'!$AL$5:$AL$2004,"&lt;&gt;")-4),""))</f>
        <v/>
      </c>
      <c r="AO368" s="62">
        <f>IF(C368="","",IF(IFERROR(INDEX('Saisie'!$AM$5:$AM$2004,_xlfn.MAXIFS('Saisie'!$AS$5:$AS$2004,'Saisie'!$C$5:$C$2004,C368,'Saisie'!$AM$5:$AM$2004,"&lt;&gt;")-4),"")&lt;&gt;"",IFERROR(INDEX('Saisie'!$AM$5:$AM$2004,_xlfn.MAXIFS('Saisie'!$AS$5:$AS$2004,'Saisie'!$C$5:$C$2004,C368,'Saisie'!$AM$5:$AM$2004,"&lt;&gt;")-4),""),IFERROR(INDEX('Paramètres'!$S$6:$S$15,MATCH(AN368,'Paramètres'!$Q$6:$Q$15,0)),"")))</f>
        <v/>
      </c>
      <c r="AP368" s="62">
        <f>IF(C368="","",IFERROR(INDEX('Saisie'!$AW$5:$AW$2004,_xlfn.MAXIFS('Saisie'!$AS$5:$AS$2004,'Saisie'!$C$5:$C$2004,C368,'Saisie'!$E$5:$E$2004,"Proposition envoyée")-4),""))</f>
        <v/>
      </c>
      <c r="AQ368" s="106">
        <f>IF(C368="","",IFERROR(1/(1/_xlfn.MAXIFS('Saisie'!$A$5:$A$2004,'Saisie'!$C$5:$C$2004,C368,'Saisie'!$E$5:$E$2004,"Proposition envoyée")),""))</f>
        <v/>
      </c>
      <c r="AR368" s="106">
        <f>IF(C368="","",IF(AQ368="","",AQ368+'Paramètres'!$B$26))</f>
        <v/>
      </c>
      <c r="AS368" s="62">
        <f>IF(OR(C368="",D368="Gagné",D368="Perdu"),0,N(AP368)*IFERROR(INDEX('Paramètres'!$G$6:$G$13,MATCH(D368,'Paramètres'!$F$6:$F$13,0)),0))</f>
        <v/>
      </c>
      <c r="AT368" s="106">
        <f>IF(C368="","",IFERROR(1/(1/_xlfn.MINIFS('Saisie'!$A$5:$A$2004,'Saisie'!$C$5:$C$2004,C368,'Saisie'!$E$5:$E$2004,"Signature")),""))</f>
        <v/>
      </c>
      <c r="AU368" s="60">
        <f>IF(C368="","",IF(OR(AT368="",B368=""),"",AT368-B368))</f>
        <v/>
      </c>
      <c r="AV368" s="60">
        <f>IF(C368="","",IFERROR(INDEX('Saisie'!$L$5:$L$2004,_xlfn.MAXIFS('Saisie'!$AS$5:$AS$2004,'Saisie'!$C$5:$C$2004,C368,'Saisie'!$L$5:$L$2004,"&lt;&gt;")-4),""))</f>
        <v/>
      </c>
      <c r="AW368" s="106">
        <f>IF(C368="","",IF(D368&lt;&gt;"Perdu","",IFERROR(1/(1/_xlfn.MAXIFS('Saisie'!$A$5:$A$2004,'Saisie'!$C$5:$C$2004,C368,'Saisie'!$E$5:$E$2004,"Perdu")),"")))</f>
        <v/>
      </c>
      <c r="AX368" s="106">
        <f>IF(C368="","",IF(AW368="","",AW368+'Paramètres'!$B$28))</f>
        <v/>
      </c>
      <c r="AY368" s="60">
        <f>IF(C368="","",SUMIFS('Saisie'!$H$5:$H$2004,'Saisie'!$C$5:$C$2004,C368))</f>
        <v/>
      </c>
      <c r="AZ368" s="60">
        <f>IF(C368="","",IFERROR(INDEX('Paramètres'!$W$6:$W$20,MATCH(S368,'Paramètres'!$V$6:$V$20,0))&amp;"",""))</f>
        <v/>
      </c>
      <c r="BA368" s="60">
        <f>IF(C368="","",MAX(1,_xlfn.MAXIFS('Saisie'!$AT$5:$AT$2004,'Saisie'!$C$5:$C$2004,C368)))</f>
        <v/>
      </c>
      <c r="BB368" s="60">
        <f>IF(C368="","",IFERROR(INDEX('Saisie'!$X$5:$X$2004,_xlfn.MAXIFS('Saisie'!$AS$5:$AS$2004,'Saisie'!$C$5:$C$2004,C368,'Saisie'!$X$5:$X$2004,"&lt;&gt;")-4),""))</f>
        <v/>
      </c>
      <c r="BC368" s="60">
        <f>IF(C368="","",IFERROR(INDEX('Saisie'!$Y$5:$Y$2004,_xlfn.MAXIFS('Saisie'!$AS$5:$AS$2004,'Saisie'!$C$5:$C$2004,C368,'Saisie'!$Y$5:$Y$2004,"&lt;&gt;")-4),""))</f>
        <v/>
      </c>
      <c r="BD368" s="106">
        <f>IF(C368="","",IFERROR(1/(1/_xlfn.MINIFS('Saisie'!$A$5:$A$2004,'Saisie'!$C$5:$C$2004,C368,'Saisie'!$AT$5:$AT$2004,"&gt;=2")),""))</f>
        <v/>
      </c>
      <c r="BE368" s="106">
        <f>IF(C368="","",IFERROR(1/(1/_xlfn.MINIFS('Saisie'!$A$5:$A$2004,'Saisie'!$C$5:$C$2004,C368,'Saisie'!$AT$5:$AT$2004,"&gt;=3")),""))</f>
        <v/>
      </c>
      <c r="BF368" s="106">
        <f>IF(C368="","",IFERROR(1/(1/_xlfn.MINIFS('Saisie'!$A$5:$A$2004,'Saisie'!$C$5:$C$2004,C368,'Saisie'!$AT$5:$AT$2004,"&gt;=4")),""))</f>
        <v/>
      </c>
      <c r="BG368" s="106">
        <f>IF(C368="","",IFERROR(1/(1/_xlfn.MINIFS('Saisie'!$A$5:$A$2004,'Saisie'!$C$5:$C$2004,C368,'Saisie'!$AT$5:$AT$2004,"&gt;=5")),""))</f>
        <v/>
      </c>
      <c r="BH368" s="106">
        <f>IF(C368="","",IFERROR(1/(1/_xlfn.MINIFS('Saisie'!$A$5:$A$2004,'Saisie'!$C$5:$C$2004,C368,'Saisie'!$AT$5:$AT$2004,"&gt;=6")),""))</f>
        <v/>
      </c>
      <c r="BI368" s="106">
        <f>IF(C368="","",IFERROR(1/(1/_xlfn.MINIFS('Saisie'!$A$5:$A$2004,'Saisie'!$C$5:$C$2004,C368,'Saisie'!$AT$5:$AT$2004,"&gt;=7")),""))</f>
        <v/>
      </c>
      <c r="BJ368" s="60">
        <f>IF(OR(BD368="",B368=""),"",BD368-B368)</f>
        <v/>
      </c>
      <c r="BK368" s="60">
        <f>IF(OR(BE368="",BD368=""),"",BE368-BD368)</f>
        <v/>
      </c>
      <c r="BL368" s="60">
        <f>IF(OR(BF368="",BE368=""),"",BF368-BE368)</f>
        <v/>
      </c>
      <c r="BM368" s="60">
        <f>IF(OR(BG368="",BF368=""),"",BG368-BF368)</f>
        <v/>
      </c>
      <c r="BN368" s="60">
        <f>IF(OR(BH368="",BG368=""),"",BH368-BG368)</f>
        <v/>
      </c>
      <c r="BO368" s="60">
        <f>IF(OR(BI368="",BH368=""),"",BI368-BH368)</f>
        <v/>
      </c>
      <c r="BP368" s="60">
        <f>IF(C368="","",_xlfn.MAXIFS('Saisie'!$AS$5:$AS$2004,'Saisie'!$C$5:$C$2004,C368,'Saisie'!$J$5:$J$2004,"&lt;&gt;"))</f>
        <v/>
      </c>
      <c r="BQ368" s="60">
        <f>IF(C368="","",_xlfn.MAXIFS('Saisie'!$AS$5:$AS$2004,'Saisie'!$C$5:$C$2004,C368))</f>
        <v/>
      </c>
      <c r="BR368" s="60">
        <f>IF(C368="","",_xlfn.MAXIFS('Saisie'!$AS$5:$AS$2004,'Saisie'!$C$5:$C$2004,C368,'Saisie'!$E$5:$E$2004,"Perdu"))</f>
        <v/>
      </c>
      <c r="BS368" s="60">
        <f>IF(C368="","",_xlfn.MAXIFS('Saisie'!$AS$5:$AS$2004,'Saisie'!$C$5:$C$2004,C368,'Saisie'!$AT$5:$AT$2004,"&gt;0"))</f>
        <v/>
      </c>
      <c r="BT368" s="109">
        <f>IF(AND(C368&lt;&gt;"",OR(D368="Nouveau",D368="Contacté",D368="Qualifié"),OR(G368="",N(G368)&lt;=TODAY()),NOT(AND(O368&gt;='Paramètres'!$B$21,P368=0))),E368+364/10000,"")</f>
        <v/>
      </c>
      <c r="BU368" s="60">
        <f>IF(AND(G368&lt;&gt;"",N(G368)&lt;=TODAY()),MAX($BU$4:BU367)+1,"")</f>
        <v/>
      </c>
      <c r="BV368" s="60">
        <f>IF(AND(F368&lt;&gt;"",F368&lt;&gt;"Relance en retard"),MAX($BV$4:BV367)+1,"")</f>
        <v/>
      </c>
      <c r="BW368" s="60">
        <f>IF(C368="","",IF(AND(B368&gt;='Tableau de bord'!$R$4,B368&lt;='Tableau de bord'!$S$4,OR('Tableau de bord'!$G$4="Tous",N368='Tableau de bord'!$G$4)),1,0))</f>
        <v/>
      </c>
      <c r="BX368" s="60">
        <f>IF(AND(C368&lt;&gt;"",N(BA368)=7),MAX($BX$4:BX367)+1,"")</f>
        <v/>
      </c>
    </row>
    <row r="369">
      <c r="A369" s="60">
        <f>IF(C369="","","P-"&amp;TEXT(365,"000"))</f>
        <v/>
      </c>
      <c r="B369" s="106">
        <f>IF(C369="","",IFERROR(1/(1/_xlfn.MINIFS('Saisie'!$A$5:$A$2004,'Saisie'!$C$5:$C$2004,C369)),""))</f>
        <v/>
      </c>
      <c r="C369" s="60">
        <f>IFERROR(INDEX('Saisie'!$C$5:$C$2004,MATCH(365,'Saisie'!$AX$5:$AX$2004,0)),"")</f>
        <v/>
      </c>
      <c r="D369" s="60">
        <f>IF(C369="","",IF(AND(BR369&gt;0,BR369&gt;BS369,BA369&lt;7),"Perdu",INDEX('Paramètres'!$F$6:$F$13,BA369)))</f>
        <v/>
      </c>
      <c r="E369" s="61">
        <f>IF(C369="","",MIN(100,(Z369="Oui")*'Paramètres'!$B$38+(AB369="Régulière")*'Paramètres'!$B$39+IF(AND(N(AA369)&gt;0,TODAY()-N(AA369)&lt;=30),'Paramètres'!$B$40,0)+(W369="")*'Paramètres'!$B$41+(AC369="Absente")*'Paramètres'!$B$42+(AC369="Faible")*'Paramètres'!$B$43+IF(AND(N(AD369)&gt;0,N(AD369)&lt;4),'Paramètres'!$B$44,0)+(AF369="Moyenne")*'Paramètres'!$B$45+(AF369="Grande")*'Paramètres'!$B$46+(Y369&lt;&gt;"")*'Paramètres'!$B$47))</f>
        <v/>
      </c>
      <c r="F369" s="60">
        <f>IF(C369="","",IF(D369="Gagné","",IF(D369="Perdu",IF(AND(AX369&lt;&gt;"",AX369&lt;=TODAY()),"À recontacter (perdu)",""),IF(AND(O369&gt;='Paramètres'!$B$21,P369=0),"Stop : "&amp;'Paramètres'!$B$21&amp;" tentatives sans réponse",IF(AND(D369="Proposition",AR369&lt;&gt;"",TODAY()&gt;N(AR369)),"Proposition expirée",IF(AND(D369="Proposition",N(R369)&gt;='Paramètres'!$B$25),"Proposition sans réponse",IF(AND(G369&lt;&gt;"",N(G369)&lt;TODAY()),"Relance en retard",IF(N(R369)&gt;='Paramètres'!$B$24,"Sans action depuis "&amp;R369&amp;" j",""))))))))</f>
        <v/>
      </c>
      <c r="G369" s="106">
        <f>IF(OR(C369="",D369="Gagné",D369="Perdu"),"",IF(AND(BP369&gt;0,BP369=BQ369),INDEX('Saisie'!$J$5:$J$2004,BP369-4),IF(OR(O369=0,AND(O369&gt;='Paramètres'!$B$21,P369=0)),"",Q369+IF(O369&lt;=1,'Paramètres'!$B$18,IF(O369=2,'Paramètres'!$B$19,'Paramètres'!$B$20)))))</f>
        <v/>
      </c>
      <c r="H369" s="107">
        <f>IF(OR(G369="",BP369&lt;&gt;BQ369),"",IF(INDEX('Saisie'!$K$5:$K$2004,BP369-4)="","",INDEX('Saisie'!$K$5:$K$2004,BP369-4)))</f>
        <v/>
      </c>
      <c r="I369" s="60">
        <f>IF(C369="","",IF(OR(D369="Gagné",D369="Perdu"),"",IFERROR(INDEX('Saisie'!$I$5:$I$2004,_xlfn.MAXIFS('Saisie'!$AS$5:$AS$2004,'Saisie'!$C$5:$C$2004,C369,'Saisie'!$I$5:$I$2004,"&lt;&gt;")-4),"")))</f>
        <v/>
      </c>
      <c r="J369" s="60">
        <f>IF(C369="","",IFERROR(INDEX('Saisie'!$U$5:$U$2004,_xlfn.MAXIFS('Saisie'!$AS$5:$AS$2004,'Saisie'!$C$5:$C$2004,C369,'Saisie'!$U$5:$U$2004,"&lt;&gt;")-4),""))</f>
        <v/>
      </c>
      <c r="K369" s="60">
        <f>IF(C369="","",IFERROR(INDEX('Saisie'!$W$5:$W$2004,_xlfn.MAXIFS('Saisie'!$AS$5:$AS$2004,'Saisie'!$C$5:$C$2004,C369,'Saisie'!$W$5:$W$2004,"&lt;&gt;")-4),""))</f>
        <v/>
      </c>
      <c r="L369" s="60">
        <f>IF(IF(BB369&lt;&gt;"",BB369,K369)="","",HYPERLINK("https://wa.me/"&amp;IF(LEFT(SUBSTITUTE(SUBSTITUTE(SUBSTITUTE(IF(BB369&lt;&gt;"",BB369,K369)," ",""),".",""),"+",""),1)="0",'Paramètres'!$B$35&amp;MID(SUBSTITUTE(SUBSTITUTE(SUBSTITUTE(IF(BB369&lt;&gt;"",BB369,K369)," ",""),".",""),"+",""),2,20),SUBSTITUTE(SUBSTITUTE(SUBSTITUTE(IF(BB369&lt;&gt;"",BB369,K369)," ",""),".",""),"+","")),"WhatsApp"))</f>
        <v/>
      </c>
      <c r="M369" s="60">
        <f>IF(BC369="","",HYPERLINK(IF(LEFT(BC369,4)="http",BC369,"https://www.instagram.com/"&amp;SUBSTITUTE(SUBSTITUTE(BC369,"@","")," ","")),BC369))</f>
        <v/>
      </c>
      <c r="N369" s="60">
        <f>IF(C369="","",IFERROR(INDEX('Saisie'!$D$5:$D$2004,_xlfn.MINIFS('Saisie'!$AS$5:$AS$2004,'Saisie'!$C$5:$C$2004,C369,'Saisie'!$AU$5:$AU$2004,1)-4),IFERROR(INDEX('Saisie'!$D$5:$D$2004,_xlfn.MINIFS('Saisie'!$AS$5:$AS$2004,'Saisie'!$C$5:$C$2004,C369,'Saisie'!$D$5:$D$2004,"&lt;&gt;")-4),"")))</f>
        <v/>
      </c>
      <c r="O369" s="60">
        <f>IF(C369="","",COUNTIFS('Saisie'!$C$5:$C$2004,C369,'Saisie'!$AU$5:$AU$2004,1))</f>
        <v/>
      </c>
      <c r="P369" s="60">
        <f>IF(C369="","",COUNTIFS('Saisie'!$C$5:$C$2004,C369,'Saisie'!$AV$5:$AV$2004,1))</f>
        <v/>
      </c>
      <c r="Q369" s="106">
        <f>IF(C369="","",IFERROR(1/(1/_xlfn.MAXIFS('Saisie'!$A$5:$A$2004,'Saisie'!$C$5:$C$2004,C369)),""))</f>
        <v/>
      </c>
      <c r="R369" s="61">
        <f>IF(C369="","",IF(Q369="","",TODAY()-Q369))</f>
        <v/>
      </c>
      <c r="S369" s="60">
        <f>IF(C369="","",IFERROR(INDEX('Saisie'!$R$5:$R$2004,_xlfn.MAXIFS('Saisie'!$AS$5:$AS$2004,'Saisie'!$C$5:$C$2004,C369,'Saisie'!$R$5:$R$2004,"&lt;&gt;")-4),""))</f>
        <v/>
      </c>
      <c r="T369" s="60">
        <f>IF(C369="","",IFERROR(INDEX('Saisie'!$S$5:$S$2004,_xlfn.MAXIFS('Saisie'!$AS$5:$AS$2004,'Saisie'!$C$5:$C$2004,C369,'Saisie'!$S$5:$S$2004,"&lt;&gt;")-4),""))</f>
        <v/>
      </c>
      <c r="U369" s="60">
        <f>IF(C369="","",IFERROR(INDEX('Saisie'!$T$5:$T$2004,_xlfn.MAXIFS('Saisie'!$AS$5:$AS$2004,'Saisie'!$C$5:$C$2004,C369,'Saisie'!$T$5:$T$2004,"&lt;&gt;")-4),""))</f>
        <v/>
      </c>
      <c r="V369" s="60">
        <f>IF(C369="","",IFERROR(INDEX('Saisie'!$V$5:$V$2004,_xlfn.MAXIFS('Saisie'!$AS$5:$AS$2004,'Saisie'!$C$5:$C$2004,C369,'Saisie'!$V$5:$V$2004,"&lt;&gt;")-4),""))</f>
        <v/>
      </c>
      <c r="W369" s="60">
        <f>IF(C369="","",IFERROR(INDEX('Saisie'!$Z$5:$Z$2004,_xlfn.MAXIFS('Saisie'!$AS$5:$AS$2004,'Saisie'!$C$5:$C$2004,C369,'Saisie'!$Z$5:$Z$2004,"&lt;&gt;")-4),""))</f>
        <v/>
      </c>
      <c r="X369" s="60">
        <f>IF(C369="","",IFERROR(INDEX('Saisie'!$AA$5:$AA$2004,_xlfn.MAXIFS('Saisie'!$AS$5:$AS$2004,'Saisie'!$C$5:$C$2004,C369,'Saisie'!$AA$5:$AA$2004,"&lt;&gt;")-4),""))</f>
        <v/>
      </c>
      <c r="Y369" s="60">
        <f>IF(C369="","",IFERROR(INDEX('Saisie'!$AB$5:$AB$2004,_xlfn.MAXIFS('Saisie'!$AS$5:$AS$2004,'Saisie'!$C$5:$C$2004,C369,'Saisie'!$AB$5:$AB$2004,"&lt;&gt;")-4),""))</f>
        <v/>
      </c>
      <c r="Z369" s="60">
        <f>IF(C369="","",IFERROR(INDEX('Saisie'!$AC$5:$AC$2004,_xlfn.MAXIFS('Saisie'!$AS$5:$AS$2004,'Saisie'!$C$5:$C$2004,C369,'Saisie'!$AC$5:$AC$2004,"&lt;&gt;")-4),""))</f>
        <v/>
      </c>
      <c r="AA369" s="106">
        <f>IF(C369="","",IFERROR(INDEX('Saisie'!$AD$5:$AD$2004,_xlfn.MAXIFS('Saisie'!$AS$5:$AS$2004,'Saisie'!$C$5:$C$2004,C369,'Saisie'!$AD$5:$AD$2004,"&lt;&gt;")-4),""))</f>
        <v/>
      </c>
      <c r="AB369" s="60">
        <f>IF(C369="","",IFERROR(INDEX('Saisie'!$AE$5:$AE$2004,_xlfn.MAXIFS('Saisie'!$AS$5:$AS$2004,'Saisie'!$C$5:$C$2004,C369,'Saisie'!$AE$5:$AE$2004,"&lt;&gt;")-4),""))</f>
        <v/>
      </c>
      <c r="AC369" s="60">
        <f>IF(C369="","",IFERROR(INDEX('Saisie'!$AF$5:$AF$2004,_xlfn.MAXIFS('Saisie'!$AS$5:$AS$2004,'Saisie'!$C$5:$C$2004,C369,'Saisie'!$AF$5:$AF$2004,"&lt;&gt;")-4),""))</f>
        <v/>
      </c>
      <c r="AD369" s="108">
        <f>IF(C369="","",IFERROR(INDEX('Saisie'!$AG$5:$AG$2004,_xlfn.MAXIFS('Saisie'!$AS$5:$AS$2004,'Saisie'!$C$5:$C$2004,C369,'Saisie'!$AG$5:$AG$2004,"&lt;&gt;")-4),""))</f>
        <v/>
      </c>
      <c r="AE369" s="60">
        <f>IF(C369="","",IFERROR(INDEX('Saisie'!$AH$5:$AH$2004,_xlfn.MAXIFS('Saisie'!$AS$5:$AS$2004,'Saisie'!$C$5:$C$2004,C369,'Saisie'!$AH$5:$AH$2004,"&lt;&gt;")-4),""))</f>
        <v/>
      </c>
      <c r="AF369" s="60">
        <f>IF(C369="","",IFERROR(INDEX('Saisie'!$AI$5:$AI$2004,_xlfn.MAXIFS('Saisie'!$AS$5:$AS$2004,'Saisie'!$C$5:$C$2004,C369,'Saisie'!$AI$5:$AI$2004,"&lt;&gt;")-4),""))</f>
        <v/>
      </c>
      <c r="AG369" s="60">
        <f>IF(C369="","",IFERROR(INDEX('Saisie'!$AJ$5:$AJ$2004,_xlfn.MAXIFS('Saisie'!$AS$5:$AS$2004,'Saisie'!$C$5:$C$2004,C369,'Saisie'!$AJ$5:$AJ$2004,"&lt;&gt;")-4),""))</f>
        <v/>
      </c>
      <c r="AH369" s="60">
        <f>IF(C369="","",IFERROR(INDEX('Saisie'!$AK$5:$AK$2004,_xlfn.MAXIFS('Saisie'!$AS$5:$AS$2004,'Saisie'!$C$5:$C$2004,C369,'Saisie'!$AK$5:$AK$2004,"&lt;&gt;")-4),""))</f>
        <v/>
      </c>
      <c r="AI369" s="60">
        <f>IF(C369="","",IFERROR(INDEX('Saisie'!$AN$5:$AN$2004,_xlfn.MAXIFS('Saisie'!$AS$5:$AS$2004,'Saisie'!$C$5:$C$2004,C369,'Saisie'!$AN$5:$AN$2004,"&lt;&gt;")-4),""))</f>
        <v/>
      </c>
      <c r="AJ369" s="60">
        <f>IF(C369="","",IFERROR(INDEX('Saisie'!$AO$5:$AO$2004,_xlfn.MAXIFS('Saisie'!$AS$5:$AS$2004,'Saisie'!$C$5:$C$2004,C369,'Saisie'!$AO$5:$AO$2004,"&lt;&gt;")-4),""))</f>
        <v/>
      </c>
      <c r="AK369" s="60">
        <f>IF(C369="","",IFERROR(INDEX('Saisie'!$AP$5:$AP$2004,_xlfn.MAXIFS('Saisie'!$AS$5:$AS$2004,'Saisie'!$C$5:$C$2004,C369,'Saisie'!$AP$5:$AP$2004,"&lt;&gt;")-4),""))</f>
        <v/>
      </c>
      <c r="AL369" s="60">
        <f>IF(C369="","",IFERROR(INDEX('Saisie'!$AQ$5:$AQ$2004,_xlfn.MAXIFS('Saisie'!$AS$5:$AS$2004,'Saisie'!$C$5:$C$2004,C369,'Saisie'!$AQ$5:$AQ$2004,"&lt;&gt;")-4),""))</f>
        <v/>
      </c>
      <c r="AM369" s="60">
        <f>IF(C369="","",((AI369="Oui")+(AJ369="Oui")+(AK369="Oui")+OR(AL369="Immédiat",AL369="&lt; 1 mois"))&amp;"/4")</f>
        <v/>
      </c>
      <c r="AN369" s="60">
        <f>IF(C369="","",IFERROR(INDEX('Saisie'!$AL$5:$AL$2004,_xlfn.MAXIFS('Saisie'!$AS$5:$AS$2004,'Saisie'!$C$5:$C$2004,C369,'Saisie'!$AL$5:$AL$2004,"&lt;&gt;")-4),""))</f>
        <v/>
      </c>
      <c r="AO369" s="62">
        <f>IF(C369="","",IF(IFERROR(INDEX('Saisie'!$AM$5:$AM$2004,_xlfn.MAXIFS('Saisie'!$AS$5:$AS$2004,'Saisie'!$C$5:$C$2004,C369,'Saisie'!$AM$5:$AM$2004,"&lt;&gt;")-4),"")&lt;&gt;"",IFERROR(INDEX('Saisie'!$AM$5:$AM$2004,_xlfn.MAXIFS('Saisie'!$AS$5:$AS$2004,'Saisie'!$C$5:$C$2004,C369,'Saisie'!$AM$5:$AM$2004,"&lt;&gt;")-4),""),IFERROR(INDEX('Paramètres'!$S$6:$S$15,MATCH(AN369,'Paramètres'!$Q$6:$Q$15,0)),"")))</f>
        <v/>
      </c>
      <c r="AP369" s="62">
        <f>IF(C369="","",IFERROR(INDEX('Saisie'!$AW$5:$AW$2004,_xlfn.MAXIFS('Saisie'!$AS$5:$AS$2004,'Saisie'!$C$5:$C$2004,C369,'Saisie'!$E$5:$E$2004,"Proposition envoyée")-4),""))</f>
        <v/>
      </c>
      <c r="AQ369" s="106">
        <f>IF(C369="","",IFERROR(1/(1/_xlfn.MAXIFS('Saisie'!$A$5:$A$2004,'Saisie'!$C$5:$C$2004,C369,'Saisie'!$E$5:$E$2004,"Proposition envoyée")),""))</f>
        <v/>
      </c>
      <c r="AR369" s="106">
        <f>IF(C369="","",IF(AQ369="","",AQ369+'Paramètres'!$B$26))</f>
        <v/>
      </c>
      <c r="AS369" s="62">
        <f>IF(OR(C369="",D369="Gagné",D369="Perdu"),0,N(AP369)*IFERROR(INDEX('Paramètres'!$G$6:$G$13,MATCH(D369,'Paramètres'!$F$6:$F$13,0)),0))</f>
        <v/>
      </c>
      <c r="AT369" s="106">
        <f>IF(C369="","",IFERROR(1/(1/_xlfn.MINIFS('Saisie'!$A$5:$A$2004,'Saisie'!$C$5:$C$2004,C369,'Saisie'!$E$5:$E$2004,"Signature")),""))</f>
        <v/>
      </c>
      <c r="AU369" s="60">
        <f>IF(C369="","",IF(OR(AT369="",B369=""),"",AT369-B369))</f>
        <v/>
      </c>
      <c r="AV369" s="60">
        <f>IF(C369="","",IFERROR(INDEX('Saisie'!$L$5:$L$2004,_xlfn.MAXIFS('Saisie'!$AS$5:$AS$2004,'Saisie'!$C$5:$C$2004,C369,'Saisie'!$L$5:$L$2004,"&lt;&gt;")-4),""))</f>
        <v/>
      </c>
      <c r="AW369" s="106">
        <f>IF(C369="","",IF(D369&lt;&gt;"Perdu","",IFERROR(1/(1/_xlfn.MAXIFS('Saisie'!$A$5:$A$2004,'Saisie'!$C$5:$C$2004,C369,'Saisie'!$E$5:$E$2004,"Perdu")),"")))</f>
        <v/>
      </c>
      <c r="AX369" s="106">
        <f>IF(C369="","",IF(AW369="","",AW369+'Paramètres'!$B$28))</f>
        <v/>
      </c>
      <c r="AY369" s="60">
        <f>IF(C369="","",SUMIFS('Saisie'!$H$5:$H$2004,'Saisie'!$C$5:$C$2004,C369))</f>
        <v/>
      </c>
      <c r="AZ369" s="60">
        <f>IF(C369="","",IFERROR(INDEX('Paramètres'!$W$6:$W$20,MATCH(S369,'Paramètres'!$V$6:$V$20,0))&amp;"",""))</f>
        <v/>
      </c>
      <c r="BA369" s="60">
        <f>IF(C369="","",MAX(1,_xlfn.MAXIFS('Saisie'!$AT$5:$AT$2004,'Saisie'!$C$5:$C$2004,C369)))</f>
        <v/>
      </c>
      <c r="BB369" s="60">
        <f>IF(C369="","",IFERROR(INDEX('Saisie'!$X$5:$X$2004,_xlfn.MAXIFS('Saisie'!$AS$5:$AS$2004,'Saisie'!$C$5:$C$2004,C369,'Saisie'!$X$5:$X$2004,"&lt;&gt;")-4),""))</f>
        <v/>
      </c>
      <c r="BC369" s="60">
        <f>IF(C369="","",IFERROR(INDEX('Saisie'!$Y$5:$Y$2004,_xlfn.MAXIFS('Saisie'!$AS$5:$AS$2004,'Saisie'!$C$5:$C$2004,C369,'Saisie'!$Y$5:$Y$2004,"&lt;&gt;")-4),""))</f>
        <v/>
      </c>
      <c r="BD369" s="106">
        <f>IF(C369="","",IFERROR(1/(1/_xlfn.MINIFS('Saisie'!$A$5:$A$2004,'Saisie'!$C$5:$C$2004,C369,'Saisie'!$AT$5:$AT$2004,"&gt;=2")),""))</f>
        <v/>
      </c>
      <c r="BE369" s="106">
        <f>IF(C369="","",IFERROR(1/(1/_xlfn.MINIFS('Saisie'!$A$5:$A$2004,'Saisie'!$C$5:$C$2004,C369,'Saisie'!$AT$5:$AT$2004,"&gt;=3")),""))</f>
        <v/>
      </c>
      <c r="BF369" s="106">
        <f>IF(C369="","",IFERROR(1/(1/_xlfn.MINIFS('Saisie'!$A$5:$A$2004,'Saisie'!$C$5:$C$2004,C369,'Saisie'!$AT$5:$AT$2004,"&gt;=4")),""))</f>
        <v/>
      </c>
      <c r="BG369" s="106">
        <f>IF(C369="","",IFERROR(1/(1/_xlfn.MINIFS('Saisie'!$A$5:$A$2004,'Saisie'!$C$5:$C$2004,C369,'Saisie'!$AT$5:$AT$2004,"&gt;=5")),""))</f>
        <v/>
      </c>
      <c r="BH369" s="106">
        <f>IF(C369="","",IFERROR(1/(1/_xlfn.MINIFS('Saisie'!$A$5:$A$2004,'Saisie'!$C$5:$C$2004,C369,'Saisie'!$AT$5:$AT$2004,"&gt;=6")),""))</f>
        <v/>
      </c>
      <c r="BI369" s="106">
        <f>IF(C369="","",IFERROR(1/(1/_xlfn.MINIFS('Saisie'!$A$5:$A$2004,'Saisie'!$C$5:$C$2004,C369,'Saisie'!$AT$5:$AT$2004,"&gt;=7")),""))</f>
        <v/>
      </c>
      <c r="BJ369" s="60">
        <f>IF(OR(BD369="",B369=""),"",BD369-B369)</f>
        <v/>
      </c>
      <c r="BK369" s="60">
        <f>IF(OR(BE369="",BD369=""),"",BE369-BD369)</f>
        <v/>
      </c>
      <c r="BL369" s="60">
        <f>IF(OR(BF369="",BE369=""),"",BF369-BE369)</f>
        <v/>
      </c>
      <c r="BM369" s="60">
        <f>IF(OR(BG369="",BF369=""),"",BG369-BF369)</f>
        <v/>
      </c>
      <c r="BN369" s="60">
        <f>IF(OR(BH369="",BG369=""),"",BH369-BG369)</f>
        <v/>
      </c>
      <c r="BO369" s="60">
        <f>IF(OR(BI369="",BH369=""),"",BI369-BH369)</f>
        <v/>
      </c>
      <c r="BP369" s="60">
        <f>IF(C369="","",_xlfn.MAXIFS('Saisie'!$AS$5:$AS$2004,'Saisie'!$C$5:$C$2004,C369,'Saisie'!$J$5:$J$2004,"&lt;&gt;"))</f>
        <v/>
      </c>
      <c r="BQ369" s="60">
        <f>IF(C369="","",_xlfn.MAXIFS('Saisie'!$AS$5:$AS$2004,'Saisie'!$C$5:$C$2004,C369))</f>
        <v/>
      </c>
      <c r="BR369" s="60">
        <f>IF(C369="","",_xlfn.MAXIFS('Saisie'!$AS$5:$AS$2004,'Saisie'!$C$5:$C$2004,C369,'Saisie'!$E$5:$E$2004,"Perdu"))</f>
        <v/>
      </c>
      <c r="BS369" s="60">
        <f>IF(C369="","",_xlfn.MAXIFS('Saisie'!$AS$5:$AS$2004,'Saisie'!$C$5:$C$2004,C369,'Saisie'!$AT$5:$AT$2004,"&gt;0"))</f>
        <v/>
      </c>
      <c r="BT369" s="109">
        <f>IF(AND(C369&lt;&gt;"",OR(D369="Nouveau",D369="Contacté",D369="Qualifié"),OR(G369="",N(G369)&lt;=TODAY()),NOT(AND(O369&gt;='Paramètres'!$B$21,P369=0))),E369+365/10000,"")</f>
        <v/>
      </c>
      <c r="BU369" s="60">
        <f>IF(AND(G369&lt;&gt;"",N(G369)&lt;=TODAY()),MAX($BU$4:BU368)+1,"")</f>
        <v/>
      </c>
      <c r="BV369" s="60">
        <f>IF(AND(F369&lt;&gt;"",F369&lt;&gt;"Relance en retard"),MAX($BV$4:BV368)+1,"")</f>
        <v/>
      </c>
      <c r="BW369" s="60">
        <f>IF(C369="","",IF(AND(B369&gt;='Tableau de bord'!$R$4,B369&lt;='Tableau de bord'!$S$4,OR('Tableau de bord'!$G$4="Tous",N369='Tableau de bord'!$G$4)),1,0))</f>
        <v/>
      </c>
      <c r="BX369" s="60">
        <f>IF(AND(C369&lt;&gt;"",N(BA369)=7),MAX($BX$4:BX368)+1,"")</f>
        <v/>
      </c>
    </row>
    <row r="370">
      <c r="A370" s="60">
        <f>IF(C370="","","P-"&amp;TEXT(366,"000"))</f>
        <v/>
      </c>
      <c r="B370" s="106">
        <f>IF(C370="","",IFERROR(1/(1/_xlfn.MINIFS('Saisie'!$A$5:$A$2004,'Saisie'!$C$5:$C$2004,C370)),""))</f>
        <v/>
      </c>
      <c r="C370" s="60">
        <f>IFERROR(INDEX('Saisie'!$C$5:$C$2004,MATCH(366,'Saisie'!$AX$5:$AX$2004,0)),"")</f>
        <v/>
      </c>
      <c r="D370" s="60">
        <f>IF(C370="","",IF(AND(BR370&gt;0,BR370&gt;BS370,BA370&lt;7),"Perdu",INDEX('Paramètres'!$F$6:$F$13,BA370)))</f>
        <v/>
      </c>
      <c r="E370" s="61">
        <f>IF(C370="","",MIN(100,(Z370="Oui")*'Paramètres'!$B$38+(AB370="Régulière")*'Paramètres'!$B$39+IF(AND(N(AA370)&gt;0,TODAY()-N(AA370)&lt;=30),'Paramètres'!$B$40,0)+(W370="")*'Paramètres'!$B$41+(AC370="Absente")*'Paramètres'!$B$42+(AC370="Faible")*'Paramètres'!$B$43+IF(AND(N(AD370)&gt;0,N(AD370)&lt;4),'Paramètres'!$B$44,0)+(AF370="Moyenne")*'Paramètres'!$B$45+(AF370="Grande")*'Paramètres'!$B$46+(Y370&lt;&gt;"")*'Paramètres'!$B$47))</f>
        <v/>
      </c>
      <c r="F370" s="60">
        <f>IF(C370="","",IF(D370="Gagné","",IF(D370="Perdu",IF(AND(AX370&lt;&gt;"",AX370&lt;=TODAY()),"À recontacter (perdu)",""),IF(AND(O370&gt;='Paramètres'!$B$21,P370=0),"Stop : "&amp;'Paramètres'!$B$21&amp;" tentatives sans réponse",IF(AND(D370="Proposition",AR370&lt;&gt;"",TODAY()&gt;N(AR370)),"Proposition expirée",IF(AND(D370="Proposition",N(R370)&gt;='Paramètres'!$B$25),"Proposition sans réponse",IF(AND(G370&lt;&gt;"",N(G370)&lt;TODAY()),"Relance en retard",IF(N(R370)&gt;='Paramètres'!$B$24,"Sans action depuis "&amp;R370&amp;" j",""))))))))</f>
        <v/>
      </c>
      <c r="G370" s="106">
        <f>IF(OR(C370="",D370="Gagné",D370="Perdu"),"",IF(AND(BP370&gt;0,BP370=BQ370),INDEX('Saisie'!$J$5:$J$2004,BP370-4),IF(OR(O370=0,AND(O370&gt;='Paramètres'!$B$21,P370=0)),"",Q370+IF(O370&lt;=1,'Paramètres'!$B$18,IF(O370=2,'Paramètres'!$B$19,'Paramètres'!$B$20)))))</f>
        <v/>
      </c>
      <c r="H370" s="107">
        <f>IF(OR(G370="",BP370&lt;&gt;BQ370),"",IF(INDEX('Saisie'!$K$5:$K$2004,BP370-4)="","",INDEX('Saisie'!$K$5:$K$2004,BP370-4)))</f>
        <v/>
      </c>
      <c r="I370" s="60">
        <f>IF(C370="","",IF(OR(D370="Gagné",D370="Perdu"),"",IFERROR(INDEX('Saisie'!$I$5:$I$2004,_xlfn.MAXIFS('Saisie'!$AS$5:$AS$2004,'Saisie'!$C$5:$C$2004,C370,'Saisie'!$I$5:$I$2004,"&lt;&gt;")-4),"")))</f>
        <v/>
      </c>
      <c r="J370" s="60">
        <f>IF(C370="","",IFERROR(INDEX('Saisie'!$U$5:$U$2004,_xlfn.MAXIFS('Saisie'!$AS$5:$AS$2004,'Saisie'!$C$5:$C$2004,C370,'Saisie'!$U$5:$U$2004,"&lt;&gt;")-4),""))</f>
        <v/>
      </c>
      <c r="K370" s="60">
        <f>IF(C370="","",IFERROR(INDEX('Saisie'!$W$5:$W$2004,_xlfn.MAXIFS('Saisie'!$AS$5:$AS$2004,'Saisie'!$C$5:$C$2004,C370,'Saisie'!$W$5:$W$2004,"&lt;&gt;")-4),""))</f>
        <v/>
      </c>
      <c r="L370" s="60">
        <f>IF(IF(BB370&lt;&gt;"",BB370,K370)="","",HYPERLINK("https://wa.me/"&amp;IF(LEFT(SUBSTITUTE(SUBSTITUTE(SUBSTITUTE(IF(BB370&lt;&gt;"",BB370,K370)," ",""),".",""),"+",""),1)="0",'Paramètres'!$B$35&amp;MID(SUBSTITUTE(SUBSTITUTE(SUBSTITUTE(IF(BB370&lt;&gt;"",BB370,K370)," ",""),".",""),"+",""),2,20),SUBSTITUTE(SUBSTITUTE(SUBSTITUTE(IF(BB370&lt;&gt;"",BB370,K370)," ",""),".",""),"+","")),"WhatsApp"))</f>
        <v/>
      </c>
      <c r="M370" s="60">
        <f>IF(BC370="","",HYPERLINK(IF(LEFT(BC370,4)="http",BC370,"https://www.instagram.com/"&amp;SUBSTITUTE(SUBSTITUTE(BC370,"@","")," ","")),BC370))</f>
        <v/>
      </c>
      <c r="N370" s="60">
        <f>IF(C370="","",IFERROR(INDEX('Saisie'!$D$5:$D$2004,_xlfn.MINIFS('Saisie'!$AS$5:$AS$2004,'Saisie'!$C$5:$C$2004,C370,'Saisie'!$AU$5:$AU$2004,1)-4),IFERROR(INDEX('Saisie'!$D$5:$D$2004,_xlfn.MINIFS('Saisie'!$AS$5:$AS$2004,'Saisie'!$C$5:$C$2004,C370,'Saisie'!$D$5:$D$2004,"&lt;&gt;")-4),"")))</f>
        <v/>
      </c>
      <c r="O370" s="60">
        <f>IF(C370="","",COUNTIFS('Saisie'!$C$5:$C$2004,C370,'Saisie'!$AU$5:$AU$2004,1))</f>
        <v/>
      </c>
      <c r="P370" s="60">
        <f>IF(C370="","",COUNTIFS('Saisie'!$C$5:$C$2004,C370,'Saisie'!$AV$5:$AV$2004,1))</f>
        <v/>
      </c>
      <c r="Q370" s="106">
        <f>IF(C370="","",IFERROR(1/(1/_xlfn.MAXIFS('Saisie'!$A$5:$A$2004,'Saisie'!$C$5:$C$2004,C370)),""))</f>
        <v/>
      </c>
      <c r="R370" s="61">
        <f>IF(C370="","",IF(Q370="","",TODAY()-Q370))</f>
        <v/>
      </c>
      <c r="S370" s="60">
        <f>IF(C370="","",IFERROR(INDEX('Saisie'!$R$5:$R$2004,_xlfn.MAXIFS('Saisie'!$AS$5:$AS$2004,'Saisie'!$C$5:$C$2004,C370,'Saisie'!$R$5:$R$2004,"&lt;&gt;")-4),""))</f>
        <v/>
      </c>
      <c r="T370" s="60">
        <f>IF(C370="","",IFERROR(INDEX('Saisie'!$S$5:$S$2004,_xlfn.MAXIFS('Saisie'!$AS$5:$AS$2004,'Saisie'!$C$5:$C$2004,C370,'Saisie'!$S$5:$S$2004,"&lt;&gt;")-4),""))</f>
        <v/>
      </c>
      <c r="U370" s="60">
        <f>IF(C370="","",IFERROR(INDEX('Saisie'!$T$5:$T$2004,_xlfn.MAXIFS('Saisie'!$AS$5:$AS$2004,'Saisie'!$C$5:$C$2004,C370,'Saisie'!$T$5:$T$2004,"&lt;&gt;")-4),""))</f>
        <v/>
      </c>
      <c r="V370" s="60">
        <f>IF(C370="","",IFERROR(INDEX('Saisie'!$V$5:$V$2004,_xlfn.MAXIFS('Saisie'!$AS$5:$AS$2004,'Saisie'!$C$5:$C$2004,C370,'Saisie'!$V$5:$V$2004,"&lt;&gt;")-4),""))</f>
        <v/>
      </c>
      <c r="W370" s="60">
        <f>IF(C370="","",IFERROR(INDEX('Saisie'!$Z$5:$Z$2004,_xlfn.MAXIFS('Saisie'!$AS$5:$AS$2004,'Saisie'!$C$5:$C$2004,C370,'Saisie'!$Z$5:$Z$2004,"&lt;&gt;")-4),""))</f>
        <v/>
      </c>
      <c r="X370" s="60">
        <f>IF(C370="","",IFERROR(INDEX('Saisie'!$AA$5:$AA$2004,_xlfn.MAXIFS('Saisie'!$AS$5:$AS$2004,'Saisie'!$C$5:$C$2004,C370,'Saisie'!$AA$5:$AA$2004,"&lt;&gt;")-4),""))</f>
        <v/>
      </c>
      <c r="Y370" s="60">
        <f>IF(C370="","",IFERROR(INDEX('Saisie'!$AB$5:$AB$2004,_xlfn.MAXIFS('Saisie'!$AS$5:$AS$2004,'Saisie'!$C$5:$C$2004,C370,'Saisie'!$AB$5:$AB$2004,"&lt;&gt;")-4),""))</f>
        <v/>
      </c>
      <c r="Z370" s="60">
        <f>IF(C370="","",IFERROR(INDEX('Saisie'!$AC$5:$AC$2004,_xlfn.MAXIFS('Saisie'!$AS$5:$AS$2004,'Saisie'!$C$5:$C$2004,C370,'Saisie'!$AC$5:$AC$2004,"&lt;&gt;")-4),""))</f>
        <v/>
      </c>
      <c r="AA370" s="106">
        <f>IF(C370="","",IFERROR(INDEX('Saisie'!$AD$5:$AD$2004,_xlfn.MAXIFS('Saisie'!$AS$5:$AS$2004,'Saisie'!$C$5:$C$2004,C370,'Saisie'!$AD$5:$AD$2004,"&lt;&gt;")-4),""))</f>
        <v/>
      </c>
      <c r="AB370" s="60">
        <f>IF(C370="","",IFERROR(INDEX('Saisie'!$AE$5:$AE$2004,_xlfn.MAXIFS('Saisie'!$AS$5:$AS$2004,'Saisie'!$C$5:$C$2004,C370,'Saisie'!$AE$5:$AE$2004,"&lt;&gt;")-4),""))</f>
        <v/>
      </c>
      <c r="AC370" s="60">
        <f>IF(C370="","",IFERROR(INDEX('Saisie'!$AF$5:$AF$2004,_xlfn.MAXIFS('Saisie'!$AS$5:$AS$2004,'Saisie'!$C$5:$C$2004,C370,'Saisie'!$AF$5:$AF$2004,"&lt;&gt;")-4),""))</f>
        <v/>
      </c>
      <c r="AD370" s="108">
        <f>IF(C370="","",IFERROR(INDEX('Saisie'!$AG$5:$AG$2004,_xlfn.MAXIFS('Saisie'!$AS$5:$AS$2004,'Saisie'!$C$5:$C$2004,C370,'Saisie'!$AG$5:$AG$2004,"&lt;&gt;")-4),""))</f>
        <v/>
      </c>
      <c r="AE370" s="60">
        <f>IF(C370="","",IFERROR(INDEX('Saisie'!$AH$5:$AH$2004,_xlfn.MAXIFS('Saisie'!$AS$5:$AS$2004,'Saisie'!$C$5:$C$2004,C370,'Saisie'!$AH$5:$AH$2004,"&lt;&gt;")-4),""))</f>
        <v/>
      </c>
      <c r="AF370" s="60">
        <f>IF(C370="","",IFERROR(INDEX('Saisie'!$AI$5:$AI$2004,_xlfn.MAXIFS('Saisie'!$AS$5:$AS$2004,'Saisie'!$C$5:$C$2004,C370,'Saisie'!$AI$5:$AI$2004,"&lt;&gt;")-4),""))</f>
        <v/>
      </c>
      <c r="AG370" s="60">
        <f>IF(C370="","",IFERROR(INDEX('Saisie'!$AJ$5:$AJ$2004,_xlfn.MAXIFS('Saisie'!$AS$5:$AS$2004,'Saisie'!$C$5:$C$2004,C370,'Saisie'!$AJ$5:$AJ$2004,"&lt;&gt;")-4),""))</f>
        <v/>
      </c>
      <c r="AH370" s="60">
        <f>IF(C370="","",IFERROR(INDEX('Saisie'!$AK$5:$AK$2004,_xlfn.MAXIFS('Saisie'!$AS$5:$AS$2004,'Saisie'!$C$5:$C$2004,C370,'Saisie'!$AK$5:$AK$2004,"&lt;&gt;")-4),""))</f>
        <v/>
      </c>
      <c r="AI370" s="60">
        <f>IF(C370="","",IFERROR(INDEX('Saisie'!$AN$5:$AN$2004,_xlfn.MAXIFS('Saisie'!$AS$5:$AS$2004,'Saisie'!$C$5:$C$2004,C370,'Saisie'!$AN$5:$AN$2004,"&lt;&gt;")-4),""))</f>
        <v/>
      </c>
      <c r="AJ370" s="60">
        <f>IF(C370="","",IFERROR(INDEX('Saisie'!$AO$5:$AO$2004,_xlfn.MAXIFS('Saisie'!$AS$5:$AS$2004,'Saisie'!$C$5:$C$2004,C370,'Saisie'!$AO$5:$AO$2004,"&lt;&gt;")-4),""))</f>
        <v/>
      </c>
      <c r="AK370" s="60">
        <f>IF(C370="","",IFERROR(INDEX('Saisie'!$AP$5:$AP$2004,_xlfn.MAXIFS('Saisie'!$AS$5:$AS$2004,'Saisie'!$C$5:$C$2004,C370,'Saisie'!$AP$5:$AP$2004,"&lt;&gt;")-4),""))</f>
        <v/>
      </c>
      <c r="AL370" s="60">
        <f>IF(C370="","",IFERROR(INDEX('Saisie'!$AQ$5:$AQ$2004,_xlfn.MAXIFS('Saisie'!$AS$5:$AS$2004,'Saisie'!$C$5:$C$2004,C370,'Saisie'!$AQ$5:$AQ$2004,"&lt;&gt;")-4),""))</f>
        <v/>
      </c>
      <c r="AM370" s="60">
        <f>IF(C370="","",((AI370="Oui")+(AJ370="Oui")+(AK370="Oui")+OR(AL370="Immédiat",AL370="&lt; 1 mois"))&amp;"/4")</f>
        <v/>
      </c>
      <c r="AN370" s="60">
        <f>IF(C370="","",IFERROR(INDEX('Saisie'!$AL$5:$AL$2004,_xlfn.MAXIFS('Saisie'!$AS$5:$AS$2004,'Saisie'!$C$5:$C$2004,C370,'Saisie'!$AL$5:$AL$2004,"&lt;&gt;")-4),""))</f>
        <v/>
      </c>
      <c r="AO370" s="62">
        <f>IF(C370="","",IF(IFERROR(INDEX('Saisie'!$AM$5:$AM$2004,_xlfn.MAXIFS('Saisie'!$AS$5:$AS$2004,'Saisie'!$C$5:$C$2004,C370,'Saisie'!$AM$5:$AM$2004,"&lt;&gt;")-4),"")&lt;&gt;"",IFERROR(INDEX('Saisie'!$AM$5:$AM$2004,_xlfn.MAXIFS('Saisie'!$AS$5:$AS$2004,'Saisie'!$C$5:$C$2004,C370,'Saisie'!$AM$5:$AM$2004,"&lt;&gt;")-4),""),IFERROR(INDEX('Paramètres'!$S$6:$S$15,MATCH(AN370,'Paramètres'!$Q$6:$Q$15,0)),"")))</f>
        <v/>
      </c>
      <c r="AP370" s="62">
        <f>IF(C370="","",IFERROR(INDEX('Saisie'!$AW$5:$AW$2004,_xlfn.MAXIFS('Saisie'!$AS$5:$AS$2004,'Saisie'!$C$5:$C$2004,C370,'Saisie'!$E$5:$E$2004,"Proposition envoyée")-4),""))</f>
        <v/>
      </c>
      <c r="AQ370" s="106">
        <f>IF(C370="","",IFERROR(1/(1/_xlfn.MAXIFS('Saisie'!$A$5:$A$2004,'Saisie'!$C$5:$C$2004,C370,'Saisie'!$E$5:$E$2004,"Proposition envoyée")),""))</f>
        <v/>
      </c>
      <c r="AR370" s="106">
        <f>IF(C370="","",IF(AQ370="","",AQ370+'Paramètres'!$B$26))</f>
        <v/>
      </c>
      <c r="AS370" s="62">
        <f>IF(OR(C370="",D370="Gagné",D370="Perdu"),0,N(AP370)*IFERROR(INDEX('Paramètres'!$G$6:$G$13,MATCH(D370,'Paramètres'!$F$6:$F$13,0)),0))</f>
        <v/>
      </c>
      <c r="AT370" s="106">
        <f>IF(C370="","",IFERROR(1/(1/_xlfn.MINIFS('Saisie'!$A$5:$A$2004,'Saisie'!$C$5:$C$2004,C370,'Saisie'!$E$5:$E$2004,"Signature")),""))</f>
        <v/>
      </c>
      <c r="AU370" s="60">
        <f>IF(C370="","",IF(OR(AT370="",B370=""),"",AT370-B370))</f>
        <v/>
      </c>
      <c r="AV370" s="60">
        <f>IF(C370="","",IFERROR(INDEX('Saisie'!$L$5:$L$2004,_xlfn.MAXIFS('Saisie'!$AS$5:$AS$2004,'Saisie'!$C$5:$C$2004,C370,'Saisie'!$L$5:$L$2004,"&lt;&gt;")-4),""))</f>
        <v/>
      </c>
      <c r="AW370" s="106">
        <f>IF(C370="","",IF(D370&lt;&gt;"Perdu","",IFERROR(1/(1/_xlfn.MAXIFS('Saisie'!$A$5:$A$2004,'Saisie'!$C$5:$C$2004,C370,'Saisie'!$E$5:$E$2004,"Perdu")),"")))</f>
        <v/>
      </c>
      <c r="AX370" s="106">
        <f>IF(C370="","",IF(AW370="","",AW370+'Paramètres'!$B$28))</f>
        <v/>
      </c>
      <c r="AY370" s="60">
        <f>IF(C370="","",SUMIFS('Saisie'!$H$5:$H$2004,'Saisie'!$C$5:$C$2004,C370))</f>
        <v/>
      </c>
      <c r="AZ370" s="60">
        <f>IF(C370="","",IFERROR(INDEX('Paramètres'!$W$6:$W$20,MATCH(S370,'Paramètres'!$V$6:$V$20,0))&amp;"",""))</f>
        <v/>
      </c>
      <c r="BA370" s="60">
        <f>IF(C370="","",MAX(1,_xlfn.MAXIFS('Saisie'!$AT$5:$AT$2004,'Saisie'!$C$5:$C$2004,C370)))</f>
        <v/>
      </c>
      <c r="BB370" s="60">
        <f>IF(C370="","",IFERROR(INDEX('Saisie'!$X$5:$X$2004,_xlfn.MAXIFS('Saisie'!$AS$5:$AS$2004,'Saisie'!$C$5:$C$2004,C370,'Saisie'!$X$5:$X$2004,"&lt;&gt;")-4),""))</f>
        <v/>
      </c>
      <c r="BC370" s="60">
        <f>IF(C370="","",IFERROR(INDEX('Saisie'!$Y$5:$Y$2004,_xlfn.MAXIFS('Saisie'!$AS$5:$AS$2004,'Saisie'!$C$5:$C$2004,C370,'Saisie'!$Y$5:$Y$2004,"&lt;&gt;")-4),""))</f>
        <v/>
      </c>
      <c r="BD370" s="106">
        <f>IF(C370="","",IFERROR(1/(1/_xlfn.MINIFS('Saisie'!$A$5:$A$2004,'Saisie'!$C$5:$C$2004,C370,'Saisie'!$AT$5:$AT$2004,"&gt;=2")),""))</f>
        <v/>
      </c>
      <c r="BE370" s="106">
        <f>IF(C370="","",IFERROR(1/(1/_xlfn.MINIFS('Saisie'!$A$5:$A$2004,'Saisie'!$C$5:$C$2004,C370,'Saisie'!$AT$5:$AT$2004,"&gt;=3")),""))</f>
        <v/>
      </c>
      <c r="BF370" s="106">
        <f>IF(C370="","",IFERROR(1/(1/_xlfn.MINIFS('Saisie'!$A$5:$A$2004,'Saisie'!$C$5:$C$2004,C370,'Saisie'!$AT$5:$AT$2004,"&gt;=4")),""))</f>
        <v/>
      </c>
      <c r="BG370" s="106">
        <f>IF(C370="","",IFERROR(1/(1/_xlfn.MINIFS('Saisie'!$A$5:$A$2004,'Saisie'!$C$5:$C$2004,C370,'Saisie'!$AT$5:$AT$2004,"&gt;=5")),""))</f>
        <v/>
      </c>
      <c r="BH370" s="106">
        <f>IF(C370="","",IFERROR(1/(1/_xlfn.MINIFS('Saisie'!$A$5:$A$2004,'Saisie'!$C$5:$C$2004,C370,'Saisie'!$AT$5:$AT$2004,"&gt;=6")),""))</f>
        <v/>
      </c>
      <c r="BI370" s="106">
        <f>IF(C370="","",IFERROR(1/(1/_xlfn.MINIFS('Saisie'!$A$5:$A$2004,'Saisie'!$C$5:$C$2004,C370,'Saisie'!$AT$5:$AT$2004,"&gt;=7")),""))</f>
        <v/>
      </c>
      <c r="BJ370" s="60">
        <f>IF(OR(BD370="",B370=""),"",BD370-B370)</f>
        <v/>
      </c>
      <c r="BK370" s="60">
        <f>IF(OR(BE370="",BD370=""),"",BE370-BD370)</f>
        <v/>
      </c>
      <c r="BL370" s="60">
        <f>IF(OR(BF370="",BE370=""),"",BF370-BE370)</f>
        <v/>
      </c>
      <c r="BM370" s="60">
        <f>IF(OR(BG370="",BF370=""),"",BG370-BF370)</f>
        <v/>
      </c>
      <c r="BN370" s="60">
        <f>IF(OR(BH370="",BG370=""),"",BH370-BG370)</f>
        <v/>
      </c>
      <c r="BO370" s="60">
        <f>IF(OR(BI370="",BH370=""),"",BI370-BH370)</f>
        <v/>
      </c>
      <c r="BP370" s="60">
        <f>IF(C370="","",_xlfn.MAXIFS('Saisie'!$AS$5:$AS$2004,'Saisie'!$C$5:$C$2004,C370,'Saisie'!$J$5:$J$2004,"&lt;&gt;"))</f>
        <v/>
      </c>
      <c r="BQ370" s="60">
        <f>IF(C370="","",_xlfn.MAXIFS('Saisie'!$AS$5:$AS$2004,'Saisie'!$C$5:$C$2004,C370))</f>
        <v/>
      </c>
      <c r="BR370" s="60">
        <f>IF(C370="","",_xlfn.MAXIFS('Saisie'!$AS$5:$AS$2004,'Saisie'!$C$5:$C$2004,C370,'Saisie'!$E$5:$E$2004,"Perdu"))</f>
        <v/>
      </c>
      <c r="BS370" s="60">
        <f>IF(C370="","",_xlfn.MAXIFS('Saisie'!$AS$5:$AS$2004,'Saisie'!$C$5:$C$2004,C370,'Saisie'!$AT$5:$AT$2004,"&gt;0"))</f>
        <v/>
      </c>
      <c r="BT370" s="109">
        <f>IF(AND(C370&lt;&gt;"",OR(D370="Nouveau",D370="Contacté",D370="Qualifié"),OR(G370="",N(G370)&lt;=TODAY()),NOT(AND(O370&gt;='Paramètres'!$B$21,P370=0))),E370+366/10000,"")</f>
        <v/>
      </c>
      <c r="BU370" s="60">
        <f>IF(AND(G370&lt;&gt;"",N(G370)&lt;=TODAY()),MAX($BU$4:BU369)+1,"")</f>
        <v/>
      </c>
      <c r="BV370" s="60">
        <f>IF(AND(F370&lt;&gt;"",F370&lt;&gt;"Relance en retard"),MAX($BV$4:BV369)+1,"")</f>
        <v/>
      </c>
      <c r="BW370" s="60">
        <f>IF(C370="","",IF(AND(B370&gt;='Tableau de bord'!$R$4,B370&lt;='Tableau de bord'!$S$4,OR('Tableau de bord'!$G$4="Tous",N370='Tableau de bord'!$G$4)),1,0))</f>
        <v/>
      </c>
      <c r="BX370" s="60">
        <f>IF(AND(C370&lt;&gt;"",N(BA370)=7),MAX($BX$4:BX369)+1,"")</f>
        <v/>
      </c>
    </row>
    <row r="371">
      <c r="A371" s="60">
        <f>IF(C371="","","P-"&amp;TEXT(367,"000"))</f>
        <v/>
      </c>
      <c r="B371" s="106">
        <f>IF(C371="","",IFERROR(1/(1/_xlfn.MINIFS('Saisie'!$A$5:$A$2004,'Saisie'!$C$5:$C$2004,C371)),""))</f>
        <v/>
      </c>
      <c r="C371" s="60">
        <f>IFERROR(INDEX('Saisie'!$C$5:$C$2004,MATCH(367,'Saisie'!$AX$5:$AX$2004,0)),"")</f>
        <v/>
      </c>
      <c r="D371" s="60">
        <f>IF(C371="","",IF(AND(BR371&gt;0,BR371&gt;BS371,BA371&lt;7),"Perdu",INDEX('Paramètres'!$F$6:$F$13,BA371)))</f>
        <v/>
      </c>
      <c r="E371" s="61">
        <f>IF(C371="","",MIN(100,(Z371="Oui")*'Paramètres'!$B$38+(AB371="Régulière")*'Paramètres'!$B$39+IF(AND(N(AA371)&gt;0,TODAY()-N(AA371)&lt;=30),'Paramètres'!$B$40,0)+(W371="")*'Paramètres'!$B$41+(AC371="Absente")*'Paramètres'!$B$42+(AC371="Faible")*'Paramètres'!$B$43+IF(AND(N(AD371)&gt;0,N(AD371)&lt;4),'Paramètres'!$B$44,0)+(AF371="Moyenne")*'Paramètres'!$B$45+(AF371="Grande")*'Paramètres'!$B$46+(Y371&lt;&gt;"")*'Paramètres'!$B$47))</f>
        <v/>
      </c>
      <c r="F371" s="60">
        <f>IF(C371="","",IF(D371="Gagné","",IF(D371="Perdu",IF(AND(AX371&lt;&gt;"",AX371&lt;=TODAY()),"À recontacter (perdu)",""),IF(AND(O371&gt;='Paramètres'!$B$21,P371=0),"Stop : "&amp;'Paramètres'!$B$21&amp;" tentatives sans réponse",IF(AND(D371="Proposition",AR371&lt;&gt;"",TODAY()&gt;N(AR371)),"Proposition expirée",IF(AND(D371="Proposition",N(R371)&gt;='Paramètres'!$B$25),"Proposition sans réponse",IF(AND(G371&lt;&gt;"",N(G371)&lt;TODAY()),"Relance en retard",IF(N(R371)&gt;='Paramètres'!$B$24,"Sans action depuis "&amp;R371&amp;" j",""))))))))</f>
        <v/>
      </c>
      <c r="G371" s="106">
        <f>IF(OR(C371="",D371="Gagné",D371="Perdu"),"",IF(AND(BP371&gt;0,BP371=BQ371),INDEX('Saisie'!$J$5:$J$2004,BP371-4),IF(OR(O371=0,AND(O371&gt;='Paramètres'!$B$21,P371=0)),"",Q371+IF(O371&lt;=1,'Paramètres'!$B$18,IF(O371=2,'Paramètres'!$B$19,'Paramètres'!$B$20)))))</f>
        <v/>
      </c>
      <c r="H371" s="107">
        <f>IF(OR(G371="",BP371&lt;&gt;BQ371),"",IF(INDEX('Saisie'!$K$5:$K$2004,BP371-4)="","",INDEX('Saisie'!$K$5:$K$2004,BP371-4)))</f>
        <v/>
      </c>
      <c r="I371" s="60">
        <f>IF(C371="","",IF(OR(D371="Gagné",D371="Perdu"),"",IFERROR(INDEX('Saisie'!$I$5:$I$2004,_xlfn.MAXIFS('Saisie'!$AS$5:$AS$2004,'Saisie'!$C$5:$C$2004,C371,'Saisie'!$I$5:$I$2004,"&lt;&gt;")-4),"")))</f>
        <v/>
      </c>
      <c r="J371" s="60">
        <f>IF(C371="","",IFERROR(INDEX('Saisie'!$U$5:$U$2004,_xlfn.MAXIFS('Saisie'!$AS$5:$AS$2004,'Saisie'!$C$5:$C$2004,C371,'Saisie'!$U$5:$U$2004,"&lt;&gt;")-4),""))</f>
        <v/>
      </c>
      <c r="K371" s="60">
        <f>IF(C371="","",IFERROR(INDEX('Saisie'!$W$5:$W$2004,_xlfn.MAXIFS('Saisie'!$AS$5:$AS$2004,'Saisie'!$C$5:$C$2004,C371,'Saisie'!$W$5:$W$2004,"&lt;&gt;")-4),""))</f>
        <v/>
      </c>
      <c r="L371" s="60">
        <f>IF(IF(BB371&lt;&gt;"",BB371,K371)="","",HYPERLINK("https://wa.me/"&amp;IF(LEFT(SUBSTITUTE(SUBSTITUTE(SUBSTITUTE(IF(BB371&lt;&gt;"",BB371,K371)," ",""),".",""),"+",""),1)="0",'Paramètres'!$B$35&amp;MID(SUBSTITUTE(SUBSTITUTE(SUBSTITUTE(IF(BB371&lt;&gt;"",BB371,K371)," ",""),".",""),"+",""),2,20),SUBSTITUTE(SUBSTITUTE(SUBSTITUTE(IF(BB371&lt;&gt;"",BB371,K371)," ",""),".",""),"+","")),"WhatsApp"))</f>
        <v/>
      </c>
      <c r="M371" s="60">
        <f>IF(BC371="","",HYPERLINK(IF(LEFT(BC371,4)="http",BC371,"https://www.instagram.com/"&amp;SUBSTITUTE(SUBSTITUTE(BC371,"@","")," ","")),BC371))</f>
        <v/>
      </c>
      <c r="N371" s="60">
        <f>IF(C371="","",IFERROR(INDEX('Saisie'!$D$5:$D$2004,_xlfn.MINIFS('Saisie'!$AS$5:$AS$2004,'Saisie'!$C$5:$C$2004,C371,'Saisie'!$AU$5:$AU$2004,1)-4),IFERROR(INDEX('Saisie'!$D$5:$D$2004,_xlfn.MINIFS('Saisie'!$AS$5:$AS$2004,'Saisie'!$C$5:$C$2004,C371,'Saisie'!$D$5:$D$2004,"&lt;&gt;")-4),"")))</f>
        <v/>
      </c>
      <c r="O371" s="60">
        <f>IF(C371="","",COUNTIFS('Saisie'!$C$5:$C$2004,C371,'Saisie'!$AU$5:$AU$2004,1))</f>
        <v/>
      </c>
      <c r="P371" s="60">
        <f>IF(C371="","",COUNTIFS('Saisie'!$C$5:$C$2004,C371,'Saisie'!$AV$5:$AV$2004,1))</f>
        <v/>
      </c>
      <c r="Q371" s="106">
        <f>IF(C371="","",IFERROR(1/(1/_xlfn.MAXIFS('Saisie'!$A$5:$A$2004,'Saisie'!$C$5:$C$2004,C371)),""))</f>
        <v/>
      </c>
      <c r="R371" s="61">
        <f>IF(C371="","",IF(Q371="","",TODAY()-Q371))</f>
        <v/>
      </c>
      <c r="S371" s="60">
        <f>IF(C371="","",IFERROR(INDEX('Saisie'!$R$5:$R$2004,_xlfn.MAXIFS('Saisie'!$AS$5:$AS$2004,'Saisie'!$C$5:$C$2004,C371,'Saisie'!$R$5:$R$2004,"&lt;&gt;")-4),""))</f>
        <v/>
      </c>
      <c r="T371" s="60">
        <f>IF(C371="","",IFERROR(INDEX('Saisie'!$S$5:$S$2004,_xlfn.MAXIFS('Saisie'!$AS$5:$AS$2004,'Saisie'!$C$5:$C$2004,C371,'Saisie'!$S$5:$S$2004,"&lt;&gt;")-4),""))</f>
        <v/>
      </c>
      <c r="U371" s="60">
        <f>IF(C371="","",IFERROR(INDEX('Saisie'!$T$5:$T$2004,_xlfn.MAXIFS('Saisie'!$AS$5:$AS$2004,'Saisie'!$C$5:$C$2004,C371,'Saisie'!$T$5:$T$2004,"&lt;&gt;")-4),""))</f>
        <v/>
      </c>
      <c r="V371" s="60">
        <f>IF(C371="","",IFERROR(INDEX('Saisie'!$V$5:$V$2004,_xlfn.MAXIFS('Saisie'!$AS$5:$AS$2004,'Saisie'!$C$5:$C$2004,C371,'Saisie'!$V$5:$V$2004,"&lt;&gt;")-4),""))</f>
        <v/>
      </c>
      <c r="W371" s="60">
        <f>IF(C371="","",IFERROR(INDEX('Saisie'!$Z$5:$Z$2004,_xlfn.MAXIFS('Saisie'!$AS$5:$AS$2004,'Saisie'!$C$5:$C$2004,C371,'Saisie'!$Z$5:$Z$2004,"&lt;&gt;")-4),""))</f>
        <v/>
      </c>
      <c r="X371" s="60">
        <f>IF(C371="","",IFERROR(INDEX('Saisie'!$AA$5:$AA$2004,_xlfn.MAXIFS('Saisie'!$AS$5:$AS$2004,'Saisie'!$C$5:$C$2004,C371,'Saisie'!$AA$5:$AA$2004,"&lt;&gt;")-4),""))</f>
        <v/>
      </c>
      <c r="Y371" s="60">
        <f>IF(C371="","",IFERROR(INDEX('Saisie'!$AB$5:$AB$2004,_xlfn.MAXIFS('Saisie'!$AS$5:$AS$2004,'Saisie'!$C$5:$C$2004,C371,'Saisie'!$AB$5:$AB$2004,"&lt;&gt;")-4),""))</f>
        <v/>
      </c>
      <c r="Z371" s="60">
        <f>IF(C371="","",IFERROR(INDEX('Saisie'!$AC$5:$AC$2004,_xlfn.MAXIFS('Saisie'!$AS$5:$AS$2004,'Saisie'!$C$5:$C$2004,C371,'Saisie'!$AC$5:$AC$2004,"&lt;&gt;")-4),""))</f>
        <v/>
      </c>
      <c r="AA371" s="106">
        <f>IF(C371="","",IFERROR(INDEX('Saisie'!$AD$5:$AD$2004,_xlfn.MAXIFS('Saisie'!$AS$5:$AS$2004,'Saisie'!$C$5:$C$2004,C371,'Saisie'!$AD$5:$AD$2004,"&lt;&gt;")-4),""))</f>
        <v/>
      </c>
      <c r="AB371" s="60">
        <f>IF(C371="","",IFERROR(INDEX('Saisie'!$AE$5:$AE$2004,_xlfn.MAXIFS('Saisie'!$AS$5:$AS$2004,'Saisie'!$C$5:$C$2004,C371,'Saisie'!$AE$5:$AE$2004,"&lt;&gt;")-4),""))</f>
        <v/>
      </c>
      <c r="AC371" s="60">
        <f>IF(C371="","",IFERROR(INDEX('Saisie'!$AF$5:$AF$2004,_xlfn.MAXIFS('Saisie'!$AS$5:$AS$2004,'Saisie'!$C$5:$C$2004,C371,'Saisie'!$AF$5:$AF$2004,"&lt;&gt;")-4),""))</f>
        <v/>
      </c>
      <c r="AD371" s="108">
        <f>IF(C371="","",IFERROR(INDEX('Saisie'!$AG$5:$AG$2004,_xlfn.MAXIFS('Saisie'!$AS$5:$AS$2004,'Saisie'!$C$5:$C$2004,C371,'Saisie'!$AG$5:$AG$2004,"&lt;&gt;")-4),""))</f>
        <v/>
      </c>
      <c r="AE371" s="60">
        <f>IF(C371="","",IFERROR(INDEX('Saisie'!$AH$5:$AH$2004,_xlfn.MAXIFS('Saisie'!$AS$5:$AS$2004,'Saisie'!$C$5:$C$2004,C371,'Saisie'!$AH$5:$AH$2004,"&lt;&gt;")-4),""))</f>
        <v/>
      </c>
      <c r="AF371" s="60">
        <f>IF(C371="","",IFERROR(INDEX('Saisie'!$AI$5:$AI$2004,_xlfn.MAXIFS('Saisie'!$AS$5:$AS$2004,'Saisie'!$C$5:$C$2004,C371,'Saisie'!$AI$5:$AI$2004,"&lt;&gt;")-4),""))</f>
        <v/>
      </c>
      <c r="AG371" s="60">
        <f>IF(C371="","",IFERROR(INDEX('Saisie'!$AJ$5:$AJ$2004,_xlfn.MAXIFS('Saisie'!$AS$5:$AS$2004,'Saisie'!$C$5:$C$2004,C371,'Saisie'!$AJ$5:$AJ$2004,"&lt;&gt;")-4),""))</f>
        <v/>
      </c>
      <c r="AH371" s="60">
        <f>IF(C371="","",IFERROR(INDEX('Saisie'!$AK$5:$AK$2004,_xlfn.MAXIFS('Saisie'!$AS$5:$AS$2004,'Saisie'!$C$5:$C$2004,C371,'Saisie'!$AK$5:$AK$2004,"&lt;&gt;")-4),""))</f>
        <v/>
      </c>
      <c r="AI371" s="60">
        <f>IF(C371="","",IFERROR(INDEX('Saisie'!$AN$5:$AN$2004,_xlfn.MAXIFS('Saisie'!$AS$5:$AS$2004,'Saisie'!$C$5:$C$2004,C371,'Saisie'!$AN$5:$AN$2004,"&lt;&gt;")-4),""))</f>
        <v/>
      </c>
      <c r="AJ371" s="60">
        <f>IF(C371="","",IFERROR(INDEX('Saisie'!$AO$5:$AO$2004,_xlfn.MAXIFS('Saisie'!$AS$5:$AS$2004,'Saisie'!$C$5:$C$2004,C371,'Saisie'!$AO$5:$AO$2004,"&lt;&gt;")-4),""))</f>
        <v/>
      </c>
      <c r="AK371" s="60">
        <f>IF(C371="","",IFERROR(INDEX('Saisie'!$AP$5:$AP$2004,_xlfn.MAXIFS('Saisie'!$AS$5:$AS$2004,'Saisie'!$C$5:$C$2004,C371,'Saisie'!$AP$5:$AP$2004,"&lt;&gt;")-4),""))</f>
        <v/>
      </c>
      <c r="AL371" s="60">
        <f>IF(C371="","",IFERROR(INDEX('Saisie'!$AQ$5:$AQ$2004,_xlfn.MAXIFS('Saisie'!$AS$5:$AS$2004,'Saisie'!$C$5:$C$2004,C371,'Saisie'!$AQ$5:$AQ$2004,"&lt;&gt;")-4),""))</f>
        <v/>
      </c>
      <c r="AM371" s="60">
        <f>IF(C371="","",((AI371="Oui")+(AJ371="Oui")+(AK371="Oui")+OR(AL371="Immédiat",AL371="&lt; 1 mois"))&amp;"/4")</f>
        <v/>
      </c>
      <c r="AN371" s="60">
        <f>IF(C371="","",IFERROR(INDEX('Saisie'!$AL$5:$AL$2004,_xlfn.MAXIFS('Saisie'!$AS$5:$AS$2004,'Saisie'!$C$5:$C$2004,C371,'Saisie'!$AL$5:$AL$2004,"&lt;&gt;")-4),""))</f>
        <v/>
      </c>
      <c r="AO371" s="62">
        <f>IF(C371="","",IF(IFERROR(INDEX('Saisie'!$AM$5:$AM$2004,_xlfn.MAXIFS('Saisie'!$AS$5:$AS$2004,'Saisie'!$C$5:$C$2004,C371,'Saisie'!$AM$5:$AM$2004,"&lt;&gt;")-4),"")&lt;&gt;"",IFERROR(INDEX('Saisie'!$AM$5:$AM$2004,_xlfn.MAXIFS('Saisie'!$AS$5:$AS$2004,'Saisie'!$C$5:$C$2004,C371,'Saisie'!$AM$5:$AM$2004,"&lt;&gt;")-4),""),IFERROR(INDEX('Paramètres'!$S$6:$S$15,MATCH(AN371,'Paramètres'!$Q$6:$Q$15,0)),"")))</f>
        <v/>
      </c>
      <c r="AP371" s="62">
        <f>IF(C371="","",IFERROR(INDEX('Saisie'!$AW$5:$AW$2004,_xlfn.MAXIFS('Saisie'!$AS$5:$AS$2004,'Saisie'!$C$5:$C$2004,C371,'Saisie'!$E$5:$E$2004,"Proposition envoyée")-4),""))</f>
        <v/>
      </c>
      <c r="AQ371" s="106">
        <f>IF(C371="","",IFERROR(1/(1/_xlfn.MAXIFS('Saisie'!$A$5:$A$2004,'Saisie'!$C$5:$C$2004,C371,'Saisie'!$E$5:$E$2004,"Proposition envoyée")),""))</f>
        <v/>
      </c>
      <c r="AR371" s="106">
        <f>IF(C371="","",IF(AQ371="","",AQ371+'Paramètres'!$B$26))</f>
        <v/>
      </c>
      <c r="AS371" s="62">
        <f>IF(OR(C371="",D371="Gagné",D371="Perdu"),0,N(AP371)*IFERROR(INDEX('Paramètres'!$G$6:$G$13,MATCH(D371,'Paramètres'!$F$6:$F$13,0)),0))</f>
        <v/>
      </c>
      <c r="AT371" s="106">
        <f>IF(C371="","",IFERROR(1/(1/_xlfn.MINIFS('Saisie'!$A$5:$A$2004,'Saisie'!$C$5:$C$2004,C371,'Saisie'!$E$5:$E$2004,"Signature")),""))</f>
        <v/>
      </c>
      <c r="AU371" s="60">
        <f>IF(C371="","",IF(OR(AT371="",B371=""),"",AT371-B371))</f>
        <v/>
      </c>
      <c r="AV371" s="60">
        <f>IF(C371="","",IFERROR(INDEX('Saisie'!$L$5:$L$2004,_xlfn.MAXIFS('Saisie'!$AS$5:$AS$2004,'Saisie'!$C$5:$C$2004,C371,'Saisie'!$L$5:$L$2004,"&lt;&gt;")-4),""))</f>
        <v/>
      </c>
      <c r="AW371" s="106">
        <f>IF(C371="","",IF(D371&lt;&gt;"Perdu","",IFERROR(1/(1/_xlfn.MAXIFS('Saisie'!$A$5:$A$2004,'Saisie'!$C$5:$C$2004,C371,'Saisie'!$E$5:$E$2004,"Perdu")),"")))</f>
        <v/>
      </c>
      <c r="AX371" s="106">
        <f>IF(C371="","",IF(AW371="","",AW371+'Paramètres'!$B$28))</f>
        <v/>
      </c>
      <c r="AY371" s="60">
        <f>IF(C371="","",SUMIFS('Saisie'!$H$5:$H$2004,'Saisie'!$C$5:$C$2004,C371))</f>
        <v/>
      </c>
      <c r="AZ371" s="60">
        <f>IF(C371="","",IFERROR(INDEX('Paramètres'!$W$6:$W$20,MATCH(S371,'Paramètres'!$V$6:$V$20,0))&amp;"",""))</f>
        <v/>
      </c>
      <c r="BA371" s="60">
        <f>IF(C371="","",MAX(1,_xlfn.MAXIFS('Saisie'!$AT$5:$AT$2004,'Saisie'!$C$5:$C$2004,C371)))</f>
        <v/>
      </c>
      <c r="BB371" s="60">
        <f>IF(C371="","",IFERROR(INDEX('Saisie'!$X$5:$X$2004,_xlfn.MAXIFS('Saisie'!$AS$5:$AS$2004,'Saisie'!$C$5:$C$2004,C371,'Saisie'!$X$5:$X$2004,"&lt;&gt;")-4),""))</f>
        <v/>
      </c>
      <c r="BC371" s="60">
        <f>IF(C371="","",IFERROR(INDEX('Saisie'!$Y$5:$Y$2004,_xlfn.MAXIFS('Saisie'!$AS$5:$AS$2004,'Saisie'!$C$5:$C$2004,C371,'Saisie'!$Y$5:$Y$2004,"&lt;&gt;")-4),""))</f>
        <v/>
      </c>
      <c r="BD371" s="106">
        <f>IF(C371="","",IFERROR(1/(1/_xlfn.MINIFS('Saisie'!$A$5:$A$2004,'Saisie'!$C$5:$C$2004,C371,'Saisie'!$AT$5:$AT$2004,"&gt;=2")),""))</f>
        <v/>
      </c>
      <c r="BE371" s="106">
        <f>IF(C371="","",IFERROR(1/(1/_xlfn.MINIFS('Saisie'!$A$5:$A$2004,'Saisie'!$C$5:$C$2004,C371,'Saisie'!$AT$5:$AT$2004,"&gt;=3")),""))</f>
        <v/>
      </c>
      <c r="BF371" s="106">
        <f>IF(C371="","",IFERROR(1/(1/_xlfn.MINIFS('Saisie'!$A$5:$A$2004,'Saisie'!$C$5:$C$2004,C371,'Saisie'!$AT$5:$AT$2004,"&gt;=4")),""))</f>
        <v/>
      </c>
      <c r="BG371" s="106">
        <f>IF(C371="","",IFERROR(1/(1/_xlfn.MINIFS('Saisie'!$A$5:$A$2004,'Saisie'!$C$5:$C$2004,C371,'Saisie'!$AT$5:$AT$2004,"&gt;=5")),""))</f>
        <v/>
      </c>
      <c r="BH371" s="106">
        <f>IF(C371="","",IFERROR(1/(1/_xlfn.MINIFS('Saisie'!$A$5:$A$2004,'Saisie'!$C$5:$C$2004,C371,'Saisie'!$AT$5:$AT$2004,"&gt;=6")),""))</f>
        <v/>
      </c>
      <c r="BI371" s="106">
        <f>IF(C371="","",IFERROR(1/(1/_xlfn.MINIFS('Saisie'!$A$5:$A$2004,'Saisie'!$C$5:$C$2004,C371,'Saisie'!$AT$5:$AT$2004,"&gt;=7")),""))</f>
        <v/>
      </c>
      <c r="BJ371" s="60">
        <f>IF(OR(BD371="",B371=""),"",BD371-B371)</f>
        <v/>
      </c>
      <c r="BK371" s="60">
        <f>IF(OR(BE371="",BD371=""),"",BE371-BD371)</f>
        <v/>
      </c>
      <c r="BL371" s="60">
        <f>IF(OR(BF371="",BE371=""),"",BF371-BE371)</f>
        <v/>
      </c>
      <c r="BM371" s="60">
        <f>IF(OR(BG371="",BF371=""),"",BG371-BF371)</f>
        <v/>
      </c>
      <c r="BN371" s="60">
        <f>IF(OR(BH371="",BG371=""),"",BH371-BG371)</f>
        <v/>
      </c>
      <c r="BO371" s="60">
        <f>IF(OR(BI371="",BH371=""),"",BI371-BH371)</f>
        <v/>
      </c>
      <c r="BP371" s="60">
        <f>IF(C371="","",_xlfn.MAXIFS('Saisie'!$AS$5:$AS$2004,'Saisie'!$C$5:$C$2004,C371,'Saisie'!$J$5:$J$2004,"&lt;&gt;"))</f>
        <v/>
      </c>
      <c r="BQ371" s="60">
        <f>IF(C371="","",_xlfn.MAXIFS('Saisie'!$AS$5:$AS$2004,'Saisie'!$C$5:$C$2004,C371))</f>
        <v/>
      </c>
      <c r="BR371" s="60">
        <f>IF(C371="","",_xlfn.MAXIFS('Saisie'!$AS$5:$AS$2004,'Saisie'!$C$5:$C$2004,C371,'Saisie'!$E$5:$E$2004,"Perdu"))</f>
        <v/>
      </c>
      <c r="BS371" s="60">
        <f>IF(C371="","",_xlfn.MAXIFS('Saisie'!$AS$5:$AS$2004,'Saisie'!$C$5:$C$2004,C371,'Saisie'!$AT$5:$AT$2004,"&gt;0"))</f>
        <v/>
      </c>
      <c r="BT371" s="109">
        <f>IF(AND(C371&lt;&gt;"",OR(D371="Nouveau",D371="Contacté",D371="Qualifié"),OR(G371="",N(G371)&lt;=TODAY()),NOT(AND(O371&gt;='Paramètres'!$B$21,P371=0))),E371+367/10000,"")</f>
        <v/>
      </c>
      <c r="BU371" s="60">
        <f>IF(AND(G371&lt;&gt;"",N(G371)&lt;=TODAY()),MAX($BU$4:BU370)+1,"")</f>
        <v/>
      </c>
      <c r="BV371" s="60">
        <f>IF(AND(F371&lt;&gt;"",F371&lt;&gt;"Relance en retard"),MAX($BV$4:BV370)+1,"")</f>
        <v/>
      </c>
      <c r="BW371" s="60">
        <f>IF(C371="","",IF(AND(B371&gt;='Tableau de bord'!$R$4,B371&lt;='Tableau de bord'!$S$4,OR('Tableau de bord'!$G$4="Tous",N371='Tableau de bord'!$G$4)),1,0))</f>
        <v/>
      </c>
      <c r="BX371" s="60">
        <f>IF(AND(C371&lt;&gt;"",N(BA371)=7),MAX($BX$4:BX370)+1,"")</f>
        <v/>
      </c>
    </row>
    <row r="372">
      <c r="A372" s="60">
        <f>IF(C372="","","P-"&amp;TEXT(368,"000"))</f>
        <v/>
      </c>
      <c r="B372" s="106">
        <f>IF(C372="","",IFERROR(1/(1/_xlfn.MINIFS('Saisie'!$A$5:$A$2004,'Saisie'!$C$5:$C$2004,C372)),""))</f>
        <v/>
      </c>
      <c r="C372" s="60">
        <f>IFERROR(INDEX('Saisie'!$C$5:$C$2004,MATCH(368,'Saisie'!$AX$5:$AX$2004,0)),"")</f>
        <v/>
      </c>
      <c r="D372" s="60">
        <f>IF(C372="","",IF(AND(BR372&gt;0,BR372&gt;BS372,BA372&lt;7),"Perdu",INDEX('Paramètres'!$F$6:$F$13,BA372)))</f>
        <v/>
      </c>
      <c r="E372" s="61">
        <f>IF(C372="","",MIN(100,(Z372="Oui")*'Paramètres'!$B$38+(AB372="Régulière")*'Paramètres'!$B$39+IF(AND(N(AA372)&gt;0,TODAY()-N(AA372)&lt;=30),'Paramètres'!$B$40,0)+(W372="")*'Paramètres'!$B$41+(AC372="Absente")*'Paramètres'!$B$42+(AC372="Faible")*'Paramètres'!$B$43+IF(AND(N(AD372)&gt;0,N(AD372)&lt;4),'Paramètres'!$B$44,0)+(AF372="Moyenne")*'Paramètres'!$B$45+(AF372="Grande")*'Paramètres'!$B$46+(Y372&lt;&gt;"")*'Paramètres'!$B$47))</f>
        <v/>
      </c>
      <c r="F372" s="60">
        <f>IF(C372="","",IF(D372="Gagné","",IF(D372="Perdu",IF(AND(AX372&lt;&gt;"",AX372&lt;=TODAY()),"À recontacter (perdu)",""),IF(AND(O372&gt;='Paramètres'!$B$21,P372=0),"Stop : "&amp;'Paramètres'!$B$21&amp;" tentatives sans réponse",IF(AND(D372="Proposition",AR372&lt;&gt;"",TODAY()&gt;N(AR372)),"Proposition expirée",IF(AND(D372="Proposition",N(R372)&gt;='Paramètres'!$B$25),"Proposition sans réponse",IF(AND(G372&lt;&gt;"",N(G372)&lt;TODAY()),"Relance en retard",IF(N(R372)&gt;='Paramètres'!$B$24,"Sans action depuis "&amp;R372&amp;" j",""))))))))</f>
        <v/>
      </c>
      <c r="G372" s="106">
        <f>IF(OR(C372="",D372="Gagné",D372="Perdu"),"",IF(AND(BP372&gt;0,BP372=BQ372),INDEX('Saisie'!$J$5:$J$2004,BP372-4),IF(OR(O372=0,AND(O372&gt;='Paramètres'!$B$21,P372=0)),"",Q372+IF(O372&lt;=1,'Paramètres'!$B$18,IF(O372=2,'Paramètres'!$B$19,'Paramètres'!$B$20)))))</f>
        <v/>
      </c>
      <c r="H372" s="107">
        <f>IF(OR(G372="",BP372&lt;&gt;BQ372),"",IF(INDEX('Saisie'!$K$5:$K$2004,BP372-4)="","",INDEX('Saisie'!$K$5:$K$2004,BP372-4)))</f>
        <v/>
      </c>
      <c r="I372" s="60">
        <f>IF(C372="","",IF(OR(D372="Gagné",D372="Perdu"),"",IFERROR(INDEX('Saisie'!$I$5:$I$2004,_xlfn.MAXIFS('Saisie'!$AS$5:$AS$2004,'Saisie'!$C$5:$C$2004,C372,'Saisie'!$I$5:$I$2004,"&lt;&gt;")-4),"")))</f>
        <v/>
      </c>
      <c r="J372" s="60">
        <f>IF(C372="","",IFERROR(INDEX('Saisie'!$U$5:$U$2004,_xlfn.MAXIFS('Saisie'!$AS$5:$AS$2004,'Saisie'!$C$5:$C$2004,C372,'Saisie'!$U$5:$U$2004,"&lt;&gt;")-4),""))</f>
        <v/>
      </c>
      <c r="K372" s="60">
        <f>IF(C372="","",IFERROR(INDEX('Saisie'!$W$5:$W$2004,_xlfn.MAXIFS('Saisie'!$AS$5:$AS$2004,'Saisie'!$C$5:$C$2004,C372,'Saisie'!$W$5:$W$2004,"&lt;&gt;")-4),""))</f>
        <v/>
      </c>
      <c r="L372" s="60">
        <f>IF(IF(BB372&lt;&gt;"",BB372,K372)="","",HYPERLINK("https://wa.me/"&amp;IF(LEFT(SUBSTITUTE(SUBSTITUTE(SUBSTITUTE(IF(BB372&lt;&gt;"",BB372,K372)," ",""),".",""),"+",""),1)="0",'Paramètres'!$B$35&amp;MID(SUBSTITUTE(SUBSTITUTE(SUBSTITUTE(IF(BB372&lt;&gt;"",BB372,K372)," ",""),".",""),"+",""),2,20),SUBSTITUTE(SUBSTITUTE(SUBSTITUTE(IF(BB372&lt;&gt;"",BB372,K372)," ",""),".",""),"+","")),"WhatsApp"))</f>
        <v/>
      </c>
      <c r="M372" s="60">
        <f>IF(BC372="","",HYPERLINK(IF(LEFT(BC372,4)="http",BC372,"https://www.instagram.com/"&amp;SUBSTITUTE(SUBSTITUTE(BC372,"@","")," ","")),BC372))</f>
        <v/>
      </c>
      <c r="N372" s="60">
        <f>IF(C372="","",IFERROR(INDEX('Saisie'!$D$5:$D$2004,_xlfn.MINIFS('Saisie'!$AS$5:$AS$2004,'Saisie'!$C$5:$C$2004,C372,'Saisie'!$AU$5:$AU$2004,1)-4),IFERROR(INDEX('Saisie'!$D$5:$D$2004,_xlfn.MINIFS('Saisie'!$AS$5:$AS$2004,'Saisie'!$C$5:$C$2004,C372,'Saisie'!$D$5:$D$2004,"&lt;&gt;")-4),"")))</f>
        <v/>
      </c>
      <c r="O372" s="60">
        <f>IF(C372="","",COUNTIFS('Saisie'!$C$5:$C$2004,C372,'Saisie'!$AU$5:$AU$2004,1))</f>
        <v/>
      </c>
      <c r="P372" s="60">
        <f>IF(C372="","",COUNTIFS('Saisie'!$C$5:$C$2004,C372,'Saisie'!$AV$5:$AV$2004,1))</f>
        <v/>
      </c>
      <c r="Q372" s="106">
        <f>IF(C372="","",IFERROR(1/(1/_xlfn.MAXIFS('Saisie'!$A$5:$A$2004,'Saisie'!$C$5:$C$2004,C372)),""))</f>
        <v/>
      </c>
      <c r="R372" s="61">
        <f>IF(C372="","",IF(Q372="","",TODAY()-Q372))</f>
        <v/>
      </c>
      <c r="S372" s="60">
        <f>IF(C372="","",IFERROR(INDEX('Saisie'!$R$5:$R$2004,_xlfn.MAXIFS('Saisie'!$AS$5:$AS$2004,'Saisie'!$C$5:$C$2004,C372,'Saisie'!$R$5:$R$2004,"&lt;&gt;")-4),""))</f>
        <v/>
      </c>
      <c r="T372" s="60">
        <f>IF(C372="","",IFERROR(INDEX('Saisie'!$S$5:$S$2004,_xlfn.MAXIFS('Saisie'!$AS$5:$AS$2004,'Saisie'!$C$5:$C$2004,C372,'Saisie'!$S$5:$S$2004,"&lt;&gt;")-4),""))</f>
        <v/>
      </c>
      <c r="U372" s="60">
        <f>IF(C372="","",IFERROR(INDEX('Saisie'!$T$5:$T$2004,_xlfn.MAXIFS('Saisie'!$AS$5:$AS$2004,'Saisie'!$C$5:$C$2004,C372,'Saisie'!$T$5:$T$2004,"&lt;&gt;")-4),""))</f>
        <v/>
      </c>
      <c r="V372" s="60">
        <f>IF(C372="","",IFERROR(INDEX('Saisie'!$V$5:$V$2004,_xlfn.MAXIFS('Saisie'!$AS$5:$AS$2004,'Saisie'!$C$5:$C$2004,C372,'Saisie'!$V$5:$V$2004,"&lt;&gt;")-4),""))</f>
        <v/>
      </c>
      <c r="W372" s="60">
        <f>IF(C372="","",IFERROR(INDEX('Saisie'!$Z$5:$Z$2004,_xlfn.MAXIFS('Saisie'!$AS$5:$AS$2004,'Saisie'!$C$5:$C$2004,C372,'Saisie'!$Z$5:$Z$2004,"&lt;&gt;")-4),""))</f>
        <v/>
      </c>
      <c r="X372" s="60">
        <f>IF(C372="","",IFERROR(INDEX('Saisie'!$AA$5:$AA$2004,_xlfn.MAXIFS('Saisie'!$AS$5:$AS$2004,'Saisie'!$C$5:$C$2004,C372,'Saisie'!$AA$5:$AA$2004,"&lt;&gt;")-4),""))</f>
        <v/>
      </c>
      <c r="Y372" s="60">
        <f>IF(C372="","",IFERROR(INDEX('Saisie'!$AB$5:$AB$2004,_xlfn.MAXIFS('Saisie'!$AS$5:$AS$2004,'Saisie'!$C$5:$C$2004,C372,'Saisie'!$AB$5:$AB$2004,"&lt;&gt;")-4),""))</f>
        <v/>
      </c>
      <c r="Z372" s="60">
        <f>IF(C372="","",IFERROR(INDEX('Saisie'!$AC$5:$AC$2004,_xlfn.MAXIFS('Saisie'!$AS$5:$AS$2004,'Saisie'!$C$5:$C$2004,C372,'Saisie'!$AC$5:$AC$2004,"&lt;&gt;")-4),""))</f>
        <v/>
      </c>
      <c r="AA372" s="106">
        <f>IF(C372="","",IFERROR(INDEX('Saisie'!$AD$5:$AD$2004,_xlfn.MAXIFS('Saisie'!$AS$5:$AS$2004,'Saisie'!$C$5:$C$2004,C372,'Saisie'!$AD$5:$AD$2004,"&lt;&gt;")-4),""))</f>
        <v/>
      </c>
      <c r="AB372" s="60">
        <f>IF(C372="","",IFERROR(INDEX('Saisie'!$AE$5:$AE$2004,_xlfn.MAXIFS('Saisie'!$AS$5:$AS$2004,'Saisie'!$C$5:$C$2004,C372,'Saisie'!$AE$5:$AE$2004,"&lt;&gt;")-4),""))</f>
        <v/>
      </c>
      <c r="AC372" s="60">
        <f>IF(C372="","",IFERROR(INDEX('Saisie'!$AF$5:$AF$2004,_xlfn.MAXIFS('Saisie'!$AS$5:$AS$2004,'Saisie'!$C$5:$C$2004,C372,'Saisie'!$AF$5:$AF$2004,"&lt;&gt;")-4),""))</f>
        <v/>
      </c>
      <c r="AD372" s="108">
        <f>IF(C372="","",IFERROR(INDEX('Saisie'!$AG$5:$AG$2004,_xlfn.MAXIFS('Saisie'!$AS$5:$AS$2004,'Saisie'!$C$5:$C$2004,C372,'Saisie'!$AG$5:$AG$2004,"&lt;&gt;")-4),""))</f>
        <v/>
      </c>
      <c r="AE372" s="60">
        <f>IF(C372="","",IFERROR(INDEX('Saisie'!$AH$5:$AH$2004,_xlfn.MAXIFS('Saisie'!$AS$5:$AS$2004,'Saisie'!$C$5:$C$2004,C372,'Saisie'!$AH$5:$AH$2004,"&lt;&gt;")-4),""))</f>
        <v/>
      </c>
      <c r="AF372" s="60">
        <f>IF(C372="","",IFERROR(INDEX('Saisie'!$AI$5:$AI$2004,_xlfn.MAXIFS('Saisie'!$AS$5:$AS$2004,'Saisie'!$C$5:$C$2004,C372,'Saisie'!$AI$5:$AI$2004,"&lt;&gt;")-4),""))</f>
        <v/>
      </c>
      <c r="AG372" s="60">
        <f>IF(C372="","",IFERROR(INDEX('Saisie'!$AJ$5:$AJ$2004,_xlfn.MAXIFS('Saisie'!$AS$5:$AS$2004,'Saisie'!$C$5:$C$2004,C372,'Saisie'!$AJ$5:$AJ$2004,"&lt;&gt;")-4),""))</f>
        <v/>
      </c>
      <c r="AH372" s="60">
        <f>IF(C372="","",IFERROR(INDEX('Saisie'!$AK$5:$AK$2004,_xlfn.MAXIFS('Saisie'!$AS$5:$AS$2004,'Saisie'!$C$5:$C$2004,C372,'Saisie'!$AK$5:$AK$2004,"&lt;&gt;")-4),""))</f>
        <v/>
      </c>
      <c r="AI372" s="60">
        <f>IF(C372="","",IFERROR(INDEX('Saisie'!$AN$5:$AN$2004,_xlfn.MAXIFS('Saisie'!$AS$5:$AS$2004,'Saisie'!$C$5:$C$2004,C372,'Saisie'!$AN$5:$AN$2004,"&lt;&gt;")-4),""))</f>
        <v/>
      </c>
      <c r="AJ372" s="60">
        <f>IF(C372="","",IFERROR(INDEX('Saisie'!$AO$5:$AO$2004,_xlfn.MAXIFS('Saisie'!$AS$5:$AS$2004,'Saisie'!$C$5:$C$2004,C372,'Saisie'!$AO$5:$AO$2004,"&lt;&gt;")-4),""))</f>
        <v/>
      </c>
      <c r="AK372" s="60">
        <f>IF(C372="","",IFERROR(INDEX('Saisie'!$AP$5:$AP$2004,_xlfn.MAXIFS('Saisie'!$AS$5:$AS$2004,'Saisie'!$C$5:$C$2004,C372,'Saisie'!$AP$5:$AP$2004,"&lt;&gt;")-4),""))</f>
        <v/>
      </c>
      <c r="AL372" s="60">
        <f>IF(C372="","",IFERROR(INDEX('Saisie'!$AQ$5:$AQ$2004,_xlfn.MAXIFS('Saisie'!$AS$5:$AS$2004,'Saisie'!$C$5:$C$2004,C372,'Saisie'!$AQ$5:$AQ$2004,"&lt;&gt;")-4),""))</f>
        <v/>
      </c>
      <c r="AM372" s="60">
        <f>IF(C372="","",((AI372="Oui")+(AJ372="Oui")+(AK372="Oui")+OR(AL372="Immédiat",AL372="&lt; 1 mois"))&amp;"/4")</f>
        <v/>
      </c>
      <c r="AN372" s="60">
        <f>IF(C372="","",IFERROR(INDEX('Saisie'!$AL$5:$AL$2004,_xlfn.MAXIFS('Saisie'!$AS$5:$AS$2004,'Saisie'!$C$5:$C$2004,C372,'Saisie'!$AL$5:$AL$2004,"&lt;&gt;")-4),""))</f>
        <v/>
      </c>
      <c r="AO372" s="62">
        <f>IF(C372="","",IF(IFERROR(INDEX('Saisie'!$AM$5:$AM$2004,_xlfn.MAXIFS('Saisie'!$AS$5:$AS$2004,'Saisie'!$C$5:$C$2004,C372,'Saisie'!$AM$5:$AM$2004,"&lt;&gt;")-4),"")&lt;&gt;"",IFERROR(INDEX('Saisie'!$AM$5:$AM$2004,_xlfn.MAXIFS('Saisie'!$AS$5:$AS$2004,'Saisie'!$C$5:$C$2004,C372,'Saisie'!$AM$5:$AM$2004,"&lt;&gt;")-4),""),IFERROR(INDEX('Paramètres'!$S$6:$S$15,MATCH(AN372,'Paramètres'!$Q$6:$Q$15,0)),"")))</f>
        <v/>
      </c>
      <c r="AP372" s="62">
        <f>IF(C372="","",IFERROR(INDEX('Saisie'!$AW$5:$AW$2004,_xlfn.MAXIFS('Saisie'!$AS$5:$AS$2004,'Saisie'!$C$5:$C$2004,C372,'Saisie'!$E$5:$E$2004,"Proposition envoyée")-4),""))</f>
        <v/>
      </c>
      <c r="AQ372" s="106">
        <f>IF(C372="","",IFERROR(1/(1/_xlfn.MAXIFS('Saisie'!$A$5:$A$2004,'Saisie'!$C$5:$C$2004,C372,'Saisie'!$E$5:$E$2004,"Proposition envoyée")),""))</f>
        <v/>
      </c>
      <c r="AR372" s="106">
        <f>IF(C372="","",IF(AQ372="","",AQ372+'Paramètres'!$B$26))</f>
        <v/>
      </c>
      <c r="AS372" s="62">
        <f>IF(OR(C372="",D372="Gagné",D372="Perdu"),0,N(AP372)*IFERROR(INDEX('Paramètres'!$G$6:$G$13,MATCH(D372,'Paramètres'!$F$6:$F$13,0)),0))</f>
        <v/>
      </c>
      <c r="AT372" s="106">
        <f>IF(C372="","",IFERROR(1/(1/_xlfn.MINIFS('Saisie'!$A$5:$A$2004,'Saisie'!$C$5:$C$2004,C372,'Saisie'!$E$5:$E$2004,"Signature")),""))</f>
        <v/>
      </c>
      <c r="AU372" s="60">
        <f>IF(C372="","",IF(OR(AT372="",B372=""),"",AT372-B372))</f>
        <v/>
      </c>
      <c r="AV372" s="60">
        <f>IF(C372="","",IFERROR(INDEX('Saisie'!$L$5:$L$2004,_xlfn.MAXIFS('Saisie'!$AS$5:$AS$2004,'Saisie'!$C$5:$C$2004,C372,'Saisie'!$L$5:$L$2004,"&lt;&gt;")-4),""))</f>
        <v/>
      </c>
      <c r="AW372" s="106">
        <f>IF(C372="","",IF(D372&lt;&gt;"Perdu","",IFERROR(1/(1/_xlfn.MAXIFS('Saisie'!$A$5:$A$2004,'Saisie'!$C$5:$C$2004,C372,'Saisie'!$E$5:$E$2004,"Perdu")),"")))</f>
        <v/>
      </c>
      <c r="AX372" s="106">
        <f>IF(C372="","",IF(AW372="","",AW372+'Paramètres'!$B$28))</f>
        <v/>
      </c>
      <c r="AY372" s="60">
        <f>IF(C372="","",SUMIFS('Saisie'!$H$5:$H$2004,'Saisie'!$C$5:$C$2004,C372))</f>
        <v/>
      </c>
      <c r="AZ372" s="60">
        <f>IF(C372="","",IFERROR(INDEX('Paramètres'!$W$6:$W$20,MATCH(S372,'Paramètres'!$V$6:$V$20,0))&amp;"",""))</f>
        <v/>
      </c>
      <c r="BA372" s="60">
        <f>IF(C372="","",MAX(1,_xlfn.MAXIFS('Saisie'!$AT$5:$AT$2004,'Saisie'!$C$5:$C$2004,C372)))</f>
        <v/>
      </c>
      <c r="BB372" s="60">
        <f>IF(C372="","",IFERROR(INDEX('Saisie'!$X$5:$X$2004,_xlfn.MAXIFS('Saisie'!$AS$5:$AS$2004,'Saisie'!$C$5:$C$2004,C372,'Saisie'!$X$5:$X$2004,"&lt;&gt;")-4),""))</f>
        <v/>
      </c>
      <c r="BC372" s="60">
        <f>IF(C372="","",IFERROR(INDEX('Saisie'!$Y$5:$Y$2004,_xlfn.MAXIFS('Saisie'!$AS$5:$AS$2004,'Saisie'!$C$5:$C$2004,C372,'Saisie'!$Y$5:$Y$2004,"&lt;&gt;")-4),""))</f>
        <v/>
      </c>
      <c r="BD372" s="106">
        <f>IF(C372="","",IFERROR(1/(1/_xlfn.MINIFS('Saisie'!$A$5:$A$2004,'Saisie'!$C$5:$C$2004,C372,'Saisie'!$AT$5:$AT$2004,"&gt;=2")),""))</f>
        <v/>
      </c>
      <c r="BE372" s="106">
        <f>IF(C372="","",IFERROR(1/(1/_xlfn.MINIFS('Saisie'!$A$5:$A$2004,'Saisie'!$C$5:$C$2004,C372,'Saisie'!$AT$5:$AT$2004,"&gt;=3")),""))</f>
        <v/>
      </c>
      <c r="BF372" s="106">
        <f>IF(C372="","",IFERROR(1/(1/_xlfn.MINIFS('Saisie'!$A$5:$A$2004,'Saisie'!$C$5:$C$2004,C372,'Saisie'!$AT$5:$AT$2004,"&gt;=4")),""))</f>
        <v/>
      </c>
      <c r="BG372" s="106">
        <f>IF(C372="","",IFERROR(1/(1/_xlfn.MINIFS('Saisie'!$A$5:$A$2004,'Saisie'!$C$5:$C$2004,C372,'Saisie'!$AT$5:$AT$2004,"&gt;=5")),""))</f>
        <v/>
      </c>
      <c r="BH372" s="106">
        <f>IF(C372="","",IFERROR(1/(1/_xlfn.MINIFS('Saisie'!$A$5:$A$2004,'Saisie'!$C$5:$C$2004,C372,'Saisie'!$AT$5:$AT$2004,"&gt;=6")),""))</f>
        <v/>
      </c>
      <c r="BI372" s="106">
        <f>IF(C372="","",IFERROR(1/(1/_xlfn.MINIFS('Saisie'!$A$5:$A$2004,'Saisie'!$C$5:$C$2004,C372,'Saisie'!$AT$5:$AT$2004,"&gt;=7")),""))</f>
        <v/>
      </c>
      <c r="BJ372" s="60">
        <f>IF(OR(BD372="",B372=""),"",BD372-B372)</f>
        <v/>
      </c>
      <c r="BK372" s="60">
        <f>IF(OR(BE372="",BD372=""),"",BE372-BD372)</f>
        <v/>
      </c>
      <c r="BL372" s="60">
        <f>IF(OR(BF372="",BE372=""),"",BF372-BE372)</f>
        <v/>
      </c>
      <c r="BM372" s="60">
        <f>IF(OR(BG372="",BF372=""),"",BG372-BF372)</f>
        <v/>
      </c>
      <c r="BN372" s="60">
        <f>IF(OR(BH372="",BG372=""),"",BH372-BG372)</f>
        <v/>
      </c>
      <c r="BO372" s="60">
        <f>IF(OR(BI372="",BH372=""),"",BI372-BH372)</f>
        <v/>
      </c>
      <c r="BP372" s="60">
        <f>IF(C372="","",_xlfn.MAXIFS('Saisie'!$AS$5:$AS$2004,'Saisie'!$C$5:$C$2004,C372,'Saisie'!$J$5:$J$2004,"&lt;&gt;"))</f>
        <v/>
      </c>
      <c r="BQ372" s="60">
        <f>IF(C372="","",_xlfn.MAXIFS('Saisie'!$AS$5:$AS$2004,'Saisie'!$C$5:$C$2004,C372))</f>
        <v/>
      </c>
      <c r="BR372" s="60">
        <f>IF(C372="","",_xlfn.MAXIFS('Saisie'!$AS$5:$AS$2004,'Saisie'!$C$5:$C$2004,C372,'Saisie'!$E$5:$E$2004,"Perdu"))</f>
        <v/>
      </c>
      <c r="BS372" s="60">
        <f>IF(C372="","",_xlfn.MAXIFS('Saisie'!$AS$5:$AS$2004,'Saisie'!$C$5:$C$2004,C372,'Saisie'!$AT$5:$AT$2004,"&gt;0"))</f>
        <v/>
      </c>
      <c r="BT372" s="109">
        <f>IF(AND(C372&lt;&gt;"",OR(D372="Nouveau",D372="Contacté",D372="Qualifié"),OR(G372="",N(G372)&lt;=TODAY()),NOT(AND(O372&gt;='Paramètres'!$B$21,P372=0))),E372+368/10000,"")</f>
        <v/>
      </c>
      <c r="BU372" s="60">
        <f>IF(AND(G372&lt;&gt;"",N(G372)&lt;=TODAY()),MAX($BU$4:BU371)+1,"")</f>
        <v/>
      </c>
      <c r="BV372" s="60">
        <f>IF(AND(F372&lt;&gt;"",F372&lt;&gt;"Relance en retard"),MAX($BV$4:BV371)+1,"")</f>
        <v/>
      </c>
      <c r="BW372" s="60">
        <f>IF(C372="","",IF(AND(B372&gt;='Tableau de bord'!$R$4,B372&lt;='Tableau de bord'!$S$4,OR('Tableau de bord'!$G$4="Tous",N372='Tableau de bord'!$G$4)),1,0))</f>
        <v/>
      </c>
      <c r="BX372" s="60">
        <f>IF(AND(C372&lt;&gt;"",N(BA372)=7),MAX($BX$4:BX371)+1,"")</f>
        <v/>
      </c>
    </row>
    <row r="373">
      <c r="A373" s="60">
        <f>IF(C373="","","P-"&amp;TEXT(369,"000"))</f>
        <v/>
      </c>
      <c r="B373" s="106">
        <f>IF(C373="","",IFERROR(1/(1/_xlfn.MINIFS('Saisie'!$A$5:$A$2004,'Saisie'!$C$5:$C$2004,C373)),""))</f>
        <v/>
      </c>
      <c r="C373" s="60">
        <f>IFERROR(INDEX('Saisie'!$C$5:$C$2004,MATCH(369,'Saisie'!$AX$5:$AX$2004,0)),"")</f>
        <v/>
      </c>
      <c r="D373" s="60">
        <f>IF(C373="","",IF(AND(BR373&gt;0,BR373&gt;BS373,BA373&lt;7),"Perdu",INDEX('Paramètres'!$F$6:$F$13,BA373)))</f>
        <v/>
      </c>
      <c r="E373" s="61">
        <f>IF(C373="","",MIN(100,(Z373="Oui")*'Paramètres'!$B$38+(AB373="Régulière")*'Paramètres'!$B$39+IF(AND(N(AA373)&gt;0,TODAY()-N(AA373)&lt;=30),'Paramètres'!$B$40,0)+(W373="")*'Paramètres'!$B$41+(AC373="Absente")*'Paramètres'!$B$42+(AC373="Faible")*'Paramètres'!$B$43+IF(AND(N(AD373)&gt;0,N(AD373)&lt;4),'Paramètres'!$B$44,0)+(AF373="Moyenne")*'Paramètres'!$B$45+(AF373="Grande")*'Paramètres'!$B$46+(Y373&lt;&gt;"")*'Paramètres'!$B$47))</f>
        <v/>
      </c>
      <c r="F373" s="60">
        <f>IF(C373="","",IF(D373="Gagné","",IF(D373="Perdu",IF(AND(AX373&lt;&gt;"",AX373&lt;=TODAY()),"À recontacter (perdu)",""),IF(AND(O373&gt;='Paramètres'!$B$21,P373=0),"Stop : "&amp;'Paramètres'!$B$21&amp;" tentatives sans réponse",IF(AND(D373="Proposition",AR373&lt;&gt;"",TODAY()&gt;N(AR373)),"Proposition expirée",IF(AND(D373="Proposition",N(R373)&gt;='Paramètres'!$B$25),"Proposition sans réponse",IF(AND(G373&lt;&gt;"",N(G373)&lt;TODAY()),"Relance en retard",IF(N(R373)&gt;='Paramètres'!$B$24,"Sans action depuis "&amp;R373&amp;" j",""))))))))</f>
        <v/>
      </c>
      <c r="G373" s="106">
        <f>IF(OR(C373="",D373="Gagné",D373="Perdu"),"",IF(AND(BP373&gt;0,BP373=BQ373),INDEX('Saisie'!$J$5:$J$2004,BP373-4),IF(OR(O373=0,AND(O373&gt;='Paramètres'!$B$21,P373=0)),"",Q373+IF(O373&lt;=1,'Paramètres'!$B$18,IF(O373=2,'Paramètres'!$B$19,'Paramètres'!$B$20)))))</f>
        <v/>
      </c>
      <c r="H373" s="107">
        <f>IF(OR(G373="",BP373&lt;&gt;BQ373),"",IF(INDEX('Saisie'!$K$5:$K$2004,BP373-4)="","",INDEX('Saisie'!$K$5:$K$2004,BP373-4)))</f>
        <v/>
      </c>
      <c r="I373" s="60">
        <f>IF(C373="","",IF(OR(D373="Gagné",D373="Perdu"),"",IFERROR(INDEX('Saisie'!$I$5:$I$2004,_xlfn.MAXIFS('Saisie'!$AS$5:$AS$2004,'Saisie'!$C$5:$C$2004,C373,'Saisie'!$I$5:$I$2004,"&lt;&gt;")-4),"")))</f>
        <v/>
      </c>
      <c r="J373" s="60">
        <f>IF(C373="","",IFERROR(INDEX('Saisie'!$U$5:$U$2004,_xlfn.MAXIFS('Saisie'!$AS$5:$AS$2004,'Saisie'!$C$5:$C$2004,C373,'Saisie'!$U$5:$U$2004,"&lt;&gt;")-4),""))</f>
        <v/>
      </c>
      <c r="K373" s="60">
        <f>IF(C373="","",IFERROR(INDEX('Saisie'!$W$5:$W$2004,_xlfn.MAXIFS('Saisie'!$AS$5:$AS$2004,'Saisie'!$C$5:$C$2004,C373,'Saisie'!$W$5:$W$2004,"&lt;&gt;")-4),""))</f>
        <v/>
      </c>
      <c r="L373" s="60">
        <f>IF(IF(BB373&lt;&gt;"",BB373,K373)="","",HYPERLINK("https://wa.me/"&amp;IF(LEFT(SUBSTITUTE(SUBSTITUTE(SUBSTITUTE(IF(BB373&lt;&gt;"",BB373,K373)," ",""),".",""),"+",""),1)="0",'Paramètres'!$B$35&amp;MID(SUBSTITUTE(SUBSTITUTE(SUBSTITUTE(IF(BB373&lt;&gt;"",BB373,K373)," ",""),".",""),"+",""),2,20),SUBSTITUTE(SUBSTITUTE(SUBSTITUTE(IF(BB373&lt;&gt;"",BB373,K373)," ",""),".",""),"+","")),"WhatsApp"))</f>
        <v/>
      </c>
      <c r="M373" s="60">
        <f>IF(BC373="","",HYPERLINK(IF(LEFT(BC373,4)="http",BC373,"https://www.instagram.com/"&amp;SUBSTITUTE(SUBSTITUTE(BC373,"@","")," ","")),BC373))</f>
        <v/>
      </c>
      <c r="N373" s="60">
        <f>IF(C373="","",IFERROR(INDEX('Saisie'!$D$5:$D$2004,_xlfn.MINIFS('Saisie'!$AS$5:$AS$2004,'Saisie'!$C$5:$C$2004,C373,'Saisie'!$AU$5:$AU$2004,1)-4),IFERROR(INDEX('Saisie'!$D$5:$D$2004,_xlfn.MINIFS('Saisie'!$AS$5:$AS$2004,'Saisie'!$C$5:$C$2004,C373,'Saisie'!$D$5:$D$2004,"&lt;&gt;")-4),"")))</f>
        <v/>
      </c>
      <c r="O373" s="60">
        <f>IF(C373="","",COUNTIFS('Saisie'!$C$5:$C$2004,C373,'Saisie'!$AU$5:$AU$2004,1))</f>
        <v/>
      </c>
      <c r="P373" s="60">
        <f>IF(C373="","",COUNTIFS('Saisie'!$C$5:$C$2004,C373,'Saisie'!$AV$5:$AV$2004,1))</f>
        <v/>
      </c>
      <c r="Q373" s="106">
        <f>IF(C373="","",IFERROR(1/(1/_xlfn.MAXIFS('Saisie'!$A$5:$A$2004,'Saisie'!$C$5:$C$2004,C373)),""))</f>
        <v/>
      </c>
      <c r="R373" s="61">
        <f>IF(C373="","",IF(Q373="","",TODAY()-Q373))</f>
        <v/>
      </c>
      <c r="S373" s="60">
        <f>IF(C373="","",IFERROR(INDEX('Saisie'!$R$5:$R$2004,_xlfn.MAXIFS('Saisie'!$AS$5:$AS$2004,'Saisie'!$C$5:$C$2004,C373,'Saisie'!$R$5:$R$2004,"&lt;&gt;")-4),""))</f>
        <v/>
      </c>
      <c r="T373" s="60">
        <f>IF(C373="","",IFERROR(INDEX('Saisie'!$S$5:$S$2004,_xlfn.MAXIFS('Saisie'!$AS$5:$AS$2004,'Saisie'!$C$5:$C$2004,C373,'Saisie'!$S$5:$S$2004,"&lt;&gt;")-4),""))</f>
        <v/>
      </c>
      <c r="U373" s="60">
        <f>IF(C373="","",IFERROR(INDEX('Saisie'!$T$5:$T$2004,_xlfn.MAXIFS('Saisie'!$AS$5:$AS$2004,'Saisie'!$C$5:$C$2004,C373,'Saisie'!$T$5:$T$2004,"&lt;&gt;")-4),""))</f>
        <v/>
      </c>
      <c r="V373" s="60">
        <f>IF(C373="","",IFERROR(INDEX('Saisie'!$V$5:$V$2004,_xlfn.MAXIFS('Saisie'!$AS$5:$AS$2004,'Saisie'!$C$5:$C$2004,C373,'Saisie'!$V$5:$V$2004,"&lt;&gt;")-4),""))</f>
        <v/>
      </c>
      <c r="W373" s="60">
        <f>IF(C373="","",IFERROR(INDEX('Saisie'!$Z$5:$Z$2004,_xlfn.MAXIFS('Saisie'!$AS$5:$AS$2004,'Saisie'!$C$5:$C$2004,C373,'Saisie'!$Z$5:$Z$2004,"&lt;&gt;")-4),""))</f>
        <v/>
      </c>
      <c r="X373" s="60">
        <f>IF(C373="","",IFERROR(INDEX('Saisie'!$AA$5:$AA$2004,_xlfn.MAXIFS('Saisie'!$AS$5:$AS$2004,'Saisie'!$C$5:$C$2004,C373,'Saisie'!$AA$5:$AA$2004,"&lt;&gt;")-4),""))</f>
        <v/>
      </c>
      <c r="Y373" s="60">
        <f>IF(C373="","",IFERROR(INDEX('Saisie'!$AB$5:$AB$2004,_xlfn.MAXIFS('Saisie'!$AS$5:$AS$2004,'Saisie'!$C$5:$C$2004,C373,'Saisie'!$AB$5:$AB$2004,"&lt;&gt;")-4),""))</f>
        <v/>
      </c>
      <c r="Z373" s="60">
        <f>IF(C373="","",IFERROR(INDEX('Saisie'!$AC$5:$AC$2004,_xlfn.MAXIFS('Saisie'!$AS$5:$AS$2004,'Saisie'!$C$5:$C$2004,C373,'Saisie'!$AC$5:$AC$2004,"&lt;&gt;")-4),""))</f>
        <v/>
      </c>
      <c r="AA373" s="106">
        <f>IF(C373="","",IFERROR(INDEX('Saisie'!$AD$5:$AD$2004,_xlfn.MAXIFS('Saisie'!$AS$5:$AS$2004,'Saisie'!$C$5:$C$2004,C373,'Saisie'!$AD$5:$AD$2004,"&lt;&gt;")-4),""))</f>
        <v/>
      </c>
      <c r="AB373" s="60">
        <f>IF(C373="","",IFERROR(INDEX('Saisie'!$AE$5:$AE$2004,_xlfn.MAXIFS('Saisie'!$AS$5:$AS$2004,'Saisie'!$C$5:$C$2004,C373,'Saisie'!$AE$5:$AE$2004,"&lt;&gt;")-4),""))</f>
        <v/>
      </c>
      <c r="AC373" s="60">
        <f>IF(C373="","",IFERROR(INDEX('Saisie'!$AF$5:$AF$2004,_xlfn.MAXIFS('Saisie'!$AS$5:$AS$2004,'Saisie'!$C$5:$C$2004,C373,'Saisie'!$AF$5:$AF$2004,"&lt;&gt;")-4),""))</f>
        <v/>
      </c>
      <c r="AD373" s="108">
        <f>IF(C373="","",IFERROR(INDEX('Saisie'!$AG$5:$AG$2004,_xlfn.MAXIFS('Saisie'!$AS$5:$AS$2004,'Saisie'!$C$5:$C$2004,C373,'Saisie'!$AG$5:$AG$2004,"&lt;&gt;")-4),""))</f>
        <v/>
      </c>
      <c r="AE373" s="60">
        <f>IF(C373="","",IFERROR(INDEX('Saisie'!$AH$5:$AH$2004,_xlfn.MAXIFS('Saisie'!$AS$5:$AS$2004,'Saisie'!$C$5:$C$2004,C373,'Saisie'!$AH$5:$AH$2004,"&lt;&gt;")-4),""))</f>
        <v/>
      </c>
      <c r="AF373" s="60">
        <f>IF(C373="","",IFERROR(INDEX('Saisie'!$AI$5:$AI$2004,_xlfn.MAXIFS('Saisie'!$AS$5:$AS$2004,'Saisie'!$C$5:$C$2004,C373,'Saisie'!$AI$5:$AI$2004,"&lt;&gt;")-4),""))</f>
        <v/>
      </c>
      <c r="AG373" s="60">
        <f>IF(C373="","",IFERROR(INDEX('Saisie'!$AJ$5:$AJ$2004,_xlfn.MAXIFS('Saisie'!$AS$5:$AS$2004,'Saisie'!$C$5:$C$2004,C373,'Saisie'!$AJ$5:$AJ$2004,"&lt;&gt;")-4),""))</f>
        <v/>
      </c>
      <c r="AH373" s="60">
        <f>IF(C373="","",IFERROR(INDEX('Saisie'!$AK$5:$AK$2004,_xlfn.MAXIFS('Saisie'!$AS$5:$AS$2004,'Saisie'!$C$5:$C$2004,C373,'Saisie'!$AK$5:$AK$2004,"&lt;&gt;")-4),""))</f>
        <v/>
      </c>
      <c r="AI373" s="60">
        <f>IF(C373="","",IFERROR(INDEX('Saisie'!$AN$5:$AN$2004,_xlfn.MAXIFS('Saisie'!$AS$5:$AS$2004,'Saisie'!$C$5:$C$2004,C373,'Saisie'!$AN$5:$AN$2004,"&lt;&gt;")-4),""))</f>
        <v/>
      </c>
      <c r="AJ373" s="60">
        <f>IF(C373="","",IFERROR(INDEX('Saisie'!$AO$5:$AO$2004,_xlfn.MAXIFS('Saisie'!$AS$5:$AS$2004,'Saisie'!$C$5:$C$2004,C373,'Saisie'!$AO$5:$AO$2004,"&lt;&gt;")-4),""))</f>
        <v/>
      </c>
      <c r="AK373" s="60">
        <f>IF(C373="","",IFERROR(INDEX('Saisie'!$AP$5:$AP$2004,_xlfn.MAXIFS('Saisie'!$AS$5:$AS$2004,'Saisie'!$C$5:$C$2004,C373,'Saisie'!$AP$5:$AP$2004,"&lt;&gt;")-4),""))</f>
        <v/>
      </c>
      <c r="AL373" s="60">
        <f>IF(C373="","",IFERROR(INDEX('Saisie'!$AQ$5:$AQ$2004,_xlfn.MAXIFS('Saisie'!$AS$5:$AS$2004,'Saisie'!$C$5:$C$2004,C373,'Saisie'!$AQ$5:$AQ$2004,"&lt;&gt;")-4),""))</f>
        <v/>
      </c>
      <c r="AM373" s="60">
        <f>IF(C373="","",((AI373="Oui")+(AJ373="Oui")+(AK373="Oui")+OR(AL373="Immédiat",AL373="&lt; 1 mois"))&amp;"/4")</f>
        <v/>
      </c>
      <c r="AN373" s="60">
        <f>IF(C373="","",IFERROR(INDEX('Saisie'!$AL$5:$AL$2004,_xlfn.MAXIFS('Saisie'!$AS$5:$AS$2004,'Saisie'!$C$5:$C$2004,C373,'Saisie'!$AL$5:$AL$2004,"&lt;&gt;")-4),""))</f>
        <v/>
      </c>
      <c r="AO373" s="62">
        <f>IF(C373="","",IF(IFERROR(INDEX('Saisie'!$AM$5:$AM$2004,_xlfn.MAXIFS('Saisie'!$AS$5:$AS$2004,'Saisie'!$C$5:$C$2004,C373,'Saisie'!$AM$5:$AM$2004,"&lt;&gt;")-4),"")&lt;&gt;"",IFERROR(INDEX('Saisie'!$AM$5:$AM$2004,_xlfn.MAXIFS('Saisie'!$AS$5:$AS$2004,'Saisie'!$C$5:$C$2004,C373,'Saisie'!$AM$5:$AM$2004,"&lt;&gt;")-4),""),IFERROR(INDEX('Paramètres'!$S$6:$S$15,MATCH(AN373,'Paramètres'!$Q$6:$Q$15,0)),"")))</f>
        <v/>
      </c>
      <c r="AP373" s="62">
        <f>IF(C373="","",IFERROR(INDEX('Saisie'!$AW$5:$AW$2004,_xlfn.MAXIFS('Saisie'!$AS$5:$AS$2004,'Saisie'!$C$5:$C$2004,C373,'Saisie'!$E$5:$E$2004,"Proposition envoyée")-4),""))</f>
        <v/>
      </c>
      <c r="AQ373" s="106">
        <f>IF(C373="","",IFERROR(1/(1/_xlfn.MAXIFS('Saisie'!$A$5:$A$2004,'Saisie'!$C$5:$C$2004,C373,'Saisie'!$E$5:$E$2004,"Proposition envoyée")),""))</f>
        <v/>
      </c>
      <c r="AR373" s="106">
        <f>IF(C373="","",IF(AQ373="","",AQ373+'Paramètres'!$B$26))</f>
        <v/>
      </c>
      <c r="AS373" s="62">
        <f>IF(OR(C373="",D373="Gagné",D373="Perdu"),0,N(AP373)*IFERROR(INDEX('Paramètres'!$G$6:$G$13,MATCH(D373,'Paramètres'!$F$6:$F$13,0)),0))</f>
        <v/>
      </c>
      <c r="AT373" s="106">
        <f>IF(C373="","",IFERROR(1/(1/_xlfn.MINIFS('Saisie'!$A$5:$A$2004,'Saisie'!$C$5:$C$2004,C373,'Saisie'!$E$5:$E$2004,"Signature")),""))</f>
        <v/>
      </c>
      <c r="AU373" s="60">
        <f>IF(C373="","",IF(OR(AT373="",B373=""),"",AT373-B373))</f>
        <v/>
      </c>
      <c r="AV373" s="60">
        <f>IF(C373="","",IFERROR(INDEX('Saisie'!$L$5:$L$2004,_xlfn.MAXIFS('Saisie'!$AS$5:$AS$2004,'Saisie'!$C$5:$C$2004,C373,'Saisie'!$L$5:$L$2004,"&lt;&gt;")-4),""))</f>
        <v/>
      </c>
      <c r="AW373" s="106">
        <f>IF(C373="","",IF(D373&lt;&gt;"Perdu","",IFERROR(1/(1/_xlfn.MAXIFS('Saisie'!$A$5:$A$2004,'Saisie'!$C$5:$C$2004,C373,'Saisie'!$E$5:$E$2004,"Perdu")),"")))</f>
        <v/>
      </c>
      <c r="AX373" s="106">
        <f>IF(C373="","",IF(AW373="","",AW373+'Paramètres'!$B$28))</f>
        <v/>
      </c>
      <c r="AY373" s="60">
        <f>IF(C373="","",SUMIFS('Saisie'!$H$5:$H$2004,'Saisie'!$C$5:$C$2004,C373))</f>
        <v/>
      </c>
      <c r="AZ373" s="60">
        <f>IF(C373="","",IFERROR(INDEX('Paramètres'!$W$6:$W$20,MATCH(S373,'Paramètres'!$V$6:$V$20,0))&amp;"",""))</f>
        <v/>
      </c>
      <c r="BA373" s="60">
        <f>IF(C373="","",MAX(1,_xlfn.MAXIFS('Saisie'!$AT$5:$AT$2004,'Saisie'!$C$5:$C$2004,C373)))</f>
        <v/>
      </c>
      <c r="BB373" s="60">
        <f>IF(C373="","",IFERROR(INDEX('Saisie'!$X$5:$X$2004,_xlfn.MAXIFS('Saisie'!$AS$5:$AS$2004,'Saisie'!$C$5:$C$2004,C373,'Saisie'!$X$5:$X$2004,"&lt;&gt;")-4),""))</f>
        <v/>
      </c>
      <c r="BC373" s="60">
        <f>IF(C373="","",IFERROR(INDEX('Saisie'!$Y$5:$Y$2004,_xlfn.MAXIFS('Saisie'!$AS$5:$AS$2004,'Saisie'!$C$5:$C$2004,C373,'Saisie'!$Y$5:$Y$2004,"&lt;&gt;")-4),""))</f>
        <v/>
      </c>
      <c r="BD373" s="106">
        <f>IF(C373="","",IFERROR(1/(1/_xlfn.MINIFS('Saisie'!$A$5:$A$2004,'Saisie'!$C$5:$C$2004,C373,'Saisie'!$AT$5:$AT$2004,"&gt;=2")),""))</f>
        <v/>
      </c>
      <c r="BE373" s="106">
        <f>IF(C373="","",IFERROR(1/(1/_xlfn.MINIFS('Saisie'!$A$5:$A$2004,'Saisie'!$C$5:$C$2004,C373,'Saisie'!$AT$5:$AT$2004,"&gt;=3")),""))</f>
        <v/>
      </c>
      <c r="BF373" s="106">
        <f>IF(C373="","",IFERROR(1/(1/_xlfn.MINIFS('Saisie'!$A$5:$A$2004,'Saisie'!$C$5:$C$2004,C373,'Saisie'!$AT$5:$AT$2004,"&gt;=4")),""))</f>
        <v/>
      </c>
      <c r="BG373" s="106">
        <f>IF(C373="","",IFERROR(1/(1/_xlfn.MINIFS('Saisie'!$A$5:$A$2004,'Saisie'!$C$5:$C$2004,C373,'Saisie'!$AT$5:$AT$2004,"&gt;=5")),""))</f>
        <v/>
      </c>
      <c r="BH373" s="106">
        <f>IF(C373="","",IFERROR(1/(1/_xlfn.MINIFS('Saisie'!$A$5:$A$2004,'Saisie'!$C$5:$C$2004,C373,'Saisie'!$AT$5:$AT$2004,"&gt;=6")),""))</f>
        <v/>
      </c>
      <c r="BI373" s="106">
        <f>IF(C373="","",IFERROR(1/(1/_xlfn.MINIFS('Saisie'!$A$5:$A$2004,'Saisie'!$C$5:$C$2004,C373,'Saisie'!$AT$5:$AT$2004,"&gt;=7")),""))</f>
        <v/>
      </c>
      <c r="BJ373" s="60">
        <f>IF(OR(BD373="",B373=""),"",BD373-B373)</f>
        <v/>
      </c>
      <c r="BK373" s="60">
        <f>IF(OR(BE373="",BD373=""),"",BE373-BD373)</f>
        <v/>
      </c>
      <c r="BL373" s="60">
        <f>IF(OR(BF373="",BE373=""),"",BF373-BE373)</f>
        <v/>
      </c>
      <c r="BM373" s="60">
        <f>IF(OR(BG373="",BF373=""),"",BG373-BF373)</f>
        <v/>
      </c>
      <c r="BN373" s="60">
        <f>IF(OR(BH373="",BG373=""),"",BH373-BG373)</f>
        <v/>
      </c>
      <c r="BO373" s="60">
        <f>IF(OR(BI373="",BH373=""),"",BI373-BH373)</f>
        <v/>
      </c>
      <c r="BP373" s="60">
        <f>IF(C373="","",_xlfn.MAXIFS('Saisie'!$AS$5:$AS$2004,'Saisie'!$C$5:$C$2004,C373,'Saisie'!$J$5:$J$2004,"&lt;&gt;"))</f>
        <v/>
      </c>
      <c r="BQ373" s="60">
        <f>IF(C373="","",_xlfn.MAXIFS('Saisie'!$AS$5:$AS$2004,'Saisie'!$C$5:$C$2004,C373))</f>
        <v/>
      </c>
      <c r="BR373" s="60">
        <f>IF(C373="","",_xlfn.MAXIFS('Saisie'!$AS$5:$AS$2004,'Saisie'!$C$5:$C$2004,C373,'Saisie'!$E$5:$E$2004,"Perdu"))</f>
        <v/>
      </c>
      <c r="BS373" s="60">
        <f>IF(C373="","",_xlfn.MAXIFS('Saisie'!$AS$5:$AS$2004,'Saisie'!$C$5:$C$2004,C373,'Saisie'!$AT$5:$AT$2004,"&gt;0"))</f>
        <v/>
      </c>
      <c r="BT373" s="109">
        <f>IF(AND(C373&lt;&gt;"",OR(D373="Nouveau",D373="Contacté",D373="Qualifié"),OR(G373="",N(G373)&lt;=TODAY()),NOT(AND(O373&gt;='Paramètres'!$B$21,P373=0))),E373+369/10000,"")</f>
        <v/>
      </c>
      <c r="BU373" s="60">
        <f>IF(AND(G373&lt;&gt;"",N(G373)&lt;=TODAY()),MAX($BU$4:BU372)+1,"")</f>
        <v/>
      </c>
      <c r="BV373" s="60">
        <f>IF(AND(F373&lt;&gt;"",F373&lt;&gt;"Relance en retard"),MAX($BV$4:BV372)+1,"")</f>
        <v/>
      </c>
      <c r="BW373" s="60">
        <f>IF(C373="","",IF(AND(B373&gt;='Tableau de bord'!$R$4,B373&lt;='Tableau de bord'!$S$4,OR('Tableau de bord'!$G$4="Tous",N373='Tableau de bord'!$G$4)),1,0))</f>
        <v/>
      </c>
      <c r="BX373" s="60">
        <f>IF(AND(C373&lt;&gt;"",N(BA373)=7),MAX($BX$4:BX372)+1,"")</f>
        <v/>
      </c>
    </row>
    <row r="374">
      <c r="A374" s="60">
        <f>IF(C374="","","P-"&amp;TEXT(370,"000"))</f>
        <v/>
      </c>
      <c r="B374" s="106">
        <f>IF(C374="","",IFERROR(1/(1/_xlfn.MINIFS('Saisie'!$A$5:$A$2004,'Saisie'!$C$5:$C$2004,C374)),""))</f>
        <v/>
      </c>
      <c r="C374" s="60">
        <f>IFERROR(INDEX('Saisie'!$C$5:$C$2004,MATCH(370,'Saisie'!$AX$5:$AX$2004,0)),"")</f>
        <v/>
      </c>
      <c r="D374" s="60">
        <f>IF(C374="","",IF(AND(BR374&gt;0,BR374&gt;BS374,BA374&lt;7),"Perdu",INDEX('Paramètres'!$F$6:$F$13,BA374)))</f>
        <v/>
      </c>
      <c r="E374" s="61">
        <f>IF(C374="","",MIN(100,(Z374="Oui")*'Paramètres'!$B$38+(AB374="Régulière")*'Paramètres'!$B$39+IF(AND(N(AA374)&gt;0,TODAY()-N(AA374)&lt;=30),'Paramètres'!$B$40,0)+(W374="")*'Paramètres'!$B$41+(AC374="Absente")*'Paramètres'!$B$42+(AC374="Faible")*'Paramètres'!$B$43+IF(AND(N(AD374)&gt;0,N(AD374)&lt;4),'Paramètres'!$B$44,0)+(AF374="Moyenne")*'Paramètres'!$B$45+(AF374="Grande")*'Paramètres'!$B$46+(Y374&lt;&gt;"")*'Paramètres'!$B$47))</f>
        <v/>
      </c>
      <c r="F374" s="60">
        <f>IF(C374="","",IF(D374="Gagné","",IF(D374="Perdu",IF(AND(AX374&lt;&gt;"",AX374&lt;=TODAY()),"À recontacter (perdu)",""),IF(AND(O374&gt;='Paramètres'!$B$21,P374=0),"Stop : "&amp;'Paramètres'!$B$21&amp;" tentatives sans réponse",IF(AND(D374="Proposition",AR374&lt;&gt;"",TODAY()&gt;N(AR374)),"Proposition expirée",IF(AND(D374="Proposition",N(R374)&gt;='Paramètres'!$B$25),"Proposition sans réponse",IF(AND(G374&lt;&gt;"",N(G374)&lt;TODAY()),"Relance en retard",IF(N(R374)&gt;='Paramètres'!$B$24,"Sans action depuis "&amp;R374&amp;" j",""))))))))</f>
        <v/>
      </c>
      <c r="G374" s="106">
        <f>IF(OR(C374="",D374="Gagné",D374="Perdu"),"",IF(AND(BP374&gt;0,BP374=BQ374),INDEX('Saisie'!$J$5:$J$2004,BP374-4),IF(OR(O374=0,AND(O374&gt;='Paramètres'!$B$21,P374=0)),"",Q374+IF(O374&lt;=1,'Paramètres'!$B$18,IF(O374=2,'Paramètres'!$B$19,'Paramètres'!$B$20)))))</f>
        <v/>
      </c>
      <c r="H374" s="107">
        <f>IF(OR(G374="",BP374&lt;&gt;BQ374),"",IF(INDEX('Saisie'!$K$5:$K$2004,BP374-4)="","",INDEX('Saisie'!$K$5:$K$2004,BP374-4)))</f>
        <v/>
      </c>
      <c r="I374" s="60">
        <f>IF(C374="","",IF(OR(D374="Gagné",D374="Perdu"),"",IFERROR(INDEX('Saisie'!$I$5:$I$2004,_xlfn.MAXIFS('Saisie'!$AS$5:$AS$2004,'Saisie'!$C$5:$C$2004,C374,'Saisie'!$I$5:$I$2004,"&lt;&gt;")-4),"")))</f>
        <v/>
      </c>
      <c r="J374" s="60">
        <f>IF(C374="","",IFERROR(INDEX('Saisie'!$U$5:$U$2004,_xlfn.MAXIFS('Saisie'!$AS$5:$AS$2004,'Saisie'!$C$5:$C$2004,C374,'Saisie'!$U$5:$U$2004,"&lt;&gt;")-4),""))</f>
        <v/>
      </c>
      <c r="K374" s="60">
        <f>IF(C374="","",IFERROR(INDEX('Saisie'!$W$5:$W$2004,_xlfn.MAXIFS('Saisie'!$AS$5:$AS$2004,'Saisie'!$C$5:$C$2004,C374,'Saisie'!$W$5:$W$2004,"&lt;&gt;")-4),""))</f>
        <v/>
      </c>
      <c r="L374" s="60">
        <f>IF(IF(BB374&lt;&gt;"",BB374,K374)="","",HYPERLINK("https://wa.me/"&amp;IF(LEFT(SUBSTITUTE(SUBSTITUTE(SUBSTITUTE(IF(BB374&lt;&gt;"",BB374,K374)," ",""),".",""),"+",""),1)="0",'Paramètres'!$B$35&amp;MID(SUBSTITUTE(SUBSTITUTE(SUBSTITUTE(IF(BB374&lt;&gt;"",BB374,K374)," ",""),".",""),"+",""),2,20),SUBSTITUTE(SUBSTITUTE(SUBSTITUTE(IF(BB374&lt;&gt;"",BB374,K374)," ",""),".",""),"+","")),"WhatsApp"))</f>
        <v/>
      </c>
      <c r="M374" s="60">
        <f>IF(BC374="","",HYPERLINK(IF(LEFT(BC374,4)="http",BC374,"https://www.instagram.com/"&amp;SUBSTITUTE(SUBSTITUTE(BC374,"@","")," ","")),BC374))</f>
        <v/>
      </c>
      <c r="N374" s="60">
        <f>IF(C374="","",IFERROR(INDEX('Saisie'!$D$5:$D$2004,_xlfn.MINIFS('Saisie'!$AS$5:$AS$2004,'Saisie'!$C$5:$C$2004,C374,'Saisie'!$AU$5:$AU$2004,1)-4),IFERROR(INDEX('Saisie'!$D$5:$D$2004,_xlfn.MINIFS('Saisie'!$AS$5:$AS$2004,'Saisie'!$C$5:$C$2004,C374,'Saisie'!$D$5:$D$2004,"&lt;&gt;")-4),"")))</f>
        <v/>
      </c>
      <c r="O374" s="60">
        <f>IF(C374="","",COUNTIFS('Saisie'!$C$5:$C$2004,C374,'Saisie'!$AU$5:$AU$2004,1))</f>
        <v/>
      </c>
      <c r="P374" s="60">
        <f>IF(C374="","",COUNTIFS('Saisie'!$C$5:$C$2004,C374,'Saisie'!$AV$5:$AV$2004,1))</f>
        <v/>
      </c>
      <c r="Q374" s="106">
        <f>IF(C374="","",IFERROR(1/(1/_xlfn.MAXIFS('Saisie'!$A$5:$A$2004,'Saisie'!$C$5:$C$2004,C374)),""))</f>
        <v/>
      </c>
      <c r="R374" s="61">
        <f>IF(C374="","",IF(Q374="","",TODAY()-Q374))</f>
        <v/>
      </c>
      <c r="S374" s="60">
        <f>IF(C374="","",IFERROR(INDEX('Saisie'!$R$5:$R$2004,_xlfn.MAXIFS('Saisie'!$AS$5:$AS$2004,'Saisie'!$C$5:$C$2004,C374,'Saisie'!$R$5:$R$2004,"&lt;&gt;")-4),""))</f>
        <v/>
      </c>
      <c r="T374" s="60">
        <f>IF(C374="","",IFERROR(INDEX('Saisie'!$S$5:$S$2004,_xlfn.MAXIFS('Saisie'!$AS$5:$AS$2004,'Saisie'!$C$5:$C$2004,C374,'Saisie'!$S$5:$S$2004,"&lt;&gt;")-4),""))</f>
        <v/>
      </c>
      <c r="U374" s="60">
        <f>IF(C374="","",IFERROR(INDEX('Saisie'!$T$5:$T$2004,_xlfn.MAXIFS('Saisie'!$AS$5:$AS$2004,'Saisie'!$C$5:$C$2004,C374,'Saisie'!$T$5:$T$2004,"&lt;&gt;")-4),""))</f>
        <v/>
      </c>
      <c r="V374" s="60">
        <f>IF(C374="","",IFERROR(INDEX('Saisie'!$V$5:$V$2004,_xlfn.MAXIFS('Saisie'!$AS$5:$AS$2004,'Saisie'!$C$5:$C$2004,C374,'Saisie'!$V$5:$V$2004,"&lt;&gt;")-4),""))</f>
        <v/>
      </c>
      <c r="W374" s="60">
        <f>IF(C374="","",IFERROR(INDEX('Saisie'!$Z$5:$Z$2004,_xlfn.MAXIFS('Saisie'!$AS$5:$AS$2004,'Saisie'!$C$5:$C$2004,C374,'Saisie'!$Z$5:$Z$2004,"&lt;&gt;")-4),""))</f>
        <v/>
      </c>
      <c r="X374" s="60">
        <f>IF(C374="","",IFERROR(INDEX('Saisie'!$AA$5:$AA$2004,_xlfn.MAXIFS('Saisie'!$AS$5:$AS$2004,'Saisie'!$C$5:$C$2004,C374,'Saisie'!$AA$5:$AA$2004,"&lt;&gt;")-4),""))</f>
        <v/>
      </c>
      <c r="Y374" s="60">
        <f>IF(C374="","",IFERROR(INDEX('Saisie'!$AB$5:$AB$2004,_xlfn.MAXIFS('Saisie'!$AS$5:$AS$2004,'Saisie'!$C$5:$C$2004,C374,'Saisie'!$AB$5:$AB$2004,"&lt;&gt;")-4),""))</f>
        <v/>
      </c>
      <c r="Z374" s="60">
        <f>IF(C374="","",IFERROR(INDEX('Saisie'!$AC$5:$AC$2004,_xlfn.MAXIFS('Saisie'!$AS$5:$AS$2004,'Saisie'!$C$5:$C$2004,C374,'Saisie'!$AC$5:$AC$2004,"&lt;&gt;")-4),""))</f>
        <v/>
      </c>
      <c r="AA374" s="106">
        <f>IF(C374="","",IFERROR(INDEX('Saisie'!$AD$5:$AD$2004,_xlfn.MAXIFS('Saisie'!$AS$5:$AS$2004,'Saisie'!$C$5:$C$2004,C374,'Saisie'!$AD$5:$AD$2004,"&lt;&gt;")-4),""))</f>
        <v/>
      </c>
      <c r="AB374" s="60">
        <f>IF(C374="","",IFERROR(INDEX('Saisie'!$AE$5:$AE$2004,_xlfn.MAXIFS('Saisie'!$AS$5:$AS$2004,'Saisie'!$C$5:$C$2004,C374,'Saisie'!$AE$5:$AE$2004,"&lt;&gt;")-4),""))</f>
        <v/>
      </c>
      <c r="AC374" s="60">
        <f>IF(C374="","",IFERROR(INDEX('Saisie'!$AF$5:$AF$2004,_xlfn.MAXIFS('Saisie'!$AS$5:$AS$2004,'Saisie'!$C$5:$C$2004,C374,'Saisie'!$AF$5:$AF$2004,"&lt;&gt;")-4),""))</f>
        <v/>
      </c>
      <c r="AD374" s="108">
        <f>IF(C374="","",IFERROR(INDEX('Saisie'!$AG$5:$AG$2004,_xlfn.MAXIFS('Saisie'!$AS$5:$AS$2004,'Saisie'!$C$5:$C$2004,C374,'Saisie'!$AG$5:$AG$2004,"&lt;&gt;")-4),""))</f>
        <v/>
      </c>
      <c r="AE374" s="60">
        <f>IF(C374="","",IFERROR(INDEX('Saisie'!$AH$5:$AH$2004,_xlfn.MAXIFS('Saisie'!$AS$5:$AS$2004,'Saisie'!$C$5:$C$2004,C374,'Saisie'!$AH$5:$AH$2004,"&lt;&gt;")-4),""))</f>
        <v/>
      </c>
      <c r="AF374" s="60">
        <f>IF(C374="","",IFERROR(INDEX('Saisie'!$AI$5:$AI$2004,_xlfn.MAXIFS('Saisie'!$AS$5:$AS$2004,'Saisie'!$C$5:$C$2004,C374,'Saisie'!$AI$5:$AI$2004,"&lt;&gt;")-4),""))</f>
        <v/>
      </c>
      <c r="AG374" s="60">
        <f>IF(C374="","",IFERROR(INDEX('Saisie'!$AJ$5:$AJ$2004,_xlfn.MAXIFS('Saisie'!$AS$5:$AS$2004,'Saisie'!$C$5:$C$2004,C374,'Saisie'!$AJ$5:$AJ$2004,"&lt;&gt;")-4),""))</f>
        <v/>
      </c>
      <c r="AH374" s="60">
        <f>IF(C374="","",IFERROR(INDEX('Saisie'!$AK$5:$AK$2004,_xlfn.MAXIFS('Saisie'!$AS$5:$AS$2004,'Saisie'!$C$5:$C$2004,C374,'Saisie'!$AK$5:$AK$2004,"&lt;&gt;")-4),""))</f>
        <v/>
      </c>
      <c r="AI374" s="60">
        <f>IF(C374="","",IFERROR(INDEX('Saisie'!$AN$5:$AN$2004,_xlfn.MAXIFS('Saisie'!$AS$5:$AS$2004,'Saisie'!$C$5:$C$2004,C374,'Saisie'!$AN$5:$AN$2004,"&lt;&gt;")-4),""))</f>
        <v/>
      </c>
      <c r="AJ374" s="60">
        <f>IF(C374="","",IFERROR(INDEX('Saisie'!$AO$5:$AO$2004,_xlfn.MAXIFS('Saisie'!$AS$5:$AS$2004,'Saisie'!$C$5:$C$2004,C374,'Saisie'!$AO$5:$AO$2004,"&lt;&gt;")-4),""))</f>
        <v/>
      </c>
      <c r="AK374" s="60">
        <f>IF(C374="","",IFERROR(INDEX('Saisie'!$AP$5:$AP$2004,_xlfn.MAXIFS('Saisie'!$AS$5:$AS$2004,'Saisie'!$C$5:$C$2004,C374,'Saisie'!$AP$5:$AP$2004,"&lt;&gt;")-4),""))</f>
        <v/>
      </c>
      <c r="AL374" s="60">
        <f>IF(C374="","",IFERROR(INDEX('Saisie'!$AQ$5:$AQ$2004,_xlfn.MAXIFS('Saisie'!$AS$5:$AS$2004,'Saisie'!$C$5:$C$2004,C374,'Saisie'!$AQ$5:$AQ$2004,"&lt;&gt;")-4),""))</f>
        <v/>
      </c>
      <c r="AM374" s="60">
        <f>IF(C374="","",((AI374="Oui")+(AJ374="Oui")+(AK374="Oui")+OR(AL374="Immédiat",AL374="&lt; 1 mois"))&amp;"/4")</f>
        <v/>
      </c>
      <c r="AN374" s="60">
        <f>IF(C374="","",IFERROR(INDEX('Saisie'!$AL$5:$AL$2004,_xlfn.MAXIFS('Saisie'!$AS$5:$AS$2004,'Saisie'!$C$5:$C$2004,C374,'Saisie'!$AL$5:$AL$2004,"&lt;&gt;")-4),""))</f>
        <v/>
      </c>
      <c r="AO374" s="62">
        <f>IF(C374="","",IF(IFERROR(INDEX('Saisie'!$AM$5:$AM$2004,_xlfn.MAXIFS('Saisie'!$AS$5:$AS$2004,'Saisie'!$C$5:$C$2004,C374,'Saisie'!$AM$5:$AM$2004,"&lt;&gt;")-4),"")&lt;&gt;"",IFERROR(INDEX('Saisie'!$AM$5:$AM$2004,_xlfn.MAXIFS('Saisie'!$AS$5:$AS$2004,'Saisie'!$C$5:$C$2004,C374,'Saisie'!$AM$5:$AM$2004,"&lt;&gt;")-4),""),IFERROR(INDEX('Paramètres'!$S$6:$S$15,MATCH(AN374,'Paramètres'!$Q$6:$Q$15,0)),"")))</f>
        <v/>
      </c>
      <c r="AP374" s="62">
        <f>IF(C374="","",IFERROR(INDEX('Saisie'!$AW$5:$AW$2004,_xlfn.MAXIFS('Saisie'!$AS$5:$AS$2004,'Saisie'!$C$5:$C$2004,C374,'Saisie'!$E$5:$E$2004,"Proposition envoyée")-4),""))</f>
        <v/>
      </c>
      <c r="AQ374" s="106">
        <f>IF(C374="","",IFERROR(1/(1/_xlfn.MAXIFS('Saisie'!$A$5:$A$2004,'Saisie'!$C$5:$C$2004,C374,'Saisie'!$E$5:$E$2004,"Proposition envoyée")),""))</f>
        <v/>
      </c>
      <c r="AR374" s="106">
        <f>IF(C374="","",IF(AQ374="","",AQ374+'Paramètres'!$B$26))</f>
        <v/>
      </c>
      <c r="AS374" s="62">
        <f>IF(OR(C374="",D374="Gagné",D374="Perdu"),0,N(AP374)*IFERROR(INDEX('Paramètres'!$G$6:$G$13,MATCH(D374,'Paramètres'!$F$6:$F$13,0)),0))</f>
        <v/>
      </c>
      <c r="AT374" s="106">
        <f>IF(C374="","",IFERROR(1/(1/_xlfn.MINIFS('Saisie'!$A$5:$A$2004,'Saisie'!$C$5:$C$2004,C374,'Saisie'!$E$5:$E$2004,"Signature")),""))</f>
        <v/>
      </c>
      <c r="AU374" s="60">
        <f>IF(C374="","",IF(OR(AT374="",B374=""),"",AT374-B374))</f>
        <v/>
      </c>
      <c r="AV374" s="60">
        <f>IF(C374="","",IFERROR(INDEX('Saisie'!$L$5:$L$2004,_xlfn.MAXIFS('Saisie'!$AS$5:$AS$2004,'Saisie'!$C$5:$C$2004,C374,'Saisie'!$L$5:$L$2004,"&lt;&gt;")-4),""))</f>
        <v/>
      </c>
      <c r="AW374" s="106">
        <f>IF(C374="","",IF(D374&lt;&gt;"Perdu","",IFERROR(1/(1/_xlfn.MAXIFS('Saisie'!$A$5:$A$2004,'Saisie'!$C$5:$C$2004,C374,'Saisie'!$E$5:$E$2004,"Perdu")),"")))</f>
        <v/>
      </c>
      <c r="AX374" s="106">
        <f>IF(C374="","",IF(AW374="","",AW374+'Paramètres'!$B$28))</f>
        <v/>
      </c>
      <c r="AY374" s="60">
        <f>IF(C374="","",SUMIFS('Saisie'!$H$5:$H$2004,'Saisie'!$C$5:$C$2004,C374))</f>
        <v/>
      </c>
      <c r="AZ374" s="60">
        <f>IF(C374="","",IFERROR(INDEX('Paramètres'!$W$6:$W$20,MATCH(S374,'Paramètres'!$V$6:$V$20,0))&amp;"",""))</f>
        <v/>
      </c>
      <c r="BA374" s="60">
        <f>IF(C374="","",MAX(1,_xlfn.MAXIFS('Saisie'!$AT$5:$AT$2004,'Saisie'!$C$5:$C$2004,C374)))</f>
        <v/>
      </c>
      <c r="BB374" s="60">
        <f>IF(C374="","",IFERROR(INDEX('Saisie'!$X$5:$X$2004,_xlfn.MAXIFS('Saisie'!$AS$5:$AS$2004,'Saisie'!$C$5:$C$2004,C374,'Saisie'!$X$5:$X$2004,"&lt;&gt;")-4),""))</f>
        <v/>
      </c>
      <c r="BC374" s="60">
        <f>IF(C374="","",IFERROR(INDEX('Saisie'!$Y$5:$Y$2004,_xlfn.MAXIFS('Saisie'!$AS$5:$AS$2004,'Saisie'!$C$5:$C$2004,C374,'Saisie'!$Y$5:$Y$2004,"&lt;&gt;")-4),""))</f>
        <v/>
      </c>
      <c r="BD374" s="106">
        <f>IF(C374="","",IFERROR(1/(1/_xlfn.MINIFS('Saisie'!$A$5:$A$2004,'Saisie'!$C$5:$C$2004,C374,'Saisie'!$AT$5:$AT$2004,"&gt;=2")),""))</f>
        <v/>
      </c>
      <c r="BE374" s="106">
        <f>IF(C374="","",IFERROR(1/(1/_xlfn.MINIFS('Saisie'!$A$5:$A$2004,'Saisie'!$C$5:$C$2004,C374,'Saisie'!$AT$5:$AT$2004,"&gt;=3")),""))</f>
        <v/>
      </c>
      <c r="BF374" s="106">
        <f>IF(C374="","",IFERROR(1/(1/_xlfn.MINIFS('Saisie'!$A$5:$A$2004,'Saisie'!$C$5:$C$2004,C374,'Saisie'!$AT$5:$AT$2004,"&gt;=4")),""))</f>
        <v/>
      </c>
      <c r="BG374" s="106">
        <f>IF(C374="","",IFERROR(1/(1/_xlfn.MINIFS('Saisie'!$A$5:$A$2004,'Saisie'!$C$5:$C$2004,C374,'Saisie'!$AT$5:$AT$2004,"&gt;=5")),""))</f>
        <v/>
      </c>
      <c r="BH374" s="106">
        <f>IF(C374="","",IFERROR(1/(1/_xlfn.MINIFS('Saisie'!$A$5:$A$2004,'Saisie'!$C$5:$C$2004,C374,'Saisie'!$AT$5:$AT$2004,"&gt;=6")),""))</f>
        <v/>
      </c>
      <c r="BI374" s="106">
        <f>IF(C374="","",IFERROR(1/(1/_xlfn.MINIFS('Saisie'!$A$5:$A$2004,'Saisie'!$C$5:$C$2004,C374,'Saisie'!$AT$5:$AT$2004,"&gt;=7")),""))</f>
        <v/>
      </c>
      <c r="BJ374" s="60">
        <f>IF(OR(BD374="",B374=""),"",BD374-B374)</f>
        <v/>
      </c>
      <c r="BK374" s="60">
        <f>IF(OR(BE374="",BD374=""),"",BE374-BD374)</f>
        <v/>
      </c>
      <c r="BL374" s="60">
        <f>IF(OR(BF374="",BE374=""),"",BF374-BE374)</f>
        <v/>
      </c>
      <c r="BM374" s="60">
        <f>IF(OR(BG374="",BF374=""),"",BG374-BF374)</f>
        <v/>
      </c>
      <c r="BN374" s="60">
        <f>IF(OR(BH374="",BG374=""),"",BH374-BG374)</f>
        <v/>
      </c>
      <c r="BO374" s="60">
        <f>IF(OR(BI374="",BH374=""),"",BI374-BH374)</f>
        <v/>
      </c>
      <c r="BP374" s="60">
        <f>IF(C374="","",_xlfn.MAXIFS('Saisie'!$AS$5:$AS$2004,'Saisie'!$C$5:$C$2004,C374,'Saisie'!$J$5:$J$2004,"&lt;&gt;"))</f>
        <v/>
      </c>
      <c r="BQ374" s="60">
        <f>IF(C374="","",_xlfn.MAXIFS('Saisie'!$AS$5:$AS$2004,'Saisie'!$C$5:$C$2004,C374))</f>
        <v/>
      </c>
      <c r="BR374" s="60">
        <f>IF(C374="","",_xlfn.MAXIFS('Saisie'!$AS$5:$AS$2004,'Saisie'!$C$5:$C$2004,C374,'Saisie'!$E$5:$E$2004,"Perdu"))</f>
        <v/>
      </c>
      <c r="BS374" s="60">
        <f>IF(C374="","",_xlfn.MAXIFS('Saisie'!$AS$5:$AS$2004,'Saisie'!$C$5:$C$2004,C374,'Saisie'!$AT$5:$AT$2004,"&gt;0"))</f>
        <v/>
      </c>
      <c r="BT374" s="109">
        <f>IF(AND(C374&lt;&gt;"",OR(D374="Nouveau",D374="Contacté",D374="Qualifié"),OR(G374="",N(G374)&lt;=TODAY()),NOT(AND(O374&gt;='Paramètres'!$B$21,P374=0))),E374+370/10000,"")</f>
        <v/>
      </c>
      <c r="BU374" s="60">
        <f>IF(AND(G374&lt;&gt;"",N(G374)&lt;=TODAY()),MAX($BU$4:BU373)+1,"")</f>
        <v/>
      </c>
      <c r="BV374" s="60">
        <f>IF(AND(F374&lt;&gt;"",F374&lt;&gt;"Relance en retard"),MAX($BV$4:BV373)+1,"")</f>
        <v/>
      </c>
      <c r="BW374" s="60">
        <f>IF(C374="","",IF(AND(B374&gt;='Tableau de bord'!$R$4,B374&lt;='Tableau de bord'!$S$4,OR('Tableau de bord'!$G$4="Tous",N374='Tableau de bord'!$G$4)),1,0))</f>
        <v/>
      </c>
      <c r="BX374" s="60">
        <f>IF(AND(C374&lt;&gt;"",N(BA374)=7),MAX($BX$4:BX373)+1,"")</f>
        <v/>
      </c>
    </row>
    <row r="375">
      <c r="A375" s="60">
        <f>IF(C375="","","P-"&amp;TEXT(371,"000"))</f>
        <v/>
      </c>
      <c r="B375" s="106">
        <f>IF(C375="","",IFERROR(1/(1/_xlfn.MINIFS('Saisie'!$A$5:$A$2004,'Saisie'!$C$5:$C$2004,C375)),""))</f>
        <v/>
      </c>
      <c r="C375" s="60">
        <f>IFERROR(INDEX('Saisie'!$C$5:$C$2004,MATCH(371,'Saisie'!$AX$5:$AX$2004,0)),"")</f>
        <v/>
      </c>
      <c r="D375" s="60">
        <f>IF(C375="","",IF(AND(BR375&gt;0,BR375&gt;BS375,BA375&lt;7),"Perdu",INDEX('Paramètres'!$F$6:$F$13,BA375)))</f>
        <v/>
      </c>
      <c r="E375" s="61">
        <f>IF(C375="","",MIN(100,(Z375="Oui")*'Paramètres'!$B$38+(AB375="Régulière")*'Paramètres'!$B$39+IF(AND(N(AA375)&gt;0,TODAY()-N(AA375)&lt;=30),'Paramètres'!$B$40,0)+(W375="")*'Paramètres'!$B$41+(AC375="Absente")*'Paramètres'!$B$42+(AC375="Faible")*'Paramètres'!$B$43+IF(AND(N(AD375)&gt;0,N(AD375)&lt;4),'Paramètres'!$B$44,0)+(AF375="Moyenne")*'Paramètres'!$B$45+(AF375="Grande")*'Paramètres'!$B$46+(Y375&lt;&gt;"")*'Paramètres'!$B$47))</f>
        <v/>
      </c>
      <c r="F375" s="60">
        <f>IF(C375="","",IF(D375="Gagné","",IF(D375="Perdu",IF(AND(AX375&lt;&gt;"",AX375&lt;=TODAY()),"À recontacter (perdu)",""),IF(AND(O375&gt;='Paramètres'!$B$21,P375=0),"Stop : "&amp;'Paramètres'!$B$21&amp;" tentatives sans réponse",IF(AND(D375="Proposition",AR375&lt;&gt;"",TODAY()&gt;N(AR375)),"Proposition expirée",IF(AND(D375="Proposition",N(R375)&gt;='Paramètres'!$B$25),"Proposition sans réponse",IF(AND(G375&lt;&gt;"",N(G375)&lt;TODAY()),"Relance en retard",IF(N(R375)&gt;='Paramètres'!$B$24,"Sans action depuis "&amp;R375&amp;" j",""))))))))</f>
        <v/>
      </c>
      <c r="G375" s="106">
        <f>IF(OR(C375="",D375="Gagné",D375="Perdu"),"",IF(AND(BP375&gt;0,BP375=BQ375),INDEX('Saisie'!$J$5:$J$2004,BP375-4),IF(OR(O375=0,AND(O375&gt;='Paramètres'!$B$21,P375=0)),"",Q375+IF(O375&lt;=1,'Paramètres'!$B$18,IF(O375=2,'Paramètres'!$B$19,'Paramètres'!$B$20)))))</f>
        <v/>
      </c>
      <c r="H375" s="107">
        <f>IF(OR(G375="",BP375&lt;&gt;BQ375),"",IF(INDEX('Saisie'!$K$5:$K$2004,BP375-4)="","",INDEX('Saisie'!$K$5:$K$2004,BP375-4)))</f>
        <v/>
      </c>
      <c r="I375" s="60">
        <f>IF(C375="","",IF(OR(D375="Gagné",D375="Perdu"),"",IFERROR(INDEX('Saisie'!$I$5:$I$2004,_xlfn.MAXIFS('Saisie'!$AS$5:$AS$2004,'Saisie'!$C$5:$C$2004,C375,'Saisie'!$I$5:$I$2004,"&lt;&gt;")-4),"")))</f>
        <v/>
      </c>
      <c r="J375" s="60">
        <f>IF(C375="","",IFERROR(INDEX('Saisie'!$U$5:$U$2004,_xlfn.MAXIFS('Saisie'!$AS$5:$AS$2004,'Saisie'!$C$5:$C$2004,C375,'Saisie'!$U$5:$U$2004,"&lt;&gt;")-4),""))</f>
        <v/>
      </c>
      <c r="K375" s="60">
        <f>IF(C375="","",IFERROR(INDEX('Saisie'!$W$5:$W$2004,_xlfn.MAXIFS('Saisie'!$AS$5:$AS$2004,'Saisie'!$C$5:$C$2004,C375,'Saisie'!$W$5:$W$2004,"&lt;&gt;")-4),""))</f>
        <v/>
      </c>
      <c r="L375" s="60">
        <f>IF(IF(BB375&lt;&gt;"",BB375,K375)="","",HYPERLINK("https://wa.me/"&amp;IF(LEFT(SUBSTITUTE(SUBSTITUTE(SUBSTITUTE(IF(BB375&lt;&gt;"",BB375,K375)," ",""),".",""),"+",""),1)="0",'Paramètres'!$B$35&amp;MID(SUBSTITUTE(SUBSTITUTE(SUBSTITUTE(IF(BB375&lt;&gt;"",BB375,K375)," ",""),".",""),"+",""),2,20),SUBSTITUTE(SUBSTITUTE(SUBSTITUTE(IF(BB375&lt;&gt;"",BB375,K375)," ",""),".",""),"+","")),"WhatsApp"))</f>
        <v/>
      </c>
      <c r="M375" s="60">
        <f>IF(BC375="","",HYPERLINK(IF(LEFT(BC375,4)="http",BC375,"https://www.instagram.com/"&amp;SUBSTITUTE(SUBSTITUTE(BC375,"@","")," ","")),BC375))</f>
        <v/>
      </c>
      <c r="N375" s="60">
        <f>IF(C375="","",IFERROR(INDEX('Saisie'!$D$5:$D$2004,_xlfn.MINIFS('Saisie'!$AS$5:$AS$2004,'Saisie'!$C$5:$C$2004,C375,'Saisie'!$AU$5:$AU$2004,1)-4),IFERROR(INDEX('Saisie'!$D$5:$D$2004,_xlfn.MINIFS('Saisie'!$AS$5:$AS$2004,'Saisie'!$C$5:$C$2004,C375,'Saisie'!$D$5:$D$2004,"&lt;&gt;")-4),"")))</f>
        <v/>
      </c>
      <c r="O375" s="60">
        <f>IF(C375="","",COUNTIFS('Saisie'!$C$5:$C$2004,C375,'Saisie'!$AU$5:$AU$2004,1))</f>
        <v/>
      </c>
      <c r="P375" s="60">
        <f>IF(C375="","",COUNTIFS('Saisie'!$C$5:$C$2004,C375,'Saisie'!$AV$5:$AV$2004,1))</f>
        <v/>
      </c>
      <c r="Q375" s="106">
        <f>IF(C375="","",IFERROR(1/(1/_xlfn.MAXIFS('Saisie'!$A$5:$A$2004,'Saisie'!$C$5:$C$2004,C375)),""))</f>
        <v/>
      </c>
      <c r="R375" s="61">
        <f>IF(C375="","",IF(Q375="","",TODAY()-Q375))</f>
        <v/>
      </c>
      <c r="S375" s="60">
        <f>IF(C375="","",IFERROR(INDEX('Saisie'!$R$5:$R$2004,_xlfn.MAXIFS('Saisie'!$AS$5:$AS$2004,'Saisie'!$C$5:$C$2004,C375,'Saisie'!$R$5:$R$2004,"&lt;&gt;")-4),""))</f>
        <v/>
      </c>
      <c r="T375" s="60">
        <f>IF(C375="","",IFERROR(INDEX('Saisie'!$S$5:$S$2004,_xlfn.MAXIFS('Saisie'!$AS$5:$AS$2004,'Saisie'!$C$5:$C$2004,C375,'Saisie'!$S$5:$S$2004,"&lt;&gt;")-4),""))</f>
        <v/>
      </c>
      <c r="U375" s="60">
        <f>IF(C375="","",IFERROR(INDEX('Saisie'!$T$5:$T$2004,_xlfn.MAXIFS('Saisie'!$AS$5:$AS$2004,'Saisie'!$C$5:$C$2004,C375,'Saisie'!$T$5:$T$2004,"&lt;&gt;")-4),""))</f>
        <v/>
      </c>
      <c r="V375" s="60">
        <f>IF(C375="","",IFERROR(INDEX('Saisie'!$V$5:$V$2004,_xlfn.MAXIFS('Saisie'!$AS$5:$AS$2004,'Saisie'!$C$5:$C$2004,C375,'Saisie'!$V$5:$V$2004,"&lt;&gt;")-4),""))</f>
        <v/>
      </c>
      <c r="W375" s="60">
        <f>IF(C375="","",IFERROR(INDEX('Saisie'!$Z$5:$Z$2004,_xlfn.MAXIFS('Saisie'!$AS$5:$AS$2004,'Saisie'!$C$5:$C$2004,C375,'Saisie'!$Z$5:$Z$2004,"&lt;&gt;")-4),""))</f>
        <v/>
      </c>
      <c r="X375" s="60">
        <f>IF(C375="","",IFERROR(INDEX('Saisie'!$AA$5:$AA$2004,_xlfn.MAXIFS('Saisie'!$AS$5:$AS$2004,'Saisie'!$C$5:$C$2004,C375,'Saisie'!$AA$5:$AA$2004,"&lt;&gt;")-4),""))</f>
        <v/>
      </c>
      <c r="Y375" s="60">
        <f>IF(C375="","",IFERROR(INDEX('Saisie'!$AB$5:$AB$2004,_xlfn.MAXIFS('Saisie'!$AS$5:$AS$2004,'Saisie'!$C$5:$C$2004,C375,'Saisie'!$AB$5:$AB$2004,"&lt;&gt;")-4),""))</f>
        <v/>
      </c>
      <c r="Z375" s="60">
        <f>IF(C375="","",IFERROR(INDEX('Saisie'!$AC$5:$AC$2004,_xlfn.MAXIFS('Saisie'!$AS$5:$AS$2004,'Saisie'!$C$5:$C$2004,C375,'Saisie'!$AC$5:$AC$2004,"&lt;&gt;")-4),""))</f>
        <v/>
      </c>
      <c r="AA375" s="106">
        <f>IF(C375="","",IFERROR(INDEX('Saisie'!$AD$5:$AD$2004,_xlfn.MAXIFS('Saisie'!$AS$5:$AS$2004,'Saisie'!$C$5:$C$2004,C375,'Saisie'!$AD$5:$AD$2004,"&lt;&gt;")-4),""))</f>
        <v/>
      </c>
      <c r="AB375" s="60">
        <f>IF(C375="","",IFERROR(INDEX('Saisie'!$AE$5:$AE$2004,_xlfn.MAXIFS('Saisie'!$AS$5:$AS$2004,'Saisie'!$C$5:$C$2004,C375,'Saisie'!$AE$5:$AE$2004,"&lt;&gt;")-4),""))</f>
        <v/>
      </c>
      <c r="AC375" s="60">
        <f>IF(C375="","",IFERROR(INDEX('Saisie'!$AF$5:$AF$2004,_xlfn.MAXIFS('Saisie'!$AS$5:$AS$2004,'Saisie'!$C$5:$C$2004,C375,'Saisie'!$AF$5:$AF$2004,"&lt;&gt;")-4),""))</f>
        <v/>
      </c>
      <c r="AD375" s="108">
        <f>IF(C375="","",IFERROR(INDEX('Saisie'!$AG$5:$AG$2004,_xlfn.MAXIFS('Saisie'!$AS$5:$AS$2004,'Saisie'!$C$5:$C$2004,C375,'Saisie'!$AG$5:$AG$2004,"&lt;&gt;")-4),""))</f>
        <v/>
      </c>
      <c r="AE375" s="60">
        <f>IF(C375="","",IFERROR(INDEX('Saisie'!$AH$5:$AH$2004,_xlfn.MAXIFS('Saisie'!$AS$5:$AS$2004,'Saisie'!$C$5:$C$2004,C375,'Saisie'!$AH$5:$AH$2004,"&lt;&gt;")-4),""))</f>
        <v/>
      </c>
      <c r="AF375" s="60">
        <f>IF(C375="","",IFERROR(INDEX('Saisie'!$AI$5:$AI$2004,_xlfn.MAXIFS('Saisie'!$AS$5:$AS$2004,'Saisie'!$C$5:$C$2004,C375,'Saisie'!$AI$5:$AI$2004,"&lt;&gt;")-4),""))</f>
        <v/>
      </c>
      <c r="AG375" s="60">
        <f>IF(C375="","",IFERROR(INDEX('Saisie'!$AJ$5:$AJ$2004,_xlfn.MAXIFS('Saisie'!$AS$5:$AS$2004,'Saisie'!$C$5:$C$2004,C375,'Saisie'!$AJ$5:$AJ$2004,"&lt;&gt;")-4),""))</f>
        <v/>
      </c>
      <c r="AH375" s="60">
        <f>IF(C375="","",IFERROR(INDEX('Saisie'!$AK$5:$AK$2004,_xlfn.MAXIFS('Saisie'!$AS$5:$AS$2004,'Saisie'!$C$5:$C$2004,C375,'Saisie'!$AK$5:$AK$2004,"&lt;&gt;")-4),""))</f>
        <v/>
      </c>
      <c r="AI375" s="60">
        <f>IF(C375="","",IFERROR(INDEX('Saisie'!$AN$5:$AN$2004,_xlfn.MAXIFS('Saisie'!$AS$5:$AS$2004,'Saisie'!$C$5:$C$2004,C375,'Saisie'!$AN$5:$AN$2004,"&lt;&gt;")-4),""))</f>
        <v/>
      </c>
      <c r="AJ375" s="60">
        <f>IF(C375="","",IFERROR(INDEX('Saisie'!$AO$5:$AO$2004,_xlfn.MAXIFS('Saisie'!$AS$5:$AS$2004,'Saisie'!$C$5:$C$2004,C375,'Saisie'!$AO$5:$AO$2004,"&lt;&gt;")-4),""))</f>
        <v/>
      </c>
      <c r="AK375" s="60">
        <f>IF(C375="","",IFERROR(INDEX('Saisie'!$AP$5:$AP$2004,_xlfn.MAXIFS('Saisie'!$AS$5:$AS$2004,'Saisie'!$C$5:$C$2004,C375,'Saisie'!$AP$5:$AP$2004,"&lt;&gt;")-4),""))</f>
        <v/>
      </c>
      <c r="AL375" s="60">
        <f>IF(C375="","",IFERROR(INDEX('Saisie'!$AQ$5:$AQ$2004,_xlfn.MAXIFS('Saisie'!$AS$5:$AS$2004,'Saisie'!$C$5:$C$2004,C375,'Saisie'!$AQ$5:$AQ$2004,"&lt;&gt;")-4),""))</f>
        <v/>
      </c>
      <c r="AM375" s="60">
        <f>IF(C375="","",((AI375="Oui")+(AJ375="Oui")+(AK375="Oui")+OR(AL375="Immédiat",AL375="&lt; 1 mois"))&amp;"/4")</f>
        <v/>
      </c>
      <c r="AN375" s="60">
        <f>IF(C375="","",IFERROR(INDEX('Saisie'!$AL$5:$AL$2004,_xlfn.MAXIFS('Saisie'!$AS$5:$AS$2004,'Saisie'!$C$5:$C$2004,C375,'Saisie'!$AL$5:$AL$2004,"&lt;&gt;")-4),""))</f>
        <v/>
      </c>
      <c r="AO375" s="62">
        <f>IF(C375="","",IF(IFERROR(INDEX('Saisie'!$AM$5:$AM$2004,_xlfn.MAXIFS('Saisie'!$AS$5:$AS$2004,'Saisie'!$C$5:$C$2004,C375,'Saisie'!$AM$5:$AM$2004,"&lt;&gt;")-4),"")&lt;&gt;"",IFERROR(INDEX('Saisie'!$AM$5:$AM$2004,_xlfn.MAXIFS('Saisie'!$AS$5:$AS$2004,'Saisie'!$C$5:$C$2004,C375,'Saisie'!$AM$5:$AM$2004,"&lt;&gt;")-4),""),IFERROR(INDEX('Paramètres'!$S$6:$S$15,MATCH(AN375,'Paramètres'!$Q$6:$Q$15,0)),"")))</f>
        <v/>
      </c>
      <c r="AP375" s="62">
        <f>IF(C375="","",IFERROR(INDEX('Saisie'!$AW$5:$AW$2004,_xlfn.MAXIFS('Saisie'!$AS$5:$AS$2004,'Saisie'!$C$5:$C$2004,C375,'Saisie'!$E$5:$E$2004,"Proposition envoyée")-4),""))</f>
        <v/>
      </c>
      <c r="AQ375" s="106">
        <f>IF(C375="","",IFERROR(1/(1/_xlfn.MAXIFS('Saisie'!$A$5:$A$2004,'Saisie'!$C$5:$C$2004,C375,'Saisie'!$E$5:$E$2004,"Proposition envoyée")),""))</f>
        <v/>
      </c>
      <c r="AR375" s="106">
        <f>IF(C375="","",IF(AQ375="","",AQ375+'Paramètres'!$B$26))</f>
        <v/>
      </c>
      <c r="AS375" s="62">
        <f>IF(OR(C375="",D375="Gagné",D375="Perdu"),0,N(AP375)*IFERROR(INDEX('Paramètres'!$G$6:$G$13,MATCH(D375,'Paramètres'!$F$6:$F$13,0)),0))</f>
        <v/>
      </c>
      <c r="AT375" s="106">
        <f>IF(C375="","",IFERROR(1/(1/_xlfn.MINIFS('Saisie'!$A$5:$A$2004,'Saisie'!$C$5:$C$2004,C375,'Saisie'!$E$5:$E$2004,"Signature")),""))</f>
        <v/>
      </c>
      <c r="AU375" s="60">
        <f>IF(C375="","",IF(OR(AT375="",B375=""),"",AT375-B375))</f>
        <v/>
      </c>
      <c r="AV375" s="60">
        <f>IF(C375="","",IFERROR(INDEX('Saisie'!$L$5:$L$2004,_xlfn.MAXIFS('Saisie'!$AS$5:$AS$2004,'Saisie'!$C$5:$C$2004,C375,'Saisie'!$L$5:$L$2004,"&lt;&gt;")-4),""))</f>
        <v/>
      </c>
      <c r="AW375" s="106">
        <f>IF(C375="","",IF(D375&lt;&gt;"Perdu","",IFERROR(1/(1/_xlfn.MAXIFS('Saisie'!$A$5:$A$2004,'Saisie'!$C$5:$C$2004,C375,'Saisie'!$E$5:$E$2004,"Perdu")),"")))</f>
        <v/>
      </c>
      <c r="AX375" s="106">
        <f>IF(C375="","",IF(AW375="","",AW375+'Paramètres'!$B$28))</f>
        <v/>
      </c>
      <c r="AY375" s="60">
        <f>IF(C375="","",SUMIFS('Saisie'!$H$5:$H$2004,'Saisie'!$C$5:$C$2004,C375))</f>
        <v/>
      </c>
      <c r="AZ375" s="60">
        <f>IF(C375="","",IFERROR(INDEX('Paramètres'!$W$6:$W$20,MATCH(S375,'Paramètres'!$V$6:$V$20,0))&amp;"",""))</f>
        <v/>
      </c>
      <c r="BA375" s="60">
        <f>IF(C375="","",MAX(1,_xlfn.MAXIFS('Saisie'!$AT$5:$AT$2004,'Saisie'!$C$5:$C$2004,C375)))</f>
        <v/>
      </c>
      <c r="BB375" s="60">
        <f>IF(C375="","",IFERROR(INDEX('Saisie'!$X$5:$X$2004,_xlfn.MAXIFS('Saisie'!$AS$5:$AS$2004,'Saisie'!$C$5:$C$2004,C375,'Saisie'!$X$5:$X$2004,"&lt;&gt;")-4),""))</f>
        <v/>
      </c>
      <c r="BC375" s="60">
        <f>IF(C375="","",IFERROR(INDEX('Saisie'!$Y$5:$Y$2004,_xlfn.MAXIFS('Saisie'!$AS$5:$AS$2004,'Saisie'!$C$5:$C$2004,C375,'Saisie'!$Y$5:$Y$2004,"&lt;&gt;")-4),""))</f>
        <v/>
      </c>
      <c r="BD375" s="106">
        <f>IF(C375="","",IFERROR(1/(1/_xlfn.MINIFS('Saisie'!$A$5:$A$2004,'Saisie'!$C$5:$C$2004,C375,'Saisie'!$AT$5:$AT$2004,"&gt;=2")),""))</f>
        <v/>
      </c>
      <c r="BE375" s="106">
        <f>IF(C375="","",IFERROR(1/(1/_xlfn.MINIFS('Saisie'!$A$5:$A$2004,'Saisie'!$C$5:$C$2004,C375,'Saisie'!$AT$5:$AT$2004,"&gt;=3")),""))</f>
        <v/>
      </c>
      <c r="BF375" s="106">
        <f>IF(C375="","",IFERROR(1/(1/_xlfn.MINIFS('Saisie'!$A$5:$A$2004,'Saisie'!$C$5:$C$2004,C375,'Saisie'!$AT$5:$AT$2004,"&gt;=4")),""))</f>
        <v/>
      </c>
      <c r="BG375" s="106">
        <f>IF(C375="","",IFERROR(1/(1/_xlfn.MINIFS('Saisie'!$A$5:$A$2004,'Saisie'!$C$5:$C$2004,C375,'Saisie'!$AT$5:$AT$2004,"&gt;=5")),""))</f>
        <v/>
      </c>
      <c r="BH375" s="106">
        <f>IF(C375="","",IFERROR(1/(1/_xlfn.MINIFS('Saisie'!$A$5:$A$2004,'Saisie'!$C$5:$C$2004,C375,'Saisie'!$AT$5:$AT$2004,"&gt;=6")),""))</f>
        <v/>
      </c>
      <c r="BI375" s="106">
        <f>IF(C375="","",IFERROR(1/(1/_xlfn.MINIFS('Saisie'!$A$5:$A$2004,'Saisie'!$C$5:$C$2004,C375,'Saisie'!$AT$5:$AT$2004,"&gt;=7")),""))</f>
        <v/>
      </c>
      <c r="BJ375" s="60">
        <f>IF(OR(BD375="",B375=""),"",BD375-B375)</f>
        <v/>
      </c>
      <c r="BK375" s="60">
        <f>IF(OR(BE375="",BD375=""),"",BE375-BD375)</f>
        <v/>
      </c>
      <c r="BL375" s="60">
        <f>IF(OR(BF375="",BE375=""),"",BF375-BE375)</f>
        <v/>
      </c>
      <c r="BM375" s="60">
        <f>IF(OR(BG375="",BF375=""),"",BG375-BF375)</f>
        <v/>
      </c>
      <c r="BN375" s="60">
        <f>IF(OR(BH375="",BG375=""),"",BH375-BG375)</f>
        <v/>
      </c>
      <c r="BO375" s="60">
        <f>IF(OR(BI375="",BH375=""),"",BI375-BH375)</f>
        <v/>
      </c>
      <c r="BP375" s="60">
        <f>IF(C375="","",_xlfn.MAXIFS('Saisie'!$AS$5:$AS$2004,'Saisie'!$C$5:$C$2004,C375,'Saisie'!$J$5:$J$2004,"&lt;&gt;"))</f>
        <v/>
      </c>
      <c r="BQ375" s="60">
        <f>IF(C375="","",_xlfn.MAXIFS('Saisie'!$AS$5:$AS$2004,'Saisie'!$C$5:$C$2004,C375))</f>
        <v/>
      </c>
      <c r="BR375" s="60">
        <f>IF(C375="","",_xlfn.MAXIFS('Saisie'!$AS$5:$AS$2004,'Saisie'!$C$5:$C$2004,C375,'Saisie'!$E$5:$E$2004,"Perdu"))</f>
        <v/>
      </c>
      <c r="BS375" s="60">
        <f>IF(C375="","",_xlfn.MAXIFS('Saisie'!$AS$5:$AS$2004,'Saisie'!$C$5:$C$2004,C375,'Saisie'!$AT$5:$AT$2004,"&gt;0"))</f>
        <v/>
      </c>
      <c r="BT375" s="109">
        <f>IF(AND(C375&lt;&gt;"",OR(D375="Nouveau",D375="Contacté",D375="Qualifié"),OR(G375="",N(G375)&lt;=TODAY()),NOT(AND(O375&gt;='Paramètres'!$B$21,P375=0))),E375+371/10000,"")</f>
        <v/>
      </c>
      <c r="BU375" s="60">
        <f>IF(AND(G375&lt;&gt;"",N(G375)&lt;=TODAY()),MAX($BU$4:BU374)+1,"")</f>
        <v/>
      </c>
      <c r="BV375" s="60">
        <f>IF(AND(F375&lt;&gt;"",F375&lt;&gt;"Relance en retard"),MAX($BV$4:BV374)+1,"")</f>
        <v/>
      </c>
      <c r="BW375" s="60">
        <f>IF(C375="","",IF(AND(B375&gt;='Tableau de bord'!$R$4,B375&lt;='Tableau de bord'!$S$4,OR('Tableau de bord'!$G$4="Tous",N375='Tableau de bord'!$G$4)),1,0))</f>
        <v/>
      </c>
      <c r="BX375" s="60">
        <f>IF(AND(C375&lt;&gt;"",N(BA375)=7),MAX($BX$4:BX374)+1,"")</f>
        <v/>
      </c>
    </row>
    <row r="376">
      <c r="A376" s="60">
        <f>IF(C376="","","P-"&amp;TEXT(372,"000"))</f>
        <v/>
      </c>
      <c r="B376" s="106">
        <f>IF(C376="","",IFERROR(1/(1/_xlfn.MINIFS('Saisie'!$A$5:$A$2004,'Saisie'!$C$5:$C$2004,C376)),""))</f>
        <v/>
      </c>
      <c r="C376" s="60">
        <f>IFERROR(INDEX('Saisie'!$C$5:$C$2004,MATCH(372,'Saisie'!$AX$5:$AX$2004,0)),"")</f>
        <v/>
      </c>
      <c r="D376" s="60">
        <f>IF(C376="","",IF(AND(BR376&gt;0,BR376&gt;BS376,BA376&lt;7),"Perdu",INDEX('Paramètres'!$F$6:$F$13,BA376)))</f>
        <v/>
      </c>
      <c r="E376" s="61">
        <f>IF(C376="","",MIN(100,(Z376="Oui")*'Paramètres'!$B$38+(AB376="Régulière")*'Paramètres'!$B$39+IF(AND(N(AA376)&gt;0,TODAY()-N(AA376)&lt;=30),'Paramètres'!$B$40,0)+(W376="")*'Paramètres'!$B$41+(AC376="Absente")*'Paramètres'!$B$42+(AC376="Faible")*'Paramètres'!$B$43+IF(AND(N(AD376)&gt;0,N(AD376)&lt;4),'Paramètres'!$B$44,0)+(AF376="Moyenne")*'Paramètres'!$B$45+(AF376="Grande")*'Paramètres'!$B$46+(Y376&lt;&gt;"")*'Paramètres'!$B$47))</f>
        <v/>
      </c>
      <c r="F376" s="60">
        <f>IF(C376="","",IF(D376="Gagné","",IF(D376="Perdu",IF(AND(AX376&lt;&gt;"",AX376&lt;=TODAY()),"À recontacter (perdu)",""),IF(AND(O376&gt;='Paramètres'!$B$21,P376=0),"Stop : "&amp;'Paramètres'!$B$21&amp;" tentatives sans réponse",IF(AND(D376="Proposition",AR376&lt;&gt;"",TODAY()&gt;N(AR376)),"Proposition expirée",IF(AND(D376="Proposition",N(R376)&gt;='Paramètres'!$B$25),"Proposition sans réponse",IF(AND(G376&lt;&gt;"",N(G376)&lt;TODAY()),"Relance en retard",IF(N(R376)&gt;='Paramètres'!$B$24,"Sans action depuis "&amp;R376&amp;" j",""))))))))</f>
        <v/>
      </c>
      <c r="G376" s="106">
        <f>IF(OR(C376="",D376="Gagné",D376="Perdu"),"",IF(AND(BP376&gt;0,BP376=BQ376),INDEX('Saisie'!$J$5:$J$2004,BP376-4),IF(OR(O376=0,AND(O376&gt;='Paramètres'!$B$21,P376=0)),"",Q376+IF(O376&lt;=1,'Paramètres'!$B$18,IF(O376=2,'Paramètres'!$B$19,'Paramètres'!$B$20)))))</f>
        <v/>
      </c>
      <c r="H376" s="107">
        <f>IF(OR(G376="",BP376&lt;&gt;BQ376),"",IF(INDEX('Saisie'!$K$5:$K$2004,BP376-4)="","",INDEX('Saisie'!$K$5:$K$2004,BP376-4)))</f>
        <v/>
      </c>
      <c r="I376" s="60">
        <f>IF(C376="","",IF(OR(D376="Gagné",D376="Perdu"),"",IFERROR(INDEX('Saisie'!$I$5:$I$2004,_xlfn.MAXIFS('Saisie'!$AS$5:$AS$2004,'Saisie'!$C$5:$C$2004,C376,'Saisie'!$I$5:$I$2004,"&lt;&gt;")-4),"")))</f>
        <v/>
      </c>
      <c r="J376" s="60">
        <f>IF(C376="","",IFERROR(INDEX('Saisie'!$U$5:$U$2004,_xlfn.MAXIFS('Saisie'!$AS$5:$AS$2004,'Saisie'!$C$5:$C$2004,C376,'Saisie'!$U$5:$U$2004,"&lt;&gt;")-4),""))</f>
        <v/>
      </c>
      <c r="K376" s="60">
        <f>IF(C376="","",IFERROR(INDEX('Saisie'!$W$5:$W$2004,_xlfn.MAXIFS('Saisie'!$AS$5:$AS$2004,'Saisie'!$C$5:$C$2004,C376,'Saisie'!$W$5:$W$2004,"&lt;&gt;")-4),""))</f>
        <v/>
      </c>
      <c r="L376" s="60">
        <f>IF(IF(BB376&lt;&gt;"",BB376,K376)="","",HYPERLINK("https://wa.me/"&amp;IF(LEFT(SUBSTITUTE(SUBSTITUTE(SUBSTITUTE(IF(BB376&lt;&gt;"",BB376,K376)," ",""),".",""),"+",""),1)="0",'Paramètres'!$B$35&amp;MID(SUBSTITUTE(SUBSTITUTE(SUBSTITUTE(IF(BB376&lt;&gt;"",BB376,K376)," ",""),".",""),"+",""),2,20),SUBSTITUTE(SUBSTITUTE(SUBSTITUTE(IF(BB376&lt;&gt;"",BB376,K376)," ",""),".",""),"+","")),"WhatsApp"))</f>
        <v/>
      </c>
      <c r="M376" s="60">
        <f>IF(BC376="","",HYPERLINK(IF(LEFT(BC376,4)="http",BC376,"https://www.instagram.com/"&amp;SUBSTITUTE(SUBSTITUTE(BC376,"@","")," ","")),BC376))</f>
        <v/>
      </c>
      <c r="N376" s="60">
        <f>IF(C376="","",IFERROR(INDEX('Saisie'!$D$5:$D$2004,_xlfn.MINIFS('Saisie'!$AS$5:$AS$2004,'Saisie'!$C$5:$C$2004,C376,'Saisie'!$AU$5:$AU$2004,1)-4),IFERROR(INDEX('Saisie'!$D$5:$D$2004,_xlfn.MINIFS('Saisie'!$AS$5:$AS$2004,'Saisie'!$C$5:$C$2004,C376,'Saisie'!$D$5:$D$2004,"&lt;&gt;")-4),"")))</f>
        <v/>
      </c>
      <c r="O376" s="60">
        <f>IF(C376="","",COUNTIFS('Saisie'!$C$5:$C$2004,C376,'Saisie'!$AU$5:$AU$2004,1))</f>
        <v/>
      </c>
      <c r="P376" s="60">
        <f>IF(C376="","",COUNTIFS('Saisie'!$C$5:$C$2004,C376,'Saisie'!$AV$5:$AV$2004,1))</f>
        <v/>
      </c>
      <c r="Q376" s="106">
        <f>IF(C376="","",IFERROR(1/(1/_xlfn.MAXIFS('Saisie'!$A$5:$A$2004,'Saisie'!$C$5:$C$2004,C376)),""))</f>
        <v/>
      </c>
      <c r="R376" s="61">
        <f>IF(C376="","",IF(Q376="","",TODAY()-Q376))</f>
        <v/>
      </c>
      <c r="S376" s="60">
        <f>IF(C376="","",IFERROR(INDEX('Saisie'!$R$5:$R$2004,_xlfn.MAXIFS('Saisie'!$AS$5:$AS$2004,'Saisie'!$C$5:$C$2004,C376,'Saisie'!$R$5:$R$2004,"&lt;&gt;")-4),""))</f>
        <v/>
      </c>
      <c r="T376" s="60">
        <f>IF(C376="","",IFERROR(INDEX('Saisie'!$S$5:$S$2004,_xlfn.MAXIFS('Saisie'!$AS$5:$AS$2004,'Saisie'!$C$5:$C$2004,C376,'Saisie'!$S$5:$S$2004,"&lt;&gt;")-4),""))</f>
        <v/>
      </c>
      <c r="U376" s="60">
        <f>IF(C376="","",IFERROR(INDEX('Saisie'!$T$5:$T$2004,_xlfn.MAXIFS('Saisie'!$AS$5:$AS$2004,'Saisie'!$C$5:$C$2004,C376,'Saisie'!$T$5:$T$2004,"&lt;&gt;")-4),""))</f>
        <v/>
      </c>
      <c r="V376" s="60">
        <f>IF(C376="","",IFERROR(INDEX('Saisie'!$V$5:$V$2004,_xlfn.MAXIFS('Saisie'!$AS$5:$AS$2004,'Saisie'!$C$5:$C$2004,C376,'Saisie'!$V$5:$V$2004,"&lt;&gt;")-4),""))</f>
        <v/>
      </c>
      <c r="W376" s="60">
        <f>IF(C376="","",IFERROR(INDEX('Saisie'!$Z$5:$Z$2004,_xlfn.MAXIFS('Saisie'!$AS$5:$AS$2004,'Saisie'!$C$5:$C$2004,C376,'Saisie'!$Z$5:$Z$2004,"&lt;&gt;")-4),""))</f>
        <v/>
      </c>
      <c r="X376" s="60">
        <f>IF(C376="","",IFERROR(INDEX('Saisie'!$AA$5:$AA$2004,_xlfn.MAXIFS('Saisie'!$AS$5:$AS$2004,'Saisie'!$C$5:$C$2004,C376,'Saisie'!$AA$5:$AA$2004,"&lt;&gt;")-4),""))</f>
        <v/>
      </c>
      <c r="Y376" s="60">
        <f>IF(C376="","",IFERROR(INDEX('Saisie'!$AB$5:$AB$2004,_xlfn.MAXIFS('Saisie'!$AS$5:$AS$2004,'Saisie'!$C$5:$C$2004,C376,'Saisie'!$AB$5:$AB$2004,"&lt;&gt;")-4),""))</f>
        <v/>
      </c>
      <c r="Z376" s="60">
        <f>IF(C376="","",IFERROR(INDEX('Saisie'!$AC$5:$AC$2004,_xlfn.MAXIFS('Saisie'!$AS$5:$AS$2004,'Saisie'!$C$5:$C$2004,C376,'Saisie'!$AC$5:$AC$2004,"&lt;&gt;")-4),""))</f>
        <v/>
      </c>
      <c r="AA376" s="106">
        <f>IF(C376="","",IFERROR(INDEX('Saisie'!$AD$5:$AD$2004,_xlfn.MAXIFS('Saisie'!$AS$5:$AS$2004,'Saisie'!$C$5:$C$2004,C376,'Saisie'!$AD$5:$AD$2004,"&lt;&gt;")-4),""))</f>
        <v/>
      </c>
      <c r="AB376" s="60">
        <f>IF(C376="","",IFERROR(INDEX('Saisie'!$AE$5:$AE$2004,_xlfn.MAXIFS('Saisie'!$AS$5:$AS$2004,'Saisie'!$C$5:$C$2004,C376,'Saisie'!$AE$5:$AE$2004,"&lt;&gt;")-4),""))</f>
        <v/>
      </c>
      <c r="AC376" s="60">
        <f>IF(C376="","",IFERROR(INDEX('Saisie'!$AF$5:$AF$2004,_xlfn.MAXIFS('Saisie'!$AS$5:$AS$2004,'Saisie'!$C$5:$C$2004,C376,'Saisie'!$AF$5:$AF$2004,"&lt;&gt;")-4),""))</f>
        <v/>
      </c>
      <c r="AD376" s="108">
        <f>IF(C376="","",IFERROR(INDEX('Saisie'!$AG$5:$AG$2004,_xlfn.MAXIFS('Saisie'!$AS$5:$AS$2004,'Saisie'!$C$5:$C$2004,C376,'Saisie'!$AG$5:$AG$2004,"&lt;&gt;")-4),""))</f>
        <v/>
      </c>
      <c r="AE376" s="60">
        <f>IF(C376="","",IFERROR(INDEX('Saisie'!$AH$5:$AH$2004,_xlfn.MAXIFS('Saisie'!$AS$5:$AS$2004,'Saisie'!$C$5:$C$2004,C376,'Saisie'!$AH$5:$AH$2004,"&lt;&gt;")-4),""))</f>
        <v/>
      </c>
      <c r="AF376" s="60">
        <f>IF(C376="","",IFERROR(INDEX('Saisie'!$AI$5:$AI$2004,_xlfn.MAXIFS('Saisie'!$AS$5:$AS$2004,'Saisie'!$C$5:$C$2004,C376,'Saisie'!$AI$5:$AI$2004,"&lt;&gt;")-4),""))</f>
        <v/>
      </c>
      <c r="AG376" s="60">
        <f>IF(C376="","",IFERROR(INDEX('Saisie'!$AJ$5:$AJ$2004,_xlfn.MAXIFS('Saisie'!$AS$5:$AS$2004,'Saisie'!$C$5:$C$2004,C376,'Saisie'!$AJ$5:$AJ$2004,"&lt;&gt;")-4),""))</f>
        <v/>
      </c>
      <c r="AH376" s="60">
        <f>IF(C376="","",IFERROR(INDEX('Saisie'!$AK$5:$AK$2004,_xlfn.MAXIFS('Saisie'!$AS$5:$AS$2004,'Saisie'!$C$5:$C$2004,C376,'Saisie'!$AK$5:$AK$2004,"&lt;&gt;")-4),""))</f>
        <v/>
      </c>
      <c r="AI376" s="60">
        <f>IF(C376="","",IFERROR(INDEX('Saisie'!$AN$5:$AN$2004,_xlfn.MAXIFS('Saisie'!$AS$5:$AS$2004,'Saisie'!$C$5:$C$2004,C376,'Saisie'!$AN$5:$AN$2004,"&lt;&gt;")-4),""))</f>
        <v/>
      </c>
      <c r="AJ376" s="60">
        <f>IF(C376="","",IFERROR(INDEX('Saisie'!$AO$5:$AO$2004,_xlfn.MAXIFS('Saisie'!$AS$5:$AS$2004,'Saisie'!$C$5:$C$2004,C376,'Saisie'!$AO$5:$AO$2004,"&lt;&gt;")-4),""))</f>
        <v/>
      </c>
      <c r="AK376" s="60">
        <f>IF(C376="","",IFERROR(INDEX('Saisie'!$AP$5:$AP$2004,_xlfn.MAXIFS('Saisie'!$AS$5:$AS$2004,'Saisie'!$C$5:$C$2004,C376,'Saisie'!$AP$5:$AP$2004,"&lt;&gt;")-4),""))</f>
        <v/>
      </c>
      <c r="AL376" s="60">
        <f>IF(C376="","",IFERROR(INDEX('Saisie'!$AQ$5:$AQ$2004,_xlfn.MAXIFS('Saisie'!$AS$5:$AS$2004,'Saisie'!$C$5:$C$2004,C376,'Saisie'!$AQ$5:$AQ$2004,"&lt;&gt;")-4),""))</f>
        <v/>
      </c>
      <c r="AM376" s="60">
        <f>IF(C376="","",((AI376="Oui")+(AJ376="Oui")+(AK376="Oui")+OR(AL376="Immédiat",AL376="&lt; 1 mois"))&amp;"/4")</f>
        <v/>
      </c>
      <c r="AN376" s="60">
        <f>IF(C376="","",IFERROR(INDEX('Saisie'!$AL$5:$AL$2004,_xlfn.MAXIFS('Saisie'!$AS$5:$AS$2004,'Saisie'!$C$5:$C$2004,C376,'Saisie'!$AL$5:$AL$2004,"&lt;&gt;")-4),""))</f>
        <v/>
      </c>
      <c r="AO376" s="62">
        <f>IF(C376="","",IF(IFERROR(INDEX('Saisie'!$AM$5:$AM$2004,_xlfn.MAXIFS('Saisie'!$AS$5:$AS$2004,'Saisie'!$C$5:$C$2004,C376,'Saisie'!$AM$5:$AM$2004,"&lt;&gt;")-4),"")&lt;&gt;"",IFERROR(INDEX('Saisie'!$AM$5:$AM$2004,_xlfn.MAXIFS('Saisie'!$AS$5:$AS$2004,'Saisie'!$C$5:$C$2004,C376,'Saisie'!$AM$5:$AM$2004,"&lt;&gt;")-4),""),IFERROR(INDEX('Paramètres'!$S$6:$S$15,MATCH(AN376,'Paramètres'!$Q$6:$Q$15,0)),"")))</f>
        <v/>
      </c>
      <c r="AP376" s="62">
        <f>IF(C376="","",IFERROR(INDEX('Saisie'!$AW$5:$AW$2004,_xlfn.MAXIFS('Saisie'!$AS$5:$AS$2004,'Saisie'!$C$5:$C$2004,C376,'Saisie'!$E$5:$E$2004,"Proposition envoyée")-4),""))</f>
        <v/>
      </c>
      <c r="AQ376" s="106">
        <f>IF(C376="","",IFERROR(1/(1/_xlfn.MAXIFS('Saisie'!$A$5:$A$2004,'Saisie'!$C$5:$C$2004,C376,'Saisie'!$E$5:$E$2004,"Proposition envoyée")),""))</f>
        <v/>
      </c>
      <c r="AR376" s="106">
        <f>IF(C376="","",IF(AQ376="","",AQ376+'Paramètres'!$B$26))</f>
        <v/>
      </c>
      <c r="AS376" s="62">
        <f>IF(OR(C376="",D376="Gagné",D376="Perdu"),0,N(AP376)*IFERROR(INDEX('Paramètres'!$G$6:$G$13,MATCH(D376,'Paramètres'!$F$6:$F$13,0)),0))</f>
        <v/>
      </c>
      <c r="AT376" s="106">
        <f>IF(C376="","",IFERROR(1/(1/_xlfn.MINIFS('Saisie'!$A$5:$A$2004,'Saisie'!$C$5:$C$2004,C376,'Saisie'!$E$5:$E$2004,"Signature")),""))</f>
        <v/>
      </c>
      <c r="AU376" s="60">
        <f>IF(C376="","",IF(OR(AT376="",B376=""),"",AT376-B376))</f>
        <v/>
      </c>
      <c r="AV376" s="60">
        <f>IF(C376="","",IFERROR(INDEX('Saisie'!$L$5:$L$2004,_xlfn.MAXIFS('Saisie'!$AS$5:$AS$2004,'Saisie'!$C$5:$C$2004,C376,'Saisie'!$L$5:$L$2004,"&lt;&gt;")-4),""))</f>
        <v/>
      </c>
      <c r="AW376" s="106">
        <f>IF(C376="","",IF(D376&lt;&gt;"Perdu","",IFERROR(1/(1/_xlfn.MAXIFS('Saisie'!$A$5:$A$2004,'Saisie'!$C$5:$C$2004,C376,'Saisie'!$E$5:$E$2004,"Perdu")),"")))</f>
        <v/>
      </c>
      <c r="AX376" s="106">
        <f>IF(C376="","",IF(AW376="","",AW376+'Paramètres'!$B$28))</f>
        <v/>
      </c>
      <c r="AY376" s="60">
        <f>IF(C376="","",SUMIFS('Saisie'!$H$5:$H$2004,'Saisie'!$C$5:$C$2004,C376))</f>
        <v/>
      </c>
      <c r="AZ376" s="60">
        <f>IF(C376="","",IFERROR(INDEX('Paramètres'!$W$6:$W$20,MATCH(S376,'Paramètres'!$V$6:$V$20,0))&amp;"",""))</f>
        <v/>
      </c>
      <c r="BA376" s="60">
        <f>IF(C376="","",MAX(1,_xlfn.MAXIFS('Saisie'!$AT$5:$AT$2004,'Saisie'!$C$5:$C$2004,C376)))</f>
        <v/>
      </c>
      <c r="BB376" s="60">
        <f>IF(C376="","",IFERROR(INDEX('Saisie'!$X$5:$X$2004,_xlfn.MAXIFS('Saisie'!$AS$5:$AS$2004,'Saisie'!$C$5:$C$2004,C376,'Saisie'!$X$5:$X$2004,"&lt;&gt;")-4),""))</f>
        <v/>
      </c>
      <c r="BC376" s="60">
        <f>IF(C376="","",IFERROR(INDEX('Saisie'!$Y$5:$Y$2004,_xlfn.MAXIFS('Saisie'!$AS$5:$AS$2004,'Saisie'!$C$5:$C$2004,C376,'Saisie'!$Y$5:$Y$2004,"&lt;&gt;")-4),""))</f>
        <v/>
      </c>
      <c r="BD376" s="106">
        <f>IF(C376="","",IFERROR(1/(1/_xlfn.MINIFS('Saisie'!$A$5:$A$2004,'Saisie'!$C$5:$C$2004,C376,'Saisie'!$AT$5:$AT$2004,"&gt;=2")),""))</f>
        <v/>
      </c>
      <c r="BE376" s="106">
        <f>IF(C376="","",IFERROR(1/(1/_xlfn.MINIFS('Saisie'!$A$5:$A$2004,'Saisie'!$C$5:$C$2004,C376,'Saisie'!$AT$5:$AT$2004,"&gt;=3")),""))</f>
        <v/>
      </c>
      <c r="BF376" s="106">
        <f>IF(C376="","",IFERROR(1/(1/_xlfn.MINIFS('Saisie'!$A$5:$A$2004,'Saisie'!$C$5:$C$2004,C376,'Saisie'!$AT$5:$AT$2004,"&gt;=4")),""))</f>
        <v/>
      </c>
      <c r="BG376" s="106">
        <f>IF(C376="","",IFERROR(1/(1/_xlfn.MINIFS('Saisie'!$A$5:$A$2004,'Saisie'!$C$5:$C$2004,C376,'Saisie'!$AT$5:$AT$2004,"&gt;=5")),""))</f>
        <v/>
      </c>
      <c r="BH376" s="106">
        <f>IF(C376="","",IFERROR(1/(1/_xlfn.MINIFS('Saisie'!$A$5:$A$2004,'Saisie'!$C$5:$C$2004,C376,'Saisie'!$AT$5:$AT$2004,"&gt;=6")),""))</f>
        <v/>
      </c>
      <c r="BI376" s="106">
        <f>IF(C376="","",IFERROR(1/(1/_xlfn.MINIFS('Saisie'!$A$5:$A$2004,'Saisie'!$C$5:$C$2004,C376,'Saisie'!$AT$5:$AT$2004,"&gt;=7")),""))</f>
        <v/>
      </c>
      <c r="BJ376" s="60">
        <f>IF(OR(BD376="",B376=""),"",BD376-B376)</f>
        <v/>
      </c>
      <c r="BK376" s="60">
        <f>IF(OR(BE376="",BD376=""),"",BE376-BD376)</f>
        <v/>
      </c>
      <c r="BL376" s="60">
        <f>IF(OR(BF376="",BE376=""),"",BF376-BE376)</f>
        <v/>
      </c>
      <c r="BM376" s="60">
        <f>IF(OR(BG376="",BF376=""),"",BG376-BF376)</f>
        <v/>
      </c>
      <c r="BN376" s="60">
        <f>IF(OR(BH376="",BG376=""),"",BH376-BG376)</f>
        <v/>
      </c>
      <c r="BO376" s="60">
        <f>IF(OR(BI376="",BH376=""),"",BI376-BH376)</f>
        <v/>
      </c>
      <c r="BP376" s="60">
        <f>IF(C376="","",_xlfn.MAXIFS('Saisie'!$AS$5:$AS$2004,'Saisie'!$C$5:$C$2004,C376,'Saisie'!$J$5:$J$2004,"&lt;&gt;"))</f>
        <v/>
      </c>
      <c r="BQ376" s="60">
        <f>IF(C376="","",_xlfn.MAXIFS('Saisie'!$AS$5:$AS$2004,'Saisie'!$C$5:$C$2004,C376))</f>
        <v/>
      </c>
      <c r="BR376" s="60">
        <f>IF(C376="","",_xlfn.MAXIFS('Saisie'!$AS$5:$AS$2004,'Saisie'!$C$5:$C$2004,C376,'Saisie'!$E$5:$E$2004,"Perdu"))</f>
        <v/>
      </c>
      <c r="BS376" s="60">
        <f>IF(C376="","",_xlfn.MAXIFS('Saisie'!$AS$5:$AS$2004,'Saisie'!$C$5:$C$2004,C376,'Saisie'!$AT$5:$AT$2004,"&gt;0"))</f>
        <v/>
      </c>
      <c r="BT376" s="109">
        <f>IF(AND(C376&lt;&gt;"",OR(D376="Nouveau",D376="Contacté",D376="Qualifié"),OR(G376="",N(G376)&lt;=TODAY()),NOT(AND(O376&gt;='Paramètres'!$B$21,P376=0))),E376+372/10000,"")</f>
        <v/>
      </c>
      <c r="BU376" s="60">
        <f>IF(AND(G376&lt;&gt;"",N(G376)&lt;=TODAY()),MAX($BU$4:BU375)+1,"")</f>
        <v/>
      </c>
      <c r="BV376" s="60">
        <f>IF(AND(F376&lt;&gt;"",F376&lt;&gt;"Relance en retard"),MAX($BV$4:BV375)+1,"")</f>
        <v/>
      </c>
      <c r="BW376" s="60">
        <f>IF(C376="","",IF(AND(B376&gt;='Tableau de bord'!$R$4,B376&lt;='Tableau de bord'!$S$4,OR('Tableau de bord'!$G$4="Tous",N376='Tableau de bord'!$G$4)),1,0))</f>
        <v/>
      </c>
      <c r="BX376" s="60">
        <f>IF(AND(C376&lt;&gt;"",N(BA376)=7),MAX($BX$4:BX375)+1,"")</f>
        <v/>
      </c>
    </row>
    <row r="377">
      <c r="A377" s="60">
        <f>IF(C377="","","P-"&amp;TEXT(373,"000"))</f>
        <v/>
      </c>
      <c r="B377" s="106">
        <f>IF(C377="","",IFERROR(1/(1/_xlfn.MINIFS('Saisie'!$A$5:$A$2004,'Saisie'!$C$5:$C$2004,C377)),""))</f>
        <v/>
      </c>
      <c r="C377" s="60">
        <f>IFERROR(INDEX('Saisie'!$C$5:$C$2004,MATCH(373,'Saisie'!$AX$5:$AX$2004,0)),"")</f>
        <v/>
      </c>
      <c r="D377" s="60">
        <f>IF(C377="","",IF(AND(BR377&gt;0,BR377&gt;BS377,BA377&lt;7),"Perdu",INDEX('Paramètres'!$F$6:$F$13,BA377)))</f>
        <v/>
      </c>
      <c r="E377" s="61">
        <f>IF(C377="","",MIN(100,(Z377="Oui")*'Paramètres'!$B$38+(AB377="Régulière")*'Paramètres'!$B$39+IF(AND(N(AA377)&gt;0,TODAY()-N(AA377)&lt;=30),'Paramètres'!$B$40,0)+(W377="")*'Paramètres'!$B$41+(AC377="Absente")*'Paramètres'!$B$42+(AC377="Faible")*'Paramètres'!$B$43+IF(AND(N(AD377)&gt;0,N(AD377)&lt;4),'Paramètres'!$B$44,0)+(AF377="Moyenne")*'Paramètres'!$B$45+(AF377="Grande")*'Paramètres'!$B$46+(Y377&lt;&gt;"")*'Paramètres'!$B$47))</f>
        <v/>
      </c>
      <c r="F377" s="60">
        <f>IF(C377="","",IF(D377="Gagné","",IF(D377="Perdu",IF(AND(AX377&lt;&gt;"",AX377&lt;=TODAY()),"À recontacter (perdu)",""),IF(AND(O377&gt;='Paramètres'!$B$21,P377=0),"Stop : "&amp;'Paramètres'!$B$21&amp;" tentatives sans réponse",IF(AND(D377="Proposition",AR377&lt;&gt;"",TODAY()&gt;N(AR377)),"Proposition expirée",IF(AND(D377="Proposition",N(R377)&gt;='Paramètres'!$B$25),"Proposition sans réponse",IF(AND(G377&lt;&gt;"",N(G377)&lt;TODAY()),"Relance en retard",IF(N(R377)&gt;='Paramètres'!$B$24,"Sans action depuis "&amp;R377&amp;" j",""))))))))</f>
        <v/>
      </c>
      <c r="G377" s="106">
        <f>IF(OR(C377="",D377="Gagné",D377="Perdu"),"",IF(AND(BP377&gt;0,BP377=BQ377),INDEX('Saisie'!$J$5:$J$2004,BP377-4),IF(OR(O377=0,AND(O377&gt;='Paramètres'!$B$21,P377=0)),"",Q377+IF(O377&lt;=1,'Paramètres'!$B$18,IF(O377=2,'Paramètres'!$B$19,'Paramètres'!$B$20)))))</f>
        <v/>
      </c>
      <c r="H377" s="107">
        <f>IF(OR(G377="",BP377&lt;&gt;BQ377),"",IF(INDEX('Saisie'!$K$5:$K$2004,BP377-4)="","",INDEX('Saisie'!$K$5:$K$2004,BP377-4)))</f>
        <v/>
      </c>
      <c r="I377" s="60">
        <f>IF(C377="","",IF(OR(D377="Gagné",D377="Perdu"),"",IFERROR(INDEX('Saisie'!$I$5:$I$2004,_xlfn.MAXIFS('Saisie'!$AS$5:$AS$2004,'Saisie'!$C$5:$C$2004,C377,'Saisie'!$I$5:$I$2004,"&lt;&gt;")-4),"")))</f>
        <v/>
      </c>
      <c r="J377" s="60">
        <f>IF(C377="","",IFERROR(INDEX('Saisie'!$U$5:$U$2004,_xlfn.MAXIFS('Saisie'!$AS$5:$AS$2004,'Saisie'!$C$5:$C$2004,C377,'Saisie'!$U$5:$U$2004,"&lt;&gt;")-4),""))</f>
        <v/>
      </c>
      <c r="K377" s="60">
        <f>IF(C377="","",IFERROR(INDEX('Saisie'!$W$5:$W$2004,_xlfn.MAXIFS('Saisie'!$AS$5:$AS$2004,'Saisie'!$C$5:$C$2004,C377,'Saisie'!$W$5:$W$2004,"&lt;&gt;")-4),""))</f>
        <v/>
      </c>
      <c r="L377" s="60">
        <f>IF(IF(BB377&lt;&gt;"",BB377,K377)="","",HYPERLINK("https://wa.me/"&amp;IF(LEFT(SUBSTITUTE(SUBSTITUTE(SUBSTITUTE(IF(BB377&lt;&gt;"",BB377,K377)," ",""),".",""),"+",""),1)="0",'Paramètres'!$B$35&amp;MID(SUBSTITUTE(SUBSTITUTE(SUBSTITUTE(IF(BB377&lt;&gt;"",BB377,K377)," ",""),".",""),"+",""),2,20),SUBSTITUTE(SUBSTITUTE(SUBSTITUTE(IF(BB377&lt;&gt;"",BB377,K377)," ",""),".",""),"+","")),"WhatsApp"))</f>
        <v/>
      </c>
      <c r="M377" s="60">
        <f>IF(BC377="","",HYPERLINK(IF(LEFT(BC377,4)="http",BC377,"https://www.instagram.com/"&amp;SUBSTITUTE(SUBSTITUTE(BC377,"@","")," ","")),BC377))</f>
        <v/>
      </c>
      <c r="N377" s="60">
        <f>IF(C377="","",IFERROR(INDEX('Saisie'!$D$5:$D$2004,_xlfn.MINIFS('Saisie'!$AS$5:$AS$2004,'Saisie'!$C$5:$C$2004,C377,'Saisie'!$AU$5:$AU$2004,1)-4),IFERROR(INDEX('Saisie'!$D$5:$D$2004,_xlfn.MINIFS('Saisie'!$AS$5:$AS$2004,'Saisie'!$C$5:$C$2004,C377,'Saisie'!$D$5:$D$2004,"&lt;&gt;")-4),"")))</f>
        <v/>
      </c>
      <c r="O377" s="60">
        <f>IF(C377="","",COUNTIFS('Saisie'!$C$5:$C$2004,C377,'Saisie'!$AU$5:$AU$2004,1))</f>
        <v/>
      </c>
      <c r="P377" s="60">
        <f>IF(C377="","",COUNTIFS('Saisie'!$C$5:$C$2004,C377,'Saisie'!$AV$5:$AV$2004,1))</f>
        <v/>
      </c>
      <c r="Q377" s="106">
        <f>IF(C377="","",IFERROR(1/(1/_xlfn.MAXIFS('Saisie'!$A$5:$A$2004,'Saisie'!$C$5:$C$2004,C377)),""))</f>
        <v/>
      </c>
      <c r="R377" s="61">
        <f>IF(C377="","",IF(Q377="","",TODAY()-Q377))</f>
        <v/>
      </c>
      <c r="S377" s="60">
        <f>IF(C377="","",IFERROR(INDEX('Saisie'!$R$5:$R$2004,_xlfn.MAXIFS('Saisie'!$AS$5:$AS$2004,'Saisie'!$C$5:$C$2004,C377,'Saisie'!$R$5:$R$2004,"&lt;&gt;")-4),""))</f>
        <v/>
      </c>
      <c r="T377" s="60">
        <f>IF(C377="","",IFERROR(INDEX('Saisie'!$S$5:$S$2004,_xlfn.MAXIFS('Saisie'!$AS$5:$AS$2004,'Saisie'!$C$5:$C$2004,C377,'Saisie'!$S$5:$S$2004,"&lt;&gt;")-4),""))</f>
        <v/>
      </c>
      <c r="U377" s="60">
        <f>IF(C377="","",IFERROR(INDEX('Saisie'!$T$5:$T$2004,_xlfn.MAXIFS('Saisie'!$AS$5:$AS$2004,'Saisie'!$C$5:$C$2004,C377,'Saisie'!$T$5:$T$2004,"&lt;&gt;")-4),""))</f>
        <v/>
      </c>
      <c r="V377" s="60">
        <f>IF(C377="","",IFERROR(INDEX('Saisie'!$V$5:$V$2004,_xlfn.MAXIFS('Saisie'!$AS$5:$AS$2004,'Saisie'!$C$5:$C$2004,C377,'Saisie'!$V$5:$V$2004,"&lt;&gt;")-4),""))</f>
        <v/>
      </c>
      <c r="W377" s="60">
        <f>IF(C377="","",IFERROR(INDEX('Saisie'!$Z$5:$Z$2004,_xlfn.MAXIFS('Saisie'!$AS$5:$AS$2004,'Saisie'!$C$5:$C$2004,C377,'Saisie'!$Z$5:$Z$2004,"&lt;&gt;")-4),""))</f>
        <v/>
      </c>
      <c r="X377" s="60">
        <f>IF(C377="","",IFERROR(INDEX('Saisie'!$AA$5:$AA$2004,_xlfn.MAXIFS('Saisie'!$AS$5:$AS$2004,'Saisie'!$C$5:$C$2004,C377,'Saisie'!$AA$5:$AA$2004,"&lt;&gt;")-4),""))</f>
        <v/>
      </c>
      <c r="Y377" s="60">
        <f>IF(C377="","",IFERROR(INDEX('Saisie'!$AB$5:$AB$2004,_xlfn.MAXIFS('Saisie'!$AS$5:$AS$2004,'Saisie'!$C$5:$C$2004,C377,'Saisie'!$AB$5:$AB$2004,"&lt;&gt;")-4),""))</f>
        <v/>
      </c>
      <c r="Z377" s="60">
        <f>IF(C377="","",IFERROR(INDEX('Saisie'!$AC$5:$AC$2004,_xlfn.MAXIFS('Saisie'!$AS$5:$AS$2004,'Saisie'!$C$5:$C$2004,C377,'Saisie'!$AC$5:$AC$2004,"&lt;&gt;")-4),""))</f>
        <v/>
      </c>
      <c r="AA377" s="106">
        <f>IF(C377="","",IFERROR(INDEX('Saisie'!$AD$5:$AD$2004,_xlfn.MAXIFS('Saisie'!$AS$5:$AS$2004,'Saisie'!$C$5:$C$2004,C377,'Saisie'!$AD$5:$AD$2004,"&lt;&gt;")-4),""))</f>
        <v/>
      </c>
      <c r="AB377" s="60">
        <f>IF(C377="","",IFERROR(INDEX('Saisie'!$AE$5:$AE$2004,_xlfn.MAXIFS('Saisie'!$AS$5:$AS$2004,'Saisie'!$C$5:$C$2004,C377,'Saisie'!$AE$5:$AE$2004,"&lt;&gt;")-4),""))</f>
        <v/>
      </c>
      <c r="AC377" s="60">
        <f>IF(C377="","",IFERROR(INDEX('Saisie'!$AF$5:$AF$2004,_xlfn.MAXIFS('Saisie'!$AS$5:$AS$2004,'Saisie'!$C$5:$C$2004,C377,'Saisie'!$AF$5:$AF$2004,"&lt;&gt;")-4),""))</f>
        <v/>
      </c>
      <c r="AD377" s="108">
        <f>IF(C377="","",IFERROR(INDEX('Saisie'!$AG$5:$AG$2004,_xlfn.MAXIFS('Saisie'!$AS$5:$AS$2004,'Saisie'!$C$5:$C$2004,C377,'Saisie'!$AG$5:$AG$2004,"&lt;&gt;")-4),""))</f>
        <v/>
      </c>
      <c r="AE377" s="60">
        <f>IF(C377="","",IFERROR(INDEX('Saisie'!$AH$5:$AH$2004,_xlfn.MAXIFS('Saisie'!$AS$5:$AS$2004,'Saisie'!$C$5:$C$2004,C377,'Saisie'!$AH$5:$AH$2004,"&lt;&gt;")-4),""))</f>
        <v/>
      </c>
      <c r="AF377" s="60">
        <f>IF(C377="","",IFERROR(INDEX('Saisie'!$AI$5:$AI$2004,_xlfn.MAXIFS('Saisie'!$AS$5:$AS$2004,'Saisie'!$C$5:$C$2004,C377,'Saisie'!$AI$5:$AI$2004,"&lt;&gt;")-4),""))</f>
        <v/>
      </c>
      <c r="AG377" s="60">
        <f>IF(C377="","",IFERROR(INDEX('Saisie'!$AJ$5:$AJ$2004,_xlfn.MAXIFS('Saisie'!$AS$5:$AS$2004,'Saisie'!$C$5:$C$2004,C377,'Saisie'!$AJ$5:$AJ$2004,"&lt;&gt;")-4),""))</f>
        <v/>
      </c>
      <c r="AH377" s="60">
        <f>IF(C377="","",IFERROR(INDEX('Saisie'!$AK$5:$AK$2004,_xlfn.MAXIFS('Saisie'!$AS$5:$AS$2004,'Saisie'!$C$5:$C$2004,C377,'Saisie'!$AK$5:$AK$2004,"&lt;&gt;")-4),""))</f>
        <v/>
      </c>
      <c r="AI377" s="60">
        <f>IF(C377="","",IFERROR(INDEX('Saisie'!$AN$5:$AN$2004,_xlfn.MAXIFS('Saisie'!$AS$5:$AS$2004,'Saisie'!$C$5:$C$2004,C377,'Saisie'!$AN$5:$AN$2004,"&lt;&gt;")-4),""))</f>
        <v/>
      </c>
      <c r="AJ377" s="60">
        <f>IF(C377="","",IFERROR(INDEX('Saisie'!$AO$5:$AO$2004,_xlfn.MAXIFS('Saisie'!$AS$5:$AS$2004,'Saisie'!$C$5:$C$2004,C377,'Saisie'!$AO$5:$AO$2004,"&lt;&gt;")-4),""))</f>
        <v/>
      </c>
      <c r="AK377" s="60">
        <f>IF(C377="","",IFERROR(INDEX('Saisie'!$AP$5:$AP$2004,_xlfn.MAXIFS('Saisie'!$AS$5:$AS$2004,'Saisie'!$C$5:$C$2004,C377,'Saisie'!$AP$5:$AP$2004,"&lt;&gt;")-4),""))</f>
        <v/>
      </c>
      <c r="AL377" s="60">
        <f>IF(C377="","",IFERROR(INDEX('Saisie'!$AQ$5:$AQ$2004,_xlfn.MAXIFS('Saisie'!$AS$5:$AS$2004,'Saisie'!$C$5:$C$2004,C377,'Saisie'!$AQ$5:$AQ$2004,"&lt;&gt;")-4),""))</f>
        <v/>
      </c>
      <c r="AM377" s="60">
        <f>IF(C377="","",((AI377="Oui")+(AJ377="Oui")+(AK377="Oui")+OR(AL377="Immédiat",AL377="&lt; 1 mois"))&amp;"/4")</f>
        <v/>
      </c>
      <c r="AN377" s="60">
        <f>IF(C377="","",IFERROR(INDEX('Saisie'!$AL$5:$AL$2004,_xlfn.MAXIFS('Saisie'!$AS$5:$AS$2004,'Saisie'!$C$5:$C$2004,C377,'Saisie'!$AL$5:$AL$2004,"&lt;&gt;")-4),""))</f>
        <v/>
      </c>
      <c r="AO377" s="62">
        <f>IF(C377="","",IF(IFERROR(INDEX('Saisie'!$AM$5:$AM$2004,_xlfn.MAXIFS('Saisie'!$AS$5:$AS$2004,'Saisie'!$C$5:$C$2004,C377,'Saisie'!$AM$5:$AM$2004,"&lt;&gt;")-4),"")&lt;&gt;"",IFERROR(INDEX('Saisie'!$AM$5:$AM$2004,_xlfn.MAXIFS('Saisie'!$AS$5:$AS$2004,'Saisie'!$C$5:$C$2004,C377,'Saisie'!$AM$5:$AM$2004,"&lt;&gt;")-4),""),IFERROR(INDEX('Paramètres'!$S$6:$S$15,MATCH(AN377,'Paramètres'!$Q$6:$Q$15,0)),"")))</f>
        <v/>
      </c>
      <c r="AP377" s="62">
        <f>IF(C377="","",IFERROR(INDEX('Saisie'!$AW$5:$AW$2004,_xlfn.MAXIFS('Saisie'!$AS$5:$AS$2004,'Saisie'!$C$5:$C$2004,C377,'Saisie'!$E$5:$E$2004,"Proposition envoyée")-4),""))</f>
        <v/>
      </c>
      <c r="AQ377" s="106">
        <f>IF(C377="","",IFERROR(1/(1/_xlfn.MAXIFS('Saisie'!$A$5:$A$2004,'Saisie'!$C$5:$C$2004,C377,'Saisie'!$E$5:$E$2004,"Proposition envoyée")),""))</f>
        <v/>
      </c>
      <c r="AR377" s="106">
        <f>IF(C377="","",IF(AQ377="","",AQ377+'Paramètres'!$B$26))</f>
        <v/>
      </c>
      <c r="AS377" s="62">
        <f>IF(OR(C377="",D377="Gagné",D377="Perdu"),0,N(AP377)*IFERROR(INDEX('Paramètres'!$G$6:$G$13,MATCH(D377,'Paramètres'!$F$6:$F$13,0)),0))</f>
        <v/>
      </c>
      <c r="AT377" s="106">
        <f>IF(C377="","",IFERROR(1/(1/_xlfn.MINIFS('Saisie'!$A$5:$A$2004,'Saisie'!$C$5:$C$2004,C377,'Saisie'!$E$5:$E$2004,"Signature")),""))</f>
        <v/>
      </c>
      <c r="AU377" s="60">
        <f>IF(C377="","",IF(OR(AT377="",B377=""),"",AT377-B377))</f>
        <v/>
      </c>
      <c r="AV377" s="60">
        <f>IF(C377="","",IFERROR(INDEX('Saisie'!$L$5:$L$2004,_xlfn.MAXIFS('Saisie'!$AS$5:$AS$2004,'Saisie'!$C$5:$C$2004,C377,'Saisie'!$L$5:$L$2004,"&lt;&gt;")-4),""))</f>
        <v/>
      </c>
      <c r="AW377" s="106">
        <f>IF(C377="","",IF(D377&lt;&gt;"Perdu","",IFERROR(1/(1/_xlfn.MAXIFS('Saisie'!$A$5:$A$2004,'Saisie'!$C$5:$C$2004,C377,'Saisie'!$E$5:$E$2004,"Perdu")),"")))</f>
        <v/>
      </c>
      <c r="AX377" s="106">
        <f>IF(C377="","",IF(AW377="","",AW377+'Paramètres'!$B$28))</f>
        <v/>
      </c>
      <c r="AY377" s="60">
        <f>IF(C377="","",SUMIFS('Saisie'!$H$5:$H$2004,'Saisie'!$C$5:$C$2004,C377))</f>
        <v/>
      </c>
      <c r="AZ377" s="60">
        <f>IF(C377="","",IFERROR(INDEX('Paramètres'!$W$6:$W$20,MATCH(S377,'Paramètres'!$V$6:$V$20,0))&amp;"",""))</f>
        <v/>
      </c>
      <c r="BA377" s="60">
        <f>IF(C377="","",MAX(1,_xlfn.MAXIFS('Saisie'!$AT$5:$AT$2004,'Saisie'!$C$5:$C$2004,C377)))</f>
        <v/>
      </c>
      <c r="BB377" s="60">
        <f>IF(C377="","",IFERROR(INDEX('Saisie'!$X$5:$X$2004,_xlfn.MAXIFS('Saisie'!$AS$5:$AS$2004,'Saisie'!$C$5:$C$2004,C377,'Saisie'!$X$5:$X$2004,"&lt;&gt;")-4),""))</f>
        <v/>
      </c>
      <c r="BC377" s="60">
        <f>IF(C377="","",IFERROR(INDEX('Saisie'!$Y$5:$Y$2004,_xlfn.MAXIFS('Saisie'!$AS$5:$AS$2004,'Saisie'!$C$5:$C$2004,C377,'Saisie'!$Y$5:$Y$2004,"&lt;&gt;")-4),""))</f>
        <v/>
      </c>
      <c r="BD377" s="106">
        <f>IF(C377="","",IFERROR(1/(1/_xlfn.MINIFS('Saisie'!$A$5:$A$2004,'Saisie'!$C$5:$C$2004,C377,'Saisie'!$AT$5:$AT$2004,"&gt;=2")),""))</f>
        <v/>
      </c>
      <c r="BE377" s="106">
        <f>IF(C377="","",IFERROR(1/(1/_xlfn.MINIFS('Saisie'!$A$5:$A$2004,'Saisie'!$C$5:$C$2004,C377,'Saisie'!$AT$5:$AT$2004,"&gt;=3")),""))</f>
        <v/>
      </c>
      <c r="BF377" s="106">
        <f>IF(C377="","",IFERROR(1/(1/_xlfn.MINIFS('Saisie'!$A$5:$A$2004,'Saisie'!$C$5:$C$2004,C377,'Saisie'!$AT$5:$AT$2004,"&gt;=4")),""))</f>
        <v/>
      </c>
      <c r="BG377" s="106">
        <f>IF(C377="","",IFERROR(1/(1/_xlfn.MINIFS('Saisie'!$A$5:$A$2004,'Saisie'!$C$5:$C$2004,C377,'Saisie'!$AT$5:$AT$2004,"&gt;=5")),""))</f>
        <v/>
      </c>
      <c r="BH377" s="106">
        <f>IF(C377="","",IFERROR(1/(1/_xlfn.MINIFS('Saisie'!$A$5:$A$2004,'Saisie'!$C$5:$C$2004,C377,'Saisie'!$AT$5:$AT$2004,"&gt;=6")),""))</f>
        <v/>
      </c>
      <c r="BI377" s="106">
        <f>IF(C377="","",IFERROR(1/(1/_xlfn.MINIFS('Saisie'!$A$5:$A$2004,'Saisie'!$C$5:$C$2004,C377,'Saisie'!$AT$5:$AT$2004,"&gt;=7")),""))</f>
        <v/>
      </c>
      <c r="BJ377" s="60">
        <f>IF(OR(BD377="",B377=""),"",BD377-B377)</f>
        <v/>
      </c>
      <c r="BK377" s="60">
        <f>IF(OR(BE377="",BD377=""),"",BE377-BD377)</f>
        <v/>
      </c>
      <c r="BL377" s="60">
        <f>IF(OR(BF377="",BE377=""),"",BF377-BE377)</f>
        <v/>
      </c>
      <c r="BM377" s="60">
        <f>IF(OR(BG377="",BF377=""),"",BG377-BF377)</f>
        <v/>
      </c>
      <c r="BN377" s="60">
        <f>IF(OR(BH377="",BG377=""),"",BH377-BG377)</f>
        <v/>
      </c>
      <c r="BO377" s="60">
        <f>IF(OR(BI377="",BH377=""),"",BI377-BH377)</f>
        <v/>
      </c>
      <c r="BP377" s="60">
        <f>IF(C377="","",_xlfn.MAXIFS('Saisie'!$AS$5:$AS$2004,'Saisie'!$C$5:$C$2004,C377,'Saisie'!$J$5:$J$2004,"&lt;&gt;"))</f>
        <v/>
      </c>
      <c r="BQ377" s="60">
        <f>IF(C377="","",_xlfn.MAXIFS('Saisie'!$AS$5:$AS$2004,'Saisie'!$C$5:$C$2004,C377))</f>
        <v/>
      </c>
      <c r="BR377" s="60">
        <f>IF(C377="","",_xlfn.MAXIFS('Saisie'!$AS$5:$AS$2004,'Saisie'!$C$5:$C$2004,C377,'Saisie'!$E$5:$E$2004,"Perdu"))</f>
        <v/>
      </c>
      <c r="BS377" s="60">
        <f>IF(C377="","",_xlfn.MAXIFS('Saisie'!$AS$5:$AS$2004,'Saisie'!$C$5:$C$2004,C377,'Saisie'!$AT$5:$AT$2004,"&gt;0"))</f>
        <v/>
      </c>
      <c r="BT377" s="109">
        <f>IF(AND(C377&lt;&gt;"",OR(D377="Nouveau",D377="Contacté",D377="Qualifié"),OR(G377="",N(G377)&lt;=TODAY()),NOT(AND(O377&gt;='Paramètres'!$B$21,P377=0))),E377+373/10000,"")</f>
        <v/>
      </c>
      <c r="BU377" s="60">
        <f>IF(AND(G377&lt;&gt;"",N(G377)&lt;=TODAY()),MAX($BU$4:BU376)+1,"")</f>
        <v/>
      </c>
      <c r="BV377" s="60">
        <f>IF(AND(F377&lt;&gt;"",F377&lt;&gt;"Relance en retard"),MAX($BV$4:BV376)+1,"")</f>
        <v/>
      </c>
      <c r="BW377" s="60">
        <f>IF(C377="","",IF(AND(B377&gt;='Tableau de bord'!$R$4,B377&lt;='Tableau de bord'!$S$4,OR('Tableau de bord'!$G$4="Tous",N377='Tableau de bord'!$G$4)),1,0))</f>
        <v/>
      </c>
      <c r="BX377" s="60">
        <f>IF(AND(C377&lt;&gt;"",N(BA377)=7),MAX($BX$4:BX376)+1,"")</f>
        <v/>
      </c>
    </row>
    <row r="378">
      <c r="A378" s="60">
        <f>IF(C378="","","P-"&amp;TEXT(374,"000"))</f>
        <v/>
      </c>
      <c r="B378" s="106">
        <f>IF(C378="","",IFERROR(1/(1/_xlfn.MINIFS('Saisie'!$A$5:$A$2004,'Saisie'!$C$5:$C$2004,C378)),""))</f>
        <v/>
      </c>
      <c r="C378" s="60">
        <f>IFERROR(INDEX('Saisie'!$C$5:$C$2004,MATCH(374,'Saisie'!$AX$5:$AX$2004,0)),"")</f>
        <v/>
      </c>
      <c r="D378" s="60">
        <f>IF(C378="","",IF(AND(BR378&gt;0,BR378&gt;BS378,BA378&lt;7),"Perdu",INDEX('Paramètres'!$F$6:$F$13,BA378)))</f>
        <v/>
      </c>
      <c r="E378" s="61">
        <f>IF(C378="","",MIN(100,(Z378="Oui")*'Paramètres'!$B$38+(AB378="Régulière")*'Paramètres'!$B$39+IF(AND(N(AA378)&gt;0,TODAY()-N(AA378)&lt;=30),'Paramètres'!$B$40,0)+(W378="")*'Paramètres'!$B$41+(AC378="Absente")*'Paramètres'!$B$42+(AC378="Faible")*'Paramètres'!$B$43+IF(AND(N(AD378)&gt;0,N(AD378)&lt;4),'Paramètres'!$B$44,0)+(AF378="Moyenne")*'Paramètres'!$B$45+(AF378="Grande")*'Paramètres'!$B$46+(Y378&lt;&gt;"")*'Paramètres'!$B$47))</f>
        <v/>
      </c>
      <c r="F378" s="60">
        <f>IF(C378="","",IF(D378="Gagné","",IF(D378="Perdu",IF(AND(AX378&lt;&gt;"",AX378&lt;=TODAY()),"À recontacter (perdu)",""),IF(AND(O378&gt;='Paramètres'!$B$21,P378=0),"Stop : "&amp;'Paramètres'!$B$21&amp;" tentatives sans réponse",IF(AND(D378="Proposition",AR378&lt;&gt;"",TODAY()&gt;N(AR378)),"Proposition expirée",IF(AND(D378="Proposition",N(R378)&gt;='Paramètres'!$B$25),"Proposition sans réponse",IF(AND(G378&lt;&gt;"",N(G378)&lt;TODAY()),"Relance en retard",IF(N(R378)&gt;='Paramètres'!$B$24,"Sans action depuis "&amp;R378&amp;" j",""))))))))</f>
        <v/>
      </c>
      <c r="G378" s="106">
        <f>IF(OR(C378="",D378="Gagné",D378="Perdu"),"",IF(AND(BP378&gt;0,BP378=BQ378),INDEX('Saisie'!$J$5:$J$2004,BP378-4),IF(OR(O378=0,AND(O378&gt;='Paramètres'!$B$21,P378=0)),"",Q378+IF(O378&lt;=1,'Paramètres'!$B$18,IF(O378=2,'Paramètres'!$B$19,'Paramètres'!$B$20)))))</f>
        <v/>
      </c>
      <c r="H378" s="107">
        <f>IF(OR(G378="",BP378&lt;&gt;BQ378),"",IF(INDEX('Saisie'!$K$5:$K$2004,BP378-4)="","",INDEX('Saisie'!$K$5:$K$2004,BP378-4)))</f>
        <v/>
      </c>
      <c r="I378" s="60">
        <f>IF(C378="","",IF(OR(D378="Gagné",D378="Perdu"),"",IFERROR(INDEX('Saisie'!$I$5:$I$2004,_xlfn.MAXIFS('Saisie'!$AS$5:$AS$2004,'Saisie'!$C$5:$C$2004,C378,'Saisie'!$I$5:$I$2004,"&lt;&gt;")-4),"")))</f>
        <v/>
      </c>
      <c r="J378" s="60">
        <f>IF(C378="","",IFERROR(INDEX('Saisie'!$U$5:$U$2004,_xlfn.MAXIFS('Saisie'!$AS$5:$AS$2004,'Saisie'!$C$5:$C$2004,C378,'Saisie'!$U$5:$U$2004,"&lt;&gt;")-4),""))</f>
        <v/>
      </c>
      <c r="K378" s="60">
        <f>IF(C378="","",IFERROR(INDEX('Saisie'!$W$5:$W$2004,_xlfn.MAXIFS('Saisie'!$AS$5:$AS$2004,'Saisie'!$C$5:$C$2004,C378,'Saisie'!$W$5:$W$2004,"&lt;&gt;")-4),""))</f>
        <v/>
      </c>
      <c r="L378" s="60">
        <f>IF(IF(BB378&lt;&gt;"",BB378,K378)="","",HYPERLINK("https://wa.me/"&amp;IF(LEFT(SUBSTITUTE(SUBSTITUTE(SUBSTITUTE(IF(BB378&lt;&gt;"",BB378,K378)," ",""),".",""),"+",""),1)="0",'Paramètres'!$B$35&amp;MID(SUBSTITUTE(SUBSTITUTE(SUBSTITUTE(IF(BB378&lt;&gt;"",BB378,K378)," ",""),".",""),"+",""),2,20),SUBSTITUTE(SUBSTITUTE(SUBSTITUTE(IF(BB378&lt;&gt;"",BB378,K378)," ",""),".",""),"+","")),"WhatsApp"))</f>
        <v/>
      </c>
      <c r="M378" s="60">
        <f>IF(BC378="","",HYPERLINK(IF(LEFT(BC378,4)="http",BC378,"https://www.instagram.com/"&amp;SUBSTITUTE(SUBSTITUTE(BC378,"@","")," ","")),BC378))</f>
        <v/>
      </c>
      <c r="N378" s="60">
        <f>IF(C378="","",IFERROR(INDEX('Saisie'!$D$5:$D$2004,_xlfn.MINIFS('Saisie'!$AS$5:$AS$2004,'Saisie'!$C$5:$C$2004,C378,'Saisie'!$AU$5:$AU$2004,1)-4),IFERROR(INDEX('Saisie'!$D$5:$D$2004,_xlfn.MINIFS('Saisie'!$AS$5:$AS$2004,'Saisie'!$C$5:$C$2004,C378,'Saisie'!$D$5:$D$2004,"&lt;&gt;")-4),"")))</f>
        <v/>
      </c>
      <c r="O378" s="60">
        <f>IF(C378="","",COUNTIFS('Saisie'!$C$5:$C$2004,C378,'Saisie'!$AU$5:$AU$2004,1))</f>
        <v/>
      </c>
      <c r="P378" s="60">
        <f>IF(C378="","",COUNTIFS('Saisie'!$C$5:$C$2004,C378,'Saisie'!$AV$5:$AV$2004,1))</f>
        <v/>
      </c>
      <c r="Q378" s="106">
        <f>IF(C378="","",IFERROR(1/(1/_xlfn.MAXIFS('Saisie'!$A$5:$A$2004,'Saisie'!$C$5:$C$2004,C378)),""))</f>
        <v/>
      </c>
      <c r="R378" s="61">
        <f>IF(C378="","",IF(Q378="","",TODAY()-Q378))</f>
        <v/>
      </c>
      <c r="S378" s="60">
        <f>IF(C378="","",IFERROR(INDEX('Saisie'!$R$5:$R$2004,_xlfn.MAXIFS('Saisie'!$AS$5:$AS$2004,'Saisie'!$C$5:$C$2004,C378,'Saisie'!$R$5:$R$2004,"&lt;&gt;")-4),""))</f>
        <v/>
      </c>
      <c r="T378" s="60">
        <f>IF(C378="","",IFERROR(INDEX('Saisie'!$S$5:$S$2004,_xlfn.MAXIFS('Saisie'!$AS$5:$AS$2004,'Saisie'!$C$5:$C$2004,C378,'Saisie'!$S$5:$S$2004,"&lt;&gt;")-4),""))</f>
        <v/>
      </c>
      <c r="U378" s="60">
        <f>IF(C378="","",IFERROR(INDEX('Saisie'!$T$5:$T$2004,_xlfn.MAXIFS('Saisie'!$AS$5:$AS$2004,'Saisie'!$C$5:$C$2004,C378,'Saisie'!$T$5:$T$2004,"&lt;&gt;")-4),""))</f>
        <v/>
      </c>
      <c r="V378" s="60">
        <f>IF(C378="","",IFERROR(INDEX('Saisie'!$V$5:$V$2004,_xlfn.MAXIFS('Saisie'!$AS$5:$AS$2004,'Saisie'!$C$5:$C$2004,C378,'Saisie'!$V$5:$V$2004,"&lt;&gt;")-4),""))</f>
        <v/>
      </c>
      <c r="W378" s="60">
        <f>IF(C378="","",IFERROR(INDEX('Saisie'!$Z$5:$Z$2004,_xlfn.MAXIFS('Saisie'!$AS$5:$AS$2004,'Saisie'!$C$5:$C$2004,C378,'Saisie'!$Z$5:$Z$2004,"&lt;&gt;")-4),""))</f>
        <v/>
      </c>
      <c r="X378" s="60">
        <f>IF(C378="","",IFERROR(INDEX('Saisie'!$AA$5:$AA$2004,_xlfn.MAXIFS('Saisie'!$AS$5:$AS$2004,'Saisie'!$C$5:$C$2004,C378,'Saisie'!$AA$5:$AA$2004,"&lt;&gt;")-4),""))</f>
        <v/>
      </c>
      <c r="Y378" s="60">
        <f>IF(C378="","",IFERROR(INDEX('Saisie'!$AB$5:$AB$2004,_xlfn.MAXIFS('Saisie'!$AS$5:$AS$2004,'Saisie'!$C$5:$C$2004,C378,'Saisie'!$AB$5:$AB$2004,"&lt;&gt;")-4),""))</f>
        <v/>
      </c>
      <c r="Z378" s="60">
        <f>IF(C378="","",IFERROR(INDEX('Saisie'!$AC$5:$AC$2004,_xlfn.MAXIFS('Saisie'!$AS$5:$AS$2004,'Saisie'!$C$5:$C$2004,C378,'Saisie'!$AC$5:$AC$2004,"&lt;&gt;")-4),""))</f>
        <v/>
      </c>
      <c r="AA378" s="106">
        <f>IF(C378="","",IFERROR(INDEX('Saisie'!$AD$5:$AD$2004,_xlfn.MAXIFS('Saisie'!$AS$5:$AS$2004,'Saisie'!$C$5:$C$2004,C378,'Saisie'!$AD$5:$AD$2004,"&lt;&gt;")-4),""))</f>
        <v/>
      </c>
      <c r="AB378" s="60">
        <f>IF(C378="","",IFERROR(INDEX('Saisie'!$AE$5:$AE$2004,_xlfn.MAXIFS('Saisie'!$AS$5:$AS$2004,'Saisie'!$C$5:$C$2004,C378,'Saisie'!$AE$5:$AE$2004,"&lt;&gt;")-4),""))</f>
        <v/>
      </c>
      <c r="AC378" s="60">
        <f>IF(C378="","",IFERROR(INDEX('Saisie'!$AF$5:$AF$2004,_xlfn.MAXIFS('Saisie'!$AS$5:$AS$2004,'Saisie'!$C$5:$C$2004,C378,'Saisie'!$AF$5:$AF$2004,"&lt;&gt;")-4),""))</f>
        <v/>
      </c>
      <c r="AD378" s="108">
        <f>IF(C378="","",IFERROR(INDEX('Saisie'!$AG$5:$AG$2004,_xlfn.MAXIFS('Saisie'!$AS$5:$AS$2004,'Saisie'!$C$5:$C$2004,C378,'Saisie'!$AG$5:$AG$2004,"&lt;&gt;")-4),""))</f>
        <v/>
      </c>
      <c r="AE378" s="60">
        <f>IF(C378="","",IFERROR(INDEX('Saisie'!$AH$5:$AH$2004,_xlfn.MAXIFS('Saisie'!$AS$5:$AS$2004,'Saisie'!$C$5:$C$2004,C378,'Saisie'!$AH$5:$AH$2004,"&lt;&gt;")-4),""))</f>
        <v/>
      </c>
      <c r="AF378" s="60">
        <f>IF(C378="","",IFERROR(INDEX('Saisie'!$AI$5:$AI$2004,_xlfn.MAXIFS('Saisie'!$AS$5:$AS$2004,'Saisie'!$C$5:$C$2004,C378,'Saisie'!$AI$5:$AI$2004,"&lt;&gt;")-4),""))</f>
        <v/>
      </c>
      <c r="AG378" s="60">
        <f>IF(C378="","",IFERROR(INDEX('Saisie'!$AJ$5:$AJ$2004,_xlfn.MAXIFS('Saisie'!$AS$5:$AS$2004,'Saisie'!$C$5:$C$2004,C378,'Saisie'!$AJ$5:$AJ$2004,"&lt;&gt;")-4),""))</f>
        <v/>
      </c>
      <c r="AH378" s="60">
        <f>IF(C378="","",IFERROR(INDEX('Saisie'!$AK$5:$AK$2004,_xlfn.MAXIFS('Saisie'!$AS$5:$AS$2004,'Saisie'!$C$5:$C$2004,C378,'Saisie'!$AK$5:$AK$2004,"&lt;&gt;")-4),""))</f>
        <v/>
      </c>
      <c r="AI378" s="60">
        <f>IF(C378="","",IFERROR(INDEX('Saisie'!$AN$5:$AN$2004,_xlfn.MAXIFS('Saisie'!$AS$5:$AS$2004,'Saisie'!$C$5:$C$2004,C378,'Saisie'!$AN$5:$AN$2004,"&lt;&gt;")-4),""))</f>
        <v/>
      </c>
      <c r="AJ378" s="60">
        <f>IF(C378="","",IFERROR(INDEX('Saisie'!$AO$5:$AO$2004,_xlfn.MAXIFS('Saisie'!$AS$5:$AS$2004,'Saisie'!$C$5:$C$2004,C378,'Saisie'!$AO$5:$AO$2004,"&lt;&gt;")-4),""))</f>
        <v/>
      </c>
      <c r="AK378" s="60">
        <f>IF(C378="","",IFERROR(INDEX('Saisie'!$AP$5:$AP$2004,_xlfn.MAXIFS('Saisie'!$AS$5:$AS$2004,'Saisie'!$C$5:$C$2004,C378,'Saisie'!$AP$5:$AP$2004,"&lt;&gt;")-4),""))</f>
        <v/>
      </c>
      <c r="AL378" s="60">
        <f>IF(C378="","",IFERROR(INDEX('Saisie'!$AQ$5:$AQ$2004,_xlfn.MAXIFS('Saisie'!$AS$5:$AS$2004,'Saisie'!$C$5:$C$2004,C378,'Saisie'!$AQ$5:$AQ$2004,"&lt;&gt;")-4),""))</f>
        <v/>
      </c>
      <c r="AM378" s="60">
        <f>IF(C378="","",((AI378="Oui")+(AJ378="Oui")+(AK378="Oui")+OR(AL378="Immédiat",AL378="&lt; 1 mois"))&amp;"/4")</f>
        <v/>
      </c>
      <c r="AN378" s="60">
        <f>IF(C378="","",IFERROR(INDEX('Saisie'!$AL$5:$AL$2004,_xlfn.MAXIFS('Saisie'!$AS$5:$AS$2004,'Saisie'!$C$5:$C$2004,C378,'Saisie'!$AL$5:$AL$2004,"&lt;&gt;")-4),""))</f>
        <v/>
      </c>
      <c r="AO378" s="62">
        <f>IF(C378="","",IF(IFERROR(INDEX('Saisie'!$AM$5:$AM$2004,_xlfn.MAXIFS('Saisie'!$AS$5:$AS$2004,'Saisie'!$C$5:$C$2004,C378,'Saisie'!$AM$5:$AM$2004,"&lt;&gt;")-4),"")&lt;&gt;"",IFERROR(INDEX('Saisie'!$AM$5:$AM$2004,_xlfn.MAXIFS('Saisie'!$AS$5:$AS$2004,'Saisie'!$C$5:$C$2004,C378,'Saisie'!$AM$5:$AM$2004,"&lt;&gt;")-4),""),IFERROR(INDEX('Paramètres'!$S$6:$S$15,MATCH(AN378,'Paramètres'!$Q$6:$Q$15,0)),"")))</f>
        <v/>
      </c>
      <c r="AP378" s="62">
        <f>IF(C378="","",IFERROR(INDEX('Saisie'!$AW$5:$AW$2004,_xlfn.MAXIFS('Saisie'!$AS$5:$AS$2004,'Saisie'!$C$5:$C$2004,C378,'Saisie'!$E$5:$E$2004,"Proposition envoyée")-4),""))</f>
        <v/>
      </c>
      <c r="AQ378" s="106">
        <f>IF(C378="","",IFERROR(1/(1/_xlfn.MAXIFS('Saisie'!$A$5:$A$2004,'Saisie'!$C$5:$C$2004,C378,'Saisie'!$E$5:$E$2004,"Proposition envoyée")),""))</f>
        <v/>
      </c>
      <c r="AR378" s="106">
        <f>IF(C378="","",IF(AQ378="","",AQ378+'Paramètres'!$B$26))</f>
        <v/>
      </c>
      <c r="AS378" s="62">
        <f>IF(OR(C378="",D378="Gagné",D378="Perdu"),0,N(AP378)*IFERROR(INDEX('Paramètres'!$G$6:$G$13,MATCH(D378,'Paramètres'!$F$6:$F$13,0)),0))</f>
        <v/>
      </c>
      <c r="AT378" s="106">
        <f>IF(C378="","",IFERROR(1/(1/_xlfn.MINIFS('Saisie'!$A$5:$A$2004,'Saisie'!$C$5:$C$2004,C378,'Saisie'!$E$5:$E$2004,"Signature")),""))</f>
        <v/>
      </c>
      <c r="AU378" s="60">
        <f>IF(C378="","",IF(OR(AT378="",B378=""),"",AT378-B378))</f>
        <v/>
      </c>
      <c r="AV378" s="60">
        <f>IF(C378="","",IFERROR(INDEX('Saisie'!$L$5:$L$2004,_xlfn.MAXIFS('Saisie'!$AS$5:$AS$2004,'Saisie'!$C$5:$C$2004,C378,'Saisie'!$L$5:$L$2004,"&lt;&gt;")-4),""))</f>
        <v/>
      </c>
      <c r="AW378" s="106">
        <f>IF(C378="","",IF(D378&lt;&gt;"Perdu","",IFERROR(1/(1/_xlfn.MAXIFS('Saisie'!$A$5:$A$2004,'Saisie'!$C$5:$C$2004,C378,'Saisie'!$E$5:$E$2004,"Perdu")),"")))</f>
        <v/>
      </c>
      <c r="AX378" s="106">
        <f>IF(C378="","",IF(AW378="","",AW378+'Paramètres'!$B$28))</f>
        <v/>
      </c>
      <c r="AY378" s="60">
        <f>IF(C378="","",SUMIFS('Saisie'!$H$5:$H$2004,'Saisie'!$C$5:$C$2004,C378))</f>
        <v/>
      </c>
      <c r="AZ378" s="60">
        <f>IF(C378="","",IFERROR(INDEX('Paramètres'!$W$6:$W$20,MATCH(S378,'Paramètres'!$V$6:$V$20,0))&amp;"",""))</f>
        <v/>
      </c>
      <c r="BA378" s="60">
        <f>IF(C378="","",MAX(1,_xlfn.MAXIFS('Saisie'!$AT$5:$AT$2004,'Saisie'!$C$5:$C$2004,C378)))</f>
        <v/>
      </c>
      <c r="BB378" s="60">
        <f>IF(C378="","",IFERROR(INDEX('Saisie'!$X$5:$X$2004,_xlfn.MAXIFS('Saisie'!$AS$5:$AS$2004,'Saisie'!$C$5:$C$2004,C378,'Saisie'!$X$5:$X$2004,"&lt;&gt;")-4),""))</f>
        <v/>
      </c>
      <c r="BC378" s="60">
        <f>IF(C378="","",IFERROR(INDEX('Saisie'!$Y$5:$Y$2004,_xlfn.MAXIFS('Saisie'!$AS$5:$AS$2004,'Saisie'!$C$5:$C$2004,C378,'Saisie'!$Y$5:$Y$2004,"&lt;&gt;")-4),""))</f>
        <v/>
      </c>
      <c r="BD378" s="106">
        <f>IF(C378="","",IFERROR(1/(1/_xlfn.MINIFS('Saisie'!$A$5:$A$2004,'Saisie'!$C$5:$C$2004,C378,'Saisie'!$AT$5:$AT$2004,"&gt;=2")),""))</f>
        <v/>
      </c>
      <c r="BE378" s="106">
        <f>IF(C378="","",IFERROR(1/(1/_xlfn.MINIFS('Saisie'!$A$5:$A$2004,'Saisie'!$C$5:$C$2004,C378,'Saisie'!$AT$5:$AT$2004,"&gt;=3")),""))</f>
        <v/>
      </c>
      <c r="BF378" s="106">
        <f>IF(C378="","",IFERROR(1/(1/_xlfn.MINIFS('Saisie'!$A$5:$A$2004,'Saisie'!$C$5:$C$2004,C378,'Saisie'!$AT$5:$AT$2004,"&gt;=4")),""))</f>
        <v/>
      </c>
      <c r="BG378" s="106">
        <f>IF(C378="","",IFERROR(1/(1/_xlfn.MINIFS('Saisie'!$A$5:$A$2004,'Saisie'!$C$5:$C$2004,C378,'Saisie'!$AT$5:$AT$2004,"&gt;=5")),""))</f>
        <v/>
      </c>
      <c r="BH378" s="106">
        <f>IF(C378="","",IFERROR(1/(1/_xlfn.MINIFS('Saisie'!$A$5:$A$2004,'Saisie'!$C$5:$C$2004,C378,'Saisie'!$AT$5:$AT$2004,"&gt;=6")),""))</f>
        <v/>
      </c>
      <c r="BI378" s="106">
        <f>IF(C378="","",IFERROR(1/(1/_xlfn.MINIFS('Saisie'!$A$5:$A$2004,'Saisie'!$C$5:$C$2004,C378,'Saisie'!$AT$5:$AT$2004,"&gt;=7")),""))</f>
        <v/>
      </c>
      <c r="BJ378" s="60">
        <f>IF(OR(BD378="",B378=""),"",BD378-B378)</f>
        <v/>
      </c>
      <c r="BK378" s="60">
        <f>IF(OR(BE378="",BD378=""),"",BE378-BD378)</f>
        <v/>
      </c>
      <c r="BL378" s="60">
        <f>IF(OR(BF378="",BE378=""),"",BF378-BE378)</f>
        <v/>
      </c>
      <c r="BM378" s="60">
        <f>IF(OR(BG378="",BF378=""),"",BG378-BF378)</f>
        <v/>
      </c>
      <c r="BN378" s="60">
        <f>IF(OR(BH378="",BG378=""),"",BH378-BG378)</f>
        <v/>
      </c>
      <c r="BO378" s="60">
        <f>IF(OR(BI378="",BH378=""),"",BI378-BH378)</f>
        <v/>
      </c>
      <c r="BP378" s="60">
        <f>IF(C378="","",_xlfn.MAXIFS('Saisie'!$AS$5:$AS$2004,'Saisie'!$C$5:$C$2004,C378,'Saisie'!$J$5:$J$2004,"&lt;&gt;"))</f>
        <v/>
      </c>
      <c r="BQ378" s="60">
        <f>IF(C378="","",_xlfn.MAXIFS('Saisie'!$AS$5:$AS$2004,'Saisie'!$C$5:$C$2004,C378))</f>
        <v/>
      </c>
      <c r="BR378" s="60">
        <f>IF(C378="","",_xlfn.MAXIFS('Saisie'!$AS$5:$AS$2004,'Saisie'!$C$5:$C$2004,C378,'Saisie'!$E$5:$E$2004,"Perdu"))</f>
        <v/>
      </c>
      <c r="BS378" s="60">
        <f>IF(C378="","",_xlfn.MAXIFS('Saisie'!$AS$5:$AS$2004,'Saisie'!$C$5:$C$2004,C378,'Saisie'!$AT$5:$AT$2004,"&gt;0"))</f>
        <v/>
      </c>
      <c r="BT378" s="109">
        <f>IF(AND(C378&lt;&gt;"",OR(D378="Nouveau",D378="Contacté",D378="Qualifié"),OR(G378="",N(G378)&lt;=TODAY()),NOT(AND(O378&gt;='Paramètres'!$B$21,P378=0))),E378+374/10000,"")</f>
        <v/>
      </c>
      <c r="BU378" s="60">
        <f>IF(AND(G378&lt;&gt;"",N(G378)&lt;=TODAY()),MAX($BU$4:BU377)+1,"")</f>
        <v/>
      </c>
      <c r="BV378" s="60">
        <f>IF(AND(F378&lt;&gt;"",F378&lt;&gt;"Relance en retard"),MAX($BV$4:BV377)+1,"")</f>
        <v/>
      </c>
      <c r="BW378" s="60">
        <f>IF(C378="","",IF(AND(B378&gt;='Tableau de bord'!$R$4,B378&lt;='Tableau de bord'!$S$4,OR('Tableau de bord'!$G$4="Tous",N378='Tableau de bord'!$G$4)),1,0))</f>
        <v/>
      </c>
      <c r="BX378" s="60">
        <f>IF(AND(C378&lt;&gt;"",N(BA378)=7),MAX($BX$4:BX377)+1,"")</f>
        <v/>
      </c>
    </row>
    <row r="379">
      <c r="A379" s="60">
        <f>IF(C379="","","P-"&amp;TEXT(375,"000"))</f>
        <v/>
      </c>
      <c r="B379" s="106">
        <f>IF(C379="","",IFERROR(1/(1/_xlfn.MINIFS('Saisie'!$A$5:$A$2004,'Saisie'!$C$5:$C$2004,C379)),""))</f>
        <v/>
      </c>
      <c r="C379" s="60">
        <f>IFERROR(INDEX('Saisie'!$C$5:$C$2004,MATCH(375,'Saisie'!$AX$5:$AX$2004,0)),"")</f>
        <v/>
      </c>
      <c r="D379" s="60">
        <f>IF(C379="","",IF(AND(BR379&gt;0,BR379&gt;BS379,BA379&lt;7),"Perdu",INDEX('Paramètres'!$F$6:$F$13,BA379)))</f>
        <v/>
      </c>
      <c r="E379" s="61">
        <f>IF(C379="","",MIN(100,(Z379="Oui")*'Paramètres'!$B$38+(AB379="Régulière")*'Paramètres'!$B$39+IF(AND(N(AA379)&gt;0,TODAY()-N(AA379)&lt;=30),'Paramètres'!$B$40,0)+(W379="")*'Paramètres'!$B$41+(AC379="Absente")*'Paramètres'!$B$42+(AC379="Faible")*'Paramètres'!$B$43+IF(AND(N(AD379)&gt;0,N(AD379)&lt;4),'Paramètres'!$B$44,0)+(AF379="Moyenne")*'Paramètres'!$B$45+(AF379="Grande")*'Paramètres'!$B$46+(Y379&lt;&gt;"")*'Paramètres'!$B$47))</f>
        <v/>
      </c>
      <c r="F379" s="60">
        <f>IF(C379="","",IF(D379="Gagné","",IF(D379="Perdu",IF(AND(AX379&lt;&gt;"",AX379&lt;=TODAY()),"À recontacter (perdu)",""),IF(AND(O379&gt;='Paramètres'!$B$21,P379=0),"Stop : "&amp;'Paramètres'!$B$21&amp;" tentatives sans réponse",IF(AND(D379="Proposition",AR379&lt;&gt;"",TODAY()&gt;N(AR379)),"Proposition expirée",IF(AND(D379="Proposition",N(R379)&gt;='Paramètres'!$B$25),"Proposition sans réponse",IF(AND(G379&lt;&gt;"",N(G379)&lt;TODAY()),"Relance en retard",IF(N(R379)&gt;='Paramètres'!$B$24,"Sans action depuis "&amp;R379&amp;" j",""))))))))</f>
        <v/>
      </c>
      <c r="G379" s="106">
        <f>IF(OR(C379="",D379="Gagné",D379="Perdu"),"",IF(AND(BP379&gt;0,BP379=BQ379),INDEX('Saisie'!$J$5:$J$2004,BP379-4),IF(OR(O379=0,AND(O379&gt;='Paramètres'!$B$21,P379=0)),"",Q379+IF(O379&lt;=1,'Paramètres'!$B$18,IF(O379=2,'Paramètres'!$B$19,'Paramètres'!$B$20)))))</f>
        <v/>
      </c>
      <c r="H379" s="107">
        <f>IF(OR(G379="",BP379&lt;&gt;BQ379),"",IF(INDEX('Saisie'!$K$5:$K$2004,BP379-4)="","",INDEX('Saisie'!$K$5:$K$2004,BP379-4)))</f>
        <v/>
      </c>
      <c r="I379" s="60">
        <f>IF(C379="","",IF(OR(D379="Gagné",D379="Perdu"),"",IFERROR(INDEX('Saisie'!$I$5:$I$2004,_xlfn.MAXIFS('Saisie'!$AS$5:$AS$2004,'Saisie'!$C$5:$C$2004,C379,'Saisie'!$I$5:$I$2004,"&lt;&gt;")-4),"")))</f>
        <v/>
      </c>
      <c r="J379" s="60">
        <f>IF(C379="","",IFERROR(INDEX('Saisie'!$U$5:$U$2004,_xlfn.MAXIFS('Saisie'!$AS$5:$AS$2004,'Saisie'!$C$5:$C$2004,C379,'Saisie'!$U$5:$U$2004,"&lt;&gt;")-4),""))</f>
        <v/>
      </c>
      <c r="K379" s="60">
        <f>IF(C379="","",IFERROR(INDEX('Saisie'!$W$5:$W$2004,_xlfn.MAXIFS('Saisie'!$AS$5:$AS$2004,'Saisie'!$C$5:$C$2004,C379,'Saisie'!$W$5:$W$2004,"&lt;&gt;")-4),""))</f>
        <v/>
      </c>
      <c r="L379" s="60">
        <f>IF(IF(BB379&lt;&gt;"",BB379,K379)="","",HYPERLINK("https://wa.me/"&amp;IF(LEFT(SUBSTITUTE(SUBSTITUTE(SUBSTITUTE(IF(BB379&lt;&gt;"",BB379,K379)," ",""),".",""),"+",""),1)="0",'Paramètres'!$B$35&amp;MID(SUBSTITUTE(SUBSTITUTE(SUBSTITUTE(IF(BB379&lt;&gt;"",BB379,K379)," ",""),".",""),"+",""),2,20),SUBSTITUTE(SUBSTITUTE(SUBSTITUTE(IF(BB379&lt;&gt;"",BB379,K379)," ",""),".",""),"+","")),"WhatsApp"))</f>
        <v/>
      </c>
      <c r="M379" s="60">
        <f>IF(BC379="","",HYPERLINK(IF(LEFT(BC379,4)="http",BC379,"https://www.instagram.com/"&amp;SUBSTITUTE(SUBSTITUTE(BC379,"@","")," ","")),BC379))</f>
        <v/>
      </c>
      <c r="N379" s="60">
        <f>IF(C379="","",IFERROR(INDEX('Saisie'!$D$5:$D$2004,_xlfn.MINIFS('Saisie'!$AS$5:$AS$2004,'Saisie'!$C$5:$C$2004,C379,'Saisie'!$AU$5:$AU$2004,1)-4),IFERROR(INDEX('Saisie'!$D$5:$D$2004,_xlfn.MINIFS('Saisie'!$AS$5:$AS$2004,'Saisie'!$C$5:$C$2004,C379,'Saisie'!$D$5:$D$2004,"&lt;&gt;")-4),"")))</f>
        <v/>
      </c>
      <c r="O379" s="60">
        <f>IF(C379="","",COUNTIFS('Saisie'!$C$5:$C$2004,C379,'Saisie'!$AU$5:$AU$2004,1))</f>
        <v/>
      </c>
      <c r="P379" s="60">
        <f>IF(C379="","",COUNTIFS('Saisie'!$C$5:$C$2004,C379,'Saisie'!$AV$5:$AV$2004,1))</f>
        <v/>
      </c>
      <c r="Q379" s="106">
        <f>IF(C379="","",IFERROR(1/(1/_xlfn.MAXIFS('Saisie'!$A$5:$A$2004,'Saisie'!$C$5:$C$2004,C379)),""))</f>
        <v/>
      </c>
      <c r="R379" s="61">
        <f>IF(C379="","",IF(Q379="","",TODAY()-Q379))</f>
        <v/>
      </c>
      <c r="S379" s="60">
        <f>IF(C379="","",IFERROR(INDEX('Saisie'!$R$5:$R$2004,_xlfn.MAXIFS('Saisie'!$AS$5:$AS$2004,'Saisie'!$C$5:$C$2004,C379,'Saisie'!$R$5:$R$2004,"&lt;&gt;")-4),""))</f>
        <v/>
      </c>
      <c r="T379" s="60">
        <f>IF(C379="","",IFERROR(INDEX('Saisie'!$S$5:$S$2004,_xlfn.MAXIFS('Saisie'!$AS$5:$AS$2004,'Saisie'!$C$5:$C$2004,C379,'Saisie'!$S$5:$S$2004,"&lt;&gt;")-4),""))</f>
        <v/>
      </c>
      <c r="U379" s="60">
        <f>IF(C379="","",IFERROR(INDEX('Saisie'!$T$5:$T$2004,_xlfn.MAXIFS('Saisie'!$AS$5:$AS$2004,'Saisie'!$C$5:$C$2004,C379,'Saisie'!$T$5:$T$2004,"&lt;&gt;")-4),""))</f>
        <v/>
      </c>
      <c r="V379" s="60">
        <f>IF(C379="","",IFERROR(INDEX('Saisie'!$V$5:$V$2004,_xlfn.MAXIFS('Saisie'!$AS$5:$AS$2004,'Saisie'!$C$5:$C$2004,C379,'Saisie'!$V$5:$V$2004,"&lt;&gt;")-4),""))</f>
        <v/>
      </c>
      <c r="W379" s="60">
        <f>IF(C379="","",IFERROR(INDEX('Saisie'!$Z$5:$Z$2004,_xlfn.MAXIFS('Saisie'!$AS$5:$AS$2004,'Saisie'!$C$5:$C$2004,C379,'Saisie'!$Z$5:$Z$2004,"&lt;&gt;")-4),""))</f>
        <v/>
      </c>
      <c r="X379" s="60">
        <f>IF(C379="","",IFERROR(INDEX('Saisie'!$AA$5:$AA$2004,_xlfn.MAXIFS('Saisie'!$AS$5:$AS$2004,'Saisie'!$C$5:$C$2004,C379,'Saisie'!$AA$5:$AA$2004,"&lt;&gt;")-4),""))</f>
        <v/>
      </c>
      <c r="Y379" s="60">
        <f>IF(C379="","",IFERROR(INDEX('Saisie'!$AB$5:$AB$2004,_xlfn.MAXIFS('Saisie'!$AS$5:$AS$2004,'Saisie'!$C$5:$C$2004,C379,'Saisie'!$AB$5:$AB$2004,"&lt;&gt;")-4),""))</f>
        <v/>
      </c>
      <c r="Z379" s="60">
        <f>IF(C379="","",IFERROR(INDEX('Saisie'!$AC$5:$AC$2004,_xlfn.MAXIFS('Saisie'!$AS$5:$AS$2004,'Saisie'!$C$5:$C$2004,C379,'Saisie'!$AC$5:$AC$2004,"&lt;&gt;")-4),""))</f>
        <v/>
      </c>
      <c r="AA379" s="106">
        <f>IF(C379="","",IFERROR(INDEX('Saisie'!$AD$5:$AD$2004,_xlfn.MAXIFS('Saisie'!$AS$5:$AS$2004,'Saisie'!$C$5:$C$2004,C379,'Saisie'!$AD$5:$AD$2004,"&lt;&gt;")-4),""))</f>
        <v/>
      </c>
      <c r="AB379" s="60">
        <f>IF(C379="","",IFERROR(INDEX('Saisie'!$AE$5:$AE$2004,_xlfn.MAXIFS('Saisie'!$AS$5:$AS$2004,'Saisie'!$C$5:$C$2004,C379,'Saisie'!$AE$5:$AE$2004,"&lt;&gt;")-4),""))</f>
        <v/>
      </c>
      <c r="AC379" s="60">
        <f>IF(C379="","",IFERROR(INDEX('Saisie'!$AF$5:$AF$2004,_xlfn.MAXIFS('Saisie'!$AS$5:$AS$2004,'Saisie'!$C$5:$C$2004,C379,'Saisie'!$AF$5:$AF$2004,"&lt;&gt;")-4),""))</f>
        <v/>
      </c>
      <c r="AD379" s="108">
        <f>IF(C379="","",IFERROR(INDEX('Saisie'!$AG$5:$AG$2004,_xlfn.MAXIFS('Saisie'!$AS$5:$AS$2004,'Saisie'!$C$5:$C$2004,C379,'Saisie'!$AG$5:$AG$2004,"&lt;&gt;")-4),""))</f>
        <v/>
      </c>
      <c r="AE379" s="60">
        <f>IF(C379="","",IFERROR(INDEX('Saisie'!$AH$5:$AH$2004,_xlfn.MAXIFS('Saisie'!$AS$5:$AS$2004,'Saisie'!$C$5:$C$2004,C379,'Saisie'!$AH$5:$AH$2004,"&lt;&gt;")-4),""))</f>
        <v/>
      </c>
      <c r="AF379" s="60">
        <f>IF(C379="","",IFERROR(INDEX('Saisie'!$AI$5:$AI$2004,_xlfn.MAXIFS('Saisie'!$AS$5:$AS$2004,'Saisie'!$C$5:$C$2004,C379,'Saisie'!$AI$5:$AI$2004,"&lt;&gt;")-4),""))</f>
        <v/>
      </c>
      <c r="AG379" s="60">
        <f>IF(C379="","",IFERROR(INDEX('Saisie'!$AJ$5:$AJ$2004,_xlfn.MAXIFS('Saisie'!$AS$5:$AS$2004,'Saisie'!$C$5:$C$2004,C379,'Saisie'!$AJ$5:$AJ$2004,"&lt;&gt;")-4),""))</f>
        <v/>
      </c>
      <c r="AH379" s="60">
        <f>IF(C379="","",IFERROR(INDEX('Saisie'!$AK$5:$AK$2004,_xlfn.MAXIFS('Saisie'!$AS$5:$AS$2004,'Saisie'!$C$5:$C$2004,C379,'Saisie'!$AK$5:$AK$2004,"&lt;&gt;")-4),""))</f>
        <v/>
      </c>
      <c r="AI379" s="60">
        <f>IF(C379="","",IFERROR(INDEX('Saisie'!$AN$5:$AN$2004,_xlfn.MAXIFS('Saisie'!$AS$5:$AS$2004,'Saisie'!$C$5:$C$2004,C379,'Saisie'!$AN$5:$AN$2004,"&lt;&gt;")-4),""))</f>
        <v/>
      </c>
      <c r="AJ379" s="60">
        <f>IF(C379="","",IFERROR(INDEX('Saisie'!$AO$5:$AO$2004,_xlfn.MAXIFS('Saisie'!$AS$5:$AS$2004,'Saisie'!$C$5:$C$2004,C379,'Saisie'!$AO$5:$AO$2004,"&lt;&gt;")-4),""))</f>
        <v/>
      </c>
      <c r="AK379" s="60">
        <f>IF(C379="","",IFERROR(INDEX('Saisie'!$AP$5:$AP$2004,_xlfn.MAXIFS('Saisie'!$AS$5:$AS$2004,'Saisie'!$C$5:$C$2004,C379,'Saisie'!$AP$5:$AP$2004,"&lt;&gt;")-4),""))</f>
        <v/>
      </c>
      <c r="AL379" s="60">
        <f>IF(C379="","",IFERROR(INDEX('Saisie'!$AQ$5:$AQ$2004,_xlfn.MAXIFS('Saisie'!$AS$5:$AS$2004,'Saisie'!$C$5:$C$2004,C379,'Saisie'!$AQ$5:$AQ$2004,"&lt;&gt;")-4),""))</f>
        <v/>
      </c>
      <c r="AM379" s="60">
        <f>IF(C379="","",((AI379="Oui")+(AJ379="Oui")+(AK379="Oui")+OR(AL379="Immédiat",AL379="&lt; 1 mois"))&amp;"/4")</f>
        <v/>
      </c>
      <c r="AN379" s="60">
        <f>IF(C379="","",IFERROR(INDEX('Saisie'!$AL$5:$AL$2004,_xlfn.MAXIFS('Saisie'!$AS$5:$AS$2004,'Saisie'!$C$5:$C$2004,C379,'Saisie'!$AL$5:$AL$2004,"&lt;&gt;")-4),""))</f>
        <v/>
      </c>
      <c r="AO379" s="62">
        <f>IF(C379="","",IF(IFERROR(INDEX('Saisie'!$AM$5:$AM$2004,_xlfn.MAXIFS('Saisie'!$AS$5:$AS$2004,'Saisie'!$C$5:$C$2004,C379,'Saisie'!$AM$5:$AM$2004,"&lt;&gt;")-4),"")&lt;&gt;"",IFERROR(INDEX('Saisie'!$AM$5:$AM$2004,_xlfn.MAXIFS('Saisie'!$AS$5:$AS$2004,'Saisie'!$C$5:$C$2004,C379,'Saisie'!$AM$5:$AM$2004,"&lt;&gt;")-4),""),IFERROR(INDEX('Paramètres'!$S$6:$S$15,MATCH(AN379,'Paramètres'!$Q$6:$Q$15,0)),"")))</f>
        <v/>
      </c>
      <c r="AP379" s="62">
        <f>IF(C379="","",IFERROR(INDEX('Saisie'!$AW$5:$AW$2004,_xlfn.MAXIFS('Saisie'!$AS$5:$AS$2004,'Saisie'!$C$5:$C$2004,C379,'Saisie'!$E$5:$E$2004,"Proposition envoyée")-4),""))</f>
        <v/>
      </c>
      <c r="AQ379" s="106">
        <f>IF(C379="","",IFERROR(1/(1/_xlfn.MAXIFS('Saisie'!$A$5:$A$2004,'Saisie'!$C$5:$C$2004,C379,'Saisie'!$E$5:$E$2004,"Proposition envoyée")),""))</f>
        <v/>
      </c>
      <c r="AR379" s="106">
        <f>IF(C379="","",IF(AQ379="","",AQ379+'Paramètres'!$B$26))</f>
        <v/>
      </c>
      <c r="AS379" s="62">
        <f>IF(OR(C379="",D379="Gagné",D379="Perdu"),0,N(AP379)*IFERROR(INDEX('Paramètres'!$G$6:$G$13,MATCH(D379,'Paramètres'!$F$6:$F$13,0)),0))</f>
        <v/>
      </c>
      <c r="AT379" s="106">
        <f>IF(C379="","",IFERROR(1/(1/_xlfn.MINIFS('Saisie'!$A$5:$A$2004,'Saisie'!$C$5:$C$2004,C379,'Saisie'!$E$5:$E$2004,"Signature")),""))</f>
        <v/>
      </c>
      <c r="AU379" s="60">
        <f>IF(C379="","",IF(OR(AT379="",B379=""),"",AT379-B379))</f>
        <v/>
      </c>
      <c r="AV379" s="60">
        <f>IF(C379="","",IFERROR(INDEX('Saisie'!$L$5:$L$2004,_xlfn.MAXIFS('Saisie'!$AS$5:$AS$2004,'Saisie'!$C$5:$C$2004,C379,'Saisie'!$L$5:$L$2004,"&lt;&gt;")-4),""))</f>
        <v/>
      </c>
      <c r="AW379" s="106">
        <f>IF(C379="","",IF(D379&lt;&gt;"Perdu","",IFERROR(1/(1/_xlfn.MAXIFS('Saisie'!$A$5:$A$2004,'Saisie'!$C$5:$C$2004,C379,'Saisie'!$E$5:$E$2004,"Perdu")),"")))</f>
        <v/>
      </c>
      <c r="AX379" s="106">
        <f>IF(C379="","",IF(AW379="","",AW379+'Paramètres'!$B$28))</f>
        <v/>
      </c>
      <c r="AY379" s="60">
        <f>IF(C379="","",SUMIFS('Saisie'!$H$5:$H$2004,'Saisie'!$C$5:$C$2004,C379))</f>
        <v/>
      </c>
      <c r="AZ379" s="60">
        <f>IF(C379="","",IFERROR(INDEX('Paramètres'!$W$6:$W$20,MATCH(S379,'Paramètres'!$V$6:$V$20,0))&amp;"",""))</f>
        <v/>
      </c>
      <c r="BA379" s="60">
        <f>IF(C379="","",MAX(1,_xlfn.MAXIFS('Saisie'!$AT$5:$AT$2004,'Saisie'!$C$5:$C$2004,C379)))</f>
        <v/>
      </c>
      <c r="BB379" s="60">
        <f>IF(C379="","",IFERROR(INDEX('Saisie'!$X$5:$X$2004,_xlfn.MAXIFS('Saisie'!$AS$5:$AS$2004,'Saisie'!$C$5:$C$2004,C379,'Saisie'!$X$5:$X$2004,"&lt;&gt;")-4),""))</f>
        <v/>
      </c>
      <c r="BC379" s="60">
        <f>IF(C379="","",IFERROR(INDEX('Saisie'!$Y$5:$Y$2004,_xlfn.MAXIFS('Saisie'!$AS$5:$AS$2004,'Saisie'!$C$5:$C$2004,C379,'Saisie'!$Y$5:$Y$2004,"&lt;&gt;")-4),""))</f>
        <v/>
      </c>
      <c r="BD379" s="106">
        <f>IF(C379="","",IFERROR(1/(1/_xlfn.MINIFS('Saisie'!$A$5:$A$2004,'Saisie'!$C$5:$C$2004,C379,'Saisie'!$AT$5:$AT$2004,"&gt;=2")),""))</f>
        <v/>
      </c>
      <c r="BE379" s="106">
        <f>IF(C379="","",IFERROR(1/(1/_xlfn.MINIFS('Saisie'!$A$5:$A$2004,'Saisie'!$C$5:$C$2004,C379,'Saisie'!$AT$5:$AT$2004,"&gt;=3")),""))</f>
        <v/>
      </c>
      <c r="BF379" s="106">
        <f>IF(C379="","",IFERROR(1/(1/_xlfn.MINIFS('Saisie'!$A$5:$A$2004,'Saisie'!$C$5:$C$2004,C379,'Saisie'!$AT$5:$AT$2004,"&gt;=4")),""))</f>
        <v/>
      </c>
      <c r="BG379" s="106">
        <f>IF(C379="","",IFERROR(1/(1/_xlfn.MINIFS('Saisie'!$A$5:$A$2004,'Saisie'!$C$5:$C$2004,C379,'Saisie'!$AT$5:$AT$2004,"&gt;=5")),""))</f>
        <v/>
      </c>
      <c r="BH379" s="106">
        <f>IF(C379="","",IFERROR(1/(1/_xlfn.MINIFS('Saisie'!$A$5:$A$2004,'Saisie'!$C$5:$C$2004,C379,'Saisie'!$AT$5:$AT$2004,"&gt;=6")),""))</f>
        <v/>
      </c>
      <c r="BI379" s="106">
        <f>IF(C379="","",IFERROR(1/(1/_xlfn.MINIFS('Saisie'!$A$5:$A$2004,'Saisie'!$C$5:$C$2004,C379,'Saisie'!$AT$5:$AT$2004,"&gt;=7")),""))</f>
        <v/>
      </c>
      <c r="BJ379" s="60">
        <f>IF(OR(BD379="",B379=""),"",BD379-B379)</f>
        <v/>
      </c>
      <c r="BK379" s="60">
        <f>IF(OR(BE379="",BD379=""),"",BE379-BD379)</f>
        <v/>
      </c>
      <c r="BL379" s="60">
        <f>IF(OR(BF379="",BE379=""),"",BF379-BE379)</f>
        <v/>
      </c>
      <c r="BM379" s="60">
        <f>IF(OR(BG379="",BF379=""),"",BG379-BF379)</f>
        <v/>
      </c>
      <c r="BN379" s="60">
        <f>IF(OR(BH379="",BG379=""),"",BH379-BG379)</f>
        <v/>
      </c>
      <c r="BO379" s="60">
        <f>IF(OR(BI379="",BH379=""),"",BI379-BH379)</f>
        <v/>
      </c>
      <c r="BP379" s="60">
        <f>IF(C379="","",_xlfn.MAXIFS('Saisie'!$AS$5:$AS$2004,'Saisie'!$C$5:$C$2004,C379,'Saisie'!$J$5:$J$2004,"&lt;&gt;"))</f>
        <v/>
      </c>
      <c r="BQ379" s="60">
        <f>IF(C379="","",_xlfn.MAXIFS('Saisie'!$AS$5:$AS$2004,'Saisie'!$C$5:$C$2004,C379))</f>
        <v/>
      </c>
      <c r="BR379" s="60">
        <f>IF(C379="","",_xlfn.MAXIFS('Saisie'!$AS$5:$AS$2004,'Saisie'!$C$5:$C$2004,C379,'Saisie'!$E$5:$E$2004,"Perdu"))</f>
        <v/>
      </c>
      <c r="BS379" s="60">
        <f>IF(C379="","",_xlfn.MAXIFS('Saisie'!$AS$5:$AS$2004,'Saisie'!$C$5:$C$2004,C379,'Saisie'!$AT$5:$AT$2004,"&gt;0"))</f>
        <v/>
      </c>
      <c r="BT379" s="109">
        <f>IF(AND(C379&lt;&gt;"",OR(D379="Nouveau",D379="Contacté",D379="Qualifié"),OR(G379="",N(G379)&lt;=TODAY()),NOT(AND(O379&gt;='Paramètres'!$B$21,P379=0))),E379+375/10000,"")</f>
        <v/>
      </c>
      <c r="BU379" s="60">
        <f>IF(AND(G379&lt;&gt;"",N(G379)&lt;=TODAY()),MAX($BU$4:BU378)+1,"")</f>
        <v/>
      </c>
      <c r="BV379" s="60">
        <f>IF(AND(F379&lt;&gt;"",F379&lt;&gt;"Relance en retard"),MAX($BV$4:BV378)+1,"")</f>
        <v/>
      </c>
      <c r="BW379" s="60">
        <f>IF(C379="","",IF(AND(B379&gt;='Tableau de bord'!$R$4,B379&lt;='Tableau de bord'!$S$4,OR('Tableau de bord'!$G$4="Tous",N379='Tableau de bord'!$G$4)),1,0))</f>
        <v/>
      </c>
      <c r="BX379" s="60">
        <f>IF(AND(C379&lt;&gt;"",N(BA379)=7),MAX($BX$4:BX378)+1,"")</f>
        <v/>
      </c>
    </row>
    <row r="380">
      <c r="A380" s="60">
        <f>IF(C380="","","P-"&amp;TEXT(376,"000"))</f>
        <v/>
      </c>
      <c r="B380" s="106">
        <f>IF(C380="","",IFERROR(1/(1/_xlfn.MINIFS('Saisie'!$A$5:$A$2004,'Saisie'!$C$5:$C$2004,C380)),""))</f>
        <v/>
      </c>
      <c r="C380" s="60">
        <f>IFERROR(INDEX('Saisie'!$C$5:$C$2004,MATCH(376,'Saisie'!$AX$5:$AX$2004,0)),"")</f>
        <v/>
      </c>
      <c r="D380" s="60">
        <f>IF(C380="","",IF(AND(BR380&gt;0,BR380&gt;BS380,BA380&lt;7),"Perdu",INDEX('Paramètres'!$F$6:$F$13,BA380)))</f>
        <v/>
      </c>
      <c r="E380" s="61">
        <f>IF(C380="","",MIN(100,(Z380="Oui")*'Paramètres'!$B$38+(AB380="Régulière")*'Paramètres'!$B$39+IF(AND(N(AA380)&gt;0,TODAY()-N(AA380)&lt;=30),'Paramètres'!$B$40,0)+(W380="")*'Paramètres'!$B$41+(AC380="Absente")*'Paramètres'!$B$42+(AC380="Faible")*'Paramètres'!$B$43+IF(AND(N(AD380)&gt;0,N(AD380)&lt;4),'Paramètres'!$B$44,0)+(AF380="Moyenne")*'Paramètres'!$B$45+(AF380="Grande")*'Paramètres'!$B$46+(Y380&lt;&gt;"")*'Paramètres'!$B$47))</f>
        <v/>
      </c>
      <c r="F380" s="60">
        <f>IF(C380="","",IF(D380="Gagné","",IF(D380="Perdu",IF(AND(AX380&lt;&gt;"",AX380&lt;=TODAY()),"À recontacter (perdu)",""),IF(AND(O380&gt;='Paramètres'!$B$21,P380=0),"Stop : "&amp;'Paramètres'!$B$21&amp;" tentatives sans réponse",IF(AND(D380="Proposition",AR380&lt;&gt;"",TODAY()&gt;N(AR380)),"Proposition expirée",IF(AND(D380="Proposition",N(R380)&gt;='Paramètres'!$B$25),"Proposition sans réponse",IF(AND(G380&lt;&gt;"",N(G380)&lt;TODAY()),"Relance en retard",IF(N(R380)&gt;='Paramètres'!$B$24,"Sans action depuis "&amp;R380&amp;" j",""))))))))</f>
        <v/>
      </c>
      <c r="G380" s="106">
        <f>IF(OR(C380="",D380="Gagné",D380="Perdu"),"",IF(AND(BP380&gt;0,BP380=BQ380),INDEX('Saisie'!$J$5:$J$2004,BP380-4),IF(OR(O380=0,AND(O380&gt;='Paramètres'!$B$21,P380=0)),"",Q380+IF(O380&lt;=1,'Paramètres'!$B$18,IF(O380=2,'Paramètres'!$B$19,'Paramètres'!$B$20)))))</f>
        <v/>
      </c>
      <c r="H380" s="107">
        <f>IF(OR(G380="",BP380&lt;&gt;BQ380),"",IF(INDEX('Saisie'!$K$5:$K$2004,BP380-4)="","",INDEX('Saisie'!$K$5:$K$2004,BP380-4)))</f>
        <v/>
      </c>
      <c r="I380" s="60">
        <f>IF(C380="","",IF(OR(D380="Gagné",D380="Perdu"),"",IFERROR(INDEX('Saisie'!$I$5:$I$2004,_xlfn.MAXIFS('Saisie'!$AS$5:$AS$2004,'Saisie'!$C$5:$C$2004,C380,'Saisie'!$I$5:$I$2004,"&lt;&gt;")-4),"")))</f>
        <v/>
      </c>
      <c r="J380" s="60">
        <f>IF(C380="","",IFERROR(INDEX('Saisie'!$U$5:$U$2004,_xlfn.MAXIFS('Saisie'!$AS$5:$AS$2004,'Saisie'!$C$5:$C$2004,C380,'Saisie'!$U$5:$U$2004,"&lt;&gt;")-4),""))</f>
        <v/>
      </c>
      <c r="K380" s="60">
        <f>IF(C380="","",IFERROR(INDEX('Saisie'!$W$5:$W$2004,_xlfn.MAXIFS('Saisie'!$AS$5:$AS$2004,'Saisie'!$C$5:$C$2004,C380,'Saisie'!$W$5:$W$2004,"&lt;&gt;")-4),""))</f>
        <v/>
      </c>
      <c r="L380" s="60">
        <f>IF(IF(BB380&lt;&gt;"",BB380,K380)="","",HYPERLINK("https://wa.me/"&amp;IF(LEFT(SUBSTITUTE(SUBSTITUTE(SUBSTITUTE(IF(BB380&lt;&gt;"",BB380,K380)," ",""),".",""),"+",""),1)="0",'Paramètres'!$B$35&amp;MID(SUBSTITUTE(SUBSTITUTE(SUBSTITUTE(IF(BB380&lt;&gt;"",BB380,K380)," ",""),".",""),"+",""),2,20),SUBSTITUTE(SUBSTITUTE(SUBSTITUTE(IF(BB380&lt;&gt;"",BB380,K380)," ",""),".",""),"+","")),"WhatsApp"))</f>
        <v/>
      </c>
      <c r="M380" s="60">
        <f>IF(BC380="","",HYPERLINK(IF(LEFT(BC380,4)="http",BC380,"https://www.instagram.com/"&amp;SUBSTITUTE(SUBSTITUTE(BC380,"@","")," ","")),BC380))</f>
        <v/>
      </c>
      <c r="N380" s="60">
        <f>IF(C380="","",IFERROR(INDEX('Saisie'!$D$5:$D$2004,_xlfn.MINIFS('Saisie'!$AS$5:$AS$2004,'Saisie'!$C$5:$C$2004,C380,'Saisie'!$AU$5:$AU$2004,1)-4),IFERROR(INDEX('Saisie'!$D$5:$D$2004,_xlfn.MINIFS('Saisie'!$AS$5:$AS$2004,'Saisie'!$C$5:$C$2004,C380,'Saisie'!$D$5:$D$2004,"&lt;&gt;")-4),"")))</f>
        <v/>
      </c>
      <c r="O380" s="60">
        <f>IF(C380="","",COUNTIFS('Saisie'!$C$5:$C$2004,C380,'Saisie'!$AU$5:$AU$2004,1))</f>
        <v/>
      </c>
      <c r="P380" s="60">
        <f>IF(C380="","",COUNTIFS('Saisie'!$C$5:$C$2004,C380,'Saisie'!$AV$5:$AV$2004,1))</f>
        <v/>
      </c>
      <c r="Q380" s="106">
        <f>IF(C380="","",IFERROR(1/(1/_xlfn.MAXIFS('Saisie'!$A$5:$A$2004,'Saisie'!$C$5:$C$2004,C380)),""))</f>
        <v/>
      </c>
      <c r="R380" s="61">
        <f>IF(C380="","",IF(Q380="","",TODAY()-Q380))</f>
        <v/>
      </c>
      <c r="S380" s="60">
        <f>IF(C380="","",IFERROR(INDEX('Saisie'!$R$5:$R$2004,_xlfn.MAXIFS('Saisie'!$AS$5:$AS$2004,'Saisie'!$C$5:$C$2004,C380,'Saisie'!$R$5:$R$2004,"&lt;&gt;")-4),""))</f>
        <v/>
      </c>
      <c r="T380" s="60">
        <f>IF(C380="","",IFERROR(INDEX('Saisie'!$S$5:$S$2004,_xlfn.MAXIFS('Saisie'!$AS$5:$AS$2004,'Saisie'!$C$5:$C$2004,C380,'Saisie'!$S$5:$S$2004,"&lt;&gt;")-4),""))</f>
        <v/>
      </c>
      <c r="U380" s="60">
        <f>IF(C380="","",IFERROR(INDEX('Saisie'!$T$5:$T$2004,_xlfn.MAXIFS('Saisie'!$AS$5:$AS$2004,'Saisie'!$C$5:$C$2004,C380,'Saisie'!$T$5:$T$2004,"&lt;&gt;")-4),""))</f>
        <v/>
      </c>
      <c r="V380" s="60">
        <f>IF(C380="","",IFERROR(INDEX('Saisie'!$V$5:$V$2004,_xlfn.MAXIFS('Saisie'!$AS$5:$AS$2004,'Saisie'!$C$5:$C$2004,C380,'Saisie'!$V$5:$V$2004,"&lt;&gt;")-4),""))</f>
        <v/>
      </c>
      <c r="W380" s="60">
        <f>IF(C380="","",IFERROR(INDEX('Saisie'!$Z$5:$Z$2004,_xlfn.MAXIFS('Saisie'!$AS$5:$AS$2004,'Saisie'!$C$5:$C$2004,C380,'Saisie'!$Z$5:$Z$2004,"&lt;&gt;")-4),""))</f>
        <v/>
      </c>
      <c r="X380" s="60">
        <f>IF(C380="","",IFERROR(INDEX('Saisie'!$AA$5:$AA$2004,_xlfn.MAXIFS('Saisie'!$AS$5:$AS$2004,'Saisie'!$C$5:$C$2004,C380,'Saisie'!$AA$5:$AA$2004,"&lt;&gt;")-4),""))</f>
        <v/>
      </c>
      <c r="Y380" s="60">
        <f>IF(C380="","",IFERROR(INDEX('Saisie'!$AB$5:$AB$2004,_xlfn.MAXIFS('Saisie'!$AS$5:$AS$2004,'Saisie'!$C$5:$C$2004,C380,'Saisie'!$AB$5:$AB$2004,"&lt;&gt;")-4),""))</f>
        <v/>
      </c>
      <c r="Z380" s="60">
        <f>IF(C380="","",IFERROR(INDEX('Saisie'!$AC$5:$AC$2004,_xlfn.MAXIFS('Saisie'!$AS$5:$AS$2004,'Saisie'!$C$5:$C$2004,C380,'Saisie'!$AC$5:$AC$2004,"&lt;&gt;")-4),""))</f>
        <v/>
      </c>
      <c r="AA380" s="106">
        <f>IF(C380="","",IFERROR(INDEX('Saisie'!$AD$5:$AD$2004,_xlfn.MAXIFS('Saisie'!$AS$5:$AS$2004,'Saisie'!$C$5:$C$2004,C380,'Saisie'!$AD$5:$AD$2004,"&lt;&gt;")-4),""))</f>
        <v/>
      </c>
      <c r="AB380" s="60">
        <f>IF(C380="","",IFERROR(INDEX('Saisie'!$AE$5:$AE$2004,_xlfn.MAXIFS('Saisie'!$AS$5:$AS$2004,'Saisie'!$C$5:$C$2004,C380,'Saisie'!$AE$5:$AE$2004,"&lt;&gt;")-4),""))</f>
        <v/>
      </c>
      <c r="AC380" s="60">
        <f>IF(C380="","",IFERROR(INDEX('Saisie'!$AF$5:$AF$2004,_xlfn.MAXIFS('Saisie'!$AS$5:$AS$2004,'Saisie'!$C$5:$C$2004,C380,'Saisie'!$AF$5:$AF$2004,"&lt;&gt;")-4),""))</f>
        <v/>
      </c>
      <c r="AD380" s="108">
        <f>IF(C380="","",IFERROR(INDEX('Saisie'!$AG$5:$AG$2004,_xlfn.MAXIFS('Saisie'!$AS$5:$AS$2004,'Saisie'!$C$5:$C$2004,C380,'Saisie'!$AG$5:$AG$2004,"&lt;&gt;")-4),""))</f>
        <v/>
      </c>
      <c r="AE380" s="60">
        <f>IF(C380="","",IFERROR(INDEX('Saisie'!$AH$5:$AH$2004,_xlfn.MAXIFS('Saisie'!$AS$5:$AS$2004,'Saisie'!$C$5:$C$2004,C380,'Saisie'!$AH$5:$AH$2004,"&lt;&gt;")-4),""))</f>
        <v/>
      </c>
      <c r="AF380" s="60">
        <f>IF(C380="","",IFERROR(INDEX('Saisie'!$AI$5:$AI$2004,_xlfn.MAXIFS('Saisie'!$AS$5:$AS$2004,'Saisie'!$C$5:$C$2004,C380,'Saisie'!$AI$5:$AI$2004,"&lt;&gt;")-4),""))</f>
        <v/>
      </c>
      <c r="AG380" s="60">
        <f>IF(C380="","",IFERROR(INDEX('Saisie'!$AJ$5:$AJ$2004,_xlfn.MAXIFS('Saisie'!$AS$5:$AS$2004,'Saisie'!$C$5:$C$2004,C380,'Saisie'!$AJ$5:$AJ$2004,"&lt;&gt;")-4),""))</f>
        <v/>
      </c>
      <c r="AH380" s="60">
        <f>IF(C380="","",IFERROR(INDEX('Saisie'!$AK$5:$AK$2004,_xlfn.MAXIFS('Saisie'!$AS$5:$AS$2004,'Saisie'!$C$5:$C$2004,C380,'Saisie'!$AK$5:$AK$2004,"&lt;&gt;")-4),""))</f>
        <v/>
      </c>
      <c r="AI380" s="60">
        <f>IF(C380="","",IFERROR(INDEX('Saisie'!$AN$5:$AN$2004,_xlfn.MAXIFS('Saisie'!$AS$5:$AS$2004,'Saisie'!$C$5:$C$2004,C380,'Saisie'!$AN$5:$AN$2004,"&lt;&gt;")-4),""))</f>
        <v/>
      </c>
      <c r="AJ380" s="60">
        <f>IF(C380="","",IFERROR(INDEX('Saisie'!$AO$5:$AO$2004,_xlfn.MAXIFS('Saisie'!$AS$5:$AS$2004,'Saisie'!$C$5:$C$2004,C380,'Saisie'!$AO$5:$AO$2004,"&lt;&gt;")-4),""))</f>
        <v/>
      </c>
      <c r="AK380" s="60">
        <f>IF(C380="","",IFERROR(INDEX('Saisie'!$AP$5:$AP$2004,_xlfn.MAXIFS('Saisie'!$AS$5:$AS$2004,'Saisie'!$C$5:$C$2004,C380,'Saisie'!$AP$5:$AP$2004,"&lt;&gt;")-4),""))</f>
        <v/>
      </c>
      <c r="AL380" s="60">
        <f>IF(C380="","",IFERROR(INDEX('Saisie'!$AQ$5:$AQ$2004,_xlfn.MAXIFS('Saisie'!$AS$5:$AS$2004,'Saisie'!$C$5:$C$2004,C380,'Saisie'!$AQ$5:$AQ$2004,"&lt;&gt;")-4),""))</f>
        <v/>
      </c>
      <c r="AM380" s="60">
        <f>IF(C380="","",((AI380="Oui")+(AJ380="Oui")+(AK380="Oui")+OR(AL380="Immédiat",AL380="&lt; 1 mois"))&amp;"/4")</f>
        <v/>
      </c>
      <c r="AN380" s="60">
        <f>IF(C380="","",IFERROR(INDEX('Saisie'!$AL$5:$AL$2004,_xlfn.MAXIFS('Saisie'!$AS$5:$AS$2004,'Saisie'!$C$5:$C$2004,C380,'Saisie'!$AL$5:$AL$2004,"&lt;&gt;")-4),""))</f>
        <v/>
      </c>
      <c r="AO380" s="62">
        <f>IF(C380="","",IF(IFERROR(INDEX('Saisie'!$AM$5:$AM$2004,_xlfn.MAXIFS('Saisie'!$AS$5:$AS$2004,'Saisie'!$C$5:$C$2004,C380,'Saisie'!$AM$5:$AM$2004,"&lt;&gt;")-4),"")&lt;&gt;"",IFERROR(INDEX('Saisie'!$AM$5:$AM$2004,_xlfn.MAXIFS('Saisie'!$AS$5:$AS$2004,'Saisie'!$C$5:$C$2004,C380,'Saisie'!$AM$5:$AM$2004,"&lt;&gt;")-4),""),IFERROR(INDEX('Paramètres'!$S$6:$S$15,MATCH(AN380,'Paramètres'!$Q$6:$Q$15,0)),"")))</f>
        <v/>
      </c>
      <c r="AP380" s="62">
        <f>IF(C380="","",IFERROR(INDEX('Saisie'!$AW$5:$AW$2004,_xlfn.MAXIFS('Saisie'!$AS$5:$AS$2004,'Saisie'!$C$5:$C$2004,C380,'Saisie'!$E$5:$E$2004,"Proposition envoyée")-4),""))</f>
        <v/>
      </c>
      <c r="AQ380" s="106">
        <f>IF(C380="","",IFERROR(1/(1/_xlfn.MAXIFS('Saisie'!$A$5:$A$2004,'Saisie'!$C$5:$C$2004,C380,'Saisie'!$E$5:$E$2004,"Proposition envoyée")),""))</f>
        <v/>
      </c>
      <c r="AR380" s="106">
        <f>IF(C380="","",IF(AQ380="","",AQ380+'Paramètres'!$B$26))</f>
        <v/>
      </c>
      <c r="AS380" s="62">
        <f>IF(OR(C380="",D380="Gagné",D380="Perdu"),0,N(AP380)*IFERROR(INDEX('Paramètres'!$G$6:$G$13,MATCH(D380,'Paramètres'!$F$6:$F$13,0)),0))</f>
        <v/>
      </c>
      <c r="AT380" s="106">
        <f>IF(C380="","",IFERROR(1/(1/_xlfn.MINIFS('Saisie'!$A$5:$A$2004,'Saisie'!$C$5:$C$2004,C380,'Saisie'!$E$5:$E$2004,"Signature")),""))</f>
        <v/>
      </c>
      <c r="AU380" s="60">
        <f>IF(C380="","",IF(OR(AT380="",B380=""),"",AT380-B380))</f>
        <v/>
      </c>
      <c r="AV380" s="60">
        <f>IF(C380="","",IFERROR(INDEX('Saisie'!$L$5:$L$2004,_xlfn.MAXIFS('Saisie'!$AS$5:$AS$2004,'Saisie'!$C$5:$C$2004,C380,'Saisie'!$L$5:$L$2004,"&lt;&gt;")-4),""))</f>
        <v/>
      </c>
      <c r="AW380" s="106">
        <f>IF(C380="","",IF(D380&lt;&gt;"Perdu","",IFERROR(1/(1/_xlfn.MAXIFS('Saisie'!$A$5:$A$2004,'Saisie'!$C$5:$C$2004,C380,'Saisie'!$E$5:$E$2004,"Perdu")),"")))</f>
        <v/>
      </c>
      <c r="AX380" s="106">
        <f>IF(C380="","",IF(AW380="","",AW380+'Paramètres'!$B$28))</f>
        <v/>
      </c>
      <c r="AY380" s="60">
        <f>IF(C380="","",SUMIFS('Saisie'!$H$5:$H$2004,'Saisie'!$C$5:$C$2004,C380))</f>
        <v/>
      </c>
      <c r="AZ380" s="60">
        <f>IF(C380="","",IFERROR(INDEX('Paramètres'!$W$6:$W$20,MATCH(S380,'Paramètres'!$V$6:$V$20,0))&amp;"",""))</f>
        <v/>
      </c>
      <c r="BA380" s="60">
        <f>IF(C380="","",MAX(1,_xlfn.MAXIFS('Saisie'!$AT$5:$AT$2004,'Saisie'!$C$5:$C$2004,C380)))</f>
        <v/>
      </c>
      <c r="BB380" s="60">
        <f>IF(C380="","",IFERROR(INDEX('Saisie'!$X$5:$X$2004,_xlfn.MAXIFS('Saisie'!$AS$5:$AS$2004,'Saisie'!$C$5:$C$2004,C380,'Saisie'!$X$5:$X$2004,"&lt;&gt;")-4),""))</f>
        <v/>
      </c>
      <c r="BC380" s="60">
        <f>IF(C380="","",IFERROR(INDEX('Saisie'!$Y$5:$Y$2004,_xlfn.MAXIFS('Saisie'!$AS$5:$AS$2004,'Saisie'!$C$5:$C$2004,C380,'Saisie'!$Y$5:$Y$2004,"&lt;&gt;")-4),""))</f>
        <v/>
      </c>
      <c r="BD380" s="106">
        <f>IF(C380="","",IFERROR(1/(1/_xlfn.MINIFS('Saisie'!$A$5:$A$2004,'Saisie'!$C$5:$C$2004,C380,'Saisie'!$AT$5:$AT$2004,"&gt;=2")),""))</f>
        <v/>
      </c>
      <c r="BE380" s="106">
        <f>IF(C380="","",IFERROR(1/(1/_xlfn.MINIFS('Saisie'!$A$5:$A$2004,'Saisie'!$C$5:$C$2004,C380,'Saisie'!$AT$5:$AT$2004,"&gt;=3")),""))</f>
        <v/>
      </c>
      <c r="BF380" s="106">
        <f>IF(C380="","",IFERROR(1/(1/_xlfn.MINIFS('Saisie'!$A$5:$A$2004,'Saisie'!$C$5:$C$2004,C380,'Saisie'!$AT$5:$AT$2004,"&gt;=4")),""))</f>
        <v/>
      </c>
      <c r="BG380" s="106">
        <f>IF(C380="","",IFERROR(1/(1/_xlfn.MINIFS('Saisie'!$A$5:$A$2004,'Saisie'!$C$5:$C$2004,C380,'Saisie'!$AT$5:$AT$2004,"&gt;=5")),""))</f>
        <v/>
      </c>
      <c r="BH380" s="106">
        <f>IF(C380="","",IFERROR(1/(1/_xlfn.MINIFS('Saisie'!$A$5:$A$2004,'Saisie'!$C$5:$C$2004,C380,'Saisie'!$AT$5:$AT$2004,"&gt;=6")),""))</f>
        <v/>
      </c>
      <c r="BI380" s="106">
        <f>IF(C380="","",IFERROR(1/(1/_xlfn.MINIFS('Saisie'!$A$5:$A$2004,'Saisie'!$C$5:$C$2004,C380,'Saisie'!$AT$5:$AT$2004,"&gt;=7")),""))</f>
        <v/>
      </c>
      <c r="BJ380" s="60">
        <f>IF(OR(BD380="",B380=""),"",BD380-B380)</f>
        <v/>
      </c>
      <c r="BK380" s="60">
        <f>IF(OR(BE380="",BD380=""),"",BE380-BD380)</f>
        <v/>
      </c>
      <c r="BL380" s="60">
        <f>IF(OR(BF380="",BE380=""),"",BF380-BE380)</f>
        <v/>
      </c>
      <c r="BM380" s="60">
        <f>IF(OR(BG380="",BF380=""),"",BG380-BF380)</f>
        <v/>
      </c>
      <c r="BN380" s="60">
        <f>IF(OR(BH380="",BG380=""),"",BH380-BG380)</f>
        <v/>
      </c>
      <c r="BO380" s="60">
        <f>IF(OR(BI380="",BH380=""),"",BI380-BH380)</f>
        <v/>
      </c>
      <c r="BP380" s="60">
        <f>IF(C380="","",_xlfn.MAXIFS('Saisie'!$AS$5:$AS$2004,'Saisie'!$C$5:$C$2004,C380,'Saisie'!$J$5:$J$2004,"&lt;&gt;"))</f>
        <v/>
      </c>
      <c r="BQ380" s="60">
        <f>IF(C380="","",_xlfn.MAXIFS('Saisie'!$AS$5:$AS$2004,'Saisie'!$C$5:$C$2004,C380))</f>
        <v/>
      </c>
      <c r="BR380" s="60">
        <f>IF(C380="","",_xlfn.MAXIFS('Saisie'!$AS$5:$AS$2004,'Saisie'!$C$5:$C$2004,C380,'Saisie'!$E$5:$E$2004,"Perdu"))</f>
        <v/>
      </c>
      <c r="BS380" s="60">
        <f>IF(C380="","",_xlfn.MAXIFS('Saisie'!$AS$5:$AS$2004,'Saisie'!$C$5:$C$2004,C380,'Saisie'!$AT$5:$AT$2004,"&gt;0"))</f>
        <v/>
      </c>
      <c r="BT380" s="109">
        <f>IF(AND(C380&lt;&gt;"",OR(D380="Nouveau",D380="Contacté",D380="Qualifié"),OR(G380="",N(G380)&lt;=TODAY()),NOT(AND(O380&gt;='Paramètres'!$B$21,P380=0))),E380+376/10000,"")</f>
        <v/>
      </c>
      <c r="BU380" s="60">
        <f>IF(AND(G380&lt;&gt;"",N(G380)&lt;=TODAY()),MAX($BU$4:BU379)+1,"")</f>
        <v/>
      </c>
      <c r="BV380" s="60">
        <f>IF(AND(F380&lt;&gt;"",F380&lt;&gt;"Relance en retard"),MAX($BV$4:BV379)+1,"")</f>
        <v/>
      </c>
      <c r="BW380" s="60">
        <f>IF(C380="","",IF(AND(B380&gt;='Tableau de bord'!$R$4,B380&lt;='Tableau de bord'!$S$4,OR('Tableau de bord'!$G$4="Tous",N380='Tableau de bord'!$G$4)),1,0))</f>
        <v/>
      </c>
      <c r="BX380" s="60">
        <f>IF(AND(C380&lt;&gt;"",N(BA380)=7),MAX($BX$4:BX379)+1,"")</f>
        <v/>
      </c>
    </row>
    <row r="381">
      <c r="A381" s="60">
        <f>IF(C381="","","P-"&amp;TEXT(377,"000"))</f>
        <v/>
      </c>
      <c r="B381" s="106">
        <f>IF(C381="","",IFERROR(1/(1/_xlfn.MINIFS('Saisie'!$A$5:$A$2004,'Saisie'!$C$5:$C$2004,C381)),""))</f>
        <v/>
      </c>
      <c r="C381" s="60">
        <f>IFERROR(INDEX('Saisie'!$C$5:$C$2004,MATCH(377,'Saisie'!$AX$5:$AX$2004,0)),"")</f>
        <v/>
      </c>
      <c r="D381" s="60">
        <f>IF(C381="","",IF(AND(BR381&gt;0,BR381&gt;BS381,BA381&lt;7),"Perdu",INDEX('Paramètres'!$F$6:$F$13,BA381)))</f>
        <v/>
      </c>
      <c r="E381" s="61">
        <f>IF(C381="","",MIN(100,(Z381="Oui")*'Paramètres'!$B$38+(AB381="Régulière")*'Paramètres'!$B$39+IF(AND(N(AA381)&gt;0,TODAY()-N(AA381)&lt;=30),'Paramètres'!$B$40,0)+(W381="")*'Paramètres'!$B$41+(AC381="Absente")*'Paramètres'!$B$42+(AC381="Faible")*'Paramètres'!$B$43+IF(AND(N(AD381)&gt;0,N(AD381)&lt;4),'Paramètres'!$B$44,0)+(AF381="Moyenne")*'Paramètres'!$B$45+(AF381="Grande")*'Paramètres'!$B$46+(Y381&lt;&gt;"")*'Paramètres'!$B$47))</f>
        <v/>
      </c>
      <c r="F381" s="60">
        <f>IF(C381="","",IF(D381="Gagné","",IF(D381="Perdu",IF(AND(AX381&lt;&gt;"",AX381&lt;=TODAY()),"À recontacter (perdu)",""),IF(AND(O381&gt;='Paramètres'!$B$21,P381=0),"Stop : "&amp;'Paramètres'!$B$21&amp;" tentatives sans réponse",IF(AND(D381="Proposition",AR381&lt;&gt;"",TODAY()&gt;N(AR381)),"Proposition expirée",IF(AND(D381="Proposition",N(R381)&gt;='Paramètres'!$B$25),"Proposition sans réponse",IF(AND(G381&lt;&gt;"",N(G381)&lt;TODAY()),"Relance en retard",IF(N(R381)&gt;='Paramètres'!$B$24,"Sans action depuis "&amp;R381&amp;" j",""))))))))</f>
        <v/>
      </c>
      <c r="G381" s="106">
        <f>IF(OR(C381="",D381="Gagné",D381="Perdu"),"",IF(AND(BP381&gt;0,BP381=BQ381),INDEX('Saisie'!$J$5:$J$2004,BP381-4),IF(OR(O381=0,AND(O381&gt;='Paramètres'!$B$21,P381=0)),"",Q381+IF(O381&lt;=1,'Paramètres'!$B$18,IF(O381=2,'Paramètres'!$B$19,'Paramètres'!$B$20)))))</f>
        <v/>
      </c>
      <c r="H381" s="107">
        <f>IF(OR(G381="",BP381&lt;&gt;BQ381),"",IF(INDEX('Saisie'!$K$5:$K$2004,BP381-4)="","",INDEX('Saisie'!$K$5:$K$2004,BP381-4)))</f>
        <v/>
      </c>
      <c r="I381" s="60">
        <f>IF(C381="","",IF(OR(D381="Gagné",D381="Perdu"),"",IFERROR(INDEX('Saisie'!$I$5:$I$2004,_xlfn.MAXIFS('Saisie'!$AS$5:$AS$2004,'Saisie'!$C$5:$C$2004,C381,'Saisie'!$I$5:$I$2004,"&lt;&gt;")-4),"")))</f>
        <v/>
      </c>
      <c r="J381" s="60">
        <f>IF(C381="","",IFERROR(INDEX('Saisie'!$U$5:$U$2004,_xlfn.MAXIFS('Saisie'!$AS$5:$AS$2004,'Saisie'!$C$5:$C$2004,C381,'Saisie'!$U$5:$U$2004,"&lt;&gt;")-4),""))</f>
        <v/>
      </c>
      <c r="K381" s="60">
        <f>IF(C381="","",IFERROR(INDEX('Saisie'!$W$5:$W$2004,_xlfn.MAXIFS('Saisie'!$AS$5:$AS$2004,'Saisie'!$C$5:$C$2004,C381,'Saisie'!$W$5:$W$2004,"&lt;&gt;")-4),""))</f>
        <v/>
      </c>
      <c r="L381" s="60">
        <f>IF(IF(BB381&lt;&gt;"",BB381,K381)="","",HYPERLINK("https://wa.me/"&amp;IF(LEFT(SUBSTITUTE(SUBSTITUTE(SUBSTITUTE(IF(BB381&lt;&gt;"",BB381,K381)," ",""),".",""),"+",""),1)="0",'Paramètres'!$B$35&amp;MID(SUBSTITUTE(SUBSTITUTE(SUBSTITUTE(IF(BB381&lt;&gt;"",BB381,K381)," ",""),".",""),"+",""),2,20),SUBSTITUTE(SUBSTITUTE(SUBSTITUTE(IF(BB381&lt;&gt;"",BB381,K381)," ",""),".",""),"+","")),"WhatsApp"))</f>
        <v/>
      </c>
      <c r="M381" s="60">
        <f>IF(BC381="","",HYPERLINK(IF(LEFT(BC381,4)="http",BC381,"https://www.instagram.com/"&amp;SUBSTITUTE(SUBSTITUTE(BC381,"@","")," ","")),BC381))</f>
        <v/>
      </c>
      <c r="N381" s="60">
        <f>IF(C381="","",IFERROR(INDEX('Saisie'!$D$5:$D$2004,_xlfn.MINIFS('Saisie'!$AS$5:$AS$2004,'Saisie'!$C$5:$C$2004,C381,'Saisie'!$AU$5:$AU$2004,1)-4),IFERROR(INDEX('Saisie'!$D$5:$D$2004,_xlfn.MINIFS('Saisie'!$AS$5:$AS$2004,'Saisie'!$C$5:$C$2004,C381,'Saisie'!$D$5:$D$2004,"&lt;&gt;")-4),"")))</f>
        <v/>
      </c>
      <c r="O381" s="60">
        <f>IF(C381="","",COUNTIFS('Saisie'!$C$5:$C$2004,C381,'Saisie'!$AU$5:$AU$2004,1))</f>
        <v/>
      </c>
      <c r="P381" s="60">
        <f>IF(C381="","",COUNTIFS('Saisie'!$C$5:$C$2004,C381,'Saisie'!$AV$5:$AV$2004,1))</f>
        <v/>
      </c>
      <c r="Q381" s="106">
        <f>IF(C381="","",IFERROR(1/(1/_xlfn.MAXIFS('Saisie'!$A$5:$A$2004,'Saisie'!$C$5:$C$2004,C381)),""))</f>
        <v/>
      </c>
      <c r="R381" s="61">
        <f>IF(C381="","",IF(Q381="","",TODAY()-Q381))</f>
        <v/>
      </c>
      <c r="S381" s="60">
        <f>IF(C381="","",IFERROR(INDEX('Saisie'!$R$5:$R$2004,_xlfn.MAXIFS('Saisie'!$AS$5:$AS$2004,'Saisie'!$C$5:$C$2004,C381,'Saisie'!$R$5:$R$2004,"&lt;&gt;")-4),""))</f>
        <v/>
      </c>
      <c r="T381" s="60">
        <f>IF(C381="","",IFERROR(INDEX('Saisie'!$S$5:$S$2004,_xlfn.MAXIFS('Saisie'!$AS$5:$AS$2004,'Saisie'!$C$5:$C$2004,C381,'Saisie'!$S$5:$S$2004,"&lt;&gt;")-4),""))</f>
        <v/>
      </c>
      <c r="U381" s="60">
        <f>IF(C381="","",IFERROR(INDEX('Saisie'!$T$5:$T$2004,_xlfn.MAXIFS('Saisie'!$AS$5:$AS$2004,'Saisie'!$C$5:$C$2004,C381,'Saisie'!$T$5:$T$2004,"&lt;&gt;")-4),""))</f>
        <v/>
      </c>
      <c r="V381" s="60">
        <f>IF(C381="","",IFERROR(INDEX('Saisie'!$V$5:$V$2004,_xlfn.MAXIFS('Saisie'!$AS$5:$AS$2004,'Saisie'!$C$5:$C$2004,C381,'Saisie'!$V$5:$V$2004,"&lt;&gt;")-4),""))</f>
        <v/>
      </c>
      <c r="W381" s="60">
        <f>IF(C381="","",IFERROR(INDEX('Saisie'!$Z$5:$Z$2004,_xlfn.MAXIFS('Saisie'!$AS$5:$AS$2004,'Saisie'!$C$5:$C$2004,C381,'Saisie'!$Z$5:$Z$2004,"&lt;&gt;")-4),""))</f>
        <v/>
      </c>
      <c r="X381" s="60">
        <f>IF(C381="","",IFERROR(INDEX('Saisie'!$AA$5:$AA$2004,_xlfn.MAXIFS('Saisie'!$AS$5:$AS$2004,'Saisie'!$C$5:$C$2004,C381,'Saisie'!$AA$5:$AA$2004,"&lt;&gt;")-4),""))</f>
        <v/>
      </c>
      <c r="Y381" s="60">
        <f>IF(C381="","",IFERROR(INDEX('Saisie'!$AB$5:$AB$2004,_xlfn.MAXIFS('Saisie'!$AS$5:$AS$2004,'Saisie'!$C$5:$C$2004,C381,'Saisie'!$AB$5:$AB$2004,"&lt;&gt;")-4),""))</f>
        <v/>
      </c>
      <c r="Z381" s="60">
        <f>IF(C381="","",IFERROR(INDEX('Saisie'!$AC$5:$AC$2004,_xlfn.MAXIFS('Saisie'!$AS$5:$AS$2004,'Saisie'!$C$5:$C$2004,C381,'Saisie'!$AC$5:$AC$2004,"&lt;&gt;")-4),""))</f>
        <v/>
      </c>
      <c r="AA381" s="106">
        <f>IF(C381="","",IFERROR(INDEX('Saisie'!$AD$5:$AD$2004,_xlfn.MAXIFS('Saisie'!$AS$5:$AS$2004,'Saisie'!$C$5:$C$2004,C381,'Saisie'!$AD$5:$AD$2004,"&lt;&gt;")-4),""))</f>
        <v/>
      </c>
      <c r="AB381" s="60">
        <f>IF(C381="","",IFERROR(INDEX('Saisie'!$AE$5:$AE$2004,_xlfn.MAXIFS('Saisie'!$AS$5:$AS$2004,'Saisie'!$C$5:$C$2004,C381,'Saisie'!$AE$5:$AE$2004,"&lt;&gt;")-4),""))</f>
        <v/>
      </c>
      <c r="AC381" s="60">
        <f>IF(C381="","",IFERROR(INDEX('Saisie'!$AF$5:$AF$2004,_xlfn.MAXIFS('Saisie'!$AS$5:$AS$2004,'Saisie'!$C$5:$C$2004,C381,'Saisie'!$AF$5:$AF$2004,"&lt;&gt;")-4),""))</f>
        <v/>
      </c>
      <c r="AD381" s="108">
        <f>IF(C381="","",IFERROR(INDEX('Saisie'!$AG$5:$AG$2004,_xlfn.MAXIFS('Saisie'!$AS$5:$AS$2004,'Saisie'!$C$5:$C$2004,C381,'Saisie'!$AG$5:$AG$2004,"&lt;&gt;")-4),""))</f>
        <v/>
      </c>
      <c r="AE381" s="60">
        <f>IF(C381="","",IFERROR(INDEX('Saisie'!$AH$5:$AH$2004,_xlfn.MAXIFS('Saisie'!$AS$5:$AS$2004,'Saisie'!$C$5:$C$2004,C381,'Saisie'!$AH$5:$AH$2004,"&lt;&gt;")-4),""))</f>
        <v/>
      </c>
      <c r="AF381" s="60">
        <f>IF(C381="","",IFERROR(INDEX('Saisie'!$AI$5:$AI$2004,_xlfn.MAXIFS('Saisie'!$AS$5:$AS$2004,'Saisie'!$C$5:$C$2004,C381,'Saisie'!$AI$5:$AI$2004,"&lt;&gt;")-4),""))</f>
        <v/>
      </c>
      <c r="AG381" s="60">
        <f>IF(C381="","",IFERROR(INDEX('Saisie'!$AJ$5:$AJ$2004,_xlfn.MAXIFS('Saisie'!$AS$5:$AS$2004,'Saisie'!$C$5:$C$2004,C381,'Saisie'!$AJ$5:$AJ$2004,"&lt;&gt;")-4),""))</f>
        <v/>
      </c>
      <c r="AH381" s="60">
        <f>IF(C381="","",IFERROR(INDEX('Saisie'!$AK$5:$AK$2004,_xlfn.MAXIFS('Saisie'!$AS$5:$AS$2004,'Saisie'!$C$5:$C$2004,C381,'Saisie'!$AK$5:$AK$2004,"&lt;&gt;")-4),""))</f>
        <v/>
      </c>
      <c r="AI381" s="60">
        <f>IF(C381="","",IFERROR(INDEX('Saisie'!$AN$5:$AN$2004,_xlfn.MAXIFS('Saisie'!$AS$5:$AS$2004,'Saisie'!$C$5:$C$2004,C381,'Saisie'!$AN$5:$AN$2004,"&lt;&gt;")-4),""))</f>
        <v/>
      </c>
      <c r="AJ381" s="60">
        <f>IF(C381="","",IFERROR(INDEX('Saisie'!$AO$5:$AO$2004,_xlfn.MAXIFS('Saisie'!$AS$5:$AS$2004,'Saisie'!$C$5:$C$2004,C381,'Saisie'!$AO$5:$AO$2004,"&lt;&gt;")-4),""))</f>
        <v/>
      </c>
      <c r="AK381" s="60">
        <f>IF(C381="","",IFERROR(INDEX('Saisie'!$AP$5:$AP$2004,_xlfn.MAXIFS('Saisie'!$AS$5:$AS$2004,'Saisie'!$C$5:$C$2004,C381,'Saisie'!$AP$5:$AP$2004,"&lt;&gt;")-4),""))</f>
        <v/>
      </c>
      <c r="AL381" s="60">
        <f>IF(C381="","",IFERROR(INDEX('Saisie'!$AQ$5:$AQ$2004,_xlfn.MAXIFS('Saisie'!$AS$5:$AS$2004,'Saisie'!$C$5:$C$2004,C381,'Saisie'!$AQ$5:$AQ$2004,"&lt;&gt;")-4),""))</f>
        <v/>
      </c>
      <c r="AM381" s="60">
        <f>IF(C381="","",((AI381="Oui")+(AJ381="Oui")+(AK381="Oui")+OR(AL381="Immédiat",AL381="&lt; 1 mois"))&amp;"/4")</f>
        <v/>
      </c>
      <c r="AN381" s="60">
        <f>IF(C381="","",IFERROR(INDEX('Saisie'!$AL$5:$AL$2004,_xlfn.MAXIFS('Saisie'!$AS$5:$AS$2004,'Saisie'!$C$5:$C$2004,C381,'Saisie'!$AL$5:$AL$2004,"&lt;&gt;")-4),""))</f>
        <v/>
      </c>
      <c r="AO381" s="62">
        <f>IF(C381="","",IF(IFERROR(INDEX('Saisie'!$AM$5:$AM$2004,_xlfn.MAXIFS('Saisie'!$AS$5:$AS$2004,'Saisie'!$C$5:$C$2004,C381,'Saisie'!$AM$5:$AM$2004,"&lt;&gt;")-4),"")&lt;&gt;"",IFERROR(INDEX('Saisie'!$AM$5:$AM$2004,_xlfn.MAXIFS('Saisie'!$AS$5:$AS$2004,'Saisie'!$C$5:$C$2004,C381,'Saisie'!$AM$5:$AM$2004,"&lt;&gt;")-4),""),IFERROR(INDEX('Paramètres'!$S$6:$S$15,MATCH(AN381,'Paramètres'!$Q$6:$Q$15,0)),"")))</f>
        <v/>
      </c>
      <c r="AP381" s="62">
        <f>IF(C381="","",IFERROR(INDEX('Saisie'!$AW$5:$AW$2004,_xlfn.MAXIFS('Saisie'!$AS$5:$AS$2004,'Saisie'!$C$5:$C$2004,C381,'Saisie'!$E$5:$E$2004,"Proposition envoyée")-4),""))</f>
        <v/>
      </c>
      <c r="AQ381" s="106">
        <f>IF(C381="","",IFERROR(1/(1/_xlfn.MAXIFS('Saisie'!$A$5:$A$2004,'Saisie'!$C$5:$C$2004,C381,'Saisie'!$E$5:$E$2004,"Proposition envoyée")),""))</f>
        <v/>
      </c>
      <c r="AR381" s="106">
        <f>IF(C381="","",IF(AQ381="","",AQ381+'Paramètres'!$B$26))</f>
        <v/>
      </c>
      <c r="AS381" s="62">
        <f>IF(OR(C381="",D381="Gagné",D381="Perdu"),0,N(AP381)*IFERROR(INDEX('Paramètres'!$G$6:$G$13,MATCH(D381,'Paramètres'!$F$6:$F$13,0)),0))</f>
        <v/>
      </c>
      <c r="AT381" s="106">
        <f>IF(C381="","",IFERROR(1/(1/_xlfn.MINIFS('Saisie'!$A$5:$A$2004,'Saisie'!$C$5:$C$2004,C381,'Saisie'!$E$5:$E$2004,"Signature")),""))</f>
        <v/>
      </c>
      <c r="AU381" s="60">
        <f>IF(C381="","",IF(OR(AT381="",B381=""),"",AT381-B381))</f>
        <v/>
      </c>
      <c r="AV381" s="60">
        <f>IF(C381="","",IFERROR(INDEX('Saisie'!$L$5:$L$2004,_xlfn.MAXIFS('Saisie'!$AS$5:$AS$2004,'Saisie'!$C$5:$C$2004,C381,'Saisie'!$L$5:$L$2004,"&lt;&gt;")-4),""))</f>
        <v/>
      </c>
      <c r="AW381" s="106">
        <f>IF(C381="","",IF(D381&lt;&gt;"Perdu","",IFERROR(1/(1/_xlfn.MAXIFS('Saisie'!$A$5:$A$2004,'Saisie'!$C$5:$C$2004,C381,'Saisie'!$E$5:$E$2004,"Perdu")),"")))</f>
        <v/>
      </c>
      <c r="AX381" s="106">
        <f>IF(C381="","",IF(AW381="","",AW381+'Paramètres'!$B$28))</f>
        <v/>
      </c>
      <c r="AY381" s="60">
        <f>IF(C381="","",SUMIFS('Saisie'!$H$5:$H$2004,'Saisie'!$C$5:$C$2004,C381))</f>
        <v/>
      </c>
      <c r="AZ381" s="60">
        <f>IF(C381="","",IFERROR(INDEX('Paramètres'!$W$6:$W$20,MATCH(S381,'Paramètres'!$V$6:$V$20,0))&amp;"",""))</f>
        <v/>
      </c>
      <c r="BA381" s="60">
        <f>IF(C381="","",MAX(1,_xlfn.MAXIFS('Saisie'!$AT$5:$AT$2004,'Saisie'!$C$5:$C$2004,C381)))</f>
        <v/>
      </c>
      <c r="BB381" s="60">
        <f>IF(C381="","",IFERROR(INDEX('Saisie'!$X$5:$X$2004,_xlfn.MAXIFS('Saisie'!$AS$5:$AS$2004,'Saisie'!$C$5:$C$2004,C381,'Saisie'!$X$5:$X$2004,"&lt;&gt;")-4),""))</f>
        <v/>
      </c>
      <c r="BC381" s="60">
        <f>IF(C381="","",IFERROR(INDEX('Saisie'!$Y$5:$Y$2004,_xlfn.MAXIFS('Saisie'!$AS$5:$AS$2004,'Saisie'!$C$5:$C$2004,C381,'Saisie'!$Y$5:$Y$2004,"&lt;&gt;")-4),""))</f>
        <v/>
      </c>
      <c r="BD381" s="106">
        <f>IF(C381="","",IFERROR(1/(1/_xlfn.MINIFS('Saisie'!$A$5:$A$2004,'Saisie'!$C$5:$C$2004,C381,'Saisie'!$AT$5:$AT$2004,"&gt;=2")),""))</f>
        <v/>
      </c>
      <c r="BE381" s="106">
        <f>IF(C381="","",IFERROR(1/(1/_xlfn.MINIFS('Saisie'!$A$5:$A$2004,'Saisie'!$C$5:$C$2004,C381,'Saisie'!$AT$5:$AT$2004,"&gt;=3")),""))</f>
        <v/>
      </c>
      <c r="BF381" s="106">
        <f>IF(C381="","",IFERROR(1/(1/_xlfn.MINIFS('Saisie'!$A$5:$A$2004,'Saisie'!$C$5:$C$2004,C381,'Saisie'!$AT$5:$AT$2004,"&gt;=4")),""))</f>
        <v/>
      </c>
      <c r="BG381" s="106">
        <f>IF(C381="","",IFERROR(1/(1/_xlfn.MINIFS('Saisie'!$A$5:$A$2004,'Saisie'!$C$5:$C$2004,C381,'Saisie'!$AT$5:$AT$2004,"&gt;=5")),""))</f>
        <v/>
      </c>
      <c r="BH381" s="106">
        <f>IF(C381="","",IFERROR(1/(1/_xlfn.MINIFS('Saisie'!$A$5:$A$2004,'Saisie'!$C$5:$C$2004,C381,'Saisie'!$AT$5:$AT$2004,"&gt;=6")),""))</f>
        <v/>
      </c>
      <c r="BI381" s="106">
        <f>IF(C381="","",IFERROR(1/(1/_xlfn.MINIFS('Saisie'!$A$5:$A$2004,'Saisie'!$C$5:$C$2004,C381,'Saisie'!$AT$5:$AT$2004,"&gt;=7")),""))</f>
        <v/>
      </c>
      <c r="BJ381" s="60">
        <f>IF(OR(BD381="",B381=""),"",BD381-B381)</f>
        <v/>
      </c>
      <c r="BK381" s="60">
        <f>IF(OR(BE381="",BD381=""),"",BE381-BD381)</f>
        <v/>
      </c>
      <c r="BL381" s="60">
        <f>IF(OR(BF381="",BE381=""),"",BF381-BE381)</f>
        <v/>
      </c>
      <c r="BM381" s="60">
        <f>IF(OR(BG381="",BF381=""),"",BG381-BF381)</f>
        <v/>
      </c>
      <c r="BN381" s="60">
        <f>IF(OR(BH381="",BG381=""),"",BH381-BG381)</f>
        <v/>
      </c>
      <c r="BO381" s="60">
        <f>IF(OR(BI381="",BH381=""),"",BI381-BH381)</f>
        <v/>
      </c>
      <c r="BP381" s="60">
        <f>IF(C381="","",_xlfn.MAXIFS('Saisie'!$AS$5:$AS$2004,'Saisie'!$C$5:$C$2004,C381,'Saisie'!$J$5:$J$2004,"&lt;&gt;"))</f>
        <v/>
      </c>
      <c r="BQ381" s="60">
        <f>IF(C381="","",_xlfn.MAXIFS('Saisie'!$AS$5:$AS$2004,'Saisie'!$C$5:$C$2004,C381))</f>
        <v/>
      </c>
      <c r="BR381" s="60">
        <f>IF(C381="","",_xlfn.MAXIFS('Saisie'!$AS$5:$AS$2004,'Saisie'!$C$5:$C$2004,C381,'Saisie'!$E$5:$E$2004,"Perdu"))</f>
        <v/>
      </c>
      <c r="BS381" s="60">
        <f>IF(C381="","",_xlfn.MAXIFS('Saisie'!$AS$5:$AS$2004,'Saisie'!$C$5:$C$2004,C381,'Saisie'!$AT$5:$AT$2004,"&gt;0"))</f>
        <v/>
      </c>
      <c r="BT381" s="109">
        <f>IF(AND(C381&lt;&gt;"",OR(D381="Nouveau",D381="Contacté",D381="Qualifié"),OR(G381="",N(G381)&lt;=TODAY()),NOT(AND(O381&gt;='Paramètres'!$B$21,P381=0))),E381+377/10000,"")</f>
        <v/>
      </c>
      <c r="BU381" s="60">
        <f>IF(AND(G381&lt;&gt;"",N(G381)&lt;=TODAY()),MAX($BU$4:BU380)+1,"")</f>
        <v/>
      </c>
      <c r="BV381" s="60">
        <f>IF(AND(F381&lt;&gt;"",F381&lt;&gt;"Relance en retard"),MAX($BV$4:BV380)+1,"")</f>
        <v/>
      </c>
      <c r="BW381" s="60">
        <f>IF(C381="","",IF(AND(B381&gt;='Tableau de bord'!$R$4,B381&lt;='Tableau de bord'!$S$4,OR('Tableau de bord'!$G$4="Tous",N381='Tableau de bord'!$G$4)),1,0))</f>
        <v/>
      </c>
      <c r="BX381" s="60">
        <f>IF(AND(C381&lt;&gt;"",N(BA381)=7),MAX($BX$4:BX380)+1,"")</f>
        <v/>
      </c>
    </row>
    <row r="382">
      <c r="A382" s="60">
        <f>IF(C382="","","P-"&amp;TEXT(378,"000"))</f>
        <v/>
      </c>
      <c r="B382" s="106">
        <f>IF(C382="","",IFERROR(1/(1/_xlfn.MINIFS('Saisie'!$A$5:$A$2004,'Saisie'!$C$5:$C$2004,C382)),""))</f>
        <v/>
      </c>
      <c r="C382" s="60">
        <f>IFERROR(INDEX('Saisie'!$C$5:$C$2004,MATCH(378,'Saisie'!$AX$5:$AX$2004,0)),"")</f>
        <v/>
      </c>
      <c r="D382" s="60">
        <f>IF(C382="","",IF(AND(BR382&gt;0,BR382&gt;BS382,BA382&lt;7),"Perdu",INDEX('Paramètres'!$F$6:$F$13,BA382)))</f>
        <v/>
      </c>
      <c r="E382" s="61">
        <f>IF(C382="","",MIN(100,(Z382="Oui")*'Paramètres'!$B$38+(AB382="Régulière")*'Paramètres'!$B$39+IF(AND(N(AA382)&gt;0,TODAY()-N(AA382)&lt;=30),'Paramètres'!$B$40,0)+(W382="")*'Paramètres'!$B$41+(AC382="Absente")*'Paramètres'!$B$42+(AC382="Faible")*'Paramètres'!$B$43+IF(AND(N(AD382)&gt;0,N(AD382)&lt;4),'Paramètres'!$B$44,0)+(AF382="Moyenne")*'Paramètres'!$B$45+(AF382="Grande")*'Paramètres'!$B$46+(Y382&lt;&gt;"")*'Paramètres'!$B$47))</f>
        <v/>
      </c>
      <c r="F382" s="60">
        <f>IF(C382="","",IF(D382="Gagné","",IF(D382="Perdu",IF(AND(AX382&lt;&gt;"",AX382&lt;=TODAY()),"À recontacter (perdu)",""),IF(AND(O382&gt;='Paramètres'!$B$21,P382=0),"Stop : "&amp;'Paramètres'!$B$21&amp;" tentatives sans réponse",IF(AND(D382="Proposition",AR382&lt;&gt;"",TODAY()&gt;N(AR382)),"Proposition expirée",IF(AND(D382="Proposition",N(R382)&gt;='Paramètres'!$B$25),"Proposition sans réponse",IF(AND(G382&lt;&gt;"",N(G382)&lt;TODAY()),"Relance en retard",IF(N(R382)&gt;='Paramètres'!$B$24,"Sans action depuis "&amp;R382&amp;" j",""))))))))</f>
        <v/>
      </c>
      <c r="G382" s="106">
        <f>IF(OR(C382="",D382="Gagné",D382="Perdu"),"",IF(AND(BP382&gt;0,BP382=BQ382),INDEX('Saisie'!$J$5:$J$2004,BP382-4),IF(OR(O382=0,AND(O382&gt;='Paramètres'!$B$21,P382=0)),"",Q382+IF(O382&lt;=1,'Paramètres'!$B$18,IF(O382=2,'Paramètres'!$B$19,'Paramètres'!$B$20)))))</f>
        <v/>
      </c>
      <c r="H382" s="107">
        <f>IF(OR(G382="",BP382&lt;&gt;BQ382),"",IF(INDEX('Saisie'!$K$5:$K$2004,BP382-4)="","",INDEX('Saisie'!$K$5:$K$2004,BP382-4)))</f>
        <v/>
      </c>
      <c r="I382" s="60">
        <f>IF(C382="","",IF(OR(D382="Gagné",D382="Perdu"),"",IFERROR(INDEX('Saisie'!$I$5:$I$2004,_xlfn.MAXIFS('Saisie'!$AS$5:$AS$2004,'Saisie'!$C$5:$C$2004,C382,'Saisie'!$I$5:$I$2004,"&lt;&gt;")-4),"")))</f>
        <v/>
      </c>
      <c r="J382" s="60">
        <f>IF(C382="","",IFERROR(INDEX('Saisie'!$U$5:$U$2004,_xlfn.MAXIFS('Saisie'!$AS$5:$AS$2004,'Saisie'!$C$5:$C$2004,C382,'Saisie'!$U$5:$U$2004,"&lt;&gt;")-4),""))</f>
        <v/>
      </c>
      <c r="K382" s="60">
        <f>IF(C382="","",IFERROR(INDEX('Saisie'!$W$5:$W$2004,_xlfn.MAXIFS('Saisie'!$AS$5:$AS$2004,'Saisie'!$C$5:$C$2004,C382,'Saisie'!$W$5:$W$2004,"&lt;&gt;")-4),""))</f>
        <v/>
      </c>
      <c r="L382" s="60">
        <f>IF(IF(BB382&lt;&gt;"",BB382,K382)="","",HYPERLINK("https://wa.me/"&amp;IF(LEFT(SUBSTITUTE(SUBSTITUTE(SUBSTITUTE(IF(BB382&lt;&gt;"",BB382,K382)," ",""),".",""),"+",""),1)="0",'Paramètres'!$B$35&amp;MID(SUBSTITUTE(SUBSTITUTE(SUBSTITUTE(IF(BB382&lt;&gt;"",BB382,K382)," ",""),".",""),"+",""),2,20),SUBSTITUTE(SUBSTITUTE(SUBSTITUTE(IF(BB382&lt;&gt;"",BB382,K382)," ",""),".",""),"+","")),"WhatsApp"))</f>
        <v/>
      </c>
      <c r="M382" s="60">
        <f>IF(BC382="","",HYPERLINK(IF(LEFT(BC382,4)="http",BC382,"https://www.instagram.com/"&amp;SUBSTITUTE(SUBSTITUTE(BC382,"@","")," ","")),BC382))</f>
        <v/>
      </c>
      <c r="N382" s="60">
        <f>IF(C382="","",IFERROR(INDEX('Saisie'!$D$5:$D$2004,_xlfn.MINIFS('Saisie'!$AS$5:$AS$2004,'Saisie'!$C$5:$C$2004,C382,'Saisie'!$AU$5:$AU$2004,1)-4),IFERROR(INDEX('Saisie'!$D$5:$D$2004,_xlfn.MINIFS('Saisie'!$AS$5:$AS$2004,'Saisie'!$C$5:$C$2004,C382,'Saisie'!$D$5:$D$2004,"&lt;&gt;")-4),"")))</f>
        <v/>
      </c>
      <c r="O382" s="60">
        <f>IF(C382="","",COUNTIFS('Saisie'!$C$5:$C$2004,C382,'Saisie'!$AU$5:$AU$2004,1))</f>
        <v/>
      </c>
      <c r="P382" s="60">
        <f>IF(C382="","",COUNTIFS('Saisie'!$C$5:$C$2004,C382,'Saisie'!$AV$5:$AV$2004,1))</f>
        <v/>
      </c>
      <c r="Q382" s="106">
        <f>IF(C382="","",IFERROR(1/(1/_xlfn.MAXIFS('Saisie'!$A$5:$A$2004,'Saisie'!$C$5:$C$2004,C382)),""))</f>
        <v/>
      </c>
      <c r="R382" s="61">
        <f>IF(C382="","",IF(Q382="","",TODAY()-Q382))</f>
        <v/>
      </c>
      <c r="S382" s="60">
        <f>IF(C382="","",IFERROR(INDEX('Saisie'!$R$5:$R$2004,_xlfn.MAXIFS('Saisie'!$AS$5:$AS$2004,'Saisie'!$C$5:$C$2004,C382,'Saisie'!$R$5:$R$2004,"&lt;&gt;")-4),""))</f>
        <v/>
      </c>
      <c r="T382" s="60">
        <f>IF(C382="","",IFERROR(INDEX('Saisie'!$S$5:$S$2004,_xlfn.MAXIFS('Saisie'!$AS$5:$AS$2004,'Saisie'!$C$5:$C$2004,C382,'Saisie'!$S$5:$S$2004,"&lt;&gt;")-4),""))</f>
        <v/>
      </c>
      <c r="U382" s="60">
        <f>IF(C382="","",IFERROR(INDEX('Saisie'!$T$5:$T$2004,_xlfn.MAXIFS('Saisie'!$AS$5:$AS$2004,'Saisie'!$C$5:$C$2004,C382,'Saisie'!$T$5:$T$2004,"&lt;&gt;")-4),""))</f>
        <v/>
      </c>
      <c r="V382" s="60">
        <f>IF(C382="","",IFERROR(INDEX('Saisie'!$V$5:$V$2004,_xlfn.MAXIFS('Saisie'!$AS$5:$AS$2004,'Saisie'!$C$5:$C$2004,C382,'Saisie'!$V$5:$V$2004,"&lt;&gt;")-4),""))</f>
        <v/>
      </c>
      <c r="W382" s="60">
        <f>IF(C382="","",IFERROR(INDEX('Saisie'!$Z$5:$Z$2004,_xlfn.MAXIFS('Saisie'!$AS$5:$AS$2004,'Saisie'!$C$5:$C$2004,C382,'Saisie'!$Z$5:$Z$2004,"&lt;&gt;")-4),""))</f>
        <v/>
      </c>
      <c r="X382" s="60">
        <f>IF(C382="","",IFERROR(INDEX('Saisie'!$AA$5:$AA$2004,_xlfn.MAXIFS('Saisie'!$AS$5:$AS$2004,'Saisie'!$C$5:$C$2004,C382,'Saisie'!$AA$5:$AA$2004,"&lt;&gt;")-4),""))</f>
        <v/>
      </c>
      <c r="Y382" s="60">
        <f>IF(C382="","",IFERROR(INDEX('Saisie'!$AB$5:$AB$2004,_xlfn.MAXIFS('Saisie'!$AS$5:$AS$2004,'Saisie'!$C$5:$C$2004,C382,'Saisie'!$AB$5:$AB$2004,"&lt;&gt;")-4),""))</f>
        <v/>
      </c>
      <c r="Z382" s="60">
        <f>IF(C382="","",IFERROR(INDEX('Saisie'!$AC$5:$AC$2004,_xlfn.MAXIFS('Saisie'!$AS$5:$AS$2004,'Saisie'!$C$5:$C$2004,C382,'Saisie'!$AC$5:$AC$2004,"&lt;&gt;")-4),""))</f>
        <v/>
      </c>
      <c r="AA382" s="106">
        <f>IF(C382="","",IFERROR(INDEX('Saisie'!$AD$5:$AD$2004,_xlfn.MAXIFS('Saisie'!$AS$5:$AS$2004,'Saisie'!$C$5:$C$2004,C382,'Saisie'!$AD$5:$AD$2004,"&lt;&gt;")-4),""))</f>
        <v/>
      </c>
      <c r="AB382" s="60">
        <f>IF(C382="","",IFERROR(INDEX('Saisie'!$AE$5:$AE$2004,_xlfn.MAXIFS('Saisie'!$AS$5:$AS$2004,'Saisie'!$C$5:$C$2004,C382,'Saisie'!$AE$5:$AE$2004,"&lt;&gt;")-4),""))</f>
        <v/>
      </c>
      <c r="AC382" s="60">
        <f>IF(C382="","",IFERROR(INDEX('Saisie'!$AF$5:$AF$2004,_xlfn.MAXIFS('Saisie'!$AS$5:$AS$2004,'Saisie'!$C$5:$C$2004,C382,'Saisie'!$AF$5:$AF$2004,"&lt;&gt;")-4),""))</f>
        <v/>
      </c>
      <c r="AD382" s="108">
        <f>IF(C382="","",IFERROR(INDEX('Saisie'!$AG$5:$AG$2004,_xlfn.MAXIFS('Saisie'!$AS$5:$AS$2004,'Saisie'!$C$5:$C$2004,C382,'Saisie'!$AG$5:$AG$2004,"&lt;&gt;")-4),""))</f>
        <v/>
      </c>
      <c r="AE382" s="60">
        <f>IF(C382="","",IFERROR(INDEX('Saisie'!$AH$5:$AH$2004,_xlfn.MAXIFS('Saisie'!$AS$5:$AS$2004,'Saisie'!$C$5:$C$2004,C382,'Saisie'!$AH$5:$AH$2004,"&lt;&gt;")-4),""))</f>
        <v/>
      </c>
      <c r="AF382" s="60">
        <f>IF(C382="","",IFERROR(INDEX('Saisie'!$AI$5:$AI$2004,_xlfn.MAXIFS('Saisie'!$AS$5:$AS$2004,'Saisie'!$C$5:$C$2004,C382,'Saisie'!$AI$5:$AI$2004,"&lt;&gt;")-4),""))</f>
        <v/>
      </c>
      <c r="AG382" s="60">
        <f>IF(C382="","",IFERROR(INDEX('Saisie'!$AJ$5:$AJ$2004,_xlfn.MAXIFS('Saisie'!$AS$5:$AS$2004,'Saisie'!$C$5:$C$2004,C382,'Saisie'!$AJ$5:$AJ$2004,"&lt;&gt;")-4),""))</f>
        <v/>
      </c>
      <c r="AH382" s="60">
        <f>IF(C382="","",IFERROR(INDEX('Saisie'!$AK$5:$AK$2004,_xlfn.MAXIFS('Saisie'!$AS$5:$AS$2004,'Saisie'!$C$5:$C$2004,C382,'Saisie'!$AK$5:$AK$2004,"&lt;&gt;")-4),""))</f>
        <v/>
      </c>
      <c r="AI382" s="60">
        <f>IF(C382="","",IFERROR(INDEX('Saisie'!$AN$5:$AN$2004,_xlfn.MAXIFS('Saisie'!$AS$5:$AS$2004,'Saisie'!$C$5:$C$2004,C382,'Saisie'!$AN$5:$AN$2004,"&lt;&gt;")-4),""))</f>
        <v/>
      </c>
      <c r="AJ382" s="60">
        <f>IF(C382="","",IFERROR(INDEX('Saisie'!$AO$5:$AO$2004,_xlfn.MAXIFS('Saisie'!$AS$5:$AS$2004,'Saisie'!$C$5:$C$2004,C382,'Saisie'!$AO$5:$AO$2004,"&lt;&gt;")-4),""))</f>
        <v/>
      </c>
      <c r="AK382" s="60">
        <f>IF(C382="","",IFERROR(INDEX('Saisie'!$AP$5:$AP$2004,_xlfn.MAXIFS('Saisie'!$AS$5:$AS$2004,'Saisie'!$C$5:$C$2004,C382,'Saisie'!$AP$5:$AP$2004,"&lt;&gt;")-4),""))</f>
        <v/>
      </c>
      <c r="AL382" s="60">
        <f>IF(C382="","",IFERROR(INDEX('Saisie'!$AQ$5:$AQ$2004,_xlfn.MAXIFS('Saisie'!$AS$5:$AS$2004,'Saisie'!$C$5:$C$2004,C382,'Saisie'!$AQ$5:$AQ$2004,"&lt;&gt;")-4),""))</f>
        <v/>
      </c>
      <c r="AM382" s="60">
        <f>IF(C382="","",((AI382="Oui")+(AJ382="Oui")+(AK382="Oui")+OR(AL382="Immédiat",AL382="&lt; 1 mois"))&amp;"/4")</f>
        <v/>
      </c>
      <c r="AN382" s="60">
        <f>IF(C382="","",IFERROR(INDEX('Saisie'!$AL$5:$AL$2004,_xlfn.MAXIFS('Saisie'!$AS$5:$AS$2004,'Saisie'!$C$5:$C$2004,C382,'Saisie'!$AL$5:$AL$2004,"&lt;&gt;")-4),""))</f>
        <v/>
      </c>
      <c r="AO382" s="62">
        <f>IF(C382="","",IF(IFERROR(INDEX('Saisie'!$AM$5:$AM$2004,_xlfn.MAXIFS('Saisie'!$AS$5:$AS$2004,'Saisie'!$C$5:$C$2004,C382,'Saisie'!$AM$5:$AM$2004,"&lt;&gt;")-4),"")&lt;&gt;"",IFERROR(INDEX('Saisie'!$AM$5:$AM$2004,_xlfn.MAXIFS('Saisie'!$AS$5:$AS$2004,'Saisie'!$C$5:$C$2004,C382,'Saisie'!$AM$5:$AM$2004,"&lt;&gt;")-4),""),IFERROR(INDEX('Paramètres'!$S$6:$S$15,MATCH(AN382,'Paramètres'!$Q$6:$Q$15,0)),"")))</f>
        <v/>
      </c>
      <c r="AP382" s="62">
        <f>IF(C382="","",IFERROR(INDEX('Saisie'!$AW$5:$AW$2004,_xlfn.MAXIFS('Saisie'!$AS$5:$AS$2004,'Saisie'!$C$5:$C$2004,C382,'Saisie'!$E$5:$E$2004,"Proposition envoyée")-4),""))</f>
        <v/>
      </c>
      <c r="AQ382" s="106">
        <f>IF(C382="","",IFERROR(1/(1/_xlfn.MAXIFS('Saisie'!$A$5:$A$2004,'Saisie'!$C$5:$C$2004,C382,'Saisie'!$E$5:$E$2004,"Proposition envoyée")),""))</f>
        <v/>
      </c>
      <c r="AR382" s="106">
        <f>IF(C382="","",IF(AQ382="","",AQ382+'Paramètres'!$B$26))</f>
        <v/>
      </c>
      <c r="AS382" s="62">
        <f>IF(OR(C382="",D382="Gagné",D382="Perdu"),0,N(AP382)*IFERROR(INDEX('Paramètres'!$G$6:$G$13,MATCH(D382,'Paramètres'!$F$6:$F$13,0)),0))</f>
        <v/>
      </c>
      <c r="AT382" s="106">
        <f>IF(C382="","",IFERROR(1/(1/_xlfn.MINIFS('Saisie'!$A$5:$A$2004,'Saisie'!$C$5:$C$2004,C382,'Saisie'!$E$5:$E$2004,"Signature")),""))</f>
        <v/>
      </c>
      <c r="AU382" s="60">
        <f>IF(C382="","",IF(OR(AT382="",B382=""),"",AT382-B382))</f>
        <v/>
      </c>
      <c r="AV382" s="60">
        <f>IF(C382="","",IFERROR(INDEX('Saisie'!$L$5:$L$2004,_xlfn.MAXIFS('Saisie'!$AS$5:$AS$2004,'Saisie'!$C$5:$C$2004,C382,'Saisie'!$L$5:$L$2004,"&lt;&gt;")-4),""))</f>
        <v/>
      </c>
      <c r="AW382" s="106">
        <f>IF(C382="","",IF(D382&lt;&gt;"Perdu","",IFERROR(1/(1/_xlfn.MAXIFS('Saisie'!$A$5:$A$2004,'Saisie'!$C$5:$C$2004,C382,'Saisie'!$E$5:$E$2004,"Perdu")),"")))</f>
        <v/>
      </c>
      <c r="AX382" s="106">
        <f>IF(C382="","",IF(AW382="","",AW382+'Paramètres'!$B$28))</f>
        <v/>
      </c>
      <c r="AY382" s="60">
        <f>IF(C382="","",SUMIFS('Saisie'!$H$5:$H$2004,'Saisie'!$C$5:$C$2004,C382))</f>
        <v/>
      </c>
      <c r="AZ382" s="60">
        <f>IF(C382="","",IFERROR(INDEX('Paramètres'!$W$6:$W$20,MATCH(S382,'Paramètres'!$V$6:$V$20,0))&amp;"",""))</f>
        <v/>
      </c>
      <c r="BA382" s="60">
        <f>IF(C382="","",MAX(1,_xlfn.MAXIFS('Saisie'!$AT$5:$AT$2004,'Saisie'!$C$5:$C$2004,C382)))</f>
        <v/>
      </c>
      <c r="BB382" s="60">
        <f>IF(C382="","",IFERROR(INDEX('Saisie'!$X$5:$X$2004,_xlfn.MAXIFS('Saisie'!$AS$5:$AS$2004,'Saisie'!$C$5:$C$2004,C382,'Saisie'!$X$5:$X$2004,"&lt;&gt;")-4),""))</f>
        <v/>
      </c>
      <c r="BC382" s="60">
        <f>IF(C382="","",IFERROR(INDEX('Saisie'!$Y$5:$Y$2004,_xlfn.MAXIFS('Saisie'!$AS$5:$AS$2004,'Saisie'!$C$5:$C$2004,C382,'Saisie'!$Y$5:$Y$2004,"&lt;&gt;")-4),""))</f>
        <v/>
      </c>
      <c r="BD382" s="106">
        <f>IF(C382="","",IFERROR(1/(1/_xlfn.MINIFS('Saisie'!$A$5:$A$2004,'Saisie'!$C$5:$C$2004,C382,'Saisie'!$AT$5:$AT$2004,"&gt;=2")),""))</f>
        <v/>
      </c>
      <c r="BE382" s="106">
        <f>IF(C382="","",IFERROR(1/(1/_xlfn.MINIFS('Saisie'!$A$5:$A$2004,'Saisie'!$C$5:$C$2004,C382,'Saisie'!$AT$5:$AT$2004,"&gt;=3")),""))</f>
        <v/>
      </c>
      <c r="BF382" s="106">
        <f>IF(C382="","",IFERROR(1/(1/_xlfn.MINIFS('Saisie'!$A$5:$A$2004,'Saisie'!$C$5:$C$2004,C382,'Saisie'!$AT$5:$AT$2004,"&gt;=4")),""))</f>
        <v/>
      </c>
      <c r="BG382" s="106">
        <f>IF(C382="","",IFERROR(1/(1/_xlfn.MINIFS('Saisie'!$A$5:$A$2004,'Saisie'!$C$5:$C$2004,C382,'Saisie'!$AT$5:$AT$2004,"&gt;=5")),""))</f>
        <v/>
      </c>
      <c r="BH382" s="106">
        <f>IF(C382="","",IFERROR(1/(1/_xlfn.MINIFS('Saisie'!$A$5:$A$2004,'Saisie'!$C$5:$C$2004,C382,'Saisie'!$AT$5:$AT$2004,"&gt;=6")),""))</f>
        <v/>
      </c>
      <c r="BI382" s="106">
        <f>IF(C382="","",IFERROR(1/(1/_xlfn.MINIFS('Saisie'!$A$5:$A$2004,'Saisie'!$C$5:$C$2004,C382,'Saisie'!$AT$5:$AT$2004,"&gt;=7")),""))</f>
        <v/>
      </c>
      <c r="BJ382" s="60">
        <f>IF(OR(BD382="",B382=""),"",BD382-B382)</f>
        <v/>
      </c>
      <c r="BK382" s="60">
        <f>IF(OR(BE382="",BD382=""),"",BE382-BD382)</f>
        <v/>
      </c>
      <c r="BL382" s="60">
        <f>IF(OR(BF382="",BE382=""),"",BF382-BE382)</f>
        <v/>
      </c>
      <c r="BM382" s="60">
        <f>IF(OR(BG382="",BF382=""),"",BG382-BF382)</f>
        <v/>
      </c>
      <c r="BN382" s="60">
        <f>IF(OR(BH382="",BG382=""),"",BH382-BG382)</f>
        <v/>
      </c>
      <c r="BO382" s="60">
        <f>IF(OR(BI382="",BH382=""),"",BI382-BH382)</f>
        <v/>
      </c>
      <c r="BP382" s="60">
        <f>IF(C382="","",_xlfn.MAXIFS('Saisie'!$AS$5:$AS$2004,'Saisie'!$C$5:$C$2004,C382,'Saisie'!$J$5:$J$2004,"&lt;&gt;"))</f>
        <v/>
      </c>
      <c r="BQ382" s="60">
        <f>IF(C382="","",_xlfn.MAXIFS('Saisie'!$AS$5:$AS$2004,'Saisie'!$C$5:$C$2004,C382))</f>
        <v/>
      </c>
      <c r="BR382" s="60">
        <f>IF(C382="","",_xlfn.MAXIFS('Saisie'!$AS$5:$AS$2004,'Saisie'!$C$5:$C$2004,C382,'Saisie'!$E$5:$E$2004,"Perdu"))</f>
        <v/>
      </c>
      <c r="BS382" s="60">
        <f>IF(C382="","",_xlfn.MAXIFS('Saisie'!$AS$5:$AS$2004,'Saisie'!$C$5:$C$2004,C382,'Saisie'!$AT$5:$AT$2004,"&gt;0"))</f>
        <v/>
      </c>
      <c r="BT382" s="109">
        <f>IF(AND(C382&lt;&gt;"",OR(D382="Nouveau",D382="Contacté",D382="Qualifié"),OR(G382="",N(G382)&lt;=TODAY()),NOT(AND(O382&gt;='Paramètres'!$B$21,P382=0))),E382+378/10000,"")</f>
        <v/>
      </c>
      <c r="BU382" s="60">
        <f>IF(AND(G382&lt;&gt;"",N(G382)&lt;=TODAY()),MAX($BU$4:BU381)+1,"")</f>
        <v/>
      </c>
      <c r="BV382" s="60">
        <f>IF(AND(F382&lt;&gt;"",F382&lt;&gt;"Relance en retard"),MAX($BV$4:BV381)+1,"")</f>
        <v/>
      </c>
      <c r="BW382" s="60">
        <f>IF(C382="","",IF(AND(B382&gt;='Tableau de bord'!$R$4,B382&lt;='Tableau de bord'!$S$4,OR('Tableau de bord'!$G$4="Tous",N382='Tableau de bord'!$G$4)),1,0))</f>
        <v/>
      </c>
      <c r="BX382" s="60">
        <f>IF(AND(C382&lt;&gt;"",N(BA382)=7),MAX($BX$4:BX381)+1,"")</f>
        <v/>
      </c>
    </row>
    <row r="383">
      <c r="A383" s="60">
        <f>IF(C383="","","P-"&amp;TEXT(379,"000"))</f>
        <v/>
      </c>
      <c r="B383" s="106">
        <f>IF(C383="","",IFERROR(1/(1/_xlfn.MINIFS('Saisie'!$A$5:$A$2004,'Saisie'!$C$5:$C$2004,C383)),""))</f>
        <v/>
      </c>
      <c r="C383" s="60">
        <f>IFERROR(INDEX('Saisie'!$C$5:$C$2004,MATCH(379,'Saisie'!$AX$5:$AX$2004,0)),"")</f>
        <v/>
      </c>
      <c r="D383" s="60">
        <f>IF(C383="","",IF(AND(BR383&gt;0,BR383&gt;BS383,BA383&lt;7),"Perdu",INDEX('Paramètres'!$F$6:$F$13,BA383)))</f>
        <v/>
      </c>
      <c r="E383" s="61">
        <f>IF(C383="","",MIN(100,(Z383="Oui")*'Paramètres'!$B$38+(AB383="Régulière")*'Paramètres'!$B$39+IF(AND(N(AA383)&gt;0,TODAY()-N(AA383)&lt;=30),'Paramètres'!$B$40,0)+(W383="")*'Paramètres'!$B$41+(AC383="Absente")*'Paramètres'!$B$42+(AC383="Faible")*'Paramètres'!$B$43+IF(AND(N(AD383)&gt;0,N(AD383)&lt;4),'Paramètres'!$B$44,0)+(AF383="Moyenne")*'Paramètres'!$B$45+(AF383="Grande")*'Paramètres'!$B$46+(Y383&lt;&gt;"")*'Paramètres'!$B$47))</f>
        <v/>
      </c>
      <c r="F383" s="60">
        <f>IF(C383="","",IF(D383="Gagné","",IF(D383="Perdu",IF(AND(AX383&lt;&gt;"",AX383&lt;=TODAY()),"À recontacter (perdu)",""),IF(AND(O383&gt;='Paramètres'!$B$21,P383=0),"Stop : "&amp;'Paramètres'!$B$21&amp;" tentatives sans réponse",IF(AND(D383="Proposition",AR383&lt;&gt;"",TODAY()&gt;N(AR383)),"Proposition expirée",IF(AND(D383="Proposition",N(R383)&gt;='Paramètres'!$B$25),"Proposition sans réponse",IF(AND(G383&lt;&gt;"",N(G383)&lt;TODAY()),"Relance en retard",IF(N(R383)&gt;='Paramètres'!$B$24,"Sans action depuis "&amp;R383&amp;" j",""))))))))</f>
        <v/>
      </c>
      <c r="G383" s="106">
        <f>IF(OR(C383="",D383="Gagné",D383="Perdu"),"",IF(AND(BP383&gt;0,BP383=BQ383),INDEX('Saisie'!$J$5:$J$2004,BP383-4),IF(OR(O383=0,AND(O383&gt;='Paramètres'!$B$21,P383=0)),"",Q383+IF(O383&lt;=1,'Paramètres'!$B$18,IF(O383=2,'Paramètres'!$B$19,'Paramètres'!$B$20)))))</f>
        <v/>
      </c>
      <c r="H383" s="107">
        <f>IF(OR(G383="",BP383&lt;&gt;BQ383),"",IF(INDEX('Saisie'!$K$5:$K$2004,BP383-4)="","",INDEX('Saisie'!$K$5:$K$2004,BP383-4)))</f>
        <v/>
      </c>
      <c r="I383" s="60">
        <f>IF(C383="","",IF(OR(D383="Gagné",D383="Perdu"),"",IFERROR(INDEX('Saisie'!$I$5:$I$2004,_xlfn.MAXIFS('Saisie'!$AS$5:$AS$2004,'Saisie'!$C$5:$C$2004,C383,'Saisie'!$I$5:$I$2004,"&lt;&gt;")-4),"")))</f>
        <v/>
      </c>
      <c r="J383" s="60">
        <f>IF(C383="","",IFERROR(INDEX('Saisie'!$U$5:$U$2004,_xlfn.MAXIFS('Saisie'!$AS$5:$AS$2004,'Saisie'!$C$5:$C$2004,C383,'Saisie'!$U$5:$U$2004,"&lt;&gt;")-4),""))</f>
        <v/>
      </c>
      <c r="K383" s="60">
        <f>IF(C383="","",IFERROR(INDEX('Saisie'!$W$5:$W$2004,_xlfn.MAXIFS('Saisie'!$AS$5:$AS$2004,'Saisie'!$C$5:$C$2004,C383,'Saisie'!$W$5:$W$2004,"&lt;&gt;")-4),""))</f>
        <v/>
      </c>
      <c r="L383" s="60">
        <f>IF(IF(BB383&lt;&gt;"",BB383,K383)="","",HYPERLINK("https://wa.me/"&amp;IF(LEFT(SUBSTITUTE(SUBSTITUTE(SUBSTITUTE(IF(BB383&lt;&gt;"",BB383,K383)," ",""),".",""),"+",""),1)="0",'Paramètres'!$B$35&amp;MID(SUBSTITUTE(SUBSTITUTE(SUBSTITUTE(IF(BB383&lt;&gt;"",BB383,K383)," ",""),".",""),"+",""),2,20),SUBSTITUTE(SUBSTITUTE(SUBSTITUTE(IF(BB383&lt;&gt;"",BB383,K383)," ",""),".",""),"+","")),"WhatsApp"))</f>
        <v/>
      </c>
      <c r="M383" s="60">
        <f>IF(BC383="","",HYPERLINK(IF(LEFT(BC383,4)="http",BC383,"https://www.instagram.com/"&amp;SUBSTITUTE(SUBSTITUTE(BC383,"@","")," ","")),BC383))</f>
        <v/>
      </c>
      <c r="N383" s="60">
        <f>IF(C383="","",IFERROR(INDEX('Saisie'!$D$5:$D$2004,_xlfn.MINIFS('Saisie'!$AS$5:$AS$2004,'Saisie'!$C$5:$C$2004,C383,'Saisie'!$AU$5:$AU$2004,1)-4),IFERROR(INDEX('Saisie'!$D$5:$D$2004,_xlfn.MINIFS('Saisie'!$AS$5:$AS$2004,'Saisie'!$C$5:$C$2004,C383,'Saisie'!$D$5:$D$2004,"&lt;&gt;")-4),"")))</f>
        <v/>
      </c>
      <c r="O383" s="60">
        <f>IF(C383="","",COUNTIFS('Saisie'!$C$5:$C$2004,C383,'Saisie'!$AU$5:$AU$2004,1))</f>
        <v/>
      </c>
      <c r="P383" s="60">
        <f>IF(C383="","",COUNTIFS('Saisie'!$C$5:$C$2004,C383,'Saisie'!$AV$5:$AV$2004,1))</f>
        <v/>
      </c>
      <c r="Q383" s="106">
        <f>IF(C383="","",IFERROR(1/(1/_xlfn.MAXIFS('Saisie'!$A$5:$A$2004,'Saisie'!$C$5:$C$2004,C383)),""))</f>
        <v/>
      </c>
      <c r="R383" s="61">
        <f>IF(C383="","",IF(Q383="","",TODAY()-Q383))</f>
        <v/>
      </c>
      <c r="S383" s="60">
        <f>IF(C383="","",IFERROR(INDEX('Saisie'!$R$5:$R$2004,_xlfn.MAXIFS('Saisie'!$AS$5:$AS$2004,'Saisie'!$C$5:$C$2004,C383,'Saisie'!$R$5:$R$2004,"&lt;&gt;")-4),""))</f>
        <v/>
      </c>
      <c r="T383" s="60">
        <f>IF(C383="","",IFERROR(INDEX('Saisie'!$S$5:$S$2004,_xlfn.MAXIFS('Saisie'!$AS$5:$AS$2004,'Saisie'!$C$5:$C$2004,C383,'Saisie'!$S$5:$S$2004,"&lt;&gt;")-4),""))</f>
        <v/>
      </c>
      <c r="U383" s="60">
        <f>IF(C383="","",IFERROR(INDEX('Saisie'!$T$5:$T$2004,_xlfn.MAXIFS('Saisie'!$AS$5:$AS$2004,'Saisie'!$C$5:$C$2004,C383,'Saisie'!$T$5:$T$2004,"&lt;&gt;")-4),""))</f>
        <v/>
      </c>
      <c r="V383" s="60">
        <f>IF(C383="","",IFERROR(INDEX('Saisie'!$V$5:$V$2004,_xlfn.MAXIFS('Saisie'!$AS$5:$AS$2004,'Saisie'!$C$5:$C$2004,C383,'Saisie'!$V$5:$V$2004,"&lt;&gt;")-4),""))</f>
        <v/>
      </c>
      <c r="W383" s="60">
        <f>IF(C383="","",IFERROR(INDEX('Saisie'!$Z$5:$Z$2004,_xlfn.MAXIFS('Saisie'!$AS$5:$AS$2004,'Saisie'!$C$5:$C$2004,C383,'Saisie'!$Z$5:$Z$2004,"&lt;&gt;")-4),""))</f>
        <v/>
      </c>
      <c r="X383" s="60">
        <f>IF(C383="","",IFERROR(INDEX('Saisie'!$AA$5:$AA$2004,_xlfn.MAXIFS('Saisie'!$AS$5:$AS$2004,'Saisie'!$C$5:$C$2004,C383,'Saisie'!$AA$5:$AA$2004,"&lt;&gt;")-4),""))</f>
        <v/>
      </c>
      <c r="Y383" s="60">
        <f>IF(C383="","",IFERROR(INDEX('Saisie'!$AB$5:$AB$2004,_xlfn.MAXIFS('Saisie'!$AS$5:$AS$2004,'Saisie'!$C$5:$C$2004,C383,'Saisie'!$AB$5:$AB$2004,"&lt;&gt;")-4),""))</f>
        <v/>
      </c>
      <c r="Z383" s="60">
        <f>IF(C383="","",IFERROR(INDEX('Saisie'!$AC$5:$AC$2004,_xlfn.MAXIFS('Saisie'!$AS$5:$AS$2004,'Saisie'!$C$5:$C$2004,C383,'Saisie'!$AC$5:$AC$2004,"&lt;&gt;")-4),""))</f>
        <v/>
      </c>
      <c r="AA383" s="106">
        <f>IF(C383="","",IFERROR(INDEX('Saisie'!$AD$5:$AD$2004,_xlfn.MAXIFS('Saisie'!$AS$5:$AS$2004,'Saisie'!$C$5:$C$2004,C383,'Saisie'!$AD$5:$AD$2004,"&lt;&gt;")-4),""))</f>
        <v/>
      </c>
      <c r="AB383" s="60">
        <f>IF(C383="","",IFERROR(INDEX('Saisie'!$AE$5:$AE$2004,_xlfn.MAXIFS('Saisie'!$AS$5:$AS$2004,'Saisie'!$C$5:$C$2004,C383,'Saisie'!$AE$5:$AE$2004,"&lt;&gt;")-4),""))</f>
        <v/>
      </c>
      <c r="AC383" s="60">
        <f>IF(C383="","",IFERROR(INDEX('Saisie'!$AF$5:$AF$2004,_xlfn.MAXIFS('Saisie'!$AS$5:$AS$2004,'Saisie'!$C$5:$C$2004,C383,'Saisie'!$AF$5:$AF$2004,"&lt;&gt;")-4),""))</f>
        <v/>
      </c>
      <c r="AD383" s="108">
        <f>IF(C383="","",IFERROR(INDEX('Saisie'!$AG$5:$AG$2004,_xlfn.MAXIFS('Saisie'!$AS$5:$AS$2004,'Saisie'!$C$5:$C$2004,C383,'Saisie'!$AG$5:$AG$2004,"&lt;&gt;")-4),""))</f>
        <v/>
      </c>
      <c r="AE383" s="60">
        <f>IF(C383="","",IFERROR(INDEX('Saisie'!$AH$5:$AH$2004,_xlfn.MAXIFS('Saisie'!$AS$5:$AS$2004,'Saisie'!$C$5:$C$2004,C383,'Saisie'!$AH$5:$AH$2004,"&lt;&gt;")-4),""))</f>
        <v/>
      </c>
      <c r="AF383" s="60">
        <f>IF(C383="","",IFERROR(INDEX('Saisie'!$AI$5:$AI$2004,_xlfn.MAXIFS('Saisie'!$AS$5:$AS$2004,'Saisie'!$C$5:$C$2004,C383,'Saisie'!$AI$5:$AI$2004,"&lt;&gt;")-4),""))</f>
        <v/>
      </c>
      <c r="AG383" s="60">
        <f>IF(C383="","",IFERROR(INDEX('Saisie'!$AJ$5:$AJ$2004,_xlfn.MAXIFS('Saisie'!$AS$5:$AS$2004,'Saisie'!$C$5:$C$2004,C383,'Saisie'!$AJ$5:$AJ$2004,"&lt;&gt;")-4),""))</f>
        <v/>
      </c>
      <c r="AH383" s="60">
        <f>IF(C383="","",IFERROR(INDEX('Saisie'!$AK$5:$AK$2004,_xlfn.MAXIFS('Saisie'!$AS$5:$AS$2004,'Saisie'!$C$5:$C$2004,C383,'Saisie'!$AK$5:$AK$2004,"&lt;&gt;")-4),""))</f>
        <v/>
      </c>
      <c r="AI383" s="60">
        <f>IF(C383="","",IFERROR(INDEX('Saisie'!$AN$5:$AN$2004,_xlfn.MAXIFS('Saisie'!$AS$5:$AS$2004,'Saisie'!$C$5:$C$2004,C383,'Saisie'!$AN$5:$AN$2004,"&lt;&gt;")-4),""))</f>
        <v/>
      </c>
      <c r="AJ383" s="60">
        <f>IF(C383="","",IFERROR(INDEX('Saisie'!$AO$5:$AO$2004,_xlfn.MAXIFS('Saisie'!$AS$5:$AS$2004,'Saisie'!$C$5:$C$2004,C383,'Saisie'!$AO$5:$AO$2004,"&lt;&gt;")-4),""))</f>
        <v/>
      </c>
      <c r="AK383" s="60">
        <f>IF(C383="","",IFERROR(INDEX('Saisie'!$AP$5:$AP$2004,_xlfn.MAXIFS('Saisie'!$AS$5:$AS$2004,'Saisie'!$C$5:$C$2004,C383,'Saisie'!$AP$5:$AP$2004,"&lt;&gt;")-4),""))</f>
        <v/>
      </c>
      <c r="AL383" s="60">
        <f>IF(C383="","",IFERROR(INDEX('Saisie'!$AQ$5:$AQ$2004,_xlfn.MAXIFS('Saisie'!$AS$5:$AS$2004,'Saisie'!$C$5:$C$2004,C383,'Saisie'!$AQ$5:$AQ$2004,"&lt;&gt;")-4),""))</f>
        <v/>
      </c>
      <c r="AM383" s="60">
        <f>IF(C383="","",((AI383="Oui")+(AJ383="Oui")+(AK383="Oui")+OR(AL383="Immédiat",AL383="&lt; 1 mois"))&amp;"/4")</f>
        <v/>
      </c>
      <c r="AN383" s="60">
        <f>IF(C383="","",IFERROR(INDEX('Saisie'!$AL$5:$AL$2004,_xlfn.MAXIFS('Saisie'!$AS$5:$AS$2004,'Saisie'!$C$5:$C$2004,C383,'Saisie'!$AL$5:$AL$2004,"&lt;&gt;")-4),""))</f>
        <v/>
      </c>
      <c r="AO383" s="62">
        <f>IF(C383="","",IF(IFERROR(INDEX('Saisie'!$AM$5:$AM$2004,_xlfn.MAXIFS('Saisie'!$AS$5:$AS$2004,'Saisie'!$C$5:$C$2004,C383,'Saisie'!$AM$5:$AM$2004,"&lt;&gt;")-4),"")&lt;&gt;"",IFERROR(INDEX('Saisie'!$AM$5:$AM$2004,_xlfn.MAXIFS('Saisie'!$AS$5:$AS$2004,'Saisie'!$C$5:$C$2004,C383,'Saisie'!$AM$5:$AM$2004,"&lt;&gt;")-4),""),IFERROR(INDEX('Paramètres'!$S$6:$S$15,MATCH(AN383,'Paramètres'!$Q$6:$Q$15,0)),"")))</f>
        <v/>
      </c>
      <c r="AP383" s="62">
        <f>IF(C383="","",IFERROR(INDEX('Saisie'!$AW$5:$AW$2004,_xlfn.MAXIFS('Saisie'!$AS$5:$AS$2004,'Saisie'!$C$5:$C$2004,C383,'Saisie'!$E$5:$E$2004,"Proposition envoyée")-4),""))</f>
        <v/>
      </c>
      <c r="AQ383" s="106">
        <f>IF(C383="","",IFERROR(1/(1/_xlfn.MAXIFS('Saisie'!$A$5:$A$2004,'Saisie'!$C$5:$C$2004,C383,'Saisie'!$E$5:$E$2004,"Proposition envoyée")),""))</f>
        <v/>
      </c>
      <c r="AR383" s="106">
        <f>IF(C383="","",IF(AQ383="","",AQ383+'Paramètres'!$B$26))</f>
        <v/>
      </c>
      <c r="AS383" s="62">
        <f>IF(OR(C383="",D383="Gagné",D383="Perdu"),0,N(AP383)*IFERROR(INDEX('Paramètres'!$G$6:$G$13,MATCH(D383,'Paramètres'!$F$6:$F$13,0)),0))</f>
        <v/>
      </c>
      <c r="AT383" s="106">
        <f>IF(C383="","",IFERROR(1/(1/_xlfn.MINIFS('Saisie'!$A$5:$A$2004,'Saisie'!$C$5:$C$2004,C383,'Saisie'!$E$5:$E$2004,"Signature")),""))</f>
        <v/>
      </c>
      <c r="AU383" s="60">
        <f>IF(C383="","",IF(OR(AT383="",B383=""),"",AT383-B383))</f>
        <v/>
      </c>
      <c r="AV383" s="60">
        <f>IF(C383="","",IFERROR(INDEX('Saisie'!$L$5:$L$2004,_xlfn.MAXIFS('Saisie'!$AS$5:$AS$2004,'Saisie'!$C$5:$C$2004,C383,'Saisie'!$L$5:$L$2004,"&lt;&gt;")-4),""))</f>
        <v/>
      </c>
      <c r="AW383" s="106">
        <f>IF(C383="","",IF(D383&lt;&gt;"Perdu","",IFERROR(1/(1/_xlfn.MAXIFS('Saisie'!$A$5:$A$2004,'Saisie'!$C$5:$C$2004,C383,'Saisie'!$E$5:$E$2004,"Perdu")),"")))</f>
        <v/>
      </c>
      <c r="AX383" s="106">
        <f>IF(C383="","",IF(AW383="","",AW383+'Paramètres'!$B$28))</f>
        <v/>
      </c>
      <c r="AY383" s="60">
        <f>IF(C383="","",SUMIFS('Saisie'!$H$5:$H$2004,'Saisie'!$C$5:$C$2004,C383))</f>
        <v/>
      </c>
      <c r="AZ383" s="60">
        <f>IF(C383="","",IFERROR(INDEX('Paramètres'!$W$6:$W$20,MATCH(S383,'Paramètres'!$V$6:$V$20,0))&amp;"",""))</f>
        <v/>
      </c>
      <c r="BA383" s="60">
        <f>IF(C383="","",MAX(1,_xlfn.MAXIFS('Saisie'!$AT$5:$AT$2004,'Saisie'!$C$5:$C$2004,C383)))</f>
        <v/>
      </c>
      <c r="BB383" s="60">
        <f>IF(C383="","",IFERROR(INDEX('Saisie'!$X$5:$X$2004,_xlfn.MAXIFS('Saisie'!$AS$5:$AS$2004,'Saisie'!$C$5:$C$2004,C383,'Saisie'!$X$5:$X$2004,"&lt;&gt;")-4),""))</f>
        <v/>
      </c>
      <c r="BC383" s="60">
        <f>IF(C383="","",IFERROR(INDEX('Saisie'!$Y$5:$Y$2004,_xlfn.MAXIFS('Saisie'!$AS$5:$AS$2004,'Saisie'!$C$5:$C$2004,C383,'Saisie'!$Y$5:$Y$2004,"&lt;&gt;")-4),""))</f>
        <v/>
      </c>
      <c r="BD383" s="106">
        <f>IF(C383="","",IFERROR(1/(1/_xlfn.MINIFS('Saisie'!$A$5:$A$2004,'Saisie'!$C$5:$C$2004,C383,'Saisie'!$AT$5:$AT$2004,"&gt;=2")),""))</f>
        <v/>
      </c>
      <c r="BE383" s="106">
        <f>IF(C383="","",IFERROR(1/(1/_xlfn.MINIFS('Saisie'!$A$5:$A$2004,'Saisie'!$C$5:$C$2004,C383,'Saisie'!$AT$5:$AT$2004,"&gt;=3")),""))</f>
        <v/>
      </c>
      <c r="BF383" s="106">
        <f>IF(C383="","",IFERROR(1/(1/_xlfn.MINIFS('Saisie'!$A$5:$A$2004,'Saisie'!$C$5:$C$2004,C383,'Saisie'!$AT$5:$AT$2004,"&gt;=4")),""))</f>
        <v/>
      </c>
      <c r="BG383" s="106">
        <f>IF(C383="","",IFERROR(1/(1/_xlfn.MINIFS('Saisie'!$A$5:$A$2004,'Saisie'!$C$5:$C$2004,C383,'Saisie'!$AT$5:$AT$2004,"&gt;=5")),""))</f>
        <v/>
      </c>
      <c r="BH383" s="106">
        <f>IF(C383="","",IFERROR(1/(1/_xlfn.MINIFS('Saisie'!$A$5:$A$2004,'Saisie'!$C$5:$C$2004,C383,'Saisie'!$AT$5:$AT$2004,"&gt;=6")),""))</f>
        <v/>
      </c>
      <c r="BI383" s="106">
        <f>IF(C383="","",IFERROR(1/(1/_xlfn.MINIFS('Saisie'!$A$5:$A$2004,'Saisie'!$C$5:$C$2004,C383,'Saisie'!$AT$5:$AT$2004,"&gt;=7")),""))</f>
        <v/>
      </c>
      <c r="BJ383" s="60">
        <f>IF(OR(BD383="",B383=""),"",BD383-B383)</f>
        <v/>
      </c>
      <c r="BK383" s="60">
        <f>IF(OR(BE383="",BD383=""),"",BE383-BD383)</f>
        <v/>
      </c>
      <c r="BL383" s="60">
        <f>IF(OR(BF383="",BE383=""),"",BF383-BE383)</f>
        <v/>
      </c>
      <c r="BM383" s="60">
        <f>IF(OR(BG383="",BF383=""),"",BG383-BF383)</f>
        <v/>
      </c>
      <c r="BN383" s="60">
        <f>IF(OR(BH383="",BG383=""),"",BH383-BG383)</f>
        <v/>
      </c>
      <c r="BO383" s="60">
        <f>IF(OR(BI383="",BH383=""),"",BI383-BH383)</f>
        <v/>
      </c>
      <c r="BP383" s="60">
        <f>IF(C383="","",_xlfn.MAXIFS('Saisie'!$AS$5:$AS$2004,'Saisie'!$C$5:$C$2004,C383,'Saisie'!$J$5:$J$2004,"&lt;&gt;"))</f>
        <v/>
      </c>
      <c r="BQ383" s="60">
        <f>IF(C383="","",_xlfn.MAXIFS('Saisie'!$AS$5:$AS$2004,'Saisie'!$C$5:$C$2004,C383))</f>
        <v/>
      </c>
      <c r="BR383" s="60">
        <f>IF(C383="","",_xlfn.MAXIFS('Saisie'!$AS$5:$AS$2004,'Saisie'!$C$5:$C$2004,C383,'Saisie'!$E$5:$E$2004,"Perdu"))</f>
        <v/>
      </c>
      <c r="BS383" s="60">
        <f>IF(C383="","",_xlfn.MAXIFS('Saisie'!$AS$5:$AS$2004,'Saisie'!$C$5:$C$2004,C383,'Saisie'!$AT$5:$AT$2004,"&gt;0"))</f>
        <v/>
      </c>
      <c r="BT383" s="109">
        <f>IF(AND(C383&lt;&gt;"",OR(D383="Nouveau",D383="Contacté",D383="Qualifié"),OR(G383="",N(G383)&lt;=TODAY()),NOT(AND(O383&gt;='Paramètres'!$B$21,P383=0))),E383+379/10000,"")</f>
        <v/>
      </c>
      <c r="BU383" s="60">
        <f>IF(AND(G383&lt;&gt;"",N(G383)&lt;=TODAY()),MAX($BU$4:BU382)+1,"")</f>
        <v/>
      </c>
      <c r="BV383" s="60">
        <f>IF(AND(F383&lt;&gt;"",F383&lt;&gt;"Relance en retard"),MAX($BV$4:BV382)+1,"")</f>
        <v/>
      </c>
      <c r="BW383" s="60">
        <f>IF(C383="","",IF(AND(B383&gt;='Tableau de bord'!$R$4,B383&lt;='Tableau de bord'!$S$4,OR('Tableau de bord'!$G$4="Tous",N383='Tableau de bord'!$G$4)),1,0))</f>
        <v/>
      </c>
      <c r="BX383" s="60">
        <f>IF(AND(C383&lt;&gt;"",N(BA383)=7),MAX($BX$4:BX382)+1,"")</f>
        <v/>
      </c>
    </row>
    <row r="384">
      <c r="A384" s="60">
        <f>IF(C384="","","P-"&amp;TEXT(380,"000"))</f>
        <v/>
      </c>
      <c r="B384" s="106">
        <f>IF(C384="","",IFERROR(1/(1/_xlfn.MINIFS('Saisie'!$A$5:$A$2004,'Saisie'!$C$5:$C$2004,C384)),""))</f>
        <v/>
      </c>
      <c r="C384" s="60">
        <f>IFERROR(INDEX('Saisie'!$C$5:$C$2004,MATCH(380,'Saisie'!$AX$5:$AX$2004,0)),"")</f>
        <v/>
      </c>
      <c r="D384" s="60">
        <f>IF(C384="","",IF(AND(BR384&gt;0,BR384&gt;BS384,BA384&lt;7),"Perdu",INDEX('Paramètres'!$F$6:$F$13,BA384)))</f>
        <v/>
      </c>
      <c r="E384" s="61">
        <f>IF(C384="","",MIN(100,(Z384="Oui")*'Paramètres'!$B$38+(AB384="Régulière")*'Paramètres'!$B$39+IF(AND(N(AA384)&gt;0,TODAY()-N(AA384)&lt;=30),'Paramètres'!$B$40,0)+(W384="")*'Paramètres'!$B$41+(AC384="Absente")*'Paramètres'!$B$42+(AC384="Faible")*'Paramètres'!$B$43+IF(AND(N(AD384)&gt;0,N(AD384)&lt;4),'Paramètres'!$B$44,0)+(AF384="Moyenne")*'Paramètres'!$B$45+(AF384="Grande")*'Paramètres'!$B$46+(Y384&lt;&gt;"")*'Paramètres'!$B$47))</f>
        <v/>
      </c>
      <c r="F384" s="60">
        <f>IF(C384="","",IF(D384="Gagné","",IF(D384="Perdu",IF(AND(AX384&lt;&gt;"",AX384&lt;=TODAY()),"À recontacter (perdu)",""),IF(AND(O384&gt;='Paramètres'!$B$21,P384=0),"Stop : "&amp;'Paramètres'!$B$21&amp;" tentatives sans réponse",IF(AND(D384="Proposition",AR384&lt;&gt;"",TODAY()&gt;N(AR384)),"Proposition expirée",IF(AND(D384="Proposition",N(R384)&gt;='Paramètres'!$B$25),"Proposition sans réponse",IF(AND(G384&lt;&gt;"",N(G384)&lt;TODAY()),"Relance en retard",IF(N(R384)&gt;='Paramètres'!$B$24,"Sans action depuis "&amp;R384&amp;" j",""))))))))</f>
        <v/>
      </c>
      <c r="G384" s="106">
        <f>IF(OR(C384="",D384="Gagné",D384="Perdu"),"",IF(AND(BP384&gt;0,BP384=BQ384),INDEX('Saisie'!$J$5:$J$2004,BP384-4),IF(OR(O384=0,AND(O384&gt;='Paramètres'!$B$21,P384=0)),"",Q384+IF(O384&lt;=1,'Paramètres'!$B$18,IF(O384=2,'Paramètres'!$B$19,'Paramètres'!$B$20)))))</f>
        <v/>
      </c>
      <c r="H384" s="107">
        <f>IF(OR(G384="",BP384&lt;&gt;BQ384),"",IF(INDEX('Saisie'!$K$5:$K$2004,BP384-4)="","",INDEX('Saisie'!$K$5:$K$2004,BP384-4)))</f>
        <v/>
      </c>
      <c r="I384" s="60">
        <f>IF(C384="","",IF(OR(D384="Gagné",D384="Perdu"),"",IFERROR(INDEX('Saisie'!$I$5:$I$2004,_xlfn.MAXIFS('Saisie'!$AS$5:$AS$2004,'Saisie'!$C$5:$C$2004,C384,'Saisie'!$I$5:$I$2004,"&lt;&gt;")-4),"")))</f>
        <v/>
      </c>
      <c r="J384" s="60">
        <f>IF(C384="","",IFERROR(INDEX('Saisie'!$U$5:$U$2004,_xlfn.MAXIFS('Saisie'!$AS$5:$AS$2004,'Saisie'!$C$5:$C$2004,C384,'Saisie'!$U$5:$U$2004,"&lt;&gt;")-4),""))</f>
        <v/>
      </c>
      <c r="K384" s="60">
        <f>IF(C384="","",IFERROR(INDEX('Saisie'!$W$5:$W$2004,_xlfn.MAXIFS('Saisie'!$AS$5:$AS$2004,'Saisie'!$C$5:$C$2004,C384,'Saisie'!$W$5:$W$2004,"&lt;&gt;")-4),""))</f>
        <v/>
      </c>
      <c r="L384" s="60">
        <f>IF(IF(BB384&lt;&gt;"",BB384,K384)="","",HYPERLINK("https://wa.me/"&amp;IF(LEFT(SUBSTITUTE(SUBSTITUTE(SUBSTITUTE(IF(BB384&lt;&gt;"",BB384,K384)," ",""),".",""),"+",""),1)="0",'Paramètres'!$B$35&amp;MID(SUBSTITUTE(SUBSTITUTE(SUBSTITUTE(IF(BB384&lt;&gt;"",BB384,K384)," ",""),".",""),"+",""),2,20),SUBSTITUTE(SUBSTITUTE(SUBSTITUTE(IF(BB384&lt;&gt;"",BB384,K384)," ",""),".",""),"+","")),"WhatsApp"))</f>
        <v/>
      </c>
      <c r="M384" s="60">
        <f>IF(BC384="","",HYPERLINK(IF(LEFT(BC384,4)="http",BC384,"https://www.instagram.com/"&amp;SUBSTITUTE(SUBSTITUTE(BC384,"@","")," ","")),BC384))</f>
        <v/>
      </c>
      <c r="N384" s="60">
        <f>IF(C384="","",IFERROR(INDEX('Saisie'!$D$5:$D$2004,_xlfn.MINIFS('Saisie'!$AS$5:$AS$2004,'Saisie'!$C$5:$C$2004,C384,'Saisie'!$AU$5:$AU$2004,1)-4),IFERROR(INDEX('Saisie'!$D$5:$D$2004,_xlfn.MINIFS('Saisie'!$AS$5:$AS$2004,'Saisie'!$C$5:$C$2004,C384,'Saisie'!$D$5:$D$2004,"&lt;&gt;")-4),"")))</f>
        <v/>
      </c>
      <c r="O384" s="60">
        <f>IF(C384="","",COUNTIFS('Saisie'!$C$5:$C$2004,C384,'Saisie'!$AU$5:$AU$2004,1))</f>
        <v/>
      </c>
      <c r="P384" s="60">
        <f>IF(C384="","",COUNTIFS('Saisie'!$C$5:$C$2004,C384,'Saisie'!$AV$5:$AV$2004,1))</f>
        <v/>
      </c>
      <c r="Q384" s="106">
        <f>IF(C384="","",IFERROR(1/(1/_xlfn.MAXIFS('Saisie'!$A$5:$A$2004,'Saisie'!$C$5:$C$2004,C384)),""))</f>
        <v/>
      </c>
      <c r="R384" s="61">
        <f>IF(C384="","",IF(Q384="","",TODAY()-Q384))</f>
        <v/>
      </c>
      <c r="S384" s="60">
        <f>IF(C384="","",IFERROR(INDEX('Saisie'!$R$5:$R$2004,_xlfn.MAXIFS('Saisie'!$AS$5:$AS$2004,'Saisie'!$C$5:$C$2004,C384,'Saisie'!$R$5:$R$2004,"&lt;&gt;")-4),""))</f>
        <v/>
      </c>
      <c r="T384" s="60">
        <f>IF(C384="","",IFERROR(INDEX('Saisie'!$S$5:$S$2004,_xlfn.MAXIFS('Saisie'!$AS$5:$AS$2004,'Saisie'!$C$5:$C$2004,C384,'Saisie'!$S$5:$S$2004,"&lt;&gt;")-4),""))</f>
        <v/>
      </c>
      <c r="U384" s="60">
        <f>IF(C384="","",IFERROR(INDEX('Saisie'!$T$5:$T$2004,_xlfn.MAXIFS('Saisie'!$AS$5:$AS$2004,'Saisie'!$C$5:$C$2004,C384,'Saisie'!$T$5:$T$2004,"&lt;&gt;")-4),""))</f>
        <v/>
      </c>
      <c r="V384" s="60">
        <f>IF(C384="","",IFERROR(INDEX('Saisie'!$V$5:$V$2004,_xlfn.MAXIFS('Saisie'!$AS$5:$AS$2004,'Saisie'!$C$5:$C$2004,C384,'Saisie'!$V$5:$V$2004,"&lt;&gt;")-4),""))</f>
        <v/>
      </c>
      <c r="W384" s="60">
        <f>IF(C384="","",IFERROR(INDEX('Saisie'!$Z$5:$Z$2004,_xlfn.MAXIFS('Saisie'!$AS$5:$AS$2004,'Saisie'!$C$5:$C$2004,C384,'Saisie'!$Z$5:$Z$2004,"&lt;&gt;")-4),""))</f>
        <v/>
      </c>
      <c r="X384" s="60">
        <f>IF(C384="","",IFERROR(INDEX('Saisie'!$AA$5:$AA$2004,_xlfn.MAXIFS('Saisie'!$AS$5:$AS$2004,'Saisie'!$C$5:$C$2004,C384,'Saisie'!$AA$5:$AA$2004,"&lt;&gt;")-4),""))</f>
        <v/>
      </c>
      <c r="Y384" s="60">
        <f>IF(C384="","",IFERROR(INDEX('Saisie'!$AB$5:$AB$2004,_xlfn.MAXIFS('Saisie'!$AS$5:$AS$2004,'Saisie'!$C$5:$C$2004,C384,'Saisie'!$AB$5:$AB$2004,"&lt;&gt;")-4),""))</f>
        <v/>
      </c>
      <c r="Z384" s="60">
        <f>IF(C384="","",IFERROR(INDEX('Saisie'!$AC$5:$AC$2004,_xlfn.MAXIFS('Saisie'!$AS$5:$AS$2004,'Saisie'!$C$5:$C$2004,C384,'Saisie'!$AC$5:$AC$2004,"&lt;&gt;")-4),""))</f>
        <v/>
      </c>
      <c r="AA384" s="106">
        <f>IF(C384="","",IFERROR(INDEX('Saisie'!$AD$5:$AD$2004,_xlfn.MAXIFS('Saisie'!$AS$5:$AS$2004,'Saisie'!$C$5:$C$2004,C384,'Saisie'!$AD$5:$AD$2004,"&lt;&gt;")-4),""))</f>
        <v/>
      </c>
      <c r="AB384" s="60">
        <f>IF(C384="","",IFERROR(INDEX('Saisie'!$AE$5:$AE$2004,_xlfn.MAXIFS('Saisie'!$AS$5:$AS$2004,'Saisie'!$C$5:$C$2004,C384,'Saisie'!$AE$5:$AE$2004,"&lt;&gt;")-4),""))</f>
        <v/>
      </c>
      <c r="AC384" s="60">
        <f>IF(C384="","",IFERROR(INDEX('Saisie'!$AF$5:$AF$2004,_xlfn.MAXIFS('Saisie'!$AS$5:$AS$2004,'Saisie'!$C$5:$C$2004,C384,'Saisie'!$AF$5:$AF$2004,"&lt;&gt;")-4),""))</f>
        <v/>
      </c>
      <c r="AD384" s="108">
        <f>IF(C384="","",IFERROR(INDEX('Saisie'!$AG$5:$AG$2004,_xlfn.MAXIFS('Saisie'!$AS$5:$AS$2004,'Saisie'!$C$5:$C$2004,C384,'Saisie'!$AG$5:$AG$2004,"&lt;&gt;")-4),""))</f>
        <v/>
      </c>
      <c r="AE384" s="60">
        <f>IF(C384="","",IFERROR(INDEX('Saisie'!$AH$5:$AH$2004,_xlfn.MAXIFS('Saisie'!$AS$5:$AS$2004,'Saisie'!$C$5:$C$2004,C384,'Saisie'!$AH$5:$AH$2004,"&lt;&gt;")-4),""))</f>
        <v/>
      </c>
      <c r="AF384" s="60">
        <f>IF(C384="","",IFERROR(INDEX('Saisie'!$AI$5:$AI$2004,_xlfn.MAXIFS('Saisie'!$AS$5:$AS$2004,'Saisie'!$C$5:$C$2004,C384,'Saisie'!$AI$5:$AI$2004,"&lt;&gt;")-4),""))</f>
        <v/>
      </c>
      <c r="AG384" s="60">
        <f>IF(C384="","",IFERROR(INDEX('Saisie'!$AJ$5:$AJ$2004,_xlfn.MAXIFS('Saisie'!$AS$5:$AS$2004,'Saisie'!$C$5:$C$2004,C384,'Saisie'!$AJ$5:$AJ$2004,"&lt;&gt;")-4),""))</f>
        <v/>
      </c>
      <c r="AH384" s="60">
        <f>IF(C384="","",IFERROR(INDEX('Saisie'!$AK$5:$AK$2004,_xlfn.MAXIFS('Saisie'!$AS$5:$AS$2004,'Saisie'!$C$5:$C$2004,C384,'Saisie'!$AK$5:$AK$2004,"&lt;&gt;")-4),""))</f>
        <v/>
      </c>
      <c r="AI384" s="60">
        <f>IF(C384="","",IFERROR(INDEX('Saisie'!$AN$5:$AN$2004,_xlfn.MAXIFS('Saisie'!$AS$5:$AS$2004,'Saisie'!$C$5:$C$2004,C384,'Saisie'!$AN$5:$AN$2004,"&lt;&gt;")-4),""))</f>
        <v/>
      </c>
      <c r="AJ384" s="60">
        <f>IF(C384="","",IFERROR(INDEX('Saisie'!$AO$5:$AO$2004,_xlfn.MAXIFS('Saisie'!$AS$5:$AS$2004,'Saisie'!$C$5:$C$2004,C384,'Saisie'!$AO$5:$AO$2004,"&lt;&gt;")-4),""))</f>
        <v/>
      </c>
      <c r="AK384" s="60">
        <f>IF(C384="","",IFERROR(INDEX('Saisie'!$AP$5:$AP$2004,_xlfn.MAXIFS('Saisie'!$AS$5:$AS$2004,'Saisie'!$C$5:$C$2004,C384,'Saisie'!$AP$5:$AP$2004,"&lt;&gt;")-4),""))</f>
        <v/>
      </c>
      <c r="AL384" s="60">
        <f>IF(C384="","",IFERROR(INDEX('Saisie'!$AQ$5:$AQ$2004,_xlfn.MAXIFS('Saisie'!$AS$5:$AS$2004,'Saisie'!$C$5:$C$2004,C384,'Saisie'!$AQ$5:$AQ$2004,"&lt;&gt;")-4),""))</f>
        <v/>
      </c>
      <c r="AM384" s="60">
        <f>IF(C384="","",((AI384="Oui")+(AJ384="Oui")+(AK384="Oui")+OR(AL384="Immédiat",AL384="&lt; 1 mois"))&amp;"/4")</f>
        <v/>
      </c>
      <c r="AN384" s="60">
        <f>IF(C384="","",IFERROR(INDEX('Saisie'!$AL$5:$AL$2004,_xlfn.MAXIFS('Saisie'!$AS$5:$AS$2004,'Saisie'!$C$5:$C$2004,C384,'Saisie'!$AL$5:$AL$2004,"&lt;&gt;")-4),""))</f>
        <v/>
      </c>
      <c r="AO384" s="62">
        <f>IF(C384="","",IF(IFERROR(INDEX('Saisie'!$AM$5:$AM$2004,_xlfn.MAXIFS('Saisie'!$AS$5:$AS$2004,'Saisie'!$C$5:$C$2004,C384,'Saisie'!$AM$5:$AM$2004,"&lt;&gt;")-4),"")&lt;&gt;"",IFERROR(INDEX('Saisie'!$AM$5:$AM$2004,_xlfn.MAXIFS('Saisie'!$AS$5:$AS$2004,'Saisie'!$C$5:$C$2004,C384,'Saisie'!$AM$5:$AM$2004,"&lt;&gt;")-4),""),IFERROR(INDEX('Paramètres'!$S$6:$S$15,MATCH(AN384,'Paramètres'!$Q$6:$Q$15,0)),"")))</f>
        <v/>
      </c>
      <c r="AP384" s="62">
        <f>IF(C384="","",IFERROR(INDEX('Saisie'!$AW$5:$AW$2004,_xlfn.MAXIFS('Saisie'!$AS$5:$AS$2004,'Saisie'!$C$5:$C$2004,C384,'Saisie'!$E$5:$E$2004,"Proposition envoyée")-4),""))</f>
        <v/>
      </c>
      <c r="AQ384" s="106">
        <f>IF(C384="","",IFERROR(1/(1/_xlfn.MAXIFS('Saisie'!$A$5:$A$2004,'Saisie'!$C$5:$C$2004,C384,'Saisie'!$E$5:$E$2004,"Proposition envoyée")),""))</f>
        <v/>
      </c>
      <c r="AR384" s="106">
        <f>IF(C384="","",IF(AQ384="","",AQ384+'Paramètres'!$B$26))</f>
        <v/>
      </c>
      <c r="AS384" s="62">
        <f>IF(OR(C384="",D384="Gagné",D384="Perdu"),0,N(AP384)*IFERROR(INDEX('Paramètres'!$G$6:$G$13,MATCH(D384,'Paramètres'!$F$6:$F$13,0)),0))</f>
        <v/>
      </c>
      <c r="AT384" s="106">
        <f>IF(C384="","",IFERROR(1/(1/_xlfn.MINIFS('Saisie'!$A$5:$A$2004,'Saisie'!$C$5:$C$2004,C384,'Saisie'!$E$5:$E$2004,"Signature")),""))</f>
        <v/>
      </c>
      <c r="AU384" s="60">
        <f>IF(C384="","",IF(OR(AT384="",B384=""),"",AT384-B384))</f>
        <v/>
      </c>
      <c r="AV384" s="60">
        <f>IF(C384="","",IFERROR(INDEX('Saisie'!$L$5:$L$2004,_xlfn.MAXIFS('Saisie'!$AS$5:$AS$2004,'Saisie'!$C$5:$C$2004,C384,'Saisie'!$L$5:$L$2004,"&lt;&gt;")-4),""))</f>
        <v/>
      </c>
      <c r="AW384" s="106">
        <f>IF(C384="","",IF(D384&lt;&gt;"Perdu","",IFERROR(1/(1/_xlfn.MAXIFS('Saisie'!$A$5:$A$2004,'Saisie'!$C$5:$C$2004,C384,'Saisie'!$E$5:$E$2004,"Perdu")),"")))</f>
        <v/>
      </c>
      <c r="AX384" s="106">
        <f>IF(C384="","",IF(AW384="","",AW384+'Paramètres'!$B$28))</f>
        <v/>
      </c>
      <c r="AY384" s="60">
        <f>IF(C384="","",SUMIFS('Saisie'!$H$5:$H$2004,'Saisie'!$C$5:$C$2004,C384))</f>
        <v/>
      </c>
      <c r="AZ384" s="60">
        <f>IF(C384="","",IFERROR(INDEX('Paramètres'!$W$6:$W$20,MATCH(S384,'Paramètres'!$V$6:$V$20,0))&amp;"",""))</f>
        <v/>
      </c>
      <c r="BA384" s="60">
        <f>IF(C384="","",MAX(1,_xlfn.MAXIFS('Saisie'!$AT$5:$AT$2004,'Saisie'!$C$5:$C$2004,C384)))</f>
        <v/>
      </c>
      <c r="BB384" s="60">
        <f>IF(C384="","",IFERROR(INDEX('Saisie'!$X$5:$X$2004,_xlfn.MAXIFS('Saisie'!$AS$5:$AS$2004,'Saisie'!$C$5:$C$2004,C384,'Saisie'!$X$5:$X$2004,"&lt;&gt;")-4),""))</f>
        <v/>
      </c>
      <c r="BC384" s="60">
        <f>IF(C384="","",IFERROR(INDEX('Saisie'!$Y$5:$Y$2004,_xlfn.MAXIFS('Saisie'!$AS$5:$AS$2004,'Saisie'!$C$5:$C$2004,C384,'Saisie'!$Y$5:$Y$2004,"&lt;&gt;")-4),""))</f>
        <v/>
      </c>
      <c r="BD384" s="106">
        <f>IF(C384="","",IFERROR(1/(1/_xlfn.MINIFS('Saisie'!$A$5:$A$2004,'Saisie'!$C$5:$C$2004,C384,'Saisie'!$AT$5:$AT$2004,"&gt;=2")),""))</f>
        <v/>
      </c>
      <c r="BE384" s="106">
        <f>IF(C384="","",IFERROR(1/(1/_xlfn.MINIFS('Saisie'!$A$5:$A$2004,'Saisie'!$C$5:$C$2004,C384,'Saisie'!$AT$5:$AT$2004,"&gt;=3")),""))</f>
        <v/>
      </c>
      <c r="BF384" s="106">
        <f>IF(C384="","",IFERROR(1/(1/_xlfn.MINIFS('Saisie'!$A$5:$A$2004,'Saisie'!$C$5:$C$2004,C384,'Saisie'!$AT$5:$AT$2004,"&gt;=4")),""))</f>
        <v/>
      </c>
      <c r="BG384" s="106">
        <f>IF(C384="","",IFERROR(1/(1/_xlfn.MINIFS('Saisie'!$A$5:$A$2004,'Saisie'!$C$5:$C$2004,C384,'Saisie'!$AT$5:$AT$2004,"&gt;=5")),""))</f>
        <v/>
      </c>
      <c r="BH384" s="106">
        <f>IF(C384="","",IFERROR(1/(1/_xlfn.MINIFS('Saisie'!$A$5:$A$2004,'Saisie'!$C$5:$C$2004,C384,'Saisie'!$AT$5:$AT$2004,"&gt;=6")),""))</f>
        <v/>
      </c>
      <c r="BI384" s="106">
        <f>IF(C384="","",IFERROR(1/(1/_xlfn.MINIFS('Saisie'!$A$5:$A$2004,'Saisie'!$C$5:$C$2004,C384,'Saisie'!$AT$5:$AT$2004,"&gt;=7")),""))</f>
        <v/>
      </c>
      <c r="BJ384" s="60">
        <f>IF(OR(BD384="",B384=""),"",BD384-B384)</f>
        <v/>
      </c>
      <c r="BK384" s="60">
        <f>IF(OR(BE384="",BD384=""),"",BE384-BD384)</f>
        <v/>
      </c>
      <c r="BL384" s="60">
        <f>IF(OR(BF384="",BE384=""),"",BF384-BE384)</f>
        <v/>
      </c>
      <c r="BM384" s="60">
        <f>IF(OR(BG384="",BF384=""),"",BG384-BF384)</f>
        <v/>
      </c>
      <c r="BN384" s="60">
        <f>IF(OR(BH384="",BG384=""),"",BH384-BG384)</f>
        <v/>
      </c>
      <c r="BO384" s="60">
        <f>IF(OR(BI384="",BH384=""),"",BI384-BH384)</f>
        <v/>
      </c>
      <c r="BP384" s="60">
        <f>IF(C384="","",_xlfn.MAXIFS('Saisie'!$AS$5:$AS$2004,'Saisie'!$C$5:$C$2004,C384,'Saisie'!$J$5:$J$2004,"&lt;&gt;"))</f>
        <v/>
      </c>
      <c r="BQ384" s="60">
        <f>IF(C384="","",_xlfn.MAXIFS('Saisie'!$AS$5:$AS$2004,'Saisie'!$C$5:$C$2004,C384))</f>
        <v/>
      </c>
      <c r="BR384" s="60">
        <f>IF(C384="","",_xlfn.MAXIFS('Saisie'!$AS$5:$AS$2004,'Saisie'!$C$5:$C$2004,C384,'Saisie'!$E$5:$E$2004,"Perdu"))</f>
        <v/>
      </c>
      <c r="BS384" s="60">
        <f>IF(C384="","",_xlfn.MAXIFS('Saisie'!$AS$5:$AS$2004,'Saisie'!$C$5:$C$2004,C384,'Saisie'!$AT$5:$AT$2004,"&gt;0"))</f>
        <v/>
      </c>
      <c r="BT384" s="109">
        <f>IF(AND(C384&lt;&gt;"",OR(D384="Nouveau",D384="Contacté",D384="Qualifié"),OR(G384="",N(G384)&lt;=TODAY()),NOT(AND(O384&gt;='Paramètres'!$B$21,P384=0))),E384+380/10000,"")</f>
        <v/>
      </c>
      <c r="BU384" s="60">
        <f>IF(AND(G384&lt;&gt;"",N(G384)&lt;=TODAY()),MAX($BU$4:BU383)+1,"")</f>
        <v/>
      </c>
      <c r="BV384" s="60">
        <f>IF(AND(F384&lt;&gt;"",F384&lt;&gt;"Relance en retard"),MAX($BV$4:BV383)+1,"")</f>
        <v/>
      </c>
      <c r="BW384" s="60">
        <f>IF(C384="","",IF(AND(B384&gt;='Tableau de bord'!$R$4,B384&lt;='Tableau de bord'!$S$4,OR('Tableau de bord'!$G$4="Tous",N384='Tableau de bord'!$G$4)),1,0))</f>
        <v/>
      </c>
      <c r="BX384" s="60">
        <f>IF(AND(C384&lt;&gt;"",N(BA384)=7),MAX($BX$4:BX383)+1,"")</f>
        <v/>
      </c>
    </row>
    <row r="385">
      <c r="A385" s="60">
        <f>IF(C385="","","P-"&amp;TEXT(381,"000"))</f>
        <v/>
      </c>
      <c r="B385" s="106">
        <f>IF(C385="","",IFERROR(1/(1/_xlfn.MINIFS('Saisie'!$A$5:$A$2004,'Saisie'!$C$5:$C$2004,C385)),""))</f>
        <v/>
      </c>
      <c r="C385" s="60">
        <f>IFERROR(INDEX('Saisie'!$C$5:$C$2004,MATCH(381,'Saisie'!$AX$5:$AX$2004,0)),"")</f>
        <v/>
      </c>
      <c r="D385" s="60">
        <f>IF(C385="","",IF(AND(BR385&gt;0,BR385&gt;BS385,BA385&lt;7),"Perdu",INDEX('Paramètres'!$F$6:$F$13,BA385)))</f>
        <v/>
      </c>
      <c r="E385" s="61">
        <f>IF(C385="","",MIN(100,(Z385="Oui")*'Paramètres'!$B$38+(AB385="Régulière")*'Paramètres'!$B$39+IF(AND(N(AA385)&gt;0,TODAY()-N(AA385)&lt;=30),'Paramètres'!$B$40,0)+(W385="")*'Paramètres'!$B$41+(AC385="Absente")*'Paramètres'!$B$42+(AC385="Faible")*'Paramètres'!$B$43+IF(AND(N(AD385)&gt;0,N(AD385)&lt;4),'Paramètres'!$B$44,0)+(AF385="Moyenne")*'Paramètres'!$B$45+(AF385="Grande")*'Paramètres'!$B$46+(Y385&lt;&gt;"")*'Paramètres'!$B$47))</f>
        <v/>
      </c>
      <c r="F385" s="60">
        <f>IF(C385="","",IF(D385="Gagné","",IF(D385="Perdu",IF(AND(AX385&lt;&gt;"",AX385&lt;=TODAY()),"À recontacter (perdu)",""),IF(AND(O385&gt;='Paramètres'!$B$21,P385=0),"Stop : "&amp;'Paramètres'!$B$21&amp;" tentatives sans réponse",IF(AND(D385="Proposition",AR385&lt;&gt;"",TODAY()&gt;N(AR385)),"Proposition expirée",IF(AND(D385="Proposition",N(R385)&gt;='Paramètres'!$B$25),"Proposition sans réponse",IF(AND(G385&lt;&gt;"",N(G385)&lt;TODAY()),"Relance en retard",IF(N(R385)&gt;='Paramètres'!$B$24,"Sans action depuis "&amp;R385&amp;" j",""))))))))</f>
        <v/>
      </c>
      <c r="G385" s="106">
        <f>IF(OR(C385="",D385="Gagné",D385="Perdu"),"",IF(AND(BP385&gt;0,BP385=BQ385),INDEX('Saisie'!$J$5:$J$2004,BP385-4),IF(OR(O385=0,AND(O385&gt;='Paramètres'!$B$21,P385=0)),"",Q385+IF(O385&lt;=1,'Paramètres'!$B$18,IF(O385=2,'Paramètres'!$B$19,'Paramètres'!$B$20)))))</f>
        <v/>
      </c>
      <c r="H385" s="107">
        <f>IF(OR(G385="",BP385&lt;&gt;BQ385),"",IF(INDEX('Saisie'!$K$5:$K$2004,BP385-4)="","",INDEX('Saisie'!$K$5:$K$2004,BP385-4)))</f>
        <v/>
      </c>
      <c r="I385" s="60">
        <f>IF(C385="","",IF(OR(D385="Gagné",D385="Perdu"),"",IFERROR(INDEX('Saisie'!$I$5:$I$2004,_xlfn.MAXIFS('Saisie'!$AS$5:$AS$2004,'Saisie'!$C$5:$C$2004,C385,'Saisie'!$I$5:$I$2004,"&lt;&gt;")-4),"")))</f>
        <v/>
      </c>
      <c r="J385" s="60">
        <f>IF(C385="","",IFERROR(INDEX('Saisie'!$U$5:$U$2004,_xlfn.MAXIFS('Saisie'!$AS$5:$AS$2004,'Saisie'!$C$5:$C$2004,C385,'Saisie'!$U$5:$U$2004,"&lt;&gt;")-4),""))</f>
        <v/>
      </c>
      <c r="K385" s="60">
        <f>IF(C385="","",IFERROR(INDEX('Saisie'!$W$5:$W$2004,_xlfn.MAXIFS('Saisie'!$AS$5:$AS$2004,'Saisie'!$C$5:$C$2004,C385,'Saisie'!$W$5:$W$2004,"&lt;&gt;")-4),""))</f>
        <v/>
      </c>
      <c r="L385" s="60">
        <f>IF(IF(BB385&lt;&gt;"",BB385,K385)="","",HYPERLINK("https://wa.me/"&amp;IF(LEFT(SUBSTITUTE(SUBSTITUTE(SUBSTITUTE(IF(BB385&lt;&gt;"",BB385,K385)," ",""),".",""),"+",""),1)="0",'Paramètres'!$B$35&amp;MID(SUBSTITUTE(SUBSTITUTE(SUBSTITUTE(IF(BB385&lt;&gt;"",BB385,K385)," ",""),".",""),"+",""),2,20),SUBSTITUTE(SUBSTITUTE(SUBSTITUTE(IF(BB385&lt;&gt;"",BB385,K385)," ",""),".",""),"+","")),"WhatsApp"))</f>
        <v/>
      </c>
      <c r="M385" s="60">
        <f>IF(BC385="","",HYPERLINK(IF(LEFT(BC385,4)="http",BC385,"https://www.instagram.com/"&amp;SUBSTITUTE(SUBSTITUTE(BC385,"@","")," ","")),BC385))</f>
        <v/>
      </c>
      <c r="N385" s="60">
        <f>IF(C385="","",IFERROR(INDEX('Saisie'!$D$5:$D$2004,_xlfn.MINIFS('Saisie'!$AS$5:$AS$2004,'Saisie'!$C$5:$C$2004,C385,'Saisie'!$AU$5:$AU$2004,1)-4),IFERROR(INDEX('Saisie'!$D$5:$D$2004,_xlfn.MINIFS('Saisie'!$AS$5:$AS$2004,'Saisie'!$C$5:$C$2004,C385,'Saisie'!$D$5:$D$2004,"&lt;&gt;")-4),"")))</f>
        <v/>
      </c>
      <c r="O385" s="60">
        <f>IF(C385="","",COUNTIFS('Saisie'!$C$5:$C$2004,C385,'Saisie'!$AU$5:$AU$2004,1))</f>
        <v/>
      </c>
      <c r="P385" s="60">
        <f>IF(C385="","",COUNTIFS('Saisie'!$C$5:$C$2004,C385,'Saisie'!$AV$5:$AV$2004,1))</f>
        <v/>
      </c>
      <c r="Q385" s="106">
        <f>IF(C385="","",IFERROR(1/(1/_xlfn.MAXIFS('Saisie'!$A$5:$A$2004,'Saisie'!$C$5:$C$2004,C385)),""))</f>
        <v/>
      </c>
      <c r="R385" s="61">
        <f>IF(C385="","",IF(Q385="","",TODAY()-Q385))</f>
        <v/>
      </c>
      <c r="S385" s="60">
        <f>IF(C385="","",IFERROR(INDEX('Saisie'!$R$5:$R$2004,_xlfn.MAXIFS('Saisie'!$AS$5:$AS$2004,'Saisie'!$C$5:$C$2004,C385,'Saisie'!$R$5:$R$2004,"&lt;&gt;")-4),""))</f>
        <v/>
      </c>
      <c r="T385" s="60">
        <f>IF(C385="","",IFERROR(INDEX('Saisie'!$S$5:$S$2004,_xlfn.MAXIFS('Saisie'!$AS$5:$AS$2004,'Saisie'!$C$5:$C$2004,C385,'Saisie'!$S$5:$S$2004,"&lt;&gt;")-4),""))</f>
        <v/>
      </c>
      <c r="U385" s="60">
        <f>IF(C385="","",IFERROR(INDEX('Saisie'!$T$5:$T$2004,_xlfn.MAXIFS('Saisie'!$AS$5:$AS$2004,'Saisie'!$C$5:$C$2004,C385,'Saisie'!$T$5:$T$2004,"&lt;&gt;")-4),""))</f>
        <v/>
      </c>
      <c r="V385" s="60">
        <f>IF(C385="","",IFERROR(INDEX('Saisie'!$V$5:$V$2004,_xlfn.MAXIFS('Saisie'!$AS$5:$AS$2004,'Saisie'!$C$5:$C$2004,C385,'Saisie'!$V$5:$V$2004,"&lt;&gt;")-4),""))</f>
        <v/>
      </c>
      <c r="W385" s="60">
        <f>IF(C385="","",IFERROR(INDEX('Saisie'!$Z$5:$Z$2004,_xlfn.MAXIFS('Saisie'!$AS$5:$AS$2004,'Saisie'!$C$5:$C$2004,C385,'Saisie'!$Z$5:$Z$2004,"&lt;&gt;")-4),""))</f>
        <v/>
      </c>
      <c r="X385" s="60">
        <f>IF(C385="","",IFERROR(INDEX('Saisie'!$AA$5:$AA$2004,_xlfn.MAXIFS('Saisie'!$AS$5:$AS$2004,'Saisie'!$C$5:$C$2004,C385,'Saisie'!$AA$5:$AA$2004,"&lt;&gt;")-4),""))</f>
        <v/>
      </c>
      <c r="Y385" s="60">
        <f>IF(C385="","",IFERROR(INDEX('Saisie'!$AB$5:$AB$2004,_xlfn.MAXIFS('Saisie'!$AS$5:$AS$2004,'Saisie'!$C$5:$C$2004,C385,'Saisie'!$AB$5:$AB$2004,"&lt;&gt;")-4),""))</f>
        <v/>
      </c>
      <c r="Z385" s="60">
        <f>IF(C385="","",IFERROR(INDEX('Saisie'!$AC$5:$AC$2004,_xlfn.MAXIFS('Saisie'!$AS$5:$AS$2004,'Saisie'!$C$5:$C$2004,C385,'Saisie'!$AC$5:$AC$2004,"&lt;&gt;")-4),""))</f>
        <v/>
      </c>
      <c r="AA385" s="106">
        <f>IF(C385="","",IFERROR(INDEX('Saisie'!$AD$5:$AD$2004,_xlfn.MAXIFS('Saisie'!$AS$5:$AS$2004,'Saisie'!$C$5:$C$2004,C385,'Saisie'!$AD$5:$AD$2004,"&lt;&gt;")-4),""))</f>
        <v/>
      </c>
      <c r="AB385" s="60">
        <f>IF(C385="","",IFERROR(INDEX('Saisie'!$AE$5:$AE$2004,_xlfn.MAXIFS('Saisie'!$AS$5:$AS$2004,'Saisie'!$C$5:$C$2004,C385,'Saisie'!$AE$5:$AE$2004,"&lt;&gt;")-4),""))</f>
        <v/>
      </c>
      <c r="AC385" s="60">
        <f>IF(C385="","",IFERROR(INDEX('Saisie'!$AF$5:$AF$2004,_xlfn.MAXIFS('Saisie'!$AS$5:$AS$2004,'Saisie'!$C$5:$C$2004,C385,'Saisie'!$AF$5:$AF$2004,"&lt;&gt;")-4),""))</f>
        <v/>
      </c>
      <c r="AD385" s="108">
        <f>IF(C385="","",IFERROR(INDEX('Saisie'!$AG$5:$AG$2004,_xlfn.MAXIFS('Saisie'!$AS$5:$AS$2004,'Saisie'!$C$5:$C$2004,C385,'Saisie'!$AG$5:$AG$2004,"&lt;&gt;")-4),""))</f>
        <v/>
      </c>
      <c r="AE385" s="60">
        <f>IF(C385="","",IFERROR(INDEX('Saisie'!$AH$5:$AH$2004,_xlfn.MAXIFS('Saisie'!$AS$5:$AS$2004,'Saisie'!$C$5:$C$2004,C385,'Saisie'!$AH$5:$AH$2004,"&lt;&gt;")-4),""))</f>
        <v/>
      </c>
      <c r="AF385" s="60">
        <f>IF(C385="","",IFERROR(INDEX('Saisie'!$AI$5:$AI$2004,_xlfn.MAXIFS('Saisie'!$AS$5:$AS$2004,'Saisie'!$C$5:$C$2004,C385,'Saisie'!$AI$5:$AI$2004,"&lt;&gt;")-4),""))</f>
        <v/>
      </c>
      <c r="AG385" s="60">
        <f>IF(C385="","",IFERROR(INDEX('Saisie'!$AJ$5:$AJ$2004,_xlfn.MAXIFS('Saisie'!$AS$5:$AS$2004,'Saisie'!$C$5:$C$2004,C385,'Saisie'!$AJ$5:$AJ$2004,"&lt;&gt;")-4),""))</f>
        <v/>
      </c>
      <c r="AH385" s="60">
        <f>IF(C385="","",IFERROR(INDEX('Saisie'!$AK$5:$AK$2004,_xlfn.MAXIFS('Saisie'!$AS$5:$AS$2004,'Saisie'!$C$5:$C$2004,C385,'Saisie'!$AK$5:$AK$2004,"&lt;&gt;")-4),""))</f>
        <v/>
      </c>
      <c r="AI385" s="60">
        <f>IF(C385="","",IFERROR(INDEX('Saisie'!$AN$5:$AN$2004,_xlfn.MAXIFS('Saisie'!$AS$5:$AS$2004,'Saisie'!$C$5:$C$2004,C385,'Saisie'!$AN$5:$AN$2004,"&lt;&gt;")-4),""))</f>
        <v/>
      </c>
      <c r="AJ385" s="60">
        <f>IF(C385="","",IFERROR(INDEX('Saisie'!$AO$5:$AO$2004,_xlfn.MAXIFS('Saisie'!$AS$5:$AS$2004,'Saisie'!$C$5:$C$2004,C385,'Saisie'!$AO$5:$AO$2004,"&lt;&gt;")-4),""))</f>
        <v/>
      </c>
      <c r="AK385" s="60">
        <f>IF(C385="","",IFERROR(INDEX('Saisie'!$AP$5:$AP$2004,_xlfn.MAXIFS('Saisie'!$AS$5:$AS$2004,'Saisie'!$C$5:$C$2004,C385,'Saisie'!$AP$5:$AP$2004,"&lt;&gt;")-4),""))</f>
        <v/>
      </c>
      <c r="AL385" s="60">
        <f>IF(C385="","",IFERROR(INDEX('Saisie'!$AQ$5:$AQ$2004,_xlfn.MAXIFS('Saisie'!$AS$5:$AS$2004,'Saisie'!$C$5:$C$2004,C385,'Saisie'!$AQ$5:$AQ$2004,"&lt;&gt;")-4),""))</f>
        <v/>
      </c>
      <c r="AM385" s="60">
        <f>IF(C385="","",((AI385="Oui")+(AJ385="Oui")+(AK385="Oui")+OR(AL385="Immédiat",AL385="&lt; 1 mois"))&amp;"/4")</f>
        <v/>
      </c>
      <c r="AN385" s="60">
        <f>IF(C385="","",IFERROR(INDEX('Saisie'!$AL$5:$AL$2004,_xlfn.MAXIFS('Saisie'!$AS$5:$AS$2004,'Saisie'!$C$5:$C$2004,C385,'Saisie'!$AL$5:$AL$2004,"&lt;&gt;")-4),""))</f>
        <v/>
      </c>
      <c r="AO385" s="62">
        <f>IF(C385="","",IF(IFERROR(INDEX('Saisie'!$AM$5:$AM$2004,_xlfn.MAXIFS('Saisie'!$AS$5:$AS$2004,'Saisie'!$C$5:$C$2004,C385,'Saisie'!$AM$5:$AM$2004,"&lt;&gt;")-4),"")&lt;&gt;"",IFERROR(INDEX('Saisie'!$AM$5:$AM$2004,_xlfn.MAXIFS('Saisie'!$AS$5:$AS$2004,'Saisie'!$C$5:$C$2004,C385,'Saisie'!$AM$5:$AM$2004,"&lt;&gt;")-4),""),IFERROR(INDEX('Paramètres'!$S$6:$S$15,MATCH(AN385,'Paramètres'!$Q$6:$Q$15,0)),"")))</f>
        <v/>
      </c>
      <c r="AP385" s="62">
        <f>IF(C385="","",IFERROR(INDEX('Saisie'!$AW$5:$AW$2004,_xlfn.MAXIFS('Saisie'!$AS$5:$AS$2004,'Saisie'!$C$5:$C$2004,C385,'Saisie'!$E$5:$E$2004,"Proposition envoyée")-4),""))</f>
        <v/>
      </c>
      <c r="AQ385" s="106">
        <f>IF(C385="","",IFERROR(1/(1/_xlfn.MAXIFS('Saisie'!$A$5:$A$2004,'Saisie'!$C$5:$C$2004,C385,'Saisie'!$E$5:$E$2004,"Proposition envoyée")),""))</f>
        <v/>
      </c>
      <c r="AR385" s="106">
        <f>IF(C385="","",IF(AQ385="","",AQ385+'Paramètres'!$B$26))</f>
        <v/>
      </c>
      <c r="AS385" s="62">
        <f>IF(OR(C385="",D385="Gagné",D385="Perdu"),0,N(AP385)*IFERROR(INDEX('Paramètres'!$G$6:$G$13,MATCH(D385,'Paramètres'!$F$6:$F$13,0)),0))</f>
        <v/>
      </c>
      <c r="AT385" s="106">
        <f>IF(C385="","",IFERROR(1/(1/_xlfn.MINIFS('Saisie'!$A$5:$A$2004,'Saisie'!$C$5:$C$2004,C385,'Saisie'!$E$5:$E$2004,"Signature")),""))</f>
        <v/>
      </c>
      <c r="AU385" s="60">
        <f>IF(C385="","",IF(OR(AT385="",B385=""),"",AT385-B385))</f>
        <v/>
      </c>
      <c r="AV385" s="60">
        <f>IF(C385="","",IFERROR(INDEX('Saisie'!$L$5:$L$2004,_xlfn.MAXIFS('Saisie'!$AS$5:$AS$2004,'Saisie'!$C$5:$C$2004,C385,'Saisie'!$L$5:$L$2004,"&lt;&gt;")-4),""))</f>
        <v/>
      </c>
      <c r="AW385" s="106">
        <f>IF(C385="","",IF(D385&lt;&gt;"Perdu","",IFERROR(1/(1/_xlfn.MAXIFS('Saisie'!$A$5:$A$2004,'Saisie'!$C$5:$C$2004,C385,'Saisie'!$E$5:$E$2004,"Perdu")),"")))</f>
        <v/>
      </c>
      <c r="AX385" s="106">
        <f>IF(C385="","",IF(AW385="","",AW385+'Paramètres'!$B$28))</f>
        <v/>
      </c>
      <c r="AY385" s="60">
        <f>IF(C385="","",SUMIFS('Saisie'!$H$5:$H$2004,'Saisie'!$C$5:$C$2004,C385))</f>
        <v/>
      </c>
      <c r="AZ385" s="60">
        <f>IF(C385="","",IFERROR(INDEX('Paramètres'!$W$6:$W$20,MATCH(S385,'Paramètres'!$V$6:$V$20,0))&amp;"",""))</f>
        <v/>
      </c>
      <c r="BA385" s="60">
        <f>IF(C385="","",MAX(1,_xlfn.MAXIFS('Saisie'!$AT$5:$AT$2004,'Saisie'!$C$5:$C$2004,C385)))</f>
        <v/>
      </c>
      <c r="BB385" s="60">
        <f>IF(C385="","",IFERROR(INDEX('Saisie'!$X$5:$X$2004,_xlfn.MAXIFS('Saisie'!$AS$5:$AS$2004,'Saisie'!$C$5:$C$2004,C385,'Saisie'!$X$5:$X$2004,"&lt;&gt;")-4),""))</f>
        <v/>
      </c>
      <c r="BC385" s="60">
        <f>IF(C385="","",IFERROR(INDEX('Saisie'!$Y$5:$Y$2004,_xlfn.MAXIFS('Saisie'!$AS$5:$AS$2004,'Saisie'!$C$5:$C$2004,C385,'Saisie'!$Y$5:$Y$2004,"&lt;&gt;")-4),""))</f>
        <v/>
      </c>
      <c r="BD385" s="106">
        <f>IF(C385="","",IFERROR(1/(1/_xlfn.MINIFS('Saisie'!$A$5:$A$2004,'Saisie'!$C$5:$C$2004,C385,'Saisie'!$AT$5:$AT$2004,"&gt;=2")),""))</f>
        <v/>
      </c>
      <c r="BE385" s="106">
        <f>IF(C385="","",IFERROR(1/(1/_xlfn.MINIFS('Saisie'!$A$5:$A$2004,'Saisie'!$C$5:$C$2004,C385,'Saisie'!$AT$5:$AT$2004,"&gt;=3")),""))</f>
        <v/>
      </c>
      <c r="BF385" s="106">
        <f>IF(C385="","",IFERROR(1/(1/_xlfn.MINIFS('Saisie'!$A$5:$A$2004,'Saisie'!$C$5:$C$2004,C385,'Saisie'!$AT$5:$AT$2004,"&gt;=4")),""))</f>
        <v/>
      </c>
      <c r="BG385" s="106">
        <f>IF(C385="","",IFERROR(1/(1/_xlfn.MINIFS('Saisie'!$A$5:$A$2004,'Saisie'!$C$5:$C$2004,C385,'Saisie'!$AT$5:$AT$2004,"&gt;=5")),""))</f>
        <v/>
      </c>
      <c r="BH385" s="106">
        <f>IF(C385="","",IFERROR(1/(1/_xlfn.MINIFS('Saisie'!$A$5:$A$2004,'Saisie'!$C$5:$C$2004,C385,'Saisie'!$AT$5:$AT$2004,"&gt;=6")),""))</f>
        <v/>
      </c>
      <c r="BI385" s="106">
        <f>IF(C385="","",IFERROR(1/(1/_xlfn.MINIFS('Saisie'!$A$5:$A$2004,'Saisie'!$C$5:$C$2004,C385,'Saisie'!$AT$5:$AT$2004,"&gt;=7")),""))</f>
        <v/>
      </c>
      <c r="BJ385" s="60">
        <f>IF(OR(BD385="",B385=""),"",BD385-B385)</f>
        <v/>
      </c>
      <c r="BK385" s="60">
        <f>IF(OR(BE385="",BD385=""),"",BE385-BD385)</f>
        <v/>
      </c>
      <c r="BL385" s="60">
        <f>IF(OR(BF385="",BE385=""),"",BF385-BE385)</f>
        <v/>
      </c>
      <c r="BM385" s="60">
        <f>IF(OR(BG385="",BF385=""),"",BG385-BF385)</f>
        <v/>
      </c>
      <c r="BN385" s="60">
        <f>IF(OR(BH385="",BG385=""),"",BH385-BG385)</f>
        <v/>
      </c>
      <c r="BO385" s="60">
        <f>IF(OR(BI385="",BH385=""),"",BI385-BH385)</f>
        <v/>
      </c>
      <c r="BP385" s="60">
        <f>IF(C385="","",_xlfn.MAXIFS('Saisie'!$AS$5:$AS$2004,'Saisie'!$C$5:$C$2004,C385,'Saisie'!$J$5:$J$2004,"&lt;&gt;"))</f>
        <v/>
      </c>
      <c r="BQ385" s="60">
        <f>IF(C385="","",_xlfn.MAXIFS('Saisie'!$AS$5:$AS$2004,'Saisie'!$C$5:$C$2004,C385))</f>
        <v/>
      </c>
      <c r="BR385" s="60">
        <f>IF(C385="","",_xlfn.MAXIFS('Saisie'!$AS$5:$AS$2004,'Saisie'!$C$5:$C$2004,C385,'Saisie'!$E$5:$E$2004,"Perdu"))</f>
        <v/>
      </c>
      <c r="BS385" s="60">
        <f>IF(C385="","",_xlfn.MAXIFS('Saisie'!$AS$5:$AS$2004,'Saisie'!$C$5:$C$2004,C385,'Saisie'!$AT$5:$AT$2004,"&gt;0"))</f>
        <v/>
      </c>
      <c r="BT385" s="109">
        <f>IF(AND(C385&lt;&gt;"",OR(D385="Nouveau",D385="Contacté",D385="Qualifié"),OR(G385="",N(G385)&lt;=TODAY()),NOT(AND(O385&gt;='Paramètres'!$B$21,P385=0))),E385+381/10000,"")</f>
        <v/>
      </c>
      <c r="BU385" s="60">
        <f>IF(AND(G385&lt;&gt;"",N(G385)&lt;=TODAY()),MAX($BU$4:BU384)+1,"")</f>
        <v/>
      </c>
      <c r="BV385" s="60">
        <f>IF(AND(F385&lt;&gt;"",F385&lt;&gt;"Relance en retard"),MAX($BV$4:BV384)+1,"")</f>
        <v/>
      </c>
      <c r="BW385" s="60">
        <f>IF(C385="","",IF(AND(B385&gt;='Tableau de bord'!$R$4,B385&lt;='Tableau de bord'!$S$4,OR('Tableau de bord'!$G$4="Tous",N385='Tableau de bord'!$G$4)),1,0))</f>
        <v/>
      </c>
      <c r="BX385" s="60">
        <f>IF(AND(C385&lt;&gt;"",N(BA385)=7),MAX($BX$4:BX384)+1,"")</f>
        <v/>
      </c>
    </row>
    <row r="386">
      <c r="A386" s="60">
        <f>IF(C386="","","P-"&amp;TEXT(382,"000"))</f>
        <v/>
      </c>
      <c r="B386" s="106">
        <f>IF(C386="","",IFERROR(1/(1/_xlfn.MINIFS('Saisie'!$A$5:$A$2004,'Saisie'!$C$5:$C$2004,C386)),""))</f>
        <v/>
      </c>
      <c r="C386" s="60">
        <f>IFERROR(INDEX('Saisie'!$C$5:$C$2004,MATCH(382,'Saisie'!$AX$5:$AX$2004,0)),"")</f>
        <v/>
      </c>
      <c r="D386" s="60">
        <f>IF(C386="","",IF(AND(BR386&gt;0,BR386&gt;BS386,BA386&lt;7),"Perdu",INDEX('Paramètres'!$F$6:$F$13,BA386)))</f>
        <v/>
      </c>
      <c r="E386" s="61">
        <f>IF(C386="","",MIN(100,(Z386="Oui")*'Paramètres'!$B$38+(AB386="Régulière")*'Paramètres'!$B$39+IF(AND(N(AA386)&gt;0,TODAY()-N(AA386)&lt;=30),'Paramètres'!$B$40,0)+(W386="")*'Paramètres'!$B$41+(AC386="Absente")*'Paramètres'!$B$42+(AC386="Faible")*'Paramètres'!$B$43+IF(AND(N(AD386)&gt;0,N(AD386)&lt;4),'Paramètres'!$B$44,0)+(AF386="Moyenne")*'Paramètres'!$B$45+(AF386="Grande")*'Paramètres'!$B$46+(Y386&lt;&gt;"")*'Paramètres'!$B$47))</f>
        <v/>
      </c>
      <c r="F386" s="60">
        <f>IF(C386="","",IF(D386="Gagné","",IF(D386="Perdu",IF(AND(AX386&lt;&gt;"",AX386&lt;=TODAY()),"À recontacter (perdu)",""),IF(AND(O386&gt;='Paramètres'!$B$21,P386=0),"Stop : "&amp;'Paramètres'!$B$21&amp;" tentatives sans réponse",IF(AND(D386="Proposition",AR386&lt;&gt;"",TODAY()&gt;N(AR386)),"Proposition expirée",IF(AND(D386="Proposition",N(R386)&gt;='Paramètres'!$B$25),"Proposition sans réponse",IF(AND(G386&lt;&gt;"",N(G386)&lt;TODAY()),"Relance en retard",IF(N(R386)&gt;='Paramètres'!$B$24,"Sans action depuis "&amp;R386&amp;" j",""))))))))</f>
        <v/>
      </c>
      <c r="G386" s="106">
        <f>IF(OR(C386="",D386="Gagné",D386="Perdu"),"",IF(AND(BP386&gt;0,BP386=BQ386),INDEX('Saisie'!$J$5:$J$2004,BP386-4),IF(OR(O386=0,AND(O386&gt;='Paramètres'!$B$21,P386=0)),"",Q386+IF(O386&lt;=1,'Paramètres'!$B$18,IF(O386=2,'Paramètres'!$B$19,'Paramètres'!$B$20)))))</f>
        <v/>
      </c>
      <c r="H386" s="107">
        <f>IF(OR(G386="",BP386&lt;&gt;BQ386),"",IF(INDEX('Saisie'!$K$5:$K$2004,BP386-4)="","",INDEX('Saisie'!$K$5:$K$2004,BP386-4)))</f>
        <v/>
      </c>
      <c r="I386" s="60">
        <f>IF(C386="","",IF(OR(D386="Gagné",D386="Perdu"),"",IFERROR(INDEX('Saisie'!$I$5:$I$2004,_xlfn.MAXIFS('Saisie'!$AS$5:$AS$2004,'Saisie'!$C$5:$C$2004,C386,'Saisie'!$I$5:$I$2004,"&lt;&gt;")-4),"")))</f>
        <v/>
      </c>
      <c r="J386" s="60">
        <f>IF(C386="","",IFERROR(INDEX('Saisie'!$U$5:$U$2004,_xlfn.MAXIFS('Saisie'!$AS$5:$AS$2004,'Saisie'!$C$5:$C$2004,C386,'Saisie'!$U$5:$U$2004,"&lt;&gt;")-4),""))</f>
        <v/>
      </c>
      <c r="K386" s="60">
        <f>IF(C386="","",IFERROR(INDEX('Saisie'!$W$5:$W$2004,_xlfn.MAXIFS('Saisie'!$AS$5:$AS$2004,'Saisie'!$C$5:$C$2004,C386,'Saisie'!$W$5:$W$2004,"&lt;&gt;")-4),""))</f>
        <v/>
      </c>
      <c r="L386" s="60">
        <f>IF(IF(BB386&lt;&gt;"",BB386,K386)="","",HYPERLINK("https://wa.me/"&amp;IF(LEFT(SUBSTITUTE(SUBSTITUTE(SUBSTITUTE(IF(BB386&lt;&gt;"",BB386,K386)," ",""),".",""),"+",""),1)="0",'Paramètres'!$B$35&amp;MID(SUBSTITUTE(SUBSTITUTE(SUBSTITUTE(IF(BB386&lt;&gt;"",BB386,K386)," ",""),".",""),"+",""),2,20),SUBSTITUTE(SUBSTITUTE(SUBSTITUTE(IF(BB386&lt;&gt;"",BB386,K386)," ",""),".",""),"+","")),"WhatsApp"))</f>
        <v/>
      </c>
      <c r="M386" s="60">
        <f>IF(BC386="","",HYPERLINK(IF(LEFT(BC386,4)="http",BC386,"https://www.instagram.com/"&amp;SUBSTITUTE(SUBSTITUTE(BC386,"@","")," ","")),BC386))</f>
        <v/>
      </c>
      <c r="N386" s="60">
        <f>IF(C386="","",IFERROR(INDEX('Saisie'!$D$5:$D$2004,_xlfn.MINIFS('Saisie'!$AS$5:$AS$2004,'Saisie'!$C$5:$C$2004,C386,'Saisie'!$AU$5:$AU$2004,1)-4),IFERROR(INDEX('Saisie'!$D$5:$D$2004,_xlfn.MINIFS('Saisie'!$AS$5:$AS$2004,'Saisie'!$C$5:$C$2004,C386,'Saisie'!$D$5:$D$2004,"&lt;&gt;")-4),"")))</f>
        <v/>
      </c>
      <c r="O386" s="60">
        <f>IF(C386="","",COUNTIFS('Saisie'!$C$5:$C$2004,C386,'Saisie'!$AU$5:$AU$2004,1))</f>
        <v/>
      </c>
      <c r="P386" s="60">
        <f>IF(C386="","",COUNTIFS('Saisie'!$C$5:$C$2004,C386,'Saisie'!$AV$5:$AV$2004,1))</f>
        <v/>
      </c>
      <c r="Q386" s="106">
        <f>IF(C386="","",IFERROR(1/(1/_xlfn.MAXIFS('Saisie'!$A$5:$A$2004,'Saisie'!$C$5:$C$2004,C386)),""))</f>
        <v/>
      </c>
      <c r="R386" s="61">
        <f>IF(C386="","",IF(Q386="","",TODAY()-Q386))</f>
        <v/>
      </c>
      <c r="S386" s="60">
        <f>IF(C386="","",IFERROR(INDEX('Saisie'!$R$5:$R$2004,_xlfn.MAXIFS('Saisie'!$AS$5:$AS$2004,'Saisie'!$C$5:$C$2004,C386,'Saisie'!$R$5:$R$2004,"&lt;&gt;")-4),""))</f>
        <v/>
      </c>
      <c r="T386" s="60">
        <f>IF(C386="","",IFERROR(INDEX('Saisie'!$S$5:$S$2004,_xlfn.MAXIFS('Saisie'!$AS$5:$AS$2004,'Saisie'!$C$5:$C$2004,C386,'Saisie'!$S$5:$S$2004,"&lt;&gt;")-4),""))</f>
        <v/>
      </c>
      <c r="U386" s="60">
        <f>IF(C386="","",IFERROR(INDEX('Saisie'!$T$5:$T$2004,_xlfn.MAXIFS('Saisie'!$AS$5:$AS$2004,'Saisie'!$C$5:$C$2004,C386,'Saisie'!$T$5:$T$2004,"&lt;&gt;")-4),""))</f>
        <v/>
      </c>
      <c r="V386" s="60">
        <f>IF(C386="","",IFERROR(INDEX('Saisie'!$V$5:$V$2004,_xlfn.MAXIFS('Saisie'!$AS$5:$AS$2004,'Saisie'!$C$5:$C$2004,C386,'Saisie'!$V$5:$V$2004,"&lt;&gt;")-4),""))</f>
        <v/>
      </c>
      <c r="W386" s="60">
        <f>IF(C386="","",IFERROR(INDEX('Saisie'!$Z$5:$Z$2004,_xlfn.MAXIFS('Saisie'!$AS$5:$AS$2004,'Saisie'!$C$5:$C$2004,C386,'Saisie'!$Z$5:$Z$2004,"&lt;&gt;")-4),""))</f>
        <v/>
      </c>
      <c r="X386" s="60">
        <f>IF(C386="","",IFERROR(INDEX('Saisie'!$AA$5:$AA$2004,_xlfn.MAXIFS('Saisie'!$AS$5:$AS$2004,'Saisie'!$C$5:$C$2004,C386,'Saisie'!$AA$5:$AA$2004,"&lt;&gt;")-4),""))</f>
        <v/>
      </c>
      <c r="Y386" s="60">
        <f>IF(C386="","",IFERROR(INDEX('Saisie'!$AB$5:$AB$2004,_xlfn.MAXIFS('Saisie'!$AS$5:$AS$2004,'Saisie'!$C$5:$C$2004,C386,'Saisie'!$AB$5:$AB$2004,"&lt;&gt;")-4),""))</f>
        <v/>
      </c>
      <c r="Z386" s="60">
        <f>IF(C386="","",IFERROR(INDEX('Saisie'!$AC$5:$AC$2004,_xlfn.MAXIFS('Saisie'!$AS$5:$AS$2004,'Saisie'!$C$5:$C$2004,C386,'Saisie'!$AC$5:$AC$2004,"&lt;&gt;")-4),""))</f>
        <v/>
      </c>
      <c r="AA386" s="106">
        <f>IF(C386="","",IFERROR(INDEX('Saisie'!$AD$5:$AD$2004,_xlfn.MAXIFS('Saisie'!$AS$5:$AS$2004,'Saisie'!$C$5:$C$2004,C386,'Saisie'!$AD$5:$AD$2004,"&lt;&gt;")-4),""))</f>
        <v/>
      </c>
      <c r="AB386" s="60">
        <f>IF(C386="","",IFERROR(INDEX('Saisie'!$AE$5:$AE$2004,_xlfn.MAXIFS('Saisie'!$AS$5:$AS$2004,'Saisie'!$C$5:$C$2004,C386,'Saisie'!$AE$5:$AE$2004,"&lt;&gt;")-4),""))</f>
        <v/>
      </c>
      <c r="AC386" s="60">
        <f>IF(C386="","",IFERROR(INDEX('Saisie'!$AF$5:$AF$2004,_xlfn.MAXIFS('Saisie'!$AS$5:$AS$2004,'Saisie'!$C$5:$C$2004,C386,'Saisie'!$AF$5:$AF$2004,"&lt;&gt;")-4),""))</f>
        <v/>
      </c>
      <c r="AD386" s="108">
        <f>IF(C386="","",IFERROR(INDEX('Saisie'!$AG$5:$AG$2004,_xlfn.MAXIFS('Saisie'!$AS$5:$AS$2004,'Saisie'!$C$5:$C$2004,C386,'Saisie'!$AG$5:$AG$2004,"&lt;&gt;")-4),""))</f>
        <v/>
      </c>
      <c r="AE386" s="60">
        <f>IF(C386="","",IFERROR(INDEX('Saisie'!$AH$5:$AH$2004,_xlfn.MAXIFS('Saisie'!$AS$5:$AS$2004,'Saisie'!$C$5:$C$2004,C386,'Saisie'!$AH$5:$AH$2004,"&lt;&gt;")-4),""))</f>
        <v/>
      </c>
      <c r="AF386" s="60">
        <f>IF(C386="","",IFERROR(INDEX('Saisie'!$AI$5:$AI$2004,_xlfn.MAXIFS('Saisie'!$AS$5:$AS$2004,'Saisie'!$C$5:$C$2004,C386,'Saisie'!$AI$5:$AI$2004,"&lt;&gt;")-4),""))</f>
        <v/>
      </c>
      <c r="AG386" s="60">
        <f>IF(C386="","",IFERROR(INDEX('Saisie'!$AJ$5:$AJ$2004,_xlfn.MAXIFS('Saisie'!$AS$5:$AS$2004,'Saisie'!$C$5:$C$2004,C386,'Saisie'!$AJ$5:$AJ$2004,"&lt;&gt;")-4),""))</f>
        <v/>
      </c>
      <c r="AH386" s="60">
        <f>IF(C386="","",IFERROR(INDEX('Saisie'!$AK$5:$AK$2004,_xlfn.MAXIFS('Saisie'!$AS$5:$AS$2004,'Saisie'!$C$5:$C$2004,C386,'Saisie'!$AK$5:$AK$2004,"&lt;&gt;")-4),""))</f>
        <v/>
      </c>
      <c r="AI386" s="60">
        <f>IF(C386="","",IFERROR(INDEX('Saisie'!$AN$5:$AN$2004,_xlfn.MAXIFS('Saisie'!$AS$5:$AS$2004,'Saisie'!$C$5:$C$2004,C386,'Saisie'!$AN$5:$AN$2004,"&lt;&gt;")-4),""))</f>
        <v/>
      </c>
      <c r="AJ386" s="60">
        <f>IF(C386="","",IFERROR(INDEX('Saisie'!$AO$5:$AO$2004,_xlfn.MAXIFS('Saisie'!$AS$5:$AS$2004,'Saisie'!$C$5:$C$2004,C386,'Saisie'!$AO$5:$AO$2004,"&lt;&gt;")-4),""))</f>
        <v/>
      </c>
      <c r="AK386" s="60">
        <f>IF(C386="","",IFERROR(INDEX('Saisie'!$AP$5:$AP$2004,_xlfn.MAXIFS('Saisie'!$AS$5:$AS$2004,'Saisie'!$C$5:$C$2004,C386,'Saisie'!$AP$5:$AP$2004,"&lt;&gt;")-4),""))</f>
        <v/>
      </c>
      <c r="AL386" s="60">
        <f>IF(C386="","",IFERROR(INDEX('Saisie'!$AQ$5:$AQ$2004,_xlfn.MAXIFS('Saisie'!$AS$5:$AS$2004,'Saisie'!$C$5:$C$2004,C386,'Saisie'!$AQ$5:$AQ$2004,"&lt;&gt;")-4),""))</f>
        <v/>
      </c>
      <c r="AM386" s="60">
        <f>IF(C386="","",((AI386="Oui")+(AJ386="Oui")+(AK386="Oui")+OR(AL386="Immédiat",AL386="&lt; 1 mois"))&amp;"/4")</f>
        <v/>
      </c>
      <c r="AN386" s="60">
        <f>IF(C386="","",IFERROR(INDEX('Saisie'!$AL$5:$AL$2004,_xlfn.MAXIFS('Saisie'!$AS$5:$AS$2004,'Saisie'!$C$5:$C$2004,C386,'Saisie'!$AL$5:$AL$2004,"&lt;&gt;")-4),""))</f>
        <v/>
      </c>
      <c r="AO386" s="62">
        <f>IF(C386="","",IF(IFERROR(INDEX('Saisie'!$AM$5:$AM$2004,_xlfn.MAXIFS('Saisie'!$AS$5:$AS$2004,'Saisie'!$C$5:$C$2004,C386,'Saisie'!$AM$5:$AM$2004,"&lt;&gt;")-4),"")&lt;&gt;"",IFERROR(INDEX('Saisie'!$AM$5:$AM$2004,_xlfn.MAXIFS('Saisie'!$AS$5:$AS$2004,'Saisie'!$C$5:$C$2004,C386,'Saisie'!$AM$5:$AM$2004,"&lt;&gt;")-4),""),IFERROR(INDEX('Paramètres'!$S$6:$S$15,MATCH(AN386,'Paramètres'!$Q$6:$Q$15,0)),"")))</f>
        <v/>
      </c>
      <c r="AP386" s="62">
        <f>IF(C386="","",IFERROR(INDEX('Saisie'!$AW$5:$AW$2004,_xlfn.MAXIFS('Saisie'!$AS$5:$AS$2004,'Saisie'!$C$5:$C$2004,C386,'Saisie'!$E$5:$E$2004,"Proposition envoyée")-4),""))</f>
        <v/>
      </c>
      <c r="AQ386" s="106">
        <f>IF(C386="","",IFERROR(1/(1/_xlfn.MAXIFS('Saisie'!$A$5:$A$2004,'Saisie'!$C$5:$C$2004,C386,'Saisie'!$E$5:$E$2004,"Proposition envoyée")),""))</f>
        <v/>
      </c>
      <c r="AR386" s="106">
        <f>IF(C386="","",IF(AQ386="","",AQ386+'Paramètres'!$B$26))</f>
        <v/>
      </c>
      <c r="AS386" s="62">
        <f>IF(OR(C386="",D386="Gagné",D386="Perdu"),0,N(AP386)*IFERROR(INDEX('Paramètres'!$G$6:$G$13,MATCH(D386,'Paramètres'!$F$6:$F$13,0)),0))</f>
        <v/>
      </c>
      <c r="AT386" s="106">
        <f>IF(C386="","",IFERROR(1/(1/_xlfn.MINIFS('Saisie'!$A$5:$A$2004,'Saisie'!$C$5:$C$2004,C386,'Saisie'!$E$5:$E$2004,"Signature")),""))</f>
        <v/>
      </c>
      <c r="AU386" s="60">
        <f>IF(C386="","",IF(OR(AT386="",B386=""),"",AT386-B386))</f>
        <v/>
      </c>
      <c r="AV386" s="60">
        <f>IF(C386="","",IFERROR(INDEX('Saisie'!$L$5:$L$2004,_xlfn.MAXIFS('Saisie'!$AS$5:$AS$2004,'Saisie'!$C$5:$C$2004,C386,'Saisie'!$L$5:$L$2004,"&lt;&gt;")-4),""))</f>
        <v/>
      </c>
      <c r="AW386" s="106">
        <f>IF(C386="","",IF(D386&lt;&gt;"Perdu","",IFERROR(1/(1/_xlfn.MAXIFS('Saisie'!$A$5:$A$2004,'Saisie'!$C$5:$C$2004,C386,'Saisie'!$E$5:$E$2004,"Perdu")),"")))</f>
        <v/>
      </c>
      <c r="AX386" s="106">
        <f>IF(C386="","",IF(AW386="","",AW386+'Paramètres'!$B$28))</f>
        <v/>
      </c>
      <c r="AY386" s="60">
        <f>IF(C386="","",SUMIFS('Saisie'!$H$5:$H$2004,'Saisie'!$C$5:$C$2004,C386))</f>
        <v/>
      </c>
      <c r="AZ386" s="60">
        <f>IF(C386="","",IFERROR(INDEX('Paramètres'!$W$6:$W$20,MATCH(S386,'Paramètres'!$V$6:$V$20,0))&amp;"",""))</f>
        <v/>
      </c>
      <c r="BA386" s="60">
        <f>IF(C386="","",MAX(1,_xlfn.MAXIFS('Saisie'!$AT$5:$AT$2004,'Saisie'!$C$5:$C$2004,C386)))</f>
        <v/>
      </c>
      <c r="BB386" s="60">
        <f>IF(C386="","",IFERROR(INDEX('Saisie'!$X$5:$X$2004,_xlfn.MAXIFS('Saisie'!$AS$5:$AS$2004,'Saisie'!$C$5:$C$2004,C386,'Saisie'!$X$5:$X$2004,"&lt;&gt;")-4),""))</f>
        <v/>
      </c>
      <c r="BC386" s="60">
        <f>IF(C386="","",IFERROR(INDEX('Saisie'!$Y$5:$Y$2004,_xlfn.MAXIFS('Saisie'!$AS$5:$AS$2004,'Saisie'!$C$5:$C$2004,C386,'Saisie'!$Y$5:$Y$2004,"&lt;&gt;")-4),""))</f>
        <v/>
      </c>
      <c r="BD386" s="106">
        <f>IF(C386="","",IFERROR(1/(1/_xlfn.MINIFS('Saisie'!$A$5:$A$2004,'Saisie'!$C$5:$C$2004,C386,'Saisie'!$AT$5:$AT$2004,"&gt;=2")),""))</f>
        <v/>
      </c>
      <c r="BE386" s="106">
        <f>IF(C386="","",IFERROR(1/(1/_xlfn.MINIFS('Saisie'!$A$5:$A$2004,'Saisie'!$C$5:$C$2004,C386,'Saisie'!$AT$5:$AT$2004,"&gt;=3")),""))</f>
        <v/>
      </c>
      <c r="BF386" s="106">
        <f>IF(C386="","",IFERROR(1/(1/_xlfn.MINIFS('Saisie'!$A$5:$A$2004,'Saisie'!$C$5:$C$2004,C386,'Saisie'!$AT$5:$AT$2004,"&gt;=4")),""))</f>
        <v/>
      </c>
      <c r="BG386" s="106">
        <f>IF(C386="","",IFERROR(1/(1/_xlfn.MINIFS('Saisie'!$A$5:$A$2004,'Saisie'!$C$5:$C$2004,C386,'Saisie'!$AT$5:$AT$2004,"&gt;=5")),""))</f>
        <v/>
      </c>
      <c r="BH386" s="106">
        <f>IF(C386="","",IFERROR(1/(1/_xlfn.MINIFS('Saisie'!$A$5:$A$2004,'Saisie'!$C$5:$C$2004,C386,'Saisie'!$AT$5:$AT$2004,"&gt;=6")),""))</f>
        <v/>
      </c>
      <c r="BI386" s="106">
        <f>IF(C386="","",IFERROR(1/(1/_xlfn.MINIFS('Saisie'!$A$5:$A$2004,'Saisie'!$C$5:$C$2004,C386,'Saisie'!$AT$5:$AT$2004,"&gt;=7")),""))</f>
        <v/>
      </c>
      <c r="BJ386" s="60">
        <f>IF(OR(BD386="",B386=""),"",BD386-B386)</f>
        <v/>
      </c>
      <c r="BK386" s="60">
        <f>IF(OR(BE386="",BD386=""),"",BE386-BD386)</f>
        <v/>
      </c>
      <c r="BL386" s="60">
        <f>IF(OR(BF386="",BE386=""),"",BF386-BE386)</f>
        <v/>
      </c>
      <c r="BM386" s="60">
        <f>IF(OR(BG386="",BF386=""),"",BG386-BF386)</f>
        <v/>
      </c>
      <c r="BN386" s="60">
        <f>IF(OR(BH386="",BG386=""),"",BH386-BG386)</f>
        <v/>
      </c>
      <c r="BO386" s="60">
        <f>IF(OR(BI386="",BH386=""),"",BI386-BH386)</f>
        <v/>
      </c>
      <c r="BP386" s="60">
        <f>IF(C386="","",_xlfn.MAXIFS('Saisie'!$AS$5:$AS$2004,'Saisie'!$C$5:$C$2004,C386,'Saisie'!$J$5:$J$2004,"&lt;&gt;"))</f>
        <v/>
      </c>
      <c r="BQ386" s="60">
        <f>IF(C386="","",_xlfn.MAXIFS('Saisie'!$AS$5:$AS$2004,'Saisie'!$C$5:$C$2004,C386))</f>
        <v/>
      </c>
      <c r="BR386" s="60">
        <f>IF(C386="","",_xlfn.MAXIFS('Saisie'!$AS$5:$AS$2004,'Saisie'!$C$5:$C$2004,C386,'Saisie'!$E$5:$E$2004,"Perdu"))</f>
        <v/>
      </c>
      <c r="BS386" s="60">
        <f>IF(C386="","",_xlfn.MAXIFS('Saisie'!$AS$5:$AS$2004,'Saisie'!$C$5:$C$2004,C386,'Saisie'!$AT$5:$AT$2004,"&gt;0"))</f>
        <v/>
      </c>
      <c r="BT386" s="109">
        <f>IF(AND(C386&lt;&gt;"",OR(D386="Nouveau",D386="Contacté",D386="Qualifié"),OR(G386="",N(G386)&lt;=TODAY()),NOT(AND(O386&gt;='Paramètres'!$B$21,P386=0))),E386+382/10000,"")</f>
        <v/>
      </c>
      <c r="BU386" s="60">
        <f>IF(AND(G386&lt;&gt;"",N(G386)&lt;=TODAY()),MAX($BU$4:BU385)+1,"")</f>
        <v/>
      </c>
      <c r="BV386" s="60">
        <f>IF(AND(F386&lt;&gt;"",F386&lt;&gt;"Relance en retard"),MAX($BV$4:BV385)+1,"")</f>
        <v/>
      </c>
      <c r="BW386" s="60">
        <f>IF(C386="","",IF(AND(B386&gt;='Tableau de bord'!$R$4,B386&lt;='Tableau de bord'!$S$4,OR('Tableau de bord'!$G$4="Tous",N386='Tableau de bord'!$G$4)),1,0))</f>
        <v/>
      </c>
      <c r="BX386" s="60">
        <f>IF(AND(C386&lt;&gt;"",N(BA386)=7),MAX($BX$4:BX385)+1,"")</f>
        <v/>
      </c>
    </row>
    <row r="387">
      <c r="A387" s="60">
        <f>IF(C387="","","P-"&amp;TEXT(383,"000"))</f>
        <v/>
      </c>
      <c r="B387" s="106">
        <f>IF(C387="","",IFERROR(1/(1/_xlfn.MINIFS('Saisie'!$A$5:$A$2004,'Saisie'!$C$5:$C$2004,C387)),""))</f>
        <v/>
      </c>
      <c r="C387" s="60">
        <f>IFERROR(INDEX('Saisie'!$C$5:$C$2004,MATCH(383,'Saisie'!$AX$5:$AX$2004,0)),"")</f>
        <v/>
      </c>
      <c r="D387" s="60">
        <f>IF(C387="","",IF(AND(BR387&gt;0,BR387&gt;BS387,BA387&lt;7),"Perdu",INDEX('Paramètres'!$F$6:$F$13,BA387)))</f>
        <v/>
      </c>
      <c r="E387" s="61">
        <f>IF(C387="","",MIN(100,(Z387="Oui")*'Paramètres'!$B$38+(AB387="Régulière")*'Paramètres'!$B$39+IF(AND(N(AA387)&gt;0,TODAY()-N(AA387)&lt;=30),'Paramètres'!$B$40,0)+(W387="")*'Paramètres'!$B$41+(AC387="Absente")*'Paramètres'!$B$42+(AC387="Faible")*'Paramètres'!$B$43+IF(AND(N(AD387)&gt;0,N(AD387)&lt;4),'Paramètres'!$B$44,0)+(AF387="Moyenne")*'Paramètres'!$B$45+(AF387="Grande")*'Paramètres'!$B$46+(Y387&lt;&gt;"")*'Paramètres'!$B$47))</f>
        <v/>
      </c>
      <c r="F387" s="60">
        <f>IF(C387="","",IF(D387="Gagné","",IF(D387="Perdu",IF(AND(AX387&lt;&gt;"",AX387&lt;=TODAY()),"À recontacter (perdu)",""),IF(AND(O387&gt;='Paramètres'!$B$21,P387=0),"Stop : "&amp;'Paramètres'!$B$21&amp;" tentatives sans réponse",IF(AND(D387="Proposition",AR387&lt;&gt;"",TODAY()&gt;N(AR387)),"Proposition expirée",IF(AND(D387="Proposition",N(R387)&gt;='Paramètres'!$B$25),"Proposition sans réponse",IF(AND(G387&lt;&gt;"",N(G387)&lt;TODAY()),"Relance en retard",IF(N(R387)&gt;='Paramètres'!$B$24,"Sans action depuis "&amp;R387&amp;" j",""))))))))</f>
        <v/>
      </c>
      <c r="G387" s="106">
        <f>IF(OR(C387="",D387="Gagné",D387="Perdu"),"",IF(AND(BP387&gt;0,BP387=BQ387),INDEX('Saisie'!$J$5:$J$2004,BP387-4),IF(OR(O387=0,AND(O387&gt;='Paramètres'!$B$21,P387=0)),"",Q387+IF(O387&lt;=1,'Paramètres'!$B$18,IF(O387=2,'Paramètres'!$B$19,'Paramètres'!$B$20)))))</f>
        <v/>
      </c>
      <c r="H387" s="107">
        <f>IF(OR(G387="",BP387&lt;&gt;BQ387),"",IF(INDEX('Saisie'!$K$5:$K$2004,BP387-4)="","",INDEX('Saisie'!$K$5:$K$2004,BP387-4)))</f>
        <v/>
      </c>
      <c r="I387" s="60">
        <f>IF(C387="","",IF(OR(D387="Gagné",D387="Perdu"),"",IFERROR(INDEX('Saisie'!$I$5:$I$2004,_xlfn.MAXIFS('Saisie'!$AS$5:$AS$2004,'Saisie'!$C$5:$C$2004,C387,'Saisie'!$I$5:$I$2004,"&lt;&gt;")-4),"")))</f>
        <v/>
      </c>
      <c r="J387" s="60">
        <f>IF(C387="","",IFERROR(INDEX('Saisie'!$U$5:$U$2004,_xlfn.MAXIFS('Saisie'!$AS$5:$AS$2004,'Saisie'!$C$5:$C$2004,C387,'Saisie'!$U$5:$U$2004,"&lt;&gt;")-4),""))</f>
        <v/>
      </c>
      <c r="K387" s="60">
        <f>IF(C387="","",IFERROR(INDEX('Saisie'!$W$5:$W$2004,_xlfn.MAXIFS('Saisie'!$AS$5:$AS$2004,'Saisie'!$C$5:$C$2004,C387,'Saisie'!$W$5:$W$2004,"&lt;&gt;")-4),""))</f>
        <v/>
      </c>
      <c r="L387" s="60">
        <f>IF(IF(BB387&lt;&gt;"",BB387,K387)="","",HYPERLINK("https://wa.me/"&amp;IF(LEFT(SUBSTITUTE(SUBSTITUTE(SUBSTITUTE(IF(BB387&lt;&gt;"",BB387,K387)," ",""),".",""),"+",""),1)="0",'Paramètres'!$B$35&amp;MID(SUBSTITUTE(SUBSTITUTE(SUBSTITUTE(IF(BB387&lt;&gt;"",BB387,K387)," ",""),".",""),"+",""),2,20),SUBSTITUTE(SUBSTITUTE(SUBSTITUTE(IF(BB387&lt;&gt;"",BB387,K387)," ",""),".",""),"+","")),"WhatsApp"))</f>
        <v/>
      </c>
      <c r="M387" s="60">
        <f>IF(BC387="","",HYPERLINK(IF(LEFT(BC387,4)="http",BC387,"https://www.instagram.com/"&amp;SUBSTITUTE(SUBSTITUTE(BC387,"@","")," ","")),BC387))</f>
        <v/>
      </c>
      <c r="N387" s="60">
        <f>IF(C387="","",IFERROR(INDEX('Saisie'!$D$5:$D$2004,_xlfn.MINIFS('Saisie'!$AS$5:$AS$2004,'Saisie'!$C$5:$C$2004,C387,'Saisie'!$AU$5:$AU$2004,1)-4),IFERROR(INDEX('Saisie'!$D$5:$D$2004,_xlfn.MINIFS('Saisie'!$AS$5:$AS$2004,'Saisie'!$C$5:$C$2004,C387,'Saisie'!$D$5:$D$2004,"&lt;&gt;")-4),"")))</f>
        <v/>
      </c>
      <c r="O387" s="60">
        <f>IF(C387="","",COUNTIFS('Saisie'!$C$5:$C$2004,C387,'Saisie'!$AU$5:$AU$2004,1))</f>
        <v/>
      </c>
      <c r="P387" s="60">
        <f>IF(C387="","",COUNTIFS('Saisie'!$C$5:$C$2004,C387,'Saisie'!$AV$5:$AV$2004,1))</f>
        <v/>
      </c>
      <c r="Q387" s="106">
        <f>IF(C387="","",IFERROR(1/(1/_xlfn.MAXIFS('Saisie'!$A$5:$A$2004,'Saisie'!$C$5:$C$2004,C387)),""))</f>
        <v/>
      </c>
      <c r="R387" s="61">
        <f>IF(C387="","",IF(Q387="","",TODAY()-Q387))</f>
        <v/>
      </c>
      <c r="S387" s="60">
        <f>IF(C387="","",IFERROR(INDEX('Saisie'!$R$5:$R$2004,_xlfn.MAXIFS('Saisie'!$AS$5:$AS$2004,'Saisie'!$C$5:$C$2004,C387,'Saisie'!$R$5:$R$2004,"&lt;&gt;")-4),""))</f>
        <v/>
      </c>
      <c r="T387" s="60">
        <f>IF(C387="","",IFERROR(INDEX('Saisie'!$S$5:$S$2004,_xlfn.MAXIFS('Saisie'!$AS$5:$AS$2004,'Saisie'!$C$5:$C$2004,C387,'Saisie'!$S$5:$S$2004,"&lt;&gt;")-4),""))</f>
        <v/>
      </c>
      <c r="U387" s="60">
        <f>IF(C387="","",IFERROR(INDEX('Saisie'!$T$5:$T$2004,_xlfn.MAXIFS('Saisie'!$AS$5:$AS$2004,'Saisie'!$C$5:$C$2004,C387,'Saisie'!$T$5:$T$2004,"&lt;&gt;")-4),""))</f>
        <v/>
      </c>
      <c r="V387" s="60">
        <f>IF(C387="","",IFERROR(INDEX('Saisie'!$V$5:$V$2004,_xlfn.MAXIFS('Saisie'!$AS$5:$AS$2004,'Saisie'!$C$5:$C$2004,C387,'Saisie'!$V$5:$V$2004,"&lt;&gt;")-4),""))</f>
        <v/>
      </c>
      <c r="W387" s="60">
        <f>IF(C387="","",IFERROR(INDEX('Saisie'!$Z$5:$Z$2004,_xlfn.MAXIFS('Saisie'!$AS$5:$AS$2004,'Saisie'!$C$5:$C$2004,C387,'Saisie'!$Z$5:$Z$2004,"&lt;&gt;")-4),""))</f>
        <v/>
      </c>
      <c r="X387" s="60">
        <f>IF(C387="","",IFERROR(INDEX('Saisie'!$AA$5:$AA$2004,_xlfn.MAXIFS('Saisie'!$AS$5:$AS$2004,'Saisie'!$C$5:$C$2004,C387,'Saisie'!$AA$5:$AA$2004,"&lt;&gt;")-4),""))</f>
        <v/>
      </c>
      <c r="Y387" s="60">
        <f>IF(C387="","",IFERROR(INDEX('Saisie'!$AB$5:$AB$2004,_xlfn.MAXIFS('Saisie'!$AS$5:$AS$2004,'Saisie'!$C$5:$C$2004,C387,'Saisie'!$AB$5:$AB$2004,"&lt;&gt;")-4),""))</f>
        <v/>
      </c>
      <c r="Z387" s="60">
        <f>IF(C387="","",IFERROR(INDEX('Saisie'!$AC$5:$AC$2004,_xlfn.MAXIFS('Saisie'!$AS$5:$AS$2004,'Saisie'!$C$5:$C$2004,C387,'Saisie'!$AC$5:$AC$2004,"&lt;&gt;")-4),""))</f>
        <v/>
      </c>
      <c r="AA387" s="106">
        <f>IF(C387="","",IFERROR(INDEX('Saisie'!$AD$5:$AD$2004,_xlfn.MAXIFS('Saisie'!$AS$5:$AS$2004,'Saisie'!$C$5:$C$2004,C387,'Saisie'!$AD$5:$AD$2004,"&lt;&gt;")-4),""))</f>
        <v/>
      </c>
      <c r="AB387" s="60">
        <f>IF(C387="","",IFERROR(INDEX('Saisie'!$AE$5:$AE$2004,_xlfn.MAXIFS('Saisie'!$AS$5:$AS$2004,'Saisie'!$C$5:$C$2004,C387,'Saisie'!$AE$5:$AE$2004,"&lt;&gt;")-4),""))</f>
        <v/>
      </c>
      <c r="AC387" s="60">
        <f>IF(C387="","",IFERROR(INDEX('Saisie'!$AF$5:$AF$2004,_xlfn.MAXIFS('Saisie'!$AS$5:$AS$2004,'Saisie'!$C$5:$C$2004,C387,'Saisie'!$AF$5:$AF$2004,"&lt;&gt;")-4),""))</f>
        <v/>
      </c>
      <c r="AD387" s="108">
        <f>IF(C387="","",IFERROR(INDEX('Saisie'!$AG$5:$AG$2004,_xlfn.MAXIFS('Saisie'!$AS$5:$AS$2004,'Saisie'!$C$5:$C$2004,C387,'Saisie'!$AG$5:$AG$2004,"&lt;&gt;")-4),""))</f>
        <v/>
      </c>
      <c r="AE387" s="60">
        <f>IF(C387="","",IFERROR(INDEX('Saisie'!$AH$5:$AH$2004,_xlfn.MAXIFS('Saisie'!$AS$5:$AS$2004,'Saisie'!$C$5:$C$2004,C387,'Saisie'!$AH$5:$AH$2004,"&lt;&gt;")-4),""))</f>
        <v/>
      </c>
      <c r="AF387" s="60">
        <f>IF(C387="","",IFERROR(INDEX('Saisie'!$AI$5:$AI$2004,_xlfn.MAXIFS('Saisie'!$AS$5:$AS$2004,'Saisie'!$C$5:$C$2004,C387,'Saisie'!$AI$5:$AI$2004,"&lt;&gt;")-4),""))</f>
        <v/>
      </c>
      <c r="AG387" s="60">
        <f>IF(C387="","",IFERROR(INDEX('Saisie'!$AJ$5:$AJ$2004,_xlfn.MAXIFS('Saisie'!$AS$5:$AS$2004,'Saisie'!$C$5:$C$2004,C387,'Saisie'!$AJ$5:$AJ$2004,"&lt;&gt;")-4),""))</f>
        <v/>
      </c>
      <c r="AH387" s="60">
        <f>IF(C387="","",IFERROR(INDEX('Saisie'!$AK$5:$AK$2004,_xlfn.MAXIFS('Saisie'!$AS$5:$AS$2004,'Saisie'!$C$5:$C$2004,C387,'Saisie'!$AK$5:$AK$2004,"&lt;&gt;")-4),""))</f>
        <v/>
      </c>
      <c r="AI387" s="60">
        <f>IF(C387="","",IFERROR(INDEX('Saisie'!$AN$5:$AN$2004,_xlfn.MAXIFS('Saisie'!$AS$5:$AS$2004,'Saisie'!$C$5:$C$2004,C387,'Saisie'!$AN$5:$AN$2004,"&lt;&gt;")-4),""))</f>
        <v/>
      </c>
      <c r="AJ387" s="60">
        <f>IF(C387="","",IFERROR(INDEX('Saisie'!$AO$5:$AO$2004,_xlfn.MAXIFS('Saisie'!$AS$5:$AS$2004,'Saisie'!$C$5:$C$2004,C387,'Saisie'!$AO$5:$AO$2004,"&lt;&gt;")-4),""))</f>
        <v/>
      </c>
      <c r="AK387" s="60">
        <f>IF(C387="","",IFERROR(INDEX('Saisie'!$AP$5:$AP$2004,_xlfn.MAXIFS('Saisie'!$AS$5:$AS$2004,'Saisie'!$C$5:$C$2004,C387,'Saisie'!$AP$5:$AP$2004,"&lt;&gt;")-4),""))</f>
        <v/>
      </c>
      <c r="AL387" s="60">
        <f>IF(C387="","",IFERROR(INDEX('Saisie'!$AQ$5:$AQ$2004,_xlfn.MAXIFS('Saisie'!$AS$5:$AS$2004,'Saisie'!$C$5:$C$2004,C387,'Saisie'!$AQ$5:$AQ$2004,"&lt;&gt;")-4),""))</f>
        <v/>
      </c>
      <c r="AM387" s="60">
        <f>IF(C387="","",((AI387="Oui")+(AJ387="Oui")+(AK387="Oui")+OR(AL387="Immédiat",AL387="&lt; 1 mois"))&amp;"/4")</f>
        <v/>
      </c>
      <c r="AN387" s="60">
        <f>IF(C387="","",IFERROR(INDEX('Saisie'!$AL$5:$AL$2004,_xlfn.MAXIFS('Saisie'!$AS$5:$AS$2004,'Saisie'!$C$5:$C$2004,C387,'Saisie'!$AL$5:$AL$2004,"&lt;&gt;")-4),""))</f>
        <v/>
      </c>
      <c r="AO387" s="62">
        <f>IF(C387="","",IF(IFERROR(INDEX('Saisie'!$AM$5:$AM$2004,_xlfn.MAXIFS('Saisie'!$AS$5:$AS$2004,'Saisie'!$C$5:$C$2004,C387,'Saisie'!$AM$5:$AM$2004,"&lt;&gt;")-4),"")&lt;&gt;"",IFERROR(INDEX('Saisie'!$AM$5:$AM$2004,_xlfn.MAXIFS('Saisie'!$AS$5:$AS$2004,'Saisie'!$C$5:$C$2004,C387,'Saisie'!$AM$5:$AM$2004,"&lt;&gt;")-4),""),IFERROR(INDEX('Paramètres'!$S$6:$S$15,MATCH(AN387,'Paramètres'!$Q$6:$Q$15,0)),"")))</f>
        <v/>
      </c>
      <c r="AP387" s="62">
        <f>IF(C387="","",IFERROR(INDEX('Saisie'!$AW$5:$AW$2004,_xlfn.MAXIFS('Saisie'!$AS$5:$AS$2004,'Saisie'!$C$5:$C$2004,C387,'Saisie'!$E$5:$E$2004,"Proposition envoyée")-4),""))</f>
        <v/>
      </c>
      <c r="AQ387" s="106">
        <f>IF(C387="","",IFERROR(1/(1/_xlfn.MAXIFS('Saisie'!$A$5:$A$2004,'Saisie'!$C$5:$C$2004,C387,'Saisie'!$E$5:$E$2004,"Proposition envoyée")),""))</f>
        <v/>
      </c>
      <c r="AR387" s="106">
        <f>IF(C387="","",IF(AQ387="","",AQ387+'Paramètres'!$B$26))</f>
        <v/>
      </c>
      <c r="AS387" s="62">
        <f>IF(OR(C387="",D387="Gagné",D387="Perdu"),0,N(AP387)*IFERROR(INDEX('Paramètres'!$G$6:$G$13,MATCH(D387,'Paramètres'!$F$6:$F$13,0)),0))</f>
        <v/>
      </c>
      <c r="AT387" s="106">
        <f>IF(C387="","",IFERROR(1/(1/_xlfn.MINIFS('Saisie'!$A$5:$A$2004,'Saisie'!$C$5:$C$2004,C387,'Saisie'!$E$5:$E$2004,"Signature")),""))</f>
        <v/>
      </c>
      <c r="AU387" s="60">
        <f>IF(C387="","",IF(OR(AT387="",B387=""),"",AT387-B387))</f>
        <v/>
      </c>
      <c r="AV387" s="60">
        <f>IF(C387="","",IFERROR(INDEX('Saisie'!$L$5:$L$2004,_xlfn.MAXIFS('Saisie'!$AS$5:$AS$2004,'Saisie'!$C$5:$C$2004,C387,'Saisie'!$L$5:$L$2004,"&lt;&gt;")-4),""))</f>
        <v/>
      </c>
      <c r="AW387" s="106">
        <f>IF(C387="","",IF(D387&lt;&gt;"Perdu","",IFERROR(1/(1/_xlfn.MAXIFS('Saisie'!$A$5:$A$2004,'Saisie'!$C$5:$C$2004,C387,'Saisie'!$E$5:$E$2004,"Perdu")),"")))</f>
        <v/>
      </c>
      <c r="AX387" s="106">
        <f>IF(C387="","",IF(AW387="","",AW387+'Paramètres'!$B$28))</f>
        <v/>
      </c>
      <c r="AY387" s="60">
        <f>IF(C387="","",SUMIFS('Saisie'!$H$5:$H$2004,'Saisie'!$C$5:$C$2004,C387))</f>
        <v/>
      </c>
      <c r="AZ387" s="60">
        <f>IF(C387="","",IFERROR(INDEX('Paramètres'!$W$6:$W$20,MATCH(S387,'Paramètres'!$V$6:$V$20,0))&amp;"",""))</f>
        <v/>
      </c>
      <c r="BA387" s="60">
        <f>IF(C387="","",MAX(1,_xlfn.MAXIFS('Saisie'!$AT$5:$AT$2004,'Saisie'!$C$5:$C$2004,C387)))</f>
        <v/>
      </c>
      <c r="BB387" s="60">
        <f>IF(C387="","",IFERROR(INDEX('Saisie'!$X$5:$X$2004,_xlfn.MAXIFS('Saisie'!$AS$5:$AS$2004,'Saisie'!$C$5:$C$2004,C387,'Saisie'!$X$5:$X$2004,"&lt;&gt;")-4),""))</f>
        <v/>
      </c>
      <c r="BC387" s="60">
        <f>IF(C387="","",IFERROR(INDEX('Saisie'!$Y$5:$Y$2004,_xlfn.MAXIFS('Saisie'!$AS$5:$AS$2004,'Saisie'!$C$5:$C$2004,C387,'Saisie'!$Y$5:$Y$2004,"&lt;&gt;")-4),""))</f>
        <v/>
      </c>
      <c r="BD387" s="106">
        <f>IF(C387="","",IFERROR(1/(1/_xlfn.MINIFS('Saisie'!$A$5:$A$2004,'Saisie'!$C$5:$C$2004,C387,'Saisie'!$AT$5:$AT$2004,"&gt;=2")),""))</f>
        <v/>
      </c>
      <c r="BE387" s="106">
        <f>IF(C387="","",IFERROR(1/(1/_xlfn.MINIFS('Saisie'!$A$5:$A$2004,'Saisie'!$C$5:$C$2004,C387,'Saisie'!$AT$5:$AT$2004,"&gt;=3")),""))</f>
        <v/>
      </c>
      <c r="BF387" s="106">
        <f>IF(C387="","",IFERROR(1/(1/_xlfn.MINIFS('Saisie'!$A$5:$A$2004,'Saisie'!$C$5:$C$2004,C387,'Saisie'!$AT$5:$AT$2004,"&gt;=4")),""))</f>
        <v/>
      </c>
      <c r="BG387" s="106">
        <f>IF(C387="","",IFERROR(1/(1/_xlfn.MINIFS('Saisie'!$A$5:$A$2004,'Saisie'!$C$5:$C$2004,C387,'Saisie'!$AT$5:$AT$2004,"&gt;=5")),""))</f>
        <v/>
      </c>
      <c r="BH387" s="106">
        <f>IF(C387="","",IFERROR(1/(1/_xlfn.MINIFS('Saisie'!$A$5:$A$2004,'Saisie'!$C$5:$C$2004,C387,'Saisie'!$AT$5:$AT$2004,"&gt;=6")),""))</f>
        <v/>
      </c>
      <c r="BI387" s="106">
        <f>IF(C387="","",IFERROR(1/(1/_xlfn.MINIFS('Saisie'!$A$5:$A$2004,'Saisie'!$C$5:$C$2004,C387,'Saisie'!$AT$5:$AT$2004,"&gt;=7")),""))</f>
        <v/>
      </c>
      <c r="BJ387" s="60">
        <f>IF(OR(BD387="",B387=""),"",BD387-B387)</f>
        <v/>
      </c>
      <c r="BK387" s="60">
        <f>IF(OR(BE387="",BD387=""),"",BE387-BD387)</f>
        <v/>
      </c>
      <c r="BL387" s="60">
        <f>IF(OR(BF387="",BE387=""),"",BF387-BE387)</f>
        <v/>
      </c>
      <c r="BM387" s="60">
        <f>IF(OR(BG387="",BF387=""),"",BG387-BF387)</f>
        <v/>
      </c>
      <c r="BN387" s="60">
        <f>IF(OR(BH387="",BG387=""),"",BH387-BG387)</f>
        <v/>
      </c>
      <c r="BO387" s="60">
        <f>IF(OR(BI387="",BH387=""),"",BI387-BH387)</f>
        <v/>
      </c>
      <c r="BP387" s="60">
        <f>IF(C387="","",_xlfn.MAXIFS('Saisie'!$AS$5:$AS$2004,'Saisie'!$C$5:$C$2004,C387,'Saisie'!$J$5:$J$2004,"&lt;&gt;"))</f>
        <v/>
      </c>
      <c r="BQ387" s="60">
        <f>IF(C387="","",_xlfn.MAXIFS('Saisie'!$AS$5:$AS$2004,'Saisie'!$C$5:$C$2004,C387))</f>
        <v/>
      </c>
      <c r="BR387" s="60">
        <f>IF(C387="","",_xlfn.MAXIFS('Saisie'!$AS$5:$AS$2004,'Saisie'!$C$5:$C$2004,C387,'Saisie'!$E$5:$E$2004,"Perdu"))</f>
        <v/>
      </c>
      <c r="BS387" s="60">
        <f>IF(C387="","",_xlfn.MAXIFS('Saisie'!$AS$5:$AS$2004,'Saisie'!$C$5:$C$2004,C387,'Saisie'!$AT$5:$AT$2004,"&gt;0"))</f>
        <v/>
      </c>
      <c r="BT387" s="109">
        <f>IF(AND(C387&lt;&gt;"",OR(D387="Nouveau",D387="Contacté",D387="Qualifié"),OR(G387="",N(G387)&lt;=TODAY()),NOT(AND(O387&gt;='Paramètres'!$B$21,P387=0))),E387+383/10000,"")</f>
        <v/>
      </c>
      <c r="BU387" s="60">
        <f>IF(AND(G387&lt;&gt;"",N(G387)&lt;=TODAY()),MAX($BU$4:BU386)+1,"")</f>
        <v/>
      </c>
      <c r="BV387" s="60">
        <f>IF(AND(F387&lt;&gt;"",F387&lt;&gt;"Relance en retard"),MAX($BV$4:BV386)+1,"")</f>
        <v/>
      </c>
      <c r="BW387" s="60">
        <f>IF(C387="","",IF(AND(B387&gt;='Tableau de bord'!$R$4,B387&lt;='Tableau de bord'!$S$4,OR('Tableau de bord'!$G$4="Tous",N387='Tableau de bord'!$G$4)),1,0))</f>
        <v/>
      </c>
      <c r="BX387" s="60">
        <f>IF(AND(C387&lt;&gt;"",N(BA387)=7),MAX($BX$4:BX386)+1,"")</f>
        <v/>
      </c>
    </row>
    <row r="388">
      <c r="A388" s="60">
        <f>IF(C388="","","P-"&amp;TEXT(384,"000"))</f>
        <v/>
      </c>
      <c r="B388" s="106">
        <f>IF(C388="","",IFERROR(1/(1/_xlfn.MINIFS('Saisie'!$A$5:$A$2004,'Saisie'!$C$5:$C$2004,C388)),""))</f>
        <v/>
      </c>
      <c r="C388" s="60">
        <f>IFERROR(INDEX('Saisie'!$C$5:$C$2004,MATCH(384,'Saisie'!$AX$5:$AX$2004,0)),"")</f>
        <v/>
      </c>
      <c r="D388" s="60">
        <f>IF(C388="","",IF(AND(BR388&gt;0,BR388&gt;BS388,BA388&lt;7),"Perdu",INDEX('Paramètres'!$F$6:$F$13,BA388)))</f>
        <v/>
      </c>
      <c r="E388" s="61">
        <f>IF(C388="","",MIN(100,(Z388="Oui")*'Paramètres'!$B$38+(AB388="Régulière")*'Paramètres'!$B$39+IF(AND(N(AA388)&gt;0,TODAY()-N(AA388)&lt;=30),'Paramètres'!$B$40,0)+(W388="")*'Paramètres'!$B$41+(AC388="Absente")*'Paramètres'!$B$42+(AC388="Faible")*'Paramètres'!$B$43+IF(AND(N(AD388)&gt;0,N(AD388)&lt;4),'Paramètres'!$B$44,0)+(AF388="Moyenne")*'Paramètres'!$B$45+(AF388="Grande")*'Paramètres'!$B$46+(Y388&lt;&gt;"")*'Paramètres'!$B$47))</f>
        <v/>
      </c>
      <c r="F388" s="60">
        <f>IF(C388="","",IF(D388="Gagné","",IF(D388="Perdu",IF(AND(AX388&lt;&gt;"",AX388&lt;=TODAY()),"À recontacter (perdu)",""),IF(AND(O388&gt;='Paramètres'!$B$21,P388=0),"Stop : "&amp;'Paramètres'!$B$21&amp;" tentatives sans réponse",IF(AND(D388="Proposition",AR388&lt;&gt;"",TODAY()&gt;N(AR388)),"Proposition expirée",IF(AND(D388="Proposition",N(R388)&gt;='Paramètres'!$B$25),"Proposition sans réponse",IF(AND(G388&lt;&gt;"",N(G388)&lt;TODAY()),"Relance en retard",IF(N(R388)&gt;='Paramètres'!$B$24,"Sans action depuis "&amp;R388&amp;" j",""))))))))</f>
        <v/>
      </c>
      <c r="G388" s="106">
        <f>IF(OR(C388="",D388="Gagné",D388="Perdu"),"",IF(AND(BP388&gt;0,BP388=BQ388),INDEX('Saisie'!$J$5:$J$2004,BP388-4),IF(OR(O388=0,AND(O388&gt;='Paramètres'!$B$21,P388=0)),"",Q388+IF(O388&lt;=1,'Paramètres'!$B$18,IF(O388=2,'Paramètres'!$B$19,'Paramètres'!$B$20)))))</f>
        <v/>
      </c>
      <c r="H388" s="107">
        <f>IF(OR(G388="",BP388&lt;&gt;BQ388),"",IF(INDEX('Saisie'!$K$5:$K$2004,BP388-4)="","",INDEX('Saisie'!$K$5:$K$2004,BP388-4)))</f>
        <v/>
      </c>
      <c r="I388" s="60">
        <f>IF(C388="","",IF(OR(D388="Gagné",D388="Perdu"),"",IFERROR(INDEX('Saisie'!$I$5:$I$2004,_xlfn.MAXIFS('Saisie'!$AS$5:$AS$2004,'Saisie'!$C$5:$C$2004,C388,'Saisie'!$I$5:$I$2004,"&lt;&gt;")-4),"")))</f>
        <v/>
      </c>
      <c r="J388" s="60">
        <f>IF(C388="","",IFERROR(INDEX('Saisie'!$U$5:$U$2004,_xlfn.MAXIFS('Saisie'!$AS$5:$AS$2004,'Saisie'!$C$5:$C$2004,C388,'Saisie'!$U$5:$U$2004,"&lt;&gt;")-4),""))</f>
        <v/>
      </c>
      <c r="K388" s="60">
        <f>IF(C388="","",IFERROR(INDEX('Saisie'!$W$5:$W$2004,_xlfn.MAXIFS('Saisie'!$AS$5:$AS$2004,'Saisie'!$C$5:$C$2004,C388,'Saisie'!$W$5:$W$2004,"&lt;&gt;")-4),""))</f>
        <v/>
      </c>
      <c r="L388" s="60">
        <f>IF(IF(BB388&lt;&gt;"",BB388,K388)="","",HYPERLINK("https://wa.me/"&amp;IF(LEFT(SUBSTITUTE(SUBSTITUTE(SUBSTITUTE(IF(BB388&lt;&gt;"",BB388,K388)," ",""),".",""),"+",""),1)="0",'Paramètres'!$B$35&amp;MID(SUBSTITUTE(SUBSTITUTE(SUBSTITUTE(IF(BB388&lt;&gt;"",BB388,K388)," ",""),".",""),"+",""),2,20),SUBSTITUTE(SUBSTITUTE(SUBSTITUTE(IF(BB388&lt;&gt;"",BB388,K388)," ",""),".",""),"+","")),"WhatsApp"))</f>
        <v/>
      </c>
      <c r="M388" s="60">
        <f>IF(BC388="","",HYPERLINK(IF(LEFT(BC388,4)="http",BC388,"https://www.instagram.com/"&amp;SUBSTITUTE(SUBSTITUTE(BC388,"@","")," ","")),BC388))</f>
        <v/>
      </c>
      <c r="N388" s="60">
        <f>IF(C388="","",IFERROR(INDEX('Saisie'!$D$5:$D$2004,_xlfn.MINIFS('Saisie'!$AS$5:$AS$2004,'Saisie'!$C$5:$C$2004,C388,'Saisie'!$AU$5:$AU$2004,1)-4),IFERROR(INDEX('Saisie'!$D$5:$D$2004,_xlfn.MINIFS('Saisie'!$AS$5:$AS$2004,'Saisie'!$C$5:$C$2004,C388,'Saisie'!$D$5:$D$2004,"&lt;&gt;")-4),"")))</f>
        <v/>
      </c>
      <c r="O388" s="60">
        <f>IF(C388="","",COUNTIFS('Saisie'!$C$5:$C$2004,C388,'Saisie'!$AU$5:$AU$2004,1))</f>
        <v/>
      </c>
      <c r="P388" s="60">
        <f>IF(C388="","",COUNTIFS('Saisie'!$C$5:$C$2004,C388,'Saisie'!$AV$5:$AV$2004,1))</f>
        <v/>
      </c>
      <c r="Q388" s="106">
        <f>IF(C388="","",IFERROR(1/(1/_xlfn.MAXIFS('Saisie'!$A$5:$A$2004,'Saisie'!$C$5:$C$2004,C388)),""))</f>
        <v/>
      </c>
      <c r="R388" s="61">
        <f>IF(C388="","",IF(Q388="","",TODAY()-Q388))</f>
        <v/>
      </c>
      <c r="S388" s="60">
        <f>IF(C388="","",IFERROR(INDEX('Saisie'!$R$5:$R$2004,_xlfn.MAXIFS('Saisie'!$AS$5:$AS$2004,'Saisie'!$C$5:$C$2004,C388,'Saisie'!$R$5:$R$2004,"&lt;&gt;")-4),""))</f>
        <v/>
      </c>
      <c r="T388" s="60">
        <f>IF(C388="","",IFERROR(INDEX('Saisie'!$S$5:$S$2004,_xlfn.MAXIFS('Saisie'!$AS$5:$AS$2004,'Saisie'!$C$5:$C$2004,C388,'Saisie'!$S$5:$S$2004,"&lt;&gt;")-4),""))</f>
        <v/>
      </c>
      <c r="U388" s="60">
        <f>IF(C388="","",IFERROR(INDEX('Saisie'!$T$5:$T$2004,_xlfn.MAXIFS('Saisie'!$AS$5:$AS$2004,'Saisie'!$C$5:$C$2004,C388,'Saisie'!$T$5:$T$2004,"&lt;&gt;")-4),""))</f>
        <v/>
      </c>
      <c r="V388" s="60">
        <f>IF(C388="","",IFERROR(INDEX('Saisie'!$V$5:$V$2004,_xlfn.MAXIFS('Saisie'!$AS$5:$AS$2004,'Saisie'!$C$5:$C$2004,C388,'Saisie'!$V$5:$V$2004,"&lt;&gt;")-4),""))</f>
        <v/>
      </c>
      <c r="W388" s="60">
        <f>IF(C388="","",IFERROR(INDEX('Saisie'!$Z$5:$Z$2004,_xlfn.MAXIFS('Saisie'!$AS$5:$AS$2004,'Saisie'!$C$5:$C$2004,C388,'Saisie'!$Z$5:$Z$2004,"&lt;&gt;")-4),""))</f>
        <v/>
      </c>
      <c r="X388" s="60">
        <f>IF(C388="","",IFERROR(INDEX('Saisie'!$AA$5:$AA$2004,_xlfn.MAXIFS('Saisie'!$AS$5:$AS$2004,'Saisie'!$C$5:$C$2004,C388,'Saisie'!$AA$5:$AA$2004,"&lt;&gt;")-4),""))</f>
        <v/>
      </c>
      <c r="Y388" s="60">
        <f>IF(C388="","",IFERROR(INDEX('Saisie'!$AB$5:$AB$2004,_xlfn.MAXIFS('Saisie'!$AS$5:$AS$2004,'Saisie'!$C$5:$C$2004,C388,'Saisie'!$AB$5:$AB$2004,"&lt;&gt;")-4),""))</f>
        <v/>
      </c>
      <c r="Z388" s="60">
        <f>IF(C388="","",IFERROR(INDEX('Saisie'!$AC$5:$AC$2004,_xlfn.MAXIFS('Saisie'!$AS$5:$AS$2004,'Saisie'!$C$5:$C$2004,C388,'Saisie'!$AC$5:$AC$2004,"&lt;&gt;")-4),""))</f>
        <v/>
      </c>
      <c r="AA388" s="106">
        <f>IF(C388="","",IFERROR(INDEX('Saisie'!$AD$5:$AD$2004,_xlfn.MAXIFS('Saisie'!$AS$5:$AS$2004,'Saisie'!$C$5:$C$2004,C388,'Saisie'!$AD$5:$AD$2004,"&lt;&gt;")-4),""))</f>
        <v/>
      </c>
      <c r="AB388" s="60">
        <f>IF(C388="","",IFERROR(INDEX('Saisie'!$AE$5:$AE$2004,_xlfn.MAXIFS('Saisie'!$AS$5:$AS$2004,'Saisie'!$C$5:$C$2004,C388,'Saisie'!$AE$5:$AE$2004,"&lt;&gt;")-4),""))</f>
        <v/>
      </c>
      <c r="AC388" s="60">
        <f>IF(C388="","",IFERROR(INDEX('Saisie'!$AF$5:$AF$2004,_xlfn.MAXIFS('Saisie'!$AS$5:$AS$2004,'Saisie'!$C$5:$C$2004,C388,'Saisie'!$AF$5:$AF$2004,"&lt;&gt;")-4),""))</f>
        <v/>
      </c>
      <c r="AD388" s="108">
        <f>IF(C388="","",IFERROR(INDEX('Saisie'!$AG$5:$AG$2004,_xlfn.MAXIFS('Saisie'!$AS$5:$AS$2004,'Saisie'!$C$5:$C$2004,C388,'Saisie'!$AG$5:$AG$2004,"&lt;&gt;")-4),""))</f>
        <v/>
      </c>
      <c r="AE388" s="60">
        <f>IF(C388="","",IFERROR(INDEX('Saisie'!$AH$5:$AH$2004,_xlfn.MAXIFS('Saisie'!$AS$5:$AS$2004,'Saisie'!$C$5:$C$2004,C388,'Saisie'!$AH$5:$AH$2004,"&lt;&gt;")-4),""))</f>
        <v/>
      </c>
      <c r="AF388" s="60">
        <f>IF(C388="","",IFERROR(INDEX('Saisie'!$AI$5:$AI$2004,_xlfn.MAXIFS('Saisie'!$AS$5:$AS$2004,'Saisie'!$C$5:$C$2004,C388,'Saisie'!$AI$5:$AI$2004,"&lt;&gt;")-4),""))</f>
        <v/>
      </c>
      <c r="AG388" s="60">
        <f>IF(C388="","",IFERROR(INDEX('Saisie'!$AJ$5:$AJ$2004,_xlfn.MAXIFS('Saisie'!$AS$5:$AS$2004,'Saisie'!$C$5:$C$2004,C388,'Saisie'!$AJ$5:$AJ$2004,"&lt;&gt;")-4),""))</f>
        <v/>
      </c>
      <c r="AH388" s="60">
        <f>IF(C388="","",IFERROR(INDEX('Saisie'!$AK$5:$AK$2004,_xlfn.MAXIFS('Saisie'!$AS$5:$AS$2004,'Saisie'!$C$5:$C$2004,C388,'Saisie'!$AK$5:$AK$2004,"&lt;&gt;")-4),""))</f>
        <v/>
      </c>
      <c r="AI388" s="60">
        <f>IF(C388="","",IFERROR(INDEX('Saisie'!$AN$5:$AN$2004,_xlfn.MAXIFS('Saisie'!$AS$5:$AS$2004,'Saisie'!$C$5:$C$2004,C388,'Saisie'!$AN$5:$AN$2004,"&lt;&gt;")-4),""))</f>
        <v/>
      </c>
      <c r="AJ388" s="60">
        <f>IF(C388="","",IFERROR(INDEX('Saisie'!$AO$5:$AO$2004,_xlfn.MAXIFS('Saisie'!$AS$5:$AS$2004,'Saisie'!$C$5:$C$2004,C388,'Saisie'!$AO$5:$AO$2004,"&lt;&gt;")-4),""))</f>
        <v/>
      </c>
      <c r="AK388" s="60">
        <f>IF(C388="","",IFERROR(INDEX('Saisie'!$AP$5:$AP$2004,_xlfn.MAXIFS('Saisie'!$AS$5:$AS$2004,'Saisie'!$C$5:$C$2004,C388,'Saisie'!$AP$5:$AP$2004,"&lt;&gt;")-4),""))</f>
        <v/>
      </c>
      <c r="AL388" s="60">
        <f>IF(C388="","",IFERROR(INDEX('Saisie'!$AQ$5:$AQ$2004,_xlfn.MAXIFS('Saisie'!$AS$5:$AS$2004,'Saisie'!$C$5:$C$2004,C388,'Saisie'!$AQ$5:$AQ$2004,"&lt;&gt;")-4),""))</f>
        <v/>
      </c>
      <c r="AM388" s="60">
        <f>IF(C388="","",((AI388="Oui")+(AJ388="Oui")+(AK388="Oui")+OR(AL388="Immédiat",AL388="&lt; 1 mois"))&amp;"/4")</f>
        <v/>
      </c>
      <c r="AN388" s="60">
        <f>IF(C388="","",IFERROR(INDEX('Saisie'!$AL$5:$AL$2004,_xlfn.MAXIFS('Saisie'!$AS$5:$AS$2004,'Saisie'!$C$5:$C$2004,C388,'Saisie'!$AL$5:$AL$2004,"&lt;&gt;")-4),""))</f>
        <v/>
      </c>
      <c r="AO388" s="62">
        <f>IF(C388="","",IF(IFERROR(INDEX('Saisie'!$AM$5:$AM$2004,_xlfn.MAXIFS('Saisie'!$AS$5:$AS$2004,'Saisie'!$C$5:$C$2004,C388,'Saisie'!$AM$5:$AM$2004,"&lt;&gt;")-4),"")&lt;&gt;"",IFERROR(INDEX('Saisie'!$AM$5:$AM$2004,_xlfn.MAXIFS('Saisie'!$AS$5:$AS$2004,'Saisie'!$C$5:$C$2004,C388,'Saisie'!$AM$5:$AM$2004,"&lt;&gt;")-4),""),IFERROR(INDEX('Paramètres'!$S$6:$S$15,MATCH(AN388,'Paramètres'!$Q$6:$Q$15,0)),"")))</f>
        <v/>
      </c>
      <c r="AP388" s="62">
        <f>IF(C388="","",IFERROR(INDEX('Saisie'!$AW$5:$AW$2004,_xlfn.MAXIFS('Saisie'!$AS$5:$AS$2004,'Saisie'!$C$5:$C$2004,C388,'Saisie'!$E$5:$E$2004,"Proposition envoyée")-4),""))</f>
        <v/>
      </c>
      <c r="AQ388" s="106">
        <f>IF(C388="","",IFERROR(1/(1/_xlfn.MAXIFS('Saisie'!$A$5:$A$2004,'Saisie'!$C$5:$C$2004,C388,'Saisie'!$E$5:$E$2004,"Proposition envoyée")),""))</f>
        <v/>
      </c>
      <c r="AR388" s="106">
        <f>IF(C388="","",IF(AQ388="","",AQ388+'Paramètres'!$B$26))</f>
        <v/>
      </c>
      <c r="AS388" s="62">
        <f>IF(OR(C388="",D388="Gagné",D388="Perdu"),0,N(AP388)*IFERROR(INDEX('Paramètres'!$G$6:$G$13,MATCH(D388,'Paramètres'!$F$6:$F$13,0)),0))</f>
        <v/>
      </c>
      <c r="AT388" s="106">
        <f>IF(C388="","",IFERROR(1/(1/_xlfn.MINIFS('Saisie'!$A$5:$A$2004,'Saisie'!$C$5:$C$2004,C388,'Saisie'!$E$5:$E$2004,"Signature")),""))</f>
        <v/>
      </c>
      <c r="AU388" s="60">
        <f>IF(C388="","",IF(OR(AT388="",B388=""),"",AT388-B388))</f>
        <v/>
      </c>
      <c r="AV388" s="60">
        <f>IF(C388="","",IFERROR(INDEX('Saisie'!$L$5:$L$2004,_xlfn.MAXIFS('Saisie'!$AS$5:$AS$2004,'Saisie'!$C$5:$C$2004,C388,'Saisie'!$L$5:$L$2004,"&lt;&gt;")-4),""))</f>
        <v/>
      </c>
      <c r="AW388" s="106">
        <f>IF(C388="","",IF(D388&lt;&gt;"Perdu","",IFERROR(1/(1/_xlfn.MAXIFS('Saisie'!$A$5:$A$2004,'Saisie'!$C$5:$C$2004,C388,'Saisie'!$E$5:$E$2004,"Perdu")),"")))</f>
        <v/>
      </c>
      <c r="AX388" s="106">
        <f>IF(C388="","",IF(AW388="","",AW388+'Paramètres'!$B$28))</f>
        <v/>
      </c>
      <c r="AY388" s="60">
        <f>IF(C388="","",SUMIFS('Saisie'!$H$5:$H$2004,'Saisie'!$C$5:$C$2004,C388))</f>
        <v/>
      </c>
      <c r="AZ388" s="60">
        <f>IF(C388="","",IFERROR(INDEX('Paramètres'!$W$6:$W$20,MATCH(S388,'Paramètres'!$V$6:$V$20,0))&amp;"",""))</f>
        <v/>
      </c>
      <c r="BA388" s="60">
        <f>IF(C388="","",MAX(1,_xlfn.MAXIFS('Saisie'!$AT$5:$AT$2004,'Saisie'!$C$5:$C$2004,C388)))</f>
        <v/>
      </c>
      <c r="BB388" s="60">
        <f>IF(C388="","",IFERROR(INDEX('Saisie'!$X$5:$X$2004,_xlfn.MAXIFS('Saisie'!$AS$5:$AS$2004,'Saisie'!$C$5:$C$2004,C388,'Saisie'!$X$5:$X$2004,"&lt;&gt;")-4),""))</f>
        <v/>
      </c>
      <c r="BC388" s="60">
        <f>IF(C388="","",IFERROR(INDEX('Saisie'!$Y$5:$Y$2004,_xlfn.MAXIFS('Saisie'!$AS$5:$AS$2004,'Saisie'!$C$5:$C$2004,C388,'Saisie'!$Y$5:$Y$2004,"&lt;&gt;")-4),""))</f>
        <v/>
      </c>
      <c r="BD388" s="106">
        <f>IF(C388="","",IFERROR(1/(1/_xlfn.MINIFS('Saisie'!$A$5:$A$2004,'Saisie'!$C$5:$C$2004,C388,'Saisie'!$AT$5:$AT$2004,"&gt;=2")),""))</f>
        <v/>
      </c>
      <c r="BE388" s="106">
        <f>IF(C388="","",IFERROR(1/(1/_xlfn.MINIFS('Saisie'!$A$5:$A$2004,'Saisie'!$C$5:$C$2004,C388,'Saisie'!$AT$5:$AT$2004,"&gt;=3")),""))</f>
        <v/>
      </c>
      <c r="BF388" s="106">
        <f>IF(C388="","",IFERROR(1/(1/_xlfn.MINIFS('Saisie'!$A$5:$A$2004,'Saisie'!$C$5:$C$2004,C388,'Saisie'!$AT$5:$AT$2004,"&gt;=4")),""))</f>
        <v/>
      </c>
      <c r="BG388" s="106">
        <f>IF(C388="","",IFERROR(1/(1/_xlfn.MINIFS('Saisie'!$A$5:$A$2004,'Saisie'!$C$5:$C$2004,C388,'Saisie'!$AT$5:$AT$2004,"&gt;=5")),""))</f>
        <v/>
      </c>
      <c r="BH388" s="106">
        <f>IF(C388="","",IFERROR(1/(1/_xlfn.MINIFS('Saisie'!$A$5:$A$2004,'Saisie'!$C$5:$C$2004,C388,'Saisie'!$AT$5:$AT$2004,"&gt;=6")),""))</f>
        <v/>
      </c>
      <c r="BI388" s="106">
        <f>IF(C388="","",IFERROR(1/(1/_xlfn.MINIFS('Saisie'!$A$5:$A$2004,'Saisie'!$C$5:$C$2004,C388,'Saisie'!$AT$5:$AT$2004,"&gt;=7")),""))</f>
        <v/>
      </c>
      <c r="BJ388" s="60">
        <f>IF(OR(BD388="",B388=""),"",BD388-B388)</f>
        <v/>
      </c>
      <c r="BK388" s="60">
        <f>IF(OR(BE388="",BD388=""),"",BE388-BD388)</f>
        <v/>
      </c>
      <c r="BL388" s="60">
        <f>IF(OR(BF388="",BE388=""),"",BF388-BE388)</f>
        <v/>
      </c>
      <c r="BM388" s="60">
        <f>IF(OR(BG388="",BF388=""),"",BG388-BF388)</f>
        <v/>
      </c>
      <c r="BN388" s="60">
        <f>IF(OR(BH388="",BG388=""),"",BH388-BG388)</f>
        <v/>
      </c>
      <c r="BO388" s="60">
        <f>IF(OR(BI388="",BH388=""),"",BI388-BH388)</f>
        <v/>
      </c>
      <c r="BP388" s="60">
        <f>IF(C388="","",_xlfn.MAXIFS('Saisie'!$AS$5:$AS$2004,'Saisie'!$C$5:$C$2004,C388,'Saisie'!$J$5:$J$2004,"&lt;&gt;"))</f>
        <v/>
      </c>
      <c r="BQ388" s="60">
        <f>IF(C388="","",_xlfn.MAXIFS('Saisie'!$AS$5:$AS$2004,'Saisie'!$C$5:$C$2004,C388))</f>
        <v/>
      </c>
      <c r="BR388" s="60">
        <f>IF(C388="","",_xlfn.MAXIFS('Saisie'!$AS$5:$AS$2004,'Saisie'!$C$5:$C$2004,C388,'Saisie'!$E$5:$E$2004,"Perdu"))</f>
        <v/>
      </c>
      <c r="BS388" s="60">
        <f>IF(C388="","",_xlfn.MAXIFS('Saisie'!$AS$5:$AS$2004,'Saisie'!$C$5:$C$2004,C388,'Saisie'!$AT$5:$AT$2004,"&gt;0"))</f>
        <v/>
      </c>
      <c r="BT388" s="109">
        <f>IF(AND(C388&lt;&gt;"",OR(D388="Nouveau",D388="Contacté",D388="Qualifié"),OR(G388="",N(G388)&lt;=TODAY()),NOT(AND(O388&gt;='Paramètres'!$B$21,P388=0))),E388+384/10000,"")</f>
        <v/>
      </c>
      <c r="BU388" s="60">
        <f>IF(AND(G388&lt;&gt;"",N(G388)&lt;=TODAY()),MAX($BU$4:BU387)+1,"")</f>
        <v/>
      </c>
      <c r="BV388" s="60">
        <f>IF(AND(F388&lt;&gt;"",F388&lt;&gt;"Relance en retard"),MAX($BV$4:BV387)+1,"")</f>
        <v/>
      </c>
      <c r="BW388" s="60">
        <f>IF(C388="","",IF(AND(B388&gt;='Tableau de bord'!$R$4,B388&lt;='Tableau de bord'!$S$4,OR('Tableau de bord'!$G$4="Tous",N388='Tableau de bord'!$G$4)),1,0))</f>
        <v/>
      </c>
      <c r="BX388" s="60">
        <f>IF(AND(C388&lt;&gt;"",N(BA388)=7),MAX($BX$4:BX387)+1,"")</f>
        <v/>
      </c>
    </row>
    <row r="389">
      <c r="A389" s="60">
        <f>IF(C389="","","P-"&amp;TEXT(385,"000"))</f>
        <v/>
      </c>
      <c r="B389" s="106">
        <f>IF(C389="","",IFERROR(1/(1/_xlfn.MINIFS('Saisie'!$A$5:$A$2004,'Saisie'!$C$5:$C$2004,C389)),""))</f>
        <v/>
      </c>
      <c r="C389" s="60">
        <f>IFERROR(INDEX('Saisie'!$C$5:$C$2004,MATCH(385,'Saisie'!$AX$5:$AX$2004,0)),"")</f>
        <v/>
      </c>
      <c r="D389" s="60">
        <f>IF(C389="","",IF(AND(BR389&gt;0,BR389&gt;BS389,BA389&lt;7),"Perdu",INDEX('Paramètres'!$F$6:$F$13,BA389)))</f>
        <v/>
      </c>
      <c r="E389" s="61">
        <f>IF(C389="","",MIN(100,(Z389="Oui")*'Paramètres'!$B$38+(AB389="Régulière")*'Paramètres'!$B$39+IF(AND(N(AA389)&gt;0,TODAY()-N(AA389)&lt;=30),'Paramètres'!$B$40,0)+(W389="")*'Paramètres'!$B$41+(AC389="Absente")*'Paramètres'!$B$42+(AC389="Faible")*'Paramètres'!$B$43+IF(AND(N(AD389)&gt;0,N(AD389)&lt;4),'Paramètres'!$B$44,0)+(AF389="Moyenne")*'Paramètres'!$B$45+(AF389="Grande")*'Paramètres'!$B$46+(Y389&lt;&gt;"")*'Paramètres'!$B$47))</f>
        <v/>
      </c>
      <c r="F389" s="60">
        <f>IF(C389="","",IF(D389="Gagné","",IF(D389="Perdu",IF(AND(AX389&lt;&gt;"",AX389&lt;=TODAY()),"À recontacter (perdu)",""),IF(AND(O389&gt;='Paramètres'!$B$21,P389=0),"Stop : "&amp;'Paramètres'!$B$21&amp;" tentatives sans réponse",IF(AND(D389="Proposition",AR389&lt;&gt;"",TODAY()&gt;N(AR389)),"Proposition expirée",IF(AND(D389="Proposition",N(R389)&gt;='Paramètres'!$B$25),"Proposition sans réponse",IF(AND(G389&lt;&gt;"",N(G389)&lt;TODAY()),"Relance en retard",IF(N(R389)&gt;='Paramètres'!$B$24,"Sans action depuis "&amp;R389&amp;" j",""))))))))</f>
        <v/>
      </c>
      <c r="G389" s="106">
        <f>IF(OR(C389="",D389="Gagné",D389="Perdu"),"",IF(AND(BP389&gt;0,BP389=BQ389),INDEX('Saisie'!$J$5:$J$2004,BP389-4),IF(OR(O389=0,AND(O389&gt;='Paramètres'!$B$21,P389=0)),"",Q389+IF(O389&lt;=1,'Paramètres'!$B$18,IF(O389=2,'Paramètres'!$B$19,'Paramètres'!$B$20)))))</f>
        <v/>
      </c>
      <c r="H389" s="107">
        <f>IF(OR(G389="",BP389&lt;&gt;BQ389),"",IF(INDEX('Saisie'!$K$5:$K$2004,BP389-4)="","",INDEX('Saisie'!$K$5:$K$2004,BP389-4)))</f>
        <v/>
      </c>
      <c r="I389" s="60">
        <f>IF(C389="","",IF(OR(D389="Gagné",D389="Perdu"),"",IFERROR(INDEX('Saisie'!$I$5:$I$2004,_xlfn.MAXIFS('Saisie'!$AS$5:$AS$2004,'Saisie'!$C$5:$C$2004,C389,'Saisie'!$I$5:$I$2004,"&lt;&gt;")-4),"")))</f>
        <v/>
      </c>
      <c r="J389" s="60">
        <f>IF(C389="","",IFERROR(INDEX('Saisie'!$U$5:$U$2004,_xlfn.MAXIFS('Saisie'!$AS$5:$AS$2004,'Saisie'!$C$5:$C$2004,C389,'Saisie'!$U$5:$U$2004,"&lt;&gt;")-4),""))</f>
        <v/>
      </c>
      <c r="K389" s="60">
        <f>IF(C389="","",IFERROR(INDEX('Saisie'!$W$5:$W$2004,_xlfn.MAXIFS('Saisie'!$AS$5:$AS$2004,'Saisie'!$C$5:$C$2004,C389,'Saisie'!$W$5:$W$2004,"&lt;&gt;")-4),""))</f>
        <v/>
      </c>
      <c r="L389" s="60">
        <f>IF(IF(BB389&lt;&gt;"",BB389,K389)="","",HYPERLINK("https://wa.me/"&amp;IF(LEFT(SUBSTITUTE(SUBSTITUTE(SUBSTITUTE(IF(BB389&lt;&gt;"",BB389,K389)," ",""),".",""),"+",""),1)="0",'Paramètres'!$B$35&amp;MID(SUBSTITUTE(SUBSTITUTE(SUBSTITUTE(IF(BB389&lt;&gt;"",BB389,K389)," ",""),".",""),"+",""),2,20),SUBSTITUTE(SUBSTITUTE(SUBSTITUTE(IF(BB389&lt;&gt;"",BB389,K389)," ",""),".",""),"+","")),"WhatsApp"))</f>
        <v/>
      </c>
      <c r="M389" s="60">
        <f>IF(BC389="","",HYPERLINK(IF(LEFT(BC389,4)="http",BC389,"https://www.instagram.com/"&amp;SUBSTITUTE(SUBSTITUTE(BC389,"@","")," ","")),BC389))</f>
        <v/>
      </c>
      <c r="N389" s="60">
        <f>IF(C389="","",IFERROR(INDEX('Saisie'!$D$5:$D$2004,_xlfn.MINIFS('Saisie'!$AS$5:$AS$2004,'Saisie'!$C$5:$C$2004,C389,'Saisie'!$AU$5:$AU$2004,1)-4),IFERROR(INDEX('Saisie'!$D$5:$D$2004,_xlfn.MINIFS('Saisie'!$AS$5:$AS$2004,'Saisie'!$C$5:$C$2004,C389,'Saisie'!$D$5:$D$2004,"&lt;&gt;")-4),"")))</f>
        <v/>
      </c>
      <c r="O389" s="60">
        <f>IF(C389="","",COUNTIFS('Saisie'!$C$5:$C$2004,C389,'Saisie'!$AU$5:$AU$2004,1))</f>
        <v/>
      </c>
      <c r="P389" s="60">
        <f>IF(C389="","",COUNTIFS('Saisie'!$C$5:$C$2004,C389,'Saisie'!$AV$5:$AV$2004,1))</f>
        <v/>
      </c>
      <c r="Q389" s="106">
        <f>IF(C389="","",IFERROR(1/(1/_xlfn.MAXIFS('Saisie'!$A$5:$A$2004,'Saisie'!$C$5:$C$2004,C389)),""))</f>
        <v/>
      </c>
      <c r="R389" s="61">
        <f>IF(C389="","",IF(Q389="","",TODAY()-Q389))</f>
        <v/>
      </c>
      <c r="S389" s="60">
        <f>IF(C389="","",IFERROR(INDEX('Saisie'!$R$5:$R$2004,_xlfn.MAXIFS('Saisie'!$AS$5:$AS$2004,'Saisie'!$C$5:$C$2004,C389,'Saisie'!$R$5:$R$2004,"&lt;&gt;")-4),""))</f>
        <v/>
      </c>
      <c r="T389" s="60">
        <f>IF(C389="","",IFERROR(INDEX('Saisie'!$S$5:$S$2004,_xlfn.MAXIFS('Saisie'!$AS$5:$AS$2004,'Saisie'!$C$5:$C$2004,C389,'Saisie'!$S$5:$S$2004,"&lt;&gt;")-4),""))</f>
        <v/>
      </c>
      <c r="U389" s="60">
        <f>IF(C389="","",IFERROR(INDEX('Saisie'!$T$5:$T$2004,_xlfn.MAXIFS('Saisie'!$AS$5:$AS$2004,'Saisie'!$C$5:$C$2004,C389,'Saisie'!$T$5:$T$2004,"&lt;&gt;")-4),""))</f>
        <v/>
      </c>
      <c r="V389" s="60">
        <f>IF(C389="","",IFERROR(INDEX('Saisie'!$V$5:$V$2004,_xlfn.MAXIFS('Saisie'!$AS$5:$AS$2004,'Saisie'!$C$5:$C$2004,C389,'Saisie'!$V$5:$V$2004,"&lt;&gt;")-4),""))</f>
        <v/>
      </c>
      <c r="W389" s="60">
        <f>IF(C389="","",IFERROR(INDEX('Saisie'!$Z$5:$Z$2004,_xlfn.MAXIFS('Saisie'!$AS$5:$AS$2004,'Saisie'!$C$5:$C$2004,C389,'Saisie'!$Z$5:$Z$2004,"&lt;&gt;")-4),""))</f>
        <v/>
      </c>
      <c r="X389" s="60">
        <f>IF(C389="","",IFERROR(INDEX('Saisie'!$AA$5:$AA$2004,_xlfn.MAXIFS('Saisie'!$AS$5:$AS$2004,'Saisie'!$C$5:$C$2004,C389,'Saisie'!$AA$5:$AA$2004,"&lt;&gt;")-4),""))</f>
        <v/>
      </c>
      <c r="Y389" s="60">
        <f>IF(C389="","",IFERROR(INDEX('Saisie'!$AB$5:$AB$2004,_xlfn.MAXIFS('Saisie'!$AS$5:$AS$2004,'Saisie'!$C$5:$C$2004,C389,'Saisie'!$AB$5:$AB$2004,"&lt;&gt;")-4),""))</f>
        <v/>
      </c>
      <c r="Z389" s="60">
        <f>IF(C389="","",IFERROR(INDEX('Saisie'!$AC$5:$AC$2004,_xlfn.MAXIFS('Saisie'!$AS$5:$AS$2004,'Saisie'!$C$5:$C$2004,C389,'Saisie'!$AC$5:$AC$2004,"&lt;&gt;")-4),""))</f>
        <v/>
      </c>
      <c r="AA389" s="106">
        <f>IF(C389="","",IFERROR(INDEX('Saisie'!$AD$5:$AD$2004,_xlfn.MAXIFS('Saisie'!$AS$5:$AS$2004,'Saisie'!$C$5:$C$2004,C389,'Saisie'!$AD$5:$AD$2004,"&lt;&gt;")-4),""))</f>
        <v/>
      </c>
      <c r="AB389" s="60">
        <f>IF(C389="","",IFERROR(INDEX('Saisie'!$AE$5:$AE$2004,_xlfn.MAXIFS('Saisie'!$AS$5:$AS$2004,'Saisie'!$C$5:$C$2004,C389,'Saisie'!$AE$5:$AE$2004,"&lt;&gt;")-4),""))</f>
        <v/>
      </c>
      <c r="AC389" s="60">
        <f>IF(C389="","",IFERROR(INDEX('Saisie'!$AF$5:$AF$2004,_xlfn.MAXIFS('Saisie'!$AS$5:$AS$2004,'Saisie'!$C$5:$C$2004,C389,'Saisie'!$AF$5:$AF$2004,"&lt;&gt;")-4),""))</f>
        <v/>
      </c>
      <c r="AD389" s="108">
        <f>IF(C389="","",IFERROR(INDEX('Saisie'!$AG$5:$AG$2004,_xlfn.MAXIFS('Saisie'!$AS$5:$AS$2004,'Saisie'!$C$5:$C$2004,C389,'Saisie'!$AG$5:$AG$2004,"&lt;&gt;")-4),""))</f>
        <v/>
      </c>
      <c r="AE389" s="60">
        <f>IF(C389="","",IFERROR(INDEX('Saisie'!$AH$5:$AH$2004,_xlfn.MAXIFS('Saisie'!$AS$5:$AS$2004,'Saisie'!$C$5:$C$2004,C389,'Saisie'!$AH$5:$AH$2004,"&lt;&gt;")-4),""))</f>
        <v/>
      </c>
      <c r="AF389" s="60">
        <f>IF(C389="","",IFERROR(INDEX('Saisie'!$AI$5:$AI$2004,_xlfn.MAXIFS('Saisie'!$AS$5:$AS$2004,'Saisie'!$C$5:$C$2004,C389,'Saisie'!$AI$5:$AI$2004,"&lt;&gt;")-4),""))</f>
        <v/>
      </c>
      <c r="AG389" s="60">
        <f>IF(C389="","",IFERROR(INDEX('Saisie'!$AJ$5:$AJ$2004,_xlfn.MAXIFS('Saisie'!$AS$5:$AS$2004,'Saisie'!$C$5:$C$2004,C389,'Saisie'!$AJ$5:$AJ$2004,"&lt;&gt;")-4),""))</f>
        <v/>
      </c>
      <c r="AH389" s="60">
        <f>IF(C389="","",IFERROR(INDEX('Saisie'!$AK$5:$AK$2004,_xlfn.MAXIFS('Saisie'!$AS$5:$AS$2004,'Saisie'!$C$5:$C$2004,C389,'Saisie'!$AK$5:$AK$2004,"&lt;&gt;")-4),""))</f>
        <v/>
      </c>
      <c r="AI389" s="60">
        <f>IF(C389="","",IFERROR(INDEX('Saisie'!$AN$5:$AN$2004,_xlfn.MAXIFS('Saisie'!$AS$5:$AS$2004,'Saisie'!$C$5:$C$2004,C389,'Saisie'!$AN$5:$AN$2004,"&lt;&gt;")-4),""))</f>
        <v/>
      </c>
      <c r="AJ389" s="60">
        <f>IF(C389="","",IFERROR(INDEX('Saisie'!$AO$5:$AO$2004,_xlfn.MAXIFS('Saisie'!$AS$5:$AS$2004,'Saisie'!$C$5:$C$2004,C389,'Saisie'!$AO$5:$AO$2004,"&lt;&gt;")-4),""))</f>
        <v/>
      </c>
      <c r="AK389" s="60">
        <f>IF(C389="","",IFERROR(INDEX('Saisie'!$AP$5:$AP$2004,_xlfn.MAXIFS('Saisie'!$AS$5:$AS$2004,'Saisie'!$C$5:$C$2004,C389,'Saisie'!$AP$5:$AP$2004,"&lt;&gt;")-4),""))</f>
        <v/>
      </c>
      <c r="AL389" s="60">
        <f>IF(C389="","",IFERROR(INDEX('Saisie'!$AQ$5:$AQ$2004,_xlfn.MAXIFS('Saisie'!$AS$5:$AS$2004,'Saisie'!$C$5:$C$2004,C389,'Saisie'!$AQ$5:$AQ$2004,"&lt;&gt;")-4),""))</f>
        <v/>
      </c>
      <c r="AM389" s="60">
        <f>IF(C389="","",((AI389="Oui")+(AJ389="Oui")+(AK389="Oui")+OR(AL389="Immédiat",AL389="&lt; 1 mois"))&amp;"/4")</f>
        <v/>
      </c>
      <c r="AN389" s="60">
        <f>IF(C389="","",IFERROR(INDEX('Saisie'!$AL$5:$AL$2004,_xlfn.MAXIFS('Saisie'!$AS$5:$AS$2004,'Saisie'!$C$5:$C$2004,C389,'Saisie'!$AL$5:$AL$2004,"&lt;&gt;")-4),""))</f>
        <v/>
      </c>
      <c r="AO389" s="62">
        <f>IF(C389="","",IF(IFERROR(INDEX('Saisie'!$AM$5:$AM$2004,_xlfn.MAXIFS('Saisie'!$AS$5:$AS$2004,'Saisie'!$C$5:$C$2004,C389,'Saisie'!$AM$5:$AM$2004,"&lt;&gt;")-4),"")&lt;&gt;"",IFERROR(INDEX('Saisie'!$AM$5:$AM$2004,_xlfn.MAXIFS('Saisie'!$AS$5:$AS$2004,'Saisie'!$C$5:$C$2004,C389,'Saisie'!$AM$5:$AM$2004,"&lt;&gt;")-4),""),IFERROR(INDEX('Paramètres'!$S$6:$S$15,MATCH(AN389,'Paramètres'!$Q$6:$Q$15,0)),"")))</f>
        <v/>
      </c>
      <c r="AP389" s="62">
        <f>IF(C389="","",IFERROR(INDEX('Saisie'!$AW$5:$AW$2004,_xlfn.MAXIFS('Saisie'!$AS$5:$AS$2004,'Saisie'!$C$5:$C$2004,C389,'Saisie'!$E$5:$E$2004,"Proposition envoyée")-4),""))</f>
        <v/>
      </c>
      <c r="AQ389" s="106">
        <f>IF(C389="","",IFERROR(1/(1/_xlfn.MAXIFS('Saisie'!$A$5:$A$2004,'Saisie'!$C$5:$C$2004,C389,'Saisie'!$E$5:$E$2004,"Proposition envoyée")),""))</f>
        <v/>
      </c>
      <c r="AR389" s="106">
        <f>IF(C389="","",IF(AQ389="","",AQ389+'Paramètres'!$B$26))</f>
        <v/>
      </c>
      <c r="AS389" s="62">
        <f>IF(OR(C389="",D389="Gagné",D389="Perdu"),0,N(AP389)*IFERROR(INDEX('Paramètres'!$G$6:$G$13,MATCH(D389,'Paramètres'!$F$6:$F$13,0)),0))</f>
        <v/>
      </c>
      <c r="AT389" s="106">
        <f>IF(C389="","",IFERROR(1/(1/_xlfn.MINIFS('Saisie'!$A$5:$A$2004,'Saisie'!$C$5:$C$2004,C389,'Saisie'!$E$5:$E$2004,"Signature")),""))</f>
        <v/>
      </c>
      <c r="AU389" s="60">
        <f>IF(C389="","",IF(OR(AT389="",B389=""),"",AT389-B389))</f>
        <v/>
      </c>
      <c r="AV389" s="60">
        <f>IF(C389="","",IFERROR(INDEX('Saisie'!$L$5:$L$2004,_xlfn.MAXIFS('Saisie'!$AS$5:$AS$2004,'Saisie'!$C$5:$C$2004,C389,'Saisie'!$L$5:$L$2004,"&lt;&gt;")-4),""))</f>
        <v/>
      </c>
      <c r="AW389" s="106">
        <f>IF(C389="","",IF(D389&lt;&gt;"Perdu","",IFERROR(1/(1/_xlfn.MAXIFS('Saisie'!$A$5:$A$2004,'Saisie'!$C$5:$C$2004,C389,'Saisie'!$E$5:$E$2004,"Perdu")),"")))</f>
        <v/>
      </c>
      <c r="AX389" s="106">
        <f>IF(C389="","",IF(AW389="","",AW389+'Paramètres'!$B$28))</f>
        <v/>
      </c>
      <c r="AY389" s="60">
        <f>IF(C389="","",SUMIFS('Saisie'!$H$5:$H$2004,'Saisie'!$C$5:$C$2004,C389))</f>
        <v/>
      </c>
      <c r="AZ389" s="60">
        <f>IF(C389="","",IFERROR(INDEX('Paramètres'!$W$6:$W$20,MATCH(S389,'Paramètres'!$V$6:$V$20,0))&amp;"",""))</f>
        <v/>
      </c>
      <c r="BA389" s="60">
        <f>IF(C389="","",MAX(1,_xlfn.MAXIFS('Saisie'!$AT$5:$AT$2004,'Saisie'!$C$5:$C$2004,C389)))</f>
        <v/>
      </c>
      <c r="BB389" s="60">
        <f>IF(C389="","",IFERROR(INDEX('Saisie'!$X$5:$X$2004,_xlfn.MAXIFS('Saisie'!$AS$5:$AS$2004,'Saisie'!$C$5:$C$2004,C389,'Saisie'!$X$5:$X$2004,"&lt;&gt;")-4),""))</f>
        <v/>
      </c>
      <c r="BC389" s="60">
        <f>IF(C389="","",IFERROR(INDEX('Saisie'!$Y$5:$Y$2004,_xlfn.MAXIFS('Saisie'!$AS$5:$AS$2004,'Saisie'!$C$5:$C$2004,C389,'Saisie'!$Y$5:$Y$2004,"&lt;&gt;")-4),""))</f>
        <v/>
      </c>
      <c r="BD389" s="106">
        <f>IF(C389="","",IFERROR(1/(1/_xlfn.MINIFS('Saisie'!$A$5:$A$2004,'Saisie'!$C$5:$C$2004,C389,'Saisie'!$AT$5:$AT$2004,"&gt;=2")),""))</f>
        <v/>
      </c>
      <c r="BE389" s="106">
        <f>IF(C389="","",IFERROR(1/(1/_xlfn.MINIFS('Saisie'!$A$5:$A$2004,'Saisie'!$C$5:$C$2004,C389,'Saisie'!$AT$5:$AT$2004,"&gt;=3")),""))</f>
        <v/>
      </c>
      <c r="BF389" s="106">
        <f>IF(C389="","",IFERROR(1/(1/_xlfn.MINIFS('Saisie'!$A$5:$A$2004,'Saisie'!$C$5:$C$2004,C389,'Saisie'!$AT$5:$AT$2004,"&gt;=4")),""))</f>
        <v/>
      </c>
      <c r="BG389" s="106">
        <f>IF(C389="","",IFERROR(1/(1/_xlfn.MINIFS('Saisie'!$A$5:$A$2004,'Saisie'!$C$5:$C$2004,C389,'Saisie'!$AT$5:$AT$2004,"&gt;=5")),""))</f>
        <v/>
      </c>
      <c r="BH389" s="106">
        <f>IF(C389="","",IFERROR(1/(1/_xlfn.MINIFS('Saisie'!$A$5:$A$2004,'Saisie'!$C$5:$C$2004,C389,'Saisie'!$AT$5:$AT$2004,"&gt;=6")),""))</f>
        <v/>
      </c>
      <c r="BI389" s="106">
        <f>IF(C389="","",IFERROR(1/(1/_xlfn.MINIFS('Saisie'!$A$5:$A$2004,'Saisie'!$C$5:$C$2004,C389,'Saisie'!$AT$5:$AT$2004,"&gt;=7")),""))</f>
        <v/>
      </c>
      <c r="BJ389" s="60">
        <f>IF(OR(BD389="",B389=""),"",BD389-B389)</f>
        <v/>
      </c>
      <c r="BK389" s="60">
        <f>IF(OR(BE389="",BD389=""),"",BE389-BD389)</f>
        <v/>
      </c>
      <c r="BL389" s="60">
        <f>IF(OR(BF389="",BE389=""),"",BF389-BE389)</f>
        <v/>
      </c>
      <c r="BM389" s="60">
        <f>IF(OR(BG389="",BF389=""),"",BG389-BF389)</f>
        <v/>
      </c>
      <c r="BN389" s="60">
        <f>IF(OR(BH389="",BG389=""),"",BH389-BG389)</f>
        <v/>
      </c>
      <c r="BO389" s="60">
        <f>IF(OR(BI389="",BH389=""),"",BI389-BH389)</f>
        <v/>
      </c>
      <c r="BP389" s="60">
        <f>IF(C389="","",_xlfn.MAXIFS('Saisie'!$AS$5:$AS$2004,'Saisie'!$C$5:$C$2004,C389,'Saisie'!$J$5:$J$2004,"&lt;&gt;"))</f>
        <v/>
      </c>
      <c r="BQ389" s="60">
        <f>IF(C389="","",_xlfn.MAXIFS('Saisie'!$AS$5:$AS$2004,'Saisie'!$C$5:$C$2004,C389))</f>
        <v/>
      </c>
      <c r="BR389" s="60">
        <f>IF(C389="","",_xlfn.MAXIFS('Saisie'!$AS$5:$AS$2004,'Saisie'!$C$5:$C$2004,C389,'Saisie'!$E$5:$E$2004,"Perdu"))</f>
        <v/>
      </c>
      <c r="BS389" s="60">
        <f>IF(C389="","",_xlfn.MAXIFS('Saisie'!$AS$5:$AS$2004,'Saisie'!$C$5:$C$2004,C389,'Saisie'!$AT$5:$AT$2004,"&gt;0"))</f>
        <v/>
      </c>
      <c r="BT389" s="109">
        <f>IF(AND(C389&lt;&gt;"",OR(D389="Nouveau",D389="Contacté",D389="Qualifié"),OR(G389="",N(G389)&lt;=TODAY()),NOT(AND(O389&gt;='Paramètres'!$B$21,P389=0))),E389+385/10000,"")</f>
        <v/>
      </c>
      <c r="BU389" s="60">
        <f>IF(AND(G389&lt;&gt;"",N(G389)&lt;=TODAY()),MAX($BU$4:BU388)+1,"")</f>
        <v/>
      </c>
      <c r="BV389" s="60">
        <f>IF(AND(F389&lt;&gt;"",F389&lt;&gt;"Relance en retard"),MAX($BV$4:BV388)+1,"")</f>
        <v/>
      </c>
      <c r="BW389" s="60">
        <f>IF(C389="","",IF(AND(B389&gt;='Tableau de bord'!$R$4,B389&lt;='Tableau de bord'!$S$4,OR('Tableau de bord'!$G$4="Tous",N389='Tableau de bord'!$G$4)),1,0))</f>
        <v/>
      </c>
      <c r="BX389" s="60">
        <f>IF(AND(C389&lt;&gt;"",N(BA389)=7),MAX($BX$4:BX388)+1,"")</f>
        <v/>
      </c>
    </row>
    <row r="390">
      <c r="A390" s="60">
        <f>IF(C390="","","P-"&amp;TEXT(386,"000"))</f>
        <v/>
      </c>
      <c r="B390" s="106">
        <f>IF(C390="","",IFERROR(1/(1/_xlfn.MINIFS('Saisie'!$A$5:$A$2004,'Saisie'!$C$5:$C$2004,C390)),""))</f>
        <v/>
      </c>
      <c r="C390" s="60">
        <f>IFERROR(INDEX('Saisie'!$C$5:$C$2004,MATCH(386,'Saisie'!$AX$5:$AX$2004,0)),"")</f>
        <v/>
      </c>
      <c r="D390" s="60">
        <f>IF(C390="","",IF(AND(BR390&gt;0,BR390&gt;BS390,BA390&lt;7),"Perdu",INDEX('Paramètres'!$F$6:$F$13,BA390)))</f>
        <v/>
      </c>
      <c r="E390" s="61">
        <f>IF(C390="","",MIN(100,(Z390="Oui")*'Paramètres'!$B$38+(AB390="Régulière")*'Paramètres'!$B$39+IF(AND(N(AA390)&gt;0,TODAY()-N(AA390)&lt;=30),'Paramètres'!$B$40,0)+(W390="")*'Paramètres'!$B$41+(AC390="Absente")*'Paramètres'!$B$42+(AC390="Faible")*'Paramètres'!$B$43+IF(AND(N(AD390)&gt;0,N(AD390)&lt;4),'Paramètres'!$B$44,0)+(AF390="Moyenne")*'Paramètres'!$B$45+(AF390="Grande")*'Paramètres'!$B$46+(Y390&lt;&gt;"")*'Paramètres'!$B$47))</f>
        <v/>
      </c>
      <c r="F390" s="60">
        <f>IF(C390="","",IF(D390="Gagné","",IF(D390="Perdu",IF(AND(AX390&lt;&gt;"",AX390&lt;=TODAY()),"À recontacter (perdu)",""),IF(AND(O390&gt;='Paramètres'!$B$21,P390=0),"Stop : "&amp;'Paramètres'!$B$21&amp;" tentatives sans réponse",IF(AND(D390="Proposition",AR390&lt;&gt;"",TODAY()&gt;N(AR390)),"Proposition expirée",IF(AND(D390="Proposition",N(R390)&gt;='Paramètres'!$B$25),"Proposition sans réponse",IF(AND(G390&lt;&gt;"",N(G390)&lt;TODAY()),"Relance en retard",IF(N(R390)&gt;='Paramètres'!$B$24,"Sans action depuis "&amp;R390&amp;" j",""))))))))</f>
        <v/>
      </c>
      <c r="G390" s="106">
        <f>IF(OR(C390="",D390="Gagné",D390="Perdu"),"",IF(AND(BP390&gt;0,BP390=BQ390),INDEX('Saisie'!$J$5:$J$2004,BP390-4),IF(OR(O390=0,AND(O390&gt;='Paramètres'!$B$21,P390=0)),"",Q390+IF(O390&lt;=1,'Paramètres'!$B$18,IF(O390=2,'Paramètres'!$B$19,'Paramètres'!$B$20)))))</f>
        <v/>
      </c>
      <c r="H390" s="107">
        <f>IF(OR(G390="",BP390&lt;&gt;BQ390),"",IF(INDEX('Saisie'!$K$5:$K$2004,BP390-4)="","",INDEX('Saisie'!$K$5:$K$2004,BP390-4)))</f>
        <v/>
      </c>
      <c r="I390" s="60">
        <f>IF(C390="","",IF(OR(D390="Gagné",D390="Perdu"),"",IFERROR(INDEX('Saisie'!$I$5:$I$2004,_xlfn.MAXIFS('Saisie'!$AS$5:$AS$2004,'Saisie'!$C$5:$C$2004,C390,'Saisie'!$I$5:$I$2004,"&lt;&gt;")-4),"")))</f>
        <v/>
      </c>
      <c r="J390" s="60">
        <f>IF(C390="","",IFERROR(INDEX('Saisie'!$U$5:$U$2004,_xlfn.MAXIFS('Saisie'!$AS$5:$AS$2004,'Saisie'!$C$5:$C$2004,C390,'Saisie'!$U$5:$U$2004,"&lt;&gt;")-4),""))</f>
        <v/>
      </c>
      <c r="K390" s="60">
        <f>IF(C390="","",IFERROR(INDEX('Saisie'!$W$5:$W$2004,_xlfn.MAXIFS('Saisie'!$AS$5:$AS$2004,'Saisie'!$C$5:$C$2004,C390,'Saisie'!$W$5:$W$2004,"&lt;&gt;")-4),""))</f>
        <v/>
      </c>
      <c r="L390" s="60">
        <f>IF(IF(BB390&lt;&gt;"",BB390,K390)="","",HYPERLINK("https://wa.me/"&amp;IF(LEFT(SUBSTITUTE(SUBSTITUTE(SUBSTITUTE(IF(BB390&lt;&gt;"",BB390,K390)," ",""),".",""),"+",""),1)="0",'Paramètres'!$B$35&amp;MID(SUBSTITUTE(SUBSTITUTE(SUBSTITUTE(IF(BB390&lt;&gt;"",BB390,K390)," ",""),".",""),"+",""),2,20),SUBSTITUTE(SUBSTITUTE(SUBSTITUTE(IF(BB390&lt;&gt;"",BB390,K390)," ",""),".",""),"+","")),"WhatsApp"))</f>
        <v/>
      </c>
      <c r="M390" s="60">
        <f>IF(BC390="","",HYPERLINK(IF(LEFT(BC390,4)="http",BC390,"https://www.instagram.com/"&amp;SUBSTITUTE(SUBSTITUTE(BC390,"@","")," ","")),BC390))</f>
        <v/>
      </c>
      <c r="N390" s="60">
        <f>IF(C390="","",IFERROR(INDEX('Saisie'!$D$5:$D$2004,_xlfn.MINIFS('Saisie'!$AS$5:$AS$2004,'Saisie'!$C$5:$C$2004,C390,'Saisie'!$AU$5:$AU$2004,1)-4),IFERROR(INDEX('Saisie'!$D$5:$D$2004,_xlfn.MINIFS('Saisie'!$AS$5:$AS$2004,'Saisie'!$C$5:$C$2004,C390,'Saisie'!$D$5:$D$2004,"&lt;&gt;")-4),"")))</f>
        <v/>
      </c>
      <c r="O390" s="60">
        <f>IF(C390="","",COUNTIFS('Saisie'!$C$5:$C$2004,C390,'Saisie'!$AU$5:$AU$2004,1))</f>
        <v/>
      </c>
      <c r="P390" s="60">
        <f>IF(C390="","",COUNTIFS('Saisie'!$C$5:$C$2004,C390,'Saisie'!$AV$5:$AV$2004,1))</f>
        <v/>
      </c>
      <c r="Q390" s="106">
        <f>IF(C390="","",IFERROR(1/(1/_xlfn.MAXIFS('Saisie'!$A$5:$A$2004,'Saisie'!$C$5:$C$2004,C390)),""))</f>
        <v/>
      </c>
      <c r="R390" s="61">
        <f>IF(C390="","",IF(Q390="","",TODAY()-Q390))</f>
        <v/>
      </c>
      <c r="S390" s="60">
        <f>IF(C390="","",IFERROR(INDEX('Saisie'!$R$5:$R$2004,_xlfn.MAXIFS('Saisie'!$AS$5:$AS$2004,'Saisie'!$C$5:$C$2004,C390,'Saisie'!$R$5:$R$2004,"&lt;&gt;")-4),""))</f>
        <v/>
      </c>
      <c r="T390" s="60">
        <f>IF(C390="","",IFERROR(INDEX('Saisie'!$S$5:$S$2004,_xlfn.MAXIFS('Saisie'!$AS$5:$AS$2004,'Saisie'!$C$5:$C$2004,C390,'Saisie'!$S$5:$S$2004,"&lt;&gt;")-4),""))</f>
        <v/>
      </c>
      <c r="U390" s="60">
        <f>IF(C390="","",IFERROR(INDEX('Saisie'!$T$5:$T$2004,_xlfn.MAXIFS('Saisie'!$AS$5:$AS$2004,'Saisie'!$C$5:$C$2004,C390,'Saisie'!$T$5:$T$2004,"&lt;&gt;")-4),""))</f>
        <v/>
      </c>
      <c r="V390" s="60">
        <f>IF(C390="","",IFERROR(INDEX('Saisie'!$V$5:$V$2004,_xlfn.MAXIFS('Saisie'!$AS$5:$AS$2004,'Saisie'!$C$5:$C$2004,C390,'Saisie'!$V$5:$V$2004,"&lt;&gt;")-4),""))</f>
        <v/>
      </c>
      <c r="W390" s="60">
        <f>IF(C390="","",IFERROR(INDEX('Saisie'!$Z$5:$Z$2004,_xlfn.MAXIFS('Saisie'!$AS$5:$AS$2004,'Saisie'!$C$5:$C$2004,C390,'Saisie'!$Z$5:$Z$2004,"&lt;&gt;")-4),""))</f>
        <v/>
      </c>
      <c r="X390" s="60">
        <f>IF(C390="","",IFERROR(INDEX('Saisie'!$AA$5:$AA$2004,_xlfn.MAXIFS('Saisie'!$AS$5:$AS$2004,'Saisie'!$C$5:$C$2004,C390,'Saisie'!$AA$5:$AA$2004,"&lt;&gt;")-4),""))</f>
        <v/>
      </c>
      <c r="Y390" s="60">
        <f>IF(C390="","",IFERROR(INDEX('Saisie'!$AB$5:$AB$2004,_xlfn.MAXIFS('Saisie'!$AS$5:$AS$2004,'Saisie'!$C$5:$C$2004,C390,'Saisie'!$AB$5:$AB$2004,"&lt;&gt;")-4),""))</f>
        <v/>
      </c>
      <c r="Z390" s="60">
        <f>IF(C390="","",IFERROR(INDEX('Saisie'!$AC$5:$AC$2004,_xlfn.MAXIFS('Saisie'!$AS$5:$AS$2004,'Saisie'!$C$5:$C$2004,C390,'Saisie'!$AC$5:$AC$2004,"&lt;&gt;")-4),""))</f>
        <v/>
      </c>
      <c r="AA390" s="106">
        <f>IF(C390="","",IFERROR(INDEX('Saisie'!$AD$5:$AD$2004,_xlfn.MAXIFS('Saisie'!$AS$5:$AS$2004,'Saisie'!$C$5:$C$2004,C390,'Saisie'!$AD$5:$AD$2004,"&lt;&gt;")-4),""))</f>
        <v/>
      </c>
      <c r="AB390" s="60">
        <f>IF(C390="","",IFERROR(INDEX('Saisie'!$AE$5:$AE$2004,_xlfn.MAXIFS('Saisie'!$AS$5:$AS$2004,'Saisie'!$C$5:$C$2004,C390,'Saisie'!$AE$5:$AE$2004,"&lt;&gt;")-4),""))</f>
        <v/>
      </c>
      <c r="AC390" s="60">
        <f>IF(C390="","",IFERROR(INDEX('Saisie'!$AF$5:$AF$2004,_xlfn.MAXIFS('Saisie'!$AS$5:$AS$2004,'Saisie'!$C$5:$C$2004,C390,'Saisie'!$AF$5:$AF$2004,"&lt;&gt;")-4),""))</f>
        <v/>
      </c>
      <c r="AD390" s="108">
        <f>IF(C390="","",IFERROR(INDEX('Saisie'!$AG$5:$AG$2004,_xlfn.MAXIFS('Saisie'!$AS$5:$AS$2004,'Saisie'!$C$5:$C$2004,C390,'Saisie'!$AG$5:$AG$2004,"&lt;&gt;")-4),""))</f>
        <v/>
      </c>
      <c r="AE390" s="60">
        <f>IF(C390="","",IFERROR(INDEX('Saisie'!$AH$5:$AH$2004,_xlfn.MAXIFS('Saisie'!$AS$5:$AS$2004,'Saisie'!$C$5:$C$2004,C390,'Saisie'!$AH$5:$AH$2004,"&lt;&gt;")-4),""))</f>
        <v/>
      </c>
      <c r="AF390" s="60">
        <f>IF(C390="","",IFERROR(INDEX('Saisie'!$AI$5:$AI$2004,_xlfn.MAXIFS('Saisie'!$AS$5:$AS$2004,'Saisie'!$C$5:$C$2004,C390,'Saisie'!$AI$5:$AI$2004,"&lt;&gt;")-4),""))</f>
        <v/>
      </c>
      <c r="AG390" s="60">
        <f>IF(C390="","",IFERROR(INDEX('Saisie'!$AJ$5:$AJ$2004,_xlfn.MAXIFS('Saisie'!$AS$5:$AS$2004,'Saisie'!$C$5:$C$2004,C390,'Saisie'!$AJ$5:$AJ$2004,"&lt;&gt;")-4),""))</f>
        <v/>
      </c>
      <c r="AH390" s="60">
        <f>IF(C390="","",IFERROR(INDEX('Saisie'!$AK$5:$AK$2004,_xlfn.MAXIFS('Saisie'!$AS$5:$AS$2004,'Saisie'!$C$5:$C$2004,C390,'Saisie'!$AK$5:$AK$2004,"&lt;&gt;")-4),""))</f>
        <v/>
      </c>
      <c r="AI390" s="60">
        <f>IF(C390="","",IFERROR(INDEX('Saisie'!$AN$5:$AN$2004,_xlfn.MAXIFS('Saisie'!$AS$5:$AS$2004,'Saisie'!$C$5:$C$2004,C390,'Saisie'!$AN$5:$AN$2004,"&lt;&gt;")-4),""))</f>
        <v/>
      </c>
      <c r="AJ390" s="60">
        <f>IF(C390="","",IFERROR(INDEX('Saisie'!$AO$5:$AO$2004,_xlfn.MAXIFS('Saisie'!$AS$5:$AS$2004,'Saisie'!$C$5:$C$2004,C390,'Saisie'!$AO$5:$AO$2004,"&lt;&gt;")-4),""))</f>
        <v/>
      </c>
      <c r="AK390" s="60">
        <f>IF(C390="","",IFERROR(INDEX('Saisie'!$AP$5:$AP$2004,_xlfn.MAXIFS('Saisie'!$AS$5:$AS$2004,'Saisie'!$C$5:$C$2004,C390,'Saisie'!$AP$5:$AP$2004,"&lt;&gt;")-4),""))</f>
        <v/>
      </c>
      <c r="AL390" s="60">
        <f>IF(C390="","",IFERROR(INDEX('Saisie'!$AQ$5:$AQ$2004,_xlfn.MAXIFS('Saisie'!$AS$5:$AS$2004,'Saisie'!$C$5:$C$2004,C390,'Saisie'!$AQ$5:$AQ$2004,"&lt;&gt;")-4),""))</f>
        <v/>
      </c>
      <c r="AM390" s="60">
        <f>IF(C390="","",((AI390="Oui")+(AJ390="Oui")+(AK390="Oui")+OR(AL390="Immédiat",AL390="&lt; 1 mois"))&amp;"/4")</f>
        <v/>
      </c>
      <c r="AN390" s="60">
        <f>IF(C390="","",IFERROR(INDEX('Saisie'!$AL$5:$AL$2004,_xlfn.MAXIFS('Saisie'!$AS$5:$AS$2004,'Saisie'!$C$5:$C$2004,C390,'Saisie'!$AL$5:$AL$2004,"&lt;&gt;")-4),""))</f>
        <v/>
      </c>
      <c r="AO390" s="62">
        <f>IF(C390="","",IF(IFERROR(INDEX('Saisie'!$AM$5:$AM$2004,_xlfn.MAXIFS('Saisie'!$AS$5:$AS$2004,'Saisie'!$C$5:$C$2004,C390,'Saisie'!$AM$5:$AM$2004,"&lt;&gt;")-4),"")&lt;&gt;"",IFERROR(INDEX('Saisie'!$AM$5:$AM$2004,_xlfn.MAXIFS('Saisie'!$AS$5:$AS$2004,'Saisie'!$C$5:$C$2004,C390,'Saisie'!$AM$5:$AM$2004,"&lt;&gt;")-4),""),IFERROR(INDEX('Paramètres'!$S$6:$S$15,MATCH(AN390,'Paramètres'!$Q$6:$Q$15,0)),"")))</f>
        <v/>
      </c>
      <c r="AP390" s="62">
        <f>IF(C390="","",IFERROR(INDEX('Saisie'!$AW$5:$AW$2004,_xlfn.MAXIFS('Saisie'!$AS$5:$AS$2004,'Saisie'!$C$5:$C$2004,C390,'Saisie'!$E$5:$E$2004,"Proposition envoyée")-4),""))</f>
        <v/>
      </c>
      <c r="AQ390" s="106">
        <f>IF(C390="","",IFERROR(1/(1/_xlfn.MAXIFS('Saisie'!$A$5:$A$2004,'Saisie'!$C$5:$C$2004,C390,'Saisie'!$E$5:$E$2004,"Proposition envoyée")),""))</f>
        <v/>
      </c>
      <c r="AR390" s="106">
        <f>IF(C390="","",IF(AQ390="","",AQ390+'Paramètres'!$B$26))</f>
        <v/>
      </c>
      <c r="AS390" s="62">
        <f>IF(OR(C390="",D390="Gagné",D390="Perdu"),0,N(AP390)*IFERROR(INDEX('Paramètres'!$G$6:$G$13,MATCH(D390,'Paramètres'!$F$6:$F$13,0)),0))</f>
        <v/>
      </c>
      <c r="AT390" s="106">
        <f>IF(C390="","",IFERROR(1/(1/_xlfn.MINIFS('Saisie'!$A$5:$A$2004,'Saisie'!$C$5:$C$2004,C390,'Saisie'!$E$5:$E$2004,"Signature")),""))</f>
        <v/>
      </c>
      <c r="AU390" s="60">
        <f>IF(C390="","",IF(OR(AT390="",B390=""),"",AT390-B390))</f>
        <v/>
      </c>
      <c r="AV390" s="60">
        <f>IF(C390="","",IFERROR(INDEX('Saisie'!$L$5:$L$2004,_xlfn.MAXIFS('Saisie'!$AS$5:$AS$2004,'Saisie'!$C$5:$C$2004,C390,'Saisie'!$L$5:$L$2004,"&lt;&gt;")-4),""))</f>
        <v/>
      </c>
      <c r="AW390" s="106">
        <f>IF(C390="","",IF(D390&lt;&gt;"Perdu","",IFERROR(1/(1/_xlfn.MAXIFS('Saisie'!$A$5:$A$2004,'Saisie'!$C$5:$C$2004,C390,'Saisie'!$E$5:$E$2004,"Perdu")),"")))</f>
        <v/>
      </c>
      <c r="AX390" s="106">
        <f>IF(C390="","",IF(AW390="","",AW390+'Paramètres'!$B$28))</f>
        <v/>
      </c>
      <c r="AY390" s="60">
        <f>IF(C390="","",SUMIFS('Saisie'!$H$5:$H$2004,'Saisie'!$C$5:$C$2004,C390))</f>
        <v/>
      </c>
      <c r="AZ390" s="60">
        <f>IF(C390="","",IFERROR(INDEX('Paramètres'!$W$6:$W$20,MATCH(S390,'Paramètres'!$V$6:$V$20,0))&amp;"",""))</f>
        <v/>
      </c>
      <c r="BA390" s="60">
        <f>IF(C390="","",MAX(1,_xlfn.MAXIFS('Saisie'!$AT$5:$AT$2004,'Saisie'!$C$5:$C$2004,C390)))</f>
        <v/>
      </c>
      <c r="BB390" s="60">
        <f>IF(C390="","",IFERROR(INDEX('Saisie'!$X$5:$X$2004,_xlfn.MAXIFS('Saisie'!$AS$5:$AS$2004,'Saisie'!$C$5:$C$2004,C390,'Saisie'!$X$5:$X$2004,"&lt;&gt;")-4),""))</f>
        <v/>
      </c>
      <c r="BC390" s="60">
        <f>IF(C390="","",IFERROR(INDEX('Saisie'!$Y$5:$Y$2004,_xlfn.MAXIFS('Saisie'!$AS$5:$AS$2004,'Saisie'!$C$5:$C$2004,C390,'Saisie'!$Y$5:$Y$2004,"&lt;&gt;")-4),""))</f>
        <v/>
      </c>
      <c r="BD390" s="106">
        <f>IF(C390="","",IFERROR(1/(1/_xlfn.MINIFS('Saisie'!$A$5:$A$2004,'Saisie'!$C$5:$C$2004,C390,'Saisie'!$AT$5:$AT$2004,"&gt;=2")),""))</f>
        <v/>
      </c>
      <c r="BE390" s="106">
        <f>IF(C390="","",IFERROR(1/(1/_xlfn.MINIFS('Saisie'!$A$5:$A$2004,'Saisie'!$C$5:$C$2004,C390,'Saisie'!$AT$5:$AT$2004,"&gt;=3")),""))</f>
        <v/>
      </c>
      <c r="BF390" s="106">
        <f>IF(C390="","",IFERROR(1/(1/_xlfn.MINIFS('Saisie'!$A$5:$A$2004,'Saisie'!$C$5:$C$2004,C390,'Saisie'!$AT$5:$AT$2004,"&gt;=4")),""))</f>
        <v/>
      </c>
      <c r="BG390" s="106">
        <f>IF(C390="","",IFERROR(1/(1/_xlfn.MINIFS('Saisie'!$A$5:$A$2004,'Saisie'!$C$5:$C$2004,C390,'Saisie'!$AT$5:$AT$2004,"&gt;=5")),""))</f>
        <v/>
      </c>
      <c r="BH390" s="106">
        <f>IF(C390="","",IFERROR(1/(1/_xlfn.MINIFS('Saisie'!$A$5:$A$2004,'Saisie'!$C$5:$C$2004,C390,'Saisie'!$AT$5:$AT$2004,"&gt;=6")),""))</f>
        <v/>
      </c>
      <c r="BI390" s="106">
        <f>IF(C390="","",IFERROR(1/(1/_xlfn.MINIFS('Saisie'!$A$5:$A$2004,'Saisie'!$C$5:$C$2004,C390,'Saisie'!$AT$5:$AT$2004,"&gt;=7")),""))</f>
        <v/>
      </c>
      <c r="BJ390" s="60">
        <f>IF(OR(BD390="",B390=""),"",BD390-B390)</f>
        <v/>
      </c>
      <c r="BK390" s="60">
        <f>IF(OR(BE390="",BD390=""),"",BE390-BD390)</f>
        <v/>
      </c>
      <c r="BL390" s="60">
        <f>IF(OR(BF390="",BE390=""),"",BF390-BE390)</f>
        <v/>
      </c>
      <c r="BM390" s="60">
        <f>IF(OR(BG390="",BF390=""),"",BG390-BF390)</f>
        <v/>
      </c>
      <c r="BN390" s="60">
        <f>IF(OR(BH390="",BG390=""),"",BH390-BG390)</f>
        <v/>
      </c>
      <c r="BO390" s="60">
        <f>IF(OR(BI390="",BH390=""),"",BI390-BH390)</f>
        <v/>
      </c>
      <c r="BP390" s="60">
        <f>IF(C390="","",_xlfn.MAXIFS('Saisie'!$AS$5:$AS$2004,'Saisie'!$C$5:$C$2004,C390,'Saisie'!$J$5:$J$2004,"&lt;&gt;"))</f>
        <v/>
      </c>
      <c r="BQ390" s="60">
        <f>IF(C390="","",_xlfn.MAXIFS('Saisie'!$AS$5:$AS$2004,'Saisie'!$C$5:$C$2004,C390))</f>
        <v/>
      </c>
      <c r="BR390" s="60">
        <f>IF(C390="","",_xlfn.MAXIFS('Saisie'!$AS$5:$AS$2004,'Saisie'!$C$5:$C$2004,C390,'Saisie'!$E$5:$E$2004,"Perdu"))</f>
        <v/>
      </c>
      <c r="BS390" s="60">
        <f>IF(C390="","",_xlfn.MAXIFS('Saisie'!$AS$5:$AS$2004,'Saisie'!$C$5:$C$2004,C390,'Saisie'!$AT$5:$AT$2004,"&gt;0"))</f>
        <v/>
      </c>
      <c r="BT390" s="109">
        <f>IF(AND(C390&lt;&gt;"",OR(D390="Nouveau",D390="Contacté",D390="Qualifié"),OR(G390="",N(G390)&lt;=TODAY()),NOT(AND(O390&gt;='Paramètres'!$B$21,P390=0))),E390+386/10000,"")</f>
        <v/>
      </c>
      <c r="BU390" s="60">
        <f>IF(AND(G390&lt;&gt;"",N(G390)&lt;=TODAY()),MAX($BU$4:BU389)+1,"")</f>
        <v/>
      </c>
      <c r="BV390" s="60">
        <f>IF(AND(F390&lt;&gt;"",F390&lt;&gt;"Relance en retard"),MAX($BV$4:BV389)+1,"")</f>
        <v/>
      </c>
      <c r="BW390" s="60">
        <f>IF(C390="","",IF(AND(B390&gt;='Tableau de bord'!$R$4,B390&lt;='Tableau de bord'!$S$4,OR('Tableau de bord'!$G$4="Tous",N390='Tableau de bord'!$G$4)),1,0))</f>
        <v/>
      </c>
      <c r="BX390" s="60">
        <f>IF(AND(C390&lt;&gt;"",N(BA390)=7),MAX($BX$4:BX389)+1,"")</f>
        <v/>
      </c>
    </row>
    <row r="391">
      <c r="A391" s="60">
        <f>IF(C391="","","P-"&amp;TEXT(387,"000"))</f>
        <v/>
      </c>
      <c r="B391" s="106">
        <f>IF(C391="","",IFERROR(1/(1/_xlfn.MINIFS('Saisie'!$A$5:$A$2004,'Saisie'!$C$5:$C$2004,C391)),""))</f>
        <v/>
      </c>
      <c r="C391" s="60">
        <f>IFERROR(INDEX('Saisie'!$C$5:$C$2004,MATCH(387,'Saisie'!$AX$5:$AX$2004,0)),"")</f>
        <v/>
      </c>
      <c r="D391" s="60">
        <f>IF(C391="","",IF(AND(BR391&gt;0,BR391&gt;BS391,BA391&lt;7),"Perdu",INDEX('Paramètres'!$F$6:$F$13,BA391)))</f>
        <v/>
      </c>
      <c r="E391" s="61">
        <f>IF(C391="","",MIN(100,(Z391="Oui")*'Paramètres'!$B$38+(AB391="Régulière")*'Paramètres'!$B$39+IF(AND(N(AA391)&gt;0,TODAY()-N(AA391)&lt;=30),'Paramètres'!$B$40,0)+(W391="")*'Paramètres'!$B$41+(AC391="Absente")*'Paramètres'!$B$42+(AC391="Faible")*'Paramètres'!$B$43+IF(AND(N(AD391)&gt;0,N(AD391)&lt;4),'Paramètres'!$B$44,0)+(AF391="Moyenne")*'Paramètres'!$B$45+(AF391="Grande")*'Paramètres'!$B$46+(Y391&lt;&gt;"")*'Paramètres'!$B$47))</f>
        <v/>
      </c>
      <c r="F391" s="60">
        <f>IF(C391="","",IF(D391="Gagné","",IF(D391="Perdu",IF(AND(AX391&lt;&gt;"",AX391&lt;=TODAY()),"À recontacter (perdu)",""),IF(AND(O391&gt;='Paramètres'!$B$21,P391=0),"Stop : "&amp;'Paramètres'!$B$21&amp;" tentatives sans réponse",IF(AND(D391="Proposition",AR391&lt;&gt;"",TODAY()&gt;N(AR391)),"Proposition expirée",IF(AND(D391="Proposition",N(R391)&gt;='Paramètres'!$B$25),"Proposition sans réponse",IF(AND(G391&lt;&gt;"",N(G391)&lt;TODAY()),"Relance en retard",IF(N(R391)&gt;='Paramètres'!$B$24,"Sans action depuis "&amp;R391&amp;" j",""))))))))</f>
        <v/>
      </c>
      <c r="G391" s="106">
        <f>IF(OR(C391="",D391="Gagné",D391="Perdu"),"",IF(AND(BP391&gt;0,BP391=BQ391),INDEX('Saisie'!$J$5:$J$2004,BP391-4),IF(OR(O391=0,AND(O391&gt;='Paramètres'!$B$21,P391=0)),"",Q391+IF(O391&lt;=1,'Paramètres'!$B$18,IF(O391=2,'Paramètres'!$B$19,'Paramètres'!$B$20)))))</f>
        <v/>
      </c>
      <c r="H391" s="107">
        <f>IF(OR(G391="",BP391&lt;&gt;BQ391),"",IF(INDEX('Saisie'!$K$5:$K$2004,BP391-4)="","",INDEX('Saisie'!$K$5:$K$2004,BP391-4)))</f>
        <v/>
      </c>
      <c r="I391" s="60">
        <f>IF(C391="","",IF(OR(D391="Gagné",D391="Perdu"),"",IFERROR(INDEX('Saisie'!$I$5:$I$2004,_xlfn.MAXIFS('Saisie'!$AS$5:$AS$2004,'Saisie'!$C$5:$C$2004,C391,'Saisie'!$I$5:$I$2004,"&lt;&gt;")-4),"")))</f>
        <v/>
      </c>
      <c r="J391" s="60">
        <f>IF(C391="","",IFERROR(INDEX('Saisie'!$U$5:$U$2004,_xlfn.MAXIFS('Saisie'!$AS$5:$AS$2004,'Saisie'!$C$5:$C$2004,C391,'Saisie'!$U$5:$U$2004,"&lt;&gt;")-4),""))</f>
        <v/>
      </c>
      <c r="K391" s="60">
        <f>IF(C391="","",IFERROR(INDEX('Saisie'!$W$5:$W$2004,_xlfn.MAXIFS('Saisie'!$AS$5:$AS$2004,'Saisie'!$C$5:$C$2004,C391,'Saisie'!$W$5:$W$2004,"&lt;&gt;")-4),""))</f>
        <v/>
      </c>
      <c r="L391" s="60">
        <f>IF(IF(BB391&lt;&gt;"",BB391,K391)="","",HYPERLINK("https://wa.me/"&amp;IF(LEFT(SUBSTITUTE(SUBSTITUTE(SUBSTITUTE(IF(BB391&lt;&gt;"",BB391,K391)," ",""),".",""),"+",""),1)="0",'Paramètres'!$B$35&amp;MID(SUBSTITUTE(SUBSTITUTE(SUBSTITUTE(IF(BB391&lt;&gt;"",BB391,K391)," ",""),".",""),"+",""),2,20),SUBSTITUTE(SUBSTITUTE(SUBSTITUTE(IF(BB391&lt;&gt;"",BB391,K391)," ",""),".",""),"+","")),"WhatsApp"))</f>
        <v/>
      </c>
      <c r="M391" s="60">
        <f>IF(BC391="","",HYPERLINK(IF(LEFT(BC391,4)="http",BC391,"https://www.instagram.com/"&amp;SUBSTITUTE(SUBSTITUTE(BC391,"@","")," ","")),BC391))</f>
        <v/>
      </c>
      <c r="N391" s="60">
        <f>IF(C391="","",IFERROR(INDEX('Saisie'!$D$5:$D$2004,_xlfn.MINIFS('Saisie'!$AS$5:$AS$2004,'Saisie'!$C$5:$C$2004,C391,'Saisie'!$AU$5:$AU$2004,1)-4),IFERROR(INDEX('Saisie'!$D$5:$D$2004,_xlfn.MINIFS('Saisie'!$AS$5:$AS$2004,'Saisie'!$C$5:$C$2004,C391,'Saisie'!$D$5:$D$2004,"&lt;&gt;")-4),"")))</f>
        <v/>
      </c>
      <c r="O391" s="60">
        <f>IF(C391="","",COUNTIFS('Saisie'!$C$5:$C$2004,C391,'Saisie'!$AU$5:$AU$2004,1))</f>
        <v/>
      </c>
      <c r="P391" s="60">
        <f>IF(C391="","",COUNTIFS('Saisie'!$C$5:$C$2004,C391,'Saisie'!$AV$5:$AV$2004,1))</f>
        <v/>
      </c>
      <c r="Q391" s="106">
        <f>IF(C391="","",IFERROR(1/(1/_xlfn.MAXIFS('Saisie'!$A$5:$A$2004,'Saisie'!$C$5:$C$2004,C391)),""))</f>
        <v/>
      </c>
      <c r="R391" s="61">
        <f>IF(C391="","",IF(Q391="","",TODAY()-Q391))</f>
        <v/>
      </c>
      <c r="S391" s="60">
        <f>IF(C391="","",IFERROR(INDEX('Saisie'!$R$5:$R$2004,_xlfn.MAXIFS('Saisie'!$AS$5:$AS$2004,'Saisie'!$C$5:$C$2004,C391,'Saisie'!$R$5:$R$2004,"&lt;&gt;")-4),""))</f>
        <v/>
      </c>
      <c r="T391" s="60">
        <f>IF(C391="","",IFERROR(INDEX('Saisie'!$S$5:$S$2004,_xlfn.MAXIFS('Saisie'!$AS$5:$AS$2004,'Saisie'!$C$5:$C$2004,C391,'Saisie'!$S$5:$S$2004,"&lt;&gt;")-4),""))</f>
        <v/>
      </c>
      <c r="U391" s="60">
        <f>IF(C391="","",IFERROR(INDEX('Saisie'!$T$5:$T$2004,_xlfn.MAXIFS('Saisie'!$AS$5:$AS$2004,'Saisie'!$C$5:$C$2004,C391,'Saisie'!$T$5:$T$2004,"&lt;&gt;")-4),""))</f>
        <v/>
      </c>
      <c r="V391" s="60">
        <f>IF(C391="","",IFERROR(INDEX('Saisie'!$V$5:$V$2004,_xlfn.MAXIFS('Saisie'!$AS$5:$AS$2004,'Saisie'!$C$5:$C$2004,C391,'Saisie'!$V$5:$V$2004,"&lt;&gt;")-4),""))</f>
        <v/>
      </c>
      <c r="W391" s="60">
        <f>IF(C391="","",IFERROR(INDEX('Saisie'!$Z$5:$Z$2004,_xlfn.MAXIFS('Saisie'!$AS$5:$AS$2004,'Saisie'!$C$5:$C$2004,C391,'Saisie'!$Z$5:$Z$2004,"&lt;&gt;")-4),""))</f>
        <v/>
      </c>
      <c r="X391" s="60">
        <f>IF(C391="","",IFERROR(INDEX('Saisie'!$AA$5:$AA$2004,_xlfn.MAXIFS('Saisie'!$AS$5:$AS$2004,'Saisie'!$C$5:$C$2004,C391,'Saisie'!$AA$5:$AA$2004,"&lt;&gt;")-4),""))</f>
        <v/>
      </c>
      <c r="Y391" s="60">
        <f>IF(C391="","",IFERROR(INDEX('Saisie'!$AB$5:$AB$2004,_xlfn.MAXIFS('Saisie'!$AS$5:$AS$2004,'Saisie'!$C$5:$C$2004,C391,'Saisie'!$AB$5:$AB$2004,"&lt;&gt;")-4),""))</f>
        <v/>
      </c>
      <c r="Z391" s="60">
        <f>IF(C391="","",IFERROR(INDEX('Saisie'!$AC$5:$AC$2004,_xlfn.MAXIFS('Saisie'!$AS$5:$AS$2004,'Saisie'!$C$5:$C$2004,C391,'Saisie'!$AC$5:$AC$2004,"&lt;&gt;")-4),""))</f>
        <v/>
      </c>
      <c r="AA391" s="106">
        <f>IF(C391="","",IFERROR(INDEX('Saisie'!$AD$5:$AD$2004,_xlfn.MAXIFS('Saisie'!$AS$5:$AS$2004,'Saisie'!$C$5:$C$2004,C391,'Saisie'!$AD$5:$AD$2004,"&lt;&gt;")-4),""))</f>
        <v/>
      </c>
      <c r="AB391" s="60">
        <f>IF(C391="","",IFERROR(INDEX('Saisie'!$AE$5:$AE$2004,_xlfn.MAXIFS('Saisie'!$AS$5:$AS$2004,'Saisie'!$C$5:$C$2004,C391,'Saisie'!$AE$5:$AE$2004,"&lt;&gt;")-4),""))</f>
        <v/>
      </c>
      <c r="AC391" s="60">
        <f>IF(C391="","",IFERROR(INDEX('Saisie'!$AF$5:$AF$2004,_xlfn.MAXIFS('Saisie'!$AS$5:$AS$2004,'Saisie'!$C$5:$C$2004,C391,'Saisie'!$AF$5:$AF$2004,"&lt;&gt;")-4),""))</f>
        <v/>
      </c>
      <c r="AD391" s="108">
        <f>IF(C391="","",IFERROR(INDEX('Saisie'!$AG$5:$AG$2004,_xlfn.MAXIFS('Saisie'!$AS$5:$AS$2004,'Saisie'!$C$5:$C$2004,C391,'Saisie'!$AG$5:$AG$2004,"&lt;&gt;")-4),""))</f>
        <v/>
      </c>
      <c r="AE391" s="60">
        <f>IF(C391="","",IFERROR(INDEX('Saisie'!$AH$5:$AH$2004,_xlfn.MAXIFS('Saisie'!$AS$5:$AS$2004,'Saisie'!$C$5:$C$2004,C391,'Saisie'!$AH$5:$AH$2004,"&lt;&gt;")-4),""))</f>
        <v/>
      </c>
      <c r="AF391" s="60">
        <f>IF(C391="","",IFERROR(INDEX('Saisie'!$AI$5:$AI$2004,_xlfn.MAXIFS('Saisie'!$AS$5:$AS$2004,'Saisie'!$C$5:$C$2004,C391,'Saisie'!$AI$5:$AI$2004,"&lt;&gt;")-4),""))</f>
        <v/>
      </c>
      <c r="AG391" s="60">
        <f>IF(C391="","",IFERROR(INDEX('Saisie'!$AJ$5:$AJ$2004,_xlfn.MAXIFS('Saisie'!$AS$5:$AS$2004,'Saisie'!$C$5:$C$2004,C391,'Saisie'!$AJ$5:$AJ$2004,"&lt;&gt;")-4),""))</f>
        <v/>
      </c>
      <c r="AH391" s="60">
        <f>IF(C391="","",IFERROR(INDEX('Saisie'!$AK$5:$AK$2004,_xlfn.MAXIFS('Saisie'!$AS$5:$AS$2004,'Saisie'!$C$5:$C$2004,C391,'Saisie'!$AK$5:$AK$2004,"&lt;&gt;")-4),""))</f>
        <v/>
      </c>
      <c r="AI391" s="60">
        <f>IF(C391="","",IFERROR(INDEX('Saisie'!$AN$5:$AN$2004,_xlfn.MAXIFS('Saisie'!$AS$5:$AS$2004,'Saisie'!$C$5:$C$2004,C391,'Saisie'!$AN$5:$AN$2004,"&lt;&gt;")-4),""))</f>
        <v/>
      </c>
      <c r="AJ391" s="60">
        <f>IF(C391="","",IFERROR(INDEX('Saisie'!$AO$5:$AO$2004,_xlfn.MAXIFS('Saisie'!$AS$5:$AS$2004,'Saisie'!$C$5:$C$2004,C391,'Saisie'!$AO$5:$AO$2004,"&lt;&gt;")-4),""))</f>
        <v/>
      </c>
      <c r="AK391" s="60">
        <f>IF(C391="","",IFERROR(INDEX('Saisie'!$AP$5:$AP$2004,_xlfn.MAXIFS('Saisie'!$AS$5:$AS$2004,'Saisie'!$C$5:$C$2004,C391,'Saisie'!$AP$5:$AP$2004,"&lt;&gt;")-4),""))</f>
        <v/>
      </c>
      <c r="AL391" s="60">
        <f>IF(C391="","",IFERROR(INDEX('Saisie'!$AQ$5:$AQ$2004,_xlfn.MAXIFS('Saisie'!$AS$5:$AS$2004,'Saisie'!$C$5:$C$2004,C391,'Saisie'!$AQ$5:$AQ$2004,"&lt;&gt;")-4),""))</f>
        <v/>
      </c>
      <c r="AM391" s="60">
        <f>IF(C391="","",((AI391="Oui")+(AJ391="Oui")+(AK391="Oui")+OR(AL391="Immédiat",AL391="&lt; 1 mois"))&amp;"/4")</f>
        <v/>
      </c>
      <c r="AN391" s="60">
        <f>IF(C391="","",IFERROR(INDEX('Saisie'!$AL$5:$AL$2004,_xlfn.MAXIFS('Saisie'!$AS$5:$AS$2004,'Saisie'!$C$5:$C$2004,C391,'Saisie'!$AL$5:$AL$2004,"&lt;&gt;")-4),""))</f>
        <v/>
      </c>
      <c r="AO391" s="62">
        <f>IF(C391="","",IF(IFERROR(INDEX('Saisie'!$AM$5:$AM$2004,_xlfn.MAXIFS('Saisie'!$AS$5:$AS$2004,'Saisie'!$C$5:$C$2004,C391,'Saisie'!$AM$5:$AM$2004,"&lt;&gt;")-4),"")&lt;&gt;"",IFERROR(INDEX('Saisie'!$AM$5:$AM$2004,_xlfn.MAXIFS('Saisie'!$AS$5:$AS$2004,'Saisie'!$C$5:$C$2004,C391,'Saisie'!$AM$5:$AM$2004,"&lt;&gt;")-4),""),IFERROR(INDEX('Paramètres'!$S$6:$S$15,MATCH(AN391,'Paramètres'!$Q$6:$Q$15,0)),"")))</f>
        <v/>
      </c>
      <c r="AP391" s="62">
        <f>IF(C391="","",IFERROR(INDEX('Saisie'!$AW$5:$AW$2004,_xlfn.MAXIFS('Saisie'!$AS$5:$AS$2004,'Saisie'!$C$5:$C$2004,C391,'Saisie'!$E$5:$E$2004,"Proposition envoyée")-4),""))</f>
        <v/>
      </c>
      <c r="AQ391" s="106">
        <f>IF(C391="","",IFERROR(1/(1/_xlfn.MAXIFS('Saisie'!$A$5:$A$2004,'Saisie'!$C$5:$C$2004,C391,'Saisie'!$E$5:$E$2004,"Proposition envoyée")),""))</f>
        <v/>
      </c>
      <c r="AR391" s="106">
        <f>IF(C391="","",IF(AQ391="","",AQ391+'Paramètres'!$B$26))</f>
        <v/>
      </c>
      <c r="AS391" s="62">
        <f>IF(OR(C391="",D391="Gagné",D391="Perdu"),0,N(AP391)*IFERROR(INDEX('Paramètres'!$G$6:$G$13,MATCH(D391,'Paramètres'!$F$6:$F$13,0)),0))</f>
        <v/>
      </c>
      <c r="AT391" s="106">
        <f>IF(C391="","",IFERROR(1/(1/_xlfn.MINIFS('Saisie'!$A$5:$A$2004,'Saisie'!$C$5:$C$2004,C391,'Saisie'!$E$5:$E$2004,"Signature")),""))</f>
        <v/>
      </c>
      <c r="AU391" s="60">
        <f>IF(C391="","",IF(OR(AT391="",B391=""),"",AT391-B391))</f>
        <v/>
      </c>
      <c r="AV391" s="60">
        <f>IF(C391="","",IFERROR(INDEX('Saisie'!$L$5:$L$2004,_xlfn.MAXIFS('Saisie'!$AS$5:$AS$2004,'Saisie'!$C$5:$C$2004,C391,'Saisie'!$L$5:$L$2004,"&lt;&gt;")-4),""))</f>
        <v/>
      </c>
      <c r="AW391" s="106">
        <f>IF(C391="","",IF(D391&lt;&gt;"Perdu","",IFERROR(1/(1/_xlfn.MAXIFS('Saisie'!$A$5:$A$2004,'Saisie'!$C$5:$C$2004,C391,'Saisie'!$E$5:$E$2004,"Perdu")),"")))</f>
        <v/>
      </c>
      <c r="AX391" s="106">
        <f>IF(C391="","",IF(AW391="","",AW391+'Paramètres'!$B$28))</f>
        <v/>
      </c>
      <c r="AY391" s="60">
        <f>IF(C391="","",SUMIFS('Saisie'!$H$5:$H$2004,'Saisie'!$C$5:$C$2004,C391))</f>
        <v/>
      </c>
      <c r="AZ391" s="60">
        <f>IF(C391="","",IFERROR(INDEX('Paramètres'!$W$6:$W$20,MATCH(S391,'Paramètres'!$V$6:$V$20,0))&amp;"",""))</f>
        <v/>
      </c>
      <c r="BA391" s="60">
        <f>IF(C391="","",MAX(1,_xlfn.MAXIFS('Saisie'!$AT$5:$AT$2004,'Saisie'!$C$5:$C$2004,C391)))</f>
        <v/>
      </c>
      <c r="BB391" s="60">
        <f>IF(C391="","",IFERROR(INDEX('Saisie'!$X$5:$X$2004,_xlfn.MAXIFS('Saisie'!$AS$5:$AS$2004,'Saisie'!$C$5:$C$2004,C391,'Saisie'!$X$5:$X$2004,"&lt;&gt;")-4),""))</f>
        <v/>
      </c>
      <c r="BC391" s="60">
        <f>IF(C391="","",IFERROR(INDEX('Saisie'!$Y$5:$Y$2004,_xlfn.MAXIFS('Saisie'!$AS$5:$AS$2004,'Saisie'!$C$5:$C$2004,C391,'Saisie'!$Y$5:$Y$2004,"&lt;&gt;")-4),""))</f>
        <v/>
      </c>
      <c r="BD391" s="106">
        <f>IF(C391="","",IFERROR(1/(1/_xlfn.MINIFS('Saisie'!$A$5:$A$2004,'Saisie'!$C$5:$C$2004,C391,'Saisie'!$AT$5:$AT$2004,"&gt;=2")),""))</f>
        <v/>
      </c>
      <c r="BE391" s="106">
        <f>IF(C391="","",IFERROR(1/(1/_xlfn.MINIFS('Saisie'!$A$5:$A$2004,'Saisie'!$C$5:$C$2004,C391,'Saisie'!$AT$5:$AT$2004,"&gt;=3")),""))</f>
        <v/>
      </c>
      <c r="BF391" s="106">
        <f>IF(C391="","",IFERROR(1/(1/_xlfn.MINIFS('Saisie'!$A$5:$A$2004,'Saisie'!$C$5:$C$2004,C391,'Saisie'!$AT$5:$AT$2004,"&gt;=4")),""))</f>
        <v/>
      </c>
      <c r="BG391" s="106">
        <f>IF(C391="","",IFERROR(1/(1/_xlfn.MINIFS('Saisie'!$A$5:$A$2004,'Saisie'!$C$5:$C$2004,C391,'Saisie'!$AT$5:$AT$2004,"&gt;=5")),""))</f>
        <v/>
      </c>
      <c r="BH391" s="106">
        <f>IF(C391="","",IFERROR(1/(1/_xlfn.MINIFS('Saisie'!$A$5:$A$2004,'Saisie'!$C$5:$C$2004,C391,'Saisie'!$AT$5:$AT$2004,"&gt;=6")),""))</f>
        <v/>
      </c>
      <c r="BI391" s="106">
        <f>IF(C391="","",IFERROR(1/(1/_xlfn.MINIFS('Saisie'!$A$5:$A$2004,'Saisie'!$C$5:$C$2004,C391,'Saisie'!$AT$5:$AT$2004,"&gt;=7")),""))</f>
        <v/>
      </c>
      <c r="BJ391" s="60">
        <f>IF(OR(BD391="",B391=""),"",BD391-B391)</f>
        <v/>
      </c>
      <c r="BK391" s="60">
        <f>IF(OR(BE391="",BD391=""),"",BE391-BD391)</f>
        <v/>
      </c>
      <c r="BL391" s="60">
        <f>IF(OR(BF391="",BE391=""),"",BF391-BE391)</f>
        <v/>
      </c>
      <c r="BM391" s="60">
        <f>IF(OR(BG391="",BF391=""),"",BG391-BF391)</f>
        <v/>
      </c>
      <c r="BN391" s="60">
        <f>IF(OR(BH391="",BG391=""),"",BH391-BG391)</f>
        <v/>
      </c>
      <c r="BO391" s="60">
        <f>IF(OR(BI391="",BH391=""),"",BI391-BH391)</f>
        <v/>
      </c>
      <c r="BP391" s="60">
        <f>IF(C391="","",_xlfn.MAXIFS('Saisie'!$AS$5:$AS$2004,'Saisie'!$C$5:$C$2004,C391,'Saisie'!$J$5:$J$2004,"&lt;&gt;"))</f>
        <v/>
      </c>
      <c r="BQ391" s="60">
        <f>IF(C391="","",_xlfn.MAXIFS('Saisie'!$AS$5:$AS$2004,'Saisie'!$C$5:$C$2004,C391))</f>
        <v/>
      </c>
      <c r="BR391" s="60">
        <f>IF(C391="","",_xlfn.MAXIFS('Saisie'!$AS$5:$AS$2004,'Saisie'!$C$5:$C$2004,C391,'Saisie'!$E$5:$E$2004,"Perdu"))</f>
        <v/>
      </c>
      <c r="BS391" s="60">
        <f>IF(C391="","",_xlfn.MAXIFS('Saisie'!$AS$5:$AS$2004,'Saisie'!$C$5:$C$2004,C391,'Saisie'!$AT$5:$AT$2004,"&gt;0"))</f>
        <v/>
      </c>
      <c r="BT391" s="109">
        <f>IF(AND(C391&lt;&gt;"",OR(D391="Nouveau",D391="Contacté",D391="Qualifié"),OR(G391="",N(G391)&lt;=TODAY()),NOT(AND(O391&gt;='Paramètres'!$B$21,P391=0))),E391+387/10000,"")</f>
        <v/>
      </c>
      <c r="BU391" s="60">
        <f>IF(AND(G391&lt;&gt;"",N(G391)&lt;=TODAY()),MAX($BU$4:BU390)+1,"")</f>
        <v/>
      </c>
      <c r="BV391" s="60">
        <f>IF(AND(F391&lt;&gt;"",F391&lt;&gt;"Relance en retard"),MAX($BV$4:BV390)+1,"")</f>
        <v/>
      </c>
      <c r="BW391" s="60">
        <f>IF(C391="","",IF(AND(B391&gt;='Tableau de bord'!$R$4,B391&lt;='Tableau de bord'!$S$4,OR('Tableau de bord'!$G$4="Tous",N391='Tableau de bord'!$G$4)),1,0))</f>
        <v/>
      </c>
      <c r="BX391" s="60">
        <f>IF(AND(C391&lt;&gt;"",N(BA391)=7),MAX($BX$4:BX390)+1,"")</f>
        <v/>
      </c>
    </row>
    <row r="392">
      <c r="A392" s="60">
        <f>IF(C392="","","P-"&amp;TEXT(388,"000"))</f>
        <v/>
      </c>
      <c r="B392" s="106">
        <f>IF(C392="","",IFERROR(1/(1/_xlfn.MINIFS('Saisie'!$A$5:$A$2004,'Saisie'!$C$5:$C$2004,C392)),""))</f>
        <v/>
      </c>
      <c r="C392" s="60">
        <f>IFERROR(INDEX('Saisie'!$C$5:$C$2004,MATCH(388,'Saisie'!$AX$5:$AX$2004,0)),"")</f>
        <v/>
      </c>
      <c r="D392" s="60">
        <f>IF(C392="","",IF(AND(BR392&gt;0,BR392&gt;BS392,BA392&lt;7),"Perdu",INDEX('Paramètres'!$F$6:$F$13,BA392)))</f>
        <v/>
      </c>
      <c r="E392" s="61">
        <f>IF(C392="","",MIN(100,(Z392="Oui")*'Paramètres'!$B$38+(AB392="Régulière")*'Paramètres'!$B$39+IF(AND(N(AA392)&gt;0,TODAY()-N(AA392)&lt;=30),'Paramètres'!$B$40,0)+(W392="")*'Paramètres'!$B$41+(AC392="Absente")*'Paramètres'!$B$42+(AC392="Faible")*'Paramètres'!$B$43+IF(AND(N(AD392)&gt;0,N(AD392)&lt;4),'Paramètres'!$B$44,0)+(AF392="Moyenne")*'Paramètres'!$B$45+(AF392="Grande")*'Paramètres'!$B$46+(Y392&lt;&gt;"")*'Paramètres'!$B$47))</f>
        <v/>
      </c>
      <c r="F392" s="60">
        <f>IF(C392="","",IF(D392="Gagné","",IF(D392="Perdu",IF(AND(AX392&lt;&gt;"",AX392&lt;=TODAY()),"À recontacter (perdu)",""),IF(AND(O392&gt;='Paramètres'!$B$21,P392=0),"Stop : "&amp;'Paramètres'!$B$21&amp;" tentatives sans réponse",IF(AND(D392="Proposition",AR392&lt;&gt;"",TODAY()&gt;N(AR392)),"Proposition expirée",IF(AND(D392="Proposition",N(R392)&gt;='Paramètres'!$B$25),"Proposition sans réponse",IF(AND(G392&lt;&gt;"",N(G392)&lt;TODAY()),"Relance en retard",IF(N(R392)&gt;='Paramètres'!$B$24,"Sans action depuis "&amp;R392&amp;" j",""))))))))</f>
        <v/>
      </c>
      <c r="G392" s="106">
        <f>IF(OR(C392="",D392="Gagné",D392="Perdu"),"",IF(AND(BP392&gt;0,BP392=BQ392),INDEX('Saisie'!$J$5:$J$2004,BP392-4),IF(OR(O392=0,AND(O392&gt;='Paramètres'!$B$21,P392=0)),"",Q392+IF(O392&lt;=1,'Paramètres'!$B$18,IF(O392=2,'Paramètres'!$B$19,'Paramètres'!$B$20)))))</f>
        <v/>
      </c>
      <c r="H392" s="107">
        <f>IF(OR(G392="",BP392&lt;&gt;BQ392),"",IF(INDEX('Saisie'!$K$5:$K$2004,BP392-4)="","",INDEX('Saisie'!$K$5:$K$2004,BP392-4)))</f>
        <v/>
      </c>
      <c r="I392" s="60">
        <f>IF(C392="","",IF(OR(D392="Gagné",D392="Perdu"),"",IFERROR(INDEX('Saisie'!$I$5:$I$2004,_xlfn.MAXIFS('Saisie'!$AS$5:$AS$2004,'Saisie'!$C$5:$C$2004,C392,'Saisie'!$I$5:$I$2004,"&lt;&gt;")-4),"")))</f>
        <v/>
      </c>
      <c r="J392" s="60">
        <f>IF(C392="","",IFERROR(INDEX('Saisie'!$U$5:$U$2004,_xlfn.MAXIFS('Saisie'!$AS$5:$AS$2004,'Saisie'!$C$5:$C$2004,C392,'Saisie'!$U$5:$U$2004,"&lt;&gt;")-4),""))</f>
        <v/>
      </c>
      <c r="K392" s="60">
        <f>IF(C392="","",IFERROR(INDEX('Saisie'!$W$5:$W$2004,_xlfn.MAXIFS('Saisie'!$AS$5:$AS$2004,'Saisie'!$C$5:$C$2004,C392,'Saisie'!$W$5:$W$2004,"&lt;&gt;")-4),""))</f>
        <v/>
      </c>
      <c r="L392" s="60">
        <f>IF(IF(BB392&lt;&gt;"",BB392,K392)="","",HYPERLINK("https://wa.me/"&amp;IF(LEFT(SUBSTITUTE(SUBSTITUTE(SUBSTITUTE(IF(BB392&lt;&gt;"",BB392,K392)," ",""),".",""),"+",""),1)="0",'Paramètres'!$B$35&amp;MID(SUBSTITUTE(SUBSTITUTE(SUBSTITUTE(IF(BB392&lt;&gt;"",BB392,K392)," ",""),".",""),"+",""),2,20),SUBSTITUTE(SUBSTITUTE(SUBSTITUTE(IF(BB392&lt;&gt;"",BB392,K392)," ",""),".",""),"+","")),"WhatsApp"))</f>
        <v/>
      </c>
      <c r="M392" s="60">
        <f>IF(BC392="","",HYPERLINK(IF(LEFT(BC392,4)="http",BC392,"https://www.instagram.com/"&amp;SUBSTITUTE(SUBSTITUTE(BC392,"@","")," ","")),BC392))</f>
        <v/>
      </c>
      <c r="N392" s="60">
        <f>IF(C392="","",IFERROR(INDEX('Saisie'!$D$5:$D$2004,_xlfn.MINIFS('Saisie'!$AS$5:$AS$2004,'Saisie'!$C$5:$C$2004,C392,'Saisie'!$AU$5:$AU$2004,1)-4),IFERROR(INDEX('Saisie'!$D$5:$D$2004,_xlfn.MINIFS('Saisie'!$AS$5:$AS$2004,'Saisie'!$C$5:$C$2004,C392,'Saisie'!$D$5:$D$2004,"&lt;&gt;")-4),"")))</f>
        <v/>
      </c>
      <c r="O392" s="60">
        <f>IF(C392="","",COUNTIFS('Saisie'!$C$5:$C$2004,C392,'Saisie'!$AU$5:$AU$2004,1))</f>
        <v/>
      </c>
      <c r="P392" s="60">
        <f>IF(C392="","",COUNTIFS('Saisie'!$C$5:$C$2004,C392,'Saisie'!$AV$5:$AV$2004,1))</f>
        <v/>
      </c>
      <c r="Q392" s="106">
        <f>IF(C392="","",IFERROR(1/(1/_xlfn.MAXIFS('Saisie'!$A$5:$A$2004,'Saisie'!$C$5:$C$2004,C392)),""))</f>
        <v/>
      </c>
      <c r="R392" s="61">
        <f>IF(C392="","",IF(Q392="","",TODAY()-Q392))</f>
        <v/>
      </c>
      <c r="S392" s="60">
        <f>IF(C392="","",IFERROR(INDEX('Saisie'!$R$5:$R$2004,_xlfn.MAXIFS('Saisie'!$AS$5:$AS$2004,'Saisie'!$C$5:$C$2004,C392,'Saisie'!$R$5:$R$2004,"&lt;&gt;")-4),""))</f>
        <v/>
      </c>
      <c r="T392" s="60">
        <f>IF(C392="","",IFERROR(INDEX('Saisie'!$S$5:$S$2004,_xlfn.MAXIFS('Saisie'!$AS$5:$AS$2004,'Saisie'!$C$5:$C$2004,C392,'Saisie'!$S$5:$S$2004,"&lt;&gt;")-4),""))</f>
        <v/>
      </c>
      <c r="U392" s="60">
        <f>IF(C392="","",IFERROR(INDEX('Saisie'!$T$5:$T$2004,_xlfn.MAXIFS('Saisie'!$AS$5:$AS$2004,'Saisie'!$C$5:$C$2004,C392,'Saisie'!$T$5:$T$2004,"&lt;&gt;")-4),""))</f>
        <v/>
      </c>
      <c r="V392" s="60">
        <f>IF(C392="","",IFERROR(INDEX('Saisie'!$V$5:$V$2004,_xlfn.MAXIFS('Saisie'!$AS$5:$AS$2004,'Saisie'!$C$5:$C$2004,C392,'Saisie'!$V$5:$V$2004,"&lt;&gt;")-4),""))</f>
        <v/>
      </c>
      <c r="W392" s="60">
        <f>IF(C392="","",IFERROR(INDEX('Saisie'!$Z$5:$Z$2004,_xlfn.MAXIFS('Saisie'!$AS$5:$AS$2004,'Saisie'!$C$5:$C$2004,C392,'Saisie'!$Z$5:$Z$2004,"&lt;&gt;")-4),""))</f>
        <v/>
      </c>
      <c r="X392" s="60">
        <f>IF(C392="","",IFERROR(INDEX('Saisie'!$AA$5:$AA$2004,_xlfn.MAXIFS('Saisie'!$AS$5:$AS$2004,'Saisie'!$C$5:$C$2004,C392,'Saisie'!$AA$5:$AA$2004,"&lt;&gt;")-4),""))</f>
        <v/>
      </c>
      <c r="Y392" s="60">
        <f>IF(C392="","",IFERROR(INDEX('Saisie'!$AB$5:$AB$2004,_xlfn.MAXIFS('Saisie'!$AS$5:$AS$2004,'Saisie'!$C$5:$C$2004,C392,'Saisie'!$AB$5:$AB$2004,"&lt;&gt;")-4),""))</f>
        <v/>
      </c>
      <c r="Z392" s="60">
        <f>IF(C392="","",IFERROR(INDEX('Saisie'!$AC$5:$AC$2004,_xlfn.MAXIFS('Saisie'!$AS$5:$AS$2004,'Saisie'!$C$5:$C$2004,C392,'Saisie'!$AC$5:$AC$2004,"&lt;&gt;")-4),""))</f>
        <v/>
      </c>
      <c r="AA392" s="106">
        <f>IF(C392="","",IFERROR(INDEX('Saisie'!$AD$5:$AD$2004,_xlfn.MAXIFS('Saisie'!$AS$5:$AS$2004,'Saisie'!$C$5:$C$2004,C392,'Saisie'!$AD$5:$AD$2004,"&lt;&gt;")-4),""))</f>
        <v/>
      </c>
      <c r="AB392" s="60">
        <f>IF(C392="","",IFERROR(INDEX('Saisie'!$AE$5:$AE$2004,_xlfn.MAXIFS('Saisie'!$AS$5:$AS$2004,'Saisie'!$C$5:$C$2004,C392,'Saisie'!$AE$5:$AE$2004,"&lt;&gt;")-4),""))</f>
        <v/>
      </c>
      <c r="AC392" s="60">
        <f>IF(C392="","",IFERROR(INDEX('Saisie'!$AF$5:$AF$2004,_xlfn.MAXIFS('Saisie'!$AS$5:$AS$2004,'Saisie'!$C$5:$C$2004,C392,'Saisie'!$AF$5:$AF$2004,"&lt;&gt;")-4),""))</f>
        <v/>
      </c>
      <c r="AD392" s="108">
        <f>IF(C392="","",IFERROR(INDEX('Saisie'!$AG$5:$AG$2004,_xlfn.MAXIFS('Saisie'!$AS$5:$AS$2004,'Saisie'!$C$5:$C$2004,C392,'Saisie'!$AG$5:$AG$2004,"&lt;&gt;")-4),""))</f>
        <v/>
      </c>
      <c r="AE392" s="60">
        <f>IF(C392="","",IFERROR(INDEX('Saisie'!$AH$5:$AH$2004,_xlfn.MAXIFS('Saisie'!$AS$5:$AS$2004,'Saisie'!$C$5:$C$2004,C392,'Saisie'!$AH$5:$AH$2004,"&lt;&gt;")-4),""))</f>
        <v/>
      </c>
      <c r="AF392" s="60">
        <f>IF(C392="","",IFERROR(INDEX('Saisie'!$AI$5:$AI$2004,_xlfn.MAXIFS('Saisie'!$AS$5:$AS$2004,'Saisie'!$C$5:$C$2004,C392,'Saisie'!$AI$5:$AI$2004,"&lt;&gt;")-4),""))</f>
        <v/>
      </c>
      <c r="AG392" s="60">
        <f>IF(C392="","",IFERROR(INDEX('Saisie'!$AJ$5:$AJ$2004,_xlfn.MAXIFS('Saisie'!$AS$5:$AS$2004,'Saisie'!$C$5:$C$2004,C392,'Saisie'!$AJ$5:$AJ$2004,"&lt;&gt;")-4),""))</f>
        <v/>
      </c>
      <c r="AH392" s="60">
        <f>IF(C392="","",IFERROR(INDEX('Saisie'!$AK$5:$AK$2004,_xlfn.MAXIFS('Saisie'!$AS$5:$AS$2004,'Saisie'!$C$5:$C$2004,C392,'Saisie'!$AK$5:$AK$2004,"&lt;&gt;")-4),""))</f>
        <v/>
      </c>
      <c r="AI392" s="60">
        <f>IF(C392="","",IFERROR(INDEX('Saisie'!$AN$5:$AN$2004,_xlfn.MAXIFS('Saisie'!$AS$5:$AS$2004,'Saisie'!$C$5:$C$2004,C392,'Saisie'!$AN$5:$AN$2004,"&lt;&gt;")-4),""))</f>
        <v/>
      </c>
      <c r="AJ392" s="60">
        <f>IF(C392="","",IFERROR(INDEX('Saisie'!$AO$5:$AO$2004,_xlfn.MAXIFS('Saisie'!$AS$5:$AS$2004,'Saisie'!$C$5:$C$2004,C392,'Saisie'!$AO$5:$AO$2004,"&lt;&gt;")-4),""))</f>
        <v/>
      </c>
      <c r="AK392" s="60">
        <f>IF(C392="","",IFERROR(INDEX('Saisie'!$AP$5:$AP$2004,_xlfn.MAXIFS('Saisie'!$AS$5:$AS$2004,'Saisie'!$C$5:$C$2004,C392,'Saisie'!$AP$5:$AP$2004,"&lt;&gt;")-4),""))</f>
        <v/>
      </c>
      <c r="AL392" s="60">
        <f>IF(C392="","",IFERROR(INDEX('Saisie'!$AQ$5:$AQ$2004,_xlfn.MAXIFS('Saisie'!$AS$5:$AS$2004,'Saisie'!$C$5:$C$2004,C392,'Saisie'!$AQ$5:$AQ$2004,"&lt;&gt;")-4),""))</f>
        <v/>
      </c>
      <c r="AM392" s="60">
        <f>IF(C392="","",((AI392="Oui")+(AJ392="Oui")+(AK392="Oui")+OR(AL392="Immédiat",AL392="&lt; 1 mois"))&amp;"/4")</f>
        <v/>
      </c>
      <c r="AN392" s="60">
        <f>IF(C392="","",IFERROR(INDEX('Saisie'!$AL$5:$AL$2004,_xlfn.MAXIFS('Saisie'!$AS$5:$AS$2004,'Saisie'!$C$5:$C$2004,C392,'Saisie'!$AL$5:$AL$2004,"&lt;&gt;")-4),""))</f>
        <v/>
      </c>
      <c r="AO392" s="62">
        <f>IF(C392="","",IF(IFERROR(INDEX('Saisie'!$AM$5:$AM$2004,_xlfn.MAXIFS('Saisie'!$AS$5:$AS$2004,'Saisie'!$C$5:$C$2004,C392,'Saisie'!$AM$5:$AM$2004,"&lt;&gt;")-4),"")&lt;&gt;"",IFERROR(INDEX('Saisie'!$AM$5:$AM$2004,_xlfn.MAXIFS('Saisie'!$AS$5:$AS$2004,'Saisie'!$C$5:$C$2004,C392,'Saisie'!$AM$5:$AM$2004,"&lt;&gt;")-4),""),IFERROR(INDEX('Paramètres'!$S$6:$S$15,MATCH(AN392,'Paramètres'!$Q$6:$Q$15,0)),"")))</f>
        <v/>
      </c>
      <c r="AP392" s="62">
        <f>IF(C392="","",IFERROR(INDEX('Saisie'!$AW$5:$AW$2004,_xlfn.MAXIFS('Saisie'!$AS$5:$AS$2004,'Saisie'!$C$5:$C$2004,C392,'Saisie'!$E$5:$E$2004,"Proposition envoyée")-4),""))</f>
        <v/>
      </c>
      <c r="AQ392" s="106">
        <f>IF(C392="","",IFERROR(1/(1/_xlfn.MAXIFS('Saisie'!$A$5:$A$2004,'Saisie'!$C$5:$C$2004,C392,'Saisie'!$E$5:$E$2004,"Proposition envoyée")),""))</f>
        <v/>
      </c>
      <c r="AR392" s="106">
        <f>IF(C392="","",IF(AQ392="","",AQ392+'Paramètres'!$B$26))</f>
        <v/>
      </c>
      <c r="AS392" s="62">
        <f>IF(OR(C392="",D392="Gagné",D392="Perdu"),0,N(AP392)*IFERROR(INDEX('Paramètres'!$G$6:$G$13,MATCH(D392,'Paramètres'!$F$6:$F$13,0)),0))</f>
        <v/>
      </c>
      <c r="AT392" s="106">
        <f>IF(C392="","",IFERROR(1/(1/_xlfn.MINIFS('Saisie'!$A$5:$A$2004,'Saisie'!$C$5:$C$2004,C392,'Saisie'!$E$5:$E$2004,"Signature")),""))</f>
        <v/>
      </c>
      <c r="AU392" s="60">
        <f>IF(C392="","",IF(OR(AT392="",B392=""),"",AT392-B392))</f>
        <v/>
      </c>
      <c r="AV392" s="60">
        <f>IF(C392="","",IFERROR(INDEX('Saisie'!$L$5:$L$2004,_xlfn.MAXIFS('Saisie'!$AS$5:$AS$2004,'Saisie'!$C$5:$C$2004,C392,'Saisie'!$L$5:$L$2004,"&lt;&gt;")-4),""))</f>
        <v/>
      </c>
      <c r="AW392" s="106">
        <f>IF(C392="","",IF(D392&lt;&gt;"Perdu","",IFERROR(1/(1/_xlfn.MAXIFS('Saisie'!$A$5:$A$2004,'Saisie'!$C$5:$C$2004,C392,'Saisie'!$E$5:$E$2004,"Perdu")),"")))</f>
        <v/>
      </c>
      <c r="AX392" s="106">
        <f>IF(C392="","",IF(AW392="","",AW392+'Paramètres'!$B$28))</f>
        <v/>
      </c>
      <c r="AY392" s="60">
        <f>IF(C392="","",SUMIFS('Saisie'!$H$5:$H$2004,'Saisie'!$C$5:$C$2004,C392))</f>
        <v/>
      </c>
      <c r="AZ392" s="60">
        <f>IF(C392="","",IFERROR(INDEX('Paramètres'!$W$6:$W$20,MATCH(S392,'Paramètres'!$V$6:$V$20,0))&amp;"",""))</f>
        <v/>
      </c>
      <c r="BA392" s="60">
        <f>IF(C392="","",MAX(1,_xlfn.MAXIFS('Saisie'!$AT$5:$AT$2004,'Saisie'!$C$5:$C$2004,C392)))</f>
        <v/>
      </c>
      <c r="BB392" s="60">
        <f>IF(C392="","",IFERROR(INDEX('Saisie'!$X$5:$X$2004,_xlfn.MAXIFS('Saisie'!$AS$5:$AS$2004,'Saisie'!$C$5:$C$2004,C392,'Saisie'!$X$5:$X$2004,"&lt;&gt;")-4),""))</f>
        <v/>
      </c>
      <c r="BC392" s="60">
        <f>IF(C392="","",IFERROR(INDEX('Saisie'!$Y$5:$Y$2004,_xlfn.MAXIFS('Saisie'!$AS$5:$AS$2004,'Saisie'!$C$5:$C$2004,C392,'Saisie'!$Y$5:$Y$2004,"&lt;&gt;")-4),""))</f>
        <v/>
      </c>
      <c r="BD392" s="106">
        <f>IF(C392="","",IFERROR(1/(1/_xlfn.MINIFS('Saisie'!$A$5:$A$2004,'Saisie'!$C$5:$C$2004,C392,'Saisie'!$AT$5:$AT$2004,"&gt;=2")),""))</f>
        <v/>
      </c>
      <c r="BE392" s="106">
        <f>IF(C392="","",IFERROR(1/(1/_xlfn.MINIFS('Saisie'!$A$5:$A$2004,'Saisie'!$C$5:$C$2004,C392,'Saisie'!$AT$5:$AT$2004,"&gt;=3")),""))</f>
        <v/>
      </c>
      <c r="BF392" s="106">
        <f>IF(C392="","",IFERROR(1/(1/_xlfn.MINIFS('Saisie'!$A$5:$A$2004,'Saisie'!$C$5:$C$2004,C392,'Saisie'!$AT$5:$AT$2004,"&gt;=4")),""))</f>
        <v/>
      </c>
      <c r="BG392" s="106">
        <f>IF(C392="","",IFERROR(1/(1/_xlfn.MINIFS('Saisie'!$A$5:$A$2004,'Saisie'!$C$5:$C$2004,C392,'Saisie'!$AT$5:$AT$2004,"&gt;=5")),""))</f>
        <v/>
      </c>
      <c r="BH392" s="106">
        <f>IF(C392="","",IFERROR(1/(1/_xlfn.MINIFS('Saisie'!$A$5:$A$2004,'Saisie'!$C$5:$C$2004,C392,'Saisie'!$AT$5:$AT$2004,"&gt;=6")),""))</f>
        <v/>
      </c>
      <c r="BI392" s="106">
        <f>IF(C392="","",IFERROR(1/(1/_xlfn.MINIFS('Saisie'!$A$5:$A$2004,'Saisie'!$C$5:$C$2004,C392,'Saisie'!$AT$5:$AT$2004,"&gt;=7")),""))</f>
        <v/>
      </c>
      <c r="BJ392" s="60">
        <f>IF(OR(BD392="",B392=""),"",BD392-B392)</f>
        <v/>
      </c>
      <c r="BK392" s="60">
        <f>IF(OR(BE392="",BD392=""),"",BE392-BD392)</f>
        <v/>
      </c>
      <c r="BL392" s="60">
        <f>IF(OR(BF392="",BE392=""),"",BF392-BE392)</f>
        <v/>
      </c>
      <c r="BM392" s="60">
        <f>IF(OR(BG392="",BF392=""),"",BG392-BF392)</f>
        <v/>
      </c>
      <c r="BN392" s="60">
        <f>IF(OR(BH392="",BG392=""),"",BH392-BG392)</f>
        <v/>
      </c>
      <c r="BO392" s="60">
        <f>IF(OR(BI392="",BH392=""),"",BI392-BH392)</f>
        <v/>
      </c>
      <c r="BP392" s="60">
        <f>IF(C392="","",_xlfn.MAXIFS('Saisie'!$AS$5:$AS$2004,'Saisie'!$C$5:$C$2004,C392,'Saisie'!$J$5:$J$2004,"&lt;&gt;"))</f>
        <v/>
      </c>
      <c r="BQ392" s="60">
        <f>IF(C392="","",_xlfn.MAXIFS('Saisie'!$AS$5:$AS$2004,'Saisie'!$C$5:$C$2004,C392))</f>
        <v/>
      </c>
      <c r="BR392" s="60">
        <f>IF(C392="","",_xlfn.MAXIFS('Saisie'!$AS$5:$AS$2004,'Saisie'!$C$5:$C$2004,C392,'Saisie'!$E$5:$E$2004,"Perdu"))</f>
        <v/>
      </c>
      <c r="BS392" s="60">
        <f>IF(C392="","",_xlfn.MAXIFS('Saisie'!$AS$5:$AS$2004,'Saisie'!$C$5:$C$2004,C392,'Saisie'!$AT$5:$AT$2004,"&gt;0"))</f>
        <v/>
      </c>
      <c r="BT392" s="109">
        <f>IF(AND(C392&lt;&gt;"",OR(D392="Nouveau",D392="Contacté",D392="Qualifié"),OR(G392="",N(G392)&lt;=TODAY()),NOT(AND(O392&gt;='Paramètres'!$B$21,P392=0))),E392+388/10000,"")</f>
        <v/>
      </c>
      <c r="BU392" s="60">
        <f>IF(AND(G392&lt;&gt;"",N(G392)&lt;=TODAY()),MAX($BU$4:BU391)+1,"")</f>
        <v/>
      </c>
      <c r="BV392" s="60">
        <f>IF(AND(F392&lt;&gt;"",F392&lt;&gt;"Relance en retard"),MAX($BV$4:BV391)+1,"")</f>
        <v/>
      </c>
      <c r="BW392" s="60">
        <f>IF(C392="","",IF(AND(B392&gt;='Tableau de bord'!$R$4,B392&lt;='Tableau de bord'!$S$4,OR('Tableau de bord'!$G$4="Tous",N392='Tableau de bord'!$G$4)),1,0))</f>
        <v/>
      </c>
      <c r="BX392" s="60">
        <f>IF(AND(C392&lt;&gt;"",N(BA392)=7),MAX($BX$4:BX391)+1,"")</f>
        <v/>
      </c>
    </row>
    <row r="393">
      <c r="A393" s="60">
        <f>IF(C393="","","P-"&amp;TEXT(389,"000"))</f>
        <v/>
      </c>
      <c r="B393" s="106">
        <f>IF(C393="","",IFERROR(1/(1/_xlfn.MINIFS('Saisie'!$A$5:$A$2004,'Saisie'!$C$5:$C$2004,C393)),""))</f>
        <v/>
      </c>
      <c r="C393" s="60">
        <f>IFERROR(INDEX('Saisie'!$C$5:$C$2004,MATCH(389,'Saisie'!$AX$5:$AX$2004,0)),"")</f>
        <v/>
      </c>
      <c r="D393" s="60">
        <f>IF(C393="","",IF(AND(BR393&gt;0,BR393&gt;BS393,BA393&lt;7),"Perdu",INDEX('Paramètres'!$F$6:$F$13,BA393)))</f>
        <v/>
      </c>
      <c r="E393" s="61">
        <f>IF(C393="","",MIN(100,(Z393="Oui")*'Paramètres'!$B$38+(AB393="Régulière")*'Paramètres'!$B$39+IF(AND(N(AA393)&gt;0,TODAY()-N(AA393)&lt;=30),'Paramètres'!$B$40,0)+(W393="")*'Paramètres'!$B$41+(AC393="Absente")*'Paramètres'!$B$42+(AC393="Faible")*'Paramètres'!$B$43+IF(AND(N(AD393)&gt;0,N(AD393)&lt;4),'Paramètres'!$B$44,0)+(AF393="Moyenne")*'Paramètres'!$B$45+(AF393="Grande")*'Paramètres'!$B$46+(Y393&lt;&gt;"")*'Paramètres'!$B$47))</f>
        <v/>
      </c>
      <c r="F393" s="60">
        <f>IF(C393="","",IF(D393="Gagné","",IF(D393="Perdu",IF(AND(AX393&lt;&gt;"",AX393&lt;=TODAY()),"À recontacter (perdu)",""),IF(AND(O393&gt;='Paramètres'!$B$21,P393=0),"Stop : "&amp;'Paramètres'!$B$21&amp;" tentatives sans réponse",IF(AND(D393="Proposition",AR393&lt;&gt;"",TODAY()&gt;N(AR393)),"Proposition expirée",IF(AND(D393="Proposition",N(R393)&gt;='Paramètres'!$B$25),"Proposition sans réponse",IF(AND(G393&lt;&gt;"",N(G393)&lt;TODAY()),"Relance en retard",IF(N(R393)&gt;='Paramètres'!$B$24,"Sans action depuis "&amp;R393&amp;" j",""))))))))</f>
        <v/>
      </c>
      <c r="G393" s="106">
        <f>IF(OR(C393="",D393="Gagné",D393="Perdu"),"",IF(AND(BP393&gt;0,BP393=BQ393),INDEX('Saisie'!$J$5:$J$2004,BP393-4),IF(OR(O393=0,AND(O393&gt;='Paramètres'!$B$21,P393=0)),"",Q393+IF(O393&lt;=1,'Paramètres'!$B$18,IF(O393=2,'Paramètres'!$B$19,'Paramètres'!$B$20)))))</f>
        <v/>
      </c>
      <c r="H393" s="107">
        <f>IF(OR(G393="",BP393&lt;&gt;BQ393),"",IF(INDEX('Saisie'!$K$5:$K$2004,BP393-4)="","",INDEX('Saisie'!$K$5:$K$2004,BP393-4)))</f>
        <v/>
      </c>
      <c r="I393" s="60">
        <f>IF(C393="","",IF(OR(D393="Gagné",D393="Perdu"),"",IFERROR(INDEX('Saisie'!$I$5:$I$2004,_xlfn.MAXIFS('Saisie'!$AS$5:$AS$2004,'Saisie'!$C$5:$C$2004,C393,'Saisie'!$I$5:$I$2004,"&lt;&gt;")-4),"")))</f>
        <v/>
      </c>
      <c r="J393" s="60">
        <f>IF(C393="","",IFERROR(INDEX('Saisie'!$U$5:$U$2004,_xlfn.MAXIFS('Saisie'!$AS$5:$AS$2004,'Saisie'!$C$5:$C$2004,C393,'Saisie'!$U$5:$U$2004,"&lt;&gt;")-4),""))</f>
        <v/>
      </c>
      <c r="K393" s="60">
        <f>IF(C393="","",IFERROR(INDEX('Saisie'!$W$5:$W$2004,_xlfn.MAXIFS('Saisie'!$AS$5:$AS$2004,'Saisie'!$C$5:$C$2004,C393,'Saisie'!$W$5:$W$2004,"&lt;&gt;")-4),""))</f>
        <v/>
      </c>
      <c r="L393" s="60">
        <f>IF(IF(BB393&lt;&gt;"",BB393,K393)="","",HYPERLINK("https://wa.me/"&amp;IF(LEFT(SUBSTITUTE(SUBSTITUTE(SUBSTITUTE(IF(BB393&lt;&gt;"",BB393,K393)," ",""),".",""),"+",""),1)="0",'Paramètres'!$B$35&amp;MID(SUBSTITUTE(SUBSTITUTE(SUBSTITUTE(IF(BB393&lt;&gt;"",BB393,K393)," ",""),".",""),"+",""),2,20),SUBSTITUTE(SUBSTITUTE(SUBSTITUTE(IF(BB393&lt;&gt;"",BB393,K393)," ",""),".",""),"+","")),"WhatsApp"))</f>
        <v/>
      </c>
      <c r="M393" s="60">
        <f>IF(BC393="","",HYPERLINK(IF(LEFT(BC393,4)="http",BC393,"https://www.instagram.com/"&amp;SUBSTITUTE(SUBSTITUTE(BC393,"@","")," ","")),BC393))</f>
        <v/>
      </c>
      <c r="N393" s="60">
        <f>IF(C393="","",IFERROR(INDEX('Saisie'!$D$5:$D$2004,_xlfn.MINIFS('Saisie'!$AS$5:$AS$2004,'Saisie'!$C$5:$C$2004,C393,'Saisie'!$AU$5:$AU$2004,1)-4),IFERROR(INDEX('Saisie'!$D$5:$D$2004,_xlfn.MINIFS('Saisie'!$AS$5:$AS$2004,'Saisie'!$C$5:$C$2004,C393,'Saisie'!$D$5:$D$2004,"&lt;&gt;")-4),"")))</f>
        <v/>
      </c>
      <c r="O393" s="60">
        <f>IF(C393="","",COUNTIFS('Saisie'!$C$5:$C$2004,C393,'Saisie'!$AU$5:$AU$2004,1))</f>
        <v/>
      </c>
      <c r="P393" s="60">
        <f>IF(C393="","",COUNTIFS('Saisie'!$C$5:$C$2004,C393,'Saisie'!$AV$5:$AV$2004,1))</f>
        <v/>
      </c>
      <c r="Q393" s="106">
        <f>IF(C393="","",IFERROR(1/(1/_xlfn.MAXIFS('Saisie'!$A$5:$A$2004,'Saisie'!$C$5:$C$2004,C393)),""))</f>
        <v/>
      </c>
      <c r="R393" s="61">
        <f>IF(C393="","",IF(Q393="","",TODAY()-Q393))</f>
        <v/>
      </c>
      <c r="S393" s="60">
        <f>IF(C393="","",IFERROR(INDEX('Saisie'!$R$5:$R$2004,_xlfn.MAXIFS('Saisie'!$AS$5:$AS$2004,'Saisie'!$C$5:$C$2004,C393,'Saisie'!$R$5:$R$2004,"&lt;&gt;")-4),""))</f>
        <v/>
      </c>
      <c r="T393" s="60">
        <f>IF(C393="","",IFERROR(INDEX('Saisie'!$S$5:$S$2004,_xlfn.MAXIFS('Saisie'!$AS$5:$AS$2004,'Saisie'!$C$5:$C$2004,C393,'Saisie'!$S$5:$S$2004,"&lt;&gt;")-4),""))</f>
        <v/>
      </c>
      <c r="U393" s="60">
        <f>IF(C393="","",IFERROR(INDEX('Saisie'!$T$5:$T$2004,_xlfn.MAXIFS('Saisie'!$AS$5:$AS$2004,'Saisie'!$C$5:$C$2004,C393,'Saisie'!$T$5:$T$2004,"&lt;&gt;")-4),""))</f>
        <v/>
      </c>
      <c r="V393" s="60">
        <f>IF(C393="","",IFERROR(INDEX('Saisie'!$V$5:$V$2004,_xlfn.MAXIFS('Saisie'!$AS$5:$AS$2004,'Saisie'!$C$5:$C$2004,C393,'Saisie'!$V$5:$V$2004,"&lt;&gt;")-4),""))</f>
        <v/>
      </c>
      <c r="W393" s="60">
        <f>IF(C393="","",IFERROR(INDEX('Saisie'!$Z$5:$Z$2004,_xlfn.MAXIFS('Saisie'!$AS$5:$AS$2004,'Saisie'!$C$5:$C$2004,C393,'Saisie'!$Z$5:$Z$2004,"&lt;&gt;")-4),""))</f>
        <v/>
      </c>
      <c r="X393" s="60">
        <f>IF(C393="","",IFERROR(INDEX('Saisie'!$AA$5:$AA$2004,_xlfn.MAXIFS('Saisie'!$AS$5:$AS$2004,'Saisie'!$C$5:$C$2004,C393,'Saisie'!$AA$5:$AA$2004,"&lt;&gt;")-4),""))</f>
        <v/>
      </c>
      <c r="Y393" s="60">
        <f>IF(C393="","",IFERROR(INDEX('Saisie'!$AB$5:$AB$2004,_xlfn.MAXIFS('Saisie'!$AS$5:$AS$2004,'Saisie'!$C$5:$C$2004,C393,'Saisie'!$AB$5:$AB$2004,"&lt;&gt;")-4),""))</f>
        <v/>
      </c>
      <c r="Z393" s="60">
        <f>IF(C393="","",IFERROR(INDEX('Saisie'!$AC$5:$AC$2004,_xlfn.MAXIFS('Saisie'!$AS$5:$AS$2004,'Saisie'!$C$5:$C$2004,C393,'Saisie'!$AC$5:$AC$2004,"&lt;&gt;")-4),""))</f>
        <v/>
      </c>
      <c r="AA393" s="106">
        <f>IF(C393="","",IFERROR(INDEX('Saisie'!$AD$5:$AD$2004,_xlfn.MAXIFS('Saisie'!$AS$5:$AS$2004,'Saisie'!$C$5:$C$2004,C393,'Saisie'!$AD$5:$AD$2004,"&lt;&gt;")-4),""))</f>
        <v/>
      </c>
      <c r="AB393" s="60">
        <f>IF(C393="","",IFERROR(INDEX('Saisie'!$AE$5:$AE$2004,_xlfn.MAXIFS('Saisie'!$AS$5:$AS$2004,'Saisie'!$C$5:$C$2004,C393,'Saisie'!$AE$5:$AE$2004,"&lt;&gt;")-4),""))</f>
        <v/>
      </c>
      <c r="AC393" s="60">
        <f>IF(C393="","",IFERROR(INDEX('Saisie'!$AF$5:$AF$2004,_xlfn.MAXIFS('Saisie'!$AS$5:$AS$2004,'Saisie'!$C$5:$C$2004,C393,'Saisie'!$AF$5:$AF$2004,"&lt;&gt;")-4),""))</f>
        <v/>
      </c>
      <c r="AD393" s="108">
        <f>IF(C393="","",IFERROR(INDEX('Saisie'!$AG$5:$AG$2004,_xlfn.MAXIFS('Saisie'!$AS$5:$AS$2004,'Saisie'!$C$5:$C$2004,C393,'Saisie'!$AG$5:$AG$2004,"&lt;&gt;")-4),""))</f>
        <v/>
      </c>
      <c r="AE393" s="60">
        <f>IF(C393="","",IFERROR(INDEX('Saisie'!$AH$5:$AH$2004,_xlfn.MAXIFS('Saisie'!$AS$5:$AS$2004,'Saisie'!$C$5:$C$2004,C393,'Saisie'!$AH$5:$AH$2004,"&lt;&gt;")-4),""))</f>
        <v/>
      </c>
      <c r="AF393" s="60">
        <f>IF(C393="","",IFERROR(INDEX('Saisie'!$AI$5:$AI$2004,_xlfn.MAXIFS('Saisie'!$AS$5:$AS$2004,'Saisie'!$C$5:$C$2004,C393,'Saisie'!$AI$5:$AI$2004,"&lt;&gt;")-4),""))</f>
        <v/>
      </c>
      <c r="AG393" s="60">
        <f>IF(C393="","",IFERROR(INDEX('Saisie'!$AJ$5:$AJ$2004,_xlfn.MAXIFS('Saisie'!$AS$5:$AS$2004,'Saisie'!$C$5:$C$2004,C393,'Saisie'!$AJ$5:$AJ$2004,"&lt;&gt;")-4),""))</f>
        <v/>
      </c>
      <c r="AH393" s="60">
        <f>IF(C393="","",IFERROR(INDEX('Saisie'!$AK$5:$AK$2004,_xlfn.MAXIFS('Saisie'!$AS$5:$AS$2004,'Saisie'!$C$5:$C$2004,C393,'Saisie'!$AK$5:$AK$2004,"&lt;&gt;")-4),""))</f>
        <v/>
      </c>
      <c r="AI393" s="60">
        <f>IF(C393="","",IFERROR(INDEX('Saisie'!$AN$5:$AN$2004,_xlfn.MAXIFS('Saisie'!$AS$5:$AS$2004,'Saisie'!$C$5:$C$2004,C393,'Saisie'!$AN$5:$AN$2004,"&lt;&gt;")-4),""))</f>
        <v/>
      </c>
      <c r="AJ393" s="60">
        <f>IF(C393="","",IFERROR(INDEX('Saisie'!$AO$5:$AO$2004,_xlfn.MAXIFS('Saisie'!$AS$5:$AS$2004,'Saisie'!$C$5:$C$2004,C393,'Saisie'!$AO$5:$AO$2004,"&lt;&gt;")-4),""))</f>
        <v/>
      </c>
      <c r="AK393" s="60">
        <f>IF(C393="","",IFERROR(INDEX('Saisie'!$AP$5:$AP$2004,_xlfn.MAXIFS('Saisie'!$AS$5:$AS$2004,'Saisie'!$C$5:$C$2004,C393,'Saisie'!$AP$5:$AP$2004,"&lt;&gt;")-4),""))</f>
        <v/>
      </c>
      <c r="AL393" s="60">
        <f>IF(C393="","",IFERROR(INDEX('Saisie'!$AQ$5:$AQ$2004,_xlfn.MAXIFS('Saisie'!$AS$5:$AS$2004,'Saisie'!$C$5:$C$2004,C393,'Saisie'!$AQ$5:$AQ$2004,"&lt;&gt;")-4),""))</f>
        <v/>
      </c>
      <c r="AM393" s="60">
        <f>IF(C393="","",((AI393="Oui")+(AJ393="Oui")+(AK393="Oui")+OR(AL393="Immédiat",AL393="&lt; 1 mois"))&amp;"/4")</f>
        <v/>
      </c>
      <c r="AN393" s="60">
        <f>IF(C393="","",IFERROR(INDEX('Saisie'!$AL$5:$AL$2004,_xlfn.MAXIFS('Saisie'!$AS$5:$AS$2004,'Saisie'!$C$5:$C$2004,C393,'Saisie'!$AL$5:$AL$2004,"&lt;&gt;")-4),""))</f>
        <v/>
      </c>
      <c r="AO393" s="62">
        <f>IF(C393="","",IF(IFERROR(INDEX('Saisie'!$AM$5:$AM$2004,_xlfn.MAXIFS('Saisie'!$AS$5:$AS$2004,'Saisie'!$C$5:$C$2004,C393,'Saisie'!$AM$5:$AM$2004,"&lt;&gt;")-4),"")&lt;&gt;"",IFERROR(INDEX('Saisie'!$AM$5:$AM$2004,_xlfn.MAXIFS('Saisie'!$AS$5:$AS$2004,'Saisie'!$C$5:$C$2004,C393,'Saisie'!$AM$5:$AM$2004,"&lt;&gt;")-4),""),IFERROR(INDEX('Paramètres'!$S$6:$S$15,MATCH(AN393,'Paramètres'!$Q$6:$Q$15,0)),"")))</f>
        <v/>
      </c>
      <c r="AP393" s="62">
        <f>IF(C393="","",IFERROR(INDEX('Saisie'!$AW$5:$AW$2004,_xlfn.MAXIFS('Saisie'!$AS$5:$AS$2004,'Saisie'!$C$5:$C$2004,C393,'Saisie'!$E$5:$E$2004,"Proposition envoyée")-4),""))</f>
        <v/>
      </c>
      <c r="AQ393" s="106">
        <f>IF(C393="","",IFERROR(1/(1/_xlfn.MAXIFS('Saisie'!$A$5:$A$2004,'Saisie'!$C$5:$C$2004,C393,'Saisie'!$E$5:$E$2004,"Proposition envoyée")),""))</f>
        <v/>
      </c>
      <c r="AR393" s="106">
        <f>IF(C393="","",IF(AQ393="","",AQ393+'Paramètres'!$B$26))</f>
        <v/>
      </c>
      <c r="AS393" s="62">
        <f>IF(OR(C393="",D393="Gagné",D393="Perdu"),0,N(AP393)*IFERROR(INDEX('Paramètres'!$G$6:$G$13,MATCH(D393,'Paramètres'!$F$6:$F$13,0)),0))</f>
        <v/>
      </c>
      <c r="AT393" s="106">
        <f>IF(C393="","",IFERROR(1/(1/_xlfn.MINIFS('Saisie'!$A$5:$A$2004,'Saisie'!$C$5:$C$2004,C393,'Saisie'!$E$5:$E$2004,"Signature")),""))</f>
        <v/>
      </c>
      <c r="AU393" s="60">
        <f>IF(C393="","",IF(OR(AT393="",B393=""),"",AT393-B393))</f>
        <v/>
      </c>
      <c r="AV393" s="60">
        <f>IF(C393="","",IFERROR(INDEX('Saisie'!$L$5:$L$2004,_xlfn.MAXIFS('Saisie'!$AS$5:$AS$2004,'Saisie'!$C$5:$C$2004,C393,'Saisie'!$L$5:$L$2004,"&lt;&gt;")-4),""))</f>
        <v/>
      </c>
      <c r="AW393" s="106">
        <f>IF(C393="","",IF(D393&lt;&gt;"Perdu","",IFERROR(1/(1/_xlfn.MAXIFS('Saisie'!$A$5:$A$2004,'Saisie'!$C$5:$C$2004,C393,'Saisie'!$E$5:$E$2004,"Perdu")),"")))</f>
        <v/>
      </c>
      <c r="AX393" s="106">
        <f>IF(C393="","",IF(AW393="","",AW393+'Paramètres'!$B$28))</f>
        <v/>
      </c>
      <c r="AY393" s="60">
        <f>IF(C393="","",SUMIFS('Saisie'!$H$5:$H$2004,'Saisie'!$C$5:$C$2004,C393))</f>
        <v/>
      </c>
      <c r="AZ393" s="60">
        <f>IF(C393="","",IFERROR(INDEX('Paramètres'!$W$6:$W$20,MATCH(S393,'Paramètres'!$V$6:$V$20,0))&amp;"",""))</f>
        <v/>
      </c>
      <c r="BA393" s="60">
        <f>IF(C393="","",MAX(1,_xlfn.MAXIFS('Saisie'!$AT$5:$AT$2004,'Saisie'!$C$5:$C$2004,C393)))</f>
        <v/>
      </c>
      <c r="BB393" s="60">
        <f>IF(C393="","",IFERROR(INDEX('Saisie'!$X$5:$X$2004,_xlfn.MAXIFS('Saisie'!$AS$5:$AS$2004,'Saisie'!$C$5:$C$2004,C393,'Saisie'!$X$5:$X$2004,"&lt;&gt;")-4),""))</f>
        <v/>
      </c>
      <c r="BC393" s="60">
        <f>IF(C393="","",IFERROR(INDEX('Saisie'!$Y$5:$Y$2004,_xlfn.MAXIFS('Saisie'!$AS$5:$AS$2004,'Saisie'!$C$5:$C$2004,C393,'Saisie'!$Y$5:$Y$2004,"&lt;&gt;")-4),""))</f>
        <v/>
      </c>
      <c r="BD393" s="106">
        <f>IF(C393="","",IFERROR(1/(1/_xlfn.MINIFS('Saisie'!$A$5:$A$2004,'Saisie'!$C$5:$C$2004,C393,'Saisie'!$AT$5:$AT$2004,"&gt;=2")),""))</f>
        <v/>
      </c>
      <c r="BE393" s="106">
        <f>IF(C393="","",IFERROR(1/(1/_xlfn.MINIFS('Saisie'!$A$5:$A$2004,'Saisie'!$C$5:$C$2004,C393,'Saisie'!$AT$5:$AT$2004,"&gt;=3")),""))</f>
        <v/>
      </c>
      <c r="BF393" s="106">
        <f>IF(C393="","",IFERROR(1/(1/_xlfn.MINIFS('Saisie'!$A$5:$A$2004,'Saisie'!$C$5:$C$2004,C393,'Saisie'!$AT$5:$AT$2004,"&gt;=4")),""))</f>
        <v/>
      </c>
      <c r="BG393" s="106">
        <f>IF(C393="","",IFERROR(1/(1/_xlfn.MINIFS('Saisie'!$A$5:$A$2004,'Saisie'!$C$5:$C$2004,C393,'Saisie'!$AT$5:$AT$2004,"&gt;=5")),""))</f>
        <v/>
      </c>
      <c r="BH393" s="106">
        <f>IF(C393="","",IFERROR(1/(1/_xlfn.MINIFS('Saisie'!$A$5:$A$2004,'Saisie'!$C$5:$C$2004,C393,'Saisie'!$AT$5:$AT$2004,"&gt;=6")),""))</f>
        <v/>
      </c>
      <c r="BI393" s="106">
        <f>IF(C393="","",IFERROR(1/(1/_xlfn.MINIFS('Saisie'!$A$5:$A$2004,'Saisie'!$C$5:$C$2004,C393,'Saisie'!$AT$5:$AT$2004,"&gt;=7")),""))</f>
        <v/>
      </c>
      <c r="BJ393" s="60">
        <f>IF(OR(BD393="",B393=""),"",BD393-B393)</f>
        <v/>
      </c>
      <c r="BK393" s="60">
        <f>IF(OR(BE393="",BD393=""),"",BE393-BD393)</f>
        <v/>
      </c>
      <c r="BL393" s="60">
        <f>IF(OR(BF393="",BE393=""),"",BF393-BE393)</f>
        <v/>
      </c>
      <c r="BM393" s="60">
        <f>IF(OR(BG393="",BF393=""),"",BG393-BF393)</f>
        <v/>
      </c>
      <c r="BN393" s="60">
        <f>IF(OR(BH393="",BG393=""),"",BH393-BG393)</f>
        <v/>
      </c>
      <c r="BO393" s="60">
        <f>IF(OR(BI393="",BH393=""),"",BI393-BH393)</f>
        <v/>
      </c>
      <c r="BP393" s="60">
        <f>IF(C393="","",_xlfn.MAXIFS('Saisie'!$AS$5:$AS$2004,'Saisie'!$C$5:$C$2004,C393,'Saisie'!$J$5:$J$2004,"&lt;&gt;"))</f>
        <v/>
      </c>
      <c r="BQ393" s="60">
        <f>IF(C393="","",_xlfn.MAXIFS('Saisie'!$AS$5:$AS$2004,'Saisie'!$C$5:$C$2004,C393))</f>
        <v/>
      </c>
      <c r="BR393" s="60">
        <f>IF(C393="","",_xlfn.MAXIFS('Saisie'!$AS$5:$AS$2004,'Saisie'!$C$5:$C$2004,C393,'Saisie'!$E$5:$E$2004,"Perdu"))</f>
        <v/>
      </c>
      <c r="BS393" s="60">
        <f>IF(C393="","",_xlfn.MAXIFS('Saisie'!$AS$5:$AS$2004,'Saisie'!$C$5:$C$2004,C393,'Saisie'!$AT$5:$AT$2004,"&gt;0"))</f>
        <v/>
      </c>
      <c r="BT393" s="109">
        <f>IF(AND(C393&lt;&gt;"",OR(D393="Nouveau",D393="Contacté",D393="Qualifié"),OR(G393="",N(G393)&lt;=TODAY()),NOT(AND(O393&gt;='Paramètres'!$B$21,P393=0))),E393+389/10000,"")</f>
        <v/>
      </c>
      <c r="BU393" s="60">
        <f>IF(AND(G393&lt;&gt;"",N(G393)&lt;=TODAY()),MAX($BU$4:BU392)+1,"")</f>
        <v/>
      </c>
      <c r="BV393" s="60">
        <f>IF(AND(F393&lt;&gt;"",F393&lt;&gt;"Relance en retard"),MAX($BV$4:BV392)+1,"")</f>
        <v/>
      </c>
      <c r="BW393" s="60">
        <f>IF(C393="","",IF(AND(B393&gt;='Tableau de bord'!$R$4,B393&lt;='Tableau de bord'!$S$4,OR('Tableau de bord'!$G$4="Tous",N393='Tableau de bord'!$G$4)),1,0))</f>
        <v/>
      </c>
      <c r="BX393" s="60">
        <f>IF(AND(C393&lt;&gt;"",N(BA393)=7),MAX($BX$4:BX392)+1,"")</f>
        <v/>
      </c>
    </row>
    <row r="394">
      <c r="A394" s="60">
        <f>IF(C394="","","P-"&amp;TEXT(390,"000"))</f>
        <v/>
      </c>
      <c r="B394" s="106">
        <f>IF(C394="","",IFERROR(1/(1/_xlfn.MINIFS('Saisie'!$A$5:$A$2004,'Saisie'!$C$5:$C$2004,C394)),""))</f>
        <v/>
      </c>
      <c r="C394" s="60">
        <f>IFERROR(INDEX('Saisie'!$C$5:$C$2004,MATCH(390,'Saisie'!$AX$5:$AX$2004,0)),"")</f>
        <v/>
      </c>
      <c r="D394" s="60">
        <f>IF(C394="","",IF(AND(BR394&gt;0,BR394&gt;BS394,BA394&lt;7),"Perdu",INDEX('Paramètres'!$F$6:$F$13,BA394)))</f>
        <v/>
      </c>
      <c r="E394" s="61">
        <f>IF(C394="","",MIN(100,(Z394="Oui")*'Paramètres'!$B$38+(AB394="Régulière")*'Paramètres'!$B$39+IF(AND(N(AA394)&gt;0,TODAY()-N(AA394)&lt;=30),'Paramètres'!$B$40,0)+(W394="")*'Paramètres'!$B$41+(AC394="Absente")*'Paramètres'!$B$42+(AC394="Faible")*'Paramètres'!$B$43+IF(AND(N(AD394)&gt;0,N(AD394)&lt;4),'Paramètres'!$B$44,0)+(AF394="Moyenne")*'Paramètres'!$B$45+(AF394="Grande")*'Paramètres'!$B$46+(Y394&lt;&gt;"")*'Paramètres'!$B$47))</f>
        <v/>
      </c>
      <c r="F394" s="60">
        <f>IF(C394="","",IF(D394="Gagné","",IF(D394="Perdu",IF(AND(AX394&lt;&gt;"",AX394&lt;=TODAY()),"À recontacter (perdu)",""),IF(AND(O394&gt;='Paramètres'!$B$21,P394=0),"Stop : "&amp;'Paramètres'!$B$21&amp;" tentatives sans réponse",IF(AND(D394="Proposition",AR394&lt;&gt;"",TODAY()&gt;N(AR394)),"Proposition expirée",IF(AND(D394="Proposition",N(R394)&gt;='Paramètres'!$B$25),"Proposition sans réponse",IF(AND(G394&lt;&gt;"",N(G394)&lt;TODAY()),"Relance en retard",IF(N(R394)&gt;='Paramètres'!$B$24,"Sans action depuis "&amp;R394&amp;" j",""))))))))</f>
        <v/>
      </c>
      <c r="G394" s="106">
        <f>IF(OR(C394="",D394="Gagné",D394="Perdu"),"",IF(AND(BP394&gt;0,BP394=BQ394),INDEX('Saisie'!$J$5:$J$2004,BP394-4),IF(OR(O394=0,AND(O394&gt;='Paramètres'!$B$21,P394=0)),"",Q394+IF(O394&lt;=1,'Paramètres'!$B$18,IF(O394=2,'Paramètres'!$B$19,'Paramètres'!$B$20)))))</f>
        <v/>
      </c>
      <c r="H394" s="107">
        <f>IF(OR(G394="",BP394&lt;&gt;BQ394),"",IF(INDEX('Saisie'!$K$5:$K$2004,BP394-4)="","",INDEX('Saisie'!$K$5:$K$2004,BP394-4)))</f>
        <v/>
      </c>
      <c r="I394" s="60">
        <f>IF(C394="","",IF(OR(D394="Gagné",D394="Perdu"),"",IFERROR(INDEX('Saisie'!$I$5:$I$2004,_xlfn.MAXIFS('Saisie'!$AS$5:$AS$2004,'Saisie'!$C$5:$C$2004,C394,'Saisie'!$I$5:$I$2004,"&lt;&gt;")-4),"")))</f>
        <v/>
      </c>
      <c r="J394" s="60">
        <f>IF(C394="","",IFERROR(INDEX('Saisie'!$U$5:$U$2004,_xlfn.MAXIFS('Saisie'!$AS$5:$AS$2004,'Saisie'!$C$5:$C$2004,C394,'Saisie'!$U$5:$U$2004,"&lt;&gt;")-4),""))</f>
        <v/>
      </c>
      <c r="K394" s="60">
        <f>IF(C394="","",IFERROR(INDEX('Saisie'!$W$5:$W$2004,_xlfn.MAXIFS('Saisie'!$AS$5:$AS$2004,'Saisie'!$C$5:$C$2004,C394,'Saisie'!$W$5:$W$2004,"&lt;&gt;")-4),""))</f>
        <v/>
      </c>
      <c r="L394" s="60">
        <f>IF(IF(BB394&lt;&gt;"",BB394,K394)="","",HYPERLINK("https://wa.me/"&amp;IF(LEFT(SUBSTITUTE(SUBSTITUTE(SUBSTITUTE(IF(BB394&lt;&gt;"",BB394,K394)," ",""),".",""),"+",""),1)="0",'Paramètres'!$B$35&amp;MID(SUBSTITUTE(SUBSTITUTE(SUBSTITUTE(IF(BB394&lt;&gt;"",BB394,K394)," ",""),".",""),"+",""),2,20),SUBSTITUTE(SUBSTITUTE(SUBSTITUTE(IF(BB394&lt;&gt;"",BB394,K394)," ",""),".",""),"+","")),"WhatsApp"))</f>
        <v/>
      </c>
      <c r="M394" s="60">
        <f>IF(BC394="","",HYPERLINK(IF(LEFT(BC394,4)="http",BC394,"https://www.instagram.com/"&amp;SUBSTITUTE(SUBSTITUTE(BC394,"@","")," ","")),BC394))</f>
        <v/>
      </c>
      <c r="N394" s="60">
        <f>IF(C394="","",IFERROR(INDEX('Saisie'!$D$5:$D$2004,_xlfn.MINIFS('Saisie'!$AS$5:$AS$2004,'Saisie'!$C$5:$C$2004,C394,'Saisie'!$AU$5:$AU$2004,1)-4),IFERROR(INDEX('Saisie'!$D$5:$D$2004,_xlfn.MINIFS('Saisie'!$AS$5:$AS$2004,'Saisie'!$C$5:$C$2004,C394,'Saisie'!$D$5:$D$2004,"&lt;&gt;")-4),"")))</f>
        <v/>
      </c>
      <c r="O394" s="60">
        <f>IF(C394="","",COUNTIFS('Saisie'!$C$5:$C$2004,C394,'Saisie'!$AU$5:$AU$2004,1))</f>
        <v/>
      </c>
      <c r="P394" s="60">
        <f>IF(C394="","",COUNTIFS('Saisie'!$C$5:$C$2004,C394,'Saisie'!$AV$5:$AV$2004,1))</f>
        <v/>
      </c>
      <c r="Q394" s="106">
        <f>IF(C394="","",IFERROR(1/(1/_xlfn.MAXIFS('Saisie'!$A$5:$A$2004,'Saisie'!$C$5:$C$2004,C394)),""))</f>
        <v/>
      </c>
      <c r="R394" s="61">
        <f>IF(C394="","",IF(Q394="","",TODAY()-Q394))</f>
        <v/>
      </c>
      <c r="S394" s="60">
        <f>IF(C394="","",IFERROR(INDEX('Saisie'!$R$5:$R$2004,_xlfn.MAXIFS('Saisie'!$AS$5:$AS$2004,'Saisie'!$C$5:$C$2004,C394,'Saisie'!$R$5:$R$2004,"&lt;&gt;")-4),""))</f>
        <v/>
      </c>
      <c r="T394" s="60">
        <f>IF(C394="","",IFERROR(INDEX('Saisie'!$S$5:$S$2004,_xlfn.MAXIFS('Saisie'!$AS$5:$AS$2004,'Saisie'!$C$5:$C$2004,C394,'Saisie'!$S$5:$S$2004,"&lt;&gt;")-4),""))</f>
        <v/>
      </c>
      <c r="U394" s="60">
        <f>IF(C394="","",IFERROR(INDEX('Saisie'!$T$5:$T$2004,_xlfn.MAXIFS('Saisie'!$AS$5:$AS$2004,'Saisie'!$C$5:$C$2004,C394,'Saisie'!$T$5:$T$2004,"&lt;&gt;")-4),""))</f>
        <v/>
      </c>
      <c r="V394" s="60">
        <f>IF(C394="","",IFERROR(INDEX('Saisie'!$V$5:$V$2004,_xlfn.MAXIFS('Saisie'!$AS$5:$AS$2004,'Saisie'!$C$5:$C$2004,C394,'Saisie'!$V$5:$V$2004,"&lt;&gt;")-4),""))</f>
        <v/>
      </c>
      <c r="W394" s="60">
        <f>IF(C394="","",IFERROR(INDEX('Saisie'!$Z$5:$Z$2004,_xlfn.MAXIFS('Saisie'!$AS$5:$AS$2004,'Saisie'!$C$5:$C$2004,C394,'Saisie'!$Z$5:$Z$2004,"&lt;&gt;")-4),""))</f>
        <v/>
      </c>
      <c r="X394" s="60">
        <f>IF(C394="","",IFERROR(INDEX('Saisie'!$AA$5:$AA$2004,_xlfn.MAXIFS('Saisie'!$AS$5:$AS$2004,'Saisie'!$C$5:$C$2004,C394,'Saisie'!$AA$5:$AA$2004,"&lt;&gt;")-4),""))</f>
        <v/>
      </c>
      <c r="Y394" s="60">
        <f>IF(C394="","",IFERROR(INDEX('Saisie'!$AB$5:$AB$2004,_xlfn.MAXIFS('Saisie'!$AS$5:$AS$2004,'Saisie'!$C$5:$C$2004,C394,'Saisie'!$AB$5:$AB$2004,"&lt;&gt;")-4),""))</f>
        <v/>
      </c>
      <c r="Z394" s="60">
        <f>IF(C394="","",IFERROR(INDEX('Saisie'!$AC$5:$AC$2004,_xlfn.MAXIFS('Saisie'!$AS$5:$AS$2004,'Saisie'!$C$5:$C$2004,C394,'Saisie'!$AC$5:$AC$2004,"&lt;&gt;")-4),""))</f>
        <v/>
      </c>
      <c r="AA394" s="106">
        <f>IF(C394="","",IFERROR(INDEX('Saisie'!$AD$5:$AD$2004,_xlfn.MAXIFS('Saisie'!$AS$5:$AS$2004,'Saisie'!$C$5:$C$2004,C394,'Saisie'!$AD$5:$AD$2004,"&lt;&gt;")-4),""))</f>
        <v/>
      </c>
      <c r="AB394" s="60">
        <f>IF(C394="","",IFERROR(INDEX('Saisie'!$AE$5:$AE$2004,_xlfn.MAXIFS('Saisie'!$AS$5:$AS$2004,'Saisie'!$C$5:$C$2004,C394,'Saisie'!$AE$5:$AE$2004,"&lt;&gt;")-4),""))</f>
        <v/>
      </c>
      <c r="AC394" s="60">
        <f>IF(C394="","",IFERROR(INDEX('Saisie'!$AF$5:$AF$2004,_xlfn.MAXIFS('Saisie'!$AS$5:$AS$2004,'Saisie'!$C$5:$C$2004,C394,'Saisie'!$AF$5:$AF$2004,"&lt;&gt;")-4),""))</f>
        <v/>
      </c>
      <c r="AD394" s="108">
        <f>IF(C394="","",IFERROR(INDEX('Saisie'!$AG$5:$AG$2004,_xlfn.MAXIFS('Saisie'!$AS$5:$AS$2004,'Saisie'!$C$5:$C$2004,C394,'Saisie'!$AG$5:$AG$2004,"&lt;&gt;")-4),""))</f>
        <v/>
      </c>
      <c r="AE394" s="60">
        <f>IF(C394="","",IFERROR(INDEX('Saisie'!$AH$5:$AH$2004,_xlfn.MAXIFS('Saisie'!$AS$5:$AS$2004,'Saisie'!$C$5:$C$2004,C394,'Saisie'!$AH$5:$AH$2004,"&lt;&gt;")-4),""))</f>
        <v/>
      </c>
      <c r="AF394" s="60">
        <f>IF(C394="","",IFERROR(INDEX('Saisie'!$AI$5:$AI$2004,_xlfn.MAXIFS('Saisie'!$AS$5:$AS$2004,'Saisie'!$C$5:$C$2004,C394,'Saisie'!$AI$5:$AI$2004,"&lt;&gt;")-4),""))</f>
        <v/>
      </c>
      <c r="AG394" s="60">
        <f>IF(C394="","",IFERROR(INDEX('Saisie'!$AJ$5:$AJ$2004,_xlfn.MAXIFS('Saisie'!$AS$5:$AS$2004,'Saisie'!$C$5:$C$2004,C394,'Saisie'!$AJ$5:$AJ$2004,"&lt;&gt;")-4),""))</f>
        <v/>
      </c>
      <c r="AH394" s="60">
        <f>IF(C394="","",IFERROR(INDEX('Saisie'!$AK$5:$AK$2004,_xlfn.MAXIFS('Saisie'!$AS$5:$AS$2004,'Saisie'!$C$5:$C$2004,C394,'Saisie'!$AK$5:$AK$2004,"&lt;&gt;")-4),""))</f>
        <v/>
      </c>
      <c r="AI394" s="60">
        <f>IF(C394="","",IFERROR(INDEX('Saisie'!$AN$5:$AN$2004,_xlfn.MAXIFS('Saisie'!$AS$5:$AS$2004,'Saisie'!$C$5:$C$2004,C394,'Saisie'!$AN$5:$AN$2004,"&lt;&gt;")-4),""))</f>
        <v/>
      </c>
      <c r="AJ394" s="60">
        <f>IF(C394="","",IFERROR(INDEX('Saisie'!$AO$5:$AO$2004,_xlfn.MAXIFS('Saisie'!$AS$5:$AS$2004,'Saisie'!$C$5:$C$2004,C394,'Saisie'!$AO$5:$AO$2004,"&lt;&gt;")-4),""))</f>
        <v/>
      </c>
      <c r="AK394" s="60">
        <f>IF(C394="","",IFERROR(INDEX('Saisie'!$AP$5:$AP$2004,_xlfn.MAXIFS('Saisie'!$AS$5:$AS$2004,'Saisie'!$C$5:$C$2004,C394,'Saisie'!$AP$5:$AP$2004,"&lt;&gt;")-4),""))</f>
        <v/>
      </c>
      <c r="AL394" s="60">
        <f>IF(C394="","",IFERROR(INDEX('Saisie'!$AQ$5:$AQ$2004,_xlfn.MAXIFS('Saisie'!$AS$5:$AS$2004,'Saisie'!$C$5:$C$2004,C394,'Saisie'!$AQ$5:$AQ$2004,"&lt;&gt;")-4),""))</f>
        <v/>
      </c>
      <c r="AM394" s="60">
        <f>IF(C394="","",((AI394="Oui")+(AJ394="Oui")+(AK394="Oui")+OR(AL394="Immédiat",AL394="&lt; 1 mois"))&amp;"/4")</f>
        <v/>
      </c>
      <c r="AN394" s="60">
        <f>IF(C394="","",IFERROR(INDEX('Saisie'!$AL$5:$AL$2004,_xlfn.MAXIFS('Saisie'!$AS$5:$AS$2004,'Saisie'!$C$5:$C$2004,C394,'Saisie'!$AL$5:$AL$2004,"&lt;&gt;")-4),""))</f>
        <v/>
      </c>
      <c r="AO394" s="62">
        <f>IF(C394="","",IF(IFERROR(INDEX('Saisie'!$AM$5:$AM$2004,_xlfn.MAXIFS('Saisie'!$AS$5:$AS$2004,'Saisie'!$C$5:$C$2004,C394,'Saisie'!$AM$5:$AM$2004,"&lt;&gt;")-4),"")&lt;&gt;"",IFERROR(INDEX('Saisie'!$AM$5:$AM$2004,_xlfn.MAXIFS('Saisie'!$AS$5:$AS$2004,'Saisie'!$C$5:$C$2004,C394,'Saisie'!$AM$5:$AM$2004,"&lt;&gt;")-4),""),IFERROR(INDEX('Paramètres'!$S$6:$S$15,MATCH(AN394,'Paramètres'!$Q$6:$Q$15,0)),"")))</f>
        <v/>
      </c>
      <c r="AP394" s="62">
        <f>IF(C394="","",IFERROR(INDEX('Saisie'!$AW$5:$AW$2004,_xlfn.MAXIFS('Saisie'!$AS$5:$AS$2004,'Saisie'!$C$5:$C$2004,C394,'Saisie'!$E$5:$E$2004,"Proposition envoyée")-4),""))</f>
        <v/>
      </c>
      <c r="AQ394" s="106">
        <f>IF(C394="","",IFERROR(1/(1/_xlfn.MAXIFS('Saisie'!$A$5:$A$2004,'Saisie'!$C$5:$C$2004,C394,'Saisie'!$E$5:$E$2004,"Proposition envoyée")),""))</f>
        <v/>
      </c>
      <c r="AR394" s="106">
        <f>IF(C394="","",IF(AQ394="","",AQ394+'Paramètres'!$B$26))</f>
        <v/>
      </c>
      <c r="AS394" s="62">
        <f>IF(OR(C394="",D394="Gagné",D394="Perdu"),0,N(AP394)*IFERROR(INDEX('Paramètres'!$G$6:$G$13,MATCH(D394,'Paramètres'!$F$6:$F$13,0)),0))</f>
        <v/>
      </c>
      <c r="AT394" s="106">
        <f>IF(C394="","",IFERROR(1/(1/_xlfn.MINIFS('Saisie'!$A$5:$A$2004,'Saisie'!$C$5:$C$2004,C394,'Saisie'!$E$5:$E$2004,"Signature")),""))</f>
        <v/>
      </c>
      <c r="AU394" s="60">
        <f>IF(C394="","",IF(OR(AT394="",B394=""),"",AT394-B394))</f>
        <v/>
      </c>
      <c r="AV394" s="60">
        <f>IF(C394="","",IFERROR(INDEX('Saisie'!$L$5:$L$2004,_xlfn.MAXIFS('Saisie'!$AS$5:$AS$2004,'Saisie'!$C$5:$C$2004,C394,'Saisie'!$L$5:$L$2004,"&lt;&gt;")-4),""))</f>
        <v/>
      </c>
      <c r="AW394" s="106">
        <f>IF(C394="","",IF(D394&lt;&gt;"Perdu","",IFERROR(1/(1/_xlfn.MAXIFS('Saisie'!$A$5:$A$2004,'Saisie'!$C$5:$C$2004,C394,'Saisie'!$E$5:$E$2004,"Perdu")),"")))</f>
        <v/>
      </c>
      <c r="AX394" s="106">
        <f>IF(C394="","",IF(AW394="","",AW394+'Paramètres'!$B$28))</f>
        <v/>
      </c>
      <c r="AY394" s="60">
        <f>IF(C394="","",SUMIFS('Saisie'!$H$5:$H$2004,'Saisie'!$C$5:$C$2004,C394))</f>
        <v/>
      </c>
      <c r="AZ394" s="60">
        <f>IF(C394="","",IFERROR(INDEX('Paramètres'!$W$6:$W$20,MATCH(S394,'Paramètres'!$V$6:$V$20,0))&amp;"",""))</f>
        <v/>
      </c>
      <c r="BA394" s="60">
        <f>IF(C394="","",MAX(1,_xlfn.MAXIFS('Saisie'!$AT$5:$AT$2004,'Saisie'!$C$5:$C$2004,C394)))</f>
        <v/>
      </c>
      <c r="BB394" s="60">
        <f>IF(C394="","",IFERROR(INDEX('Saisie'!$X$5:$X$2004,_xlfn.MAXIFS('Saisie'!$AS$5:$AS$2004,'Saisie'!$C$5:$C$2004,C394,'Saisie'!$X$5:$X$2004,"&lt;&gt;")-4),""))</f>
        <v/>
      </c>
      <c r="BC394" s="60">
        <f>IF(C394="","",IFERROR(INDEX('Saisie'!$Y$5:$Y$2004,_xlfn.MAXIFS('Saisie'!$AS$5:$AS$2004,'Saisie'!$C$5:$C$2004,C394,'Saisie'!$Y$5:$Y$2004,"&lt;&gt;")-4),""))</f>
        <v/>
      </c>
      <c r="BD394" s="106">
        <f>IF(C394="","",IFERROR(1/(1/_xlfn.MINIFS('Saisie'!$A$5:$A$2004,'Saisie'!$C$5:$C$2004,C394,'Saisie'!$AT$5:$AT$2004,"&gt;=2")),""))</f>
        <v/>
      </c>
      <c r="BE394" s="106">
        <f>IF(C394="","",IFERROR(1/(1/_xlfn.MINIFS('Saisie'!$A$5:$A$2004,'Saisie'!$C$5:$C$2004,C394,'Saisie'!$AT$5:$AT$2004,"&gt;=3")),""))</f>
        <v/>
      </c>
      <c r="BF394" s="106">
        <f>IF(C394="","",IFERROR(1/(1/_xlfn.MINIFS('Saisie'!$A$5:$A$2004,'Saisie'!$C$5:$C$2004,C394,'Saisie'!$AT$5:$AT$2004,"&gt;=4")),""))</f>
        <v/>
      </c>
      <c r="BG394" s="106">
        <f>IF(C394="","",IFERROR(1/(1/_xlfn.MINIFS('Saisie'!$A$5:$A$2004,'Saisie'!$C$5:$C$2004,C394,'Saisie'!$AT$5:$AT$2004,"&gt;=5")),""))</f>
        <v/>
      </c>
      <c r="BH394" s="106">
        <f>IF(C394="","",IFERROR(1/(1/_xlfn.MINIFS('Saisie'!$A$5:$A$2004,'Saisie'!$C$5:$C$2004,C394,'Saisie'!$AT$5:$AT$2004,"&gt;=6")),""))</f>
        <v/>
      </c>
      <c r="BI394" s="106">
        <f>IF(C394="","",IFERROR(1/(1/_xlfn.MINIFS('Saisie'!$A$5:$A$2004,'Saisie'!$C$5:$C$2004,C394,'Saisie'!$AT$5:$AT$2004,"&gt;=7")),""))</f>
        <v/>
      </c>
      <c r="BJ394" s="60">
        <f>IF(OR(BD394="",B394=""),"",BD394-B394)</f>
        <v/>
      </c>
      <c r="BK394" s="60">
        <f>IF(OR(BE394="",BD394=""),"",BE394-BD394)</f>
        <v/>
      </c>
      <c r="BL394" s="60">
        <f>IF(OR(BF394="",BE394=""),"",BF394-BE394)</f>
        <v/>
      </c>
      <c r="BM394" s="60">
        <f>IF(OR(BG394="",BF394=""),"",BG394-BF394)</f>
        <v/>
      </c>
      <c r="BN394" s="60">
        <f>IF(OR(BH394="",BG394=""),"",BH394-BG394)</f>
        <v/>
      </c>
      <c r="BO394" s="60">
        <f>IF(OR(BI394="",BH394=""),"",BI394-BH394)</f>
        <v/>
      </c>
      <c r="BP394" s="60">
        <f>IF(C394="","",_xlfn.MAXIFS('Saisie'!$AS$5:$AS$2004,'Saisie'!$C$5:$C$2004,C394,'Saisie'!$J$5:$J$2004,"&lt;&gt;"))</f>
        <v/>
      </c>
      <c r="BQ394" s="60">
        <f>IF(C394="","",_xlfn.MAXIFS('Saisie'!$AS$5:$AS$2004,'Saisie'!$C$5:$C$2004,C394))</f>
        <v/>
      </c>
      <c r="BR394" s="60">
        <f>IF(C394="","",_xlfn.MAXIFS('Saisie'!$AS$5:$AS$2004,'Saisie'!$C$5:$C$2004,C394,'Saisie'!$E$5:$E$2004,"Perdu"))</f>
        <v/>
      </c>
      <c r="BS394" s="60">
        <f>IF(C394="","",_xlfn.MAXIFS('Saisie'!$AS$5:$AS$2004,'Saisie'!$C$5:$C$2004,C394,'Saisie'!$AT$5:$AT$2004,"&gt;0"))</f>
        <v/>
      </c>
      <c r="BT394" s="109">
        <f>IF(AND(C394&lt;&gt;"",OR(D394="Nouveau",D394="Contacté",D394="Qualifié"),OR(G394="",N(G394)&lt;=TODAY()),NOT(AND(O394&gt;='Paramètres'!$B$21,P394=0))),E394+390/10000,"")</f>
        <v/>
      </c>
      <c r="BU394" s="60">
        <f>IF(AND(G394&lt;&gt;"",N(G394)&lt;=TODAY()),MAX($BU$4:BU393)+1,"")</f>
        <v/>
      </c>
      <c r="BV394" s="60">
        <f>IF(AND(F394&lt;&gt;"",F394&lt;&gt;"Relance en retard"),MAX($BV$4:BV393)+1,"")</f>
        <v/>
      </c>
      <c r="BW394" s="60">
        <f>IF(C394="","",IF(AND(B394&gt;='Tableau de bord'!$R$4,B394&lt;='Tableau de bord'!$S$4,OR('Tableau de bord'!$G$4="Tous",N394='Tableau de bord'!$G$4)),1,0))</f>
        <v/>
      </c>
      <c r="BX394" s="60">
        <f>IF(AND(C394&lt;&gt;"",N(BA394)=7),MAX($BX$4:BX393)+1,"")</f>
        <v/>
      </c>
    </row>
    <row r="395">
      <c r="A395" s="60">
        <f>IF(C395="","","P-"&amp;TEXT(391,"000"))</f>
        <v/>
      </c>
      <c r="B395" s="106">
        <f>IF(C395="","",IFERROR(1/(1/_xlfn.MINIFS('Saisie'!$A$5:$A$2004,'Saisie'!$C$5:$C$2004,C395)),""))</f>
        <v/>
      </c>
      <c r="C395" s="60">
        <f>IFERROR(INDEX('Saisie'!$C$5:$C$2004,MATCH(391,'Saisie'!$AX$5:$AX$2004,0)),"")</f>
        <v/>
      </c>
      <c r="D395" s="60">
        <f>IF(C395="","",IF(AND(BR395&gt;0,BR395&gt;BS395,BA395&lt;7),"Perdu",INDEX('Paramètres'!$F$6:$F$13,BA395)))</f>
        <v/>
      </c>
      <c r="E395" s="61">
        <f>IF(C395="","",MIN(100,(Z395="Oui")*'Paramètres'!$B$38+(AB395="Régulière")*'Paramètres'!$B$39+IF(AND(N(AA395)&gt;0,TODAY()-N(AA395)&lt;=30),'Paramètres'!$B$40,0)+(W395="")*'Paramètres'!$B$41+(AC395="Absente")*'Paramètres'!$B$42+(AC395="Faible")*'Paramètres'!$B$43+IF(AND(N(AD395)&gt;0,N(AD395)&lt;4),'Paramètres'!$B$44,0)+(AF395="Moyenne")*'Paramètres'!$B$45+(AF395="Grande")*'Paramètres'!$B$46+(Y395&lt;&gt;"")*'Paramètres'!$B$47))</f>
        <v/>
      </c>
      <c r="F395" s="60">
        <f>IF(C395="","",IF(D395="Gagné","",IF(D395="Perdu",IF(AND(AX395&lt;&gt;"",AX395&lt;=TODAY()),"À recontacter (perdu)",""),IF(AND(O395&gt;='Paramètres'!$B$21,P395=0),"Stop : "&amp;'Paramètres'!$B$21&amp;" tentatives sans réponse",IF(AND(D395="Proposition",AR395&lt;&gt;"",TODAY()&gt;N(AR395)),"Proposition expirée",IF(AND(D395="Proposition",N(R395)&gt;='Paramètres'!$B$25),"Proposition sans réponse",IF(AND(G395&lt;&gt;"",N(G395)&lt;TODAY()),"Relance en retard",IF(N(R395)&gt;='Paramètres'!$B$24,"Sans action depuis "&amp;R395&amp;" j",""))))))))</f>
        <v/>
      </c>
      <c r="G395" s="106">
        <f>IF(OR(C395="",D395="Gagné",D395="Perdu"),"",IF(AND(BP395&gt;0,BP395=BQ395),INDEX('Saisie'!$J$5:$J$2004,BP395-4),IF(OR(O395=0,AND(O395&gt;='Paramètres'!$B$21,P395=0)),"",Q395+IF(O395&lt;=1,'Paramètres'!$B$18,IF(O395=2,'Paramètres'!$B$19,'Paramètres'!$B$20)))))</f>
        <v/>
      </c>
      <c r="H395" s="107">
        <f>IF(OR(G395="",BP395&lt;&gt;BQ395),"",IF(INDEX('Saisie'!$K$5:$K$2004,BP395-4)="","",INDEX('Saisie'!$K$5:$K$2004,BP395-4)))</f>
        <v/>
      </c>
      <c r="I395" s="60">
        <f>IF(C395="","",IF(OR(D395="Gagné",D395="Perdu"),"",IFERROR(INDEX('Saisie'!$I$5:$I$2004,_xlfn.MAXIFS('Saisie'!$AS$5:$AS$2004,'Saisie'!$C$5:$C$2004,C395,'Saisie'!$I$5:$I$2004,"&lt;&gt;")-4),"")))</f>
        <v/>
      </c>
      <c r="J395" s="60">
        <f>IF(C395="","",IFERROR(INDEX('Saisie'!$U$5:$U$2004,_xlfn.MAXIFS('Saisie'!$AS$5:$AS$2004,'Saisie'!$C$5:$C$2004,C395,'Saisie'!$U$5:$U$2004,"&lt;&gt;")-4),""))</f>
        <v/>
      </c>
      <c r="K395" s="60">
        <f>IF(C395="","",IFERROR(INDEX('Saisie'!$W$5:$W$2004,_xlfn.MAXIFS('Saisie'!$AS$5:$AS$2004,'Saisie'!$C$5:$C$2004,C395,'Saisie'!$W$5:$W$2004,"&lt;&gt;")-4),""))</f>
        <v/>
      </c>
      <c r="L395" s="60">
        <f>IF(IF(BB395&lt;&gt;"",BB395,K395)="","",HYPERLINK("https://wa.me/"&amp;IF(LEFT(SUBSTITUTE(SUBSTITUTE(SUBSTITUTE(IF(BB395&lt;&gt;"",BB395,K395)," ",""),".",""),"+",""),1)="0",'Paramètres'!$B$35&amp;MID(SUBSTITUTE(SUBSTITUTE(SUBSTITUTE(IF(BB395&lt;&gt;"",BB395,K395)," ",""),".",""),"+",""),2,20),SUBSTITUTE(SUBSTITUTE(SUBSTITUTE(IF(BB395&lt;&gt;"",BB395,K395)," ",""),".",""),"+","")),"WhatsApp"))</f>
        <v/>
      </c>
      <c r="M395" s="60">
        <f>IF(BC395="","",HYPERLINK(IF(LEFT(BC395,4)="http",BC395,"https://www.instagram.com/"&amp;SUBSTITUTE(SUBSTITUTE(BC395,"@","")," ","")),BC395))</f>
        <v/>
      </c>
      <c r="N395" s="60">
        <f>IF(C395="","",IFERROR(INDEX('Saisie'!$D$5:$D$2004,_xlfn.MINIFS('Saisie'!$AS$5:$AS$2004,'Saisie'!$C$5:$C$2004,C395,'Saisie'!$AU$5:$AU$2004,1)-4),IFERROR(INDEX('Saisie'!$D$5:$D$2004,_xlfn.MINIFS('Saisie'!$AS$5:$AS$2004,'Saisie'!$C$5:$C$2004,C395,'Saisie'!$D$5:$D$2004,"&lt;&gt;")-4),"")))</f>
        <v/>
      </c>
      <c r="O395" s="60">
        <f>IF(C395="","",COUNTIFS('Saisie'!$C$5:$C$2004,C395,'Saisie'!$AU$5:$AU$2004,1))</f>
        <v/>
      </c>
      <c r="P395" s="60">
        <f>IF(C395="","",COUNTIFS('Saisie'!$C$5:$C$2004,C395,'Saisie'!$AV$5:$AV$2004,1))</f>
        <v/>
      </c>
      <c r="Q395" s="106">
        <f>IF(C395="","",IFERROR(1/(1/_xlfn.MAXIFS('Saisie'!$A$5:$A$2004,'Saisie'!$C$5:$C$2004,C395)),""))</f>
        <v/>
      </c>
      <c r="R395" s="61">
        <f>IF(C395="","",IF(Q395="","",TODAY()-Q395))</f>
        <v/>
      </c>
      <c r="S395" s="60">
        <f>IF(C395="","",IFERROR(INDEX('Saisie'!$R$5:$R$2004,_xlfn.MAXIFS('Saisie'!$AS$5:$AS$2004,'Saisie'!$C$5:$C$2004,C395,'Saisie'!$R$5:$R$2004,"&lt;&gt;")-4),""))</f>
        <v/>
      </c>
      <c r="T395" s="60">
        <f>IF(C395="","",IFERROR(INDEX('Saisie'!$S$5:$S$2004,_xlfn.MAXIFS('Saisie'!$AS$5:$AS$2004,'Saisie'!$C$5:$C$2004,C395,'Saisie'!$S$5:$S$2004,"&lt;&gt;")-4),""))</f>
        <v/>
      </c>
      <c r="U395" s="60">
        <f>IF(C395="","",IFERROR(INDEX('Saisie'!$T$5:$T$2004,_xlfn.MAXIFS('Saisie'!$AS$5:$AS$2004,'Saisie'!$C$5:$C$2004,C395,'Saisie'!$T$5:$T$2004,"&lt;&gt;")-4),""))</f>
        <v/>
      </c>
      <c r="V395" s="60">
        <f>IF(C395="","",IFERROR(INDEX('Saisie'!$V$5:$V$2004,_xlfn.MAXIFS('Saisie'!$AS$5:$AS$2004,'Saisie'!$C$5:$C$2004,C395,'Saisie'!$V$5:$V$2004,"&lt;&gt;")-4),""))</f>
        <v/>
      </c>
      <c r="W395" s="60">
        <f>IF(C395="","",IFERROR(INDEX('Saisie'!$Z$5:$Z$2004,_xlfn.MAXIFS('Saisie'!$AS$5:$AS$2004,'Saisie'!$C$5:$C$2004,C395,'Saisie'!$Z$5:$Z$2004,"&lt;&gt;")-4),""))</f>
        <v/>
      </c>
      <c r="X395" s="60">
        <f>IF(C395="","",IFERROR(INDEX('Saisie'!$AA$5:$AA$2004,_xlfn.MAXIFS('Saisie'!$AS$5:$AS$2004,'Saisie'!$C$5:$C$2004,C395,'Saisie'!$AA$5:$AA$2004,"&lt;&gt;")-4),""))</f>
        <v/>
      </c>
      <c r="Y395" s="60">
        <f>IF(C395="","",IFERROR(INDEX('Saisie'!$AB$5:$AB$2004,_xlfn.MAXIFS('Saisie'!$AS$5:$AS$2004,'Saisie'!$C$5:$C$2004,C395,'Saisie'!$AB$5:$AB$2004,"&lt;&gt;")-4),""))</f>
        <v/>
      </c>
      <c r="Z395" s="60">
        <f>IF(C395="","",IFERROR(INDEX('Saisie'!$AC$5:$AC$2004,_xlfn.MAXIFS('Saisie'!$AS$5:$AS$2004,'Saisie'!$C$5:$C$2004,C395,'Saisie'!$AC$5:$AC$2004,"&lt;&gt;")-4),""))</f>
        <v/>
      </c>
      <c r="AA395" s="106">
        <f>IF(C395="","",IFERROR(INDEX('Saisie'!$AD$5:$AD$2004,_xlfn.MAXIFS('Saisie'!$AS$5:$AS$2004,'Saisie'!$C$5:$C$2004,C395,'Saisie'!$AD$5:$AD$2004,"&lt;&gt;")-4),""))</f>
        <v/>
      </c>
      <c r="AB395" s="60">
        <f>IF(C395="","",IFERROR(INDEX('Saisie'!$AE$5:$AE$2004,_xlfn.MAXIFS('Saisie'!$AS$5:$AS$2004,'Saisie'!$C$5:$C$2004,C395,'Saisie'!$AE$5:$AE$2004,"&lt;&gt;")-4),""))</f>
        <v/>
      </c>
      <c r="AC395" s="60">
        <f>IF(C395="","",IFERROR(INDEX('Saisie'!$AF$5:$AF$2004,_xlfn.MAXIFS('Saisie'!$AS$5:$AS$2004,'Saisie'!$C$5:$C$2004,C395,'Saisie'!$AF$5:$AF$2004,"&lt;&gt;")-4),""))</f>
        <v/>
      </c>
      <c r="AD395" s="108">
        <f>IF(C395="","",IFERROR(INDEX('Saisie'!$AG$5:$AG$2004,_xlfn.MAXIFS('Saisie'!$AS$5:$AS$2004,'Saisie'!$C$5:$C$2004,C395,'Saisie'!$AG$5:$AG$2004,"&lt;&gt;")-4),""))</f>
        <v/>
      </c>
      <c r="AE395" s="60">
        <f>IF(C395="","",IFERROR(INDEX('Saisie'!$AH$5:$AH$2004,_xlfn.MAXIFS('Saisie'!$AS$5:$AS$2004,'Saisie'!$C$5:$C$2004,C395,'Saisie'!$AH$5:$AH$2004,"&lt;&gt;")-4),""))</f>
        <v/>
      </c>
      <c r="AF395" s="60">
        <f>IF(C395="","",IFERROR(INDEX('Saisie'!$AI$5:$AI$2004,_xlfn.MAXIFS('Saisie'!$AS$5:$AS$2004,'Saisie'!$C$5:$C$2004,C395,'Saisie'!$AI$5:$AI$2004,"&lt;&gt;")-4),""))</f>
        <v/>
      </c>
      <c r="AG395" s="60">
        <f>IF(C395="","",IFERROR(INDEX('Saisie'!$AJ$5:$AJ$2004,_xlfn.MAXIFS('Saisie'!$AS$5:$AS$2004,'Saisie'!$C$5:$C$2004,C395,'Saisie'!$AJ$5:$AJ$2004,"&lt;&gt;")-4),""))</f>
        <v/>
      </c>
      <c r="AH395" s="60">
        <f>IF(C395="","",IFERROR(INDEX('Saisie'!$AK$5:$AK$2004,_xlfn.MAXIFS('Saisie'!$AS$5:$AS$2004,'Saisie'!$C$5:$C$2004,C395,'Saisie'!$AK$5:$AK$2004,"&lt;&gt;")-4),""))</f>
        <v/>
      </c>
      <c r="AI395" s="60">
        <f>IF(C395="","",IFERROR(INDEX('Saisie'!$AN$5:$AN$2004,_xlfn.MAXIFS('Saisie'!$AS$5:$AS$2004,'Saisie'!$C$5:$C$2004,C395,'Saisie'!$AN$5:$AN$2004,"&lt;&gt;")-4),""))</f>
        <v/>
      </c>
      <c r="AJ395" s="60">
        <f>IF(C395="","",IFERROR(INDEX('Saisie'!$AO$5:$AO$2004,_xlfn.MAXIFS('Saisie'!$AS$5:$AS$2004,'Saisie'!$C$5:$C$2004,C395,'Saisie'!$AO$5:$AO$2004,"&lt;&gt;")-4),""))</f>
        <v/>
      </c>
      <c r="AK395" s="60">
        <f>IF(C395="","",IFERROR(INDEX('Saisie'!$AP$5:$AP$2004,_xlfn.MAXIFS('Saisie'!$AS$5:$AS$2004,'Saisie'!$C$5:$C$2004,C395,'Saisie'!$AP$5:$AP$2004,"&lt;&gt;")-4),""))</f>
        <v/>
      </c>
      <c r="AL395" s="60">
        <f>IF(C395="","",IFERROR(INDEX('Saisie'!$AQ$5:$AQ$2004,_xlfn.MAXIFS('Saisie'!$AS$5:$AS$2004,'Saisie'!$C$5:$C$2004,C395,'Saisie'!$AQ$5:$AQ$2004,"&lt;&gt;")-4),""))</f>
        <v/>
      </c>
      <c r="AM395" s="60">
        <f>IF(C395="","",((AI395="Oui")+(AJ395="Oui")+(AK395="Oui")+OR(AL395="Immédiat",AL395="&lt; 1 mois"))&amp;"/4")</f>
        <v/>
      </c>
      <c r="AN395" s="60">
        <f>IF(C395="","",IFERROR(INDEX('Saisie'!$AL$5:$AL$2004,_xlfn.MAXIFS('Saisie'!$AS$5:$AS$2004,'Saisie'!$C$5:$C$2004,C395,'Saisie'!$AL$5:$AL$2004,"&lt;&gt;")-4),""))</f>
        <v/>
      </c>
      <c r="AO395" s="62">
        <f>IF(C395="","",IF(IFERROR(INDEX('Saisie'!$AM$5:$AM$2004,_xlfn.MAXIFS('Saisie'!$AS$5:$AS$2004,'Saisie'!$C$5:$C$2004,C395,'Saisie'!$AM$5:$AM$2004,"&lt;&gt;")-4),"")&lt;&gt;"",IFERROR(INDEX('Saisie'!$AM$5:$AM$2004,_xlfn.MAXIFS('Saisie'!$AS$5:$AS$2004,'Saisie'!$C$5:$C$2004,C395,'Saisie'!$AM$5:$AM$2004,"&lt;&gt;")-4),""),IFERROR(INDEX('Paramètres'!$S$6:$S$15,MATCH(AN395,'Paramètres'!$Q$6:$Q$15,0)),"")))</f>
        <v/>
      </c>
      <c r="AP395" s="62">
        <f>IF(C395="","",IFERROR(INDEX('Saisie'!$AW$5:$AW$2004,_xlfn.MAXIFS('Saisie'!$AS$5:$AS$2004,'Saisie'!$C$5:$C$2004,C395,'Saisie'!$E$5:$E$2004,"Proposition envoyée")-4),""))</f>
        <v/>
      </c>
      <c r="AQ395" s="106">
        <f>IF(C395="","",IFERROR(1/(1/_xlfn.MAXIFS('Saisie'!$A$5:$A$2004,'Saisie'!$C$5:$C$2004,C395,'Saisie'!$E$5:$E$2004,"Proposition envoyée")),""))</f>
        <v/>
      </c>
      <c r="AR395" s="106">
        <f>IF(C395="","",IF(AQ395="","",AQ395+'Paramètres'!$B$26))</f>
        <v/>
      </c>
      <c r="AS395" s="62">
        <f>IF(OR(C395="",D395="Gagné",D395="Perdu"),0,N(AP395)*IFERROR(INDEX('Paramètres'!$G$6:$G$13,MATCH(D395,'Paramètres'!$F$6:$F$13,0)),0))</f>
        <v/>
      </c>
      <c r="AT395" s="106">
        <f>IF(C395="","",IFERROR(1/(1/_xlfn.MINIFS('Saisie'!$A$5:$A$2004,'Saisie'!$C$5:$C$2004,C395,'Saisie'!$E$5:$E$2004,"Signature")),""))</f>
        <v/>
      </c>
      <c r="AU395" s="60">
        <f>IF(C395="","",IF(OR(AT395="",B395=""),"",AT395-B395))</f>
        <v/>
      </c>
      <c r="AV395" s="60">
        <f>IF(C395="","",IFERROR(INDEX('Saisie'!$L$5:$L$2004,_xlfn.MAXIFS('Saisie'!$AS$5:$AS$2004,'Saisie'!$C$5:$C$2004,C395,'Saisie'!$L$5:$L$2004,"&lt;&gt;")-4),""))</f>
        <v/>
      </c>
      <c r="AW395" s="106">
        <f>IF(C395="","",IF(D395&lt;&gt;"Perdu","",IFERROR(1/(1/_xlfn.MAXIFS('Saisie'!$A$5:$A$2004,'Saisie'!$C$5:$C$2004,C395,'Saisie'!$E$5:$E$2004,"Perdu")),"")))</f>
        <v/>
      </c>
      <c r="AX395" s="106">
        <f>IF(C395="","",IF(AW395="","",AW395+'Paramètres'!$B$28))</f>
        <v/>
      </c>
      <c r="AY395" s="60">
        <f>IF(C395="","",SUMIFS('Saisie'!$H$5:$H$2004,'Saisie'!$C$5:$C$2004,C395))</f>
        <v/>
      </c>
      <c r="AZ395" s="60">
        <f>IF(C395="","",IFERROR(INDEX('Paramètres'!$W$6:$W$20,MATCH(S395,'Paramètres'!$V$6:$V$20,0))&amp;"",""))</f>
        <v/>
      </c>
      <c r="BA395" s="60">
        <f>IF(C395="","",MAX(1,_xlfn.MAXIFS('Saisie'!$AT$5:$AT$2004,'Saisie'!$C$5:$C$2004,C395)))</f>
        <v/>
      </c>
      <c r="BB395" s="60">
        <f>IF(C395="","",IFERROR(INDEX('Saisie'!$X$5:$X$2004,_xlfn.MAXIFS('Saisie'!$AS$5:$AS$2004,'Saisie'!$C$5:$C$2004,C395,'Saisie'!$X$5:$X$2004,"&lt;&gt;")-4),""))</f>
        <v/>
      </c>
      <c r="BC395" s="60">
        <f>IF(C395="","",IFERROR(INDEX('Saisie'!$Y$5:$Y$2004,_xlfn.MAXIFS('Saisie'!$AS$5:$AS$2004,'Saisie'!$C$5:$C$2004,C395,'Saisie'!$Y$5:$Y$2004,"&lt;&gt;")-4),""))</f>
        <v/>
      </c>
      <c r="BD395" s="106">
        <f>IF(C395="","",IFERROR(1/(1/_xlfn.MINIFS('Saisie'!$A$5:$A$2004,'Saisie'!$C$5:$C$2004,C395,'Saisie'!$AT$5:$AT$2004,"&gt;=2")),""))</f>
        <v/>
      </c>
      <c r="BE395" s="106">
        <f>IF(C395="","",IFERROR(1/(1/_xlfn.MINIFS('Saisie'!$A$5:$A$2004,'Saisie'!$C$5:$C$2004,C395,'Saisie'!$AT$5:$AT$2004,"&gt;=3")),""))</f>
        <v/>
      </c>
      <c r="BF395" s="106">
        <f>IF(C395="","",IFERROR(1/(1/_xlfn.MINIFS('Saisie'!$A$5:$A$2004,'Saisie'!$C$5:$C$2004,C395,'Saisie'!$AT$5:$AT$2004,"&gt;=4")),""))</f>
        <v/>
      </c>
      <c r="BG395" s="106">
        <f>IF(C395="","",IFERROR(1/(1/_xlfn.MINIFS('Saisie'!$A$5:$A$2004,'Saisie'!$C$5:$C$2004,C395,'Saisie'!$AT$5:$AT$2004,"&gt;=5")),""))</f>
        <v/>
      </c>
      <c r="BH395" s="106">
        <f>IF(C395="","",IFERROR(1/(1/_xlfn.MINIFS('Saisie'!$A$5:$A$2004,'Saisie'!$C$5:$C$2004,C395,'Saisie'!$AT$5:$AT$2004,"&gt;=6")),""))</f>
        <v/>
      </c>
      <c r="BI395" s="106">
        <f>IF(C395="","",IFERROR(1/(1/_xlfn.MINIFS('Saisie'!$A$5:$A$2004,'Saisie'!$C$5:$C$2004,C395,'Saisie'!$AT$5:$AT$2004,"&gt;=7")),""))</f>
        <v/>
      </c>
      <c r="BJ395" s="60">
        <f>IF(OR(BD395="",B395=""),"",BD395-B395)</f>
        <v/>
      </c>
      <c r="BK395" s="60">
        <f>IF(OR(BE395="",BD395=""),"",BE395-BD395)</f>
        <v/>
      </c>
      <c r="BL395" s="60">
        <f>IF(OR(BF395="",BE395=""),"",BF395-BE395)</f>
        <v/>
      </c>
      <c r="BM395" s="60">
        <f>IF(OR(BG395="",BF395=""),"",BG395-BF395)</f>
        <v/>
      </c>
      <c r="BN395" s="60">
        <f>IF(OR(BH395="",BG395=""),"",BH395-BG395)</f>
        <v/>
      </c>
      <c r="BO395" s="60">
        <f>IF(OR(BI395="",BH395=""),"",BI395-BH395)</f>
        <v/>
      </c>
      <c r="BP395" s="60">
        <f>IF(C395="","",_xlfn.MAXIFS('Saisie'!$AS$5:$AS$2004,'Saisie'!$C$5:$C$2004,C395,'Saisie'!$J$5:$J$2004,"&lt;&gt;"))</f>
        <v/>
      </c>
      <c r="BQ395" s="60">
        <f>IF(C395="","",_xlfn.MAXIFS('Saisie'!$AS$5:$AS$2004,'Saisie'!$C$5:$C$2004,C395))</f>
        <v/>
      </c>
      <c r="BR395" s="60">
        <f>IF(C395="","",_xlfn.MAXIFS('Saisie'!$AS$5:$AS$2004,'Saisie'!$C$5:$C$2004,C395,'Saisie'!$E$5:$E$2004,"Perdu"))</f>
        <v/>
      </c>
      <c r="BS395" s="60">
        <f>IF(C395="","",_xlfn.MAXIFS('Saisie'!$AS$5:$AS$2004,'Saisie'!$C$5:$C$2004,C395,'Saisie'!$AT$5:$AT$2004,"&gt;0"))</f>
        <v/>
      </c>
      <c r="BT395" s="109">
        <f>IF(AND(C395&lt;&gt;"",OR(D395="Nouveau",D395="Contacté",D395="Qualifié"),OR(G395="",N(G395)&lt;=TODAY()),NOT(AND(O395&gt;='Paramètres'!$B$21,P395=0))),E395+391/10000,"")</f>
        <v/>
      </c>
      <c r="BU395" s="60">
        <f>IF(AND(G395&lt;&gt;"",N(G395)&lt;=TODAY()),MAX($BU$4:BU394)+1,"")</f>
        <v/>
      </c>
      <c r="BV395" s="60">
        <f>IF(AND(F395&lt;&gt;"",F395&lt;&gt;"Relance en retard"),MAX($BV$4:BV394)+1,"")</f>
        <v/>
      </c>
      <c r="BW395" s="60">
        <f>IF(C395="","",IF(AND(B395&gt;='Tableau de bord'!$R$4,B395&lt;='Tableau de bord'!$S$4,OR('Tableau de bord'!$G$4="Tous",N395='Tableau de bord'!$G$4)),1,0))</f>
        <v/>
      </c>
      <c r="BX395" s="60">
        <f>IF(AND(C395&lt;&gt;"",N(BA395)=7),MAX($BX$4:BX394)+1,"")</f>
        <v/>
      </c>
    </row>
    <row r="396">
      <c r="A396" s="60">
        <f>IF(C396="","","P-"&amp;TEXT(392,"000"))</f>
        <v/>
      </c>
      <c r="B396" s="106">
        <f>IF(C396="","",IFERROR(1/(1/_xlfn.MINIFS('Saisie'!$A$5:$A$2004,'Saisie'!$C$5:$C$2004,C396)),""))</f>
        <v/>
      </c>
      <c r="C396" s="60">
        <f>IFERROR(INDEX('Saisie'!$C$5:$C$2004,MATCH(392,'Saisie'!$AX$5:$AX$2004,0)),"")</f>
        <v/>
      </c>
      <c r="D396" s="60">
        <f>IF(C396="","",IF(AND(BR396&gt;0,BR396&gt;BS396,BA396&lt;7),"Perdu",INDEX('Paramètres'!$F$6:$F$13,BA396)))</f>
        <v/>
      </c>
      <c r="E396" s="61">
        <f>IF(C396="","",MIN(100,(Z396="Oui")*'Paramètres'!$B$38+(AB396="Régulière")*'Paramètres'!$B$39+IF(AND(N(AA396)&gt;0,TODAY()-N(AA396)&lt;=30),'Paramètres'!$B$40,0)+(W396="")*'Paramètres'!$B$41+(AC396="Absente")*'Paramètres'!$B$42+(AC396="Faible")*'Paramètres'!$B$43+IF(AND(N(AD396)&gt;0,N(AD396)&lt;4),'Paramètres'!$B$44,0)+(AF396="Moyenne")*'Paramètres'!$B$45+(AF396="Grande")*'Paramètres'!$B$46+(Y396&lt;&gt;"")*'Paramètres'!$B$47))</f>
        <v/>
      </c>
      <c r="F396" s="60">
        <f>IF(C396="","",IF(D396="Gagné","",IF(D396="Perdu",IF(AND(AX396&lt;&gt;"",AX396&lt;=TODAY()),"À recontacter (perdu)",""),IF(AND(O396&gt;='Paramètres'!$B$21,P396=0),"Stop : "&amp;'Paramètres'!$B$21&amp;" tentatives sans réponse",IF(AND(D396="Proposition",AR396&lt;&gt;"",TODAY()&gt;N(AR396)),"Proposition expirée",IF(AND(D396="Proposition",N(R396)&gt;='Paramètres'!$B$25),"Proposition sans réponse",IF(AND(G396&lt;&gt;"",N(G396)&lt;TODAY()),"Relance en retard",IF(N(R396)&gt;='Paramètres'!$B$24,"Sans action depuis "&amp;R396&amp;" j",""))))))))</f>
        <v/>
      </c>
      <c r="G396" s="106">
        <f>IF(OR(C396="",D396="Gagné",D396="Perdu"),"",IF(AND(BP396&gt;0,BP396=BQ396),INDEX('Saisie'!$J$5:$J$2004,BP396-4),IF(OR(O396=0,AND(O396&gt;='Paramètres'!$B$21,P396=0)),"",Q396+IF(O396&lt;=1,'Paramètres'!$B$18,IF(O396=2,'Paramètres'!$B$19,'Paramètres'!$B$20)))))</f>
        <v/>
      </c>
      <c r="H396" s="107">
        <f>IF(OR(G396="",BP396&lt;&gt;BQ396),"",IF(INDEX('Saisie'!$K$5:$K$2004,BP396-4)="","",INDEX('Saisie'!$K$5:$K$2004,BP396-4)))</f>
        <v/>
      </c>
      <c r="I396" s="60">
        <f>IF(C396="","",IF(OR(D396="Gagné",D396="Perdu"),"",IFERROR(INDEX('Saisie'!$I$5:$I$2004,_xlfn.MAXIFS('Saisie'!$AS$5:$AS$2004,'Saisie'!$C$5:$C$2004,C396,'Saisie'!$I$5:$I$2004,"&lt;&gt;")-4),"")))</f>
        <v/>
      </c>
      <c r="J396" s="60">
        <f>IF(C396="","",IFERROR(INDEX('Saisie'!$U$5:$U$2004,_xlfn.MAXIFS('Saisie'!$AS$5:$AS$2004,'Saisie'!$C$5:$C$2004,C396,'Saisie'!$U$5:$U$2004,"&lt;&gt;")-4),""))</f>
        <v/>
      </c>
      <c r="K396" s="60">
        <f>IF(C396="","",IFERROR(INDEX('Saisie'!$W$5:$W$2004,_xlfn.MAXIFS('Saisie'!$AS$5:$AS$2004,'Saisie'!$C$5:$C$2004,C396,'Saisie'!$W$5:$W$2004,"&lt;&gt;")-4),""))</f>
        <v/>
      </c>
      <c r="L396" s="60">
        <f>IF(IF(BB396&lt;&gt;"",BB396,K396)="","",HYPERLINK("https://wa.me/"&amp;IF(LEFT(SUBSTITUTE(SUBSTITUTE(SUBSTITUTE(IF(BB396&lt;&gt;"",BB396,K396)," ",""),".",""),"+",""),1)="0",'Paramètres'!$B$35&amp;MID(SUBSTITUTE(SUBSTITUTE(SUBSTITUTE(IF(BB396&lt;&gt;"",BB396,K396)," ",""),".",""),"+",""),2,20),SUBSTITUTE(SUBSTITUTE(SUBSTITUTE(IF(BB396&lt;&gt;"",BB396,K396)," ",""),".",""),"+","")),"WhatsApp"))</f>
        <v/>
      </c>
      <c r="M396" s="60">
        <f>IF(BC396="","",HYPERLINK(IF(LEFT(BC396,4)="http",BC396,"https://www.instagram.com/"&amp;SUBSTITUTE(SUBSTITUTE(BC396,"@","")," ","")),BC396))</f>
        <v/>
      </c>
      <c r="N396" s="60">
        <f>IF(C396="","",IFERROR(INDEX('Saisie'!$D$5:$D$2004,_xlfn.MINIFS('Saisie'!$AS$5:$AS$2004,'Saisie'!$C$5:$C$2004,C396,'Saisie'!$AU$5:$AU$2004,1)-4),IFERROR(INDEX('Saisie'!$D$5:$D$2004,_xlfn.MINIFS('Saisie'!$AS$5:$AS$2004,'Saisie'!$C$5:$C$2004,C396,'Saisie'!$D$5:$D$2004,"&lt;&gt;")-4),"")))</f>
        <v/>
      </c>
      <c r="O396" s="60">
        <f>IF(C396="","",COUNTIFS('Saisie'!$C$5:$C$2004,C396,'Saisie'!$AU$5:$AU$2004,1))</f>
        <v/>
      </c>
      <c r="P396" s="60">
        <f>IF(C396="","",COUNTIFS('Saisie'!$C$5:$C$2004,C396,'Saisie'!$AV$5:$AV$2004,1))</f>
        <v/>
      </c>
      <c r="Q396" s="106">
        <f>IF(C396="","",IFERROR(1/(1/_xlfn.MAXIFS('Saisie'!$A$5:$A$2004,'Saisie'!$C$5:$C$2004,C396)),""))</f>
        <v/>
      </c>
      <c r="R396" s="61">
        <f>IF(C396="","",IF(Q396="","",TODAY()-Q396))</f>
        <v/>
      </c>
      <c r="S396" s="60">
        <f>IF(C396="","",IFERROR(INDEX('Saisie'!$R$5:$R$2004,_xlfn.MAXIFS('Saisie'!$AS$5:$AS$2004,'Saisie'!$C$5:$C$2004,C396,'Saisie'!$R$5:$R$2004,"&lt;&gt;")-4),""))</f>
        <v/>
      </c>
      <c r="T396" s="60">
        <f>IF(C396="","",IFERROR(INDEX('Saisie'!$S$5:$S$2004,_xlfn.MAXIFS('Saisie'!$AS$5:$AS$2004,'Saisie'!$C$5:$C$2004,C396,'Saisie'!$S$5:$S$2004,"&lt;&gt;")-4),""))</f>
        <v/>
      </c>
      <c r="U396" s="60">
        <f>IF(C396="","",IFERROR(INDEX('Saisie'!$T$5:$T$2004,_xlfn.MAXIFS('Saisie'!$AS$5:$AS$2004,'Saisie'!$C$5:$C$2004,C396,'Saisie'!$T$5:$T$2004,"&lt;&gt;")-4),""))</f>
        <v/>
      </c>
      <c r="V396" s="60">
        <f>IF(C396="","",IFERROR(INDEX('Saisie'!$V$5:$V$2004,_xlfn.MAXIFS('Saisie'!$AS$5:$AS$2004,'Saisie'!$C$5:$C$2004,C396,'Saisie'!$V$5:$V$2004,"&lt;&gt;")-4),""))</f>
        <v/>
      </c>
      <c r="W396" s="60">
        <f>IF(C396="","",IFERROR(INDEX('Saisie'!$Z$5:$Z$2004,_xlfn.MAXIFS('Saisie'!$AS$5:$AS$2004,'Saisie'!$C$5:$C$2004,C396,'Saisie'!$Z$5:$Z$2004,"&lt;&gt;")-4),""))</f>
        <v/>
      </c>
      <c r="X396" s="60">
        <f>IF(C396="","",IFERROR(INDEX('Saisie'!$AA$5:$AA$2004,_xlfn.MAXIFS('Saisie'!$AS$5:$AS$2004,'Saisie'!$C$5:$C$2004,C396,'Saisie'!$AA$5:$AA$2004,"&lt;&gt;")-4),""))</f>
        <v/>
      </c>
      <c r="Y396" s="60">
        <f>IF(C396="","",IFERROR(INDEX('Saisie'!$AB$5:$AB$2004,_xlfn.MAXIFS('Saisie'!$AS$5:$AS$2004,'Saisie'!$C$5:$C$2004,C396,'Saisie'!$AB$5:$AB$2004,"&lt;&gt;")-4),""))</f>
        <v/>
      </c>
      <c r="Z396" s="60">
        <f>IF(C396="","",IFERROR(INDEX('Saisie'!$AC$5:$AC$2004,_xlfn.MAXIFS('Saisie'!$AS$5:$AS$2004,'Saisie'!$C$5:$C$2004,C396,'Saisie'!$AC$5:$AC$2004,"&lt;&gt;")-4),""))</f>
        <v/>
      </c>
      <c r="AA396" s="106">
        <f>IF(C396="","",IFERROR(INDEX('Saisie'!$AD$5:$AD$2004,_xlfn.MAXIFS('Saisie'!$AS$5:$AS$2004,'Saisie'!$C$5:$C$2004,C396,'Saisie'!$AD$5:$AD$2004,"&lt;&gt;")-4),""))</f>
        <v/>
      </c>
      <c r="AB396" s="60">
        <f>IF(C396="","",IFERROR(INDEX('Saisie'!$AE$5:$AE$2004,_xlfn.MAXIFS('Saisie'!$AS$5:$AS$2004,'Saisie'!$C$5:$C$2004,C396,'Saisie'!$AE$5:$AE$2004,"&lt;&gt;")-4),""))</f>
        <v/>
      </c>
      <c r="AC396" s="60">
        <f>IF(C396="","",IFERROR(INDEX('Saisie'!$AF$5:$AF$2004,_xlfn.MAXIFS('Saisie'!$AS$5:$AS$2004,'Saisie'!$C$5:$C$2004,C396,'Saisie'!$AF$5:$AF$2004,"&lt;&gt;")-4),""))</f>
        <v/>
      </c>
      <c r="AD396" s="108">
        <f>IF(C396="","",IFERROR(INDEX('Saisie'!$AG$5:$AG$2004,_xlfn.MAXIFS('Saisie'!$AS$5:$AS$2004,'Saisie'!$C$5:$C$2004,C396,'Saisie'!$AG$5:$AG$2004,"&lt;&gt;")-4),""))</f>
        <v/>
      </c>
      <c r="AE396" s="60">
        <f>IF(C396="","",IFERROR(INDEX('Saisie'!$AH$5:$AH$2004,_xlfn.MAXIFS('Saisie'!$AS$5:$AS$2004,'Saisie'!$C$5:$C$2004,C396,'Saisie'!$AH$5:$AH$2004,"&lt;&gt;")-4),""))</f>
        <v/>
      </c>
      <c r="AF396" s="60">
        <f>IF(C396="","",IFERROR(INDEX('Saisie'!$AI$5:$AI$2004,_xlfn.MAXIFS('Saisie'!$AS$5:$AS$2004,'Saisie'!$C$5:$C$2004,C396,'Saisie'!$AI$5:$AI$2004,"&lt;&gt;")-4),""))</f>
        <v/>
      </c>
      <c r="AG396" s="60">
        <f>IF(C396="","",IFERROR(INDEX('Saisie'!$AJ$5:$AJ$2004,_xlfn.MAXIFS('Saisie'!$AS$5:$AS$2004,'Saisie'!$C$5:$C$2004,C396,'Saisie'!$AJ$5:$AJ$2004,"&lt;&gt;")-4),""))</f>
        <v/>
      </c>
      <c r="AH396" s="60">
        <f>IF(C396="","",IFERROR(INDEX('Saisie'!$AK$5:$AK$2004,_xlfn.MAXIFS('Saisie'!$AS$5:$AS$2004,'Saisie'!$C$5:$C$2004,C396,'Saisie'!$AK$5:$AK$2004,"&lt;&gt;")-4),""))</f>
        <v/>
      </c>
      <c r="AI396" s="60">
        <f>IF(C396="","",IFERROR(INDEX('Saisie'!$AN$5:$AN$2004,_xlfn.MAXIFS('Saisie'!$AS$5:$AS$2004,'Saisie'!$C$5:$C$2004,C396,'Saisie'!$AN$5:$AN$2004,"&lt;&gt;")-4),""))</f>
        <v/>
      </c>
      <c r="AJ396" s="60">
        <f>IF(C396="","",IFERROR(INDEX('Saisie'!$AO$5:$AO$2004,_xlfn.MAXIFS('Saisie'!$AS$5:$AS$2004,'Saisie'!$C$5:$C$2004,C396,'Saisie'!$AO$5:$AO$2004,"&lt;&gt;")-4),""))</f>
        <v/>
      </c>
      <c r="AK396" s="60">
        <f>IF(C396="","",IFERROR(INDEX('Saisie'!$AP$5:$AP$2004,_xlfn.MAXIFS('Saisie'!$AS$5:$AS$2004,'Saisie'!$C$5:$C$2004,C396,'Saisie'!$AP$5:$AP$2004,"&lt;&gt;")-4),""))</f>
        <v/>
      </c>
      <c r="AL396" s="60">
        <f>IF(C396="","",IFERROR(INDEX('Saisie'!$AQ$5:$AQ$2004,_xlfn.MAXIFS('Saisie'!$AS$5:$AS$2004,'Saisie'!$C$5:$C$2004,C396,'Saisie'!$AQ$5:$AQ$2004,"&lt;&gt;")-4),""))</f>
        <v/>
      </c>
      <c r="AM396" s="60">
        <f>IF(C396="","",((AI396="Oui")+(AJ396="Oui")+(AK396="Oui")+OR(AL396="Immédiat",AL396="&lt; 1 mois"))&amp;"/4")</f>
        <v/>
      </c>
      <c r="AN396" s="60">
        <f>IF(C396="","",IFERROR(INDEX('Saisie'!$AL$5:$AL$2004,_xlfn.MAXIFS('Saisie'!$AS$5:$AS$2004,'Saisie'!$C$5:$C$2004,C396,'Saisie'!$AL$5:$AL$2004,"&lt;&gt;")-4),""))</f>
        <v/>
      </c>
      <c r="AO396" s="62">
        <f>IF(C396="","",IF(IFERROR(INDEX('Saisie'!$AM$5:$AM$2004,_xlfn.MAXIFS('Saisie'!$AS$5:$AS$2004,'Saisie'!$C$5:$C$2004,C396,'Saisie'!$AM$5:$AM$2004,"&lt;&gt;")-4),"")&lt;&gt;"",IFERROR(INDEX('Saisie'!$AM$5:$AM$2004,_xlfn.MAXIFS('Saisie'!$AS$5:$AS$2004,'Saisie'!$C$5:$C$2004,C396,'Saisie'!$AM$5:$AM$2004,"&lt;&gt;")-4),""),IFERROR(INDEX('Paramètres'!$S$6:$S$15,MATCH(AN396,'Paramètres'!$Q$6:$Q$15,0)),"")))</f>
        <v/>
      </c>
      <c r="AP396" s="62">
        <f>IF(C396="","",IFERROR(INDEX('Saisie'!$AW$5:$AW$2004,_xlfn.MAXIFS('Saisie'!$AS$5:$AS$2004,'Saisie'!$C$5:$C$2004,C396,'Saisie'!$E$5:$E$2004,"Proposition envoyée")-4),""))</f>
        <v/>
      </c>
      <c r="AQ396" s="106">
        <f>IF(C396="","",IFERROR(1/(1/_xlfn.MAXIFS('Saisie'!$A$5:$A$2004,'Saisie'!$C$5:$C$2004,C396,'Saisie'!$E$5:$E$2004,"Proposition envoyée")),""))</f>
        <v/>
      </c>
      <c r="AR396" s="106">
        <f>IF(C396="","",IF(AQ396="","",AQ396+'Paramètres'!$B$26))</f>
        <v/>
      </c>
      <c r="AS396" s="62">
        <f>IF(OR(C396="",D396="Gagné",D396="Perdu"),0,N(AP396)*IFERROR(INDEX('Paramètres'!$G$6:$G$13,MATCH(D396,'Paramètres'!$F$6:$F$13,0)),0))</f>
        <v/>
      </c>
      <c r="AT396" s="106">
        <f>IF(C396="","",IFERROR(1/(1/_xlfn.MINIFS('Saisie'!$A$5:$A$2004,'Saisie'!$C$5:$C$2004,C396,'Saisie'!$E$5:$E$2004,"Signature")),""))</f>
        <v/>
      </c>
      <c r="AU396" s="60">
        <f>IF(C396="","",IF(OR(AT396="",B396=""),"",AT396-B396))</f>
        <v/>
      </c>
      <c r="AV396" s="60">
        <f>IF(C396="","",IFERROR(INDEX('Saisie'!$L$5:$L$2004,_xlfn.MAXIFS('Saisie'!$AS$5:$AS$2004,'Saisie'!$C$5:$C$2004,C396,'Saisie'!$L$5:$L$2004,"&lt;&gt;")-4),""))</f>
        <v/>
      </c>
      <c r="AW396" s="106">
        <f>IF(C396="","",IF(D396&lt;&gt;"Perdu","",IFERROR(1/(1/_xlfn.MAXIFS('Saisie'!$A$5:$A$2004,'Saisie'!$C$5:$C$2004,C396,'Saisie'!$E$5:$E$2004,"Perdu")),"")))</f>
        <v/>
      </c>
      <c r="AX396" s="106">
        <f>IF(C396="","",IF(AW396="","",AW396+'Paramètres'!$B$28))</f>
        <v/>
      </c>
      <c r="AY396" s="60">
        <f>IF(C396="","",SUMIFS('Saisie'!$H$5:$H$2004,'Saisie'!$C$5:$C$2004,C396))</f>
        <v/>
      </c>
      <c r="AZ396" s="60">
        <f>IF(C396="","",IFERROR(INDEX('Paramètres'!$W$6:$W$20,MATCH(S396,'Paramètres'!$V$6:$V$20,0))&amp;"",""))</f>
        <v/>
      </c>
      <c r="BA396" s="60">
        <f>IF(C396="","",MAX(1,_xlfn.MAXIFS('Saisie'!$AT$5:$AT$2004,'Saisie'!$C$5:$C$2004,C396)))</f>
        <v/>
      </c>
      <c r="BB396" s="60">
        <f>IF(C396="","",IFERROR(INDEX('Saisie'!$X$5:$X$2004,_xlfn.MAXIFS('Saisie'!$AS$5:$AS$2004,'Saisie'!$C$5:$C$2004,C396,'Saisie'!$X$5:$X$2004,"&lt;&gt;")-4),""))</f>
        <v/>
      </c>
      <c r="BC396" s="60">
        <f>IF(C396="","",IFERROR(INDEX('Saisie'!$Y$5:$Y$2004,_xlfn.MAXIFS('Saisie'!$AS$5:$AS$2004,'Saisie'!$C$5:$C$2004,C396,'Saisie'!$Y$5:$Y$2004,"&lt;&gt;")-4),""))</f>
        <v/>
      </c>
      <c r="BD396" s="106">
        <f>IF(C396="","",IFERROR(1/(1/_xlfn.MINIFS('Saisie'!$A$5:$A$2004,'Saisie'!$C$5:$C$2004,C396,'Saisie'!$AT$5:$AT$2004,"&gt;=2")),""))</f>
        <v/>
      </c>
      <c r="BE396" s="106">
        <f>IF(C396="","",IFERROR(1/(1/_xlfn.MINIFS('Saisie'!$A$5:$A$2004,'Saisie'!$C$5:$C$2004,C396,'Saisie'!$AT$5:$AT$2004,"&gt;=3")),""))</f>
        <v/>
      </c>
      <c r="BF396" s="106">
        <f>IF(C396="","",IFERROR(1/(1/_xlfn.MINIFS('Saisie'!$A$5:$A$2004,'Saisie'!$C$5:$C$2004,C396,'Saisie'!$AT$5:$AT$2004,"&gt;=4")),""))</f>
        <v/>
      </c>
      <c r="BG396" s="106">
        <f>IF(C396="","",IFERROR(1/(1/_xlfn.MINIFS('Saisie'!$A$5:$A$2004,'Saisie'!$C$5:$C$2004,C396,'Saisie'!$AT$5:$AT$2004,"&gt;=5")),""))</f>
        <v/>
      </c>
      <c r="BH396" s="106">
        <f>IF(C396="","",IFERROR(1/(1/_xlfn.MINIFS('Saisie'!$A$5:$A$2004,'Saisie'!$C$5:$C$2004,C396,'Saisie'!$AT$5:$AT$2004,"&gt;=6")),""))</f>
        <v/>
      </c>
      <c r="BI396" s="106">
        <f>IF(C396="","",IFERROR(1/(1/_xlfn.MINIFS('Saisie'!$A$5:$A$2004,'Saisie'!$C$5:$C$2004,C396,'Saisie'!$AT$5:$AT$2004,"&gt;=7")),""))</f>
        <v/>
      </c>
      <c r="BJ396" s="60">
        <f>IF(OR(BD396="",B396=""),"",BD396-B396)</f>
        <v/>
      </c>
      <c r="BK396" s="60">
        <f>IF(OR(BE396="",BD396=""),"",BE396-BD396)</f>
        <v/>
      </c>
      <c r="BL396" s="60">
        <f>IF(OR(BF396="",BE396=""),"",BF396-BE396)</f>
        <v/>
      </c>
      <c r="BM396" s="60">
        <f>IF(OR(BG396="",BF396=""),"",BG396-BF396)</f>
        <v/>
      </c>
      <c r="BN396" s="60">
        <f>IF(OR(BH396="",BG396=""),"",BH396-BG396)</f>
        <v/>
      </c>
      <c r="BO396" s="60">
        <f>IF(OR(BI396="",BH396=""),"",BI396-BH396)</f>
        <v/>
      </c>
      <c r="BP396" s="60">
        <f>IF(C396="","",_xlfn.MAXIFS('Saisie'!$AS$5:$AS$2004,'Saisie'!$C$5:$C$2004,C396,'Saisie'!$J$5:$J$2004,"&lt;&gt;"))</f>
        <v/>
      </c>
      <c r="BQ396" s="60">
        <f>IF(C396="","",_xlfn.MAXIFS('Saisie'!$AS$5:$AS$2004,'Saisie'!$C$5:$C$2004,C396))</f>
        <v/>
      </c>
      <c r="BR396" s="60">
        <f>IF(C396="","",_xlfn.MAXIFS('Saisie'!$AS$5:$AS$2004,'Saisie'!$C$5:$C$2004,C396,'Saisie'!$E$5:$E$2004,"Perdu"))</f>
        <v/>
      </c>
      <c r="BS396" s="60">
        <f>IF(C396="","",_xlfn.MAXIFS('Saisie'!$AS$5:$AS$2004,'Saisie'!$C$5:$C$2004,C396,'Saisie'!$AT$5:$AT$2004,"&gt;0"))</f>
        <v/>
      </c>
      <c r="BT396" s="109">
        <f>IF(AND(C396&lt;&gt;"",OR(D396="Nouveau",D396="Contacté",D396="Qualifié"),OR(G396="",N(G396)&lt;=TODAY()),NOT(AND(O396&gt;='Paramètres'!$B$21,P396=0))),E396+392/10000,"")</f>
        <v/>
      </c>
      <c r="BU396" s="60">
        <f>IF(AND(G396&lt;&gt;"",N(G396)&lt;=TODAY()),MAX($BU$4:BU395)+1,"")</f>
        <v/>
      </c>
      <c r="BV396" s="60">
        <f>IF(AND(F396&lt;&gt;"",F396&lt;&gt;"Relance en retard"),MAX($BV$4:BV395)+1,"")</f>
        <v/>
      </c>
      <c r="BW396" s="60">
        <f>IF(C396="","",IF(AND(B396&gt;='Tableau de bord'!$R$4,B396&lt;='Tableau de bord'!$S$4,OR('Tableau de bord'!$G$4="Tous",N396='Tableau de bord'!$G$4)),1,0))</f>
        <v/>
      </c>
      <c r="BX396" s="60">
        <f>IF(AND(C396&lt;&gt;"",N(BA396)=7),MAX($BX$4:BX395)+1,"")</f>
        <v/>
      </c>
    </row>
    <row r="397">
      <c r="A397" s="60">
        <f>IF(C397="","","P-"&amp;TEXT(393,"000"))</f>
        <v/>
      </c>
      <c r="B397" s="106">
        <f>IF(C397="","",IFERROR(1/(1/_xlfn.MINIFS('Saisie'!$A$5:$A$2004,'Saisie'!$C$5:$C$2004,C397)),""))</f>
        <v/>
      </c>
      <c r="C397" s="60">
        <f>IFERROR(INDEX('Saisie'!$C$5:$C$2004,MATCH(393,'Saisie'!$AX$5:$AX$2004,0)),"")</f>
        <v/>
      </c>
      <c r="D397" s="60">
        <f>IF(C397="","",IF(AND(BR397&gt;0,BR397&gt;BS397,BA397&lt;7),"Perdu",INDEX('Paramètres'!$F$6:$F$13,BA397)))</f>
        <v/>
      </c>
      <c r="E397" s="61">
        <f>IF(C397="","",MIN(100,(Z397="Oui")*'Paramètres'!$B$38+(AB397="Régulière")*'Paramètres'!$B$39+IF(AND(N(AA397)&gt;0,TODAY()-N(AA397)&lt;=30),'Paramètres'!$B$40,0)+(W397="")*'Paramètres'!$B$41+(AC397="Absente")*'Paramètres'!$B$42+(AC397="Faible")*'Paramètres'!$B$43+IF(AND(N(AD397)&gt;0,N(AD397)&lt;4),'Paramètres'!$B$44,0)+(AF397="Moyenne")*'Paramètres'!$B$45+(AF397="Grande")*'Paramètres'!$B$46+(Y397&lt;&gt;"")*'Paramètres'!$B$47))</f>
        <v/>
      </c>
      <c r="F397" s="60">
        <f>IF(C397="","",IF(D397="Gagné","",IF(D397="Perdu",IF(AND(AX397&lt;&gt;"",AX397&lt;=TODAY()),"À recontacter (perdu)",""),IF(AND(O397&gt;='Paramètres'!$B$21,P397=0),"Stop : "&amp;'Paramètres'!$B$21&amp;" tentatives sans réponse",IF(AND(D397="Proposition",AR397&lt;&gt;"",TODAY()&gt;N(AR397)),"Proposition expirée",IF(AND(D397="Proposition",N(R397)&gt;='Paramètres'!$B$25),"Proposition sans réponse",IF(AND(G397&lt;&gt;"",N(G397)&lt;TODAY()),"Relance en retard",IF(N(R397)&gt;='Paramètres'!$B$24,"Sans action depuis "&amp;R397&amp;" j",""))))))))</f>
        <v/>
      </c>
      <c r="G397" s="106">
        <f>IF(OR(C397="",D397="Gagné",D397="Perdu"),"",IF(AND(BP397&gt;0,BP397=BQ397),INDEX('Saisie'!$J$5:$J$2004,BP397-4),IF(OR(O397=0,AND(O397&gt;='Paramètres'!$B$21,P397=0)),"",Q397+IF(O397&lt;=1,'Paramètres'!$B$18,IF(O397=2,'Paramètres'!$B$19,'Paramètres'!$B$20)))))</f>
        <v/>
      </c>
      <c r="H397" s="107">
        <f>IF(OR(G397="",BP397&lt;&gt;BQ397),"",IF(INDEX('Saisie'!$K$5:$K$2004,BP397-4)="","",INDEX('Saisie'!$K$5:$K$2004,BP397-4)))</f>
        <v/>
      </c>
      <c r="I397" s="60">
        <f>IF(C397="","",IF(OR(D397="Gagné",D397="Perdu"),"",IFERROR(INDEX('Saisie'!$I$5:$I$2004,_xlfn.MAXIFS('Saisie'!$AS$5:$AS$2004,'Saisie'!$C$5:$C$2004,C397,'Saisie'!$I$5:$I$2004,"&lt;&gt;")-4),"")))</f>
        <v/>
      </c>
      <c r="J397" s="60">
        <f>IF(C397="","",IFERROR(INDEX('Saisie'!$U$5:$U$2004,_xlfn.MAXIFS('Saisie'!$AS$5:$AS$2004,'Saisie'!$C$5:$C$2004,C397,'Saisie'!$U$5:$U$2004,"&lt;&gt;")-4),""))</f>
        <v/>
      </c>
      <c r="K397" s="60">
        <f>IF(C397="","",IFERROR(INDEX('Saisie'!$W$5:$W$2004,_xlfn.MAXIFS('Saisie'!$AS$5:$AS$2004,'Saisie'!$C$5:$C$2004,C397,'Saisie'!$W$5:$W$2004,"&lt;&gt;")-4),""))</f>
        <v/>
      </c>
      <c r="L397" s="60">
        <f>IF(IF(BB397&lt;&gt;"",BB397,K397)="","",HYPERLINK("https://wa.me/"&amp;IF(LEFT(SUBSTITUTE(SUBSTITUTE(SUBSTITUTE(IF(BB397&lt;&gt;"",BB397,K397)," ",""),".",""),"+",""),1)="0",'Paramètres'!$B$35&amp;MID(SUBSTITUTE(SUBSTITUTE(SUBSTITUTE(IF(BB397&lt;&gt;"",BB397,K397)," ",""),".",""),"+",""),2,20),SUBSTITUTE(SUBSTITUTE(SUBSTITUTE(IF(BB397&lt;&gt;"",BB397,K397)," ",""),".",""),"+","")),"WhatsApp"))</f>
        <v/>
      </c>
      <c r="M397" s="60">
        <f>IF(BC397="","",HYPERLINK(IF(LEFT(BC397,4)="http",BC397,"https://www.instagram.com/"&amp;SUBSTITUTE(SUBSTITUTE(BC397,"@","")," ","")),BC397))</f>
        <v/>
      </c>
      <c r="N397" s="60">
        <f>IF(C397="","",IFERROR(INDEX('Saisie'!$D$5:$D$2004,_xlfn.MINIFS('Saisie'!$AS$5:$AS$2004,'Saisie'!$C$5:$C$2004,C397,'Saisie'!$AU$5:$AU$2004,1)-4),IFERROR(INDEX('Saisie'!$D$5:$D$2004,_xlfn.MINIFS('Saisie'!$AS$5:$AS$2004,'Saisie'!$C$5:$C$2004,C397,'Saisie'!$D$5:$D$2004,"&lt;&gt;")-4),"")))</f>
        <v/>
      </c>
      <c r="O397" s="60">
        <f>IF(C397="","",COUNTIFS('Saisie'!$C$5:$C$2004,C397,'Saisie'!$AU$5:$AU$2004,1))</f>
        <v/>
      </c>
      <c r="P397" s="60">
        <f>IF(C397="","",COUNTIFS('Saisie'!$C$5:$C$2004,C397,'Saisie'!$AV$5:$AV$2004,1))</f>
        <v/>
      </c>
      <c r="Q397" s="106">
        <f>IF(C397="","",IFERROR(1/(1/_xlfn.MAXIFS('Saisie'!$A$5:$A$2004,'Saisie'!$C$5:$C$2004,C397)),""))</f>
        <v/>
      </c>
      <c r="R397" s="61">
        <f>IF(C397="","",IF(Q397="","",TODAY()-Q397))</f>
        <v/>
      </c>
      <c r="S397" s="60">
        <f>IF(C397="","",IFERROR(INDEX('Saisie'!$R$5:$R$2004,_xlfn.MAXIFS('Saisie'!$AS$5:$AS$2004,'Saisie'!$C$5:$C$2004,C397,'Saisie'!$R$5:$R$2004,"&lt;&gt;")-4),""))</f>
        <v/>
      </c>
      <c r="T397" s="60">
        <f>IF(C397="","",IFERROR(INDEX('Saisie'!$S$5:$S$2004,_xlfn.MAXIFS('Saisie'!$AS$5:$AS$2004,'Saisie'!$C$5:$C$2004,C397,'Saisie'!$S$5:$S$2004,"&lt;&gt;")-4),""))</f>
        <v/>
      </c>
      <c r="U397" s="60">
        <f>IF(C397="","",IFERROR(INDEX('Saisie'!$T$5:$T$2004,_xlfn.MAXIFS('Saisie'!$AS$5:$AS$2004,'Saisie'!$C$5:$C$2004,C397,'Saisie'!$T$5:$T$2004,"&lt;&gt;")-4),""))</f>
        <v/>
      </c>
      <c r="V397" s="60">
        <f>IF(C397="","",IFERROR(INDEX('Saisie'!$V$5:$V$2004,_xlfn.MAXIFS('Saisie'!$AS$5:$AS$2004,'Saisie'!$C$5:$C$2004,C397,'Saisie'!$V$5:$V$2004,"&lt;&gt;")-4),""))</f>
        <v/>
      </c>
      <c r="W397" s="60">
        <f>IF(C397="","",IFERROR(INDEX('Saisie'!$Z$5:$Z$2004,_xlfn.MAXIFS('Saisie'!$AS$5:$AS$2004,'Saisie'!$C$5:$C$2004,C397,'Saisie'!$Z$5:$Z$2004,"&lt;&gt;")-4),""))</f>
        <v/>
      </c>
      <c r="X397" s="60">
        <f>IF(C397="","",IFERROR(INDEX('Saisie'!$AA$5:$AA$2004,_xlfn.MAXIFS('Saisie'!$AS$5:$AS$2004,'Saisie'!$C$5:$C$2004,C397,'Saisie'!$AA$5:$AA$2004,"&lt;&gt;")-4),""))</f>
        <v/>
      </c>
      <c r="Y397" s="60">
        <f>IF(C397="","",IFERROR(INDEX('Saisie'!$AB$5:$AB$2004,_xlfn.MAXIFS('Saisie'!$AS$5:$AS$2004,'Saisie'!$C$5:$C$2004,C397,'Saisie'!$AB$5:$AB$2004,"&lt;&gt;")-4),""))</f>
        <v/>
      </c>
      <c r="Z397" s="60">
        <f>IF(C397="","",IFERROR(INDEX('Saisie'!$AC$5:$AC$2004,_xlfn.MAXIFS('Saisie'!$AS$5:$AS$2004,'Saisie'!$C$5:$C$2004,C397,'Saisie'!$AC$5:$AC$2004,"&lt;&gt;")-4),""))</f>
        <v/>
      </c>
      <c r="AA397" s="106">
        <f>IF(C397="","",IFERROR(INDEX('Saisie'!$AD$5:$AD$2004,_xlfn.MAXIFS('Saisie'!$AS$5:$AS$2004,'Saisie'!$C$5:$C$2004,C397,'Saisie'!$AD$5:$AD$2004,"&lt;&gt;")-4),""))</f>
        <v/>
      </c>
      <c r="AB397" s="60">
        <f>IF(C397="","",IFERROR(INDEX('Saisie'!$AE$5:$AE$2004,_xlfn.MAXIFS('Saisie'!$AS$5:$AS$2004,'Saisie'!$C$5:$C$2004,C397,'Saisie'!$AE$5:$AE$2004,"&lt;&gt;")-4),""))</f>
        <v/>
      </c>
      <c r="AC397" s="60">
        <f>IF(C397="","",IFERROR(INDEX('Saisie'!$AF$5:$AF$2004,_xlfn.MAXIFS('Saisie'!$AS$5:$AS$2004,'Saisie'!$C$5:$C$2004,C397,'Saisie'!$AF$5:$AF$2004,"&lt;&gt;")-4),""))</f>
        <v/>
      </c>
      <c r="AD397" s="108">
        <f>IF(C397="","",IFERROR(INDEX('Saisie'!$AG$5:$AG$2004,_xlfn.MAXIFS('Saisie'!$AS$5:$AS$2004,'Saisie'!$C$5:$C$2004,C397,'Saisie'!$AG$5:$AG$2004,"&lt;&gt;")-4),""))</f>
        <v/>
      </c>
      <c r="AE397" s="60">
        <f>IF(C397="","",IFERROR(INDEX('Saisie'!$AH$5:$AH$2004,_xlfn.MAXIFS('Saisie'!$AS$5:$AS$2004,'Saisie'!$C$5:$C$2004,C397,'Saisie'!$AH$5:$AH$2004,"&lt;&gt;")-4),""))</f>
        <v/>
      </c>
      <c r="AF397" s="60">
        <f>IF(C397="","",IFERROR(INDEX('Saisie'!$AI$5:$AI$2004,_xlfn.MAXIFS('Saisie'!$AS$5:$AS$2004,'Saisie'!$C$5:$C$2004,C397,'Saisie'!$AI$5:$AI$2004,"&lt;&gt;")-4),""))</f>
        <v/>
      </c>
      <c r="AG397" s="60">
        <f>IF(C397="","",IFERROR(INDEX('Saisie'!$AJ$5:$AJ$2004,_xlfn.MAXIFS('Saisie'!$AS$5:$AS$2004,'Saisie'!$C$5:$C$2004,C397,'Saisie'!$AJ$5:$AJ$2004,"&lt;&gt;")-4),""))</f>
        <v/>
      </c>
      <c r="AH397" s="60">
        <f>IF(C397="","",IFERROR(INDEX('Saisie'!$AK$5:$AK$2004,_xlfn.MAXIFS('Saisie'!$AS$5:$AS$2004,'Saisie'!$C$5:$C$2004,C397,'Saisie'!$AK$5:$AK$2004,"&lt;&gt;")-4),""))</f>
        <v/>
      </c>
      <c r="AI397" s="60">
        <f>IF(C397="","",IFERROR(INDEX('Saisie'!$AN$5:$AN$2004,_xlfn.MAXIFS('Saisie'!$AS$5:$AS$2004,'Saisie'!$C$5:$C$2004,C397,'Saisie'!$AN$5:$AN$2004,"&lt;&gt;")-4),""))</f>
        <v/>
      </c>
      <c r="AJ397" s="60">
        <f>IF(C397="","",IFERROR(INDEX('Saisie'!$AO$5:$AO$2004,_xlfn.MAXIFS('Saisie'!$AS$5:$AS$2004,'Saisie'!$C$5:$C$2004,C397,'Saisie'!$AO$5:$AO$2004,"&lt;&gt;")-4),""))</f>
        <v/>
      </c>
      <c r="AK397" s="60">
        <f>IF(C397="","",IFERROR(INDEX('Saisie'!$AP$5:$AP$2004,_xlfn.MAXIFS('Saisie'!$AS$5:$AS$2004,'Saisie'!$C$5:$C$2004,C397,'Saisie'!$AP$5:$AP$2004,"&lt;&gt;")-4),""))</f>
        <v/>
      </c>
      <c r="AL397" s="60">
        <f>IF(C397="","",IFERROR(INDEX('Saisie'!$AQ$5:$AQ$2004,_xlfn.MAXIFS('Saisie'!$AS$5:$AS$2004,'Saisie'!$C$5:$C$2004,C397,'Saisie'!$AQ$5:$AQ$2004,"&lt;&gt;")-4),""))</f>
        <v/>
      </c>
      <c r="AM397" s="60">
        <f>IF(C397="","",((AI397="Oui")+(AJ397="Oui")+(AK397="Oui")+OR(AL397="Immédiat",AL397="&lt; 1 mois"))&amp;"/4")</f>
        <v/>
      </c>
      <c r="AN397" s="60">
        <f>IF(C397="","",IFERROR(INDEX('Saisie'!$AL$5:$AL$2004,_xlfn.MAXIFS('Saisie'!$AS$5:$AS$2004,'Saisie'!$C$5:$C$2004,C397,'Saisie'!$AL$5:$AL$2004,"&lt;&gt;")-4),""))</f>
        <v/>
      </c>
      <c r="AO397" s="62">
        <f>IF(C397="","",IF(IFERROR(INDEX('Saisie'!$AM$5:$AM$2004,_xlfn.MAXIFS('Saisie'!$AS$5:$AS$2004,'Saisie'!$C$5:$C$2004,C397,'Saisie'!$AM$5:$AM$2004,"&lt;&gt;")-4),"")&lt;&gt;"",IFERROR(INDEX('Saisie'!$AM$5:$AM$2004,_xlfn.MAXIFS('Saisie'!$AS$5:$AS$2004,'Saisie'!$C$5:$C$2004,C397,'Saisie'!$AM$5:$AM$2004,"&lt;&gt;")-4),""),IFERROR(INDEX('Paramètres'!$S$6:$S$15,MATCH(AN397,'Paramètres'!$Q$6:$Q$15,0)),"")))</f>
        <v/>
      </c>
      <c r="AP397" s="62">
        <f>IF(C397="","",IFERROR(INDEX('Saisie'!$AW$5:$AW$2004,_xlfn.MAXIFS('Saisie'!$AS$5:$AS$2004,'Saisie'!$C$5:$C$2004,C397,'Saisie'!$E$5:$E$2004,"Proposition envoyée")-4),""))</f>
        <v/>
      </c>
      <c r="AQ397" s="106">
        <f>IF(C397="","",IFERROR(1/(1/_xlfn.MAXIFS('Saisie'!$A$5:$A$2004,'Saisie'!$C$5:$C$2004,C397,'Saisie'!$E$5:$E$2004,"Proposition envoyée")),""))</f>
        <v/>
      </c>
      <c r="AR397" s="106">
        <f>IF(C397="","",IF(AQ397="","",AQ397+'Paramètres'!$B$26))</f>
        <v/>
      </c>
      <c r="AS397" s="62">
        <f>IF(OR(C397="",D397="Gagné",D397="Perdu"),0,N(AP397)*IFERROR(INDEX('Paramètres'!$G$6:$G$13,MATCH(D397,'Paramètres'!$F$6:$F$13,0)),0))</f>
        <v/>
      </c>
      <c r="AT397" s="106">
        <f>IF(C397="","",IFERROR(1/(1/_xlfn.MINIFS('Saisie'!$A$5:$A$2004,'Saisie'!$C$5:$C$2004,C397,'Saisie'!$E$5:$E$2004,"Signature")),""))</f>
        <v/>
      </c>
      <c r="AU397" s="60">
        <f>IF(C397="","",IF(OR(AT397="",B397=""),"",AT397-B397))</f>
        <v/>
      </c>
      <c r="AV397" s="60">
        <f>IF(C397="","",IFERROR(INDEX('Saisie'!$L$5:$L$2004,_xlfn.MAXIFS('Saisie'!$AS$5:$AS$2004,'Saisie'!$C$5:$C$2004,C397,'Saisie'!$L$5:$L$2004,"&lt;&gt;")-4),""))</f>
        <v/>
      </c>
      <c r="AW397" s="106">
        <f>IF(C397="","",IF(D397&lt;&gt;"Perdu","",IFERROR(1/(1/_xlfn.MAXIFS('Saisie'!$A$5:$A$2004,'Saisie'!$C$5:$C$2004,C397,'Saisie'!$E$5:$E$2004,"Perdu")),"")))</f>
        <v/>
      </c>
      <c r="AX397" s="106">
        <f>IF(C397="","",IF(AW397="","",AW397+'Paramètres'!$B$28))</f>
        <v/>
      </c>
      <c r="AY397" s="60">
        <f>IF(C397="","",SUMIFS('Saisie'!$H$5:$H$2004,'Saisie'!$C$5:$C$2004,C397))</f>
        <v/>
      </c>
      <c r="AZ397" s="60">
        <f>IF(C397="","",IFERROR(INDEX('Paramètres'!$W$6:$W$20,MATCH(S397,'Paramètres'!$V$6:$V$20,0))&amp;"",""))</f>
        <v/>
      </c>
      <c r="BA397" s="60">
        <f>IF(C397="","",MAX(1,_xlfn.MAXIFS('Saisie'!$AT$5:$AT$2004,'Saisie'!$C$5:$C$2004,C397)))</f>
        <v/>
      </c>
      <c r="BB397" s="60">
        <f>IF(C397="","",IFERROR(INDEX('Saisie'!$X$5:$X$2004,_xlfn.MAXIFS('Saisie'!$AS$5:$AS$2004,'Saisie'!$C$5:$C$2004,C397,'Saisie'!$X$5:$X$2004,"&lt;&gt;")-4),""))</f>
        <v/>
      </c>
      <c r="BC397" s="60">
        <f>IF(C397="","",IFERROR(INDEX('Saisie'!$Y$5:$Y$2004,_xlfn.MAXIFS('Saisie'!$AS$5:$AS$2004,'Saisie'!$C$5:$C$2004,C397,'Saisie'!$Y$5:$Y$2004,"&lt;&gt;")-4),""))</f>
        <v/>
      </c>
      <c r="BD397" s="106">
        <f>IF(C397="","",IFERROR(1/(1/_xlfn.MINIFS('Saisie'!$A$5:$A$2004,'Saisie'!$C$5:$C$2004,C397,'Saisie'!$AT$5:$AT$2004,"&gt;=2")),""))</f>
        <v/>
      </c>
      <c r="BE397" s="106">
        <f>IF(C397="","",IFERROR(1/(1/_xlfn.MINIFS('Saisie'!$A$5:$A$2004,'Saisie'!$C$5:$C$2004,C397,'Saisie'!$AT$5:$AT$2004,"&gt;=3")),""))</f>
        <v/>
      </c>
      <c r="BF397" s="106">
        <f>IF(C397="","",IFERROR(1/(1/_xlfn.MINIFS('Saisie'!$A$5:$A$2004,'Saisie'!$C$5:$C$2004,C397,'Saisie'!$AT$5:$AT$2004,"&gt;=4")),""))</f>
        <v/>
      </c>
      <c r="BG397" s="106">
        <f>IF(C397="","",IFERROR(1/(1/_xlfn.MINIFS('Saisie'!$A$5:$A$2004,'Saisie'!$C$5:$C$2004,C397,'Saisie'!$AT$5:$AT$2004,"&gt;=5")),""))</f>
        <v/>
      </c>
      <c r="BH397" s="106">
        <f>IF(C397="","",IFERROR(1/(1/_xlfn.MINIFS('Saisie'!$A$5:$A$2004,'Saisie'!$C$5:$C$2004,C397,'Saisie'!$AT$5:$AT$2004,"&gt;=6")),""))</f>
        <v/>
      </c>
      <c r="BI397" s="106">
        <f>IF(C397="","",IFERROR(1/(1/_xlfn.MINIFS('Saisie'!$A$5:$A$2004,'Saisie'!$C$5:$C$2004,C397,'Saisie'!$AT$5:$AT$2004,"&gt;=7")),""))</f>
        <v/>
      </c>
      <c r="BJ397" s="60">
        <f>IF(OR(BD397="",B397=""),"",BD397-B397)</f>
        <v/>
      </c>
      <c r="BK397" s="60">
        <f>IF(OR(BE397="",BD397=""),"",BE397-BD397)</f>
        <v/>
      </c>
      <c r="BL397" s="60">
        <f>IF(OR(BF397="",BE397=""),"",BF397-BE397)</f>
        <v/>
      </c>
      <c r="BM397" s="60">
        <f>IF(OR(BG397="",BF397=""),"",BG397-BF397)</f>
        <v/>
      </c>
      <c r="BN397" s="60">
        <f>IF(OR(BH397="",BG397=""),"",BH397-BG397)</f>
        <v/>
      </c>
      <c r="BO397" s="60">
        <f>IF(OR(BI397="",BH397=""),"",BI397-BH397)</f>
        <v/>
      </c>
      <c r="BP397" s="60">
        <f>IF(C397="","",_xlfn.MAXIFS('Saisie'!$AS$5:$AS$2004,'Saisie'!$C$5:$C$2004,C397,'Saisie'!$J$5:$J$2004,"&lt;&gt;"))</f>
        <v/>
      </c>
      <c r="BQ397" s="60">
        <f>IF(C397="","",_xlfn.MAXIFS('Saisie'!$AS$5:$AS$2004,'Saisie'!$C$5:$C$2004,C397))</f>
        <v/>
      </c>
      <c r="BR397" s="60">
        <f>IF(C397="","",_xlfn.MAXIFS('Saisie'!$AS$5:$AS$2004,'Saisie'!$C$5:$C$2004,C397,'Saisie'!$E$5:$E$2004,"Perdu"))</f>
        <v/>
      </c>
      <c r="BS397" s="60">
        <f>IF(C397="","",_xlfn.MAXIFS('Saisie'!$AS$5:$AS$2004,'Saisie'!$C$5:$C$2004,C397,'Saisie'!$AT$5:$AT$2004,"&gt;0"))</f>
        <v/>
      </c>
      <c r="BT397" s="109">
        <f>IF(AND(C397&lt;&gt;"",OR(D397="Nouveau",D397="Contacté",D397="Qualifié"),OR(G397="",N(G397)&lt;=TODAY()),NOT(AND(O397&gt;='Paramètres'!$B$21,P397=0))),E397+393/10000,"")</f>
        <v/>
      </c>
      <c r="BU397" s="60">
        <f>IF(AND(G397&lt;&gt;"",N(G397)&lt;=TODAY()),MAX($BU$4:BU396)+1,"")</f>
        <v/>
      </c>
      <c r="BV397" s="60">
        <f>IF(AND(F397&lt;&gt;"",F397&lt;&gt;"Relance en retard"),MAX($BV$4:BV396)+1,"")</f>
        <v/>
      </c>
      <c r="BW397" s="60">
        <f>IF(C397="","",IF(AND(B397&gt;='Tableau de bord'!$R$4,B397&lt;='Tableau de bord'!$S$4,OR('Tableau de bord'!$G$4="Tous",N397='Tableau de bord'!$G$4)),1,0))</f>
        <v/>
      </c>
      <c r="BX397" s="60">
        <f>IF(AND(C397&lt;&gt;"",N(BA397)=7),MAX($BX$4:BX396)+1,"")</f>
        <v/>
      </c>
    </row>
    <row r="398">
      <c r="A398" s="60">
        <f>IF(C398="","","P-"&amp;TEXT(394,"000"))</f>
        <v/>
      </c>
      <c r="B398" s="106">
        <f>IF(C398="","",IFERROR(1/(1/_xlfn.MINIFS('Saisie'!$A$5:$A$2004,'Saisie'!$C$5:$C$2004,C398)),""))</f>
        <v/>
      </c>
      <c r="C398" s="60">
        <f>IFERROR(INDEX('Saisie'!$C$5:$C$2004,MATCH(394,'Saisie'!$AX$5:$AX$2004,0)),"")</f>
        <v/>
      </c>
      <c r="D398" s="60">
        <f>IF(C398="","",IF(AND(BR398&gt;0,BR398&gt;BS398,BA398&lt;7),"Perdu",INDEX('Paramètres'!$F$6:$F$13,BA398)))</f>
        <v/>
      </c>
      <c r="E398" s="61">
        <f>IF(C398="","",MIN(100,(Z398="Oui")*'Paramètres'!$B$38+(AB398="Régulière")*'Paramètres'!$B$39+IF(AND(N(AA398)&gt;0,TODAY()-N(AA398)&lt;=30),'Paramètres'!$B$40,0)+(W398="")*'Paramètres'!$B$41+(AC398="Absente")*'Paramètres'!$B$42+(AC398="Faible")*'Paramètres'!$B$43+IF(AND(N(AD398)&gt;0,N(AD398)&lt;4),'Paramètres'!$B$44,0)+(AF398="Moyenne")*'Paramètres'!$B$45+(AF398="Grande")*'Paramètres'!$B$46+(Y398&lt;&gt;"")*'Paramètres'!$B$47))</f>
        <v/>
      </c>
      <c r="F398" s="60">
        <f>IF(C398="","",IF(D398="Gagné","",IF(D398="Perdu",IF(AND(AX398&lt;&gt;"",AX398&lt;=TODAY()),"À recontacter (perdu)",""),IF(AND(O398&gt;='Paramètres'!$B$21,P398=0),"Stop : "&amp;'Paramètres'!$B$21&amp;" tentatives sans réponse",IF(AND(D398="Proposition",AR398&lt;&gt;"",TODAY()&gt;N(AR398)),"Proposition expirée",IF(AND(D398="Proposition",N(R398)&gt;='Paramètres'!$B$25),"Proposition sans réponse",IF(AND(G398&lt;&gt;"",N(G398)&lt;TODAY()),"Relance en retard",IF(N(R398)&gt;='Paramètres'!$B$24,"Sans action depuis "&amp;R398&amp;" j",""))))))))</f>
        <v/>
      </c>
      <c r="G398" s="106">
        <f>IF(OR(C398="",D398="Gagné",D398="Perdu"),"",IF(AND(BP398&gt;0,BP398=BQ398),INDEX('Saisie'!$J$5:$J$2004,BP398-4),IF(OR(O398=0,AND(O398&gt;='Paramètres'!$B$21,P398=0)),"",Q398+IF(O398&lt;=1,'Paramètres'!$B$18,IF(O398=2,'Paramètres'!$B$19,'Paramètres'!$B$20)))))</f>
        <v/>
      </c>
      <c r="H398" s="107">
        <f>IF(OR(G398="",BP398&lt;&gt;BQ398),"",IF(INDEX('Saisie'!$K$5:$K$2004,BP398-4)="","",INDEX('Saisie'!$K$5:$K$2004,BP398-4)))</f>
        <v/>
      </c>
      <c r="I398" s="60">
        <f>IF(C398="","",IF(OR(D398="Gagné",D398="Perdu"),"",IFERROR(INDEX('Saisie'!$I$5:$I$2004,_xlfn.MAXIFS('Saisie'!$AS$5:$AS$2004,'Saisie'!$C$5:$C$2004,C398,'Saisie'!$I$5:$I$2004,"&lt;&gt;")-4),"")))</f>
        <v/>
      </c>
      <c r="J398" s="60">
        <f>IF(C398="","",IFERROR(INDEX('Saisie'!$U$5:$U$2004,_xlfn.MAXIFS('Saisie'!$AS$5:$AS$2004,'Saisie'!$C$5:$C$2004,C398,'Saisie'!$U$5:$U$2004,"&lt;&gt;")-4),""))</f>
        <v/>
      </c>
      <c r="K398" s="60">
        <f>IF(C398="","",IFERROR(INDEX('Saisie'!$W$5:$W$2004,_xlfn.MAXIFS('Saisie'!$AS$5:$AS$2004,'Saisie'!$C$5:$C$2004,C398,'Saisie'!$W$5:$W$2004,"&lt;&gt;")-4),""))</f>
        <v/>
      </c>
      <c r="L398" s="60">
        <f>IF(IF(BB398&lt;&gt;"",BB398,K398)="","",HYPERLINK("https://wa.me/"&amp;IF(LEFT(SUBSTITUTE(SUBSTITUTE(SUBSTITUTE(IF(BB398&lt;&gt;"",BB398,K398)," ",""),".",""),"+",""),1)="0",'Paramètres'!$B$35&amp;MID(SUBSTITUTE(SUBSTITUTE(SUBSTITUTE(IF(BB398&lt;&gt;"",BB398,K398)," ",""),".",""),"+",""),2,20),SUBSTITUTE(SUBSTITUTE(SUBSTITUTE(IF(BB398&lt;&gt;"",BB398,K398)," ",""),".",""),"+","")),"WhatsApp"))</f>
        <v/>
      </c>
      <c r="M398" s="60">
        <f>IF(BC398="","",HYPERLINK(IF(LEFT(BC398,4)="http",BC398,"https://www.instagram.com/"&amp;SUBSTITUTE(SUBSTITUTE(BC398,"@","")," ","")),BC398))</f>
        <v/>
      </c>
      <c r="N398" s="60">
        <f>IF(C398="","",IFERROR(INDEX('Saisie'!$D$5:$D$2004,_xlfn.MINIFS('Saisie'!$AS$5:$AS$2004,'Saisie'!$C$5:$C$2004,C398,'Saisie'!$AU$5:$AU$2004,1)-4),IFERROR(INDEX('Saisie'!$D$5:$D$2004,_xlfn.MINIFS('Saisie'!$AS$5:$AS$2004,'Saisie'!$C$5:$C$2004,C398,'Saisie'!$D$5:$D$2004,"&lt;&gt;")-4),"")))</f>
        <v/>
      </c>
      <c r="O398" s="60">
        <f>IF(C398="","",COUNTIFS('Saisie'!$C$5:$C$2004,C398,'Saisie'!$AU$5:$AU$2004,1))</f>
        <v/>
      </c>
      <c r="P398" s="60">
        <f>IF(C398="","",COUNTIFS('Saisie'!$C$5:$C$2004,C398,'Saisie'!$AV$5:$AV$2004,1))</f>
        <v/>
      </c>
      <c r="Q398" s="106">
        <f>IF(C398="","",IFERROR(1/(1/_xlfn.MAXIFS('Saisie'!$A$5:$A$2004,'Saisie'!$C$5:$C$2004,C398)),""))</f>
        <v/>
      </c>
      <c r="R398" s="61">
        <f>IF(C398="","",IF(Q398="","",TODAY()-Q398))</f>
        <v/>
      </c>
      <c r="S398" s="60">
        <f>IF(C398="","",IFERROR(INDEX('Saisie'!$R$5:$R$2004,_xlfn.MAXIFS('Saisie'!$AS$5:$AS$2004,'Saisie'!$C$5:$C$2004,C398,'Saisie'!$R$5:$R$2004,"&lt;&gt;")-4),""))</f>
        <v/>
      </c>
      <c r="T398" s="60">
        <f>IF(C398="","",IFERROR(INDEX('Saisie'!$S$5:$S$2004,_xlfn.MAXIFS('Saisie'!$AS$5:$AS$2004,'Saisie'!$C$5:$C$2004,C398,'Saisie'!$S$5:$S$2004,"&lt;&gt;")-4),""))</f>
        <v/>
      </c>
      <c r="U398" s="60">
        <f>IF(C398="","",IFERROR(INDEX('Saisie'!$T$5:$T$2004,_xlfn.MAXIFS('Saisie'!$AS$5:$AS$2004,'Saisie'!$C$5:$C$2004,C398,'Saisie'!$T$5:$T$2004,"&lt;&gt;")-4),""))</f>
        <v/>
      </c>
      <c r="V398" s="60">
        <f>IF(C398="","",IFERROR(INDEX('Saisie'!$V$5:$V$2004,_xlfn.MAXIFS('Saisie'!$AS$5:$AS$2004,'Saisie'!$C$5:$C$2004,C398,'Saisie'!$V$5:$V$2004,"&lt;&gt;")-4),""))</f>
        <v/>
      </c>
      <c r="W398" s="60">
        <f>IF(C398="","",IFERROR(INDEX('Saisie'!$Z$5:$Z$2004,_xlfn.MAXIFS('Saisie'!$AS$5:$AS$2004,'Saisie'!$C$5:$C$2004,C398,'Saisie'!$Z$5:$Z$2004,"&lt;&gt;")-4),""))</f>
        <v/>
      </c>
      <c r="X398" s="60">
        <f>IF(C398="","",IFERROR(INDEX('Saisie'!$AA$5:$AA$2004,_xlfn.MAXIFS('Saisie'!$AS$5:$AS$2004,'Saisie'!$C$5:$C$2004,C398,'Saisie'!$AA$5:$AA$2004,"&lt;&gt;")-4),""))</f>
        <v/>
      </c>
      <c r="Y398" s="60">
        <f>IF(C398="","",IFERROR(INDEX('Saisie'!$AB$5:$AB$2004,_xlfn.MAXIFS('Saisie'!$AS$5:$AS$2004,'Saisie'!$C$5:$C$2004,C398,'Saisie'!$AB$5:$AB$2004,"&lt;&gt;")-4),""))</f>
        <v/>
      </c>
      <c r="Z398" s="60">
        <f>IF(C398="","",IFERROR(INDEX('Saisie'!$AC$5:$AC$2004,_xlfn.MAXIFS('Saisie'!$AS$5:$AS$2004,'Saisie'!$C$5:$C$2004,C398,'Saisie'!$AC$5:$AC$2004,"&lt;&gt;")-4),""))</f>
        <v/>
      </c>
      <c r="AA398" s="106">
        <f>IF(C398="","",IFERROR(INDEX('Saisie'!$AD$5:$AD$2004,_xlfn.MAXIFS('Saisie'!$AS$5:$AS$2004,'Saisie'!$C$5:$C$2004,C398,'Saisie'!$AD$5:$AD$2004,"&lt;&gt;")-4),""))</f>
        <v/>
      </c>
      <c r="AB398" s="60">
        <f>IF(C398="","",IFERROR(INDEX('Saisie'!$AE$5:$AE$2004,_xlfn.MAXIFS('Saisie'!$AS$5:$AS$2004,'Saisie'!$C$5:$C$2004,C398,'Saisie'!$AE$5:$AE$2004,"&lt;&gt;")-4),""))</f>
        <v/>
      </c>
      <c r="AC398" s="60">
        <f>IF(C398="","",IFERROR(INDEX('Saisie'!$AF$5:$AF$2004,_xlfn.MAXIFS('Saisie'!$AS$5:$AS$2004,'Saisie'!$C$5:$C$2004,C398,'Saisie'!$AF$5:$AF$2004,"&lt;&gt;")-4),""))</f>
        <v/>
      </c>
      <c r="AD398" s="108">
        <f>IF(C398="","",IFERROR(INDEX('Saisie'!$AG$5:$AG$2004,_xlfn.MAXIFS('Saisie'!$AS$5:$AS$2004,'Saisie'!$C$5:$C$2004,C398,'Saisie'!$AG$5:$AG$2004,"&lt;&gt;")-4),""))</f>
        <v/>
      </c>
      <c r="AE398" s="60">
        <f>IF(C398="","",IFERROR(INDEX('Saisie'!$AH$5:$AH$2004,_xlfn.MAXIFS('Saisie'!$AS$5:$AS$2004,'Saisie'!$C$5:$C$2004,C398,'Saisie'!$AH$5:$AH$2004,"&lt;&gt;")-4),""))</f>
        <v/>
      </c>
      <c r="AF398" s="60">
        <f>IF(C398="","",IFERROR(INDEX('Saisie'!$AI$5:$AI$2004,_xlfn.MAXIFS('Saisie'!$AS$5:$AS$2004,'Saisie'!$C$5:$C$2004,C398,'Saisie'!$AI$5:$AI$2004,"&lt;&gt;")-4),""))</f>
        <v/>
      </c>
      <c r="AG398" s="60">
        <f>IF(C398="","",IFERROR(INDEX('Saisie'!$AJ$5:$AJ$2004,_xlfn.MAXIFS('Saisie'!$AS$5:$AS$2004,'Saisie'!$C$5:$C$2004,C398,'Saisie'!$AJ$5:$AJ$2004,"&lt;&gt;")-4),""))</f>
        <v/>
      </c>
      <c r="AH398" s="60">
        <f>IF(C398="","",IFERROR(INDEX('Saisie'!$AK$5:$AK$2004,_xlfn.MAXIFS('Saisie'!$AS$5:$AS$2004,'Saisie'!$C$5:$C$2004,C398,'Saisie'!$AK$5:$AK$2004,"&lt;&gt;")-4),""))</f>
        <v/>
      </c>
      <c r="AI398" s="60">
        <f>IF(C398="","",IFERROR(INDEX('Saisie'!$AN$5:$AN$2004,_xlfn.MAXIFS('Saisie'!$AS$5:$AS$2004,'Saisie'!$C$5:$C$2004,C398,'Saisie'!$AN$5:$AN$2004,"&lt;&gt;")-4),""))</f>
        <v/>
      </c>
      <c r="AJ398" s="60">
        <f>IF(C398="","",IFERROR(INDEX('Saisie'!$AO$5:$AO$2004,_xlfn.MAXIFS('Saisie'!$AS$5:$AS$2004,'Saisie'!$C$5:$C$2004,C398,'Saisie'!$AO$5:$AO$2004,"&lt;&gt;")-4),""))</f>
        <v/>
      </c>
      <c r="AK398" s="60">
        <f>IF(C398="","",IFERROR(INDEX('Saisie'!$AP$5:$AP$2004,_xlfn.MAXIFS('Saisie'!$AS$5:$AS$2004,'Saisie'!$C$5:$C$2004,C398,'Saisie'!$AP$5:$AP$2004,"&lt;&gt;")-4),""))</f>
        <v/>
      </c>
      <c r="AL398" s="60">
        <f>IF(C398="","",IFERROR(INDEX('Saisie'!$AQ$5:$AQ$2004,_xlfn.MAXIFS('Saisie'!$AS$5:$AS$2004,'Saisie'!$C$5:$C$2004,C398,'Saisie'!$AQ$5:$AQ$2004,"&lt;&gt;")-4),""))</f>
        <v/>
      </c>
      <c r="AM398" s="60">
        <f>IF(C398="","",((AI398="Oui")+(AJ398="Oui")+(AK398="Oui")+OR(AL398="Immédiat",AL398="&lt; 1 mois"))&amp;"/4")</f>
        <v/>
      </c>
      <c r="AN398" s="60">
        <f>IF(C398="","",IFERROR(INDEX('Saisie'!$AL$5:$AL$2004,_xlfn.MAXIFS('Saisie'!$AS$5:$AS$2004,'Saisie'!$C$5:$C$2004,C398,'Saisie'!$AL$5:$AL$2004,"&lt;&gt;")-4),""))</f>
        <v/>
      </c>
      <c r="AO398" s="62">
        <f>IF(C398="","",IF(IFERROR(INDEX('Saisie'!$AM$5:$AM$2004,_xlfn.MAXIFS('Saisie'!$AS$5:$AS$2004,'Saisie'!$C$5:$C$2004,C398,'Saisie'!$AM$5:$AM$2004,"&lt;&gt;")-4),"")&lt;&gt;"",IFERROR(INDEX('Saisie'!$AM$5:$AM$2004,_xlfn.MAXIFS('Saisie'!$AS$5:$AS$2004,'Saisie'!$C$5:$C$2004,C398,'Saisie'!$AM$5:$AM$2004,"&lt;&gt;")-4),""),IFERROR(INDEX('Paramètres'!$S$6:$S$15,MATCH(AN398,'Paramètres'!$Q$6:$Q$15,0)),"")))</f>
        <v/>
      </c>
      <c r="AP398" s="62">
        <f>IF(C398="","",IFERROR(INDEX('Saisie'!$AW$5:$AW$2004,_xlfn.MAXIFS('Saisie'!$AS$5:$AS$2004,'Saisie'!$C$5:$C$2004,C398,'Saisie'!$E$5:$E$2004,"Proposition envoyée")-4),""))</f>
        <v/>
      </c>
      <c r="AQ398" s="106">
        <f>IF(C398="","",IFERROR(1/(1/_xlfn.MAXIFS('Saisie'!$A$5:$A$2004,'Saisie'!$C$5:$C$2004,C398,'Saisie'!$E$5:$E$2004,"Proposition envoyée")),""))</f>
        <v/>
      </c>
      <c r="AR398" s="106">
        <f>IF(C398="","",IF(AQ398="","",AQ398+'Paramètres'!$B$26))</f>
        <v/>
      </c>
      <c r="AS398" s="62">
        <f>IF(OR(C398="",D398="Gagné",D398="Perdu"),0,N(AP398)*IFERROR(INDEX('Paramètres'!$G$6:$G$13,MATCH(D398,'Paramètres'!$F$6:$F$13,0)),0))</f>
        <v/>
      </c>
      <c r="AT398" s="106">
        <f>IF(C398="","",IFERROR(1/(1/_xlfn.MINIFS('Saisie'!$A$5:$A$2004,'Saisie'!$C$5:$C$2004,C398,'Saisie'!$E$5:$E$2004,"Signature")),""))</f>
        <v/>
      </c>
      <c r="AU398" s="60">
        <f>IF(C398="","",IF(OR(AT398="",B398=""),"",AT398-B398))</f>
        <v/>
      </c>
      <c r="AV398" s="60">
        <f>IF(C398="","",IFERROR(INDEX('Saisie'!$L$5:$L$2004,_xlfn.MAXIFS('Saisie'!$AS$5:$AS$2004,'Saisie'!$C$5:$C$2004,C398,'Saisie'!$L$5:$L$2004,"&lt;&gt;")-4),""))</f>
        <v/>
      </c>
      <c r="AW398" s="106">
        <f>IF(C398="","",IF(D398&lt;&gt;"Perdu","",IFERROR(1/(1/_xlfn.MAXIFS('Saisie'!$A$5:$A$2004,'Saisie'!$C$5:$C$2004,C398,'Saisie'!$E$5:$E$2004,"Perdu")),"")))</f>
        <v/>
      </c>
      <c r="AX398" s="106">
        <f>IF(C398="","",IF(AW398="","",AW398+'Paramètres'!$B$28))</f>
        <v/>
      </c>
      <c r="AY398" s="60">
        <f>IF(C398="","",SUMIFS('Saisie'!$H$5:$H$2004,'Saisie'!$C$5:$C$2004,C398))</f>
        <v/>
      </c>
      <c r="AZ398" s="60">
        <f>IF(C398="","",IFERROR(INDEX('Paramètres'!$W$6:$W$20,MATCH(S398,'Paramètres'!$V$6:$V$20,0))&amp;"",""))</f>
        <v/>
      </c>
      <c r="BA398" s="60">
        <f>IF(C398="","",MAX(1,_xlfn.MAXIFS('Saisie'!$AT$5:$AT$2004,'Saisie'!$C$5:$C$2004,C398)))</f>
        <v/>
      </c>
      <c r="BB398" s="60">
        <f>IF(C398="","",IFERROR(INDEX('Saisie'!$X$5:$X$2004,_xlfn.MAXIFS('Saisie'!$AS$5:$AS$2004,'Saisie'!$C$5:$C$2004,C398,'Saisie'!$X$5:$X$2004,"&lt;&gt;")-4),""))</f>
        <v/>
      </c>
      <c r="BC398" s="60">
        <f>IF(C398="","",IFERROR(INDEX('Saisie'!$Y$5:$Y$2004,_xlfn.MAXIFS('Saisie'!$AS$5:$AS$2004,'Saisie'!$C$5:$C$2004,C398,'Saisie'!$Y$5:$Y$2004,"&lt;&gt;")-4),""))</f>
        <v/>
      </c>
      <c r="BD398" s="106">
        <f>IF(C398="","",IFERROR(1/(1/_xlfn.MINIFS('Saisie'!$A$5:$A$2004,'Saisie'!$C$5:$C$2004,C398,'Saisie'!$AT$5:$AT$2004,"&gt;=2")),""))</f>
        <v/>
      </c>
      <c r="BE398" s="106">
        <f>IF(C398="","",IFERROR(1/(1/_xlfn.MINIFS('Saisie'!$A$5:$A$2004,'Saisie'!$C$5:$C$2004,C398,'Saisie'!$AT$5:$AT$2004,"&gt;=3")),""))</f>
        <v/>
      </c>
      <c r="BF398" s="106">
        <f>IF(C398="","",IFERROR(1/(1/_xlfn.MINIFS('Saisie'!$A$5:$A$2004,'Saisie'!$C$5:$C$2004,C398,'Saisie'!$AT$5:$AT$2004,"&gt;=4")),""))</f>
        <v/>
      </c>
      <c r="BG398" s="106">
        <f>IF(C398="","",IFERROR(1/(1/_xlfn.MINIFS('Saisie'!$A$5:$A$2004,'Saisie'!$C$5:$C$2004,C398,'Saisie'!$AT$5:$AT$2004,"&gt;=5")),""))</f>
        <v/>
      </c>
      <c r="BH398" s="106">
        <f>IF(C398="","",IFERROR(1/(1/_xlfn.MINIFS('Saisie'!$A$5:$A$2004,'Saisie'!$C$5:$C$2004,C398,'Saisie'!$AT$5:$AT$2004,"&gt;=6")),""))</f>
        <v/>
      </c>
      <c r="BI398" s="106">
        <f>IF(C398="","",IFERROR(1/(1/_xlfn.MINIFS('Saisie'!$A$5:$A$2004,'Saisie'!$C$5:$C$2004,C398,'Saisie'!$AT$5:$AT$2004,"&gt;=7")),""))</f>
        <v/>
      </c>
      <c r="BJ398" s="60">
        <f>IF(OR(BD398="",B398=""),"",BD398-B398)</f>
        <v/>
      </c>
      <c r="BK398" s="60">
        <f>IF(OR(BE398="",BD398=""),"",BE398-BD398)</f>
        <v/>
      </c>
      <c r="BL398" s="60">
        <f>IF(OR(BF398="",BE398=""),"",BF398-BE398)</f>
        <v/>
      </c>
      <c r="BM398" s="60">
        <f>IF(OR(BG398="",BF398=""),"",BG398-BF398)</f>
        <v/>
      </c>
      <c r="BN398" s="60">
        <f>IF(OR(BH398="",BG398=""),"",BH398-BG398)</f>
        <v/>
      </c>
      <c r="BO398" s="60">
        <f>IF(OR(BI398="",BH398=""),"",BI398-BH398)</f>
        <v/>
      </c>
      <c r="BP398" s="60">
        <f>IF(C398="","",_xlfn.MAXIFS('Saisie'!$AS$5:$AS$2004,'Saisie'!$C$5:$C$2004,C398,'Saisie'!$J$5:$J$2004,"&lt;&gt;"))</f>
        <v/>
      </c>
      <c r="BQ398" s="60">
        <f>IF(C398="","",_xlfn.MAXIFS('Saisie'!$AS$5:$AS$2004,'Saisie'!$C$5:$C$2004,C398))</f>
        <v/>
      </c>
      <c r="BR398" s="60">
        <f>IF(C398="","",_xlfn.MAXIFS('Saisie'!$AS$5:$AS$2004,'Saisie'!$C$5:$C$2004,C398,'Saisie'!$E$5:$E$2004,"Perdu"))</f>
        <v/>
      </c>
      <c r="BS398" s="60">
        <f>IF(C398="","",_xlfn.MAXIFS('Saisie'!$AS$5:$AS$2004,'Saisie'!$C$5:$C$2004,C398,'Saisie'!$AT$5:$AT$2004,"&gt;0"))</f>
        <v/>
      </c>
      <c r="BT398" s="109">
        <f>IF(AND(C398&lt;&gt;"",OR(D398="Nouveau",D398="Contacté",D398="Qualifié"),OR(G398="",N(G398)&lt;=TODAY()),NOT(AND(O398&gt;='Paramètres'!$B$21,P398=0))),E398+394/10000,"")</f>
        <v/>
      </c>
      <c r="BU398" s="60">
        <f>IF(AND(G398&lt;&gt;"",N(G398)&lt;=TODAY()),MAX($BU$4:BU397)+1,"")</f>
        <v/>
      </c>
      <c r="BV398" s="60">
        <f>IF(AND(F398&lt;&gt;"",F398&lt;&gt;"Relance en retard"),MAX($BV$4:BV397)+1,"")</f>
        <v/>
      </c>
      <c r="BW398" s="60">
        <f>IF(C398="","",IF(AND(B398&gt;='Tableau de bord'!$R$4,B398&lt;='Tableau de bord'!$S$4,OR('Tableau de bord'!$G$4="Tous",N398='Tableau de bord'!$G$4)),1,0))</f>
        <v/>
      </c>
      <c r="BX398" s="60">
        <f>IF(AND(C398&lt;&gt;"",N(BA398)=7),MAX($BX$4:BX397)+1,"")</f>
        <v/>
      </c>
    </row>
    <row r="399">
      <c r="A399" s="60">
        <f>IF(C399="","","P-"&amp;TEXT(395,"000"))</f>
        <v/>
      </c>
      <c r="B399" s="106">
        <f>IF(C399="","",IFERROR(1/(1/_xlfn.MINIFS('Saisie'!$A$5:$A$2004,'Saisie'!$C$5:$C$2004,C399)),""))</f>
        <v/>
      </c>
      <c r="C399" s="60">
        <f>IFERROR(INDEX('Saisie'!$C$5:$C$2004,MATCH(395,'Saisie'!$AX$5:$AX$2004,0)),"")</f>
        <v/>
      </c>
      <c r="D399" s="60">
        <f>IF(C399="","",IF(AND(BR399&gt;0,BR399&gt;BS399,BA399&lt;7),"Perdu",INDEX('Paramètres'!$F$6:$F$13,BA399)))</f>
        <v/>
      </c>
      <c r="E399" s="61">
        <f>IF(C399="","",MIN(100,(Z399="Oui")*'Paramètres'!$B$38+(AB399="Régulière")*'Paramètres'!$B$39+IF(AND(N(AA399)&gt;0,TODAY()-N(AA399)&lt;=30),'Paramètres'!$B$40,0)+(W399="")*'Paramètres'!$B$41+(AC399="Absente")*'Paramètres'!$B$42+(AC399="Faible")*'Paramètres'!$B$43+IF(AND(N(AD399)&gt;0,N(AD399)&lt;4),'Paramètres'!$B$44,0)+(AF399="Moyenne")*'Paramètres'!$B$45+(AF399="Grande")*'Paramètres'!$B$46+(Y399&lt;&gt;"")*'Paramètres'!$B$47))</f>
        <v/>
      </c>
      <c r="F399" s="60">
        <f>IF(C399="","",IF(D399="Gagné","",IF(D399="Perdu",IF(AND(AX399&lt;&gt;"",AX399&lt;=TODAY()),"À recontacter (perdu)",""),IF(AND(O399&gt;='Paramètres'!$B$21,P399=0),"Stop : "&amp;'Paramètres'!$B$21&amp;" tentatives sans réponse",IF(AND(D399="Proposition",AR399&lt;&gt;"",TODAY()&gt;N(AR399)),"Proposition expirée",IF(AND(D399="Proposition",N(R399)&gt;='Paramètres'!$B$25),"Proposition sans réponse",IF(AND(G399&lt;&gt;"",N(G399)&lt;TODAY()),"Relance en retard",IF(N(R399)&gt;='Paramètres'!$B$24,"Sans action depuis "&amp;R399&amp;" j",""))))))))</f>
        <v/>
      </c>
      <c r="G399" s="106">
        <f>IF(OR(C399="",D399="Gagné",D399="Perdu"),"",IF(AND(BP399&gt;0,BP399=BQ399),INDEX('Saisie'!$J$5:$J$2004,BP399-4),IF(OR(O399=0,AND(O399&gt;='Paramètres'!$B$21,P399=0)),"",Q399+IF(O399&lt;=1,'Paramètres'!$B$18,IF(O399=2,'Paramètres'!$B$19,'Paramètres'!$B$20)))))</f>
        <v/>
      </c>
      <c r="H399" s="107">
        <f>IF(OR(G399="",BP399&lt;&gt;BQ399),"",IF(INDEX('Saisie'!$K$5:$K$2004,BP399-4)="","",INDEX('Saisie'!$K$5:$K$2004,BP399-4)))</f>
        <v/>
      </c>
      <c r="I399" s="60">
        <f>IF(C399="","",IF(OR(D399="Gagné",D399="Perdu"),"",IFERROR(INDEX('Saisie'!$I$5:$I$2004,_xlfn.MAXIFS('Saisie'!$AS$5:$AS$2004,'Saisie'!$C$5:$C$2004,C399,'Saisie'!$I$5:$I$2004,"&lt;&gt;")-4),"")))</f>
        <v/>
      </c>
      <c r="J399" s="60">
        <f>IF(C399="","",IFERROR(INDEX('Saisie'!$U$5:$U$2004,_xlfn.MAXIFS('Saisie'!$AS$5:$AS$2004,'Saisie'!$C$5:$C$2004,C399,'Saisie'!$U$5:$U$2004,"&lt;&gt;")-4),""))</f>
        <v/>
      </c>
      <c r="K399" s="60">
        <f>IF(C399="","",IFERROR(INDEX('Saisie'!$W$5:$W$2004,_xlfn.MAXIFS('Saisie'!$AS$5:$AS$2004,'Saisie'!$C$5:$C$2004,C399,'Saisie'!$W$5:$W$2004,"&lt;&gt;")-4),""))</f>
        <v/>
      </c>
      <c r="L399" s="60">
        <f>IF(IF(BB399&lt;&gt;"",BB399,K399)="","",HYPERLINK("https://wa.me/"&amp;IF(LEFT(SUBSTITUTE(SUBSTITUTE(SUBSTITUTE(IF(BB399&lt;&gt;"",BB399,K399)," ",""),".",""),"+",""),1)="0",'Paramètres'!$B$35&amp;MID(SUBSTITUTE(SUBSTITUTE(SUBSTITUTE(IF(BB399&lt;&gt;"",BB399,K399)," ",""),".",""),"+",""),2,20),SUBSTITUTE(SUBSTITUTE(SUBSTITUTE(IF(BB399&lt;&gt;"",BB399,K399)," ",""),".",""),"+","")),"WhatsApp"))</f>
        <v/>
      </c>
      <c r="M399" s="60">
        <f>IF(BC399="","",HYPERLINK(IF(LEFT(BC399,4)="http",BC399,"https://www.instagram.com/"&amp;SUBSTITUTE(SUBSTITUTE(BC399,"@","")," ","")),BC399))</f>
        <v/>
      </c>
      <c r="N399" s="60">
        <f>IF(C399="","",IFERROR(INDEX('Saisie'!$D$5:$D$2004,_xlfn.MINIFS('Saisie'!$AS$5:$AS$2004,'Saisie'!$C$5:$C$2004,C399,'Saisie'!$AU$5:$AU$2004,1)-4),IFERROR(INDEX('Saisie'!$D$5:$D$2004,_xlfn.MINIFS('Saisie'!$AS$5:$AS$2004,'Saisie'!$C$5:$C$2004,C399,'Saisie'!$D$5:$D$2004,"&lt;&gt;")-4),"")))</f>
        <v/>
      </c>
      <c r="O399" s="60">
        <f>IF(C399="","",COUNTIFS('Saisie'!$C$5:$C$2004,C399,'Saisie'!$AU$5:$AU$2004,1))</f>
        <v/>
      </c>
      <c r="P399" s="60">
        <f>IF(C399="","",COUNTIFS('Saisie'!$C$5:$C$2004,C399,'Saisie'!$AV$5:$AV$2004,1))</f>
        <v/>
      </c>
      <c r="Q399" s="106">
        <f>IF(C399="","",IFERROR(1/(1/_xlfn.MAXIFS('Saisie'!$A$5:$A$2004,'Saisie'!$C$5:$C$2004,C399)),""))</f>
        <v/>
      </c>
      <c r="R399" s="61">
        <f>IF(C399="","",IF(Q399="","",TODAY()-Q399))</f>
        <v/>
      </c>
      <c r="S399" s="60">
        <f>IF(C399="","",IFERROR(INDEX('Saisie'!$R$5:$R$2004,_xlfn.MAXIFS('Saisie'!$AS$5:$AS$2004,'Saisie'!$C$5:$C$2004,C399,'Saisie'!$R$5:$R$2004,"&lt;&gt;")-4),""))</f>
        <v/>
      </c>
      <c r="T399" s="60">
        <f>IF(C399="","",IFERROR(INDEX('Saisie'!$S$5:$S$2004,_xlfn.MAXIFS('Saisie'!$AS$5:$AS$2004,'Saisie'!$C$5:$C$2004,C399,'Saisie'!$S$5:$S$2004,"&lt;&gt;")-4),""))</f>
        <v/>
      </c>
      <c r="U399" s="60">
        <f>IF(C399="","",IFERROR(INDEX('Saisie'!$T$5:$T$2004,_xlfn.MAXIFS('Saisie'!$AS$5:$AS$2004,'Saisie'!$C$5:$C$2004,C399,'Saisie'!$T$5:$T$2004,"&lt;&gt;")-4),""))</f>
        <v/>
      </c>
      <c r="V399" s="60">
        <f>IF(C399="","",IFERROR(INDEX('Saisie'!$V$5:$V$2004,_xlfn.MAXIFS('Saisie'!$AS$5:$AS$2004,'Saisie'!$C$5:$C$2004,C399,'Saisie'!$V$5:$V$2004,"&lt;&gt;")-4),""))</f>
        <v/>
      </c>
      <c r="W399" s="60">
        <f>IF(C399="","",IFERROR(INDEX('Saisie'!$Z$5:$Z$2004,_xlfn.MAXIFS('Saisie'!$AS$5:$AS$2004,'Saisie'!$C$5:$C$2004,C399,'Saisie'!$Z$5:$Z$2004,"&lt;&gt;")-4),""))</f>
        <v/>
      </c>
      <c r="X399" s="60">
        <f>IF(C399="","",IFERROR(INDEX('Saisie'!$AA$5:$AA$2004,_xlfn.MAXIFS('Saisie'!$AS$5:$AS$2004,'Saisie'!$C$5:$C$2004,C399,'Saisie'!$AA$5:$AA$2004,"&lt;&gt;")-4),""))</f>
        <v/>
      </c>
      <c r="Y399" s="60">
        <f>IF(C399="","",IFERROR(INDEX('Saisie'!$AB$5:$AB$2004,_xlfn.MAXIFS('Saisie'!$AS$5:$AS$2004,'Saisie'!$C$5:$C$2004,C399,'Saisie'!$AB$5:$AB$2004,"&lt;&gt;")-4),""))</f>
        <v/>
      </c>
      <c r="Z399" s="60">
        <f>IF(C399="","",IFERROR(INDEX('Saisie'!$AC$5:$AC$2004,_xlfn.MAXIFS('Saisie'!$AS$5:$AS$2004,'Saisie'!$C$5:$C$2004,C399,'Saisie'!$AC$5:$AC$2004,"&lt;&gt;")-4),""))</f>
        <v/>
      </c>
      <c r="AA399" s="106">
        <f>IF(C399="","",IFERROR(INDEX('Saisie'!$AD$5:$AD$2004,_xlfn.MAXIFS('Saisie'!$AS$5:$AS$2004,'Saisie'!$C$5:$C$2004,C399,'Saisie'!$AD$5:$AD$2004,"&lt;&gt;")-4),""))</f>
        <v/>
      </c>
      <c r="AB399" s="60">
        <f>IF(C399="","",IFERROR(INDEX('Saisie'!$AE$5:$AE$2004,_xlfn.MAXIFS('Saisie'!$AS$5:$AS$2004,'Saisie'!$C$5:$C$2004,C399,'Saisie'!$AE$5:$AE$2004,"&lt;&gt;")-4),""))</f>
        <v/>
      </c>
      <c r="AC399" s="60">
        <f>IF(C399="","",IFERROR(INDEX('Saisie'!$AF$5:$AF$2004,_xlfn.MAXIFS('Saisie'!$AS$5:$AS$2004,'Saisie'!$C$5:$C$2004,C399,'Saisie'!$AF$5:$AF$2004,"&lt;&gt;")-4),""))</f>
        <v/>
      </c>
      <c r="AD399" s="108">
        <f>IF(C399="","",IFERROR(INDEX('Saisie'!$AG$5:$AG$2004,_xlfn.MAXIFS('Saisie'!$AS$5:$AS$2004,'Saisie'!$C$5:$C$2004,C399,'Saisie'!$AG$5:$AG$2004,"&lt;&gt;")-4),""))</f>
        <v/>
      </c>
      <c r="AE399" s="60">
        <f>IF(C399="","",IFERROR(INDEX('Saisie'!$AH$5:$AH$2004,_xlfn.MAXIFS('Saisie'!$AS$5:$AS$2004,'Saisie'!$C$5:$C$2004,C399,'Saisie'!$AH$5:$AH$2004,"&lt;&gt;")-4),""))</f>
        <v/>
      </c>
      <c r="AF399" s="60">
        <f>IF(C399="","",IFERROR(INDEX('Saisie'!$AI$5:$AI$2004,_xlfn.MAXIFS('Saisie'!$AS$5:$AS$2004,'Saisie'!$C$5:$C$2004,C399,'Saisie'!$AI$5:$AI$2004,"&lt;&gt;")-4),""))</f>
        <v/>
      </c>
      <c r="AG399" s="60">
        <f>IF(C399="","",IFERROR(INDEX('Saisie'!$AJ$5:$AJ$2004,_xlfn.MAXIFS('Saisie'!$AS$5:$AS$2004,'Saisie'!$C$5:$C$2004,C399,'Saisie'!$AJ$5:$AJ$2004,"&lt;&gt;")-4),""))</f>
        <v/>
      </c>
      <c r="AH399" s="60">
        <f>IF(C399="","",IFERROR(INDEX('Saisie'!$AK$5:$AK$2004,_xlfn.MAXIFS('Saisie'!$AS$5:$AS$2004,'Saisie'!$C$5:$C$2004,C399,'Saisie'!$AK$5:$AK$2004,"&lt;&gt;")-4),""))</f>
        <v/>
      </c>
      <c r="AI399" s="60">
        <f>IF(C399="","",IFERROR(INDEX('Saisie'!$AN$5:$AN$2004,_xlfn.MAXIFS('Saisie'!$AS$5:$AS$2004,'Saisie'!$C$5:$C$2004,C399,'Saisie'!$AN$5:$AN$2004,"&lt;&gt;")-4),""))</f>
        <v/>
      </c>
      <c r="AJ399" s="60">
        <f>IF(C399="","",IFERROR(INDEX('Saisie'!$AO$5:$AO$2004,_xlfn.MAXIFS('Saisie'!$AS$5:$AS$2004,'Saisie'!$C$5:$C$2004,C399,'Saisie'!$AO$5:$AO$2004,"&lt;&gt;")-4),""))</f>
        <v/>
      </c>
      <c r="AK399" s="60">
        <f>IF(C399="","",IFERROR(INDEX('Saisie'!$AP$5:$AP$2004,_xlfn.MAXIFS('Saisie'!$AS$5:$AS$2004,'Saisie'!$C$5:$C$2004,C399,'Saisie'!$AP$5:$AP$2004,"&lt;&gt;")-4),""))</f>
        <v/>
      </c>
      <c r="AL399" s="60">
        <f>IF(C399="","",IFERROR(INDEX('Saisie'!$AQ$5:$AQ$2004,_xlfn.MAXIFS('Saisie'!$AS$5:$AS$2004,'Saisie'!$C$5:$C$2004,C399,'Saisie'!$AQ$5:$AQ$2004,"&lt;&gt;")-4),""))</f>
        <v/>
      </c>
      <c r="AM399" s="60">
        <f>IF(C399="","",((AI399="Oui")+(AJ399="Oui")+(AK399="Oui")+OR(AL399="Immédiat",AL399="&lt; 1 mois"))&amp;"/4")</f>
        <v/>
      </c>
      <c r="AN399" s="60">
        <f>IF(C399="","",IFERROR(INDEX('Saisie'!$AL$5:$AL$2004,_xlfn.MAXIFS('Saisie'!$AS$5:$AS$2004,'Saisie'!$C$5:$C$2004,C399,'Saisie'!$AL$5:$AL$2004,"&lt;&gt;")-4),""))</f>
        <v/>
      </c>
      <c r="AO399" s="62">
        <f>IF(C399="","",IF(IFERROR(INDEX('Saisie'!$AM$5:$AM$2004,_xlfn.MAXIFS('Saisie'!$AS$5:$AS$2004,'Saisie'!$C$5:$C$2004,C399,'Saisie'!$AM$5:$AM$2004,"&lt;&gt;")-4),"")&lt;&gt;"",IFERROR(INDEX('Saisie'!$AM$5:$AM$2004,_xlfn.MAXIFS('Saisie'!$AS$5:$AS$2004,'Saisie'!$C$5:$C$2004,C399,'Saisie'!$AM$5:$AM$2004,"&lt;&gt;")-4),""),IFERROR(INDEX('Paramètres'!$S$6:$S$15,MATCH(AN399,'Paramètres'!$Q$6:$Q$15,0)),"")))</f>
        <v/>
      </c>
      <c r="AP399" s="62">
        <f>IF(C399="","",IFERROR(INDEX('Saisie'!$AW$5:$AW$2004,_xlfn.MAXIFS('Saisie'!$AS$5:$AS$2004,'Saisie'!$C$5:$C$2004,C399,'Saisie'!$E$5:$E$2004,"Proposition envoyée")-4),""))</f>
        <v/>
      </c>
      <c r="AQ399" s="106">
        <f>IF(C399="","",IFERROR(1/(1/_xlfn.MAXIFS('Saisie'!$A$5:$A$2004,'Saisie'!$C$5:$C$2004,C399,'Saisie'!$E$5:$E$2004,"Proposition envoyée")),""))</f>
        <v/>
      </c>
      <c r="AR399" s="106">
        <f>IF(C399="","",IF(AQ399="","",AQ399+'Paramètres'!$B$26))</f>
        <v/>
      </c>
      <c r="AS399" s="62">
        <f>IF(OR(C399="",D399="Gagné",D399="Perdu"),0,N(AP399)*IFERROR(INDEX('Paramètres'!$G$6:$G$13,MATCH(D399,'Paramètres'!$F$6:$F$13,0)),0))</f>
        <v/>
      </c>
      <c r="AT399" s="106">
        <f>IF(C399="","",IFERROR(1/(1/_xlfn.MINIFS('Saisie'!$A$5:$A$2004,'Saisie'!$C$5:$C$2004,C399,'Saisie'!$E$5:$E$2004,"Signature")),""))</f>
        <v/>
      </c>
      <c r="AU399" s="60">
        <f>IF(C399="","",IF(OR(AT399="",B399=""),"",AT399-B399))</f>
        <v/>
      </c>
      <c r="AV399" s="60">
        <f>IF(C399="","",IFERROR(INDEX('Saisie'!$L$5:$L$2004,_xlfn.MAXIFS('Saisie'!$AS$5:$AS$2004,'Saisie'!$C$5:$C$2004,C399,'Saisie'!$L$5:$L$2004,"&lt;&gt;")-4),""))</f>
        <v/>
      </c>
      <c r="AW399" s="106">
        <f>IF(C399="","",IF(D399&lt;&gt;"Perdu","",IFERROR(1/(1/_xlfn.MAXIFS('Saisie'!$A$5:$A$2004,'Saisie'!$C$5:$C$2004,C399,'Saisie'!$E$5:$E$2004,"Perdu")),"")))</f>
        <v/>
      </c>
      <c r="AX399" s="106">
        <f>IF(C399="","",IF(AW399="","",AW399+'Paramètres'!$B$28))</f>
        <v/>
      </c>
      <c r="AY399" s="60">
        <f>IF(C399="","",SUMIFS('Saisie'!$H$5:$H$2004,'Saisie'!$C$5:$C$2004,C399))</f>
        <v/>
      </c>
      <c r="AZ399" s="60">
        <f>IF(C399="","",IFERROR(INDEX('Paramètres'!$W$6:$W$20,MATCH(S399,'Paramètres'!$V$6:$V$20,0))&amp;"",""))</f>
        <v/>
      </c>
      <c r="BA399" s="60">
        <f>IF(C399="","",MAX(1,_xlfn.MAXIFS('Saisie'!$AT$5:$AT$2004,'Saisie'!$C$5:$C$2004,C399)))</f>
        <v/>
      </c>
      <c r="BB399" s="60">
        <f>IF(C399="","",IFERROR(INDEX('Saisie'!$X$5:$X$2004,_xlfn.MAXIFS('Saisie'!$AS$5:$AS$2004,'Saisie'!$C$5:$C$2004,C399,'Saisie'!$X$5:$X$2004,"&lt;&gt;")-4),""))</f>
        <v/>
      </c>
      <c r="BC399" s="60">
        <f>IF(C399="","",IFERROR(INDEX('Saisie'!$Y$5:$Y$2004,_xlfn.MAXIFS('Saisie'!$AS$5:$AS$2004,'Saisie'!$C$5:$C$2004,C399,'Saisie'!$Y$5:$Y$2004,"&lt;&gt;")-4),""))</f>
        <v/>
      </c>
      <c r="BD399" s="106">
        <f>IF(C399="","",IFERROR(1/(1/_xlfn.MINIFS('Saisie'!$A$5:$A$2004,'Saisie'!$C$5:$C$2004,C399,'Saisie'!$AT$5:$AT$2004,"&gt;=2")),""))</f>
        <v/>
      </c>
      <c r="BE399" s="106">
        <f>IF(C399="","",IFERROR(1/(1/_xlfn.MINIFS('Saisie'!$A$5:$A$2004,'Saisie'!$C$5:$C$2004,C399,'Saisie'!$AT$5:$AT$2004,"&gt;=3")),""))</f>
        <v/>
      </c>
      <c r="BF399" s="106">
        <f>IF(C399="","",IFERROR(1/(1/_xlfn.MINIFS('Saisie'!$A$5:$A$2004,'Saisie'!$C$5:$C$2004,C399,'Saisie'!$AT$5:$AT$2004,"&gt;=4")),""))</f>
        <v/>
      </c>
      <c r="BG399" s="106">
        <f>IF(C399="","",IFERROR(1/(1/_xlfn.MINIFS('Saisie'!$A$5:$A$2004,'Saisie'!$C$5:$C$2004,C399,'Saisie'!$AT$5:$AT$2004,"&gt;=5")),""))</f>
        <v/>
      </c>
      <c r="BH399" s="106">
        <f>IF(C399="","",IFERROR(1/(1/_xlfn.MINIFS('Saisie'!$A$5:$A$2004,'Saisie'!$C$5:$C$2004,C399,'Saisie'!$AT$5:$AT$2004,"&gt;=6")),""))</f>
        <v/>
      </c>
      <c r="BI399" s="106">
        <f>IF(C399="","",IFERROR(1/(1/_xlfn.MINIFS('Saisie'!$A$5:$A$2004,'Saisie'!$C$5:$C$2004,C399,'Saisie'!$AT$5:$AT$2004,"&gt;=7")),""))</f>
        <v/>
      </c>
      <c r="BJ399" s="60">
        <f>IF(OR(BD399="",B399=""),"",BD399-B399)</f>
        <v/>
      </c>
      <c r="BK399" s="60">
        <f>IF(OR(BE399="",BD399=""),"",BE399-BD399)</f>
        <v/>
      </c>
      <c r="BL399" s="60">
        <f>IF(OR(BF399="",BE399=""),"",BF399-BE399)</f>
        <v/>
      </c>
      <c r="BM399" s="60">
        <f>IF(OR(BG399="",BF399=""),"",BG399-BF399)</f>
        <v/>
      </c>
      <c r="BN399" s="60">
        <f>IF(OR(BH399="",BG399=""),"",BH399-BG399)</f>
        <v/>
      </c>
      <c r="BO399" s="60">
        <f>IF(OR(BI399="",BH399=""),"",BI399-BH399)</f>
        <v/>
      </c>
      <c r="BP399" s="60">
        <f>IF(C399="","",_xlfn.MAXIFS('Saisie'!$AS$5:$AS$2004,'Saisie'!$C$5:$C$2004,C399,'Saisie'!$J$5:$J$2004,"&lt;&gt;"))</f>
        <v/>
      </c>
      <c r="BQ399" s="60">
        <f>IF(C399="","",_xlfn.MAXIFS('Saisie'!$AS$5:$AS$2004,'Saisie'!$C$5:$C$2004,C399))</f>
        <v/>
      </c>
      <c r="BR399" s="60">
        <f>IF(C399="","",_xlfn.MAXIFS('Saisie'!$AS$5:$AS$2004,'Saisie'!$C$5:$C$2004,C399,'Saisie'!$E$5:$E$2004,"Perdu"))</f>
        <v/>
      </c>
      <c r="BS399" s="60">
        <f>IF(C399="","",_xlfn.MAXIFS('Saisie'!$AS$5:$AS$2004,'Saisie'!$C$5:$C$2004,C399,'Saisie'!$AT$5:$AT$2004,"&gt;0"))</f>
        <v/>
      </c>
      <c r="BT399" s="109">
        <f>IF(AND(C399&lt;&gt;"",OR(D399="Nouveau",D399="Contacté",D399="Qualifié"),OR(G399="",N(G399)&lt;=TODAY()),NOT(AND(O399&gt;='Paramètres'!$B$21,P399=0))),E399+395/10000,"")</f>
        <v/>
      </c>
      <c r="BU399" s="60">
        <f>IF(AND(G399&lt;&gt;"",N(G399)&lt;=TODAY()),MAX($BU$4:BU398)+1,"")</f>
        <v/>
      </c>
      <c r="BV399" s="60">
        <f>IF(AND(F399&lt;&gt;"",F399&lt;&gt;"Relance en retard"),MAX($BV$4:BV398)+1,"")</f>
        <v/>
      </c>
      <c r="BW399" s="60">
        <f>IF(C399="","",IF(AND(B399&gt;='Tableau de bord'!$R$4,B399&lt;='Tableau de bord'!$S$4,OR('Tableau de bord'!$G$4="Tous",N399='Tableau de bord'!$G$4)),1,0))</f>
        <v/>
      </c>
      <c r="BX399" s="60">
        <f>IF(AND(C399&lt;&gt;"",N(BA399)=7),MAX($BX$4:BX398)+1,"")</f>
        <v/>
      </c>
    </row>
    <row r="400">
      <c r="A400" s="60">
        <f>IF(C400="","","P-"&amp;TEXT(396,"000"))</f>
        <v/>
      </c>
      <c r="B400" s="106">
        <f>IF(C400="","",IFERROR(1/(1/_xlfn.MINIFS('Saisie'!$A$5:$A$2004,'Saisie'!$C$5:$C$2004,C400)),""))</f>
        <v/>
      </c>
      <c r="C400" s="60">
        <f>IFERROR(INDEX('Saisie'!$C$5:$C$2004,MATCH(396,'Saisie'!$AX$5:$AX$2004,0)),"")</f>
        <v/>
      </c>
      <c r="D400" s="60">
        <f>IF(C400="","",IF(AND(BR400&gt;0,BR400&gt;BS400,BA400&lt;7),"Perdu",INDEX('Paramètres'!$F$6:$F$13,BA400)))</f>
        <v/>
      </c>
      <c r="E400" s="61">
        <f>IF(C400="","",MIN(100,(Z400="Oui")*'Paramètres'!$B$38+(AB400="Régulière")*'Paramètres'!$B$39+IF(AND(N(AA400)&gt;0,TODAY()-N(AA400)&lt;=30),'Paramètres'!$B$40,0)+(W400="")*'Paramètres'!$B$41+(AC400="Absente")*'Paramètres'!$B$42+(AC400="Faible")*'Paramètres'!$B$43+IF(AND(N(AD400)&gt;0,N(AD400)&lt;4),'Paramètres'!$B$44,0)+(AF400="Moyenne")*'Paramètres'!$B$45+(AF400="Grande")*'Paramètres'!$B$46+(Y400&lt;&gt;"")*'Paramètres'!$B$47))</f>
        <v/>
      </c>
      <c r="F400" s="60">
        <f>IF(C400="","",IF(D400="Gagné","",IF(D400="Perdu",IF(AND(AX400&lt;&gt;"",AX400&lt;=TODAY()),"À recontacter (perdu)",""),IF(AND(O400&gt;='Paramètres'!$B$21,P400=0),"Stop : "&amp;'Paramètres'!$B$21&amp;" tentatives sans réponse",IF(AND(D400="Proposition",AR400&lt;&gt;"",TODAY()&gt;N(AR400)),"Proposition expirée",IF(AND(D400="Proposition",N(R400)&gt;='Paramètres'!$B$25),"Proposition sans réponse",IF(AND(G400&lt;&gt;"",N(G400)&lt;TODAY()),"Relance en retard",IF(N(R400)&gt;='Paramètres'!$B$24,"Sans action depuis "&amp;R400&amp;" j",""))))))))</f>
        <v/>
      </c>
      <c r="G400" s="106">
        <f>IF(OR(C400="",D400="Gagné",D400="Perdu"),"",IF(AND(BP400&gt;0,BP400=BQ400),INDEX('Saisie'!$J$5:$J$2004,BP400-4),IF(OR(O400=0,AND(O400&gt;='Paramètres'!$B$21,P400=0)),"",Q400+IF(O400&lt;=1,'Paramètres'!$B$18,IF(O400=2,'Paramètres'!$B$19,'Paramètres'!$B$20)))))</f>
        <v/>
      </c>
      <c r="H400" s="107">
        <f>IF(OR(G400="",BP400&lt;&gt;BQ400),"",IF(INDEX('Saisie'!$K$5:$K$2004,BP400-4)="","",INDEX('Saisie'!$K$5:$K$2004,BP400-4)))</f>
        <v/>
      </c>
      <c r="I400" s="60">
        <f>IF(C400="","",IF(OR(D400="Gagné",D400="Perdu"),"",IFERROR(INDEX('Saisie'!$I$5:$I$2004,_xlfn.MAXIFS('Saisie'!$AS$5:$AS$2004,'Saisie'!$C$5:$C$2004,C400,'Saisie'!$I$5:$I$2004,"&lt;&gt;")-4),"")))</f>
        <v/>
      </c>
      <c r="J400" s="60">
        <f>IF(C400="","",IFERROR(INDEX('Saisie'!$U$5:$U$2004,_xlfn.MAXIFS('Saisie'!$AS$5:$AS$2004,'Saisie'!$C$5:$C$2004,C400,'Saisie'!$U$5:$U$2004,"&lt;&gt;")-4),""))</f>
        <v/>
      </c>
      <c r="K400" s="60">
        <f>IF(C400="","",IFERROR(INDEX('Saisie'!$W$5:$W$2004,_xlfn.MAXIFS('Saisie'!$AS$5:$AS$2004,'Saisie'!$C$5:$C$2004,C400,'Saisie'!$W$5:$W$2004,"&lt;&gt;")-4),""))</f>
        <v/>
      </c>
      <c r="L400" s="60">
        <f>IF(IF(BB400&lt;&gt;"",BB400,K400)="","",HYPERLINK("https://wa.me/"&amp;IF(LEFT(SUBSTITUTE(SUBSTITUTE(SUBSTITUTE(IF(BB400&lt;&gt;"",BB400,K400)," ",""),".",""),"+",""),1)="0",'Paramètres'!$B$35&amp;MID(SUBSTITUTE(SUBSTITUTE(SUBSTITUTE(IF(BB400&lt;&gt;"",BB400,K400)," ",""),".",""),"+",""),2,20),SUBSTITUTE(SUBSTITUTE(SUBSTITUTE(IF(BB400&lt;&gt;"",BB400,K400)," ",""),".",""),"+","")),"WhatsApp"))</f>
        <v/>
      </c>
      <c r="M400" s="60">
        <f>IF(BC400="","",HYPERLINK(IF(LEFT(BC400,4)="http",BC400,"https://www.instagram.com/"&amp;SUBSTITUTE(SUBSTITUTE(BC400,"@","")," ","")),BC400))</f>
        <v/>
      </c>
      <c r="N400" s="60">
        <f>IF(C400="","",IFERROR(INDEX('Saisie'!$D$5:$D$2004,_xlfn.MINIFS('Saisie'!$AS$5:$AS$2004,'Saisie'!$C$5:$C$2004,C400,'Saisie'!$AU$5:$AU$2004,1)-4),IFERROR(INDEX('Saisie'!$D$5:$D$2004,_xlfn.MINIFS('Saisie'!$AS$5:$AS$2004,'Saisie'!$C$5:$C$2004,C400,'Saisie'!$D$5:$D$2004,"&lt;&gt;")-4),"")))</f>
        <v/>
      </c>
      <c r="O400" s="60">
        <f>IF(C400="","",COUNTIFS('Saisie'!$C$5:$C$2004,C400,'Saisie'!$AU$5:$AU$2004,1))</f>
        <v/>
      </c>
      <c r="P400" s="60">
        <f>IF(C400="","",COUNTIFS('Saisie'!$C$5:$C$2004,C400,'Saisie'!$AV$5:$AV$2004,1))</f>
        <v/>
      </c>
      <c r="Q400" s="106">
        <f>IF(C400="","",IFERROR(1/(1/_xlfn.MAXIFS('Saisie'!$A$5:$A$2004,'Saisie'!$C$5:$C$2004,C400)),""))</f>
        <v/>
      </c>
      <c r="R400" s="61">
        <f>IF(C400="","",IF(Q400="","",TODAY()-Q400))</f>
        <v/>
      </c>
      <c r="S400" s="60">
        <f>IF(C400="","",IFERROR(INDEX('Saisie'!$R$5:$R$2004,_xlfn.MAXIFS('Saisie'!$AS$5:$AS$2004,'Saisie'!$C$5:$C$2004,C400,'Saisie'!$R$5:$R$2004,"&lt;&gt;")-4),""))</f>
        <v/>
      </c>
      <c r="T400" s="60">
        <f>IF(C400="","",IFERROR(INDEX('Saisie'!$S$5:$S$2004,_xlfn.MAXIFS('Saisie'!$AS$5:$AS$2004,'Saisie'!$C$5:$C$2004,C400,'Saisie'!$S$5:$S$2004,"&lt;&gt;")-4),""))</f>
        <v/>
      </c>
      <c r="U400" s="60">
        <f>IF(C400="","",IFERROR(INDEX('Saisie'!$T$5:$T$2004,_xlfn.MAXIFS('Saisie'!$AS$5:$AS$2004,'Saisie'!$C$5:$C$2004,C400,'Saisie'!$T$5:$T$2004,"&lt;&gt;")-4),""))</f>
        <v/>
      </c>
      <c r="V400" s="60">
        <f>IF(C400="","",IFERROR(INDEX('Saisie'!$V$5:$V$2004,_xlfn.MAXIFS('Saisie'!$AS$5:$AS$2004,'Saisie'!$C$5:$C$2004,C400,'Saisie'!$V$5:$V$2004,"&lt;&gt;")-4),""))</f>
        <v/>
      </c>
      <c r="W400" s="60">
        <f>IF(C400="","",IFERROR(INDEX('Saisie'!$Z$5:$Z$2004,_xlfn.MAXIFS('Saisie'!$AS$5:$AS$2004,'Saisie'!$C$5:$C$2004,C400,'Saisie'!$Z$5:$Z$2004,"&lt;&gt;")-4),""))</f>
        <v/>
      </c>
      <c r="X400" s="60">
        <f>IF(C400="","",IFERROR(INDEX('Saisie'!$AA$5:$AA$2004,_xlfn.MAXIFS('Saisie'!$AS$5:$AS$2004,'Saisie'!$C$5:$C$2004,C400,'Saisie'!$AA$5:$AA$2004,"&lt;&gt;")-4),""))</f>
        <v/>
      </c>
      <c r="Y400" s="60">
        <f>IF(C400="","",IFERROR(INDEX('Saisie'!$AB$5:$AB$2004,_xlfn.MAXIFS('Saisie'!$AS$5:$AS$2004,'Saisie'!$C$5:$C$2004,C400,'Saisie'!$AB$5:$AB$2004,"&lt;&gt;")-4),""))</f>
        <v/>
      </c>
      <c r="Z400" s="60">
        <f>IF(C400="","",IFERROR(INDEX('Saisie'!$AC$5:$AC$2004,_xlfn.MAXIFS('Saisie'!$AS$5:$AS$2004,'Saisie'!$C$5:$C$2004,C400,'Saisie'!$AC$5:$AC$2004,"&lt;&gt;")-4),""))</f>
        <v/>
      </c>
      <c r="AA400" s="106">
        <f>IF(C400="","",IFERROR(INDEX('Saisie'!$AD$5:$AD$2004,_xlfn.MAXIFS('Saisie'!$AS$5:$AS$2004,'Saisie'!$C$5:$C$2004,C400,'Saisie'!$AD$5:$AD$2004,"&lt;&gt;")-4),""))</f>
        <v/>
      </c>
      <c r="AB400" s="60">
        <f>IF(C400="","",IFERROR(INDEX('Saisie'!$AE$5:$AE$2004,_xlfn.MAXIFS('Saisie'!$AS$5:$AS$2004,'Saisie'!$C$5:$C$2004,C400,'Saisie'!$AE$5:$AE$2004,"&lt;&gt;")-4),""))</f>
        <v/>
      </c>
      <c r="AC400" s="60">
        <f>IF(C400="","",IFERROR(INDEX('Saisie'!$AF$5:$AF$2004,_xlfn.MAXIFS('Saisie'!$AS$5:$AS$2004,'Saisie'!$C$5:$C$2004,C400,'Saisie'!$AF$5:$AF$2004,"&lt;&gt;")-4),""))</f>
        <v/>
      </c>
      <c r="AD400" s="108">
        <f>IF(C400="","",IFERROR(INDEX('Saisie'!$AG$5:$AG$2004,_xlfn.MAXIFS('Saisie'!$AS$5:$AS$2004,'Saisie'!$C$5:$C$2004,C400,'Saisie'!$AG$5:$AG$2004,"&lt;&gt;")-4),""))</f>
        <v/>
      </c>
      <c r="AE400" s="60">
        <f>IF(C400="","",IFERROR(INDEX('Saisie'!$AH$5:$AH$2004,_xlfn.MAXIFS('Saisie'!$AS$5:$AS$2004,'Saisie'!$C$5:$C$2004,C400,'Saisie'!$AH$5:$AH$2004,"&lt;&gt;")-4),""))</f>
        <v/>
      </c>
      <c r="AF400" s="60">
        <f>IF(C400="","",IFERROR(INDEX('Saisie'!$AI$5:$AI$2004,_xlfn.MAXIFS('Saisie'!$AS$5:$AS$2004,'Saisie'!$C$5:$C$2004,C400,'Saisie'!$AI$5:$AI$2004,"&lt;&gt;")-4),""))</f>
        <v/>
      </c>
      <c r="AG400" s="60">
        <f>IF(C400="","",IFERROR(INDEX('Saisie'!$AJ$5:$AJ$2004,_xlfn.MAXIFS('Saisie'!$AS$5:$AS$2004,'Saisie'!$C$5:$C$2004,C400,'Saisie'!$AJ$5:$AJ$2004,"&lt;&gt;")-4),""))</f>
        <v/>
      </c>
      <c r="AH400" s="60">
        <f>IF(C400="","",IFERROR(INDEX('Saisie'!$AK$5:$AK$2004,_xlfn.MAXIFS('Saisie'!$AS$5:$AS$2004,'Saisie'!$C$5:$C$2004,C400,'Saisie'!$AK$5:$AK$2004,"&lt;&gt;")-4),""))</f>
        <v/>
      </c>
      <c r="AI400" s="60">
        <f>IF(C400="","",IFERROR(INDEX('Saisie'!$AN$5:$AN$2004,_xlfn.MAXIFS('Saisie'!$AS$5:$AS$2004,'Saisie'!$C$5:$C$2004,C400,'Saisie'!$AN$5:$AN$2004,"&lt;&gt;")-4),""))</f>
        <v/>
      </c>
      <c r="AJ400" s="60">
        <f>IF(C400="","",IFERROR(INDEX('Saisie'!$AO$5:$AO$2004,_xlfn.MAXIFS('Saisie'!$AS$5:$AS$2004,'Saisie'!$C$5:$C$2004,C400,'Saisie'!$AO$5:$AO$2004,"&lt;&gt;")-4),""))</f>
        <v/>
      </c>
      <c r="AK400" s="60">
        <f>IF(C400="","",IFERROR(INDEX('Saisie'!$AP$5:$AP$2004,_xlfn.MAXIFS('Saisie'!$AS$5:$AS$2004,'Saisie'!$C$5:$C$2004,C400,'Saisie'!$AP$5:$AP$2004,"&lt;&gt;")-4),""))</f>
        <v/>
      </c>
      <c r="AL400" s="60">
        <f>IF(C400="","",IFERROR(INDEX('Saisie'!$AQ$5:$AQ$2004,_xlfn.MAXIFS('Saisie'!$AS$5:$AS$2004,'Saisie'!$C$5:$C$2004,C400,'Saisie'!$AQ$5:$AQ$2004,"&lt;&gt;")-4),""))</f>
        <v/>
      </c>
      <c r="AM400" s="60">
        <f>IF(C400="","",((AI400="Oui")+(AJ400="Oui")+(AK400="Oui")+OR(AL400="Immédiat",AL400="&lt; 1 mois"))&amp;"/4")</f>
        <v/>
      </c>
      <c r="AN400" s="60">
        <f>IF(C400="","",IFERROR(INDEX('Saisie'!$AL$5:$AL$2004,_xlfn.MAXIFS('Saisie'!$AS$5:$AS$2004,'Saisie'!$C$5:$C$2004,C400,'Saisie'!$AL$5:$AL$2004,"&lt;&gt;")-4),""))</f>
        <v/>
      </c>
      <c r="AO400" s="62">
        <f>IF(C400="","",IF(IFERROR(INDEX('Saisie'!$AM$5:$AM$2004,_xlfn.MAXIFS('Saisie'!$AS$5:$AS$2004,'Saisie'!$C$5:$C$2004,C400,'Saisie'!$AM$5:$AM$2004,"&lt;&gt;")-4),"")&lt;&gt;"",IFERROR(INDEX('Saisie'!$AM$5:$AM$2004,_xlfn.MAXIFS('Saisie'!$AS$5:$AS$2004,'Saisie'!$C$5:$C$2004,C400,'Saisie'!$AM$5:$AM$2004,"&lt;&gt;")-4),""),IFERROR(INDEX('Paramètres'!$S$6:$S$15,MATCH(AN400,'Paramètres'!$Q$6:$Q$15,0)),"")))</f>
        <v/>
      </c>
      <c r="AP400" s="62">
        <f>IF(C400="","",IFERROR(INDEX('Saisie'!$AW$5:$AW$2004,_xlfn.MAXIFS('Saisie'!$AS$5:$AS$2004,'Saisie'!$C$5:$C$2004,C400,'Saisie'!$E$5:$E$2004,"Proposition envoyée")-4),""))</f>
        <v/>
      </c>
      <c r="AQ400" s="106">
        <f>IF(C400="","",IFERROR(1/(1/_xlfn.MAXIFS('Saisie'!$A$5:$A$2004,'Saisie'!$C$5:$C$2004,C400,'Saisie'!$E$5:$E$2004,"Proposition envoyée")),""))</f>
        <v/>
      </c>
      <c r="AR400" s="106">
        <f>IF(C400="","",IF(AQ400="","",AQ400+'Paramètres'!$B$26))</f>
        <v/>
      </c>
      <c r="AS400" s="62">
        <f>IF(OR(C400="",D400="Gagné",D400="Perdu"),0,N(AP400)*IFERROR(INDEX('Paramètres'!$G$6:$G$13,MATCH(D400,'Paramètres'!$F$6:$F$13,0)),0))</f>
        <v/>
      </c>
      <c r="AT400" s="106">
        <f>IF(C400="","",IFERROR(1/(1/_xlfn.MINIFS('Saisie'!$A$5:$A$2004,'Saisie'!$C$5:$C$2004,C400,'Saisie'!$E$5:$E$2004,"Signature")),""))</f>
        <v/>
      </c>
      <c r="AU400" s="60">
        <f>IF(C400="","",IF(OR(AT400="",B400=""),"",AT400-B400))</f>
        <v/>
      </c>
      <c r="AV400" s="60">
        <f>IF(C400="","",IFERROR(INDEX('Saisie'!$L$5:$L$2004,_xlfn.MAXIFS('Saisie'!$AS$5:$AS$2004,'Saisie'!$C$5:$C$2004,C400,'Saisie'!$L$5:$L$2004,"&lt;&gt;")-4),""))</f>
        <v/>
      </c>
      <c r="AW400" s="106">
        <f>IF(C400="","",IF(D400&lt;&gt;"Perdu","",IFERROR(1/(1/_xlfn.MAXIFS('Saisie'!$A$5:$A$2004,'Saisie'!$C$5:$C$2004,C400,'Saisie'!$E$5:$E$2004,"Perdu")),"")))</f>
        <v/>
      </c>
      <c r="AX400" s="106">
        <f>IF(C400="","",IF(AW400="","",AW400+'Paramètres'!$B$28))</f>
        <v/>
      </c>
      <c r="AY400" s="60">
        <f>IF(C400="","",SUMIFS('Saisie'!$H$5:$H$2004,'Saisie'!$C$5:$C$2004,C400))</f>
        <v/>
      </c>
      <c r="AZ400" s="60">
        <f>IF(C400="","",IFERROR(INDEX('Paramètres'!$W$6:$W$20,MATCH(S400,'Paramètres'!$V$6:$V$20,0))&amp;"",""))</f>
        <v/>
      </c>
      <c r="BA400" s="60">
        <f>IF(C400="","",MAX(1,_xlfn.MAXIFS('Saisie'!$AT$5:$AT$2004,'Saisie'!$C$5:$C$2004,C400)))</f>
        <v/>
      </c>
      <c r="BB400" s="60">
        <f>IF(C400="","",IFERROR(INDEX('Saisie'!$X$5:$X$2004,_xlfn.MAXIFS('Saisie'!$AS$5:$AS$2004,'Saisie'!$C$5:$C$2004,C400,'Saisie'!$X$5:$X$2004,"&lt;&gt;")-4),""))</f>
        <v/>
      </c>
      <c r="BC400" s="60">
        <f>IF(C400="","",IFERROR(INDEX('Saisie'!$Y$5:$Y$2004,_xlfn.MAXIFS('Saisie'!$AS$5:$AS$2004,'Saisie'!$C$5:$C$2004,C400,'Saisie'!$Y$5:$Y$2004,"&lt;&gt;")-4),""))</f>
        <v/>
      </c>
      <c r="BD400" s="106">
        <f>IF(C400="","",IFERROR(1/(1/_xlfn.MINIFS('Saisie'!$A$5:$A$2004,'Saisie'!$C$5:$C$2004,C400,'Saisie'!$AT$5:$AT$2004,"&gt;=2")),""))</f>
        <v/>
      </c>
      <c r="BE400" s="106">
        <f>IF(C400="","",IFERROR(1/(1/_xlfn.MINIFS('Saisie'!$A$5:$A$2004,'Saisie'!$C$5:$C$2004,C400,'Saisie'!$AT$5:$AT$2004,"&gt;=3")),""))</f>
        <v/>
      </c>
      <c r="BF400" s="106">
        <f>IF(C400="","",IFERROR(1/(1/_xlfn.MINIFS('Saisie'!$A$5:$A$2004,'Saisie'!$C$5:$C$2004,C400,'Saisie'!$AT$5:$AT$2004,"&gt;=4")),""))</f>
        <v/>
      </c>
      <c r="BG400" s="106">
        <f>IF(C400="","",IFERROR(1/(1/_xlfn.MINIFS('Saisie'!$A$5:$A$2004,'Saisie'!$C$5:$C$2004,C400,'Saisie'!$AT$5:$AT$2004,"&gt;=5")),""))</f>
        <v/>
      </c>
      <c r="BH400" s="106">
        <f>IF(C400="","",IFERROR(1/(1/_xlfn.MINIFS('Saisie'!$A$5:$A$2004,'Saisie'!$C$5:$C$2004,C400,'Saisie'!$AT$5:$AT$2004,"&gt;=6")),""))</f>
        <v/>
      </c>
      <c r="BI400" s="106">
        <f>IF(C400="","",IFERROR(1/(1/_xlfn.MINIFS('Saisie'!$A$5:$A$2004,'Saisie'!$C$5:$C$2004,C400,'Saisie'!$AT$5:$AT$2004,"&gt;=7")),""))</f>
        <v/>
      </c>
      <c r="BJ400" s="60">
        <f>IF(OR(BD400="",B400=""),"",BD400-B400)</f>
        <v/>
      </c>
      <c r="BK400" s="60">
        <f>IF(OR(BE400="",BD400=""),"",BE400-BD400)</f>
        <v/>
      </c>
      <c r="BL400" s="60">
        <f>IF(OR(BF400="",BE400=""),"",BF400-BE400)</f>
        <v/>
      </c>
      <c r="BM400" s="60">
        <f>IF(OR(BG400="",BF400=""),"",BG400-BF400)</f>
        <v/>
      </c>
      <c r="BN400" s="60">
        <f>IF(OR(BH400="",BG400=""),"",BH400-BG400)</f>
        <v/>
      </c>
      <c r="BO400" s="60">
        <f>IF(OR(BI400="",BH400=""),"",BI400-BH400)</f>
        <v/>
      </c>
      <c r="BP400" s="60">
        <f>IF(C400="","",_xlfn.MAXIFS('Saisie'!$AS$5:$AS$2004,'Saisie'!$C$5:$C$2004,C400,'Saisie'!$J$5:$J$2004,"&lt;&gt;"))</f>
        <v/>
      </c>
      <c r="BQ400" s="60">
        <f>IF(C400="","",_xlfn.MAXIFS('Saisie'!$AS$5:$AS$2004,'Saisie'!$C$5:$C$2004,C400))</f>
        <v/>
      </c>
      <c r="BR400" s="60">
        <f>IF(C400="","",_xlfn.MAXIFS('Saisie'!$AS$5:$AS$2004,'Saisie'!$C$5:$C$2004,C400,'Saisie'!$E$5:$E$2004,"Perdu"))</f>
        <v/>
      </c>
      <c r="BS400" s="60">
        <f>IF(C400="","",_xlfn.MAXIFS('Saisie'!$AS$5:$AS$2004,'Saisie'!$C$5:$C$2004,C400,'Saisie'!$AT$5:$AT$2004,"&gt;0"))</f>
        <v/>
      </c>
      <c r="BT400" s="109">
        <f>IF(AND(C400&lt;&gt;"",OR(D400="Nouveau",D400="Contacté",D400="Qualifié"),OR(G400="",N(G400)&lt;=TODAY()),NOT(AND(O400&gt;='Paramètres'!$B$21,P400=0))),E400+396/10000,"")</f>
        <v/>
      </c>
      <c r="BU400" s="60">
        <f>IF(AND(G400&lt;&gt;"",N(G400)&lt;=TODAY()),MAX($BU$4:BU399)+1,"")</f>
        <v/>
      </c>
      <c r="BV400" s="60">
        <f>IF(AND(F400&lt;&gt;"",F400&lt;&gt;"Relance en retard"),MAX($BV$4:BV399)+1,"")</f>
        <v/>
      </c>
      <c r="BW400" s="60">
        <f>IF(C400="","",IF(AND(B400&gt;='Tableau de bord'!$R$4,B400&lt;='Tableau de bord'!$S$4,OR('Tableau de bord'!$G$4="Tous",N400='Tableau de bord'!$G$4)),1,0))</f>
        <v/>
      </c>
      <c r="BX400" s="60">
        <f>IF(AND(C400&lt;&gt;"",N(BA400)=7),MAX($BX$4:BX399)+1,"")</f>
        <v/>
      </c>
    </row>
    <row r="401">
      <c r="A401" s="60">
        <f>IF(C401="","","P-"&amp;TEXT(397,"000"))</f>
        <v/>
      </c>
      <c r="B401" s="106">
        <f>IF(C401="","",IFERROR(1/(1/_xlfn.MINIFS('Saisie'!$A$5:$A$2004,'Saisie'!$C$5:$C$2004,C401)),""))</f>
        <v/>
      </c>
      <c r="C401" s="60">
        <f>IFERROR(INDEX('Saisie'!$C$5:$C$2004,MATCH(397,'Saisie'!$AX$5:$AX$2004,0)),"")</f>
        <v/>
      </c>
      <c r="D401" s="60">
        <f>IF(C401="","",IF(AND(BR401&gt;0,BR401&gt;BS401,BA401&lt;7),"Perdu",INDEX('Paramètres'!$F$6:$F$13,BA401)))</f>
        <v/>
      </c>
      <c r="E401" s="61">
        <f>IF(C401="","",MIN(100,(Z401="Oui")*'Paramètres'!$B$38+(AB401="Régulière")*'Paramètres'!$B$39+IF(AND(N(AA401)&gt;0,TODAY()-N(AA401)&lt;=30),'Paramètres'!$B$40,0)+(W401="")*'Paramètres'!$B$41+(AC401="Absente")*'Paramètres'!$B$42+(AC401="Faible")*'Paramètres'!$B$43+IF(AND(N(AD401)&gt;0,N(AD401)&lt;4),'Paramètres'!$B$44,0)+(AF401="Moyenne")*'Paramètres'!$B$45+(AF401="Grande")*'Paramètres'!$B$46+(Y401&lt;&gt;"")*'Paramètres'!$B$47))</f>
        <v/>
      </c>
      <c r="F401" s="60">
        <f>IF(C401="","",IF(D401="Gagné","",IF(D401="Perdu",IF(AND(AX401&lt;&gt;"",AX401&lt;=TODAY()),"À recontacter (perdu)",""),IF(AND(O401&gt;='Paramètres'!$B$21,P401=0),"Stop : "&amp;'Paramètres'!$B$21&amp;" tentatives sans réponse",IF(AND(D401="Proposition",AR401&lt;&gt;"",TODAY()&gt;N(AR401)),"Proposition expirée",IF(AND(D401="Proposition",N(R401)&gt;='Paramètres'!$B$25),"Proposition sans réponse",IF(AND(G401&lt;&gt;"",N(G401)&lt;TODAY()),"Relance en retard",IF(N(R401)&gt;='Paramètres'!$B$24,"Sans action depuis "&amp;R401&amp;" j",""))))))))</f>
        <v/>
      </c>
      <c r="G401" s="106">
        <f>IF(OR(C401="",D401="Gagné",D401="Perdu"),"",IF(AND(BP401&gt;0,BP401=BQ401),INDEX('Saisie'!$J$5:$J$2004,BP401-4),IF(OR(O401=0,AND(O401&gt;='Paramètres'!$B$21,P401=0)),"",Q401+IF(O401&lt;=1,'Paramètres'!$B$18,IF(O401=2,'Paramètres'!$B$19,'Paramètres'!$B$20)))))</f>
        <v/>
      </c>
      <c r="H401" s="107">
        <f>IF(OR(G401="",BP401&lt;&gt;BQ401),"",IF(INDEX('Saisie'!$K$5:$K$2004,BP401-4)="","",INDEX('Saisie'!$K$5:$K$2004,BP401-4)))</f>
        <v/>
      </c>
      <c r="I401" s="60">
        <f>IF(C401="","",IF(OR(D401="Gagné",D401="Perdu"),"",IFERROR(INDEX('Saisie'!$I$5:$I$2004,_xlfn.MAXIFS('Saisie'!$AS$5:$AS$2004,'Saisie'!$C$5:$C$2004,C401,'Saisie'!$I$5:$I$2004,"&lt;&gt;")-4),"")))</f>
        <v/>
      </c>
      <c r="J401" s="60">
        <f>IF(C401="","",IFERROR(INDEX('Saisie'!$U$5:$U$2004,_xlfn.MAXIFS('Saisie'!$AS$5:$AS$2004,'Saisie'!$C$5:$C$2004,C401,'Saisie'!$U$5:$U$2004,"&lt;&gt;")-4),""))</f>
        <v/>
      </c>
      <c r="K401" s="60">
        <f>IF(C401="","",IFERROR(INDEX('Saisie'!$W$5:$W$2004,_xlfn.MAXIFS('Saisie'!$AS$5:$AS$2004,'Saisie'!$C$5:$C$2004,C401,'Saisie'!$W$5:$W$2004,"&lt;&gt;")-4),""))</f>
        <v/>
      </c>
      <c r="L401" s="60">
        <f>IF(IF(BB401&lt;&gt;"",BB401,K401)="","",HYPERLINK("https://wa.me/"&amp;IF(LEFT(SUBSTITUTE(SUBSTITUTE(SUBSTITUTE(IF(BB401&lt;&gt;"",BB401,K401)," ",""),".",""),"+",""),1)="0",'Paramètres'!$B$35&amp;MID(SUBSTITUTE(SUBSTITUTE(SUBSTITUTE(IF(BB401&lt;&gt;"",BB401,K401)," ",""),".",""),"+",""),2,20),SUBSTITUTE(SUBSTITUTE(SUBSTITUTE(IF(BB401&lt;&gt;"",BB401,K401)," ",""),".",""),"+","")),"WhatsApp"))</f>
        <v/>
      </c>
      <c r="M401" s="60">
        <f>IF(BC401="","",HYPERLINK(IF(LEFT(BC401,4)="http",BC401,"https://www.instagram.com/"&amp;SUBSTITUTE(SUBSTITUTE(BC401,"@","")," ","")),BC401))</f>
        <v/>
      </c>
      <c r="N401" s="60">
        <f>IF(C401="","",IFERROR(INDEX('Saisie'!$D$5:$D$2004,_xlfn.MINIFS('Saisie'!$AS$5:$AS$2004,'Saisie'!$C$5:$C$2004,C401,'Saisie'!$AU$5:$AU$2004,1)-4),IFERROR(INDEX('Saisie'!$D$5:$D$2004,_xlfn.MINIFS('Saisie'!$AS$5:$AS$2004,'Saisie'!$C$5:$C$2004,C401,'Saisie'!$D$5:$D$2004,"&lt;&gt;")-4),"")))</f>
        <v/>
      </c>
      <c r="O401" s="60">
        <f>IF(C401="","",COUNTIFS('Saisie'!$C$5:$C$2004,C401,'Saisie'!$AU$5:$AU$2004,1))</f>
        <v/>
      </c>
      <c r="P401" s="60">
        <f>IF(C401="","",COUNTIFS('Saisie'!$C$5:$C$2004,C401,'Saisie'!$AV$5:$AV$2004,1))</f>
        <v/>
      </c>
      <c r="Q401" s="106">
        <f>IF(C401="","",IFERROR(1/(1/_xlfn.MAXIFS('Saisie'!$A$5:$A$2004,'Saisie'!$C$5:$C$2004,C401)),""))</f>
        <v/>
      </c>
      <c r="R401" s="61">
        <f>IF(C401="","",IF(Q401="","",TODAY()-Q401))</f>
        <v/>
      </c>
      <c r="S401" s="60">
        <f>IF(C401="","",IFERROR(INDEX('Saisie'!$R$5:$R$2004,_xlfn.MAXIFS('Saisie'!$AS$5:$AS$2004,'Saisie'!$C$5:$C$2004,C401,'Saisie'!$R$5:$R$2004,"&lt;&gt;")-4),""))</f>
        <v/>
      </c>
      <c r="T401" s="60">
        <f>IF(C401="","",IFERROR(INDEX('Saisie'!$S$5:$S$2004,_xlfn.MAXIFS('Saisie'!$AS$5:$AS$2004,'Saisie'!$C$5:$C$2004,C401,'Saisie'!$S$5:$S$2004,"&lt;&gt;")-4),""))</f>
        <v/>
      </c>
      <c r="U401" s="60">
        <f>IF(C401="","",IFERROR(INDEX('Saisie'!$T$5:$T$2004,_xlfn.MAXIFS('Saisie'!$AS$5:$AS$2004,'Saisie'!$C$5:$C$2004,C401,'Saisie'!$T$5:$T$2004,"&lt;&gt;")-4),""))</f>
        <v/>
      </c>
      <c r="V401" s="60">
        <f>IF(C401="","",IFERROR(INDEX('Saisie'!$V$5:$V$2004,_xlfn.MAXIFS('Saisie'!$AS$5:$AS$2004,'Saisie'!$C$5:$C$2004,C401,'Saisie'!$V$5:$V$2004,"&lt;&gt;")-4),""))</f>
        <v/>
      </c>
      <c r="W401" s="60">
        <f>IF(C401="","",IFERROR(INDEX('Saisie'!$Z$5:$Z$2004,_xlfn.MAXIFS('Saisie'!$AS$5:$AS$2004,'Saisie'!$C$5:$C$2004,C401,'Saisie'!$Z$5:$Z$2004,"&lt;&gt;")-4),""))</f>
        <v/>
      </c>
      <c r="X401" s="60">
        <f>IF(C401="","",IFERROR(INDEX('Saisie'!$AA$5:$AA$2004,_xlfn.MAXIFS('Saisie'!$AS$5:$AS$2004,'Saisie'!$C$5:$C$2004,C401,'Saisie'!$AA$5:$AA$2004,"&lt;&gt;")-4),""))</f>
        <v/>
      </c>
      <c r="Y401" s="60">
        <f>IF(C401="","",IFERROR(INDEX('Saisie'!$AB$5:$AB$2004,_xlfn.MAXIFS('Saisie'!$AS$5:$AS$2004,'Saisie'!$C$5:$C$2004,C401,'Saisie'!$AB$5:$AB$2004,"&lt;&gt;")-4),""))</f>
        <v/>
      </c>
      <c r="Z401" s="60">
        <f>IF(C401="","",IFERROR(INDEX('Saisie'!$AC$5:$AC$2004,_xlfn.MAXIFS('Saisie'!$AS$5:$AS$2004,'Saisie'!$C$5:$C$2004,C401,'Saisie'!$AC$5:$AC$2004,"&lt;&gt;")-4),""))</f>
        <v/>
      </c>
      <c r="AA401" s="106">
        <f>IF(C401="","",IFERROR(INDEX('Saisie'!$AD$5:$AD$2004,_xlfn.MAXIFS('Saisie'!$AS$5:$AS$2004,'Saisie'!$C$5:$C$2004,C401,'Saisie'!$AD$5:$AD$2004,"&lt;&gt;")-4),""))</f>
        <v/>
      </c>
      <c r="AB401" s="60">
        <f>IF(C401="","",IFERROR(INDEX('Saisie'!$AE$5:$AE$2004,_xlfn.MAXIFS('Saisie'!$AS$5:$AS$2004,'Saisie'!$C$5:$C$2004,C401,'Saisie'!$AE$5:$AE$2004,"&lt;&gt;")-4),""))</f>
        <v/>
      </c>
      <c r="AC401" s="60">
        <f>IF(C401="","",IFERROR(INDEX('Saisie'!$AF$5:$AF$2004,_xlfn.MAXIFS('Saisie'!$AS$5:$AS$2004,'Saisie'!$C$5:$C$2004,C401,'Saisie'!$AF$5:$AF$2004,"&lt;&gt;")-4),""))</f>
        <v/>
      </c>
      <c r="AD401" s="108">
        <f>IF(C401="","",IFERROR(INDEX('Saisie'!$AG$5:$AG$2004,_xlfn.MAXIFS('Saisie'!$AS$5:$AS$2004,'Saisie'!$C$5:$C$2004,C401,'Saisie'!$AG$5:$AG$2004,"&lt;&gt;")-4),""))</f>
        <v/>
      </c>
      <c r="AE401" s="60">
        <f>IF(C401="","",IFERROR(INDEX('Saisie'!$AH$5:$AH$2004,_xlfn.MAXIFS('Saisie'!$AS$5:$AS$2004,'Saisie'!$C$5:$C$2004,C401,'Saisie'!$AH$5:$AH$2004,"&lt;&gt;")-4),""))</f>
        <v/>
      </c>
      <c r="AF401" s="60">
        <f>IF(C401="","",IFERROR(INDEX('Saisie'!$AI$5:$AI$2004,_xlfn.MAXIFS('Saisie'!$AS$5:$AS$2004,'Saisie'!$C$5:$C$2004,C401,'Saisie'!$AI$5:$AI$2004,"&lt;&gt;")-4),""))</f>
        <v/>
      </c>
      <c r="AG401" s="60">
        <f>IF(C401="","",IFERROR(INDEX('Saisie'!$AJ$5:$AJ$2004,_xlfn.MAXIFS('Saisie'!$AS$5:$AS$2004,'Saisie'!$C$5:$C$2004,C401,'Saisie'!$AJ$5:$AJ$2004,"&lt;&gt;")-4),""))</f>
        <v/>
      </c>
      <c r="AH401" s="60">
        <f>IF(C401="","",IFERROR(INDEX('Saisie'!$AK$5:$AK$2004,_xlfn.MAXIFS('Saisie'!$AS$5:$AS$2004,'Saisie'!$C$5:$C$2004,C401,'Saisie'!$AK$5:$AK$2004,"&lt;&gt;")-4),""))</f>
        <v/>
      </c>
      <c r="AI401" s="60">
        <f>IF(C401="","",IFERROR(INDEX('Saisie'!$AN$5:$AN$2004,_xlfn.MAXIFS('Saisie'!$AS$5:$AS$2004,'Saisie'!$C$5:$C$2004,C401,'Saisie'!$AN$5:$AN$2004,"&lt;&gt;")-4),""))</f>
        <v/>
      </c>
      <c r="AJ401" s="60">
        <f>IF(C401="","",IFERROR(INDEX('Saisie'!$AO$5:$AO$2004,_xlfn.MAXIFS('Saisie'!$AS$5:$AS$2004,'Saisie'!$C$5:$C$2004,C401,'Saisie'!$AO$5:$AO$2004,"&lt;&gt;")-4),""))</f>
        <v/>
      </c>
      <c r="AK401" s="60">
        <f>IF(C401="","",IFERROR(INDEX('Saisie'!$AP$5:$AP$2004,_xlfn.MAXIFS('Saisie'!$AS$5:$AS$2004,'Saisie'!$C$5:$C$2004,C401,'Saisie'!$AP$5:$AP$2004,"&lt;&gt;")-4),""))</f>
        <v/>
      </c>
      <c r="AL401" s="60">
        <f>IF(C401="","",IFERROR(INDEX('Saisie'!$AQ$5:$AQ$2004,_xlfn.MAXIFS('Saisie'!$AS$5:$AS$2004,'Saisie'!$C$5:$C$2004,C401,'Saisie'!$AQ$5:$AQ$2004,"&lt;&gt;")-4),""))</f>
        <v/>
      </c>
      <c r="AM401" s="60">
        <f>IF(C401="","",((AI401="Oui")+(AJ401="Oui")+(AK401="Oui")+OR(AL401="Immédiat",AL401="&lt; 1 mois"))&amp;"/4")</f>
        <v/>
      </c>
      <c r="AN401" s="60">
        <f>IF(C401="","",IFERROR(INDEX('Saisie'!$AL$5:$AL$2004,_xlfn.MAXIFS('Saisie'!$AS$5:$AS$2004,'Saisie'!$C$5:$C$2004,C401,'Saisie'!$AL$5:$AL$2004,"&lt;&gt;")-4),""))</f>
        <v/>
      </c>
      <c r="AO401" s="62">
        <f>IF(C401="","",IF(IFERROR(INDEX('Saisie'!$AM$5:$AM$2004,_xlfn.MAXIFS('Saisie'!$AS$5:$AS$2004,'Saisie'!$C$5:$C$2004,C401,'Saisie'!$AM$5:$AM$2004,"&lt;&gt;")-4),"")&lt;&gt;"",IFERROR(INDEX('Saisie'!$AM$5:$AM$2004,_xlfn.MAXIFS('Saisie'!$AS$5:$AS$2004,'Saisie'!$C$5:$C$2004,C401,'Saisie'!$AM$5:$AM$2004,"&lt;&gt;")-4),""),IFERROR(INDEX('Paramètres'!$S$6:$S$15,MATCH(AN401,'Paramètres'!$Q$6:$Q$15,0)),"")))</f>
        <v/>
      </c>
      <c r="AP401" s="62">
        <f>IF(C401="","",IFERROR(INDEX('Saisie'!$AW$5:$AW$2004,_xlfn.MAXIFS('Saisie'!$AS$5:$AS$2004,'Saisie'!$C$5:$C$2004,C401,'Saisie'!$E$5:$E$2004,"Proposition envoyée")-4),""))</f>
        <v/>
      </c>
      <c r="AQ401" s="106">
        <f>IF(C401="","",IFERROR(1/(1/_xlfn.MAXIFS('Saisie'!$A$5:$A$2004,'Saisie'!$C$5:$C$2004,C401,'Saisie'!$E$5:$E$2004,"Proposition envoyée")),""))</f>
        <v/>
      </c>
      <c r="AR401" s="106">
        <f>IF(C401="","",IF(AQ401="","",AQ401+'Paramètres'!$B$26))</f>
        <v/>
      </c>
      <c r="AS401" s="62">
        <f>IF(OR(C401="",D401="Gagné",D401="Perdu"),0,N(AP401)*IFERROR(INDEX('Paramètres'!$G$6:$G$13,MATCH(D401,'Paramètres'!$F$6:$F$13,0)),0))</f>
        <v/>
      </c>
      <c r="AT401" s="106">
        <f>IF(C401="","",IFERROR(1/(1/_xlfn.MINIFS('Saisie'!$A$5:$A$2004,'Saisie'!$C$5:$C$2004,C401,'Saisie'!$E$5:$E$2004,"Signature")),""))</f>
        <v/>
      </c>
      <c r="AU401" s="60">
        <f>IF(C401="","",IF(OR(AT401="",B401=""),"",AT401-B401))</f>
        <v/>
      </c>
      <c r="AV401" s="60">
        <f>IF(C401="","",IFERROR(INDEX('Saisie'!$L$5:$L$2004,_xlfn.MAXIFS('Saisie'!$AS$5:$AS$2004,'Saisie'!$C$5:$C$2004,C401,'Saisie'!$L$5:$L$2004,"&lt;&gt;")-4),""))</f>
        <v/>
      </c>
      <c r="AW401" s="106">
        <f>IF(C401="","",IF(D401&lt;&gt;"Perdu","",IFERROR(1/(1/_xlfn.MAXIFS('Saisie'!$A$5:$A$2004,'Saisie'!$C$5:$C$2004,C401,'Saisie'!$E$5:$E$2004,"Perdu")),"")))</f>
        <v/>
      </c>
      <c r="AX401" s="106">
        <f>IF(C401="","",IF(AW401="","",AW401+'Paramètres'!$B$28))</f>
        <v/>
      </c>
      <c r="AY401" s="60">
        <f>IF(C401="","",SUMIFS('Saisie'!$H$5:$H$2004,'Saisie'!$C$5:$C$2004,C401))</f>
        <v/>
      </c>
      <c r="AZ401" s="60">
        <f>IF(C401="","",IFERROR(INDEX('Paramètres'!$W$6:$W$20,MATCH(S401,'Paramètres'!$V$6:$V$20,0))&amp;"",""))</f>
        <v/>
      </c>
      <c r="BA401" s="60">
        <f>IF(C401="","",MAX(1,_xlfn.MAXIFS('Saisie'!$AT$5:$AT$2004,'Saisie'!$C$5:$C$2004,C401)))</f>
        <v/>
      </c>
      <c r="BB401" s="60">
        <f>IF(C401="","",IFERROR(INDEX('Saisie'!$X$5:$X$2004,_xlfn.MAXIFS('Saisie'!$AS$5:$AS$2004,'Saisie'!$C$5:$C$2004,C401,'Saisie'!$X$5:$X$2004,"&lt;&gt;")-4),""))</f>
        <v/>
      </c>
      <c r="BC401" s="60">
        <f>IF(C401="","",IFERROR(INDEX('Saisie'!$Y$5:$Y$2004,_xlfn.MAXIFS('Saisie'!$AS$5:$AS$2004,'Saisie'!$C$5:$C$2004,C401,'Saisie'!$Y$5:$Y$2004,"&lt;&gt;")-4),""))</f>
        <v/>
      </c>
      <c r="BD401" s="106">
        <f>IF(C401="","",IFERROR(1/(1/_xlfn.MINIFS('Saisie'!$A$5:$A$2004,'Saisie'!$C$5:$C$2004,C401,'Saisie'!$AT$5:$AT$2004,"&gt;=2")),""))</f>
        <v/>
      </c>
      <c r="BE401" s="106">
        <f>IF(C401="","",IFERROR(1/(1/_xlfn.MINIFS('Saisie'!$A$5:$A$2004,'Saisie'!$C$5:$C$2004,C401,'Saisie'!$AT$5:$AT$2004,"&gt;=3")),""))</f>
        <v/>
      </c>
      <c r="BF401" s="106">
        <f>IF(C401="","",IFERROR(1/(1/_xlfn.MINIFS('Saisie'!$A$5:$A$2004,'Saisie'!$C$5:$C$2004,C401,'Saisie'!$AT$5:$AT$2004,"&gt;=4")),""))</f>
        <v/>
      </c>
      <c r="BG401" s="106">
        <f>IF(C401="","",IFERROR(1/(1/_xlfn.MINIFS('Saisie'!$A$5:$A$2004,'Saisie'!$C$5:$C$2004,C401,'Saisie'!$AT$5:$AT$2004,"&gt;=5")),""))</f>
        <v/>
      </c>
      <c r="BH401" s="106">
        <f>IF(C401="","",IFERROR(1/(1/_xlfn.MINIFS('Saisie'!$A$5:$A$2004,'Saisie'!$C$5:$C$2004,C401,'Saisie'!$AT$5:$AT$2004,"&gt;=6")),""))</f>
        <v/>
      </c>
      <c r="BI401" s="106">
        <f>IF(C401="","",IFERROR(1/(1/_xlfn.MINIFS('Saisie'!$A$5:$A$2004,'Saisie'!$C$5:$C$2004,C401,'Saisie'!$AT$5:$AT$2004,"&gt;=7")),""))</f>
        <v/>
      </c>
      <c r="BJ401" s="60">
        <f>IF(OR(BD401="",B401=""),"",BD401-B401)</f>
        <v/>
      </c>
      <c r="BK401" s="60">
        <f>IF(OR(BE401="",BD401=""),"",BE401-BD401)</f>
        <v/>
      </c>
      <c r="BL401" s="60">
        <f>IF(OR(BF401="",BE401=""),"",BF401-BE401)</f>
        <v/>
      </c>
      <c r="BM401" s="60">
        <f>IF(OR(BG401="",BF401=""),"",BG401-BF401)</f>
        <v/>
      </c>
      <c r="BN401" s="60">
        <f>IF(OR(BH401="",BG401=""),"",BH401-BG401)</f>
        <v/>
      </c>
      <c r="BO401" s="60">
        <f>IF(OR(BI401="",BH401=""),"",BI401-BH401)</f>
        <v/>
      </c>
      <c r="BP401" s="60">
        <f>IF(C401="","",_xlfn.MAXIFS('Saisie'!$AS$5:$AS$2004,'Saisie'!$C$5:$C$2004,C401,'Saisie'!$J$5:$J$2004,"&lt;&gt;"))</f>
        <v/>
      </c>
      <c r="BQ401" s="60">
        <f>IF(C401="","",_xlfn.MAXIFS('Saisie'!$AS$5:$AS$2004,'Saisie'!$C$5:$C$2004,C401))</f>
        <v/>
      </c>
      <c r="BR401" s="60">
        <f>IF(C401="","",_xlfn.MAXIFS('Saisie'!$AS$5:$AS$2004,'Saisie'!$C$5:$C$2004,C401,'Saisie'!$E$5:$E$2004,"Perdu"))</f>
        <v/>
      </c>
      <c r="BS401" s="60">
        <f>IF(C401="","",_xlfn.MAXIFS('Saisie'!$AS$5:$AS$2004,'Saisie'!$C$5:$C$2004,C401,'Saisie'!$AT$5:$AT$2004,"&gt;0"))</f>
        <v/>
      </c>
      <c r="BT401" s="109">
        <f>IF(AND(C401&lt;&gt;"",OR(D401="Nouveau",D401="Contacté",D401="Qualifié"),OR(G401="",N(G401)&lt;=TODAY()),NOT(AND(O401&gt;='Paramètres'!$B$21,P401=0))),E401+397/10000,"")</f>
        <v/>
      </c>
      <c r="BU401" s="60">
        <f>IF(AND(G401&lt;&gt;"",N(G401)&lt;=TODAY()),MAX($BU$4:BU400)+1,"")</f>
        <v/>
      </c>
      <c r="BV401" s="60">
        <f>IF(AND(F401&lt;&gt;"",F401&lt;&gt;"Relance en retard"),MAX($BV$4:BV400)+1,"")</f>
        <v/>
      </c>
      <c r="BW401" s="60">
        <f>IF(C401="","",IF(AND(B401&gt;='Tableau de bord'!$R$4,B401&lt;='Tableau de bord'!$S$4,OR('Tableau de bord'!$G$4="Tous",N401='Tableau de bord'!$G$4)),1,0))</f>
        <v/>
      </c>
      <c r="BX401" s="60">
        <f>IF(AND(C401&lt;&gt;"",N(BA401)=7),MAX($BX$4:BX400)+1,"")</f>
        <v/>
      </c>
    </row>
    <row r="402">
      <c r="A402" s="60">
        <f>IF(C402="","","P-"&amp;TEXT(398,"000"))</f>
        <v/>
      </c>
      <c r="B402" s="106">
        <f>IF(C402="","",IFERROR(1/(1/_xlfn.MINIFS('Saisie'!$A$5:$A$2004,'Saisie'!$C$5:$C$2004,C402)),""))</f>
        <v/>
      </c>
      <c r="C402" s="60">
        <f>IFERROR(INDEX('Saisie'!$C$5:$C$2004,MATCH(398,'Saisie'!$AX$5:$AX$2004,0)),"")</f>
        <v/>
      </c>
      <c r="D402" s="60">
        <f>IF(C402="","",IF(AND(BR402&gt;0,BR402&gt;BS402,BA402&lt;7),"Perdu",INDEX('Paramètres'!$F$6:$F$13,BA402)))</f>
        <v/>
      </c>
      <c r="E402" s="61">
        <f>IF(C402="","",MIN(100,(Z402="Oui")*'Paramètres'!$B$38+(AB402="Régulière")*'Paramètres'!$B$39+IF(AND(N(AA402)&gt;0,TODAY()-N(AA402)&lt;=30),'Paramètres'!$B$40,0)+(W402="")*'Paramètres'!$B$41+(AC402="Absente")*'Paramètres'!$B$42+(AC402="Faible")*'Paramètres'!$B$43+IF(AND(N(AD402)&gt;0,N(AD402)&lt;4),'Paramètres'!$B$44,0)+(AF402="Moyenne")*'Paramètres'!$B$45+(AF402="Grande")*'Paramètres'!$B$46+(Y402&lt;&gt;"")*'Paramètres'!$B$47))</f>
        <v/>
      </c>
      <c r="F402" s="60">
        <f>IF(C402="","",IF(D402="Gagné","",IF(D402="Perdu",IF(AND(AX402&lt;&gt;"",AX402&lt;=TODAY()),"À recontacter (perdu)",""),IF(AND(O402&gt;='Paramètres'!$B$21,P402=0),"Stop : "&amp;'Paramètres'!$B$21&amp;" tentatives sans réponse",IF(AND(D402="Proposition",AR402&lt;&gt;"",TODAY()&gt;N(AR402)),"Proposition expirée",IF(AND(D402="Proposition",N(R402)&gt;='Paramètres'!$B$25),"Proposition sans réponse",IF(AND(G402&lt;&gt;"",N(G402)&lt;TODAY()),"Relance en retard",IF(N(R402)&gt;='Paramètres'!$B$24,"Sans action depuis "&amp;R402&amp;" j",""))))))))</f>
        <v/>
      </c>
      <c r="G402" s="106">
        <f>IF(OR(C402="",D402="Gagné",D402="Perdu"),"",IF(AND(BP402&gt;0,BP402=BQ402),INDEX('Saisie'!$J$5:$J$2004,BP402-4),IF(OR(O402=0,AND(O402&gt;='Paramètres'!$B$21,P402=0)),"",Q402+IF(O402&lt;=1,'Paramètres'!$B$18,IF(O402=2,'Paramètres'!$B$19,'Paramètres'!$B$20)))))</f>
        <v/>
      </c>
      <c r="H402" s="107">
        <f>IF(OR(G402="",BP402&lt;&gt;BQ402),"",IF(INDEX('Saisie'!$K$5:$K$2004,BP402-4)="","",INDEX('Saisie'!$K$5:$K$2004,BP402-4)))</f>
        <v/>
      </c>
      <c r="I402" s="60">
        <f>IF(C402="","",IF(OR(D402="Gagné",D402="Perdu"),"",IFERROR(INDEX('Saisie'!$I$5:$I$2004,_xlfn.MAXIFS('Saisie'!$AS$5:$AS$2004,'Saisie'!$C$5:$C$2004,C402,'Saisie'!$I$5:$I$2004,"&lt;&gt;")-4),"")))</f>
        <v/>
      </c>
      <c r="J402" s="60">
        <f>IF(C402="","",IFERROR(INDEX('Saisie'!$U$5:$U$2004,_xlfn.MAXIFS('Saisie'!$AS$5:$AS$2004,'Saisie'!$C$5:$C$2004,C402,'Saisie'!$U$5:$U$2004,"&lt;&gt;")-4),""))</f>
        <v/>
      </c>
      <c r="K402" s="60">
        <f>IF(C402="","",IFERROR(INDEX('Saisie'!$W$5:$W$2004,_xlfn.MAXIFS('Saisie'!$AS$5:$AS$2004,'Saisie'!$C$5:$C$2004,C402,'Saisie'!$W$5:$W$2004,"&lt;&gt;")-4),""))</f>
        <v/>
      </c>
      <c r="L402" s="60">
        <f>IF(IF(BB402&lt;&gt;"",BB402,K402)="","",HYPERLINK("https://wa.me/"&amp;IF(LEFT(SUBSTITUTE(SUBSTITUTE(SUBSTITUTE(IF(BB402&lt;&gt;"",BB402,K402)," ",""),".",""),"+",""),1)="0",'Paramètres'!$B$35&amp;MID(SUBSTITUTE(SUBSTITUTE(SUBSTITUTE(IF(BB402&lt;&gt;"",BB402,K402)," ",""),".",""),"+",""),2,20),SUBSTITUTE(SUBSTITUTE(SUBSTITUTE(IF(BB402&lt;&gt;"",BB402,K402)," ",""),".",""),"+","")),"WhatsApp"))</f>
        <v/>
      </c>
      <c r="M402" s="60">
        <f>IF(BC402="","",HYPERLINK(IF(LEFT(BC402,4)="http",BC402,"https://www.instagram.com/"&amp;SUBSTITUTE(SUBSTITUTE(BC402,"@","")," ","")),BC402))</f>
        <v/>
      </c>
      <c r="N402" s="60">
        <f>IF(C402="","",IFERROR(INDEX('Saisie'!$D$5:$D$2004,_xlfn.MINIFS('Saisie'!$AS$5:$AS$2004,'Saisie'!$C$5:$C$2004,C402,'Saisie'!$AU$5:$AU$2004,1)-4),IFERROR(INDEX('Saisie'!$D$5:$D$2004,_xlfn.MINIFS('Saisie'!$AS$5:$AS$2004,'Saisie'!$C$5:$C$2004,C402,'Saisie'!$D$5:$D$2004,"&lt;&gt;")-4),"")))</f>
        <v/>
      </c>
      <c r="O402" s="60">
        <f>IF(C402="","",COUNTIFS('Saisie'!$C$5:$C$2004,C402,'Saisie'!$AU$5:$AU$2004,1))</f>
        <v/>
      </c>
      <c r="P402" s="60">
        <f>IF(C402="","",COUNTIFS('Saisie'!$C$5:$C$2004,C402,'Saisie'!$AV$5:$AV$2004,1))</f>
        <v/>
      </c>
      <c r="Q402" s="106">
        <f>IF(C402="","",IFERROR(1/(1/_xlfn.MAXIFS('Saisie'!$A$5:$A$2004,'Saisie'!$C$5:$C$2004,C402)),""))</f>
        <v/>
      </c>
      <c r="R402" s="61">
        <f>IF(C402="","",IF(Q402="","",TODAY()-Q402))</f>
        <v/>
      </c>
      <c r="S402" s="60">
        <f>IF(C402="","",IFERROR(INDEX('Saisie'!$R$5:$R$2004,_xlfn.MAXIFS('Saisie'!$AS$5:$AS$2004,'Saisie'!$C$5:$C$2004,C402,'Saisie'!$R$5:$R$2004,"&lt;&gt;")-4),""))</f>
        <v/>
      </c>
      <c r="T402" s="60">
        <f>IF(C402="","",IFERROR(INDEX('Saisie'!$S$5:$S$2004,_xlfn.MAXIFS('Saisie'!$AS$5:$AS$2004,'Saisie'!$C$5:$C$2004,C402,'Saisie'!$S$5:$S$2004,"&lt;&gt;")-4),""))</f>
        <v/>
      </c>
      <c r="U402" s="60">
        <f>IF(C402="","",IFERROR(INDEX('Saisie'!$T$5:$T$2004,_xlfn.MAXIFS('Saisie'!$AS$5:$AS$2004,'Saisie'!$C$5:$C$2004,C402,'Saisie'!$T$5:$T$2004,"&lt;&gt;")-4),""))</f>
        <v/>
      </c>
      <c r="V402" s="60">
        <f>IF(C402="","",IFERROR(INDEX('Saisie'!$V$5:$V$2004,_xlfn.MAXIFS('Saisie'!$AS$5:$AS$2004,'Saisie'!$C$5:$C$2004,C402,'Saisie'!$V$5:$V$2004,"&lt;&gt;")-4),""))</f>
        <v/>
      </c>
      <c r="W402" s="60">
        <f>IF(C402="","",IFERROR(INDEX('Saisie'!$Z$5:$Z$2004,_xlfn.MAXIFS('Saisie'!$AS$5:$AS$2004,'Saisie'!$C$5:$C$2004,C402,'Saisie'!$Z$5:$Z$2004,"&lt;&gt;")-4),""))</f>
        <v/>
      </c>
      <c r="X402" s="60">
        <f>IF(C402="","",IFERROR(INDEX('Saisie'!$AA$5:$AA$2004,_xlfn.MAXIFS('Saisie'!$AS$5:$AS$2004,'Saisie'!$C$5:$C$2004,C402,'Saisie'!$AA$5:$AA$2004,"&lt;&gt;")-4),""))</f>
        <v/>
      </c>
      <c r="Y402" s="60">
        <f>IF(C402="","",IFERROR(INDEX('Saisie'!$AB$5:$AB$2004,_xlfn.MAXIFS('Saisie'!$AS$5:$AS$2004,'Saisie'!$C$5:$C$2004,C402,'Saisie'!$AB$5:$AB$2004,"&lt;&gt;")-4),""))</f>
        <v/>
      </c>
      <c r="Z402" s="60">
        <f>IF(C402="","",IFERROR(INDEX('Saisie'!$AC$5:$AC$2004,_xlfn.MAXIFS('Saisie'!$AS$5:$AS$2004,'Saisie'!$C$5:$C$2004,C402,'Saisie'!$AC$5:$AC$2004,"&lt;&gt;")-4),""))</f>
        <v/>
      </c>
      <c r="AA402" s="106">
        <f>IF(C402="","",IFERROR(INDEX('Saisie'!$AD$5:$AD$2004,_xlfn.MAXIFS('Saisie'!$AS$5:$AS$2004,'Saisie'!$C$5:$C$2004,C402,'Saisie'!$AD$5:$AD$2004,"&lt;&gt;")-4),""))</f>
        <v/>
      </c>
      <c r="AB402" s="60">
        <f>IF(C402="","",IFERROR(INDEX('Saisie'!$AE$5:$AE$2004,_xlfn.MAXIFS('Saisie'!$AS$5:$AS$2004,'Saisie'!$C$5:$C$2004,C402,'Saisie'!$AE$5:$AE$2004,"&lt;&gt;")-4),""))</f>
        <v/>
      </c>
      <c r="AC402" s="60">
        <f>IF(C402="","",IFERROR(INDEX('Saisie'!$AF$5:$AF$2004,_xlfn.MAXIFS('Saisie'!$AS$5:$AS$2004,'Saisie'!$C$5:$C$2004,C402,'Saisie'!$AF$5:$AF$2004,"&lt;&gt;")-4),""))</f>
        <v/>
      </c>
      <c r="AD402" s="108">
        <f>IF(C402="","",IFERROR(INDEX('Saisie'!$AG$5:$AG$2004,_xlfn.MAXIFS('Saisie'!$AS$5:$AS$2004,'Saisie'!$C$5:$C$2004,C402,'Saisie'!$AG$5:$AG$2004,"&lt;&gt;")-4),""))</f>
        <v/>
      </c>
      <c r="AE402" s="60">
        <f>IF(C402="","",IFERROR(INDEX('Saisie'!$AH$5:$AH$2004,_xlfn.MAXIFS('Saisie'!$AS$5:$AS$2004,'Saisie'!$C$5:$C$2004,C402,'Saisie'!$AH$5:$AH$2004,"&lt;&gt;")-4),""))</f>
        <v/>
      </c>
      <c r="AF402" s="60">
        <f>IF(C402="","",IFERROR(INDEX('Saisie'!$AI$5:$AI$2004,_xlfn.MAXIFS('Saisie'!$AS$5:$AS$2004,'Saisie'!$C$5:$C$2004,C402,'Saisie'!$AI$5:$AI$2004,"&lt;&gt;")-4),""))</f>
        <v/>
      </c>
      <c r="AG402" s="60">
        <f>IF(C402="","",IFERROR(INDEX('Saisie'!$AJ$5:$AJ$2004,_xlfn.MAXIFS('Saisie'!$AS$5:$AS$2004,'Saisie'!$C$5:$C$2004,C402,'Saisie'!$AJ$5:$AJ$2004,"&lt;&gt;")-4),""))</f>
        <v/>
      </c>
      <c r="AH402" s="60">
        <f>IF(C402="","",IFERROR(INDEX('Saisie'!$AK$5:$AK$2004,_xlfn.MAXIFS('Saisie'!$AS$5:$AS$2004,'Saisie'!$C$5:$C$2004,C402,'Saisie'!$AK$5:$AK$2004,"&lt;&gt;")-4),""))</f>
        <v/>
      </c>
      <c r="AI402" s="60">
        <f>IF(C402="","",IFERROR(INDEX('Saisie'!$AN$5:$AN$2004,_xlfn.MAXIFS('Saisie'!$AS$5:$AS$2004,'Saisie'!$C$5:$C$2004,C402,'Saisie'!$AN$5:$AN$2004,"&lt;&gt;")-4),""))</f>
        <v/>
      </c>
      <c r="AJ402" s="60">
        <f>IF(C402="","",IFERROR(INDEX('Saisie'!$AO$5:$AO$2004,_xlfn.MAXIFS('Saisie'!$AS$5:$AS$2004,'Saisie'!$C$5:$C$2004,C402,'Saisie'!$AO$5:$AO$2004,"&lt;&gt;")-4),""))</f>
        <v/>
      </c>
      <c r="AK402" s="60">
        <f>IF(C402="","",IFERROR(INDEX('Saisie'!$AP$5:$AP$2004,_xlfn.MAXIFS('Saisie'!$AS$5:$AS$2004,'Saisie'!$C$5:$C$2004,C402,'Saisie'!$AP$5:$AP$2004,"&lt;&gt;")-4),""))</f>
        <v/>
      </c>
      <c r="AL402" s="60">
        <f>IF(C402="","",IFERROR(INDEX('Saisie'!$AQ$5:$AQ$2004,_xlfn.MAXIFS('Saisie'!$AS$5:$AS$2004,'Saisie'!$C$5:$C$2004,C402,'Saisie'!$AQ$5:$AQ$2004,"&lt;&gt;")-4),""))</f>
        <v/>
      </c>
      <c r="AM402" s="60">
        <f>IF(C402="","",((AI402="Oui")+(AJ402="Oui")+(AK402="Oui")+OR(AL402="Immédiat",AL402="&lt; 1 mois"))&amp;"/4")</f>
        <v/>
      </c>
      <c r="AN402" s="60">
        <f>IF(C402="","",IFERROR(INDEX('Saisie'!$AL$5:$AL$2004,_xlfn.MAXIFS('Saisie'!$AS$5:$AS$2004,'Saisie'!$C$5:$C$2004,C402,'Saisie'!$AL$5:$AL$2004,"&lt;&gt;")-4),""))</f>
        <v/>
      </c>
      <c r="AO402" s="62">
        <f>IF(C402="","",IF(IFERROR(INDEX('Saisie'!$AM$5:$AM$2004,_xlfn.MAXIFS('Saisie'!$AS$5:$AS$2004,'Saisie'!$C$5:$C$2004,C402,'Saisie'!$AM$5:$AM$2004,"&lt;&gt;")-4),"")&lt;&gt;"",IFERROR(INDEX('Saisie'!$AM$5:$AM$2004,_xlfn.MAXIFS('Saisie'!$AS$5:$AS$2004,'Saisie'!$C$5:$C$2004,C402,'Saisie'!$AM$5:$AM$2004,"&lt;&gt;")-4),""),IFERROR(INDEX('Paramètres'!$S$6:$S$15,MATCH(AN402,'Paramètres'!$Q$6:$Q$15,0)),"")))</f>
        <v/>
      </c>
      <c r="AP402" s="62">
        <f>IF(C402="","",IFERROR(INDEX('Saisie'!$AW$5:$AW$2004,_xlfn.MAXIFS('Saisie'!$AS$5:$AS$2004,'Saisie'!$C$5:$C$2004,C402,'Saisie'!$E$5:$E$2004,"Proposition envoyée")-4),""))</f>
        <v/>
      </c>
      <c r="AQ402" s="106">
        <f>IF(C402="","",IFERROR(1/(1/_xlfn.MAXIFS('Saisie'!$A$5:$A$2004,'Saisie'!$C$5:$C$2004,C402,'Saisie'!$E$5:$E$2004,"Proposition envoyée")),""))</f>
        <v/>
      </c>
      <c r="AR402" s="106">
        <f>IF(C402="","",IF(AQ402="","",AQ402+'Paramètres'!$B$26))</f>
        <v/>
      </c>
      <c r="AS402" s="62">
        <f>IF(OR(C402="",D402="Gagné",D402="Perdu"),0,N(AP402)*IFERROR(INDEX('Paramètres'!$G$6:$G$13,MATCH(D402,'Paramètres'!$F$6:$F$13,0)),0))</f>
        <v/>
      </c>
      <c r="AT402" s="106">
        <f>IF(C402="","",IFERROR(1/(1/_xlfn.MINIFS('Saisie'!$A$5:$A$2004,'Saisie'!$C$5:$C$2004,C402,'Saisie'!$E$5:$E$2004,"Signature")),""))</f>
        <v/>
      </c>
      <c r="AU402" s="60">
        <f>IF(C402="","",IF(OR(AT402="",B402=""),"",AT402-B402))</f>
        <v/>
      </c>
      <c r="AV402" s="60">
        <f>IF(C402="","",IFERROR(INDEX('Saisie'!$L$5:$L$2004,_xlfn.MAXIFS('Saisie'!$AS$5:$AS$2004,'Saisie'!$C$5:$C$2004,C402,'Saisie'!$L$5:$L$2004,"&lt;&gt;")-4),""))</f>
        <v/>
      </c>
      <c r="AW402" s="106">
        <f>IF(C402="","",IF(D402&lt;&gt;"Perdu","",IFERROR(1/(1/_xlfn.MAXIFS('Saisie'!$A$5:$A$2004,'Saisie'!$C$5:$C$2004,C402,'Saisie'!$E$5:$E$2004,"Perdu")),"")))</f>
        <v/>
      </c>
      <c r="AX402" s="106">
        <f>IF(C402="","",IF(AW402="","",AW402+'Paramètres'!$B$28))</f>
        <v/>
      </c>
      <c r="AY402" s="60">
        <f>IF(C402="","",SUMIFS('Saisie'!$H$5:$H$2004,'Saisie'!$C$5:$C$2004,C402))</f>
        <v/>
      </c>
      <c r="AZ402" s="60">
        <f>IF(C402="","",IFERROR(INDEX('Paramètres'!$W$6:$W$20,MATCH(S402,'Paramètres'!$V$6:$V$20,0))&amp;"",""))</f>
        <v/>
      </c>
      <c r="BA402" s="60">
        <f>IF(C402="","",MAX(1,_xlfn.MAXIFS('Saisie'!$AT$5:$AT$2004,'Saisie'!$C$5:$C$2004,C402)))</f>
        <v/>
      </c>
      <c r="BB402" s="60">
        <f>IF(C402="","",IFERROR(INDEX('Saisie'!$X$5:$X$2004,_xlfn.MAXIFS('Saisie'!$AS$5:$AS$2004,'Saisie'!$C$5:$C$2004,C402,'Saisie'!$X$5:$X$2004,"&lt;&gt;")-4),""))</f>
        <v/>
      </c>
      <c r="BC402" s="60">
        <f>IF(C402="","",IFERROR(INDEX('Saisie'!$Y$5:$Y$2004,_xlfn.MAXIFS('Saisie'!$AS$5:$AS$2004,'Saisie'!$C$5:$C$2004,C402,'Saisie'!$Y$5:$Y$2004,"&lt;&gt;")-4),""))</f>
        <v/>
      </c>
      <c r="BD402" s="106">
        <f>IF(C402="","",IFERROR(1/(1/_xlfn.MINIFS('Saisie'!$A$5:$A$2004,'Saisie'!$C$5:$C$2004,C402,'Saisie'!$AT$5:$AT$2004,"&gt;=2")),""))</f>
        <v/>
      </c>
      <c r="BE402" s="106">
        <f>IF(C402="","",IFERROR(1/(1/_xlfn.MINIFS('Saisie'!$A$5:$A$2004,'Saisie'!$C$5:$C$2004,C402,'Saisie'!$AT$5:$AT$2004,"&gt;=3")),""))</f>
        <v/>
      </c>
      <c r="BF402" s="106">
        <f>IF(C402="","",IFERROR(1/(1/_xlfn.MINIFS('Saisie'!$A$5:$A$2004,'Saisie'!$C$5:$C$2004,C402,'Saisie'!$AT$5:$AT$2004,"&gt;=4")),""))</f>
        <v/>
      </c>
      <c r="BG402" s="106">
        <f>IF(C402="","",IFERROR(1/(1/_xlfn.MINIFS('Saisie'!$A$5:$A$2004,'Saisie'!$C$5:$C$2004,C402,'Saisie'!$AT$5:$AT$2004,"&gt;=5")),""))</f>
        <v/>
      </c>
      <c r="BH402" s="106">
        <f>IF(C402="","",IFERROR(1/(1/_xlfn.MINIFS('Saisie'!$A$5:$A$2004,'Saisie'!$C$5:$C$2004,C402,'Saisie'!$AT$5:$AT$2004,"&gt;=6")),""))</f>
        <v/>
      </c>
      <c r="BI402" s="106">
        <f>IF(C402="","",IFERROR(1/(1/_xlfn.MINIFS('Saisie'!$A$5:$A$2004,'Saisie'!$C$5:$C$2004,C402,'Saisie'!$AT$5:$AT$2004,"&gt;=7")),""))</f>
        <v/>
      </c>
      <c r="BJ402" s="60">
        <f>IF(OR(BD402="",B402=""),"",BD402-B402)</f>
        <v/>
      </c>
      <c r="BK402" s="60">
        <f>IF(OR(BE402="",BD402=""),"",BE402-BD402)</f>
        <v/>
      </c>
      <c r="BL402" s="60">
        <f>IF(OR(BF402="",BE402=""),"",BF402-BE402)</f>
        <v/>
      </c>
      <c r="BM402" s="60">
        <f>IF(OR(BG402="",BF402=""),"",BG402-BF402)</f>
        <v/>
      </c>
      <c r="BN402" s="60">
        <f>IF(OR(BH402="",BG402=""),"",BH402-BG402)</f>
        <v/>
      </c>
      <c r="BO402" s="60">
        <f>IF(OR(BI402="",BH402=""),"",BI402-BH402)</f>
        <v/>
      </c>
      <c r="BP402" s="60">
        <f>IF(C402="","",_xlfn.MAXIFS('Saisie'!$AS$5:$AS$2004,'Saisie'!$C$5:$C$2004,C402,'Saisie'!$J$5:$J$2004,"&lt;&gt;"))</f>
        <v/>
      </c>
      <c r="BQ402" s="60">
        <f>IF(C402="","",_xlfn.MAXIFS('Saisie'!$AS$5:$AS$2004,'Saisie'!$C$5:$C$2004,C402))</f>
        <v/>
      </c>
      <c r="BR402" s="60">
        <f>IF(C402="","",_xlfn.MAXIFS('Saisie'!$AS$5:$AS$2004,'Saisie'!$C$5:$C$2004,C402,'Saisie'!$E$5:$E$2004,"Perdu"))</f>
        <v/>
      </c>
      <c r="BS402" s="60">
        <f>IF(C402="","",_xlfn.MAXIFS('Saisie'!$AS$5:$AS$2004,'Saisie'!$C$5:$C$2004,C402,'Saisie'!$AT$5:$AT$2004,"&gt;0"))</f>
        <v/>
      </c>
      <c r="BT402" s="109">
        <f>IF(AND(C402&lt;&gt;"",OR(D402="Nouveau",D402="Contacté",D402="Qualifié"),OR(G402="",N(G402)&lt;=TODAY()),NOT(AND(O402&gt;='Paramètres'!$B$21,P402=0))),E402+398/10000,"")</f>
        <v/>
      </c>
      <c r="BU402" s="60">
        <f>IF(AND(G402&lt;&gt;"",N(G402)&lt;=TODAY()),MAX($BU$4:BU401)+1,"")</f>
        <v/>
      </c>
      <c r="BV402" s="60">
        <f>IF(AND(F402&lt;&gt;"",F402&lt;&gt;"Relance en retard"),MAX($BV$4:BV401)+1,"")</f>
        <v/>
      </c>
      <c r="BW402" s="60">
        <f>IF(C402="","",IF(AND(B402&gt;='Tableau de bord'!$R$4,B402&lt;='Tableau de bord'!$S$4,OR('Tableau de bord'!$G$4="Tous",N402='Tableau de bord'!$G$4)),1,0))</f>
        <v/>
      </c>
      <c r="BX402" s="60">
        <f>IF(AND(C402&lt;&gt;"",N(BA402)=7),MAX($BX$4:BX401)+1,"")</f>
        <v/>
      </c>
    </row>
    <row r="403">
      <c r="A403" s="60">
        <f>IF(C403="","","P-"&amp;TEXT(399,"000"))</f>
        <v/>
      </c>
      <c r="B403" s="106">
        <f>IF(C403="","",IFERROR(1/(1/_xlfn.MINIFS('Saisie'!$A$5:$A$2004,'Saisie'!$C$5:$C$2004,C403)),""))</f>
        <v/>
      </c>
      <c r="C403" s="60">
        <f>IFERROR(INDEX('Saisie'!$C$5:$C$2004,MATCH(399,'Saisie'!$AX$5:$AX$2004,0)),"")</f>
        <v/>
      </c>
      <c r="D403" s="60">
        <f>IF(C403="","",IF(AND(BR403&gt;0,BR403&gt;BS403,BA403&lt;7),"Perdu",INDEX('Paramètres'!$F$6:$F$13,BA403)))</f>
        <v/>
      </c>
      <c r="E403" s="61">
        <f>IF(C403="","",MIN(100,(Z403="Oui")*'Paramètres'!$B$38+(AB403="Régulière")*'Paramètres'!$B$39+IF(AND(N(AA403)&gt;0,TODAY()-N(AA403)&lt;=30),'Paramètres'!$B$40,0)+(W403="")*'Paramètres'!$B$41+(AC403="Absente")*'Paramètres'!$B$42+(AC403="Faible")*'Paramètres'!$B$43+IF(AND(N(AD403)&gt;0,N(AD403)&lt;4),'Paramètres'!$B$44,0)+(AF403="Moyenne")*'Paramètres'!$B$45+(AF403="Grande")*'Paramètres'!$B$46+(Y403&lt;&gt;"")*'Paramètres'!$B$47))</f>
        <v/>
      </c>
      <c r="F403" s="60">
        <f>IF(C403="","",IF(D403="Gagné","",IF(D403="Perdu",IF(AND(AX403&lt;&gt;"",AX403&lt;=TODAY()),"À recontacter (perdu)",""),IF(AND(O403&gt;='Paramètres'!$B$21,P403=0),"Stop : "&amp;'Paramètres'!$B$21&amp;" tentatives sans réponse",IF(AND(D403="Proposition",AR403&lt;&gt;"",TODAY()&gt;N(AR403)),"Proposition expirée",IF(AND(D403="Proposition",N(R403)&gt;='Paramètres'!$B$25),"Proposition sans réponse",IF(AND(G403&lt;&gt;"",N(G403)&lt;TODAY()),"Relance en retard",IF(N(R403)&gt;='Paramètres'!$B$24,"Sans action depuis "&amp;R403&amp;" j",""))))))))</f>
        <v/>
      </c>
      <c r="G403" s="106">
        <f>IF(OR(C403="",D403="Gagné",D403="Perdu"),"",IF(AND(BP403&gt;0,BP403=BQ403),INDEX('Saisie'!$J$5:$J$2004,BP403-4),IF(OR(O403=0,AND(O403&gt;='Paramètres'!$B$21,P403=0)),"",Q403+IF(O403&lt;=1,'Paramètres'!$B$18,IF(O403=2,'Paramètres'!$B$19,'Paramètres'!$B$20)))))</f>
        <v/>
      </c>
      <c r="H403" s="107">
        <f>IF(OR(G403="",BP403&lt;&gt;BQ403),"",IF(INDEX('Saisie'!$K$5:$K$2004,BP403-4)="","",INDEX('Saisie'!$K$5:$K$2004,BP403-4)))</f>
        <v/>
      </c>
      <c r="I403" s="60">
        <f>IF(C403="","",IF(OR(D403="Gagné",D403="Perdu"),"",IFERROR(INDEX('Saisie'!$I$5:$I$2004,_xlfn.MAXIFS('Saisie'!$AS$5:$AS$2004,'Saisie'!$C$5:$C$2004,C403,'Saisie'!$I$5:$I$2004,"&lt;&gt;")-4),"")))</f>
        <v/>
      </c>
      <c r="J403" s="60">
        <f>IF(C403="","",IFERROR(INDEX('Saisie'!$U$5:$U$2004,_xlfn.MAXIFS('Saisie'!$AS$5:$AS$2004,'Saisie'!$C$5:$C$2004,C403,'Saisie'!$U$5:$U$2004,"&lt;&gt;")-4),""))</f>
        <v/>
      </c>
      <c r="K403" s="60">
        <f>IF(C403="","",IFERROR(INDEX('Saisie'!$W$5:$W$2004,_xlfn.MAXIFS('Saisie'!$AS$5:$AS$2004,'Saisie'!$C$5:$C$2004,C403,'Saisie'!$W$5:$W$2004,"&lt;&gt;")-4),""))</f>
        <v/>
      </c>
      <c r="L403" s="60">
        <f>IF(IF(BB403&lt;&gt;"",BB403,K403)="","",HYPERLINK("https://wa.me/"&amp;IF(LEFT(SUBSTITUTE(SUBSTITUTE(SUBSTITUTE(IF(BB403&lt;&gt;"",BB403,K403)," ",""),".",""),"+",""),1)="0",'Paramètres'!$B$35&amp;MID(SUBSTITUTE(SUBSTITUTE(SUBSTITUTE(IF(BB403&lt;&gt;"",BB403,K403)," ",""),".",""),"+",""),2,20),SUBSTITUTE(SUBSTITUTE(SUBSTITUTE(IF(BB403&lt;&gt;"",BB403,K403)," ",""),".",""),"+","")),"WhatsApp"))</f>
        <v/>
      </c>
      <c r="M403" s="60">
        <f>IF(BC403="","",HYPERLINK(IF(LEFT(BC403,4)="http",BC403,"https://www.instagram.com/"&amp;SUBSTITUTE(SUBSTITUTE(BC403,"@","")," ","")),BC403))</f>
        <v/>
      </c>
      <c r="N403" s="60">
        <f>IF(C403="","",IFERROR(INDEX('Saisie'!$D$5:$D$2004,_xlfn.MINIFS('Saisie'!$AS$5:$AS$2004,'Saisie'!$C$5:$C$2004,C403,'Saisie'!$AU$5:$AU$2004,1)-4),IFERROR(INDEX('Saisie'!$D$5:$D$2004,_xlfn.MINIFS('Saisie'!$AS$5:$AS$2004,'Saisie'!$C$5:$C$2004,C403,'Saisie'!$D$5:$D$2004,"&lt;&gt;")-4),"")))</f>
        <v/>
      </c>
      <c r="O403" s="60">
        <f>IF(C403="","",COUNTIFS('Saisie'!$C$5:$C$2004,C403,'Saisie'!$AU$5:$AU$2004,1))</f>
        <v/>
      </c>
      <c r="P403" s="60">
        <f>IF(C403="","",COUNTIFS('Saisie'!$C$5:$C$2004,C403,'Saisie'!$AV$5:$AV$2004,1))</f>
        <v/>
      </c>
      <c r="Q403" s="106">
        <f>IF(C403="","",IFERROR(1/(1/_xlfn.MAXIFS('Saisie'!$A$5:$A$2004,'Saisie'!$C$5:$C$2004,C403)),""))</f>
        <v/>
      </c>
      <c r="R403" s="61">
        <f>IF(C403="","",IF(Q403="","",TODAY()-Q403))</f>
        <v/>
      </c>
      <c r="S403" s="60">
        <f>IF(C403="","",IFERROR(INDEX('Saisie'!$R$5:$R$2004,_xlfn.MAXIFS('Saisie'!$AS$5:$AS$2004,'Saisie'!$C$5:$C$2004,C403,'Saisie'!$R$5:$R$2004,"&lt;&gt;")-4),""))</f>
        <v/>
      </c>
      <c r="T403" s="60">
        <f>IF(C403="","",IFERROR(INDEX('Saisie'!$S$5:$S$2004,_xlfn.MAXIFS('Saisie'!$AS$5:$AS$2004,'Saisie'!$C$5:$C$2004,C403,'Saisie'!$S$5:$S$2004,"&lt;&gt;")-4),""))</f>
        <v/>
      </c>
      <c r="U403" s="60">
        <f>IF(C403="","",IFERROR(INDEX('Saisie'!$T$5:$T$2004,_xlfn.MAXIFS('Saisie'!$AS$5:$AS$2004,'Saisie'!$C$5:$C$2004,C403,'Saisie'!$T$5:$T$2004,"&lt;&gt;")-4),""))</f>
        <v/>
      </c>
      <c r="V403" s="60">
        <f>IF(C403="","",IFERROR(INDEX('Saisie'!$V$5:$V$2004,_xlfn.MAXIFS('Saisie'!$AS$5:$AS$2004,'Saisie'!$C$5:$C$2004,C403,'Saisie'!$V$5:$V$2004,"&lt;&gt;")-4),""))</f>
        <v/>
      </c>
      <c r="W403" s="60">
        <f>IF(C403="","",IFERROR(INDEX('Saisie'!$Z$5:$Z$2004,_xlfn.MAXIFS('Saisie'!$AS$5:$AS$2004,'Saisie'!$C$5:$C$2004,C403,'Saisie'!$Z$5:$Z$2004,"&lt;&gt;")-4),""))</f>
        <v/>
      </c>
      <c r="X403" s="60">
        <f>IF(C403="","",IFERROR(INDEX('Saisie'!$AA$5:$AA$2004,_xlfn.MAXIFS('Saisie'!$AS$5:$AS$2004,'Saisie'!$C$5:$C$2004,C403,'Saisie'!$AA$5:$AA$2004,"&lt;&gt;")-4),""))</f>
        <v/>
      </c>
      <c r="Y403" s="60">
        <f>IF(C403="","",IFERROR(INDEX('Saisie'!$AB$5:$AB$2004,_xlfn.MAXIFS('Saisie'!$AS$5:$AS$2004,'Saisie'!$C$5:$C$2004,C403,'Saisie'!$AB$5:$AB$2004,"&lt;&gt;")-4),""))</f>
        <v/>
      </c>
      <c r="Z403" s="60">
        <f>IF(C403="","",IFERROR(INDEX('Saisie'!$AC$5:$AC$2004,_xlfn.MAXIFS('Saisie'!$AS$5:$AS$2004,'Saisie'!$C$5:$C$2004,C403,'Saisie'!$AC$5:$AC$2004,"&lt;&gt;")-4),""))</f>
        <v/>
      </c>
      <c r="AA403" s="106">
        <f>IF(C403="","",IFERROR(INDEX('Saisie'!$AD$5:$AD$2004,_xlfn.MAXIFS('Saisie'!$AS$5:$AS$2004,'Saisie'!$C$5:$C$2004,C403,'Saisie'!$AD$5:$AD$2004,"&lt;&gt;")-4),""))</f>
        <v/>
      </c>
      <c r="AB403" s="60">
        <f>IF(C403="","",IFERROR(INDEX('Saisie'!$AE$5:$AE$2004,_xlfn.MAXIFS('Saisie'!$AS$5:$AS$2004,'Saisie'!$C$5:$C$2004,C403,'Saisie'!$AE$5:$AE$2004,"&lt;&gt;")-4),""))</f>
        <v/>
      </c>
      <c r="AC403" s="60">
        <f>IF(C403="","",IFERROR(INDEX('Saisie'!$AF$5:$AF$2004,_xlfn.MAXIFS('Saisie'!$AS$5:$AS$2004,'Saisie'!$C$5:$C$2004,C403,'Saisie'!$AF$5:$AF$2004,"&lt;&gt;")-4),""))</f>
        <v/>
      </c>
      <c r="AD403" s="108">
        <f>IF(C403="","",IFERROR(INDEX('Saisie'!$AG$5:$AG$2004,_xlfn.MAXIFS('Saisie'!$AS$5:$AS$2004,'Saisie'!$C$5:$C$2004,C403,'Saisie'!$AG$5:$AG$2004,"&lt;&gt;")-4),""))</f>
        <v/>
      </c>
      <c r="AE403" s="60">
        <f>IF(C403="","",IFERROR(INDEX('Saisie'!$AH$5:$AH$2004,_xlfn.MAXIFS('Saisie'!$AS$5:$AS$2004,'Saisie'!$C$5:$C$2004,C403,'Saisie'!$AH$5:$AH$2004,"&lt;&gt;")-4),""))</f>
        <v/>
      </c>
      <c r="AF403" s="60">
        <f>IF(C403="","",IFERROR(INDEX('Saisie'!$AI$5:$AI$2004,_xlfn.MAXIFS('Saisie'!$AS$5:$AS$2004,'Saisie'!$C$5:$C$2004,C403,'Saisie'!$AI$5:$AI$2004,"&lt;&gt;")-4),""))</f>
        <v/>
      </c>
      <c r="AG403" s="60">
        <f>IF(C403="","",IFERROR(INDEX('Saisie'!$AJ$5:$AJ$2004,_xlfn.MAXIFS('Saisie'!$AS$5:$AS$2004,'Saisie'!$C$5:$C$2004,C403,'Saisie'!$AJ$5:$AJ$2004,"&lt;&gt;")-4),""))</f>
        <v/>
      </c>
      <c r="AH403" s="60">
        <f>IF(C403="","",IFERROR(INDEX('Saisie'!$AK$5:$AK$2004,_xlfn.MAXIFS('Saisie'!$AS$5:$AS$2004,'Saisie'!$C$5:$C$2004,C403,'Saisie'!$AK$5:$AK$2004,"&lt;&gt;")-4),""))</f>
        <v/>
      </c>
      <c r="AI403" s="60">
        <f>IF(C403="","",IFERROR(INDEX('Saisie'!$AN$5:$AN$2004,_xlfn.MAXIFS('Saisie'!$AS$5:$AS$2004,'Saisie'!$C$5:$C$2004,C403,'Saisie'!$AN$5:$AN$2004,"&lt;&gt;")-4),""))</f>
        <v/>
      </c>
      <c r="AJ403" s="60">
        <f>IF(C403="","",IFERROR(INDEX('Saisie'!$AO$5:$AO$2004,_xlfn.MAXIFS('Saisie'!$AS$5:$AS$2004,'Saisie'!$C$5:$C$2004,C403,'Saisie'!$AO$5:$AO$2004,"&lt;&gt;")-4),""))</f>
        <v/>
      </c>
      <c r="AK403" s="60">
        <f>IF(C403="","",IFERROR(INDEX('Saisie'!$AP$5:$AP$2004,_xlfn.MAXIFS('Saisie'!$AS$5:$AS$2004,'Saisie'!$C$5:$C$2004,C403,'Saisie'!$AP$5:$AP$2004,"&lt;&gt;")-4),""))</f>
        <v/>
      </c>
      <c r="AL403" s="60">
        <f>IF(C403="","",IFERROR(INDEX('Saisie'!$AQ$5:$AQ$2004,_xlfn.MAXIFS('Saisie'!$AS$5:$AS$2004,'Saisie'!$C$5:$C$2004,C403,'Saisie'!$AQ$5:$AQ$2004,"&lt;&gt;")-4),""))</f>
        <v/>
      </c>
      <c r="AM403" s="60">
        <f>IF(C403="","",((AI403="Oui")+(AJ403="Oui")+(AK403="Oui")+OR(AL403="Immédiat",AL403="&lt; 1 mois"))&amp;"/4")</f>
        <v/>
      </c>
      <c r="AN403" s="60">
        <f>IF(C403="","",IFERROR(INDEX('Saisie'!$AL$5:$AL$2004,_xlfn.MAXIFS('Saisie'!$AS$5:$AS$2004,'Saisie'!$C$5:$C$2004,C403,'Saisie'!$AL$5:$AL$2004,"&lt;&gt;")-4),""))</f>
        <v/>
      </c>
      <c r="AO403" s="62">
        <f>IF(C403="","",IF(IFERROR(INDEX('Saisie'!$AM$5:$AM$2004,_xlfn.MAXIFS('Saisie'!$AS$5:$AS$2004,'Saisie'!$C$5:$C$2004,C403,'Saisie'!$AM$5:$AM$2004,"&lt;&gt;")-4),"")&lt;&gt;"",IFERROR(INDEX('Saisie'!$AM$5:$AM$2004,_xlfn.MAXIFS('Saisie'!$AS$5:$AS$2004,'Saisie'!$C$5:$C$2004,C403,'Saisie'!$AM$5:$AM$2004,"&lt;&gt;")-4),""),IFERROR(INDEX('Paramètres'!$S$6:$S$15,MATCH(AN403,'Paramètres'!$Q$6:$Q$15,0)),"")))</f>
        <v/>
      </c>
      <c r="AP403" s="62">
        <f>IF(C403="","",IFERROR(INDEX('Saisie'!$AW$5:$AW$2004,_xlfn.MAXIFS('Saisie'!$AS$5:$AS$2004,'Saisie'!$C$5:$C$2004,C403,'Saisie'!$E$5:$E$2004,"Proposition envoyée")-4),""))</f>
        <v/>
      </c>
      <c r="AQ403" s="106">
        <f>IF(C403="","",IFERROR(1/(1/_xlfn.MAXIFS('Saisie'!$A$5:$A$2004,'Saisie'!$C$5:$C$2004,C403,'Saisie'!$E$5:$E$2004,"Proposition envoyée")),""))</f>
        <v/>
      </c>
      <c r="AR403" s="106">
        <f>IF(C403="","",IF(AQ403="","",AQ403+'Paramètres'!$B$26))</f>
        <v/>
      </c>
      <c r="AS403" s="62">
        <f>IF(OR(C403="",D403="Gagné",D403="Perdu"),0,N(AP403)*IFERROR(INDEX('Paramètres'!$G$6:$G$13,MATCH(D403,'Paramètres'!$F$6:$F$13,0)),0))</f>
        <v/>
      </c>
      <c r="AT403" s="106">
        <f>IF(C403="","",IFERROR(1/(1/_xlfn.MINIFS('Saisie'!$A$5:$A$2004,'Saisie'!$C$5:$C$2004,C403,'Saisie'!$E$5:$E$2004,"Signature")),""))</f>
        <v/>
      </c>
      <c r="AU403" s="60">
        <f>IF(C403="","",IF(OR(AT403="",B403=""),"",AT403-B403))</f>
        <v/>
      </c>
      <c r="AV403" s="60">
        <f>IF(C403="","",IFERROR(INDEX('Saisie'!$L$5:$L$2004,_xlfn.MAXIFS('Saisie'!$AS$5:$AS$2004,'Saisie'!$C$5:$C$2004,C403,'Saisie'!$L$5:$L$2004,"&lt;&gt;")-4),""))</f>
        <v/>
      </c>
      <c r="AW403" s="106">
        <f>IF(C403="","",IF(D403&lt;&gt;"Perdu","",IFERROR(1/(1/_xlfn.MAXIFS('Saisie'!$A$5:$A$2004,'Saisie'!$C$5:$C$2004,C403,'Saisie'!$E$5:$E$2004,"Perdu")),"")))</f>
        <v/>
      </c>
      <c r="AX403" s="106">
        <f>IF(C403="","",IF(AW403="","",AW403+'Paramètres'!$B$28))</f>
        <v/>
      </c>
      <c r="AY403" s="60">
        <f>IF(C403="","",SUMIFS('Saisie'!$H$5:$H$2004,'Saisie'!$C$5:$C$2004,C403))</f>
        <v/>
      </c>
      <c r="AZ403" s="60">
        <f>IF(C403="","",IFERROR(INDEX('Paramètres'!$W$6:$W$20,MATCH(S403,'Paramètres'!$V$6:$V$20,0))&amp;"",""))</f>
        <v/>
      </c>
      <c r="BA403" s="60">
        <f>IF(C403="","",MAX(1,_xlfn.MAXIFS('Saisie'!$AT$5:$AT$2004,'Saisie'!$C$5:$C$2004,C403)))</f>
        <v/>
      </c>
      <c r="BB403" s="60">
        <f>IF(C403="","",IFERROR(INDEX('Saisie'!$X$5:$X$2004,_xlfn.MAXIFS('Saisie'!$AS$5:$AS$2004,'Saisie'!$C$5:$C$2004,C403,'Saisie'!$X$5:$X$2004,"&lt;&gt;")-4),""))</f>
        <v/>
      </c>
      <c r="BC403" s="60">
        <f>IF(C403="","",IFERROR(INDEX('Saisie'!$Y$5:$Y$2004,_xlfn.MAXIFS('Saisie'!$AS$5:$AS$2004,'Saisie'!$C$5:$C$2004,C403,'Saisie'!$Y$5:$Y$2004,"&lt;&gt;")-4),""))</f>
        <v/>
      </c>
      <c r="BD403" s="106">
        <f>IF(C403="","",IFERROR(1/(1/_xlfn.MINIFS('Saisie'!$A$5:$A$2004,'Saisie'!$C$5:$C$2004,C403,'Saisie'!$AT$5:$AT$2004,"&gt;=2")),""))</f>
        <v/>
      </c>
      <c r="BE403" s="106">
        <f>IF(C403="","",IFERROR(1/(1/_xlfn.MINIFS('Saisie'!$A$5:$A$2004,'Saisie'!$C$5:$C$2004,C403,'Saisie'!$AT$5:$AT$2004,"&gt;=3")),""))</f>
        <v/>
      </c>
      <c r="BF403" s="106">
        <f>IF(C403="","",IFERROR(1/(1/_xlfn.MINIFS('Saisie'!$A$5:$A$2004,'Saisie'!$C$5:$C$2004,C403,'Saisie'!$AT$5:$AT$2004,"&gt;=4")),""))</f>
        <v/>
      </c>
      <c r="BG403" s="106">
        <f>IF(C403="","",IFERROR(1/(1/_xlfn.MINIFS('Saisie'!$A$5:$A$2004,'Saisie'!$C$5:$C$2004,C403,'Saisie'!$AT$5:$AT$2004,"&gt;=5")),""))</f>
        <v/>
      </c>
      <c r="BH403" s="106">
        <f>IF(C403="","",IFERROR(1/(1/_xlfn.MINIFS('Saisie'!$A$5:$A$2004,'Saisie'!$C$5:$C$2004,C403,'Saisie'!$AT$5:$AT$2004,"&gt;=6")),""))</f>
        <v/>
      </c>
      <c r="BI403" s="106">
        <f>IF(C403="","",IFERROR(1/(1/_xlfn.MINIFS('Saisie'!$A$5:$A$2004,'Saisie'!$C$5:$C$2004,C403,'Saisie'!$AT$5:$AT$2004,"&gt;=7")),""))</f>
        <v/>
      </c>
      <c r="BJ403" s="60">
        <f>IF(OR(BD403="",B403=""),"",BD403-B403)</f>
        <v/>
      </c>
      <c r="BK403" s="60">
        <f>IF(OR(BE403="",BD403=""),"",BE403-BD403)</f>
        <v/>
      </c>
      <c r="BL403" s="60">
        <f>IF(OR(BF403="",BE403=""),"",BF403-BE403)</f>
        <v/>
      </c>
      <c r="BM403" s="60">
        <f>IF(OR(BG403="",BF403=""),"",BG403-BF403)</f>
        <v/>
      </c>
      <c r="BN403" s="60">
        <f>IF(OR(BH403="",BG403=""),"",BH403-BG403)</f>
        <v/>
      </c>
      <c r="BO403" s="60">
        <f>IF(OR(BI403="",BH403=""),"",BI403-BH403)</f>
        <v/>
      </c>
      <c r="BP403" s="60">
        <f>IF(C403="","",_xlfn.MAXIFS('Saisie'!$AS$5:$AS$2004,'Saisie'!$C$5:$C$2004,C403,'Saisie'!$J$5:$J$2004,"&lt;&gt;"))</f>
        <v/>
      </c>
      <c r="BQ403" s="60">
        <f>IF(C403="","",_xlfn.MAXIFS('Saisie'!$AS$5:$AS$2004,'Saisie'!$C$5:$C$2004,C403))</f>
        <v/>
      </c>
      <c r="BR403" s="60">
        <f>IF(C403="","",_xlfn.MAXIFS('Saisie'!$AS$5:$AS$2004,'Saisie'!$C$5:$C$2004,C403,'Saisie'!$E$5:$E$2004,"Perdu"))</f>
        <v/>
      </c>
      <c r="BS403" s="60">
        <f>IF(C403="","",_xlfn.MAXIFS('Saisie'!$AS$5:$AS$2004,'Saisie'!$C$5:$C$2004,C403,'Saisie'!$AT$5:$AT$2004,"&gt;0"))</f>
        <v/>
      </c>
      <c r="BT403" s="109">
        <f>IF(AND(C403&lt;&gt;"",OR(D403="Nouveau",D403="Contacté",D403="Qualifié"),OR(G403="",N(G403)&lt;=TODAY()),NOT(AND(O403&gt;='Paramètres'!$B$21,P403=0))),E403+399/10000,"")</f>
        <v/>
      </c>
      <c r="BU403" s="60">
        <f>IF(AND(G403&lt;&gt;"",N(G403)&lt;=TODAY()),MAX($BU$4:BU402)+1,"")</f>
        <v/>
      </c>
      <c r="BV403" s="60">
        <f>IF(AND(F403&lt;&gt;"",F403&lt;&gt;"Relance en retard"),MAX($BV$4:BV402)+1,"")</f>
        <v/>
      </c>
      <c r="BW403" s="60">
        <f>IF(C403="","",IF(AND(B403&gt;='Tableau de bord'!$R$4,B403&lt;='Tableau de bord'!$S$4,OR('Tableau de bord'!$G$4="Tous",N403='Tableau de bord'!$G$4)),1,0))</f>
        <v/>
      </c>
      <c r="BX403" s="60">
        <f>IF(AND(C403&lt;&gt;"",N(BA403)=7),MAX($BX$4:BX402)+1,"")</f>
        <v/>
      </c>
    </row>
    <row r="404">
      <c r="A404" s="60">
        <f>IF(C404="","","P-"&amp;TEXT(400,"000"))</f>
        <v/>
      </c>
      <c r="B404" s="106">
        <f>IF(C404="","",IFERROR(1/(1/_xlfn.MINIFS('Saisie'!$A$5:$A$2004,'Saisie'!$C$5:$C$2004,C404)),""))</f>
        <v/>
      </c>
      <c r="C404" s="60">
        <f>IFERROR(INDEX('Saisie'!$C$5:$C$2004,MATCH(400,'Saisie'!$AX$5:$AX$2004,0)),"")</f>
        <v/>
      </c>
      <c r="D404" s="60">
        <f>IF(C404="","",IF(AND(BR404&gt;0,BR404&gt;BS404,BA404&lt;7),"Perdu",INDEX('Paramètres'!$F$6:$F$13,BA404)))</f>
        <v/>
      </c>
      <c r="E404" s="61">
        <f>IF(C404="","",MIN(100,(Z404="Oui")*'Paramètres'!$B$38+(AB404="Régulière")*'Paramètres'!$B$39+IF(AND(N(AA404)&gt;0,TODAY()-N(AA404)&lt;=30),'Paramètres'!$B$40,0)+(W404="")*'Paramètres'!$B$41+(AC404="Absente")*'Paramètres'!$B$42+(AC404="Faible")*'Paramètres'!$B$43+IF(AND(N(AD404)&gt;0,N(AD404)&lt;4),'Paramètres'!$B$44,0)+(AF404="Moyenne")*'Paramètres'!$B$45+(AF404="Grande")*'Paramètres'!$B$46+(Y404&lt;&gt;"")*'Paramètres'!$B$47))</f>
        <v/>
      </c>
      <c r="F404" s="60">
        <f>IF(C404="","",IF(D404="Gagné","",IF(D404="Perdu",IF(AND(AX404&lt;&gt;"",AX404&lt;=TODAY()),"À recontacter (perdu)",""),IF(AND(O404&gt;='Paramètres'!$B$21,P404=0),"Stop : "&amp;'Paramètres'!$B$21&amp;" tentatives sans réponse",IF(AND(D404="Proposition",AR404&lt;&gt;"",TODAY()&gt;N(AR404)),"Proposition expirée",IF(AND(D404="Proposition",N(R404)&gt;='Paramètres'!$B$25),"Proposition sans réponse",IF(AND(G404&lt;&gt;"",N(G404)&lt;TODAY()),"Relance en retard",IF(N(R404)&gt;='Paramètres'!$B$24,"Sans action depuis "&amp;R404&amp;" j",""))))))))</f>
        <v/>
      </c>
      <c r="G404" s="106">
        <f>IF(OR(C404="",D404="Gagné",D404="Perdu"),"",IF(AND(BP404&gt;0,BP404=BQ404),INDEX('Saisie'!$J$5:$J$2004,BP404-4),IF(OR(O404=0,AND(O404&gt;='Paramètres'!$B$21,P404=0)),"",Q404+IF(O404&lt;=1,'Paramètres'!$B$18,IF(O404=2,'Paramètres'!$B$19,'Paramètres'!$B$20)))))</f>
        <v/>
      </c>
      <c r="H404" s="107">
        <f>IF(OR(G404="",BP404&lt;&gt;BQ404),"",IF(INDEX('Saisie'!$K$5:$K$2004,BP404-4)="","",INDEX('Saisie'!$K$5:$K$2004,BP404-4)))</f>
        <v/>
      </c>
      <c r="I404" s="60">
        <f>IF(C404="","",IF(OR(D404="Gagné",D404="Perdu"),"",IFERROR(INDEX('Saisie'!$I$5:$I$2004,_xlfn.MAXIFS('Saisie'!$AS$5:$AS$2004,'Saisie'!$C$5:$C$2004,C404,'Saisie'!$I$5:$I$2004,"&lt;&gt;")-4),"")))</f>
        <v/>
      </c>
      <c r="J404" s="60">
        <f>IF(C404="","",IFERROR(INDEX('Saisie'!$U$5:$U$2004,_xlfn.MAXIFS('Saisie'!$AS$5:$AS$2004,'Saisie'!$C$5:$C$2004,C404,'Saisie'!$U$5:$U$2004,"&lt;&gt;")-4),""))</f>
        <v/>
      </c>
      <c r="K404" s="60">
        <f>IF(C404="","",IFERROR(INDEX('Saisie'!$W$5:$W$2004,_xlfn.MAXIFS('Saisie'!$AS$5:$AS$2004,'Saisie'!$C$5:$C$2004,C404,'Saisie'!$W$5:$W$2004,"&lt;&gt;")-4),""))</f>
        <v/>
      </c>
      <c r="L404" s="60">
        <f>IF(IF(BB404&lt;&gt;"",BB404,K404)="","",HYPERLINK("https://wa.me/"&amp;IF(LEFT(SUBSTITUTE(SUBSTITUTE(SUBSTITUTE(IF(BB404&lt;&gt;"",BB404,K404)," ",""),".",""),"+",""),1)="0",'Paramètres'!$B$35&amp;MID(SUBSTITUTE(SUBSTITUTE(SUBSTITUTE(IF(BB404&lt;&gt;"",BB404,K404)," ",""),".",""),"+",""),2,20),SUBSTITUTE(SUBSTITUTE(SUBSTITUTE(IF(BB404&lt;&gt;"",BB404,K404)," ",""),".",""),"+","")),"WhatsApp"))</f>
        <v/>
      </c>
      <c r="M404" s="60">
        <f>IF(BC404="","",HYPERLINK(IF(LEFT(BC404,4)="http",BC404,"https://www.instagram.com/"&amp;SUBSTITUTE(SUBSTITUTE(BC404,"@","")," ","")),BC404))</f>
        <v/>
      </c>
      <c r="N404" s="60">
        <f>IF(C404="","",IFERROR(INDEX('Saisie'!$D$5:$D$2004,_xlfn.MINIFS('Saisie'!$AS$5:$AS$2004,'Saisie'!$C$5:$C$2004,C404,'Saisie'!$AU$5:$AU$2004,1)-4),IFERROR(INDEX('Saisie'!$D$5:$D$2004,_xlfn.MINIFS('Saisie'!$AS$5:$AS$2004,'Saisie'!$C$5:$C$2004,C404,'Saisie'!$D$5:$D$2004,"&lt;&gt;")-4),"")))</f>
        <v/>
      </c>
      <c r="O404" s="60">
        <f>IF(C404="","",COUNTIFS('Saisie'!$C$5:$C$2004,C404,'Saisie'!$AU$5:$AU$2004,1))</f>
        <v/>
      </c>
      <c r="P404" s="60">
        <f>IF(C404="","",COUNTIFS('Saisie'!$C$5:$C$2004,C404,'Saisie'!$AV$5:$AV$2004,1))</f>
        <v/>
      </c>
      <c r="Q404" s="106">
        <f>IF(C404="","",IFERROR(1/(1/_xlfn.MAXIFS('Saisie'!$A$5:$A$2004,'Saisie'!$C$5:$C$2004,C404)),""))</f>
        <v/>
      </c>
      <c r="R404" s="61">
        <f>IF(C404="","",IF(Q404="","",TODAY()-Q404))</f>
        <v/>
      </c>
      <c r="S404" s="60">
        <f>IF(C404="","",IFERROR(INDEX('Saisie'!$R$5:$R$2004,_xlfn.MAXIFS('Saisie'!$AS$5:$AS$2004,'Saisie'!$C$5:$C$2004,C404,'Saisie'!$R$5:$R$2004,"&lt;&gt;")-4),""))</f>
        <v/>
      </c>
      <c r="T404" s="60">
        <f>IF(C404="","",IFERROR(INDEX('Saisie'!$S$5:$S$2004,_xlfn.MAXIFS('Saisie'!$AS$5:$AS$2004,'Saisie'!$C$5:$C$2004,C404,'Saisie'!$S$5:$S$2004,"&lt;&gt;")-4),""))</f>
        <v/>
      </c>
      <c r="U404" s="60">
        <f>IF(C404="","",IFERROR(INDEX('Saisie'!$T$5:$T$2004,_xlfn.MAXIFS('Saisie'!$AS$5:$AS$2004,'Saisie'!$C$5:$C$2004,C404,'Saisie'!$T$5:$T$2004,"&lt;&gt;")-4),""))</f>
        <v/>
      </c>
      <c r="V404" s="60">
        <f>IF(C404="","",IFERROR(INDEX('Saisie'!$V$5:$V$2004,_xlfn.MAXIFS('Saisie'!$AS$5:$AS$2004,'Saisie'!$C$5:$C$2004,C404,'Saisie'!$V$5:$V$2004,"&lt;&gt;")-4),""))</f>
        <v/>
      </c>
      <c r="W404" s="60">
        <f>IF(C404="","",IFERROR(INDEX('Saisie'!$Z$5:$Z$2004,_xlfn.MAXIFS('Saisie'!$AS$5:$AS$2004,'Saisie'!$C$5:$C$2004,C404,'Saisie'!$Z$5:$Z$2004,"&lt;&gt;")-4),""))</f>
        <v/>
      </c>
      <c r="X404" s="60">
        <f>IF(C404="","",IFERROR(INDEX('Saisie'!$AA$5:$AA$2004,_xlfn.MAXIFS('Saisie'!$AS$5:$AS$2004,'Saisie'!$C$5:$C$2004,C404,'Saisie'!$AA$5:$AA$2004,"&lt;&gt;")-4),""))</f>
        <v/>
      </c>
      <c r="Y404" s="60">
        <f>IF(C404="","",IFERROR(INDEX('Saisie'!$AB$5:$AB$2004,_xlfn.MAXIFS('Saisie'!$AS$5:$AS$2004,'Saisie'!$C$5:$C$2004,C404,'Saisie'!$AB$5:$AB$2004,"&lt;&gt;")-4),""))</f>
        <v/>
      </c>
      <c r="Z404" s="60">
        <f>IF(C404="","",IFERROR(INDEX('Saisie'!$AC$5:$AC$2004,_xlfn.MAXIFS('Saisie'!$AS$5:$AS$2004,'Saisie'!$C$5:$C$2004,C404,'Saisie'!$AC$5:$AC$2004,"&lt;&gt;")-4),""))</f>
        <v/>
      </c>
      <c r="AA404" s="106">
        <f>IF(C404="","",IFERROR(INDEX('Saisie'!$AD$5:$AD$2004,_xlfn.MAXIFS('Saisie'!$AS$5:$AS$2004,'Saisie'!$C$5:$C$2004,C404,'Saisie'!$AD$5:$AD$2004,"&lt;&gt;")-4),""))</f>
        <v/>
      </c>
      <c r="AB404" s="60">
        <f>IF(C404="","",IFERROR(INDEX('Saisie'!$AE$5:$AE$2004,_xlfn.MAXIFS('Saisie'!$AS$5:$AS$2004,'Saisie'!$C$5:$C$2004,C404,'Saisie'!$AE$5:$AE$2004,"&lt;&gt;")-4),""))</f>
        <v/>
      </c>
      <c r="AC404" s="60">
        <f>IF(C404="","",IFERROR(INDEX('Saisie'!$AF$5:$AF$2004,_xlfn.MAXIFS('Saisie'!$AS$5:$AS$2004,'Saisie'!$C$5:$C$2004,C404,'Saisie'!$AF$5:$AF$2004,"&lt;&gt;")-4),""))</f>
        <v/>
      </c>
      <c r="AD404" s="108">
        <f>IF(C404="","",IFERROR(INDEX('Saisie'!$AG$5:$AG$2004,_xlfn.MAXIFS('Saisie'!$AS$5:$AS$2004,'Saisie'!$C$5:$C$2004,C404,'Saisie'!$AG$5:$AG$2004,"&lt;&gt;")-4),""))</f>
        <v/>
      </c>
      <c r="AE404" s="60">
        <f>IF(C404="","",IFERROR(INDEX('Saisie'!$AH$5:$AH$2004,_xlfn.MAXIFS('Saisie'!$AS$5:$AS$2004,'Saisie'!$C$5:$C$2004,C404,'Saisie'!$AH$5:$AH$2004,"&lt;&gt;")-4),""))</f>
        <v/>
      </c>
      <c r="AF404" s="60">
        <f>IF(C404="","",IFERROR(INDEX('Saisie'!$AI$5:$AI$2004,_xlfn.MAXIFS('Saisie'!$AS$5:$AS$2004,'Saisie'!$C$5:$C$2004,C404,'Saisie'!$AI$5:$AI$2004,"&lt;&gt;")-4),""))</f>
        <v/>
      </c>
      <c r="AG404" s="60">
        <f>IF(C404="","",IFERROR(INDEX('Saisie'!$AJ$5:$AJ$2004,_xlfn.MAXIFS('Saisie'!$AS$5:$AS$2004,'Saisie'!$C$5:$C$2004,C404,'Saisie'!$AJ$5:$AJ$2004,"&lt;&gt;")-4),""))</f>
        <v/>
      </c>
      <c r="AH404" s="60">
        <f>IF(C404="","",IFERROR(INDEX('Saisie'!$AK$5:$AK$2004,_xlfn.MAXIFS('Saisie'!$AS$5:$AS$2004,'Saisie'!$C$5:$C$2004,C404,'Saisie'!$AK$5:$AK$2004,"&lt;&gt;")-4),""))</f>
        <v/>
      </c>
      <c r="AI404" s="60">
        <f>IF(C404="","",IFERROR(INDEX('Saisie'!$AN$5:$AN$2004,_xlfn.MAXIFS('Saisie'!$AS$5:$AS$2004,'Saisie'!$C$5:$C$2004,C404,'Saisie'!$AN$5:$AN$2004,"&lt;&gt;")-4),""))</f>
        <v/>
      </c>
      <c r="AJ404" s="60">
        <f>IF(C404="","",IFERROR(INDEX('Saisie'!$AO$5:$AO$2004,_xlfn.MAXIFS('Saisie'!$AS$5:$AS$2004,'Saisie'!$C$5:$C$2004,C404,'Saisie'!$AO$5:$AO$2004,"&lt;&gt;")-4),""))</f>
        <v/>
      </c>
      <c r="AK404" s="60">
        <f>IF(C404="","",IFERROR(INDEX('Saisie'!$AP$5:$AP$2004,_xlfn.MAXIFS('Saisie'!$AS$5:$AS$2004,'Saisie'!$C$5:$C$2004,C404,'Saisie'!$AP$5:$AP$2004,"&lt;&gt;")-4),""))</f>
        <v/>
      </c>
      <c r="AL404" s="60">
        <f>IF(C404="","",IFERROR(INDEX('Saisie'!$AQ$5:$AQ$2004,_xlfn.MAXIFS('Saisie'!$AS$5:$AS$2004,'Saisie'!$C$5:$C$2004,C404,'Saisie'!$AQ$5:$AQ$2004,"&lt;&gt;")-4),""))</f>
        <v/>
      </c>
      <c r="AM404" s="60">
        <f>IF(C404="","",((AI404="Oui")+(AJ404="Oui")+(AK404="Oui")+OR(AL404="Immédiat",AL404="&lt; 1 mois"))&amp;"/4")</f>
        <v/>
      </c>
      <c r="AN404" s="60">
        <f>IF(C404="","",IFERROR(INDEX('Saisie'!$AL$5:$AL$2004,_xlfn.MAXIFS('Saisie'!$AS$5:$AS$2004,'Saisie'!$C$5:$C$2004,C404,'Saisie'!$AL$5:$AL$2004,"&lt;&gt;")-4),""))</f>
        <v/>
      </c>
      <c r="AO404" s="62">
        <f>IF(C404="","",IF(IFERROR(INDEX('Saisie'!$AM$5:$AM$2004,_xlfn.MAXIFS('Saisie'!$AS$5:$AS$2004,'Saisie'!$C$5:$C$2004,C404,'Saisie'!$AM$5:$AM$2004,"&lt;&gt;")-4),"")&lt;&gt;"",IFERROR(INDEX('Saisie'!$AM$5:$AM$2004,_xlfn.MAXIFS('Saisie'!$AS$5:$AS$2004,'Saisie'!$C$5:$C$2004,C404,'Saisie'!$AM$5:$AM$2004,"&lt;&gt;")-4),""),IFERROR(INDEX('Paramètres'!$S$6:$S$15,MATCH(AN404,'Paramètres'!$Q$6:$Q$15,0)),"")))</f>
        <v/>
      </c>
      <c r="AP404" s="62">
        <f>IF(C404="","",IFERROR(INDEX('Saisie'!$AW$5:$AW$2004,_xlfn.MAXIFS('Saisie'!$AS$5:$AS$2004,'Saisie'!$C$5:$C$2004,C404,'Saisie'!$E$5:$E$2004,"Proposition envoyée")-4),""))</f>
        <v/>
      </c>
      <c r="AQ404" s="106">
        <f>IF(C404="","",IFERROR(1/(1/_xlfn.MAXIFS('Saisie'!$A$5:$A$2004,'Saisie'!$C$5:$C$2004,C404,'Saisie'!$E$5:$E$2004,"Proposition envoyée")),""))</f>
        <v/>
      </c>
      <c r="AR404" s="106">
        <f>IF(C404="","",IF(AQ404="","",AQ404+'Paramètres'!$B$26))</f>
        <v/>
      </c>
      <c r="AS404" s="62">
        <f>IF(OR(C404="",D404="Gagné",D404="Perdu"),0,N(AP404)*IFERROR(INDEX('Paramètres'!$G$6:$G$13,MATCH(D404,'Paramètres'!$F$6:$F$13,0)),0))</f>
        <v/>
      </c>
      <c r="AT404" s="106">
        <f>IF(C404="","",IFERROR(1/(1/_xlfn.MINIFS('Saisie'!$A$5:$A$2004,'Saisie'!$C$5:$C$2004,C404,'Saisie'!$E$5:$E$2004,"Signature")),""))</f>
        <v/>
      </c>
      <c r="AU404" s="60">
        <f>IF(C404="","",IF(OR(AT404="",B404=""),"",AT404-B404))</f>
        <v/>
      </c>
      <c r="AV404" s="60">
        <f>IF(C404="","",IFERROR(INDEX('Saisie'!$L$5:$L$2004,_xlfn.MAXIFS('Saisie'!$AS$5:$AS$2004,'Saisie'!$C$5:$C$2004,C404,'Saisie'!$L$5:$L$2004,"&lt;&gt;")-4),""))</f>
        <v/>
      </c>
      <c r="AW404" s="106">
        <f>IF(C404="","",IF(D404&lt;&gt;"Perdu","",IFERROR(1/(1/_xlfn.MAXIFS('Saisie'!$A$5:$A$2004,'Saisie'!$C$5:$C$2004,C404,'Saisie'!$E$5:$E$2004,"Perdu")),"")))</f>
        <v/>
      </c>
      <c r="AX404" s="106">
        <f>IF(C404="","",IF(AW404="","",AW404+'Paramètres'!$B$28))</f>
        <v/>
      </c>
      <c r="AY404" s="60">
        <f>IF(C404="","",SUMIFS('Saisie'!$H$5:$H$2004,'Saisie'!$C$5:$C$2004,C404))</f>
        <v/>
      </c>
      <c r="AZ404" s="60">
        <f>IF(C404="","",IFERROR(INDEX('Paramètres'!$W$6:$W$20,MATCH(S404,'Paramètres'!$V$6:$V$20,0))&amp;"",""))</f>
        <v/>
      </c>
      <c r="BA404" s="60">
        <f>IF(C404="","",MAX(1,_xlfn.MAXIFS('Saisie'!$AT$5:$AT$2004,'Saisie'!$C$5:$C$2004,C404)))</f>
        <v/>
      </c>
      <c r="BB404" s="60">
        <f>IF(C404="","",IFERROR(INDEX('Saisie'!$X$5:$X$2004,_xlfn.MAXIFS('Saisie'!$AS$5:$AS$2004,'Saisie'!$C$5:$C$2004,C404,'Saisie'!$X$5:$X$2004,"&lt;&gt;")-4),""))</f>
        <v/>
      </c>
      <c r="BC404" s="60">
        <f>IF(C404="","",IFERROR(INDEX('Saisie'!$Y$5:$Y$2004,_xlfn.MAXIFS('Saisie'!$AS$5:$AS$2004,'Saisie'!$C$5:$C$2004,C404,'Saisie'!$Y$5:$Y$2004,"&lt;&gt;")-4),""))</f>
        <v/>
      </c>
      <c r="BD404" s="106">
        <f>IF(C404="","",IFERROR(1/(1/_xlfn.MINIFS('Saisie'!$A$5:$A$2004,'Saisie'!$C$5:$C$2004,C404,'Saisie'!$AT$5:$AT$2004,"&gt;=2")),""))</f>
        <v/>
      </c>
      <c r="BE404" s="106">
        <f>IF(C404="","",IFERROR(1/(1/_xlfn.MINIFS('Saisie'!$A$5:$A$2004,'Saisie'!$C$5:$C$2004,C404,'Saisie'!$AT$5:$AT$2004,"&gt;=3")),""))</f>
        <v/>
      </c>
      <c r="BF404" s="106">
        <f>IF(C404="","",IFERROR(1/(1/_xlfn.MINIFS('Saisie'!$A$5:$A$2004,'Saisie'!$C$5:$C$2004,C404,'Saisie'!$AT$5:$AT$2004,"&gt;=4")),""))</f>
        <v/>
      </c>
      <c r="BG404" s="106">
        <f>IF(C404="","",IFERROR(1/(1/_xlfn.MINIFS('Saisie'!$A$5:$A$2004,'Saisie'!$C$5:$C$2004,C404,'Saisie'!$AT$5:$AT$2004,"&gt;=5")),""))</f>
        <v/>
      </c>
      <c r="BH404" s="106">
        <f>IF(C404="","",IFERROR(1/(1/_xlfn.MINIFS('Saisie'!$A$5:$A$2004,'Saisie'!$C$5:$C$2004,C404,'Saisie'!$AT$5:$AT$2004,"&gt;=6")),""))</f>
        <v/>
      </c>
      <c r="BI404" s="106">
        <f>IF(C404="","",IFERROR(1/(1/_xlfn.MINIFS('Saisie'!$A$5:$A$2004,'Saisie'!$C$5:$C$2004,C404,'Saisie'!$AT$5:$AT$2004,"&gt;=7")),""))</f>
        <v/>
      </c>
      <c r="BJ404" s="60">
        <f>IF(OR(BD404="",B404=""),"",BD404-B404)</f>
        <v/>
      </c>
      <c r="BK404" s="60">
        <f>IF(OR(BE404="",BD404=""),"",BE404-BD404)</f>
        <v/>
      </c>
      <c r="BL404" s="60">
        <f>IF(OR(BF404="",BE404=""),"",BF404-BE404)</f>
        <v/>
      </c>
      <c r="BM404" s="60">
        <f>IF(OR(BG404="",BF404=""),"",BG404-BF404)</f>
        <v/>
      </c>
      <c r="BN404" s="60">
        <f>IF(OR(BH404="",BG404=""),"",BH404-BG404)</f>
        <v/>
      </c>
      <c r="BO404" s="60">
        <f>IF(OR(BI404="",BH404=""),"",BI404-BH404)</f>
        <v/>
      </c>
      <c r="BP404" s="60">
        <f>IF(C404="","",_xlfn.MAXIFS('Saisie'!$AS$5:$AS$2004,'Saisie'!$C$5:$C$2004,C404,'Saisie'!$J$5:$J$2004,"&lt;&gt;"))</f>
        <v/>
      </c>
      <c r="BQ404" s="60">
        <f>IF(C404="","",_xlfn.MAXIFS('Saisie'!$AS$5:$AS$2004,'Saisie'!$C$5:$C$2004,C404))</f>
        <v/>
      </c>
      <c r="BR404" s="60">
        <f>IF(C404="","",_xlfn.MAXIFS('Saisie'!$AS$5:$AS$2004,'Saisie'!$C$5:$C$2004,C404,'Saisie'!$E$5:$E$2004,"Perdu"))</f>
        <v/>
      </c>
      <c r="BS404" s="60">
        <f>IF(C404="","",_xlfn.MAXIFS('Saisie'!$AS$5:$AS$2004,'Saisie'!$C$5:$C$2004,C404,'Saisie'!$AT$5:$AT$2004,"&gt;0"))</f>
        <v/>
      </c>
      <c r="BT404" s="109">
        <f>IF(AND(C404&lt;&gt;"",OR(D404="Nouveau",D404="Contacté",D404="Qualifié"),OR(G404="",N(G404)&lt;=TODAY()),NOT(AND(O404&gt;='Paramètres'!$B$21,P404=0))),E404+400/10000,"")</f>
        <v/>
      </c>
      <c r="BU404" s="60">
        <f>IF(AND(G404&lt;&gt;"",N(G404)&lt;=TODAY()),MAX($BU$4:BU403)+1,"")</f>
        <v/>
      </c>
      <c r="BV404" s="60">
        <f>IF(AND(F404&lt;&gt;"",F404&lt;&gt;"Relance en retard"),MAX($BV$4:BV403)+1,"")</f>
        <v/>
      </c>
      <c r="BW404" s="60">
        <f>IF(C404="","",IF(AND(B404&gt;='Tableau de bord'!$R$4,B404&lt;='Tableau de bord'!$S$4,OR('Tableau de bord'!$G$4="Tous",N404='Tableau de bord'!$G$4)),1,0))</f>
        <v/>
      </c>
      <c r="BX404" s="60">
        <f>IF(AND(C404&lt;&gt;"",N(BA404)=7),MAX($BX$4:BX403)+1,"")</f>
        <v/>
      </c>
    </row>
    <row r="405">
      <c r="A405" s="60">
        <f>IF(C405="","","P-"&amp;TEXT(401,"000"))</f>
        <v/>
      </c>
      <c r="B405" s="106">
        <f>IF(C405="","",IFERROR(1/(1/_xlfn.MINIFS('Saisie'!$A$5:$A$2004,'Saisie'!$C$5:$C$2004,C405)),""))</f>
        <v/>
      </c>
      <c r="C405" s="60">
        <f>IFERROR(INDEX('Saisie'!$C$5:$C$2004,MATCH(401,'Saisie'!$AX$5:$AX$2004,0)),"")</f>
        <v/>
      </c>
      <c r="D405" s="60">
        <f>IF(C405="","",IF(AND(BR405&gt;0,BR405&gt;BS405,BA405&lt;7),"Perdu",INDEX('Paramètres'!$F$6:$F$13,BA405)))</f>
        <v/>
      </c>
      <c r="E405" s="61">
        <f>IF(C405="","",MIN(100,(Z405="Oui")*'Paramètres'!$B$38+(AB405="Régulière")*'Paramètres'!$B$39+IF(AND(N(AA405)&gt;0,TODAY()-N(AA405)&lt;=30),'Paramètres'!$B$40,0)+(W405="")*'Paramètres'!$B$41+(AC405="Absente")*'Paramètres'!$B$42+(AC405="Faible")*'Paramètres'!$B$43+IF(AND(N(AD405)&gt;0,N(AD405)&lt;4),'Paramètres'!$B$44,0)+(AF405="Moyenne")*'Paramètres'!$B$45+(AF405="Grande")*'Paramètres'!$B$46+(Y405&lt;&gt;"")*'Paramètres'!$B$47))</f>
        <v/>
      </c>
      <c r="F405" s="60">
        <f>IF(C405="","",IF(D405="Gagné","",IF(D405="Perdu",IF(AND(AX405&lt;&gt;"",AX405&lt;=TODAY()),"À recontacter (perdu)",""),IF(AND(O405&gt;='Paramètres'!$B$21,P405=0),"Stop : "&amp;'Paramètres'!$B$21&amp;" tentatives sans réponse",IF(AND(D405="Proposition",AR405&lt;&gt;"",TODAY()&gt;N(AR405)),"Proposition expirée",IF(AND(D405="Proposition",N(R405)&gt;='Paramètres'!$B$25),"Proposition sans réponse",IF(AND(G405&lt;&gt;"",N(G405)&lt;TODAY()),"Relance en retard",IF(N(R405)&gt;='Paramètres'!$B$24,"Sans action depuis "&amp;R405&amp;" j",""))))))))</f>
        <v/>
      </c>
      <c r="G405" s="106">
        <f>IF(OR(C405="",D405="Gagné",D405="Perdu"),"",IF(AND(BP405&gt;0,BP405=BQ405),INDEX('Saisie'!$J$5:$J$2004,BP405-4),IF(OR(O405=0,AND(O405&gt;='Paramètres'!$B$21,P405=0)),"",Q405+IF(O405&lt;=1,'Paramètres'!$B$18,IF(O405=2,'Paramètres'!$B$19,'Paramètres'!$B$20)))))</f>
        <v/>
      </c>
      <c r="H405" s="107">
        <f>IF(OR(G405="",BP405&lt;&gt;BQ405),"",IF(INDEX('Saisie'!$K$5:$K$2004,BP405-4)="","",INDEX('Saisie'!$K$5:$K$2004,BP405-4)))</f>
        <v/>
      </c>
      <c r="I405" s="60">
        <f>IF(C405="","",IF(OR(D405="Gagné",D405="Perdu"),"",IFERROR(INDEX('Saisie'!$I$5:$I$2004,_xlfn.MAXIFS('Saisie'!$AS$5:$AS$2004,'Saisie'!$C$5:$C$2004,C405,'Saisie'!$I$5:$I$2004,"&lt;&gt;")-4),"")))</f>
        <v/>
      </c>
      <c r="J405" s="60">
        <f>IF(C405="","",IFERROR(INDEX('Saisie'!$U$5:$U$2004,_xlfn.MAXIFS('Saisie'!$AS$5:$AS$2004,'Saisie'!$C$5:$C$2004,C405,'Saisie'!$U$5:$U$2004,"&lt;&gt;")-4),""))</f>
        <v/>
      </c>
      <c r="K405" s="60">
        <f>IF(C405="","",IFERROR(INDEX('Saisie'!$W$5:$W$2004,_xlfn.MAXIFS('Saisie'!$AS$5:$AS$2004,'Saisie'!$C$5:$C$2004,C405,'Saisie'!$W$5:$W$2004,"&lt;&gt;")-4),""))</f>
        <v/>
      </c>
      <c r="L405" s="60">
        <f>IF(IF(BB405&lt;&gt;"",BB405,K405)="","",HYPERLINK("https://wa.me/"&amp;IF(LEFT(SUBSTITUTE(SUBSTITUTE(SUBSTITUTE(IF(BB405&lt;&gt;"",BB405,K405)," ",""),".",""),"+",""),1)="0",'Paramètres'!$B$35&amp;MID(SUBSTITUTE(SUBSTITUTE(SUBSTITUTE(IF(BB405&lt;&gt;"",BB405,K405)," ",""),".",""),"+",""),2,20),SUBSTITUTE(SUBSTITUTE(SUBSTITUTE(IF(BB405&lt;&gt;"",BB405,K405)," ",""),".",""),"+","")),"WhatsApp"))</f>
        <v/>
      </c>
      <c r="M405" s="60">
        <f>IF(BC405="","",HYPERLINK(IF(LEFT(BC405,4)="http",BC405,"https://www.instagram.com/"&amp;SUBSTITUTE(SUBSTITUTE(BC405,"@","")," ","")),BC405))</f>
        <v/>
      </c>
      <c r="N405" s="60">
        <f>IF(C405="","",IFERROR(INDEX('Saisie'!$D$5:$D$2004,_xlfn.MINIFS('Saisie'!$AS$5:$AS$2004,'Saisie'!$C$5:$C$2004,C405,'Saisie'!$AU$5:$AU$2004,1)-4),IFERROR(INDEX('Saisie'!$D$5:$D$2004,_xlfn.MINIFS('Saisie'!$AS$5:$AS$2004,'Saisie'!$C$5:$C$2004,C405,'Saisie'!$D$5:$D$2004,"&lt;&gt;")-4),"")))</f>
        <v/>
      </c>
      <c r="O405" s="60">
        <f>IF(C405="","",COUNTIFS('Saisie'!$C$5:$C$2004,C405,'Saisie'!$AU$5:$AU$2004,1))</f>
        <v/>
      </c>
      <c r="P405" s="60">
        <f>IF(C405="","",COUNTIFS('Saisie'!$C$5:$C$2004,C405,'Saisie'!$AV$5:$AV$2004,1))</f>
        <v/>
      </c>
      <c r="Q405" s="106">
        <f>IF(C405="","",IFERROR(1/(1/_xlfn.MAXIFS('Saisie'!$A$5:$A$2004,'Saisie'!$C$5:$C$2004,C405)),""))</f>
        <v/>
      </c>
      <c r="R405" s="61">
        <f>IF(C405="","",IF(Q405="","",TODAY()-Q405))</f>
        <v/>
      </c>
      <c r="S405" s="60">
        <f>IF(C405="","",IFERROR(INDEX('Saisie'!$R$5:$R$2004,_xlfn.MAXIFS('Saisie'!$AS$5:$AS$2004,'Saisie'!$C$5:$C$2004,C405,'Saisie'!$R$5:$R$2004,"&lt;&gt;")-4),""))</f>
        <v/>
      </c>
      <c r="T405" s="60">
        <f>IF(C405="","",IFERROR(INDEX('Saisie'!$S$5:$S$2004,_xlfn.MAXIFS('Saisie'!$AS$5:$AS$2004,'Saisie'!$C$5:$C$2004,C405,'Saisie'!$S$5:$S$2004,"&lt;&gt;")-4),""))</f>
        <v/>
      </c>
      <c r="U405" s="60">
        <f>IF(C405="","",IFERROR(INDEX('Saisie'!$T$5:$T$2004,_xlfn.MAXIFS('Saisie'!$AS$5:$AS$2004,'Saisie'!$C$5:$C$2004,C405,'Saisie'!$T$5:$T$2004,"&lt;&gt;")-4),""))</f>
        <v/>
      </c>
      <c r="V405" s="60">
        <f>IF(C405="","",IFERROR(INDEX('Saisie'!$V$5:$V$2004,_xlfn.MAXIFS('Saisie'!$AS$5:$AS$2004,'Saisie'!$C$5:$C$2004,C405,'Saisie'!$V$5:$V$2004,"&lt;&gt;")-4),""))</f>
        <v/>
      </c>
      <c r="W405" s="60">
        <f>IF(C405="","",IFERROR(INDEX('Saisie'!$Z$5:$Z$2004,_xlfn.MAXIFS('Saisie'!$AS$5:$AS$2004,'Saisie'!$C$5:$C$2004,C405,'Saisie'!$Z$5:$Z$2004,"&lt;&gt;")-4),""))</f>
        <v/>
      </c>
      <c r="X405" s="60">
        <f>IF(C405="","",IFERROR(INDEX('Saisie'!$AA$5:$AA$2004,_xlfn.MAXIFS('Saisie'!$AS$5:$AS$2004,'Saisie'!$C$5:$C$2004,C405,'Saisie'!$AA$5:$AA$2004,"&lt;&gt;")-4),""))</f>
        <v/>
      </c>
      <c r="Y405" s="60">
        <f>IF(C405="","",IFERROR(INDEX('Saisie'!$AB$5:$AB$2004,_xlfn.MAXIFS('Saisie'!$AS$5:$AS$2004,'Saisie'!$C$5:$C$2004,C405,'Saisie'!$AB$5:$AB$2004,"&lt;&gt;")-4),""))</f>
        <v/>
      </c>
      <c r="Z405" s="60">
        <f>IF(C405="","",IFERROR(INDEX('Saisie'!$AC$5:$AC$2004,_xlfn.MAXIFS('Saisie'!$AS$5:$AS$2004,'Saisie'!$C$5:$C$2004,C405,'Saisie'!$AC$5:$AC$2004,"&lt;&gt;")-4),""))</f>
        <v/>
      </c>
      <c r="AA405" s="106">
        <f>IF(C405="","",IFERROR(INDEX('Saisie'!$AD$5:$AD$2004,_xlfn.MAXIFS('Saisie'!$AS$5:$AS$2004,'Saisie'!$C$5:$C$2004,C405,'Saisie'!$AD$5:$AD$2004,"&lt;&gt;")-4),""))</f>
        <v/>
      </c>
      <c r="AB405" s="60">
        <f>IF(C405="","",IFERROR(INDEX('Saisie'!$AE$5:$AE$2004,_xlfn.MAXIFS('Saisie'!$AS$5:$AS$2004,'Saisie'!$C$5:$C$2004,C405,'Saisie'!$AE$5:$AE$2004,"&lt;&gt;")-4),""))</f>
        <v/>
      </c>
      <c r="AC405" s="60">
        <f>IF(C405="","",IFERROR(INDEX('Saisie'!$AF$5:$AF$2004,_xlfn.MAXIFS('Saisie'!$AS$5:$AS$2004,'Saisie'!$C$5:$C$2004,C405,'Saisie'!$AF$5:$AF$2004,"&lt;&gt;")-4),""))</f>
        <v/>
      </c>
      <c r="AD405" s="108">
        <f>IF(C405="","",IFERROR(INDEX('Saisie'!$AG$5:$AG$2004,_xlfn.MAXIFS('Saisie'!$AS$5:$AS$2004,'Saisie'!$C$5:$C$2004,C405,'Saisie'!$AG$5:$AG$2004,"&lt;&gt;")-4),""))</f>
        <v/>
      </c>
      <c r="AE405" s="60">
        <f>IF(C405="","",IFERROR(INDEX('Saisie'!$AH$5:$AH$2004,_xlfn.MAXIFS('Saisie'!$AS$5:$AS$2004,'Saisie'!$C$5:$C$2004,C405,'Saisie'!$AH$5:$AH$2004,"&lt;&gt;")-4),""))</f>
        <v/>
      </c>
      <c r="AF405" s="60">
        <f>IF(C405="","",IFERROR(INDEX('Saisie'!$AI$5:$AI$2004,_xlfn.MAXIFS('Saisie'!$AS$5:$AS$2004,'Saisie'!$C$5:$C$2004,C405,'Saisie'!$AI$5:$AI$2004,"&lt;&gt;")-4),""))</f>
        <v/>
      </c>
      <c r="AG405" s="60">
        <f>IF(C405="","",IFERROR(INDEX('Saisie'!$AJ$5:$AJ$2004,_xlfn.MAXIFS('Saisie'!$AS$5:$AS$2004,'Saisie'!$C$5:$C$2004,C405,'Saisie'!$AJ$5:$AJ$2004,"&lt;&gt;")-4),""))</f>
        <v/>
      </c>
      <c r="AH405" s="60">
        <f>IF(C405="","",IFERROR(INDEX('Saisie'!$AK$5:$AK$2004,_xlfn.MAXIFS('Saisie'!$AS$5:$AS$2004,'Saisie'!$C$5:$C$2004,C405,'Saisie'!$AK$5:$AK$2004,"&lt;&gt;")-4),""))</f>
        <v/>
      </c>
      <c r="AI405" s="60">
        <f>IF(C405="","",IFERROR(INDEX('Saisie'!$AN$5:$AN$2004,_xlfn.MAXIFS('Saisie'!$AS$5:$AS$2004,'Saisie'!$C$5:$C$2004,C405,'Saisie'!$AN$5:$AN$2004,"&lt;&gt;")-4),""))</f>
        <v/>
      </c>
      <c r="AJ405" s="60">
        <f>IF(C405="","",IFERROR(INDEX('Saisie'!$AO$5:$AO$2004,_xlfn.MAXIFS('Saisie'!$AS$5:$AS$2004,'Saisie'!$C$5:$C$2004,C405,'Saisie'!$AO$5:$AO$2004,"&lt;&gt;")-4),""))</f>
        <v/>
      </c>
      <c r="AK405" s="60">
        <f>IF(C405="","",IFERROR(INDEX('Saisie'!$AP$5:$AP$2004,_xlfn.MAXIFS('Saisie'!$AS$5:$AS$2004,'Saisie'!$C$5:$C$2004,C405,'Saisie'!$AP$5:$AP$2004,"&lt;&gt;")-4),""))</f>
        <v/>
      </c>
      <c r="AL405" s="60">
        <f>IF(C405="","",IFERROR(INDEX('Saisie'!$AQ$5:$AQ$2004,_xlfn.MAXIFS('Saisie'!$AS$5:$AS$2004,'Saisie'!$C$5:$C$2004,C405,'Saisie'!$AQ$5:$AQ$2004,"&lt;&gt;")-4),""))</f>
        <v/>
      </c>
      <c r="AM405" s="60">
        <f>IF(C405="","",((AI405="Oui")+(AJ405="Oui")+(AK405="Oui")+OR(AL405="Immédiat",AL405="&lt; 1 mois"))&amp;"/4")</f>
        <v/>
      </c>
      <c r="AN405" s="60">
        <f>IF(C405="","",IFERROR(INDEX('Saisie'!$AL$5:$AL$2004,_xlfn.MAXIFS('Saisie'!$AS$5:$AS$2004,'Saisie'!$C$5:$C$2004,C405,'Saisie'!$AL$5:$AL$2004,"&lt;&gt;")-4),""))</f>
        <v/>
      </c>
      <c r="AO405" s="62">
        <f>IF(C405="","",IF(IFERROR(INDEX('Saisie'!$AM$5:$AM$2004,_xlfn.MAXIFS('Saisie'!$AS$5:$AS$2004,'Saisie'!$C$5:$C$2004,C405,'Saisie'!$AM$5:$AM$2004,"&lt;&gt;")-4),"")&lt;&gt;"",IFERROR(INDEX('Saisie'!$AM$5:$AM$2004,_xlfn.MAXIFS('Saisie'!$AS$5:$AS$2004,'Saisie'!$C$5:$C$2004,C405,'Saisie'!$AM$5:$AM$2004,"&lt;&gt;")-4),""),IFERROR(INDEX('Paramètres'!$S$6:$S$15,MATCH(AN405,'Paramètres'!$Q$6:$Q$15,0)),"")))</f>
        <v/>
      </c>
      <c r="AP405" s="62">
        <f>IF(C405="","",IFERROR(INDEX('Saisie'!$AW$5:$AW$2004,_xlfn.MAXIFS('Saisie'!$AS$5:$AS$2004,'Saisie'!$C$5:$C$2004,C405,'Saisie'!$E$5:$E$2004,"Proposition envoyée")-4),""))</f>
        <v/>
      </c>
      <c r="AQ405" s="106">
        <f>IF(C405="","",IFERROR(1/(1/_xlfn.MAXIFS('Saisie'!$A$5:$A$2004,'Saisie'!$C$5:$C$2004,C405,'Saisie'!$E$5:$E$2004,"Proposition envoyée")),""))</f>
        <v/>
      </c>
      <c r="AR405" s="106">
        <f>IF(C405="","",IF(AQ405="","",AQ405+'Paramètres'!$B$26))</f>
        <v/>
      </c>
      <c r="AS405" s="62">
        <f>IF(OR(C405="",D405="Gagné",D405="Perdu"),0,N(AP405)*IFERROR(INDEX('Paramètres'!$G$6:$G$13,MATCH(D405,'Paramètres'!$F$6:$F$13,0)),0))</f>
        <v/>
      </c>
      <c r="AT405" s="106">
        <f>IF(C405="","",IFERROR(1/(1/_xlfn.MINIFS('Saisie'!$A$5:$A$2004,'Saisie'!$C$5:$C$2004,C405,'Saisie'!$E$5:$E$2004,"Signature")),""))</f>
        <v/>
      </c>
      <c r="AU405" s="60">
        <f>IF(C405="","",IF(OR(AT405="",B405=""),"",AT405-B405))</f>
        <v/>
      </c>
      <c r="AV405" s="60">
        <f>IF(C405="","",IFERROR(INDEX('Saisie'!$L$5:$L$2004,_xlfn.MAXIFS('Saisie'!$AS$5:$AS$2004,'Saisie'!$C$5:$C$2004,C405,'Saisie'!$L$5:$L$2004,"&lt;&gt;")-4),""))</f>
        <v/>
      </c>
      <c r="AW405" s="106">
        <f>IF(C405="","",IF(D405&lt;&gt;"Perdu","",IFERROR(1/(1/_xlfn.MAXIFS('Saisie'!$A$5:$A$2004,'Saisie'!$C$5:$C$2004,C405,'Saisie'!$E$5:$E$2004,"Perdu")),"")))</f>
        <v/>
      </c>
      <c r="AX405" s="106">
        <f>IF(C405="","",IF(AW405="","",AW405+'Paramètres'!$B$28))</f>
        <v/>
      </c>
      <c r="AY405" s="60">
        <f>IF(C405="","",SUMIFS('Saisie'!$H$5:$H$2004,'Saisie'!$C$5:$C$2004,C405))</f>
        <v/>
      </c>
      <c r="AZ405" s="60">
        <f>IF(C405="","",IFERROR(INDEX('Paramètres'!$W$6:$W$20,MATCH(S405,'Paramètres'!$V$6:$V$20,0))&amp;"",""))</f>
        <v/>
      </c>
      <c r="BA405" s="60">
        <f>IF(C405="","",MAX(1,_xlfn.MAXIFS('Saisie'!$AT$5:$AT$2004,'Saisie'!$C$5:$C$2004,C405)))</f>
        <v/>
      </c>
      <c r="BB405" s="60">
        <f>IF(C405="","",IFERROR(INDEX('Saisie'!$X$5:$X$2004,_xlfn.MAXIFS('Saisie'!$AS$5:$AS$2004,'Saisie'!$C$5:$C$2004,C405,'Saisie'!$X$5:$X$2004,"&lt;&gt;")-4),""))</f>
        <v/>
      </c>
      <c r="BC405" s="60">
        <f>IF(C405="","",IFERROR(INDEX('Saisie'!$Y$5:$Y$2004,_xlfn.MAXIFS('Saisie'!$AS$5:$AS$2004,'Saisie'!$C$5:$C$2004,C405,'Saisie'!$Y$5:$Y$2004,"&lt;&gt;")-4),""))</f>
        <v/>
      </c>
      <c r="BD405" s="106">
        <f>IF(C405="","",IFERROR(1/(1/_xlfn.MINIFS('Saisie'!$A$5:$A$2004,'Saisie'!$C$5:$C$2004,C405,'Saisie'!$AT$5:$AT$2004,"&gt;=2")),""))</f>
        <v/>
      </c>
      <c r="BE405" s="106">
        <f>IF(C405="","",IFERROR(1/(1/_xlfn.MINIFS('Saisie'!$A$5:$A$2004,'Saisie'!$C$5:$C$2004,C405,'Saisie'!$AT$5:$AT$2004,"&gt;=3")),""))</f>
        <v/>
      </c>
      <c r="BF405" s="106">
        <f>IF(C405="","",IFERROR(1/(1/_xlfn.MINIFS('Saisie'!$A$5:$A$2004,'Saisie'!$C$5:$C$2004,C405,'Saisie'!$AT$5:$AT$2004,"&gt;=4")),""))</f>
        <v/>
      </c>
      <c r="BG405" s="106">
        <f>IF(C405="","",IFERROR(1/(1/_xlfn.MINIFS('Saisie'!$A$5:$A$2004,'Saisie'!$C$5:$C$2004,C405,'Saisie'!$AT$5:$AT$2004,"&gt;=5")),""))</f>
        <v/>
      </c>
      <c r="BH405" s="106">
        <f>IF(C405="","",IFERROR(1/(1/_xlfn.MINIFS('Saisie'!$A$5:$A$2004,'Saisie'!$C$5:$C$2004,C405,'Saisie'!$AT$5:$AT$2004,"&gt;=6")),""))</f>
        <v/>
      </c>
      <c r="BI405" s="106">
        <f>IF(C405="","",IFERROR(1/(1/_xlfn.MINIFS('Saisie'!$A$5:$A$2004,'Saisie'!$C$5:$C$2004,C405,'Saisie'!$AT$5:$AT$2004,"&gt;=7")),""))</f>
        <v/>
      </c>
      <c r="BJ405" s="60">
        <f>IF(OR(BD405="",B405=""),"",BD405-B405)</f>
        <v/>
      </c>
      <c r="BK405" s="60">
        <f>IF(OR(BE405="",BD405=""),"",BE405-BD405)</f>
        <v/>
      </c>
      <c r="BL405" s="60">
        <f>IF(OR(BF405="",BE405=""),"",BF405-BE405)</f>
        <v/>
      </c>
      <c r="BM405" s="60">
        <f>IF(OR(BG405="",BF405=""),"",BG405-BF405)</f>
        <v/>
      </c>
      <c r="BN405" s="60">
        <f>IF(OR(BH405="",BG405=""),"",BH405-BG405)</f>
        <v/>
      </c>
      <c r="BO405" s="60">
        <f>IF(OR(BI405="",BH405=""),"",BI405-BH405)</f>
        <v/>
      </c>
      <c r="BP405" s="60">
        <f>IF(C405="","",_xlfn.MAXIFS('Saisie'!$AS$5:$AS$2004,'Saisie'!$C$5:$C$2004,C405,'Saisie'!$J$5:$J$2004,"&lt;&gt;"))</f>
        <v/>
      </c>
      <c r="BQ405" s="60">
        <f>IF(C405="","",_xlfn.MAXIFS('Saisie'!$AS$5:$AS$2004,'Saisie'!$C$5:$C$2004,C405))</f>
        <v/>
      </c>
      <c r="BR405" s="60">
        <f>IF(C405="","",_xlfn.MAXIFS('Saisie'!$AS$5:$AS$2004,'Saisie'!$C$5:$C$2004,C405,'Saisie'!$E$5:$E$2004,"Perdu"))</f>
        <v/>
      </c>
      <c r="BS405" s="60">
        <f>IF(C405="","",_xlfn.MAXIFS('Saisie'!$AS$5:$AS$2004,'Saisie'!$C$5:$C$2004,C405,'Saisie'!$AT$5:$AT$2004,"&gt;0"))</f>
        <v/>
      </c>
      <c r="BT405" s="109">
        <f>IF(AND(C405&lt;&gt;"",OR(D405="Nouveau",D405="Contacté",D405="Qualifié"),OR(G405="",N(G405)&lt;=TODAY()),NOT(AND(O405&gt;='Paramètres'!$B$21,P405=0))),E405+401/10000,"")</f>
        <v/>
      </c>
      <c r="BU405" s="60">
        <f>IF(AND(G405&lt;&gt;"",N(G405)&lt;=TODAY()),MAX($BU$4:BU404)+1,"")</f>
        <v/>
      </c>
      <c r="BV405" s="60">
        <f>IF(AND(F405&lt;&gt;"",F405&lt;&gt;"Relance en retard"),MAX($BV$4:BV404)+1,"")</f>
        <v/>
      </c>
      <c r="BW405" s="60">
        <f>IF(C405="","",IF(AND(B405&gt;='Tableau de bord'!$R$4,B405&lt;='Tableau de bord'!$S$4,OR('Tableau de bord'!$G$4="Tous",N405='Tableau de bord'!$G$4)),1,0))</f>
        <v/>
      </c>
      <c r="BX405" s="60">
        <f>IF(AND(C405&lt;&gt;"",N(BA405)=7),MAX($BX$4:BX404)+1,"")</f>
        <v/>
      </c>
    </row>
    <row r="406">
      <c r="A406" s="60">
        <f>IF(C406="","","P-"&amp;TEXT(402,"000"))</f>
        <v/>
      </c>
      <c r="B406" s="106">
        <f>IF(C406="","",IFERROR(1/(1/_xlfn.MINIFS('Saisie'!$A$5:$A$2004,'Saisie'!$C$5:$C$2004,C406)),""))</f>
        <v/>
      </c>
      <c r="C406" s="60">
        <f>IFERROR(INDEX('Saisie'!$C$5:$C$2004,MATCH(402,'Saisie'!$AX$5:$AX$2004,0)),"")</f>
        <v/>
      </c>
      <c r="D406" s="60">
        <f>IF(C406="","",IF(AND(BR406&gt;0,BR406&gt;BS406,BA406&lt;7),"Perdu",INDEX('Paramètres'!$F$6:$F$13,BA406)))</f>
        <v/>
      </c>
      <c r="E406" s="61">
        <f>IF(C406="","",MIN(100,(Z406="Oui")*'Paramètres'!$B$38+(AB406="Régulière")*'Paramètres'!$B$39+IF(AND(N(AA406)&gt;0,TODAY()-N(AA406)&lt;=30),'Paramètres'!$B$40,0)+(W406="")*'Paramètres'!$B$41+(AC406="Absente")*'Paramètres'!$B$42+(AC406="Faible")*'Paramètres'!$B$43+IF(AND(N(AD406)&gt;0,N(AD406)&lt;4),'Paramètres'!$B$44,0)+(AF406="Moyenne")*'Paramètres'!$B$45+(AF406="Grande")*'Paramètres'!$B$46+(Y406&lt;&gt;"")*'Paramètres'!$B$47))</f>
        <v/>
      </c>
      <c r="F406" s="60">
        <f>IF(C406="","",IF(D406="Gagné","",IF(D406="Perdu",IF(AND(AX406&lt;&gt;"",AX406&lt;=TODAY()),"À recontacter (perdu)",""),IF(AND(O406&gt;='Paramètres'!$B$21,P406=0),"Stop : "&amp;'Paramètres'!$B$21&amp;" tentatives sans réponse",IF(AND(D406="Proposition",AR406&lt;&gt;"",TODAY()&gt;N(AR406)),"Proposition expirée",IF(AND(D406="Proposition",N(R406)&gt;='Paramètres'!$B$25),"Proposition sans réponse",IF(AND(G406&lt;&gt;"",N(G406)&lt;TODAY()),"Relance en retard",IF(N(R406)&gt;='Paramètres'!$B$24,"Sans action depuis "&amp;R406&amp;" j",""))))))))</f>
        <v/>
      </c>
      <c r="G406" s="106">
        <f>IF(OR(C406="",D406="Gagné",D406="Perdu"),"",IF(AND(BP406&gt;0,BP406=BQ406),INDEX('Saisie'!$J$5:$J$2004,BP406-4),IF(OR(O406=0,AND(O406&gt;='Paramètres'!$B$21,P406=0)),"",Q406+IF(O406&lt;=1,'Paramètres'!$B$18,IF(O406=2,'Paramètres'!$B$19,'Paramètres'!$B$20)))))</f>
        <v/>
      </c>
      <c r="H406" s="107">
        <f>IF(OR(G406="",BP406&lt;&gt;BQ406),"",IF(INDEX('Saisie'!$K$5:$K$2004,BP406-4)="","",INDEX('Saisie'!$K$5:$K$2004,BP406-4)))</f>
        <v/>
      </c>
      <c r="I406" s="60">
        <f>IF(C406="","",IF(OR(D406="Gagné",D406="Perdu"),"",IFERROR(INDEX('Saisie'!$I$5:$I$2004,_xlfn.MAXIFS('Saisie'!$AS$5:$AS$2004,'Saisie'!$C$5:$C$2004,C406,'Saisie'!$I$5:$I$2004,"&lt;&gt;")-4),"")))</f>
        <v/>
      </c>
      <c r="J406" s="60">
        <f>IF(C406="","",IFERROR(INDEX('Saisie'!$U$5:$U$2004,_xlfn.MAXIFS('Saisie'!$AS$5:$AS$2004,'Saisie'!$C$5:$C$2004,C406,'Saisie'!$U$5:$U$2004,"&lt;&gt;")-4),""))</f>
        <v/>
      </c>
      <c r="K406" s="60">
        <f>IF(C406="","",IFERROR(INDEX('Saisie'!$W$5:$W$2004,_xlfn.MAXIFS('Saisie'!$AS$5:$AS$2004,'Saisie'!$C$5:$C$2004,C406,'Saisie'!$W$5:$W$2004,"&lt;&gt;")-4),""))</f>
        <v/>
      </c>
      <c r="L406" s="60">
        <f>IF(IF(BB406&lt;&gt;"",BB406,K406)="","",HYPERLINK("https://wa.me/"&amp;IF(LEFT(SUBSTITUTE(SUBSTITUTE(SUBSTITUTE(IF(BB406&lt;&gt;"",BB406,K406)," ",""),".",""),"+",""),1)="0",'Paramètres'!$B$35&amp;MID(SUBSTITUTE(SUBSTITUTE(SUBSTITUTE(IF(BB406&lt;&gt;"",BB406,K406)," ",""),".",""),"+",""),2,20),SUBSTITUTE(SUBSTITUTE(SUBSTITUTE(IF(BB406&lt;&gt;"",BB406,K406)," ",""),".",""),"+","")),"WhatsApp"))</f>
        <v/>
      </c>
      <c r="M406" s="60">
        <f>IF(BC406="","",HYPERLINK(IF(LEFT(BC406,4)="http",BC406,"https://www.instagram.com/"&amp;SUBSTITUTE(SUBSTITUTE(BC406,"@","")," ","")),BC406))</f>
        <v/>
      </c>
      <c r="N406" s="60">
        <f>IF(C406="","",IFERROR(INDEX('Saisie'!$D$5:$D$2004,_xlfn.MINIFS('Saisie'!$AS$5:$AS$2004,'Saisie'!$C$5:$C$2004,C406,'Saisie'!$AU$5:$AU$2004,1)-4),IFERROR(INDEX('Saisie'!$D$5:$D$2004,_xlfn.MINIFS('Saisie'!$AS$5:$AS$2004,'Saisie'!$C$5:$C$2004,C406,'Saisie'!$D$5:$D$2004,"&lt;&gt;")-4),"")))</f>
        <v/>
      </c>
      <c r="O406" s="60">
        <f>IF(C406="","",COUNTIFS('Saisie'!$C$5:$C$2004,C406,'Saisie'!$AU$5:$AU$2004,1))</f>
        <v/>
      </c>
      <c r="P406" s="60">
        <f>IF(C406="","",COUNTIFS('Saisie'!$C$5:$C$2004,C406,'Saisie'!$AV$5:$AV$2004,1))</f>
        <v/>
      </c>
      <c r="Q406" s="106">
        <f>IF(C406="","",IFERROR(1/(1/_xlfn.MAXIFS('Saisie'!$A$5:$A$2004,'Saisie'!$C$5:$C$2004,C406)),""))</f>
        <v/>
      </c>
      <c r="R406" s="61">
        <f>IF(C406="","",IF(Q406="","",TODAY()-Q406))</f>
        <v/>
      </c>
      <c r="S406" s="60">
        <f>IF(C406="","",IFERROR(INDEX('Saisie'!$R$5:$R$2004,_xlfn.MAXIFS('Saisie'!$AS$5:$AS$2004,'Saisie'!$C$5:$C$2004,C406,'Saisie'!$R$5:$R$2004,"&lt;&gt;")-4),""))</f>
        <v/>
      </c>
      <c r="T406" s="60">
        <f>IF(C406="","",IFERROR(INDEX('Saisie'!$S$5:$S$2004,_xlfn.MAXIFS('Saisie'!$AS$5:$AS$2004,'Saisie'!$C$5:$C$2004,C406,'Saisie'!$S$5:$S$2004,"&lt;&gt;")-4),""))</f>
        <v/>
      </c>
      <c r="U406" s="60">
        <f>IF(C406="","",IFERROR(INDEX('Saisie'!$T$5:$T$2004,_xlfn.MAXIFS('Saisie'!$AS$5:$AS$2004,'Saisie'!$C$5:$C$2004,C406,'Saisie'!$T$5:$T$2004,"&lt;&gt;")-4),""))</f>
        <v/>
      </c>
      <c r="V406" s="60">
        <f>IF(C406="","",IFERROR(INDEX('Saisie'!$V$5:$V$2004,_xlfn.MAXIFS('Saisie'!$AS$5:$AS$2004,'Saisie'!$C$5:$C$2004,C406,'Saisie'!$V$5:$V$2004,"&lt;&gt;")-4),""))</f>
        <v/>
      </c>
      <c r="W406" s="60">
        <f>IF(C406="","",IFERROR(INDEX('Saisie'!$Z$5:$Z$2004,_xlfn.MAXIFS('Saisie'!$AS$5:$AS$2004,'Saisie'!$C$5:$C$2004,C406,'Saisie'!$Z$5:$Z$2004,"&lt;&gt;")-4),""))</f>
        <v/>
      </c>
      <c r="X406" s="60">
        <f>IF(C406="","",IFERROR(INDEX('Saisie'!$AA$5:$AA$2004,_xlfn.MAXIFS('Saisie'!$AS$5:$AS$2004,'Saisie'!$C$5:$C$2004,C406,'Saisie'!$AA$5:$AA$2004,"&lt;&gt;")-4),""))</f>
        <v/>
      </c>
      <c r="Y406" s="60">
        <f>IF(C406="","",IFERROR(INDEX('Saisie'!$AB$5:$AB$2004,_xlfn.MAXIFS('Saisie'!$AS$5:$AS$2004,'Saisie'!$C$5:$C$2004,C406,'Saisie'!$AB$5:$AB$2004,"&lt;&gt;")-4),""))</f>
        <v/>
      </c>
      <c r="Z406" s="60">
        <f>IF(C406="","",IFERROR(INDEX('Saisie'!$AC$5:$AC$2004,_xlfn.MAXIFS('Saisie'!$AS$5:$AS$2004,'Saisie'!$C$5:$C$2004,C406,'Saisie'!$AC$5:$AC$2004,"&lt;&gt;")-4),""))</f>
        <v/>
      </c>
      <c r="AA406" s="106">
        <f>IF(C406="","",IFERROR(INDEX('Saisie'!$AD$5:$AD$2004,_xlfn.MAXIFS('Saisie'!$AS$5:$AS$2004,'Saisie'!$C$5:$C$2004,C406,'Saisie'!$AD$5:$AD$2004,"&lt;&gt;")-4),""))</f>
        <v/>
      </c>
      <c r="AB406" s="60">
        <f>IF(C406="","",IFERROR(INDEX('Saisie'!$AE$5:$AE$2004,_xlfn.MAXIFS('Saisie'!$AS$5:$AS$2004,'Saisie'!$C$5:$C$2004,C406,'Saisie'!$AE$5:$AE$2004,"&lt;&gt;")-4),""))</f>
        <v/>
      </c>
      <c r="AC406" s="60">
        <f>IF(C406="","",IFERROR(INDEX('Saisie'!$AF$5:$AF$2004,_xlfn.MAXIFS('Saisie'!$AS$5:$AS$2004,'Saisie'!$C$5:$C$2004,C406,'Saisie'!$AF$5:$AF$2004,"&lt;&gt;")-4),""))</f>
        <v/>
      </c>
      <c r="AD406" s="108">
        <f>IF(C406="","",IFERROR(INDEX('Saisie'!$AG$5:$AG$2004,_xlfn.MAXIFS('Saisie'!$AS$5:$AS$2004,'Saisie'!$C$5:$C$2004,C406,'Saisie'!$AG$5:$AG$2004,"&lt;&gt;")-4),""))</f>
        <v/>
      </c>
      <c r="AE406" s="60">
        <f>IF(C406="","",IFERROR(INDEX('Saisie'!$AH$5:$AH$2004,_xlfn.MAXIFS('Saisie'!$AS$5:$AS$2004,'Saisie'!$C$5:$C$2004,C406,'Saisie'!$AH$5:$AH$2004,"&lt;&gt;")-4),""))</f>
        <v/>
      </c>
      <c r="AF406" s="60">
        <f>IF(C406="","",IFERROR(INDEX('Saisie'!$AI$5:$AI$2004,_xlfn.MAXIFS('Saisie'!$AS$5:$AS$2004,'Saisie'!$C$5:$C$2004,C406,'Saisie'!$AI$5:$AI$2004,"&lt;&gt;")-4),""))</f>
        <v/>
      </c>
      <c r="AG406" s="60">
        <f>IF(C406="","",IFERROR(INDEX('Saisie'!$AJ$5:$AJ$2004,_xlfn.MAXIFS('Saisie'!$AS$5:$AS$2004,'Saisie'!$C$5:$C$2004,C406,'Saisie'!$AJ$5:$AJ$2004,"&lt;&gt;")-4),""))</f>
        <v/>
      </c>
      <c r="AH406" s="60">
        <f>IF(C406="","",IFERROR(INDEX('Saisie'!$AK$5:$AK$2004,_xlfn.MAXIFS('Saisie'!$AS$5:$AS$2004,'Saisie'!$C$5:$C$2004,C406,'Saisie'!$AK$5:$AK$2004,"&lt;&gt;")-4),""))</f>
        <v/>
      </c>
      <c r="AI406" s="60">
        <f>IF(C406="","",IFERROR(INDEX('Saisie'!$AN$5:$AN$2004,_xlfn.MAXIFS('Saisie'!$AS$5:$AS$2004,'Saisie'!$C$5:$C$2004,C406,'Saisie'!$AN$5:$AN$2004,"&lt;&gt;")-4),""))</f>
        <v/>
      </c>
      <c r="AJ406" s="60">
        <f>IF(C406="","",IFERROR(INDEX('Saisie'!$AO$5:$AO$2004,_xlfn.MAXIFS('Saisie'!$AS$5:$AS$2004,'Saisie'!$C$5:$C$2004,C406,'Saisie'!$AO$5:$AO$2004,"&lt;&gt;")-4),""))</f>
        <v/>
      </c>
      <c r="AK406" s="60">
        <f>IF(C406="","",IFERROR(INDEX('Saisie'!$AP$5:$AP$2004,_xlfn.MAXIFS('Saisie'!$AS$5:$AS$2004,'Saisie'!$C$5:$C$2004,C406,'Saisie'!$AP$5:$AP$2004,"&lt;&gt;")-4),""))</f>
        <v/>
      </c>
      <c r="AL406" s="60">
        <f>IF(C406="","",IFERROR(INDEX('Saisie'!$AQ$5:$AQ$2004,_xlfn.MAXIFS('Saisie'!$AS$5:$AS$2004,'Saisie'!$C$5:$C$2004,C406,'Saisie'!$AQ$5:$AQ$2004,"&lt;&gt;")-4),""))</f>
        <v/>
      </c>
      <c r="AM406" s="60">
        <f>IF(C406="","",((AI406="Oui")+(AJ406="Oui")+(AK406="Oui")+OR(AL406="Immédiat",AL406="&lt; 1 mois"))&amp;"/4")</f>
        <v/>
      </c>
      <c r="AN406" s="60">
        <f>IF(C406="","",IFERROR(INDEX('Saisie'!$AL$5:$AL$2004,_xlfn.MAXIFS('Saisie'!$AS$5:$AS$2004,'Saisie'!$C$5:$C$2004,C406,'Saisie'!$AL$5:$AL$2004,"&lt;&gt;")-4),""))</f>
        <v/>
      </c>
      <c r="AO406" s="62">
        <f>IF(C406="","",IF(IFERROR(INDEX('Saisie'!$AM$5:$AM$2004,_xlfn.MAXIFS('Saisie'!$AS$5:$AS$2004,'Saisie'!$C$5:$C$2004,C406,'Saisie'!$AM$5:$AM$2004,"&lt;&gt;")-4),"")&lt;&gt;"",IFERROR(INDEX('Saisie'!$AM$5:$AM$2004,_xlfn.MAXIFS('Saisie'!$AS$5:$AS$2004,'Saisie'!$C$5:$C$2004,C406,'Saisie'!$AM$5:$AM$2004,"&lt;&gt;")-4),""),IFERROR(INDEX('Paramètres'!$S$6:$S$15,MATCH(AN406,'Paramètres'!$Q$6:$Q$15,0)),"")))</f>
        <v/>
      </c>
      <c r="AP406" s="62">
        <f>IF(C406="","",IFERROR(INDEX('Saisie'!$AW$5:$AW$2004,_xlfn.MAXIFS('Saisie'!$AS$5:$AS$2004,'Saisie'!$C$5:$C$2004,C406,'Saisie'!$E$5:$E$2004,"Proposition envoyée")-4),""))</f>
        <v/>
      </c>
      <c r="AQ406" s="106">
        <f>IF(C406="","",IFERROR(1/(1/_xlfn.MAXIFS('Saisie'!$A$5:$A$2004,'Saisie'!$C$5:$C$2004,C406,'Saisie'!$E$5:$E$2004,"Proposition envoyée")),""))</f>
        <v/>
      </c>
      <c r="AR406" s="106">
        <f>IF(C406="","",IF(AQ406="","",AQ406+'Paramètres'!$B$26))</f>
        <v/>
      </c>
      <c r="AS406" s="62">
        <f>IF(OR(C406="",D406="Gagné",D406="Perdu"),0,N(AP406)*IFERROR(INDEX('Paramètres'!$G$6:$G$13,MATCH(D406,'Paramètres'!$F$6:$F$13,0)),0))</f>
        <v/>
      </c>
      <c r="AT406" s="106">
        <f>IF(C406="","",IFERROR(1/(1/_xlfn.MINIFS('Saisie'!$A$5:$A$2004,'Saisie'!$C$5:$C$2004,C406,'Saisie'!$E$5:$E$2004,"Signature")),""))</f>
        <v/>
      </c>
      <c r="AU406" s="60">
        <f>IF(C406="","",IF(OR(AT406="",B406=""),"",AT406-B406))</f>
        <v/>
      </c>
      <c r="AV406" s="60">
        <f>IF(C406="","",IFERROR(INDEX('Saisie'!$L$5:$L$2004,_xlfn.MAXIFS('Saisie'!$AS$5:$AS$2004,'Saisie'!$C$5:$C$2004,C406,'Saisie'!$L$5:$L$2004,"&lt;&gt;")-4),""))</f>
        <v/>
      </c>
      <c r="AW406" s="106">
        <f>IF(C406="","",IF(D406&lt;&gt;"Perdu","",IFERROR(1/(1/_xlfn.MAXIFS('Saisie'!$A$5:$A$2004,'Saisie'!$C$5:$C$2004,C406,'Saisie'!$E$5:$E$2004,"Perdu")),"")))</f>
        <v/>
      </c>
      <c r="AX406" s="106">
        <f>IF(C406="","",IF(AW406="","",AW406+'Paramètres'!$B$28))</f>
        <v/>
      </c>
      <c r="AY406" s="60">
        <f>IF(C406="","",SUMIFS('Saisie'!$H$5:$H$2004,'Saisie'!$C$5:$C$2004,C406))</f>
        <v/>
      </c>
      <c r="AZ406" s="60">
        <f>IF(C406="","",IFERROR(INDEX('Paramètres'!$W$6:$W$20,MATCH(S406,'Paramètres'!$V$6:$V$20,0))&amp;"",""))</f>
        <v/>
      </c>
      <c r="BA406" s="60">
        <f>IF(C406="","",MAX(1,_xlfn.MAXIFS('Saisie'!$AT$5:$AT$2004,'Saisie'!$C$5:$C$2004,C406)))</f>
        <v/>
      </c>
      <c r="BB406" s="60">
        <f>IF(C406="","",IFERROR(INDEX('Saisie'!$X$5:$X$2004,_xlfn.MAXIFS('Saisie'!$AS$5:$AS$2004,'Saisie'!$C$5:$C$2004,C406,'Saisie'!$X$5:$X$2004,"&lt;&gt;")-4),""))</f>
        <v/>
      </c>
      <c r="BC406" s="60">
        <f>IF(C406="","",IFERROR(INDEX('Saisie'!$Y$5:$Y$2004,_xlfn.MAXIFS('Saisie'!$AS$5:$AS$2004,'Saisie'!$C$5:$C$2004,C406,'Saisie'!$Y$5:$Y$2004,"&lt;&gt;")-4),""))</f>
        <v/>
      </c>
      <c r="BD406" s="106">
        <f>IF(C406="","",IFERROR(1/(1/_xlfn.MINIFS('Saisie'!$A$5:$A$2004,'Saisie'!$C$5:$C$2004,C406,'Saisie'!$AT$5:$AT$2004,"&gt;=2")),""))</f>
        <v/>
      </c>
      <c r="BE406" s="106">
        <f>IF(C406="","",IFERROR(1/(1/_xlfn.MINIFS('Saisie'!$A$5:$A$2004,'Saisie'!$C$5:$C$2004,C406,'Saisie'!$AT$5:$AT$2004,"&gt;=3")),""))</f>
        <v/>
      </c>
      <c r="BF406" s="106">
        <f>IF(C406="","",IFERROR(1/(1/_xlfn.MINIFS('Saisie'!$A$5:$A$2004,'Saisie'!$C$5:$C$2004,C406,'Saisie'!$AT$5:$AT$2004,"&gt;=4")),""))</f>
        <v/>
      </c>
      <c r="BG406" s="106">
        <f>IF(C406="","",IFERROR(1/(1/_xlfn.MINIFS('Saisie'!$A$5:$A$2004,'Saisie'!$C$5:$C$2004,C406,'Saisie'!$AT$5:$AT$2004,"&gt;=5")),""))</f>
        <v/>
      </c>
      <c r="BH406" s="106">
        <f>IF(C406="","",IFERROR(1/(1/_xlfn.MINIFS('Saisie'!$A$5:$A$2004,'Saisie'!$C$5:$C$2004,C406,'Saisie'!$AT$5:$AT$2004,"&gt;=6")),""))</f>
        <v/>
      </c>
      <c r="BI406" s="106">
        <f>IF(C406="","",IFERROR(1/(1/_xlfn.MINIFS('Saisie'!$A$5:$A$2004,'Saisie'!$C$5:$C$2004,C406,'Saisie'!$AT$5:$AT$2004,"&gt;=7")),""))</f>
        <v/>
      </c>
      <c r="BJ406" s="60">
        <f>IF(OR(BD406="",B406=""),"",BD406-B406)</f>
        <v/>
      </c>
      <c r="BK406" s="60">
        <f>IF(OR(BE406="",BD406=""),"",BE406-BD406)</f>
        <v/>
      </c>
      <c r="BL406" s="60">
        <f>IF(OR(BF406="",BE406=""),"",BF406-BE406)</f>
        <v/>
      </c>
      <c r="BM406" s="60">
        <f>IF(OR(BG406="",BF406=""),"",BG406-BF406)</f>
        <v/>
      </c>
      <c r="BN406" s="60">
        <f>IF(OR(BH406="",BG406=""),"",BH406-BG406)</f>
        <v/>
      </c>
      <c r="BO406" s="60">
        <f>IF(OR(BI406="",BH406=""),"",BI406-BH406)</f>
        <v/>
      </c>
      <c r="BP406" s="60">
        <f>IF(C406="","",_xlfn.MAXIFS('Saisie'!$AS$5:$AS$2004,'Saisie'!$C$5:$C$2004,C406,'Saisie'!$J$5:$J$2004,"&lt;&gt;"))</f>
        <v/>
      </c>
      <c r="BQ406" s="60">
        <f>IF(C406="","",_xlfn.MAXIFS('Saisie'!$AS$5:$AS$2004,'Saisie'!$C$5:$C$2004,C406))</f>
        <v/>
      </c>
      <c r="BR406" s="60">
        <f>IF(C406="","",_xlfn.MAXIFS('Saisie'!$AS$5:$AS$2004,'Saisie'!$C$5:$C$2004,C406,'Saisie'!$E$5:$E$2004,"Perdu"))</f>
        <v/>
      </c>
      <c r="BS406" s="60">
        <f>IF(C406="","",_xlfn.MAXIFS('Saisie'!$AS$5:$AS$2004,'Saisie'!$C$5:$C$2004,C406,'Saisie'!$AT$5:$AT$2004,"&gt;0"))</f>
        <v/>
      </c>
      <c r="BT406" s="109">
        <f>IF(AND(C406&lt;&gt;"",OR(D406="Nouveau",D406="Contacté",D406="Qualifié"),OR(G406="",N(G406)&lt;=TODAY()),NOT(AND(O406&gt;='Paramètres'!$B$21,P406=0))),E406+402/10000,"")</f>
        <v/>
      </c>
      <c r="BU406" s="60">
        <f>IF(AND(G406&lt;&gt;"",N(G406)&lt;=TODAY()),MAX($BU$4:BU405)+1,"")</f>
        <v/>
      </c>
      <c r="BV406" s="60">
        <f>IF(AND(F406&lt;&gt;"",F406&lt;&gt;"Relance en retard"),MAX($BV$4:BV405)+1,"")</f>
        <v/>
      </c>
      <c r="BW406" s="60">
        <f>IF(C406="","",IF(AND(B406&gt;='Tableau de bord'!$R$4,B406&lt;='Tableau de bord'!$S$4,OR('Tableau de bord'!$G$4="Tous",N406='Tableau de bord'!$G$4)),1,0))</f>
        <v/>
      </c>
      <c r="BX406" s="60">
        <f>IF(AND(C406&lt;&gt;"",N(BA406)=7),MAX($BX$4:BX405)+1,"")</f>
        <v/>
      </c>
    </row>
    <row r="407">
      <c r="A407" s="60">
        <f>IF(C407="","","P-"&amp;TEXT(403,"000"))</f>
        <v/>
      </c>
      <c r="B407" s="106">
        <f>IF(C407="","",IFERROR(1/(1/_xlfn.MINIFS('Saisie'!$A$5:$A$2004,'Saisie'!$C$5:$C$2004,C407)),""))</f>
        <v/>
      </c>
      <c r="C407" s="60">
        <f>IFERROR(INDEX('Saisie'!$C$5:$C$2004,MATCH(403,'Saisie'!$AX$5:$AX$2004,0)),"")</f>
        <v/>
      </c>
      <c r="D407" s="60">
        <f>IF(C407="","",IF(AND(BR407&gt;0,BR407&gt;BS407,BA407&lt;7),"Perdu",INDEX('Paramètres'!$F$6:$F$13,BA407)))</f>
        <v/>
      </c>
      <c r="E407" s="61">
        <f>IF(C407="","",MIN(100,(Z407="Oui")*'Paramètres'!$B$38+(AB407="Régulière")*'Paramètres'!$B$39+IF(AND(N(AA407)&gt;0,TODAY()-N(AA407)&lt;=30),'Paramètres'!$B$40,0)+(W407="")*'Paramètres'!$B$41+(AC407="Absente")*'Paramètres'!$B$42+(AC407="Faible")*'Paramètres'!$B$43+IF(AND(N(AD407)&gt;0,N(AD407)&lt;4),'Paramètres'!$B$44,0)+(AF407="Moyenne")*'Paramètres'!$B$45+(AF407="Grande")*'Paramètres'!$B$46+(Y407&lt;&gt;"")*'Paramètres'!$B$47))</f>
        <v/>
      </c>
      <c r="F407" s="60">
        <f>IF(C407="","",IF(D407="Gagné","",IF(D407="Perdu",IF(AND(AX407&lt;&gt;"",AX407&lt;=TODAY()),"À recontacter (perdu)",""),IF(AND(O407&gt;='Paramètres'!$B$21,P407=0),"Stop : "&amp;'Paramètres'!$B$21&amp;" tentatives sans réponse",IF(AND(D407="Proposition",AR407&lt;&gt;"",TODAY()&gt;N(AR407)),"Proposition expirée",IF(AND(D407="Proposition",N(R407)&gt;='Paramètres'!$B$25),"Proposition sans réponse",IF(AND(G407&lt;&gt;"",N(G407)&lt;TODAY()),"Relance en retard",IF(N(R407)&gt;='Paramètres'!$B$24,"Sans action depuis "&amp;R407&amp;" j",""))))))))</f>
        <v/>
      </c>
      <c r="G407" s="106">
        <f>IF(OR(C407="",D407="Gagné",D407="Perdu"),"",IF(AND(BP407&gt;0,BP407=BQ407),INDEX('Saisie'!$J$5:$J$2004,BP407-4),IF(OR(O407=0,AND(O407&gt;='Paramètres'!$B$21,P407=0)),"",Q407+IF(O407&lt;=1,'Paramètres'!$B$18,IF(O407=2,'Paramètres'!$B$19,'Paramètres'!$B$20)))))</f>
        <v/>
      </c>
      <c r="H407" s="107">
        <f>IF(OR(G407="",BP407&lt;&gt;BQ407),"",IF(INDEX('Saisie'!$K$5:$K$2004,BP407-4)="","",INDEX('Saisie'!$K$5:$K$2004,BP407-4)))</f>
        <v/>
      </c>
      <c r="I407" s="60">
        <f>IF(C407="","",IF(OR(D407="Gagné",D407="Perdu"),"",IFERROR(INDEX('Saisie'!$I$5:$I$2004,_xlfn.MAXIFS('Saisie'!$AS$5:$AS$2004,'Saisie'!$C$5:$C$2004,C407,'Saisie'!$I$5:$I$2004,"&lt;&gt;")-4),"")))</f>
        <v/>
      </c>
      <c r="J407" s="60">
        <f>IF(C407="","",IFERROR(INDEX('Saisie'!$U$5:$U$2004,_xlfn.MAXIFS('Saisie'!$AS$5:$AS$2004,'Saisie'!$C$5:$C$2004,C407,'Saisie'!$U$5:$U$2004,"&lt;&gt;")-4),""))</f>
        <v/>
      </c>
      <c r="K407" s="60">
        <f>IF(C407="","",IFERROR(INDEX('Saisie'!$W$5:$W$2004,_xlfn.MAXIFS('Saisie'!$AS$5:$AS$2004,'Saisie'!$C$5:$C$2004,C407,'Saisie'!$W$5:$W$2004,"&lt;&gt;")-4),""))</f>
        <v/>
      </c>
      <c r="L407" s="60">
        <f>IF(IF(BB407&lt;&gt;"",BB407,K407)="","",HYPERLINK("https://wa.me/"&amp;IF(LEFT(SUBSTITUTE(SUBSTITUTE(SUBSTITUTE(IF(BB407&lt;&gt;"",BB407,K407)," ",""),".",""),"+",""),1)="0",'Paramètres'!$B$35&amp;MID(SUBSTITUTE(SUBSTITUTE(SUBSTITUTE(IF(BB407&lt;&gt;"",BB407,K407)," ",""),".",""),"+",""),2,20),SUBSTITUTE(SUBSTITUTE(SUBSTITUTE(IF(BB407&lt;&gt;"",BB407,K407)," ",""),".",""),"+","")),"WhatsApp"))</f>
        <v/>
      </c>
      <c r="M407" s="60">
        <f>IF(BC407="","",HYPERLINK(IF(LEFT(BC407,4)="http",BC407,"https://www.instagram.com/"&amp;SUBSTITUTE(SUBSTITUTE(BC407,"@","")," ","")),BC407))</f>
        <v/>
      </c>
      <c r="N407" s="60">
        <f>IF(C407="","",IFERROR(INDEX('Saisie'!$D$5:$D$2004,_xlfn.MINIFS('Saisie'!$AS$5:$AS$2004,'Saisie'!$C$5:$C$2004,C407,'Saisie'!$AU$5:$AU$2004,1)-4),IFERROR(INDEX('Saisie'!$D$5:$D$2004,_xlfn.MINIFS('Saisie'!$AS$5:$AS$2004,'Saisie'!$C$5:$C$2004,C407,'Saisie'!$D$5:$D$2004,"&lt;&gt;")-4),"")))</f>
        <v/>
      </c>
      <c r="O407" s="60">
        <f>IF(C407="","",COUNTIFS('Saisie'!$C$5:$C$2004,C407,'Saisie'!$AU$5:$AU$2004,1))</f>
        <v/>
      </c>
      <c r="P407" s="60">
        <f>IF(C407="","",COUNTIFS('Saisie'!$C$5:$C$2004,C407,'Saisie'!$AV$5:$AV$2004,1))</f>
        <v/>
      </c>
      <c r="Q407" s="106">
        <f>IF(C407="","",IFERROR(1/(1/_xlfn.MAXIFS('Saisie'!$A$5:$A$2004,'Saisie'!$C$5:$C$2004,C407)),""))</f>
        <v/>
      </c>
      <c r="R407" s="61">
        <f>IF(C407="","",IF(Q407="","",TODAY()-Q407))</f>
        <v/>
      </c>
      <c r="S407" s="60">
        <f>IF(C407="","",IFERROR(INDEX('Saisie'!$R$5:$R$2004,_xlfn.MAXIFS('Saisie'!$AS$5:$AS$2004,'Saisie'!$C$5:$C$2004,C407,'Saisie'!$R$5:$R$2004,"&lt;&gt;")-4),""))</f>
        <v/>
      </c>
      <c r="T407" s="60">
        <f>IF(C407="","",IFERROR(INDEX('Saisie'!$S$5:$S$2004,_xlfn.MAXIFS('Saisie'!$AS$5:$AS$2004,'Saisie'!$C$5:$C$2004,C407,'Saisie'!$S$5:$S$2004,"&lt;&gt;")-4),""))</f>
        <v/>
      </c>
      <c r="U407" s="60">
        <f>IF(C407="","",IFERROR(INDEX('Saisie'!$T$5:$T$2004,_xlfn.MAXIFS('Saisie'!$AS$5:$AS$2004,'Saisie'!$C$5:$C$2004,C407,'Saisie'!$T$5:$T$2004,"&lt;&gt;")-4),""))</f>
        <v/>
      </c>
      <c r="V407" s="60">
        <f>IF(C407="","",IFERROR(INDEX('Saisie'!$V$5:$V$2004,_xlfn.MAXIFS('Saisie'!$AS$5:$AS$2004,'Saisie'!$C$5:$C$2004,C407,'Saisie'!$V$5:$V$2004,"&lt;&gt;")-4),""))</f>
        <v/>
      </c>
      <c r="W407" s="60">
        <f>IF(C407="","",IFERROR(INDEX('Saisie'!$Z$5:$Z$2004,_xlfn.MAXIFS('Saisie'!$AS$5:$AS$2004,'Saisie'!$C$5:$C$2004,C407,'Saisie'!$Z$5:$Z$2004,"&lt;&gt;")-4),""))</f>
        <v/>
      </c>
      <c r="X407" s="60">
        <f>IF(C407="","",IFERROR(INDEX('Saisie'!$AA$5:$AA$2004,_xlfn.MAXIFS('Saisie'!$AS$5:$AS$2004,'Saisie'!$C$5:$C$2004,C407,'Saisie'!$AA$5:$AA$2004,"&lt;&gt;")-4),""))</f>
        <v/>
      </c>
      <c r="Y407" s="60">
        <f>IF(C407="","",IFERROR(INDEX('Saisie'!$AB$5:$AB$2004,_xlfn.MAXIFS('Saisie'!$AS$5:$AS$2004,'Saisie'!$C$5:$C$2004,C407,'Saisie'!$AB$5:$AB$2004,"&lt;&gt;")-4),""))</f>
        <v/>
      </c>
      <c r="Z407" s="60">
        <f>IF(C407="","",IFERROR(INDEX('Saisie'!$AC$5:$AC$2004,_xlfn.MAXIFS('Saisie'!$AS$5:$AS$2004,'Saisie'!$C$5:$C$2004,C407,'Saisie'!$AC$5:$AC$2004,"&lt;&gt;")-4),""))</f>
        <v/>
      </c>
      <c r="AA407" s="106">
        <f>IF(C407="","",IFERROR(INDEX('Saisie'!$AD$5:$AD$2004,_xlfn.MAXIFS('Saisie'!$AS$5:$AS$2004,'Saisie'!$C$5:$C$2004,C407,'Saisie'!$AD$5:$AD$2004,"&lt;&gt;")-4),""))</f>
        <v/>
      </c>
      <c r="AB407" s="60">
        <f>IF(C407="","",IFERROR(INDEX('Saisie'!$AE$5:$AE$2004,_xlfn.MAXIFS('Saisie'!$AS$5:$AS$2004,'Saisie'!$C$5:$C$2004,C407,'Saisie'!$AE$5:$AE$2004,"&lt;&gt;")-4),""))</f>
        <v/>
      </c>
      <c r="AC407" s="60">
        <f>IF(C407="","",IFERROR(INDEX('Saisie'!$AF$5:$AF$2004,_xlfn.MAXIFS('Saisie'!$AS$5:$AS$2004,'Saisie'!$C$5:$C$2004,C407,'Saisie'!$AF$5:$AF$2004,"&lt;&gt;")-4),""))</f>
        <v/>
      </c>
      <c r="AD407" s="108">
        <f>IF(C407="","",IFERROR(INDEX('Saisie'!$AG$5:$AG$2004,_xlfn.MAXIFS('Saisie'!$AS$5:$AS$2004,'Saisie'!$C$5:$C$2004,C407,'Saisie'!$AG$5:$AG$2004,"&lt;&gt;")-4),""))</f>
        <v/>
      </c>
      <c r="AE407" s="60">
        <f>IF(C407="","",IFERROR(INDEX('Saisie'!$AH$5:$AH$2004,_xlfn.MAXIFS('Saisie'!$AS$5:$AS$2004,'Saisie'!$C$5:$C$2004,C407,'Saisie'!$AH$5:$AH$2004,"&lt;&gt;")-4),""))</f>
        <v/>
      </c>
      <c r="AF407" s="60">
        <f>IF(C407="","",IFERROR(INDEX('Saisie'!$AI$5:$AI$2004,_xlfn.MAXIFS('Saisie'!$AS$5:$AS$2004,'Saisie'!$C$5:$C$2004,C407,'Saisie'!$AI$5:$AI$2004,"&lt;&gt;")-4),""))</f>
        <v/>
      </c>
      <c r="AG407" s="60">
        <f>IF(C407="","",IFERROR(INDEX('Saisie'!$AJ$5:$AJ$2004,_xlfn.MAXIFS('Saisie'!$AS$5:$AS$2004,'Saisie'!$C$5:$C$2004,C407,'Saisie'!$AJ$5:$AJ$2004,"&lt;&gt;")-4),""))</f>
        <v/>
      </c>
      <c r="AH407" s="60">
        <f>IF(C407="","",IFERROR(INDEX('Saisie'!$AK$5:$AK$2004,_xlfn.MAXIFS('Saisie'!$AS$5:$AS$2004,'Saisie'!$C$5:$C$2004,C407,'Saisie'!$AK$5:$AK$2004,"&lt;&gt;")-4),""))</f>
        <v/>
      </c>
      <c r="AI407" s="60">
        <f>IF(C407="","",IFERROR(INDEX('Saisie'!$AN$5:$AN$2004,_xlfn.MAXIFS('Saisie'!$AS$5:$AS$2004,'Saisie'!$C$5:$C$2004,C407,'Saisie'!$AN$5:$AN$2004,"&lt;&gt;")-4),""))</f>
        <v/>
      </c>
      <c r="AJ407" s="60">
        <f>IF(C407="","",IFERROR(INDEX('Saisie'!$AO$5:$AO$2004,_xlfn.MAXIFS('Saisie'!$AS$5:$AS$2004,'Saisie'!$C$5:$C$2004,C407,'Saisie'!$AO$5:$AO$2004,"&lt;&gt;")-4),""))</f>
        <v/>
      </c>
      <c r="AK407" s="60">
        <f>IF(C407="","",IFERROR(INDEX('Saisie'!$AP$5:$AP$2004,_xlfn.MAXIFS('Saisie'!$AS$5:$AS$2004,'Saisie'!$C$5:$C$2004,C407,'Saisie'!$AP$5:$AP$2004,"&lt;&gt;")-4),""))</f>
        <v/>
      </c>
      <c r="AL407" s="60">
        <f>IF(C407="","",IFERROR(INDEX('Saisie'!$AQ$5:$AQ$2004,_xlfn.MAXIFS('Saisie'!$AS$5:$AS$2004,'Saisie'!$C$5:$C$2004,C407,'Saisie'!$AQ$5:$AQ$2004,"&lt;&gt;")-4),""))</f>
        <v/>
      </c>
      <c r="AM407" s="60">
        <f>IF(C407="","",((AI407="Oui")+(AJ407="Oui")+(AK407="Oui")+OR(AL407="Immédiat",AL407="&lt; 1 mois"))&amp;"/4")</f>
        <v/>
      </c>
      <c r="AN407" s="60">
        <f>IF(C407="","",IFERROR(INDEX('Saisie'!$AL$5:$AL$2004,_xlfn.MAXIFS('Saisie'!$AS$5:$AS$2004,'Saisie'!$C$5:$C$2004,C407,'Saisie'!$AL$5:$AL$2004,"&lt;&gt;")-4),""))</f>
        <v/>
      </c>
      <c r="AO407" s="62">
        <f>IF(C407="","",IF(IFERROR(INDEX('Saisie'!$AM$5:$AM$2004,_xlfn.MAXIFS('Saisie'!$AS$5:$AS$2004,'Saisie'!$C$5:$C$2004,C407,'Saisie'!$AM$5:$AM$2004,"&lt;&gt;")-4),"")&lt;&gt;"",IFERROR(INDEX('Saisie'!$AM$5:$AM$2004,_xlfn.MAXIFS('Saisie'!$AS$5:$AS$2004,'Saisie'!$C$5:$C$2004,C407,'Saisie'!$AM$5:$AM$2004,"&lt;&gt;")-4),""),IFERROR(INDEX('Paramètres'!$S$6:$S$15,MATCH(AN407,'Paramètres'!$Q$6:$Q$15,0)),"")))</f>
        <v/>
      </c>
      <c r="AP407" s="62">
        <f>IF(C407="","",IFERROR(INDEX('Saisie'!$AW$5:$AW$2004,_xlfn.MAXIFS('Saisie'!$AS$5:$AS$2004,'Saisie'!$C$5:$C$2004,C407,'Saisie'!$E$5:$E$2004,"Proposition envoyée")-4),""))</f>
        <v/>
      </c>
      <c r="AQ407" s="106">
        <f>IF(C407="","",IFERROR(1/(1/_xlfn.MAXIFS('Saisie'!$A$5:$A$2004,'Saisie'!$C$5:$C$2004,C407,'Saisie'!$E$5:$E$2004,"Proposition envoyée")),""))</f>
        <v/>
      </c>
      <c r="AR407" s="106">
        <f>IF(C407="","",IF(AQ407="","",AQ407+'Paramètres'!$B$26))</f>
        <v/>
      </c>
      <c r="AS407" s="62">
        <f>IF(OR(C407="",D407="Gagné",D407="Perdu"),0,N(AP407)*IFERROR(INDEX('Paramètres'!$G$6:$G$13,MATCH(D407,'Paramètres'!$F$6:$F$13,0)),0))</f>
        <v/>
      </c>
      <c r="AT407" s="106">
        <f>IF(C407="","",IFERROR(1/(1/_xlfn.MINIFS('Saisie'!$A$5:$A$2004,'Saisie'!$C$5:$C$2004,C407,'Saisie'!$E$5:$E$2004,"Signature")),""))</f>
        <v/>
      </c>
      <c r="AU407" s="60">
        <f>IF(C407="","",IF(OR(AT407="",B407=""),"",AT407-B407))</f>
        <v/>
      </c>
      <c r="AV407" s="60">
        <f>IF(C407="","",IFERROR(INDEX('Saisie'!$L$5:$L$2004,_xlfn.MAXIFS('Saisie'!$AS$5:$AS$2004,'Saisie'!$C$5:$C$2004,C407,'Saisie'!$L$5:$L$2004,"&lt;&gt;")-4),""))</f>
        <v/>
      </c>
      <c r="AW407" s="106">
        <f>IF(C407="","",IF(D407&lt;&gt;"Perdu","",IFERROR(1/(1/_xlfn.MAXIFS('Saisie'!$A$5:$A$2004,'Saisie'!$C$5:$C$2004,C407,'Saisie'!$E$5:$E$2004,"Perdu")),"")))</f>
        <v/>
      </c>
      <c r="AX407" s="106">
        <f>IF(C407="","",IF(AW407="","",AW407+'Paramètres'!$B$28))</f>
        <v/>
      </c>
      <c r="AY407" s="60">
        <f>IF(C407="","",SUMIFS('Saisie'!$H$5:$H$2004,'Saisie'!$C$5:$C$2004,C407))</f>
        <v/>
      </c>
      <c r="AZ407" s="60">
        <f>IF(C407="","",IFERROR(INDEX('Paramètres'!$W$6:$W$20,MATCH(S407,'Paramètres'!$V$6:$V$20,0))&amp;"",""))</f>
        <v/>
      </c>
      <c r="BA407" s="60">
        <f>IF(C407="","",MAX(1,_xlfn.MAXIFS('Saisie'!$AT$5:$AT$2004,'Saisie'!$C$5:$C$2004,C407)))</f>
        <v/>
      </c>
      <c r="BB407" s="60">
        <f>IF(C407="","",IFERROR(INDEX('Saisie'!$X$5:$X$2004,_xlfn.MAXIFS('Saisie'!$AS$5:$AS$2004,'Saisie'!$C$5:$C$2004,C407,'Saisie'!$X$5:$X$2004,"&lt;&gt;")-4),""))</f>
        <v/>
      </c>
      <c r="BC407" s="60">
        <f>IF(C407="","",IFERROR(INDEX('Saisie'!$Y$5:$Y$2004,_xlfn.MAXIFS('Saisie'!$AS$5:$AS$2004,'Saisie'!$C$5:$C$2004,C407,'Saisie'!$Y$5:$Y$2004,"&lt;&gt;")-4),""))</f>
        <v/>
      </c>
      <c r="BD407" s="106">
        <f>IF(C407="","",IFERROR(1/(1/_xlfn.MINIFS('Saisie'!$A$5:$A$2004,'Saisie'!$C$5:$C$2004,C407,'Saisie'!$AT$5:$AT$2004,"&gt;=2")),""))</f>
        <v/>
      </c>
      <c r="BE407" s="106">
        <f>IF(C407="","",IFERROR(1/(1/_xlfn.MINIFS('Saisie'!$A$5:$A$2004,'Saisie'!$C$5:$C$2004,C407,'Saisie'!$AT$5:$AT$2004,"&gt;=3")),""))</f>
        <v/>
      </c>
      <c r="BF407" s="106">
        <f>IF(C407="","",IFERROR(1/(1/_xlfn.MINIFS('Saisie'!$A$5:$A$2004,'Saisie'!$C$5:$C$2004,C407,'Saisie'!$AT$5:$AT$2004,"&gt;=4")),""))</f>
        <v/>
      </c>
      <c r="BG407" s="106">
        <f>IF(C407="","",IFERROR(1/(1/_xlfn.MINIFS('Saisie'!$A$5:$A$2004,'Saisie'!$C$5:$C$2004,C407,'Saisie'!$AT$5:$AT$2004,"&gt;=5")),""))</f>
        <v/>
      </c>
      <c r="BH407" s="106">
        <f>IF(C407="","",IFERROR(1/(1/_xlfn.MINIFS('Saisie'!$A$5:$A$2004,'Saisie'!$C$5:$C$2004,C407,'Saisie'!$AT$5:$AT$2004,"&gt;=6")),""))</f>
        <v/>
      </c>
      <c r="BI407" s="106">
        <f>IF(C407="","",IFERROR(1/(1/_xlfn.MINIFS('Saisie'!$A$5:$A$2004,'Saisie'!$C$5:$C$2004,C407,'Saisie'!$AT$5:$AT$2004,"&gt;=7")),""))</f>
        <v/>
      </c>
      <c r="BJ407" s="60">
        <f>IF(OR(BD407="",B407=""),"",BD407-B407)</f>
        <v/>
      </c>
      <c r="BK407" s="60">
        <f>IF(OR(BE407="",BD407=""),"",BE407-BD407)</f>
        <v/>
      </c>
      <c r="BL407" s="60">
        <f>IF(OR(BF407="",BE407=""),"",BF407-BE407)</f>
        <v/>
      </c>
      <c r="BM407" s="60">
        <f>IF(OR(BG407="",BF407=""),"",BG407-BF407)</f>
        <v/>
      </c>
      <c r="BN407" s="60">
        <f>IF(OR(BH407="",BG407=""),"",BH407-BG407)</f>
        <v/>
      </c>
      <c r="BO407" s="60">
        <f>IF(OR(BI407="",BH407=""),"",BI407-BH407)</f>
        <v/>
      </c>
      <c r="BP407" s="60">
        <f>IF(C407="","",_xlfn.MAXIFS('Saisie'!$AS$5:$AS$2004,'Saisie'!$C$5:$C$2004,C407,'Saisie'!$J$5:$J$2004,"&lt;&gt;"))</f>
        <v/>
      </c>
      <c r="BQ407" s="60">
        <f>IF(C407="","",_xlfn.MAXIFS('Saisie'!$AS$5:$AS$2004,'Saisie'!$C$5:$C$2004,C407))</f>
        <v/>
      </c>
      <c r="BR407" s="60">
        <f>IF(C407="","",_xlfn.MAXIFS('Saisie'!$AS$5:$AS$2004,'Saisie'!$C$5:$C$2004,C407,'Saisie'!$E$5:$E$2004,"Perdu"))</f>
        <v/>
      </c>
      <c r="BS407" s="60">
        <f>IF(C407="","",_xlfn.MAXIFS('Saisie'!$AS$5:$AS$2004,'Saisie'!$C$5:$C$2004,C407,'Saisie'!$AT$5:$AT$2004,"&gt;0"))</f>
        <v/>
      </c>
      <c r="BT407" s="109">
        <f>IF(AND(C407&lt;&gt;"",OR(D407="Nouveau",D407="Contacté",D407="Qualifié"),OR(G407="",N(G407)&lt;=TODAY()),NOT(AND(O407&gt;='Paramètres'!$B$21,P407=0))),E407+403/10000,"")</f>
        <v/>
      </c>
      <c r="BU407" s="60">
        <f>IF(AND(G407&lt;&gt;"",N(G407)&lt;=TODAY()),MAX($BU$4:BU406)+1,"")</f>
        <v/>
      </c>
      <c r="BV407" s="60">
        <f>IF(AND(F407&lt;&gt;"",F407&lt;&gt;"Relance en retard"),MAX($BV$4:BV406)+1,"")</f>
        <v/>
      </c>
      <c r="BW407" s="60">
        <f>IF(C407="","",IF(AND(B407&gt;='Tableau de bord'!$R$4,B407&lt;='Tableau de bord'!$S$4,OR('Tableau de bord'!$G$4="Tous",N407='Tableau de bord'!$G$4)),1,0))</f>
        <v/>
      </c>
      <c r="BX407" s="60">
        <f>IF(AND(C407&lt;&gt;"",N(BA407)=7),MAX($BX$4:BX406)+1,"")</f>
        <v/>
      </c>
    </row>
    <row r="408">
      <c r="A408" s="60">
        <f>IF(C408="","","P-"&amp;TEXT(404,"000"))</f>
        <v/>
      </c>
      <c r="B408" s="106">
        <f>IF(C408="","",IFERROR(1/(1/_xlfn.MINIFS('Saisie'!$A$5:$A$2004,'Saisie'!$C$5:$C$2004,C408)),""))</f>
        <v/>
      </c>
      <c r="C408" s="60">
        <f>IFERROR(INDEX('Saisie'!$C$5:$C$2004,MATCH(404,'Saisie'!$AX$5:$AX$2004,0)),"")</f>
        <v/>
      </c>
      <c r="D408" s="60">
        <f>IF(C408="","",IF(AND(BR408&gt;0,BR408&gt;BS408,BA408&lt;7),"Perdu",INDEX('Paramètres'!$F$6:$F$13,BA408)))</f>
        <v/>
      </c>
      <c r="E408" s="61">
        <f>IF(C408="","",MIN(100,(Z408="Oui")*'Paramètres'!$B$38+(AB408="Régulière")*'Paramètres'!$B$39+IF(AND(N(AA408)&gt;0,TODAY()-N(AA408)&lt;=30),'Paramètres'!$B$40,0)+(W408="")*'Paramètres'!$B$41+(AC408="Absente")*'Paramètres'!$B$42+(AC408="Faible")*'Paramètres'!$B$43+IF(AND(N(AD408)&gt;0,N(AD408)&lt;4),'Paramètres'!$B$44,0)+(AF408="Moyenne")*'Paramètres'!$B$45+(AF408="Grande")*'Paramètres'!$B$46+(Y408&lt;&gt;"")*'Paramètres'!$B$47))</f>
        <v/>
      </c>
      <c r="F408" s="60">
        <f>IF(C408="","",IF(D408="Gagné","",IF(D408="Perdu",IF(AND(AX408&lt;&gt;"",AX408&lt;=TODAY()),"À recontacter (perdu)",""),IF(AND(O408&gt;='Paramètres'!$B$21,P408=0),"Stop : "&amp;'Paramètres'!$B$21&amp;" tentatives sans réponse",IF(AND(D408="Proposition",AR408&lt;&gt;"",TODAY()&gt;N(AR408)),"Proposition expirée",IF(AND(D408="Proposition",N(R408)&gt;='Paramètres'!$B$25),"Proposition sans réponse",IF(AND(G408&lt;&gt;"",N(G408)&lt;TODAY()),"Relance en retard",IF(N(R408)&gt;='Paramètres'!$B$24,"Sans action depuis "&amp;R408&amp;" j",""))))))))</f>
        <v/>
      </c>
      <c r="G408" s="106">
        <f>IF(OR(C408="",D408="Gagné",D408="Perdu"),"",IF(AND(BP408&gt;0,BP408=BQ408),INDEX('Saisie'!$J$5:$J$2004,BP408-4),IF(OR(O408=0,AND(O408&gt;='Paramètres'!$B$21,P408=0)),"",Q408+IF(O408&lt;=1,'Paramètres'!$B$18,IF(O408=2,'Paramètres'!$B$19,'Paramètres'!$B$20)))))</f>
        <v/>
      </c>
      <c r="H408" s="107">
        <f>IF(OR(G408="",BP408&lt;&gt;BQ408),"",IF(INDEX('Saisie'!$K$5:$K$2004,BP408-4)="","",INDEX('Saisie'!$K$5:$K$2004,BP408-4)))</f>
        <v/>
      </c>
      <c r="I408" s="60">
        <f>IF(C408="","",IF(OR(D408="Gagné",D408="Perdu"),"",IFERROR(INDEX('Saisie'!$I$5:$I$2004,_xlfn.MAXIFS('Saisie'!$AS$5:$AS$2004,'Saisie'!$C$5:$C$2004,C408,'Saisie'!$I$5:$I$2004,"&lt;&gt;")-4),"")))</f>
        <v/>
      </c>
      <c r="J408" s="60">
        <f>IF(C408="","",IFERROR(INDEX('Saisie'!$U$5:$U$2004,_xlfn.MAXIFS('Saisie'!$AS$5:$AS$2004,'Saisie'!$C$5:$C$2004,C408,'Saisie'!$U$5:$U$2004,"&lt;&gt;")-4),""))</f>
        <v/>
      </c>
      <c r="K408" s="60">
        <f>IF(C408="","",IFERROR(INDEX('Saisie'!$W$5:$W$2004,_xlfn.MAXIFS('Saisie'!$AS$5:$AS$2004,'Saisie'!$C$5:$C$2004,C408,'Saisie'!$W$5:$W$2004,"&lt;&gt;")-4),""))</f>
        <v/>
      </c>
      <c r="L408" s="60">
        <f>IF(IF(BB408&lt;&gt;"",BB408,K408)="","",HYPERLINK("https://wa.me/"&amp;IF(LEFT(SUBSTITUTE(SUBSTITUTE(SUBSTITUTE(IF(BB408&lt;&gt;"",BB408,K408)," ",""),".",""),"+",""),1)="0",'Paramètres'!$B$35&amp;MID(SUBSTITUTE(SUBSTITUTE(SUBSTITUTE(IF(BB408&lt;&gt;"",BB408,K408)," ",""),".",""),"+",""),2,20),SUBSTITUTE(SUBSTITUTE(SUBSTITUTE(IF(BB408&lt;&gt;"",BB408,K408)," ",""),".",""),"+","")),"WhatsApp"))</f>
        <v/>
      </c>
      <c r="M408" s="60">
        <f>IF(BC408="","",HYPERLINK(IF(LEFT(BC408,4)="http",BC408,"https://www.instagram.com/"&amp;SUBSTITUTE(SUBSTITUTE(BC408,"@","")," ","")),BC408))</f>
        <v/>
      </c>
      <c r="N408" s="60">
        <f>IF(C408="","",IFERROR(INDEX('Saisie'!$D$5:$D$2004,_xlfn.MINIFS('Saisie'!$AS$5:$AS$2004,'Saisie'!$C$5:$C$2004,C408,'Saisie'!$AU$5:$AU$2004,1)-4),IFERROR(INDEX('Saisie'!$D$5:$D$2004,_xlfn.MINIFS('Saisie'!$AS$5:$AS$2004,'Saisie'!$C$5:$C$2004,C408,'Saisie'!$D$5:$D$2004,"&lt;&gt;")-4),"")))</f>
        <v/>
      </c>
      <c r="O408" s="60">
        <f>IF(C408="","",COUNTIFS('Saisie'!$C$5:$C$2004,C408,'Saisie'!$AU$5:$AU$2004,1))</f>
        <v/>
      </c>
      <c r="P408" s="60">
        <f>IF(C408="","",COUNTIFS('Saisie'!$C$5:$C$2004,C408,'Saisie'!$AV$5:$AV$2004,1))</f>
        <v/>
      </c>
      <c r="Q408" s="106">
        <f>IF(C408="","",IFERROR(1/(1/_xlfn.MAXIFS('Saisie'!$A$5:$A$2004,'Saisie'!$C$5:$C$2004,C408)),""))</f>
        <v/>
      </c>
      <c r="R408" s="61">
        <f>IF(C408="","",IF(Q408="","",TODAY()-Q408))</f>
        <v/>
      </c>
      <c r="S408" s="60">
        <f>IF(C408="","",IFERROR(INDEX('Saisie'!$R$5:$R$2004,_xlfn.MAXIFS('Saisie'!$AS$5:$AS$2004,'Saisie'!$C$5:$C$2004,C408,'Saisie'!$R$5:$R$2004,"&lt;&gt;")-4),""))</f>
        <v/>
      </c>
      <c r="T408" s="60">
        <f>IF(C408="","",IFERROR(INDEX('Saisie'!$S$5:$S$2004,_xlfn.MAXIFS('Saisie'!$AS$5:$AS$2004,'Saisie'!$C$5:$C$2004,C408,'Saisie'!$S$5:$S$2004,"&lt;&gt;")-4),""))</f>
        <v/>
      </c>
      <c r="U408" s="60">
        <f>IF(C408="","",IFERROR(INDEX('Saisie'!$T$5:$T$2004,_xlfn.MAXIFS('Saisie'!$AS$5:$AS$2004,'Saisie'!$C$5:$C$2004,C408,'Saisie'!$T$5:$T$2004,"&lt;&gt;")-4),""))</f>
        <v/>
      </c>
      <c r="V408" s="60">
        <f>IF(C408="","",IFERROR(INDEX('Saisie'!$V$5:$V$2004,_xlfn.MAXIFS('Saisie'!$AS$5:$AS$2004,'Saisie'!$C$5:$C$2004,C408,'Saisie'!$V$5:$V$2004,"&lt;&gt;")-4),""))</f>
        <v/>
      </c>
      <c r="W408" s="60">
        <f>IF(C408="","",IFERROR(INDEX('Saisie'!$Z$5:$Z$2004,_xlfn.MAXIFS('Saisie'!$AS$5:$AS$2004,'Saisie'!$C$5:$C$2004,C408,'Saisie'!$Z$5:$Z$2004,"&lt;&gt;")-4),""))</f>
        <v/>
      </c>
      <c r="X408" s="60">
        <f>IF(C408="","",IFERROR(INDEX('Saisie'!$AA$5:$AA$2004,_xlfn.MAXIFS('Saisie'!$AS$5:$AS$2004,'Saisie'!$C$5:$C$2004,C408,'Saisie'!$AA$5:$AA$2004,"&lt;&gt;")-4),""))</f>
        <v/>
      </c>
      <c r="Y408" s="60">
        <f>IF(C408="","",IFERROR(INDEX('Saisie'!$AB$5:$AB$2004,_xlfn.MAXIFS('Saisie'!$AS$5:$AS$2004,'Saisie'!$C$5:$C$2004,C408,'Saisie'!$AB$5:$AB$2004,"&lt;&gt;")-4),""))</f>
        <v/>
      </c>
      <c r="Z408" s="60">
        <f>IF(C408="","",IFERROR(INDEX('Saisie'!$AC$5:$AC$2004,_xlfn.MAXIFS('Saisie'!$AS$5:$AS$2004,'Saisie'!$C$5:$C$2004,C408,'Saisie'!$AC$5:$AC$2004,"&lt;&gt;")-4),""))</f>
        <v/>
      </c>
      <c r="AA408" s="106">
        <f>IF(C408="","",IFERROR(INDEX('Saisie'!$AD$5:$AD$2004,_xlfn.MAXIFS('Saisie'!$AS$5:$AS$2004,'Saisie'!$C$5:$C$2004,C408,'Saisie'!$AD$5:$AD$2004,"&lt;&gt;")-4),""))</f>
        <v/>
      </c>
      <c r="AB408" s="60">
        <f>IF(C408="","",IFERROR(INDEX('Saisie'!$AE$5:$AE$2004,_xlfn.MAXIFS('Saisie'!$AS$5:$AS$2004,'Saisie'!$C$5:$C$2004,C408,'Saisie'!$AE$5:$AE$2004,"&lt;&gt;")-4),""))</f>
        <v/>
      </c>
      <c r="AC408" s="60">
        <f>IF(C408="","",IFERROR(INDEX('Saisie'!$AF$5:$AF$2004,_xlfn.MAXIFS('Saisie'!$AS$5:$AS$2004,'Saisie'!$C$5:$C$2004,C408,'Saisie'!$AF$5:$AF$2004,"&lt;&gt;")-4),""))</f>
        <v/>
      </c>
      <c r="AD408" s="108">
        <f>IF(C408="","",IFERROR(INDEX('Saisie'!$AG$5:$AG$2004,_xlfn.MAXIFS('Saisie'!$AS$5:$AS$2004,'Saisie'!$C$5:$C$2004,C408,'Saisie'!$AG$5:$AG$2004,"&lt;&gt;")-4),""))</f>
        <v/>
      </c>
      <c r="AE408" s="60">
        <f>IF(C408="","",IFERROR(INDEX('Saisie'!$AH$5:$AH$2004,_xlfn.MAXIFS('Saisie'!$AS$5:$AS$2004,'Saisie'!$C$5:$C$2004,C408,'Saisie'!$AH$5:$AH$2004,"&lt;&gt;")-4),""))</f>
        <v/>
      </c>
      <c r="AF408" s="60">
        <f>IF(C408="","",IFERROR(INDEX('Saisie'!$AI$5:$AI$2004,_xlfn.MAXIFS('Saisie'!$AS$5:$AS$2004,'Saisie'!$C$5:$C$2004,C408,'Saisie'!$AI$5:$AI$2004,"&lt;&gt;")-4),""))</f>
        <v/>
      </c>
      <c r="AG408" s="60">
        <f>IF(C408="","",IFERROR(INDEX('Saisie'!$AJ$5:$AJ$2004,_xlfn.MAXIFS('Saisie'!$AS$5:$AS$2004,'Saisie'!$C$5:$C$2004,C408,'Saisie'!$AJ$5:$AJ$2004,"&lt;&gt;")-4),""))</f>
        <v/>
      </c>
      <c r="AH408" s="60">
        <f>IF(C408="","",IFERROR(INDEX('Saisie'!$AK$5:$AK$2004,_xlfn.MAXIFS('Saisie'!$AS$5:$AS$2004,'Saisie'!$C$5:$C$2004,C408,'Saisie'!$AK$5:$AK$2004,"&lt;&gt;")-4),""))</f>
        <v/>
      </c>
      <c r="AI408" s="60">
        <f>IF(C408="","",IFERROR(INDEX('Saisie'!$AN$5:$AN$2004,_xlfn.MAXIFS('Saisie'!$AS$5:$AS$2004,'Saisie'!$C$5:$C$2004,C408,'Saisie'!$AN$5:$AN$2004,"&lt;&gt;")-4),""))</f>
        <v/>
      </c>
      <c r="AJ408" s="60">
        <f>IF(C408="","",IFERROR(INDEX('Saisie'!$AO$5:$AO$2004,_xlfn.MAXIFS('Saisie'!$AS$5:$AS$2004,'Saisie'!$C$5:$C$2004,C408,'Saisie'!$AO$5:$AO$2004,"&lt;&gt;")-4),""))</f>
        <v/>
      </c>
      <c r="AK408" s="60">
        <f>IF(C408="","",IFERROR(INDEX('Saisie'!$AP$5:$AP$2004,_xlfn.MAXIFS('Saisie'!$AS$5:$AS$2004,'Saisie'!$C$5:$C$2004,C408,'Saisie'!$AP$5:$AP$2004,"&lt;&gt;")-4),""))</f>
        <v/>
      </c>
      <c r="AL408" s="60">
        <f>IF(C408="","",IFERROR(INDEX('Saisie'!$AQ$5:$AQ$2004,_xlfn.MAXIFS('Saisie'!$AS$5:$AS$2004,'Saisie'!$C$5:$C$2004,C408,'Saisie'!$AQ$5:$AQ$2004,"&lt;&gt;")-4),""))</f>
        <v/>
      </c>
      <c r="AM408" s="60">
        <f>IF(C408="","",((AI408="Oui")+(AJ408="Oui")+(AK408="Oui")+OR(AL408="Immédiat",AL408="&lt; 1 mois"))&amp;"/4")</f>
        <v/>
      </c>
      <c r="AN408" s="60">
        <f>IF(C408="","",IFERROR(INDEX('Saisie'!$AL$5:$AL$2004,_xlfn.MAXIFS('Saisie'!$AS$5:$AS$2004,'Saisie'!$C$5:$C$2004,C408,'Saisie'!$AL$5:$AL$2004,"&lt;&gt;")-4),""))</f>
        <v/>
      </c>
      <c r="AO408" s="62">
        <f>IF(C408="","",IF(IFERROR(INDEX('Saisie'!$AM$5:$AM$2004,_xlfn.MAXIFS('Saisie'!$AS$5:$AS$2004,'Saisie'!$C$5:$C$2004,C408,'Saisie'!$AM$5:$AM$2004,"&lt;&gt;")-4),"")&lt;&gt;"",IFERROR(INDEX('Saisie'!$AM$5:$AM$2004,_xlfn.MAXIFS('Saisie'!$AS$5:$AS$2004,'Saisie'!$C$5:$C$2004,C408,'Saisie'!$AM$5:$AM$2004,"&lt;&gt;")-4),""),IFERROR(INDEX('Paramètres'!$S$6:$S$15,MATCH(AN408,'Paramètres'!$Q$6:$Q$15,0)),"")))</f>
        <v/>
      </c>
      <c r="AP408" s="62">
        <f>IF(C408="","",IFERROR(INDEX('Saisie'!$AW$5:$AW$2004,_xlfn.MAXIFS('Saisie'!$AS$5:$AS$2004,'Saisie'!$C$5:$C$2004,C408,'Saisie'!$E$5:$E$2004,"Proposition envoyée")-4),""))</f>
        <v/>
      </c>
      <c r="AQ408" s="106">
        <f>IF(C408="","",IFERROR(1/(1/_xlfn.MAXIFS('Saisie'!$A$5:$A$2004,'Saisie'!$C$5:$C$2004,C408,'Saisie'!$E$5:$E$2004,"Proposition envoyée")),""))</f>
        <v/>
      </c>
      <c r="AR408" s="106">
        <f>IF(C408="","",IF(AQ408="","",AQ408+'Paramètres'!$B$26))</f>
        <v/>
      </c>
      <c r="AS408" s="62">
        <f>IF(OR(C408="",D408="Gagné",D408="Perdu"),0,N(AP408)*IFERROR(INDEX('Paramètres'!$G$6:$G$13,MATCH(D408,'Paramètres'!$F$6:$F$13,0)),0))</f>
        <v/>
      </c>
      <c r="AT408" s="106">
        <f>IF(C408="","",IFERROR(1/(1/_xlfn.MINIFS('Saisie'!$A$5:$A$2004,'Saisie'!$C$5:$C$2004,C408,'Saisie'!$E$5:$E$2004,"Signature")),""))</f>
        <v/>
      </c>
      <c r="AU408" s="60">
        <f>IF(C408="","",IF(OR(AT408="",B408=""),"",AT408-B408))</f>
        <v/>
      </c>
      <c r="AV408" s="60">
        <f>IF(C408="","",IFERROR(INDEX('Saisie'!$L$5:$L$2004,_xlfn.MAXIFS('Saisie'!$AS$5:$AS$2004,'Saisie'!$C$5:$C$2004,C408,'Saisie'!$L$5:$L$2004,"&lt;&gt;")-4),""))</f>
        <v/>
      </c>
      <c r="AW408" s="106">
        <f>IF(C408="","",IF(D408&lt;&gt;"Perdu","",IFERROR(1/(1/_xlfn.MAXIFS('Saisie'!$A$5:$A$2004,'Saisie'!$C$5:$C$2004,C408,'Saisie'!$E$5:$E$2004,"Perdu")),"")))</f>
        <v/>
      </c>
      <c r="AX408" s="106">
        <f>IF(C408="","",IF(AW408="","",AW408+'Paramètres'!$B$28))</f>
        <v/>
      </c>
      <c r="AY408" s="60">
        <f>IF(C408="","",SUMIFS('Saisie'!$H$5:$H$2004,'Saisie'!$C$5:$C$2004,C408))</f>
        <v/>
      </c>
      <c r="AZ408" s="60">
        <f>IF(C408="","",IFERROR(INDEX('Paramètres'!$W$6:$W$20,MATCH(S408,'Paramètres'!$V$6:$V$20,0))&amp;"",""))</f>
        <v/>
      </c>
      <c r="BA408" s="60">
        <f>IF(C408="","",MAX(1,_xlfn.MAXIFS('Saisie'!$AT$5:$AT$2004,'Saisie'!$C$5:$C$2004,C408)))</f>
        <v/>
      </c>
      <c r="BB408" s="60">
        <f>IF(C408="","",IFERROR(INDEX('Saisie'!$X$5:$X$2004,_xlfn.MAXIFS('Saisie'!$AS$5:$AS$2004,'Saisie'!$C$5:$C$2004,C408,'Saisie'!$X$5:$X$2004,"&lt;&gt;")-4),""))</f>
        <v/>
      </c>
      <c r="BC408" s="60">
        <f>IF(C408="","",IFERROR(INDEX('Saisie'!$Y$5:$Y$2004,_xlfn.MAXIFS('Saisie'!$AS$5:$AS$2004,'Saisie'!$C$5:$C$2004,C408,'Saisie'!$Y$5:$Y$2004,"&lt;&gt;")-4),""))</f>
        <v/>
      </c>
      <c r="BD408" s="106">
        <f>IF(C408="","",IFERROR(1/(1/_xlfn.MINIFS('Saisie'!$A$5:$A$2004,'Saisie'!$C$5:$C$2004,C408,'Saisie'!$AT$5:$AT$2004,"&gt;=2")),""))</f>
        <v/>
      </c>
      <c r="BE408" s="106">
        <f>IF(C408="","",IFERROR(1/(1/_xlfn.MINIFS('Saisie'!$A$5:$A$2004,'Saisie'!$C$5:$C$2004,C408,'Saisie'!$AT$5:$AT$2004,"&gt;=3")),""))</f>
        <v/>
      </c>
      <c r="BF408" s="106">
        <f>IF(C408="","",IFERROR(1/(1/_xlfn.MINIFS('Saisie'!$A$5:$A$2004,'Saisie'!$C$5:$C$2004,C408,'Saisie'!$AT$5:$AT$2004,"&gt;=4")),""))</f>
        <v/>
      </c>
      <c r="BG408" s="106">
        <f>IF(C408="","",IFERROR(1/(1/_xlfn.MINIFS('Saisie'!$A$5:$A$2004,'Saisie'!$C$5:$C$2004,C408,'Saisie'!$AT$5:$AT$2004,"&gt;=5")),""))</f>
        <v/>
      </c>
      <c r="BH408" s="106">
        <f>IF(C408="","",IFERROR(1/(1/_xlfn.MINIFS('Saisie'!$A$5:$A$2004,'Saisie'!$C$5:$C$2004,C408,'Saisie'!$AT$5:$AT$2004,"&gt;=6")),""))</f>
        <v/>
      </c>
      <c r="BI408" s="106">
        <f>IF(C408="","",IFERROR(1/(1/_xlfn.MINIFS('Saisie'!$A$5:$A$2004,'Saisie'!$C$5:$C$2004,C408,'Saisie'!$AT$5:$AT$2004,"&gt;=7")),""))</f>
        <v/>
      </c>
      <c r="BJ408" s="60">
        <f>IF(OR(BD408="",B408=""),"",BD408-B408)</f>
        <v/>
      </c>
      <c r="BK408" s="60">
        <f>IF(OR(BE408="",BD408=""),"",BE408-BD408)</f>
        <v/>
      </c>
      <c r="BL408" s="60">
        <f>IF(OR(BF408="",BE408=""),"",BF408-BE408)</f>
        <v/>
      </c>
      <c r="BM408" s="60">
        <f>IF(OR(BG408="",BF408=""),"",BG408-BF408)</f>
        <v/>
      </c>
      <c r="BN408" s="60">
        <f>IF(OR(BH408="",BG408=""),"",BH408-BG408)</f>
        <v/>
      </c>
      <c r="BO408" s="60">
        <f>IF(OR(BI408="",BH408=""),"",BI408-BH408)</f>
        <v/>
      </c>
      <c r="BP408" s="60">
        <f>IF(C408="","",_xlfn.MAXIFS('Saisie'!$AS$5:$AS$2004,'Saisie'!$C$5:$C$2004,C408,'Saisie'!$J$5:$J$2004,"&lt;&gt;"))</f>
        <v/>
      </c>
      <c r="BQ408" s="60">
        <f>IF(C408="","",_xlfn.MAXIFS('Saisie'!$AS$5:$AS$2004,'Saisie'!$C$5:$C$2004,C408))</f>
        <v/>
      </c>
      <c r="BR408" s="60">
        <f>IF(C408="","",_xlfn.MAXIFS('Saisie'!$AS$5:$AS$2004,'Saisie'!$C$5:$C$2004,C408,'Saisie'!$E$5:$E$2004,"Perdu"))</f>
        <v/>
      </c>
      <c r="BS408" s="60">
        <f>IF(C408="","",_xlfn.MAXIFS('Saisie'!$AS$5:$AS$2004,'Saisie'!$C$5:$C$2004,C408,'Saisie'!$AT$5:$AT$2004,"&gt;0"))</f>
        <v/>
      </c>
      <c r="BT408" s="109">
        <f>IF(AND(C408&lt;&gt;"",OR(D408="Nouveau",D408="Contacté",D408="Qualifié"),OR(G408="",N(G408)&lt;=TODAY()),NOT(AND(O408&gt;='Paramètres'!$B$21,P408=0))),E408+404/10000,"")</f>
        <v/>
      </c>
      <c r="BU408" s="60">
        <f>IF(AND(G408&lt;&gt;"",N(G408)&lt;=TODAY()),MAX($BU$4:BU407)+1,"")</f>
        <v/>
      </c>
      <c r="BV408" s="60">
        <f>IF(AND(F408&lt;&gt;"",F408&lt;&gt;"Relance en retard"),MAX($BV$4:BV407)+1,"")</f>
        <v/>
      </c>
      <c r="BW408" s="60">
        <f>IF(C408="","",IF(AND(B408&gt;='Tableau de bord'!$R$4,B408&lt;='Tableau de bord'!$S$4,OR('Tableau de bord'!$G$4="Tous",N408='Tableau de bord'!$G$4)),1,0))</f>
        <v/>
      </c>
      <c r="BX408" s="60">
        <f>IF(AND(C408&lt;&gt;"",N(BA408)=7),MAX($BX$4:BX407)+1,"")</f>
        <v/>
      </c>
    </row>
    <row r="409">
      <c r="A409" s="60">
        <f>IF(C409="","","P-"&amp;TEXT(405,"000"))</f>
        <v/>
      </c>
      <c r="B409" s="106">
        <f>IF(C409="","",IFERROR(1/(1/_xlfn.MINIFS('Saisie'!$A$5:$A$2004,'Saisie'!$C$5:$C$2004,C409)),""))</f>
        <v/>
      </c>
      <c r="C409" s="60">
        <f>IFERROR(INDEX('Saisie'!$C$5:$C$2004,MATCH(405,'Saisie'!$AX$5:$AX$2004,0)),"")</f>
        <v/>
      </c>
      <c r="D409" s="60">
        <f>IF(C409="","",IF(AND(BR409&gt;0,BR409&gt;BS409,BA409&lt;7),"Perdu",INDEX('Paramètres'!$F$6:$F$13,BA409)))</f>
        <v/>
      </c>
      <c r="E409" s="61">
        <f>IF(C409="","",MIN(100,(Z409="Oui")*'Paramètres'!$B$38+(AB409="Régulière")*'Paramètres'!$B$39+IF(AND(N(AA409)&gt;0,TODAY()-N(AA409)&lt;=30),'Paramètres'!$B$40,0)+(W409="")*'Paramètres'!$B$41+(AC409="Absente")*'Paramètres'!$B$42+(AC409="Faible")*'Paramètres'!$B$43+IF(AND(N(AD409)&gt;0,N(AD409)&lt;4),'Paramètres'!$B$44,0)+(AF409="Moyenne")*'Paramètres'!$B$45+(AF409="Grande")*'Paramètres'!$B$46+(Y409&lt;&gt;"")*'Paramètres'!$B$47))</f>
        <v/>
      </c>
      <c r="F409" s="60">
        <f>IF(C409="","",IF(D409="Gagné","",IF(D409="Perdu",IF(AND(AX409&lt;&gt;"",AX409&lt;=TODAY()),"À recontacter (perdu)",""),IF(AND(O409&gt;='Paramètres'!$B$21,P409=0),"Stop : "&amp;'Paramètres'!$B$21&amp;" tentatives sans réponse",IF(AND(D409="Proposition",AR409&lt;&gt;"",TODAY()&gt;N(AR409)),"Proposition expirée",IF(AND(D409="Proposition",N(R409)&gt;='Paramètres'!$B$25),"Proposition sans réponse",IF(AND(G409&lt;&gt;"",N(G409)&lt;TODAY()),"Relance en retard",IF(N(R409)&gt;='Paramètres'!$B$24,"Sans action depuis "&amp;R409&amp;" j",""))))))))</f>
        <v/>
      </c>
      <c r="G409" s="106">
        <f>IF(OR(C409="",D409="Gagné",D409="Perdu"),"",IF(AND(BP409&gt;0,BP409=BQ409),INDEX('Saisie'!$J$5:$J$2004,BP409-4),IF(OR(O409=0,AND(O409&gt;='Paramètres'!$B$21,P409=0)),"",Q409+IF(O409&lt;=1,'Paramètres'!$B$18,IF(O409=2,'Paramètres'!$B$19,'Paramètres'!$B$20)))))</f>
        <v/>
      </c>
      <c r="H409" s="107">
        <f>IF(OR(G409="",BP409&lt;&gt;BQ409),"",IF(INDEX('Saisie'!$K$5:$K$2004,BP409-4)="","",INDEX('Saisie'!$K$5:$K$2004,BP409-4)))</f>
        <v/>
      </c>
      <c r="I409" s="60">
        <f>IF(C409="","",IF(OR(D409="Gagné",D409="Perdu"),"",IFERROR(INDEX('Saisie'!$I$5:$I$2004,_xlfn.MAXIFS('Saisie'!$AS$5:$AS$2004,'Saisie'!$C$5:$C$2004,C409,'Saisie'!$I$5:$I$2004,"&lt;&gt;")-4),"")))</f>
        <v/>
      </c>
      <c r="J409" s="60">
        <f>IF(C409="","",IFERROR(INDEX('Saisie'!$U$5:$U$2004,_xlfn.MAXIFS('Saisie'!$AS$5:$AS$2004,'Saisie'!$C$5:$C$2004,C409,'Saisie'!$U$5:$U$2004,"&lt;&gt;")-4),""))</f>
        <v/>
      </c>
      <c r="K409" s="60">
        <f>IF(C409="","",IFERROR(INDEX('Saisie'!$W$5:$W$2004,_xlfn.MAXIFS('Saisie'!$AS$5:$AS$2004,'Saisie'!$C$5:$C$2004,C409,'Saisie'!$W$5:$W$2004,"&lt;&gt;")-4),""))</f>
        <v/>
      </c>
      <c r="L409" s="60">
        <f>IF(IF(BB409&lt;&gt;"",BB409,K409)="","",HYPERLINK("https://wa.me/"&amp;IF(LEFT(SUBSTITUTE(SUBSTITUTE(SUBSTITUTE(IF(BB409&lt;&gt;"",BB409,K409)," ",""),".",""),"+",""),1)="0",'Paramètres'!$B$35&amp;MID(SUBSTITUTE(SUBSTITUTE(SUBSTITUTE(IF(BB409&lt;&gt;"",BB409,K409)," ",""),".",""),"+",""),2,20),SUBSTITUTE(SUBSTITUTE(SUBSTITUTE(IF(BB409&lt;&gt;"",BB409,K409)," ",""),".",""),"+","")),"WhatsApp"))</f>
        <v/>
      </c>
      <c r="M409" s="60">
        <f>IF(BC409="","",HYPERLINK(IF(LEFT(BC409,4)="http",BC409,"https://www.instagram.com/"&amp;SUBSTITUTE(SUBSTITUTE(BC409,"@","")," ","")),BC409))</f>
        <v/>
      </c>
      <c r="N409" s="60">
        <f>IF(C409="","",IFERROR(INDEX('Saisie'!$D$5:$D$2004,_xlfn.MINIFS('Saisie'!$AS$5:$AS$2004,'Saisie'!$C$5:$C$2004,C409,'Saisie'!$AU$5:$AU$2004,1)-4),IFERROR(INDEX('Saisie'!$D$5:$D$2004,_xlfn.MINIFS('Saisie'!$AS$5:$AS$2004,'Saisie'!$C$5:$C$2004,C409,'Saisie'!$D$5:$D$2004,"&lt;&gt;")-4),"")))</f>
        <v/>
      </c>
      <c r="O409" s="60">
        <f>IF(C409="","",COUNTIFS('Saisie'!$C$5:$C$2004,C409,'Saisie'!$AU$5:$AU$2004,1))</f>
        <v/>
      </c>
      <c r="P409" s="60">
        <f>IF(C409="","",COUNTIFS('Saisie'!$C$5:$C$2004,C409,'Saisie'!$AV$5:$AV$2004,1))</f>
        <v/>
      </c>
      <c r="Q409" s="106">
        <f>IF(C409="","",IFERROR(1/(1/_xlfn.MAXIFS('Saisie'!$A$5:$A$2004,'Saisie'!$C$5:$C$2004,C409)),""))</f>
        <v/>
      </c>
      <c r="R409" s="61">
        <f>IF(C409="","",IF(Q409="","",TODAY()-Q409))</f>
        <v/>
      </c>
      <c r="S409" s="60">
        <f>IF(C409="","",IFERROR(INDEX('Saisie'!$R$5:$R$2004,_xlfn.MAXIFS('Saisie'!$AS$5:$AS$2004,'Saisie'!$C$5:$C$2004,C409,'Saisie'!$R$5:$R$2004,"&lt;&gt;")-4),""))</f>
        <v/>
      </c>
      <c r="T409" s="60">
        <f>IF(C409="","",IFERROR(INDEX('Saisie'!$S$5:$S$2004,_xlfn.MAXIFS('Saisie'!$AS$5:$AS$2004,'Saisie'!$C$5:$C$2004,C409,'Saisie'!$S$5:$S$2004,"&lt;&gt;")-4),""))</f>
        <v/>
      </c>
      <c r="U409" s="60">
        <f>IF(C409="","",IFERROR(INDEX('Saisie'!$T$5:$T$2004,_xlfn.MAXIFS('Saisie'!$AS$5:$AS$2004,'Saisie'!$C$5:$C$2004,C409,'Saisie'!$T$5:$T$2004,"&lt;&gt;")-4),""))</f>
        <v/>
      </c>
      <c r="V409" s="60">
        <f>IF(C409="","",IFERROR(INDEX('Saisie'!$V$5:$V$2004,_xlfn.MAXIFS('Saisie'!$AS$5:$AS$2004,'Saisie'!$C$5:$C$2004,C409,'Saisie'!$V$5:$V$2004,"&lt;&gt;")-4),""))</f>
        <v/>
      </c>
      <c r="W409" s="60">
        <f>IF(C409="","",IFERROR(INDEX('Saisie'!$Z$5:$Z$2004,_xlfn.MAXIFS('Saisie'!$AS$5:$AS$2004,'Saisie'!$C$5:$C$2004,C409,'Saisie'!$Z$5:$Z$2004,"&lt;&gt;")-4),""))</f>
        <v/>
      </c>
      <c r="X409" s="60">
        <f>IF(C409="","",IFERROR(INDEX('Saisie'!$AA$5:$AA$2004,_xlfn.MAXIFS('Saisie'!$AS$5:$AS$2004,'Saisie'!$C$5:$C$2004,C409,'Saisie'!$AA$5:$AA$2004,"&lt;&gt;")-4),""))</f>
        <v/>
      </c>
      <c r="Y409" s="60">
        <f>IF(C409="","",IFERROR(INDEX('Saisie'!$AB$5:$AB$2004,_xlfn.MAXIFS('Saisie'!$AS$5:$AS$2004,'Saisie'!$C$5:$C$2004,C409,'Saisie'!$AB$5:$AB$2004,"&lt;&gt;")-4),""))</f>
        <v/>
      </c>
      <c r="Z409" s="60">
        <f>IF(C409="","",IFERROR(INDEX('Saisie'!$AC$5:$AC$2004,_xlfn.MAXIFS('Saisie'!$AS$5:$AS$2004,'Saisie'!$C$5:$C$2004,C409,'Saisie'!$AC$5:$AC$2004,"&lt;&gt;")-4),""))</f>
        <v/>
      </c>
      <c r="AA409" s="106">
        <f>IF(C409="","",IFERROR(INDEX('Saisie'!$AD$5:$AD$2004,_xlfn.MAXIFS('Saisie'!$AS$5:$AS$2004,'Saisie'!$C$5:$C$2004,C409,'Saisie'!$AD$5:$AD$2004,"&lt;&gt;")-4),""))</f>
        <v/>
      </c>
      <c r="AB409" s="60">
        <f>IF(C409="","",IFERROR(INDEX('Saisie'!$AE$5:$AE$2004,_xlfn.MAXIFS('Saisie'!$AS$5:$AS$2004,'Saisie'!$C$5:$C$2004,C409,'Saisie'!$AE$5:$AE$2004,"&lt;&gt;")-4),""))</f>
        <v/>
      </c>
      <c r="AC409" s="60">
        <f>IF(C409="","",IFERROR(INDEX('Saisie'!$AF$5:$AF$2004,_xlfn.MAXIFS('Saisie'!$AS$5:$AS$2004,'Saisie'!$C$5:$C$2004,C409,'Saisie'!$AF$5:$AF$2004,"&lt;&gt;")-4),""))</f>
        <v/>
      </c>
      <c r="AD409" s="108">
        <f>IF(C409="","",IFERROR(INDEX('Saisie'!$AG$5:$AG$2004,_xlfn.MAXIFS('Saisie'!$AS$5:$AS$2004,'Saisie'!$C$5:$C$2004,C409,'Saisie'!$AG$5:$AG$2004,"&lt;&gt;")-4),""))</f>
        <v/>
      </c>
      <c r="AE409" s="60">
        <f>IF(C409="","",IFERROR(INDEX('Saisie'!$AH$5:$AH$2004,_xlfn.MAXIFS('Saisie'!$AS$5:$AS$2004,'Saisie'!$C$5:$C$2004,C409,'Saisie'!$AH$5:$AH$2004,"&lt;&gt;")-4),""))</f>
        <v/>
      </c>
      <c r="AF409" s="60">
        <f>IF(C409="","",IFERROR(INDEX('Saisie'!$AI$5:$AI$2004,_xlfn.MAXIFS('Saisie'!$AS$5:$AS$2004,'Saisie'!$C$5:$C$2004,C409,'Saisie'!$AI$5:$AI$2004,"&lt;&gt;")-4),""))</f>
        <v/>
      </c>
      <c r="AG409" s="60">
        <f>IF(C409="","",IFERROR(INDEX('Saisie'!$AJ$5:$AJ$2004,_xlfn.MAXIFS('Saisie'!$AS$5:$AS$2004,'Saisie'!$C$5:$C$2004,C409,'Saisie'!$AJ$5:$AJ$2004,"&lt;&gt;")-4),""))</f>
        <v/>
      </c>
      <c r="AH409" s="60">
        <f>IF(C409="","",IFERROR(INDEX('Saisie'!$AK$5:$AK$2004,_xlfn.MAXIFS('Saisie'!$AS$5:$AS$2004,'Saisie'!$C$5:$C$2004,C409,'Saisie'!$AK$5:$AK$2004,"&lt;&gt;")-4),""))</f>
        <v/>
      </c>
      <c r="AI409" s="60">
        <f>IF(C409="","",IFERROR(INDEX('Saisie'!$AN$5:$AN$2004,_xlfn.MAXIFS('Saisie'!$AS$5:$AS$2004,'Saisie'!$C$5:$C$2004,C409,'Saisie'!$AN$5:$AN$2004,"&lt;&gt;")-4),""))</f>
        <v/>
      </c>
      <c r="AJ409" s="60">
        <f>IF(C409="","",IFERROR(INDEX('Saisie'!$AO$5:$AO$2004,_xlfn.MAXIFS('Saisie'!$AS$5:$AS$2004,'Saisie'!$C$5:$C$2004,C409,'Saisie'!$AO$5:$AO$2004,"&lt;&gt;")-4),""))</f>
        <v/>
      </c>
      <c r="AK409" s="60">
        <f>IF(C409="","",IFERROR(INDEX('Saisie'!$AP$5:$AP$2004,_xlfn.MAXIFS('Saisie'!$AS$5:$AS$2004,'Saisie'!$C$5:$C$2004,C409,'Saisie'!$AP$5:$AP$2004,"&lt;&gt;")-4),""))</f>
        <v/>
      </c>
      <c r="AL409" s="60">
        <f>IF(C409="","",IFERROR(INDEX('Saisie'!$AQ$5:$AQ$2004,_xlfn.MAXIFS('Saisie'!$AS$5:$AS$2004,'Saisie'!$C$5:$C$2004,C409,'Saisie'!$AQ$5:$AQ$2004,"&lt;&gt;")-4),""))</f>
        <v/>
      </c>
      <c r="AM409" s="60">
        <f>IF(C409="","",((AI409="Oui")+(AJ409="Oui")+(AK409="Oui")+OR(AL409="Immédiat",AL409="&lt; 1 mois"))&amp;"/4")</f>
        <v/>
      </c>
      <c r="AN409" s="60">
        <f>IF(C409="","",IFERROR(INDEX('Saisie'!$AL$5:$AL$2004,_xlfn.MAXIFS('Saisie'!$AS$5:$AS$2004,'Saisie'!$C$5:$C$2004,C409,'Saisie'!$AL$5:$AL$2004,"&lt;&gt;")-4),""))</f>
        <v/>
      </c>
      <c r="AO409" s="62">
        <f>IF(C409="","",IF(IFERROR(INDEX('Saisie'!$AM$5:$AM$2004,_xlfn.MAXIFS('Saisie'!$AS$5:$AS$2004,'Saisie'!$C$5:$C$2004,C409,'Saisie'!$AM$5:$AM$2004,"&lt;&gt;")-4),"")&lt;&gt;"",IFERROR(INDEX('Saisie'!$AM$5:$AM$2004,_xlfn.MAXIFS('Saisie'!$AS$5:$AS$2004,'Saisie'!$C$5:$C$2004,C409,'Saisie'!$AM$5:$AM$2004,"&lt;&gt;")-4),""),IFERROR(INDEX('Paramètres'!$S$6:$S$15,MATCH(AN409,'Paramètres'!$Q$6:$Q$15,0)),"")))</f>
        <v/>
      </c>
      <c r="AP409" s="62">
        <f>IF(C409="","",IFERROR(INDEX('Saisie'!$AW$5:$AW$2004,_xlfn.MAXIFS('Saisie'!$AS$5:$AS$2004,'Saisie'!$C$5:$C$2004,C409,'Saisie'!$E$5:$E$2004,"Proposition envoyée")-4),""))</f>
        <v/>
      </c>
      <c r="AQ409" s="106">
        <f>IF(C409="","",IFERROR(1/(1/_xlfn.MAXIFS('Saisie'!$A$5:$A$2004,'Saisie'!$C$5:$C$2004,C409,'Saisie'!$E$5:$E$2004,"Proposition envoyée")),""))</f>
        <v/>
      </c>
      <c r="AR409" s="106">
        <f>IF(C409="","",IF(AQ409="","",AQ409+'Paramètres'!$B$26))</f>
        <v/>
      </c>
      <c r="AS409" s="62">
        <f>IF(OR(C409="",D409="Gagné",D409="Perdu"),0,N(AP409)*IFERROR(INDEX('Paramètres'!$G$6:$G$13,MATCH(D409,'Paramètres'!$F$6:$F$13,0)),0))</f>
        <v/>
      </c>
      <c r="AT409" s="106">
        <f>IF(C409="","",IFERROR(1/(1/_xlfn.MINIFS('Saisie'!$A$5:$A$2004,'Saisie'!$C$5:$C$2004,C409,'Saisie'!$E$5:$E$2004,"Signature")),""))</f>
        <v/>
      </c>
      <c r="AU409" s="60">
        <f>IF(C409="","",IF(OR(AT409="",B409=""),"",AT409-B409))</f>
        <v/>
      </c>
      <c r="AV409" s="60">
        <f>IF(C409="","",IFERROR(INDEX('Saisie'!$L$5:$L$2004,_xlfn.MAXIFS('Saisie'!$AS$5:$AS$2004,'Saisie'!$C$5:$C$2004,C409,'Saisie'!$L$5:$L$2004,"&lt;&gt;")-4),""))</f>
        <v/>
      </c>
      <c r="AW409" s="106">
        <f>IF(C409="","",IF(D409&lt;&gt;"Perdu","",IFERROR(1/(1/_xlfn.MAXIFS('Saisie'!$A$5:$A$2004,'Saisie'!$C$5:$C$2004,C409,'Saisie'!$E$5:$E$2004,"Perdu")),"")))</f>
        <v/>
      </c>
      <c r="AX409" s="106">
        <f>IF(C409="","",IF(AW409="","",AW409+'Paramètres'!$B$28))</f>
        <v/>
      </c>
      <c r="AY409" s="60">
        <f>IF(C409="","",SUMIFS('Saisie'!$H$5:$H$2004,'Saisie'!$C$5:$C$2004,C409))</f>
        <v/>
      </c>
      <c r="AZ409" s="60">
        <f>IF(C409="","",IFERROR(INDEX('Paramètres'!$W$6:$W$20,MATCH(S409,'Paramètres'!$V$6:$V$20,0))&amp;"",""))</f>
        <v/>
      </c>
      <c r="BA409" s="60">
        <f>IF(C409="","",MAX(1,_xlfn.MAXIFS('Saisie'!$AT$5:$AT$2004,'Saisie'!$C$5:$C$2004,C409)))</f>
        <v/>
      </c>
      <c r="BB409" s="60">
        <f>IF(C409="","",IFERROR(INDEX('Saisie'!$X$5:$X$2004,_xlfn.MAXIFS('Saisie'!$AS$5:$AS$2004,'Saisie'!$C$5:$C$2004,C409,'Saisie'!$X$5:$X$2004,"&lt;&gt;")-4),""))</f>
        <v/>
      </c>
      <c r="BC409" s="60">
        <f>IF(C409="","",IFERROR(INDEX('Saisie'!$Y$5:$Y$2004,_xlfn.MAXIFS('Saisie'!$AS$5:$AS$2004,'Saisie'!$C$5:$C$2004,C409,'Saisie'!$Y$5:$Y$2004,"&lt;&gt;")-4),""))</f>
        <v/>
      </c>
      <c r="BD409" s="106">
        <f>IF(C409="","",IFERROR(1/(1/_xlfn.MINIFS('Saisie'!$A$5:$A$2004,'Saisie'!$C$5:$C$2004,C409,'Saisie'!$AT$5:$AT$2004,"&gt;=2")),""))</f>
        <v/>
      </c>
      <c r="BE409" s="106">
        <f>IF(C409="","",IFERROR(1/(1/_xlfn.MINIFS('Saisie'!$A$5:$A$2004,'Saisie'!$C$5:$C$2004,C409,'Saisie'!$AT$5:$AT$2004,"&gt;=3")),""))</f>
        <v/>
      </c>
      <c r="BF409" s="106">
        <f>IF(C409="","",IFERROR(1/(1/_xlfn.MINIFS('Saisie'!$A$5:$A$2004,'Saisie'!$C$5:$C$2004,C409,'Saisie'!$AT$5:$AT$2004,"&gt;=4")),""))</f>
        <v/>
      </c>
      <c r="BG409" s="106">
        <f>IF(C409="","",IFERROR(1/(1/_xlfn.MINIFS('Saisie'!$A$5:$A$2004,'Saisie'!$C$5:$C$2004,C409,'Saisie'!$AT$5:$AT$2004,"&gt;=5")),""))</f>
        <v/>
      </c>
      <c r="BH409" s="106">
        <f>IF(C409="","",IFERROR(1/(1/_xlfn.MINIFS('Saisie'!$A$5:$A$2004,'Saisie'!$C$5:$C$2004,C409,'Saisie'!$AT$5:$AT$2004,"&gt;=6")),""))</f>
        <v/>
      </c>
      <c r="BI409" s="106">
        <f>IF(C409="","",IFERROR(1/(1/_xlfn.MINIFS('Saisie'!$A$5:$A$2004,'Saisie'!$C$5:$C$2004,C409,'Saisie'!$AT$5:$AT$2004,"&gt;=7")),""))</f>
        <v/>
      </c>
      <c r="BJ409" s="60">
        <f>IF(OR(BD409="",B409=""),"",BD409-B409)</f>
        <v/>
      </c>
      <c r="BK409" s="60">
        <f>IF(OR(BE409="",BD409=""),"",BE409-BD409)</f>
        <v/>
      </c>
      <c r="BL409" s="60">
        <f>IF(OR(BF409="",BE409=""),"",BF409-BE409)</f>
        <v/>
      </c>
      <c r="BM409" s="60">
        <f>IF(OR(BG409="",BF409=""),"",BG409-BF409)</f>
        <v/>
      </c>
      <c r="BN409" s="60">
        <f>IF(OR(BH409="",BG409=""),"",BH409-BG409)</f>
        <v/>
      </c>
      <c r="BO409" s="60">
        <f>IF(OR(BI409="",BH409=""),"",BI409-BH409)</f>
        <v/>
      </c>
      <c r="BP409" s="60">
        <f>IF(C409="","",_xlfn.MAXIFS('Saisie'!$AS$5:$AS$2004,'Saisie'!$C$5:$C$2004,C409,'Saisie'!$J$5:$J$2004,"&lt;&gt;"))</f>
        <v/>
      </c>
      <c r="BQ409" s="60">
        <f>IF(C409="","",_xlfn.MAXIFS('Saisie'!$AS$5:$AS$2004,'Saisie'!$C$5:$C$2004,C409))</f>
        <v/>
      </c>
      <c r="BR409" s="60">
        <f>IF(C409="","",_xlfn.MAXIFS('Saisie'!$AS$5:$AS$2004,'Saisie'!$C$5:$C$2004,C409,'Saisie'!$E$5:$E$2004,"Perdu"))</f>
        <v/>
      </c>
      <c r="BS409" s="60">
        <f>IF(C409="","",_xlfn.MAXIFS('Saisie'!$AS$5:$AS$2004,'Saisie'!$C$5:$C$2004,C409,'Saisie'!$AT$5:$AT$2004,"&gt;0"))</f>
        <v/>
      </c>
      <c r="BT409" s="109">
        <f>IF(AND(C409&lt;&gt;"",OR(D409="Nouveau",D409="Contacté",D409="Qualifié"),OR(G409="",N(G409)&lt;=TODAY()),NOT(AND(O409&gt;='Paramètres'!$B$21,P409=0))),E409+405/10000,"")</f>
        <v/>
      </c>
      <c r="BU409" s="60">
        <f>IF(AND(G409&lt;&gt;"",N(G409)&lt;=TODAY()),MAX($BU$4:BU408)+1,"")</f>
        <v/>
      </c>
      <c r="BV409" s="60">
        <f>IF(AND(F409&lt;&gt;"",F409&lt;&gt;"Relance en retard"),MAX($BV$4:BV408)+1,"")</f>
        <v/>
      </c>
      <c r="BW409" s="60">
        <f>IF(C409="","",IF(AND(B409&gt;='Tableau de bord'!$R$4,B409&lt;='Tableau de bord'!$S$4,OR('Tableau de bord'!$G$4="Tous",N409='Tableau de bord'!$G$4)),1,0))</f>
        <v/>
      </c>
      <c r="BX409" s="60">
        <f>IF(AND(C409&lt;&gt;"",N(BA409)=7),MAX($BX$4:BX408)+1,"")</f>
        <v/>
      </c>
    </row>
    <row r="410">
      <c r="A410" s="60">
        <f>IF(C410="","","P-"&amp;TEXT(406,"000"))</f>
        <v/>
      </c>
      <c r="B410" s="106">
        <f>IF(C410="","",IFERROR(1/(1/_xlfn.MINIFS('Saisie'!$A$5:$A$2004,'Saisie'!$C$5:$C$2004,C410)),""))</f>
        <v/>
      </c>
      <c r="C410" s="60">
        <f>IFERROR(INDEX('Saisie'!$C$5:$C$2004,MATCH(406,'Saisie'!$AX$5:$AX$2004,0)),"")</f>
        <v/>
      </c>
      <c r="D410" s="60">
        <f>IF(C410="","",IF(AND(BR410&gt;0,BR410&gt;BS410,BA410&lt;7),"Perdu",INDEX('Paramètres'!$F$6:$F$13,BA410)))</f>
        <v/>
      </c>
      <c r="E410" s="61">
        <f>IF(C410="","",MIN(100,(Z410="Oui")*'Paramètres'!$B$38+(AB410="Régulière")*'Paramètres'!$B$39+IF(AND(N(AA410)&gt;0,TODAY()-N(AA410)&lt;=30),'Paramètres'!$B$40,0)+(W410="")*'Paramètres'!$B$41+(AC410="Absente")*'Paramètres'!$B$42+(AC410="Faible")*'Paramètres'!$B$43+IF(AND(N(AD410)&gt;0,N(AD410)&lt;4),'Paramètres'!$B$44,0)+(AF410="Moyenne")*'Paramètres'!$B$45+(AF410="Grande")*'Paramètres'!$B$46+(Y410&lt;&gt;"")*'Paramètres'!$B$47))</f>
        <v/>
      </c>
      <c r="F410" s="60">
        <f>IF(C410="","",IF(D410="Gagné","",IF(D410="Perdu",IF(AND(AX410&lt;&gt;"",AX410&lt;=TODAY()),"À recontacter (perdu)",""),IF(AND(O410&gt;='Paramètres'!$B$21,P410=0),"Stop : "&amp;'Paramètres'!$B$21&amp;" tentatives sans réponse",IF(AND(D410="Proposition",AR410&lt;&gt;"",TODAY()&gt;N(AR410)),"Proposition expirée",IF(AND(D410="Proposition",N(R410)&gt;='Paramètres'!$B$25),"Proposition sans réponse",IF(AND(G410&lt;&gt;"",N(G410)&lt;TODAY()),"Relance en retard",IF(N(R410)&gt;='Paramètres'!$B$24,"Sans action depuis "&amp;R410&amp;" j",""))))))))</f>
        <v/>
      </c>
      <c r="G410" s="106">
        <f>IF(OR(C410="",D410="Gagné",D410="Perdu"),"",IF(AND(BP410&gt;0,BP410=BQ410),INDEX('Saisie'!$J$5:$J$2004,BP410-4),IF(OR(O410=0,AND(O410&gt;='Paramètres'!$B$21,P410=0)),"",Q410+IF(O410&lt;=1,'Paramètres'!$B$18,IF(O410=2,'Paramètres'!$B$19,'Paramètres'!$B$20)))))</f>
        <v/>
      </c>
      <c r="H410" s="107">
        <f>IF(OR(G410="",BP410&lt;&gt;BQ410),"",IF(INDEX('Saisie'!$K$5:$K$2004,BP410-4)="","",INDEX('Saisie'!$K$5:$K$2004,BP410-4)))</f>
        <v/>
      </c>
      <c r="I410" s="60">
        <f>IF(C410="","",IF(OR(D410="Gagné",D410="Perdu"),"",IFERROR(INDEX('Saisie'!$I$5:$I$2004,_xlfn.MAXIFS('Saisie'!$AS$5:$AS$2004,'Saisie'!$C$5:$C$2004,C410,'Saisie'!$I$5:$I$2004,"&lt;&gt;")-4),"")))</f>
        <v/>
      </c>
      <c r="J410" s="60">
        <f>IF(C410="","",IFERROR(INDEX('Saisie'!$U$5:$U$2004,_xlfn.MAXIFS('Saisie'!$AS$5:$AS$2004,'Saisie'!$C$5:$C$2004,C410,'Saisie'!$U$5:$U$2004,"&lt;&gt;")-4),""))</f>
        <v/>
      </c>
      <c r="K410" s="60">
        <f>IF(C410="","",IFERROR(INDEX('Saisie'!$W$5:$W$2004,_xlfn.MAXIFS('Saisie'!$AS$5:$AS$2004,'Saisie'!$C$5:$C$2004,C410,'Saisie'!$W$5:$W$2004,"&lt;&gt;")-4),""))</f>
        <v/>
      </c>
      <c r="L410" s="60">
        <f>IF(IF(BB410&lt;&gt;"",BB410,K410)="","",HYPERLINK("https://wa.me/"&amp;IF(LEFT(SUBSTITUTE(SUBSTITUTE(SUBSTITUTE(IF(BB410&lt;&gt;"",BB410,K410)," ",""),".",""),"+",""),1)="0",'Paramètres'!$B$35&amp;MID(SUBSTITUTE(SUBSTITUTE(SUBSTITUTE(IF(BB410&lt;&gt;"",BB410,K410)," ",""),".",""),"+",""),2,20),SUBSTITUTE(SUBSTITUTE(SUBSTITUTE(IF(BB410&lt;&gt;"",BB410,K410)," ",""),".",""),"+","")),"WhatsApp"))</f>
        <v/>
      </c>
      <c r="M410" s="60">
        <f>IF(BC410="","",HYPERLINK(IF(LEFT(BC410,4)="http",BC410,"https://www.instagram.com/"&amp;SUBSTITUTE(SUBSTITUTE(BC410,"@","")," ","")),BC410))</f>
        <v/>
      </c>
      <c r="N410" s="60">
        <f>IF(C410="","",IFERROR(INDEX('Saisie'!$D$5:$D$2004,_xlfn.MINIFS('Saisie'!$AS$5:$AS$2004,'Saisie'!$C$5:$C$2004,C410,'Saisie'!$AU$5:$AU$2004,1)-4),IFERROR(INDEX('Saisie'!$D$5:$D$2004,_xlfn.MINIFS('Saisie'!$AS$5:$AS$2004,'Saisie'!$C$5:$C$2004,C410,'Saisie'!$D$5:$D$2004,"&lt;&gt;")-4),"")))</f>
        <v/>
      </c>
      <c r="O410" s="60">
        <f>IF(C410="","",COUNTIFS('Saisie'!$C$5:$C$2004,C410,'Saisie'!$AU$5:$AU$2004,1))</f>
        <v/>
      </c>
      <c r="P410" s="60">
        <f>IF(C410="","",COUNTIFS('Saisie'!$C$5:$C$2004,C410,'Saisie'!$AV$5:$AV$2004,1))</f>
        <v/>
      </c>
      <c r="Q410" s="106">
        <f>IF(C410="","",IFERROR(1/(1/_xlfn.MAXIFS('Saisie'!$A$5:$A$2004,'Saisie'!$C$5:$C$2004,C410)),""))</f>
        <v/>
      </c>
      <c r="R410" s="61">
        <f>IF(C410="","",IF(Q410="","",TODAY()-Q410))</f>
        <v/>
      </c>
      <c r="S410" s="60">
        <f>IF(C410="","",IFERROR(INDEX('Saisie'!$R$5:$R$2004,_xlfn.MAXIFS('Saisie'!$AS$5:$AS$2004,'Saisie'!$C$5:$C$2004,C410,'Saisie'!$R$5:$R$2004,"&lt;&gt;")-4),""))</f>
        <v/>
      </c>
      <c r="T410" s="60">
        <f>IF(C410="","",IFERROR(INDEX('Saisie'!$S$5:$S$2004,_xlfn.MAXIFS('Saisie'!$AS$5:$AS$2004,'Saisie'!$C$5:$C$2004,C410,'Saisie'!$S$5:$S$2004,"&lt;&gt;")-4),""))</f>
        <v/>
      </c>
      <c r="U410" s="60">
        <f>IF(C410="","",IFERROR(INDEX('Saisie'!$T$5:$T$2004,_xlfn.MAXIFS('Saisie'!$AS$5:$AS$2004,'Saisie'!$C$5:$C$2004,C410,'Saisie'!$T$5:$T$2004,"&lt;&gt;")-4),""))</f>
        <v/>
      </c>
      <c r="V410" s="60">
        <f>IF(C410="","",IFERROR(INDEX('Saisie'!$V$5:$V$2004,_xlfn.MAXIFS('Saisie'!$AS$5:$AS$2004,'Saisie'!$C$5:$C$2004,C410,'Saisie'!$V$5:$V$2004,"&lt;&gt;")-4),""))</f>
        <v/>
      </c>
      <c r="W410" s="60">
        <f>IF(C410="","",IFERROR(INDEX('Saisie'!$Z$5:$Z$2004,_xlfn.MAXIFS('Saisie'!$AS$5:$AS$2004,'Saisie'!$C$5:$C$2004,C410,'Saisie'!$Z$5:$Z$2004,"&lt;&gt;")-4),""))</f>
        <v/>
      </c>
      <c r="X410" s="60">
        <f>IF(C410="","",IFERROR(INDEX('Saisie'!$AA$5:$AA$2004,_xlfn.MAXIFS('Saisie'!$AS$5:$AS$2004,'Saisie'!$C$5:$C$2004,C410,'Saisie'!$AA$5:$AA$2004,"&lt;&gt;")-4),""))</f>
        <v/>
      </c>
      <c r="Y410" s="60">
        <f>IF(C410="","",IFERROR(INDEX('Saisie'!$AB$5:$AB$2004,_xlfn.MAXIFS('Saisie'!$AS$5:$AS$2004,'Saisie'!$C$5:$C$2004,C410,'Saisie'!$AB$5:$AB$2004,"&lt;&gt;")-4),""))</f>
        <v/>
      </c>
      <c r="Z410" s="60">
        <f>IF(C410="","",IFERROR(INDEX('Saisie'!$AC$5:$AC$2004,_xlfn.MAXIFS('Saisie'!$AS$5:$AS$2004,'Saisie'!$C$5:$C$2004,C410,'Saisie'!$AC$5:$AC$2004,"&lt;&gt;")-4),""))</f>
        <v/>
      </c>
      <c r="AA410" s="106">
        <f>IF(C410="","",IFERROR(INDEX('Saisie'!$AD$5:$AD$2004,_xlfn.MAXIFS('Saisie'!$AS$5:$AS$2004,'Saisie'!$C$5:$C$2004,C410,'Saisie'!$AD$5:$AD$2004,"&lt;&gt;")-4),""))</f>
        <v/>
      </c>
      <c r="AB410" s="60">
        <f>IF(C410="","",IFERROR(INDEX('Saisie'!$AE$5:$AE$2004,_xlfn.MAXIFS('Saisie'!$AS$5:$AS$2004,'Saisie'!$C$5:$C$2004,C410,'Saisie'!$AE$5:$AE$2004,"&lt;&gt;")-4),""))</f>
        <v/>
      </c>
      <c r="AC410" s="60">
        <f>IF(C410="","",IFERROR(INDEX('Saisie'!$AF$5:$AF$2004,_xlfn.MAXIFS('Saisie'!$AS$5:$AS$2004,'Saisie'!$C$5:$C$2004,C410,'Saisie'!$AF$5:$AF$2004,"&lt;&gt;")-4),""))</f>
        <v/>
      </c>
      <c r="AD410" s="108">
        <f>IF(C410="","",IFERROR(INDEX('Saisie'!$AG$5:$AG$2004,_xlfn.MAXIFS('Saisie'!$AS$5:$AS$2004,'Saisie'!$C$5:$C$2004,C410,'Saisie'!$AG$5:$AG$2004,"&lt;&gt;")-4),""))</f>
        <v/>
      </c>
      <c r="AE410" s="60">
        <f>IF(C410="","",IFERROR(INDEX('Saisie'!$AH$5:$AH$2004,_xlfn.MAXIFS('Saisie'!$AS$5:$AS$2004,'Saisie'!$C$5:$C$2004,C410,'Saisie'!$AH$5:$AH$2004,"&lt;&gt;")-4),""))</f>
        <v/>
      </c>
      <c r="AF410" s="60">
        <f>IF(C410="","",IFERROR(INDEX('Saisie'!$AI$5:$AI$2004,_xlfn.MAXIFS('Saisie'!$AS$5:$AS$2004,'Saisie'!$C$5:$C$2004,C410,'Saisie'!$AI$5:$AI$2004,"&lt;&gt;")-4),""))</f>
        <v/>
      </c>
      <c r="AG410" s="60">
        <f>IF(C410="","",IFERROR(INDEX('Saisie'!$AJ$5:$AJ$2004,_xlfn.MAXIFS('Saisie'!$AS$5:$AS$2004,'Saisie'!$C$5:$C$2004,C410,'Saisie'!$AJ$5:$AJ$2004,"&lt;&gt;")-4),""))</f>
        <v/>
      </c>
      <c r="AH410" s="60">
        <f>IF(C410="","",IFERROR(INDEX('Saisie'!$AK$5:$AK$2004,_xlfn.MAXIFS('Saisie'!$AS$5:$AS$2004,'Saisie'!$C$5:$C$2004,C410,'Saisie'!$AK$5:$AK$2004,"&lt;&gt;")-4),""))</f>
        <v/>
      </c>
      <c r="AI410" s="60">
        <f>IF(C410="","",IFERROR(INDEX('Saisie'!$AN$5:$AN$2004,_xlfn.MAXIFS('Saisie'!$AS$5:$AS$2004,'Saisie'!$C$5:$C$2004,C410,'Saisie'!$AN$5:$AN$2004,"&lt;&gt;")-4),""))</f>
        <v/>
      </c>
      <c r="AJ410" s="60">
        <f>IF(C410="","",IFERROR(INDEX('Saisie'!$AO$5:$AO$2004,_xlfn.MAXIFS('Saisie'!$AS$5:$AS$2004,'Saisie'!$C$5:$C$2004,C410,'Saisie'!$AO$5:$AO$2004,"&lt;&gt;")-4),""))</f>
        <v/>
      </c>
      <c r="AK410" s="60">
        <f>IF(C410="","",IFERROR(INDEX('Saisie'!$AP$5:$AP$2004,_xlfn.MAXIFS('Saisie'!$AS$5:$AS$2004,'Saisie'!$C$5:$C$2004,C410,'Saisie'!$AP$5:$AP$2004,"&lt;&gt;")-4),""))</f>
        <v/>
      </c>
      <c r="AL410" s="60">
        <f>IF(C410="","",IFERROR(INDEX('Saisie'!$AQ$5:$AQ$2004,_xlfn.MAXIFS('Saisie'!$AS$5:$AS$2004,'Saisie'!$C$5:$C$2004,C410,'Saisie'!$AQ$5:$AQ$2004,"&lt;&gt;")-4),""))</f>
        <v/>
      </c>
      <c r="AM410" s="60">
        <f>IF(C410="","",((AI410="Oui")+(AJ410="Oui")+(AK410="Oui")+OR(AL410="Immédiat",AL410="&lt; 1 mois"))&amp;"/4")</f>
        <v/>
      </c>
      <c r="AN410" s="60">
        <f>IF(C410="","",IFERROR(INDEX('Saisie'!$AL$5:$AL$2004,_xlfn.MAXIFS('Saisie'!$AS$5:$AS$2004,'Saisie'!$C$5:$C$2004,C410,'Saisie'!$AL$5:$AL$2004,"&lt;&gt;")-4),""))</f>
        <v/>
      </c>
      <c r="AO410" s="62">
        <f>IF(C410="","",IF(IFERROR(INDEX('Saisie'!$AM$5:$AM$2004,_xlfn.MAXIFS('Saisie'!$AS$5:$AS$2004,'Saisie'!$C$5:$C$2004,C410,'Saisie'!$AM$5:$AM$2004,"&lt;&gt;")-4),"")&lt;&gt;"",IFERROR(INDEX('Saisie'!$AM$5:$AM$2004,_xlfn.MAXIFS('Saisie'!$AS$5:$AS$2004,'Saisie'!$C$5:$C$2004,C410,'Saisie'!$AM$5:$AM$2004,"&lt;&gt;")-4),""),IFERROR(INDEX('Paramètres'!$S$6:$S$15,MATCH(AN410,'Paramètres'!$Q$6:$Q$15,0)),"")))</f>
        <v/>
      </c>
      <c r="AP410" s="62">
        <f>IF(C410="","",IFERROR(INDEX('Saisie'!$AW$5:$AW$2004,_xlfn.MAXIFS('Saisie'!$AS$5:$AS$2004,'Saisie'!$C$5:$C$2004,C410,'Saisie'!$E$5:$E$2004,"Proposition envoyée")-4),""))</f>
        <v/>
      </c>
      <c r="AQ410" s="106">
        <f>IF(C410="","",IFERROR(1/(1/_xlfn.MAXIFS('Saisie'!$A$5:$A$2004,'Saisie'!$C$5:$C$2004,C410,'Saisie'!$E$5:$E$2004,"Proposition envoyée")),""))</f>
        <v/>
      </c>
      <c r="AR410" s="106">
        <f>IF(C410="","",IF(AQ410="","",AQ410+'Paramètres'!$B$26))</f>
        <v/>
      </c>
      <c r="AS410" s="62">
        <f>IF(OR(C410="",D410="Gagné",D410="Perdu"),0,N(AP410)*IFERROR(INDEX('Paramètres'!$G$6:$G$13,MATCH(D410,'Paramètres'!$F$6:$F$13,0)),0))</f>
        <v/>
      </c>
      <c r="AT410" s="106">
        <f>IF(C410="","",IFERROR(1/(1/_xlfn.MINIFS('Saisie'!$A$5:$A$2004,'Saisie'!$C$5:$C$2004,C410,'Saisie'!$E$5:$E$2004,"Signature")),""))</f>
        <v/>
      </c>
      <c r="AU410" s="60">
        <f>IF(C410="","",IF(OR(AT410="",B410=""),"",AT410-B410))</f>
        <v/>
      </c>
      <c r="AV410" s="60">
        <f>IF(C410="","",IFERROR(INDEX('Saisie'!$L$5:$L$2004,_xlfn.MAXIFS('Saisie'!$AS$5:$AS$2004,'Saisie'!$C$5:$C$2004,C410,'Saisie'!$L$5:$L$2004,"&lt;&gt;")-4),""))</f>
        <v/>
      </c>
      <c r="AW410" s="106">
        <f>IF(C410="","",IF(D410&lt;&gt;"Perdu","",IFERROR(1/(1/_xlfn.MAXIFS('Saisie'!$A$5:$A$2004,'Saisie'!$C$5:$C$2004,C410,'Saisie'!$E$5:$E$2004,"Perdu")),"")))</f>
        <v/>
      </c>
      <c r="AX410" s="106">
        <f>IF(C410="","",IF(AW410="","",AW410+'Paramètres'!$B$28))</f>
        <v/>
      </c>
      <c r="AY410" s="60">
        <f>IF(C410="","",SUMIFS('Saisie'!$H$5:$H$2004,'Saisie'!$C$5:$C$2004,C410))</f>
        <v/>
      </c>
      <c r="AZ410" s="60">
        <f>IF(C410="","",IFERROR(INDEX('Paramètres'!$W$6:$W$20,MATCH(S410,'Paramètres'!$V$6:$V$20,0))&amp;"",""))</f>
        <v/>
      </c>
      <c r="BA410" s="60">
        <f>IF(C410="","",MAX(1,_xlfn.MAXIFS('Saisie'!$AT$5:$AT$2004,'Saisie'!$C$5:$C$2004,C410)))</f>
        <v/>
      </c>
      <c r="BB410" s="60">
        <f>IF(C410="","",IFERROR(INDEX('Saisie'!$X$5:$X$2004,_xlfn.MAXIFS('Saisie'!$AS$5:$AS$2004,'Saisie'!$C$5:$C$2004,C410,'Saisie'!$X$5:$X$2004,"&lt;&gt;")-4),""))</f>
        <v/>
      </c>
      <c r="BC410" s="60">
        <f>IF(C410="","",IFERROR(INDEX('Saisie'!$Y$5:$Y$2004,_xlfn.MAXIFS('Saisie'!$AS$5:$AS$2004,'Saisie'!$C$5:$C$2004,C410,'Saisie'!$Y$5:$Y$2004,"&lt;&gt;")-4),""))</f>
        <v/>
      </c>
      <c r="BD410" s="106">
        <f>IF(C410="","",IFERROR(1/(1/_xlfn.MINIFS('Saisie'!$A$5:$A$2004,'Saisie'!$C$5:$C$2004,C410,'Saisie'!$AT$5:$AT$2004,"&gt;=2")),""))</f>
        <v/>
      </c>
      <c r="BE410" s="106">
        <f>IF(C410="","",IFERROR(1/(1/_xlfn.MINIFS('Saisie'!$A$5:$A$2004,'Saisie'!$C$5:$C$2004,C410,'Saisie'!$AT$5:$AT$2004,"&gt;=3")),""))</f>
        <v/>
      </c>
      <c r="BF410" s="106">
        <f>IF(C410="","",IFERROR(1/(1/_xlfn.MINIFS('Saisie'!$A$5:$A$2004,'Saisie'!$C$5:$C$2004,C410,'Saisie'!$AT$5:$AT$2004,"&gt;=4")),""))</f>
        <v/>
      </c>
      <c r="BG410" s="106">
        <f>IF(C410="","",IFERROR(1/(1/_xlfn.MINIFS('Saisie'!$A$5:$A$2004,'Saisie'!$C$5:$C$2004,C410,'Saisie'!$AT$5:$AT$2004,"&gt;=5")),""))</f>
        <v/>
      </c>
      <c r="BH410" s="106">
        <f>IF(C410="","",IFERROR(1/(1/_xlfn.MINIFS('Saisie'!$A$5:$A$2004,'Saisie'!$C$5:$C$2004,C410,'Saisie'!$AT$5:$AT$2004,"&gt;=6")),""))</f>
        <v/>
      </c>
      <c r="BI410" s="106">
        <f>IF(C410="","",IFERROR(1/(1/_xlfn.MINIFS('Saisie'!$A$5:$A$2004,'Saisie'!$C$5:$C$2004,C410,'Saisie'!$AT$5:$AT$2004,"&gt;=7")),""))</f>
        <v/>
      </c>
      <c r="BJ410" s="60">
        <f>IF(OR(BD410="",B410=""),"",BD410-B410)</f>
        <v/>
      </c>
      <c r="BK410" s="60">
        <f>IF(OR(BE410="",BD410=""),"",BE410-BD410)</f>
        <v/>
      </c>
      <c r="BL410" s="60">
        <f>IF(OR(BF410="",BE410=""),"",BF410-BE410)</f>
        <v/>
      </c>
      <c r="BM410" s="60">
        <f>IF(OR(BG410="",BF410=""),"",BG410-BF410)</f>
        <v/>
      </c>
      <c r="BN410" s="60">
        <f>IF(OR(BH410="",BG410=""),"",BH410-BG410)</f>
        <v/>
      </c>
      <c r="BO410" s="60">
        <f>IF(OR(BI410="",BH410=""),"",BI410-BH410)</f>
        <v/>
      </c>
      <c r="BP410" s="60">
        <f>IF(C410="","",_xlfn.MAXIFS('Saisie'!$AS$5:$AS$2004,'Saisie'!$C$5:$C$2004,C410,'Saisie'!$J$5:$J$2004,"&lt;&gt;"))</f>
        <v/>
      </c>
      <c r="BQ410" s="60">
        <f>IF(C410="","",_xlfn.MAXIFS('Saisie'!$AS$5:$AS$2004,'Saisie'!$C$5:$C$2004,C410))</f>
        <v/>
      </c>
      <c r="BR410" s="60">
        <f>IF(C410="","",_xlfn.MAXIFS('Saisie'!$AS$5:$AS$2004,'Saisie'!$C$5:$C$2004,C410,'Saisie'!$E$5:$E$2004,"Perdu"))</f>
        <v/>
      </c>
      <c r="BS410" s="60">
        <f>IF(C410="","",_xlfn.MAXIFS('Saisie'!$AS$5:$AS$2004,'Saisie'!$C$5:$C$2004,C410,'Saisie'!$AT$5:$AT$2004,"&gt;0"))</f>
        <v/>
      </c>
      <c r="BT410" s="109">
        <f>IF(AND(C410&lt;&gt;"",OR(D410="Nouveau",D410="Contacté",D410="Qualifié"),OR(G410="",N(G410)&lt;=TODAY()),NOT(AND(O410&gt;='Paramètres'!$B$21,P410=0))),E410+406/10000,"")</f>
        <v/>
      </c>
      <c r="BU410" s="60">
        <f>IF(AND(G410&lt;&gt;"",N(G410)&lt;=TODAY()),MAX($BU$4:BU409)+1,"")</f>
        <v/>
      </c>
      <c r="BV410" s="60">
        <f>IF(AND(F410&lt;&gt;"",F410&lt;&gt;"Relance en retard"),MAX($BV$4:BV409)+1,"")</f>
        <v/>
      </c>
      <c r="BW410" s="60">
        <f>IF(C410="","",IF(AND(B410&gt;='Tableau de bord'!$R$4,B410&lt;='Tableau de bord'!$S$4,OR('Tableau de bord'!$G$4="Tous",N410='Tableau de bord'!$G$4)),1,0))</f>
        <v/>
      </c>
      <c r="BX410" s="60">
        <f>IF(AND(C410&lt;&gt;"",N(BA410)=7),MAX($BX$4:BX409)+1,"")</f>
        <v/>
      </c>
    </row>
    <row r="411">
      <c r="A411" s="60">
        <f>IF(C411="","","P-"&amp;TEXT(407,"000"))</f>
        <v/>
      </c>
      <c r="B411" s="106">
        <f>IF(C411="","",IFERROR(1/(1/_xlfn.MINIFS('Saisie'!$A$5:$A$2004,'Saisie'!$C$5:$C$2004,C411)),""))</f>
        <v/>
      </c>
      <c r="C411" s="60">
        <f>IFERROR(INDEX('Saisie'!$C$5:$C$2004,MATCH(407,'Saisie'!$AX$5:$AX$2004,0)),"")</f>
        <v/>
      </c>
      <c r="D411" s="60">
        <f>IF(C411="","",IF(AND(BR411&gt;0,BR411&gt;BS411,BA411&lt;7),"Perdu",INDEX('Paramètres'!$F$6:$F$13,BA411)))</f>
        <v/>
      </c>
      <c r="E411" s="61">
        <f>IF(C411="","",MIN(100,(Z411="Oui")*'Paramètres'!$B$38+(AB411="Régulière")*'Paramètres'!$B$39+IF(AND(N(AA411)&gt;0,TODAY()-N(AA411)&lt;=30),'Paramètres'!$B$40,0)+(W411="")*'Paramètres'!$B$41+(AC411="Absente")*'Paramètres'!$B$42+(AC411="Faible")*'Paramètres'!$B$43+IF(AND(N(AD411)&gt;0,N(AD411)&lt;4),'Paramètres'!$B$44,0)+(AF411="Moyenne")*'Paramètres'!$B$45+(AF411="Grande")*'Paramètres'!$B$46+(Y411&lt;&gt;"")*'Paramètres'!$B$47))</f>
        <v/>
      </c>
      <c r="F411" s="60">
        <f>IF(C411="","",IF(D411="Gagné","",IF(D411="Perdu",IF(AND(AX411&lt;&gt;"",AX411&lt;=TODAY()),"À recontacter (perdu)",""),IF(AND(O411&gt;='Paramètres'!$B$21,P411=0),"Stop : "&amp;'Paramètres'!$B$21&amp;" tentatives sans réponse",IF(AND(D411="Proposition",AR411&lt;&gt;"",TODAY()&gt;N(AR411)),"Proposition expirée",IF(AND(D411="Proposition",N(R411)&gt;='Paramètres'!$B$25),"Proposition sans réponse",IF(AND(G411&lt;&gt;"",N(G411)&lt;TODAY()),"Relance en retard",IF(N(R411)&gt;='Paramètres'!$B$24,"Sans action depuis "&amp;R411&amp;" j",""))))))))</f>
        <v/>
      </c>
      <c r="G411" s="106">
        <f>IF(OR(C411="",D411="Gagné",D411="Perdu"),"",IF(AND(BP411&gt;0,BP411=BQ411),INDEX('Saisie'!$J$5:$J$2004,BP411-4),IF(OR(O411=0,AND(O411&gt;='Paramètres'!$B$21,P411=0)),"",Q411+IF(O411&lt;=1,'Paramètres'!$B$18,IF(O411=2,'Paramètres'!$B$19,'Paramètres'!$B$20)))))</f>
        <v/>
      </c>
      <c r="H411" s="107">
        <f>IF(OR(G411="",BP411&lt;&gt;BQ411),"",IF(INDEX('Saisie'!$K$5:$K$2004,BP411-4)="","",INDEX('Saisie'!$K$5:$K$2004,BP411-4)))</f>
        <v/>
      </c>
      <c r="I411" s="60">
        <f>IF(C411="","",IF(OR(D411="Gagné",D411="Perdu"),"",IFERROR(INDEX('Saisie'!$I$5:$I$2004,_xlfn.MAXIFS('Saisie'!$AS$5:$AS$2004,'Saisie'!$C$5:$C$2004,C411,'Saisie'!$I$5:$I$2004,"&lt;&gt;")-4),"")))</f>
        <v/>
      </c>
      <c r="J411" s="60">
        <f>IF(C411="","",IFERROR(INDEX('Saisie'!$U$5:$U$2004,_xlfn.MAXIFS('Saisie'!$AS$5:$AS$2004,'Saisie'!$C$5:$C$2004,C411,'Saisie'!$U$5:$U$2004,"&lt;&gt;")-4),""))</f>
        <v/>
      </c>
      <c r="K411" s="60">
        <f>IF(C411="","",IFERROR(INDEX('Saisie'!$W$5:$W$2004,_xlfn.MAXIFS('Saisie'!$AS$5:$AS$2004,'Saisie'!$C$5:$C$2004,C411,'Saisie'!$W$5:$W$2004,"&lt;&gt;")-4),""))</f>
        <v/>
      </c>
      <c r="L411" s="60">
        <f>IF(IF(BB411&lt;&gt;"",BB411,K411)="","",HYPERLINK("https://wa.me/"&amp;IF(LEFT(SUBSTITUTE(SUBSTITUTE(SUBSTITUTE(IF(BB411&lt;&gt;"",BB411,K411)," ",""),".",""),"+",""),1)="0",'Paramètres'!$B$35&amp;MID(SUBSTITUTE(SUBSTITUTE(SUBSTITUTE(IF(BB411&lt;&gt;"",BB411,K411)," ",""),".",""),"+",""),2,20),SUBSTITUTE(SUBSTITUTE(SUBSTITUTE(IF(BB411&lt;&gt;"",BB411,K411)," ",""),".",""),"+","")),"WhatsApp"))</f>
        <v/>
      </c>
      <c r="M411" s="60">
        <f>IF(BC411="","",HYPERLINK(IF(LEFT(BC411,4)="http",BC411,"https://www.instagram.com/"&amp;SUBSTITUTE(SUBSTITUTE(BC411,"@","")," ","")),BC411))</f>
        <v/>
      </c>
      <c r="N411" s="60">
        <f>IF(C411="","",IFERROR(INDEX('Saisie'!$D$5:$D$2004,_xlfn.MINIFS('Saisie'!$AS$5:$AS$2004,'Saisie'!$C$5:$C$2004,C411,'Saisie'!$AU$5:$AU$2004,1)-4),IFERROR(INDEX('Saisie'!$D$5:$D$2004,_xlfn.MINIFS('Saisie'!$AS$5:$AS$2004,'Saisie'!$C$5:$C$2004,C411,'Saisie'!$D$5:$D$2004,"&lt;&gt;")-4),"")))</f>
        <v/>
      </c>
      <c r="O411" s="60">
        <f>IF(C411="","",COUNTIFS('Saisie'!$C$5:$C$2004,C411,'Saisie'!$AU$5:$AU$2004,1))</f>
        <v/>
      </c>
      <c r="P411" s="60">
        <f>IF(C411="","",COUNTIFS('Saisie'!$C$5:$C$2004,C411,'Saisie'!$AV$5:$AV$2004,1))</f>
        <v/>
      </c>
      <c r="Q411" s="106">
        <f>IF(C411="","",IFERROR(1/(1/_xlfn.MAXIFS('Saisie'!$A$5:$A$2004,'Saisie'!$C$5:$C$2004,C411)),""))</f>
        <v/>
      </c>
      <c r="R411" s="61">
        <f>IF(C411="","",IF(Q411="","",TODAY()-Q411))</f>
        <v/>
      </c>
      <c r="S411" s="60">
        <f>IF(C411="","",IFERROR(INDEX('Saisie'!$R$5:$R$2004,_xlfn.MAXIFS('Saisie'!$AS$5:$AS$2004,'Saisie'!$C$5:$C$2004,C411,'Saisie'!$R$5:$R$2004,"&lt;&gt;")-4),""))</f>
        <v/>
      </c>
      <c r="T411" s="60">
        <f>IF(C411="","",IFERROR(INDEX('Saisie'!$S$5:$S$2004,_xlfn.MAXIFS('Saisie'!$AS$5:$AS$2004,'Saisie'!$C$5:$C$2004,C411,'Saisie'!$S$5:$S$2004,"&lt;&gt;")-4),""))</f>
        <v/>
      </c>
      <c r="U411" s="60">
        <f>IF(C411="","",IFERROR(INDEX('Saisie'!$T$5:$T$2004,_xlfn.MAXIFS('Saisie'!$AS$5:$AS$2004,'Saisie'!$C$5:$C$2004,C411,'Saisie'!$T$5:$T$2004,"&lt;&gt;")-4),""))</f>
        <v/>
      </c>
      <c r="V411" s="60">
        <f>IF(C411="","",IFERROR(INDEX('Saisie'!$V$5:$V$2004,_xlfn.MAXIFS('Saisie'!$AS$5:$AS$2004,'Saisie'!$C$5:$C$2004,C411,'Saisie'!$V$5:$V$2004,"&lt;&gt;")-4),""))</f>
        <v/>
      </c>
      <c r="W411" s="60">
        <f>IF(C411="","",IFERROR(INDEX('Saisie'!$Z$5:$Z$2004,_xlfn.MAXIFS('Saisie'!$AS$5:$AS$2004,'Saisie'!$C$5:$C$2004,C411,'Saisie'!$Z$5:$Z$2004,"&lt;&gt;")-4),""))</f>
        <v/>
      </c>
      <c r="X411" s="60">
        <f>IF(C411="","",IFERROR(INDEX('Saisie'!$AA$5:$AA$2004,_xlfn.MAXIFS('Saisie'!$AS$5:$AS$2004,'Saisie'!$C$5:$C$2004,C411,'Saisie'!$AA$5:$AA$2004,"&lt;&gt;")-4),""))</f>
        <v/>
      </c>
      <c r="Y411" s="60">
        <f>IF(C411="","",IFERROR(INDEX('Saisie'!$AB$5:$AB$2004,_xlfn.MAXIFS('Saisie'!$AS$5:$AS$2004,'Saisie'!$C$5:$C$2004,C411,'Saisie'!$AB$5:$AB$2004,"&lt;&gt;")-4),""))</f>
        <v/>
      </c>
      <c r="Z411" s="60">
        <f>IF(C411="","",IFERROR(INDEX('Saisie'!$AC$5:$AC$2004,_xlfn.MAXIFS('Saisie'!$AS$5:$AS$2004,'Saisie'!$C$5:$C$2004,C411,'Saisie'!$AC$5:$AC$2004,"&lt;&gt;")-4),""))</f>
        <v/>
      </c>
      <c r="AA411" s="106">
        <f>IF(C411="","",IFERROR(INDEX('Saisie'!$AD$5:$AD$2004,_xlfn.MAXIFS('Saisie'!$AS$5:$AS$2004,'Saisie'!$C$5:$C$2004,C411,'Saisie'!$AD$5:$AD$2004,"&lt;&gt;")-4),""))</f>
        <v/>
      </c>
      <c r="AB411" s="60">
        <f>IF(C411="","",IFERROR(INDEX('Saisie'!$AE$5:$AE$2004,_xlfn.MAXIFS('Saisie'!$AS$5:$AS$2004,'Saisie'!$C$5:$C$2004,C411,'Saisie'!$AE$5:$AE$2004,"&lt;&gt;")-4),""))</f>
        <v/>
      </c>
      <c r="AC411" s="60">
        <f>IF(C411="","",IFERROR(INDEX('Saisie'!$AF$5:$AF$2004,_xlfn.MAXIFS('Saisie'!$AS$5:$AS$2004,'Saisie'!$C$5:$C$2004,C411,'Saisie'!$AF$5:$AF$2004,"&lt;&gt;")-4),""))</f>
        <v/>
      </c>
      <c r="AD411" s="108">
        <f>IF(C411="","",IFERROR(INDEX('Saisie'!$AG$5:$AG$2004,_xlfn.MAXIFS('Saisie'!$AS$5:$AS$2004,'Saisie'!$C$5:$C$2004,C411,'Saisie'!$AG$5:$AG$2004,"&lt;&gt;")-4),""))</f>
        <v/>
      </c>
      <c r="AE411" s="60">
        <f>IF(C411="","",IFERROR(INDEX('Saisie'!$AH$5:$AH$2004,_xlfn.MAXIFS('Saisie'!$AS$5:$AS$2004,'Saisie'!$C$5:$C$2004,C411,'Saisie'!$AH$5:$AH$2004,"&lt;&gt;")-4),""))</f>
        <v/>
      </c>
      <c r="AF411" s="60">
        <f>IF(C411="","",IFERROR(INDEX('Saisie'!$AI$5:$AI$2004,_xlfn.MAXIFS('Saisie'!$AS$5:$AS$2004,'Saisie'!$C$5:$C$2004,C411,'Saisie'!$AI$5:$AI$2004,"&lt;&gt;")-4),""))</f>
        <v/>
      </c>
      <c r="AG411" s="60">
        <f>IF(C411="","",IFERROR(INDEX('Saisie'!$AJ$5:$AJ$2004,_xlfn.MAXIFS('Saisie'!$AS$5:$AS$2004,'Saisie'!$C$5:$C$2004,C411,'Saisie'!$AJ$5:$AJ$2004,"&lt;&gt;")-4),""))</f>
        <v/>
      </c>
      <c r="AH411" s="60">
        <f>IF(C411="","",IFERROR(INDEX('Saisie'!$AK$5:$AK$2004,_xlfn.MAXIFS('Saisie'!$AS$5:$AS$2004,'Saisie'!$C$5:$C$2004,C411,'Saisie'!$AK$5:$AK$2004,"&lt;&gt;")-4),""))</f>
        <v/>
      </c>
      <c r="AI411" s="60">
        <f>IF(C411="","",IFERROR(INDEX('Saisie'!$AN$5:$AN$2004,_xlfn.MAXIFS('Saisie'!$AS$5:$AS$2004,'Saisie'!$C$5:$C$2004,C411,'Saisie'!$AN$5:$AN$2004,"&lt;&gt;")-4),""))</f>
        <v/>
      </c>
      <c r="AJ411" s="60">
        <f>IF(C411="","",IFERROR(INDEX('Saisie'!$AO$5:$AO$2004,_xlfn.MAXIFS('Saisie'!$AS$5:$AS$2004,'Saisie'!$C$5:$C$2004,C411,'Saisie'!$AO$5:$AO$2004,"&lt;&gt;")-4),""))</f>
        <v/>
      </c>
      <c r="AK411" s="60">
        <f>IF(C411="","",IFERROR(INDEX('Saisie'!$AP$5:$AP$2004,_xlfn.MAXIFS('Saisie'!$AS$5:$AS$2004,'Saisie'!$C$5:$C$2004,C411,'Saisie'!$AP$5:$AP$2004,"&lt;&gt;")-4),""))</f>
        <v/>
      </c>
      <c r="AL411" s="60">
        <f>IF(C411="","",IFERROR(INDEX('Saisie'!$AQ$5:$AQ$2004,_xlfn.MAXIFS('Saisie'!$AS$5:$AS$2004,'Saisie'!$C$5:$C$2004,C411,'Saisie'!$AQ$5:$AQ$2004,"&lt;&gt;")-4),""))</f>
        <v/>
      </c>
      <c r="AM411" s="60">
        <f>IF(C411="","",((AI411="Oui")+(AJ411="Oui")+(AK411="Oui")+OR(AL411="Immédiat",AL411="&lt; 1 mois"))&amp;"/4")</f>
        <v/>
      </c>
      <c r="AN411" s="60">
        <f>IF(C411="","",IFERROR(INDEX('Saisie'!$AL$5:$AL$2004,_xlfn.MAXIFS('Saisie'!$AS$5:$AS$2004,'Saisie'!$C$5:$C$2004,C411,'Saisie'!$AL$5:$AL$2004,"&lt;&gt;")-4),""))</f>
        <v/>
      </c>
      <c r="AO411" s="62">
        <f>IF(C411="","",IF(IFERROR(INDEX('Saisie'!$AM$5:$AM$2004,_xlfn.MAXIFS('Saisie'!$AS$5:$AS$2004,'Saisie'!$C$5:$C$2004,C411,'Saisie'!$AM$5:$AM$2004,"&lt;&gt;")-4),"")&lt;&gt;"",IFERROR(INDEX('Saisie'!$AM$5:$AM$2004,_xlfn.MAXIFS('Saisie'!$AS$5:$AS$2004,'Saisie'!$C$5:$C$2004,C411,'Saisie'!$AM$5:$AM$2004,"&lt;&gt;")-4),""),IFERROR(INDEX('Paramètres'!$S$6:$S$15,MATCH(AN411,'Paramètres'!$Q$6:$Q$15,0)),"")))</f>
        <v/>
      </c>
      <c r="AP411" s="62">
        <f>IF(C411="","",IFERROR(INDEX('Saisie'!$AW$5:$AW$2004,_xlfn.MAXIFS('Saisie'!$AS$5:$AS$2004,'Saisie'!$C$5:$C$2004,C411,'Saisie'!$E$5:$E$2004,"Proposition envoyée")-4),""))</f>
        <v/>
      </c>
      <c r="AQ411" s="106">
        <f>IF(C411="","",IFERROR(1/(1/_xlfn.MAXIFS('Saisie'!$A$5:$A$2004,'Saisie'!$C$5:$C$2004,C411,'Saisie'!$E$5:$E$2004,"Proposition envoyée")),""))</f>
        <v/>
      </c>
      <c r="AR411" s="106">
        <f>IF(C411="","",IF(AQ411="","",AQ411+'Paramètres'!$B$26))</f>
        <v/>
      </c>
      <c r="AS411" s="62">
        <f>IF(OR(C411="",D411="Gagné",D411="Perdu"),0,N(AP411)*IFERROR(INDEX('Paramètres'!$G$6:$G$13,MATCH(D411,'Paramètres'!$F$6:$F$13,0)),0))</f>
        <v/>
      </c>
      <c r="AT411" s="106">
        <f>IF(C411="","",IFERROR(1/(1/_xlfn.MINIFS('Saisie'!$A$5:$A$2004,'Saisie'!$C$5:$C$2004,C411,'Saisie'!$E$5:$E$2004,"Signature")),""))</f>
        <v/>
      </c>
      <c r="AU411" s="60">
        <f>IF(C411="","",IF(OR(AT411="",B411=""),"",AT411-B411))</f>
        <v/>
      </c>
      <c r="AV411" s="60">
        <f>IF(C411="","",IFERROR(INDEX('Saisie'!$L$5:$L$2004,_xlfn.MAXIFS('Saisie'!$AS$5:$AS$2004,'Saisie'!$C$5:$C$2004,C411,'Saisie'!$L$5:$L$2004,"&lt;&gt;")-4),""))</f>
        <v/>
      </c>
      <c r="AW411" s="106">
        <f>IF(C411="","",IF(D411&lt;&gt;"Perdu","",IFERROR(1/(1/_xlfn.MAXIFS('Saisie'!$A$5:$A$2004,'Saisie'!$C$5:$C$2004,C411,'Saisie'!$E$5:$E$2004,"Perdu")),"")))</f>
        <v/>
      </c>
      <c r="AX411" s="106">
        <f>IF(C411="","",IF(AW411="","",AW411+'Paramètres'!$B$28))</f>
        <v/>
      </c>
      <c r="AY411" s="60">
        <f>IF(C411="","",SUMIFS('Saisie'!$H$5:$H$2004,'Saisie'!$C$5:$C$2004,C411))</f>
        <v/>
      </c>
      <c r="AZ411" s="60">
        <f>IF(C411="","",IFERROR(INDEX('Paramètres'!$W$6:$W$20,MATCH(S411,'Paramètres'!$V$6:$V$20,0))&amp;"",""))</f>
        <v/>
      </c>
      <c r="BA411" s="60">
        <f>IF(C411="","",MAX(1,_xlfn.MAXIFS('Saisie'!$AT$5:$AT$2004,'Saisie'!$C$5:$C$2004,C411)))</f>
        <v/>
      </c>
      <c r="BB411" s="60">
        <f>IF(C411="","",IFERROR(INDEX('Saisie'!$X$5:$X$2004,_xlfn.MAXIFS('Saisie'!$AS$5:$AS$2004,'Saisie'!$C$5:$C$2004,C411,'Saisie'!$X$5:$X$2004,"&lt;&gt;")-4),""))</f>
        <v/>
      </c>
      <c r="BC411" s="60">
        <f>IF(C411="","",IFERROR(INDEX('Saisie'!$Y$5:$Y$2004,_xlfn.MAXIFS('Saisie'!$AS$5:$AS$2004,'Saisie'!$C$5:$C$2004,C411,'Saisie'!$Y$5:$Y$2004,"&lt;&gt;")-4),""))</f>
        <v/>
      </c>
      <c r="BD411" s="106">
        <f>IF(C411="","",IFERROR(1/(1/_xlfn.MINIFS('Saisie'!$A$5:$A$2004,'Saisie'!$C$5:$C$2004,C411,'Saisie'!$AT$5:$AT$2004,"&gt;=2")),""))</f>
        <v/>
      </c>
      <c r="BE411" s="106">
        <f>IF(C411="","",IFERROR(1/(1/_xlfn.MINIFS('Saisie'!$A$5:$A$2004,'Saisie'!$C$5:$C$2004,C411,'Saisie'!$AT$5:$AT$2004,"&gt;=3")),""))</f>
        <v/>
      </c>
      <c r="BF411" s="106">
        <f>IF(C411="","",IFERROR(1/(1/_xlfn.MINIFS('Saisie'!$A$5:$A$2004,'Saisie'!$C$5:$C$2004,C411,'Saisie'!$AT$5:$AT$2004,"&gt;=4")),""))</f>
        <v/>
      </c>
      <c r="BG411" s="106">
        <f>IF(C411="","",IFERROR(1/(1/_xlfn.MINIFS('Saisie'!$A$5:$A$2004,'Saisie'!$C$5:$C$2004,C411,'Saisie'!$AT$5:$AT$2004,"&gt;=5")),""))</f>
        <v/>
      </c>
      <c r="BH411" s="106">
        <f>IF(C411="","",IFERROR(1/(1/_xlfn.MINIFS('Saisie'!$A$5:$A$2004,'Saisie'!$C$5:$C$2004,C411,'Saisie'!$AT$5:$AT$2004,"&gt;=6")),""))</f>
        <v/>
      </c>
      <c r="BI411" s="106">
        <f>IF(C411="","",IFERROR(1/(1/_xlfn.MINIFS('Saisie'!$A$5:$A$2004,'Saisie'!$C$5:$C$2004,C411,'Saisie'!$AT$5:$AT$2004,"&gt;=7")),""))</f>
        <v/>
      </c>
      <c r="BJ411" s="60">
        <f>IF(OR(BD411="",B411=""),"",BD411-B411)</f>
        <v/>
      </c>
      <c r="BK411" s="60">
        <f>IF(OR(BE411="",BD411=""),"",BE411-BD411)</f>
        <v/>
      </c>
      <c r="BL411" s="60">
        <f>IF(OR(BF411="",BE411=""),"",BF411-BE411)</f>
        <v/>
      </c>
      <c r="BM411" s="60">
        <f>IF(OR(BG411="",BF411=""),"",BG411-BF411)</f>
        <v/>
      </c>
      <c r="BN411" s="60">
        <f>IF(OR(BH411="",BG411=""),"",BH411-BG411)</f>
        <v/>
      </c>
      <c r="BO411" s="60">
        <f>IF(OR(BI411="",BH411=""),"",BI411-BH411)</f>
        <v/>
      </c>
      <c r="BP411" s="60">
        <f>IF(C411="","",_xlfn.MAXIFS('Saisie'!$AS$5:$AS$2004,'Saisie'!$C$5:$C$2004,C411,'Saisie'!$J$5:$J$2004,"&lt;&gt;"))</f>
        <v/>
      </c>
      <c r="BQ411" s="60">
        <f>IF(C411="","",_xlfn.MAXIFS('Saisie'!$AS$5:$AS$2004,'Saisie'!$C$5:$C$2004,C411))</f>
        <v/>
      </c>
      <c r="BR411" s="60">
        <f>IF(C411="","",_xlfn.MAXIFS('Saisie'!$AS$5:$AS$2004,'Saisie'!$C$5:$C$2004,C411,'Saisie'!$E$5:$E$2004,"Perdu"))</f>
        <v/>
      </c>
      <c r="BS411" s="60">
        <f>IF(C411="","",_xlfn.MAXIFS('Saisie'!$AS$5:$AS$2004,'Saisie'!$C$5:$C$2004,C411,'Saisie'!$AT$5:$AT$2004,"&gt;0"))</f>
        <v/>
      </c>
      <c r="BT411" s="109">
        <f>IF(AND(C411&lt;&gt;"",OR(D411="Nouveau",D411="Contacté",D411="Qualifié"),OR(G411="",N(G411)&lt;=TODAY()),NOT(AND(O411&gt;='Paramètres'!$B$21,P411=0))),E411+407/10000,"")</f>
        <v/>
      </c>
      <c r="BU411" s="60">
        <f>IF(AND(G411&lt;&gt;"",N(G411)&lt;=TODAY()),MAX($BU$4:BU410)+1,"")</f>
        <v/>
      </c>
      <c r="BV411" s="60">
        <f>IF(AND(F411&lt;&gt;"",F411&lt;&gt;"Relance en retard"),MAX($BV$4:BV410)+1,"")</f>
        <v/>
      </c>
      <c r="BW411" s="60">
        <f>IF(C411="","",IF(AND(B411&gt;='Tableau de bord'!$R$4,B411&lt;='Tableau de bord'!$S$4,OR('Tableau de bord'!$G$4="Tous",N411='Tableau de bord'!$G$4)),1,0))</f>
        <v/>
      </c>
      <c r="BX411" s="60">
        <f>IF(AND(C411&lt;&gt;"",N(BA411)=7),MAX($BX$4:BX410)+1,"")</f>
        <v/>
      </c>
    </row>
    <row r="412">
      <c r="A412" s="60">
        <f>IF(C412="","","P-"&amp;TEXT(408,"000"))</f>
        <v/>
      </c>
      <c r="B412" s="106">
        <f>IF(C412="","",IFERROR(1/(1/_xlfn.MINIFS('Saisie'!$A$5:$A$2004,'Saisie'!$C$5:$C$2004,C412)),""))</f>
        <v/>
      </c>
      <c r="C412" s="60">
        <f>IFERROR(INDEX('Saisie'!$C$5:$C$2004,MATCH(408,'Saisie'!$AX$5:$AX$2004,0)),"")</f>
        <v/>
      </c>
      <c r="D412" s="60">
        <f>IF(C412="","",IF(AND(BR412&gt;0,BR412&gt;BS412,BA412&lt;7),"Perdu",INDEX('Paramètres'!$F$6:$F$13,BA412)))</f>
        <v/>
      </c>
      <c r="E412" s="61">
        <f>IF(C412="","",MIN(100,(Z412="Oui")*'Paramètres'!$B$38+(AB412="Régulière")*'Paramètres'!$B$39+IF(AND(N(AA412)&gt;0,TODAY()-N(AA412)&lt;=30),'Paramètres'!$B$40,0)+(W412="")*'Paramètres'!$B$41+(AC412="Absente")*'Paramètres'!$B$42+(AC412="Faible")*'Paramètres'!$B$43+IF(AND(N(AD412)&gt;0,N(AD412)&lt;4),'Paramètres'!$B$44,0)+(AF412="Moyenne")*'Paramètres'!$B$45+(AF412="Grande")*'Paramètres'!$B$46+(Y412&lt;&gt;"")*'Paramètres'!$B$47))</f>
        <v/>
      </c>
      <c r="F412" s="60">
        <f>IF(C412="","",IF(D412="Gagné","",IF(D412="Perdu",IF(AND(AX412&lt;&gt;"",AX412&lt;=TODAY()),"À recontacter (perdu)",""),IF(AND(O412&gt;='Paramètres'!$B$21,P412=0),"Stop : "&amp;'Paramètres'!$B$21&amp;" tentatives sans réponse",IF(AND(D412="Proposition",AR412&lt;&gt;"",TODAY()&gt;N(AR412)),"Proposition expirée",IF(AND(D412="Proposition",N(R412)&gt;='Paramètres'!$B$25),"Proposition sans réponse",IF(AND(G412&lt;&gt;"",N(G412)&lt;TODAY()),"Relance en retard",IF(N(R412)&gt;='Paramètres'!$B$24,"Sans action depuis "&amp;R412&amp;" j",""))))))))</f>
        <v/>
      </c>
      <c r="G412" s="106">
        <f>IF(OR(C412="",D412="Gagné",D412="Perdu"),"",IF(AND(BP412&gt;0,BP412=BQ412),INDEX('Saisie'!$J$5:$J$2004,BP412-4),IF(OR(O412=0,AND(O412&gt;='Paramètres'!$B$21,P412=0)),"",Q412+IF(O412&lt;=1,'Paramètres'!$B$18,IF(O412=2,'Paramètres'!$B$19,'Paramètres'!$B$20)))))</f>
        <v/>
      </c>
      <c r="H412" s="107">
        <f>IF(OR(G412="",BP412&lt;&gt;BQ412),"",IF(INDEX('Saisie'!$K$5:$K$2004,BP412-4)="","",INDEX('Saisie'!$K$5:$K$2004,BP412-4)))</f>
        <v/>
      </c>
      <c r="I412" s="60">
        <f>IF(C412="","",IF(OR(D412="Gagné",D412="Perdu"),"",IFERROR(INDEX('Saisie'!$I$5:$I$2004,_xlfn.MAXIFS('Saisie'!$AS$5:$AS$2004,'Saisie'!$C$5:$C$2004,C412,'Saisie'!$I$5:$I$2004,"&lt;&gt;")-4),"")))</f>
        <v/>
      </c>
      <c r="J412" s="60">
        <f>IF(C412="","",IFERROR(INDEX('Saisie'!$U$5:$U$2004,_xlfn.MAXIFS('Saisie'!$AS$5:$AS$2004,'Saisie'!$C$5:$C$2004,C412,'Saisie'!$U$5:$U$2004,"&lt;&gt;")-4),""))</f>
        <v/>
      </c>
      <c r="K412" s="60">
        <f>IF(C412="","",IFERROR(INDEX('Saisie'!$W$5:$W$2004,_xlfn.MAXIFS('Saisie'!$AS$5:$AS$2004,'Saisie'!$C$5:$C$2004,C412,'Saisie'!$W$5:$W$2004,"&lt;&gt;")-4),""))</f>
        <v/>
      </c>
      <c r="L412" s="60">
        <f>IF(IF(BB412&lt;&gt;"",BB412,K412)="","",HYPERLINK("https://wa.me/"&amp;IF(LEFT(SUBSTITUTE(SUBSTITUTE(SUBSTITUTE(IF(BB412&lt;&gt;"",BB412,K412)," ",""),".",""),"+",""),1)="0",'Paramètres'!$B$35&amp;MID(SUBSTITUTE(SUBSTITUTE(SUBSTITUTE(IF(BB412&lt;&gt;"",BB412,K412)," ",""),".",""),"+",""),2,20),SUBSTITUTE(SUBSTITUTE(SUBSTITUTE(IF(BB412&lt;&gt;"",BB412,K412)," ",""),".",""),"+","")),"WhatsApp"))</f>
        <v/>
      </c>
      <c r="M412" s="60">
        <f>IF(BC412="","",HYPERLINK(IF(LEFT(BC412,4)="http",BC412,"https://www.instagram.com/"&amp;SUBSTITUTE(SUBSTITUTE(BC412,"@","")," ","")),BC412))</f>
        <v/>
      </c>
      <c r="N412" s="60">
        <f>IF(C412="","",IFERROR(INDEX('Saisie'!$D$5:$D$2004,_xlfn.MINIFS('Saisie'!$AS$5:$AS$2004,'Saisie'!$C$5:$C$2004,C412,'Saisie'!$AU$5:$AU$2004,1)-4),IFERROR(INDEX('Saisie'!$D$5:$D$2004,_xlfn.MINIFS('Saisie'!$AS$5:$AS$2004,'Saisie'!$C$5:$C$2004,C412,'Saisie'!$D$5:$D$2004,"&lt;&gt;")-4),"")))</f>
        <v/>
      </c>
      <c r="O412" s="60">
        <f>IF(C412="","",COUNTIFS('Saisie'!$C$5:$C$2004,C412,'Saisie'!$AU$5:$AU$2004,1))</f>
        <v/>
      </c>
      <c r="P412" s="60">
        <f>IF(C412="","",COUNTIFS('Saisie'!$C$5:$C$2004,C412,'Saisie'!$AV$5:$AV$2004,1))</f>
        <v/>
      </c>
      <c r="Q412" s="106">
        <f>IF(C412="","",IFERROR(1/(1/_xlfn.MAXIFS('Saisie'!$A$5:$A$2004,'Saisie'!$C$5:$C$2004,C412)),""))</f>
        <v/>
      </c>
      <c r="R412" s="61">
        <f>IF(C412="","",IF(Q412="","",TODAY()-Q412))</f>
        <v/>
      </c>
      <c r="S412" s="60">
        <f>IF(C412="","",IFERROR(INDEX('Saisie'!$R$5:$R$2004,_xlfn.MAXIFS('Saisie'!$AS$5:$AS$2004,'Saisie'!$C$5:$C$2004,C412,'Saisie'!$R$5:$R$2004,"&lt;&gt;")-4),""))</f>
        <v/>
      </c>
      <c r="T412" s="60">
        <f>IF(C412="","",IFERROR(INDEX('Saisie'!$S$5:$S$2004,_xlfn.MAXIFS('Saisie'!$AS$5:$AS$2004,'Saisie'!$C$5:$C$2004,C412,'Saisie'!$S$5:$S$2004,"&lt;&gt;")-4),""))</f>
        <v/>
      </c>
      <c r="U412" s="60">
        <f>IF(C412="","",IFERROR(INDEX('Saisie'!$T$5:$T$2004,_xlfn.MAXIFS('Saisie'!$AS$5:$AS$2004,'Saisie'!$C$5:$C$2004,C412,'Saisie'!$T$5:$T$2004,"&lt;&gt;")-4),""))</f>
        <v/>
      </c>
      <c r="V412" s="60">
        <f>IF(C412="","",IFERROR(INDEX('Saisie'!$V$5:$V$2004,_xlfn.MAXIFS('Saisie'!$AS$5:$AS$2004,'Saisie'!$C$5:$C$2004,C412,'Saisie'!$V$5:$V$2004,"&lt;&gt;")-4),""))</f>
        <v/>
      </c>
      <c r="W412" s="60">
        <f>IF(C412="","",IFERROR(INDEX('Saisie'!$Z$5:$Z$2004,_xlfn.MAXIFS('Saisie'!$AS$5:$AS$2004,'Saisie'!$C$5:$C$2004,C412,'Saisie'!$Z$5:$Z$2004,"&lt;&gt;")-4),""))</f>
        <v/>
      </c>
      <c r="X412" s="60">
        <f>IF(C412="","",IFERROR(INDEX('Saisie'!$AA$5:$AA$2004,_xlfn.MAXIFS('Saisie'!$AS$5:$AS$2004,'Saisie'!$C$5:$C$2004,C412,'Saisie'!$AA$5:$AA$2004,"&lt;&gt;")-4),""))</f>
        <v/>
      </c>
      <c r="Y412" s="60">
        <f>IF(C412="","",IFERROR(INDEX('Saisie'!$AB$5:$AB$2004,_xlfn.MAXIFS('Saisie'!$AS$5:$AS$2004,'Saisie'!$C$5:$C$2004,C412,'Saisie'!$AB$5:$AB$2004,"&lt;&gt;")-4),""))</f>
        <v/>
      </c>
      <c r="Z412" s="60">
        <f>IF(C412="","",IFERROR(INDEX('Saisie'!$AC$5:$AC$2004,_xlfn.MAXIFS('Saisie'!$AS$5:$AS$2004,'Saisie'!$C$5:$C$2004,C412,'Saisie'!$AC$5:$AC$2004,"&lt;&gt;")-4),""))</f>
        <v/>
      </c>
      <c r="AA412" s="106">
        <f>IF(C412="","",IFERROR(INDEX('Saisie'!$AD$5:$AD$2004,_xlfn.MAXIFS('Saisie'!$AS$5:$AS$2004,'Saisie'!$C$5:$C$2004,C412,'Saisie'!$AD$5:$AD$2004,"&lt;&gt;")-4),""))</f>
        <v/>
      </c>
      <c r="AB412" s="60">
        <f>IF(C412="","",IFERROR(INDEX('Saisie'!$AE$5:$AE$2004,_xlfn.MAXIFS('Saisie'!$AS$5:$AS$2004,'Saisie'!$C$5:$C$2004,C412,'Saisie'!$AE$5:$AE$2004,"&lt;&gt;")-4),""))</f>
        <v/>
      </c>
      <c r="AC412" s="60">
        <f>IF(C412="","",IFERROR(INDEX('Saisie'!$AF$5:$AF$2004,_xlfn.MAXIFS('Saisie'!$AS$5:$AS$2004,'Saisie'!$C$5:$C$2004,C412,'Saisie'!$AF$5:$AF$2004,"&lt;&gt;")-4),""))</f>
        <v/>
      </c>
      <c r="AD412" s="108">
        <f>IF(C412="","",IFERROR(INDEX('Saisie'!$AG$5:$AG$2004,_xlfn.MAXIFS('Saisie'!$AS$5:$AS$2004,'Saisie'!$C$5:$C$2004,C412,'Saisie'!$AG$5:$AG$2004,"&lt;&gt;")-4),""))</f>
        <v/>
      </c>
      <c r="AE412" s="60">
        <f>IF(C412="","",IFERROR(INDEX('Saisie'!$AH$5:$AH$2004,_xlfn.MAXIFS('Saisie'!$AS$5:$AS$2004,'Saisie'!$C$5:$C$2004,C412,'Saisie'!$AH$5:$AH$2004,"&lt;&gt;")-4),""))</f>
        <v/>
      </c>
      <c r="AF412" s="60">
        <f>IF(C412="","",IFERROR(INDEX('Saisie'!$AI$5:$AI$2004,_xlfn.MAXIFS('Saisie'!$AS$5:$AS$2004,'Saisie'!$C$5:$C$2004,C412,'Saisie'!$AI$5:$AI$2004,"&lt;&gt;")-4),""))</f>
        <v/>
      </c>
      <c r="AG412" s="60">
        <f>IF(C412="","",IFERROR(INDEX('Saisie'!$AJ$5:$AJ$2004,_xlfn.MAXIFS('Saisie'!$AS$5:$AS$2004,'Saisie'!$C$5:$C$2004,C412,'Saisie'!$AJ$5:$AJ$2004,"&lt;&gt;")-4),""))</f>
        <v/>
      </c>
      <c r="AH412" s="60">
        <f>IF(C412="","",IFERROR(INDEX('Saisie'!$AK$5:$AK$2004,_xlfn.MAXIFS('Saisie'!$AS$5:$AS$2004,'Saisie'!$C$5:$C$2004,C412,'Saisie'!$AK$5:$AK$2004,"&lt;&gt;")-4),""))</f>
        <v/>
      </c>
      <c r="AI412" s="60">
        <f>IF(C412="","",IFERROR(INDEX('Saisie'!$AN$5:$AN$2004,_xlfn.MAXIFS('Saisie'!$AS$5:$AS$2004,'Saisie'!$C$5:$C$2004,C412,'Saisie'!$AN$5:$AN$2004,"&lt;&gt;")-4),""))</f>
        <v/>
      </c>
      <c r="AJ412" s="60">
        <f>IF(C412="","",IFERROR(INDEX('Saisie'!$AO$5:$AO$2004,_xlfn.MAXIFS('Saisie'!$AS$5:$AS$2004,'Saisie'!$C$5:$C$2004,C412,'Saisie'!$AO$5:$AO$2004,"&lt;&gt;")-4),""))</f>
        <v/>
      </c>
      <c r="AK412" s="60">
        <f>IF(C412="","",IFERROR(INDEX('Saisie'!$AP$5:$AP$2004,_xlfn.MAXIFS('Saisie'!$AS$5:$AS$2004,'Saisie'!$C$5:$C$2004,C412,'Saisie'!$AP$5:$AP$2004,"&lt;&gt;")-4),""))</f>
        <v/>
      </c>
      <c r="AL412" s="60">
        <f>IF(C412="","",IFERROR(INDEX('Saisie'!$AQ$5:$AQ$2004,_xlfn.MAXIFS('Saisie'!$AS$5:$AS$2004,'Saisie'!$C$5:$C$2004,C412,'Saisie'!$AQ$5:$AQ$2004,"&lt;&gt;")-4),""))</f>
        <v/>
      </c>
      <c r="AM412" s="60">
        <f>IF(C412="","",((AI412="Oui")+(AJ412="Oui")+(AK412="Oui")+OR(AL412="Immédiat",AL412="&lt; 1 mois"))&amp;"/4")</f>
        <v/>
      </c>
      <c r="AN412" s="60">
        <f>IF(C412="","",IFERROR(INDEX('Saisie'!$AL$5:$AL$2004,_xlfn.MAXIFS('Saisie'!$AS$5:$AS$2004,'Saisie'!$C$5:$C$2004,C412,'Saisie'!$AL$5:$AL$2004,"&lt;&gt;")-4),""))</f>
        <v/>
      </c>
      <c r="AO412" s="62">
        <f>IF(C412="","",IF(IFERROR(INDEX('Saisie'!$AM$5:$AM$2004,_xlfn.MAXIFS('Saisie'!$AS$5:$AS$2004,'Saisie'!$C$5:$C$2004,C412,'Saisie'!$AM$5:$AM$2004,"&lt;&gt;")-4),"")&lt;&gt;"",IFERROR(INDEX('Saisie'!$AM$5:$AM$2004,_xlfn.MAXIFS('Saisie'!$AS$5:$AS$2004,'Saisie'!$C$5:$C$2004,C412,'Saisie'!$AM$5:$AM$2004,"&lt;&gt;")-4),""),IFERROR(INDEX('Paramètres'!$S$6:$S$15,MATCH(AN412,'Paramètres'!$Q$6:$Q$15,0)),"")))</f>
        <v/>
      </c>
      <c r="AP412" s="62">
        <f>IF(C412="","",IFERROR(INDEX('Saisie'!$AW$5:$AW$2004,_xlfn.MAXIFS('Saisie'!$AS$5:$AS$2004,'Saisie'!$C$5:$C$2004,C412,'Saisie'!$E$5:$E$2004,"Proposition envoyée")-4),""))</f>
        <v/>
      </c>
      <c r="AQ412" s="106">
        <f>IF(C412="","",IFERROR(1/(1/_xlfn.MAXIFS('Saisie'!$A$5:$A$2004,'Saisie'!$C$5:$C$2004,C412,'Saisie'!$E$5:$E$2004,"Proposition envoyée")),""))</f>
        <v/>
      </c>
      <c r="AR412" s="106">
        <f>IF(C412="","",IF(AQ412="","",AQ412+'Paramètres'!$B$26))</f>
        <v/>
      </c>
      <c r="AS412" s="62">
        <f>IF(OR(C412="",D412="Gagné",D412="Perdu"),0,N(AP412)*IFERROR(INDEX('Paramètres'!$G$6:$G$13,MATCH(D412,'Paramètres'!$F$6:$F$13,0)),0))</f>
        <v/>
      </c>
      <c r="AT412" s="106">
        <f>IF(C412="","",IFERROR(1/(1/_xlfn.MINIFS('Saisie'!$A$5:$A$2004,'Saisie'!$C$5:$C$2004,C412,'Saisie'!$E$5:$E$2004,"Signature")),""))</f>
        <v/>
      </c>
      <c r="AU412" s="60">
        <f>IF(C412="","",IF(OR(AT412="",B412=""),"",AT412-B412))</f>
        <v/>
      </c>
      <c r="AV412" s="60">
        <f>IF(C412="","",IFERROR(INDEX('Saisie'!$L$5:$L$2004,_xlfn.MAXIFS('Saisie'!$AS$5:$AS$2004,'Saisie'!$C$5:$C$2004,C412,'Saisie'!$L$5:$L$2004,"&lt;&gt;")-4),""))</f>
        <v/>
      </c>
      <c r="AW412" s="106">
        <f>IF(C412="","",IF(D412&lt;&gt;"Perdu","",IFERROR(1/(1/_xlfn.MAXIFS('Saisie'!$A$5:$A$2004,'Saisie'!$C$5:$C$2004,C412,'Saisie'!$E$5:$E$2004,"Perdu")),"")))</f>
        <v/>
      </c>
      <c r="AX412" s="106">
        <f>IF(C412="","",IF(AW412="","",AW412+'Paramètres'!$B$28))</f>
        <v/>
      </c>
      <c r="AY412" s="60">
        <f>IF(C412="","",SUMIFS('Saisie'!$H$5:$H$2004,'Saisie'!$C$5:$C$2004,C412))</f>
        <v/>
      </c>
      <c r="AZ412" s="60">
        <f>IF(C412="","",IFERROR(INDEX('Paramètres'!$W$6:$W$20,MATCH(S412,'Paramètres'!$V$6:$V$20,0))&amp;"",""))</f>
        <v/>
      </c>
      <c r="BA412" s="60">
        <f>IF(C412="","",MAX(1,_xlfn.MAXIFS('Saisie'!$AT$5:$AT$2004,'Saisie'!$C$5:$C$2004,C412)))</f>
        <v/>
      </c>
      <c r="BB412" s="60">
        <f>IF(C412="","",IFERROR(INDEX('Saisie'!$X$5:$X$2004,_xlfn.MAXIFS('Saisie'!$AS$5:$AS$2004,'Saisie'!$C$5:$C$2004,C412,'Saisie'!$X$5:$X$2004,"&lt;&gt;")-4),""))</f>
        <v/>
      </c>
      <c r="BC412" s="60">
        <f>IF(C412="","",IFERROR(INDEX('Saisie'!$Y$5:$Y$2004,_xlfn.MAXIFS('Saisie'!$AS$5:$AS$2004,'Saisie'!$C$5:$C$2004,C412,'Saisie'!$Y$5:$Y$2004,"&lt;&gt;")-4),""))</f>
        <v/>
      </c>
      <c r="BD412" s="106">
        <f>IF(C412="","",IFERROR(1/(1/_xlfn.MINIFS('Saisie'!$A$5:$A$2004,'Saisie'!$C$5:$C$2004,C412,'Saisie'!$AT$5:$AT$2004,"&gt;=2")),""))</f>
        <v/>
      </c>
      <c r="BE412" s="106">
        <f>IF(C412="","",IFERROR(1/(1/_xlfn.MINIFS('Saisie'!$A$5:$A$2004,'Saisie'!$C$5:$C$2004,C412,'Saisie'!$AT$5:$AT$2004,"&gt;=3")),""))</f>
        <v/>
      </c>
      <c r="BF412" s="106">
        <f>IF(C412="","",IFERROR(1/(1/_xlfn.MINIFS('Saisie'!$A$5:$A$2004,'Saisie'!$C$5:$C$2004,C412,'Saisie'!$AT$5:$AT$2004,"&gt;=4")),""))</f>
        <v/>
      </c>
      <c r="BG412" s="106">
        <f>IF(C412="","",IFERROR(1/(1/_xlfn.MINIFS('Saisie'!$A$5:$A$2004,'Saisie'!$C$5:$C$2004,C412,'Saisie'!$AT$5:$AT$2004,"&gt;=5")),""))</f>
        <v/>
      </c>
      <c r="BH412" s="106">
        <f>IF(C412="","",IFERROR(1/(1/_xlfn.MINIFS('Saisie'!$A$5:$A$2004,'Saisie'!$C$5:$C$2004,C412,'Saisie'!$AT$5:$AT$2004,"&gt;=6")),""))</f>
        <v/>
      </c>
      <c r="BI412" s="106">
        <f>IF(C412="","",IFERROR(1/(1/_xlfn.MINIFS('Saisie'!$A$5:$A$2004,'Saisie'!$C$5:$C$2004,C412,'Saisie'!$AT$5:$AT$2004,"&gt;=7")),""))</f>
        <v/>
      </c>
      <c r="BJ412" s="60">
        <f>IF(OR(BD412="",B412=""),"",BD412-B412)</f>
        <v/>
      </c>
      <c r="BK412" s="60">
        <f>IF(OR(BE412="",BD412=""),"",BE412-BD412)</f>
        <v/>
      </c>
      <c r="BL412" s="60">
        <f>IF(OR(BF412="",BE412=""),"",BF412-BE412)</f>
        <v/>
      </c>
      <c r="BM412" s="60">
        <f>IF(OR(BG412="",BF412=""),"",BG412-BF412)</f>
        <v/>
      </c>
      <c r="BN412" s="60">
        <f>IF(OR(BH412="",BG412=""),"",BH412-BG412)</f>
        <v/>
      </c>
      <c r="BO412" s="60">
        <f>IF(OR(BI412="",BH412=""),"",BI412-BH412)</f>
        <v/>
      </c>
      <c r="BP412" s="60">
        <f>IF(C412="","",_xlfn.MAXIFS('Saisie'!$AS$5:$AS$2004,'Saisie'!$C$5:$C$2004,C412,'Saisie'!$J$5:$J$2004,"&lt;&gt;"))</f>
        <v/>
      </c>
      <c r="BQ412" s="60">
        <f>IF(C412="","",_xlfn.MAXIFS('Saisie'!$AS$5:$AS$2004,'Saisie'!$C$5:$C$2004,C412))</f>
        <v/>
      </c>
      <c r="BR412" s="60">
        <f>IF(C412="","",_xlfn.MAXIFS('Saisie'!$AS$5:$AS$2004,'Saisie'!$C$5:$C$2004,C412,'Saisie'!$E$5:$E$2004,"Perdu"))</f>
        <v/>
      </c>
      <c r="BS412" s="60">
        <f>IF(C412="","",_xlfn.MAXIFS('Saisie'!$AS$5:$AS$2004,'Saisie'!$C$5:$C$2004,C412,'Saisie'!$AT$5:$AT$2004,"&gt;0"))</f>
        <v/>
      </c>
      <c r="BT412" s="109">
        <f>IF(AND(C412&lt;&gt;"",OR(D412="Nouveau",D412="Contacté",D412="Qualifié"),OR(G412="",N(G412)&lt;=TODAY()),NOT(AND(O412&gt;='Paramètres'!$B$21,P412=0))),E412+408/10000,"")</f>
        <v/>
      </c>
      <c r="BU412" s="60">
        <f>IF(AND(G412&lt;&gt;"",N(G412)&lt;=TODAY()),MAX($BU$4:BU411)+1,"")</f>
        <v/>
      </c>
      <c r="BV412" s="60">
        <f>IF(AND(F412&lt;&gt;"",F412&lt;&gt;"Relance en retard"),MAX($BV$4:BV411)+1,"")</f>
        <v/>
      </c>
      <c r="BW412" s="60">
        <f>IF(C412="","",IF(AND(B412&gt;='Tableau de bord'!$R$4,B412&lt;='Tableau de bord'!$S$4,OR('Tableau de bord'!$G$4="Tous",N412='Tableau de bord'!$G$4)),1,0))</f>
        <v/>
      </c>
      <c r="BX412" s="60">
        <f>IF(AND(C412&lt;&gt;"",N(BA412)=7),MAX($BX$4:BX411)+1,"")</f>
        <v/>
      </c>
    </row>
    <row r="413">
      <c r="A413" s="60">
        <f>IF(C413="","","P-"&amp;TEXT(409,"000"))</f>
        <v/>
      </c>
      <c r="B413" s="106">
        <f>IF(C413="","",IFERROR(1/(1/_xlfn.MINIFS('Saisie'!$A$5:$A$2004,'Saisie'!$C$5:$C$2004,C413)),""))</f>
        <v/>
      </c>
      <c r="C413" s="60">
        <f>IFERROR(INDEX('Saisie'!$C$5:$C$2004,MATCH(409,'Saisie'!$AX$5:$AX$2004,0)),"")</f>
        <v/>
      </c>
      <c r="D413" s="60">
        <f>IF(C413="","",IF(AND(BR413&gt;0,BR413&gt;BS413,BA413&lt;7),"Perdu",INDEX('Paramètres'!$F$6:$F$13,BA413)))</f>
        <v/>
      </c>
      <c r="E413" s="61">
        <f>IF(C413="","",MIN(100,(Z413="Oui")*'Paramètres'!$B$38+(AB413="Régulière")*'Paramètres'!$B$39+IF(AND(N(AA413)&gt;0,TODAY()-N(AA413)&lt;=30),'Paramètres'!$B$40,0)+(W413="")*'Paramètres'!$B$41+(AC413="Absente")*'Paramètres'!$B$42+(AC413="Faible")*'Paramètres'!$B$43+IF(AND(N(AD413)&gt;0,N(AD413)&lt;4),'Paramètres'!$B$44,0)+(AF413="Moyenne")*'Paramètres'!$B$45+(AF413="Grande")*'Paramètres'!$B$46+(Y413&lt;&gt;"")*'Paramètres'!$B$47))</f>
        <v/>
      </c>
      <c r="F413" s="60">
        <f>IF(C413="","",IF(D413="Gagné","",IF(D413="Perdu",IF(AND(AX413&lt;&gt;"",AX413&lt;=TODAY()),"À recontacter (perdu)",""),IF(AND(O413&gt;='Paramètres'!$B$21,P413=0),"Stop : "&amp;'Paramètres'!$B$21&amp;" tentatives sans réponse",IF(AND(D413="Proposition",AR413&lt;&gt;"",TODAY()&gt;N(AR413)),"Proposition expirée",IF(AND(D413="Proposition",N(R413)&gt;='Paramètres'!$B$25),"Proposition sans réponse",IF(AND(G413&lt;&gt;"",N(G413)&lt;TODAY()),"Relance en retard",IF(N(R413)&gt;='Paramètres'!$B$24,"Sans action depuis "&amp;R413&amp;" j",""))))))))</f>
        <v/>
      </c>
      <c r="G413" s="106">
        <f>IF(OR(C413="",D413="Gagné",D413="Perdu"),"",IF(AND(BP413&gt;0,BP413=BQ413),INDEX('Saisie'!$J$5:$J$2004,BP413-4),IF(OR(O413=0,AND(O413&gt;='Paramètres'!$B$21,P413=0)),"",Q413+IF(O413&lt;=1,'Paramètres'!$B$18,IF(O413=2,'Paramètres'!$B$19,'Paramètres'!$B$20)))))</f>
        <v/>
      </c>
      <c r="H413" s="107">
        <f>IF(OR(G413="",BP413&lt;&gt;BQ413),"",IF(INDEX('Saisie'!$K$5:$K$2004,BP413-4)="","",INDEX('Saisie'!$K$5:$K$2004,BP413-4)))</f>
        <v/>
      </c>
      <c r="I413" s="60">
        <f>IF(C413="","",IF(OR(D413="Gagné",D413="Perdu"),"",IFERROR(INDEX('Saisie'!$I$5:$I$2004,_xlfn.MAXIFS('Saisie'!$AS$5:$AS$2004,'Saisie'!$C$5:$C$2004,C413,'Saisie'!$I$5:$I$2004,"&lt;&gt;")-4),"")))</f>
        <v/>
      </c>
      <c r="J413" s="60">
        <f>IF(C413="","",IFERROR(INDEX('Saisie'!$U$5:$U$2004,_xlfn.MAXIFS('Saisie'!$AS$5:$AS$2004,'Saisie'!$C$5:$C$2004,C413,'Saisie'!$U$5:$U$2004,"&lt;&gt;")-4),""))</f>
        <v/>
      </c>
      <c r="K413" s="60">
        <f>IF(C413="","",IFERROR(INDEX('Saisie'!$W$5:$W$2004,_xlfn.MAXIFS('Saisie'!$AS$5:$AS$2004,'Saisie'!$C$5:$C$2004,C413,'Saisie'!$W$5:$W$2004,"&lt;&gt;")-4),""))</f>
        <v/>
      </c>
      <c r="L413" s="60">
        <f>IF(IF(BB413&lt;&gt;"",BB413,K413)="","",HYPERLINK("https://wa.me/"&amp;IF(LEFT(SUBSTITUTE(SUBSTITUTE(SUBSTITUTE(IF(BB413&lt;&gt;"",BB413,K413)," ",""),".",""),"+",""),1)="0",'Paramètres'!$B$35&amp;MID(SUBSTITUTE(SUBSTITUTE(SUBSTITUTE(IF(BB413&lt;&gt;"",BB413,K413)," ",""),".",""),"+",""),2,20),SUBSTITUTE(SUBSTITUTE(SUBSTITUTE(IF(BB413&lt;&gt;"",BB413,K413)," ",""),".",""),"+","")),"WhatsApp"))</f>
        <v/>
      </c>
      <c r="M413" s="60">
        <f>IF(BC413="","",HYPERLINK(IF(LEFT(BC413,4)="http",BC413,"https://www.instagram.com/"&amp;SUBSTITUTE(SUBSTITUTE(BC413,"@","")," ","")),BC413))</f>
        <v/>
      </c>
      <c r="N413" s="60">
        <f>IF(C413="","",IFERROR(INDEX('Saisie'!$D$5:$D$2004,_xlfn.MINIFS('Saisie'!$AS$5:$AS$2004,'Saisie'!$C$5:$C$2004,C413,'Saisie'!$AU$5:$AU$2004,1)-4),IFERROR(INDEX('Saisie'!$D$5:$D$2004,_xlfn.MINIFS('Saisie'!$AS$5:$AS$2004,'Saisie'!$C$5:$C$2004,C413,'Saisie'!$D$5:$D$2004,"&lt;&gt;")-4),"")))</f>
        <v/>
      </c>
      <c r="O413" s="60">
        <f>IF(C413="","",COUNTIFS('Saisie'!$C$5:$C$2004,C413,'Saisie'!$AU$5:$AU$2004,1))</f>
        <v/>
      </c>
      <c r="P413" s="60">
        <f>IF(C413="","",COUNTIFS('Saisie'!$C$5:$C$2004,C413,'Saisie'!$AV$5:$AV$2004,1))</f>
        <v/>
      </c>
      <c r="Q413" s="106">
        <f>IF(C413="","",IFERROR(1/(1/_xlfn.MAXIFS('Saisie'!$A$5:$A$2004,'Saisie'!$C$5:$C$2004,C413)),""))</f>
        <v/>
      </c>
      <c r="R413" s="61">
        <f>IF(C413="","",IF(Q413="","",TODAY()-Q413))</f>
        <v/>
      </c>
      <c r="S413" s="60">
        <f>IF(C413="","",IFERROR(INDEX('Saisie'!$R$5:$R$2004,_xlfn.MAXIFS('Saisie'!$AS$5:$AS$2004,'Saisie'!$C$5:$C$2004,C413,'Saisie'!$R$5:$R$2004,"&lt;&gt;")-4),""))</f>
        <v/>
      </c>
      <c r="T413" s="60">
        <f>IF(C413="","",IFERROR(INDEX('Saisie'!$S$5:$S$2004,_xlfn.MAXIFS('Saisie'!$AS$5:$AS$2004,'Saisie'!$C$5:$C$2004,C413,'Saisie'!$S$5:$S$2004,"&lt;&gt;")-4),""))</f>
        <v/>
      </c>
      <c r="U413" s="60">
        <f>IF(C413="","",IFERROR(INDEX('Saisie'!$T$5:$T$2004,_xlfn.MAXIFS('Saisie'!$AS$5:$AS$2004,'Saisie'!$C$5:$C$2004,C413,'Saisie'!$T$5:$T$2004,"&lt;&gt;")-4),""))</f>
        <v/>
      </c>
      <c r="V413" s="60">
        <f>IF(C413="","",IFERROR(INDEX('Saisie'!$V$5:$V$2004,_xlfn.MAXIFS('Saisie'!$AS$5:$AS$2004,'Saisie'!$C$5:$C$2004,C413,'Saisie'!$V$5:$V$2004,"&lt;&gt;")-4),""))</f>
        <v/>
      </c>
      <c r="W413" s="60">
        <f>IF(C413="","",IFERROR(INDEX('Saisie'!$Z$5:$Z$2004,_xlfn.MAXIFS('Saisie'!$AS$5:$AS$2004,'Saisie'!$C$5:$C$2004,C413,'Saisie'!$Z$5:$Z$2004,"&lt;&gt;")-4),""))</f>
        <v/>
      </c>
      <c r="X413" s="60">
        <f>IF(C413="","",IFERROR(INDEX('Saisie'!$AA$5:$AA$2004,_xlfn.MAXIFS('Saisie'!$AS$5:$AS$2004,'Saisie'!$C$5:$C$2004,C413,'Saisie'!$AA$5:$AA$2004,"&lt;&gt;")-4),""))</f>
        <v/>
      </c>
      <c r="Y413" s="60">
        <f>IF(C413="","",IFERROR(INDEX('Saisie'!$AB$5:$AB$2004,_xlfn.MAXIFS('Saisie'!$AS$5:$AS$2004,'Saisie'!$C$5:$C$2004,C413,'Saisie'!$AB$5:$AB$2004,"&lt;&gt;")-4),""))</f>
        <v/>
      </c>
      <c r="Z413" s="60">
        <f>IF(C413="","",IFERROR(INDEX('Saisie'!$AC$5:$AC$2004,_xlfn.MAXIFS('Saisie'!$AS$5:$AS$2004,'Saisie'!$C$5:$C$2004,C413,'Saisie'!$AC$5:$AC$2004,"&lt;&gt;")-4),""))</f>
        <v/>
      </c>
      <c r="AA413" s="106">
        <f>IF(C413="","",IFERROR(INDEX('Saisie'!$AD$5:$AD$2004,_xlfn.MAXIFS('Saisie'!$AS$5:$AS$2004,'Saisie'!$C$5:$C$2004,C413,'Saisie'!$AD$5:$AD$2004,"&lt;&gt;")-4),""))</f>
        <v/>
      </c>
      <c r="AB413" s="60">
        <f>IF(C413="","",IFERROR(INDEX('Saisie'!$AE$5:$AE$2004,_xlfn.MAXIFS('Saisie'!$AS$5:$AS$2004,'Saisie'!$C$5:$C$2004,C413,'Saisie'!$AE$5:$AE$2004,"&lt;&gt;")-4),""))</f>
        <v/>
      </c>
      <c r="AC413" s="60">
        <f>IF(C413="","",IFERROR(INDEX('Saisie'!$AF$5:$AF$2004,_xlfn.MAXIFS('Saisie'!$AS$5:$AS$2004,'Saisie'!$C$5:$C$2004,C413,'Saisie'!$AF$5:$AF$2004,"&lt;&gt;")-4),""))</f>
        <v/>
      </c>
      <c r="AD413" s="108">
        <f>IF(C413="","",IFERROR(INDEX('Saisie'!$AG$5:$AG$2004,_xlfn.MAXIFS('Saisie'!$AS$5:$AS$2004,'Saisie'!$C$5:$C$2004,C413,'Saisie'!$AG$5:$AG$2004,"&lt;&gt;")-4),""))</f>
        <v/>
      </c>
      <c r="AE413" s="60">
        <f>IF(C413="","",IFERROR(INDEX('Saisie'!$AH$5:$AH$2004,_xlfn.MAXIFS('Saisie'!$AS$5:$AS$2004,'Saisie'!$C$5:$C$2004,C413,'Saisie'!$AH$5:$AH$2004,"&lt;&gt;")-4),""))</f>
        <v/>
      </c>
      <c r="AF413" s="60">
        <f>IF(C413="","",IFERROR(INDEX('Saisie'!$AI$5:$AI$2004,_xlfn.MAXIFS('Saisie'!$AS$5:$AS$2004,'Saisie'!$C$5:$C$2004,C413,'Saisie'!$AI$5:$AI$2004,"&lt;&gt;")-4),""))</f>
        <v/>
      </c>
      <c r="AG413" s="60">
        <f>IF(C413="","",IFERROR(INDEX('Saisie'!$AJ$5:$AJ$2004,_xlfn.MAXIFS('Saisie'!$AS$5:$AS$2004,'Saisie'!$C$5:$C$2004,C413,'Saisie'!$AJ$5:$AJ$2004,"&lt;&gt;")-4),""))</f>
        <v/>
      </c>
      <c r="AH413" s="60">
        <f>IF(C413="","",IFERROR(INDEX('Saisie'!$AK$5:$AK$2004,_xlfn.MAXIFS('Saisie'!$AS$5:$AS$2004,'Saisie'!$C$5:$C$2004,C413,'Saisie'!$AK$5:$AK$2004,"&lt;&gt;")-4),""))</f>
        <v/>
      </c>
      <c r="AI413" s="60">
        <f>IF(C413="","",IFERROR(INDEX('Saisie'!$AN$5:$AN$2004,_xlfn.MAXIFS('Saisie'!$AS$5:$AS$2004,'Saisie'!$C$5:$C$2004,C413,'Saisie'!$AN$5:$AN$2004,"&lt;&gt;")-4),""))</f>
        <v/>
      </c>
      <c r="AJ413" s="60">
        <f>IF(C413="","",IFERROR(INDEX('Saisie'!$AO$5:$AO$2004,_xlfn.MAXIFS('Saisie'!$AS$5:$AS$2004,'Saisie'!$C$5:$C$2004,C413,'Saisie'!$AO$5:$AO$2004,"&lt;&gt;")-4),""))</f>
        <v/>
      </c>
      <c r="AK413" s="60">
        <f>IF(C413="","",IFERROR(INDEX('Saisie'!$AP$5:$AP$2004,_xlfn.MAXIFS('Saisie'!$AS$5:$AS$2004,'Saisie'!$C$5:$C$2004,C413,'Saisie'!$AP$5:$AP$2004,"&lt;&gt;")-4),""))</f>
        <v/>
      </c>
      <c r="AL413" s="60">
        <f>IF(C413="","",IFERROR(INDEX('Saisie'!$AQ$5:$AQ$2004,_xlfn.MAXIFS('Saisie'!$AS$5:$AS$2004,'Saisie'!$C$5:$C$2004,C413,'Saisie'!$AQ$5:$AQ$2004,"&lt;&gt;")-4),""))</f>
        <v/>
      </c>
      <c r="AM413" s="60">
        <f>IF(C413="","",((AI413="Oui")+(AJ413="Oui")+(AK413="Oui")+OR(AL413="Immédiat",AL413="&lt; 1 mois"))&amp;"/4")</f>
        <v/>
      </c>
      <c r="AN413" s="60">
        <f>IF(C413="","",IFERROR(INDEX('Saisie'!$AL$5:$AL$2004,_xlfn.MAXIFS('Saisie'!$AS$5:$AS$2004,'Saisie'!$C$5:$C$2004,C413,'Saisie'!$AL$5:$AL$2004,"&lt;&gt;")-4),""))</f>
        <v/>
      </c>
      <c r="AO413" s="62">
        <f>IF(C413="","",IF(IFERROR(INDEX('Saisie'!$AM$5:$AM$2004,_xlfn.MAXIFS('Saisie'!$AS$5:$AS$2004,'Saisie'!$C$5:$C$2004,C413,'Saisie'!$AM$5:$AM$2004,"&lt;&gt;")-4),"")&lt;&gt;"",IFERROR(INDEX('Saisie'!$AM$5:$AM$2004,_xlfn.MAXIFS('Saisie'!$AS$5:$AS$2004,'Saisie'!$C$5:$C$2004,C413,'Saisie'!$AM$5:$AM$2004,"&lt;&gt;")-4),""),IFERROR(INDEX('Paramètres'!$S$6:$S$15,MATCH(AN413,'Paramètres'!$Q$6:$Q$15,0)),"")))</f>
        <v/>
      </c>
      <c r="AP413" s="62">
        <f>IF(C413="","",IFERROR(INDEX('Saisie'!$AW$5:$AW$2004,_xlfn.MAXIFS('Saisie'!$AS$5:$AS$2004,'Saisie'!$C$5:$C$2004,C413,'Saisie'!$E$5:$E$2004,"Proposition envoyée")-4),""))</f>
        <v/>
      </c>
      <c r="AQ413" s="106">
        <f>IF(C413="","",IFERROR(1/(1/_xlfn.MAXIFS('Saisie'!$A$5:$A$2004,'Saisie'!$C$5:$C$2004,C413,'Saisie'!$E$5:$E$2004,"Proposition envoyée")),""))</f>
        <v/>
      </c>
      <c r="AR413" s="106">
        <f>IF(C413="","",IF(AQ413="","",AQ413+'Paramètres'!$B$26))</f>
        <v/>
      </c>
      <c r="AS413" s="62">
        <f>IF(OR(C413="",D413="Gagné",D413="Perdu"),0,N(AP413)*IFERROR(INDEX('Paramètres'!$G$6:$G$13,MATCH(D413,'Paramètres'!$F$6:$F$13,0)),0))</f>
        <v/>
      </c>
      <c r="AT413" s="106">
        <f>IF(C413="","",IFERROR(1/(1/_xlfn.MINIFS('Saisie'!$A$5:$A$2004,'Saisie'!$C$5:$C$2004,C413,'Saisie'!$E$5:$E$2004,"Signature")),""))</f>
        <v/>
      </c>
      <c r="AU413" s="60">
        <f>IF(C413="","",IF(OR(AT413="",B413=""),"",AT413-B413))</f>
        <v/>
      </c>
      <c r="AV413" s="60">
        <f>IF(C413="","",IFERROR(INDEX('Saisie'!$L$5:$L$2004,_xlfn.MAXIFS('Saisie'!$AS$5:$AS$2004,'Saisie'!$C$5:$C$2004,C413,'Saisie'!$L$5:$L$2004,"&lt;&gt;")-4),""))</f>
        <v/>
      </c>
      <c r="AW413" s="106">
        <f>IF(C413="","",IF(D413&lt;&gt;"Perdu","",IFERROR(1/(1/_xlfn.MAXIFS('Saisie'!$A$5:$A$2004,'Saisie'!$C$5:$C$2004,C413,'Saisie'!$E$5:$E$2004,"Perdu")),"")))</f>
        <v/>
      </c>
      <c r="AX413" s="106">
        <f>IF(C413="","",IF(AW413="","",AW413+'Paramètres'!$B$28))</f>
        <v/>
      </c>
      <c r="AY413" s="60">
        <f>IF(C413="","",SUMIFS('Saisie'!$H$5:$H$2004,'Saisie'!$C$5:$C$2004,C413))</f>
        <v/>
      </c>
      <c r="AZ413" s="60">
        <f>IF(C413="","",IFERROR(INDEX('Paramètres'!$W$6:$W$20,MATCH(S413,'Paramètres'!$V$6:$V$20,0))&amp;"",""))</f>
        <v/>
      </c>
      <c r="BA413" s="60">
        <f>IF(C413="","",MAX(1,_xlfn.MAXIFS('Saisie'!$AT$5:$AT$2004,'Saisie'!$C$5:$C$2004,C413)))</f>
        <v/>
      </c>
      <c r="BB413" s="60">
        <f>IF(C413="","",IFERROR(INDEX('Saisie'!$X$5:$X$2004,_xlfn.MAXIFS('Saisie'!$AS$5:$AS$2004,'Saisie'!$C$5:$C$2004,C413,'Saisie'!$X$5:$X$2004,"&lt;&gt;")-4),""))</f>
        <v/>
      </c>
      <c r="BC413" s="60">
        <f>IF(C413="","",IFERROR(INDEX('Saisie'!$Y$5:$Y$2004,_xlfn.MAXIFS('Saisie'!$AS$5:$AS$2004,'Saisie'!$C$5:$C$2004,C413,'Saisie'!$Y$5:$Y$2004,"&lt;&gt;")-4),""))</f>
        <v/>
      </c>
      <c r="BD413" s="106">
        <f>IF(C413="","",IFERROR(1/(1/_xlfn.MINIFS('Saisie'!$A$5:$A$2004,'Saisie'!$C$5:$C$2004,C413,'Saisie'!$AT$5:$AT$2004,"&gt;=2")),""))</f>
        <v/>
      </c>
      <c r="BE413" s="106">
        <f>IF(C413="","",IFERROR(1/(1/_xlfn.MINIFS('Saisie'!$A$5:$A$2004,'Saisie'!$C$5:$C$2004,C413,'Saisie'!$AT$5:$AT$2004,"&gt;=3")),""))</f>
        <v/>
      </c>
      <c r="BF413" s="106">
        <f>IF(C413="","",IFERROR(1/(1/_xlfn.MINIFS('Saisie'!$A$5:$A$2004,'Saisie'!$C$5:$C$2004,C413,'Saisie'!$AT$5:$AT$2004,"&gt;=4")),""))</f>
        <v/>
      </c>
      <c r="BG413" s="106">
        <f>IF(C413="","",IFERROR(1/(1/_xlfn.MINIFS('Saisie'!$A$5:$A$2004,'Saisie'!$C$5:$C$2004,C413,'Saisie'!$AT$5:$AT$2004,"&gt;=5")),""))</f>
        <v/>
      </c>
      <c r="BH413" s="106">
        <f>IF(C413="","",IFERROR(1/(1/_xlfn.MINIFS('Saisie'!$A$5:$A$2004,'Saisie'!$C$5:$C$2004,C413,'Saisie'!$AT$5:$AT$2004,"&gt;=6")),""))</f>
        <v/>
      </c>
      <c r="BI413" s="106">
        <f>IF(C413="","",IFERROR(1/(1/_xlfn.MINIFS('Saisie'!$A$5:$A$2004,'Saisie'!$C$5:$C$2004,C413,'Saisie'!$AT$5:$AT$2004,"&gt;=7")),""))</f>
        <v/>
      </c>
      <c r="BJ413" s="60">
        <f>IF(OR(BD413="",B413=""),"",BD413-B413)</f>
        <v/>
      </c>
      <c r="BK413" s="60">
        <f>IF(OR(BE413="",BD413=""),"",BE413-BD413)</f>
        <v/>
      </c>
      <c r="BL413" s="60">
        <f>IF(OR(BF413="",BE413=""),"",BF413-BE413)</f>
        <v/>
      </c>
      <c r="BM413" s="60">
        <f>IF(OR(BG413="",BF413=""),"",BG413-BF413)</f>
        <v/>
      </c>
      <c r="BN413" s="60">
        <f>IF(OR(BH413="",BG413=""),"",BH413-BG413)</f>
        <v/>
      </c>
      <c r="BO413" s="60">
        <f>IF(OR(BI413="",BH413=""),"",BI413-BH413)</f>
        <v/>
      </c>
      <c r="BP413" s="60">
        <f>IF(C413="","",_xlfn.MAXIFS('Saisie'!$AS$5:$AS$2004,'Saisie'!$C$5:$C$2004,C413,'Saisie'!$J$5:$J$2004,"&lt;&gt;"))</f>
        <v/>
      </c>
      <c r="BQ413" s="60">
        <f>IF(C413="","",_xlfn.MAXIFS('Saisie'!$AS$5:$AS$2004,'Saisie'!$C$5:$C$2004,C413))</f>
        <v/>
      </c>
      <c r="BR413" s="60">
        <f>IF(C413="","",_xlfn.MAXIFS('Saisie'!$AS$5:$AS$2004,'Saisie'!$C$5:$C$2004,C413,'Saisie'!$E$5:$E$2004,"Perdu"))</f>
        <v/>
      </c>
      <c r="BS413" s="60">
        <f>IF(C413="","",_xlfn.MAXIFS('Saisie'!$AS$5:$AS$2004,'Saisie'!$C$5:$C$2004,C413,'Saisie'!$AT$5:$AT$2004,"&gt;0"))</f>
        <v/>
      </c>
      <c r="BT413" s="109">
        <f>IF(AND(C413&lt;&gt;"",OR(D413="Nouveau",D413="Contacté",D413="Qualifié"),OR(G413="",N(G413)&lt;=TODAY()),NOT(AND(O413&gt;='Paramètres'!$B$21,P413=0))),E413+409/10000,"")</f>
        <v/>
      </c>
      <c r="BU413" s="60">
        <f>IF(AND(G413&lt;&gt;"",N(G413)&lt;=TODAY()),MAX($BU$4:BU412)+1,"")</f>
        <v/>
      </c>
      <c r="BV413" s="60">
        <f>IF(AND(F413&lt;&gt;"",F413&lt;&gt;"Relance en retard"),MAX($BV$4:BV412)+1,"")</f>
        <v/>
      </c>
      <c r="BW413" s="60">
        <f>IF(C413="","",IF(AND(B413&gt;='Tableau de bord'!$R$4,B413&lt;='Tableau de bord'!$S$4,OR('Tableau de bord'!$G$4="Tous",N413='Tableau de bord'!$G$4)),1,0))</f>
        <v/>
      </c>
      <c r="BX413" s="60">
        <f>IF(AND(C413&lt;&gt;"",N(BA413)=7),MAX($BX$4:BX412)+1,"")</f>
        <v/>
      </c>
    </row>
    <row r="414">
      <c r="A414" s="60">
        <f>IF(C414="","","P-"&amp;TEXT(410,"000"))</f>
        <v/>
      </c>
      <c r="B414" s="106">
        <f>IF(C414="","",IFERROR(1/(1/_xlfn.MINIFS('Saisie'!$A$5:$A$2004,'Saisie'!$C$5:$C$2004,C414)),""))</f>
        <v/>
      </c>
      <c r="C414" s="60">
        <f>IFERROR(INDEX('Saisie'!$C$5:$C$2004,MATCH(410,'Saisie'!$AX$5:$AX$2004,0)),"")</f>
        <v/>
      </c>
      <c r="D414" s="60">
        <f>IF(C414="","",IF(AND(BR414&gt;0,BR414&gt;BS414,BA414&lt;7),"Perdu",INDEX('Paramètres'!$F$6:$F$13,BA414)))</f>
        <v/>
      </c>
      <c r="E414" s="61">
        <f>IF(C414="","",MIN(100,(Z414="Oui")*'Paramètres'!$B$38+(AB414="Régulière")*'Paramètres'!$B$39+IF(AND(N(AA414)&gt;0,TODAY()-N(AA414)&lt;=30),'Paramètres'!$B$40,0)+(W414="")*'Paramètres'!$B$41+(AC414="Absente")*'Paramètres'!$B$42+(AC414="Faible")*'Paramètres'!$B$43+IF(AND(N(AD414)&gt;0,N(AD414)&lt;4),'Paramètres'!$B$44,0)+(AF414="Moyenne")*'Paramètres'!$B$45+(AF414="Grande")*'Paramètres'!$B$46+(Y414&lt;&gt;"")*'Paramètres'!$B$47))</f>
        <v/>
      </c>
      <c r="F414" s="60">
        <f>IF(C414="","",IF(D414="Gagné","",IF(D414="Perdu",IF(AND(AX414&lt;&gt;"",AX414&lt;=TODAY()),"À recontacter (perdu)",""),IF(AND(O414&gt;='Paramètres'!$B$21,P414=0),"Stop : "&amp;'Paramètres'!$B$21&amp;" tentatives sans réponse",IF(AND(D414="Proposition",AR414&lt;&gt;"",TODAY()&gt;N(AR414)),"Proposition expirée",IF(AND(D414="Proposition",N(R414)&gt;='Paramètres'!$B$25),"Proposition sans réponse",IF(AND(G414&lt;&gt;"",N(G414)&lt;TODAY()),"Relance en retard",IF(N(R414)&gt;='Paramètres'!$B$24,"Sans action depuis "&amp;R414&amp;" j",""))))))))</f>
        <v/>
      </c>
      <c r="G414" s="106">
        <f>IF(OR(C414="",D414="Gagné",D414="Perdu"),"",IF(AND(BP414&gt;0,BP414=BQ414),INDEX('Saisie'!$J$5:$J$2004,BP414-4),IF(OR(O414=0,AND(O414&gt;='Paramètres'!$B$21,P414=0)),"",Q414+IF(O414&lt;=1,'Paramètres'!$B$18,IF(O414=2,'Paramètres'!$B$19,'Paramètres'!$B$20)))))</f>
        <v/>
      </c>
      <c r="H414" s="107">
        <f>IF(OR(G414="",BP414&lt;&gt;BQ414),"",IF(INDEX('Saisie'!$K$5:$K$2004,BP414-4)="","",INDEX('Saisie'!$K$5:$K$2004,BP414-4)))</f>
        <v/>
      </c>
      <c r="I414" s="60">
        <f>IF(C414="","",IF(OR(D414="Gagné",D414="Perdu"),"",IFERROR(INDEX('Saisie'!$I$5:$I$2004,_xlfn.MAXIFS('Saisie'!$AS$5:$AS$2004,'Saisie'!$C$5:$C$2004,C414,'Saisie'!$I$5:$I$2004,"&lt;&gt;")-4),"")))</f>
        <v/>
      </c>
      <c r="J414" s="60">
        <f>IF(C414="","",IFERROR(INDEX('Saisie'!$U$5:$U$2004,_xlfn.MAXIFS('Saisie'!$AS$5:$AS$2004,'Saisie'!$C$5:$C$2004,C414,'Saisie'!$U$5:$U$2004,"&lt;&gt;")-4),""))</f>
        <v/>
      </c>
      <c r="K414" s="60">
        <f>IF(C414="","",IFERROR(INDEX('Saisie'!$W$5:$W$2004,_xlfn.MAXIFS('Saisie'!$AS$5:$AS$2004,'Saisie'!$C$5:$C$2004,C414,'Saisie'!$W$5:$W$2004,"&lt;&gt;")-4),""))</f>
        <v/>
      </c>
      <c r="L414" s="60">
        <f>IF(IF(BB414&lt;&gt;"",BB414,K414)="","",HYPERLINK("https://wa.me/"&amp;IF(LEFT(SUBSTITUTE(SUBSTITUTE(SUBSTITUTE(IF(BB414&lt;&gt;"",BB414,K414)," ",""),".",""),"+",""),1)="0",'Paramètres'!$B$35&amp;MID(SUBSTITUTE(SUBSTITUTE(SUBSTITUTE(IF(BB414&lt;&gt;"",BB414,K414)," ",""),".",""),"+",""),2,20),SUBSTITUTE(SUBSTITUTE(SUBSTITUTE(IF(BB414&lt;&gt;"",BB414,K414)," ",""),".",""),"+","")),"WhatsApp"))</f>
        <v/>
      </c>
      <c r="M414" s="60">
        <f>IF(BC414="","",HYPERLINK(IF(LEFT(BC414,4)="http",BC414,"https://www.instagram.com/"&amp;SUBSTITUTE(SUBSTITUTE(BC414,"@","")," ","")),BC414))</f>
        <v/>
      </c>
      <c r="N414" s="60">
        <f>IF(C414="","",IFERROR(INDEX('Saisie'!$D$5:$D$2004,_xlfn.MINIFS('Saisie'!$AS$5:$AS$2004,'Saisie'!$C$5:$C$2004,C414,'Saisie'!$AU$5:$AU$2004,1)-4),IFERROR(INDEX('Saisie'!$D$5:$D$2004,_xlfn.MINIFS('Saisie'!$AS$5:$AS$2004,'Saisie'!$C$5:$C$2004,C414,'Saisie'!$D$5:$D$2004,"&lt;&gt;")-4),"")))</f>
        <v/>
      </c>
      <c r="O414" s="60">
        <f>IF(C414="","",COUNTIFS('Saisie'!$C$5:$C$2004,C414,'Saisie'!$AU$5:$AU$2004,1))</f>
        <v/>
      </c>
      <c r="P414" s="60">
        <f>IF(C414="","",COUNTIFS('Saisie'!$C$5:$C$2004,C414,'Saisie'!$AV$5:$AV$2004,1))</f>
        <v/>
      </c>
      <c r="Q414" s="106">
        <f>IF(C414="","",IFERROR(1/(1/_xlfn.MAXIFS('Saisie'!$A$5:$A$2004,'Saisie'!$C$5:$C$2004,C414)),""))</f>
        <v/>
      </c>
      <c r="R414" s="61">
        <f>IF(C414="","",IF(Q414="","",TODAY()-Q414))</f>
        <v/>
      </c>
      <c r="S414" s="60">
        <f>IF(C414="","",IFERROR(INDEX('Saisie'!$R$5:$R$2004,_xlfn.MAXIFS('Saisie'!$AS$5:$AS$2004,'Saisie'!$C$5:$C$2004,C414,'Saisie'!$R$5:$R$2004,"&lt;&gt;")-4),""))</f>
        <v/>
      </c>
      <c r="T414" s="60">
        <f>IF(C414="","",IFERROR(INDEX('Saisie'!$S$5:$S$2004,_xlfn.MAXIFS('Saisie'!$AS$5:$AS$2004,'Saisie'!$C$5:$C$2004,C414,'Saisie'!$S$5:$S$2004,"&lt;&gt;")-4),""))</f>
        <v/>
      </c>
      <c r="U414" s="60">
        <f>IF(C414="","",IFERROR(INDEX('Saisie'!$T$5:$T$2004,_xlfn.MAXIFS('Saisie'!$AS$5:$AS$2004,'Saisie'!$C$5:$C$2004,C414,'Saisie'!$T$5:$T$2004,"&lt;&gt;")-4),""))</f>
        <v/>
      </c>
      <c r="V414" s="60">
        <f>IF(C414="","",IFERROR(INDEX('Saisie'!$V$5:$V$2004,_xlfn.MAXIFS('Saisie'!$AS$5:$AS$2004,'Saisie'!$C$5:$C$2004,C414,'Saisie'!$V$5:$V$2004,"&lt;&gt;")-4),""))</f>
        <v/>
      </c>
      <c r="W414" s="60">
        <f>IF(C414="","",IFERROR(INDEX('Saisie'!$Z$5:$Z$2004,_xlfn.MAXIFS('Saisie'!$AS$5:$AS$2004,'Saisie'!$C$5:$C$2004,C414,'Saisie'!$Z$5:$Z$2004,"&lt;&gt;")-4),""))</f>
        <v/>
      </c>
      <c r="X414" s="60">
        <f>IF(C414="","",IFERROR(INDEX('Saisie'!$AA$5:$AA$2004,_xlfn.MAXIFS('Saisie'!$AS$5:$AS$2004,'Saisie'!$C$5:$C$2004,C414,'Saisie'!$AA$5:$AA$2004,"&lt;&gt;")-4),""))</f>
        <v/>
      </c>
      <c r="Y414" s="60">
        <f>IF(C414="","",IFERROR(INDEX('Saisie'!$AB$5:$AB$2004,_xlfn.MAXIFS('Saisie'!$AS$5:$AS$2004,'Saisie'!$C$5:$C$2004,C414,'Saisie'!$AB$5:$AB$2004,"&lt;&gt;")-4),""))</f>
        <v/>
      </c>
      <c r="Z414" s="60">
        <f>IF(C414="","",IFERROR(INDEX('Saisie'!$AC$5:$AC$2004,_xlfn.MAXIFS('Saisie'!$AS$5:$AS$2004,'Saisie'!$C$5:$C$2004,C414,'Saisie'!$AC$5:$AC$2004,"&lt;&gt;")-4),""))</f>
        <v/>
      </c>
      <c r="AA414" s="106">
        <f>IF(C414="","",IFERROR(INDEX('Saisie'!$AD$5:$AD$2004,_xlfn.MAXIFS('Saisie'!$AS$5:$AS$2004,'Saisie'!$C$5:$C$2004,C414,'Saisie'!$AD$5:$AD$2004,"&lt;&gt;")-4),""))</f>
        <v/>
      </c>
      <c r="AB414" s="60">
        <f>IF(C414="","",IFERROR(INDEX('Saisie'!$AE$5:$AE$2004,_xlfn.MAXIFS('Saisie'!$AS$5:$AS$2004,'Saisie'!$C$5:$C$2004,C414,'Saisie'!$AE$5:$AE$2004,"&lt;&gt;")-4),""))</f>
        <v/>
      </c>
      <c r="AC414" s="60">
        <f>IF(C414="","",IFERROR(INDEX('Saisie'!$AF$5:$AF$2004,_xlfn.MAXIFS('Saisie'!$AS$5:$AS$2004,'Saisie'!$C$5:$C$2004,C414,'Saisie'!$AF$5:$AF$2004,"&lt;&gt;")-4),""))</f>
        <v/>
      </c>
      <c r="AD414" s="108">
        <f>IF(C414="","",IFERROR(INDEX('Saisie'!$AG$5:$AG$2004,_xlfn.MAXIFS('Saisie'!$AS$5:$AS$2004,'Saisie'!$C$5:$C$2004,C414,'Saisie'!$AG$5:$AG$2004,"&lt;&gt;")-4),""))</f>
        <v/>
      </c>
      <c r="AE414" s="60">
        <f>IF(C414="","",IFERROR(INDEX('Saisie'!$AH$5:$AH$2004,_xlfn.MAXIFS('Saisie'!$AS$5:$AS$2004,'Saisie'!$C$5:$C$2004,C414,'Saisie'!$AH$5:$AH$2004,"&lt;&gt;")-4),""))</f>
        <v/>
      </c>
      <c r="AF414" s="60">
        <f>IF(C414="","",IFERROR(INDEX('Saisie'!$AI$5:$AI$2004,_xlfn.MAXIFS('Saisie'!$AS$5:$AS$2004,'Saisie'!$C$5:$C$2004,C414,'Saisie'!$AI$5:$AI$2004,"&lt;&gt;")-4),""))</f>
        <v/>
      </c>
      <c r="AG414" s="60">
        <f>IF(C414="","",IFERROR(INDEX('Saisie'!$AJ$5:$AJ$2004,_xlfn.MAXIFS('Saisie'!$AS$5:$AS$2004,'Saisie'!$C$5:$C$2004,C414,'Saisie'!$AJ$5:$AJ$2004,"&lt;&gt;")-4),""))</f>
        <v/>
      </c>
      <c r="AH414" s="60">
        <f>IF(C414="","",IFERROR(INDEX('Saisie'!$AK$5:$AK$2004,_xlfn.MAXIFS('Saisie'!$AS$5:$AS$2004,'Saisie'!$C$5:$C$2004,C414,'Saisie'!$AK$5:$AK$2004,"&lt;&gt;")-4),""))</f>
        <v/>
      </c>
      <c r="AI414" s="60">
        <f>IF(C414="","",IFERROR(INDEX('Saisie'!$AN$5:$AN$2004,_xlfn.MAXIFS('Saisie'!$AS$5:$AS$2004,'Saisie'!$C$5:$C$2004,C414,'Saisie'!$AN$5:$AN$2004,"&lt;&gt;")-4),""))</f>
        <v/>
      </c>
      <c r="AJ414" s="60">
        <f>IF(C414="","",IFERROR(INDEX('Saisie'!$AO$5:$AO$2004,_xlfn.MAXIFS('Saisie'!$AS$5:$AS$2004,'Saisie'!$C$5:$C$2004,C414,'Saisie'!$AO$5:$AO$2004,"&lt;&gt;")-4),""))</f>
        <v/>
      </c>
      <c r="AK414" s="60">
        <f>IF(C414="","",IFERROR(INDEX('Saisie'!$AP$5:$AP$2004,_xlfn.MAXIFS('Saisie'!$AS$5:$AS$2004,'Saisie'!$C$5:$C$2004,C414,'Saisie'!$AP$5:$AP$2004,"&lt;&gt;")-4),""))</f>
        <v/>
      </c>
      <c r="AL414" s="60">
        <f>IF(C414="","",IFERROR(INDEX('Saisie'!$AQ$5:$AQ$2004,_xlfn.MAXIFS('Saisie'!$AS$5:$AS$2004,'Saisie'!$C$5:$C$2004,C414,'Saisie'!$AQ$5:$AQ$2004,"&lt;&gt;")-4),""))</f>
        <v/>
      </c>
      <c r="AM414" s="60">
        <f>IF(C414="","",((AI414="Oui")+(AJ414="Oui")+(AK414="Oui")+OR(AL414="Immédiat",AL414="&lt; 1 mois"))&amp;"/4")</f>
        <v/>
      </c>
      <c r="AN414" s="60">
        <f>IF(C414="","",IFERROR(INDEX('Saisie'!$AL$5:$AL$2004,_xlfn.MAXIFS('Saisie'!$AS$5:$AS$2004,'Saisie'!$C$5:$C$2004,C414,'Saisie'!$AL$5:$AL$2004,"&lt;&gt;")-4),""))</f>
        <v/>
      </c>
      <c r="AO414" s="62">
        <f>IF(C414="","",IF(IFERROR(INDEX('Saisie'!$AM$5:$AM$2004,_xlfn.MAXIFS('Saisie'!$AS$5:$AS$2004,'Saisie'!$C$5:$C$2004,C414,'Saisie'!$AM$5:$AM$2004,"&lt;&gt;")-4),"")&lt;&gt;"",IFERROR(INDEX('Saisie'!$AM$5:$AM$2004,_xlfn.MAXIFS('Saisie'!$AS$5:$AS$2004,'Saisie'!$C$5:$C$2004,C414,'Saisie'!$AM$5:$AM$2004,"&lt;&gt;")-4),""),IFERROR(INDEX('Paramètres'!$S$6:$S$15,MATCH(AN414,'Paramètres'!$Q$6:$Q$15,0)),"")))</f>
        <v/>
      </c>
      <c r="AP414" s="62">
        <f>IF(C414="","",IFERROR(INDEX('Saisie'!$AW$5:$AW$2004,_xlfn.MAXIFS('Saisie'!$AS$5:$AS$2004,'Saisie'!$C$5:$C$2004,C414,'Saisie'!$E$5:$E$2004,"Proposition envoyée")-4),""))</f>
        <v/>
      </c>
      <c r="AQ414" s="106">
        <f>IF(C414="","",IFERROR(1/(1/_xlfn.MAXIFS('Saisie'!$A$5:$A$2004,'Saisie'!$C$5:$C$2004,C414,'Saisie'!$E$5:$E$2004,"Proposition envoyée")),""))</f>
        <v/>
      </c>
      <c r="AR414" s="106">
        <f>IF(C414="","",IF(AQ414="","",AQ414+'Paramètres'!$B$26))</f>
        <v/>
      </c>
      <c r="AS414" s="62">
        <f>IF(OR(C414="",D414="Gagné",D414="Perdu"),0,N(AP414)*IFERROR(INDEX('Paramètres'!$G$6:$G$13,MATCH(D414,'Paramètres'!$F$6:$F$13,0)),0))</f>
        <v/>
      </c>
      <c r="AT414" s="106">
        <f>IF(C414="","",IFERROR(1/(1/_xlfn.MINIFS('Saisie'!$A$5:$A$2004,'Saisie'!$C$5:$C$2004,C414,'Saisie'!$E$5:$E$2004,"Signature")),""))</f>
        <v/>
      </c>
      <c r="AU414" s="60">
        <f>IF(C414="","",IF(OR(AT414="",B414=""),"",AT414-B414))</f>
        <v/>
      </c>
      <c r="AV414" s="60">
        <f>IF(C414="","",IFERROR(INDEX('Saisie'!$L$5:$L$2004,_xlfn.MAXIFS('Saisie'!$AS$5:$AS$2004,'Saisie'!$C$5:$C$2004,C414,'Saisie'!$L$5:$L$2004,"&lt;&gt;")-4),""))</f>
        <v/>
      </c>
      <c r="AW414" s="106">
        <f>IF(C414="","",IF(D414&lt;&gt;"Perdu","",IFERROR(1/(1/_xlfn.MAXIFS('Saisie'!$A$5:$A$2004,'Saisie'!$C$5:$C$2004,C414,'Saisie'!$E$5:$E$2004,"Perdu")),"")))</f>
        <v/>
      </c>
      <c r="AX414" s="106">
        <f>IF(C414="","",IF(AW414="","",AW414+'Paramètres'!$B$28))</f>
        <v/>
      </c>
      <c r="AY414" s="60">
        <f>IF(C414="","",SUMIFS('Saisie'!$H$5:$H$2004,'Saisie'!$C$5:$C$2004,C414))</f>
        <v/>
      </c>
      <c r="AZ414" s="60">
        <f>IF(C414="","",IFERROR(INDEX('Paramètres'!$W$6:$W$20,MATCH(S414,'Paramètres'!$V$6:$V$20,0))&amp;"",""))</f>
        <v/>
      </c>
      <c r="BA414" s="60">
        <f>IF(C414="","",MAX(1,_xlfn.MAXIFS('Saisie'!$AT$5:$AT$2004,'Saisie'!$C$5:$C$2004,C414)))</f>
        <v/>
      </c>
      <c r="BB414" s="60">
        <f>IF(C414="","",IFERROR(INDEX('Saisie'!$X$5:$X$2004,_xlfn.MAXIFS('Saisie'!$AS$5:$AS$2004,'Saisie'!$C$5:$C$2004,C414,'Saisie'!$X$5:$X$2004,"&lt;&gt;")-4),""))</f>
        <v/>
      </c>
      <c r="BC414" s="60">
        <f>IF(C414="","",IFERROR(INDEX('Saisie'!$Y$5:$Y$2004,_xlfn.MAXIFS('Saisie'!$AS$5:$AS$2004,'Saisie'!$C$5:$C$2004,C414,'Saisie'!$Y$5:$Y$2004,"&lt;&gt;")-4),""))</f>
        <v/>
      </c>
      <c r="BD414" s="106">
        <f>IF(C414="","",IFERROR(1/(1/_xlfn.MINIFS('Saisie'!$A$5:$A$2004,'Saisie'!$C$5:$C$2004,C414,'Saisie'!$AT$5:$AT$2004,"&gt;=2")),""))</f>
        <v/>
      </c>
      <c r="BE414" s="106">
        <f>IF(C414="","",IFERROR(1/(1/_xlfn.MINIFS('Saisie'!$A$5:$A$2004,'Saisie'!$C$5:$C$2004,C414,'Saisie'!$AT$5:$AT$2004,"&gt;=3")),""))</f>
        <v/>
      </c>
      <c r="BF414" s="106">
        <f>IF(C414="","",IFERROR(1/(1/_xlfn.MINIFS('Saisie'!$A$5:$A$2004,'Saisie'!$C$5:$C$2004,C414,'Saisie'!$AT$5:$AT$2004,"&gt;=4")),""))</f>
        <v/>
      </c>
      <c r="BG414" s="106">
        <f>IF(C414="","",IFERROR(1/(1/_xlfn.MINIFS('Saisie'!$A$5:$A$2004,'Saisie'!$C$5:$C$2004,C414,'Saisie'!$AT$5:$AT$2004,"&gt;=5")),""))</f>
        <v/>
      </c>
      <c r="BH414" s="106">
        <f>IF(C414="","",IFERROR(1/(1/_xlfn.MINIFS('Saisie'!$A$5:$A$2004,'Saisie'!$C$5:$C$2004,C414,'Saisie'!$AT$5:$AT$2004,"&gt;=6")),""))</f>
        <v/>
      </c>
      <c r="BI414" s="106">
        <f>IF(C414="","",IFERROR(1/(1/_xlfn.MINIFS('Saisie'!$A$5:$A$2004,'Saisie'!$C$5:$C$2004,C414,'Saisie'!$AT$5:$AT$2004,"&gt;=7")),""))</f>
        <v/>
      </c>
      <c r="BJ414" s="60">
        <f>IF(OR(BD414="",B414=""),"",BD414-B414)</f>
        <v/>
      </c>
      <c r="BK414" s="60">
        <f>IF(OR(BE414="",BD414=""),"",BE414-BD414)</f>
        <v/>
      </c>
      <c r="BL414" s="60">
        <f>IF(OR(BF414="",BE414=""),"",BF414-BE414)</f>
        <v/>
      </c>
      <c r="BM414" s="60">
        <f>IF(OR(BG414="",BF414=""),"",BG414-BF414)</f>
        <v/>
      </c>
      <c r="BN414" s="60">
        <f>IF(OR(BH414="",BG414=""),"",BH414-BG414)</f>
        <v/>
      </c>
      <c r="BO414" s="60">
        <f>IF(OR(BI414="",BH414=""),"",BI414-BH414)</f>
        <v/>
      </c>
      <c r="BP414" s="60">
        <f>IF(C414="","",_xlfn.MAXIFS('Saisie'!$AS$5:$AS$2004,'Saisie'!$C$5:$C$2004,C414,'Saisie'!$J$5:$J$2004,"&lt;&gt;"))</f>
        <v/>
      </c>
      <c r="BQ414" s="60">
        <f>IF(C414="","",_xlfn.MAXIFS('Saisie'!$AS$5:$AS$2004,'Saisie'!$C$5:$C$2004,C414))</f>
        <v/>
      </c>
      <c r="BR414" s="60">
        <f>IF(C414="","",_xlfn.MAXIFS('Saisie'!$AS$5:$AS$2004,'Saisie'!$C$5:$C$2004,C414,'Saisie'!$E$5:$E$2004,"Perdu"))</f>
        <v/>
      </c>
      <c r="BS414" s="60">
        <f>IF(C414="","",_xlfn.MAXIFS('Saisie'!$AS$5:$AS$2004,'Saisie'!$C$5:$C$2004,C414,'Saisie'!$AT$5:$AT$2004,"&gt;0"))</f>
        <v/>
      </c>
      <c r="BT414" s="109">
        <f>IF(AND(C414&lt;&gt;"",OR(D414="Nouveau",D414="Contacté",D414="Qualifié"),OR(G414="",N(G414)&lt;=TODAY()),NOT(AND(O414&gt;='Paramètres'!$B$21,P414=0))),E414+410/10000,"")</f>
        <v/>
      </c>
      <c r="BU414" s="60">
        <f>IF(AND(G414&lt;&gt;"",N(G414)&lt;=TODAY()),MAX($BU$4:BU413)+1,"")</f>
        <v/>
      </c>
      <c r="BV414" s="60">
        <f>IF(AND(F414&lt;&gt;"",F414&lt;&gt;"Relance en retard"),MAX($BV$4:BV413)+1,"")</f>
        <v/>
      </c>
      <c r="BW414" s="60">
        <f>IF(C414="","",IF(AND(B414&gt;='Tableau de bord'!$R$4,B414&lt;='Tableau de bord'!$S$4,OR('Tableau de bord'!$G$4="Tous",N414='Tableau de bord'!$G$4)),1,0))</f>
        <v/>
      </c>
      <c r="BX414" s="60">
        <f>IF(AND(C414&lt;&gt;"",N(BA414)=7),MAX($BX$4:BX413)+1,"")</f>
        <v/>
      </c>
    </row>
    <row r="415">
      <c r="A415" s="60">
        <f>IF(C415="","","P-"&amp;TEXT(411,"000"))</f>
        <v/>
      </c>
      <c r="B415" s="106">
        <f>IF(C415="","",IFERROR(1/(1/_xlfn.MINIFS('Saisie'!$A$5:$A$2004,'Saisie'!$C$5:$C$2004,C415)),""))</f>
        <v/>
      </c>
      <c r="C415" s="60">
        <f>IFERROR(INDEX('Saisie'!$C$5:$C$2004,MATCH(411,'Saisie'!$AX$5:$AX$2004,0)),"")</f>
        <v/>
      </c>
      <c r="D415" s="60">
        <f>IF(C415="","",IF(AND(BR415&gt;0,BR415&gt;BS415,BA415&lt;7),"Perdu",INDEX('Paramètres'!$F$6:$F$13,BA415)))</f>
        <v/>
      </c>
      <c r="E415" s="61">
        <f>IF(C415="","",MIN(100,(Z415="Oui")*'Paramètres'!$B$38+(AB415="Régulière")*'Paramètres'!$B$39+IF(AND(N(AA415)&gt;0,TODAY()-N(AA415)&lt;=30),'Paramètres'!$B$40,0)+(W415="")*'Paramètres'!$B$41+(AC415="Absente")*'Paramètres'!$B$42+(AC415="Faible")*'Paramètres'!$B$43+IF(AND(N(AD415)&gt;0,N(AD415)&lt;4),'Paramètres'!$B$44,0)+(AF415="Moyenne")*'Paramètres'!$B$45+(AF415="Grande")*'Paramètres'!$B$46+(Y415&lt;&gt;"")*'Paramètres'!$B$47))</f>
        <v/>
      </c>
      <c r="F415" s="60">
        <f>IF(C415="","",IF(D415="Gagné","",IF(D415="Perdu",IF(AND(AX415&lt;&gt;"",AX415&lt;=TODAY()),"À recontacter (perdu)",""),IF(AND(O415&gt;='Paramètres'!$B$21,P415=0),"Stop : "&amp;'Paramètres'!$B$21&amp;" tentatives sans réponse",IF(AND(D415="Proposition",AR415&lt;&gt;"",TODAY()&gt;N(AR415)),"Proposition expirée",IF(AND(D415="Proposition",N(R415)&gt;='Paramètres'!$B$25),"Proposition sans réponse",IF(AND(G415&lt;&gt;"",N(G415)&lt;TODAY()),"Relance en retard",IF(N(R415)&gt;='Paramètres'!$B$24,"Sans action depuis "&amp;R415&amp;" j",""))))))))</f>
        <v/>
      </c>
      <c r="G415" s="106">
        <f>IF(OR(C415="",D415="Gagné",D415="Perdu"),"",IF(AND(BP415&gt;0,BP415=BQ415),INDEX('Saisie'!$J$5:$J$2004,BP415-4),IF(OR(O415=0,AND(O415&gt;='Paramètres'!$B$21,P415=0)),"",Q415+IF(O415&lt;=1,'Paramètres'!$B$18,IF(O415=2,'Paramètres'!$B$19,'Paramètres'!$B$20)))))</f>
        <v/>
      </c>
      <c r="H415" s="107">
        <f>IF(OR(G415="",BP415&lt;&gt;BQ415),"",IF(INDEX('Saisie'!$K$5:$K$2004,BP415-4)="","",INDEX('Saisie'!$K$5:$K$2004,BP415-4)))</f>
        <v/>
      </c>
      <c r="I415" s="60">
        <f>IF(C415="","",IF(OR(D415="Gagné",D415="Perdu"),"",IFERROR(INDEX('Saisie'!$I$5:$I$2004,_xlfn.MAXIFS('Saisie'!$AS$5:$AS$2004,'Saisie'!$C$5:$C$2004,C415,'Saisie'!$I$5:$I$2004,"&lt;&gt;")-4),"")))</f>
        <v/>
      </c>
      <c r="J415" s="60">
        <f>IF(C415="","",IFERROR(INDEX('Saisie'!$U$5:$U$2004,_xlfn.MAXIFS('Saisie'!$AS$5:$AS$2004,'Saisie'!$C$5:$C$2004,C415,'Saisie'!$U$5:$U$2004,"&lt;&gt;")-4),""))</f>
        <v/>
      </c>
      <c r="K415" s="60">
        <f>IF(C415="","",IFERROR(INDEX('Saisie'!$W$5:$W$2004,_xlfn.MAXIFS('Saisie'!$AS$5:$AS$2004,'Saisie'!$C$5:$C$2004,C415,'Saisie'!$W$5:$W$2004,"&lt;&gt;")-4),""))</f>
        <v/>
      </c>
      <c r="L415" s="60">
        <f>IF(IF(BB415&lt;&gt;"",BB415,K415)="","",HYPERLINK("https://wa.me/"&amp;IF(LEFT(SUBSTITUTE(SUBSTITUTE(SUBSTITUTE(IF(BB415&lt;&gt;"",BB415,K415)," ",""),".",""),"+",""),1)="0",'Paramètres'!$B$35&amp;MID(SUBSTITUTE(SUBSTITUTE(SUBSTITUTE(IF(BB415&lt;&gt;"",BB415,K415)," ",""),".",""),"+",""),2,20),SUBSTITUTE(SUBSTITUTE(SUBSTITUTE(IF(BB415&lt;&gt;"",BB415,K415)," ",""),".",""),"+","")),"WhatsApp"))</f>
        <v/>
      </c>
      <c r="M415" s="60">
        <f>IF(BC415="","",HYPERLINK(IF(LEFT(BC415,4)="http",BC415,"https://www.instagram.com/"&amp;SUBSTITUTE(SUBSTITUTE(BC415,"@","")," ","")),BC415))</f>
        <v/>
      </c>
      <c r="N415" s="60">
        <f>IF(C415="","",IFERROR(INDEX('Saisie'!$D$5:$D$2004,_xlfn.MINIFS('Saisie'!$AS$5:$AS$2004,'Saisie'!$C$5:$C$2004,C415,'Saisie'!$AU$5:$AU$2004,1)-4),IFERROR(INDEX('Saisie'!$D$5:$D$2004,_xlfn.MINIFS('Saisie'!$AS$5:$AS$2004,'Saisie'!$C$5:$C$2004,C415,'Saisie'!$D$5:$D$2004,"&lt;&gt;")-4),"")))</f>
        <v/>
      </c>
      <c r="O415" s="60">
        <f>IF(C415="","",COUNTIFS('Saisie'!$C$5:$C$2004,C415,'Saisie'!$AU$5:$AU$2004,1))</f>
        <v/>
      </c>
      <c r="P415" s="60">
        <f>IF(C415="","",COUNTIFS('Saisie'!$C$5:$C$2004,C415,'Saisie'!$AV$5:$AV$2004,1))</f>
        <v/>
      </c>
      <c r="Q415" s="106">
        <f>IF(C415="","",IFERROR(1/(1/_xlfn.MAXIFS('Saisie'!$A$5:$A$2004,'Saisie'!$C$5:$C$2004,C415)),""))</f>
        <v/>
      </c>
      <c r="R415" s="61">
        <f>IF(C415="","",IF(Q415="","",TODAY()-Q415))</f>
        <v/>
      </c>
      <c r="S415" s="60">
        <f>IF(C415="","",IFERROR(INDEX('Saisie'!$R$5:$R$2004,_xlfn.MAXIFS('Saisie'!$AS$5:$AS$2004,'Saisie'!$C$5:$C$2004,C415,'Saisie'!$R$5:$R$2004,"&lt;&gt;")-4),""))</f>
        <v/>
      </c>
      <c r="T415" s="60">
        <f>IF(C415="","",IFERROR(INDEX('Saisie'!$S$5:$S$2004,_xlfn.MAXIFS('Saisie'!$AS$5:$AS$2004,'Saisie'!$C$5:$C$2004,C415,'Saisie'!$S$5:$S$2004,"&lt;&gt;")-4),""))</f>
        <v/>
      </c>
      <c r="U415" s="60">
        <f>IF(C415="","",IFERROR(INDEX('Saisie'!$T$5:$T$2004,_xlfn.MAXIFS('Saisie'!$AS$5:$AS$2004,'Saisie'!$C$5:$C$2004,C415,'Saisie'!$T$5:$T$2004,"&lt;&gt;")-4),""))</f>
        <v/>
      </c>
      <c r="V415" s="60">
        <f>IF(C415="","",IFERROR(INDEX('Saisie'!$V$5:$V$2004,_xlfn.MAXIFS('Saisie'!$AS$5:$AS$2004,'Saisie'!$C$5:$C$2004,C415,'Saisie'!$V$5:$V$2004,"&lt;&gt;")-4),""))</f>
        <v/>
      </c>
      <c r="W415" s="60">
        <f>IF(C415="","",IFERROR(INDEX('Saisie'!$Z$5:$Z$2004,_xlfn.MAXIFS('Saisie'!$AS$5:$AS$2004,'Saisie'!$C$5:$C$2004,C415,'Saisie'!$Z$5:$Z$2004,"&lt;&gt;")-4),""))</f>
        <v/>
      </c>
      <c r="X415" s="60">
        <f>IF(C415="","",IFERROR(INDEX('Saisie'!$AA$5:$AA$2004,_xlfn.MAXIFS('Saisie'!$AS$5:$AS$2004,'Saisie'!$C$5:$C$2004,C415,'Saisie'!$AA$5:$AA$2004,"&lt;&gt;")-4),""))</f>
        <v/>
      </c>
      <c r="Y415" s="60">
        <f>IF(C415="","",IFERROR(INDEX('Saisie'!$AB$5:$AB$2004,_xlfn.MAXIFS('Saisie'!$AS$5:$AS$2004,'Saisie'!$C$5:$C$2004,C415,'Saisie'!$AB$5:$AB$2004,"&lt;&gt;")-4),""))</f>
        <v/>
      </c>
      <c r="Z415" s="60">
        <f>IF(C415="","",IFERROR(INDEX('Saisie'!$AC$5:$AC$2004,_xlfn.MAXIFS('Saisie'!$AS$5:$AS$2004,'Saisie'!$C$5:$C$2004,C415,'Saisie'!$AC$5:$AC$2004,"&lt;&gt;")-4),""))</f>
        <v/>
      </c>
      <c r="AA415" s="106">
        <f>IF(C415="","",IFERROR(INDEX('Saisie'!$AD$5:$AD$2004,_xlfn.MAXIFS('Saisie'!$AS$5:$AS$2004,'Saisie'!$C$5:$C$2004,C415,'Saisie'!$AD$5:$AD$2004,"&lt;&gt;")-4),""))</f>
        <v/>
      </c>
      <c r="AB415" s="60">
        <f>IF(C415="","",IFERROR(INDEX('Saisie'!$AE$5:$AE$2004,_xlfn.MAXIFS('Saisie'!$AS$5:$AS$2004,'Saisie'!$C$5:$C$2004,C415,'Saisie'!$AE$5:$AE$2004,"&lt;&gt;")-4),""))</f>
        <v/>
      </c>
      <c r="AC415" s="60">
        <f>IF(C415="","",IFERROR(INDEX('Saisie'!$AF$5:$AF$2004,_xlfn.MAXIFS('Saisie'!$AS$5:$AS$2004,'Saisie'!$C$5:$C$2004,C415,'Saisie'!$AF$5:$AF$2004,"&lt;&gt;")-4),""))</f>
        <v/>
      </c>
      <c r="AD415" s="108">
        <f>IF(C415="","",IFERROR(INDEX('Saisie'!$AG$5:$AG$2004,_xlfn.MAXIFS('Saisie'!$AS$5:$AS$2004,'Saisie'!$C$5:$C$2004,C415,'Saisie'!$AG$5:$AG$2004,"&lt;&gt;")-4),""))</f>
        <v/>
      </c>
      <c r="AE415" s="60">
        <f>IF(C415="","",IFERROR(INDEX('Saisie'!$AH$5:$AH$2004,_xlfn.MAXIFS('Saisie'!$AS$5:$AS$2004,'Saisie'!$C$5:$C$2004,C415,'Saisie'!$AH$5:$AH$2004,"&lt;&gt;")-4),""))</f>
        <v/>
      </c>
      <c r="AF415" s="60">
        <f>IF(C415="","",IFERROR(INDEX('Saisie'!$AI$5:$AI$2004,_xlfn.MAXIFS('Saisie'!$AS$5:$AS$2004,'Saisie'!$C$5:$C$2004,C415,'Saisie'!$AI$5:$AI$2004,"&lt;&gt;")-4),""))</f>
        <v/>
      </c>
      <c r="AG415" s="60">
        <f>IF(C415="","",IFERROR(INDEX('Saisie'!$AJ$5:$AJ$2004,_xlfn.MAXIFS('Saisie'!$AS$5:$AS$2004,'Saisie'!$C$5:$C$2004,C415,'Saisie'!$AJ$5:$AJ$2004,"&lt;&gt;")-4),""))</f>
        <v/>
      </c>
      <c r="AH415" s="60">
        <f>IF(C415="","",IFERROR(INDEX('Saisie'!$AK$5:$AK$2004,_xlfn.MAXIFS('Saisie'!$AS$5:$AS$2004,'Saisie'!$C$5:$C$2004,C415,'Saisie'!$AK$5:$AK$2004,"&lt;&gt;")-4),""))</f>
        <v/>
      </c>
      <c r="AI415" s="60">
        <f>IF(C415="","",IFERROR(INDEX('Saisie'!$AN$5:$AN$2004,_xlfn.MAXIFS('Saisie'!$AS$5:$AS$2004,'Saisie'!$C$5:$C$2004,C415,'Saisie'!$AN$5:$AN$2004,"&lt;&gt;")-4),""))</f>
        <v/>
      </c>
      <c r="AJ415" s="60">
        <f>IF(C415="","",IFERROR(INDEX('Saisie'!$AO$5:$AO$2004,_xlfn.MAXIFS('Saisie'!$AS$5:$AS$2004,'Saisie'!$C$5:$C$2004,C415,'Saisie'!$AO$5:$AO$2004,"&lt;&gt;")-4),""))</f>
        <v/>
      </c>
      <c r="AK415" s="60">
        <f>IF(C415="","",IFERROR(INDEX('Saisie'!$AP$5:$AP$2004,_xlfn.MAXIFS('Saisie'!$AS$5:$AS$2004,'Saisie'!$C$5:$C$2004,C415,'Saisie'!$AP$5:$AP$2004,"&lt;&gt;")-4),""))</f>
        <v/>
      </c>
      <c r="AL415" s="60">
        <f>IF(C415="","",IFERROR(INDEX('Saisie'!$AQ$5:$AQ$2004,_xlfn.MAXIFS('Saisie'!$AS$5:$AS$2004,'Saisie'!$C$5:$C$2004,C415,'Saisie'!$AQ$5:$AQ$2004,"&lt;&gt;")-4),""))</f>
        <v/>
      </c>
      <c r="AM415" s="60">
        <f>IF(C415="","",((AI415="Oui")+(AJ415="Oui")+(AK415="Oui")+OR(AL415="Immédiat",AL415="&lt; 1 mois"))&amp;"/4")</f>
        <v/>
      </c>
      <c r="AN415" s="60">
        <f>IF(C415="","",IFERROR(INDEX('Saisie'!$AL$5:$AL$2004,_xlfn.MAXIFS('Saisie'!$AS$5:$AS$2004,'Saisie'!$C$5:$C$2004,C415,'Saisie'!$AL$5:$AL$2004,"&lt;&gt;")-4),""))</f>
        <v/>
      </c>
      <c r="AO415" s="62">
        <f>IF(C415="","",IF(IFERROR(INDEX('Saisie'!$AM$5:$AM$2004,_xlfn.MAXIFS('Saisie'!$AS$5:$AS$2004,'Saisie'!$C$5:$C$2004,C415,'Saisie'!$AM$5:$AM$2004,"&lt;&gt;")-4),"")&lt;&gt;"",IFERROR(INDEX('Saisie'!$AM$5:$AM$2004,_xlfn.MAXIFS('Saisie'!$AS$5:$AS$2004,'Saisie'!$C$5:$C$2004,C415,'Saisie'!$AM$5:$AM$2004,"&lt;&gt;")-4),""),IFERROR(INDEX('Paramètres'!$S$6:$S$15,MATCH(AN415,'Paramètres'!$Q$6:$Q$15,0)),"")))</f>
        <v/>
      </c>
      <c r="AP415" s="62">
        <f>IF(C415="","",IFERROR(INDEX('Saisie'!$AW$5:$AW$2004,_xlfn.MAXIFS('Saisie'!$AS$5:$AS$2004,'Saisie'!$C$5:$C$2004,C415,'Saisie'!$E$5:$E$2004,"Proposition envoyée")-4),""))</f>
        <v/>
      </c>
      <c r="AQ415" s="106">
        <f>IF(C415="","",IFERROR(1/(1/_xlfn.MAXIFS('Saisie'!$A$5:$A$2004,'Saisie'!$C$5:$C$2004,C415,'Saisie'!$E$5:$E$2004,"Proposition envoyée")),""))</f>
        <v/>
      </c>
      <c r="AR415" s="106">
        <f>IF(C415="","",IF(AQ415="","",AQ415+'Paramètres'!$B$26))</f>
        <v/>
      </c>
      <c r="AS415" s="62">
        <f>IF(OR(C415="",D415="Gagné",D415="Perdu"),0,N(AP415)*IFERROR(INDEX('Paramètres'!$G$6:$G$13,MATCH(D415,'Paramètres'!$F$6:$F$13,0)),0))</f>
        <v/>
      </c>
      <c r="AT415" s="106">
        <f>IF(C415="","",IFERROR(1/(1/_xlfn.MINIFS('Saisie'!$A$5:$A$2004,'Saisie'!$C$5:$C$2004,C415,'Saisie'!$E$5:$E$2004,"Signature")),""))</f>
        <v/>
      </c>
      <c r="AU415" s="60">
        <f>IF(C415="","",IF(OR(AT415="",B415=""),"",AT415-B415))</f>
        <v/>
      </c>
      <c r="AV415" s="60">
        <f>IF(C415="","",IFERROR(INDEX('Saisie'!$L$5:$L$2004,_xlfn.MAXIFS('Saisie'!$AS$5:$AS$2004,'Saisie'!$C$5:$C$2004,C415,'Saisie'!$L$5:$L$2004,"&lt;&gt;")-4),""))</f>
        <v/>
      </c>
      <c r="AW415" s="106">
        <f>IF(C415="","",IF(D415&lt;&gt;"Perdu","",IFERROR(1/(1/_xlfn.MAXIFS('Saisie'!$A$5:$A$2004,'Saisie'!$C$5:$C$2004,C415,'Saisie'!$E$5:$E$2004,"Perdu")),"")))</f>
        <v/>
      </c>
      <c r="AX415" s="106">
        <f>IF(C415="","",IF(AW415="","",AW415+'Paramètres'!$B$28))</f>
        <v/>
      </c>
      <c r="AY415" s="60">
        <f>IF(C415="","",SUMIFS('Saisie'!$H$5:$H$2004,'Saisie'!$C$5:$C$2004,C415))</f>
        <v/>
      </c>
      <c r="AZ415" s="60">
        <f>IF(C415="","",IFERROR(INDEX('Paramètres'!$W$6:$W$20,MATCH(S415,'Paramètres'!$V$6:$V$20,0))&amp;"",""))</f>
        <v/>
      </c>
      <c r="BA415" s="60">
        <f>IF(C415="","",MAX(1,_xlfn.MAXIFS('Saisie'!$AT$5:$AT$2004,'Saisie'!$C$5:$C$2004,C415)))</f>
        <v/>
      </c>
      <c r="BB415" s="60">
        <f>IF(C415="","",IFERROR(INDEX('Saisie'!$X$5:$X$2004,_xlfn.MAXIFS('Saisie'!$AS$5:$AS$2004,'Saisie'!$C$5:$C$2004,C415,'Saisie'!$X$5:$X$2004,"&lt;&gt;")-4),""))</f>
        <v/>
      </c>
      <c r="BC415" s="60">
        <f>IF(C415="","",IFERROR(INDEX('Saisie'!$Y$5:$Y$2004,_xlfn.MAXIFS('Saisie'!$AS$5:$AS$2004,'Saisie'!$C$5:$C$2004,C415,'Saisie'!$Y$5:$Y$2004,"&lt;&gt;")-4),""))</f>
        <v/>
      </c>
      <c r="BD415" s="106">
        <f>IF(C415="","",IFERROR(1/(1/_xlfn.MINIFS('Saisie'!$A$5:$A$2004,'Saisie'!$C$5:$C$2004,C415,'Saisie'!$AT$5:$AT$2004,"&gt;=2")),""))</f>
        <v/>
      </c>
      <c r="BE415" s="106">
        <f>IF(C415="","",IFERROR(1/(1/_xlfn.MINIFS('Saisie'!$A$5:$A$2004,'Saisie'!$C$5:$C$2004,C415,'Saisie'!$AT$5:$AT$2004,"&gt;=3")),""))</f>
        <v/>
      </c>
      <c r="BF415" s="106">
        <f>IF(C415="","",IFERROR(1/(1/_xlfn.MINIFS('Saisie'!$A$5:$A$2004,'Saisie'!$C$5:$C$2004,C415,'Saisie'!$AT$5:$AT$2004,"&gt;=4")),""))</f>
        <v/>
      </c>
      <c r="BG415" s="106">
        <f>IF(C415="","",IFERROR(1/(1/_xlfn.MINIFS('Saisie'!$A$5:$A$2004,'Saisie'!$C$5:$C$2004,C415,'Saisie'!$AT$5:$AT$2004,"&gt;=5")),""))</f>
        <v/>
      </c>
      <c r="BH415" s="106">
        <f>IF(C415="","",IFERROR(1/(1/_xlfn.MINIFS('Saisie'!$A$5:$A$2004,'Saisie'!$C$5:$C$2004,C415,'Saisie'!$AT$5:$AT$2004,"&gt;=6")),""))</f>
        <v/>
      </c>
      <c r="BI415" s="106">
        <f>IF(C415="","",IFERROR(1/(1/_xlfn.MINIFS('Saisie'!$A$5:$A$2004,'Saisie'!$C$5:$C$2004,C415,'Saisie'!$AT$5:$AT$2004,"&gt;=7")),""))</f>
        <v/>
      </c>
      <c r="BJ415" s="60">
        <f>IF(OR(BD415="",B415=""),"",BD415-B415)</f>
        <v/>
      </c>
      <c r="BK415" s="60">
        <f>IF(OR(BE415="",BD415=""),"",BE415-BD415)</f>
        <v/>
      </c>
      <c r="BL415" s="60">
        <f>IF(OR(BF415="",BE415=""),"",BF415-BE415)</f>
        <v/>
      </c>
      <c r="BM415" s="60">
        <f>IF(OR(BG415="",BF415=""),"",BG415-BF415)</f>
        <v/>
      </c>
      <c r="BN415" s="60">
        <f>IF(OR(BH415="",BG415=""),"",BH415-BG415)</f>
        <v/>
      </c>
      <c r="BO415" s="60">
        <f>IF(OR(BI415="",BH415=""),"",BI415-BH415)</f>
        <v/>
      </c>
      <c r="BP415" s="60">
        <f>IF(C415="","",_xlfn.MAXIFS('Saisie'!$AS$5:$AS$2004,'Saisie'!$C$5:$C$2004,C415,'Saisie'!$J$5:$J$2004,"&lt;&gt;"))</f>
        <v/>
      </c>
      <c r="BQ415" s="60">
        <f>IF(C415="","",_xlfn.MAXIFS('Saisie'!$AS$5:$AS$2004,'Saisie'!$C$5:$C$2004,C415))</f>
        <v/>
      </c>
      <c r="BR415" s="60">
        <f>IF(C415="","",_xlfn.MAXIFS('Saisie'!$AS$5:$AS$2004,'Saisie'!$C$5:$C$2004,C415,'Saisie'!$E$5:$E$2004,"Perdu"))</f>
        <v/>
      </c>
      <c r="BS415" s="60">
        <f>IF(C415="","",_xlfn.MAXIFS('Saisie'!$AS$5:$AS$2004,'Saisie'!$C$5:$C$2004,C415,'Saisie'!$AT$5:$AT$2004,"&gt;0"))</f>
        <v/>
      </c>
      <c r="BT415" s="109">
        <f>IF(AND(C415&lt;&gt;"",OR(D415="Nouveau",D415="Contacté",D415="Qualifié"),OR(G415="",N(G415)&lt;=TODAY()),NOT(AND(O415&gt;='Paramètres'!$B$21,P415=0))),E415+411/10000,"")</f>
        <v/>
      </c>
      <c r="BU415" s="60">
        <f>IF(AND(G415&lt;&gt;"",N(G415)&lt;=TODAY()),MAX($BU$4:BU414)+1,"")</f>
        <v/>
      </c>
      <c r="BV415" s="60">
        <f>IF(AND(F415&lt;&gt;"",F415&lt;&gt;"Relance en retard"),MAX($BV$4:BV414)+1,"")</f>
        <v/>
      </c>
      <c r="BW415" s="60">
        <f>IF(C415="","",IF(AND(B415&gt;='Tableau de bord'!$R$4,B415&lt;='Tableau de bord'!$S$4,OR('Tableau de bord'!$G$4="Tous",N415='Tableau de bord'!$G$4)),1,0))</f>
        <v/>
      </c>
      <c r="BX415" s="60">
        <f>IF(AND(C415&lt;&gt;"",N(BA415)=7),MAX($BX$4:BX414)+1,"")</f>
        <v/>
      </c>
    </row>
    <row r="416">
      <c r="A416" s="60">
        <f>IF(C416="","","P-"&amp;TEXT(412,"000"))</f>
        <v/>
      </c>
      <c r="B416" s="106">
        <f>IF(C416="","",IFERROR(1/(1/_xlfn.MINIFS('Saisie'!$A$5:$A$2004,'Saisie'!$C$5:$C$2004,C416)),""))</f>
        <v/>
      </c>
      <c r="C416" s="60">
        <f>IFERROR(INDEX('Saisie'!$C$5:$C$2004,MATCH(412,'Saisie'!$AX$5:$AX$2004,0)),"")</f>
        <v/>
      </c>
      <c r="D416" s="60">
        <f>IF(C416="","",IF(AND(BR416&gt;0,BR416&gt;BS416,BA416&lt;7),"Perdu",INDEX('Paramètres'!$F$6:$F$13,BA416)))</f>
        <v/>
      </c>
      <c r="E416" s="61">
        <f>IF(C416="","",MIN(100,(Z416="Oui")*'Paramètres'!$B$38+(AB416="Régulière")*'Paramètres'!$B$39+IF(AND(N(AA416)&gt;0,TODAY()-N(AA416)&lt;=30),'Paramètres'!$B$40,0)+(W416="")*'Paramètres'!$B$41+(AC416="Absente")*'Paramètres'!$B$42+(AC416="Faible")*'Paramètres'!$B$43+IF(AND(N(AD416)&gt;0,N(AD416)&lt;4),'Paramètres'!$B$44,0)+(AF416="Moyenne")*'Paramètres'!$B$45+(AF416="Grande")*'Paramètres'!$B$46+(Y416&lt;&gt;"")*'Paramètres'!$B$47))</f>
        <v/>
      </c>
      <c r="F416" s="60">
        <f>IF(C416="","",IF(D416="Gagné","",IF(D416="Perdu",IF(AND(AX416&lt;&gt;"",AX416&lt;=TODAY()),"À recontacter (perdu)",""),IF(AND(O416&gt;='Paramètres'!$B$21,P416=0),"Stop : "&amp;'Paramètres'!$B$21&amp;" tentatives sans réponse",IF(AND(D416="Proposition",AR416&lt;&gt;"",TODAY()&gt;N(AR416)),"Proposition expirée",IF(AND(D416="Proposition",N(R416)&gt;='Paramètres'!$B$25),"Proposition sans réponse",IF(AND(G416&lt;&gt;"",N(G416)&lt;TODAY()),"Relance en retard",IF(N(R416)&gt;='Paramètres'!$B$24,"Sans action depuis "&amp;R416&amp;" j",""))))))))</f>
        <v/>
      </c>
      <c r="G416" s="106">
        <f>IF(OR(C416="",D416="Gagné",D416="Perdu"),"",IF(AND(BP416&gt;0,BP416=BQ416),INDEX('Saisie'!$J$5:$J$2004,BP416-4),IF(OR(O416=0,AND(O416&gt;='Paramètres'!$B$21,P416=0)),"",Q416+IF(O416&lt;=1,'Paramètres'!$B$18,IF(O416=2,'Paramètres'!$B$19,'Paramètres'!$B$20)))))</f>
        <v/>
      </c>
      <c r="H416" s="107">
        <f>IF(OR(G416="",BP416&lt;&gt;BQ416),"",IF(INDEX('Saisie'!$K$5:$K$2004,BP416-4)="","",INDEX('Saisie'!$K$5:$K$2004,BP416-4)))</f>
        <v/>
      </c>
      <c r="I416" s="60">
        <f>IF(C416="","",IF(OR(D416="Gagné",D416="Perdu"),"",IFERROR(INDEX('Saisie'!$I$5:$I$2004,_xlfn.MAXIFS('Saisie'!$AS$5:$AS$2004,'Saisie'!$C$5:$C$2004,C416,'Saisie'!$I$5:$I$2004,"&lt;&gt;")-4),"")))</f>
        <v/>
      </c>
      <c r="J416" s="60">
        <f>IF(C416="","",IFERROR(INDEX('Saisie'!$U$5:$U$2004,_xlfn.MAXIFS('Saisie'!$AS$5:$AS$2004,'Saisie'!$C$5:$C$2004,C416,'Saisie'!$U$5:$U$2004,"&lt;&gt;")-4),""))</f>
        <v/>
      </c>
      <c r="K416" s="60">
        <f>IF(C416="","",IFERROR(INDEX('Saisie'!$W$5:$W$2004,_xlfn.MAXIFS('Saisie'!$AS$5:$AS$2004,'Saisie'!$C$5:$C$2004,C416,'Saisie'!$W$5:$W$2004,"&lt;&gt;")-4),""))</f>
        <v/>
      </c>
      <c r="L416" s="60">
        <f>IF(IF(BB416&lt;&gt;"",BB416,K416)="","",HYPERLINK("https://wa.me/"&amp;IF(LEFT(SUBSTITUTE(SUBSTITUTE(SUBSTITUTE(IF(BB416&lt;&gt;"",BB416,K416)," ",""),".",""),"+",""),1)="0",'Paramètres'!$B$35&amp;MID(SUBSTITUTE(SUBSTITUTE(SUBSTITUTE(IF(BB416&lt;&gt;"",BB416,K416)," ",""),".",""),"+",""),2,20),SUBSTITUTE(SUBSTITUTE(SUBSTITUTE(IF(BB416&lt;&gt;"",BB416,K416)," ",""),".",""),"+","")),"WhatsApp"))</f>
        <v/>
      </c>
      <c r="M416" s="60">
        <f>IF(BC416="","",HYPERLINK(IF(LEFT(BC416,4)="http",BC416,"https://www.instagram.com/"&amp;SUBSTITUTE(SUBSTITUTE(BC416,"@","")," ","")),BC416))</f>
        <v/>
      </c>
      <c r="N416" s="60">
        <f>IF(C416="","",IFERROR(INDEX('Saisie'!$D$5:$D$2004,_xlfn.MINIFS('Saisie'!$AS$5:$AS$2004,'Saisie'!$C$5:$C$2004,C416,'Saisie'!$AU$5:$AU$2004,1)-4),IFERROR(INDEX('Saisie'!$D$5:$D$2004,_xlfn.MINIFS('Saisie'!$AS$5:$AS$2004,'Saisie'!$C$5:$C$2004,C416,'Saisie'!$D$5:$D$2004,"&lt;&gt;")-4),"")))</f>
        <v/>
      </c>
      <c r="O416" s="60">
        <f>IF(C416="","",COUNTIFS('Saisie'!$C$5:$C$2004,C416,'Saisie'!$AU$5:$AU$2004,1))</f>
        <v/>
      </c>
      <c r="P416" s="60">
        <f>IF(C416="","",COUNTIFS('Saisie'!$C$5:$C$2004,C416,'Saisie'!$AV$5:$AV$2004,1))</f>
        <v/>
      </c>
      <c r="Q416" s="106">
        <f>IF(C416="","",IFERROR(1/(1/_xlfn.MAXIFS('Saisie'!$A$5:$A$2004,'Saisie'!$C$5:$C$2004,C416)),""))</f>
        <v/>
      </c>
      <c r="R416" s="61">
        <f>IF(C416="","",IF(Q416="","",TODAY()-Q416))</f>
        <v/>
      </c>
      <c r="S416" s="60">
        <f>IF(C416="","",IFERROR(INDEX('Saisie'!$R$5:$R$2004,_xlfn.MAXIFS('Saisie'!$AS$5:$AS$2004,'Saisie'!$C$5:$C$2004,C416,'Saisie'!$R$5:$R$2004,"&lt;&gt;")-4),""))</f>
        <v/>
      </c>
      <c r="T416" s="60">
        <f>IF(C416="","",IFERROR(INDEX('Saisie'!$S$5:$S$2004,_xlfn.MAXIFS('Saisie'!$AS$5:$AS$2004,'Saisie'!$C$5:$C$2004,C416,'Saisie'!$S$5:$S$2004,"&lt;&gt;")-4),""))</f>
        <v/>
      </c>
      <c r="U416" s="60">
        <f>IF(C416="","",IFERROR(INDEX('Saisie'!$T$5:$T$2004,_xlfn.MAXIFS('Saisie'!$AS$5:$AS$2004,'Saisie'!$C$5:$C$2004,C416,'Saisie'!$T$5:$T$2004,"&lt;&gt;")-4),""))</f>
        <v/>
      </c>
      <c r="V416" s="60">
        <f>IF(C416="","",IFERROR(INDEX('Saisie'!$V$5:$V$2004,_xlfn.MAXIFS('Saisie'!$AS$5:$AS$2004,'Saisie'!$C$5:$C$2004,C416,'Saisie'!$V$5:$V$2004,"&lt;&gt;")-4),""))</f>
        <v/>
      </c>
      <c r="W416" s="60">
        <f>IF(C416="","",IFERROR(INDEX('Saisie'!$Z$5:$Z$2004,_xlfn.MAXIFS('Saisie'!$AS$5:$AS$2004,'Saisie'!$C$5:$C$2004,C416,'Saisie'!$Z$5:$Z$2004,"&lt;&gt;")-4),""))</f>
        <v/>
      </c>
      <c r="X416" s="60">
        <f>IF(C416="","",IFERROR(INDEX('Saisie'!$AA$5:$AA$2004,_xlfn.MAXIFS('Saisie'!$AS$5:$AS$2004,'Saisie'!$C$5:$C$2004,C416,'Saisie'!$AA$5:$AA$2004,"&lt;&gt;")-4),""))</f>
        <v/>
      </c>
      <c r="Y416" s="60">
        <f>IF(C416="","",IFERROR(INDEX('Saisie'!$AB$5:$AB$2004,_xlfn.MAXIFS('Saisie'!$AS$5:$AS$2004,'Saisie'!$C$5:$C$2004,C416,'Saisie'!$AB$5:$AB$2004,"&lt;&gt;")-4),""))</f>
        <v/>
      </c>
      <c r="Z416" s="60">
        <f>IF(C416="","",IFERROR(INDEX('Saisie'!$AC$5:$AC$2004,_xlfn.MAXIFS('Saisie'!$AS$5:$AS$2004,'Saisie'!$C$5:$C$2004,C416,'Saisie'!$AC$5:$AC$2004,"&lt;&gt;")-4),""))</f>
        <v/>
      </c>
      <c r="AA416" s="106">
        <f>IF(C416="","",IFERROR(INDEX('Saisie'!$AD$5:$AD$2004,_xlfn.MAXIFS('Saisie'!$AS$5:$AS$2004,'Saisie'!$C$5:$C$2004,C416,'Saisie'!$AD$5:$AD$2004,"&lt;&gt;")-4),""))</f>
        <v/>
      </c>
      <c r="AB416" s="60">
        <f>IF(C416="","",IFERROR(INDEX('Saisie'!$AE$5:$AE$2004,_xlfn.MAXIFS('Saisie'!$AS$5:$AS$2004,'Saisie'!$C$5:$C$2004,C416,'Saisie'!$AE$5:$AE$2004,"&lt;&gt;")-4),""))</f>
        <v/>
      </c>
      <c r="AC416" s="60">
        <f>IF(C416="","",IFERROR(INDEX('Saisie'!$AF$5:$AF$2004,_xlfn.MAXIFS('Saisie'!$AS$5:$AS$2004,'Saisie'!$C$5:$C$2004,C416,'Saisie'!$AF$5:$AF$2004,"&lt;&gt;")-4),""))</f>
        <v/>
      </c>
      <c r="AD416" s="108">
        <f>IF(C416="","",IFERROR(INDEX('Saisie'!$AG$5:$AG$2004,_xlfn.MAXIFS('Saisie'!$AS$5:$AS$2004,'Saisie'!$C$5:$C$2004,C416,'Saisie'!$AG$5:$AG$2004,"&lt;&gt;")-4),""))</f>
        <v/>
      </c>
      <c r="AE416" s="60">
        <f>IF(C416="","",IFERROR(INDEX('Saisie'!$AH$5:$AH$2004,_xlfn.MAXIFS('Saisie'!$AS$5:$AS$2004,'Saisie'!$C$5:$C$2004,C416,'Saisie'!$AH$5:$AH$2004,"&lt;&gt;")-4),""))</f>
        <v/>
      </c>
      <c r="AF416" s="60">
        <f>IF(C416="","",IFERROR(INDEX('Saisie'!$AI$5:$AI$2004,_xlfn.MAXIFS('Saisie'!$AS$5:$AS$2004,'Saisie'!$C$5:$C$2004,C416,'Saisie'!$AI$5:$AI$2004,"&lt;&gt;")-4),""))</f>
        <v/>
      </c>
      <c r="AG416" s="60">
        <f>IF(C416="","",IFERROR(INDEX('Saisie'!$AJ$5:$AJ$2004,_xlfn.MAXIFS('Saisie'!$AS$5:$AS$2004,'Saisie'!$C$5:$C$2004,C416,'Saisie'!$AJ$5:$AJ$2004,"&lt;&gt;")-4),""))</f>
        <v/>
      </c>
      <c r="AH416" s="60">
        <f>IF(C416="","",IFERROR(INDEX('Saisie'!$AK$5:$AK$2004,_xlfn.MAXIFS('Saisie'!$AS$5:$AS$2004,'Saisie'!$C$5:$C$2004,C416,'Saisie'!$AK$5:$AK$2004,"&lt;&gt;")-4),""))</f>
        <v/>
      </c>
      <c r="AI416" s="60">
        <f>IF(C416="","",IFERROR(INDEX('Saisie'!$AN$5:$AN$2004,_xlfn.MAXIFS('Saisie'!$AS$5:$AS$2004,'Saisie'!$C$5:$C$2004,C416,'Saisie'!$AN$5:$AN$2004,"&lt;&gt;")-4),""))</f>
        <v/>
      </c>
      <c r="AJ416" s="60">
        <f>IF(C416="","",IFERROR(INDEX('Saisie'!$AO$5:$AO$2004,_xlfn.MAXIFS('Saisie'!$AS$5:$AS$2004,'Saisie'!$C$5:$C$2004,C416,'Saisie'!$AO$5:$AO$2004,"&lt;&gt;")-4),""))</f>
        <v/>
      </c>
      <c r="AK416" s="60">
        <f>IF(C416="","",IFERROR(INDEX('Saisie'!$AP$5:$AP$2004,_xlfn.MAXIFS('Saisie'!$AS$5:$AS$2004,'Saisie'!$C$5:$C$2004,C416,'Saisie'!$AP$5:$AP$2004,"&lt;&gt;")-4),""))</f>
        <v/>
      </c>
      <c r="AL416" s="60">
        <f>IF(C416="","",IFERROR(INDEX('Saisie'!$AQ$5:$AQ$2004,_xlfn.MAXIFS('Saisie'!$AS$5:$AS$2004,'Saisie'!$C$5:$C$2004,C416,'Saisie'!$AQ$5:$AQ$2004,"&lt;&gt;")-4),""))</f>
        <v/>
      </c>
      <c r="AM416" s="60">
        <f>IF(C416="","",((AI416="Oui")+(AJ416="Oui")+(AK416="Oui")+OR(AL416="Immédiat",AL416="&lt; 1 mois"))&amp;"/4")</f>
        <v/>
      </c>
      <c r="AN416" s="60">
        <f>IF(C416="","",IFERROR(INDEX('Saisie'!$AL$5:$AL$2004,_xlfn.MAXIFS('Saisie'!$AS$5:$AS$2004,'Saisie'!$C$5:$C$2004,C416,'Saisie'!$AL$5:$AL$2004,"&lt;&gt;")-4),""))</f>
        <v/>
      </c>
      <c r="AO416" s="62">
        <f>IF(C416="","",IF(IFERROR(INDEX('Saisie'!$AM$5:$AM$2004,_xlfn.MAXIFS('Saisie'!$AS$5:$AS$2004,'Saisie'!$C$5:$C$2004,C416,'Saisie'!$AM$5:$AM$2004,"&lt;&gt;")-4),"")&lt;&gt;"",IFERROR(INDEX('Saisie'!$AM$5:$AM$2004,_xlfn.MAXIFS('Saisie'!$AS$5:$AS$2004,'Saisie'!$C$5:$C$2004,C416,'Saisie'!$AM$5:$AM$2004,"&lt;&gt;")-4),""),IFERROR(INDEX('Paramètres'!$S$6:$S$15,MATCH(AN416,'Paramètres'!$Q$6:$Q$15,0)),"")))</f>
        <v/>
      </c>
      <c r="AP416" s="62">
        <f>IF(C416="","",IFERROR(INDEX('Saisie'!$AW$5:$AW$2004,_xlfn.MAXIFS('Saisie'!$AS$5:$AS$2004,'Saisie'!$C$5:$C$2004,C416,'Saisie'!$E$5:$E$2004,"Proposition envoyée")-4),""))</f>
        <v/>
      </c>
      <c r="AQ416" s="106">
        <f>IF(C416="","",IFERROR(1/(1/_xlfn.MAXIFS('Saisie'!$A$5:$A$2004,'Saisie'!$C$5:$C$2004,C416,'Saisie'!$E$5:$E$2004,"Proposition envoyée")),""))</f>
        <v/>
      </c>
      <c r="AR416" s="106">
        <f>IF(C416="","",IF(AQ416="","",AQ416+'Paramètres'!$B$26))</f>
        <v/>
      </c>
      <c r="AS416" s="62">
        <f>IF(OR(C416="",D416="Gagné",D416="Perdu"),0,N(AP416)*IFERROR(INDEX('Paramètres'!$G$6:$G$13,MATCH(D416,'Paramètres'!$F$6:$F$13,0)),0))</f>
        <v/>
      </c>
      <c r="AT416" s="106">
        <f>IF(C416="","",IFERROR(1/(1/_xlfn.MINIFS('Saisie'!$A$5:$A$2004,'Saisie'!$C$5:$C$2004,C416,'Saisie'!$E$5:$E$2004,"Signature")),""))</f>
        <v/>
      </c>
      <c r="AU416" s="60">
        <f>IF(C416="","",IF(OR(AT416="",B416=""),"",AT416-B416))</f>
        <v/>
      </c>
      <c r="AV416" s="60">
        <f>IF(C416="","",IFERROR(INDEX('Saisie'!$L$5:$L$2004,_xlfn.MAXIFS('Saisie'!$AS$5:$AS$2004,'Saisie'!$C$5:$C$2004,C416,'Saisie'!$L$5:$L$2004,"&lt;&gt;")-4),""))</f>
        <v/>
      </c>
      <c r="AW416" s="106">
        <f>IF(C416="","",IF(D416&lt;&gt;"Perdu","",IFERROR(1/(1/_xlfn.MAXIFS('Saisie'!$A$5:$A$2004,'Saisie'!$C$5:$C$2004,C416,'Saisie'!$E$5:$E$2004,"Perdu")),"")))</f>
        <v/>
      </c>
      <c r="AX416" s="106">
        <f>IF(C416="","",IF(AW416="","",AW416+'Paramètres'!$B$28))</f>
        <v/>
      </c>
      <c r="AY416" s="60">
        <f>IF(C416="","",SUMIFS('Saisie'!$H$5:$H$2004,'Saisie'!$C$5:$C$2004,C416))</f>
        <v/>
      </c>
      <c r="AZ416" s="60">
        <f>IF(C416="","",IFERROR(INDEX('Paramètres'!$W$6:$W$20,MATCH(S416,'Paramètres'!$V$6:$V$20,0))&amp;"",""))</f>
        <v/>
      </c>
      <c r="BA416" s="60">
        <f>IF(C416="","",MAX(1,_xlfn.MAXIFS('Saisie'!$AT$5:$AT$2004,'Saisie'!$C$5:$C$2004,C416)))</f>
        <v/>
      </c>
      <c r="BB416" s="60">
        <f>IF(C416="","",IFERROR(INDEX('Saisie'!$X$5:$X$2004,_xlfn.MAXIFS('Saisie'!$AS$5:$AS$2004,'Saisie'!$C$5:$C$2004,C416,'Saisie'!$X$5:$X$2004,"&lt;&gt;")-4),""))</f>
        <v/>
      </c>
      <c r="BC416" s="60">
        <f>IF(C416="","",IFERROR(INDEX('Saisie'!$Y$5:$Y$2004,_xlfn.MAXIFS('Saisie'!$AS$5:$AS$2004,'Saisie'!$C$5:$C$2004,C416,'Saisie'!$Y$5:$Y$2004,"&lt;&gt;")-4),""))</f>
        <v/>
      </c>
      <c r="BD416" s="106">
        <f>IF(C416="","",IFERROR(1/(1/_xlfn.MINIFS('Saisie'!$A$5:$A$2004,'Saisie'!$C$5:$C$2004,C416,'Saisie'!$AT$5:$AT$2004,"&gt;=2")),""))</f>
        <v/>
      </c>
      <c r="BE416" s="106">
        <f>IF(C416="","",IFERROR(1/(1/_xlfn.MINIFS('Saisie'!$A$5:$A$2004,'Saisie'!$C$5:$C$2004,C416,'Saisie'!$AT$5:$AT$2004,"&gt;=3")),""))</f>
        <v/>
      </c>
      <c r="BF416" s="106">
        <f>IF(C416="","",IFERROR(1/(1/_xlfn.MINIFS('Saisie'!$A$5:$A$2004,'Saisie'!$C$5:$C$2004,C416,'Saisie'!$AT$5:$AT$2004,"&gt;=4")),""))</f>
        <v/>
      </c>
      <c r="BG416" s="106">
        <f>IF(C416="","",IFERROR(1/(1/_xlfn.MINIFS('Saisie'!$A$5:$A$2004,'Saisie'!$C$5:$C$2004,C416,'Saisie'!$AT$5:$AT$2004,"&gt;=5")),""))</f>
        <v/>
      </c>
      <c r="BH416" s="106">
        <f>IF(C416="","",IFERROR(1/(1/_xlfn.MINIFS('Saisie'!$A$5:$A$2004,'Saisie'!$C$5:$C$2004,C416,'Saisie'!$AT$5:$AT$2004,"&gt;=6")),""))</f>
        <v/>
      </c>
      <c r="BI416" s="106">
        <f>IF(C416="","",IFERROR(1/(1/_xlfn.MINIFS('Saisie'!$A$5:$A$2004,'Saisie'!$C$5:$C$2004,C416,'Saisie'!$AT$5:$AT$2004,"&gt;=7")),""))</f>
        <v/>
      </c>
      <c r="BJ416" s="60">
        <f>IF(OR(BD416="",B416=""),"",BD416-B416)</f>
        <v/>
      </c>
      <c r="BK416" s="60">
        <f>IF(OR(BE416="",BD416=""),"",BE416-BD416)</f>
        <v/>
      </c>
      <c r="BL416" s="60">
        <f>IF(OR(BF416="",BE416=""),"",BF416-BE416)</f>
        <v/>
      </c>
      <c r="BM416" s="60">
        <f>IF(OR(BG416="",BF416=""),"",BG416-BF416)</f>
        <v/>
      </c>
      <c r="BN416" s="60">
        <f>IF(OR(BH416="",BG416=""),"",BH416-BG416)</f>
        <v/>
      </c>
      <c r="BO416" s="60">
        <f>IF(OR(BI416="",BH416=""),"",BI416-BH416)</f>
        <v/>
      </c>
      <c r="BP416" s="60">
        <f>IF(C416="","",_xlfn.MAXIFS('Saisie'!$AS$5:$AS$2004,'Saisie'!$C$5:$C$2004,C416,'Saisie'!$J$5:$J$2004,"&lt;&gt;"))</f>
        <v/>
      </c>
      <c r="BQ416" s="60">
        <f>IF(C416="","",_xlfn.MAXIFS('Saisie'!$AS$5:$AS$2004,'Saisie'!$C$5:$C$2004,C416))</f>
        <v/>
      </c>
      <c r="BR416" s="60">
        <f>IF(C416="","",_xlfn.MAXIFS('Saisie'!$AS$5:$AS$2004,'Saisie'!$C$5:$C$2004,C416,'Saisie'!$E$5:$E$2004,"Perdu"))</f>
        <v/>
      </c>
      <c r="BS416" s="60">
        <f>IF(C416="","",_xlfn.MAXIFS('Saisie'!$AS$5:$AS$2004,'Saisie'!$C$5:$C$2004,C416,'Saisie'!$AT$5:$AT$2004,"&gt;0"))</f>
        <v/>
      </c>
      <c r="BT416" s="109">
        <f>IF(AND(C416&lt;&gt;"",OR(D416="Nouveau",D416="Contacté",D416="Qualifié"),OR(G416="",N(G416)&lt;=TODAY()),NOT(AND(O416&gt;='Paramètres'!$B$21,P416=0))),E416+412/10000,"")</f>
        <v/>
      </c>
      <c r="BU416" s="60">
        <f>IF(AND(G416&lt;&gt;"",N(G416)&lt;=TODAY()),MAX($BU$4:BU415)+1,"")</f>
        <v/>
      </c>
      <c r="BV416" s="60">
        <f>IF(AND(F416&lt;&gt;"",F416&lt;&gt;"Relance en retard"),MAX($BV$4:BV415)+1,"")</f>
        <v/>
      </c>
      <c r="BW416" s="60">
        <f>IF(C416="","",IF(AND(B416&gt;='Tableau de bord'!$R$4,B416&lt;='Tableau de bord'!$S$4,OR('Tableau de bord'!$G$4="Tous",N416='Tableau de bord'!$G$4)),1,0))</f>
        <v/>
      </c>
      <c r="BX416" s="60">
        <f>IF(AND(C416&lt;&gt;"",N(BA416)=7),MAX($BX$4:BX415)+1,"")</f>
        <v/>
      </c>
    </row>
    <row r="417">
      <c r="A417" s="60">
        <f>IF(C417="","","P-"&amp;TEXT(413,"000"))</f>
        <v/>
      </c>
      <c r="B417" s="106">
        <f>IF(C417="","",IFERROR(1/(1/_xlfn.MINIFS('Saisie'!$A$5:$A$2004,'Saisie'!$C$5:$C$2004,C417)),""))</f>
        <v/>
      </c>
      <c r="C417" s="60">
        <f>IFERROR(INDEX('Saisie'!$C$5:$C$2004,MATCH(413,'Saisie'!$AX$5:$AX$2004,0)),"")</f>
        <v/>
      </c>
      <c r="D417" s="60">
        <f>IF(C417="","",IF(AND(BR417&gt;0,BR417&gt;BS417,BA417&lt;7),"Perdu",INDEX('Paramètres'!$F$6:$F$13,BA417)))</f>
        <v/>
      </c>
      <c r="E417" s="61">
        <f>IF(C417="","",MIN(100,(Z417="Oui")*'Paramètres'!$B$38+(AB417="Régulière")*'Paramètres'!$B$39+IF(AND(N(AA417)&gt;0,TODAY()-N(AA417)&lt;=30),'Paramètres'!$B$40,0)+(W417="")*'Paramètres'!$B$41+(AC417="Absente")*'Paramètres'!$B$42+(AC417="Faible")*'Paramètres'!$B$43+IF(AND(N(AD417)&gt;0,N(AD417)&lt;4),'Paramètres'!$B$44,0)+(AF417="Moyenne")*'Paramètres'!$B$45+(AF417="Grande")*'Paramètres'!$B$46+(Y417&lt;&gt;"")*'Paramètres'!$B$47))</f>
        <v/>
      </c>
      <c r="F417" s="60">
        <f>IF(C417="","",IF(D417="Gagné","",IF(D417="Perdu",IF(AND(AX417&lt;&gt;"",AX417&lt;=TODAY()),"À recontacter (perdu)",""),IF(AND(O417&gt;='Paramètres'!$B$21,P417=0),"Stop : "&amp;'Paramètres'!$B$21&amp;" tentatives sans réponse",IF(AND(D417="Proposition",AR417&lt;&gt;"",TODAY()&gt;N(AR417)),"Proposition expirée",IF(AND(D417="Proposition",N(R417)&gt;='Paramètres'!$B$25),"Proposition sans réponse",IF(AND(G417&lt;&gt;"",N(G417)&lt;TODAY()),"Relance en retard",IF(N(R417)&gt;='Paramètres'!$B$24,"Sans action depuis "&amp;R417&amp;" j",""))))))))</f>
        <v/>
      </c>
      <c r="G417" s="106">
        <f>IF(OR(C417="",D417="Gagné",D417="Perdu"),"",IF(AND(BP417&gt;0,BP417=BQ417),INDEX('Saisie'!$J$5:$J$2004,BP417-4),IF(OR(O417=0,AND(O417&gt;='Paramètres'!$B$21,P417=0)),"",Q417+IF(O417&lt;=1,'Paramètres'!$B$18,IF(O417=2,'Paramètres'!$B$19,'Paramètres'!$B$20)))))</f>
        <v/>
      </c>
      <c r="H417" s="107">
        <f>IF(OR(G417="",BP417&lt;&gt;BQ417),"",IF(INDEX('Saisie'!$K$5:$K$2004,BP417-4)="","",INDEX('Saisie'!$K$5:$K$2004,BP417-4)))</f>
        <v/>
      </c>
      <c r="I417" s="60">
        <f>IF(C417="","",IF(OR(D417="Gagné",D417="Perdu"),"",IFERROR(INDEX('Saisie'!$I$5:$I$2004,_xlfn.MAXIFS('Saisie'!$AS$5:$AS$2004,'Saisie'!$C$5:$C$2004,C417,'Saisie'!$I$5:$I$2004,"&lt;&gt;")-4),"")))</f>
        <v/>
      </c>
      <c r="J417" s="60">
        <f>IF(C417="","",IFERROR(INDEX('Saisie'!$U$5:$U$2004,_xlfn.MAXIFS('Saisie'!$AS$5:$AS$2004,'Saisie'!$C$5:$C$2004,C417,'Saisie'!$U$5:$U$2004,"&lt;&gt;")-4),""))</f>
        <v/>
      </c>
      <c r="K417" s="60">
        <f>IF(C417="","",IFERROR(INDEX('Saisie'!$W$5:$W$2004,_xlfn.MAXIFS('Saisie'!$AS$5:$AS$2004,'Saisie'!$C$5:$C$2004,C417,'Saisie'!$W$5:$W$2004,"&lt;&gt;")-4),""))</f>
        <v/>
      </c>
      <c r="L417" s="60">
        <f>IF(IF(BB417&lt;&gt;"",BB417,K417)="","",HYPERLINK("https://wa.me/"&amp;IF(LEFT(SUBSTITUTE(SUBSTITUTE(SUBSTITUTE(IF(BB417&lt;&gt;"",BB417,K417)," ",""),".",""),"+",""),1)="0",'Paramètres'!$B$35&amp;MID(SUBSTITUTE(SUBSTITUTE(SUBSTITUTE(IF(BB417&lt;&gt;"",BB417,K417)," ",""),".",""),"+",""),2,20),SUBSTITUTE(SUBSTITUTE(SUBSTITUTE(IF(BB417&lt;&gt;"",BB417,K417)," ",""),".",""),"+","")),"WhatsApp"))</f>
        <v/>
      </c>
      <c r="M417" s="60">
        <f>IF(BC417="","",HYPERLINK(IF(LEFT(BC417,4)="http",BC417,"https://www.instagram.com/"&amp;SUBSTITUTE(SUBSTITUTE(BC417,"@","")," ","")),BC417))</f>
        <v/>
      </c>
      <c r="N417" s="60">
        <f>IF(C417="","",IFERROR(INDEX('Saisie'!$D$5:$D$2004,_xlfn.MINIFS('Saisie'!$AS$5:$AS$2004,'Saisie'!$C$5:$C$2004,C417,'Saisie'!$AU$5:$AU$2004,1)-4),IFERROR(INDEX('Saisie'!$D$5:$D$2004,_xlfn.MINIFS('Saisie'!$AS$5:$AS$2004,'Saisie'!$C$5:$C$2004,C417,'Saisie'!$D$5:$D$2004,"&lt;&gt;")-4),"")))</f>
        <v/>
      </c>
      <c r="O417" s="60">
        <f>IF(C417="","",COUNTIFS('Saisie'!$C$5:$C$2004,C417,'Saisie'!$AU$5:$AU$2004,1))</f>
        <v/>
      </c>
      <c r="P417" s="60">
        <f>IF(C417="","",COUNTIFS('Saisie'!$C$5:$C$2004,C417,'Saisie'!$AV$5:$AV$2004,1))</f>
        <v/>
      </c>
      <c r="Q417" s="106">
        <f>IF(C417="","",IFERROR(1/(1/_xlfn.MAXIFS('Saisie'!$A$5:$A$2004,'Saisie'!$C$5:$C$2004,C417)),""))</f>
        <v/>
      </c>
      <c r="R417" s="61">
        <f>IF(C417="","",IF(Q417="","",TODAY()-Q417))</f>
        <v/>
      </c>
      <c r="S417" s="60">
        <f>IF(C417="","",IFERROR(INDEX('Saisie'!$R$5:$R$2004,_xlfn.MAXIFS('Saisie'!$AS$5:$AS$2004,'Saisie'!$C$5:$C$2004,C417,'Saisie'!$R$5:$R$2004,"&lt;&gt;")-4),""))</f>
        <v/>
      </c>
      <c r="T417" s="60">
        <f>IF(C417="","",IFERROR(INDEX('Saisie'!$S$5:$S$2004,_xlfn.MAXIFS('Saisie'!$AS$5:$AS$2004,'Saisie'!$C$5:$C$2004,C417,'Saisie'!$S$5:$S$2004,"&lt;&gt;")-4),""))</f>
        <v/>
      </c>
      <c r="U417" s="60">
        <f>IF(C417="","",IFERROR(INDEX('Saisie'!$T$5:$T$2004,_xlfn.MAXIFS('Saisie'!$AS$5:$AS$2004,'Saisie'!$C$5:$C$2004,C417,'Saisie'!$T$5:$T$2004,"&lt;&gt;")-4),""))</f>
        <v/>
      </c>
      <c r="V417" s="60">
        <f>IF(C417="","",IFERROR(INDEX('Saisie'!$V$5:$V$2004,_xlfn.MAXIFS('Saisie'!$AS$5:$AS$2004,'Saisie'!$C$5:$C$2004,C417,'Saisie'!$V$5:$V$2004,"&lt;&gt;")-4),""))</f>
        <v/>
      </c>
      <c r="W417" s="60">
        <f>IF(C417="","",IFERROR(INDEX('Saisie'!$Z$5:$Z$2004,_xlfn.MAXIFS('Saisie'!$AS$5:$AS$2004,'Saisie'!$C$5:$C$2004,C417,'Saisie'!$Z$5:$Z$2004,"&lt;&gt;")-4),""))</f>
        <v/>
      </c>
      <c r="X417" s="60">
        <f>IF(C417="","",IFERROR(INDEX('Saisie'!$AA$5:$AA$2004,_xlfn.MAXIFS('Saisie'!$AS$5:$AS$2004,'Saisie'!$C$5:$C$2004,C417,'Saisie'!$AA$5:$AA$2004,"&lt;&gt;")-4),""))</f>
        <v/>
      </c>
      <c r="Y417" s="60">
        <f>IF(C417="","",IFERROR(INDEX('Saisie'!$AB$5:$AB$2004,_xlfn.MAXIFS('Saisie'!$AS$5:$AS$2004,'Saisie'!$C$5:$C$2004,C417,'Saisie'!$AB$5:$AB$2004,"&lt;&gt;")-4),""))</f>
        <v/>
      </c>
      <c r="Z417" s="60">
        <f>IF(C417="","",IFERROR(INDEX('Saisie'!$AC$5:$AC$2004,_xlfn.MAXIFS('Saisie'!$AS$5:$AS$2004,'Saisie'!$C$5:$C$2004,C417,'Saisie'!$AC$5:$AC$2004,"&lt;&gt;")-4),""))</f>
        <v/>
      </c>
      <c r="AA417" s="106">
        <f>IF(C417="","",IFERROR(INDEX('Saisie'!$AD$5:$AD$2004,_xlfn.MAXIFS('Saisie'!$AS$5:$AS$2004,'Saisie'!$C$5:$C$2004,C417,'Saisie'!$AD$5:$AD$2004,"&lt;&gt;")-4),""))</f>
        <v/>
      </c>
      <c r="AB417" s="60">
        <f>IF(C417="","",IFERROR(INDEX('Saisie'!$AE$5:$AE$2004,_xlfn.MAXIFS('Saisie'!$AS$5:$AS$2004,'Saisie'!$C$5:$C$2004,C417,'Saisie'!$AE$5:$AE$2004,"&lt;&gt;")-4),""))</f>
        <v/>
      </c>
      <c r="AC417" s="60">
        <f>IF(C417="","",IFERROR(INDEX('Saisie'!$AF$5:$AF$2004,_xlfn.MAXIFS('Saisie'!$AS$5:$AS$2004,'Saisie'!$C$5:$C$2004,C417,'Saisie'!$AF$5:$AF$2004,"&lt;&gt;")-4),""))</f>
        <v/>
      </c>
      <c r="AD417" s="108">
        <f>IF(C417="","",IFERROR(INDEX('Saisie'!$AG$5:$AG$2004,_xlfn.MAXIFS('Saisie'!$AS$5:$AS$2004,'Saisie'!$C$5:$C$2004,C417,'Saisie'!$AG$5:$AG$2004,"&lt;&gt;")-4),""))</f>
        <v/>
      </c>
      <c r="AE417" s="60">
        <f>IF(C417="","",IFERROR(INDEX('Saisie'!$AH$5:$AH$2004,_xlfn.MAXIFS('Saisie'!$AS$5:$AS$2004,'Saisie'!$C$5:$C$2004,C417,'Saisie'!$AH$5:$AH$2004,"&lt;&gt;")-4),""))</f>
        <v/>
      </c>
      <c r="AF417" s="60">
        <f>IF(C417="","",IFERROR(INDEX('Saisie'!$AI$5:$AI$2004,_xlfn.MAXIFS('Saisie'!$AS$5:$AS$2004,'Saisie'!$C$5:$C$2004,C417,'Saisie'!$AI$5:$AI$2004,"&lt;&gt;")-4),""))</f>
        <v/>
      </c>
      <c r="AG417" s="60">
        <f>IF(C417="","",IFERROR(INDEX('Saisie'!$AJ$5:$AJ$2004,_xlfn.MAXIFS('Saisie'!$AS$5:$AS$2004,'Saisie'!$C$5:$C$2004,C417,'Saisie'!$AJ$5:$AJ$2004,"&lt;&gt;")-4),""))</f>
        <v/>
      </c>
      <c r="AH417" s="60">
        <f>IF(C417="","",IFERROR(INDEX('Saisie'!$AK$5:$AK$2004,_xlfn.MAXIFS('Saisie'!$AS$5:$AS$2004,'Saisie'!$C$5:$C$2004,C417,'Saisie'!$AK$5:$AK$2004,"&lt;&gt;")-4),""))</f>
        <v/>
      </c>
      <c r="AI417" s="60">
        <f>IF(C417="","",IFERROR(INDEX('Saisie'!$AN$5:$AN$2004,_xlfn.MAXIFS('Saisie'!$AS$5:$AS$2004,'Saisie'!$C$5:$C$2004,C417,'Saisie'!$AN$5:$AN$2004,"&lt;&gt;")-4),""))</f>
        <v/>
      </c>
      <c r="AJ417" s="60">
        <f>IF(C417="","",IFERROR(INDEX('Saisie'!$AO$5:$AO$2004,_xlfn.MAXIFS('Saisie'!$AS$5:$AS$2004,'Saisie'!$C$5:$C$2004,C417,'Saisie'!$AO$5:$AO$2004,"&lt;&gt;")-4),""))</f>
        <v/>
      </c>
      <c r="AK417" s="60">
        <f>IF(C417="","",IFERROR(INDEX('Saisie'!$AP$5:$AP$2004,_xlfn.MAXIFS('Saisie'!$AS$5:$AS$2004,'Saisie'!$C$5:$C$2004,C417,'Saisie'!$AP$5:$AP$2004,"&lt;&gt;")-4),""))</f>
        <v/>
      </c>
      <c r="AL417" s="60">
        <f>IF(C417="","",IFERROR(INDEX('Saisie'!$AQ$5:$AQ$2004,_xlfn.MAXIFS('Saisie'!$AS$5:$AS$2004,'Saisie'!$C$5:$C$2004,C417,'Saisie'!$AQ$5:$AQ$2004,"&lt;&gt;")-4),""))</f>
        <v/>
      </c>
      <c r="AM417" s="60">
        <f>IF(C417="","",((AI417="Oui")+(AJ417="Oui")+(AK417="Oui")+OR(AL417="Immédiat",AL417="&lt; 1 mois"))&amp;"/4")</f>
        <v/>
      </c>
      <c r="AN417" s="60">
        <f>IF(C417="","",IFERROR(INDEX('Saisie'!$AL$5:$AL$2004,_xlfn.MAXIFS('Saisie'!$AS$5:$AS$2004,'Saisie'!$C$5:$C$2004,C417,'Saisie'!$AL$5:$AL$2004,"&lt;&gt;")-4),""))</f>
        <v/>
      </c>
      <c r="AO417" s="62">
        <f>IF(C417="","",IF(IFERROR(INDEX('Saisie'!$AM$5:$AM$2004,_xlfn.MAXIFS('Saisie'!$AS$5:$AS$2004,'Saisie'!$C$5:$C$2004,C417,'Saisie'!$AM$5:$AM$2004,"&lt;&gt;")-4),"")&lt;&gt;"",IFERROR(INDEX('Saisie'!$AM$5:$AM$2004,_xlfn.MAXIFS('Saisie'!$AS$5:$AS$2004,'Saisie'!$C$5:$C$2004,C417,'Saisie'!$AM$5:$AM$2004,"&lt;&gt;")-4),""),IFERROR(INDEX('Paramètres'!$S$6:$S$15,MATCH(AN417,'Paramètres'!$Q$6:$Q$15,0)),"")))</f>
        <v/>
      </c>
      <c r="AP417" s="62">
        <f>IF(C417="","",IFERROR(INDEX('Saisie'!$AW$5:$AW$2004,_xlfn.MAXIFS('Saisie'!$AS$5:$AS$2004,'Saisie'!$C$5:$C$2004,C417,'Saisie'!$E$5:$E$2004,"Proposition envoyée")-4),""))</f>
        <v/>
      </c>
      <c r="AQ417" s="106">
        <f>IF(C417="","",IFERROR(1/(1/_xlfn.MAXIFS('Saisie'!$A$5:$A$2004,'Saisie'!$C$5:$C$2004,C417,'Saisie'!$E$5:$E$2004,"Proposition envoyée")),""))</f>
        <v/>
      </c>
      <c r="AR417" s="106">
        <f>IF(C417="","",IF(AQ417="","",AQ417+'Paramètres'!$B$26))</f>
        <v/>
      </c>
      <c r="AS417" s="62">
        <f>IF(OR(C417="",D417="Gagné",D417="Perdu"),0,N(AP417)*IFERROR(INDEX('Paramètres'!$G$6:$G$13,MATCH(D417,'Paramètres'!$F$6:$F$13,0)),0))</f>
        <v/>
      </c>
      <c r="AT417" s="106">
        <f>IF(C417="","",IFERROR(1/(1/_xlfn.MINIFS('Saisie'!$A$5:$A$2004,'Saisie'!$C$5:$C$2004,C417,'Saisie'!$E$5:$E$2004,"Signature")),""))</f>
        <v/>
      </c>
      <c r="AU417" s="60">
        <f>IF(C417="","",IF(OR(AT417="",B417=""),"",AT417-B417))</f>
        <v/>
      </c>
      <c r="AV417" s="60">
        <f>IF(C417="","",IFERROR(INDEX('Saisie'!$L$5:$L$2004,_xlfn.MAXIFS('Saisie'!$AS$5:$AS$2004,'Saisie'!$C$5:$C$2004,C417,'Saisie'!$L$5:$L$2004,"&lt;&gt;")-4),""))</f>
        <v/>
      </c>
      <c r="AW417" s="106">
        <f>IF(C417="","",IF(D417&lt;&gt;"Perdu","",IFERROR(1/(1/_xlfn.MAXIFS('Saisie'!$A$5:$A$2004,'Saisie'!$C$5:$C$2004,C417,'Saisie'!$E$5:$E$2004,"Perdu")),"")))</f>
        <v/>
      </c>
      <c r="AX417" s="106">
        <f>IF(C417="","",IF(AW417="","",AW417+'Paramètres'!$B$28))</f>
        <v/>
      </c>
      <c r="AY417" s="60">
        <f>IF(C417="","",SUMIFS('Saisie'!$H$5:$H$2004,'Saisie'!$C$5:$C$2004,C417))</f>
        <v/>
      </c>
      <c r="AZ417" s="60">
        <f>IF(C417="","",IFERROR(INDEX('Paramètres'!$W$6:$W$20,MATCH(S417,'Paramètres'!$V$6:$V$20,0))&amp;"",""))</f>
        <v/>
      </c>
      <c r="BA417" s="60">
        <f>IF(C417="","",MAX(1,_xlfn.MAXIFS('Saisie'!$AT$5:$AT$2004,'Saisie'!$C$5:$C$2004,C417)))</f>
        <v/>
      </c>
      <c r="BB417" s="60">
        <f>IF(C417="","",IFERROR(INDEX('Saisie'!$X$5:$X$2004,_xlfn.MAXIFS('Saisie'!$AS$5:$AS$2004,'Saisie'!$C$5:$C$2004,C417,'Saisie'!$X$5:$X$2004,"&lt;&gt;")-4),""))</f>
        <v/>
      </c>
      <c r="BC417" s="60">
        <f>IF(C417="","",IFERROR(INDEX('Saisie'!$Y$5:$Y$2004,_xlfn.MAXIFS('Saisie'!$AS$5:$AS$2004,'Saisie'!$C$5:$C$2004,C417,'Saisie'!$Y$5:$Y$2004,"&lt;&gt;")-4),""))</f>
        <v/>
      </c>
      <c r="BD417" s="106">
        <f>IF(C417="","",IFERROR(1/(1/_xlfn.MINIFS('Saisie'!$A$5:$A$2004,'Saisie'!$C$5:$C$2004,C417,'Saisie'!$AT$5:$AT$2004,"&gt;=2")),""))</f>
        <v/>
      </c>
      <c r="BE417" s="106">
        <f>IF(C417="","",IFERROR(1/(1/_xlfn.MINIFS('Saisie'!$A$5:$A$2004,'Saisie'!$C$5:$C$2004,C417,'Saisie'!$AT$5:$AT$2004,"&gt;=3")),""))</f>
        <v/>
      </c>
      <c r="BF417" s="106">
        <f>IF(C417="","",IFERROR(1/(1/_xlfn.MINIFS('Saisie'!$A$5:$A$2004,'Saisie'!$C$5:$C$2004,C417,'Saisie'!$AT$5:$AT$2004,"&gt;=4")),""))</f>
        <v/>
      </c>
      <c r="BG417" s="106">
        <f>IF(C417="","",IFERROR(1/(1/_xlfn.MINIFS('Saisie'!$A$5:$A$2004,'Saisie'!$C$5:$C$2004,C417,'Saisie'!$AT$5:$AT$2004,"&gt;=5")),""))</f>
        <v/>
      </c>
      <c r="BH417" s="106">
        <f>IF(C417="","",IFERROR(1/(1/_xlfn.MINIFS('Saisie'!$A$5:$A$2004,'Saisie'!$C$5:$C$2004,C417,'Saisie'!$AT$5:$AT$2004,"&gt;=6")),""))</f>
        <v/>
      </c>
      <c r="BI417" s="106">
        <f>IF(C417="","",IFERROR(1/(1/_xlfn.MINIFS('Saisie'!$A$5:$A$2004,'Saisie'!$C$5:$C$2004,C417,'Saisie'!$AT$5:$AT$2004,"&gt;=7")),""))</f>
        <v/>
      </c>
      <c r="BJ417" s="60">
        <f>IF(OR(BD417="",B417=""),"",BD417-B417)</f>
        <v/>
      </c>
      <c r="BK417" s="60">
        <f>IF(OR(BE417="",BD417=""),"",BE417-BD417)</f>
        <v/>
      </c>
      <c r="BL417" s="60">
        <f>IF(OR(BF417="",BE417=""),"",BF417-BE417)</f>
        <v/>
      </c>
      <c r="BM417" s="60">
        <f>IF(OR(BG417="",BF417=""),"",BG417-BF417)</f>
        <v/>
      </c>
      <c r="BN417" s="60">
        <f>IF(OR(BH417="",BG417=""),"",BH417-BG417)</f>
        <v/>
      </c>
      <c r="BO417" s="60">
        <f>IF(OR(BI417="",BH417=""),"",BI417-BH417)</f>
        <v/>
      </c>
      <c r="BP417" s="60">
        <f>IF(C417="","",_xlfn.MAXIFS('Saisie'!$AS$5:$AS$2004,'Saisie'!$C$5:$C$2004,C417,'Saisie'!$J$5:$J$2004,"&lt;&gt;"))</f>
        <v/>
      </c>
      <c r="BQ417" s="60">
        <f>IF(C417="","",_xlfn.MAXIFS('Saisie'!$AS$5:$AS$2004,'Saisie'!$C$5:$C$2004,C417))</f>
        <v/>
      </c>
      <c r="BR417" s="60">
        <f>IF(C417="","",_xlfn.MAXIFS('Saisie'!$AS$5:$AS$2004,'Saisie'!$C$5:$C$2004,C417,'Saisie'!$E$5:$E$2004,"Perdu"))</f>
        <v/>
      </c>
      <c r="BS417" s="60">
        <f>IF(C417="","",_xlfn.MAXIFS('Saisie'!$AS$5:$AS$2004,'Saisie'!$C$5:$C$2004,C417,'Saisie'!$AT$5:$AT$2004,"&gt;0"))</f>
        <v/>
      </c>
      <c r="BT417" s="109">
        <f>IF(AND(C417&lt;&gt;"",OR(D417="Nouveau",D417="Contacté",D417="Qualifié"),OR(G417="",N(G417)&lt;=TODAY()),NOT(AND(O417&gt;='Paramètres'!$B$21,P417=0))),E417+413/10000,"")</f>
        <v/>
      </c>
      <c r="BU417" s="60">
        <f>IF(AND(G417&lt;&gt;"",N(G417)&lt;=TODAY()),MAX($BU$4:BU416)+1,"")</f>
        <v/>
      </c>
      <c r="BV417" s="60">
        <f>IF(AND(F417&lt;&gt;"",F417&lt;&gt;"Relance en retard"),MAX($BV$4:BV416)+1,"")</f>
        <v/>
      </c>
      <c r="BW417" s="60">
        <f>IF(C417="","",IF(AND(B417&gt;='Tableau de bord'!$R$4,B417&lt;='Tableau de bord'!$S$4,OR('Tableau de bord'!$G$4="Tous",N417='Tableau de bord'!$G$4)),1,0))</f>
        <v/>
      </c>
      <c r="BX417" s="60">
        <f>IF(AND(C417&lt;&gt;"",N(BA417)=7),MAX($BX$4:BX416)+1,"")</f>
        <v/>
      </c>
    </row>
    <row r="418">
      <c r="A418" s="60">
        <f>IF(C418="","","P-"&amp;TEXT(414,"000"))</f>
        <v/>
      </c>
      <c r="B418" s="106">
        <f>IF(C418="","",IFERROR(1/(1/_xlfn.MINIFS('Saisie'!$A$5:$A$2004,'Saisie'!$C$5:$C$2004,C418)),""))</f>
        <v/>
      </c>
      <c r="C418" s="60">
        <f>IFERROR(INDEX('Saisie'!$C$5:$C$2004,MATCH(414,'Saisie'!$AX$5:$AX$2004,0)),"")</f>
        <v/>
      </c>
      <c r="D418" s="60">
        <f>IF(C418="","",IF(AND(BR418&gt;0,BR418&gt;BS418,BA418&lt;7),"Perdu",INDEX('Paramètres'!$F$6:$F$13,BA418)))</f>
        <v/>
      </c>
      <c r="E418" s="61">
        <f>IF(C418="","",MIN(100,(Z418="Oui")*'Paramètres'!$B$38+(AB418="Régulière")*'Paramètres'!$B$39+IF(AND(N(AA418)&gt;0,TODAY()-N(AA418)&lt;=30),'Paramètres'!$B$40,0)+(W418="")*'Paramètres'!$B$41+(AC418="Absente")*'Paramètres'!$B$42+(AC418="Faible")*'Paramètres'!$B$43+IF(AND(N(AD418)&gt;0,N(AD418)&lt;4),'Paramètres'!$B$44,0)+(AF418="Moyenne")*'Paramètres'!$B$45+(AF418="Grande")*'Paramètres'!$B$46+(Y418&lt;&gt;"")*'Paramètres'!$B$47))</f>
        <v/>
      </c>
      <c r="F418" s="60">
        <f>IF(C418="","",IF(D418="Gagné","",IF(D418="Perdu",IF(AND(AX418&lt;&gt;"",AX418&lt;=TODAY()),"À recontacter (perdu)",""),IF(AND(O418&gt;='Paramètres'!$B$21,P418=0),"Stop : "&amp;'Paramètres'!$B$21&amp;" tentatives sans réponse",IF(AND(D418="Proposition",AR418&lt;&gt;"",TODAY()&gt;N(AR418)),"Proposition expirée",IF(AND(D418="Proposition",N(R418)&gt;='Paramètres'!$B$25),"Proposition sans réponse",IF(AND(G418&lt;&gt;"",N(G418)&lt;TODAY()),"Relance en retard",IF(N(R418)&gt;='Paramètres'!$B$24,"Sans action depuis "&amp;R418&amp;" j",""))))))))</f>
        <v/>
      </c>
      <c r="G418" s="106">
        <f>IF(OR(C418="",D418="Gagné",D418="Perdu"),"",IF(AND(BP418&gt;0,BP418=BQ418),INDEX('Saisie'!$J$5:$J$2004,BP418-4),IF(OR(O418=0,AND(O418&gt;='Paramètres'!$B$21,P418=0)),"",Q418+IF(O418&lt;=1,'Paramètres'!$B$18,IF(O418=2,'Paramètres'!$B$19,'Paramètres'!$B$20)))))</f>
        <v/>
      </c>
      <c r="H418" s="107">
        <f>IF(OR(G418="",BP418&lt;&gt;BQ418),"",IF(INDEX('Saisie'!$K$5:$K$2004,BP418-4)="","",INDEX('Saisie'!$K$5:$K$2004,BP418-4)))</f>
        <v/>
      </c>
      <c r="I418" s="60">
        <f>IF(C418="","",IF(OR(D418="Gagné",D418="Perdu"),"",IFERROR(INDEX('Saisie'!$I$5:$I$2004,_xlfn.MAXIFS('Saisie'!$AS$5:$AS$2004,'Saisie'!$C$5:$C$2004,C418,'Saisie'!$I$5:$I$2004,"&lt;&gt;")-4),"")))</f>
        <v/>
      </c>
      <c r="J418" s="60">
        <f>IF(C418="","",IFERROR(INDEX('Saisie'!$U$5:$U$2004,_xlfn.MAXIFS('Saisie'!$AS$5:$AS$2004,'Saisie'!$C$5:$C$2004,C418,'Saisie'!$U$5:$U$2004,"&lt;&gt;")-4),""))</f>
        <v/>
      </c>
      <c r="K418" s="60">
        <f>IF(C418="","",IFERROR(INDEX('Saisie'!$W$5:$W$2004,_xlfn.MAXIFS('Saisie'!$AS$5:$AS$2004,'Saisie'!$C$5:$C$2004,C418,'Saisie'!$W$5:$W$2004,"&lt;&gt;")-4),""))</f>
        <v/>
      </c>
      <c r="L418" s="60">
        <f>IF(IF(BB418&lt;&gt;"",BB418,K418)="","",HYPERLINK("https://wa.me/"&amp;IF(LEFT(SUBSTITUTE(SUBSTITUTE(SUBSTITUTE(IF(BB418&lt;&gt;"",BB418,K418)," ",""),".",""),"+",""),1)="0",'Paramètres'!$B$35&amp;MID(SUBSTITUTE(SUBSTITUTE(SUBSTITUTE(IF(BB418&lt;&gt;"",BB418,K418)," ",""),".",""),"+",""),2,20),SUBSTITUTE(SUBSTITUTE(SUBSTITUTE(IF(BB418&lt;&gt;"",BB418,K418)," ",""),".",""),"+","")),"WhatsApp"))</f>
        <v/>
      </c>
      <c r="M418" s="60">
        <f>IF(BC418="","",HYPERLINK(IF(LEFT(BC418,4)="http",BC418,"https://www.instagram.com/"&amp;SUBSTITUTE(SUBSTITUTE(BC418,"@","")," ","")),BC418))</f>
        <v/>
      </c>
      <c r="N418" s="60">
        <f>IF(C418="","",IFERROR(INDEX('Saisie'!$D$5:$D$2004,_xlfn.MINIFS('Saisie'!$AS$5:$AS$2004,'Saisie'!$C$5:$C$2004,C418,'Saisie'!$AU$5:$AU$2004,1)-4),IFERROR(INDEX('Saisie'!$D$5:$D$2004,_xlfn.MINIFS('Saisie'!$AS$5:$AS$2004,'Saisie'!$C$5:$C$2004,C418,'Saisie'!$D$5:$D$2004,"&lt;&gt;")-4),"")))</f>
        <v/>
      </c>
      <c r="O418" s="60">
        <f>IF(C418="","",COUNTIFS('Saisie'!$C$5:$C$2004,C418,'Saisie'!$AU$5:$AU$2004,1))</f>
        <v/>
      </c>
      <c r="P418" s="60">
        <f>IF(C418="","",COUNTIFS('Saisie'!$C$5:$C$2004,C418,'Saisie'!$AV$5:$AV$2004,1))</f>
        <v/>
      </c>
      <c r="Q418" s="106">
        <f>IF(C418="","",IFERROR(1/(1/_xlfn.MAXIFS('Saisie'!$A$5:$A$2004,'Saisie'!$C$5:$C$2004,C418)),""))</f>
        <v/>
      </c>
      <c r="R418" s="61">
        <f>IF(C418="","",IF(Q418="","",TODAY()-Q418))</f>
        <v/>
      </c>
      <c r="S418" s="60">
        <f>IF(C418="","",IFERROR(INDEX('Saisie'!$R$5:$R$2004,_xlfn.MAXIFS('Saisie'!$AS$5:$AS$2004,'Saisie'!$C$5:$C$2004,C418,'Saisie'!$R$5:$R$2004,"&lt;&gt;")-4),""))</f>
        <v/>
      </c>
      <c r="T418" s="60">
        <f>IF(C418="","",IFERROR(INDEX('Saisie'!$S$5:$S$2004,_xlfn.MAXIFS('Saisie'!$AS$5:$AS$2004,'Saisie'!$C$5:$C$2004,C418,'Saisie'!$S$5:$S$2004,"&lt;&gt;")-4),""))</f>
        <v/>
      </c>
      <c r="U418" s="60">
        <f>IF(C418="","",IFERROR(INDEX('Saisie'!$T$5:$T$2004,_xlfn.MAXIFS('Saisie'!$AS$5:$AS$2004,'Saisie'!$C$5:$C$2004,C418,'Saisie'!$T$5:$T$2004,"&lt;&gt;")-4),""))</f>
        <v/>
      </c>
      <c r="V418" s="60">
        <f>IF(C418="","",IFERROR(INDEX('Saisie'!$V$5:$V$2004,_xlfn.MAXIFS('Saisie'!$AS$5:$AS$2004,'Saisie'!$C$5:$C$2004,C418,'Saisie'!$V$5:$V$2004,"&lt;&gt;")-4),""))</f>
        <v/>
      </c>
      <c r="W418" s="60">
        <f>IF(C418="","",IFERROR(INDEX('Saisie'!$Z$5:$Z$2004,_xlfn.MAXIFS('Saisie'!$AS$5:$AS$2004,'Saisie'!$C$5:$C$2004,C418,'Saisie'!$Z$5:$Z$2004,"&lt;&gt;")-4),""))</f>
        <v/>
      </c>
      <c r="X418" s="60">
        <f>IF(C418="","",IFERROR(INDEX('Saisie'!$AA$5:$AA$2004,_xlfn.MAXIFS('Saisie'!$AS$5:$AS$2004,'Saisie'!$C$5:$C$2004,C418,'Saisie'!$AA$5:$AA$2004,"&lt;&gt;")-4),""))</f>
        <v/>
      </c>
      <c r="Y418" s="60">
        <f>IF(C418="","",IFERROR(INDEX('Saisie'!$AB$5:$AB$2004,_xlfn.MAXIFS('Saisie'!$AS$5:$AS$2004,'Saisie'!$C$5:$C$2004,C418,'Saisie'!$AB$5:$AB$2004,"&lt;&gt;")-4),""))</f>
        <v/>
      </c>
      <c r="Z418" s="60">
        <f>IF(C418="","",IFERROR(INDEX('Saisie'!$AC$5:$AC$2004,_xlfn.MAXIFS('Saisie'!$AS$5:$AS$2004,'Saisie'!$C$5:$C$2004,C418,'Saisie'!$AC$5:$AC$2004,"&lt;&gt;")-4),""))</f>
        <v/>
      </c>
      <c r="AA418" s="106">
        <f>IF(C418="","",IFERROR(INDEX('Saisie'!$AD$5:$AD$2004,_xlfn.MAXIFS('Saisie'!$AS$5:$AS$2004,'Saisie'!$C$5:$C$2004,C418,'Saisie'!$AD$5:$AD$2004,"&lt;&gt;")-4),""))</f>
        <v/>
      </c>
      <c r="AB418" s="60">
        <f>IF(C418="","",IFERROR(INDEX('Saisie'!$AE$5:$AE$2004,_xlfn.MAXIFS('Saisie'!$AS$5:$AS$2004,'Saisie'!$C$5:$C$2004,C418,'Saisie'!$AE$5:$AE$2004,"&lt;&gt;")-4),""))</f>
        <v/>
      </c>
      <c r="AC418" s="60">
        <f>IF(C418="","",IFERROR(INDEX('Saisie'!$AF$5:$AF$2004,_xlfn.MAXIFS('Saisie'!$AS$5:$AS$2004,'Saisie'!$C$5:$C$2004,C418,'Saisie'!$AF$5:$AF$2004,"&lt;&gt;")-4),""))</f>
        <v/>
      </c>
      <c r="AD418" s="108">
        <f>IF(C418="","",IFERROR(INDEX('Saisie'!$AG$5:$AG$2004,_xlfn.MAXIFS('Saisie'!$AS$5:$AS$2004,'Saisie'!$C$5:$C$2004,C418,'Saisie'!$AG$5:$AG$2004,"&lt;&gt;")-4),""))</f>
        <v/>
      </c>
      <c r="AE418" s="60">
        <f>IF(C418="","",IFERROR(INDEX('Saisie'!$AH$5:$AH$2004,_xlfn.MAXIFS('Saisie'!$AS$5:$AS$2004,'Saisie'!$C$5:$C$2004,C418,'Saisie'!$AH$5:$AH$2004,"&lt;&gt;")-4),""))</f>
        <v/>
      </c>
      <c r="AF418" s="60">
        <f>IF(C418="","",IFERROR(INDEX('Saisie'!$AI$5:$AI$2004,_xlfn.MAXIFS('Saisie'!$AS$5:$AS$2004,'Saisie'!$C$5:$C$2004,C418,'Saisie'!$AI$5:$AI$2004,"&lt;&gt;")-4),""))</f>
        <v/>
      </c>
      <c r="AG418" s="60">
        <f>IF(C418="","",IFERROR(INDEX('Saisie'!$AJ$5:$AJ$2004,_xlfn.MAXIFS('Saisie'!$AS$5:$AS$2004,'Saisie'!$C$5:$C$2004,C418,'Saisie'!$AJ$5:$AJ$2004,"&lt;&gt;")-4),""))</f>
        <v/>
      </c>
      <c r="AH418" s="60">
        <f>IF(C418="","",IFERROR(INDEX('Saisie'!$AK$5:$AK$2004,_xlfn.MAXIFS('Saisie'!$AS$5:$AS$2004,'Saisie'!$C$5:$C$2004,C418,'Saisie'!$AK$5:$AK$2004,"&lt;&gt;")-4),""))</f>
        <v/>
      </c>
      <c r="AI418" s="60">
        <f>IF(C418="","",IFERROR(INDEX('Saisie'!$AN$5:$AN$2004,_xlfn.MAXIFS('Saisie'!$AS$5:$AS$2004,'Saisie'!$C$5:$C$2004,C418,'Saisie'!$AN$5:$AN$2004,"&lt;&gt;")-4),""))</f>
        <v/>
      </c>
      <c r="AJ418" s="60">
        <f>IF(C418="","",IFERROR(INDEX('Saisie'!$AO$5:$AO$2004,_xlfn.MAXIFS('Saisie'!$AS$5:$AS$2004,'Saisie'!$C$5:$C$2004,C418,'Saisie'!$AO$5:$AO$2004,"&lt;&gt;")-4),""))</f>
        <v/>
      </c>
      <c r="AK418" s="60">
        <f>IF(C418="","",IFERROR(INDEX('Saisie'!$AP$5:$AP$2004,_xlfn.MAXIFS('Saisie'!$AS$5:$AS$2004,'Saisie'!$C$5:$C$2004,C418,'Saisie'!$AP$5:$AP$2004,"&lt;&gt;")-4),""))</f>
        <v/>
      </c>
      <c r="AL418" s="60">
        <f>IF(C418="","",IFERROR(INDEX('Saisie'!$AQ$5:$AQ$2004,_xlfn.MAXIFS('Saisie'!$AS$5:$AS$2004,'Saisie'!$C$5:$C$2004,C418,'Saisie'!$AQ$5:$AQ$2004,"&lt;&gt;")-4),""))</f>
        <v/>
      </c>
      <c r="AM418" s="60">
        <f>IF(C418="","",((AI418="Oui")+(AJ418="Oui")+(AK418="Oui")+OR(AL418="Immédiat",AL418="&lt; 1 mois"))&amp;"/4")</f>
        <v/>
      </c>
      <c r="AN418" s="60">
        <f>IF(C418="","",IFERROR(INDEX('Saisie'!$AL$5:$AL$2004,_xlfn.MAXIFS('Saisie'!$AS$5:$AS$2004,'Saisie'!$C$5:$C$2004,C418,'Saisie'!$AL$5:$AL$2004,"&lt;&gt;")-4),""))</f>
        <v/>
      </c>
      <c r="AO418" s="62">
        <f>IF(C418="","",IF(IFERROR(INDEX('Saisie'!$AM$5:$AM$2004,_xlfn.MAXIFS('Saisie'!$AS$5:$AS$2004,'Saisie'!$C$5:$C$2004,C418,'Saisie'!$AM$5:$AM$2004,"&lt;&gt;")-4),"")&lt;&gt;"",IFERROR(INDEX('Saisie'!$AM$5:$AM$2004,_xlfn.MAXIFS('Saisie'!$AS$5:$AS$2004,'Saisie'!$C$5:$C$2004,C418,'Saisie'!$AM$5:$AM$2004,"&lt;&gt;")-4),""),IFERROR(INDEX('Paramètres'!$S$6:$S$15,MATCH(AN418,'Paramètres'!$Q$6:$Q$15,0)),"")))</f>
        <v/>
      </c>
      <c r="AP418" s="62">
        <f>IF(C418="","",IFERROR(INDEX('Saisie'!$AW$5:$AW$2004,_xlfn.MAXIFS('Saisie'!$AS$5:$AS$2004,'Saisie'!$C$5:$C$2004,C418,'Saisie'!$E$5:$E$2004,"Proposition envoyée")-4),""))</f>
        <v/>
      </c>
      <c r="AQ418" s="106">
        <f>IF(C418="","",IFERROR(1/(1/_xlfn.MAXIFS('Saisie'!$A$5:$A$2004,'Saisie'!$C$5:$C$2004,C418,'Saisie'!$E$5:$E$2004,"Proposition envoyée")),""))</f>
        <v/>
      </c>
      <c r="AR418" s="106">
        <f>IF(C418="","",IF(AQ418="","",AQ418+'Paramètres'!$B$26))</f>
        <v/>
      </c>
      <c r="AS418" s="62">
        <f>IF(OR(C418="",D418="Gagné",D418="Perdu"),0,N(AP418)*IFERROR(INDEX('Paramètres'!$G$6:$G$13,MATCH(D418,'Paramètres'!$F$6:$F$13,0)),0))</f>
        <v/>
      </c>
      <c r="AT418" s="106">
        <f>IF(C418="","",IFERROR(1/(1/_xlfn.MINIFS('Saisie'!$A$5:$A$2004,'Saisie'!$C$5:$C$2004,C418,'Saisie'!$E$5:$E$2004,"Signature")),""))</f>
        <v/>
      </c>
      <c r="AU418" s="60">
        <f>IF(C418="","",IF(OR(AT418="",B418=""),"",AT418-B418))</f>
        <v/>
      </c>
      <c r="AV418" s="60">
        <f>IF(C418="","",IFERROR(INDEX('Saisie'!$L$5:$L$2004,_xlfn.MAXIFS('Saisie'!$AS$5:$AS$2004,'Saisie'!$C$5:$C$2004,C418,'Saisie'!$L$5:$L$2004,"&lt;&gt;")-4),""))</f>
        <v/>
      </c>
      <c r="AW418" s="106">
        <f>IF(C418="","",IF(D418&lt;&gt;"Perdu","",IFERROR(1/(1/_xlfn.MAXIFS('Saisie'!$A$5:$A$2004,'Saisie'!$C$5:$C$2004,C418,'Saisie'!$E$5:$E$2004,"Perdu")),"")))</f>
        <v/>
      </c>
      <c r="AX418" s="106">
        <f>IF(C418="","",IF(AW418="","",AW418+'Paramètres'!$B$28))</f>
        <v/>
      </c>
      <c r="AY418" s="60">
        <f>IF(C418="","",SUMIFS('Saisie'!$H$5:$H$2004,'Saisie'!$C$5:$C$2004,C418))</f>
        <v/>
      </c>
      <c r="AZ418" s="60">
        <f>IF(C418="","",IFERROR(INDEX('Paramètres'!$W$6:$W$20,MATCH(S418,'Paramètres'!$V$6:$V$20,0))&amp;"",""))</f>
        <v/>
      </c>
      <c r="BA418" s="60">
        <f>IF(C418="","",MAX(1,_xlfn.MAXIFS('Saisie'!$AT$5:$AT$2004,'Saisie'!$C$5:$C$2004,C418)))</f>
        <v/>
      </c>
      <c r="BB418" s="60">
        <f>IF(C418="","",IFERROR(INDEX('Saisie'!$X$5:$X$2004,_xlfn.MAXIFS('Saisie'!$AS$5:$AS$2004,'Saisie'!$C$5:$C$2004,C418,'Saisie'!$X$5:$X$2004,"&lt;&gt;")-4),""))</f>
        <v/>
      </c>
      <c r="BC418" s="60">
        <f>IF(C418="","",IFERROR(INDEX('Saisie'!$Y$5:$Y$2004,_xlfn.MAXIFS('Saisie'!$AS$5:$AS$2004,'Saisie'!$C$5:$C$2004,C418,'Saisie'!$Y$5:$Y$2004,"&lt;&gt;")-4),""))</f>
        <v/>
      </c>
      <c r="BD418" s="106">
        <f>IF(C418="","",IFERROR(1/(1/_xlfn.MINIFS('Saisie'!$A$5:$A$2004,'Saisie'!$C$5:$C$2004,C418,'Saisie'!$AT$5:$AT$2004,"&gt;=2")),""))</f>
        <v/>
      </c>
      <c r="BE418" s="106">
        <f>IF(C418="","",IFERROR(1/(1/_xlfn.MINIFS('Saisie'!$A$5:$A$2004,'Saisie'!$C$5:$C$2004,C418,'Saisie'!$AT$5:$AT$2004,"&gt;=3")),""))</f>
        <v/>
      </c>
      <c r="BF418" s="106">
        <f>IF(C418="","",IFERROR(1/(1/_xlfn.MINIFS('Saisie'!$A$5:$A$2004,'Saisie'!$C$5:$C$2004,C418,'Saisie'!$AT$5:$AT$2004,"&gt;=4")),""))</f>
        <v/>
      </c>
      <c r="BG418" s="106">
        <f>IF(C418="","",IFERROR(1/(1/_xlfn.MINIFS('Saisie'!$A$5:$A$2004,'Saisie'!$C$5:$C$2004,C418,'Saisie'!$AT$5:$AT$2004,"&gt;=5")),""))</f>
        <v/>
      </c>
      <c r="BH418" s="106">
        <f>IF(C418="","",IFERROR(1/(1/_xlfn.MINIFS('Saisie'!$A$5:$A$2004,'Saisie'!$C$5:$C$2004,C418,'Saisie'!$AT$5:$AT$2004,"&gt;=6")),""))</f>
        <v/>
      </c>
      <c r="BI418" s="106">
        <f>IF(C418="","",IFERROR(1/(1/_xlfn.MINIFS('Saisie'!$A$5:$A$2004,'Saisie'!$C$5:$C$2004,C418,'Saisie'!$AT$5:$AT$2004,"&gt;=7")),""))</f>
        <v/>
      </c>
      <c r="BJ418" s="60">
        <f>IF(OR(BD418="",B418=""),"",BD418-B418)</f>
        <v/>
      </c>
      <c r="BK418" s="60">
        <f>IF(OR(BE418="",BD418=""),"",BE418-BD418)</f>
        <v/>
      </c>
      <c r="BL418" s="60">
        <f>IF(OR(BF418="",BE418=""),"",BF418-BE418)</f>
        <v/>
      </c>
      <c r="BM418" s="60">
        <f>IF(OR(BG418="",BF418=""),"",BG418-BF418)</f>
        <v/>
      </c>
      <c r="BN418" s="60">
        <f>IF(OR(BH418="",BG418=""),"",BH418-BG418)</f>
        <v/>
      </c>
      <c r="BO418" s="60">
        <f>IF(OR(BI418="",BH418=""),"",BI418-BH418)</f>
        <v/>
      </c>
      <c r="BP418" s="60">
        <f>IF(C418="","",_xlfn.MAXIFS('Saisie'!$AS$5:$AS$2004,'Saisie'!$C$5:$C$2004,C418,'Saisie'!$J$5:$J$2004,"&lt;&gt;"))</f>
        <v/>
      </c>
      <c r="BQ418" s="60">
        <f>IF(C418="","",_xlfn.MAXIFS('Saisie'!$AS$5:$AS$2004,'Saisie'!$C$5:$C$2004,C418))</f>
        <v/>
      </c>
      <c r="BR418" s="60">
        <f>IF(C418="","",_xlfn.MAXIFS('Saisie'!$AS$5:$AS$2004,'Saisie'!$C$5:$C$2004,C418,'Saisie'!$E$5:$E$2004,"Perdu"))</f>
        <v/>
      </c>
      <c r="BS418" s="60">
        <f>IF(C418="","",_xlfn.MAXIFS('Saisie'!$AS$5:$AS$2004,'Saisie'!$C$5:$C$2004,C418,'Saisie'!$AT$5:$AT$2004,"&gt;0"))</f>
        <v/>
      </c>
      <c r="BT418" s="109">
        <f>IF(AND(C418&lt;&gt;"",OR(D418="Nouveau",D418="Contacté",D418="Qualifié"),OR(G418="",N(G418)&lt;=TODAY()),NOT(AND(O418&gt;='Paramètres'!$B$21,P418=0))),E418+414/10000,"")</f>
        <v/>
      </c>
      <c r="BU418" s="60">
        <f>IF(AND(G418&lt;&gt;"",N(G418)&lt;=TODAY()),MAX($BU$4:BU417)+1,"")</f>
        <v/>
      </c>
      <c r="BV418" s="60">
        <f>IF(AND(F418&lt;&gt;"",F418&lt;&gt;"Relance en retard"),MAX($BV$4:BV417)+1,"")</f>
        <v/>
      </c>
      <c r="BW418" s="60">
        <f>IF(C418="","",IF(AND(B418&gt;='Tableau de bord'!$R$4,B418&lt;='Tableau de bord'!$S$4,OR('Tableau de bord'!$G$4="Tous",N418='Tableau de bord'!$G$4)),1,0))</f>
        <v/>
      </c>
      <c r="BX418" s="60">
        <f>IF(AND(C418&lt;&gt;"",N(BA418)=7),MAX($BX$4:BX417)+1,"")</f>
        <v/>
      </c>
    </row>
    <row r="419">
      <c r="A419" s="60">
        <f>IF(C419="","","P-"&amp;TEXT(415,"000"))</f>
        <v/>
      </c>
      <c r="B419" s="106">
        <f>IF(C419="","",IFERROR(1/(1/_xlfn.MINIFS('Saisie'!$A$5:$A$2004,'Saisie'!$C$5:$C$2004,C419)),""))</f>
        <v/>
      </c>
      <c r="C419" s="60">
        <f>IFERROR(INDEX('Saisie'!$C$5:$C$2004,MATCH(415,'Saisie'!$AX$5:$AX$2004,0)),"")</f>
        <v/>
      </c>
      <c r="D419" s="60">
        <f>IF(C419="","",IF(AND(BR419&gt;0,BR419&gt;BS419,BA419&lt;7),"Perdu",INDEX('Paramètres'!$F$6:$F$13,BA419)))</f>
        <v/>
      </c>
      <c r="E419" s="61">
        <f>IF(C419="","",MIN(100,(Z419="Oui")*'Paramètres'!$B$38+(AB419="Régulière")*'Paramètres'!$B$39+IF(AND(N(AA419)&gt;0,TODAY()-N(AA419)&lt;=30),'Paramètres'!$B$40,0)+(W419="")*'Paramètres'!$B$41+(AC419="Absente")*'Paramètres'!$B$42+(AC419="Faible")*'Paramètres'!$B$43+IF(AND(N(AD419)&gt;0,N(AD419)&lt;4),'Paramètres'!$B$44,0)+(AF419="Moyenne")*'Paramètres'!$B$45+(AF419="Grande")*'Paramètres'!$B$46+(Y419&lt;&gt;"")*'Paramètres'!$B$47))</f>
        <v/>
      </c>
      <c r="F419" s="60">
        <f>IF(C419="","",IF(D419="Gagné","",IF(D419="Perdu",IF(AND(AX419&lt;&gt;"",AX419&lt;=TODAY()),"À recontacter (perdu)",""),IF(AND(O419&gt;='Paramètres'!$B$21,P419=0),"Stop : "&amp;'Paramètres'!$B$21&amp;" tentatives sans réponse",IF(AND(D419="Proposition",AR419&lt;&gt;"",TODAY()&gt;N(AR419)),"Proposition expirée",IF(AND(D419="Proposition",N(R419)&gt;='Paramètres'!$B$25),"Proposition sans réponse",IF(AND(G419&lt;&gt;"",N(G419)&lt;TODAY()),"Relance en retard",IF(N(R419)&gt;='Paramètres'!$B$24,"Sans action depuis "&amp;R419&amp;" j",""))))))))</f>
        <v/>
      </c>
      <c r="G419" s="106">
        <f>IF(OR(C419="",D419="Gagné",D419="Perdu"),"",IF(AND(BP419&gt;0,BP419=BQ419),INDEX('Saisie'!$J$5:$J$2004,BP419-4),IF(OR(O419=0,AND(O419&gt;='Paramètres'!$B$21,P419=0)),"",Q419+IF(O419&lt;=1,'Paramètres'!$B$18,IF(O419=2,'Paramètres'!$B$19,'Paramètres'!$B$20)))))</f>
        <v/>
      </c>
      <c r="H419" s="107">
        <f>IF(OR(G419="",BP419&lt;&gt;BQ419),"",IF(INDEX('Saisie'!$K$5:$K$2004,BP419-4)="","",INDEX('Saisie'!$K$5:$K$2004,BP419-4)))</f>
        <v/>
      </c>
      <c r="I419" s="60">
        <f>IF(C419="","",IF(OR(D419="Gagné",D419="Perdu"),"",IFERROR(INDEX('Saisie'!$I$5:$I$2004,_xlfn.MAXIFS('Saisie'!$AS$5:$AS$2004,'Saisie'!$C$5:$C$2004,C419,'Saisie'!$I$5:$I$2004,"&lt;&gt;")-4),"")))</f>
        <v/>
      </c>
      <c r="J419" s="60">
        <f>IF(C419="","",IFERROR(INDEX('Saisie'!$U$5:$U$2004,_xlfn.MAXIFS('Saisie'!$AS$5:$AS$2004,'Saisie'!$C$5:$C$2004,C419,'Saisie'!$U$5:$U$2004,"&lt;&gt;")-4),""))</f>
        <v/>
      </c>
      <c r="K419" s="60">
        <f>IF(C419="","",IFERROR(INDEX('Saisie'!$W$5:$W$2004,_xlfn.MAXIFS('Saisie'!$AS$5:$AS$2004,'Saisie'!$C$5:$C$2004,C419,'Saisie'!$W$5:$W$2004,"&lt;&gt;")-4),""))</f>
        <v/>
      </c>
      <c r="L419" s="60">
        <f>IF(IF(BB419&lt;&gt;"",BB419,K419)="","",HYPERLINK("https://wa.me/"&amp;IF(LEFT(SUBSTITUTE(SUBSTITUTE(SUBSTITUTE(IF(BB419&lt;&gt;"",BB419,K419)," ",""),".",""),"+",""),1)="0",'Paramètres'!$B$35&amp;MID(SUBSTITUTE(SUBSTITUTE(SUBSTITUTE(IF(BB419&lt;&gt;"",BB419,K419)," ",""),".",""),"+",""),2,20),SUBSTITUTE(SUBSTITUTE(SUBSTITUTE(IF(BB419&lt;&gt;"",BB419,K419)," ",""),".",""),"+","")),"WhatsApp"))</f>
        <v/>
      </c>
      <c r="M419" s="60">
        <f>IF(BC419="","",HYPERLINK(IF(LEFT(BC419,4)="http",BC419,"https://www.instagram.com/"&amp;SUBSTITUTE(SUBSTITUTE(BC419,"@","")," ","")),BC419))</f>
        <v/>
      </c>
      <c r="N419" s="60">
        <f>IF(C419="","",IFERROR(INDEX('Saisie'!$D$5:$D$2004,_xlfn.MINIFS('Saisie'!$AS$5:$AS$2004,'Saisie'!$C$5:$C$2004,C419,'Saisie'!$AU$5:$AU$2004,1)-4),IFERROR(INDEX('Saisie'!$D$5:$D$2004,_xlfn.MINIFS('Saisie'!$AS$5:$AS$2004,'Saisie'!$C$5:$C$2004,C419,'Saisie'!$D$5:$D$2004,"&lt;&gt;")-4),"")))</f>
        <v/>
      </c>
      <c r="O419" s="60">
        <f>IF(C419="","",COUNTIFS('Saisie'!$C$5:$C$2004,C419,'Saisie'!$AU$5:$AU$2004,1))</f>
        <v/>
      </c>
      <c r="P419" s="60">
        <f>IF(C419="","",COUNTIFS('Saisie'!$C$5:$C$2004,C419,'Saisie'!$AV$5:$AV$2004,1))</f>
        <v/>
      </c>
      <c r="Q419" s="106">
        <f>IF(C419="","",IFERROR(1/(1/_xlfn.MAXIFS('Saisie'!$A$5:$A$2004,'Saisie'!$C$5:$C$2004,C419)),""))</f>
        <v/>
      </c>
      <c r="R419" s="61">
        <f>IF(C419="","",IF(Q419="","",TODAY()-Q419))</f>
        <v/>
      </c>
      <c r="S419" s="60">
        <f>IF(C419="","",IFERROR(INDEX('Saisie'!$R$5:$R$2004,_xlfn.MAXIFS('Saisie'!$AS$5:$AS$2004,'Saisie'!$C$5:$C$2004,C419,'Saisie'!$R$5:$R$2004,"&lt;&gt;")-4),""))</f>
        <v/>
      </c>
      <c r="T419" s="60">
        <f>IF(C419="","",IFERROR(INDEX('Saisie'!$S$5:$S$2004,_xlfn.MAXIFS('Saisie'!$AS$5:$AS$2004,'Saisie'!$C$5:$C$2004,C419,'Saisie'!$S$5:$S$2004,"&lt;&gt;")-4),""))</f>
        <v/>
      </c>
      <c r="U419" s="60">
        <f>IF(C419="","",IFERROR(INDEX('Saisie'!$T$5:$T$2004,_xlfn.MAXIFS('Saisie'!$AS$5:$AS$2004,'Saisie'!$C$5:$C$2004,C419,'Saisie'!$T$5:$T$2004,"&lt;&gt;")-4),""))</f>
        <v/>
      </c>
      <c r="V419" s="60">
        <f>IF(C419="","",IFERROR(INDEX('Saisie'!$V$5:$V$2004,_xlfn.MAXIFS('Saisie'!$AS$5:$AS$2004,'Saisie'!$C$5:$C$2004,C419,'Saisie'!$V$5:$V$2004,"&lt;&gt;")-4),""))</f>
        <v/>
      </c>
      <c r="W419" s="60">
        <f>IF(C419="","",IFERROR(INDEX('Saisie'!$Z$5:$Z$2004,_xlfn.MAXIFS('Saisie'!$AS$5:$AS$2004,'Saisie'!$C$5:$C$2004,C419,'Saisie'!$Z$5:$Z$2004,"&lt;&gt;")-4),""))</f>
        <v/>
      </c>
      <c r="X419" s="60">
        <f>IF(C419="","",IFERROR(INDEX('Saisie'!$AA$5:$AA$2004,_xlfn.MAXIFS('Saisie'!$AS$5:$AS$2004,'Saisie'!$C$5:$C$2004,C419,'Saisie'!$AA$5:$AA$2004,"&lt;&gt;")-4),""))</f>
        <v/>
      </c>
      <c r="Y419" s="60">
        <f>IF(C419="","",IFERROR(INDEX('Saisie'!$AB$5:$AB$2004,_xlfn.MAXIFS('Saisie'!$AS$5:$AS$2004,'Saisie'!$C$5:$C$2004,C419,'Saisie'!$AB$5:$AB$2004,"&lt;&gt;")-4),""))</f>
        <v/>
      </c>
      <c r="Z419" s="60">
        <f>IF(C419="","",IFERROR(INDEX('Saisie'!$AC$5:$AC$2004,_xlfn.MAXIFS('Saisie'!$AS$5:$AS$2004,'Saisie'!$C$5:$C$2004,C419,'Saisie'!$AC$5:$AC$2004,"&lt;&gt;")-4),""))</f>
        <v/>
      </c>
      <c r="AA419" s="106">
        <f>IF(C419="","",IFERROR(INDEX('Saisie'!$AD$5:$AD$2004,_xlfn.MAXIFS('Saisie'!$AS$5:$AS$2004,'Saisie'!$C$5:$C$2004,C419,'Saisie'!$AD$5:$AD$2004,"&lt;&gt;")-4),""))</f>
        <v/>
      </c>
      <c r="AB419" s="60">
        <f>IF(C419="","",IFERROR(INDEX('Saisie'!$AE$5:$AE$2004,_xlfn.MAXIFS('Saisie'!$AS$5:$AS$2004,'Saisie'!$C$5:$C$2004,C419,'Saisie'!$AE$5:$AE$2004,"&lt;&gt;")-4),""))</f>
        <v/>
      </c>
      <c r="AC419" s="60">
        <f>IF(C419="","",IFERROR(INDEX('Saisie'!$AF$5:$AF$2004,_xlfn.MAXIFS('Saisie'!$AS$5:$AS$2004,'Saisie'!$C$5:$C$2004,C419,'Saisie'!$AF$5:$AF$2004,"&lt;&gt;")-4),""))</f>
        <v/>
      </c>
      <c r="AD419" s="108">
        <f>IF(C419="","",IFERROR(INDEX('Saisie'!$AG$5:$AG$2004,_xlfn.MAXIFS('Saisie'!$AS$5:$AS$2004,'Saisie'!$C$5:$C$2004,C419,'Saisie'!$AG$5:$AG$2004,"&lt;&gt;")-4),""))</f>
        <v/>
      </c>
      <c r="AE419" s="60">
        <f>IF(C419="","",IFERROR(INDEX('Saisie'!$AH$5:$AH$2004,_xlfn.MAXIFS('Saisie'!$AS$5:$AS$2004,'Saisie'!$C$5:$C$2004,C419,'Saisie'!$AH$5:$AH$2004,"&lt;&gt;")-4),""))</f>
        <v/>
      </c>
      <c r="AF419" s="60">
        <f>IF(C419="","",IFERROR(INDEX('Saisie'!$AI$5:$AI$2004,_xlfn.MAXIFS('Saisie'!$AS$5:$AS$2004,'Saisie'!$C$5:$C$2004,C419,'Saisie'!$AI$5:$AI$2004,"&lt;&gt;")-4),""))</f>
        <v/>
      </c>
      <c r="AG419" s="60">
        <f>IF(C419="","",IFERROR(INDEX('Saisie'!$AJ$5:$AJ$2004,_xlfn.MAXIFS('Saisie'!$AS$5:$AS$2004,'Saisie'!$C$5:$C$2004,C419,'Saisie'!$AJ$5:$AJ$2004,"&lt;&gt;")-4),""))</f>
        <v/>
      </c>
      <c r="AH419" s="60">
        <f>IF(C419="","",IFERROR(INDEX('Saisie'!$AK$5:$AK$2004,_xlfn.MAXIFS('Saisie'!$AS$5:$AS$2004,'Saisie'!$C$5:$C$2004,C419,'Saisie'!$AK$5:$AK$2004,"&lt;&gt;")-4),""))</f>
        <v/>
      </c>
      <c r="AI419" s="60">
        <f>IF(C419="","",IFERROR(INDEX('Saisie'!$AN$5:$AN$2004,_xlfn.MAXIFS('Saisie'!$AS$5:$AS$2004,'Saisie'!$C$5:$C$2004,C419,'Saisie'!$AN$5:$AN$2004,"&lt;&gt;")-4),""))</f>
        <v/>
      </c>
      <c r="AJ419" s="60">
        <f>IF(C419="","",IFERROR(INDEX('Saisie'!$AO$5:$AO$2004,_xlfn.MAXIFS('Saisie'!$AS$5:$AS$2004,'Saisie'!$C$5:$C$2004,C419,'Saisie'!$AO$5:$AO$2004,"&lt;&gt;")-4),""))</f>
        <v/>
      </c>
      <c r="AK419" s="60">
        <f>IF(C419="","",IFERROR(INDEX('Saisie'!$AP$5:$AP$2004,_xlfn.MAXIFS('Saisie'!$AS$5:$AS$2004,'Saisie'!$C$5:$C$2004,C419,'Saisie'!$AP$5:$AP$2004,"&lt;&gt;")-4),""))</f>
        <v/>
      </c>
      <c r="AL419" s="60">
        <f>IF(C419="","",IFERROR(INDEX('Saisie'!$AQ$5:$AQ$2004,_xlfn.MAXIFS('Saisie'!$AS$5:$AS$2004,'Saisie'!$C$5:$C$2004,C419,'Saisie'!$AQ$5:$AQ$2004,"&lt;&gt;")-4),""))</f>
        <v/>
      </c>
      <c r="AM419" s="60">
        <f>IF(C419="","",((AI419="Oui")+(AJ419="Oui")+(AK419="Oui")+OR(AL419="Immédiat",AL419="&lt; 1 mois"))&amp;"/4")</f>
        <v/>
      </c>
      <c r="AN419" s="60">
        <f>IF(C419="","",IFERROR(INDEX('Saisie'!$AL$5:$AL$2004,_xlfn.MAXIFS('Saisie'!$AS$5:$AS$2004,'Saisie'!$C$5:$C$2004,C419,'Saisie'!$AL$5:$AL$2004,"&lt;&gt;")-4),""))</f>
        <v/>
      </c>
      <c r="AO419" s="62">
        <f>IF(C419="","",IF(IFERROR(INDEX('Saisie'!$AM$5:$AM$2004,_xlfn.MAXIFS('Saisie'!$AS$5:$AS$2004,'Saisie'!$C$5:$C$2004,C419,'Saisie'!$AM$5:$AM$2004,"&lt;&gt;")-4),"")&lt;&gt;"",IFERROR(INDEX('Saisie'!$AM$5:$AM$2004,_xlfn.MAXIFS('Saisie'!$AS$5:$AS$2004,'Saisie'!$C$5:$C$2004,C419,'Saisie'!$AM$5:$AM$2004,"&lt;&gt;")-4),""),IFERROR(INDEX('Paramètres'!$S$6:$S$15,MATCH(AN419,'Paramètres'!$Q$6:$Q$15,0)),"")))</f>
        <v/>
      </c>
      <c r="AP419" s="62">
        <f>IF(C419="","",IFERROR(INDEX('Saisie'!$AW$5:$AW$2004,_xlfn.MAXIFS('Saisie'!$AS$5:$AS$2004,'Saisie'!$C$5:$C$2004,C419,'Saisie'!$E$5:$E$2004,"Proposition envoyée")-4),""))</f>
        <v/>
      </c>
      <c r="AQ419" s="106">
        <f>IF(C419="","",IFERROR(1/(1/_xlfn.MAXIFS('Saisie'!$A$5:$A$2004,'Saisie'!$C$5:$C$2004,C419,'Saisie'!$E$5:$E$2004,"Proposition envoyée")),""))</f>
        <v/>
      </c>
      <c r="AR419" s="106">
        <f>IF(C419="","",IF(AQ419="","",AQ419+'Paramètres'!$B$26))</f>
        <v/>
      </c>
      <c r="AS419" s="62">
        <f>IF(OR(C419="",D419="Gagné",D419="Perdu"),0,N(AP419)*IFERROR(INDEX('Paramètres'!$G$6:$G$13,MATCH(D419,'Paramètres'!$F$6:$F$13,0)),0))</f>
        <v/>
      </c>
      <c r="AT419" s="106">
        <f>IF(C419="","",IFERROR(1/(1/_xlfn.MINIFS('Saisie'!$A$5:$A$2004,'Saisie'!$C$5:$C$2004,C419,'Saisie'!$E$5:$E$2004,"Signature")),""))</f>
        <v/>
      </c>
      <c r="AU419" s="60">
        <f>IF(C419="","",IF(OR(AT419="",B419=""),"",AT419-B419))</f>
        <v/>
      </c>
      <c r="AV419" s="60">
        <f>IF(C419="","",IFERROR(INDEX('Saisie'!$L$5:$L$2004,_xlfn.MAXIFS('Saisie'!$AS$5:$AS$2004,'Saisie'!$C$5:$C$2004,C419,'Saisie'!$L$5:$L$2004,"&lt;&gt;")-4),""))</f>
        <v/>
      </c>
      <c r="AW419" s="106">
        <f>IF(C419="","",IF(D419&lt;&gt;"Perdu","",IFERROR(1/(1/_xlfn.MAXIFS('Saisie'!$A$5:$A$2004,'Saisie'!$C$5:$C$2004,C419,'Saisie'!$E$5:$E$2004,"Perdu")),"")))</f>
        <v/>
      </c>
      <c r="AX419" s="106">
        <f>IF(C419="","",IF(AW419="","",AW419+'Paramètres'!$B$28))</f>
        <v/>
      </c>
      <c r="AY419" s="60">
        <f>IF(C419="","",SUMIFS('Saisie'!$H$5:$H$2004,'Saisie'!$C$5:$C$2004,C419))</f>
        <v/>
      </c>
      <c r="AZ419" s="60">
        <f>IF(C419="","",IFERROR(INDEX('Paramètres'!$W$6:$W$20,MATCH(S419,'Paramètres'!$V$6:$V$20,0))&amp;"",""))</f>
        <v/>
      </c>
      <c r="BA419" s="60">
        <f>IF(C419="","",MAX(1,_xlfn.MAXIFS('Saisie'!$AT$5:$AT$2004,'Saisie'!$C$5:$C$2004,C419)))</f>
        <v/>
      </c>
      <c r="BB419" s="60">
        <f>IF(C419="","",IFERROR(INDEX('Saisie'!$X$5:$X$2004,_xlfn.MAXIFS('Saisie'!$AS$5:$AS$2004,'Saisie'!$C$5:$C$2004,C419,'Saisie'!$X$5:$X$2004,"&lt;&gt;")-4),""))</f>
        <v/>
      </c>
      <c r="BC419" s="60">
        <f>IF(C419="","",IFERROR(INDEX('Saisie'!$Y$5:$Y$2004,_xlfn.MAXIFS('Saisie'!$AS$5:$AS$2004,'Saisie'!$C$5:$C$2004,C419,'Saisie'!$Y$5:$Y$2004,"&lt;&gt;")-4),""))</f>
        <v/>
      </c>
      <c r="BD419" s="106">
        <f>IF(C419="","",IFERROR(1/(1/_xlfn.MINIFS('Saisie'!$A$5:$A$2004,'Saisie'!$C$5:$C$2004,C419,'Saisie'!$AT$5:$AT$2004,"&gt;=2")),""))</f>
        <v/>
      </c>
      <c r="BE419" s="106">
        <f>IF(C419="","",IFERROR(1/(1/_xlfn.MINIFS('Saisie'!$A$5:$A$2004,'Saisie'!$C$5:$C$2004,C419,'Saisie'!$AT$5:$AT$2004,"&gt;=3")),""))</f>
        <v/>
      </c>
      <c r="BF419" s="106">
        <f>IF(C419="","",IFERROR(1/(1/_xlfn.MINIFS('Saisie'!$A$5:$A$2004,'Saisie'!$C$5:$C$2004,C419,'Saisie'!$AT$5:$AT$2004,"&gt;=4")),""))</f>
        <v/>
      </c>
      <c r="BG419" s="106">
        <f>IF(C419="","",IFERROR(1/(1/_xlfn.MINIFS('Saisie'!$A$5:$A$2004,'Saisie'!$C$5:$C$2004,C419,'Saisie'!$AT$5:$AT$2004,"&gt;=5")),""))</f>
        <v/>
      </c>
      <c r="BH419" s="106">
        <f>IF(C419="","",IFERROR(1/(1/_xlfn.MINIFS('Saisie'!$A$5:$A$2004,'Saisie'!$C$5:$C$2004,C419,'Saisie'!$AT$5:$AT$2004,"&gt;=6")),""))</f>
        <v/>
      </c>
      <c r="BI419" s="106">
        <f>IF(C419="","",IFERROR(1/(1/_xlfn.MINIFS('Saisie'!$A$5:$A$2004,'Saisie'!$C$5:$C$2004,C419,'Saisie'!$AT$5:$AT$2004,"&gt;=7")),""))</f>
        <v/>
      </c>
      <c r="BJ419" s="60">
        <f>IF(OR(BD419="",B419=""),"",BD419-B419)</f>
        <v/>
      </c>
      <c r="BK419" s="60">
        <f>IF(OR(BE419="",BD419=""),"",BE419-BD419)</f>
        <v/>
      </c>
      <c r="BL419" s="60">
        <f>IF(OR(BF419="",BE419=""),"",BF419-BE419)</f>
        <v/>
      </c>
      <c r="BM419" s="60">
        <f>IF(OR(BG419="",BF419=""),"",BG419-BF419)</f>
        <v/>
      </c>
      <c r="BN419" s="60">
        <f>IF(OR(BH419="",BG419=""),"",BH419-BG419)</f>
        <v/>
      </c>
      <c r="BO419" s="60">
        <f>IF(OR(BI419="",BH419=""),"",BI419-BH419)</f>
        <v/>
      </c>
      <c r="BP419" s="60">
        <f>IF(C419="","",_xlfn.MAXIFS('Saisie'!$AS$5:$AS$2004,'Saisie'!$C$5:$C$2004,C419,'Saisie'!$J$5:$J$2004,"&lt;&gt;"))</f>
        <v/>
      </c>
      <c r="BQ419" s="60">
        <f>IF(C419="","",_xlfn.MAXIFS('Saisie'!$AS$5:$AS$2004,'Saisie'!$C$5:$C$2004,C419))</f>
        <v/>
      </c>
      <c r="BR419" s="60">
        <f>IF(C419="","",_xlfn.MAXIFS('Saisie'!$AS$5:$AS$2004,'Saisie'!$C$5:$C$2004,C419,'Saisie'!$E$5:$E$2004,"Perdu"))</f>
        <v/>
      </c>
      <c r="BS419" s="60">
        <f>IF(C419="","",_xlfn.MAXIFS('Saisie'!$AS$5:$AS$2004,'Saisie'!$C$5:$C$2004,C419,'Saisie'!$AT$5:$AT$2004,"&gt;0"))</f>
        <v/>
      </c>
      <c r="BT419" s="109">
        <f>IF(AND(C419&lt;&gt;"",OR(D419="Nouveau",D419="Contacté",D419="Qualifié"),OR(G419="",N(G419)&lt;=TODAY()),NOT(AND(O419&gt;='Paramètres'!$B$21,P419=0))),E419+415/10000,"")</f>
        <v/>
      </c>
      <c r="BU419" s="60">
        <f>IF(AND(G419&lt;&gt;"",N(G419)&lt;=TODAY()),MAX($BU$4:BU418)+1,"")</f>
        <v/>
      </c>
      <c r="BV419" s="60">
        <f>IF(AND(F419&lt;&gt;"",F419&lt;&gt;"Relance en retard"),MAX($BV$4:BV418)+1,"")</f>
        <v/>
      </c>
      <c r="BW419" s="60">
        <f>IF(C419="","",IF(AND(B419&gt;='Tableau de bord'!$R$4,B419&lt;='Tableau de bord'!$S$4,OR('Tableau de bord'!$G$4="Tous",N419='Tableau de bord'!$G$4)),1,0))</f>
        <v/>
      </c>
      <c r="BX419" s="60">
        <f>IF(AND(C419&lt;&gt;"",N(BA419)=7),MAX($BX$4:BX418)+1,"")</f>
        <v/>
      </c>
    </row>
    <row r="420">
      <c r="A420" s="60">
        <f>IF(C420="","","P-"&amp;TEXT(416,"000"))</f>
        <v/>
      </c>
      <c r="B420" s="106">
        <f>IF(C420="","",IFERROR(1/(1/_xlfn.MINIFS('Saisie'!$A$5:$A$2004,'Saisie'!$C$5:$C$2004,C420)),""))</f>
        <v/>
      </c>
      <c r="C420" s="60">
        <f>IFERROR(INDEX('Saisie'!$C$5:$C$2004,MATCH(416,'Saisie'!$AX$5:$AX$2004,0)),"")</f>
        <v/>
      </c>
      <c r="D420" s="60">
        <f>IF(C420="","",IF(AND(BR420&gt;0,BR420&gt;BS420,BA420&lt;7),"Perdu",INDEX('Paramètres'!$F$6:$F$13,BA420)))</f>
        <v/>
      </c>
      <c r="E420" s="61">
        <f>IF(C420="","",MIN(100,(Z420="Oui")*'Paramètres'!$B$38+(AB420="Régulière")*'Paramètres'!$B$39+IF(AND(N(AA420)&gt;0,TODAY()-N(AA420)&lt;=30),'Paramètres'!$B$40,0)+(W420="")*'Paramètres'!$B$41+(AC420="Absente")*'Paramètres'!$B$42+(AC420="Faible")*'Paramètres'!$B$43+IF(AND(N(AD420)&gt;0,N(AD420)&lt;4),'Paramètres'!$B$44,0)+(AF420="Moyenne")*'Paramètres'!$B$45+(AF420="Grande")*'Paramètres'!$B$46+(Y420&lt;&gt;"")*'Paramètres'!$B$47))</f>
        <v/>
      </c>
      <c r="F420" s="60">
        <f>IF(C420="","",IF(D420="Gagné","",IF(D420="Perdu",IF(AND(AX420&lt;&gt;"",AX420&lt;=TODAY()),"À recontacter (perdu)",""),IF(AND(O420&gt;='Paramètres'!$B$21,P420=0),"Stop : "&amp;'Paramètres'!$B$21&amp;" tentatives sans réponse",IF(AND(D420="Proposition",AR420&lt;&gt;"",TODAY()&gt;N(AR420)),"Proposition expirée",IF(AND(D420="Proposition",N(R420)&gt;='Paramètres'!$B$25),"Proposition sans réponse",IF(AND(G420&lt;&gt;"",N(G420)&lt;TODAY()),"Relance en retard",IF(N(R420)&gt;='Paramètres'!$B$24,"Sans action depuis "&amp;R420&amp;" j",""))))))))</f>
        <v/>
      </c>
      <c r="G420" s="106">
        <f>IF(OR(C420="",D420="Gagné",D420="Perdu"),"",IF(AND(BP420&gt;0,BP420=BQ420),INDEX('Saisie'!$J$5:$J$2004,BP420-4),IF(OR(O420=0,AND(O420&gt;='Paramètres'!$B$21,P420=0)),"",Q420+IF(O420&lt;=1,'Paramètres'!$B$18,IF(O420=2,'Paramètres'!$B$19,'Paramètres'!$B$20)))))</f>
        <v/>
      </c>
      <c r="H420" s="107">
        <f>IF(OR(G420="",BP420&lt;&gt;BQ420),"",IF(INDEX('Saisie'!$K$5:$K$2004,BP420-4)="","",INDEX('Saisie'!$K$5:$K$2004,BP420-4)))</f>
        <v/>
      </c>
      <c r="I420" s="60">
        <f>IF(C420="","",IF(OR(D420="Gagné",D420="Perdu"),"",IFERROR(INDEX('Saisie'!$I$5:$I$2004,_xlfn.MAXIFS('Saisie'!$AS$5:$AS$2004,'Saisie'!$C$5:$C$2004,C420,'Saisie'!$I$5:$I$2004,"&lt;&gt;")-4),"")))</f>
        <v/>
      </c>
      <c r="J420" s="60">
        <f>IF(C420="","",IFERROR(INDEX('Saisie'!$U$5:$U$2004,_xlfn.MAXIFS('Saisie'!$AS$5:$AS$2004,'Saisie'!$C$5:$C$2004,C420,'Saisie'!$U$5:$U$2004,"&lt;&gt;")-4),""))</f>
        <v/>
      </c>
      <c r="K420" s="60">
        <f>IF(C420="","",IFERROR(INDEX('Saisie'!$W$5:$W$2004,_xlfn.MAXIFS('Saisie'!$AS$5:$AS$2004,'Saisie'!$C$5:$C$2004,C420,'Saisie'!$W$5:$W$2004,"&lt;&gt;")-4),""))</f>
        <v/>
      </c>
      <c r="L420" s="60">
        <f>IF(IF(BB420&lt;&gt;"",BB420,K420)="","",HYPERLINK("https://wa.me/"&amp;IF(LEFT(SUBSTITUTE(SUBSTITUTE(SUBSTITUTE(IF(BB420&lt;&gt;"",BB420,K420)," ",""),".",""),"+",""),1)="0",'Paramètres'!$B$35&amp;MID(SUBSTITUTE(SUBSTITUTE(SUBSTITUTE(IF(BB420&lt;&gt;"",BB420,K420)," ",""),".",""),"+",""),2,20),SUBSTITUTE(SUBSTITUTE(SUBSTITUTE(IF(BB420&lt;&gt;"",BB420,K420)," ",""),".",""),"+","")),"WhatsApp"))</f>
        <v/>
      </c>
      <c r="M420" s="60">
        <f>IF(BC420="","",HYPERLINK(IF(LEFT(BC420,4)="http",BC420,"https://www.instagram.com/"&amp;SUBSTITUTE(SUBSTITUTE(BC420,"@","")," ","")),BC420))</f>
        <v/>
      </c>
      <c r="N420" s="60">
        <f>IF(C420="","",IFERROR(INDEX('Saisie'!$D$5:$D$2004,_xlfn.MINIFS('Saisie'!$AS$5:$AS$2004,'Saisie'!$C$5:$C$2004,C420,'Saisie'!$AU$5:$AU$2004,1)-4),IFERROR(INDEX('Saisie'!$D$5:$D$2004,_xlfn.MINIFS('Saisie'!$AS$5:$AS$2004,'Saisie'!$C$5:$C$2004,C420,'Saisie'!$D$5:$D$2004,"&lt;&gt;")-4),"")))</f>
        <v/>
      </c>
      <c r="O420" s="60">
        <f>IF(C420="","",COUNTIFS('Saisie'!$C$5:$C$2004,C420,'Saisie'!$AU$5:$AU$2004,1))</f>
        <v/>
      </c>
      <c r="P420" s="60">
        <f>IF(C420="","",COUNTIFS('Saisie'!$C$5:$C$2004,C420,'Saisie'!$AV$5:$AV$2004,1))</f>
        <v/>
      </c>
      <c r="Q420" s="106">
        <f>IF(C420="","",IFERROR(1/(1/_xlfn.MAXIFS('Saisie'!$A$5:$A$2004,'Saisie'!$C$5:$C$2004,C420)),""))</f>
        <v/>
      </c>
      <c r="R420" s="61">
        <f>IF(C420="","",IF(Q420="","",TODAY()-Q420))</f>
        <v/>
      </c>
      <c r="S420" s="60">
        <f>IF(C420="","",IFERROR(INDEX('Saisie'!$R$5:$R$2004,_xlfn.MAXIFS('Saisie'!$AS$5:$AS$2004,'Saisie'!$C$5:$C$2004,C420,'Saisie'!$R$5:$R$2004,"&lt;&gt;")-4),""))</f>
        <v/>
      </c>
      <c r="T420" s="60">
        <f>IF(C420="","",IFERROR(INDEX('Saisie'!$S$5:$S$2004,_xlfn.MAXIFS('Saisie'!$AS$5:$AS$2004,'Saisie'!$C$5:$C$2004,C420,'Saisie'!$S$5:$S$2004,"&lt;&gt;")-4),""))</f>
        <v/>
      </c>
      <c r="U420" s="60">
        <f>IF(C420="","",IFERROR(INDEX('Saisie'!$T$5:$T$2004,_xlfn.MAXIFS('Saisie'!$AS$5:$AS$2004,'Saisie'!$C$5:$C$2004,C420,'Saisie'!$T$5:$T$2004,"&lt;&gt;")-4),""))</f>
        <v/>
      </c>
      <c r="V420" s="60">
        <f>IF(C420="","",IFERROR(INDEX('Saisie'!$V$5:$V$2004,_xlfn.MAXIFS('Saisie'!$AS$5:$AS$2004,'Saisie'!$C$5:$C$2004,C420,'Saisie'!$V$5:$V$2004,"&lt;&gt;")-4),""))</f>
        <v/>
      </c>
      <c r="W420" s="60">
        <f>IF(C420="","",IFERROR(INDEX('Saisie'!$Z$5:$Z$2004,_xlfn.MAXIFS('Saisie'!$AS$5:$AS$2004,'Saisie'!$C$5:$C$2004,C420,'Saisie'!$Z$5:$Z$2004,"&lt;&gt;")-4),""))</f>
        <v/>
      </c>
      <c r="X420" s="60">
        <f>IF(C420="","",IFERROR(INDEX('Saisie'!$AA$5:$AA$2004,_xlfn.MAXIFS('Saisie'!$AS$5:$AS$2004,'Saisie'!$C$5:$C$2004,C420,'Saisie'!$AA$5:$AA$2004,"&lt;&gt;")-4),""))</f>
        <v/>
      </c>
      <c r="Y420" s="60">
        <f>IF(C420="","",IFERROR(INDEX('Saisie'!$AB$5:$AB$2004,_xlfn.MAXIFS('Saisie'!$AS$5:$AS$2004,'Saisie'!$C$5:$C$2004,C420,'Saisie'!$AB$5:$AB$2004,"&lt;&gt;")-4),""))</f>
        <v/>
      </c>
      <c r="Z420" s="60">
        <f>IF(C420="","",IFERROR(INDEX('Saisie'!$AC$5:$AC$2004,_xlfn.MAXIFS('Saisie'!$AS$5:$AS$2004,'Saisie'!$C$5:$C$2004,C420,'Saisie'!$AC$5:$AC$2004,"&lt;&gt;")-4),""))</f>
        <v/>
      </c>
      <c r="AA420" s="106">
        <f>IF(C420="","",IFERROR(INDEX('Saisie'!$AD$5:$AD$2004,_xlfn.MAXIFS('Saisie'!$AS$5:$AS$2004,'Saisie'!$C$5:$C$2004,C420,'Saisie'!$AD$5:$AD$2004,"&lt;&gt;")-4),""))</f>
        <v/>
      </c>
      <c r="AB420" s="60">
        <f>IF(C420="","",IFERROR(INDEX('Saisie'!$AE$5:$AE$2004,_xlfn.MAXIFS('Saisie'!$AS$5:$AS$2004,'Saisie'!$C$5:$C$2004,C420,'Saisie'!$AE$5:$AE$2004,"&lt;&gt;")-4),""))</f>
        <v/>
      </c>
      <c r="AC420" s="60">
        <f>IF(C420="","",IFERROR(INDEX('Saisie'!$AF$5:$AF$2004,_xlfn.MAXIFS('Saisie'!$AS$5:$AS$2004,'Saisie'!$C$5:$C$2004,C420,'Saisie'!$AF$5:$AF$2004,"&lt;&gt;")-4),""))</f>
        <v/>
      </c>
      <c r="AD420" s="108">
        <f>IF(C420="","",IFERROR(INDEX('Saisie'!$AG$5:$AG$2004,_xlfn.MAXIFS('Saisie'!$AS$5:$AS$2004,'Saisie'!$C$5:$C$2004,C420,'Saisie'!$AG$5:$AG$2004,"&lt;&gt;")-4),""))</f>
        <v/>
      </c>
      <c r="AE420" s="60">
        <f>IF(C420="","",IFERROR(INDEX('Saisie'!$AH$5:$AH$2004,_xlfn.MAXIFS('Saisie'!$AS$5:$AS$2004,'Saisie'!$C$5:$C$2004,C420,'Saisie'!$AH$5:$AH$2004,"&lt;&gt;")-4),""))</f>
        <v/>
      </c>
      <c r="AF420" s="60">
        <f>IF(C420="","",IFERROR(INDEX('Saisie'!$AI$5:$AI$2004,_xlfn.MAXIFS('Saisie'!$AS$5:$AS$2004,'Saisie'!$C$5:$C$2004,C420,'Saisie'!$AI$5:$AI$2004,"&lt;&gt;")-4),""))</f>
        <v/>
      </c>
      <c r="AG420" s="60">
        <f>IF(C420="","",IFERROR(INDEX('Saisie'!$AJ$5:$AJ$2004,_xlfn.MAXIFS('Saisie'!$AS$5:$AS$2004,'Saisie'!$C$5:$C$2004,C420,'Saisie'!$AJ$5:$AJ$2004,"&lt;&gt;")-4),""))</f>
        <v/>
      </c>
      <c r="AH420" s="60">
        <f>IF(C420="","",IFERROR(INDEX('Saisie'!$AK$5:$AK$2004,_xlfn.MAXIFS('Saisie'!$AS$5:$AS$2004,'Saisie'!$C$5:$C$2004,C420,'Saisie'!$AK$5:$AK$2004,"&lt;&gt;")-4),""))</f>
        <v/>
      </c>
      <c r="AI420" s="60">
        <f>IF(C420="","",IFERROR(INDEX('Saisie'!$AN$5:$AN$2004,_xlfn.MAXIFS('Saisie'!$AS$5:$AS$2004,'Saisie'!$C$5:$C$2004,C420,'Saisie'!$AN$5:$AN$2004,"&lt;&gt;")-4),""))</f>
        <v/>
      </c>
      <c r="AJ420" s="60">
        <f>IF(C420="","",IFERROR(INDEX('Saisie'!$AO$5:$AO$2004,_xlfn.MAXIFS('Saisie'!$AS$5:$AS$2004,'Saisie'!$C$5:$C$2004,C420,'Saisie'!$AO$5:$AO$2004,"&lt;&gt;")-4),""))</f>
        <v/>
      </c>
      <c r="AK420" s="60">
        <f>IF(C420="","",IFERROR(INDEX('Saisie'!$AP$5:$AP$2004,_xlfn.MAXIFS('Saisie'!$AS$5:$AS$2004,'Saisie'!$C$5:$C$2004,C420,'Saisie'!$AP$5:$AP$2004,"&lt;&gt;")-4),""))</f>
        <v/>
      </c>
      <c r="AL420" s="60">
        <f>IF(C420="","",IFERROR(INDEX('Saisie'!$AQ$5:$AQ$2004,_xlfn.MAXIFS('Saisie'!$AS$5:$AS$2004,'Saisie'!$C$5:$C$2004,C420,'Saisie'!$AQ$5:$AQ$2004,"&lt;&gt;")-4),""))</f>
        <v/>
      </c>
      <c r="AM420" s="60">
        <f>IF(C420="","",((AI420="Oui")+(AJ420="Oui")+(AK420="Oui")+OR(AL420="Immédiat",AL420="&lt; 1 mois"))&amp;"/4")</f>
        <v/>
      </c>
      <c r="AN420" s="60">
        <f>IF(C420="","",IFERROR(INDEX('Saisie'!$AL$5:$AL$2004,_xlfn.MAXIFS('Saisie'!$AS$5:$AS$2004,'Saisie'!$C$5:$C$2004,C420,'Saisie'!$AL$5:$AL$2004,"&lt;&gt;")-4),""))</f>
        <v/>
      </c>
      <c r="AO420" s="62">
        <f>IF(C420="","",IF(IFERROR(INDEX('Saisie'!$AM$5:$AM$2004,_xlfn.MAXIFS('Saisie'!$AS$5:$AS$2004,'Saisie'!$C$5:$C$2004,C420,'Saisie'!$AM$5:$AM$2004,"&lt;&gt;")-4),"")&lt;&gt;"",IFERROR(INDEX('Saisie'!$AM$5:$AM$2004,_xlfn.MAXIFS('Saisie'!$AS$5:$AS$2004,'Saisie'!$C$5:$C$2004,C420,'Saisie'!$AM$5:$AM$2004,"&lt;&gt;")-4),""),IFERROR(INDEX('Paramètres'!$S$6:$S$15,MATCH(AN420,'Paramètres'!$Q$6:$Q$15,0)),"")))</f>
        <v/>
      </c>
      <c r="AP420" s="62">
        <f>IF(C420="","",IFERROR(INDEX('Saisie'!$AW$5:$AW$2004,_xlfn.MAXIFS('Saisie'!$AS$5:$AS$2004,'Saisie'!$C$5:$C$2004,C420,'Saisie'!$E$5:$E$2004,"Proposition envoyée")-4),""))</f>
        <v/>
      </c>
      <c r="AQ420" s="106">
        <f>IF(C420="","",IFERROR(1/(1/_xlfn.MAXIFS('Saisie'!$A$5:$A$2004,'Saisie'!$C$5:$C$2004,C420,'Saisie'!$E$5:$E$2004,"Proposition envoyée")),""))</f>
        <v/>
      </c>
      <c r="AR420" s="106">
        <f>IF(C420="","",IF(AQ420="","",AQ420+'Paramètres'!$B$26))</f>
        <v/>
      </c>
      <c r="AS420" s="62">
        <f>IF(OR(C420="",D420="Gagné",D420="Perdu"),0,N(AP420)*IFERROR(INDEX('Paramètres'!$G$6:$G$13,MATCH(D420,'Paramètres'!$F$6:$F$13,0)),0))</f>
        <v/>
      </c>
      <c r="AT420" s="106">
        <f>IF(C420="","",IFERROR(1/(1/_xlfn.MINIFS('Saisie'!$A$5:$A$2004,'Saisie'!$C$5:$C$2004,C420,'Saisie'!$E$5:$E$2004,"Signature")),""))</f>
        <v/>
      </c>
      <c r="AU420" s="60">
        <f>IF(C420="","",IF(OR(AT420="",B420=""),"",AT420-B420))</f>
        <v/>
      </c>
      <c r="AV420" s="60">
        <f>IF(C420="","",IFERROR(INDEX('Saisie'!$L$5:$L$2004,_xlfn.MAXIFS('Saisie'!$AS$5:$AS$2004,'Saisie'!$C$5:$C$2004,C420,'Saisie'!$L$5:$L$2004,"&lt;&gt;")-4),""))</f>
        <v/>
      </c>
      <c r="AW420" s="106">
        <f>IF(C420="","",IF(D420&lt;&gt;"Perdu","",IFERROR(1/(1/_xlfn.MAXIFS('Saisie'!$A$5:$A$2004,'Saisie'!$C$5:$C$2004,C420,'Saisie'!$E$5:$E$2004,"Perdu")),"")))</f>
        <v/>
      </c>
      <c r="AX420" s="106">
        <f>IF(C420="","",IF(AW420="","",AW420+'Paramètres'!$B$28))</f>
        <v/>
      </c>
      <c r="AY420" s="60">
        <f>IF(C420="","",SUMIFS('Saisie'!$H$5:$H$2004,'Saisie'!$C$5:$C$2004,C420))</f>
        <v/>
      </c>
      <c r="AZ420" s="60">
        <f>IF(C420="","",IFERROR(INDEX('Paramètres'!$W$6:$W$20,MATCH(S420,'Paramètres'!$V$6:$V$20,0))&amp;"",""))</f>
        <v/>
      </c>
      <c r="BA420" s="60">
        <f>IF(C420="","",MAX(1,_xlfn.MAXIFS('Saisie'!$AT$5:$AT$2004,'Saisie'!$C$5:$C$2004,C420)))</f>
        <v/>
      </c>
      <c r="BB420" s="60">
        <f>IF(C420="","",IFERROR(INDEX('Saisie'!$X$5:$X$2004,_xlfn.MAXIFS('Saisie'!$AS$5:$AS$2004,'Saisie'!$C$5:$C$2004,C420,'Saisie'!$X$5:$X$2004,"&lt;&gt;")-4),""))</f>
        <v/>
      </c>
      <c r="BC420" s="60">
        <f>IF(C420="","",IFERROR(INDEX('Saisie'!$Y$5:$Y$2004,_xlfn.MAXIFS('Saisie'!$AS$5:$AS$2004,'Saisie'!$C$5:$C$2004,C420,'Saisie'!$Y$5:$Y$2004,"&lt;&gt;")-4),""))</f>
        <v/>
      </c>
      <c r="BD420" s="106">
        <f>IF(C420="","",IFERROR(1/(1/_xlfn.MINIFS('Saisie'!$A$5:$A$2004,'Saisie'!$C$5:$C$2004,C420,'Saisie'!$AT$5:$AT$2004,"&gt;=2")),""))</f>
        <v/>
      </c>
      <c r="BE420" s="106">
        <f>IF(C420="","",IFERROR(1/(1/_xlfn.MINIFS('Saisie'!$A$5:$A$2004,'Saisie'!$C$5:$C$2004,C420,'Saisie'!$AT$5:$AT$2004,"&gt;=3")),""))</f>
        <v/>
      </c>
      <c r="BF420" s="106">
        <f>IF(C420="","",IFERROR(1/(1/_xlfn.MINIFS('Saisie'!$A$5:$A$2004,'Saisie'!$C$5:$C$2004,C420,'Saisie'!$AT$5:$AT$2004,"&gt;=4")),""))</f>
        <v/>
      </c>
      <c r="BG420" s="106">
        <f>IF(C420="","",IFERROR(1/(1/_xlfn.MINIFS('Saisie'!$A$5:$A$2004,'Saisie'!$C$5:$C$2004,C420,'Saisie'!$AT$5:$AT$2004,"&gt;=5")),""))</f>
        <v/>
      </c>
      <c r="BH420" s="106">
        <f>IF(C420="","",IFERROR(1/(1/_xlfn.MINIFS('Saisie'!$A$5:$A$2004,'Saisie'!$C$5:$C$2004,C420,'Saisie'!$AT$5:$AT$2004,"&gt;=6")),""))</f>
        <v/>
      </c>
      <c r="BI420" s="106">
        <f>IF(C420="","",IFERROR(1/(1/_xlfn.MINIFS('Saisie'!$A$5:$A$2004,'Saisie'!$C$5:$C$2004,C420,'Saisie'!$AT$5:$AT$2004,"&gt;=7")),""))</f>
        <v/>
      </c>
      <c r="BJ420" s="60">
        <f>IF(OR(BD420="",B420=""),"",BD420-B420)</f>
        <v/>
      </c>
      <c r="BK420" s="60">
        <f>IF(OR(BE420="",BD420=""),"",BE420-BD420)</f>
        <v/>
      </c>
      <c r="BL420" s="60">
        <f>IF(OR(BF420="",BE420=""),"",BF420-BE420)</f>
        <v/>
      </c>
      <c r="BM420" s="60">
        <f>IF(OR(BG420="",BF420=""),"",BG420-BF420)</f>
        <v/>
      </c>
      <c r="BN420" s="60">
        <f>IF(OR(BH420="",BG420=""),"",BH420-BG420)</f>
        <v/>
      </c>
      <c r="BO420" s="60">
        <f>IF(OR(BI420="",BH420=""),"",BI420-BH420)</f>
        <v/>
      </c>
      <c r="BP420" s="60">
        <f>IF(C420="","",_xlfn.MAXIFS('Saisie'!$AS$5:$AS$2004,'Saisie'!$C$5:$C$2004,C420,'Saisie'!$J$5:$J$2004,"&lt;&gt;"))</f>
        <v/>
      </c>
      <c r="BQ420" s="60">
        <f>IF(C420="","",_xlfn.MAXIFS('Saisie'!$AS$5:$AS$2004,'Saisie'!$C$5:$C$2004,C420))</f>
        <v/>
      </c>
      <c r="BR420" s="60">
        <f>IF(C420="","",_xlfn.MAXIFS('Saisie'!$AS$5:$AS$2004,'Saisie'!$C$5:$C$2004,C420,'Saisie'!$E$5:$E$2004,"Perdu"))</f>
        <v/>
      </c>
      <c r="BS420" s="60">
        <f>IF(C420="","",_xlfn.MAXIFS('Saisie'!$AS$5:$AS$2004,'Saisie'!$C$5:$C$2004,C420,'Saisie'!$AT$5:$AT$2004,"&gt;0"))</f>
        <v/>
      </c>
      <c r="BT420" s="109">
        <f>IF(AND(C420&lt;&gt;"",OR(D420="Nouveau",D420="Contacté",D420="Qualifié"),OR(G420="",N(G420)&lt;=TODAY()),NOT(AND(O420&gt;='Paramètres'!$B$21,P420=0))),E420+416/10000,"")</f>
        <v/>
      </c>
      <c r="BU420" s="60">
        <f>IF(AND(G420&lt;&gt;"",N(G420)&lt;=TODAY()),MAX($BU$4:BU419)+1,"")</f>
        <v/>
      </c>
      <c r="BV420" s="60">
        <f>IF(AND(F420&lt;&gt;"",F420&lt;&gt;"Relance en retard"),MAX($BV$4:BV419)+1,"")</f>
        <v/>
      </c>
      <c r="BW420" s="60">
        <f>IF(C420="","",IF(AND(B420&gt;='Tableau de bord'!$R$4,B420&lt;='Tableau de bord'!$S$4,OR('Tableau de bord'!$G$4="Tous",N420='Tableau de bord'!$G$4)),1,0))</f>
        <v/>
      </c>
      <c r="BX420" s="60">
        <f>IF(AND(C420&lt;&gt;"",N(BA420)=7),MAX($BX$4:BX419)+1,"")</f>
        <v/>
      </c>
    </row>
    <row r="421">
      <c r="A421" s="60">
        <f>IF(C421="","","P-"&amp;TEXT(417,"000"))</f>
        <v/>
      </c>
      <c r="B421" s="106">
        <f>IF(C421="","",IFERROR(1/(1/_xlfn.MINIFS('Saisie'!$A$5:$A$2004,'Saisie'!$C$5:$C$2004,C421)),""))</f>
        <v/>
      </c>
      <c r="C421" s="60">
        <f>IFERROR(INDEX('Saisie'!$C$5:$C$2004,MATCH(417,'Saisie'!$AX$5:$AX$2004,0)),"")</f>
        <v/>
      </c>
      <c r="D421" s="60">
        <f>IF(C421="","",IF(AND(BR421&gt;0,BR421&gt;BS421,BA421&lt;7),"Perdu",INDEX('Paramètres'!$F$6:$F$13,BA421)))</f>
        <v/>
      </c>
      <c r="E421" s="61">
        <f>IF(C421="","",MIN(100,(Z421="Oui")*'Paramètres'!$B$38+(AB421="Régulière")*'Paramètres'!$B$39+IF(AND(N(AA421)&gt;0,TODAY()-N(AA421)&lt;=30),'Paramètres'!$B$40,0)+(W421="")*'Paramètres'!$B$41+(AC421="Absente")*'Paramètres'!$B$42+(AC421="Faible")*'Paramètres'!$B$43+IF(AND(N(AD421)&gt;0,N(AD421)&lt;4),'Paramètres'!$B$44,0)+(AF421="Moyenne")*'Paramètres'!$B$45+(AF421="Grande")*'Paramètres'!$B$46+(Y421&lt;&gt;"")*'Paramètres'!$B$47))</f>
        <v/>
      </c>
      <c r="F421" s="60">
        <f>IF(C421="","",IF(D421="Gagné","",IF(D421="Perdu",IF(AND(AX421&lt;&gt;"",AX421&lt;=TODAY()),"À recontacter (perdu)",""),IF(AND(O421&gt;='Paramètres'!$B$21,P421=0),"Stop : "&amp;'Paramètres'!$B$21&amp;" tentatives sans réponse",IF(AND(D421="Proposition",AR421&lt;&gt;"",TODAY()&gt;N(AR421)),"Proposition expirée",IF(AND(D421="Proposition",N(R421)&gt;='Paramètres'!$B$25),"Proposition sans réponse",IF(AND(G421&lt;&gt;"",N(G421)&lt;TODAY()),"Relance en retard",IF(N(R421)&gt;='Paramètres'!$B$24,"Sans action depuis "&amp;R421&amp;" j",""))))))))</f>
        <v/>
      </c>
      <c r="G421" s="106">
        <f>IF(OR(C421="",D421="Gagné",D421="Perdu"),"",IF(AND(BP421&gt;0,BP421=BQ421),INDEX('Saisie'!$J$5:$J$2004,BP421-4),IF(OR(O421=0,AND(O421&gt;='Paramètres'!$B$21,P421=0)),"",Q421+IF(O421&lt;=1,'Paramètres'!$B$18,IF(O421=2,'Paramètres'!$B$19,'Paramètres'!$B$20)))))</f>
        <v/>
      </c>
      <c r="H421" s="107">
        <f>IF(OR(G421="",BP421&lt;&gt;BQ421),"",IF(INDEX('Saisie'!$K$5:$K$2004,BP421-4)="","",INDEX('Saisie'!$K$5:$K$2004,BP421-4)))</f>
        <v/>
      </c>
      <c r="I421" s="60">
        <f>IF(C421="","",IF(OR(D421="Gagné",D421="Perdu"),"",IFERROR(INDEX('Saisie'!$I$5:$I$2004,_xlfn.MAXIFS('Saisie'!$AS$5:$AS$2004,'Saisie'!$C$5:$C$2004,C421,'Saisie'!$I$5:$I$2004,"&lt;&gt;")-4),"")))</f>
        <v/>
      </c>
      <c r="J421" s="60">
        <f>IF(C421="","",IFERROR(INDEX('Saisie'!$U$5:$U$2004,_xlfn.MAXIFS('Saisie'!$AS$5:$AS$2004,'Saisie'!$C$5:$C$2004,C421,'Saisie'!$U$5:$U$2004,"&lt;&gt;")-4),""))</f>
        <v/>
      </c>
      <c r="K421" s="60">
        <f>IF(C421="","",IFERROR(INDEX('Saisie'!$W$5:$W$2004,_xlfn.MAXIFS('Saisie'!$AS$5:$AS$2004,'Saisie'!$C$5:$C$2004,C421,'Saisie'!$W$5:$W$2004,"&lt;&gt;")-4),""))</f>
        <v/>
      </c>
      <c r="L421" s="60">
        <f>IF(IF(BB421&lt;&gt;"",BB421,K421)="","",HYPERLINK("https://wa.me/"&amp;IF(LEFT(SUBSTITUTE(SUBSTITUTE(SUBSTITUTE(IF(BB421&lt;&gt;"",BB421,K421)," ",""),".",""),"+",""),1)="0",'Paramètres'!$B$35&amp;MID(SUBSTITUTE(SUBSTITUTE(SUBSTITUTE(IF(BB421&lt;&gt;"",BB421,K421)," ",""),".",""),"+",""),2,20),SUBSTITUTE(SUBSTITUTE(SUBSTITUTE(IF(BB421&lt;&gt;"",BB421,K421)," ",""),".",""),"+","")),"WhatsApp"))</f>
        <v/>
      </c>
      <c r="M421" s="60">
        <f>IF(BC421="","",HYPERLINK(IF(LEFT(BC421,4)="http",BC421,"https://www.instagram.com/"&amp;SUBSTITUTE(SUBSTITUTE(BC421,"@","")," ","")),BC421))</f>
        <v/>
      </c>
      <c r="N421" s="60">
        <f>IF(C421="","",IFERROR(INDEX('Saisie'!$D$5:$D$2004,_xlfn.MINIFS('Saisie'!$AS$5:$AS$2004,'Saisie'!$C$5:$C$2004,C421,'Saisie'!$AU$5:$AU$2004,1)-4),IFERROR(INDEX('Saisie'!$D$5:$D$2004,_xlfn.MINIFS('Saisie'!$AS$5:$AS$2004,'Saisie'!$C$5:$C$2004,C421,'Saisie'!$D$5:$D$2004,"&lt;&gt;")-4),"")))</f>
        <v/>
      </c>
      <c r="O421" s="60">
        <f>IF(C421="","",COUNTIFS('Saisie'!$C$5:$C$2004,C421,'Saisie'!$AU$5:$AU$2004,1))</f>
        <v/>
      </c>
      <c r="P421" s="60">
        <f>IF(C421="","",COUNTIFS('Saisie'!$C$5:$C$2004,C421,'Saisie'!$AV$5:$AV$2004,1))</f>
        <v/>
      </c>
      <c r="Q421" s="106">
        <f>IF(C421="","",IFERROR(1/(1/_xlfn.MAXIFS('Saisie'!$A$5:$A$2004,'Saisie'!$C$5:$C$2004,C421)),""))</f>
        <v/>
      </c>
      <c r="R421" s="61">
        <f>IF(C421="","",IF(Q421="","",TODAY()-Q421))</f>
        <v/>
      </c>
      <c r="S421" s="60">
        <f>IF(C421="","",IFERROR(INDEX('Saisie'!$R$5:$R$2004,_xlfn.MAXIFS('Saisie'!$AS$5:$AS$2004,'Saisie'!$C$5:$C$2004,C421,'Saisie'!$R$5:$R$2004,"&lt;&gt;")-4),""))</f>
        <v/>
      </c>
      <c r="T421" s="60">
        <f>IF(C421="","",IFERROR(INDEX('Saisie'!$S$5:$S$2004,_xlfn.MAXIFS('Saisie'!$AS$5:$AS$2004,'Saisie'!$C$5:$C$2004,C421,'Saisie'!$S$5:$S$2004,"&lt;&gt;")-4),""))</f>
        <v/>
      </c>
      <c r="U421" s="60">
        <f>IF(C421="","",IFERROR(INDEX('Saisie'!$T$5:$T$2004,_xlfn.MAXIFS('Saisie'!$AS$5:$AS$2004,'Saisie'!$C$5:$C$2004,C421,'Saisie'!$T$5:$T$2004,"&lt;&gt;")-4),""))</f>
        <v/>
      </c>
      <c r="V421" s="60">
        <f>IF(C421="","",IFERROR(INDEX('Saisie'!$V$5:$V$2004,_xlfn.MAXIFS('Saisie'!$AS$5:$AS$2004,'Saisie'!$C$5:$C$2004,C421,'Saisie'!$V$5:$V$2004,"&lt;&gt;")-4),""))</f>
        <v/>
      </c>
      <c r="W421" s="60">
        <f>IF(C421="","",IFERROR(INDEX('Saisie'!$Z$5:$Z$2004,_xlfn.MAXIFS('Saisie'!$AS$5:$AS$2004,'Saisie'!$C$5:$C$2004,C421,'Saisie'!$Z$5:$Z$2004,"&lt;&gt;")-4),""))</f>
        <v/>
      </c>
      <c r="X421" s="60">
        <f>IF(C421="","",IFERROR(INDEX('Saisie'!$AA$5:$AA$2004,_xlfn.MAXIFS('Saisie'!$AS$5:$AS$2004,'Saisie'!$C$5:$C$2004,C421,'Saisie'!$AA$5:$AA$2004,"&lt;&gt;")-4),""))</f>
        <v/>
      </c>
      <c r="Y421" s="60">
        <f>IF(C421="","",IFERROR(INDEX('Saisie'!$AB$5:$AB$2004,_xlfn.MAXIFS('Saisie'!$AS$5:$AS$2004,'Saisie'!$C$5:$C$2004,C421,'Saisie'!$AB$5:$AB$2004,"&lt;&gt;")-4),""))</f>
        <v/>
      </c>
      <c r="Z421" s="60">
        <f>IF(C421="","",IFERROR(INDEX('Saisie'!$AC$5:$AC$2004,_xlfn.MAXIFS('Saisie'!$AS$5:$AS$2004,'Saisie'!$C$5:$C$2004,C421,'Saisie'!$AC$5:$AC$2004,"&lt;&gt;")-4),""))</f>
        <v/>
      </c>
      <c r="AA421" s="106">
        <f>IF(C421="","",IFERROR(INDEX('Saisie'!$AD$5:$AD$2004,_xlfn.MAXIFS('Saisie'!$AS$5:$AS$2004,'Saisie'!$C$5:$C$2004,C421,'Saisie'!$AD$5:$AD$2004,"&lt;&gt;")-4),""))</f>
        <v/>
      </c>
      <c r="AB421" s="60">
        <f>IF(C421="","",IFERROR(INDEX('Saisie'!$AE$5:$AE$2004,_xlfn.MAXIFS('Saisie'!$AS$5:$AS$2004,'Saisie'!$C$5:$C$2004,C421,'Saisie'!$AE$5:$AE$2004,"&lt;&gt;")-4),""))</f>
        <v/>
      </c>
      <c r="AC421" s="60">
        <f>IF(C421="","",IFERROR(INDEX('Saisie'!$AF$5:$AF$2004,_xlfn.MAXIFS('Saisie'!$AS$5:$AS$2004,'Saisie'!$C$5:$C$2004,C421,'Saisie'!$AF$5:$AF$2004,"&lt;&gt;")-4),""))</f>
        <v/>
      </c>
      <c r="AD421" s="108">
        <f>IF(C421="","",IFERROR(INDEX('Saisie'!$AG$5:$AG$2004,_xlfn.MAXIFS('Saisie'!$AS$5:$AS$2004,'Saisie'!$C$5:$C$2004,C421,'Saisie'!$AG$5:$AG$2004,"&lt;&gt;")-4),""))</f>
        <v/>
      </c>
      <c r="AE421" s="60">
        <f>IF(C421="","",IFERROR(INDEX('Saisie'!$AH$5:$AH$2004,_xlfn.MAXIFS('Saisie'!$AS$5:$AS$2004,'Saisie'!$C$5:$C$2004,C421,'Saisie'!$AH$5:$AH$2004,"&lt;&gt;")-4),""))</f>
        <v/>
      </c>
      <c r="AF421" s="60">
        <f>IF(C421="","",IFERROR(INDEX('Saisie'!$AI$5:$AI$2004,_xlfn.MAXIFS('Saisie'!$AS$5:$AS$2004,'Saisie'!$C$5:$C$2004,C421,'Saisie'!$AI$5:$AI$2004,"&lt;&gt;")-4),""))</f>
        <v/>
      </c>
      <c r="AG421" s="60">
        <f>IF(C421="","",IFERROR(INDEX('Saisie'!$AJ$5:$AJ$2004,_xlfn.MAXIFS('Saisie'!$AS$5:$AS$2004,'Saisie'!$C$5:$C$2004,C421,'Saisie'!$AJ$5:$AJ$2004,"&lt;&gt;")-4),""))</f>
        <v/>
      </c>
      <c r="AH421" s="60">
        <f>IF(C421="","",IFERROR(INDEX('Saisie'!$AK$5:$AK$2004,_xlfn.MAXIFS('Saisie'!$AS$5:$AS$2004,'Saisie'!$C$5:$C$2004,C421,'Saisie'!$AK$5:$AK$2004,"&lt;&gt;")-4),""))</f>
        <v/>
      </c>
      <c r="AI421" s="60">
        <f>IF(C421="","",IFERROR(INDEX('Saisie'!$AN$5:$AN$2004,_xlfn.MAXIFS('Saisie'!$AS$5:$AS$2004,'Saisie'!$C$5:$C$2004,C421,'Saisie'!$AN$5:$AN$2004,"&lt;&gt;")-4),""))</f>
        <v/>
      </c>
      <c r="AJ421" s="60">
        <f>IF(C421="","",IFERROR(INDEX('Saisie'!$AO$5:$AO$2004,_xlfn.MAXIFS('Saisie'!$AS$5:$AS$2004,'Saisie'!$C$5:$C$2004,C421,'Saisie'!$AO$5:$AO$2004,"&lt;&gt;")-4),""))</f>
        <v/>
      </c>
      <c r="AK421" s="60">
        <f>IF(C421="","",IFERROR(INDEX('Saisie'!$AP$5:$AP$2004,_xlfn.MAXIFS('Saisie'!$AS$5:$AS$2004,'Saisie'!$C$5:$C$2004,C421,'Saisie'!$AP$5:$AP$2004,"&lt;&gt;")-4),""))</f>
        <v/>
      </c>
      <c r="AL421" s="60">
        <f>IF(C421="","",IFERROR(INDEX('Saisie'!$AQ$5:$AQ$2004,_xlfn.MAXIFS('Saisie'!$AS$5:$AS$2004,'Saisie'!$C$5:$C$2004,C421,'Saisie'!$AQ$5:$AQ$2004,"&lt;&gt;")-4),""))</f>
        <v/>
      </c>
      <c r="AM421" s="60">
        <f>IF(C421="","",((AI421="Oui")+(AJ421="Oui")+(AK421="Oui")+OR(AL421="Immédiat",AL421="&lt; 1 mois"))&amp;"/4")</f>
        <v/>
      </c>
      <c r="AN421" s="60">
        <f>IF(C421="","",IFERROR(INDEX('Saisie'!$AL$5:$AL$2004,_xlfn.MAXIFS('Saisie'!$AS$5:$AS$2004,'Saisie'!$C$5:$C$2004,C421,'Saisie'!$AL$5:$AL$2004,"&lt;&gt;")-4),""))</f>
        <v/>
      </c>
      <c r="AO421" s="62">
        <f>IF(C421="","",IF(IFERROR(INDEX('Saisie'!$AM$5:$AM$2004,_xlfn.MAXIFS('Saisie'!$AS$5:$AS$2004,'Saisie'!$C$5:$C$2004,C421,'Saisie'!$AM$5:$AM$2004,"&lt;&gt;")-4),"")&lt;&gt;"",IFERROR(INDEX('Saisie'!$AM$5:$AM$2004,_xlfn.MAXIFS('Saisie'!$AS$5:$AS$2004,'Saisie'!$C$5:$C$2004,C421,'Saisie'!$AM$5:$AM$2004,"&lt;&gt;")-4),""),IFERROR(INDEX('Paramètres'!$S$6:$S$15,MATCH(AN421,'Paramètres'!$Q$6:$Q$15,0)),"")))</f>
        <v/>
      </c>
      <c r="AP421" s="62">
        <f>IF(C421="","",IFERROR(INDEX('Saisie'!$AW$5:$AW$2004,_xlfn.MAXIFS('Saisie'!$AS$5:$AS$2004,'Saisie'!$C$5:$C$2004,C421,'Saisie'!$E$5:$E$2004,"Proposition envoyée")-4),""))</f>
        <v/>
      </c>
      <c r="AQ421" s="106">
        <f>IF(C421="","",IFERROR(1/(1/_xlfn.MAXIFS('Saisie'!$A$5:$A$2004,'Saisie'!$C$5:$C$2004,C421,'Saisie'!$E$5:$E$2004,"Proposition envoyée")),""))</f>
        <v/>
      </c>
      <c r="AR421" s="106">
        <f>IF(C421="","",IF(AQ421="","",AQ421+'Paramètres'!$B$26))</f>
        <v/>
      </c>
      <c r="AS421" s="62">
        <f>IF(OR(C421="",D421="Gagné",D421="Perdu"),0,N(AP421)*IFERROR(INDEX('Paramètres'!$G$6:$G$13,MATCH(D421,'Paramètres'!$F$6:$F$13,0)),0))</f>
        <v/>
      </c>
      <c r="AT421" s="106">
        <f>IF(C421="","",IFERROR(1/(1/_xlfn.MINIFS('Saisie'!$A$5:$A$2004,'Saisie'!$C$5:$C$2004,C421,'Saisie'!$E$5:$E$2004,"Signature")),""))</f>
        <v/>
      </c>
      <c r="AU421" s="60">
        <f>IF(C421="","",IF(OR(AT421="",B421=""),"",AT421-B421))</f>
        <v/>
      </c>
      <c r="AV421" s="60">
        <f>IF(C421="","",IFERROR(INDEX('Saisie'!$L$5:$L$2004,_xlfn.MAXIFS('Saisie'!$AS$5:$AS$2004,'Saisie'!$C$5:$C$2004,C421,'Saisie'!$L$5:$L$2004,"&lt;&gt;")-4),""))</f>
        <v/>
      </c>
      <c r="AW421" s="106">
        <f>IF(C421="","",IF(D421&lt;&gt;"Perdu","",IFERROR(1/(1/_xlfn.MAXIFS('Saisie'!$A$5:$A$2004,'Saisie'!$C$5:$C$2004,C421,'Saisie'!$E$5:$E$2004,"Perdu")),"")))</f>
        <v/>
      </c>
      <c r="AX421" s="106">
        <f>IF(C421="","",IF(AW421="","",AW421+'Paramètres'!$B$28))</f>
        <v/>
      </c>
      <c r="AY421" s="60">
        <f>IF(C421="","",SUMIFS('Saisie'!$H$5:$H$2004,'Saisie'!$C$5:$C$2004,C421))</f>
        <v/>
      </c>
      <c r="AZ421" s="60">
        <f>IF(C421="","",IFERROR(INDEX('Paramètres'!$W$6:$W$20,MATCH(S421,'Paramètres'!$V$6:$V$20,0))&amp;"",""))</f>
        <v/>
      </c>
      <c r="BA421" s="60">
        <f>IF(C421="","",MAX(1,_xlfn.MAXIFS('Saisie'!$AT$5:$AT$2004,'Saisie'!$C$5:$C$2004,C421)))</f>
        <v/>
      </c>
      <c r="BB421" s="60">
        <f>IF(C421="","",IFERROR(INDEX('Saisie'!$X$5:$X$2004,_xlfn.MAXIFS('Saisie'!$AS$5:$AS$2004,'Saisie'!$C$5:$C$2004,C421,'Saisie'!$X$5:$X$2004,"&lt;&gt;")-4),""))</f>
        <v/>
      </c>
      <c r="BC421" s="60">
        <f>IF(C421="","",IFERROR(INDEX('Saisie'!$Y$5:$Y$2004,_xlfn.MAXIFS('Saisie'!$AS$5:$AS$2004,'Saisie'!$C$5:$C$2004,C421,'Saisie'!$Y$5:$Y$2004,"&lt;&gt;")-4),""))</f>
        <v/>
      </c>
      <c r="BD421" s="106">
        <f>IF(C421="","",IFERROR(1/(1/_xlfn.MINIFS('Saisie'!$A$5:$A$2004,'Saisie'!$C$5:$C$2004,C421,'Saisie'!$AT$5:$AT$2004,"&gt;=2")),""))</f>
        <v/>
      </c>
      <c r="BE421" s="106">
        <f>IF(C421="","",IFERROR(1/(1/_xlfn.MINIFS('Saisie'!$A$5:$A$2004,'Saisie'!$C$5:$C$2004,C421,'Saisie'!$AT$5:$AT$2004,"&gt;=3")),""))</f>
        <v/>
      </c>
      <c r="BF421" s="106">
        <f>IF(C421="","",IFERROR(1/(1/_xlfn.MINIFS('Saisie'!$A$5:$A$2004,'Saisie'!$C$5:$C$2004,C421,'Saisie'!$AT$5:$AT$2004,"&gt;=4")),""))</f>
        <v/>
      </c>
      <c r="BG421" s="106">
        <f>IF(C421="","",IFERROR(1/(1/_xlfn.MINIFS('Saisie'!$A$5:$A$2004,'Saisie'!$C$5:$C$2004,C421,'Saisie'!$AT$5:$AT$2004,"&gt;=5")),""))</f>
        <v/>
      </c>
      <c r="BH421" s="106">
        <f>IF(C421="","",IFERROR(1/(1/_xlfn.MINIFS('Saisie'!$A$5:$A$2004,'Saisie'!$C$5:$C$2004,C421,'Saisie'!$AT$5:$AT$2004,"&gt;=6")),""))</f>
        <v/>
      </c>
      <c r="BI421" s="106">
        <f>IF(C421="","",IFERROR(1/(1/_xlfn.MINIFS('Saisie'!$A$5:$A$2004,'Saisie'!$C$5:$C$2004,C421,'Saisie'!$AT$5:$AT$2004,"&gt;=7")),""))</f>
        <v/>
      </c>
      <c r="BJ421" s="60">
        <f>IF(OR(BD421="",B421=""),"",BD421-B421)</f>
        <v/>
      </c>
      <c r="BK421" s="60">
        <f>IF(OR(BE421="",BD421=""),"",BE421-BD421)</f>
        <v/>
      </c>
      <c r="BL421" s="60">
        <f>IF(OR(BF421="",BE421=""),"",BF421-BE421)</f>
        <v/>
      </c>
      <c r="BM421" s="60">
        <f>IF(OR(BG421="",BF421=""),"",BG421-BF421)</f>
        <v/>
      </c>
      <c r="BN421" s="60">
        <f>IF(OR(BH421="",BG421=""),"",BH421-BG421)</f>
        <v/>
      </c>
      <c r="BO421" s="60">
        <f>IF(OR(BI421="",BH421=""),"",BI421-BH421)</f>
        <v/>
      </c>
      <c r="BP421" s="60">
        <f>IF(C421="","",_xlfn.MAXIFS('Saisie'!$AS$5:$AS$2004,'Saisie'!$C$5:$C$2004,C421,'Saisie'!$J$5:$J$2004,"&lt;&gt;"))</f>
        <v/>
      </c>
      <c r="BQ421" s="60">
        <f>IF(C421="","",_xlfn.MAXIFS('Saisie'!$AS$5:$AS$2004,'Saisie'!$C$5:$C$2004,C421))</f>
        <v/>
      </c>
      <c r="BR421" s="60">
        <f>IF(C421="","",_xlfn.MAXIFS('Saisie'!$AS$5:$AS$2004,'Saisie'!$C$5:$C$2004,C421,'Saisie'!$E$5:$E$2004,"Perdu"))</f>
        <v/>
      </c>
      <c r="BS421" s="60">
        <f>IF(C421="","",_xlfn.MAXIFS('Saisie'!$AS$5:$AS$2004,'Saisie'!$C$5:$C$2004,C421,'Saisie'!$AT$5:$AT$2004,"&gt;0"))</f>
        <v/>
      </c>
      <c r="BT421" s="109">
        <f>IF(AND(C421&lt;&gt;"",OR(D421="Nouveau",D421="Contacté",D421="Qualifié"),OR(G421="",N(G421)&lt;=TODAY()),NOT(AND(O421&gt;='Paramètres'!$B$21,P421=0))),E421+417/10000,"")</f>
        <v/>
      </c>
      <c r="BU421" s="60">
        <f>IF(AND(G421&lt;&gt;"",N(G421)&lt;=TODAY()),MAX($BU$4:BU420)+1,"")</f>
        <v/>
      </c>
      <c r="BV421" s="60">
        <f>IF(AND(F421&lt;&gt;"",F421&lt;&gt;"Relance en retard"),MAX($BV$4:BV420)+1,"")</f>
        <v/>
      </c>
      <c r="BW421" s="60">
        <f>IF(C421="","",IF(AND(B421&gt;='Tableau de bord'!$R$4,B421&lt;='Tableau de bord'!$S$4,OR('Tableau de bord'!$G$4="Tous",N421='Tableau de bord'!$G$4)),1,0))</f>
        <v/>
      </c>
      <c r="BX421" s="60">
        <f>IF(AND(C421&lt;&gt;"",N(BA421)=7),MAX($BX$4:BX420)+1,"")</f>
        <v/>
      </c>
    </row>
    <row r="422">
      <c r="A422" s="60">
        <f>IF(C422="","","P-"&amp;TEXT(418,"000"))</f>
        <v/>
      </c>
      <c r="B422" s="106">
        <f>IF(C422="","",IFERROR(1/(1/_xlfn.MINIFS('Saisie'!$A$5:$A$2004,'Saisie'!$C$5:$C$2004,C422)),""))</f>
        <v/>
      </c>
      <c r="C422" s="60">
        <f>IFERROR(INDEX('Saisie'!$C$5:$C$2004,MATCH(418,'Saisie'!$AX$5:$AX$2004,0)),"")</f>
        <v/>
      </c>
      <c r="D422" s="60">
        <f>IF(C422="","",IF(AND(BR422&gt;0,BR422&gt;BS422,BA422&lt;7),"Perdu",INDEX('Paramètres'!$F$6:$F$13,BA422)))</f>
        <v/>
      </c>
      <c r="E422" s="61">
        <f>IF(C422="","",MIN(100,(Z422="Oui")*'Paramètres'!$B$38+(AB422="Régulière")*'Paramètres'!$B$39+IF(AND(N(AA422)&gt;0,TODAY()-N(AA422)&lt;=30),'Paramètres'!$B$40,0)+(W422="")*'Paramètres'!$B$41+(AC422="Absente")*'Paramètres'!$B$42+(AC422="Faible")*'Paramètres'!$B$43+IF(AND(N(AD422)&gt;0,N(AD422)&lt;4),'Paramètres'!$B$44,0)+(AF422="Moyenne")*'Paramètres'!$B$45+(AF422="Grande")*'Paramètres'!$B$46+(Y422&lt;&gt;"")*'Paramètres'!$B$47))</f>
        <v/>
      </c>
      <c r="F422" s="60">
        <f>IF(C422="","",IF(D422="Gagné","",IF(D422="Perdu",IF(AND(AX422&lt;&gt;"",AX422&lt;=TODAY()),"À recontacter (perdu)",""),IF(AND(O422&gt;='Paramètres'!$B$21,P422=0),"Stop : "&amp;'Paramètres'!$B$21&amp;" tentatives sans réponse",IF(AND(D422="Proposition",AR422&lt;&gt;"",TODAY()&gt;N(AR422)),"Proposition expirée",IF(AND(D422="Proposition",N(R422)&gt;='Paramètres'!$B$25),"Proposition sans réponse",IF(AND(G422&lt;&gt;"",N(G422)&lt;TODAY()),"Relance en retard",IF(N(R422)&gt;='Paramètres'!$B$24,"Sans action depuis "&amp;R422&amp;" j",""))))))))</f>
        <v/>
      </c>
      <c r="G422" s="106">
        <f>IF(OR(C422="",D422="Gagné",D422="Perdu"),"",IF(AND(BP422&gt;0,BP422=BQ422),INDEX('Saisie'!$J$5:$J$2004,BP422-4),IF(OR(O422=0,AND(O422&gt;='Paramètres'!$B$21,P422=0)),"",Q422+IF(O422&lt;=1,'Paramètres'!$B$18,IF(O422=2,'Paramètres'!$B$19,'Paramètres'!$B$20)))))</f>
        <v/>
      </c>
      <c r="H422" s="107">
        <f>IF(OR(G422="",BP422&lt;&gt;BQ422),"",IF(INDEX('Saisie'!$K$5:$K$2004,BP422-4)="","",INDEX('Saisie'!$K$5:$K$2004,BP422-4)))</f>
        <v/>
      </c>
      <c r="I422" s="60">
        <f>IF(C422="","",IF(OR(D422="Gagné",D422="Perdu"),"",IFERROR(INDEX('Saisie'!$I$5:$I$2004,_xlfn.MAXIFS('Saisie'!$AS$5:$AS$2004,'Saisie'!$C$5:$C$2004,C422,'Saisie'!$I$5:$I$2004,"&lt;&gt;")-4),"")))</f>
        <v/>
      </c>
      <c r="J422" s="60">
        <f>IF(C422="","",IFERROR(INDEX('Saisie'!$U$5:$U$2004,_xlfn.MAXIFS('Saisie'!$AS$5:$AS$2004,'Saisie'!$C$5:$C$2004,C422,'Saisie'!$U$5:$U$2004,"&lt;&gt;")-4),""))</f>
        <v/>
      </c>
      <c r="K422" s="60">
        <f>IF(C422="","",IFERROR(INDEX('Saisie'!$W$5:$W$2004,_xlfn.MAXIFS('Saisie'!$AS$5:$AS$2004,'Saisie'!$C$5:$C$2004,C422,'Saisie'!$W$5:$W$2004,"&lt;&gt;")-4),""))</f>
        <v/>
      </c>
      <c r="L422" s="60">
        <f>IF(IF(BB422&lt;&gt;"",BB422,K422)="","",HYPERLINK("https://wa.me/"&amp;IF(LEFT(SUBSTITUTE(SUBSTITUTE(SUBSTITUTE(IF(BB422&lt;&gt;"",BB422,K422)," ",""),".",""),"+",""),1)="0",'Paramètres'!$B$35&amp;MID(SUBSTITUTE(SUBSTITUTE(SUBSTITUTE(IF(BB422&lt;&gt;"",BB422,K422)," ",""),".",""),"+",""),2,20),SUBSTITUTE(SUBSTITUTE(SUBSTITUTE(IF(BB422&lt;&gt;"",BB422,K422)," ",""),".",""),"+","")),"WhatsApp"))</f>
        <v/>
      </c>
      <c r="M422" s="60">
        <f>IF(BC422="","",HYPERLINK(IF(LEFT(BC422,4)="http",BC422,"https://www.instagram.com/"&amp;SUBSTITUTE(SUBSTITUTE(BC422,"@","")," ","")),BC422))</f>
        <v/>
      </c>
      <c r="N422" s="60">
        <f>IF(C422="","",IFERROR(INDEX('Saisie'!$D$5:$D$2004,_xlfn.MINIFS('Saisie'!$AS$5:$AS$2004,'Saisie'!$C$5:$C$2004,C422,'Saisie'!$AU$5:$AU$2004,1)-4),IFERROR(INDEX('Saisie'!$D$5:$D$2004,_xlfn.MINIFS('Saisie'!$AS$5:$AS$2004,'Saisie'!$C$5:$C$2004,C422,'Saisie'!$D$5:$D$2004,"&lt;&gt;")-4),"")))</f>
        <v/>
      </c>
      <c r="O422" s="60">
        <f>IF(C422="","",COUNTIFS('Saisie'!$C$5:$C$2004,C422,'Saisie'!$AU$5:$AU$2004,1))</f>
        <v/>
      </c>
      <c r="P422" s="60">
        <f>IF(C422="","",COUNTIFS('Saisie'!$C$5:$C$2004,C422,'Saisie'!$AV$5:$AV$2004,1))</f>
        <v/>
      </c>
      <c r="Q422" s="106">
        <f>IF(C422="","",IFERROR(1/(1/_xlfn.MAXIFS('Saisie'!$A$5:$A$2004,'Saisie'!$C$5:$C$2004,C422)),""))</f>
        <v/>
      </c>
      <c r="R422" s="61">
        <f>IF(C422="","",IF(Q422="","",TODAY()-Q422))</f>
        <v/>
      </c>
      <c r="S422" s="60">
        <f>IF(C422="","",IFERROR(INDEX('Saisie'!$R$5:$R$2004,_xlfn.MAXIFS('Saisie'!$AS$5:$AS$2004,'Saisie'!$C$5:$C$2004,C422,'Saisie'!$R$5:$R$2004,"&lt;&gt;")-4),""))</f>
        <v/>
      </c>
      <c r="T422" s="60">
        <f>IF(C422="","",IFERROR(INDEX('Saisie'!$S$5:$S$2004,_xlfn.MAXIFS('Saisie'!$AS$5:$AS$2004,'Saisie'!$C$5:$C$2004,C422,'Saisie'!$S$5:$S$2004,"&lt;&gt;")-4),""))</f>
        <v/>
      </c>
      <c r="U422" s="60">
        <f>IF(C422="","",IFERROR(INDEX('Saisie'!$T$5:$T$2004,_xlfn.MAXIFS('Saisie'!$AS$5:$AS$2004,'Saisie'!$C$5:$C$2004,C422,'Saisie'!$T$5:$T$2004,"&lt;&gt;")-4),""))</f>
        <v/>
      </c>
      <c r="V422" s="60">
        <f>IF(C422="","",IFERROR(INDEX('Saisie'!$V$5:$V$2004,_xlfn.MAXIFS('Saisie'!$AS$5:$AS$2004,'Saisie'!$C$5:$C$2004,C422,'Saisie'!$V$5:$V$2004,"&lt;&gt;")-4),""))</f>
        <v/>
      </c>
      <c r="W422" s="60">
        <f>IF(C422="","",IFERROR(INDEX('Saisie'!$Z$5:$Z$2004,_xlfn.MAXIFS('Saisie'!$AS$5:$AS$2004,'Saisie'!$C$5:$C$2004,C422,'Saisie'!$Z$5:$Z$2004,"&lt;&gt;")-4),""))</f>
        <v/>
      </c>
      <c r="X422" s="60">
        <f>IF(C422="","",IFERROR(INDEX('Saisie'!$AA$5:$AA$2004,_xlfn.MAXIFS('Saisie'!$AS$5:$AS$2004,'Saisie'!$C$5:$C$2004,C422,'Saisie'!$AA$5:$AA$2004,"&lt;&gt;")-4),""))</f>
        <v/>
      </c>
      <c r="Y422" s="60">
        <f>IF(C422="","",IFERROR(INDEX('Saisie'!$AB$5:$AB$2004,_xlfn.MAXIFS('Saisie'!$AS$5:$AS$2004,'Saisie'!$C$5:$C$2004,C422,'Saisie'!$AB$5:$AB$2004,"&lt;&gt;")-4),""))</f>
        <v/>
      </c>
      <c r="Z422" s="60">
        <f>IF(C422="","",IFERROR(INDEX('Saisie'!$AC$5:$AC$2004,_xlfn.MAXIFS('Saisie'!$AS$5:$AS$2004,'Saisie'!$C$5:$C$2004,C422,'Saisie'!$AC$5:$AC$2004,"&lt;&gt;")-4),""))</f>
        <v/>
      </c>
      <c r="AA422" s="106">
        <f>IF(C422="","",IFERROR(INDEX('Saisie'!$AD$5:$AD$2004,_xlfn.MAXIFS('Saisie'!$AS$5:$AS$2004,'Saisie'!$C$5:$C$2004,C422,'Saisie'!$AD$5:$AD$2004,"&lt;&gt;")-4),""))</f>
        <v/>
      </c>
      <c r="AB422" s="60">
        <f>IF(C422="","",IFERROR(INDEX('Saisie'!$AE$5:$AE$2004,_xlfn.MAXIFS('Saisie'!$AS$5:$AS$2004,'Saisie'!$C$5:$C$2004,C422,'Saisie'!$AE$5:$AE$2004,"&lt;&gt;")-4),""))</f>
        <v/>
      </c>
      <c r="AC422" s="60">
        <f>IF(C422="","",IFERROR(INDEX('Saisie'!$AF$5:$AF$2004,_xlfn.MAXIFS('Saisie'!$AS$5:$AS$2004,'Saisie'!$C$5:$C$2004,C422,'Saisie'!$AF$5:$AF$2004,"&lt;&gt;")-4),""))</f>
        <v/>
      </c>
      <c r="AD422" s="108">
        <f>IF(C422="","",IFERROR(INDEX('Saisie'!$AG$5:$AG$2004,_xlfn.MAXIFS('Saisie'!$AS$5:$AS$2004,'Saisie'!$C$5:$C$2004,C422,'Saisie'!$AG$5:$AG$2004,"&lt;&gt;")-4),""))</f>
        <v/>
      </c>
      <c r="AE422" s="60">
        <f>IF(C422="","",IFERROR(INDEX('Saisie'!$AH$5:$AH$2004,_xlfn.MAXIFS('Saisie'!$AS$5:$AS$2004,'Saisie'!$C$5:$C$2004,C422,'Saisie'!$AH$5:$AH$2004,"&lt;&gt;")-4),""))</f>
        <v/>
      </c>
      <c r="AF422" s="60">
        <f>IF(C422="","",IFERROR(INDEX('Saisie'!$AI$5:$AI$2004,_xlfn.MAXIFS('Saisie'!$AS$5:$AS$2004,'Saisie'!$C$5:$C$2004,C422,'Saisie'!$AI$5:$AI$2004,"&lt;&gt;")-4),""))</f>
        <v/>
      </c>
      <c r="AG422" s="60">
        <f>IF(C422="","",IFERROR(INDEX('Saisie'!$AJ$5:$AJ$2004,_xlfn.MAXIFS('Saisie'!$AS$5:$AS$2004,'Saisie'!$C$5:$C$2004,C422,'Saisie'!$AJ$5:$AJ$2004,"&lt;&gt;")-4),""))</f>
        <v/>
      </c>
      <c r="AH422" s="60">
        <f>IF(C422="","",IFERROR(INDEX('Saisie'!$AK$5:$AK$2004,_xlfn.MAXIFS('Saisie'!$AS$5:$AS$2004,'Saisie'!$C$5:$C$2004,C422,'Saisie'!$AK$5:$AK$2004,"&lt;&gt;")-4),""))</f>
        <v/>
      </c>
      <c r="AI422" s="60">
        <f>IF(C422="","",IFERROR(INDEX('Saisie'!$AN$5:$AN$2004,_xlfn.MAXIFS('Saisie'!$AS$5:$AS$2004,'Saisie'!$C$5:$C$2004,C422,'Saisie'!$AN$5:$AN$2004,"&lt;&gt;")-4),""))</f>
        <v/>
      </c>
      <c r="AJ422" s="60">
        <f>IF(C422="","",IFERROR(INDEX('Saisie'!$AO$5:$AO$2004,_xlfn.MAXIFS('Saisie'!$AS$5:$AS$2004,'Saisie'!$C$5:$C$2004,C422,'Saisie'!$AO$5:$AO$2004,"&lt;&gt;")-4),""))</f>
        <v/>
      </c>
      <c r="AK422" s="60">
        <f>IF(C422="","",IFERROR(INDEX('Saisie'!$AP$5:$AP$2004,_xlfn.MAXIFS('Saisie'!$AS$5:$AS$2004,'Saisie'!$C$5:$C$2004,C422,'Saisie'!$AP$5:$AP$2004,"&lt;&gt;")-4),""))</f>
        <v/>
      </c>
      <c r="AL422" s="60">
        <f>IF(C422="","",IFERROR(INDEX('Saisie'!$AQ$5:$AQ$2004,_xlfn.MAXIFS('Saisie'!$AS$5:$AS$2004,'Saisie'!$C$5:$C$2004,C422,'Saisie'!$AQ$5:$AQ$2004,"&lt;&gt;")-4),""))</f>
        <v/>
      </c>
      <c r="AM422" s="60">
        <f>IF(C422="","",((AI422="Oui")+(AJ422="Oui")+(AK422="Oui")+OR(AL422="Immédiat",AL422="&lt; 1 mois"))&amp;"/4")</f>
        <v/>
      </c>
      <c r="AN422" s="60">
        <f>IF(C422="","",IFERROR(INDEX('Saisie'!$AL$5:$AL$2004,_xlfn.MAXIFS('Saisie'!$AS$5:$AS$2004,'Saisie'!$C$5:$C$2004,C422,'Saisie'!$AL$5:$AL$2004,"&lt;&gt;")-4),""))</f>
        <v/>
      </c>
      <c r="AO422" s="62">
        <f>IF(C422="","",IF(IFERROR(INDEX('Saisie'!$AM$5:$AM$2004,_xlfn.MAXIFS('Saisie'!$AS$5:$AS$2004,'Saisie'!$C$5:$C$2004,C422,'Saisie'!$AM$5:$AM$2004,"&lt;&gt;")-4),"")&lt;&gt;"",IFERROR(INDEX('Saisie'!$AM$5:$AM$2004,_xlfn.MAXIFS('Saisie'!$AS$5:$AS$2004,'Saisie'!$C$5:$C$2004,C422,'Saisie'!$AM$5:$AM$2004,"&lt;&gt;")-4),""),IFERROR(INDEX('Paramètres'!$S$6:$S$15,MATCH(AN422,'Paramètres'!$Q$6:$Q$15,0)),"")))</f>
        <v/>
      </c>
      <c r="AP422" s="62">
        <f>IF(C422="","",IFERROR(INDEX('Saisie'!$AW$5:$AW$2004,_xlfn.MAXIFS('Saisie'!$AS$5:$AS$2004,'Saisie'!$C$5:$C$2004,C422,'Saisie'!$E$5:$E$2004,"Proposition envoyée")-4),""))</f>
        <v/>
      </c>
      <c r="AQ422" s="106">
        <f>IF(C422="","",IFERROR(1/(1/_xlfn.MAXIFS('Saisie'!$A$5:$A$2004,'Saisie'!$C$5:$C$2004,C422,'Saisie'!$E$5:$E$2004,"Proposition envoyée")),""))</f>
        <v/>
      </c>
      <c r="AR422" s="106">
        <f>IF(C422="","",IF(AQ422="","",AQ422+'Paramètres'!$B$26))</f>
        <v/>
      </c>
      <c r="AS422" s="62">
        <f>IF(OR(C422="",D422="Gagné",D422="Perdu"),0,N(AP422)*IFERROR(INDEX('Paramètres'!$G$6:$G$13,MATCH(D422,'Paramètres'!$F$6:$F$13,0)),0))</f>
        <v/>
      </c>
      <c r="AT422" s="106">
        <f>IF(C422="","",IFERROR(1/(1/_xlfn.MINIFS('Saisie'!$A$5:$A$2004,'Saisie'!$C$5:$C$2004,C422,'Saisie'!$E$5:$E$2004,"Signature")),""))</f>
        <v/>
      </c>
      <c r="AU422" s="60">
        <f>IF(C422="","",IF(OR(AT422="",B422=""),"",AT422-B422))</f>
        <v/>
      </c>
      <c r="AV422" s="60">
        <f>IF(C422="","",IFERROR(INDEX('Saisie'!$L$5:$L$2004,_xlfn.MAXIFS('Saisie'!$AS$5:$AS$2004,'Saisie'!$C$5:$C$2004,C422,'Saisie'!$L$5:$L$2004,"&lt;&gt;")-4),""))</f>
        <v/>
      </c>
      <c r="AW422" s="106">
        <f>IF(C422="","",IF(D422&lt;&gt;"Perdu","",IFERROR(1/(1/_xlfn.MAXIFS('Saisie'!$A$5:$A$2004,'Saisie'!$C$5:$C$2004,C422,'Saisie'!$E$5:$E$2004,"Perdu")),"")))</f>
        <v/>
      </c>
      <c r="AX422" s="106">
        <f>IF(C422="","",IF(AW422="","",AW422+'Paramètres'!$B$28))</f>
        <v/>
      </c>
      <c r="AY422" s="60">
        <f>IF(C422="","",SUMIFS('Saisie'!$H$5:$H$2004,'Saisie'!$C$5:$C$2004,C422))</f>
        <v/>
      </c>
      <c r="AZ422" s="60">
        <f>IF(C422="","",IFERROR(INDEX('Paramètres'!$W$6:$W$20,MATCH(S422,'Paramètres'!$V$6:$V$20,0))&amp;"",""))</f>
        <v/>
      </c>
      <c r="BA422" s="60">
        <f>IF(C422="","",MAX(1,_xlfn.MAXIFS('Saisie'!$AT$5:$AT$2004,'Saisie'!$C$5:$C$2004,C422)))</f>
        <v/>
      </c>
      <c r="BB422" s="60">
        <f>IF(C422="","",IFERROR(INDEX('Saisie'!$X$5:$X$2004,_xlfn.MAXIFS('Saisie'!$AS$5:$AS$2004,'Saisie'!$C$5:$C$2004,C422,'Saisie'!$X$5:$X$2004,"&lt;&gt;")-4),""))</f>
        <v/>
      </c>
      <c r="BC422" s="60">
        <f>IF(C422="","",IFERROR(INDEX('Saisie'!$Y$5:$Y$2004,_xlfn.MAXIFS('Saisie'!$AS$5:$AS$2004,'Saisie'!$C$5:$C$2004,C422,'Saisie'!$Y$5:$Y$2004,"&lt;&gt;")-4),""))</f>
        <v/>
      </c>
      <c r="BD422" s="106">
        <f>IF(C422="","",IFERROR(1/(1/_xlfn.MINIFS('Saisie'!$A$5:$A$2004,'Saisie'!$C$5:$C$2004,C422,'Saisie'!$AT$5:$AT$2004,"&gt;=2")),""))</f>
        <v/>
      </c>
      <c r="BE422" s="106">
        <f>IF(C422="","",IFERROR(1/(1/_xlfn.MINIFS('Saisie'!$A$5:$A$2004,'Saisie'!$C$5:$C$2004,C422,'Saisie'!$AT$5:$AT$2004,"&gt;=3")),""))</f>
        <v/>
      </c>
      <c r="BF422" s="106">
        <f>IF(C422="","",IFERROR(1/(1/_xlfn.MINIFS('Saisie'!$A$5:$A$2004,'Saisie'!$C$5:$C$2004,C422,'Saisie'!$AT$5:$AT$2004,"&gt;=4")),""))</f>
        <v/>
      </c>
      <c r="BG422" s="106">
        <f>IF(C422="","",IFERROR(1/(1/_xlfn.MINIFS('Saisie'!$A$5:$A$2004,'Saisie'!$C$5:$C$2004,C422,'Saisie'!$AT$5:$AT$2004,"&gt;=5")),""))</f>
        <v/>
      </c>
      <c r="BH422" s="106">
        <f>IF(C422="","",IFERROR(1/(1/_xlfn.MINIFS('Saisie'!$A$5:$A$2004,'Saisie'!$C$5:$C$2004,C422,'Saisie'!$AT$5:$AT$2004,"&gt;=6")),""))</f>
        <v/>
      </c>
      <c r="BI422" s="106">
        <f>IF(C422="","",IFERROR(1/(1/_xlfn.MINIFS('Saisie'!$A$5:$A$2004,'Saisie'!$C$5:$C$2004,C422,'Saisie'!$AT$5:$AT$2004,"&gt;=7")),""))</f>
        <v/>
      </c>
      <c r="BJ422" s="60">
        <f>IF(OR(BD422="",B422=""),"",BD422-B422)</f>
        <v/>
      </c>
      <c r="BK422" s="60">
        <f>IF(OR(BE422="",BD422=""),"",BE422-BD422)</f>
        <v/>
      </c>
      <c r="BL422" s="60">
        <f>IF(OR(BF422="",BE422=""),"",BF422-BE422)</f>
        <v/>
      </c>
      <c r="BM422" s="60">
        <f>IF(OR(BG422="",BF422=""),"",BG422-BF422)</f>
        <v/>
      </c>
      <c r="BN422" s="60">
        <f>IF(OR(BH422="",BG422=""),"",BH422-BG422)</f>
        <v/>
      </c>
      <c r="BO422" s="60">
        <f>IF(OR(BI422="",BH422=""),"",BI422-BH422)</f>
        <v/>
      </c>
      <c r="BP422" s="60">
        <f>IF(C422="","",_xlfn.MAXIFS('Saisie'!$AS$5:$AS$2004,'Saisie'!$C$5:$C$2004,C422,'Saisie'!$J$5:$J$2004,"&lt;&gt;"))</f>
        <v/>
      </c>
      <c r="BQ422" s="60">
        <f>IF(C422="","",_xlfn.MAXIFS('Saisie'!$AS$5:$AS$2004,'Saisie'!$C$5:$C$2004,C422))</f>
        <v/>
      </c>
      <c r="BR422" s="60">
        <f>IF(C422="","",_xlfn.MAXIFS('Saisie'!$AS$5:$AS$2004,'Saisie'!$C$5:$C$2004,C422,'Saisie'!$E$5:$E$2004,"Perdu"))</f>
        <v/>
      </c>
      <c r="BS422" s="60">
        <f>IF(C422="","",_xlfn.MAXIFS('Saisie'!$AS$5:$AS$2004,'Saisie'!$C$5:$C$2004,C422,'Saisie'!$AT$5:$AT$2004,"&gt;0"))</f>
        <v/>
      </c>
      <c r="BT422" s="109">
        <f>IF(AND(C422&lt;&gt;"",OR(D422="Nouveau",D422="Contacté",D422="Qualifié"),OR(G422="",N(G422)&lt;=TODAY()),NOT(AND(O422&gt;='Paramètres'!$B$21,P422=0))),E422+418/10000,"")</f>
        <v/>
      </c>
      <c r="BU422" s="60">
        <f>IF(AND(G422&lt;&gt;"",N(G422)&lt;=TODAY()),MAX($BU$4:BU421)+1,"")</f>
        <v/>
      </c>
      <c r="BV422" s="60">
        <f>IF(AND(F422&lt;&gt;"",F422&lt;&gt;"Relance en retard"),MAX($BV$4:BV421)+1,"")</f>
        <v/>
      </c>
      <c r="BW422" s="60">
        <f>IF(C422="","",IF(AND(B422&gt;='Tableau de bord'!$R$4,B422&lt;='Tableau de bord'!$S$4,OR('Tableau de bord'!$G$4="Tous",N422='Tableau de bord'!$G$4)),1,0))</f>
        <v/>
      </c>
      <c r="BX422" s="60">
        <f>IF(AND(C422&lt;&gt;"",N(BA422)=7),MAX($BX$4:BX421)+1,"")</f>
        <v/>
      </c>
    </row>
    <row r="423">
      <c r="A423" s="60">
        <f>IF(C423="","","P-"&amp;TEXT(419,"000"))</f>
        <v/>
      </c>
      <c r="B423" s="106">
        <f>IF(C423="","",IFERROR(1/(1/_xlfn.MINIFS('Saisie'!$A$5:$A$2004,'Saisie'!$C$5:$C$2004,C423)),""))</f>
        <v/>
      </c>
      <c r="C423" s="60">
        <f>IFERROR(INDEX('Saisie'!$C$5:$C$2004,MATCH(419,'Saisie'!$AX$5:$AX$2004,0)),"")</f>
        <v/>
      </c>
      <c r="D423" s="60">
        <f>IF(C423="","",IF(AND(BR423&gt;0,BR423&gt;BS423,BA423&lt;7),"Perdu",INDEX('Paramètres'!$F$6:$F$13,BA423)))</f>
        <v/>
      </c>
      <c r="E423" s="61">
        <f>IF(C423="","",MIN(100,(Z423="Oui")*'Paramètres'!$B$38+(AB423="Régulière")*'Paramètres'!$B$39+IF(AND(N(AA423)&gt;0,TODAY()-N(AA423)&lt;=30),'Paramètres'!$B$40,0)+(W423="")*'Paramètres'!$B$41+(AC423="Absente")*'Paramètres'!$B$42+(AC423="Faible")*'Paramètres'!$B$43+IF(AND(N(AD423)&gt;0,N(AD423)&lt;4),'Paramètres'!$B$44,0)+(AF423="Moyenne")*'Paramètres'!$B$45+(AF423="Grande")*'Paramètres'!$B$46+(Y423&lt;&gt;"")*'Paramètres'!$B$47))</f>
        <v/>
      </c>
      <c r="F423" s="60">
        <f>IF(C423="","",IF(D423="Gagné","",IF(D423="Perdu",IF(AND(AX423&lt;&gt;"",AX423&lt;=TODAY()),"À recontacter (perdu)",""),IF(AND(O423&gt;='Paramètres'!$B$21,P423=0),"Stop : "&amp;'Paramètres'!$B$21&amp;" tentatives sans réponse",IF(AND(D423="Proposition",AR423&lt;&gt;"",TODAY()&gt;N(AR423)),"Proposition expirée",IF(AND(D423="Proposition",N(R423)&gt;='Paramètres'!$B$25),"Proposition sans réponse",IF(AND(G423&lt;&gt;"",N(G423)&lt;TODAY()),"Relance en retard",IF(N(R423)&gt;='Paramètres'!$B$24,"Sans action depuis "&amp;R423&amp;" j",""))))))))</f>
        <v/>
      </c>
      <c r="G423" s="106">
        <f>IF(OR(C423="",D423="Gagné",D423="Perdu"),"",IF(AND(BP423&gt;0,BP423=BQ423),INDEX('Saisie'!$J$5:$J$2004,BP423-4),IF(OR(O423=0,AND(O423&gt;='Paramètres'!$B$21,P423=0)),"",Q423+IF(O423&lt;=1,'Paramètres'!$B$18,IF(O423=2,'Paramètres'!$B$19,'Paramètres'!$B$20)))))</f>
        <v/>
      </c>
      <c r="H423" s="107">
        <f>IF(OR(G423="",BP423&lt;&gt;BQ423),"",IF(INDEX('Saisie'!$K$5:$K$2004,BP423-4)="","",INDEX('Saisie'!$K$5:$K$2004,BP423-4)))</f>
        <v/>
      </c>
      <c r="I423" s="60">
        <f>IF(C423="","",IF(OR(D423="Gagné",D423="Perdu"),"",IFERROR(INDEX('Saisie'!$I$5:$I$2004,_xlfn.MAXIFS('Saisie'!$AS$5:$AS$2004,'Saisie'!$C$5:$C$2004,C423,'Saisie'!$I$5:$I$2004,"&lt;&gt;")-4),"")))</f>
        <v/>
      </c>
      <c r="J423" s="60">
        <f>IF(C423="","",IFERROR(INDEX('Saisie'!$U$5:$U$2004,_xlfn.MAXIFS('Saisie'!$AS$5:$AS$2004,'Saisie'!$C$5:$C$2004,C423,'Saisie'!$U$5:$U$2004,"&lt;&gt;")-4),""))</f>
        <v/>
      </c>
      <c r="K423" s="60">
        <f>IF(C423="","",IFERROR(INDEX('Saisie'!$W$5:$W$2004,_xlfn.MAXIFS('Saisie'!$AS$5:$AS$2004,'Saisie'!$C$5:$C$2004,C423,'Saisie'!$W$5:$W$2004,"&lt;&gt;")-4),""))</f>
        <v/>
      </c>
      <c r="L423" s="60">
        <f>IF(IF(BB423&lt;&gt;"",BB423,K423)="","",HYPERLINK("https://wa.me/"&amp;IF(LEFT(SUBSTITUTE(SUBSTITUTE(SUBSTITUTE(IF(BB423&lt;&gt;"",BB423,K423)," ",""),".",""),"+",""),1)="0",'Paramètres'!$B$35&amp;MID(SUBSTITUTE(SUBSTITUTE(SUBSTITUTE(IF(BB423&lt;&gt;"",BB423,K423)," ",""),".",""),"+",""),2,20),SUBSTITUTE(SUBSTITUTE(SUBSTITUTE(IF(BB423&lt;&gt;"",BB423,K423)," ",""),".",""),"+","")),"WhatsApp"))</f>
        <v/>
      </c>
      <c r="M423" s="60">
        <f>IF(BC423="","",HYPERLINK(IF(LEFT(BC423,4)="http",BC423,"https://www.instagram.com/"&amp;SUBSTITUTE(SUBSTITUTE(BC423,"@","")," ","")),BC423))</f>
        <v/>
      </c>
      <c r="N423" s="60">
        <f>IF(C423="","",IFERROR(INDEX('Saisie'!$D$5:$D$2004,_xlfn.MINIFS('Saisie'!$AS$5:$AS$2004,'Saisie'!$C$5:$C$2004,C423,'Saisie'!$AU$5:$AU$2004,1)-4),IFERROR(INDEX('Saisie'!$D$5:$D$2004,_xlfn.MINIFS('Saisie'!$AS$5:$AS$2004,'Saisie'!$C$5:$C$2004,C423,'Saisie'!$D$5:$D$2004,"&lt;&gt;")-4),"")))</f>
        <v/>
      </c>
      <c r="O423" s="60">
        <f>IF(C423="","",COUNTIFS('Saisie'!$C$5:$C$2004,C423,'Saisie'!$AU$5:$AU$2004,1))</f>
        <v/>
      </c>
      <c r="P423" s="60">
        <f>IF(C423="","",COUNTIFS('Saisie'!$C$5:$C$2004,C423,'Saisie'!$AV$5:$AV$2004,1))</f>
        <v/>
      </c>
      <c r="Q423" s="106">
        <f>IF(C423="","",IFERROR(1/(1/_xlfn.MAXIFS('Saisie'!$A$5:$A$2004,'Saisie'!$C$5:$C$2004,C423)),""))</f>
        <v/>
      </c>
      <c r="R423" s="61">
        <f>IF(C423="","",IF(Q423="","",TODAY()-Q423))</f>
        <v/>
      </c>
      <c r="S423" s="60">
        <f>IF(C423="","",IFERROR(INDEX('Saisie'!$R$5:$R$2004,_xlfn.MAXIFS('Saisie'!$AS$5:$AS$2004,'Saisie'!$C$5:$C$2004,C423,'Saisie'!$R$5:$R$2004,"&lt;&gt;")-4),""))</f>
        <v/>
      </c>
      <c r="T423" s="60">
        <f>IF(C423="","",IFERROR(INDEX('Saisie'!$S$5:$S$2004,_xlfn.MAXIFS('Saisie'!$AS$5:$AS$2004,'Saisie'!$C$5:$C$2004,C423,'Saisie'!$S$5:$S$2004,"&lt;&gt;")-4),""))</f>
        <v/>
      </c>
      <c r="U423" s="60">
        <f>IF(C423="","",IFERROR(INDEX('Saisie'!$T$5:$T$2004,_xlfn.MAXIFS('Saisie'!$AS$5:$AS$2004,'Saisie'!$C$5:$C$2004,C423,'Saisie'!$T$5:$T$2004,"&lt;&gt;")-4),""))</f>
        <v/>
      </c>
      <c r="V423" s="60">
        <f>IF(C423="","",IFERROR(INDEX('Saisie'!$V$5:$V$2004,_xlfn.MAXIFS('Saisie'!$AS$5:$AS$2004,'Saisie'!$C$5:$C$2004,C423,'Saisie'!$V$5:$V$2004,"&lt;&gt;")-4),""))</f>
        <v/>
      </c>
      <c r="W423" s="60">
        <f>IF(C423="","",IFERROR(INDEX('Saisie'!$Z$5:$Z$2004,_xlfn.MAXIFS('Saisie'!$AS$5:$AS$2004,'Saisie'!$C$5:$C$2004,C423,'Saisie'!$Z$5:$Z$2004,"&lt;&gt;")-4),""))</f>
        <v/>
      </c>
      <c r="X423" s="60">
        <f>IF(C423="","",IFERROR(INDEX('Saisie'!$AA$5:$AA$2004,_xlfn.MAXIFS('Saisie'!$AS$5:$AS$2004,'Saisie'!$C$5:$C$2004,C423,'Saisie'!$AA$5:$AA$2004,"&lt;&gt;")-4),""))</f>
        <v/>
      </c>
      <c r="Y423" s="60">
        <f>IF(C423="","",IFERROR(INDEX('Saisie'!$AB$5:$AB$2004,_xlfn.MAXIFS('Saisie'!$AS$5:$AS$2004,'Saisie'!$C$5:$C$2004,C423,'Saisie'!$AB$5:$AB$2004,"&lt;&gt;")-4),""))</f>
        <v/>
      </c>
      <c r="Z423" s="60">
        <f>IF(C423="","",IFERROR(INDEX('Saisie'!$AC$5:$AC$2004,_xlfn.MAXIFS('Saisie'!$AS$5:$AS$2004,'Saisie'!$C$5:$C$2004,C423,'Saisie'!$AC$5:$AC$2004,"&lt;&gt;")-4),""))</f>
        <v/>
      </c>
      <c r="AA423" s="106">
        <f>IF(C423="","",IFERROR(INDEX('Saisie'!$AD$5:$AD$2004,_xlfn.MAXIFS('Saisie'!$AS$5:$AS$2004,'Saisie'!$C$5:$C$2004,C423,'Saisie'!$AD$5:$AD$2004,"&lt;&gt;")-4),""))</f>
        <v/>
      </c>
      <c r="AB423" s="60">
        <f>IF(C423="","",IFERROR(INDEX('Saisie'!$AE$5:$AE$2004,_xlfn.MAXIFS('Saisie'!$AS$5:$AS$2004,'Saisie'!$C$5:$C$2004,C423,'Saisie'!$AE$5:$AE$2004,"&lt;&gt;")-4),""))</f>
        <v/>
      </c>
      <c r="AC423" s="60">
        <f>IF(C423="","",IFERROR(INDEX('Saisie'!$AF$5:$AF$2004,_xlfn.MAXIFS('Saisie'!$AS$5:$AS$2004,'Saisie'!$C$5:$C$2004,C423,'Saisie'!$AF$5:$AF$2004,"&lt;&gt;")-4),""))</f>
        <v/>
      </c>
      <c r="AD423" s="108">
        <f>IF(C423="","",IFERROR(INDEX('Saisie'!$AG$5:$AG$2004,_xlfn.MAXIFS('Saisie'!$AS$5:$AS$2004,'Saisie'!$C$5:$C$2004,C423,'Saisie'!$AG$5:$AG$2004,"&lt;&gt;")-4),""))</f>
        <v/>
      </c>
      <c r="AE423" s="60">
        <f>IF(C423="","",IFERROR(INDEX('Saisie'!$AH$5:$AH$2004,_xlfn.MAXIFS('Saisie'!$AS$5:$AS$2004,'Saisie'!$C$5:$C$2004,C423,'Saisie'!$AH$5:$AH$2004,"&lt;&gt;")-4),""))</f>
        <v/>
      </c>
      <c r="AF423" s="60">
        <f>IF(C423="","",IFERROR(INDEX('Saisie'!$AI$5:$AI$2004,_xlfn.MAXIFS('Saisie'!$AS$5:$AS$2004,'Saisie'!$C$5:$C$2004,C423,'Saisie'!$AI$5:$AI$2004,"&lt;&gt;")-4),""))</f>
        <v/>
      </c>
      <c r="AG423" s="60">
        <f>IF(C423="","",IFERROR(INDEX('Saisie'!$AJ$5:$AJ$2004,_xlfn.MAXIFS('Saisie'!$AS$5:$AS$2004,'Saisie'!$C$5:$C$2004,C423,'Saisie'!$AJ$5:$AJ$2004,"&lt;&gt;")-4),""))</f>
        <v/>
      </c>
      <c r="AH423" s="60">
        <f>IF(C423="","",IFERROR(INDEX('Saisie'!$AK$5:$AK$2004,_xlfn.MAXIFS('Saisie'!$AS$5:$AS$2004,'Saisie'!$C$5:$C$2004,C423,'Saisie'!$AK$5:$AK$2004,"&lt;&gt;")-4),""))</f>
        <v/>
      </c>
      <c r="AI423" s="60">
        <f>IF(C423="","",IFERROR(INDEX('Saisie'!$AN$5:$AN$2004,_xlfn.MAXIFS('Saisie'!$AS$5:$AS$2004,'Saisie'!$C$5:$C$2004,C423,'Saisie'!$AN$5:$AN$2004,"&lt;&gt;")-4),""))</f>
        <v/>
      </c>
      <c r="AJ423" s="60">
        <f>IF(C423="","",IFERROR(INDEX('Saisie'!$AO$5:$AO$2004,_xlfn.MAXIFS('Saisie'!$AS$5:$AS$2004,'Saisie'!$C$5:$C$2004,C423,'Saisie'!$AO$5:$AO$2004,"&lt;&gt;")-4),""))</f>
        <v/>
      </c>
      <c r="AK423" s="60">
        <f>IF(C423="","",IFERROR(INDEX('Saisie'!$AP$5:$AP$2004,_xlfn.MAXIFS('Saisie'!$AS$5:$AS$2004,'Saisie'!$C$5:$C$2004,C423,'Saisie'!$AP$5:$AP$2004,"&lt;&gt;")-4),""))</f>
        <v/>
      </c>
      <c r="AL423" s="60">
        <f>IF(C423="","",IFERROR(INDEX('Saisie'!$AQ$5:$AQ$2004,_xlfn.MAXIFS('Saisie'!$AS$5:$AS$2004,'Saisie'!$C$5:$C$2004,C423,'Saisie'!$AQ$5:$AQ$2004,"&lt;&gt;")-4),""))</f>
        <v/>
      </c>
      <c r="AM423" s="60">
        <f>IF(C423="","",((AI423="Oui")+(AJ423="Oui")+(AK423="Oui")+OR(AL423="Immédiat",AL423="&lt; 1 mois"))&amp;"/4")</f>
        <v/>
      </c>
      <c r="AN423" s="60">
        <f>IF(C423="","",IFERROR(INDEX('Saisie'!$AL$5:$AL$2004,_xlfn.MAXIFS('Saisie'!$AS$5:$AS$2004,'Saisie'!$C$5:$C$2004,C423,'Saisie'!$AL$5:$AL$2004,"&lt;&gt;")-4),""))</f>
        <v/>
      </c>
      <c r="AO423" s="62">
        <f>IF(C423="","",IF(IFERROR(INDEX('Saisie'!$AM$5:$AM$2004,_xlfn.MAXIFS('Saisie'!$AS$5:$AS$2004,'Saisie'!$C$5:$C$2004,C423,'Saisie'!$AM$5:$AM$2004,"&lt;&gt;")-4),"")&lt;&gt;"",IFERROR(INDEX('Saisie'!$AM$5:$AM$2004,_xlfn.MAXIFS('Saisie'!$AS$5:$AS$2004,'Saisie'!$C$5:$C$2004,C423,'Saisie'!$AM$5:$AM$2004,"&lt;&gt;")-4),""),IFERROR(INDEX('Paramètres'!$S$6:$S$15,MATCH(AN423,'Paramètres'!$Q$6:$Q$15,0)),"")))</f>
        <v/>
      </c>
      <c r="AP423" s="62">
        <f>IF(C423="","",IFERROR(INDEX('Saisie'!$AW$5:$AW$2004,_xlfn.MAXIFS('Saisie'!$AS$5:$AS$2004,'Saisie'!$C$5:$C$2004,C423,'Saisie'!$E$5:$E$2004,"Proposition envoyée")-4),""))</f>
        <v/>
      </c>
      <c r="AQ423" s="106">
        <f>IF(C423="","",IFERROR(1/(1/_xlfn.MAXIFS('Saisie'!$A$5:$A$2004,'Saisie'!$C$5:$C$2004,C423,'Saisie'!$E$5:$E$2004,"Proposition envoyée")),""))</f>
        <v/>
      </c>
      <c r="AR423" s="106">
        <f>IF(C423="","",IF(AQ423="","",AQ423+'Paramètres'!$B$26))</f>
        <v/>
      </c>
      <c r="AS423" s="62">
        <f>IF(OR(C423="",D423="Gagné",D423="Perdu"),0,N(AP423)*IFERROR(INDEX('Paramètres'!$G$6:$G$13,MATCH(D423,'Paramètres'!$F$6:$F$13,0)),0))</f>
        <v/>
      </c>
      <c r="AT423" s="106">
        <f>IF(C423="","",IFERROR(1/(1/_xlfn.MINIFS('Saisie'!$A$5:$A$2004,'Saisie'!$C$5:$C$2004,C423,'Saisie'!$E$5:$E$2004,"Signature")),""))</f>
        <v/>
      </c>
      <c r="AU423" s="60">
        <f>IF(C423="","",IF(OR(AT423="",B423=""),"",AT423-B423))</f>
        <v/>
      </c>
      <c r="AV423" s="60">
        <f>IF(C423="","",IFERROR(INDEX('Saisie'!$L$5:$L$2004,_xlfn.MAXIFS('Saisie'!$AS$5:$AS$2004,'Saisie'!$C$5:$C$2004,C423,'Saisie'!$L$5:$L$2004,"&lt;&gt;")-4),""))</f>
        <v/>
      </c>
      <c r="AW423" s="106">
        <f>IF(C423="","",IF(D423&lt;&gt;"Perdu","",IFERROR(1/(1/_xlfn.MAXIFS('Saisie'!$A$5:$A$2004,'Saisie'!$C$5:$C$2004,C423,'Saisie'!$E$5:$E$2004,"Perdu")),"")))</f>
        <v/>
      </c>
      <c r="AX423" s="106">
        <f>IF(C423="","",IF(AW423="","",AW423+'Paramètres'!$B$28))</f>
        <v/>
      </c>
      <c r="AY423" s="60">
        <f>IF(C423="","",SUMIFS('Saisie'!$H$5:$H$2004,'Saisie'!$C$5:$C$2004,C423))</f>
        <v/>
      </c>
      <c r="AZ423" s="60">
        <f>IF(C423="","",IFERROR(INDEX('Paramètres'!$W$6:$W$20,MATCH(S423,'Paramètres'!$V$6:$V$20,0))&amp;"",""))</f>
        <v/>
      </c>
      <c r="BA423" s="60">
        <f>IF(C423="","",MAX(1,_xlfn.MAXIFS('Saisie'!$AT$5:$AT$2004,'Saisie'!$C$5:$C$2004,C423)))</f>
        <v/>
      </c>
      <c r="BB423" s="60">
        <f>IF(C423="","",IFERROR(INDEX('Saisie'!$X$5:$X$2004,_xlfn.MAXIFS('Saisie'!$AS$5:$AS$2004,'Saisie'!$C$5:$C$2004,C423,'Saisie'!$X$5:$X$2004,"&lt;&gt;")-4),""))</f>
        <v/>
      </c>
      <c r="BC423" s="60">
        <f>IF(C423="","",IFERROR(INDEX('Saisie'!$Y$5:$Y$2004,_xlfn.MAXIFS('Saisie'!$AS$5:$AS$2004,'Saisie'!$C$5:$C$2004,C423,'Saisie'!$Y$5:$Y$2004,"&lt;&gt;")-4),""))</f>
        <v/>
      </c>
      <c r="BD423" s="106">
        <f>IF(C423="","",IFERROR(1/(1/_xlfn.MINIFS('Saisie'!$A$5:$A$2004,'Saisie'!$C$5:$C$2004,C423,'Saisie'!$AT$5:$AT$2004,"&gt;=2")),""))</f>
        <v/>
      </c>
      <c r="BE423" s="106">
        <f>IF(C423="","",IFERROR(1/(1/_xlfn.MINIFS('Saisie'!$A$5:$A$2004,'Saisie'!$C$5:$C$2004,C423,'Saisie'!$AT$5:$AT$2004,"&gt;=3")),""))</f>
        <v/>
      </c>
      <c r="BF423" s="106">
        <f>IF(C423="","",IFERROR(1/(1/_xlfn.MINIFS('Saisie'!$A$5:$A$2004,'Saisie'!$C$5:$C$2004,C423,'Saisie'!$AT$5:$AT$2004,"&gt;=4")),""))</f>
        <v/>
      </c>
      <c r="BG423" s="106">
        <f>IF(C423="","",IFERROR(1/(1/_xlfn.MINIFS('Saisie'!$A$5:$A$2004,'Saisie'!$C$5:$C$2004,C423,'Saisie'!$AT$5:$AT$2004,"&gt;=5")),""))</f>
        <v/>
      </c>
      <c r="BH423" s="106">
        <f>IF(C423="","",IFERROR(1/(1/_xlfn.MINIFS('Saisie'!$A$5:$A$2004,'Saisie'!$C$5:$C$2004,C423,'Saisie'!$AT$5:$AT$2004,"&gt;=6")),""))</f>
        <v/>
      </c>
      <c r="BI423" s="106">
        <f>IF(C423="","",IFERROR(1/(1/_xlfn.MINIFS('Saisie'!$A$5:$A$2004,'Saisie'!$C$5:$C$2004,C423,'Saisie'!$AT$5:$AT$2004,"&gt;=7")),""))</f>
        <v/>
      </c>
      <c r="BJ423" s="60">
        <f>IF(OR(BD423="",B423=""),"",BD423-B423)</f>
        <v/>
      </c>
      <c r="BK423" s="60">
        <f>IF(OR(BE423="",BD423=""),"",BE423-BD423)</f>
        <v/>
      </c>
      <c r="BL423" s="60">
        <f>IF(OR(BF423="",BE423=""),"",BF423-BE423)</f>
        <v/>
      </c>
      <c r="BM423" s="60">
        <f>IF(OR(BG423="",BF423=""),"",BG423-BF423)</f>
        <v/>
      </c>
      <c r="BN423" s="60">
        <f>IF(OR(BH423="",BG423=""),"",BH423-BG423)</f>
        <v/>
      </c>
      <c r="BO423" s="60">
        <f>IF(OR(BI423="",BH423=""),"",BI423-BH423)</f>
        <v/>
      </c>
      <c r="BP423" s="60">
        <f>IF(C423="","",_xlfn.MAXIFS('Saisie'!$AS$5:$AS$2004,'Saisie'!$C$5:$C$2004,C423,'Saisie'!$J$5:$J$2004,"&lt;&gt;"))</f>
        <v/>
      </c>
      <c r="BQ423" s="60">
        <f>IF(C423="","",_xlfn.MAXIFS('Saisie'!$AS$5:$AS$2004,'Saisie'!$C$5:$C$2004,C423))</f>
        <v/>
      </c>
      <c r="BR423" s="60">
        <f>IF(C423="","",_xlfn.MAXIFS('Saisie'!$AS$5:$AS$2004,'Saisie'!$C$5:$C$2004,C423,'Saisie'!$E$5:$E$2004,"Perdu"))</f>
        <v/>
      </c>
      <c r="BS423" s="60">
        <f>IF(C423="","",_xlfn.MAXIFS('Saisie'!$AS$5:$AS$2004,'Saisie'!$C$5:$C$2004,C423,'Saisie'!$AT$5:$AT$2004,"&gt;0"))</f>
        <v/>
      </c>
      <c r="BT423" s="109">
        <f>IF(AND(C423&lt;&gt;"",OR(D423="Nouveau",D423="Contacté",D423="Qualifié"),OR(G423="",N(G423)&lt;=TODAY()),NOT(AND(O423&gt;='Paramètres'!$B$21,P423=0))),E423+419/10000,"")</f>
        <v/>
      </c>
      <c r="BU423" s="60">
        <f>IF(AND(G423&lt;&gt;"",N(G423)&lt;=TODAY()),MAX($BU$4:BU422)+1,"")</f>
        <v/>
      </c>
      <c r="BV423" s="60">
        <f>IF(AND(F423&lt;&gt;"",F423&lt;&gt;"Relance en retard"),MAX($BV$4:BV422)+1,"")</f>
        <v/>
      </c>
      <c r="BW423" s="60">
        <f>IF(C423="","",IF(AND(B423&gt;='Tableau de bord'!$R$4,B423&lt;='Tableau de bord'!$S$4,OR('Tableau de bord'!$G$4="Tous",N423='Tableau de bord'!$G$4)),1,0))</f>
        <v/>
      </c>
      <c r="BX423" s="60">
        <f>IF(AND(C423&lt;&gt;"",N(BA423)=7),MAX($BX$4:BX422)+1,"")</f>
        <v/>
      </c>
    </row>
    <row r="424">
      <c r="A424" s="60">
        <f>IF(C424="","","P-"&amp;TEXT(420,"000"))</f>
        <v/>
      </c>
      <c r="B424" s="106">
        <f>IF(C424="","",IFERROR(1/(1/_xlfn.MINIFS('Saisie'!$A$5:$A$2004,'Saisie'!$C$5:$C$2004,C424)),""))</f>
        <v/>
      </c>
      <c r="C424" s="60">
        <f>IFERROR(INDEX('Saisie'!$C$5:$C$2004,MATCH(420,'Saisie'!$AX$5:$AX$2004,0)),"")</f>
        <v/>
      </c>
      <c r="D424" s="60">
        <f>IF(C424="","",IF(AND(BR424&gt;0,BR424&gt;BS424,BA424&lt;7),"Perdu",INDEX('Paramètres'!$F$6:$F$13,BA424)))</f>
        <v/>
      </c>
      <c r="E424" s="61">
        <f>IF(C424="","",MIN(100,(Z424="Oui")*'Paramètres'!$B$38+(AB424="Régulière")*'Paramètres'!$B$39+IF(AND(N(AA424)&gt;0,TODAY()-N(AA424)&lt;=30),'Paramètres'!$B$40,0)+(W424="")*'Paramètres'!$B$41+(AC424="Absente")*'Paramètres'!$B$42+(AC424="Faible")*'Paramètres'!$B$43+IF(AND(N(AD424)&gt;0,N(AD424)&lt;4),'Paramètres'!$B$44,0)+(AF424="Moyenne")*'Paramètres'!$B$45+(AF424="Grande")*'Paramètres'!$B$46+(Y424&lt;&gt;"")*'Paramètres'!$B$47))</f>
        <v/>
      </c>
      <c r="F424" s="60">
        <f>IF(C424="","",IF(D424="Gagné","",IF(D424="Perdu",IF(AND(AX424&lt;&gt;"",AX424&lt;=TODAY()),"À recontacter (perdu)",""),IF(AND(O424&gt;='Paramètres'!$B$21,P424=0),"Stop : "&amp;'Paramètres'!$B$21&amp;" tentatives sans réponse",IF(AND(D424="Proposition",AR424&lt;&gt;"",TODAY()&gt;N(AR424)),"Proposition expirée",IF(AND(D424="Proposition",N(R424)&gt;='Paramètres'!$B$25),"Proposition sans réponse",IF(AND(G424&lt;&gt;"",N(G424)&lt;TODAY()),"Relance en retard",IF(N(R424)&gt;='Paramètres'!$B$24,"Sans action depuis "&amp;R424&amp;" j",""))))))))</f>
        <v/>
      </c>
      <c r="G424" s="106">
        <f>IF(OR(C424="",D424="Gagné",D424="Perdu"),"",IF(AND(BP424&gt;0,BP424=BQ424),INDEX('Saisie'!$J$5:$J$2004,BP424-4),IF(OR(O424=0,AND(O424&gt;='Paramètres'!$B$21,P424=0)),"",Q424+IF(O424&lt;=1,'Paramètres'!$B$18,IF(O424=2,'Paramètres'!$B$19,'Paramètres'!$B$20)))))</f>
        <v/>
      </c>
      <c r="H424" s="107">
        <f>IF(OR(G424="",BP424&lt;&gt;BQ424),"",IF(INDEX('Saisie'!$K$5:$K$2004,BP424-4)="","",INDEX('Saisie'!$K$5:$K$2004,BP424-4)))</f>
        <v/>
      </c>
      <c r="I424" s="60">
        <f>IF(C424="","",IF(OR(D424="Gagné",D424="Perdu"),"",IFERROR(INDEX('Saisie'!$I$5:$I$2004,_xlfn.MAXIFS('Saisie'!$AS$5:$AS$2004,'Saisie'!$C$5:$C$2004,C424,'Saisie'!$I$5:$I$2004,"&lt;&gt;")-4),"")))</f>
        <v/>
      </c>
      <c r="J424" s="60">
        <f>IF(C424="","",IFERROR(INDEX('Saisie'!$U$5:$U$2004,_xlfn.MAXIFS('Saisie'!$AS$5:$AS$2004,'Saisie'!$C$5:$C$2004,C424,'Saisie'!$U$5:$U$2004,"&lt;&gt;")-4),""))</f>
        <v/>
      </c>
      <c r="K424" s="60">
        <f>IF(C424="","",IFERROR(INDEX('Saisie'!$W$5:$W$2004,_xlfn.MAXIFS('Saisie'!$AS$5:$AS$2004,'Saisie'!$C$5:$C$2004,C424,'Saisie'!$W$5:$W$2004,"&lt;&gt;")-4),""))</f>
        <v/>
      </c>
      <c r="L424" s="60">
        <f>IF(IF(BB424&lt;&gt;"",BB424,K424)="","",HYPERLINK("https://wa.me/"&amp;IF(LEFT(SUBSTITUTE(SUBSTITUTE(SUBSTITUTE(IF(BB424&lt;&gt;"",BB424,K424)," ",""),".",""),"+",""),1)="0",'Paramètres'!$B$35&amp;MID(SUBSTITUTE(SUBSTITUTE(SUBSTITUTE(IF(BB424&lt;&gt;"",BB424,K424)," ",""),".",""),"+",""),2,20),SUBSTITUTE(SUBSTITUTE(SUBSTITUTE(IF(BB424&lt;&gt;"",BB424,K424)," ",""),".",""),"+","")),"WhatsApp"))</f>
        <v/>
      </c>
      <c r="M424" s="60">
        <f>IF(BC424="","",HYPERLINK(IF(LEFT(BC424,4)="http",BC424,"https://www.instagram.com/"&amp;SUBSTITUTE(SUBSTITUTE(BC424,"@","")," ","")),BC424))</f>
        <v/>
      </c>
      <c r="N424" s="60">
        <f>IF(C424="","",IFERROR(INDEX('Saisie'!$D$5:$D$2004,_xlfn.MINIFS('Saisie'!$AS$5:$AS$2004,'Saisie'!$C$5:$C$2004,C424,'Saisie'!$AU$5:$AU$2004,1)-4),IFERROR(INDEX('Saisie'!$D$5:$D$2004,_xlfn.MINIFS('Saisie'!$AS$5:$AS$2004,'Saisie'!$C$5:$C$2004,C424,'Saisie'!$D$5:$D$2004,"&lt;&gt;")-4),"")))</f>
        <v/>
      </c>
      <c r="O424" s="60">
        <f>IF(C424="","",COUNTIFS('Saisie'!$C$5:$C$2004,C424,'Saisie'!$AU$5:$AU$2004,1))</f>
        <v/>
      </c>
      <c r="P424" s="60">
        <f>IF(C424="","",COUNTIFS('Saisie'!$C$5:$C$2004,C424,'Saisie'!$AV$5:$AV$2004,1))</f>
        <v/>
      </c>
      <c r="Q424" s="106">
        <f>IF(C424="","",IFERROR(1/(1/_xlfn.MAXIFS('Saisie'!$A$5:$A$2004,'Saisie'!$C$5:$C$2004,C424)),""))</f>
        <v/>
      </c>
      <c r="R424" s="61">
        <f>IF(C424="","",IF(Q424="","",TODAY()-Q424))</f>
        <v/>
      </c>
      <c r="S424" s="60">
        <f>IF(C424="","",IFERROR(INDEX('Saisie'!$R$5:$R$2004,_xlfn.MAXIFS('Saisie'!$AS$5:$AS$2004,'Saisie'!$C$5:$C$2004,C424,'Saisie'!$R$5:$R$2004,"&lt;&gt;")-4),""))</f>
        <v/>
      </c>
      <c r="T424" s="60">
        <f>IF(C424="","",IFERROR(INDEX('Saisie'!$S$5:$S$2004,_xlfn.MAXIFS('Saisie'!$AS$5:$AS$2004,'Saisie'!$C$5:$C$2004,C424,'Saisie'!$S$5:$S$2004,"&lt;&gt;")-4),""))</f>
        <v/>
      </c>
      <c r="U424" s="60">
        <f>IF(C424="","",IFERROR(INDEX('Saisie'!$T$5:$T$2004,_xlfn.MAXIFS('Saisie'!$AS$5:$AS$2004,'Saisie'!$C$5:$C$2004,C424,'Saisie'!$T$5:$T$2004,"&lt;&gt;")-4),""))</f>
        <v/>
      </c>
      <c r="V424" s="60">
        <f>IF(C424="","",IFERROR(INDEX('Saisie'!$V$5:$V$2004,_xlfn.MAXIFS('Saisie'!$AS$5:$AS$2004,'Saisie'!$C$5:$C$2004,C424,'Saisie'!$V$5:$V$2004,"&lt;&gt;")-4),""))</f>
        <v/>
      </c>
      <c r="W424" s="60">
        <f>IF(C424="","",IFERROR(INDEX('Saisie'!$Z$5:$Z$2004,_xlfn.MAXIFS('Saisie'!$AS$5:$AS$2004,'Saisie'!$C$5:$C$2004,C424,'Saisie'!$Z$5:$Z$2004,"&lt;&gt;")-4),""))</f>
        <v/>
      </c>
      <c r="X424" s="60">
        <f>IF(C424="","",IFERROR(INDEX('Saisie'!$AA$5:$AA$2004,_xlfn.MAXIFS('Saisie'!$AS$5:$AS$2004,'Saisie'!$C$5:$C$2004,C424,'Saisie'!$AA$5:$AA$2004,"&lt;&gt;")-4),""))</f>
        <v/>
      </c>
      <c r="Y424" s="60">
        <f>IF(C424="","",IFERROR(INDEX('Saisie'!$AB$5:$AB$2004,_xlfn.MAXIFS('Saisie'!$AS$5:$AS$2004,'Saisie'!$C$5:$C$2004,C424,'Saisie'!$AB$5:$AB$2004,"&lt;&gt;")-4),""))</f>
        <v/>
      </c>
      <c r="Z424" s="60">
        <f>IF(C424="","",IFERROR(INDEX('Saisie'!$AC$5:$AC$2004,_xlfn.MAXIFS('Saisie'!$AS$5:$AS$2004,'Saisie'!$C$5:$C$2004,C424,'Saisie'!$AC$5:$AC$2004,"&lt;&gt;")-4),""))</f>
        <v/>
      </c>
      <c r="AA424" s="106">
        <f>IF(C424="","",IFERROR(INDEX('Saisie'!$AD$5:$AD$2004,_xlfn.MAXIFS('Saisie'!$AS$5:$AS$2004,'Saisie'!$C$5:$C$2004,C424,'Saisie'!$AD$5:$AD$2004,"&lt;&gt;")-4),""))</f>
        <v/>
      </c>
      <c r="AB424" s="60">
        <f>IF(C424="","",IFERROR(INDEX('Saisie'!$AE$5:$AE$2004,_xlfn.MAXIFS('Saisie'!$AS$5:$AS$2004,'Saisie'!$C$5:$C$2004,C424,'Saisie'!$AE$5:$AE$2004,"&lt;&gt;")-4),""))</f>
        <v/>
      </c>
      <c r="AC424" s="60">
        <f>IF(C424="","",IFERROR(INDEX('Saisie'!$AF$5:$AF$2004,_xlfn.MAXIFS('Saisie'!$AS$5:$AS$2004,'Saisie'!$C$5:$C$2004,C424,'Saisie'!$AF$5:$AF$2004,"&lt;&gt;")-4),""))</f>
        <v/>
      </c>
      <c r="AD424" s="108">
        <f>IF(C424="","",IFERROR(INDEX('Saisie'!$AG$5:$AG$2004,_xlfn.MAXIFS('Saisie'!$AS$5:$AS$2004,'Saisie'!$C$5:$C$2004,C424,'Saisie'!$AG$5:$AG$2004,"&lt;&gt;")-4),""))</f>
        <v/>
      </c>
      <c r="AE424" s="60">
        <f>IF(C424="","",IFERROR(INDEX('Saisie'!$AH$5:$AH$2004,_xlfn.MAXIFS('Saisie'!$AS$5:$AS$2004,'Saisie'!$C$5:$C$2004,C424,'Saisie'!$AH$5:$AH$2004,"&lt;&gt;")-4),""))</f>
        <v/>
      </c>
      <c r="AF424" s="60">
        <f>IF(C424="","",IFERROR(INDEX('Saisie'!$AI$5:$AI$2004,_xlfn.MAXIFS('Saisie'!$AS$5:$AS$2004,'Saisie'!$C$5:$C$2004,C424,'Saisie'!$AI$5:$AI$2004,"&lt;&gt;")-4),""))</f>
        <v/>
      </c>
      <c r="AG424" s="60">
        <f>IF(C424="","",IFERROR(INDEX('Saisie'!$AJ$5:$AJ$2004,_xlfn.MAXIFS('Saisie'!$AS$5:$AS$2004,'Saisie'!$C$5:$C$2004,C424,'Saisie'!$AJ$5:$AJ$2004,"&lt;&gt;")-4),""))</f>
        <v/>
      </c>
      <c r="AH424" s="60">
        <f>IF(C424="","",IFERROR(INDEX('Saisie'!$AK$5:$AK$2004,_xlfn.MAXIFS('Saisie'!$AS$5:$AS$2004,'Saisie'!$C$5:$C$2004,C424,'Saisie'!$AK$5:$AK$2004,"&lt;&gt;")-4),""))</f>
        <v/>
      </c>
      <c r="AI424" s="60">
        <f>IF(C424="","",IFERROR(INDEX('Saisie'!$AN$5:$AN$2004,_xlfn.MAXIFS('Saisie'!$AS$5:$AS$2004,'Saisie'!$C$5:$C$2004,C424,'Saisie'!$AN$5:$AN$2004,"&lt;&gt;")-4),""))</f>
        <v/>
      </c>
      <c r="AJ424" s="60">
        <f>IF(C424="","",IFERROR(INDEX('Saisie'!$AO$5:$AO$2004,_xlfn.MAXIFS('Saisie'!$AS$5:$AS$2004,'Saisie'!$C$5:$C$2004,C424,'Saisie'!$AO$5:$AO$2004,"&lt;&gt;")-4),""))</f>
        <v/>
      </c>
      <c r="AK424" s="60">
        <f>IF(C424="","",IFERROR(INDEX('Saisie'!$AP$5:$AP$2004,_xlfn.MAXIFS('Saisie'!$AS$5:$AS$2004,'Saisie'!$C$5:$C$2004,C424,'Saisie'!$AP$5:$AP$2004,"&lt;&gt;")-4),""))</f>
        <v/>
      </c>
      <c r="AL424" s="60">
        <f>IF(C424="","",IFERROR(INDEX('Saisie'!$AQ$5:$AQ$2004,_xlfn.MAXIFS('Saisie'!$AS$5:$AS$2004,'Saisie'!$C$5:$C$2004,C424,'Saisie'!$AQ$5:$AQ$2004,"&lt;&gt;")-4),""))</f>
        <v/>
      </c>
      <c r="AM424" s="60">
        <f>IF(C424="","",((AI424="Oui")+(AJ424="Oui")+(AK424="Oui")+OR(AL424="Immédiat",AL424="&lt; 1 mois"))&amp;"/4")</f>
        <v/>
      </c>
      <c r="AN424" s="60">
        <f>IF(C424="","",IFERROR(INDEX('Saisie'!$AL$5:$AL$2004,_xlfn.MAXIFS('Saisie'!$AS$5:$AS$2004,'Saisie'!$C$5:$C$2004,C424,'Saisie'!$AL$5:$AL$2004,"&lt;&gt;")-4),""))</f>
        <v/>
      </c>
      <c r="AO424" s="62">
        <f>IF(C424="","",IF(IFERROR(INDEX('Saisie'!$AM$5:$AM$2004,_xlfn.MAXIFS('Saisie'!$AS$5:$AS$2004,'Saisie'!$C$5:$C$2004,C424,'Saisie'!$AM$5:$AM$2004,"&lt;&gt;")-4),"")&lt;&gt;"",IFERROR(INDEX('Saisie'!$AM$5:$AM$2004,_xlfn.MAXIFS('Saisie'!$AS$5:$AS$2004,'Saisie'!$C$5:$C$2004,C424,'Saisie'!$AM$5:$AM$2004,"&lt;&gt;")-4),""),IFERROR(INDEX('Paramètres'!$S$6:$S$15,MATCH(AN424,'Paramètres'!$Q$6:$Q$15,0)),"")))</f>
        <v/>
      </c>
      <c r="AP424" s="62">
        <f>IF(C424="","",IFERROR(INDEX('Saisie'!$AW$5:$AW$2004,_xlfn.MAXIFS('Saisie'!$AS$5:$AS$2004,'Saisie'!$C$5:$C$2004,C424,'Saisie'!$E$5:$E$2004,"Proposition envoyée")-4),""))</f>
        <v/>
      </c>
      <c r="AQ424" s="106">
        <f>IF(C424="","",IFERROR(1/(1/_xlfn.MAXIFS('Saisie'!$A$5:$A$2004,'Saisie'!$C$5:$C$2004,C424,'Saisie'!$E$5:$E$2004,"Proposition envoyée")),""))</f>
        <v/>
      </c>
      <c r="AR424" s="106">
        <f>IF(C424="","",IF(AQ424="","",AQ424+'Paramètres'!$B$26))</f>
        <v/>
      </c>
      <c r="AS424" s="62">
        <f>IF(OR(C424="",D424="Gagné",D424="Perdu"),0,N(AP424)*IFERROR(INDEX('Paramètres'!$G$6:$G$13,MATCH(D424,'Paramètres'!$F$6:$F$13,0)),0))</f>
        <v/>
      </c>
      <c r="AT424" s="106">
        <f>IF(C424="","",IFERROR(1/(1/_xlfn.MINIFS('Saisie'!$A$5:$A$2004,'Saisie'!$C$5:$C$2004,C424,'Saisie'!$E$5:$E$2004,"Signature")),""))</f>
        <v/>
      </c>
      <c r="AU424" s="60">
        <f>IF(C424="","",IF(OR(AT424="",B424=""),"",AT424-B424))</f>
        <v/>
      </c>
      <c r="AV424" s="60">
        <f>IF(C424="","",IFERROR(INDEX('Saisie'!$L$5:$L$2004,_xlfn.MAXIFS('Saisie'!$AS$5:$AS$2004,'Saisie'!$C$5:$C$2004,C424,'Saisie'!$L$5:$L$2004,"&lt;&gt;")-4),""))</f>
        <v/>
      </c>
      <c r="AW424" s="106">
        <f>IF(C424="","",IF(D424&lt;&gt;"Perdu","",IFERROR(1/(1/_xlfn.MAXIFS('Saisie'!$A$5:$A$2004,'Saisie'!$C$5:$C$2004,C424,'Saisie'!$E$5:$E$2004,"Perdu")),"")))</f>
        <v/>
      </c>
      <c r="AX424" s="106">
        <f>IF(C424="","",IF(AW424="","",AW424+'Paramètres'!$B$28))</f>
        <v/>
      </c>
      <c r="AY424" s="60">
        <f>IF(C424="","",SUMIFS('Saisie'!$H$5:$H$2004,'Saisie'!$C$5:$C$2004,C424))</f>
        <v/>
      </c>
      <c r="AZ424" s="60">
        <f>IF(C424="","",IFERROR(INDEX('Paramètres'!$W$6:$W$20,MATCH(S424,'Paramètres'!$V$6:$V$20,0))&amp;"",""))</f>
        <v/>
      </c>
      <c r="BA424" s="60">
        <f>IF(C424="","",MAX(1,_xlfn.MAXIFS('Saisie'!$AT$5:$AT$2004,'Saisie'!$C$5:$C$2004,C424)))</f>
        <v/>
      </c>
      <c r="BB424" s="60">
        <f>IF(C424="","",IFERROR(INDEX('Saisie'!$X$5:$X$2004,_xlfn.MAXIFS('Saisie'!$AS$5:$AS$2004,'Saisie'!$C$5:$C$2004,C424,'Saisie'!$X$5:$X$2004,"&lt;&gt;")-4),""))</f>
        <v/>
      </c>
      <c r="BC424" s="60">
        <f>IF(C424="","",IFERROR(INDEX('Saisie'!$Y$5:$Y$2004,_xlfn.MAXIFS('Saisie'!$AS$5:$AS$2004,'Saisie'!$C$5:$C$2004,C424,'Saisie'!$Y$5:$Y$2004,"&lt;&gt;")-4),""))</f>
        <v/>
      </c>
      <c r="BD424" s="106">
        <f>IF(C424="","",IFERROR(1/(1/_xlfn.MINIFS('Saisie'!$A$5:$A$2004,'Saisie'!$C$5:$C$2004,C424,'Saisie'!$AT$5:$AT$2004,"&gt;=2")),""))</f>
        <v/>
      </c>
      <c r="BE424" s="106">
        <f>IF(C424="","",IFERROR(1/(1/_xlfn.MINIFS('Saisie'!$A$5:$A$2004,'Saisie'!$C$5:$C$2004,C424,'Saisie'!$AT$5:$AT$2004,"&gt;=3")),""))</f>
        <v/>
      </c>
      <c r="BF424" s="106">
        <f>IF(C424="","",IFERROR(1/(1/_xlfn.MINIFS('Saisie'!$A$5:$A$2004,'Saisie'!$C$5:$C$2004,C424,'Saisie'!$AT$5:$AT$2004,"&gt;=4")),""))</f>
        <v/>
      </c>
      <c r="BG424" s="106">
        <f>IF(C424="","",IFERROR(1/(1/_xlfn.MINIFS('Saisie'!$A$5:$A$2004,'Saisie'!$C$5:$C$2004,C424,'Saisie'!$AT$5:$AT$2004,"&gt;=5")),""))</f>
        <v/>
      </c>
      <c r="BH424" s="106">
        <f>IF(C424="","",IFERROR(1/(1/_xlfn.MINIFS('Saisie'!$A$5:$A$2004,'Saisie'!$C$5:$C$2004,C424,'Saisie'!$AT$5:$AT$2004,"&gt;=6")),""))</f>
        <v/>
      </c>
      <c r="BI424" s="106">
        <f>IF(C424="","",IFERROR(1/(1/_xlfn.MINIFS('Saisie'!$A$5:$A$2004,'Saisie'!$C$5:$C$2004,C424,'Saisie'!$AT$5:$AT$2004,"&gt;=7")),""))</f>
        <v/>
      </c>
      <c r="BJ424" s="60">
        <f>IF(OR(BD424="",B424=""),"",BD424-B424)</f>
        <v/>
      </c>
      <c r="BK424" s="60">
        <f>IF(OR(BE424="",BD424=""),"",BE424-BD424)</f>
        <v/>
      </c>
      <c r="BL424" s="60">
        <f>IF(OR(BF424="",BE424=""),"",BF424-BE424)</f>
        <v/>
      </c>
      <c r="BM424" s="60">
        <f>IF(OR(BG424="",BF424=""),"",BG424-BF424)</f>
        <v/>
      </c>
      <c r="BN424" s="60">
        <f>IF(OR(BH424="",BG424=""),"",BH424-BG424)</f>
        <v/>
      </c>
      <c r="BO424" s="60">
        <f>IF(OR(BI424="",BH424=""),"",BI424-BH424)</f>
        <v/>
      </c>
      <c r="BP424" s="60">
        <f>IF(C424="","",_xlfn.MAXIFS('Saisie'!$AS$5:$AS$2004,'Saisie'!$C$5:$C$2004,C424,'Saisie'!$J$5:$J$2004,"&lt;&gt;"))</f>
        <v/>
      </c>
      <c r="BQ424" s="60">
        <f>IF(C424="","",_xlfn.MAXIFS('Saisie'!$AS$5:$AS$2004,'Saisie'!$C$5:$C$2004,C424))</f>
        <v/>
      </c>
      <c r="BR424" s="60">
        <f>IF(C424="","",_xlfn.MAXIFS('Saisie'!$AS$5:$AS$2004,'Saisie'!$C$5:$C$2004,C424,'Saisie'!$E$5:$E$2004,"Perdu"))</f>
        <v/>
      </c>
      <c r="BS424" s="60">
        <f>IF(C424="","",_xlfn.MAXIFS('Saisie'!$AS$5:$AS$2004,'Saisie'!$C$5:$C$2004,C424,'Saisie'!$AT$5:$AT$2004,"&gt;0"))</f>
        <v/>
      </c>
      <c r="BT424" s="109">
        <f>IF(AND(C424&lt;&gt;"",OR(D424="Nouveau",D424="Contacté",D424="Qualifié"),OR(G424="",N(G424)&lt;=TODAY()),NOT(AND(O424&gt;='Paramètres'!$B$21,P424=0))),E424+420/10000,"")</f>
        <v/>
      </c>
      <c r="BU424" s="60">
        <f>IF(AND(G424&lt;&gt;"",N(G424)&lt;=TODAY()),MAX($BU$4:BU423)+1,"")</f>
        <v/>
      </c>
      <c r="BV424" s="60">
        <f>IF(AND(F424&lt;&gt;"",F424&lt;&gt;"Relance en retard"),MAX($BV$4:BV423)+1,"")</f>
        <v/>
      </c>
      <c r="BW424" s="60">
        <f>IF(C424="","",IF(AND(B424&gt;='Tableau de bord'!$R$4,B424&lt;='Tableau de bord'!$S$4,OR('Tableau de bord'!$G$4="Tous",N424='Tableau de bord'!$G$4)),1,0))</f>
        <v/>
      </c>
      <c r="BX424" s="60">
        <f>IF(AND(C424&lt;&gt;"",N(BA424)=7),MAX($BX$4:BX423)+1,"")</f>
        <v/>
      </c>
    </row>
    <row r="425">
      <c r="A425" s="60">
        <f>IF(C425="","","P-"&amp;TEXT(421,"000"))</f>
        <v/>
      </c>
      <c r="B425" s="106">
        <f>IF(C425="","",IFERROR(1/(1/_xlfn.MINIFS('Saisie'!$A$5:$A$2004,'Saisie'!$C$5:$C$2004,C425)),""))</f>
        <v/>
      </c>
      <c r="C425" s="60">
        <f>IFERROR(INDEX('Saisie'!$C$5:$C$2004,MATCH(421,'Saisie'!$AX$5:$AX$2004,0)),"")</f>
        <v/>
      </c>
      <c r="D425" s="60">
        <f>IF(C425="","",IF(AND(BR425&gt;0,BR425&gt;BS425,BA425&lt;7),"Perdu",INDEX('Paramètres'!$F$6:$F$13,BA425)))</f>
        <v/>
      </c>
      <c r="E425" s="61">
        <f>IF(C425="","",MIN(100,(Z425="Oui")*'Paramètres'!$B$38+(AB425="Régulière")*'Paramètres'!$B$39+IF(AND(N(AA425)&gt;0,TODAY()-N(AA425)&lt;=30),'Paramètres'!$B$40,0)+(W425="")*'Paramètres'!$B$41+(AC425="Absente")*'Paramètres'!$B$42+(AC425="Faible")*'Paramètres'!$B$43+IF(AND(N(AD425)&gt;0,N(AD425)&lt;4),'Paramètres'!$B$44,0)+(AF425="Moyenne")*'Paramètres'!$B$45+(AF425="Grande")*'Paramètres'!$B$46+(Y425&lt;&gt;"")*'Paramètres'!$B$47))</f>
        <v/>
      </c>
      <c r="F425" s="60">
        <f>IF(C425="","",IF(D425="Gagné","",IF(D425="Perdu",IF(AND(AX425&lt;&gt;"",AX425&lt;=TODAY()),"À recontacter (perdu)",""),IF(AND(O425&gt;='Paramètres'!$B$21,P425=0),"Stop : "&amp;'Paramètres'!$B$21&amp;" tentatives sans réponse",IF(AND(D425="Proposition",AR425&lt;&gt;"",TODAY()&gt;N(AR425)),"Proposition expirée",IF(AND(D425="Proposition",N(R425)&gt;='Paramètres'!$B$25),"Proposition sans réponse",IF(AND(G425&lt;&gt;"",N(G425)&lt;TODAY()),"Relance en retard",IF(N(R425)&gt;='Paramètres'!$B$24,"Sans action depuis "&amp;R425&amp;" j",""))))))))</f>
        <v/>
      </c>
      <c r="G425" s="106">
        <f>IF(OR(C425="",D425="Gagné",D425="Perdu"),"",IF(AND(BP425&gt;0,BP425=BQ425),INDEX('Saisie'!$J$5:$J$2004,BP425-4),IF(OR(O425=0,AND(O425&gt;='Paramètres'!$B$21,P425=0)),"",Q425+IF(O425&lt;=1,'Paramètres'!$B$18,IF(O425=2,'Paramètres'!$B$19,'Paramètres'!$B$20)))))</f>
        <v/>
      </c>
      <c r="H425" s="107">
        <f>IF(OR(G425="",BP425&lt;&gt;BQ425),"",IF(INDEX('Saisie'!$K$5:$K$2004,BP425-4)="","",INDEX('Saisie'!$K$5:$K$2004,BP425-4)))</f>
        <v/>
      </c>
      <c r="I425" s="60">
        <f>IF(C425="","",IF(OR(D425="Gagné",D425="Perdu"),"",IFERROR(INDEX('Saisie'!$I$5:$I$2004,_xlfn.MAXIFS('Saisie'!$AS$5:$AS$2004,'Saisie'!$C$5:$C$2004,C425,'Saisie'!$I$5:$I$2004,"&lt;&gt;")-4),"")))</f>
        <v/>
      </c>
      <c r="J425" s="60">
        <f>IF(C425="","",IFERROR(INDEX('Saisie'!$U$5:$U$2004,_xlfn.MAXIFS('Saisie'!$AS$5:$AS$2004,'Saisie'!$C$5:$C$2004,C425,'Saisie'!$U$5:$U$2004,"&lt;&gt;")-4),""))</f>
        <v/>
      </c>
      <c r="K425" s="60">
        <f>IF(C425="","",IFERROR(INDEX('Saisie'!$W$5:$W$2004,_xlfn.MAXIFS('Saisie'!$AS$5:$AS$2004,'Saisie'!$C$5:$C$2004,C425,'Saisie'!$W$5:$W$2004,"&lt;&gt;")-4),""))</f>
        <v/>
      </c>
      <c r="L425" s="60">
        <f>IF(IF(BB425&lt;&gt;"",BB425,K425)="","",HYPERLINK("https://wa.me/"&amp;IF(LEFT(SUBSTITUTE(SUBSTITUTE(SUBSTITUTE(IF(BB425&lt;&gt;"",BB425,K425)," ",""),".",""),"+",""),1)="0",'Paramètres'!$B$35&amp;MID(SUBSTITUTE(SUBSTITUTE(SUBSTITUTE(IF(BB425&lt;&gt;"",BB425,K425)," ",""),".",""),"+",""),2,20),SUBSTITUTE(SUBSTITUTE(SUBSTITUTE(IF(BB425&lt;&gt;"",BB425,K425)," ",""),".",""),"+","")),"WhatsApp"))</f>
        <v/>
      </c>
      <c r="M425" s="60">
        <f>IF(BC425="","",HYPERLINK(IF(LEFT(BC425,4)="http",BC425,"https://www.instagram.com/"&amp;SUBSTITUTE(SUBSTITUTE(BC425,"@","")," ","")),BC425))</f>
        <v/>
      </c>
      <c r="N425" s="60">
        <f>IF(C425="","",IFERROR(INDEX('Saisie'!$D$5:$D$2004,_xlfn.MINIFS('Saisie'!$AS$5:$AS$2004,'Saisie'!$C$5:$C$2004,C425,'Saisie'!$AU$5:$AU$2004,1)-4),IFERROR(INDEX('Saisie'!$D$5:$D$2004,_xlfn.MINIFS('Saisie'!$AS$5:$AS$2004,'Saisie'!$C$5:$C$2004,C425,'Saisie'!$D$5:$D$2004,"&lt;&gt;")-4),"")))</f>
        <v/>
      </c>
      <c r="O425" s="60">
        <f>IF(C425="","",COUNTIFS('Saisie'!$C$5:$C$2004,C425,'Saisie'!$AU$5:$AU$2004,1))</f>
        <v/>
      </c>
      <c r="P425" s="60">
        <f>IF(C425="","",COUNTIFS('Saisie'!$C$5:$C$2004,C425,'Saisie'!$AV$5:$AV$2004,1))</f>
        <v/>
      </c>
      <c r="Q425" s="106">
        <f>IF(C425="","",IFERROR(1/(1/_xlfn.MAXIFS('Saisie'!$A$5:$A$2004,'Saisie'!$C$5:$C$2004,C425)),""))</f>
        <v/>
      </c>
      <c r="R425" s="61">
        <f>IF(C425="","",IF(Q425="","",TODAY()-Q425))</f>
        <v/>
      </c>
      <c r="S425" s="60">
        <f>IF(C425="","",IFERROR(INDEX('Saisie'!$R$5:$R$2004,_xlfn.MAXIFS('Saisie'!$AS$5:$AS$2004,'Saisie'!$C$5:$C$2004,C425,'Saisie'!$R$5:$R$2004,"&lt;&gt;")-4),""))</f>
        <v/>
      </c>
      <c r="T425" s="60">
        <f>IF(C425="","",IFERROR(INDEX('Saisie'!$S$5:$S$2004,_xlfn.MAXIFS('Saisie'!$AS$5:$AS$2004,'Saisie'!$C$5:$C$2004,C425,'Saisie'!$S$5:$S$2004,"&lt;&gt;")-4),""))</f>
        <v/>
      </c>
      <c r="U425" s="60">
        <f>IF(C425="","",IFERROR(INDEX('Saisie'!$T$5:$T$2004,_xlfn.MAXIFS('Saisie'!$AS$5:$AS$2004,'Saisie'!$C$5:$C$2004,C425,'Saisie'!$T$5:$T$2004,"&lt;&gt;")-4),""))</f>
        <v/>
      </c>
      <c r="V425" s="60">
        <f>IF(C425="","",IFERROR(INDEX('Saisie'!$V$5:$V$2004,_xlfn.MAXIFS('Saisie'!$AS$5:$AS$2004,'Saisie'!$C$5:$C$2004,C425,'Saisie'!$V$5:$V$2004,"&lt;&gt;")-4),""))</f>
        <v/>
      </c>
      <c r="W425" s="60">
        <f>IF(C425="","",IFERROR(INDEX('Saisie'!$Z$5:$Z$2004,_xlfn.MAXIFS('Saisie'!$AS$5:$AS$2004,'Saisie'!$C$5:$C$2004,C425,'Saisie'!$Z$5:$Z$2004,"&lt;&gt;")-4),""))</f>
        <v/>
      </c>
      <c r="X425" s="60">
        <f>IF(C425="","",IFERROR(INDEX('Saisie'!$AA$5:$AA$2004,_xlfn.MAXIFS('Saisie'!$AS$5:$AS$2004,'Saisie'!$C$5:$C$2004,C425,'Saisie'!$AA$5:$AA$2004,"&lt;&gt;")-4),""))</f>
        <v/>
      </c>
      <c r="Y425" s="60">
        <f>IF(C425="","",IFERROR(INDEX('Saisie'!$AB$5:$AB$2004,_xlfn.MAXIFS('Saisie'!$AS$5:$AS$2004,'Saisie'!$C$5:$C$2004,C425,'Saisie'!$AB$5:$AB$2004,"&lt;&gt;")-4),""))</f>
        <v/>
      </c>
      <c r="Z425" s="60">
        <f>IF(C425="","",IFERROR(INDEX('Saisie'!$AC$5:$AC$2004,_xlfn.MAXIFS('Saisie'!$AS$5:$AS$2004,'Saisie'!$C$5:$C$2004,C425,'Saisie'!$AC$5:$AC$2004,"&lt;&gt;")-4),""))</f>
        <v/>
      </c>
      <c r="AA425" s="106">
        <f>IF(C425="","",IFERROR(INDEX('Saisie'!$AD$5:$AD$2004,_xlfn.MAXIFS('Saisie'!$AS$5:$AS$2004,'Saisie'!$C$5:$C$2004,C425,'Saisie'!$AD$5:$AD$2004,"&lt;&gt;")-4),""))</f>
        <v/>
      </c>
      <c r="AB425" s="60">
        <f>IF(C425="","",IFERROR(INDEX('Saisie'!$AE$5:$AE$2004,_xlfn.MAXIFS('Saisie'!$AS$5:$AS$2004,'Saisie'!$C$5:$C$2004,C425,'Saisie'!$AE$5:$AE$2004,"&lt;&gt;")-4),""))</f>
        <v/>
      </c>
      <c r="AC425" s="60">
        <f>IF(C425="","",IFERROR(INDEX('Saisie'!$AF$5:$AF$2004,_xlfn.MAXIFS('Saisie'!$AS$5:$AS$2004,'Saisie'!$C$5:$C$2004,C425,'Saisie'!$AF$5:$AF$2004,"&lt;&gt;")-4),""))</f>
        <v/>
      </c>
      <c r="AD425" s="108">
        <f>IF(C425="","",IFERROR(INDEX('Saisie'!$AG$5:$AG$2004,_xlfn.MAXIFS('Saisie'!$AS$5:$AS$2004,'Saisie'!$C$5:$C$2004,C425,'Saisie'!$AG$5:$AG$2004,"&lt;&gt;")-4),""))</f>
        <v/>
      </c>
      <c r="AE425" s="60">
        <f>IF(C425="","",IFERROR(INDEX('Saisie'!$AH$5:$AH$2004,_xlfn.MAXIFS('Saisie'!$AS$5:$AS$2004,'Saisie'!$C$5:$C$2004,C425,'Saisie'!$AH$5:$AH$2004,"&lt;&gt;")-4),""))</f>
        <v/>
      </c>
      <c r="AF425" s="60">
        <f>IF(C425="","",IFERROR(INDEX('Saisie'!$AI$5:$AI$2004,_xlfn.MAXIFS('Saisie'!$AS$5:$AS$2004,'Saisie'!$C$5:$C$2004,C425,'Saisie'!$AI$5:$AI$2004,"&lt;&gt;")-4),""))</f>
        <v/>
      </c>
      <c r="AG425" s="60">
        <f>IF(C425="","",IFERROR(INDEX('Saisie'!$AJ$5:$AJ$2004,_xlfn.MAXIFS('Saisie'!$AS$5:$AS$2004,'Saisie'!$C$5:$C$2004,C425,'Saisie'!$AJ$5:$AJ$2004,"&lt;&gt;")-4),""))</f>
        <v/>
      </c>
      <c r="AH425" s="60">
        <f>IF(C425="","",IFERROR(INDEX('Saisie'!$AK$5:$AK$2004,_xlfn.MAXIFS('Saisie'!$AS$5:$AS$2004,'Saisie'!$C$5:$C$2004,C425,'Saisie'!$AK$5:$AK$2004,"&lt;&gt;")-4),""))</f>
        <v/>
      </c>
      <c r="AI425" s="60">
        <f>IF(C425="","",IFERROR(INDEX('Saisie'!$AN$5:$AN$2004,_xlfn.MAXIFS('Saisie'!$AS$5:$AS$2004,'Saisie'!$C$5:$C$2004,C425,'Saisie'!$AN$5:$AN$2004,"&lt;&gt;")-4),""))</f>
        <v/>
      </c>
      <c r="AJ425" s="60">
        <f>IF(C425="","",IFERROR(INDEX('Saisie'!$AO$5:$AO$2004,_xlfn.MAXIFS('Saisie'!$AS$5:$AS$2004,'Saisie'!$C$5:$C$2004,C425,'Saisie'!$AO$5:$AO$2004,"&lt;&gt;")-4),""))</f>
        <v/>
      </c>
      <c r="AK425" s="60">
        <f>IF(C425="","",IFERROR(INDEX('Saisie'!$AP$5:$AP$2004,_xlfn.MAXIFS('Saisie'!$AS$5:$AS$2004,'Saisie'!$C$5:$C$2004,C425,'Saisie'!$AP$5:$AP$2004,"&lt;&gt;")-4),""))</f>
        <v/>
      </c>
      <c r="AL425" s="60">
        <f>IF(C425="","",IFERROR(INDEX('Saisie'!$AQ$5:$AQ$2004,_xlfn.MAXIFS('Saisie'!$AS$5:$AS$2004,'Saisie'!$C$5:$C$2004,C425,'Saisie'!$AQ$5:$AQ$2004,"&lt;&gt;")-4),""))</f>
        <v/>
      </c>
      <c r="AM425" s="60">
        <f>IF(C425="","",((AI425="Oui")+(AJ425="Oui")+(AK425="Oui")+OR(AL425="Immédiat",AL425="&lt; 1 mois"))&amp;"/4")</f>
        <v/>
      </c>
      <c r="AN425" s="60">
        <f>IF(C425="","",IFERROR(INDEX('Saisie'!$AL$5:$AL$2004,_xlfn.MAXIFS('Saisie'!$AS$5:$AS$2004,'Saisie'!$C$5:$C$2004,C425,'Saisie'!$AL$5:$AL$2004,"&lt;&gt;")-4),""))</f>
        <v/>
      </c>
      <c r="AO425" s="62">
        <f>IF(C425="","",IF(IFERROR(INDEX('Saisie'!$AM$5:$AM$2004,_xlfn.MAXIFS('Saisie'!$AS$5:$AS$2004,'Saisie'!$C$5:$C$2004,C425,'Saisie'!$AM$5:$AM$2004,"&lt;&gt;")-4),"")&lt;&gt;"",IFERROR(INDEX('Saisie'!$AM$5:$AM$2004,_xlfn.MAXIFS('Saisie'!$AS$5:$AS$2004,'Saisie'!$C$5:$C$2004,C425,'Saisie'!$AM$5:$AM$2004,"&lt;&gt;")-4),""),IFERROR(INDEX('Paramètres'!$S$6:$S$15,MATCH(AN425,'Paramètres'!$Q$6:$Q$15,0)),"")))</f>
        <v/>
      </c>
      <c r="AP425" s="62">
        <f>IF(C425="","",IFERROR(INDEX('Saisie'!$AW$5:$AW$2004,_xlfn.MAXIFS('Saisie'!$AS$5:$AS$2004,'Saisie'!$C$5:$C$2004,C425,'Saisie'!$E$5:$E$2004,"Proposition envoyée")-4),""))</f>
        <v/>
      </c>
      <c r="AQ425" s="106">
        <f>IF(C425="","",IFERROR(1/(1/_xlfn.MAXIFS('Saisie'!$A$5:$A$2004,'Saisie'!$C$5:$C$2004,C425,'Saisie'!$E$5:$E$2004,"Proposition envoyée")),""))</f>
        <v/>
      </c>
      <c r="AR425" s="106">
        <f>IF(C425="","",IF(AQ425="","",AQ425+'Paramètres'!$B$26))</f>
        <v/>
      </c>
      <c r="AS425" s="62">
        <f>IF(OR(C425="",D425="Gagné",D425="Perdu"),0,N(AP425)*IFERROR(INDEX('Paramètres'!$G$6:$G$13,MATCH(D425,'Paramètres'!$F$6:$F$13,0)),0))</f>
        <v/>
      </c>
      <c r="AT425" s="106">
        <f>IF(C425="","",IFERROR(1/(1/_xlfn.MINIFS('Saisie'!$A$5:$A$2004,'Saisie'!$C$5:$C$2004,C425,'Saisie'!$E$5:$E$2004,"Signature")),""))</f>
        <v/>
      </c>
      <c r="AU425" s="60">
        <f>IF(C425="","",IF(OR(AT425="",B425=""),"",AT425-B425))</f>
        <v/>
      </c>
      <c r="AV425" s="60">
        <f>IF(C425="","",IFERROR(INDEX('Saisie'!$L$5:$L$2004,_xlfn.MAXIFS('Saisie'!$AS$5:$AS$2004,'Saisie'!$C$5:$C$2004,C425,'Saisie'!$L$5:$L$2004,"&lt;&gt;")-4),""))</f>
        <v/>
      </c>
      <c r="AW425" s="106">
        <f>IF(C425="","",IF(D425&lt;&gt;"Perdu","",IFERROR(1/(1/_xlfn.MAXIFS('Saisie'!$A$5:$A$2004,'Saisie'!$C$5:$C$2004,C425,'Saisie'!$E$5:$E$2004,"Perdu")),"")))</f>
        <v/>
      </c>
      <c r="AX425" s="106">
        <f>IF(C425="","",IF(AW425="","",AW425+'Paramètres'!$B$28))</f>
        <v/>
      </c>
      <c r="AY425" s="60">
        <f>IF(C425="","",SUMIFS('Saisie'!$H$5:$H$2004,'Saisie'!$C$5:$C$2004,C425))</f>
        <v/>
      </c>
      <c r="AZ425" s="60">
        <f>IF(C425="","",IFERROR(INDEX('Paramètres'!$W$6:$W$20,MATCH(S425,'Paramètres'!$V$6:$V$20,0))&amp;"",""))</f>
        <v/>
      </c>
      <c r="BA425" s="60">
        <f>IF(C425="","",MAX(1,_xlfn.MAXIFS('Saisie'!$AT$5:$AT$2004,'Saisie'!$C$5:$C$2004,C425)))</f>
        <v/>
      </c>
      <c r="BB425" s="60">
        <f>IF(C425="","",IFERROR(INDEX('Saisie'!$X$5:$X$2004,_xlfn.MAXIFS('Saisie'!$AS$5:$AS$2004,'Saisie'!$C$5:$C$2004,C425,'Saisie'!$X$5:$X$2004,"&lt;&gt;")-4),""))</f>
        <v/>
      </c>
      <c r="BC425" s="60">
        <f>IF(C425="","",IFERROR(INDEX('Saisie'!$Y$5:$Y$2004,_xlfn.MAXIFS('Saisie'!$AS$5:$AS$2004,'Saisie'!$C$5:$C$2004,C425,'Saisie'!$Y$5:$Y$2004,"&lt;&gt;")-4),""))</f>
        <v/>
      </c>
      <c r="BD425" s="106">
        <f>IF(C425="","",IFERROR(1/(1/_xlfn.MINIFS('Saisie'!$A$5:$A$2004,'Saisie'!$C$5:$C$2004,C425,'Saisie'!$AT$5:$AT$2004,"&gt;=2")),""))</f>
        <v/>
      </c>
      <c r="BE425" s="106">
        <f>IF(C425="","",IFERROR(1/(1/_xlfn.MINIFS('Saisie'!$A$5:$A$2004,'Saisie'!$C$5:$C$2004,C425,'Saisie'!$AT$5:$AT$2004,"&gt;=3")),""))</f>
        <v/>
      </c>
      <c r="BF425" s="106">
        <f>IF(C425="","",IFERROR(1/(1/_xlfn.MINIFS('Saisie'!$A$5:$A$2004,'Saisie'!$C$5:$C$2004,C425,'Saisie'!$AT$5:$AT$2004,"&gt;=4")),""))</f>
        <v/>
      </c>
      <c r="BG425" s="106">
        <f>IF(C425="","",IFERROR(1/(1/_xlfn.MINIFS('Saisie'!$A$5:$A$2004,'Saisie'!$C$5:$C$2004,C425,'Saisie'!$AT$5:$AT$2004,"&gt;=5")),""))</f>
        <v/>
      </c>
      <c r="BH425" s="106">
        <f>IF(C425="","",IFERROR(1/(1/_xlfn.MINIFS('Saisie'!$A$5:$A$2004,'Saisie'!$C$5:$C$2004,C425,'Saisie'!$AT$5:$AT$2004,"&gt;=6")),""))</f>
        <v/>
      </c>
      <c r="BI425" s="106">
        <f>IF(C425="","",IFERROR(1/(1/_xlfn.MINIFS('Saisie'!$A$5:$A$2004,'Saisie'!$C$5:$C$2004,C425,'Saisie'!$AT$5:$AT$2004,"&gt;=7")),""))</f>
        <v/>
      </c>
      <c r="BJ425" s="60">
        <f>IF(OR(BD425="",B425=""),"",BD425-B425)</f>
        <v/>
      </c>
      <c r="BK425" s="60">
        <f>IF(OR(BE425="",BD425=""),"",BE425-BD425)</f>
        <v/>
      </c>
      <c r="BL425" s="60">
        <f>IF(OR(BF425="",BE425=""),"",BF425-BE425)</f>
        <v/>
      </c>
      <c r="BM425" s="60">
        <f>IF(OR(BG425="",BF425=""),"",BG425-BF425)</f>
        <v/>
      </c>
      <c r="BN425" s="60">
        <f>IF(OR(BH425="",BG425=""),"",BH425-BG425)</f>
        <v/>
      </c>
      <c r="BO425" s="60">
        <f>IF(OR(BI425="",BH425=""),"",BI425-BH425)</f>
        <v/>
      </c>
      <c r="BP425" s="60">
        <f>IF(C425="","",_xlfn.MAXIFS('Saisie'!$AS$5:$AS$2004,'Saisie'!$C$5:$C$2004,C425,'Saisie'!$J$5:$J$2004,"&lt;&gt;"))</f>
        <v/>
      </c>
      <c r="BQ425" s="60">
        <f>IF(C425="","",_xlfn.MAXIFS('Saisie'!$AS$5:$AS$2004,'Saisie'!$C$5:$C$2004,C425))</f>
        <v/>
      </c>
      <c r="BR425" s="60">
        <f>IF(C425="","",_xlfn.MAXIFS('Saisie'!$AS$5:$AS$2004,'Saisie'!$C$5:$C$2004,C425,'Saisie'!$E$5:$E$2004,"Perdu"))</f>
        <v/>
      </c>
      <c r="BS425" s="60">
        <f>IF(C425="","",_xlfn.MAXIFS('Saisie'!$AS$5:$AS$2004,'Saisie'!$C$5:$C$2004,C425,'Saisie'!$AT$5:$AT$2004,"&gt;0"))</f>
        <v/>
      </c>
      <c r="BT425" s="109">
        <f>IF(AND(C425&lt;&gt;"",OR(D425="Nouveau",D425="Contacté",D425="Qualifié"),OR(G425="",N(G425)&lt;=TODAY()),NOT(AND(O425&gt;='Paramètres'!$B$21,P425=0))),E425+421/10000,"")</f>
        <v/>
      </c>
      <c r="BU425" s="60">
        <f>IF(AND(G425&lt;&gt;"",N(G425)&lt;=TODAY()),MAX($BU$4:BU424)+1,"")</f>
        <v/>
      </c>
      <c r="BV425" s="60">
        <f>IF(AND(F425&lt;&gt;"",F425&lt;&gt;"Relance en retard"),MAX($BV$4:BV424)+1,"")</f>
        <v/>
      </c>
      <c r="BW425" s="60">
        <f>IF(C425="","",IF(AND(B425&gt;='Tableau de bord'!$R$4,B425&lt;='Tableau de bord'!$S$4,OR('Tableau de bord'!$G$4="Tous",N425='Tableau de bord'!$G$4)),1,0))</f>
        <v/>
      </c>
      <c r="BX425" s="60">
        <f>IF(AND(C425&lt;&gt;"",N(BA425)=7),MAX($BX$4:BX424)+1,"")</f>
        <v/>
      </c>
    </row>
    <row r="426">
      <c r="A426" s="60">
        <f>IF(C426="","","P-"&amp;TEXT(422,"000"))</f>
        <v/>
      </c>
      <c r="B426" s="106">
        <f>IF(C426="","",IFERROR(1/(1/_xlfn.MINIFS('Saisie'!$A$5:$A$2004,'Saisie'!$C$5:$C$2004,C426)),""))</f>
        <v/>
      </c>
      <c r="C426" s="60">
        <f>IFERROR(INDEX('Saisie'!$C$5:$C$2004,MATCH(422,'Saisie'!$AX$5:$AX$2004,0)),"")</f>
        <v/>
      </c>
      <c r="D426" s="60">
        <f>IF(C426="","",IF(AND(BR426&gt;0,BR426&gt;BS426,BA426&lt;7),"Perdu",INDEX('Paramètres'!$F$6:$F$13,BA426)))</f>
        <v/>
      </c>
      <c r="E426" s="61">
        <f>IF(C426="","",MIN(100,(Z426="Oui")*'Paramètres'!$B$38+(AB426="Régulière")*'Paramètres'!$B$39+IF(AND(N(AA426)&gt;0,TODAY()-N(AA426)&lt;=30),'Paramètres'!$B$40,0)+(W426="")*'Paramètres'!$B$41+(AC426="Absente")*'Paramètres'!$B$42+(AC426="Faible")*'Paramètres'!$B$43+IF(AND(N(AD426)&gt;0,N(AD426)&lt;4),'Paramètres'!$B$44,0)+(AF426="Moyenne")*'Paramètres'!$B$45+(AF426="Grande")*'Paramètres'!$B$46+(Y426&lt;&gt;"")*'Paramètres'!$B$47))</f>
        <v/>
      </c>
      <c r="F426" s="60">
        <f>IF(C426="","",IF(D426="Gagné","",IF(D426="Perdu",IF(AND(AX426&lt;&gt;"",AX426&lt;=TODAY()),"À recontacter (perdu)",""),IF(AND(O426&gt;='Paramètres'!$B$21,P426=0),"Stop : "&amp;'Paramètres'!$B$21&amp;" tentatives sans réponse",IF(AND(D426="Proposition",AR426&lt;&gt;"",TODAY()&gt;N(AR426)),"Proposition expirée",IF(AND(D426="Proposition",N(R426)&gt;='Paramètres'!$B$25),"Proposition sans réponse",IF(AND(G426&lt;&gt;"",N(G426)&lt;TODAY()),"Relance en retard",IF(N(R426)&gt;='Paramètres'!$B$24,"Sans action depuis "&amp;R426&amp;" j",""))))))))</f>
        <v/>
      </c>
      <c r="G426" s="106">
        <f>IF(OR(C426="",D426="Gagné",D426="Perdu"),"",IF(AND(BP426&gt;0,BP426=BQ426),INDEX('Saisie'!$J$5:$J$2004,BP426-4),IF(OR(O426=0,AND(O426&gt;='Paramètres'!$B$21,P426=0)),"",Q426+IF(O426&lt;=1,'Paramètres'!$B$18,IF(O426=2,'Paramètres'!$B$19,'Paramètres'!$B$20)))))</f>
        <v/>
      </c>
      <c r="H426" s="107">
        <f>IF(OR(G426="",BP426&lt;&gt;BQ426),"",IF(INDEX('Saisie'!$K$5:$K$2004,BP426-4)="","",INDEX('Saisie'!$K$5:$K$2004,BP426-4)))</f>
        <v/>
      </c>
      <c r="I426" s="60">
        <f>IF(C426="","",IF(OR(D426="Gagné",D426="Perdu"),"",IFERROR(INDEX('Saisie'!$I$5:$I$2004,_xlfn.MAXIFS('Saisie'!$AS$5:$AS$2004,'Saisie'!$C$5:$C$2004,C426,'Saisie'!$I$5:$I$2004,"&lt;&gt;")-4),"")))</f>
        <v/>
      </c>
      <c r="J426" s="60">
        <f>IF(C426="","",IFERROR(INDEX('Saisie'!$U$5:$U$2004,_xlfn.MAXIFS('Saisie'!$AS$5:$AS$2004,'Saisie'!$C$5:$C$2004,C426,'Saisie'!$U$5:$U$2004,"&lt;&gt;")-4),""))</f>
        <v/>
      </c>
      <c r="K426" s="60">
        <f>IF(C426="","",IFERROR(INDEX('Saisie'!$W$5:$W$2004,_xlfn.MAXIFS('Saisie'!$AS$5:$AS$2004,'Saisie'!$C$5:$C$2004,C426,'Saisie'!$W$5:$W$2004,"&lt;&gt;")-4),""))</f>
        <v/>
      </c>
      <c r="L426" s="60">
        <f>IF(IF(BB426&lt;&gt;"",BB426,K426)="","",HYPERLINK("https://wa.me/"&amp;IF(LEFT(SUBSTITUTE(SUBSTITUTE(SUBSTITUTE(IF(BB426&lt;&gt;"",BB426,K426)," ",""),".",""),"+",""),1)="0",'Paramètres'!$B$35&amp;MID(SUBSTITUTE(SUBSTITUTE(SUBSTITUTE(IF(BB426&lt;&gt;"",BB426,K426)," ",""),".",""),"+",""),2,20),SUBSTITUTE(SUBSTITUTE(SUBSTITUTE(IF(BB426&lt;&gt;"",BB426,K426)," ",""),".",""),"+","")),"WhatsApp"))</f>
        <v/>
      </c>
      <c r="M426" s="60">
        <f>IF(BC426="","",HYPERLINK(IF(LEFT(BC426,4)="http",BC426,"https://www.instagram.com/"&amp;SUBSTITUTE(SUBSTITUTE(BC426,"@","")," ","")),BC426))</f>
        <v/>
      </c>
      <c r="N426" s="60">
        <f>IF(C426="","",IFERROR(INDEX('Saisie'!$D$5:$D$2004,_xlfn.MINIFS('Saisie'!$AS$5:$AS$2004,'Saisie'!$C$5:$C$2004,C426,'Saisie'!$AU$5:$AU$2004,1)-4),IFERROR(INDEX('Saisie'!$D$5:$D$2004,_xlfn.MINIFS('Saisie'!$AS$5:$AS$2004,'Saisie'!$C$5:$C$2004,C426,'Saisie'!$D$5:$D$2004,"&lt;&gt;")-4),"")))</f>
        <v/>
      </c>
      <c r="O426" s="60">
        <f>IF(C426="","",COUNTIFS('Saisie'!$C$5:$C$2004,C426,'Saisie'!$AU$5:$AU$2004,1))</f>
        <v/>
      </c>
      <c r="P426" s="60">
        <f>IF(C426="","",COUNTIFS('Saisie'!$C$5:$C$2004,C426,'Saisie'!$AV$5:$AV$2004,1))</f>
        <v/>
      </c>
      <c r="Q426" s="106">
        <f>IF(C426="","",IFERROR(1/(1/_xlfn.MAXIFS('Saisie'!$A$5:$A$2004,'Saisie'!$C$5:$C$2004,C426)),""))</f>
        <v/>
      </c>
      <c r="R426" s="61">
        <f>IF(C426="","",IF(Q426="","",TODAY()-Q426))</f>
        <v/>
      </c>
      <c r="S426" s="60">
        <f>IF(C426="","",IFERROR(INDEX('Saisie'!$R$5:$R$2004,_xlfn.MAXIFS('Saisie'!$AS$5:$AS$2004,'Saisie'!$C$5:$C$2004,C426,'Saisie'!$R$5:$R$2004,"&lt;&gt;")-4),""))</f>
        <v/>
      </c>
      <c r="T426" s="60">
        <f>IF(C426="","",IFERROR(INDEX('Saisie'!$S$5:$S$2004,_xlfn.MAXIFS('Saisie'!$AS$5:$AS$2004,'Saisie'!$C$5:$C$2004,C426,'Saisie'!$S$5:$S$2004,"&lt;&gt;")-4),""))</f>
        <v/>
      </c>
      <c r="U426" s="60">
        <f>IF(C426="","",IFERROR(INDEX('Saisie'!$T$5:$T$2004,_xlfn.MAXIFS('Saisie'!$AS$5:$AS$2004,'Saisie'!$C$5:$C$2004,C426,'Saisie'!$T$5:$T$2004,"&lt;&gt;")-4),""))</f>
        <v/>
      </c>
      <c r="V426" s="60">
        <f>IF(C426="","",IFERROR(INDEX('Saisie'!$V$5:$V$2004,_xlfn.MAXIFS('Saisie'!$AS$5:$AS$2004,'Saisie'!$C$5:$C$2004,C426,'Saisie'!$V$5:$V$2004,"&lt;&gt;")-4),""))</f>
        <v/>
      </c>
      <c r="W426" s="60">
        <f>IF(C426="","",IFERROR(INDEX('Saisie'!$Z$5:$Z$2004,_xlfn.MAXIFS('Saisie'!$AS$5:$AS$2004,'Saisie'!$C$5:$C$2004,C426,'Saisie'!$Z$5:$Z$2004,"&lt;&gt;")-4),""))</f>
        <v/>
      </c>
      <c r="X426" s="60">
        <f>IF(C426="","",IFERROR(INDEX('Saisie'!$AA$5:$AA$2004,_xlfn.MAXIFS('Saisie'!$AS$5:$AS$2004,'Saisie'!$C$5:$C$2004,C426,'Saisie'!$AA$5:$AA$2004,"&lt;&gt;")-4),""))</f>
        <v/>
      </c>
      <c r="Y426" s="60">
        <f>IF(C426="","",IFERROR(INDEX('Saisie'!$AB$5:$AB$2004,_xlfn.MAXIFS('Saisie'!$AS$5:$AS$2004,'Saisie'!$C$5:$C$2004,C426,'Saisie'!$AB$5:$AB$2004,"&lt;&gt;")-4),""))</f>
        <v/>
      </c>
      <c r="Z426" s="60">
        <f>IF(C426="","",IFERROR(INDEX('Saisie'!$AC$5:$AC$2004,_xlfn.MAXIFS('Saisie'!$AS$5:$AS$2004,'Saisie'!$C$5:$C$2004,C426,'Saisie'!$AC$5:$AC$2004,"&lt;&gt;")-4),""))</f>
        <v/>
      </c>
      <c r="AA426" s="106">
        <f>IF(C426="","",IFERROR(INDEX('Saisie'!$AD$5:$AD$2004,_xlfn.MAXIFS('Saisie'!$AS$5:$AS$2004,'Saisie'!$C$5:$C$2004,C426,'Saisie'!$AD$5:$AD$2004,"&lt;&gt;")-4),""))</f>
        <v/>
      </c>
      <c r="AB426" s="60">
        <f>IF(C426="","",IFERROR(INDEX('Saisie'!$AE$5:$AE$2004,_xlfn.MAXIFS('Saisie'!$AS$5:$AS$2004,'Saisie'!$C$5:$C$2004,C426,'Saisie'!$AE$5:$AE$2004,"&lt;&gt;")-4),""))</f>
        <v/>
      </c>
      <c r="AC426" s="60">
        <f>IF(C426="","",IFERROR(INDEX('Saisie'!$AF$5:$AF$2004,_xlfn.MAXIFS('Saisie'!$AS$5:$AS$2004,'Saisie'!$C$5:$C$2004,C426,'Saisie'!$AF$5:$AF$2004,"&lt;&gt;")-4),""))</f>
        <v/>
      </c>
      <c r="AD426" s="108">
        <f>IF(C426="","",IFERROR(INDEX('Saisie'!$AG$5:$AG$2004,_xlfn.MAXIFS('Saisie'!$AS$5:$AS$2004,'Saisie'!$C$5:$C$2004,C426,'Saisie'!$AG$5:$AG$2004,"&lt;&gt;")-4),""))</f>
        <v/>
      </c>
      <c r="AE426" s="60">
        <f>IF(C426="","",IFERROR(INDEX('Saisie'!$AH$5:$AH$2004,_xlfn.MAXIFS('Saisie'!$AS$5:$AS$2004,'Saisie'!$C$5:$C$2004,C426,'Saisie'!$AH$5:$AH$2004,"&lt;&gt;")-4),""))</f>
        <v/>
      </c>
      <c r="AF426" s="60">
        <f>IF(C426="","",IFERROR(INDEX('Saisie'!$AI$5:$AI$2004,_xlfn.MAXIFS('Saisie'!$AS$5:$AS$2004,'Saisie'!$C$5:$C$2004,C426,'Saisie'!$AI$5:$AI$2004,"&lt;&gt;")-4),""))</f>
        <v/>
      </c>
      <c r="AG426" s="60">
        <f>IF(C426="","",IFERROR(INDEX('Saisie'!$AJ$5:$AJ$2004,_xlfn.MAXIFS('Saisie'!$AS$5:$AS$2004,'Saisie'!$C$5:$C$2004,C426,'Saisie'!$AJ$5:$AJ$2004,"&lt;&gt;")-4),""))</f>
        <v/>
      </c>
      <c r="AH426" s="60">
        <f>IF(C426="","",IFERROR(INDEX('Saisie'!$AK$5:$AK$2004,_xlfn.MAXIFS('Saisie'!$AS$5:$AS$2004,'Saisie'!$C$5:$C$2004,C426,'Saisie'!$AK$5:$AK$2004,"&lt;&gt;")-4),""))</f>
        <v/>
      </c>
      <c r="AI426" s="60">
        <f>IF(C426="","",IFERROR(INDEX('Saisie'!$AN$5:$AN$2004,_xlfn.MAXIFS('Saisie'!$AS$5:$AS$2004,'Saisie'!$C$5:$C$2004,C426,'Saisie'!$AN$5:$AN$2004,"&lt;&gt;")-4),""))</f>
        <v/>
      </c>
      <c r="AJ426" s="60">
        <f>IF(C426="","",IFERROR(INDEX('Saisie'!$AO$5:$AO$2004,_xlfn.MAXIFS('Saisie'!$AS$5:$AS$2004,'Saisie'!$C$5:$C$2004,C426,'Saisie'!$AO$5:$AO$2004,"&lt;&gt;")-4),""))</f>
        <v/>
      </c>
      <c r="AK426" s="60">
        <f>IF(C426="","",IFERROR(INDEX('Saisie'!$AP$5:$AP$2004,_xlfn.MAXIFS('Saisie'!$AS$5:$AS$2004,'Saisie'!$C$5:$C$2004,C426,'Saisie'!$AP$5:$AP$2004,"&lt;&gt;")-4),""))</f>
        <v/>
      </c>
      <c r="AL426" s="60">
        <f>IF(C426="","",IFERROR(INDEX('Saisie'!$AQ$5:$AQ$2004,_xlfn.MAXIFS('Saisie'!$AS$5:$AS$2004,'Saisie'!$C$5:$C$2004,C426,'Saisie'!$AQ$5:$AQ$2004,"&lt;&gt;")-4),""))</f>
        <v/>
      </c>
      <c r="AM426" s="60">
        <f>IF(C426="","",((AI426="Oui")+(AJ426="Oui")+(AK426="Oui")+OR(AL426="Immédiat",AL426="&lt; 1 mois"))&amp;"/4")</f>
        <v/>
      </c>
      <c r="AN426" s="60">
        <f>IF(C426="","",IFERROR(INDEX('Saisie'!$AL$5:$AL$2004,_xlfn.MAXIFS('Saisie'!$AS$5:$AS$2004,'Saisie'!$C$5:$C$2004,C426,'Saisie'!$AL$5:$AL$2004,"&lt;&gt;")-4),""))</f>
        <v/>
      </c>
      <c r="AO426" s="62">
        <f>IF(C426="","",IF(IFERROR(INDEX('Saisie'!$AM$5:$AM$2004,_xlfn.MAXIFS('Saisie'!$AS$5:$AS$2004,'Saisie'!$C$5:$C$2004,C426,'Saisie'!$AM$5:$AM$2004,"&lt;&gt;")-4),"")&lt;&gt;"",IFERROR(INDEX('Saisie'!$AM$5:$AM$2004,_xlfn.MAXIFS('Saisie'!$AS$5:$AS$2004,'Saisie'!$C$5:$C$2004,C426,'Saisie'!$AM$5:$AM$2004,"&lt;&gt;")-4),""),IFERROR(INDEX('Paramètres'!$S$6:$S$15,MATCH(AN426,'Paramètres'!$Q$6:$Q$15,0)),"")))</f>
        <v/>
      </c>
      <c r="AP426" s="62">
        <f>IF(C426="","",IFERROR(INDEX('Saisie'!$AW$5:$AW$2004,_xlfn.MAXIFS('Saisie'!$AS$5:$AS$2004,'Saisie'!$C$5:$C$2004,C426,'Saisie'!$E$5:$E$2004,"Proposition envoyée")-4),""))</f>
        <v/>
      </c>
      <c r="AQ426" s="106">
        <f>IF(C426="","",IFERROR(1/(1/_xlfn.MAXIFS('Saisie'!$A$5:$A$2004,'Saisie'!$C$5:$C$2004,C426,'Saisie'!$E$5:$E$2004,"Proposition envoyée")),""))</f>
        <v/>
      </c>
      <c r="AR426" s="106">
        <f>IF(C426="","",IF(AQ426="","",AQ426+'Paramètres'!$B$26))</f>
        <v/>
      </c>
      <c r="AS426" s="62">
        <f>IF(OR(C426="",D426="Gagné",D426="Perdu"),0,N(AP426)*IFERROR(INDEX('Paramètres'!$G$6:$G$13,MATCH(D426,'Paramètres'!$F$6:$F$13,0)),0))</f>
        <v/>
      </c>
      <c r="AT426" s="106">
        <f>IF(C426="","",IFERROR(1/(1/_xlfn.MINIFS('Saisie'!$A$5:$A$2004,'Saisie'!$C$5:$C$2004,C426,'Saisie'!$E$5:$E$2004,"Signature")),""))</f>
        <v/>
      </c>
      <c r="AU426" s="60">
        <f>IF(C426="","",IF(OR(AT426="",B426=""),"",AT426-B426))</f>
        <v/>
      </c>
      <c r="AV426" s="60">
        <f>IF(C426="","",IFERROR(INDEX('Saisie'!$L$5:$L$2004,_xlfn.MAXIFS('Saisie'!$AS$5:$AS$2004,'Saisie'!$C$5:$C$2004,C426,'Saisie'!$L$5:$L$2004,"&lt;&gt;")-4),""))</f>
        <v/>
      </c>
      <c r="AW426" s="106">
        <f>IF(C426="","",IF(D426&lt;&gt;"Perdu","",IFERROR(1/(1/_xlfn.MAXIFS('Saisie'!$A$5:$A$2004,'Saisie'!$C$5:$C$2004,C426,'Saisie'!$E$5:$E$2004,"Perdu")),"")))</f>
        <v/>
      </c>
      <c r="AX426" s="106">
        <f>IF(C426="","",IF(AW426="","",AW426+'Paramètres'!$B$28))</f>
        <v/>
      </c>
      <c r="AY426" s="60">
        <f>IF(C426="","",SUMIFS('Saisie'!$H$5:$H$2004,'Saisie'!$C$5:$C$2004,C426))</f>
        <v/>
      </c>
      <c r="AZ426" s="60">
        <f>IF(C426="","",IFERROR(INDEX('Paramètres'!$W$6:$W$20,MATCH(S426,'Paramètres'!$V$6:$V$20,0))&amp;"",""))</f>
        <v/>
      </c>
      <c r="BA426" s="60">
        <f>IF(C426="","",MAX(1,_xlfn.MAXIFS('Saisie'!$AT$5:$AT$2004,'Saisie'!$C$5:$C$2004,C426)))</f>
        <v/>
      </c>
      <c r="BB426" s="60">
        <f>IF(C426="","",IFERROR(INDEX('Saisie'!$X$5:$X$2004,_xlfn.MAXIFS('Saisie'!$AS$5:$AS$2004,'Saisie'!$C$5:$C$2004,C426,'Saisie'!$X$5:$X$2004,"&lt;&gt;")-4),""))</f>
        <v/>
      </c>
      <c r="BC426" s="60">
        <f>IF(C426="","",IFERROR(INDEX('Saisie'!$Y$5:$Y$2004,_xlfn.MAXIFS('Saisie'!$AS$5:$AS$2004,'Saisie'!$C$5:$C$2004,C426,'Saisie'!$Y$5:$Y$2004,"&lt;&gt;")-4),""))</f>
        <v/>
      </c>
      <c r="BD426" s="106">
        <f>IF(C426="","",IFERROR(1/(1/_xlfn.MINIFS('Saisie'!$A$5:$A$2004,'Saisie'!$C$5:$C$2004,C426,'Saisie'!$AT$5:$AT$2004,"&gt;=2")),""))</f>
        <v/>
      </c>
      <c r="BE426" s="106">
        <f>IF(C426="","",IFERROR(1/(1/_xlfn.MINIFS('Saisie'!$A$5:$A$2004,'Saisie'!$C$5:$C$2004,C426,'Saisie'!$AT$5:$AT$2004,"&gt;=3")),""))</f>
        <v/>
      </c>
      <c r="BF426" s="106">
        <f>IF(C426="","",IFERROR(1/(1/_xlfn.MINIFS('Saisie'!$A$5:$A$2004,'Saisie'!$C$5:$C$2004,C426,'Saisie'!$AT$5:$AT$2004,"&gt;=4")),""))</f>
        <v/>
      </c>
      <c r="BG426" s="106">
        <f>IF(C426="","",IFERROR(1/(1/_xlfn.MINIFS('Saisie'!$A$5:$A$2004,'Saisie'!$C$5:$C$2004,C426,'Saisie'!$AT$5:$AT$2004,"&gt;=5")),""))</f>
        <v/>
      </c>
      <c r="BH426" s="106">
        <f>IF(C426="","",IFERROR(1/(1/_xlfn.MINIFS('Saisie'!$A$5:$A$2004,'Saisie'!$C$5:$C$2004,C426,'Saisie'!$AT$5:$AT$2004,"&gt;=6")),""))</f>
        <v/>
      </c>
      <c r="BI426" s="106">
        <f>IF(C426="","",IFERROR(1/(1/_xlfn.MINIFS('Saisie'!$A$5:$A$2004,'Saisie'!$C$5:$C$2004,C426,'Saisie'!$AT$5:$AT$2004,"&gt;=7")),""))</f>
        <v/>
      </c>
      <c r="BJ426" s="60">
        <f>IF(OR(BD426="",B426=""),"",BD426-B426)</f>
        <v/>
      </c>
      <c r="BK426" s="60">
        <f>IF(OR(BE426="",BD426=""),"",BE426-BD426)</f>
        <v/>
      </c>
      <c r="BL426" s="60">
        <f>IF(OR(BF426="",BE426=""),"",BF426-BE426)</f>
        <v/>
      </c>
      <c r="BM426" s="60">
        <f>IF(OR(BG426="",BF426=""),"",BG426-BF426)</f>
        <v/>
      </c>
      <c r="BN426" s="60">
        <f>IF(OR(BH426="",BG426=""),"",BH426-BG426)</f>
        <v/>
      </c>
      <c r="BO426" s="60">
        <f>IF(OR(BI426="",BH426=""),"",BI426-BH426)</f>
        <v/>
      </c>
      <c r="BP426" s="60">
        <f>IF(C426="","",_xlfn.MAXIFS('Saisie'!$AS$5:$AS$2004,'Saisie'!$C$5:$C$2004,C426,'Saisie'!$J$5:$J$2004,"&lt;&gt;"))</f>
        <v/>
      </c>
      <c r="BQ426" s="60">
        <f>IF(C426="","",_xlfn.MAXIFS('Saisie'!$AS$5:$AS$2004,'Saisie'!$C$5:$C$2004,C426))</f>
        <v/>
      </c>
      <c r="BR426" s="60">
        <f>IF(C426="","",_xlfn.MAXIFS('Saisie'!$AS$5:$AS$2004,'Saisie'!$C$5:$C$2004,C426,'Saisie'!$E$5:$E$2004,"Perdu"))</f>
        <v/>
      </c>
      <c r="BS426" s="60">
        <f>IF(C426="","",_xlfn.MAXIFS('Saisie'!$AS$5:$AS$2004,'Saisie'!$C$5:$C$2004,C426,'Saisie'!$AT$5:$AT$2004,"&gt;0"))</f>
        <v/>
      </c>
      <c r="BT426" s="109">
        <f>IF(AND(C426&lt;&gt;"",OR(D426="Nouveau",D426="Contacté",D426="Qualifié"),OR(G426="",N(G426)&lt;=TODAY()),NOT(AND(O426&gt;='Paramètres'!$B$21,P426=0))),E426+422/10000,"")</f>
        <v/>
      </c>
      <c r="BU426" s="60">
        <f>IF(AND(G426&lt;&gt;"",N(G426)&lt;=TODAY()),MAX($BU$4:BU425)+1,"")</f>
        <v/>
      </c>
      <c r="BV426" s="60">
        <f>IF(AND(F426&lt;&gt;"",F426&lt;&gt;"Relance en retard"),MAX($BV$4:BV425)+1,"")</f>
        <v/>
      </c>
      <c r="BW426" s="60">
        <f>IF(C426="","",IF(AND(B426&gt;='Tableau de bord'!$R$4,B426&lt;='Tableau de bord'!$S$4,OR('Tableau de bord'!$G$4="Tous",N426='Tableau de bord'!$G$4)),1,0))</f>
        <v/>
      </c>
      <c r="BX426" s="60">
        <f>IF(AND(C426&lt;&gt;"",N(BA426)=7),MAX($BX$4:BX425)+1,"")</f>
        <v/>
      </c>
    </row>
    <row r="427">
      <c r="A427" s="60">
        <f>IF(C427="","","P-"&amp;TEXT(423,"000"))</f>
        <v/>
      </c>
      <c r="B427" s="106">
        <f>IF(C427="","",IFERROR(1/(1/_xlfn.MINIFS('Saisie'!$A$5:$A$2004,'Saisie'!$C$5:$C$2004,C427)),""))</f>
        <v/>
      </c>
      <c r="C427" s="60">
        <f>IFERROR(INDEX('Saisie'!$C$5:$C$2004,MATCH(423,'Saisie'!$AX$5:$AX$2004,0)),"")</f>
        <v/>
      </c>
      <c r="D427" s="60">
        <f>IF(C427="","",IF(AND(BR427&gt;0,BR427&gt;BS427,BA427&lt;7),"Perdu",INDEX('Paramètres'!$F$6:$F$13,BA427)))</f>
        <v/>
      </c>
      <c r="E427" s="61">
        <f>IF(C427="","",MIN(100,(Z427="Oui")*'Paramètres'!$B$38+(AB427="Régulière")*'Paramètres'!$B$39+IF(AND(N(AA427)&gt;0,TODAY()-N(AA427)&lt;=30),'Paramètres'!$B$40,0)+(W427="")*'Paramètres'!$B$41+(AC427="Absente")*'Paramètres'!$B$42+(AC427="Faible")*'Paramètres'!$B$43+IF(AND(N(AD427)&gt;0,N(AD427)&lt;4),'Paramètres'!$B$44,0)+(AF427="Moyenne")*'Paramètres'!$B$45+(AF427="Grande")*'Paramètres'!$B$46+(Y427&lt;&gt;"")*'Paramètres'!$B$47))</f>
        <v/>
      </c>
      <c r="F427" s="60">
        <f>IF(C427="","",IF(D427="Gagné","",IF(D427="Perdu",IF(AND(AX427&lt;&gt;"",AX427&lt;=TODAY()),"À recontacter (perdu)",""),IF(AND(O427&gt;='Paramètres'!$B$21,P427=0),"Stop : "&amp;'Paramètres'!$B$21&amp;" tentatives sans réponse",IF(AND(D427="Proposition",AR427&lt;&gt;"",TODAY()&gt;N(AR427)),"Proposition expirée",IF(AND(D427="Proposition",N(R427)&gt;='Paramètres'!$B$25),"Proposition sans réponse",IF(AND(G427&lt;&gt;"",N(G427)&lt;TODAY()),"Relance en retard",IF(N(R427)&gt;='Paramètres'!$B$24,"Sans action depuis "&amp;R427&amp;" j",""))))))))</f>
        <v/>
      </c>
      <c r="G427" s="106">
        <f>IF(OR(C427="",D427="Gagné",D427="Perdu"),"",IF(AND(BP427&gt;0,BP427=BQ427),INDEX('Saisie'!$J$5:$J$2004,BP427-4),IF(OR(O427=0,AND(O427&gt;='Paramètres'!$B$21,P427=0)),"",Q427+IF(O427&lt;=1,'Paramètres'!$B$18,IF(O427=2,'Paramètres'!$B$19,'Paramètres'!$B$20)))))</f>
        <v/>
      </c>
      <c r="H427" s="107">
        <f>IF(OR(G427="",BP427&lt;&gt;BQ427),"",IF(INDEX('Saisie'!$K$5:$K$2004,BP427-4)="","",INDEX('Saisie'!$K$5:$K$2004,BP427-4)))</f>
        <v/>
      </c>
      <c r="I427" s="60">
        <f>IF(C427="","",IF(OR(D427="Gagné",D427="Perdu"),"",IFERROR(INDEX('Saisie'!$I$5:$I$2004,_xlfn.MAXIFS('Saisie'!$AS$5:$AS$2004,'Saisie'!$C$5:$C$2004,C427,'Saisie'!$I$5:$I$2004,"&lt;&gt;")-4),"")))</f>
        <v/>
      </c>
      <c r="J427" s="60">
        <f>IF(C427="","",IFERROR(INDEX('Saisie'!$U$5:$U$2004,_xlfn.MAXIFS('Saisie'!$AS$5:$AS$2004,'Saisie'!$C$5:$C$2004,C427,'Saisie'!$U$5:$U$2004,"&lt;&gt;")-4),""))</f>
        <v/>
      </c>
      <c r="K427" s="60">
        <f>IF(C427="","",IFERROR(INDEX('Saisie'!$W$5:$W$2004,_xlfn.MAXIFS('Saisie'!$AS$5:$AS$2004,'Saisie'!$C$5:$C$2004,C427,'Saisie'!$W$5:$W$2004,"&lt;&gt;")-4),""))</f>
        <v/>
      </c>
      <c r="L427" s="60">
        <f>IF(IF(BB427&lt;&gt;"",BB427,K427)="","",HYPERLINK("https://wa.me/"&amp;IF(LEFT(SUBSTITUTE(SUBSTITUTE(SUBSTITUTE(IF(BB427&lt;&gt;"",BB427,K427)," ",""),".",""),"+",""),1)="0",'Paramètres'!$B$35&amp;MID(SUBSTITUTE(SUBSTITUTE(SUBSTITUTE(IF(BB427&lt;&gt;"",BB427,K427)," ",""),".",""),"+",""),2,20),SUBSTITUTE(SUBSTITUTE(SUBSTITUTE(IF(BB427&lt;&gt;"",BB427,K427)," ",""),".",""),"+","")),"WhatsApp"))</f>
        <v/>
      </c>
      <c r="M427" s="60">
        <f>IF(BC427="","",HYPERLINK(IF(LEFT(BC427,4)="http",BC427,"https://www.instagram.com/"&amp;SUBSTITUTE(SUBSTITUTE(BC427,"@","")," ","")),BC427))</f>
        <v/>
      </c>
      <c r="N427" s="60">
        <f>IF(C427="","",IFERROR(INDEX('Saisie'!$D$5:$D$2004,_xlfn.MINIFS('Saisie'!$AS$5:$AS$2004,'Saisie'!$C$5:$C$2004,C427,'Saisie'!$AU$5:$AU$2004,1)-4),IFERROR(INDEX('Saisie'!$D$5:$D$2004,_xlfn.MINIFS('Saisie'!$AS$5:$AS$2004,'Saisie'!$C$5:$C$2004,C427,'Saisie'!$D$5:$D$2004,"&lt;&gt;")-4),"")))</f>
        <v/>
      </c>
      <c r="O427" s="60">
        <f>IF(C427="","",COUNTIFS('Saisie'!$C$5:$C$2004,C427,'Saisie'!$AU$5:$AU$2004,1))</f>
        <v/>
      </c>
      <c r="P427" s="60">
        <f>IF(C427="","",COUNTIFS('Saisie'!$C$5:$C$2004,C427,'Saisie'!$AV$5:$AV$2004,1))</f>
        <v/>
      </c>
      <c r="Q427" s="106">
        <f>IF(C427="","",IFERROR(1/(1/_xlfn.MAXIFS('Saisie'!$A$5:$A$2004,'Saisie'!$C$5:$C$2004,C427)),""))</f>
        <v/>
      </c>
      <c r="R427" s="61">
        <f>IF(C427="","",IF(Q427="","",TODAY()-Q427))</f>
        <v/>
      </c>
      <c r="S427" s="60">
        <f>IF(C427="","",IFERROR(INDEX('Saisie'!$R$5:$R$2004,_xlfn.MAXIFS('Saisie'!$AS$5:$AS$2004,'Saisie'!$C$5:$C$2004,C427,'Saisie'!$R$5:$R$2004,"&lt;&gt;")-4),""))</f>
        <v/>
      </c>
      <c r="T427" s="60">
        <f>IF(C427="","",IFERROR(INDEX('Saisie'!$S$5:$S$2004,_xlfn.MAXIFS('Saisie'!$AS$5:$AS$2004,'Saisie'!$C$5:$C$2004,C427,'Saisie'!$S$5:$S$2004,"&lt;&gt;")-4),""))</f>
        <v/>
      </c>
      <c r="U427" s="60">
        <f>IF(C427="","",IFERROR(INDEX('Saisie'!$T$5:$T$2004,_xlfn.MAXIFS('Saisie'!$AS$5:$AS$2004,'Saisie'!$C$5:$C$2004,C427,'Saisie'!$T$5:$T$2004,"&lt;&gt;")-4),""))</f>
        <v/>
      </c>
      <c r="V427" s="60">
        <f>IF(C427="","",IFERROR(INDEX('Saisie'!$V$5:$V$2004,_xlfn.MAXIFS('Saisie'!$AS$5:$AS$2004,'Saisie'!$C$5:$C$2004,C427,'Saisie'!$V$5:$V$2004,"&lt;&gt;")-4),""))</f>
        <v/>
      </c>
      <c r="W427" s="60">
        <f>IF(C427="","",IFERROR(INDEX('Saisie'!$Z$5:$Z$2004,_xlfn.MAXIFS('Saisie'!$AS$5:$AS$2004,'Saisie'!$C$5:$C$2004,C427,'Saisie'!$Z$5:$Z$2004,"&lt;&gt;")-4),""))</f>
        <v/>
      </c>
      <c r="X427" s="60">
        <f>IF(C427="","",IFERROR(INDEX('Saisie'!$AA$5:$AA$2004,_xlfn.MAXIFS('Saisie'!$AS$5:$AS$2004,'Saisie'!$C$5:$C$2004,C427,'Saisie'!$AA$5:$AA$2004,"&lt;&gt;")-4),""))</f>
        <v/>
      </c>
      <c r="Y427" s="60">
        <f>IF(C427="","",IFERROR(INDEX('Saisie'!$AB$5:$AB$2004,_xlfn.MAXIFS('Saisie'!$AS$5:$AS$2004,'Saisie'!$C$5:$C$2004,C427,'Saisie'!$AB$5:$AB$2004,"&lt;&gt;")-4),""))</f>
        <v/>
      </c>
      <c r="Z427" s="60">
        <f>IF(C427="","",IFERROR(INDEX('Saisie'!$AC$5:$AC$2004,_xlfn.MAXIFS('Saisie'!$AS$5:$AS$2004,'Saisie'!$C$5:$C$2004,C427,'Saisie'!$AC$5:$AC$2004,"&lt;&gt;")-4),""))</f>
        <v/>
      </c>
      <c r="AA427" s="106">
        <f>IF(C427="","",IFERROR(INDEX('Saisie'!$AD$5:$AD$2004,_xlfn.MAXIFS('Saisie'!$AS$5:$AS$2004,'Saisie'!$C$5:$C$2004,C427,'Saisie'!$AD$5:$AD$2004,"&lt;&gt;")-4),""))</f>
        <v/>
      </c>
      <c r="AB427" s="60">
        <f>IF(C427="","",IFERROR(INDEX('Saisie'!$AE$5:$AE$2004,_xlfn.MAXIFS('Saisie'!$AS$5:$AS$2004,'Saisie'!$C$5:$C$2004,C427,'Saisie'!$AE$5:$AE$2004,"&lt;&gt;")-4),""))</f>
        <v/>
      </c>
      <c r="AC427" s="60">
        <f>IF(C427="","",IFERROR(INDEX('Saisie'!$AF$5:$AF$2004,_xlfn.MAXIFS('Saisie'!$AS$5:$AS$2004,'Saisie'!$C$5:$C$2004,C427,'Saisie'!$AF$5:$AF$2004,"&lt;&gt;")-4),""))</f>
        <v/>
      </c>
      <c r="AD427" s="108">
        <f>IF(C427="","",IFERROR(INDEX('Saisie'!$AG$5:$AG$2004,_xlfn.MAXIFS('Saisie'!$AS$5:$AS$2004,'Saisie'!$C$5:$C$2004,C427,'Saisie'!$AG$5:$AG$2004,"&lt;&gt;")-4),""))</f>
        <v/>
      </c>
      <c r="AE427" s="60">
        <f>IF(C427="","",IFERROR(INDEX('Saisie'!$AH$5:$AH$2004,_xlfn.MAXIFS('Saisie'!$AS$5:$AS$2004,'Saisie'!$C$5:$C$2004,C427,'Saisie'!$AH$5:$AH$2004,"&lt;&gt;")-4),""))</f>
        <v/>
      </c>
      <c r="AF427" s="60">
        <f>IF(C427="","",IFERROR(INDEX('Saisie'!$AI$5:$AI$2004,_xlfn.MAXIFS('Saisie'!$AS$5:$AS$2004,'Saisie'!$C$5:$C$2004,C427,'Saisie'!$AI$5:$AI$2004,"&lt;&gt;")-4),""))</f>
        <v/>
      </c>
      <c r="AG427" s="60">
        <f>IF(C427="","",IFERROR(INDEX('Saisie'!$AJ$5:$AJ$2004,_xlfn.MAXIFS('Saisie'!$AS$5:$AS$2004,'Saisie'!$C$5:$C$2004,C427,'Saisie'!$AJ$5:$AJ$2004,"&lt;&gt;")-4),""))</f>
        <v/>
      </c>
      <c r="AH427" s="60">
        <f>IF(C427="","",IFERROR(INDEX('Saisie'!$AK$5:$AK$2004,_xlfn.MAXIFS('Saisie'!$AS$5:$AS$2004,'Saisie'!$C$5:$C$2004,C427,'Saisie'!$AK$5:$AK$2004,"&lt;&gt;")-4),""))</f>
        <v/>
      </c>
      <c r="AI427" s="60">
        <f>IF(C427="","",IFERROR(INDEX('Saisie'!$AN$5:$AN$2004,_xlfn.MAXIFS('Saisie'!$AS$5:$AS$2004,'Saisie'!$C$5:$C$2004,C427,'Saisie'!$AN$5:$AN$2004,"&lt;&gt;")-4),""))</f>
        <v/>
      </c>
      <c r="AJ427" s="60">
        <f>IF(C427="","",IFERROR(INDEX('Saisie'!$AO$5:$AO$2004,_xlfn.MAXIFS('Saisie'!$AS$5:$AS$2004,'Saisie'!$C$5:$C$2004,C427,'Saisie'!$AO$5:$AO$2004,"&lt;&gt;")-4),""))</f>
        <v/>
      </c>
      <c r="AK427" s="60">
        <f>IF(C427="","",IFERROR(INDEX('Saisie'!$AP$5:$AP$2004,_xlfn.MAXIFS('Saisie'!$AS$5:$AS$2004,'Saisie'!$C$5:$C$2004,C427,'Saisie'!$AP$5:$AP$2004,"&lt;&gt;")-4),""))</f>
        <v/>
      </c>
      <c r="AL427" s="60">
        <f>IF(C427="","",IFERROR(INDEX('Saisie'!$AQ$5:$AQ$2004,_xlfn.MAXIFS('Saisie'!$AS$5:$AS$2004,'Saisie'!$C$5:$C$2004,C427,'Saisie'!$AQ$5:$AQ$2004,"&lt;&gt;")-4),""))</f>
        <v/>
      </c>
      <c r="AM427" s="60">
        <f>IF(C427="","",((AI427="Oui")+(AJ427="Oui")+(AK427="Oui")+OR(AL427="Immédiat",AL427="&lt; 1 mois"))&amp;"/4")</f>
        <v/>
      </c>
      <c r="AN427" s="60">
        <f>IF(C427="","",IFERROR(INDEX('Saisie'!$AL$5:$AL$2004,_xlfn.MAXIFS('Saisie'!$AS$5:$AS$2004,'Saisie'!$C$5:$C$2004,C427,'Saisie'!$AL$5:$AL$2004,"&lt;&gt;")-4),""))</f>
        <v/>
      </c>
      <c r="AO427" s="62">
        <f>IF(C427="","",IF(IFERROR(INDEX('Saisie'!$AM$5:$AM$2004,_xlfn.MAXIFS('Saisie'!$AS$5:$AS$2004,'Saisie'!$C$5:$C$2004,C427,'Saisie'!$AM$5:$AM$2004,"&lt;&gt;")-4),"")&lt;&gt;"",IFERROR(INDEX('Saisie'!$AM$5:$AM$2004,_xlfn.MAXIFS('Saisie'!$AS$5:$AS$2004,'Saisie'!$C$5:$C$2004,C427,'Saisie'!$AM$5:$AM$2004,"&lt;&gt;")-4),""),IFERROR(INDEX('Paramètres'!$S$6:$S$15,MATCH(AN427,'Paramètres'!$Q$6:$Q$15,0)),"")))</f>
        <v/>
      </c>
      <c r="AP427" s="62">
        <f>IF(C427="","",IFERROR(INDEX('Saisie'!$AW$5:$AW$2004,_xlfn.MAXIFS('Saisie'!$AS$5:$AS$2004,'Saisie'!$C$5:$C$2004,C427,'Saisie'!$E$5:$E$2004,"Proposition envoyée")-4),""))</f>
        <v/>
      </c>
      <c r="AQ427" s="106">
        <f>IF(C427="","",IFERROR(1/(1/_xlfn.MAXIFS('Saisie'!$A$5:$A$2004,'Saisie'!$C$5:$C$2004,C427,'Saisie'!$E$5:$E$2004,"Proposition envoyée")),""))</f>
        <v/>
      </c>
      <c r="AR427" s="106">
        <f>IF(C427="","",IF(AQ427="","",AQ427+'Paramètres'!$B$26))</f>
        <v/>
      </c>
      <c r="AS427" s="62">
        <f>IF(OR(C427="",D427="Gagné",D427="Perdu"),0,N(AP427)*IFERROR(INDEX('Paramètres'!$G$6:$G$13,MATCH(D427,'Paramètres'!$F$6:$F$13,0)),0))</f>
        <v/>
      </c>
      <c r="AT427" s="106">
        <f>IF(C427="","",IFERROR(1/(1/_xlfn.MINIFS('Saisie'!$A$5:$A$2004,'Saisie'!$C$5:$C$2004,C427,'Saisie'!$E$5:$E$2004,"Signature")),""))</f>
        <v/>
      </c>
      <c r="AU427" s="60">
        <f>IF(C427="","",IF(OR(AT427="",B427=""),"",AT427-B427))</f>
        <v/>
      </c>
      <c r="AV427" s="60">
        <f>IF(C427="","",IFERROR(INDEX('Saisie'!$L$5:$L$2004,_xlfn.MAXIFS('Saisie'!$AS$5:$AS$2004,'Saisie'!$C$5:$C$2004,C427,'Saisie'!$L$5:$L$2004,"&lt;&gt;")-4),""))</f>
        <v/>
      </c>
      <c r="AW427" s="106">
        <f>IF(C427="","",IF(D427&lt;&gt;"Perdu","",IFERROR(1/(1/_xlfn.MAXIFS('Saisie'!$A$5:$A$2004,'Saisie'!$C$5:$C$2004,C427,'Saisie'!$E$5:$E$2004,"Perdu")),"")))</f>
        <v/>
      </c>
      <c r="AX427" s="106">
        <f>IF(C427="","",IF(AW427="","",AW427+'Paramètres'!$B$28))</f>
        <v/>
      </c>
      <c r="AY427" s="60">
        <f>IF(C427="","",SUMIFS('Saisie'!$H$5:$H$2004,'Saisie'!$C$5:$C$2004,C427))</f>
        <v/>
      </c>
      <c r="AZ427" s="60">
        <f>IF(C427="","",IFERROR(INDEX('Paramètres'!$W$6:$W$20,MATCH(S427,'Paramètres'!$V$6:$V$20,0))&amp;"",""))</f>
        <v/>
      </c>
      <c r="BA427" s="60">
        <f>IF(C427="","",MAX(1,_xlfn.MAXIFS('Saisie'!$AT$5:$AT$2004,'Saisie'!$C$5:$C$2004,C427)))</f>
        <v/>
      </c>
      <c r="BB427" s="60">
        <f>IF(C427="","",IFERROR(INDEX('Saisie'!$X$5:$X$2004,_xlfn.MAXIFS('Saisie'!$AS$5:$AS$2004,'Saisie'!$C$5:$C$2004,C427,'Saisie'!$X$5:$X$2004,"&lt;&gt;")-4),""))</f>
        <v/>
      </c>
      <c r="BC427" s="60">
        <f>IF(C427="","",IFERROR(INDEX('Saisie'!$Y$5:$Y$2004,_xlfn.MAXIFS('Saisie'!$AS$5:$AS$2004,'Saisie'!$C$5:$C$2004,C427,'Saisie'!$Y$5:$Y$2004,"&lt;&gt;")-4),""))</f>
        <v/>
      </c>
      <c r="BD427" s="106">
        <f>IF(C427="","",IFERROR(1/(1/_xlfn.MINIFS('Saisie'!$A$5:$A$2004,'Saisie'!$C$5:$C$2004,C427,'Saisie'!$AT$5:$AT$2004,"&gt;=2")),""))</f>
        <v/>
      </c>
      <c r="BE427" s="106">
        <f>IF(C427="","",IFERROR(1/(1/_xlfn.MINIFS('Saisie'!$A$5:$A$2004,'Saisie'!$C$5:$C$2004,C427,'Saisie'!$AT$5:$AT$2004,"&gt;=3")),""))</f>
        <v/>
      </c>
      <c r="BF427" s="106">
        <f>IF(C427="","",IFERROR(1/(1/_xlfn.MINIFS('Saisie'!$A$5:$A$2004,'Saisie'!$C$5:$C$2004,C427,'Saisie'!$AT$5:$AT$2004,"&gt;=4")),""))</f>
        <v/>
      </c>
      <c r="BG427" s="106">
        <f>IF(C427="","",IFERROR(1/(1/_xlfn.MINIFS('Saisie'!$A$5:$A$2004,'Saisie'!$C$5:$C$2004,C427,'Saisie'!$AT$5:$AT$2004,"&gt;=5")),""))</f>
        <v/>
      </c>
      <c r="BH427" s="106">
        <f>IF(C427="","",IFERROR(1/(1/_xlfn.MINIFS('Saisie'!$A$5:$A$2004,'Saisie'!$C$5:$C$2004,C427,'Saisie'!$AT$5:$AT$2004,"&gt;=6")),""))</f>
        <v/>
      </c>
      <c r="BI427" s="106">
        <f>IF(C427="","",IFERROR(1/(1/_xlfn.MINIFS('Saisie'!$A$5:$A$2004,'Saisie'!$C$5:$C$2004,C427,'Saisie'!$AT$5:$AT$2004,"&gt;=7")),""))</f>
        <v/>
      </c>
      <c r="BJ427" s="60">
        <f>IF(OR(BD427="",B427=""),"",BD427-B427)</f>
        <v/>
      </c>
      <c r="BK427" s="60">
        <f>IF(OR(BE427="",BD427=""),"",BE427-BD427)</f>
        <v/>
      </c>
      <c r="BL427" s="60">
        <f>IF(OR(BF427="",BE427=""),"",BF427-BE427)</f>
        <v/>
      </c>
      <c r="BM427" s="60">
        <f>IF(OR(BG427="",BF427=""),"",BG427-BF427)</f>
        <v/>
      </c>
      <c r="BN427" s="60">
        <f>IF(OR(BH427="",BG427=""),"",BH427-BG427)</f>
        <v/>
      </c>
      <c r="BO427" s="60">
        <f>IF(OR(BI427="",BH427=""),"",BI427-BH427)</f>
        <v/>
      </c>
      <c r="BP427" s="60">
        <f>IF(C427="","",_xlfn.MAXIFS('Saisie'!$AS$5:$AS$2004,'Saisie'!$C$5:$C$2004,C427,'Saisie'!$J$5:$J$2004,"&lt;&gt;"))</f>
        <v/>
      </c>
      <c r="BQ427" s="60">
        <f>IF(C427="","",_xlfn.MAXIFS('Saisie'!$AS$5:$AS$2004,'Saisie'!$C$5:$C$2004,C427))</f>
        <v/>
      </c>
      <c r="BR427" s="60">
        <f>IF(C427="","",_xlfn.MAXIFS('Saisie'!$AS$5:$AS$2004,'Saisie'!$C$5:$C$2004,C427,'Saisie'!$E$5:$E$2004,"Perdu"))</f>
        <v/>
      </c>
      <c r="BS427" s="60">
        <f>IF(C427="","",_xlfn.MAXIFS('Saisie'!$AS$5:$AS$2004,'Saisie'!$C$5:$C$2004,C427,'Saisie'!$AT$5:$AT$2004,"&gt;0"))</f>
        <v/>
      </c>
      <c r="BT427" s="109">
        <f>IF(AND(C427&lt;&gt;"",OR(D427="Nouveau",D427="Contacté",D427="Qualifié"),OR(G427="",N(G427)&lt;=TODAY()),NOT(AND(O427&gt;='Paramètres'!$B$21,P427=0))),E427+423/10000,"")</f>
        <v/>
      </c>
      <c r="BU427" s="60">
        <f>IF(AND(G427&lt;&gt;"",N(G427)&lt;=TODAY()),MAX($BU$4:BU426)+1,"")</f>
        <v/>
      </c>
      <c r="BV427" s="60">
        <f>IF(AND(F427&lt;&gt;"",F427&lt;&gt;"Relance en retard"),MAX($BV$4:BV426)+1,"")</f>
        <v/>
      </c>
      <c r="BW427" s="60">
        <f>IF(C427="","",IF(AND(B427&gt;='Tableau de bord'!$R$4,B427&lt;='Tableau de bord'!$S$4,OR('Tableau de bord'!$G$4="Tous",N427='Tableau de bord'!$G$4)),1,0))</f>
        <v/>
      </c>
      <c r="BX427" s="60">
        <f>IF(AND(C427&lt;&gt;"",N(BA427)=7),MAX($BX$4:BX426)+1,"")</f>
        <v/>
      </c>
    </row>
    <row r="428">
      <c r="A428" s="60">
        <f>IF(C428="","","P-"&amp;TEXT(424,"000"))</f>
        <v/>
      </c>
      <c r="B428" s="106">
        <f>IF(C428="","",IFERROR(1/(1/_xlfn.MINIFS('Saisie'!$A$5:$A$2004,'Saisie'!$C$5:$C$2004,C428)),""))</f>
        <v/>
      </c>
      <c r="C428" s="60">
        <f>IFERROR(INDEX('Saisie'!$C$5:$C$2004,MATCH(424,'Saisie'!$AX$5:$AX$2004,0)),"")</f>
        <v/>
      </c>
      <c r="D428" s="60">
        <f>IF(C428="","",IF(AND(BR428&gt;0,BR428&gt;BS428,BA428&lt;7),"Perdu",INDEX('Paramètres'!$F$6:$F$13,BA428)))</f>
        <v/>
      </c>
      <c r="E428" s="61">
        <f>IF(C428="","",MIN(100,(Z428="Oui")*'Paramètres'!$B$38+(AB428="Régulière")*'Paramètres'!$B$39+IF(AND(N(AA428)&gt;0,TODAY()-N(AA428)&lt;=30),'Paramètres'!$B$40,0)+(W428="")*'Paramètres'!$B$41+(AC428="Absente")*'Paramètres'!$B$42+(AC428="Faible")*'Paramètres'!$B$43+IF(AND(N(AD428)&gt;0,N(AD428)&lt;4),'Paramètres'!$B$44,0)+(AF428="Moyenne")*'Paramètres'!$B$45+(AF428="Grande")*'Paramètres'!$B$46+(Y428&lt;&gt;"")*'Paramètres'!$B$47))</f>
        <v/>
      </c>
      <c r="F428" s="60">
        <f>IF(C428="","",IF(D428="Gagné","",IF(D428="Perdu",IF(AND(AX428&lt;&gt;"",AX428&lt;=TODAY()),"À recontacter (perdu)",""),IF(AND(O428&gt;='Paramètres'!$B$21,P428=0),"Stop : "&amp;'Paramètres'!$B$21&amp;" tentatives sans réponse",IF(AND(D428="Proposition",AR428&lt;&gt;"",TODAY()&gt;N(AR428)),"Proposition expirée",IF(AND(D428="Proposition",N(R428)&gt;='Paramètres'!$B$25),"Proposition sans réponse",IF(AND(G428&lt;&gt;"",N(G428)&lt;TODAY()),"Relance en retard",IF(N(R428)&gt;='Paramètres'!$B$24,"Sans action depuis "&amp;R428&amp;" j",""))))))))</f>
        <v/>
      </c>
      <c r="G428" s="106">
        <f>IF(OR(C428="",D428="Gagné",D428="Perdu"),"",IF(AND(BP428&gt;0,BP428=BQ428),INDEX('Saisie'!$J$5:$J$2004,BP428-4),IF(OR(O428=0,AND(O428&gt;='Paramètres'!$B$21,P428=0)),"",Q428+IF(O428&lt;=1,'Paramètres'!$B$18,IF(O428=2,'Paramètres'!$B$19,'Paramètres'!$B$20)))))</f>
        <v/>
      </c>
      <c r="H428" s="107">
        <f>IF(OR(G428="",BP428&lt;&gt;BQ428),"",IF(INDEX('Saisie'!$K$5:$K$2004,BP428-4)="","",INDEX('Saisie'!$K$5:$K$2004,BP428-4)))</f>
        <v/>
      </c>
      <c r="I428" s="60">
        <f>IF(C428="","",IF(OR(D428="Gagné",D428="Perdu"),"",IFERROR(INDEX('Saisie'!$I$5:$I$2004,_xlfn.MAXIFS('Saisie'!$AS$5:$AS$2004,'Saisie'!$C$5:$C$2004,C428,'Saisie'!$I$5:$I$2004,"&lt;&gt;")-4),"")))</f>
        <v/>
      </c>
      <c r="J428" s="60">
        <f>IF(C428="","",IFERROR(INDEX('Saisie'!$U$5:$U$2004,_xlfn.MAXIFS('Saisie'!$AS$5:$AS$2004,'Saisie'!$C$5:$C$2004,C428,'Saisie'!$U$5:$U$2004,"&lt;&gt;")-4),""))</f>
        <v/>
      </c>
      <c r="K428" s="60">
        <f>IF(C428="","",IFERROR(INDEX('Saisie'!$W$5:$W$2004,_xlfn.MAXIFS('Saisie'!$AS$5:$AS$2004,'Saisie'!$C$5:$C$2004,C428,'Saisie'!$W$5:$W$2004,"&lt;&gt;")-4),""))</f>
        <v/>
      </c>
      <c r="L428" s="60">
        <f>IF(IF(BB428&lt;&gt;"",BB428,K428)="","",HYPERLINK("https://wa.me/"&amp;IF(LEFT(SUBSTITUTE(SUBSTITUTE(SUBSTITUTE(IF(BB428&lt;&gt;"",BB428,K428)," ",""),".",""),"+",""),1)="0",'Paramètres'!$B$35&amp;MID(SUBSTITUTE(SUBSTITUTE(SUBSTITUTE(IF(BB428&lt;&gt;"",BB428,K428)," ",""),".",""),"+",""),2,20),SUBSTITUTE(SUBSTITUTE(SUBSTITUTE(IF(BB428&lt;&gt;"",BB428,K428)," ",""),".",""),"+","")),"WhatsApp"))</f>
        <v/>
      </c>
      <c r="M428" s="60">
        <f>IF(BC428="","",HYPERLINK(IF(LEFT(BC428,4)="http",BC428,"https://www.instagram.com/"&amp;SUBSTITUTE(SUBSTITUTE(BC428,"@","")," ","")),BC428))</f>
        <v/>
      </c>
      <c r="N428" s="60">
        <f>IF(C428="","",IFERROR(INDEX('Saisie'!$D$5:$D$2004,_xlfn.MINIFS('Saisie'!$AS$5:$AS$2004,'Saisie'!$C$5:$C$2004,C428,'Saisie'!$AU$5:$AU$2004,1)-4),IFERROR(INDEX('Saisie'!$D$5:$D$2004,_xlfn.MINIFS('Saisie'!$AS$5:$AS$2004,'Saisie'!$C$5:$C$2004,C428,'Saisie'!$D$5:$D$2004,"&lt;&gt;")-4),"")))</f>
        <v/>
      </c>
      <c r="O428" s="60">
        <f>IF(C428="","",COUNTIFS('Saisie'!$C$5:$C$2004,C428,'Saisie'!$AU$5:$AU$2004,1))</f>
        <v/>
      </c>
      <c r="P428" s="60">
        <f>IF(C428="","",COUNTIFS('Saisie'!$C$5:$C$2004,C428,'Saisie'!$AV$5:$AV$2004,1))</f>
        <v/>
      </c>
      <c r="Q428" s="106">
        <f>IF(C428="","",IFERROR(1/(1/_xlfn.MAXIFS('Saisie'!$A$5:$A$2004,'Saisie'!$C$5:$C$2004,C428)),""))</f>
        <v/>
      </c>
      <c r="R428" s="61">
        <f>IF(C428="","",IF(Q428="","",TODAY()-Q428))</f>
        <v/>
      </c>
      <c r="S428" s="60">
        <f>IF(C428="","",IFERROR(INDEX('Saisie'!$R$5:$R$2004,_xlfn.MAXIFS('Saisie'!$AS$5:$AS$2004,'Saisie'!$C$5:$C$2004,C428,'Saisie'!$R$5:$R$2004,"&lt;&gt;")-4),""))</f>
        <v/>
      </c>
      <c r="T428" s="60">
        <f>IF(C428="","",IFERROR(INDEX('Saisie'!$S$5:$S$2004,_xlfn.MAXIFS('Saisie'!$AS$5:$AS$2004,'Saisie'!$C$5:$C$2004,C428,'Saisie'!$S$5:$S$2004,"&lt;&gt;")-4),""))</f>
        <v/>
      </c>
      <c r="U428" s="60">
        <f>IF(C428="","",IFERROR(INDEX('Saisie'!$T$5:$T$2004,_xlfn.MAXIFS('Saisie'!$AS$5:$AS$2004,'Saisie'!$C$5:$C$2004,C428,'Saisie'!$T$5:$T$2004,"&lt;&gt;")-4),""))</f>
        <v/>
      </c>
      <c r="V428" s="60">
        <f>IF(C428="","",IFERROR(INDEX('Saisie'!$V$5:$V$2004,_xlfn.MAXIFS('Saisie'!$AS$5:$AS$2004,'Saisie'!$C$5:$C$2004,C428,'Saisie'!$V$5:$V$2004,"&lt;&gt;")-4),""))</f>
        <v/>
      </c>
      <c r="W428" s="60">
        <f>IF(C428="","",IFERROR(INDEX('Saisie'!$Z$5:$Z$2004,_xlfn.MAXIFS('Saisie'!$AS$5:$AS$2004,'Saisie'!$C$5:$C$2004,C428,'Saisie'!$Z$5:$Z$2004,"&lt;&gt;")-4),""))</f>
        <v/>
      </c>
      <c r="X428" s="60">
        <f>IF(C428="","",IFERROR(INDEX('Saisie'!$AA$5:$AA$2004,_xlfn.MAXIFS('Saisie'!$AS$5:$AS$2004,'Saisie'!$C$5:$C$2004,C428,'Saisie'!$AA$5:$AA$2004,"&lt;&gt;")-4),""))</f>
        <v/>
      </c>
      <c r="Y428" s="60">
        <f>IF(C428="","",IFERROR(INDEX('Saisie'!$AB$5:$AB$2004,_xlfn.MAXIFS('Saisie'!$AS$5:$AS$2004,'Saisie'!$C$5:$C$2004,C428,'Saisie'!$AB$5:$AB$2004,"&lt;&gt;")-4),""))</f>
        <v/>
      </c>
      <c r="Z428" s="60">
        <f>IF(C428="","",IFERROR(INDEX('Saisie'!$AC$5:$AC$2004,_xlfn.MAXIFS('Saisie'!$AS$5:$AS$2004,'Saisie'!$C$5:$C$2004,C428,'Saisie'!$AC$5:$AC$2004,"&lt;&gt;")-4),""))</f>
        <v/>
      </c>
      <c r="AA428" s="106">
        <f>IF(C428="","",IFERROR(INDEX('Saisie'!$AD$5:$AD$2004,_xlfn.MAXIFS('Saisie'!$AS$5:$AS$2004,'Saisie'!$C$5:$C$2004,C428,'Saisie'!$AD$5:$AD$2004,"&lt;&gt;")-4),""))</f>
        <v/>
      </c>
      <c r="AB428" s="60">
        <f>IF(C428="","",IFERROR(INDEX('Saisie'!$AE$5:$AE$2004,_xlfn.MAXIFS('Saisie'!$AS$5:$AS$2004,'Saisie'!$C$5:$C$2004,C428,'Saisie'!$AE$5:$AE$2004,"&lt;&gt;")-4),""))</f>
        <v/>
      </c>
      <c r="AC428" s="60">
        <f>IF(C428="","",IFERROR(INDEX('Saisie'!$AF$5:$AF$2004,_xlfn.MAXIFS('Saisie'!$AS$5:$AS$2004,'Saisie'!$C$5:$C$2004,C428,'Saisie'!$AF$5:$AF$2004,"&lt;&gt;")-4),""))</f>
        <v/>
      </c>
      <c r="AD428" s="108">
        <f>IF(C428="","",IFERROR(INDEX('Saisie'!$AG$5:$AG$2004,_xlfn.MAXIFS('Saisie'!$AS$5:$AS$2004,'Saisie'!$C$5:$C$2004,C428,'Saisie'!$AG$5:$AG$2004,"&lt;&gt;")-4),""))</f>
        <v/>
      </c>
      <c r="AE428" s="60">
        <f>IF(C428="","",IFERROR(INDEX('Saisie'!$AH$5:$AH$2004,_xlfn.MAXIFS('Saisie'!$AS$5:$AS$2004,'Saisie'!$C$5:$C$2004,C428,'Saisie'!$AH$5:$AH$2004,"&lt;&gt;")-4),""))</f>
        <v/>
      </c>
      <c r="AF428" s="60">
        <f>IF(C428="","",IFERROR(INDEX('Saisie'!$AI$5:$AI$2004,_xlfn.MAXIFS('Saisie'!$AS$5:$AS$2004,'Saisie'!$C$5:$C$2004,C428,'Saisie'!$AI$5:$AI$2004,"&lt;&gt;")-4),""))</f>
        <v/>
      </c>
      <c r="AG428" s="60">
        <f>IF(C428="","",IFERROR(INDEX('Saisie'!$AJ$5:$AJ$2004,_xlfn.MAXIFS('Saisie'!$AS$5:$AS$2004,'Saisie'!$C$5:$C$2004,C428,'Saisie'!$AJ$5:$AJ$2004,"&lt;&gt;")-4),""))</f>
        <v/>
      </c>
      <c r="AH428" s="60">
        <f>IF(C428="","",IFERROR(INDEX('Saisie'!$AK$5:$AK$2004,_xlfn.MAXIFS('Saisie'!$AS$5:$AS$2004,'Saisie'!$C$5:$C$2004,C428,'Saisie'!$AK$5:$AK$2004,"&lt;&gt;")-4),""))</f>
        <v/>
      </c>
      <c r="AI428" s="60">
        <f>IF(C428="","",IFERROR(INDEX('Saisie'!$AN$5:$AN$2004,_xlfn.MAXIFS('Saisie'!$AS$5:$AS$2004,'Saisie'!$C$5:$C$2004,C428,'Saisie'!$AN$5:$AN$2004,"&lt;&gt;")-4),""))</f>
        <v/>
      </c>
      <c r="AJ428" s="60">
        <f>IF(C428="","",IFERROR(INDEX('Saisie'!$AO$5:$AO$2004,_xlfn.MAXIFS('Saisie'!$AS$5:$AS$2004,'Saisie'!$C$5:$C$2004,C428,'Saisie'!$AO$5:$AO$2004,"&lt;&gt;")-4),""))</f>
        <v/>
      </c>
      <c r="AK428" s="60">
        <f>IF(C428="","",IFERROR(INDEX('Saisie'!$AP$5:$AP$2004,_xlfn.MAXIFS('Saisie'!$AS$5:$AS$2004,'Saisie'!$C$5:$C$2004,C428,'Saisie'!$AP$5:$AP$2004,"&lt;&gt;")-4),""))</f>
        <v/>
      </c>
      <c r="AL428" s="60">
        <f>IF(C428="","",IFERROR(INDEX('Saisie'!$AQ$5:$AQ$2004,_xlfn.MAXIFS('Saisie'!$AS$5:$AS$2004,'Saisie'!$C$5:$C$2004,C428,'Saisie'!$AQ$5:$AQ$2004,"&lt;&gt;")-4),""))</f>
        <v/>
      </c>
      <c r="AM428" s="60">
        <f>IF(C428="","",((AI428="Oui")+(AJ428="Oui")+(AK428="Oui")+OR(AL428="Immédiat",AL428="&lt; 1 mois"))&amp;"/4")</f>
        <v/>
      </c>
      <c r="AN428" s="60">
        <f>IF(C428="","",IFERROR(INDEX('Saisie'!$AL$5:$AL$2004,_xlfn.MAXIFS('Saisie'!$AS$5:$AS$2004,'Saisie'!$C$5:$C$2004,C428,'Saisie'!$AL$5:$AL$2004,"&lt;&gt;")-4),""))</f>
        <v/>
      </c>
      <c r="AO428" s="62">
        <f>IF(C428="","",IF(IFERROR(INDEX('Saisie'!$AM$5:$AM$2004,_xlfn.MAXIFS('Saisie'!$AS$5:$AS$2004,'Saisie'!$C$5:$C$2004,C428,'Saisie'!$AM$5:$AM$2004,"&lt;&gt;")-4),"")&lt;&gt;"",IFERROR(INDEX('Saisie'!$AM$5:$AM$2004,_xlfn.MAXIFS('Saisie'!$AS$5:$AS$2004,'Saisie'!$C$5:$C$2004,C428,'Saisie'!$AM$5:$AM$2004,"&lt;&gt;")-4),""),IFERROR(INDEX('Paramètres'!$S$6:$S$15,MATCH(AN428,'Paramètres'!$Q$6:$Q$15,0)),"")))</f>
        <v/>
      </c>
      <c r="AP428" s="62">
        <f>IF(C428="","",IFERROR(INDEX('Saisie'!$AW$5:$AW$2004,_xlfn.MAXIFS('Saisie'!$AS$5:$AS$2004,'Saisie'!$C$5:$C$2004,C428,'Saisie'!$E$5:$E$2004,"Proposition envoyée")-4),""))</f>
        <v/>
      </c>
      <c r="AQ428" s="106">
        <f>IF(C428="","",IFERROR(1/(1/_xlfn.MAXIFS('Saisie'!$A$5:$A$2004,'Saisie'!$C$5:$C$2004,C428,'Saisie'!$E$5:$E$2004,"Proposition envoyée")),""))</f>
        <v/>
      </c>
      <c r="AR428" s="106">
        <f>IF(C428="","",IF(AQ428="","",AQ428+'Paramètres'!$B$26))</f>
        <v/>
      </c>
      <c r="AS428" s="62">
        <f>IF(OR(C428="",D428="Gagné",D428="Perdu"),0,N(AP428)*IFERROR(INDEX('Paramètres'!$G$6:$G$13,MATCH(D428,'Paramètres'!$F$6:$F$13,0)),0))</f>
        <v/>
      </c>
      <c r="AT428" s="106">
        <f>IF(C428="","",IFERROR(1/(1/_xlfn.MINIFS('Saisie'!$A$5:$A$2004,'Saisie'!$C$5:$C$2004,C428,'Saisie'!$E$5:$E$2004,"Signature")),""))</f>
        <v/>
      </c>
      <c r="AU428" s="60">
        <f>IF(C428="","",IF(OR(AT428="",B428=""),"",AT428-B428))</f>
        <v/>
      </c>
      <c r="AV428" s="60">
        <f>IF(C428="","",IFERROR(INDEX('Saisie'!$L$5:$L$2004,_xlfn.MAXIFS('Saisie'!$AS$5:$AS$2004,'Saisie'!$C$5:$C$2004,C428,'Saisie'!$L$5:$L$2004,"&lt;&gt;")-4),""))</f>
        <v/>
      </c>
      <c r="AW428" s="106">
        <f>IF(C428="","",IF(D428&lt;&gt;"Perdu","",IFERROR(1/(1/_xlfn.MAXIFS('Saisie'!$A$5:$A$2004,'Saisie'!$C$5:$C$2004,C428,'Saisie'!$E$5:$E$2004,"Perdu")),"")))</f>
        <v/>
      </c>
      <c r="AX428" s="106">
        <f>IF(C428="","",IF(AW428="","",AW428+'Paramètres'!$B$28))</f>
        <v/>
      </c>
      <c r="AY428" s="60">
        <f>IF(C428="","",SUMIFS('Saisie'!$H$5:$H$2004,'Saisie'!$C$5:$C$2004,C428))</f>
        <v/>
      </c>
      <c r="AZ428" s="60">
        <f>IF(C428="","",IFERROR(INDEX('Paramètres'!$W$6:$W$20,MATCH(S428,'Paramètres'!$V$6:$V$20,0))&amp;"",""))</f>
        <v/>
      </c>
      <c r="BA428" s="60">
        <f>IF(C428="","",MAX(1,_xlfn.MAXIFS('Saisie'!$AT$5:$AT$2004,'Saisie'!$C$5:$C$2004,C428)))</f>
        <v/>
      </c>
      <c r="BB428" s="60">
        <f>IF(C428="","",IFERROR(INDEX('Saisie'!$X$5:$X$2004,_xlfn.MAXIFS('Saisie'!$AS$5:$AS$2004,'Saisie'!$C$5:$C$2004,C428,'Saisie'!$X$5:$X$2004,"&lt;&gt;")-4),""))</f>
        <v/>
      </c>
      <c r="BC428" s="60">
        <f>IF(C428="","",IFERROR(INDEX('Saisie'!$Y$5:$Y$2004,_xlfn.MAXIFS('Saisie'!$AS$5:$AS$2004,'Saisie'!$C$5:$C$2004,C428,'Saisie'!$Y$5:$Y$2004,"&lt;&gt;")-4),""))</f>
        <v/>
      </c>
      <c r="BD428" s="106">
        <f>IF(C428="","",IFERROR(1/(1/_xlfn.MINIFS('Saisie'!$A$5:$A$2004,'Saisie'!$C$5:$C$2004,C428,'Saisie'!$AT$5:$AT$2004,"&gt;=2")),""))</f>
        <v/>
      </c>
      <c r="BE428" s="106">
        <f>IF(C428="","",IFERROR(1/(1/_xlfn.MINIFS('Saisie'!$A$5:$A$2004,'Saisie'!$C$5:$C$2004,C428,'Saisie'!$AT$5:$AT$2004,"&gt;=3")),""))</f>
        <v/>
      </c>
      <c r="BF428" s="106">
        <f>IF(C428="","",IFERROR(1/(1/_xlfn.MINIFS('Saisie'!$A$5:$A$2004,'Saisie'!$C$5:$C$2004,C428,'Saisie'!$AT$5:$AT$2004,"&gt;=4")),""))</f>
        <v/>
      </c>
      <c r="BG428" s="106">
        <f>IF(C428="","",IFERROR(1/(1/_xlfn.MINIFS('Saisie'!$A$5:$A$2004,'Saisie'!$C$5:$C$2004,C428,'Saisie'!$AT$5:$AT$2004,"&gt;=5")),""))</f>
        <v/>
      </c>
      <c r="BH428" s="106">
        <f>IF(C428="","",IFERROR(1/(1/_xlfn.MINIFS('Saisie'!$A$5:$A$2004,'Saisie'!$C$5:$C$2004,C428,'Saisie'!$AT$5:$AT$2004,"&gt;=6")),""))</f>
        <v/>
      </c>
      <c r="BI428" s="106">
        <f>IF(C428="","",IFERROR(1/(1/_xlfn.MINIFS('Saisie'!$A$5:$A$2004,'Saisie'!$C$5:$C$2004,C428,'Saisie'!$AT$5:$AT$2004,"&gt;=7")),""))</f>
        <v/>
      </c>
      <c r="BJ428" s="60">
        <f>IF(OR(BD428="",B428=""),"",BD428-B428)</f>
        <v/>
      </c>
      <c r="BK428" s="60">
        <f>IF(OR(BE428="",BD428=""),"",BE428-BD428)</f>
        <v/>
      </c>
      <c r="BL428" s="60">
        <f>IF(OR(BF428="",BE428=""),"",BF428-BE428)</f>
        <v/>
      </c>
      <c r="BM428" s="60">
        <f>IF(OR(BG428="",BF428=""),"",BG428-BF428)</f>
        <v/>
      </c>
      <c r="BN428" s="60">
        <f>IF(OR(BH428="",BG428=""),"",BH428-BG428)</f>
        <v/>
      </c>
      <c r="BO428" s="60">
        <f>IF(OR(BI428="",BH428=""),"",BI428-BH428)</f>
        <v/>
      </c>
      <c r="BP428" s="60">
        <f>IF(C428="","",_xlfn.MAXIFS('Saisie'!$AS$5:$AS$2004,'Saisie'!$C$5:$C$2004,C428,'Saisie'!$J$5:$J$2004,"&lt;&gt;"))</f>
        <v/>
      </c>
      <c r="BQ428" s="60">
        <f>IF(C428="","",_xlfn.MAXIFS('Saisie'!$AS$5:$AS$2004,'Saisie'!$C$5:$C$2004,C428))</f>
        <v/>
      </c>
      <c r="BR428" s="60">
        <f>IF(C428="","",_xlfn.MAXIFS('Saisie'!$AS$5:$AS$2004,'Saisie'!$C$5:$C$2004,C428,'Saisie'!$E$5:$E$2004,"Perdu"))</f>
        <v/>
      </c>
      <c r="BS428" s="60">
        <f>IF(C428="","",_xlfn.MAXIFS('Saisie'!$AS$5:$AS$2004,'Saisie'!$C$5:$C$2004,C428,'Saisie'!$AT$5:$AT$2004,"&gt;0"))</f>
        <v/>
      </c>
      <c r="BT428" s="109">
        <f>IF(AND(C428&lt;&gt;"",OR(D428="Nouveau",D428="Contacté",D428="Qualifié"),OR(G428="",N(G428)&lt;=TODAY()),NOT(AND(O428&gt;='Paramètres'!$B$21,P428=0))),E428+424/10000,"")</f>
        <v/>
      </c>
      <c r="BU428" s="60">
        <f>IF(AND(G428&lt;&gt;"",N(G428)&lt;=TODAY()),MAX($BU$4:BU427)+1,"")</f>
        <v/>
      </c>
      <c r="BV428" s="60">
        <f>IF(AND(F428&lt;&gt;"",F428&lt;&gt;"Relance en retard"),MAX($BV$4:BV427)+1,"")</f>
        <v/>
      </c>
      <c r="BW428" s="60">
        <f>IF(C428="","",IF(AND(B428&gt;='Tableau de bord'!$R$4,B428&lt;='Tableau de bord'!$S$4,OR('Tableau de bord'!$G$4="Tous",N428='Tableau de bord'!$G$4)),1,0))</f>
        <v/>
      </c>
      <c r="BX428" s="60">
        <f>IF(AND(C428&lt;&gt;"",N(BA428)=7),MAX($BX$4:BX427)+1,"")</f>
        <v/>
      </c>
    </row>
    <row r="429">
      <c r="A429" s="60">
        <f>IF(C429="","","P-"&amp;TEXT(425,"000"))</f>
        <v/>
      </c>
      <c r="B429" s="106">
        <f>IF(C429="","",IFERROR(1/(1/_xlfn.MINIFS('Saisie'!$A$5:$A$2004,'Saisie'!$C$5:$C$2004,C429)),""))</f>
        <v/>
      </c>
      <c r="C429" s="60">
        <f>IFERROR(INDEX('Saisie'!$C$5:$C$2004,MATCH(425,'Saisie'!$AX$5:$AX$2004,0)),"")</f>
        <v/>
      </c>
      <c r="D429" s="60">
        <f>IF(C429="","",IF(AND(BR429&gt;0,BR429&gt;BS429,BA429&lt;7),"Perdu",INDEX('Paramètres'!$F$6:$F$13,BA429)))</f>
        <v/>
      </c>
      <c r="E429" s="61">
        <f>IF(C429="","",MIN(100,(Z429="Oui")*'Paramètres'!$B$38+(AB429="Régulière")*'Paramètres'!$B$39+IF(AND(N(AA429)&gt;0,TODAY()-N(AA429)&lt;=30),'Paramètres'!$B$40,0)+(W429="")*'Paramètres'!$B$41+(AC429="Absente")*'Paramètres'!$B$42+(AC429="Faible")*'Paramètres'!$B$43+IF(AND(N(AD429)&gt;0,N(AD429)&lt;4),'Paramètres'!$B$44,0)+(AF429="Moyenne")*'Paramètres'!$B$45+(AF429="Grande")*'Paramètres'!$B$46+(Y429&lt;&gt;"")*'Paramètres'!$B$47))</f>
        <v/>
      </c>
      <c r="F429" s="60">
        <f>IF(C429="","",IF(D429="Gagné","",IF(D429="Perdu",IF(AND(AX429&lt;&gt;"",AX429&lt;=TODAY()),"À recontacter (perdu)",""),IF(AND(O429&gt;='Paramètres'!$B$21,P429=0),"Stop : "&amp;'Paramètres'!$B$21&amp;" tentatives sans réponse",IF(AND(D429="Proposition",AR429&lt;&gt;"",TODAY()&gt;N(AR429)),"Proposition expirée",IF(AND(D429="Proposition",N(R429)&gt;='Paramètres'!$B$25),"Proposition sans réponse",IF(AND(G429&lt;&gt;"",N(G429)&lt;TODAY()),"Relance en retard",IF(N(R429)&gt;='Paramètres'!$B$24,"Sans action depuis "&amp;R429&amp;" j",""))))))))</f>
        <v/>
      </c>
      <c r="G429" s="106">
        <f>IF(OR(C429="",D429="Gagné",D429="Perdu"),"",IF(AND(BP429&gt;0,BP429=BQ429),INDEX('Saisie'!$J$5:$J$2004,BP429-4),IF(OR(O429=0,AND(O429&gt;='Paramètres'!$B$21,P429=0)),"",Q429+IF(O429&lt;=1,'Paramètres'!$B$18,IF(O429=2,'Paramètres'!$B$19,'Paramètres'!$B$20)))))</f>
        <v/>
      </c>
      <c r="H429" s="107">
        <f>IF(OR(G429="",BP429&lt;&gt;BQ429),"",IF(INDEX('Saisie'!$K$5:$K$2004,BP429-4)="","",INDEX('Saisie'!$K$5:$K$2004,BP429-4)))</f>
        <v/>
      </c>
      <c r="I429" s="60">
        <f>IF(C429="","",IF(OR(D429="Gagné",D429="Perdu"),"",IFERROR(INDEX('Saisie'!$I$5:$I$2004,_xlfn.MAXIFS('Saisie'!$AS$5:$AS$2004,'Saisie'!$C$5:$C$2004,C429,'Saisie'!$I$5:$I$2004,"&lt;&gt;")-4),"")))</f>
        <v/>
      </c>
      <c r="J429" s="60">
        <f>IF(C429="","",IFERROR(INDEX('Saisie'!$U$5:$U$2004,_xlfn.MAXIFS('Saisie'!$AS$5:$AS$2004,'Saisie'!$C$5:$C$2004,C429,'Saisie'!$U$5:$U$2004,"&lt;&gt;")-4),""))</f>
        <v/>
      </c>
      <c r="K429" s="60">
        <f>IF(C429="","",IFERROR(INDEX('Saisie'!$W$5:$W$2004,_xlfn.MAXIFS('Saisie'!$AS$5:$AS$2004,'Saisie'!$C$5:$C$2004,C429,'Saisie'!$W$5:$W$2004,"&lt;&gt;")-4),""))</f>
        <v/>
      </c>
      <c r="L429" s="60">
        <f>IF(IF(BB429&lt;&gt;"",BB429,K429)="","",HYPERLINK("https://wa.me/"&amp;IF(LEFT(SUBSTITUTE(SUBSTITUTE(SUBSTITUTE(IF(BB429&lt;&gt;"",BB429,K429)," ",""),".",""),"+",""),1)="0",'Paramètres'!$B$35&amp;MID(SUBSTITUTE(SUBSTITUTE(SUBSTITUTE(IF(BB429&lt;&gt;"",BB429,K429)," ",""),".",""),"+",""),2,20),SUBSTITUTE(SUBSTITUTE(SUBSTITUTE(IF(BB429&lt;&gt;"",BB429,K429)," ",""),".",""),"+","")),"WhatsApp"))</f>
        <v/>
      </c>
      <c r="M429" s="60">
        <f>IF(BC429="","",HYPERLINK(IF(LEFT(BC429,4)="http",BC429,"https://www.instagram.com/"&amp;SUBSTITUTE(SUBSTITUTE(BC429,"@","")," ","")),BC429))</f>
        <v/>
      </c>
      <c r="N429" s="60">
        <f>IF(C429="","",IFERROR(INDEX('Saisie'!$D$5:$D$2004,_xlfn.MINIFS('Saisie'!$AS$5:$AS$2004,'Saisie'!$C$5:$C$2004,C429,'Saisie'!$AU$5:$AU$2004,1)-4),IFERROR(INDEX('Saisie'!$D$5:$D$2004,_xlfn.MINIFS('Saisie'!$AS$5:$AS$2004,'Saisie'!$C$5:$C$2004,C429,'Saisie'!$D$5:$D$2004,"&lt;&gt;")-4),"")))</f>
        <v/>
      </c>
      <c r="O429" s="60">
        <f>IF(C429="","",COUNTIFS('Saisie'!$C$5:$C$2004,C429,'Saisie'!$AU$5:$AU$2004,1))</f>
        <v/>
      </c>
      <c r="P429" s="60">
        <f>IF(C429="","",COUNTIFS('Saisie'!$C$5:$C$2004,C429,'Saisie'!$AV$5:$AV$2004,1))</f>
        <v/>
      </c>
      <c r="Q429" s="106">
        <f>IF(C429="","",IFERROR(1/(1/_xlfn.MAXIFS('Saisie'!$A$5:$A$2004,'Saisie'!$C$5:$C$2004,C429)),""))</f>
        <v/>
      </c>
      <c r="R429" s="61">
        <f>IF(C429="","",IF(Q429="","",TODAY()-Q429))</f>
        <v/>
      </c>
      <c r="S429" s="60">
        <f>IF(C429="","",IFERROR(INDEX('Saisie'!$R$5:$R$2004,_xlfn.MAXIFS('Saisie'!$AS$5:$AS$2004,'Saisie'!$C$5:$C$2004,C429,'Saisie'!$R$5:$R$2004,"&lt;&gt;")-4),""))</f>
        <v/>
      </c>
      <c r="T429" s="60">
        <f>IF(C429="","",IFERROR(INDEX('Saisie'!$S$5:$S$2004,_xlfn.MAXIFS('Saisie'!$AS$5:$AS$2004,'Saisie'!$C$5:$C$2004,C429,'Saisie'!$S$5:$S$2004,"&lt;&gt;")-4),""))</f>
        <v/>
      </c>
      <c r="U429" s="60">
        <f>IF(C429="","",IFERROR(INDEX('Saisie'!$T$5:$T$2004,_xlfn.MAXIFS('Saisie'!$AS$5:$AS$2004,'Saisie'!$C$5:$C$2004,C429,'Saisie'!$T$5:$T$2004,"&lt;&gt;")-4),""))</f>
        <v/>
      </c>
      <c r="V429" s="60">
        <f>IF(C429="","",IFERROR(INDEX('Saisie'!$V$5:$V$2004,_xlfn.MAXIFS('Saisie'!$AS$5:$AS$2004,'Saisie'!$C$5:$C$2004,C429,'Saisie'!$V$5:$V$2004,"&lt;&gt;")-4),""))</f>
        <v/>
      </c>
      <c r="W429" s="60">
        <f>IF(C429="","",IFERROR(INDEX('Saisie'!$Z$5:$Z$2004,_xlfn.MAXIFS('Saisie'!$AS$5:$AS$2004,'Saisie'!$C$5:$C$2004,C429,'Saisie'!$Z$5:$Z$2004,"&lt;&gt;")-4),""))</f>
        <v/>
      </c>
      <c r="X429" s="60">
        <f>IF(C429="","",IFERROR(INDEX('Saisie'!$AA$5:$AA$2004,_xlfn.MAXIFS('Saisie'!$AS$5:$AS$2004,'Saisie'!$C$5:$C$2004,C429,'Saisie'!$AA$5:$AA$2004,"&lt;&gt;")-4),""))</f>
        <v/>
      </c>
      <c r="Y429" s="60">
        <f>IF(C429="","",IFERROR(INDEX('Saisie'!$AB$5:$AB$2004,_xlfn.MAXIFS('Saisie'!$AS$5:$AS$2004,'Saisie'!$C$5:$C$2004,C429,'Saisie'!$AB$5:$AB$2004,"&lt;&gt;")-4),""))</f>
        <v/>
      </c>
      <c r="Z429" s="60">
        <f>IF(C429="","",IFERROR(INDEX('Saisie'!$AC$5:$AC$2004,_xlfn.MAXIFS('Saisie'!$AS$5:$AS$2004,'Saisie'!$C$5:$C$2004,C429,'Saisie'!$AC$5:$AC$2004,"&lt;&gt;")-4),""))</f>
        <v/>
      </c>
      <c r="AA429" s="106">
        <f>IF(C429="","",IFERROR(INDEX('Saisie'!$AD$5:$AD$2004,_xlfn.MAXIFS('Saisie'!$AS$5:$AS$2004,'Saisie'!$C$5:$C$2004,C429,'Saisie'!$AD$5:$AD$2004,"&lt;&gt;")-4),""))</f>
        <v/>
      </c>
      <c r="AB429" s="60">
        <f>IF(C429="","",IFERROR(INDEX('Saisie'!$AE$5:$AE$2004,_xlfn.MAXIFS('Saisie'!$AS$5:$AS$2004,'Saisie'!$C$5:$C$2004,C429,'Saisie'!$AE$5:$AE$2004,"&lt;&gt;")-4),""))</f>
        <v/>
      </c>
      <c r="AC429" s="60">
        <f>IF(C429="","",IFERROR(INDEX('Saisie'!$AF$5:$AF$2004,_xlfn.MAXIFS('Saisie'!$AS$5:$AS$2004,'Saisie'!$C$5:$C$2004,C429,'Saisie'!$AF$5:$AF$2004,"&lt;&gt;")-4),""))</f>
        <v/>
      </c>
      <c r="AD429" s="108">
        <f>IF(C429="","",IFERROR(INDEX('Saisie'!$AG$5:$AG$2004,_xlfn.MAXIFS('Saisie'!$AS$5:$AS$2004,'Saisie'!$C$5:$C$2004,C429,'Saisie'!$AG$5:$AG$2004,"&lt;&gt;")-4),""))</f>
        <v/>
      </c>
      <c r="AE429" s="60">
        <f>IF(C429="","",IFERROR(INDEX('Saisie'!$AH$5:$AH$2004,_xlfn.MAXIFS('Saisie'!$AS$5:$AS$2004,'Saisie'!$C$5:$C$2004,C429,'Saisie'!$AH$5:$AH$2004,"&lt;&gt;")-4),""))</f>
        <v/>
      </c>
      <c r="AF429" s="60">
        <f>IF(C429="","",IFERROR(INDEX('Saisie'!$AI$5:$AI$2004,_xlfn.MAXIFS('Saisie'!$AS$5:$AS$2004,'Saisie'!$C$5:$C$2004,C429,'Saisie'!$AI$5:$AI$2004,"&lt;&gt;")-4),""))</f>
        <v/>
      </c>
      <c r="AG429" s="60">
        <f>IF(C429="","",IFERROR(INDEX('Saisie'!$AJ$5:$AJ$2004,_xlfn.MAXIFS('Saisie'!$AS$5:$AS$2004,'Saisie'!$C$5:$C$2004,C429,'Saisie'!$AJ$5:$AJ$2004,"&lt;&gt;")-4),""))</f>
        <v/>
      </c>
      <c r="AH429" s="60">
        <f>IF(C429="","",IFERROR(INDEX('Saisie'!$AK$5:$AK$2004,_xlfn.MAXIFS('Saisie'!$AS$5:$AS$2004,'Saisie'!$C$5:$C$2004,C429,'Saisie'!$AK$5:$AK$2004,"&lt;&gt;")-4),""))</f>
        <v/>
      </c>
      <c r="AI429" s="60">
        <f>IF(C429="","",IFERROR(INDEX('Saisie'!$AN$5:$AN$2004,_xlfn.MAXIFS('Saisie'!$AS$5:$AS$2004,'Saisie'!$C$5:$C$2004,C429,'Saisie'!$AN$5:$AN$2004,"&lt;&gt;")-4),""))</f>
        <v/>
      </c>
      <c r="AJ429" s="60">
        <f>IF(C429="","",IFERROR(INDEX('Saisie'!$AO$5:$AO$2004,_xlfn.MAXIFS('Saisie'!$AS$5:$AS$2004,'Saisie'!$C$5:$C$2004,C429,'Saisie'!$AO$5:$AO$2004,"&lt;&gt;")-4),""))</f>
        <v/>
      </c>
      <c r="AK429" s="60">
        <f>IF(C429="","",IFERROR(INDEX('Saisie'!$AP$5:$AP$2004,_xlfn.MAXIFS('Saisie'!$AS$5:$AS$2004,'Saisie'!$C$5:$C$2004,C429,'Saisie'!$AP$5:$AP$2004,"&lt;&gt;")-4),""))</f>
        <v/>
      </c>
      <c r="AL429" s="60">
        <f>IF(C429="","",IFERROR(INDEX('Saisie'!$AQ$5:$AQ$2004,_xlfn.MAXIFS('Saisie'!$AS$5:$AS$2004,'Saisie'!$C$5:$C$2004,C429,'Saisie'!$AQ$5:$AQ$2004,"&lt;&gt;")-4),""))</f>
        <v/>
      </c>
      <c r="AM429" s="60">
        <f>IF(C429="","",((AI429="Oui")+(AJ429="Oui")+(AK429="Oui")+OR(AL429="Immédiat",AL429="&lt; 1 mois"))&amp;"/4")</f>
        <v/>
      </c>
      <c r="AN429" s="60">
        <f>IF(C429="","",IFERROR(INDEX('Saisie'!$AL$5:$AL$2004,_xlfn.MAXIFS('Saisie'!$AS$5:$AS$2004,'Saisie'!$C$5:$C$2004,C429,'Saisie'!$AL$5:$AL$2004,"&lt;&gt;")-4),""))</f>
        <v/>
      </c>
      <c r="AO429" s="62">
        <f>IF(C429="","",IF(IFERROR(INDEX('Saisie'!$AM$5:$AM$2004,_xlfn.MAXIFS('Saisie'!$AS$5:$AS$2004,'Saisie'!$C$5:$C$2004,C429,'Saisie'!$AM$5:$AM$2004,"&lt;&gt;")-4),"")&lt;&gt;"",IFERROR(INDEX('Saisie'!$AM$5:$AM$2004,_xlfn.MAXIFS('Saisie'!$AS$5:$AS$2004,'Saisie'!$C$5:$C$2004,C429,'Saisie'!$AM$5:$AM$2004,"&lt;&gt;")-4),""),IFERROR(INDEX('Paramètres'!$S$6:$S$15,MATCH(AN429,'Paramètres'!$Q$6:$Q$15,0)),"")))</f>
        <v/>
      </c>
      <c r="AP429" s="62">
        <f>IF(C429="","",IFERROR(INDEX('Saisie'!$AW$5:$AW$2004,_xlfn.MAXIFS('Saisie'!$AS$5:$AS$2004,'Saisie'!$C$5:$C$2004,C429,'Saisie'!$E$5:$E$2004,"Proposition envoyée")-4),""))</f>
        <v/>
      </c>
      <c r="AQ429" s="106">
        <f>IF(C429="","",IFERROR(1/(1/_xlfn.MAXIFS('Saisie'!$A$5:$A$2004,'Saisie'!$C$5:$C$2004,C429,'Saisie'!$E$5:$E$2004,"Proposition envoyée")),""))</f>
        <v/>
      </c>
      <c r="AR429" s="106">
        <f>IF(C429="","",IF(AQ429="","",AQ429+'Paramètres'!$B$26))</f>
        <v/>
      </c>
      <c r="AS429" s="62">
        <f>IF(OR(C429="",D429="Gagné",D429="Perdu"),0,N(AP429)*IFERROR(INDEX('Paramètres'!$G$6:$G$13,MATCH(D429,'Paramètres'!$F$6:$F$13,0)),0))</f>
        <v/>
      </c>
      <c r="AT429" s="106">
        <f>IF(C429="","",IFERROR(1/(1/_xlfn.MINIFS('Saisie'!$A$5:$A$2004,'Saisie'!$C$5:$C$2004,C429,'Saisie'!$E$5:$E$2004,"Signature")),""))</f>
        <v/>
      </c>
      <c r="AU429" s="60">
        <f>IF(C429="","",IF(OR(AT429="",B429=""),"",AT429-B429))</f>
        <v/>
      </c>
      <c r="AV429" s="60">
        <f>IF(C429="","",IFERROR(INDEX('Saisie'!$L$5:$L$2004,_xlfn.MAXIFS('Saisie'!$AS$5:$AS$2004,'Saisie'!$C$5:$C$2004,C429,'Saisie'!$L$5:$L$2004,"&lt;&gt;")-4),""))</f>
        <v/>
      </c>
      <c r="AW429" s="106">
        <f>IF(C429="","",IF(D429&lt;&gt;"Perdu","",IFERROR(1/(1/_xlfn.MAXIFS('Saisie'!$A$5:$A$2004,'Saisie'!$C$5:$C$2004,C429,'Saisie'!$E$5:$E$2004,"Perdu")),"")))</f>
        <v/>
      </c>
      <c r="AX429" s="106">
        <f>IF(C429="","",IF(AW429="","",AW429+'Paramètres'!$B$28))</f>
        <v/>
      </c>
      <c r="AY429" s="60">
        <f>IF(C429="","",SUMIFS('Saisie'!$H$5:$H$2004,'Saisie'!$C$5:$C$2004,C429))</f>
        <v/>
      </c>
      <c r="AZ429" s="60">
        <f>IF(C429="","",IFERROR(INDEX('Paramètres'!$W$6:$W$20,MATCH(S429,'Paramètres'!$V$6:$V$20,0))&amp;"",""))</f>
        <v/>
      </c>
      <c r="BA429" s="60">
        <f>IF(C429="","",MAX(1,_xlfn.MAXIFS('Saisie'!$AT$5:$AT$2004,'Saisie'!$C$5:$C$2004,C429)))</f>
        <v/>
      </c>
      <c r="BB429" s="60">
        <f>IF(C429="","",IFERROR(INDEX('Saisie'!$X$5:$X$2004,_xlfn.MAXIFS('Saisie'!$AS$5:$AS$2004,'Saisie'!$C$5:$C$2004,C429,'Saisie'!$X$5:$X$2004,"&lt;&gt;")-4),""))</f>
        <v/>
      </c>
      <c r="BC429" s="60">
        <f>IF(C429="","",IFERROR(INDEX('Saisie'!$Y$5:$Y$2004,_xlfn.MAXIFS('Saisie'!$AS$5:$AS$2004,'Saisie'!$C$5:$C$2004,C429,'Saisie'!$Y$5:$Y$2004,"&lt;&gt;")-4),""))</f>
        <v/>
      </c>
      <c r="BD429" s="106">
        <f>IF(C429="","",IFERROR(1/(1/_xlfn.MINIFS('Saisie'!$A$5:$A$2004,'Saisie'!$C$5:$C$2004,C429,'Saisie'!$AT$5:$AT$2004,"&gt;=2")),""))</f>
        <v/>
      </c>
      <c r="BE429" s="106">
        <f>IF(C429="","",IFERROR(1/(1/_xlfn.MINIFS('Saisie'!$A$5:$A$2004,'Saisie'!$C$5:$C$2004,C429,'Saisie'!$AT$5:$AT$2004,"&gt;=3")),""))</f>
        <v/>
      </c>
      <c r="BF429" s="106">
        <f>IF(C429="","",IFERROR(1/(1/_xlfn.MINIFS('Saisie'!$A$5:$A$2004,'Saisie'!$C$5:$C$2004,C429,'Saisie'!$AT$5:$AT$2004,"&gt;=4")),""))</f>
        <v/>
      </c>
      <c r="BG429" s="106">
        <f>IF(C429="","",IFERROR(1/(1/_xlfn.MINIFS('Saisie'!$A$5:$A$2004,'Saisie'!$C$5:$C$2004,C429,'Saisie'!$AT$5:$AT$2004,"&gt;=5")),""))</f>
        <v/>
      </c>
      <c r="BH429" s="106">
        <f>IF(C429="","",IFERROR(1/(1/_xlfn.MINIFS('Saisie'!$A$5:$A$2004,'Saisie'!$C$5:$C$2004,C429,'Saisie'!$AT$5:$AT$2004,"&gt;=6")),""))</f>
        <v/>
      </c>
      <c r="BI429" s="106">
        <f>IF(C429="","",IFERROR(1/(1/_xlfn.MINIFS('Saisie'!$A$5:$A$2004,'Saisie'!$C$5:$C$2004,C429,'Saisie'!$AT$5:$AT$2004,"&gt;=7")),""))</f>
        <v/>
      </c>
      <c r="BJ429" s="60">
        <f>IF(OR(BD429="",B429=""),"",BD429-B429)</f>
        <v/>
      </c>
      <c r="BK429" s="60">
        <f>IF(OR(BE429="",BD429=""),"",BE429-BD429)</f>
        <v/>
      </c>
      <c r="BL429" s="60">
        <f>IF(OR(BF429="",BE429=""),"",BF429-BE429)</f>
        <v/>
      </c>
      <c r="BM429" s="60">
        <f>IF(OR(BG429="",BF429=""),"",BG429-BF429)</f>
        <v/>
      </c>
      <c r="BN429" s="60">
        <f>IF(OR(BH429="",BG429=""),"",BH429-BG429)</f>
        <v/>
      </c>
      <c r="BO429" s="60">
        <f>IF(OR(BI429="",BH429=""),"",BI429-BH429)</f>
        <v/>
      </c>
      <c r="BP429" s="60">
        <f>IF(C429="","",_xlfn.MAXIFS('Saisie'!$AS$5:$AS$2004,'Saisie'!$C$5:$C$2004,C429,'Saisie'!$J$5:$J$2004,"&lt;&gt;"))</f>
        <v/>
      </c>
      <c r="BQ429" s="60">
        <f>IF(C429="","",_xlfn.MAXIFS('Saisie'!$AS$5:$AS$2004,'Saisie'!$C$5:$C$2004,C429))</f>
        <v/>
      </c>
      <c r="BR429" s="60">
        <f>IF(C429="","",_xlfn.MAXIFS('Saisie'!$AS$5:$AS$2004,'Saisie'!$C$5:$C$2004,C429,'Saisie'!$E$5:$E$2004,"Perdu"))</f>
        <v/>
      </c>
      <c r="BS429" s="60">
        <f>IF(C429="","",_xlfn.MAXIFS('Saisie'!$AS$5:$AS$2004,'Saisie'!$C$5:$C$2004,C429,'Saisie'!$AT$5:$AT$2004,"&gt;0"))</f>
        <v/>
      </c>
      <c r="BT429" s="109">
        <f>IF(AND(C429&lt;&gt;"",OR(D429="Nouveau",D429="Contacté",D429="Qualifié"),OR(G429="",N(G429)&lt;=TODAY()),NOT(AND(O429&gt;='Paramètres'!$B$21,P429=0))),E429+425/10000,"")</f>
        <v/>
      </c>
      <c r="BU429" s="60">
        <f>IF(AND(G429&lt;&gt;"",N(G429)&lt;=TODAY()),MAX($BU$4:BU428)+1,"")</f>
        <v/>
      </c>
      <c r="BV429" s="60">
        <f>IF(AND(F429&lt;&gt;"",F429&lt;&gt;"Relance en retard"),MAX($BV$4:BV428)+1,"")</f>
        <v/>
      </c>
      <c r="BW429" s="60">
        <f>IF(C429="","",IF(AND(B429&gt;='Tableau de bord'!$R$4,B429&lt;='Tableau de bord'!$S$4,OR('Tableau de bord'!$G$4="Tous",N429='Tableau de bord'!$G$4)),1,0))</f>
        <v/>
      </c>
      <c r="BX429" s="60">
        <f>IF(AND(C429&lt;&gt;"",N(BA429)=7),MAX($BX$4:BX428)+1,"")</f>
        <v/>
      </c>
    </row>
    <row r="430">
      <c r="A430" s="60">
        <f>IF(C430="","","P-"&amp;TEXT(426,"000"))</f>
        <v/>
      </c>
      <c r="B430" s="106">
        <f>IF(C430="","",IFERROR(1/(1/_xlfn.MINIFS('Saisie'!$A$5:$A$2004,'Saisie'!$C$5:$C$2004,C430)),""))</f>
        <v/>
      </c>
      <c r="C430" s="60">
        <f>IFERROR(INDEX('Saisie'!$C$5:$C$2004,MATCH(426,'Saisie'!$AX$5:$AX$2004,0)),"")</f>
        <v/>
      </c>
      <c r="D430" s="60">
        <f>IF(C430="","",IF(AND(BR430&gt;0,BR430&gt;BS430,BA430&lt;7),"Perdu",INDEX('Paramètres'!$F$6:$F$13,BA430)))</f>
        <v/>
      </c>
      <c r="E430" s="61">
        <f>IF(C430="","",MIN(100,(Z430="Oui")*'Paramètres'!$B$38+(AB430="Régulière")*'Paramètres'!$B$39+IF(AND(N(AA430)&gt;0,TODAY()-N(AA430)&lt;=30),'Paramètres'!$B$40,0)+(W430="")*'Paramètres'!$B$41+(AC430="Absente")*'Paramètres'!$B$42+(AC430="Faible")*'Paramètres'!$B$43+IF(AND(N(AD430)&gt;0,N(AD430)&lt;4),'Paramètres'!$B$44,0)+(AF430="Moyenne")*'Paramètres'!$B$45+(AF430="Grande")*'Paramètres'!$B$46+(Y430&lt;&gt;"")*'Paramètres'!$B$47))</f>
        <v/>
      </c>
      <c r="F430" s="60">
        <f>IF(C430="","",IF(D430="Gagné","",IF(D430="Perdu",IF(AND(AX430&lt;&gt;"",AX430&lt;=TODAY()),"À recontacter (perdu)",""),IF(AND(O430&gt;='Paramètres'!$B$21,P430=0),"Stop : "&amp;'Paramètres'!$B$21&amp;" tentatives sans réponse",IF(AND(D430="Proposition",AR430&lt;&gt;"",TODAY()&gt;N(AR430)),"Proposition expirée",IF(AND(D430="Proposition",N(R430)&gt;='Paramètres'!$B$25),"Proposition sans réponse",IF(AND(G430&lt;&gt;"",N(G430)&lt;TODAY()),"Relance en retard",IF(N(R430)&gt;='Paramètres'!$B$24,"Sans action depuis "&amp;R430&amp;" j",""))))))))</f>
        <v/>
      </c>
      <c r="G430" s="106">
        <f>IF(OR(C430="",D430="Gagné",D430="Perdu"),"",IF(AND(BP430&gt;0,BP430=BQ430),INDEX('Saisie'!$J$5:$J$2004,BP430-4),IF(OR(O430=0,AND(O430&gt;='Paramètres'!$B$21,P430=0)),"",Q430+IF(O430&lt;=1,'Paramètres'!$B$18,IF(O430=2,'Paramètres'!$B$19,'Paramètres'!$B$20)))))</f>
        <v/>
      </c>
      <c r="H430" s="107">
        <f>IF(OR(G430="",BP430&lt;&gt;BQ430),"",IF(INDEX('Saisie'!$K$5:$K$2004,BP430-4)="","",INDEX('Saisie'!$K$5:$K$2004,BP430-4)))</f>
        <v/>
      </c>
      <c r="I430" s="60">
        <f>IF(C430="","",IF(OR(D430="Gagné",D430="Perdu"),"",IFERROR(INDEX('Saisie'!$I$5:$I$2004,_xlfn.MAXIFS('Saisie'!$AS$5:$AS$2004,'Saisie'!$C$5:$C$2004,C430,'Saisie'!$I$5:$I$2004,"&lt;&gt;")-4),"")))</f>
        <v/>
      </c>
      <c r="J430" s="60">
        <f>IF(C430="","",IFERROR(INDEX('Saisie'!$U$5:$U$2004,_xlfn.MAXIFS('Saisie'!$AS$5:$AS$2004,'Saisie'!$C$5:$C$2004,C430,'Saisie'!$U$5:$U$2004,"&lt;&gt;")-4),""))</f>
        <v/>
      </c>
      <c r="K430" s="60">
        <f>IF(C430="","",IFERROR(INDEX('Saisie'!$W$5:$W$2004,_xlfn.MAXIFS('Saisie'!$AS$5:$AS$2004,'Saisie'!$C$5:$C$2004,C430,'Saisie'!$W$5:$W$2004,"&lt;&gt;")-4),""))</f>
        <v/>
      </c>
      <c r="L430" s="60">
        <f>IF(IF(BB430&lt;&gt;"",BB430,K430)="","",HYPERLINK("https://wa.me/"&amp;IF(LEFT(SUBSTITUTE(SUBSTITUTE(SUBSTITUTE(IF(BB430&lt;&gt;"",BB430,K430)," ",""),".",""),"+",""),1)="0",'Paramètres'!$B$35&amp;MID(SUBSTITUTE(SUBSTITUTE(SUBSTITUTE(IF(BB430&lt;&gt;"",BB430,K430)," ",""),".",""),"+",""),2,20),SUBSTITUTE(SUBSTITUTE(SUBSTITUTE(IF(BB430&lt;&gt;"",BB430,K430)," ",""),".",""),"+","")),"WhatsApp"))</f>
        <v/>
      </c>
      <c r="M430" s="60">
        <f>IF(BC430="","",HYPERLINK(IF(LEFT(BC430,4)="http",BC430,"https://www.instagram.com/"&amp;SUBSTITUTE(SUBSTITUTE(BC430,"@","")," ","")),BC430))</f>
        <v/>
      </c>
      <c r="N430" s="60">
        <f>IF(C430="","",IFERROR(INDEX('Saisie'!$D$5:$D$2004,_xlfn.MINIFS('Saisie'!$AS$5:$AS$2004,'Saisie'!$C$5:$C$2004,C430,'Saisie'!$AU$5:$AU$2004,1)-4),IFERROR(INDEX('Saisie'!$D$5:$D$2004,_xlfn.MINIFS('Saisie'!$AS$5:$AS$2004,'Saisie'!$C$5:$C$2004,C430,'Saisie'!$D$5:$D$2004,"&lt;&gt;")-4),"")))</f>
        <v/>
      </c>
      <c r="O430" s="60">
        <f>IF(C430="","",COUNTIFS('Saisie'!$C$5:$C$2004,C430,'Saisie'!$AU$5:$AU$2004,1))</f>
        <v/>
      </c>
      <c r="P430" s="60">
        <f>IF(C430="","",COUNTIFS('Saisie'!$C$5:$C$2004,C430,'Saisie'!$AV$5:$AV$2004,1))</f>
        <v/>
      </c>
      <c r="Q430" s="106">
        <f>IF(C430="","",IFERROR(1/(1/_xlfn.MAXIFS('Saisie'!$A$5:$A$2004,'Saisie'!$C$5:$C$2004,C430)),""))</f>
        <v/>
      </c>
      <c r="R430" s="61">
        <f>IF(C430="","",IF(Q430="","",TODAY()-Q430))</f>
        <v/>
      </c>
      <c r="S430" s="60">
        <f>IF(C430="","",IFERROR(INDEX('Saisie'!$R$5:$R$2004,_xlfn.MAXIFS('Saisie'!$AS$5:$AS$2004,'Saisie'!$C$5:$C$2004,C430,'Saisie'!$R$5:$R$2004,"&lt;&gt;")-4),""))</f>
        <v/>
      </c>
      <c r="T430" s="60">
        <f>IF(C430="","",IFERROR(INDEX('Saisie'!$S$5:$S$2004,_xlfn.MAXIFS('Saisie'!$AS$5:$AS$2004,'Saisie'!$C$5:$C$2004,C430,'Saisie'!$S$5:$S$2004,"&lt;&gt;")-4),""))</f>
        <v/>
      </c>
      <c r="U430" s="60">
        <f>IF(C430="","",IFERROR(INDEX('Saisie'!$T$5:$T$2004,_xlfn.MAXIFS('Saisie'!$AS$5:$AS$2004,'Saisie'!$C$5:$C$2004,C430,'Saisie'!$T$5:$T$2004,"&lt;&gt;")-4),""))</f>
        <v/>
      </c>
      <c r="V430" s="60">
        <f>IF(C430="","",IFERROR(INDEX('Saisie'!$V$5:$V$2004,_xlfn.MAXIFS('Saisie'!$AS$5:$AS$2004,'Saisie'!$C$5:$C$2004,C430,'Saisie'!$V$5:$V$2004,"&lt;&gt;")-4),""))</f>
        <v/>
      </c>
      <c r="W430" s="60">
        <f>IF(C430="","",IFERROR(INDEX('Saisie'!$Z$5:$Z$2004,_xlfn.MAXIFS('Saisie'!$AS$5:$AS$2004,'Saisie'!$C$5:$C$2004,C430,'Saisie'!$Z$5:$Z$2004,"&lt;&gt;")-4),""))</f>
        <v/>
      </c>
      <c r="X430" s="60">
        <f>IF(C430="","",IFERROR(INDEX('Saisie'!$AA$5:$AA$2004,_xlfn.MAXIFS('Saisie'!$AS$5:$AS$2004,'Saisie'!$C$5:$C$2004,C430,'Saisie'!$AA$5:$AA$2004,"&lt;&gt;")-4),""))</f>
        <v/>
      </c>
      <c r="Y430" s="60">
        <f>IF(C430="","",IFERROR(INDEX('Saisie'!$AB$5:$AB$2004,_xlfn.MAXIFS('Saisie'!$AS$5:$AS$2004,'Saisie'!$C$5:$C$2004,C430,'Saisie'!$AB$5:$AB$2004,"&lt;&gt;")-4),""))</f>
        <v/>
      </c>
      <c r="Z430" s="60">
        <f>IF(C430="","",IFERROR(INDEX('Saisie'!$AC$5:$AC$2004,_xlfn.MAXIFS('Saisie'!$AS$5:$AS$2004,'Saisie'!$C$5:$C$2004,C430,'Saisie'!$AC$5:$AC$2004,"&lt;&gt;")-4),""))</f>
        <v/>
      </c>
      <c r="AA430" s="106">
        <f>IF(C430="","",IFERROR(INDEX('Saisie'!$AD$5:$AD$2004,_xlfn.MAXIFS('Saisie'!$AS$5:$AS$2004,'Saisie'!$C$5:$C$2004,C430,'Saisie'!$AD$5:$AD$2004,"&lt;&gt;")-4),""))</f>
        <v/>
      </c>
      <c r="AB430" s="60">
        <f>IF(C430="","",IFERROR(INDEX('Saisie'!$AE$5:$AE$2004,_xlfn.MAXIFS('Saisie'!$AS$5:$AS$2004,'Saisie'!$C$5:$C$2004,C430,'Saisie'!$AE$5:$AE$2004,"&lt;&gt;")-4),""))</f>
        <v/>
      </c>
      <c r="AC430" s="60">
        <f>IF(C430="","",IFERROR(INDEX('Saisie'!$AF$5:$AF$2004,_xlfn.MAXIFS('Saisie'!$AS$5:$AS$2004,'Saisie'!$C$5:$C$2004,C430,'Saisie'!$AF$5:$AF$2004,"&lt;&gt;")-4),""))</f>
        <v/>
      </c>
      <c r="AD430" s="108">
        <f>IF(C430="","",IFERROR(INDEX('Saisie'!$AG$5:$AG$2004,_xlfn.MAXIFS('Saisie'!$AS$5:$AS$2004,'Saisie'!$C$5:$C$2004,C430,'Saisie'!$AG$5:$AG$2004,"&lt;&gt;")-4),""))</f>
        <v/>
      </c>
      <c r="AE430" s="60">
        <f>IF(C430="","",IFERROR(INDEX('Saisie'!$AH$5:$AH$2004,_xlfn.MAXIFS('Saisie'!$AS$5:$AS$2004,'Saisie'!$C$5:$C$2004,C430,'Saisie'!$AH$5:$AH$2004,"&lt;&gt;")-4),""))</f>
        <v/>
      </c>
      <c r="AF430" s="60">
        <f>IF(C430="","",IFERROR(INDEX('Saisie'!$AI$5:$AI$2004,_xlfn.MAXIFS('Saisie'!$AS$5:$AS$2004,'Saisie'!$C$5:$C$2004,C430,'Saisie'!$AI$5:$AI$2004,"&lt;&gt;")-4),""))</f>
        <v/>
      </c>
      <c r="AG430" s="60">
        <f>IF(C430="","",IFERROR(INDEX('Saisie'!$AJ$5:$AJ$2004,_xlfn.MAXIFS('Saisie'!$AS$5:$AS$2004,'Saisie'!$C$5:$C$2004,C430,'Saisie'!$AJ$5:$AJ$2004,"&lt;&gt;")-4),""))</f>
        <v/>
      </c>
      <c r="AH430" s="60">
        <f>IF(C430="","",IFERROR(INDEX('Saisie'!$AK$5:$AK$2004,_xlfn.MAXIFS('Saisie'!$AS$5:$AS$2004,'Saisie'!$C$5:$C$2004,C430,'Saisie'!$AK$5:$AK$2004,"&lt;&gt;")-4),""))</f>
        <v/>
      </c>
      <c r="AI430" s="60">
        <f>IF(C430="","",IFERROR(INDEX('Saisie'!$AN$5:$AN$2004,_xlfn.MAXIFS('Saisie'!$AS$5:$AS$2004,'Saisie'!$C$5:$C$2004,C430,'Saisie'!$AN$5:$AN$2004,"&lt;&gt;")-4),""))</f>
        <v/>
      </c>
      <c r="AJ430" s="60">
        <f>IF(C430="","",IFERROR(INDEX('Saisie'!$AO$5:$AO$2004,_xlfn.MAXIFS('Saisie'!$AS$5:$AS$2004,'Saisie'!$C$5:$C$2004,C430,'Saisie'!$AO$5:$AO$2004,"&lt;&gt;")-4),""))</f>
        <v/>
      </c>
      <c r="AK430" s="60">
        <f>IF(C430="","",IFERROR(INDEX('Saisie'!$AP$5:$AP$2004,_xlfn.MAXIFS('Saisie'!$AS$5:$AS$2004,'Saisie'!$C$5:$C$2004,C430,'Saisie'!$AP$5:$AP$2004,"&lt;&gt;")-4),""))</f>
        <v/>
      </c>
      <c r="AL430" s="60">
        <f>IF(C430="","",IFERROR(INDEX('Saisie'!$AQ$5:$AQ$2004,_xlfn.MAXIFS('Saisie'!$AS$5:$AS$2004,'Saisie'!$C$5:$C$2004,C430,'Saisie'!$AQ$5:$AQ$2004,"&lt;&gt;")-4),""))</f>
        <v/>
      </c>
      <c r="AM430" s="60">
        <f>IF(C430="","",((AI430="Oui")+(AJ430="Oui")+(AK430="Oui")+OR(AL430="Immédiat",AL430="&lt; 1 mois"))&amp;"/4")</f>
        <v/>
      </c>
      <c r="AN430" s="60">
        <f>IF(C430="","",IFERROR(INDEX('Saisie'!$AL$5:$AL$2004,_xlfn.MAXIFS('Saisie'!$AS$5:$AS$2004,'Saisie'!$C$5:$C$2004,C430,'Saisie'!$AL$5:$AL$2004,"&lt;&gt;")-4),""))</f>
        <v/>
      </c>
      <c r="AO430" s="62">
        <f>IF(C430="","",IF(IFERROR(INDEX('Saisie'!$AM$5:$AM$2004,_xlfn.MAXIFS('Saisie'!$AS$5:$AS$2004,'Saisie'!$C$5:$C$2004,C430,'Saisie'!$AM$5:$AM$2004,"&lt;&gt;")-4),"")&lt;&gt;"",IFERROR(INDEX('Saisie'!$AM$5:$AM$2004,_xlfn.MAXIFS('Saisie'!$AS$5:$AS$2004,'Saisie'!$C$5:$C$2004,C430,'Saisie'!$AM$5:$AM$2004,"&lt;&gt;")-4),""),IFERROR(INDEX('Paramètres'!$S$6:$S$15,MATCH(AN430,'Paramètres'!$Q$6:$Q$15,0)),"")))</f>
        <v/>
      </c>
      <c r="AP430" s="62">
        <f>IF(C430="","",IFERROR(INDEX('Saisie'!$AW$5:$AW$2004,_xlfn.MAXIFS('Saisie'!$AS$5:$AS$2004,'Saisie'!$C$5:$C$2004,C430,'Saisie'!$E$5:$E$2004,"Proposition envoyée")-4),""))</f>
        <v/>
      </c>
      <c r="AQ430" s="106">
        <f>IF(C430="","",IFERROR(1/(1/_xlfn.MAXIFS('Saisie'!$A$5:$A$2004,'Saisie'!$C$5:$C$2004,C430,'Saisie'!$E$5:$E$2004,"Proposition envoyée")),""))</f>
        <v/>
      </c>
      <c r="AR430" s="106">
        <f>IF(C430="","",IF(AQ430="","",AQ430+'Paramètres'!$B$26))</f>
        <v/>
      </c>
      <c r="AS430" s="62">
        <f>IF(OR(C430="",D430="Gagné",D430="Perdu"),0,N(AP430)*IFERROR(INDEX('Paramètres'!$G$6:$G$13,MATCH(D430,'Paramètres'!$F$6:$F$13,0)),0))</f>
        <v/>
      </c>
      <c r="AT430" s="106">
        <f>IF(C430="","",IFERROR(1/(1/_xlfn.MINIFS('Saisie'!$A$5:$A$2004,'Saisie'!$C$5:$C$2004,C430,'Saisie'!$E$5:$E$2004,"Signature")),""))</f>
        <v/>
      </c>
      <c r="AU430" s="60">
        <f>IF(C430="","",IF(OR(AT430="",B430=""),"",AT430-B430))</f>
        <v/>
      </c>
      <c r="AV430" s="60">
        <f>IF(C430="","",IFERROR(INDEX('Saisie'!$L$5:$L$2004,_xlfn.MAXIFS('Saisie'!$AS$5:$AS$2004,'Saisie'!$C$5:$C$2004,C430,'Saisie'!$L$5:$L$2004,"&lt;&gt;")-4),""))</f>
        <v/>
      </c>
      <c r="AW430" s="106">
        <f>IF(C430="","",IF(D430&lt;&gt;"Perdu","",IFERROR(1/(1/_xlfn.MAXIFS('Saisie'!$A$5:$A$2004,'Saisie'!$C$5:$C$2004,C430,'Saisie'!$E$5:$E$2004,"Perdu")),"")))</f>
        <v/>
      </c>
      <c r="AX430" s="106">
        <f>IF(C430="","",IF(AW430="","",AW430+'Paramètres'!$B$28))</f>
        <v/>
      </c>
      <c r="AY430" s="60">
        <f>IF(C430="","",SUMIFS('Saisie'!$H$5:$H$2004,'Saisie'!$C$5:$C$2004,C430))</f>
        <v/>
      </c>
      <c r="AZ430" s="60">
        <f>IF(C430="","",IFERROR(INDEX('Paramètres'!$W$6:$W$20,MATCH(S430,'Paramètres'!$V$6:$V$20,0))&amp;"",""))</f>
        <v/>
      </c>
      <c r="BA430" s="60">
        <f>IF(C430="","",MAX(1,_xlfn.MAXIFS('Saisie'!$AT$5:$AT$2004,'Saisie'!$C$5:$C$2004,C430)))</f>
        <v/>
      </c>
      <c r="BB430" s="60">
        <f>IF(C430="","",IFERROR(INDEX('Saisie'!$X$5:$X$2004,_xlfn.MAXIFS('Saisie'!$AS$5:$AS$2004,'Saisie'!$C$5:$C$2004,C430,'Saisie'!$X$5:$X$2004,"&lt;&gt;")-4),""))</f>
        <v/>
      </c>
      <c r="BC430" s="60">
        <f>IF(C430="","",IFERROR(INDEX('Saisie'!$Y$5:$Y$2004,_xlfn.MAXIFS('Saisie'!$AS$5:$AS$2004,'Saisie'!$C$5:$C$2004,C430,'Saisie'!$Y$5:$Y$2004,"&lt;&gt;")-4),""))</f>
        <v/>
      </c>
      <c r="BD430" s="106">
        <f>IF(C430="","",IFERROR(1/(1/_xlfn.MINIFS('Saisie'!$A$5:$A$2004,'Saisie'!$C$5:$C$2004,C430,'Saisie'!$AT$5:$AT$2004,"&gt;=2")),""))</f>
        <v/>
      </c>
      <c r="BE430" s="106">
        <f>IF(C430="","",IFERROR(1/(1/_xlfn.MINIFS('Saisie'!$A$5:$A$2004,'Saisie'!$C$5:$C$2004,C430,'Saisie'!$AT$5:$AT$2004,"&gt;=3")),""))</f>
        <v/>
      </c>
      <c r="BF430" s="106">
        <f>IF(C430="","",IFERROR(1/(1/_xlfn.MINIFS('Saisie'!$A$5:$A$2004,'Saisie'!$C$5:$C$2004,C430,'Saisie'!$AT$5:$AT$2004,"&gt;=4")),""))</f>
        <v/>
      </c>
      <c r="BG430" s="106">
        <f>IF(C430="","",IFERROR(1/(1/_xlfn.MINIFS('Saisie'!$A$5:$A$2004,'Saisie'!$C$5:$C$2004,C430,'Saisie'!$AT$5:$AT$2004,"&gt;=5")),""))</f>
        <v/>
      </c>
      <c r="BH430" s="106">
        <f>IF(C430="","",IFERROR(1/(1/_xlfn.MINIFS('Saisie'!$A$5:$A$2004,'Saisie'!$C$5:$C$2004,C430,'Saisie'!$AT$5:$AT$2004,"&gt;=6")),""))</f>
        <v/>
      </c>
      <c r="BI430" s="106">
        <f>IF(C430="","",IFERROR(1/(1/_xlfn.MINIFS('Saisie'!$A$5:$A$2004,'Saisie'!$C$5:$C$2004,C430,'Saisie'!$AT$5:$AT$2004,"&gt;=7")),""))</f>
        <v/>
      </c>
      <c r="BJ430" s="60">
        <f>IF(OR(BD430="",B430=""),"",BD430-B430)</f>
        <v/>
      </c>
      <c r="BK430" s="60">
        <f>IF(OR(BE430="",BD430=""),"",BE430-BD430)</f>
        <v/>
      </c>
      <c r="BL430" s="60">
        <f>IF(OR(BF430="",BE430=""),"",BF430-BE430)</f>
        <v/>
      </c>
      <c r="BM430" s="60">
        <f>IF(OR(BG430="",BF430=""),"",BG430-BF430)</f>
        <v/>
      </c>
      <c r="BN430" s="60">
        <f>IF(OR(BH430="",BG430=""),"",BH430-BG430)</f>
        <v/>
      </c>
      <c r="BO430" s="60">
        <f>IF(OR(BI430="",BH430=""),"",BI430-BH430)</f>
        <v/>
      </c>
      <c r="BP430" s="60">
        <f>IF(C430="","",_xlfn.MAXIFS('Saisie'!$AS$5:$AS$2004,'Saisie'!$C$5:$C$2004,C430,'Saisie'!$J$5:$J$2004,"&lt;&gt;"))</f>
        <v/>
      </c>
      <c r="BQ430" s="60">
        <f>IF(C430="","",_xlfn.MAXIFS('Saisie'!$AS$5:$AS$2004,'Saisie'!$C$5:$C$2004,C430))</f>
        <v/>
      </c>
      <c r="BR430" s="60">
        <f>IF(C430="","",_xlfn.MAXIFS('Saisie'!$AS$5:$AS$2004,'Saisie'!$C$5:$C$2004,C430,'Saisie'!$E$5:$E$2004,"Perdu"))</f>
        <v/>
      </c>
      <c r="BS430" s="60">
        <f>IF(C430="","",_xlfn.MAXIFS('Saisie'!$AS$5:$AS$2004,'Saisie'!$C$5:$C$2004,C430,'Saisie'!$AT$5:$AT$2004,"&gt;0"))</f>
        <v/>
      </c>
      <c r="BT430" s="109">
        <f>IF(AND(C430&lt;&gt;"",OR(D430="Nouveau",D430="Contacté",D430="Qualifié"),OR(G430="",N(G430)&lt;=TODAY()),NOT(AND(O430&gt;='Paramètres'!$B$21,P430=0))),E430+426/10000,"")</f>
        <v/>
      </c>
      <c r="BU430" s="60">
        <f>IF(AND(G430&lt;&gt;"",N(G430)&lt;=TODAY()),MAX($BU$4:BU429)+1,"")</f>
        <v/>
      </c>
      <c r="BV430" s="60">
        <f>IF(AND(F430&lt;&gt;"",F430&lt;&gt;"Relance en retard"),MAX($BV$4:BV429)+1,"")</f>
        <v/>
      </c>
      <c r="BW430" s="60">
        <f>IF(C430="","",IF(AND(B430&gt;='Tableau de bord'!$R$4,B430&lt;='Tableau de bord'!$S$4,OR('Tableau de bord'!$G$4="Tous",N430='Tableau de bord'!$G$4)),1,0))</f>
        <v/>
      </c>
      <c r="BX430" s="60">
        <f>IF(AND(C430&lt;&gt;"",N(BA430)=7),MAX($BX$4:BX429)+1,"")</f>
        <v/>
      </c>
    </row>
    <row r="431">
      <c r="A431" s="60">
        <f>IF(C431="","","P-"&amp;TEXT(427,"000"))</f>
        <v/>
      </c>
      <c r="B431" s="106">
        <f>IF(C431="","",IFERROR(1/(1/_xlfn.MINIFS('Saisie'!$A$5:$A$2004,'Saisie'!$C$5:$C$2004,C431)),""))</f>
        <v/>
      </c>
      <c r="C431" s="60">
        <f>IFERROR(INDEX('Saisie'!$C$5:$C$2004,MATCH(427,'Saisie'!$AX$5:$AX$2004,0)),"")</f>
        <v/>
      </c>
      <c r="D431" s="60">
        <f>IF(C431="","",IF(AND(BR431&gt;0,BR431&gt;BS431,BA431&lt;7),"Perdu",INDEX('Paramètres'!$F$6:$F$13,BA431)))</f>
        <v/>
      </c>
      <c r="E431" s="61">
        <f>IF(C431="","",MIN(100,(Z431="Oui")*'Paramètres'!$B$38+(AB431="Régulière")*'Paramètres'!$B$39+IF(AND(N(AA431)&gt;0,TODAY()-N(AA431)&lt;=30),'Paramètres'!$B$40,0)+(W431="")*'Paramètres'!$B$41+(AC431="Absente")*'Paramètres'!$B$42+(AC431="Faible")*'Paramètres'!$B$43+IF(AND(N(AD431)&gt;0,N(AD431)&lt;4),'Paramètres'!$B$44,0)+(AF431="Moyenne")*'Paramètres'!$B$45+(AF431="Grande")*'Paramètres'!$B$46+(Y431&lt;&gt;"")*'Paramètres'!$B$47))</f>
        <v/>
      </c>
      <c r="F431" s="60">
        <f>IF(C431="","",IF(D431="Gagné","",IF(D431="Perdu",IF(AND(AX431&lt;&gt;"",AX431&lt;=TODAY()),"À recontacter (perdu)",""),IF(AND(O431&gt;='Paramètres'!$B$21,P431=0),"Stop : "&amp;'Paramètres'!$B$21&amp;" tentatives sans réponse",IF(AND(D431="Proposition",AR431&lt;&gt;"",TODAY()&gt;N(AR431)),"Proposition expirée",IF(AND(D431="Proposition",N(R431)&gt;='Paramètres'!$B$25),"Proposition sans réponse",IF(AND(G431&lt;&gt;"",N(G431)&lt;TODAY()),"Relance en retard",IF(N(R431)&gt;='Paramètres'!$B$24,"Sans action depuis "&amp;R431&amp;" j",""))))))))</f>
        <v/>
      </c>
      <c r="G431" s="106">
        <f>IF(OR(C431="",D431="Gagné",D431="Perdu"),"",IF(AND(BP431&gt;0,BP431=BQ431),INDEX('Saisie'!$J$5:$J$2004,BP431-4),IF(OR(O431=0,AND(O431&gt;='Paramètres'!$B$21,P431=0)),"",Q431+IF(O431&lt;=1,'Paramètres'!$B$18,IF(O431=2,'Paramètres'!$B$19,'Paramètres'!$B$20)))))</f>
        <v/>
      </c>
      <c r="H431" s="107">
        <f>IF(OR(G431="",BP431&lt;&gt;BQ431),"",IF(INDEX('Saisie'!$K$5:$K$2004,BP431-4)="","",INDEX('Saisie'!$K$5:$K$2004,BP431-4)))</f>
        <v/>
      </c>
      <c r="I431" s="60">
        <f>IF(C431="","",IF(OR(D431="Gagné",D431="Perdu"),"",IFERROR(INDEX('Saisie'!$I$5:$I$2004,_xlfn.MAXIFS('Saisie'!$AS$5:$AS$2004,'Saisie'!$C$5:$C$2004,C431,'Saisie'!$I$5:$I$2004,"&lt;&gt;")-4),"")))</f>
        <v/>
      </c>
      <c r="J431" s="60">
        <f>IF(C431="","",IFERROR(INDEX('Saisie'!$U$5:$U$2004,_xlfn.MAXIFS('Saisie'!$AS$5:$AS$2004,'Saisie'!$C$5:$C$2004,C431,'Saisie'!$U$5:$U$2004,"&lt;&gt;")-4),""))</f>
        <v/>
      </c>
      <c r="K431" s="60">
        <f>IF(C431="","",IFERROR(INDEX('Saisie'!$W$5:$W$2004,_xlfn.MAXIFS('Saisie'!$AS$5:$AS$2004,'Saisie'!$C$5:$C$2004,C431,'Saisie'!$W$5:$W$2004,"&lt;&gt;")-4),""))</f>
        <v/>
      </c>
      <c r="L431" s="60">
        <f>IF(IF(BB431&lt;&gt;"",BB431,K431)="","",HYPERLINK("https://wa.me/"&amp;IF(LEFT(SUBSTITUTE(SUBSTITUTE(SUBSTITUTE(IF(BB431&lt;&gt;"",BB431,K431)," ",""),".",""),"+",""),1)="0",'Paramètres'!$B$35&amp;MID(SUBSTITUTE(SUBSTITUTE(SUBSTITUTE(IF(BB431&lt;&gt;"",BB431,K431)," ",""),".",""),"+",""),2,20),SUBSTITUTE(SUBSTITUTE(SUBSTITUTE(IF(BB431&lt;&gt;"",BB431,K431)," ",""),".",""),"+","")),"WhatsApp"))</f>
        <v/>
      </c>
      <c r="M431" s="60">
        <f>IF(BC431="","",HYPERLINK(IF(LEFT(BC431,4)="http",BC431,"https://www.instagram.com/"&amp;SUBSTITUTE(SUBSTITUTE(BC431,"@","")," ","")),BC431))</f>
        <v/>
      </c>
      <c r="N431" s="60">
        <f>IF(C431="","",IFERROR(INDEX('Saisie'!$D$5:$D$2004,_xlfn.MINIFS('Saisie'!$AS$5:$AS$2004,'Saisie'!$C$5:$C$2004,C431,'Saisie'!$AU$5:$AU$2004,1)-4),IFERROR(INDEX('Saisie'!$D$5:$D$2004,_xlfn.MINIFS('Saisie'!$AS$5:$AS$2004,'Saisie'!$C$5:$C$2004,C431,'Saisie'!$D$5:$D$2004,"&lt;&gt;")-4),"")))</f>
        <v/>
      </c>
      <c r="O431" s="60">
        <f>IF(C431="","",COUNTIFS('Saisie'!$C$5:$C$2004,C431,'Saisie'!$AU$5:$AU$2004,1))</f>
        <v/>
      </c>
      <c r="P431" s="60">
        <f>IF(C431="","",COUNTIFS('Saisie'!$C$5:$C$2004,C431,'Saisie'!$AV$5:$AV$2004,1))</f>
        <v/>
      </c>
      <c r="Q431" s="106">
        <f>IF(C431="","",IFERROR(1/(1/_xlfn.MAXIFS('Saisie'!$A$5:$A$2004,'Saisie'!$C$5:$C$2004,C431)),""))</f>
        <v/>
      </c>
      <c r="R431" s="61">
        <f>IF(C431="","",IF(Q431="","",TODAY()-Q431))</f>
        <v/>
      </c>
      <c r="S431" s="60">
        <f>IF(C431="","",IFERROR(INDEX('Saisie'!$R$5:$R$2004,_xlfn.MAXIFS('Saisie'!$AS$5:$AS$2004,'Saisie'!$C$5:$C$2004,C431,'Saisie'!$R$5:$R$2004,"&lt;&gt;")-4),""))</f>
        <v/>
      </c>
      <c r="T431" s="60">
        <f>IF(C431="","",IFERROR(INDEX('Saisie'!$S$5:$S$2004,_xlfn.MAXIFS('Saisie'!$AS$5:$AS$2004,'Saisie'!$C$5:$C$2004,C431,'Saisie'!$S$5:$S$2004,"&lt;&gt;")-4),""))</f>
        <v/>
      </c>
      <c r="U431" s="60">
        <f>IF(C431="","",IFERROR(INDEX('Saisie'!$T$5:$T$2004,_xlfn.MAXIFS('Saisie'!$AS$5:$AS$2004,'Saisie'!$C$5:$C$2004,C431,'Saisie'!$T$5:$T$2004,"&lt;&gt;")-4),""))</f>
        <v/>
      </c>
      <c r="V431" s="60">
        <f>IF(C431="","",IFERROR(INDEX('Saisie'!$V$5:$V$2004,_xlfn.MAXIFS('Saisie'!$AS$5:$AS$2004,'Saisie'!$C$5:$C$2004,C431,'Saisie'!$V$5:$V$2004,"&lt;&gt;")-4),""))</f>
        <v/>
      </c>
      <c r="W431" s="60">
        <f>IF(C431="","",IFERROR(INDEX('Saisie'!$Z$5:$Z$2004,_xlfn.MAXIFS('Saisie'!$AS$5:$AS$2004,'Saisie'!$C$5:$C$2004,C431,'Saisie'!$Z$5:$Z$2004,"&lt;&gt;")-4),""))</f>
        <v/>
      </c>
      <c r="X431" s="60">
        <f>IF(C431="","",IFERROR(INDEX('Saisie'!$AA$5:$AA$2004,_xlfn.MAXIFS('Saisie'!$AS$5:$AS$2004,'Saisie'!$C$5:$C$2004,C431,'Saisie'!$AA$5:$AA$2004,"&lt;&gt;")-4),""))</f>
        <v/>
      </c>
      <c r="Y431" s="60">
        <f>IF(C431="","",IFERROR(INDEX('Saisie'!$AB$5:$AB$2004,_xlfn.MAXIFS('Saisie'!$AS$5:$AS$2004,'Saisie'!$C$5:$C$2004,C431,'Saisie'!$AB$5:$AB$2004,"&lt;&gt;")-4),""))</f>
        <v/>
      </c>
      <c r="Z431" s="60">
        <f>IF(C431="","",IFERROR(INDEX('Saisie'!$AC$5:$AC$2004,_xlfn.MAXIFS('Saisie'!$AS$5:$AS$2004,'Saisie'!$C$5:$C$2004,C431,'Saisie'!$AC$5:$AC$2004,"&lt;&gt;")-4),""))</f>
        <v/>
      </c>
      <c r="AA431" s="106">
        <f>IF(C431="","",IFERROR(INDEX('Saisie'!$AD$5:$AD$2004,_xlfn.MAXIFS('Saisie'!$AS$5:$AS$2004,'Saisie'!$C$5:$C$2004,C431,'Saisie'!$AD$5:$AD$2004,"&lt;&gt;")-4),""))</f>
        <v/>
      </c>
      <c r="AB431" s="60">
        <f>IF(C431="","",IFERROR(INDEX('Saisie'!$AE$5:$AE$2004,_xlfn.MAXIFS('Saisie'!$AS$5:$AS$2004,'Saisie'!$C$5:$C$2004,C431,'Saisie'!$AE$5:$AE$2004,"&lt;&gt;")-4),""))</f>
        <v/>
      </c>
      <c r="AC431" s="60">
        <f>IF(C431="","",IFERROR(INDEX('Saisie'!$AF$5:$AF$2004,_xlfn.MAXIFS('Saisie'!$AS$5:$AS$2004,'Saisie'!$C$5:$C$2004,C431,'Saisie'!$AF$5:$AF$2004,"&lt;&gt;")-4),""))</f>
        <v/>
      </c>
      <c r="AD431" s="108">
        <f>IF(C431="","",IFERROR(INDEX('Saisie'!$AG$5:$AG$2004,_xlfn.MAXIFS('Saisie'!$AS$5:$AS$2004,'Saisie'!$C$5:$C$2004,C431,'Saisie'!$AG$5:$AG$2004,"&lt;&gt;")-4),""))</f>
        <v/>
      </c>
      <c r="AE431" s="60">
        <f>IF(C431="","",IFERROR(INDEX('Saisie'!$AH$5:$AH$2004,_xlfn.MAXIFS('Saisie'!$AS$5:$AS$2004,'Saisie'!$C$5:$C$2004,C431,'Saisie'!$AH$5:$AH$2004,"&lt;&gt;")-4),""))</f>
        <v/>
      </c>
      <c r="AF431" s="60">
        <f>IF(C431="","",IFERROR(INDEX('Saisie'!$AI$5:$AI$2004,_xlfn.MAXIFS('Saisie'!$AS$5:$AS$2004,'Saisie'!$C$5:$C$2004,C431,'Saisie'!$AI$5:$AI$2004,"&lt;&gt;")-4),""))</f>
        <v/>
      </c>
      <c r="AG431" s="60">
        <f>IF(C431="","",IFERROR(INDEX('Saisie'!$AJ$5:$AJ$2004,_xlfn.MAXIFS('Saisie'!$AS$5:$AS$2004,'Saisie'!$C$5:$C$2004,C431,'Saisie'!$AJ$5:$AJ$2004,"&lt;&gt;")-4),""))</f>
        <v/>
      </c>
      <c r="AH431" s="60">
        <f>IF(C431="","",IFERROR(INDEX('Saisie'!$AK$5:$AK$2004,_xlfn.MAXIFS('Saisie'!$AS$5:$AS$2004,'Saisie'!$C$5:$C$2004,C431,'Saisie'!$AK$5:$AK$2004,"&lt;&gt;")-4),""))</f>
        <v/>
      </c>
      <c r="AI431" s="60">
        <f>IF(C431="","",IFERROR(INDEX('Saisie'!$AN$5:$AN$2004,_xlfn.MAXIFS('Saisie'!$AS$5:$AS$2004,'Saisie'!$C$5:$C$2004,C431,'Saisie'!$AN$5:$AN$2004,"&lt;&gt;")-4),""))</f>
        <v/>
      </c>
      <c r="AJ431" s="60">
        <f>IF(C431="","",IFERROR(INDEX('Saisie'!$AO$5:$AO$2004,_xlfn.MAXIFS('Saisie'!$AS$5:$AS$2004,'Saisie'!$C$5:$C$2004,C431,'Saisie'!$AO$5:$AO$2004,"&lt;&gt;")-4),""))</f>
        <v/>
      </c>
      <c r="AK431" s="60">
        <f>IF(C431="","",IFERROR(INDEX('Saisie'!$AP$5:$AP$2004,_xlfn.MAXIFS('Saisie'!$AS$5:$AS$2004,'Saisie'!$C$5:$C$2004,C431,'Saisie'!$AP$5:$AP$2004,"&lt;&gt;")-4),""))</f>
        <v/>
      </c>
      <c r="AL431" s="60">
        <f>IF(C431="","",IFERROR(INDEX('Saisie'!$AQ$5:$AQ$2004,_xlfn.MAXIFS('Saisie'!$AS$5:$AS$2004,'Saisie'!$C$5:$C$2004,C431,'Saisie'!$AQ$5:$AQ$2004,"&lt;&gt;")-4),""))</f>
        <v/>
      </c>
      <c r="AM431" s="60">
        <f>IF(C431="","",((AI431="Oui")+(AJ431="Oui")+(AK431="Oui")+OR(AL431="Immédiat",AL431="&lt; 1 mois"))&amp;"/4")</f>
        <v/>
      </c>
      <c r="AN431" s="60">
        <f>IF(C431="","",IFERROR(INDEX('Saisie'!$AL$5:$AL$2004,_xlfn.MAXIFS('Saisie'!$AS$5:$AS$2004,'Saisie'!$C$5:$C$2004,C431,'Saisie'!$AL$5:$AL$2004,"&lt;&gt;")-4),""))</f>
        <v/>
      </c>
      <c r="AO431" s="62">
        <f>IF(C431="","",IF(IFERROR(INDEX('Saisie'!$AM$5:$AM$2004,_xlfn.MAXIFS('Saisie'!$AS$5:$AS$2004,'Saisie'!$C$5:$C$2004,C431,'Saisie'!$AM$5:$AM$2004,"&lt;&gt;")-4),"")&lt;&gt;"",IFERROR(INDEX('Saisie'!$AM$5:$AM$2004,_xlfn.MAXIFS('Saisie'!$AS$5:$AS$2004,'Saisie'!$C$5:$C$2004,C431,'Saisie'!$AM$5:$AM$2004,"&lt;&gt;")-4),""),IFERROR(INDEX('Paramètres'!$S$6:$S$15,MATCH(AN431,'Paramètres'!$Q$6:$Q$15,0)),"")))</f>
        <v/>
      </c>
      <c r="AP431" s="62">
        <f>IF(C431="","",IFERROR(INDEX('Saisie'!$AW$5:$AW$2004,_xlfn.MAXIFS('Saisie'!$AS$5:$AS$2004,'Saisie'!$C$5:$C$2004,C431,'Saisie'!$E$5:$E$2004,"Proposition envoyée")-4),""))</f>
        <v/>
      </c>
      <c r="AQ431" s="106">
        <f>IF(C431="","",IFERROR(1/(1/_xlfn.MAXIFS('Saisie'!$A$5:$A$2004,'Saisie'!$C$5:$C$2004,C431,'Saisie'!$E$5:$E$2004,"Proposition envoyée")),""))</f>
        <v/>
      </c>
      <c r="AR431" s="106">
        <f>IF(C431="","",IF(AQ431="","",AQ431+'Paramètres'!$B$26))</f>
        <v/>
      </c>
      <c r="AS431" s="62">
        <f>IF(OR(C431="",D431="Gagné",D431="Perdu"),0,N(AP431)*IFERROR(INDEX('Paramètres'!$G$6:$G$13,MATCH(D431,'Paramètres'!$F$6:$F$13,0)),0))</f>
        <v/>
      </c>
      <c r="AT431" s="106">
        <f>IF(C431="","",IFERROR(1/(1/_xlfn.MINIFS('Saisie'!$A$5:$A$2004,'Saisie'!$C$5:$C$2004,C431,'Saisie'!$E$5:$E$2004,"Signature")),""))</f>
        <v/>
      </c>
      <c r="AU431" s="60">
        <f>IF(C431="","",IF(OR(AT431="",B431=""),"",AT431-B431))</f>
        <v/>
      </c>
      <c r="AV431" s="60">
        <f>IF(C431="","",IFERROR(INDEX('Saisie'!$L$5:$L$2004,_xlfn.MAXIFS('Saisie'!$AS$5:$AS$2004,'Saisie'!$C$5:$C$2004,C431,'Saisie'!$L$5:$L$2004,"&lt;&gt;")-4),""))</f>
        <v/>
      </c>
      <c r="AW431" s="106">
        <f>IF(C431="","",IF(D431&lt;&gt;"Perdu","",IFERROR(1/(1/_xlfn.MAXIFS('Saisie'!$A$5:$A$2004,'Saisie'!$C$5:$C$2004,C431,'Saisie'!$E$5:$E$2004,"Perdu")),"")))</f>
        <v/>
      </c>
      <c r="AX431" s="106">
        <f>IF(C431="","",IF(AW431="","",AW431+'Paramètres'!$B$28))</f>
        <v/>
      </c>
      <c r="AY431" s="60">
        <f>IF(C431="","",SUMIFS('Saisie'!$H$5:$H$2004,'Saisie'!$C$5:$C$2004,C431))</f>
        <v/>
      </c>
      <c r="AZ431" s="60">
        <f>IF(C431="","",IFERROR(INDEX('Paramètres'!$W$6:$W$20,MATCH(S431,'Paramètres'!$V$6:$V$20,0))&amp;"",""))</f>
        <v/>
      </c>
      <c r="BA431" s="60">
        <f>IF(C431="","",MAX(1,_xlfn.MAXIFS('Saisie'!$AT$5:$AT$2004,'Saisie'!$C$5:$C$2004,C431)))</f>
        <v/>
      </c>
      <c r="BB431" s="60">
        <f>IF(C431="","",IFERROR(INDEX('Saisie'!$X$5:$X$2004,_xlfn.MAXIFS('Saisie'!$AS$5:$AS$2004,'Saisie'!$C$5:$C$2004,C431,'Saisie'!$X$5:$X$2004,"&lt;&gt;")-4),""))</f>
        <v/>
      </c>
      <c r="BC431" s="60">
        <f>IF(C431="","",IFERROR(INDEX('Saisie'!$Y$5:$Y$2004,_xlfn.MAXIFS('Saisie'!$AS$5:$AS$2004,'Saisie'!$C$5:$C$2004,C431,'Saisie'!$Y$5:$Y$2004,"&lt;&gt;")-4),""))</f>
        <v/>
      </c>
      <c r="BD431" s="106">
        <f>IF(C431="","",IFERROR(1/(1/_xlfn.MINIFS('Saisie'!$A$5:$A$2004,'Saisie'!$C$5:$C$2004,C431,'Saisie'!$AT$5:$AT$2004,"&gt;=2")),""))</f>
        <v/>
      </c>
      <c r="BE431" s="106">
        <f>IF(C431="","",IFERROR(1/(1/_xlfn.MINIFS('Saisie'!$A$5:$A$2004,'Saisie'!$C$5:$C$2004,C431,'Saisie'!$AT$5:$AT$2004,"&gt;=3")),""))</f>
        <v/>
      </c>
      <c r="BF431" s="106">
        <f>IF(C431="","",IFERROR(1/(1/_xlfn.MINIFS('Saisie'!$A$5:$A$2004,'Saisie'!$C$5:$C$2004,C431,'Saisie'!$AT$5:$AT$2004,"&gt;=4")),""))</f>
        <v/>
      </c>
      <c r="BG431" s="106">
        <f>IF(C431="","",IFERROR(1/(1/_xlfn.MINIFS('Saisie'!$A$5:$A$2004,'Saisie'!$C$5:$C$2004,C431,'Saisie'!$AT$5:$AT$2004,"&gt;=5")),""))</f>
        <v/>
      </c>
      <c r="BH431" s="106">
        <f>IF(C431="","",IFERROR(1/(1/_xlfn.MINIFS('Saisie'!$A$5:$A$2004,'Saisie'!$C$5:$C$2004,C431,'Saisie'!$AT$5:$AT$2004,"&gt;=6")),""))</f>
        <v/>
      </c>
      <c r="BI431" s="106">
        <f>IF(C431="","",IFERROR(1/(1/_xlfn.MINIFS('Saisie'!$A$5:$A$2004,'Saisie'!$C$5:$C$2004,C431,'Saisie'!$AT$5:$AT$2004,"&gt;=7")),""))</f>
        <v/>
      </c>
      <c r="BJ431" s="60">
        <f>IF(OR(BD431="",B431=""),"",BD431-B431)</f>
        <v/>
      </c>
      <c r="BK431" s="60">
        <f>IF(OR(BE431="",BD431=""),"",BE431-BD431)</f>
        <v/>
      </c>
      <c r="BL431" s="60">
        <f>IF(OR(BF431="",BE431=""),"",BF431-BE431)</f>
        <v/>
      </c>
      <c r="BM431" s="60">
        <f>IF(OR(BG431="",BF431=""),"",BG431-BF431)</f>
        <v/>
      </c>
      <c r="BN431" s="60">
        <f>IF(OR(BH431="",BG431=""),"",BH431-BG431)</f>
        <v/>
      </c>
      <c r="BO431" s="60">
        <f>IF(OR(BI431="",BH431=""),"",BI431-BH431)</f>
        <v/>
      </c>
      <c r="BP431" s="60">
        <f>IF(C431="","",_xlfn.MAXIFS('Saisie'!$AS$5:$AS$2004,'Saisie'!$C$5:$C$2004,C431,'Saisie'!$J$5:$J$2004,"&lt;&gt;"))</f>
        <v/>
      </c>
      <c r="BQ431" s="60">
        <f>IF(C431="","",_xlfn.MAXIFS('Saisie'!$AS$5:$AS$2004,'Saisie'!$C$5:$C$2004,C431))</f>
        <v/>
      </c>
      <c r="BR431" s="60">
        <f>IF(C431="","",_xlfn.MAXIFS('Saisie'!$AS$5:$AS$2004,'Saisie'!$C$5:$C$2004,C431,'Saisie'!$E$5:$E$2004,"Perdu"))</f>
        <v/>
      </c>
      <c r="BS431" s="60">
        <f>IF(C431="","",_xlfn.MAXIFS('Saisie'!$AS$5:$AS$2004,'Saisie'!$C$5:$C$2004,C431,'Saisie'!$AT$5:$AT$2004,"&gt;0"))</f>
        <v/>
      </c>
      <c r="BT431" s="109">
        <f>IF(AND(C431&lt;&gt;"",OR(D431="Nouveau",D431="Contacté",D431="Qualifié"),OR(G431="",N(G431)&lt;=TODAY()),NOT(AND(O431&gt;='Paramètres'!$B$21,P431=0))),E431+427/10000,"")</f>
        <v/>
      </c>
      <c r="BU431" s="60">
        <f>IF(AND(G431&lt;&gt;"",N(G431)&lt;=TODAY()),MAX($BU$4:BU430)+1,"")</f>
        <v/>
      </c>
      <c r="BV431" s="60">
        <f>IF(AND(F431&lt;&gt;"",F431&lt;&gt;"Relance en retard"),MAX($BV$4:BV430)+1,"")</f>
        <v/>
      </c>
      <c r="BW431" s="60">
        <f>IF(C431="","",IF(AND(B431&gt;='Tableau de bord'!$R$4,B431&lt;='Tableau de bord'!$S$4,OR('Tableau de bord'!$G$4="Tous",N431='Tableau de bord'!$G$4)),1,0))</f>
        <v/>
      </c>
      <c r="BX431" s="60">
        <f>IF(AND(C431&lt;&gt;"",N(BA431)=7),MAX($BX$4:BX430)+1,"")</f>
        <v/>
      </c>
    </row>
    <row r="432">
      <c r="A432" s="60">
        <f>IF(C432="","","P-"&amp;TEXT(428,"000"))</f>
        <v/>
      </c>
      <c r="B432" s="106">
        <f>IF(C432="","",IFERROR(1/(1/_xlfn.MINIFS('Saisie'!$A$5:$A$2004,'Saisie'!$C$5:$C$2004,C432)),""))</f>
        <v/>
      </c>
      <c r="C432" s="60">
        <f>IFERROR(INDEX('Saisie'!$C$5:$C$2004,MATCH(428,'Saisie'!$AX$5:$AX$2004,0)),"")</f>
        <v/>
      </c>
      <c r="D432" s="60">
        <f>IF(C432="","",IF(AND(BR432&gt;0,BR432&gt;BS432,BA432&lt;7),"Perdu",INDEX('Paramètres'!$F$6:$F$13,BA432)))</f>
        <v/>
      </c>
      <c r="E432" s="61">
        <f>IF(C432="","",MIN(100,(Z432="Oui")*'Paramètres'!$B$38+(AB432="Régulière")*'Paramètres'!$B$39+IF(AND(N(AA432)&gt;0,TODAY()-N(AA432)&lt;=30),'Paramètres'!$B$40,0)+(W432="")*'Paramètres'!$B$41+(AC432="Absente")*'Paramètres'!$B$42+(AC432="Faible")*'Paramètres'!$B$43+IF(AND(N(AD432)&gt;0,N(AD432)&lt;4),'Paramètres'!$B$44,0)+(AF432="Moyenne")*'Paramètres'!$B$45+(AF432="Grande")*'Paramètres'!$B$46+(Y432&lt;&gt;"")*'Paramètres'!$B$47))</f>
        <v/>
      </c>
      <c r="F432" s="60">
        <f>IF(C432="","",IF(D432="Gagné","",IF(D432="Perdu",IF(AND(AX432&lt;&gt;"",AX432&lt;=TODAY()),"À recontacter (perdu)",""),IF(AND(O432&gt;='Paramètres'!$B$21,P432=0),"Stop : "&amp;'Paramètres'!$B$21&amp;" tentatives sans réponse",IF(AND(D432="Proposition",AR432&lt;&gt;"",TODAY()&gt;N(AR432)),"Proposition expirée",IF(AND(D432="Proposition",N(R432)&gt;='Paramètres'!$B$25),"Proposition sans réponse",IF(AND(G432&lt;&gt;"",N(G432)&lt;TODAY()),"Relance en retard",IF(N(R432)&gt;='Paramètres'!$B$24,"Sans action depuis "&amp;R432&amp;" j",""))))))))</f>
        <v/>
      </c>
      <c r="G432" s="106">
        <f>IF(OR(C432="",D432="Gagné",D432="Perdu"),"",IF(AND(BP432&gt;0,BP432=BQ432),INDEX('Saisie'!$J$5:$J$2004,BP432-4),IF(OR(O432=0,AND(O432&gt;='Paramètres'!$B$21,P432=0)),"",Q432+IF(O432&lt;=1,'Paramètres'!$B$18,IF(O432=2,'Paramètres'!$B$19,'Paramètres'!$B$20)))))</f>
        <v/>
      </c>
      <c r="H432" s="107">
        <f>IF(OR(G432="",BP432&lt;&gt;BQ432),"",IF(INDEX('Saisie'!$K$5:$K$2004,BP432-4)="","",INDEX('Saisie'!$K$5:$K$2004,BP432-4)))</f>
        <v/>
      </c>
      <c r="I432" s="60">
        <f>IF(C432="","",IF(OR(D432="Gagné",D432="Perdu"),"",IFERROR(INDEX('Saisie'!$I$5:$I$2004,_xlfn.MAXIFS('Saisie'!$AS$5:$AS$2004,'Saisie'!$C$5:$C$2004,C432,'Saisie'!$I$5:$I$2004,"&lt;&gt;")-4),"")))</f>
        <v/>
      </c>
      <c r="J432" s="60">
        <f>IF(C432="","",IFERROR(INDEX('Saisie'!$U$5:$U$2004,_xlfn.MAXIFS('Saisie'!$AS$5:$AS$2004,'Saisie'!$C$5:$C$2004,C432,'Saisie'!$U$5:$U$2004,"&lt;&gt;")-4),""))</f>
        <v/>
      </c>
      <c r="K432" s="60">
        <f>IF(C432="","",IFERROR(INDEX('Saisie'!$W$5:$W$2004,_xlfn.MAXIFS('Saisie'!$AS$5:$AS$2004,'Saisie'!$C$5:$C$2004,C432,'Saisie'!$W$5:$W$2004,"&lt;&gt;")-4),""))</f>
        <v/>
      </c>
      <c r="L432" s="60">
        <f>IF(IF(BB432&lt;&gt;"",BB432,K432)="","",HYPERLINK("https://wa.me/"&amp;IF(LEFT(SUBSTITUTE(SUBSTITUTE(SUBSTITUTE(IF(BB432&lt;&gt;"",BB432,K432)," ",""),".",""),"+",""),1)="0",'Paramètres'!$B$35&amp;MID(SUBSTITUTE(SUBSTITUTE(SUBSTITUTE(IF(BB432&lt;&gt;"",BB432,K432)," ",""),".",""),"+",""),2,20),SUBSTITUTE(SUBSTITUTE(SUBSTITUTE(IF(BB432&lt;&gt;"",BB432,K432)," ",""),".",""),"+","")),"WhatsApp"))</f>
        <v/>
      </c>
      <c r="M432" s="60">
        <f>IF(BC432="","",HYPERLINK(IF(LEFT(BC432,4)="http",BC432,"https://www.instagram.com/"&amp;SUBSTITUTE(SUBSTITUTE(BC432,"@","")," ","")),BC432))</f>
        <v/>
      </c>
      <c r="N432" s="60">
        <f>IF(C432="","",IFERROR(INDEX('Saisie'!$D$5:$D$2004,_xlfn.MINIFS('Saisie'!$AS$5:$AS$2004,'Saisie'!$C$5:$C$2004,C432,'Saisie'!$AU$5:$AU$2004,1)-4),IFERROR(INDEX('Saisie'!$D$5:$D$2004,_xlfn.MINIFS('Saisie'!$AS$5:$AS$2004,'Saisie'!$C$5:$C$2004,C432,'Saisie'!$D$5:$D$2004,"&lt;&gt;")-4),"")))</f>
        <v/>
      </c>
      <c r="O432" s="60">
        <f>IF(C432="","",COUNTIFS('Saisie'!$C$5:$C$2004,C432,'Saisie'!$AU$5:$AU$2004,1))</f>
        <v/>
      </c>
      <c r="P432" s="60">
        <f>IF(C432="","",COUNTIFS('Saisie'!$C$5:$C$2004,C432,'Saisie'!$AV$5:$AV$2004,1))</f>
        <v/>
      </c>
      <c r="Q432" s="106">
        <f>IF(C432="","",IFERROR(1/(1/_xlfn.MAXIFS('Saisie'!$A$5:$A$2004,'Saisie'!$C$5:$C$2004,C432)),""))</f>
        <v/>
      </c>
      <c r="R432" s="61">
        <f>IF(C432="","",IF(Q432="","",TODAY()-Q432))</f>
        <v/>
      </c>
      <c r="S432" s="60">
        <f>IF(C432="","",IFERROR(INDEX('Saisie'!$R$5:$R$2004,_xlfn.MAXIFS('Saisie'!$AS$5:$AS$2004,'Saisie'!$C$5:$C$2004,C432,'Saisie'!$R$5:$R$2004,"&lt;&gt;")-4),""))</f>
        <v/>
      </c>
      <c r="T432" s="60">
        <f>IF(C432="","",IFERROR(INDEX('Saisie'!$S$5:$S$2004,_xlfn.MAXIFS('Saisie'!$AS$5:$AS$2004,'Saisie'!$C$5:$C$2004,C432,'Saisie'!$S$5:$S$2004,"&lt;&gt;")-4),""))</f>
        <v/>
      </c>
      <c r="U432" s="60">
        <f>IF(C432="","",IFERROR(INDEX('Saisie'!$T$5:$T$2004,_xlfn.MAXIFS('Saisie'!$AS$5:$AS$2004,'Saisie'!$C$5:$C$2004,C432,'Saisie'!$T$5:$T$2004,"&lt;&gt;")-4),""))</f>
        <v/>
      </c>
      <c r="V432" s="60">
        <f>IF(C432="","",IFERROR(INDEX('Saisie'!$V$5:$V$2004,_xlfn.MAXIFS('Saisie'!$AS$5:$AS$2004,'Saisie'!$C$5:$C$2004,C432,'Saisie'!$V$5:$V$2004,"&lt;&gt;")-4),""))</f>
        <v/>
      </c>
      <c r="W432" s="60">
        <f>IF(C432="","",IFERROR(INDEX('Saisie'!$Z$5:$Z$2004,_xlfn.MAXIFS('Saisie'!$AS$5:$AS$2004,'Saisie'!$C$5:$C$2004,C432,'Saisie'!$Z$5:$Z$2004,"&lt;&gt;")-4),""))</f>
        <v/>
      </c>
      <c r="X432" s="60">
        <f>IF(C432="","",IFERROR(INDEX('Saisie'!$AA$5:$AA$2004,_xlfn.MAXIFS('Saisie'!$AS$5:$AS$2004,'Saisie'!$C$5:$C$2004,C432,'Saisie'!$AA$5:$AA$2004,"&lt;&gt;")-4),""))</f>
        <v/>
      </c>
      <c r="Y432" s="60">
        <f>IF(C432="","",IFERROR(INDEX('Saisie'!$AB$5:$AB$2004,_xlfn.MAXIFS('Saisie'!$AS$5:$AS$2004,'Saisie'!$C$5:$C$2004,C432,'Saisie'!$AB$5:$AB$2004,"&lt;&gt;")-4),""))</f>
        <v/>
      </c>
      <c r="Z432" s="60">
        <f>IF(C432="","",IFERROR(INDEX('Saisie'!$AC$5:$AC$2004,_xlfn.MAXIFS('Saisie'!$AS$5:$AS$2004,'Saisie'!$C$5:$C$2004,C432,'Saisie'!$AC$5:$AC$2004,"&lt;&gt;")-4),""))</f>
        <v/>
      </c>
      <c r="AA432" s="106">
        <f>IF(C432="","",IFERROR(INDEX('Saisie'!$AD$5:$AD$2004,_xlfn.MAXIFS('Saisie'!$AS$5:$AS$2004,'Saisie'!$C$5:$C$2004,C432,'Saisie'!$AD$5:$AD$2004,"&lt;&gt;")-4),""))</f>
        <v/>
      </c>
      <c r="AB432" s="60">
        <f>IF(C432="","",IFERROR(INDEX('Saisie'!$AE$5:$AE$2004,_xlfn.MAXIFS('Saisie'!$AS$5:$AS$2004,'Saisie'!$C$5:$C$2004,C432,'Saisie'!$AE$5:$AE$2004,"&lt;&gt;")-4),""))</f>
        <v/>
      </c>
      <c r="AC432" s="60">
        <f>IF(C432="","",IFERROR(INDEX('Saisie'!$AF$5:$AF$2004,_xlfn.MAXIFS('Saisie'!$AS$5:$AS$2004,'Saisie'!$C$5:$C$2004,C432,'Saisie'!$AF$5:$AF$2004,"&lt;&gt;")-4),""))</f>
        <v/>
      </c>
      <c r="AD432" s="108">
        <f>IF(C432="","",IFERROR(INDEX('Saisie'!$AG$5:$AG$2004,_xlfn.MAXIFS('Saisie'!$AS$5:$AS$2004,'Saisie'!$C$5:$C$2004,C432,'Saisie'!$AG$5:$AG$2004,"&lt;&gt;")-4),""))</f>
        <v/>
      </c>
      <c r="AE432" s="60">
        <f>IF(C432="","",IFERROR(INDEX('Saisie'!$AH$5:$AH$2004,_xlfn.MAXIFS('Saisie'!$AS$5:$AS$2004,'Saisie'!$C$5:$C$2004,C432,'Saisie'!$AH$5:$AH$2004,"&lt;&gt;")-4),""))</f>
        <v/>
      </c>
      <c r="AF432" s="60">
        <f>IF(C432="","",IFERROR(INDEX('Saisie'!$AI$5:$AI$2004,_xlfn.MAXIFS('Saisie'!$AS$5:$AS$2004,'Saisie'!$C$5:$C$2004,C432,'Saisie'!$AI$5:$AI$2004,"&lt;&gt;")-4),""))</f>
        <v/>
      </c>
      <c r="AG432" s="60">
        <f>IF(C432="","",IFERROR(INDEX('Saisie'!$AJ$5:$AJ$2004,_xlfn.MAXIFS('Saisie'!$AS$5:$AS$2004,'Saisie'!$C$5:$C$2004,C432,'Saisie'!$AJ$5:$AJ$2004,"&lt;&gt;")-4),""))</f>
        <v/>
      </c>
      <c r="AH432" s="60">
        <f>IF(C432="","",IFERROR(INDEX('Saisie'!$AK$5:$AK$2004,_xlfn.MAXIFS('Saisie'!$AS$5:$AS$2004,'Saisie'!$C$5:$C$2004,C432,'Saisie'!$AK$5:$AK$2004,"&lt;&gt;")-4),""))</f>
        <v/>
      </c>
      <c r="AI432" s="60">
        <f>IF(C432="","",IFERROR(INDEX('Saisie'!$AN$5:$AN$2004,_xlfn.MAXIFS('Saisie'!$AS$5:$AS$2004,'Saisie'!$C$5:$C$2004,C432,'Saisie'!$AN$5:$AN$2004,"&lt;&gt;")-4),""))</f>
        <v/>
      </c>
      <c r="AJ432" s="60">
        <f>IF(C432="","",IFERROR(INDEX('Saisie'!$AO$5:$AO$2004,_xlfn.MAXIFS('Saisie'!$AS$5:$AS$2004,'Saisie'!$C$5:$C$2004,C432,'Saisie'!$AO$5:$AO$2004,"&lt;&gt;")-4),""))</f>
        <v/>
      </c>
      <c r="AK432" s="60">
        <f>IF(C432="","",IFERROR(INDEX('Saisie'!$AP$5:$AP$2004,_xlfn.MAXIFS('Saisie'!$AS$5:$AS$2004,'Saisie'!$C$5:$C$2004,C432,'Saisie'!$AP$5:$AP$2004,"&lt;&gt;")-4),""))</f>
        <v/>
      </c>
      <c r="AL432" s="60">
        <f>IF(C432="","",IFERROR(INDEX('Saisie'!$AQ$5:$AQ$2004,_xlfn.MAXIFS('Saisie'!$AS$5:$AS$2004,'Saisie'!$C$5:$C$2004,C432,'Saisie'!$AQ$5:$AQ$2004,"&lt;&gt;")-4),""))</f>
        <v/>
      </c>
      <c r="AM432" s="60">
        <f>IF(C432="","",((AI432="Oui")+(AJ432="Oui")+(AK432="Oui")+OR(AL432="Immédiat",AL432="&lt; 1 mois"))&amp;"/4")</f>
        <v/>
      </c>
      <c r="AN432" s="60">
        <f>IF(C432="","",IFERROR(INDEX('Saisie'!$AL$5:$AL$2004,_xlfn.MAXIFS('Saisie'!$AS$5:$AS$2004,'Saisie'!$C$5:$C$2004,C432,'Saisie'!$AL$5:$AL$2004,"&lt;&gt;")-4),""))</f>
        <v/>
      </c>
      <c r="AO432" s="62">
        <f>IF(C432="","",IF(IFERROR(INDEX('Saisie'!$AM$5:$AM$2004,_xlfn.MAXIFS('Saisie'!$AS$5:$AS$2004,'Saisie'!$C$5:$C$2004,C432,'Saisie'!$AM$5:$AM$2004,"&lt;&gt;")-4),"")&lt;&gt;"",IFERROR(INDEX('Saisie'!$AM$5:$AM$2004,_xlfn.MAXIFS('Saisie'!$AS$5:$AS$2004,'Saisie'!$C$5:$C$2004,C432,'Saisie'!$AM$5:$AM$2004,"&lt;&gt;")-4),""),IFERROR(INDEX('Paramètres'!$S$6:$S$15,MATCH(AN432,'Paramètres'!$Q$6:$Q$15,0)),"")))</f>
        <v/>
      </c>
      <c r="AP432" s="62">
        <f>IF(C432="","",IFERROR(INDEX('Saisie'!$AW$5:$AW$2004,_xlfn.MAXIFS('Saisie'!$AS$5:$AS$2004,'Saisie'!$C$5:$C$2004,C432,'Saisie'!$E$5:$E$2004,"Proposition envoyée")-4),""))</f>
        <v/>
      </c>
      <c r="AQ432" s="106">
        <f>IF(C432="","",IFERROR(1/(1/_xlfn.MAXIFS('Saisie'!$A$5:$A$2004,'Saisie'!$C$5:$C$2004,C432,'Saisie'!$E$5:$E$2004,"Proposition envoyée")),""))</f>
        <v/>
      </c>
      <c r="AR432" s="106">
        <f>IF(C432="","",IF(AQ432="","",AQ432+'Paramètres'!$B$26))</f>
        <v/>
      </c>
      <c r="AS432" s="62">
        <f>IF(OR(C432="",D432="Gagné",D432="Perdu"),0,N(AP432)*IFERROR(INDEX('Paramètres'!$G$6:$G$13,MATCH(D432,'Paramètres'!$F$6:$F$13,0)),0))</f>
        <v/>
      </c>
      <c r="AT432" s="106">
        <f>IF(C432="","",IFERROR(1/(1/_xlfn.MINIFS('Saisie'!$A$5:$A$2004,'Saisie'!$C$5:$C$2004,C432,'Saisie'!$E$5:$E$2004,"Signature")),""))</f>
        <v/>
      </c>
      <c r="AU432" s="60">
        <f>IF(C432="","",IF(OR(AT432="",B432=""),"",AT432-B432))</f>
        <v/>
      </c>
      <c r="AV432" s="60">
        <f>IF(C432="","",IFERROR(INDEX('Saisie'!$L$5:$L$2004,_xlfn.MAXIFS('Saisie'!$AS$5:$AS$2004,'Saisie'!$C$5:$C$2004,C432,'Saisie'!$L$5:$L$2004,"&lt;&gt;")-4),""))</f>
        <v/>
      </c>
      <c r="AW432" s="106">
        <f>IF(C432="","",IF(D432&lt;&gt;"Perdu","",IFERROR(1/(1/_xlfn.MAXIFS('Saisie'!$A$5:$A$2004,'Saisie'!$C$5:$C$2004,C432,'Saisie'!$E$5:$E$2004,"Perdu")),"")))</f>
        <v/>
      </c>
      <c r="AX432" s="106">
        <f>IF(C432="","",IF(AW432="","",AW432+'Paramètres'!$B$28))</f>
        <v/>
      </c>
      <c r="AY432" s="60">
        <f>IF(C432="","",SUMIFS('Saisie'!$H$5:$H$2004,'Saisie'!$C$5:$C$2004,C432))</f>
        <v/>
      </c>
      <c r="AZ432" s="60">
        <f>IF(C432="","",IFERROR(INDEX('Paramètres'!$W$6:$W$20,MATCH(S432,'Paramètres'!$V$6:$V$20,0))&amp;"",""))</f>
        <v/>
      </c>
      <c r="BA432" s="60">
        <f>IF(C432="","",MAX(1,_xlfn.MAXIFS('Saisie'!$AT$5:$AT$2004,'Saisie'!$C$5:$C$2004,C432)))</f>
        <v/>
      </c>
      <c r="BB432" s="60">
        <f>IF(C432="","",IFERROR(INDEX('Saisie'!$X$5:$X$2004,_xlfn.MAXIFS('Saisie'!$AS$5:$AS$2004,'Saisie'!$C$5:$C$2004,C432,'Saisie'!$X$5:$X$2004,"&lt;&gt;")-4),""))</f>
        <v/>
      </c>
      <c r="BC432" s="60">
        <f>IF(C432="","",IFERROR(INDEX('Saisie'!$Y$5:$Y$2004,_xlfn.MAXIFS('Saisie'!$AS$5:$AS$2004,'Saisie'!$C$5:$C$2004,C432,'Saisie'!$Y$5:$Y$2004,"&lt;&gt;")-4),""))</f>
        <v/>
      </c>
      <c r="BD432" s="106">
        <f>IF(C432="","",IFERROR(1/(1/_xlfn.MINIFS('Saisie'!$A$5:$A$2004,'Saisie'!$C$5:$C$2004,C432,'Saisie'!$AT$5:$AT$2004,"&gt;=2")),""))</f>
        <v/>
      </c>
      <c r="BE432" s="106">
        <f>IF(C432="","",IFERROR(1/(1/_xlfn.MINIFS('Saisie'!$A$5:$A$2004,'Saisie'!$C$5:$C$2004,C432,'Saisie'!$AT$5:$AT$2004,"&gt;=3")),""))</f>
        <v/>
      </c>
      <c r="BF432" s="106">
        <f>IF(C432="","",IFERROR(1/(1/_xlfn.MINIFS('Saisie'!$A$5:$A$2004,'Saisie'!$C$5:$C$2004,C432,'Saisie'!$AT$5:$AT$2004,"&gt;=4")),""))</f>
        <v/>
      </c>
      <c r="BG432" s="106">
        <f>IF(C432="","",IFERROR(1/(1/_xlfn.MINIFS('Saisie'!$A$5:$A$2004,'Saisie'!$C$5:$C$2004,C432,'Saisie'!$AT$5:$AT$2004,"&gt;=5")),""))</f>
        <v/>
      </c>
      <c r="BH432" s="106">
        <f>IF(C432="","",IFERROR(1/(1/_xlfn.MINIFS('Saisie'!$A$5:$A$2004,'Saisie'!$C$5:$C$2004,C432,'Saisie'!$AT$5:$AT$2004,"&gt;=6")),""))</f>
        <v/>
      </c>
      <c r="BI432" s="106">
        <f>IF(C432="","",IFERROR(1/(1/_xlfn.MINIFS('Saisie'!$A$5:$A$2004,'Saisie'!$C$5:$C$2004,C432,'Saisie'!$AT$5:$AT$2004,"&gt;=7")),""))</f>
        <v/>
      </c>
      <c r="BJ432" s="60">
        <f>IF(OR(BD432="",B432=""),"",BD432-B432)</f>
        <v/>
      </c>
      <c r="BK432" s="60">
        <f>IF(OR(BE432="",BD432=""),"",BE432-BD432)</f>
        <v/>
      </c>
      <c r="BL432" s="60">
        <f>IF(OR(BF432="",BE432=""),"",BF432-BE432)</f>
        <v/>
      </c>
      <c r="BM432" s="60">
        <f>IF(OR(BG432="",BF432=""),"",BG432-BF432)</f>
        <v/>
      </c>
      <c r="BN432" s="60">
        <f>IF(OR(BH432="",BG432=""),"",BH432-BG432)</f>
        <v/>
      </c>
      <c r="BO432" s="60">
        <f>IF(OR(BI432="",BH432=""),"",BI432-BH432)</f>
        <v/>
      </c>
      <c r="BP432" s="60">
        <f>IF(C432="","",_xlfn.MAXIFS('Saisie'!$AS$5:$AS$2004,'Saisie'!$C$5:$C$2004,C432,'Saisie'!$J$5:$J$2004,"&lt;&gt;"))</f>
        <v/>
      </c>
      <c r="BQ432" s="60">
        <f>IF(C432="","",_xlfn.MAXIFS('Saisie'!$AS$5:$AS$2004,'Saisie'!$C$5:$C$2004,C432))</f>
        <v/>
      </c>
      <c r="BR432" s="60">
        <f>IF(C432="","",_xlfn.MAXIFS('Saisie'!$AS$5:$AS$2004,'Saisie'!$C$5:$C$2004,C432,'Saisie'!$E$5:$E$2004,"Perdu"))</f>
        <v/>
      </c>
      <c r="BS432" s="60">
        <f>IF(C432="","",_xlfn.MAXIFS('Saisie'!$AS$5:$AS$2004,'Saisie'!$C$5:$C$2004,C432,'Saisie'!$AT$5:$AT$2004,"&gt;0"))</f>
        <v/>
      </c>
      <c r="BT432" s="109">
        <f>IF(AND(C432&lt;&gt;"",OR(D432="Nouveau",D432="Contacté",D432="Qualifié"),OR(G432="",N(G432)&lt;=TODAY()),NOT(AND(O432&gt;='Paramètres'!$B$21,P432=0))),E432+428/10000,"")</f>
        <v/>
      </c>
      <c r="BU432" s="60">
        <f>IF(AND(G432&lt;&gt;"",N(G432)&lt;=TODAY()),MAX($BU$4:BU431)+1,"")</f>
        <v/>
      </c>
      <c r="BV432" s="60">
        <f>IF(AND(F432&lt;&gt;"",F432&lt;&gt;"Relance en retard"),MAX($BV$4:BV431)+1,"")</f>
        <v/>
      </c>
      <c r="BW432" s="60">
        <f>IF(C432="","",IF(AND(B432&gt;='Tableau de bord'!$R$4,B432&lt;='Tableau de bord'!$S$4,OR('Tableau de bord'!$G$4="Tous",N432='Tableau de bord'!$G$4)),1,0))</f>
        <v/>
      </c>
      <c r="BX432" s="60">
        <f>IF(AND(C432&lt;&gt;"",N(BA432)=7),MAX($BX$4:BX431)+1,"")</f>
        <v/>
      </c>
    </row>
    <row r="433">
      <c r="A433" s="60">
        <f>IF(C433="","","P-"&amp;TEXT(429,"000"))</f>
        <v/>
      </c>
      <c r="B433" s="106">
        <f>IF(C433="","",IFERROR(1/(1/_xlfn.MINIFS('Saisie'!$A$5:$A$2004,'Saisie'!$C$5:$C$2004,C433)),""))</f>
        <v/>
      </c>
      <c r="C433" s="60">
        <f>IFERROR(INDEX('Saisie'!$C$5:$C$2004,MATCH(429,'Saisie'!$AX$5:$AX$2004,0)),"")</f>
        <v/>
      </c>
      <c r="D433" s="60">
        <f>IF(C433="","",IF(AND(BR433&gt;0,BR433&gt;BS433,BA433&lt;7),"Perdu",INDEX('Paramètres'!$F$6:$F$13,BA433)))</f>
        <v/>
      </c>
      <c r="E433" s="61">
        <f>IF(C433="","",MIN(100,(Z433="Oui")*'Paramètres'!$B$38+(AB433="Régulière")*'Paramètres'!$B$39+IF(AND(N(AA433)&gt;0,TODAY()-N(AA433)&lt;=30),'Paramètres'!$B$40,0)+(W433="")*'Paramètres'!$B$41+(AC433="Absente")*'Paramètres'!$B$42+(AC433="Faible")*'Paramètres'!$B$43+IF(AND(N(AD433)&gt;0,N(AD433)&lt;4),'Paramètres'!$B$44,0)+(AF433="Moyenne")*'Paramètres'!$B$45+(AF433="Grande")*'Paramètres'!$B$46+(Y433&lt;&gt;"")*'Paramètres'!$B$47))</f>
        <v/>
      </c>
      <c r="F433" s="60">
        <f>IF(C433="","",IF(D433="Gagné","",IF(D433="Perdu",IF(AND(AX433&lt;&gt;"",AX433&lt;=TODAY()),"À recontacter (perdu)",""),IF(AND(O433&gt;='Paramètres'!$B$21,P433=0),"Stop : "&amp;'Paramètres'!$B$21&amp;" tentatives sans réponse",IF(AND(D433="Proposition",AR433&lt;&gt;"",TODAY()&gt;N(AR433)),"Proposition expirée",IF(AND(D433="Proposition",N(R433)&gt;='Paramètres'!$B$25),"Proposition sans réponse",IF(AND(G433&lt;&gt;"",N(G433)&lt;TODAY()),"Relance en retard",IF(N(R433)&gt;='Paramètres'!$B$24,"Sans action depuis "&amp;R433&amp;" j",""))))))))</f>
        <v/>
      </c>
      <c r="G433" s="106">
        <f>IF(OR(C433="",D433="Gagné",D433="Perdu"),"",IF(AND(BP433&gt;0,BP433=BQ433),INDEX('Saisie'!$J$5:$J$2004,BP433-4),IF(OR(O433=0,AND(O433&gt;='Paramètres'!$B$21,P433=0)),"",Q433+IF(O433&lt;=1,'Paramètres'!$B$18,IF(O433=2,'Paramètres'!$B$19,'Paramètres'!$B$20)))))</f>
        <v/>
      </c>
      <c r="H433" s="107">
        <f>IF(OR(G433="",BP433&lt;&gt;BQ433),"",IF(INDEX('Saisie'!$K$5:$K$2004,BP433-4)="","",INDEX('Saisie'!$K$5:$K$2004,BP433-4)))</f>
        <v/>
      </c>
      <c r="I433" s="60">
        <f>IF(C433="","",IF(OR(D433="Gagné",D433="Perdu"),"",IFERROR(INDEX('Saisie'!$I$5:$I$2004,_xlfn.MAXIFS('Saisie'!$AS$5:$AS$2004,'Saisie'!$C$5:$C$2004,C433,'Saisie'!$I$5:$I$2004,"&lt;&gt;")-4),"")))</f>
        <v/>
      </c>
      <c r="J433" s="60">
        <f>IF(C433="","",IFERROR(INDEX('Saisie'!$U$5:$U$2004,_xlfn.MAXIFS('Saisie'!$AS$5:$AS$2004,'Saisie'!$C$5:$C$2004,C433,'Saisie'!$U$5:$U$2004,"&lt;&gt;")-4),""))</f>
        <v/>
      </c>
      <c r="K433" s="60">
        <f>IF(C433="","",IFERROR(INDEX('Saisie'!$W$5:$W$2004,_xlfn.MAXIFS('Saisie'!$AS$5:$AS$2004,'Saisie'!$C$5:$C$2004,C433,'Saisie'!$W$5:$W$2004,"&lt;&gt;")-4),""))</f>
        <v/>
      </c>
      <c r="L433" s="60">
        <f>IF(IF(BB433&lt;&gt;"",BB433,K433)="","",HYPERLINK("https://wa.me/"&amp;IF(LEFT(SUBSTITUTE(SUBSTITUTE(SUBSTITUTE(IF(BB433&lt;&gt;"",BB433,K433)," ",""),".",""),"+",""),1)="0",'Paramètres'!$B$35&amp;MID(SUBSTITUTE(SUBSTITUTE(SUBSTITUTE(IF(BB433&lt;&gt;"",BB433,K433)," ",""),".",""),"+",""),2,20),SUBSTITUTE(SUBSTITUTE(SUBSTITUTE(IF(BB433&lt;&gt;"",BB433,K433)," ",""),".",""),"+","")),"WhatsApp"))</f>
        <v/>
      </c>
      <c r="M433" s="60">
        <f>IF(BC433="","",HYPERLINK(IF(LEFT(BC433,4)="http",BC433,"https://www.instagram.com/"&amp;SUBSTITUTE(SUBSTITUTE(BC433,"@","")," ","")),BC433))</f>
        <v/>
      </c>
      <c r="N433" s="60">
        <f>IF(C433="","",IFERROR(INDEX('Saisie'!$D$5:$D$2004,_xlfn.MINIFS('Saisie'!$AS$5:$AS$2004,'Saisie'!$C$5:$C$2004,C433,'Saisie'!$AU$5:$AU$2004,1)-4),IFERROR(INDEX('Saisie'!$D$5:$D$2004,_xlfn.MINIFS('Saisie'!$AS$5:$AS$2004,'Saisie'!$C$5:$C$2004,C433,'Saisie'!$D$5:$D$2004,"&lt;&gt;")-4),"")))</f>
        <v/>
      </c>
      <c r="O433" s="60">
        <f>IF(C433="","",COUNTIFS('Saisie'!$C$5:$C$2004,C433,'Saisie'!$AU$5:$AU$2004,1))</f>
        <v/>
      </c>
      <c r="P433" s="60">
        <f>IF(C433="","",COUNTIFS('Saisie'!$C$5:$C$2004,C433,'Saisie'!$AV$5:$AV$2004,1))</f>
        <v/>
      </c>
      <c r="Q433" s="106">
        <f>IF(C433="","",IFERROR(1/(1/_xlfn.MAXIFS('Saisie'!$A$5:$A$2004,'Saisie'!$C$5:$C$2004,C433)),""))</f>
        <v/>
      </c>
      <c r="R433" s="61">
        <f>IF(C433="","",IF(Q433="","",TODAY()-Q433))</f>
        <v/>
      </c>
      <c r="S433" s="60">
        <f>IF(C433="","",IFERROR(INDEX('Saisie'!$R$5:$R$2004,_xlfn.MAXIFS('Saisie'!$AS$5:$AS$2004,'Saisie'!$C$5:$C$2004,C433,'Saisie'!$R$5:$R$2004,"&lt;&gt;")-4),""))</f>
        <v/>
      </c>
      <c r="T433" s="60">
        <f>IF(C433="","",IFERROR(INDEX('Saisie'!$S$5:$S$2004,_xlfn.MAXIFS('Saisie'!$AS$5:$AS$2004,'Saisie'!$C$5:$C$2004,C433,'Saisie'!$S$5:$S$2004,"&lt;&gt;")-4),""))</f>
        <v/>
      </c>
      <c r="U433" s="60">
        <f>IF(C433="","",IFERROR(INDEX('Saisie'!$T$5:$T$2004,_xlfn.MAXIFS('Saisie'!$AS$5:$AS$2004,'Saisie'!$C$5:$C$2004,C433,'Saisie'!$T$5:$T$2004,"&lt;&gt;")-4),""))</f>
        <v/>
      </c>
      <c r="V433" s="60">
        <f>IF(C433="","",IFERROR(INDEX('Saisie'!$V$5:$V$2004,_xlfn.MAXIFS('Saisie'!$AS$5:$AS$2004,'Saisie'!$C$5:$C$2004,C433,'Saisie'!$V$5:$V$2004,"&lt;&gt;")-4),""))</f>
        <v/>
      </c>
      <c r="W433" s="60">
        <f>IF(C433="","",IFERROR(INDEX('Saisie'!$Z$5:$Z$2004,_xlfn.MAXIFS('Saisie'!$AS$5:$AS$2004,'Saisie'!$C$5:$C$2004,C433,'Saisie'!$Z$5:$Z$2004,"&lt;&gt;")-4),""))</f>
        <v/>
      </c>
      <c r="X433" s="60">
        <f>IF(C433="","",IFERROR(INDEX('Saisie'!$AA$5:$AA$2004,_xlfn.MAXIFS('Saisie'!$AS$5:$AS$2004,'Saisie'!$C$5:$C$2004,C433,'Saisie'!$AA$5:$AA$2004,"&lt;&gt;")-4),""))</f>
        <v/>
      </c>
      <c r="Y433" s="60">
        <f>IF(C433="","",IFERROR(INDEX('Saisie'!$AB$5:$AB$2004,_xlfn.MAXIFS('Saisie'!$AS$5:$AS$2004,'Saisie'!$C$5:$C$2004,C433,'Saisie'!$AB$5:$AB$2004,"&lt;&gt;")-4),""))</f>
        <v/>
      </c>
      <c r="Z433" s="60">
        <f>IF(C433="","",IFERROR(INDEX('Saisie'!$AC$5:$AC$2004,_xlfn.MAXIFS('Saisie'!$AS$5:$AS$2004,'Saisie'!$C$5:$C$2004,C433,'Saisie'!$AC$5:$AC$2004,"&lt;&gt;")-4),""))</f>
        <v/>
      </c>
      <c r="AA433" s="106">
        <f>IF(C433="","",IFERROR(INDEX('Saisie'!$AD$5:$AD$2004,_xlfn.MAXIFS('Saisie'!$AS$5:$AS$2004,'Saisie'!$C$5:$C$2004,C433,'Saisie'!$AD$5:$AD$2004,"&lt;&gt;")-4),""))</f>
        <v/>
      </c>
      <c r="AB433" s="60">
        <f>IF(C433="","",IFERROR(INDEX('Saisie'!$AE$5:$AE$2004,_xlfn.MAXIFS('Saisie'!$AS$5:$AS$2004,'Saisie'!$C$5:$C$2004,C433,'Saisie'!$AE$5:$AE$2004,"&lt;&gt;")-4),""))</f>
        <v/>
      </c>
      <c r="AC433" s="60">
        <f>IF(C433="","",IFERROR(INDEX('Saisie'!$AF$5:$AF$2004,_xlfn.MAXIFS('Saisie'!$AS$5:$AS$2004,'Saisie'!$C$5:$C$2004,C433,'Saisie'!$AF$5:$AF$2004,"&lt;&gt;")-4),""))</f>
        <v/>
      </c>
      <c r="AD433" s="108">
        <f>IF(C433="","",IFERROR(INDEX('Saisie'!$AG$5:$AG$2004,_xlfn.MAXIFS('Saisie'!$AS$5:$AS$2004,'Saisie'!$C$5:$C$2004,C433,'Saisie'!$AG$5:$AG$2004,"&lt;&gt;")-4),""))</f>
        <v/>
      </c>
      <c r="AE433" s="60">
        <f>IF(C433="","",IFERROR(INDEX('Saisie'!$AH$5:$AH$2004,_xlfn.MAXIFS('Saisie'!$AS$5:$AS$2004,'Saisie'!$C$5:$C$2004,C433,'Saisie'!$AH$5:$AH$2004,"&lt;&gt;")-4),""))</f>
        <v/>
      </c>
      <c r="AF433" s="60">
        <f>IF(C433="","",IFERROR(INDEX('Saisie'!$AI$5:$AI$2004,_xlfn.MAXIFS('Saisie'!$AS$5:$AS$2004,'Saisie'!$C$5:$C$2004,C433,'Saisie'!$AI$5:$AI$2004,"&lt;&gt;")-4),""))</f>
        <v/>
      </c>
      <c r="AG433" s="60">
        <f>IF(C433="","",IFERROR(INDEX('Saisie'!$AJ$5:$AJ$2004,_xlfn.MAXIFS('Saisie'!$AS$5:$AS$2004,'Saisie'!$C$5:$C$2004,C433,'Saisie'!$AJ$5:$AJ$2004,"&lt;&gt;")-4),""))</f>
        <v/>
      </c>
      <c r="AH433" s="60">
        <f>IF(C433="","",IFERROR(INDEX('Saisie'!$AK$5:$AK$2004,_xlfn.MAXIFS('Saisie'!$AS$5:$AS$2004,'Saisie'!$C$5:$C$2004,C433,'Saisie'!$AK$5:$AK$2004,"&lt;&gt;")-4),""))</f>
        <v/>
      </c>
      <c r="AI433" s="60">
        <f>IF(C433="","",IFERROR(INDEX('Saisie'!$AN$5:$AN$2004,_xlfn.MAXIFS('Saisie'!$AS$5:$AS$2004,'Saisie'!$C$5:$C$2004,C433,'Saisie'!$AN$5:$AN$2004,"&lt;&gt;")-4),""))</f>
        <v/>
      </c>
      <c r="AJ433" s="60">
        <f>IF(C433="","",IFERROR(INDEX('Saisie'!$AO$5:$AO$2004,_xlfn.MAXIFS('Saisie'!$AS$5:$AS$2004,'Saisie'!$C$5:$C$2004,C433,'Saisie'!$AO$5:$AO$2004,"&lt;&gt;")-4),""))</f>
        <v/>
      </c>
      <c r="AK433" s="60">
        <f>IF(C433="","",IFERROR(INDEX('Saisie'!$AP$5:$AP$2004,_xlfn.MAXIFS('Saisie'!$AS$5:$AS$2004,'Saisie'!$C$5:$C$2004,C433,'Saisie'!$AP$5:$AP$2004,"&lt;&gt;")-4),""))</f>
        <v/>
      </c>
      <c r="AL433" s="60">
        <f>IF(C433="","",IFERROR(INDEX('Saisie'!$AQ$5:$AQ$2004,_xlfn.MAXIFS('Saisie'!$AS$5:$AS$2004,'Saisie'!$C$5:$C$2004,C433,'Saisie'!$AQ$5:$AQ$2004,"&lt;&gt;")-4),""))</f>
        <v/>
      </c>
      <c r="AM433" s="60">
        <f>IF(C433="","",((AI433="Oui")+(AJ433="Oui")+(AK433="Oui")+OR(AL433="Immédiat",AL433="&lt; 1 mois"))&amp;"/4")</f>
        <v/>
      </c>
      <c r="AN433" s="60">
        <f>IF(C433="","",IFERROR(INDEX('Saisie'!$AL$5:$AL$2004,_xlfn.MAXIFS('Saisie'!$AS$5:$AS$2004,'Saisie'!$C$5:$C$2004,C433,'Saisie'!$AL$5:$AL$2004,"&lt;&gt;")-4),""))</f>
        <v/>
      </c>
      <c r="AO433" s="62">
        <f>IF(C433="","",IF(IFERROR(INDEX('Saisie'!$AM$5:$AM$2004,_xlfn.MAXIFS('Saisie'!$AS$5:$AS$2004,'Saisie'!$C$5:$C$2004,C433,'Saisie'!$AM$5:$AM$2004,"&lt;&gt;")-4),"")&lt;&gt;"",IFERROR(INDEX('Saisie'!$AM$5:$AM$2004,_xlfn.MAXIFS('Saisie'!$AS$5:$AS$2004,'Saisie'!$C$5:$C$2004,C433,'Saisie'!$AM$5:$AM$2004,"&lt;&gt;")-4),""),IFERROR(INDEX('Paramètres'!$S$6:$S$15,MATCH(AN433,'Paramètres'!$Q$6:$Q$15,0)),"")))</f>
        <v/>
      </c>
      <c r="AP433" s="62">
        <f>IF(C433="","",IFERROR(INDEX('Saisie'!$AW$5:$AW$2004,_xlfn.MAXIFS('Saisie'!$AS$5:$AS$2004,'Saisie'!$C$5:$C$2004,C433,'Saisie'!$E$5:$E$2004,"Proposition envoyée")-4),""))</f>
        <v/>
      </c>
      <c r="AQ433" s="106">
        <f>IF(C433="","",IFERROR(1/(1/_xlfn.MAXIFS('Saisie'!$A$5:$A$2004,'Saisie'!$C$5:$C$2004,C433,'Saisie'!$E$5:$E$2004,"Proposition envoyée")),""))</f>
        <v/>
      </c>
      <c r="AR433" s="106">
        <f>IF(C433="","",IF(AQ433="","",AQ433+'Paramètres'!$B$26))</f>
        <v/>
      </c>
      <c r="AS433" s="62">
        <f>IF(OR(C433="",D433="Gagné",D433="Perdu"),0,N(AP433)*IFERROR(INDEX('Paramètres'!$G$6:$G$13,MATCH(D433,'Paramètres'!$F$6:$F$13,0)),0))</f>
        <v/>
      </c>
      <c r="AT433" s="106">
        <f>IF(C433="","",IFERROR(1/(1/_xlfn.MINIFS('Saisie'!$A$5:$A$2004,'Saisie'!$C$5:$C$2004,C433,'Saisie'!$E$5:$E$2004,"Signature")),""))</f>
        <v/>
      </c>
      <c r="AU433" s="60">
        <f>IF(C433="","",IF(OR(AT433="",B433=""),"",AT433-B433))</f>
        <v/>
      </c>
      <c r="AV433" s="60">
        <f>IF(C433="","",IFERROR(INDEX('Saisie'!$L$5:$L$2004,_xlfn.MAXIFS('Saisie'!$AS$5:$AS$2004,'Saisie'!$C$5:$C$2004,C433,'Saisie'!$L$5:$L$2004,"&lt;&gt;")-4),""))</f>
        <v/>
      </c>
      <c r="AW433" s="106">
        <f>IF(C433="","",IF(D433&lt;&gt;"Perdu","",IFERROR(1/(1/_xlfn.MAXIFS('Saisie'!$A$5:$A$2004,'Saisie'!$C$5:$C$2004,C433,'Saisie'!$E$5:$E$2004,"Perdu")),"")))</f>
        <v/>
      </c>
      <c r="AX433" s="106">
        <f>IF(C433="","",IF(AW433="","",AW433+'Paramètres'!$B$28))</f>
        <v/>
      </c>
      <c r="AY433" s="60">
        <f>IF(C433="","",SUMIFS('Saisie'!$H$5:$H$2004,'Saisie'!$C$5:$C$2004,C433))</f>
        <v/>
      </c>
      <c r="AZ433" s="60">
        <f>IF(C433="","",IFERROR(INDEX('Paramètres'!$W$6:$W$20,MATCH(S433,'Paramètres'!$V$6:$V$20,0))&amp;"",""))</f>
        <v/>
      </c>
      <c r="BA433" s="60">
        <f>IF(C433="","",MAX(1,_xlfn.MAXIFS('Saisie'!$AT$5:$AT$2004,'Saisie'!$C$5:$C$2004,C433)))</f>
        <v/>
      </c>
      <c r="BB433" s="60">
        <f>IF(C433="","",IFERROR(INDEX('Saisie'!$X$5:$X$2004,_xlfn.MAXIFS('Saisie'!$AS$5:$AS$2004,'Saisie'!$C$5:$C$2004,C433,'Saisie'!$X$5:$X$2004,"&lt;&gt;")-4),""))</f>
        <v/>
      </c>
      <c r="BC433" s="60">
        <f>IF(C433="","",IFERROR(INDEX('Saisie'!$Y$5:$Y$2004,_xlfn.MAXIFS('Saisie'!$AS$5:$AS$2004,'Saisie'!$C$5:$C$2004,C433,'Saisie'!$Y$5:$Y$2004,"&lt;&gt;")-4),""))</f>
        <v/>
      </c>
      <c r="BD433" s="106">
        <f>IF(C433="","",IFERROR(1/(1/_xlfn.MINIFS('Saisie'!$A$5:$A$2004,'Saisie'!$C$5:$C$2004,C433,'Saisie'!$AT$5:$AT$2004,"&gt;=2")),""))</f>
        <v/>
      </c>
      <c r="BE433" s="106">
        <f>IF(C433="","",IFERROR(1/(1/_xlfn.MINIFS('Saisie'!$A$5:$A$2004,'Saisie'!$C$5:$C$2004,C433,'Saisie'!$AT$5:$AT$2004,"&gt;=3")),""))</f>
        <v/>
      </c>
      <c r="BF433" s="106">
        <f>IF(C433="","",IFERROR(1/(1/_xlfn.MINIFS('Saisie'!$A$5:$A$2004,'Saisie'!$C$5:$C$2004,C433,'Saisie'!$AT$5:$AT$2004,"&gt;=4")),""))</f>
        <v/>
      </c>
      <c r="BG433" s="106">
        <f>IF(C433="","",IFERROR(1/(1/_xlfn.MINIFS('Saisie'!$A$5:$A$2004,'Saisie'!$C$5:$C$2004,C433,'Saisie'!$AT$5:$AT$2004,"&gt;=5")),""))</f>
        <v/>
      </c>
      <c r="BH433" s="106">
        <f>IF(C433="","",IFERROR(1/(1/_xlfn.MINIFS('Saisie'!$A$5:$A$2004,'Saisie'!$C$5:$C$2004,C433,'Saisie'!$AT$5:$AT$2004,"&gt;=6")),""))</f>
        <v/>
      </c>
      <c r="BI433" s="106">
        <f>IF(C433="","",IFERROR(1/(1/_xlfn.MINIFS('Saisie'!$A$5:$A$2004,'Saisie'!$C$5:$C$2004,C433,'Saisie'!$AT$5:$AT$2004,"&gt;=7")),""))</f>
        <v/>
      </c>
      <c r="BJ433" s="60">
        <f>IF(OR(BD433="",B433=""),"",BD433-B433)</f>
        <v/>
      </c>
      <c r="BK433" s="60">
        <f>IF(OR(BE433="",BD433=""),"",BE433-BD433)</f>
        <v/>
      </c>
      <c r="BL433" s="60">
        <f>IF(OR(BF433="",BE433=""),"",BF433-BE433)</f>
        <v/>
      </c>
      <c r="BM433" s="60">
        <f>IF(OR(BG433="",BF433=""),"",BG433-BF433)</f>
        <v/>
      </c>
      <c r="BN433" s="60">
        <f>IF(OR(BH433="",BG433=""),"",BH433-BG433)</f>
        <v/>
      </c>
      <c r="BO433" s="60">
        <f>IF(OR(BI433="",BH433=""),"",BI433-BH433)</f>
        <v/>
      </c>
      <c r="BP433" s="60">
        <f>IF(C433="","",_xlfn.MAXIFS('Saisie'!$AS$5:$AS$2004,'Saisie'!$C$5:$C$2004,C433,'Saisie'!$J$5:$J$2004,"&lt;&gt;"))</f>
        <v/>
      </c>
      <c r="BQ433" s="60">
        <f>IF(C433="","",_xlfn.MAXIFS('Saisie'!$AS$5:$AS$2004,'Saisie'!$C$5:$C$2004,C433))</f>
        <v/>
      </c>
      <c r="BR433" s="60">
        <f>IF(C433="","",_xlfn.MAXIFS('Saisie'!$AS$5:$AS$2004,'Saisie'!$C$5:$C$2004,C433,'Saisie'!$E$5:$E$2004,"Perdu"))</f>
        <v/>
      </c>
      <c r="BS433" s="60">
        <f>IF(C433="","",_xlfn.MAXIFS('Saisie'!$AS$5:$AS$2004,'Saisie'!$C$5:$C$2004,C433,'Saisie'!$AT$5:$AT$2004,"&gt;0"))</f>
        <v/>
      </c>
      <c r="BT433" s="109">
        <f>IF(AND(C433&lt;&gt;"",OR(D433="Nouveau",D433="Contacté",D433="Qualifié"),OR(G433="",N(G433)&lt;=TODAY()),NOT(AND(O433&gt;='Paramètres'!$B$21,P433=0))),E433+429/10000,"")</f>
        <v/>
      </c>
      <c r="BU433" s="60">
        <f>IF(AND(G433&lt;&gt;"",N(G433)&lt;=TODAY()),MAX($BU$4:BU432)+1,"")</f>
        <v/>
      </c>
      <c r="BV433" s="60">
        <f>IF(AND(F433&lt;&gt;"",F433&lt;&gt;"Relance en retard"),MAX($BV$4:BV432)+1,"")</f>
        <v/>
      </c>
      <c r="BW433" s="60">
        <f>IF(C433="","",IF(AND(B433&gt;='Tableau de bord'!$R$4,B433&lt;='Tableau de bord'!$S$4,OR('Tableau de bord'!$G$4="Tous",N433='Tableau de bord'!$G$4)),1,0))</f>
        <v/>
      </c>
      <c r="BX433" s="60">
        <f>IF(AND(C433&lt;&gt;"",N(BA433)=7),MAX($BX$4:BX432)+1,"")</f>
        <v/>
      </c>
    </row>
    <row r="434">
      <c r="A434" s="60">
        <f>IF(C434="","","P-"&amp;TEXT(430,"000"))</f>
        <v/>
      </c>
      <c r="B434" s="106">
        <f>IF(C434="","",IFERROR(1/(1/_xlfn.MINIFS('Saisie'!$A$5:$A$2004,'Saisie'!$C$5:$C$2004,C434)),""))</f>
        <v/>
      </c>
      <c r="C434" s="60">
        <f>IFERROR(INDEX('Saisie'!$C$5:$C$2004,MATCH(430,'Saisie'!$AX$5:$AX$2004,0)),"")</f>
        <v/>
      </c>
      <c r="D434" s="60">
        <f>IF(C434="","",IF(AND(BR434&gt;0,BR434&gt;BS434,BA434&lt;7),"Perdu",INDEX('Paramètres'!$F$6:$F$13,BA434)))</f>
        <v/>
      </c>
      <c r="E434" s="61">
        <f>IF(C434="","",MIN(100,(Z434="Oui")*'Paramètres'!$B$38+(AB434="Régulière")*'Paramètres'!$B$39+IF(AND(N(AA434)&gt;0,TODAY()-N(AA434)&lt;=30),'Paramètres'!$B$40,0)+(W434="")*'Paramètres'!$B$41+(AC434="Absente")*'Paramètres'!$B$42+(AC434="Faible")*'Paramètres'!$B$43+IF(AND(N(AD434)&gt;0,N(AD434)&lt;4),'Paramètres'!$B$44,0)+(AF434="Moyenne")*'Paramètres'!$B$45+(AF434="Grande")*'Paramètres'!$B$46+(Y434&lt;&gt;"")*'Paramètres'!$B$47))</f>
        <v/>
      </c>
      <c r="F434" s="60">
        <f>IF(C434="","",IF(D434="Gagné","",IF(D434="Perdu",IF(AND(AX434&lt;&gt;"",AX434&lt;=TODAY()),"À recontacter (perdu)",""),IF(AND(O434&gt;='Paramètres'!$B$21,P434=0),"Stop : "&amp;'Paramètres'!$B$21&amp;" tentatives sans réponse",IF(AND(D434="Proposition",AR434&lt;&gt;"",TODAY()&gt;N(AR434)),"Proposition expirée",IF(AND(D434="Proposition",N(R434)&gt;='Paramètres'!$B$25),"Proposition sans réponse",IF(AND(G434&lt;&gt;"",N(G434)&lt;TODAY()),"Relance en retard",IF(N(R434)&gt;='Paramètres'!$B$24,"Sans action depuis "&amp;R434&amp;" j",""))))))))</f>
        <v/>
      </c>
      <c r="G434" s="106">
        <f>IF(OR(C434="",D434="Gagné",D434="Perdu"),"",IF(AND(BP434&gt;0,BP434=BQ434),INDEX('Saisie'!$J$5:$J$2004,BP434-4),IF(OR(O434=0,AND(O434&gt;='Paramètres'!$B$21,P434=0)),"",Q434+IF(O434&lt;=1,'Paramètres'!$B$18,IF(O434=2,'Paramètres'!$B$19,'Paramètres'!$B$20)))))</f>
        <v/>
      </c>
      <c r="H434" s="107">
        <f>IF(OR(G434="",BP434&lt;&gt;BQ434),"",IF(INDEX('Saisie'!$K$5:$K$2004,BP434-4)="","",INDEX('Saisie'!$K$5:$K$2004,BP434-4)))</f>
        <v/>
      </c>
      <c r="I434" s="60">
        <f>IF(C434="","",IF(OR(D434="Gagné",D434="Perdu"),"",IFERROR(INDEX('Saisie'!$I$5:$I$2004,_xlfn.MAXIFS('Saisie'!$AS$5:$AS$2004,'Saisie'!$C$5:$C$2004,C434,'Saisie'!$I$5:$I$2004,"&lt;&gt;")-4),"")))</f>
        <v/>
      </c>
      <c r="J434" s="60">
        <f>IF(C434="","",IFERROR(INDEX('Saisie'!$U$5:$U$2004,_xlfn.MAXIFS('Saisie'!$AS$5:$AS$2004,'Saisie'!$C$5:$C$2004,C434,'Saisie'!$U$5:$U$2004,"&lt;&gt;")-4),""))</f>
        <v/>
      </c>
      <c r="K434" s="60">
        <f>IF(C434="","",IFERROR(INDEX('Saisie'!$W$5:$W$2004,_xlfn.MAXIFS('Saisie'!$AS$5:$AS$2004,'Saisie'!$C$5:$C$2004,C434,'Saisie'!$W$5:$W$2004,"&lt;&gt;")-4),""))</f>
        <v/>
      </c>
      <c r="L434" s="60">
        <f>IF(IF(BB434&lt;&gt;"",BB434,K434)="","",HYPERLINK("https://wa.me/"&amp;IF(LEFT(SUBSTITUTE(SUBSTITUTE(SUBSTITUTE(IF(BB434&lt;&gt;"",BB434,K434)," ",""),".",""),"+",""),1)="0",'Paramètres'!$B$35&amp;MID(SUBSTITUTE(SUBSTITUTE(SUBSTITUTE(IF(BB434&lt;&gt;"",BB434,K434)," ",""),".",""),"+",""),2,20),SUBSTITUTE(SUBSTITUTE(SUBSTITUTE(IF(BB434&lt;&gt;"",BB434,K434)," ",""),".",""),"+","")),"WhatsApp"))</f>
        <v/>
      </c>
      <c r="M434" s="60">
        <f>IF(BC434="","",HYPERLINK(IF(LEFT(BC434,4)="http",BC434,"https://www.instagram.com/"&amp;SUBSTITUTE(SUBSTITUTE(BC434,"@","")," ","")),BC434))</f>
        <v/>
      </c>
      <c r="N434" s="60">
        <f>IF(C434="","",IFERROR(INDEX('Saisie'!$D$5:$D$2004,_xlfn.MINIFS('Saisie'!$AS$5:$AS$2004,'Saisie'!$C$5:$C$2004,C434,'Saisie'!$AU$5:$AU$2004,1)-4),IFERROR(INDEX('Saisie'!$D$5:$D$2004,_xlfn.MINIFS('Saisie'!$AS$5:$AS$2004,'Saisie'!$C$5:$C$2004,C434,'Saisie'!$D$5:$D$2004,"&lt;&gt;")-4),"")))</f>
        <v/>
      </c>
      <c r="O434" s="60">
        <f>IF(C434="","",COUNTIFS('Saisie'!$C$5:$C$2004,C434,'Saisie'!$AU$5:$AU$2004,1))</f>
        <v/>
      </c>
      <c r="P434" s="60">
        <f>IF(C434="","",COUNTIFS('Saisie'!$C$5:$C$2004,C434,'Saisie'!$AV$5:$AV$2004,1))</f>
        <v/>
      </c>
      <c r="Q434" s="106">
        <f>IF(C434="","",IFERROR(1/(1/_xlfn.MAXIFS('Saisie'!$A$5:$A$2004,'Saisie'!$C$5:$C$2004,C434)),""))</f>
        <v/>
      </c>
      <c r="R434" s="61">
        <f>IF(C434="","",IF(Q434="","",TODAY()-Q434))</f>
        <v/>
      </c>
      <c r="S434" s="60">
        <f>IF(C434="","",IFERROR(INDEX('Saisie'!$R$5:$R$2004,_xlfn.MAXIFS('Saisie'!$AS$5:$AS$2004,'Saisie'!$C$5:$C$2004,C434,'Saisie'!$R$5:$R$2004,"&lt;&gt;")-4),""))</f>
        <v/>
      </c>
      <c r="T434" s="60">
        <f>IF(C434="","",IFERROR(INDEX('Saisie'!$S$5:$S$2004,_xlfn.MAXIFS('Saisie'!$AS$5:$AS$2004,'Saisie'!$C$5:$C$2004,C434,'Saisie'!$S$5:$S$2004,"&lt;&gt;")-4),""))</f>
        <v/>
      </c>
      <c r="U434" s="60">
        <f>IF(C434="","",IFERROR(INDEX('Saisie'!$T$5:$T$2004,_xlfn.MAXIFS('Saisie'!$AS$5:$AS$2004,'Saisie'!$C$5:$C$2004,C434,'Saisie'!$T$5:$T$2004,"&lt;&gt;")-4),""))</f>
        <v/>
      </c>
      <c r="V434" s="60">
        <f>IF(C434="","",IFERROR(INDEX('Saisie'!$V$5:$V$2004,_xlfn.MAXIFS('Saisie'!$AS$5:$AS$2004,'Saisie'!$C$5:$C$2004,C434,'Saisie'!$V$5:$V$2004,"&lt;&gt;")-4),""))</f>
        <v/>
      </c>
      <c r="W434" s="60">
        <f>IF(C434="","",IFERROR(INDEX('Saisie'!$Z$5:$Z$2004,_xlfn.MAXIFS('Saisie'!$AS$5:$AS$2004,'Saisie'!$C$5:$C$2004,C434,'Saisie'!$Z$5:$Z$2004,"&lt;&gt;")-4),""))</f>
        <v/>
      </c>
      <c r="X434" s="60">
        <f>IF(C434="","",IFERROR(INDEX('Saisie'!$AA$5:$AA$2004,_xlfn.MAXIFS('Saisie'!$AS$5:$AS$2004,'Saisie'!$C$5:$C$2004,C434,'Saisie'!$AA$5:$AA$2004,"&lt;&gt;")-4),""))</f>
        <v/>
      </c>
      <c r="Y434" s="60">
        <f>IF(C434="","",IFERROR(INDEX('Saisie'!$AB$5:$AB$2004,_xlfn.MAXIFS('Saisie'!$AS$5:$AS$2004,'Saisie'!$C$5:$C$2004,C434,'Saisie'!$AB$5:$AB$2004,"&lt;&gt;")-4),""))</f>
        <v/>
      </c>
      <c r="Z434" s="60">
        <f>IF(C434="","",IFERROR(INDEX('Saisie'!$AC$5:$AC$2004,_xlfn.MAXIFS('Saisie'!$AS$5:$AS$2004,'Saisie'!$C$5:$C$2004,C434,'Saisie'!$AC$5:$AC$2004,"&lt;&gt;")-4),""))</f>
        <v/>
      </c>
      <c r="AA434" s="106">
        <f>IF(C434="","",IFERROR(INDEX('Saisie'!$AD$5:$AD$2004,_xlfn.MAXIFS('Saisie'!$AS$5:$AS$2004,'Saisie'!$C$5:$C$2004,C434,'Saisie'!$AD$5:$AD$2004,"&lt;&gt;")-4),""))</f>
        <v/>
      </c>
      <c r="AB434" s="60">
        <f>IF(C434="","",IFERROR(INDEX('Saisie'!$AE$5:$AE$2004,_xlfn.MAXIFS('Saisie'!$AS$5:$AS$2004,'Saisie'!$C$5:$C$2004,C434,'Saisie'!$AE$5:$AE$2004,"&lt;&gt;")-4),""))</f>
        <v/>
      </c>
      <c r="AC434" s="60">
        <f>IF(C434="","",IFERROR(INDEX('Saisie'!$AF$5:$AF$2004,_xlfn.MAXIFS('Saisie'!$AS$5:$AS$2004,'Saisie'!$C$5:$C$2004,C434,'Saisie'!$AF$5:$AF$2004,"&lt;&gt;")-4),""))</f>
        <v/>
      </c>
      <c r="AD434" s="108">
        <f>IF(C434="","",IFERROR(INDEX('Saisie'!$AG$5:$AG$2004,_xlfn.MAXIFS('Saisie'!$AS$5:$AS$2004,'Saisie'!$C$5:$C$2004,C434,'Saisie'!$AG$5:$AG$2004,"&lt;&gt;")-4),""))</f>
        <v/>
      </c>
      <c r="AE434" s="60">
        <f>IF(C434="","",IFERROR(INDEX('Saisie'!$AH$5:$AH$2004,_xlfn.MAXIFS('Saisie'!$AS$5:$AS$2004,'Saisie'!$C$5:$C$2004,C434,'Saisie'!$AH$5:$AH$2004,"&lt;&gt;")-4),""))</f>
        <v/>
      </c>
      <c r="AF434" s="60">
        <f>IF(C434="","",IFERROR(INDEX('Saisie'!$AI$5:$AI$2004,_xlfn.MAXIFS('Saisie'!$AS$5:$AS$2004,'Saisie'!$C$5:$C$2004,C434,'Saisie'!$AI$5:$AI$2004,"&lt;&gt;")-4),""))</f>
        <v/>
      </c>
      <c r="AG434" s="60">
        <f>IF(C434="","",IFERROR(INDEX('Saisie'!$AJ$5:$AJ$2004,_xlfn.MAXIFS('Saisie'!$AS$5:$AS$2004,'Saisie'!$C$5:$C$2004,C434,'Saisie'!$AJ$5:$AJ$2004,"&lt;&gt;")-4),""))</f>
        <v/>
      </c>
      <c r="AH434" s="60">
        <f>IF(C434="","",IFERROR(INDEX('Saisie'!$AK$5:$AK$2004,_xlfn.MAXIFS('Saisie'!$AS$5:$AS$2004,'Saisie'!$C$5:$C$2004,C434,'Saisie'!$AK$5:$AK$2004,"&lt;&gt;")-4),""))</f>
        <v/>
      </c>
      <c r="AI434" s="60">
        <f>IF(C434="","",IFERROR(INDEX('Saisie'!$AN$5:$AN$2004,_xlfn.MAXIFS('Saisie'!$AS$5:$AS$2004,'Saisie'!$C$5:$C$2004,C434,'Saisie'!$AN$5:$AN$2004,"&lt;&gt;")-4),""))</f>
        <v/>
      </c>
      <c r="AJ434" s="60">
        <f>IF(C434="","",IFERROR(INDEX('Saisie'!$AO$5:$AO$2004,_xlfn.MAXIFS('Saisie'!$AS$5:$AS$2004,'Saisie'!$C$5:$C$2004,C434,'Saisie'!$AO$5:$AO$2004,"&lt;&gt;")-4),""))</f>
        <v/>
      </c>
      <c r="AK434" s="60">
        <f>IF(C434="","",IFERROR(INDEX('Saisie'!$AP$5:$AP$2004,_xlfn.MAXIFS('Saisie'!$AS$5:$AS$2004,'Saisie'!$C$5:$C$2004,C434,'Saisie'!$AP$5:$AP$2004,"&lt;&gt;")-4),""))</f>
        <v/>
      </c>
      <c r="AL434" s="60">
        <f>IF(C434="","",IFERROR(INDEX('Saisie'!$AQ$5:$AQ$2004,_xlfn.MAXIFS('Saisie'!$AS$5:$AS$2004,'Saisie'!$C$5:$C$2004,C434,'Saisie'!$AQ$5:$AQ$2004,"&lt;&gt;")-4),""))</f>
        <v/>
      </c>
      <c r="AM434" s="60">
        <f>IF(C434="","",((AI434="Oui")+(AJ434="Oui")+(AK434="Oui")+OR(AL434="Immédiat",AL434="&lt; 1 mois"))&amp;"/4")</f>
        <v/>
      </c>
      <c r="AN434" s="60">
        <f>IF(C434="","",IFERROR(INDEX('Saisie'!$AL$5:$AL$2004,_xlfn.MAXIFS('Saisie'!$AS$5:$AS$2004,'Saisie'!$C$5:$C$2004,C434,'Saisie'!$AL$5:$AL$2004,"&lt;&gt;")-4),""))</f>
        <v/>
      </c>
      <c r="AO434" s="62">
        <f>IF(C434="","",IF(IFERROR(INDEX('Saisie'!$AM$5:$AM$2004,_xlfn.MAXIFS('Saisie'!$AS$5:$AS$2004,'Saisie'!$C$5:$C$2004,C434,'Saisie'!$AM$5:$AM$2004,"&lt;&gt;")-4),"")&lt;&gt;"",IFERROR(INDEX('Saisie'!$AM$5:$AM$2004,_xlfn.MAXIFS('Saisie'!$AS$5:$AS$2004,'Saisie'!$C$5:$C$2004,C434,'Saisie'!$AM$5:$AM$2004,"&lt;&gt;")-4),""),IFERROR(INDEX('Paramètres'!$S$6:$S$15,MATCH(AN434,'Paramètres'!$Q$6:$Q$15,0)),"")))</f>
        <v/>
      </c>
      <c r="AP434" s="62">
        <f>IF(C434="","",IFERROR(INDEX('Saisie'!$AW$5:$AW$2004,_xlfn.MAXIFS('Saisie'!$AS$5:$AS$2004,'Saisie'!$C$5:$C$2004,C434,'Saisie'!$E$5:$E$2004,"Proposition envoyée")-4),""))</f>
        <v/>
      </c>
      <c r="AQ434" s="106">
        <f>IF(C434="","",IFERROR(1/(1/_xlfn.MAXIFS('Saisie'!$A$5:$A$2004,'Saisie'!$C$5:$C$2004,C434,'Saisie'!$E$5:$E$2004,"Proposition envoyée")),""))</f>
        <v/>
      </c>
      <c r="AR434" s="106">
        <f>IF(C434="","",IF(AQ434="","",AQ434+'Paramètres'!$B$26))</f>
        <v/>
      </c>
      <c r="AS434" s="62">
        <f>IF(OR(C434="",D434="Gagné",D434="Perdu"),0,N(AP434)*IFERROR(INDEX('Paramètres'!$G$6:$G$13,MATCH(D434,'Paramètres'!$F$6:$F$13,0)),0))</f>
        <v/>
      </c>
      <c r="AT434" s="106">
        <f>IF(C434="","",IFERROR(1/(1/_xlfn.MINIFS('Saisie'!$A$5:$A$2004,'Saisie'!$C$5:$C$2004,C434,'Saisie'!$E$5:$E$2004,"Signature")),""))</f>
        <v/>
      </c>
      <c r="AU434" s="60">
        <f>IF(C434="","",IF(OR(AT434="",B434=""),"",AT434-B434))</f>
        <v/>
      </c>
      <c r="AV434" s="60">
        <f>IF(C434="","",IFERROR(INDEX('Saisie'!$L$5:$L$2004,_xlfn.MAXIFS('Saisie'!$AS$5:$AS$2004,'Saisie'!$C$5:$C$2004,C434,'Saisie'!$L$5:$L$2004,"&lt;&gt;")-4),""))</f>
        <v/>
      </c>
      <c r="AW434" s="106">
        <f>IF(C434="","",IF(D434&lt;&gt;"Perdu","",IFERROR(1/(1/_xlfn.MAXIFS('Saisie'!$A$5:$A$2004,'Saisie'!$C$5:$C$2004,C434,'Saisie'!$E$5:$E$2004,"Perdu")),"")))</f>
        <v/>
      </c>
      <c r="AX434" s="106">
        <f>IF(C434="","",IF(AW434="","",AW434+'Paramètres'!$B$28))</f>
        <v/>
      </c>
      <c r="AY434" s="60">
        <f>IF(C434="","",SUMIFS('Saisie'!$H$5:$H$2004,'Saisie'!$C$5:$C$2004,C434))</f>
        <v/>
      </c>
      <c r="AZ434" s="60">
        <f>IF(C434="","",IFERROR(INDEX('Paramètres'!$W$6:$W$20,MATCH(S434,'Paramètres'!$V$6:$V$20,0))&amp;"",""))</f>
        <v/>
      </c>
      <c r="BA434" s="60">
        <f>IF(C434="","",MAX(1,_xlfn.MAXIFS('Saisie'!$AT$5:$AT$2004,'Saisie'!$C$5:$C$2004,C434)))</f>
        <v/>
      </c>
      <c r="BB434" s="60">
        <f>IF(C434="","",IFERROR(INDEX('Saisie'!$X$5:$X$2004,_xlfn.MAXIFS('Saisie'!$AS$5:$AS$2004,'Saisie'!$C$5:$C$2004,C434,'Saisie'!$X$5:$X$2004,"&lt;&gt;")-4),""))</f>
        <v/>
      </c>
      <c r="BC434" s="60">
        <f>IF(C434="","",IFERROR(INDEX('Saisie'!$Y$5:$Y$2004,_xlfn.MAXIFS('Saisie'!$AS$5:$AS$2004,'Saisie'!$C$5:$C$2004,C434,'Saisie'!$Y$5:$Y$2004,"&lt;&gt;")-4),""))</f>
        <v/>
      </c>
      <c r="BD434" s="106">
        <f>IF(C434="","",IFERROR(1/(1/_xlfn.MINIFS('Saisie'!$A$5:$A$2004,'Saisie'!$C$5:$C$2004,C434,'Saisie'!$AT$5:$AT$2004,"&gt;=2")),""))</f>
        <v/>
      </c>
      <c r="BE434" s="106">
        <f>IF(C434="","",IFERROR(1/(1/_xlfn.MINIFS('Saisie'!$A$5:$A$2004,'Saisie'!$C$5:$C$2004,C434,'Saisie'!$AT$5:$AT$2004,"&gt;=3")),""))</f>
        <v/>
      </c>
      <c r="BF434" s="106">
        <f>IF(C434="","",IFERROR(1/(1/_xlfn.MINIFS('Saisie'!$A$5:$A$2004,'Saisie'!$C$5:$C$2004,C434,'Saisie'!$AT$5:$AT$2004,"&gt;=4")),""))</f>
        <v/>
      </c>
      <c r="BG434" s="106">
        <f>IF(C434="","",IFERROR(1/(1/_xlfn.MINIFS('Saisie'!$A$5:$A$2004,'Saisie'!$C$5:$C$2004,C434,'Saisie'!$AT$5:$AT$2004,"&gt;=5")),""))</f>
        <v/>
      </c>
      <c r="BH434" s="106">
        <f>IF(C434="","",IFERROR(1/(1/_xlfn.MINIFS('Saisie'!$A$5:$A$2004,'Saisie'!$C$5:$C$2004,C434,'Saisie'!$AT$5:$AT$2004,"&gt;=6")),""))</f>
        <v/>
      </c>
      <c r="BI434" s="106">
        <f>IF(C434="","",IFERROR(1/(1/_xlfn.MINIFS('Saisie'!$A$5:$A$2004,'Saisie'!$C$5:$C$2004,C434,'Saisie'!$AT$5:$AT$2004,"&gt;=7")),""))</f>
        <v/>
      </c>
      <c r="BJ434" s="60">
        <f>IF(OR(BD434="",B434=""),"",BD434-B434)</f>
        <v/>
      </c>
      <c r="BK434" s="60">
        <f>IF(OR(BE434="",BD434=""),"",BE434-BD434)</f>
        <v/>
      </c>
      <c r="BL434" s="60">
        <f>IF(OR(BF434="",BE434=""),"",BF434-BE434)</f>
        <v/>
      </c>
      <c r="BM434" s="60">
        <f>IF(OR(BG434="",BF434=""),"",BG434-BF434)</f>
        <v/>
      </c>
      <c r="BN434" s="60">
        <f>IF(OR(BH434="",BG434=""),"",BH434-BG434)</f>
        <v/>
      </c>
      <c r="BO434" s="60">
        <f>IF(OR(BI434="",BH434=""),"",BI434-BH434)</f>
        <v/>
      </c>
      <c r="BP434" s="60">
        <f>IF(C434="","",_xlfn.MAXIFS('Saisie'!$AS$5:$AS$2004,'Saisie'!$C$5:$C$2004,C434,'Saisie'!$J$5:$J$2004,"&lt;&gt;"))</f>
        <v/>
      </c>
      <c r="BQ434" s="60">
        <f>IF(C434="","",_xlfn.MAXIFS('Saisie'!$AS$5:$AS$2004,'Saisie'!$C$5:$C$2004,C434))</f>
        <v/>
      </c>
      <c r="BR434" s="60">
        <f>IF(C434="","",_xlfn.MAXIFS('Saisie'!$AS$5:$AS$2004,'Saisie'!$C$5:$C$2004,C434,'Saisie'!$E$5:$E$2004,"Perdu"))</f>
        <v/>
      </c>
      <c r="BS434" s="60">
        <f>IF(C434="","",_xlfn.MAXIFS('Saisie'!$AS$5:$AS$2004,'Saisie'!$C$5:$C$2004,C434,'Saisie'!$AT$5:$AT$2004,"&gt;0"))</f>
        <v/>
      </c>
      <c r="BT434" s="109">
        <f>IF(AND(C434&lt;&gt;"",OR(D434="Nouveau",D434="Contacté",D434="Qualifié"),OR(G434="",N(G434)&lt;=TODAY()),NOT(AND(O434&gt;='Paramètres'!$B$21,P434=0))),E434+430/10000,"")</f>
        <v/>
      </c>
      <c r="BU434" s="60">
        <f>IF(AND(G434&lt;&gt;"",N(G434)&lt;=TODAY()),MAX($BU$4:BU433)+1,"")</f>
        <v/>
      </c>
      <c r="BV434" s="60">
        <f>IF(AND(F434&lt;&gt;"",F434&lt;&gt;"Relance en retard"),MAX($BV$4:BV433)+1,"")</f>
        <v/>
      </c>
      <c r="BW434" s="60">
        <f>IF(C434="","",IF(AND(B434&gt;='Tableau de bord'!$R$4,B434&lt;='Tableau de bord'!$S$4,OR('Tableau de bord'!$G$4="Tous",N434='Tableau de bord'!$G$4)),1,0))</f>
        <v/>
      </c>
      <c r="BX434" s="60">
        <f>IF(AND(C434&lt;&gt;"",N(BA434)=7),MAX($BX$4:BX433)+1,"")</f>
        <v/>
      </c>
    </row>
    <row r="435">
      <c r="A435" s="60">
        <f>IF(C435="","","P-"&amp;TEXT(431,"000"))</f>
        <v/>
      </c>
      <c r="B435" s="106">
        <f>IF(C435="","",IFERROR(1/(1/_xlfn.MINIFS('Saisie'!$A$5:$A$2004,'Saisie'!$C$5:$C$2004,C435)),""))</f>
        <v/>
      </c>
      <c r="C435" s="60">
        <f>IFERROR(INDEX('Saisie'!$C$5:$C$2004,MATCH(431,'Saisie'!$AX$5:$AX$2004,0)),"")</f>
        <v/>
      </c>
      <c r="D435" s="60">
        <f>IF(C435="","",IF(AND(BR435&gt;0,BR435&gt;BS435,BA435&lt;7),"Perdu",INDEX('Paramètres'!$F$6:$F$13,BA435)))</f>
        <v/>
      </c>
      <c r="E435" s="61">
        <f>IF(C435="","",MIN(100,(Z435="Oui")*'Paramètres'!$B$38+(AB435="Régulière")*'Paramètres'!$B$39+IF(AND(N(AA435)&gt;0,TODAY()-N(AA435)&lt;=30),'Paramètres'!$B$40,0)+(W435="")*'Paramètres'!$B$41+(AC435="Absente")*'Paramètres'!$B$42+(AC435="Faible")*'Paramètres'!$B$43+IF(AND(N(AD435)&gt;0,N(AD435)&lt;4),'Paramètres'!$B$44,0)+(AF435="Moyenne")*'Paramètres'!$B$45+(AF435="Grande")*'Paramètres'!$B$46+(Y435&lt;&gt;"")*'Paramètres'!$B$47))</f>
        <v/>
      </c>
      <c r="F435" s="60">
        <f>IF(C435="","",IF(D435="Gagné","",IF(D435="Perdu",IF(AND(AX435&lt;&gt;"",AX435&lt;=TODAY()),"À recontacter (perdu)",""),IF(AND(O435&gt;='Paramètres'!$B$21,P435=0),"Stop : "&amp;'Paramètres'!$B$21&amp;" tentatives sans réponse",IF(AND(D435="Proposition",AR435&lt;&gt;"",TODAY()&gt;N(AR435)),"Proposition expirée",IF(AND(D435="Proposition",N(R435)&gt;='Paramètres'!$B$25),"Proposition sans réponse",IF(AND(G435&lt;&gt;"",N(G435)&lt;TODAY()),"Relance en retard",IF(N(R435)&gt;='Paramètres'!$B$24,"Sans action depuis "&amp;R435&amp;" j",""))))))))</f>
        <v/>
      </c>
      <c r="G435" s="106">
        <f>IF(OR(C435="",D435="Gagné",D435="Perdu"),"",IF(AND(BP435&gt;0,BP435=BQ435),INDEX('Saisie'!$J$5:$J$2004,BP435-4),IF(OR(O435=0,AND(O435&gt;='Paramètres'!$B$21,P435=0)),"",Q435+IF(O435&lt;=1,'Paramètres'!$B$18,IF(O435=2,'Paramètres'!$B$19,'Paramètres'!$B$20)))))</f>
        <v/>
      </c>
      <c r="H435" s="107">
        <f>IF(OR(G435="",BP435&lt;&gt;BQ435),"",IF(INDEX('Saisie'!$K$5:$K$2004,BP435-4)="","",INDEX('Saisie'!$K$5:$K$2004,BP435-4)))</f>
        <v/>
      </c>
      <c r="I435" s="60">
        <f>IF(C435="","",IF(OR(D435="Gagné",D435="Perdu"),"",IFERROR(INDEX('Saisie'!$I$5:$I$2004,_xlfn.MAXIFS('Saisie'!$AS$5:$AS$2004,'Saisie'!$C$5:$C$2004,C435,'Saisie'!$I$5:$I$2004,"&lt;&gt;")-4),"")))</f>
        <v/>
      </c>
      <c r="J435" s="60">
        <f>IF(C435="","",IFERROR(INDEX('Saisie'!$U$5:$U$2004,_xlfn.MAXIFS('Saisie'!$AS$5:$AS$2004,'Saisie'!$C$5:$C$2004,C435,'Saisie'!$U$5:$U$2004,"&lt;&gt;")-4),""))</f>
        <v/>
      </c>
      <c r="K435" s="60">
        <f>IF(C435="","",IFERROR(INDEX('Saisie'!$W$5:$W$2004,_xlfn.MAXIFS('Saisie'!$AS$5:$AS$2004,'Saisie'!$C$5:$C$2004,C435,'Saisie'!$W$5:$W$2004,"&lt;&gt;")-4),""))</f>
        <v/>
      </c>
      <c r="L435" s="60">
        <f>IF(IF(BB435&lt;&gt;"",BB435,K435)="","",HYPERLINK("https://wa.me/"&amp;IF(LEFT(SUBSTITUTE(SUBSTITUTE(SUBSTITUTE(IF(BB435&lt;&gt;"",BB435,K435)," ",""),".",""),"+",""),1)="0",'Paramètres'!$B$35&amp;MID(SUBSTITUTE(SUBSTITUTE(SUBSTITUTE(IF(BB435&lt;&gt;"",BB435,K435)," ",""),".",""),"+",""),2,20),SUBSTITUTE(SUBSTITUTE(SUBSTITUTE(IF(BB435&lt;&gt;"",BB435,K435)," ",""),".",""),"+","")),"WhatsApp"))</f>
        <v/>
      </c>
      <c r="M435" s="60">
        <f>IF(BC435="","",HYPERLINK(IF(LEFT(BC435,4)="http",BC435,"https://www.instagram.com/"&amp;SUBSTITUTE(SUBSTITUTE(BC435,"@","")," ","")),BC435))</f>
        <v/>
      </c>
      <c r="N435" s="60">
        <f>IF(C435="","",IFERROR(INDEX('Saisie'!$D$5:$D$2004,_xlfn.MINIFS('Saisie'!$AS$5:$AS$2004,'Saisie'!$C$5:$C$2004,C435,'Saisie'!$AU$5:$AU$2004,1)-4),IFERROR(INDEX('Saisie'!$D$5:$D$2004,_xlfn.MINIFS('Saisie'!$AS$5:$AS$2004,'Saisie'!$C$5:$C$2004,C435,'Saisie'!$D$5:$D$2004,"&lt;&gt;")-4),"")))</f>
        <v/>
      </c>
      <c r="O435" s="60">
        <f>IF(C435="","",COUNTIFS('Saisie'!$C$5:$C$2004,C435,'Saisie'!$AU$5:$AU$2004,1))</f>
        <v/>
      </c>
      <c r="P435" s="60">
        <f>IF(C435="","",COUNTIFS('Saisie'!$C$5:$C$2004,C435,'Saisie'!$AV$5:$AV$2004,1))</f>
        <v/>
      </c>
      <c r="Q435" s="106">
        <f>IF(C435="","",IFERROR(1/(1/_xlfn.MAXIFS('Saisie'!$A$5:$A$2004,'Saisie'!$C$5:$C$2004,C435)),""))</f>
        <v/>
      </c>
      <c r="R435" s="61">
        <f>IF(C435="","",IF(Q435="","",TODAY()-Q435))</f>
        <v/>
      </c>
      <c r="S435" s="60">
        <f>IF(C435="","",IFERROR(INDEX('Saisie'!$R$5:$R$2004,_xlfn.MAXIFS('Saisie'!$AS$5:$AS$2004,'Saisie'!$C$5:$C$2004,C435,'Saisie'!$R$5:$R$2004,"&lt;&gt;")-4),""))</f>
        <v/>
      </c>
      <c r="T435" s="60">
        <f>IF(C435="","",IFERROR(INDEX('Saisie'!$S$5:$S$2004,_xlfn.MAXIFS('Saisie'!$AS$5:$AS$2004,'Saisie'!$C$5:$C$2004,C435,'Saisie'!$S$5:$S$2004,"&lt;&gt;")-4),""))</f>
        <v/>
      </c>
      <c r="U435" s="60">
        <f>IF(C435="","",IFERROR(INDEX('Saisie'!$T$5:$T$2004,_xlfn.MAXIFS('Saisie'!$AS$5:$AS$2004,'Saisie'!$C$5:$C$2004,C435,'Saisie'!$T$5:$T$2004,"&lt;&gt;")-4),""))</f>
        <v/>
      </c>
      <c r="V435" s="60">
        <f>IF(C435="","",IFERROR(INDEX('Saisie'!$V$5:$V$2004,_xlfn.MAXIFS('Saisie'!$AS$5:$AS$2004,'Saisie'!$C$5:$C$2004,C435,'Saisie'!$V$5:$V$2004,"&lt;&gt;")-4),""))</f>
        <v/>
      </c>
      <c r="W435" s="60">
        <f>IF(C435="","",IFERROR(INDEX('Saisie'!$Z$5:$Z$2004,_xlfn.MAXIFS('Saisie'!$AS$5:$AS$2004,'Saisie'!$C$5:$C$2004,C435,'Saisie'!$Z$5:$Z$2004,"&lt;&gt;")-4),""))</f>
        <v/>
      </c>
      <c r="X435" s="60">
        <f>IF(C435="","",IFERROR(INDEX('Saisie'!$AA$5:$AA$2004,_xlfn.MAXIFS('Saisie'!$AS$5:$AS$2004,'Saisie'!$C$5:$C$2004,C435,'Saisie'!$AA$5:$AA$2004,"&lt;&gt;")-4),""))</f>
        <v/>
      </c>
      <c r="Y435" s="60">
        <f>IF(C435="","",IFERROR(INDEX('Saisie'!$AB$5:$AB$2004,_xlfn.MAXIFS('Saisie'!$AS$5:$AS$2004,'Saisie'!$C$5:$C$2004,C435,'Saisie'!$AB$5:$AB$2004,"&lt;&gt;")-4),""))</f>
        <v/>
      </c>
      <c r="Z435" s="60">
        <f>IF(C435="","",IFERROR(INDEX('Saisie'!$AC$5:$AC$2004,_xlfn.MAXIFS('Saisie'!$AS$5:$AS$2004,'Saisie'!$C$5:$C$2004,C435,'Saisie'!$AC$5:$AC$2004,"&lt;&gt;")-4),""))</f>
        <v/>
      </c>
      <c r="AA435" s="106">
        <f>IF(C435="","",IFERROR(INDEX('Saisie'!$AD$5:$AD$2004,_xlfn.MAXIFS('Saisie'!$AS$5:$AS$2004,'Saisie'!$C$5:$C$2004,C435,'Saisie'!$AD$5:$AD$2004,"&lt;&gt;")-4),""))</f>
        <v/>
      </c>
      <c r="AB435" s="60">
        <f>IF(C435="","",IFERROR(INDEX('Saisie'!$AE$5:$AE$2004,_xlfn.MAXIFS('Saisie'!$AS$5:$AS$2004,'Saisie'!$C$5:$C$2004,C435,'Saisie'!$AE$5:$AE$2004,"&lt;&gt;")-4),""))</f>
        <v/>
      </c>
      <c r="AC435" s="60">
        <f>IF(C435="","",IFERROR(INDEX('Saisie'!$AF$5:$AF$2004,_xlfn.MAXIFS('Saisie'!$AS$5:$AS$2004,'Saisie'!$C$5:$C$2004,C435,'Saisie'!$AF$5:$AF$2004,"&lt;&gt;")-4),""))</f>
        <v/>
      </c>
      <c r="AD435" s="108">
        <f>IF(C435="","",IFERROR(INDEX('Saisie'!$AG$5:$AG$2004,_xlfn.MAXIFS('Saisie'!$AS$5:$AS$2004,'Saisie'!$C$5:$C$2004,C435,'Saisie'!$AG$5:$AG$2004,"&lt;&gt;")-4),""))</f>
        <v/>
      </c>
      <c r="AE435" s="60">
        <f>IF(C435="","",IFERROR(INDEX('Saisie'!$AH$5:$AH$2004,_xlfn.MAXIFS('Saisie'!$AS$5:$AS$2004,'Saisie'!$C$5:$C$2004,C435,'Saisie'!$AH$5:$AH$2004,"&lt;&gt;")-4),""))</f>
        <v/>
      </c>
      <c r="AF435" s="60">
        <f>IF(C435="","",IFERROR(INDEX('Saisie'!$AI$5:$AI$2004,_xlfn.MAXIFS('Saisie'!$AS$5:$AS$2004,'Saisie'!$C$5:$C$2004,C435,'Saisie'!$AI$5:$AI$2004,"&lt;&gt;")-4),""))</f>
        <v/>
      </c>
      <c r="AG435" s="60">
        <f>IF(C435="","",IFERROR(INDEX('Saisie'!$AJ$5:$AJ$2004,_xlfn.MAXIFS('Saisie'!$AS$5:$AS$2004,'Saisie'!$C$5:$C$2004,C435,'Saisie'!$AJ$5:$AJ$2004,"&lt;&gt;")-4),""))</f>
        <v/>
      </c>
      <c r="AH435" s="60">
        <f>IF(C435="","",IFERROR(INDEX('Saisie'!$AK$5:$AK$2004,_xlfn.MAXIFS('Saisie'!$AS$5:$AS$2004,'Saisie'!$C$5:$C$2004,C435,'Saisie'!$AK$5:$AK$2004,"&lt;&gt;")-4),""))</f>
        <v/>
      </c>
      <c r="AI435" s="60">
        <f>IF(C435="","",IFERROR(INDEX('Saisie'!$AN$5:$AN$2004,_xlfn.MAXIFS('Saisie'!$AS$5:$AS$2004,'Saisie'!$C$5:$C$2004,C435,'Saisie'!$AN$5:$AN$2004,"&lt;&gt;")-4),""))</f>
        <v/>
      </c>
      <c r="AJ435" s="60">
        <f>IF(C435="","",IFERROR(INDEX('Saisie'!$AO$5:$AO$2004,_xlfn.MAXIFS('Saisie'!$AS$5:$AS$2004,'Saisie'!$C$5:$C$2004,C435,'Saisie'!$AO$5:$AO$2004,"&lt;&gt;")-4),""))</f>
        <v/>
      </c>
      <c r="AK435" s="60">
        <f>IF(C435="","",IFERROR(INDEX('Saisie'!$AP$5:$AP$2004,_xlfn.MAXIFS('Saisie'!$AS$5:$AS$2004,'Saisie'!$C$5:$C$2004,C435,'Saisie'!$AP$5:$AP$2004,"&lt;&gt;")-4),""))</f>
        <v/>
      </c>
      <c r="AL435" s="60">
        <f>IF(C435="","",IFERROR(INDEX('Saisie'!$AQ$5:$AQ$2004,_xlfn.MAXIFS('Saisie'!$AS$5:$AS$2004,'Saisie'!$C$5:$C$2004,C435,'Saisie'!$AQ$5:$AQ$2004,"&lt;&gt;")-4),""))</f>
        <v/>
      </c>
      <c r="AM435" s="60">
        <f>IF(C435="","",((AI435="Oui")+(AJ435="Oui")+(AK435="Oui")+OR(AL435="Immédiat",AL435="&lt; 1 mois"))&amp;"/4")</f>
        <v/>
      </c>
      <c r="AN435" s="60">
        <f>IF(C435="","",IFERROR(INDEX('Saisie'!$AL$5:$AL$2004,_xlfn.MAXIFS('Saisie'!$AS$5:$AS$2004,'Saisie'!$C$5:$C$2004,C435,'Saisie'!$AL$5:$AL$2004,"&lt;&gt;")-4),""))</f>
        <v/>
      </c>
      <c r="AO435" s="62">
        <f>IF(C435="","",IF(IFERROR(INDEX('Saisie'!$AM$5:$AM$2004,_xlfn.MAXIFS('Saisie'!$AS$5:$AS$2004,'Saisie'!$C$5:$C$2004,C435,'Saisie'!$AM$5:$AM$2004,"&lt;&gt;")-4),"")&lt;&gt;"",IFERROR(INDEX('Saisie'!$AM$5:$AM$2004,_xlfn.MAXIFS('Saisie'!$AS$5:$AS$2004,'Saisie'!$C$5:$C$2004,C435,'Saisie'!$AM$5:$AM$2004,"&lt;&gt;")-4),""),IFERROR(INDEX('Paramètres'!$S$6:$S$15,MATCH(AN435,'Paramètres'!$Q$6:$Q$15,0)),"")))</f>
        <v/>
      </c>
      <c r="AP435" s="62">
        <f>IF(C435="","",IFERROR(INDEX('Saisie'!$AW$5:$AW$2004,_xlfn.MAXIFS('Saisie'!$AS$5:$AS$2004,'Saisie'!$C$5:$C$2004,C435,'Saisie'!$E$5:$E$2004,"Proposition envoyée")-4),""))</f>
        <v/>
      </c>
      <c r="AQ435" s="106">
        <f>IF(C435="","",IFERROR(1/(1/_xlfn.MAXIFS('Saisie'!$A$5:$A$2004,'Saisie'!$C$5:$C$2004,C435,'Saisie'!$E$5:$E$2004,"Proposition envoyée")),""))</f>
        <v/>
      </c>
      <c r="AR435" s="106">
        <f>IF(C435="","",IF(AQ435="","",AQ435+'Paramètres'!$B$26))</f>
        <v/>
      </c>
      <c r="AS435" s="62">
        <f>IF(OR(C435="",D435="Gagné",D435="Perdu"),0,N(AP435)*IFERROR(INDEX('Paramètres'!$G$6:$G$13,MATCH(D435,'Paramètres'!$F$6:$F$13,0)),0))</f>
        <v/>
      </c>
      <c r="AT435" s="106">
        <f>IF(C435="","",IFERROR(1/(1/_xlfn.MINIFS('Saisie'!$A$5:$A$2004,'Saisie'!$C$5:$C$2004,C435,'Saisie'!$E$5:$E$2004,"Signature")),""))</f>
        <v/>
      </c>
      <c r="AU435" s="60">
        <f>IF(C435="","",IF(OR(AT435="",B435=""),"",AT435-B435))</f>
        <v/>
      </c>
      <c r="AV435" s="60">
        <f>IF(C435="","",IFERROR(INDEX('Saisie'!$L$5:$L$2004,_xlfn.MAXIFS('Saisie'!$AS$5:$AS$2004,'Saisie'!$C$5:$C$2004,C435,'Saisie'!$L$5:$L$2004,"&lt;&gt;")-4),""))</f>
        <v/>
      </c>
      <c r="AW435" s="106">
        <f>IF(C435="","",IF(D435&lt;&gt;"Perdu","",IFERROR(1/(1/_xlfn.MAXIFS('Saisie'!$A$5:$A$2004,'Saisie'!$C$5:$C$2004,C435,'Saisie'!$E$5:$E$2004,"Perdu")),"")))</f>
        <v/>
      </c>
      <c r="AX435" s="106">
        <f>IF(C435="","",IF(AW435="","",AW435+'Paramètres'!$B$28))</f>
        <v/>
      </c>
      <c r="AY435" s="60">
        <f>IF(C435="","",SUMIFS('Saisie'!$H$5:$H$2004,'Saisie'!$C$5:$C$2004,C435))</f>
        <v/>
      </c>
      <c r="AZ435" s="60">
        <f>IF(C435="","",IFERROR(INDEX('Paramètres'!$W$6:$W$20,MATCH(S435,'Paramètres'!$V$6:$V$20,0))&amp;"",""))</f>
        <v/>
      </c>
      <c r="BA435" s="60">
        <f>IF(C435="","",MAX(1,_xlfn.MAXIFS('Saisie'!$AT$5:$AT$2004,'Saisie'!$C$5:$C$2004,C435)))</f>
        <v/>
      </c>
      <c r="BB435" s="60">
        <f>IF(C435="","",IFERROR(INDEX('Saisie'!$X$5:$X$2004,_xlfn.MAXIFS('Saisie'!$AS$5:$AS$2004,'Saisie'!$C$5:$C$2004,C435,'Saisie'!$X$5:$X$2004,"&lt;&gt;")-4),""))</f>
        <v/>
      </c>
      <c r="BC435" s="60">
        <f>IF(C435="","",IFERROR(INDEX('Saisie'!$Y$5:$Y$2004,_xlfn.MAXIFS('Saisie'!$AS$5:$AS$2004,'Saisie'!$C$5:$C$2004,C435,'Saisie'!$Y$5:$Y$2004,"&lt;&gt;")-4),""))</f>
        <v/>
      </c>
      <c r="BD435" s="106">
        <f>IF(C435="","",IFERROR(1/(1/_xlfn.MINIFS('Saisie'!$A$5:$A$2004,'Saisie'!$C$5:$C$2004,C435,'Saisie'!$AT$5:$AT$2004,"&gt;=2")),""))</f>
        <v/>
      </c>
      <c r="BE435" s="106">
        <f>IF(C435="","",IFERROR(1/(1/_xlfn.MINIFS('Saisie'!$A$5:$A$2004,'Saisie'!$C$5:$C$2004,C435,'Saisie'!$AT$5:$AT$2004,"&gt;=3")),""))</f>
        <v/>
      </c>
      <c r="BF435" s="106">
        <f>IF(C435="","",IFERROR(1/(1/_xlfn.MINIFS('Saisie'!$A$5:$A$2004,'Saisie'!$C$5:$C$2004,C435,'Saisie'!$AT$5:$AT$2004,"&gt;=4")),""))</f>
        <v/>
      </c>
      <c r="BG435" s="106">
        <f>IF(C435="","",IFERROR(1/(1/_xlfn.MINIFS('Saisie'!$A$5:$A$2004,'Saisie'!$C$5:$C$2004,C435,'Saisie'!$AT$5:$AT$2004,"&gt;=5")),""))</f>
        <v/>
      </c>
      <c r="BH435" s="106">
        <f>IF(C435="","",IFERROR(1/(1/_xlfn.MINIFS('Saisie'!$A$5:$A$2004,'Saisie'!$C$5:$C$2004,C435,'Saisie'!$AT$5:$AT$2004,"&gt;=6")),""))</f>
        <v/>
      </c>
      <c r="BI435" s="106">
        <f>IF(C435="","",IFERROR(1/(1/_xlfn.MINIFS('Saisie'!$A$5:$A$2004,'Saisie'!$C$5:$C$2004,C435,'Saisie'!$AT$5:$AT$2004,"&gt;=7")),""))</f>
        <v/>
      </c>
      <c r="BJ435" s="60">
        <f>IF(OR(BD435="",B435=""),"",BD435-B435)</f>
        <v/>
      </c>
      <c r="BK435" s="60">
        <f>IF(OR(BE435="",BD435=""),"",BE435-BD435)</f>
        <v/>
      </c>
      <c r="BL435" s="60">
        <f>IF(OR(BF435="",BE435=""),"",BF435-BE435)</f>
        <v/>
      </c>
      <c r="BM435" s="60">
        <f>IF(OR(BG435="",BF435=""),"",BG435-BF435)</f>
        <v/>
      </c>
      <c r="BN435" s="60">
        <f>IF(OR(BH435="",BG435=""),"",BH435-BG435)</f>
        <v/>
      </c>
      <c r="BO435" s="60">
        <f>IF(OR(BI435="",BH435=""),"",BI435-BH435)</f>
        <v/>
      </c>
      <c r="BP435" s="60">
        <f>IF(C435="","",_xlfn.MAXIFS('Saisie'!$AS$5:$AS$2004,'Saisie'!$C$5:$C$2004,C435,'Saisie'!$J$5:$J$2004,"&lt;&gt;"))</f>
        <v/>
      </c>
      <c r="BQ435" s="60">
        <f>IF(C435="","",_xlfn.MAXIFS('Saisie'!$AS$5:$AS$2004,'Saisie'!$C$5:$C$2004,C435))</f>
        <v/>
      </c>
      <c r="BR435" s="60">
        <f>IF(C435="","",_xlfn.MAXIFS('Saisie'!$AS$5:$AS$2004,'Saisie'!$C$5:$C$2004,C435,'Saisie'!$E$5:$E$2004,"Perdu"))</f>
        <v/>
      </c>
      <c r="BS435" s="60">
        <f>IF(C435="","",_xlfn.MAXIFS('Saisie'!$AS$5:$AS$2004,'Saisie'!$C$5:$C$2004,C435,'Saisie'!$AT$5:$AT$2004,"&gt;0"))</f>
        <v/>
      </c>
      <c r="BT435" s="109">
        <f>IF(AND(C435&lt;&gt;"",OR(D435="Nouveau",D435="Contacté",D435="Qualifié"),OR(G435="",N(G435)&lt;=TODAY()),NOT(AND(O435&gt;='Paramètres'!$B$21,P435=0))),E435+431/10000,"")</f>
        <v/>
      </c>
      <c r="BU435" s="60">
        <f>IF(AND(G435&lt;&gt;"",N(G435)&lt;=TODAY()),MAX($BU$4:BU434)+1,"")</f>
        <v/>
      </c>
      <c r="BV435" s="60">
        <f>IF(AND(F435&lt;&gt;"",F435&lt;&gt;"Relance en retard"),MAX($BV$4:BV434)+1,"")</f>
        <v/>
      </c>
      <c r="BW435" s="60">
        <f>IF(C435="","",IF(AND(B435&gt;='Tableau de bord'!$R$4,B435&lt;='Tableau de bord'!$S$4,OR('Tableau de bord'!$G$4="Tous",N435='Tableau de bord'!$G$4)),1,0))</f>
        <v/>
      </c>
      <c r="BX435" s="60">
        <f>IF(AND(C435&lt;&gt;"",N(BA435)=7),MAX($BX$4:BX434)+1,"")</f>
        <v/>
      </c>
    </row>
    <row r="436">
      <c r="A436" s="60">
        <f>IF(C436="","","P-"&amp;TEXT(432,"000"))</f>
        <v/>
      </c>
      <c r="B436" s="106">
        <f>IF(C436="","",IFERROR(1/(1/_xlfn.MINIFS('Saisie'!$A$5:$A$2004,'Saisie'!$C$5:$C$2004,C436)),""))</f>
        <v/>
      </c>
      <c r="C436" s="60">
        <f>IFERROR(INDEX('Saisie'!$C$5:$C$2004,MATCH(432,'Saisie'!$AX$5:$AX$2004,0)),"")</f>
        <v/>
      </c>
      <c r="D436" s="60">
        <f>IF(C436="","",IF(AND(BR436&gt;0,BR436&gt;BS436,BA436&lt;7),"Perdu",INDEX('Paramètres'!$F$6:$F$13,BA436)))</f>
        <v/>
      </c>
      <c r="E436" s="61">
        <f>IF(C436="","",MIN(100,(Z436="Oui")*'Paramètres'!$B$38+(AB436="Régulière")*'Paramètres'!$B$39+IF(AND(N(AA436)&gt;0,TODAY()-N(AA436)&lt;=30),'Paramètres'!$B$40,0)+(W436="")*'Paramètres'!$B$41+(AC436="Absente")*'Paramètres'!$B$42+(AC436="Faible")*'Paramètres'!$B$43+IF(AND(N(AD436)&gt;0,N(AD436)&lt;4),'Paramètres'!$B$44,0)+(AF436="Moyenne")*'Paramètres'!$B$45+(AF436="Grande")*'Paramètres'!$B$46+(Y436&lt;&gt;"")*'Paramètres'!$B$47))</f>
        <v/>
      </c>
      <c r="F436" s="60">
        <f>IF(C436="","",IF(D436="Gagné","",IF(D436="Perdu",IF(AND(AX436&lt;&gt;"",AX436&lt;=TODAY()),"À recontacter (perdu)",""),IF(AND(O436&gt;='Paramètres'!$B$21,P436=0),"Stop : "&amp;'Paramètres'!$B$21&amp;" tentatives sans réponse",IF(AND(D436="Proposition",AR436&lt;&gt;"",TODAY()&gt;N(AR436)),"Proposition expirée",IF(AND(D436="Proposition",N(R436)&gt;='Paramètres'!$B$25),"Proposition sans réponse",IF(AND(G436&lt;&gt;"",N(G436)&lt;TODAY()),"Relance en retard",IF(N(R436)&gt;='Paramètres'!$B$24,"Sans action depuis "&amp;R436&amp;" j",""))))))))</f>
        <v/>
      </c>
      <c r="G436" s="106">
        <f>IF(OR(C436="",D436="Gagné",D436="Perdu"),"",IF(AND(BP436&gt;0,BP436=BQ436),INDEX('Saisie'!$J$5:$J$2004,BP436-4),IF(OR(O436=0,AND(O436&gt;='Paramètres'!$B$21,P436=0)),"",Q436+IF(O436&lt;=1,'Paramètres'!$B$18,IF(O436=2,'Paramètres'!$B$19,'Paramètres'!$B$20)))))</f>
        <v/>
      </c>
      <c r="H436" s="107">
        <f>IF(OR(G436="",BP436&lt;&gt;BQ436),"",IF(INDEX('Saisie'!$K$5:$K$2004,BP436-4)="","",INDEX('Saisie'!$K$5:$K$2004,BP436-4)))</f>
        <v/>
      </c>
      <c r="I436" s="60">
        <f>IF(C436="","",IF(OR(D436="Gagné",D436="Perdu"),"",IFERROR(INDEX('Saisie'!$I$5:$I$2004,_xlfn.MAXIFS('Saisie'!$AS$5:$AS$2004,'Saisie'!$C$5:$C$2004,C436,'Saisie'!$I$5:$I$2004,"&lt;&gt;")-4),"")))</f>
        <v/>
      </c>
      <c r="J436" s="60">
        <f>IF(C436="","",IFERROR(INDEX('Saisie'!$U$5:$U$2004,_xlfn.MAXIFS('Saisie'!$AS$5:$AS$2004,'Saisie'!$C$5:$C$2004,C436,'Saisie'!$U$5:$U$2004,"&lt;&gt;")-4),""))</f>
        <v/>
      </c>
      <c r="K436" s="60">
        <f>IF(C436="","",IFERROR(INDEX('Saisie'!$W$5:$W$2004,_xlfn.MAXIFS('Saisie'!$AS$5:$AS$2004,'Saisie'!$C$5:$C$2004,C436,'Saisie'!$W$5:$W$2004,"&lt;&gt;")-4),""))</f>
        <v/>
      </c>
      <c r="L436" s="60">
        <f>IF(IF(BB436&lt;&gt;"",BB436,K436)="","",HYPERLINK("https://wa.me/"&amp;IF(LEFT(SUBSTITUTE(SUBSTITUTE(SUBSTITUTE(IF(BB436&lt;&gt;"",BB436,K436)," ",""),".",""),"+",""),1)="0",'Paramètres'!$B$35&amp;MID(SUBSTITUTE(SUBSTITUTE(SUBSTITUTE(IF(BB436&lt;&gt;"",BB436,K436)," ",""),".",""),"+",""),2,20),SUBSTITUTE(SUBSTITUTE(SUBSTITUTE(IF(BB436&lt;&gt;"",BB436,K436)," ",""),".",""),"+","")),"WhatsApp"))</f>
        <v/>
      </c>
      <c r="M436" s="60">
        <f>IF(BC436="","",HYPERLINK(IF(LEFT(BC436,4)="http",BC436,"https://www.instagram.com/"&amp;SUBSTITUTE(SUBSTITUTE(BC436,"@","")," ","")),BC436))</f>
        <v/>
      </c>
      <c r="N436" s="60">
        <f>IF(C436="","",IFERROR(INDEX('Saisie'!$D$5:$D$2004,_xlfn.MINIFS('Saisie'!$AS$5:$AS$2004,'Saisie'!$C$5:$C$2004,C436,'Saisie'!$AU$5:$AU$2004,1)-4),IFERROR(INDEX('Saisie'!$D$5:$D$2004,_xlfn.MINIFS('Saisie'!$AS$5:$AS$2004,'Saisie'!$C$5:$C$2004,C436,'Saisie'!$D$5:$D$2004,"&lt;&gt;")-4),"")))</f>
        <v/>
      </c>
      <c r="O436" s="60">
        <f>IF(C436="","",COUNTIFS('Saisie'!$C$5:$C$2004,C436,'Saisie'!$AU$5:$AU$2004,1))</f>
        <v/>
      </c>
      <c r="P436" s="60">
        <f>IF(C436="","",COUNTIFS('Saisie'!$C$5:$C$2004,C436,'Saisie'!$AV$5:$AV$2004,1))</f>
        <v/>
      </c>
      <c r="Q436" s="106">
        <f>IF(C436="","",IFERROR(1/(1/_xlfn.MAXIFS('Saisie'!$A$5:$A$2004,'Saisie'!$C$5:$C$2004,C436)),""))</f>
        <v/>
      </c>
      <c r="R436" s="61">
        <f>IF(C436="","",IF(Q436="","",TODAY()-Q436))</f>
        <v/>
      </c>
      <c r="S436" s="60">
        <f>IF(C436="","",IFERROR(INDEX('Saisie'!$R$5:$R$2004,_xlfn.MAXIFS('Saisie'!$AS$5:$AS$2004,'Saisie'!$C$5:$C$2004,C436,'Saisie'!$R$5:$R$2004,"&lt;&gt;")-4),""))</f>
        <v/>
      </c>
      <c r="T436" s="60">
        <f>IF(C436="","",IFERROR(INDEX('Saisie'!$S$5:$S$2004,_xlfn.MAXIFS('Saisie'!$AS$5:$AS$2004,'Saisie'!$C$5:$C$2004,C436,'Saisie'!$S$5:$S$2004,"&lt;&gt;")-4),""))</f>
        <v/>
      </c>
      <c r="U436" s="60">
        <f>IF(C436="","",IFERROR(INDEX('Saisie'!$T$5:$T$2004,_xlfn.MAXIFS('Saisie'!$AS$5:$AS$2004,'Saisie'!$C$5:$C$2004,C436,'Saisie'!$T$5:$T$2004,"&lt;&gt;")-4),""))</f>
        <v/>
      </c>
      <c r="V436" s="60">
        <f>IF(C436="","",IFERROR(INDEX('Saisie'!$V$5:$V$2004,_xlfn.MAXIFS('Saisie'!$AS$5:$AS$2004,'Saisie'!$C$5:$C$2004,C436,'Saisie'!$V$5:$V$2004,"&lt;&gt;")-4),""))</f>
        <v/>
      </c>
      <c r="W436" s="60">
        <f>IF(C436="","",IFERROR(INDEX('Saisie'!$Z$5:$Z$2004,_xlfn.MAXIFS('Saisie'!$AS$5:$AS$2004,'Saisie'!$C$5:$C$2004,C436,'Saisie'!$Z$5:$Z$2004,"&lt;&gt;")-4),""))</f>
        <v/>
      </c>
      <c r="X436" s="60">
        <f>IF(C436="","",IFERROR(INDEX('Saisie'!$AA$5:$AA$2004,_xlfn.MAXIFS('Saisie'!$AS$5:$AS$2004,'Saisie'!$C$5:$C$2004,C436,'Saisie'!$AA$5:$AA$2004,"&lt;&gt;")-4),""))</f>
        <v/>
      </c>
      <c r="Y436" s="60">
        <f>IF(C436="","",IFERROR(INDEX('Saisie'!$AB$5:$AB$2004,_xlfn.MAXIFS('Saisie'!$AS$5:$AS$2004,'Saisie'!$C$5:$C$2004,C436,'Saisie'!$AB$5:$AB$2004,"&lt;&gt;")-4),""))</f>
        <v/>
      </c>
      <c r="Z436" s="60">
        <f>IF(C436="","",IFERROR(INDEX('Saisie'!$AC$5:$AC$2004,_xlfn.MAXIFS('Saisie'!$AS$5:$AS$2004,'Saisie'!$C$5:$C$2004,C436,'Saisie'!$AC$5:$AC$2004,"&lt;&gt;")-4),""))</f>
        <v/>
      </c>
      <c r="AA436" s="106">
        <f>IF(C436="","",IFERROR(INDEX('Saisie'!$AD$5:$AD$2004,_xlfn.MAXIFS('Saisie'!$AS$5:$AS$2004,'Saisie'!$C$5:$C$2004,C436,'Saisie'!$AD$5:$AD$2004,"&lt;&gt;")-4),""))</f>
        <v/>
      </c>
      <c r="AB436" s="60">
        <f>IF(C436="","",IFERROR(INDEX('Saisie'!$AE$5:$AE$2004,_xlfn.MAXIFS('Saisie'!$AS$5:$AS$2004,'Saisie'!$C$5:$C$2004,C436,'Saisie'!$AE$5:$AE$2004,"&lt;&gt;")-4),""))</f>
        <v/>
      </c>
      <c r="AC436" s="60">
        <f>IF(C436="","",IFERROR(INDEX('Saisie'!$AF$5:$AF$2004,_xlfn.MAXIFS('Saisie'!$AS$5:$AS$2004,'Saisie'!$C$5:$C$2004,C436,'Saisie'!$AF$5:$AF$2004,"&lt;&gt;")-4),""))</f>
        <v/>
      </c>
      <c r="AD436" s="108">
        <f>IF(C436="","",IFERROR(INDEX('Saisie'!$AG$5:$AG$2004,_xlfn.MAXIFS('Saisie'!$AS$5:$AS$2004,'Saisie'!$C$5:$C$2004,C436,'Saisie'!$AG$5:$AG$2004,"&lt;&gt;")-4),""))</f>
        <v/>
      </c>
      <c r="AE436" s="60">
        <f>IF(C436="","",IFERROR(INDEX('Saisie'!$AH$5:$AH$2004,_xlfn.MAXIFS('Saisie'!$AS$5:$AS$2004,'Saisie'!$C$5:$C$2004,C436,'Saisie'!$AH$5:$AH$2004,"&lt;&gt;")-4),""))</f>
        <v/>
      </c>
      <c r="AF436" s="60">
        <f>IF(C436="","",IFERROR(INDEX('Saisie'!$AI$5:$AI$2004,_xlfn.MAXIFS('Saisie'!$AS$5:$AS$2004,'Saisie'!$C$5:$C$2004,C436,'Saisie'!$AI$5:$AI$2004,"&lt;&gt;")-4),""))</f>
        <v/>
      </c>
      <c r="AG436" s="60">
        <f>IF(C436="","",IFERROR(INDEX('Saisie'!$AJ$5:$AJ$2004,_xlfn.MAXIFS('Saisie'!$AS$5:$AS$2004,'Saisie'!$C$5:$C$2004,C436,'Saisie'!$AJ$5:$AJ$2004,"&lt;&gt;")-4),""))</f>
        <v/>
      </c>
      <c r="AH436" s="60">
        <f>IF(C436="","",IFERROR(INDEX('Saisie'!$AK$5:$AK$2004,_xlfn.MAXIFS('Saisie'!$AS$5:$AS$2004,'Saisie'!$C$5:$C$2004,C436,'Saisie'!$AK$5:$AK$2004,"&lt;&gt;")-4),""))</f>
        <v/>
      </c>
      <c r="AI436" s="60">
        <f>IF(C436="","",IFERROR(INDEX('Saisie'!$AN$5:$AN$2004,_xlfn.MAXIFS('Saisie'!$AS$5:$AS$2004,'Saisie'!$C$5:$C$2004,C436,'Saisie'!$AN$5:$AN$2004,"&lt;&gt;")-4),""))</f>
        <v/>
      </c>
      <c r="AJ436" s="60">
        <f>IF(C436="","",IFERROR(INDEX('Saisie'!$AO$5:$AO$2004,_xlfn.MAXIFS('Saisie'!$AS$5:$AS$2004,'Saisie'!$C$5:$C$2004,C436,'Saisie'!$AO$5:$AO$2004,"&lt;&gt;")-4),""))</f>
        <v/>
      </c>
      <c r="AK436" s="60">
        <f>IF(C436="","",IFERROR(INDEX('Saisie'!$AP$5:$AP$2004,_xlfn.MAXIFS('Saisie'!$AS$5:$AS$2004,'Saisie'!$C$5:$C$2004,C436,'Saisie'!$AP$5:$AP$2004,"&lt;&gt;")-4),""))</f>
        <v/>
      </c>
      <c r="AL436" s="60">
        <f>IF(C436="","",IFERROR(INDEX('Saisie'!$AQ$5:$AQ$2004,_xlfn.MAXIFS('Saisie'!$AS$5:$AS$2004,'Saisie'!$C$5:$C$2004,C436,'Saisie'!$AQ$5:$AQ$2004,"&lt;&gt;")-4),""))</f>
        <v/>
      </c>
      <c r="AM436" s="60">
        <f>IF(C436="","",((AI436="Oui")+(AJ436="Oui")+(AK436="Oui")+OR(AL436="Immédiat",AL436="&lt; 1 mois"))&amp;"/4")</f>
        <v/>
      </c>
      <c r="AN436" s="60">
        <f>IF(C436="","",IFERROR(INDEX('Saisie'!$AL$5:$AL$2004,_xlfn.MAXIFS('Saisie'!$AS$5:$AS$2004,'Saisie'!$C$5:$C$2004,C436,'Saisie'!$AL$5:$AL$2004,"&lt;&gt;")-4),""))</f>
        <v/>
      </c>
      <c r="AO436" s="62">
        <f>IF(C436="","",IF(IFERROR(INDEX('Saisie'!$AM$5:$AM$2004,_xlfn.MAXIFS('Saisie'!$AS$5:$AS$2004,'Saisie'!$C$5:$C$2004,C436,'Saisie'!$AM$5:$AM$2004,"&lt;&gt;")-4),"")&lt;&gt;"",IFERROR(INDEX('Saisie'!$AM$5:$AM$2004,_xlfn.MAXIFS('Saisie'!$AS$5:$AS$2004,'Saisie'!$C$5:$C$2004,C436,'Saisie'!$AM$5:$AM$2004,"&lt;&gt;")-4),""),IFERROR(INDEX('Paramètres'!$S$6:$S$15,MATCH(AN436,'Paramètres'!$Q$6:$Q$15,0)),"")))</f>
        <v/>
      </c>
      <c r="AP436" s="62">
        <f>IF(C436="","",IFERROR(INDEX('Saisie'!$AW$5:$AW$2004,_xlfn.MAXIFS('Saisie'!$AS$5:$AS$2004,'Saisie'!$C$5:$C$2004,C436,'Saisie'!$E$5:$E$2004,"Proposition envoyée")-4),""))</f>
        <v/>
      </c>
      <c r="AQ436" s="106">
        <f>IF(C436="","",IFERROR(1/(1/_xlfn.MAXIFS('Saisie'!$A$5:$A$2004,'Saisie'!$C$5:$C$2004,C436,'Saisie'!$E$5:$E$2004,"Proposition envoyée")),""))</f>
        <v/>
      </c>
      <c r="AR436" s="106">
        <f>IF(C436="","",IF(AQ436="","",AQ436+'Paramètres'!$B$26))</f>
        <v/>
      </c>
      <c r="AS436" s="62">
        <f>IF(OR(C436="",D436="Gagné",D436="Perdu"),0,N(AP436)*IFERROR(INDEX('Paramètres'!$G$6:$G$13,MATCH(D436,'Paramètres'!$F$6:$F$13,0)),0))</f>
        <v/>
      </c>
      <c r="AT436" s="106">
        <f>IF(C436="","",IFERROR(1/(1/_xlfn.MINIFS('Saisie'!$A$5:$A$2004,'Saisie'!$C$5:$C$2004,C436,'Saisie'!$E$5:$E$2004,"Signature")),""))</f>
        <v/>
      </c>
      <c r="AU436" s="60">
        <f>IF(C436="","",IF(OR(AT436="",B436=""),"",AT436-B436))</f>
        <v/>
      </c>
      <c r="AV436" s="60">
        <f>IF(C436="","",IFERROR(INDEX('Saisie'!$L$5:$L$2004,_xlfn.MAXIFS('Saisie'!$AS$5:$AS$2004,'Saisie'!$C$5:$C$2004,C436,'Saisie'!$L$5:$L$2004,"&lt;&gt;")-4),""))</f>
        <v/>
      </c>
      <c r="AW436" s="106">
        <f>IF(C436="","",IF(D436&lt;&gt;"Perdu","",IFERROR(1/(1/_xlfn.MAXIFS('Saisie'!$A$5:$A$2004,'Saisie'!$C$5:$C$2004,C436,'Saisie'!$E$5:$E$2004,"Perdu")),"")))</f>
        <v/>
      </c>
      <c r="AX436" s="106">
        <f>IF(C436="","",IF(AW436="","",AW436+'Paramètres'!$B$28))</f>
        <v/>
      </c>
      <c r="AY436" s="60">
        <f>IF(C436="","",SUMIFS('Saisie'!$H$5:$H$2004,'Saisie'!$C$5:$C$2004,C436))</f>
        <v/>
      </c>
      <c r="AZ436" s="60">
        <f>IF(C436="","",IFERROR(INDEX('Paramètres'!$W$6:$W$20,MATCH(S436,'Paramètres'!$V$6:$V$20,0))&amp;"",""))</f>
        <v/>
      </c>
      <c r="BA436" s="60">
        <f>IF(C436="","",MAX(1,_xlfn.MAXIFS('Saisie'!$AT$5:$AT$2004,'Saisie'!$C$5:$C$2004,C436)))</f>
        <v/>
      </c>
      <c r="BB436" s="60">
        <f>IF(C436="","",IFERROR(INDEX('Saisie'!$X$5:$X$2004,_xlfn.MAXIFS('Saisie'!$AS$5:$AS$2004,'Saisie'!$C$5:$C$2004,C436,'Saisie'!$X$5:$X$2004,"&lt;&gt;")-4),""))</f>
        <v/>
      </c>
      <c r="BC436" s="60">
        <f>IF(C436="","",IFERROR(INDEX('Saisie'!$Y$5:$Y$2004,_xlfn.MAXIFS('Saisie'!$AS$5:$AS$2004,'Saisie'!$C$5:$C$2004,C436,'Saisie'!$Y$5:$Y$2004,"&lt;&gt;")-4),""))</f>
        <v/>
      </c>
      <c r="BD436" s="106">
        <f>IF(C436="","",IFERROR(1/(1/_xlfn.MINIFS('Saisie'!$A$5:$A$2004,'Saisie'!$C$5:$C$2004,C436,'Saisie'!$AT$5:$AT$2004,"&gt;=2")),""))</f>
        <v/>
      </c>
      <c r="BE436" s="106">
        <f>IF(C436="","",IFERROR(1/(1/_xlfn.MINIFS('Saisie'!$A$5:$A$2004,'Saisie'!$C$5:$C$2004,C436,'Saisie'!$AT$5:$AT$2004,"&gt;=3")),""))</f>
        <v/>
      </c>
      <c r="BF436" s="106">
        <f>IF(C436="","",IFERROR(1/(1/_xlfn.MINIFS('Saisie'!$A$5:$A$2004,'Saisie'!$C$5:$C$2004,C436,'Saisie'!$AT$5:$AT$2004,"&gt;=4")),""))</f>
        <v/>
      </c>
      <c r="BG436" s="106">
        <f>IF(C436="","",IFERROR(1/(1/_xlfn.MINIFS('Saisie'!$A$5:$A$2004,'Saisie'!$C$5:$C$2004,C436,'Saisie'!$AT$5:$AT$2004,"&gt;=5")),""))</f>
        <v/>
      </c>
      <c r="BH436" s="106">
        <f>IF(C436="","",IFERROR(1/(1/_xlfn.MINIFS('Saisie'!$A$5:$A$2004,'Saisie'!$C$5:$C$2004,C436,'Saisie'!$AT$5:$AT$2004,"&gt;=6")),""))</f>
        <v/>
      </c>
      <c r="BI436" s="106">
        <f>IF(C436="","",IFERROR(1/(1/_xlfn.MINIFS('Saisie'!$A$5:$A$2004,'Saisie'!$C$5:$C$2004,C436,'Saisie'!$AT$5:$AT$2004,"&gt;=7")),""))</f>
        <v/>
      </c>
      <c r="BJ436" s="60">
        <f>IF(OR(BD436="",B436=""),"",BD436-B436)</f>
        <v/>
      </c>
      <c r="BK436" s="60">
        <f>IF(OR(BE436="",BD436=""),"",BE436-BD436)</f>
        <v/>
      </c>
      <c r="BL436" s="60">
        <f>IF(OR(BF436="",BE436=""),"",BF436-BE436)</f>
        <v/>
      </c>
      <c r="BM436" s="60">
        <f>IF(OR(BG436="",BF436=""),"",BG436-BF436)</f>
        <v/>
      </c>
      <c r="BN436" s="60">
        <f>IF(OR(BH436="",BG436=""),"",BH436-BG436)</f>
        <v/>
      </c>
      <c r="BO436" s="60">
        <f>IF(OR(BI436="",BH436=""),"",BI436-BH436)</f>
        <v/>
      </c>
      <c r="BP436" s="60">
        <f>IF(C436="","",_xlfn.MAXIFS('Saisie'!$AS$5:$AS$2004,'Saisie'!$C$5:$C$2004,C436,'Saisie'!$J$5:$J$2004,"&lt;&gt;"))</f>
        <v/>
      </c>
      <c r="BQ436" s="60">
        <f>IF(C436="","",_xlfn.MAXIFS('Saisie'!$AS$5:$AS$2004,'Saisie'!$C$5:$C$2004,C436))</f>
        <v/>
      </c>
      <c r="BR436" s="60">
        <f>IF(C436="","",_xlfn.MAXIFS('Saisie'!$AS$5:$AS$2004,'Saisie'!$C$5:$C$2004,C436,'Saisie'!$E$5:$E$2004,"Perdu"))</f>
        <v/>
      </c>
      <c r="BS436" s="60">
        <f>IF(C436="","",_xlfn.MAXIFS('Saisie'!$AS$5:$AS$2004,'Saisie'!$C$5:$C$2004,C436,'Saisie'!$AT$5:$AT$2004,"&gt;0"))</f>
        <v/>
      </c>
      <c r="BT436" s="109">
        <f>IF(AND(C436&lt;&gt;"",OR(D436="Nouveau",D436="Contacté",D436="Qualifié"),OR(G436="",N(G436)&lt;=TODAY()),NOT(AND(O436&gt;='Paramètres'!$B$21,P436=0))),E436+432/10000,"")</f>
        <v/>
      </c>
      <c r="BU436" s="60">
        <f>IF(AND(G436&lt;&gt;"",N(G436)&lt;=TODAY()),MAX($BU$4:BU435)+1,"")</f>
        <v/>
      </c>
      <c r="BV436" s="60">
        <f>IF(AND(F436&lt;&gt;"",F436&lt;&gt;"Relance en retard"),MAX($BV$4:BV435)+1,"")</f>
        <v/>
      </c>
      <c r="BW436" s="60">
        <f>IF(C436="","",IF(AND(B436&gt;='Tableau de bord'!$R$4,B436&lt;='Tableau de bord'!$S$4,OR('Tableau de bord'!$G$4="Tous",N436='Tableau de bord'!$G$4)),1,0))</f>
        <v/>
      </c>
      <c r="BX436" s="60">
        <f>IF(AND(C436&lt;&gt;"",N(BA436)=7),MAX($BX$4:BX435)+1,"")</f>
        <v/>
      </c>
    </row>
    <row r="437">
      <c r="A437" s="60">
        <f>IF(C437="","","P-"&amp;TEXT(433,"000"))</f>
        <v/>
      </c>
      <c r="B437" s="106">
        <f>IF(C437="","",IFERROR(1/(1/_xlfn.MINIFS('Saisie'!$A$5:$A$2004,'Saisie'!$C$5:$C$2004,C437)),""))</f>
        <v/>
      </c>
      <c r="C437" s="60">
        <f>IFERROR(INDEX('Saisie'!$C$5:$C$2004,MATCH(433,'Saisie'!$AX$5:$AX$2004,0)),"")</f>
        <v/>
      </c>
      <c r="D437" s="60">
        <f>IF(C437="","",IF(AND(BR437&gt;0,BR437&gt;BS437,BA437&lt;7),"Perdu",INDEX('Paramètres'!$F$6:$F$13,BA437)))</f>
        <v/>
      </c>
      <c r="E437" s="61">
        <f>IF(C437="","",MIN(100,(Z437="Oui")*'Paramètres'!$B$38+(AB437="Régulière")*'Paramètres'!$B$39+IF(AND(N(AA437)&gt;0,TODAY()-N(AA437)&lt;=30),'Paramètres'!$B$40,0)+(W437="")*'Paramètres'!$B$41+(AC437="Absente")*'Paramètres'!$B$42+(AC437="Faible")*'Paramètres'!$B$43+IF(AND(N(AD437)&gt;0,N(AD437)&lt;4),'Paramètres'!$B$44,0)+(AF437="Moyenne")*'Paramètres'!$B$45+(AF437="Grande")*'Paramètres'!$B$46+(Y437&lt;&gt;"")*'Paramètres'!$B$47))</f>
        <v/>
      </c>
      <c r="F437" s="60">
        <f>IF(C437="","",IF(D437="Gagné","",IF(D437="Perdu",IF(AND(AX437&lt;&gt;"",AX437&lt;=TODAY()),"À recontacter (perdu)",""),IF(AND(O437&gt;='Paramètres'!$B$21,P437=0),"Stop : "&amp;'Paramètres'!$B$21&amp;" tentatives sans réponse",IF(AND(D437="Proposition",AR437&lt;&gt;"",TODAY()&gt;N(AR437)),"Proposition expirée",IF(AND(D437="Proposition",N(R437)&gt;='Paramètres'!$B$25),"Proposition sans réponse",IF(AND(G437&lt;&gt;"",N(G437)&lt;TODAY()),"Relance en retard",IF(N(R437)&gt;='Paramètres'!$B$24,"Sans action depuis "&amp;R437&amp;" j",""))))))))</f>
        <v/>
      </c>
      <c r="G437" s="106">
        <f>IF(OR(C437="",D437="Gagné",D437="Perdu"),"",IF(AND(BP437&gt;0,BP437=BQ437),INDEX('Saisie'!$J$5:$J$2004,BP437-4),IF(OR(O437=0,AND(O437&gt;='Paramètres'!$B$21,P437=0)),"",Q437+IF(O437&lt;=1,'Paramètres'!$B$18,IF(O437=2,'Paramètres'!$B$19,'Paramètres'!$B$20)))))</f>
        <v/>
      </c>
      <c r="H437" s="107">
        <f>IF(OR(G437="",BP437&lt;&gt;BQ437),"",IF(INDEX('Saisie'!$K$5:$K$2004,BP437-4)="","",INDEX('Saisie'!$K$5:$K$2004,BP437-4)))</f>
        <v/>
      </c>
      <c r="I437" s="60">
        <f>IF(C437="","",IF(OR(D437="Gagné",D437="Perdu"),"",IFERROR(INDEX('Saisie'!$I$5:$I$2004,_xlfn.MAXIFS('Saisie'!$AS$5:$AS$2004,'Saisie'!$C$5:$C$2004,C437,'Saisie'!$I$5:$I$2004,"&lt;&gt;")-4),"")))</f>
        <v/>
      </c>
      <c r="J437" s="60">
        <f>IF(C437="","",IFERROR(INDEX('Saisie'!$U$5:$U$2004,_xlfn.MAXIFS('Saisie'!$AS$5:$AS$2004,'Saisie'!$C$5:$C$2004,C437,'Saisie'!$U$5:$U$2004,"&lt;&gt;")-4),""))</f>
        <v/>
      </c>
      <c r="K437" s="60">
        <f>IF(C437="","",IFERROR(INDEX('Saisie'!$W$5:$W$2004,_xlfn.MAXIFS('Saisie'!$AS$5:$AS$2004,'Saisie'!$C$5:$C$2004,C437,'Saisie'!$W$5:$W$2004,"&lt;&gt;")-4),""))</f>
        <v/>
      </c>
      <c r="L437" s="60">
        <f>IF(IF(BB437&lt;&gt;"",BB437,K437)="","",HYPERLINK("https://wa.me/"&amp;IF(LEFT(SUBSTITUTE(SUBSTITUTE(SUBSTITUTE(IF(BB437&lt;&gt;"",BB437,K437)," ",""),".",""),"+",""),1)="0",'Paramètres'!$B$35&amp;MID(SUBSTITUTE(SUBSTITUTE(SUBSTITUTE(IF(BB437&lt;&gt;"",BB437,K437)," ",""),".",""),"+",""),2,20),SUBSTITUTE(SUBSTITUTE(SUBSTITUTE(IF(BB437&lt;&gt;"",BB437,K437)," ",""),".",""),"+","")),"WhatsApp"))</f>
        <v/>
      </c>
      <c r="M437" s="60">
        <f>IF(BC437="","",HYPERLINK(IF(LEFT(BC437,4)="http",BC437,"https://www.instagram.com/"&amp;SUBSTITUTE(SUBSTITUTE(BC437,"@","")," ","")),BC437))</f>
        <v/>
      </c>
      <c r="N437" s="60">
        <f>IF(C437="","",IFERROR(INDEX('Saisie'!$D$5:$D$2004,_xlfn.MINIFS('Saisie'!$AS$5:$AS$2004,'Saisie'!$C$5:$C$2004,C437,'Saisie'!$AU$5:$AU$2004,1)-4),IFERROR(INDEX('Saisie'!$D$5:$D$2004,_xlfn.MINIFS('Saisie'!$AS$5:$AS$2004,'Saisie'!$C$5:$C$2004,C437,'Saisie'!$D$5:$D$2004,"&lt;&gt;")-4),"")))</f>
        <v/>
      </c>
      <c r="O437" s="60">
        <f>IF(C437="","",COUNTIFS('Saisie'!$C$5:$C$2004,C437,'Saisie'!$AU$5:$AU$2004,1))</f>
        <v/>
      </c>
      <c r="P437" s="60">
        <f>IF(C437="","",COUNTIFS('Saisie'!$C$5:$C$2004,C437,'Saisie'!$AV$5:$AV$2004,1))</f>
        <v/>
      </c>
      <c r="Q437" s="106">
        <f>IF(C437="","",IFERROR(1/(1/_xlfn.MAXIFS('Saisie'!$A$5:$A$2004,'Saisie'!$C$5:$C$2004,C437)),""))</f>
        <v/>
      </c>
      <c r="R437" s="61">
        <f>IF(C437="","",IF(Q437="","",TODAY()-Q437))</f>
        <v/>
      </c>
      <c r="S437" s="60">
        <f>IF(C437="","",IFERROR(INDEX('Saisie'!$R$5:$R$2004,_xlfn.MAXIFS('Saisie'!$AS$5:$AS$2004,'Saisie'!$C$5:$C$2004,C437,'Saisie'!$R$5:$R$2004,"&lt;&gt;")-4),""))</f>
        <v/>
      </c>
      <c r="T437" s="60">
        <f>IF(C437="","",IFERROR(INDEX('Saisie'!$S$5:$S$2004,_xlfn.MAXIFS('Saisie'!$AS$5:$AS$2004,'Saisie'!$C$5:$C$2004,C437,'Saisie'!$S$5:$S$2004,"&lt;&gt;")-4),""))</f>
        <v/>
      </c>
      <c r="U437" s="60">
        <f>IF(C437="","",IFERROR(INDEX('Saisie'!$T$5:$T$2004,_xlfn.MAXIFS('Saisie'!$AS$5:$AS$2004,'Saisie'!$C$5:$C$2004,C437,'Saisie'!$T$5:$T$2004,"&lt;&gt;")-4),""))</f>
        <v/>
      </c>
      <c r="V437" s="60">
        <f>IF(C437="","",IFERROR(INDEX('Saisie'!$V$5:$V$2004,_xlfn.MAXIFS('Saisie'!$AS$5:$AS$2004,'Saisie'!$C$5:$C$2004,C437,'Saisie'!$V$5:$V$2004,"&lt;&gt;")-4),""))</f>
        <v/>
      </c>
      <c r="W437" s="60">
        <f>IF(C437="","",IFERROR(INDEX('Saisie'!$Z$5:$Z$2004,_xlfn.MAXIFS('Saisie'!$AS$5:$AS$2004,'Saisie'!$C$5:$C$2004,C437,'Saisie'!$Z$5:$Z$2004,"&lt;&gt;")-4),""))</f>
        <v/>
      </c>
      <c r="X437" s="60">
        <f>IF(C437="","",IFERROR(INDEX('Saisie'!$AA$5:$AA$2004,_xlfn.MAXIFS('Saisie'!$AS$5:$AS$2004,'Saisie'!$C$5:$C$2004,C437,'Saisie'!$AA$5:$AA$2004,"&lt;&gt;")-4),""))</f>
        <v/>
      </c>
      <c r="Y437" s="60">
        <f>IF(C437="","",IFERROR(INDEX('Saisie'!$AB$5:$AB$2004,_xlfn.MAXIFS('Saisie'!$AS$5:$AS$2004,'Saisie'!$C$5:$C$2004,C437,'Saisie'!$AB$5:$AB$2004,"&lt;&gt;")-4),""))</f>
        <v/>
      </c>
      <c r="Z437" s="60">
        <f>IF(C437="","",IFERROR(INDEX('Saisie'!$AC$5:$AC$2004,_xlfn.MAXIFS('Saisie'!$AS$5:$AS$2004,'Saisie'!$C$5:$C$2004,C437,'Saisie'!$AC$5:$AC$2004,"&lt;&gt;")-4),""))</f>
        <v/>
      </c>
      <c r="AA437" s="106">
        <f>IF(C437="","",IFERROR(INDEX('Saisie'!$AD$5:$AD$2004,_xlfn.MAXIFS('Saisie'!$AS$5:$AS$2004,'Saisie'!$C$5:$C$2004,C437,'Saisie'!$AD$5:$AD$2004,"&lt;&gt;")-4),""))</f>
        <v/>
      </c>
      <c r="AB437" s="60">
        <f>IF(C437="","",IFERROR(INDEX('Saisie'!$AE$5:$AE$2004,_xlfn.MAXIFS('Saisie'!$AS$5:$AS$2004,'Saisie'!$C$5:$C$2004,C437,'Saisie'!$AE$5:$AE$2004,"&lt;&gt;")-4),""))</f>
        <v/>
      </c>
      <c r="AC437" s="60">
        <f>IF(C437="","",IFERROR(INDEX('Saisie'!$AF$5:$AF$2004,_xlfn.MAXIFS('Saisie'!$AS$5:$AS$2004,'Saisie'!$C$5:$C$2004,C437,'Saisie'!$AF$5:$AF$2004,"&lt;&gt;")-4),""))</f>
        <v/>
      </c>
      <c r="AD437" s="108">
        <f>IF(C437="","",IFERROR(INDEX('Saisie'!$AG$5:$AG$2004,_xlfn.MAXIFS('Saisie'!$AS$5:$AS$2004,'Saisie'!$C$5:$C$2004,C437,'Saisie'!$AG$5:$AG$2004,"&lt;&gt;")-4),""))</f>
        <v/>
      </c>
      <c r="AE437" s="60">
        <f>IF(C437="","",IFERROR(INDEX('Saisie'!$AH$5:$AH$2004,_xlfn.MAXIFS('Saisie'!$AS$5:$AS$2004,'Saisie'!$C$5:$C$2004,C437,'Saisie'!$AH$5:$AH$2004,"&lt;&gt;")-4),""))</f>
        <v/>
      </c>
      <c r="AF437" s="60">
        <f>IF(C437="","",IFERROR(INDEX('Saisie'!$AI$5:$AI$2004,_xlfn.MAXIFS('Saisie'!$AS$5:$AS$2004,'Saisie'!$C$5:$C$2004,C437,'Saisie'!$AI$5:$AI$2004,"&lt;&gt;")-4),""))</f>
        <v/>
      </c>
      <c r="AG437" s="60">
        <f>IF(C437="","",IFERROR(INDEX('Saisie'!$AJ$5:$AJ$2004,_xlfn.MAXIFS('Saisie'!$AS$5:$AS$2004,'Saisie'!$C$5:$C$2004,C437,'Saisie'!$AJ$5:$AJ$2004,"&lt;&gt;")-4),""))</f>
        <v/>
      </c>
      <c r="AH437" s="60">
        <f>IF(C437="","",IFERROR(INDEX('Saisie'!$AK$5:$AK$2004,_xlfn.MAXIFS('Saisie'!$AS$5:$AS$2004,'Saisie'!$C$5:$C$2004,C437,'Saisie'!$AK$5:$AK$2004,"&lt;&gt;")-4),""))</f>
        <v/>
      </c>
      <c r="AI437" s="60">
        <f>IF(C437="","",IFERROR(INDEX('Saisie'!$AN$5:$AN$2004,_xlfn.MAXIFS('Saisie'!$AS$5:$AS$2004,'Saisie'!$C$5:$C$2004,C437,'Saisie'!$AN$5:$AN$2004,"&lt;&gt;")-4),""))</f>
        <v/>
      </c>
      <c r="AJ437" s="60">
        <f>IF(C437="","",IFERROR(INDEX('Saisie'!$AO$5:$AO$2004,_xlfn.MAXIFS('Saisie'!$AS$5:$AS$2004,'Saisie'!$C$5:$C$2004,C437,'Saisie'!$AO$5:$AO$2004,"&lt;&gt;")-4),""))</f>
        <v/>
      </c>
      <c r="AK437" s="60">
        <f>IF(C437="","",IFERROR(INDEX('Saisie'!$AP$5:$AP$2004,_xlfn.MAXIFS('Saisie'!$AS$5:$AS$2004,'Saisie'!$C$5:$C$2004,C437,'Saisie'!$AP$5:$AP$2004,"&lt;&gt;")-4),""))</f>
        <v/>
      </c>
      <c r="AL437" s="60">
        <f>IF(C437="","",IFERROR(INDEX('Saisie'!$AQ$5:$AQ$2004,_xlfn.MAXIFS('Saisie'!$AS$5:$AS$2004,'Saisie'!$C$5:$C$2004,C437,'Saisie'!$AQ$5:$AQ$2004,"&lt;&gt;")-4),""))</f>
        <v/>
      </c>
      <c r="AM437" s="60">
        <f>IF(C437="","",((AI437="Oui")+(AJ437="Oui")+(AK437="Oui")+OR(AL437="Immédiat",AL437="&lt; 1 mois"))&amp;"/4")</f>
        <v/>
      </c>
      <c r="AN437" s="60">
        <f>IF(C437="","",IFERROR(INDEX('Saisie'!$AL$5:$AL$2004,_xlfn.MAXIFS('Saisie'!$AS$5:$AS$2004,'Saisie'!$C$5:$C$2004,C437,'Saisie'!$AL$5:$AL$2004,"&lt;&gt;")-4),""))</f>
        <v/>
      </c>
      <c r="AO437" s="62">
        <f>IF(C437="","",IF(IFERROR(INDEX('Saisie'!$AM$5:$AM$2004,_xlfn.MAXIFS('Saisie'!$AS$5:$AS$2004,'Saisie'!$C$5:$C$2004,C437,'Saisie'!$AM$5:$AM$2004,"&lt;&gt;")-4),"")&lt;&gt;"",IFERROR(INDEX('Saisie'!$AM$5:$AM$2004,_xlfn.MAXIFS('Saisie'!$AS$5:$AS$2004,'Saisie'!$C$5:$C$2004,C437,'Saisie'!$AM$5:$AM$2004,"&lt;&gt;")-4),""),IFERROR(INDEX('Paramètres'!$S$6:$S$15,MATCH(AN437,'Paramètres'!$Q$6:$Q$15,0)),"")))</f>
        <v/>
      </c>
      <c r="AP437" s="62">
        <f>IF(C437="","",IFERROR(INDEX('Saisie'!$AW$5:$AW$2004,_xlfn.MAXIFS('Saisie'!$AS$5:$AS$2004,'Saisie'!$C$5:$C$2004,C437,'Saisie'!$E$5:$E$2004,"Proposition envoyée")-4),""))</f>
        <v/>
      </c>
      <c r="AQ437" s="106">
        <f>IF(C437="","",IFERROR(1/(1/_xlfn.MAXIFS('Saisie'!$A$5:$A$2004,'Saisie'!$C$5:$C$2004,C437,'Saisie'!$E$5:$E$2004,"Proposition envoyée")),""))</f>
        <v/>
      </c>
      <c r="AR437" s="106">
        <f>IF(C437="","",IF(AQ437="","",AQ437+'Paramètres'!$B$26))</f>
        <v/>
      </c>
      <c r="AS437" s="62">
        <f>IF(OR(C437="",D437="Gagné",D437="Perdu"),0,N(AP437)*IFERROR(INDEX('Paramètres'!$G$6:$G$13,MATCH(D437,'Paramètres'!$F$6:$F$13,0)),0))</f>
        <v/>
      </c>
      <c r="AT437" s="106">
        <f>IF(C437="","",IFERROR(1/(1/_xlfn.MINIFS('Saisie'!$A$5:$A$2004,'Saisie'!$C$5:$C$2004,C437,'Saisie'!$E$5:$E$2004,"Signature")),""))</f>
        <v/>
      </c>
      <c r="AU437" s="60">
        <f>IF(C437="","",IF(OR(AT437="",B437=""),"",AT437-B437))</f>
        <v/>
      </c>
      <c r="AV437" s="60">
        <f>IF(C437="","",IFERROR(INDEX('Saisie'!$L$5:$L$2004,_xlfn.MAXIFS('Saisie'!$AS$5:$AS$2004,'Saisie'!$C$5:$C$2004,C437,'Saisie'!$L$5:$L$2004,"&lt;&gt;")-4),""))</f>
        <v/>
      </c>
      <c r="AW437" s="106">
        <f>IF(C437="","",IF(D437&lt;&gt;"Perdu","",IFERROR(1/(1/_xlfn.MAXIFS('Saisie'!$A$5:$A$2004,'Saisie'!$C$5:$C$2004,C437,'Saisie'!$E$5:$E$2004,"Perdu")),"")))</f>
        <v/>
      </c>
      <c r="AX437" s="106">
        <f>IF(C437="","",IF(AW437="","",AW437+'Paramètres'!$B$28))</f>
        <v/>
      </c>
      <c r="AY437" s="60">
        <f>IF(C437="","",SUMIFS('Saisie'!$H$5:$H$2004,'Saisie'!$C$5:$C$2004,C437))</f>
        <v/>
      </c>
      <c r="AZ437" s="60">
        <f>IF(C437="","",IFERROR(INDEX('Paramètres'!$W$6:$W$20,MATCH(S437,'Paramètres'!$V$6:$V$20,0))&amp;"",""))</f>
        <v/>
      </c>
      <c r="BA437" s="60">
        <f>IF(C437="","",MAX(1,_xlfn.MAXIFS('Saisie'!$AT$5:$AT$2004,'Saisie'!$C$5:$C$2004,C437)))</f>
        <v/>
      </c>
      <c r="BB437" s="60">
        <f>IF(C437="","",IFERROR(INDEX('Saisie'!$X$5:$X$2004,_xlfn.MAXIFS('Saisie'!$AS$5:$AS$2004,'Saisie'!$C$5:$C$2004,C437,'Saisie'!$X$5:$X$2004,"&lt;&gt;")-4),""))</f>
        <v/>
      </c>
      <c r="BC437" s="60">
        <f>IF(C437="","",IFERROR(INDEX('Saisie'!$Y$5:$Y$2004,_xlfn.MAXIFS('Saisie'!$AS$5:$AS$2004,'Saisie'!$C$5:$C$2004,C437,'Saisie'!$Y$5:$Y$2004,"&lt;&gt;")-4),""))</f>
        <v/>
      </c>
      <c r="BD437" s="106">
        <f>IF(C437="","",IFERROR(1/(1/_xlfn.MINIFS('Saisie'!$A$5:$A$2004,'Saisie'!$C$5:$C$2004,C437,'Saisie'!$AT$5:$AT$2004,"&gt;=2")),""))</f>
        <v/>
      </c>
      <c r="BE437" s="106">
        <f>IF(C437="","",IFERROR(1/(1/_xlfn.MINIFS('Saisie'!$A$5:$A$2004,'Saisie'!$C$5:$C$2004,C437,'Saisie'!$AT$5:$AT$2004,"&gt;=3")),""))</f>
        <v/>
      </c>
      <c r="BF437" s="106">
        <f>IF(C437="","",IFERROR(1/(1/_xlfn.MINIFS('Saisie'!$A$5:$A$2004,'Saisie'!$C$5:$C$2004,C437,'Saisie'!$AT$5:$AT$2004,"&gt;=4")),""))</f>
        <v/>
      </c>
      <c r="BG437" s="106">
        <f>IF(C437="","",IFERROR(1/(1/_xlfn.MINIFS('Saisie'!$A$5:$A$2004,'Saisie'!$C$5:$C$2004,C437,'Saisie'!$AT$5:$AT$2004,"&gt;=5")),""))</f>
        <v/>
      </c>
      <c r="BH437" s="106">
        <f>IF(C437="","",IFERROR(1/(1/_xlfn.MINIFS('Saisie'!$A$5:$A$2004,'Saisie'!$C$5:$C$2004,C437,'Saisie'!$AT$5:$AT$2004,"&gt;=6")),""))</f>
        <v/>
      </c>
      <c r="BI437" s="106">
        <f>IF(C437="","",IFERROR(1/(1/_xlfn.MINIFS('Saisie'!$A$5:$A$2004,'Saisie'!$C$5:$C$2004,C437,'Saisie'!$AT$5:$AT$2004,"&gt;=7")),""))</f>
        <v/>
      </c>
      <c r="BJ437" s="60">
        <f>IF(OR(BD437="",B437=""),"",BD437-B437)</f>
        <v/>
      </c>
      <c r="BK437" s="60">
        <f>IF(OR(BE437="",BD437=""),"",BE437-BD437)</f>
        <v/>
      </c>
      <c r="BL437" s="60">
        <f>IF(OR(BF437="",BE437=""),"",BF437-BE437)</f>
        <v/>
      </c>
      <c r="BM437" s="60">
        <f>IF(OR(BG437="",BF437=""),"",BG437-BF437)</f>
        <v/>
      </c>
      <c r="BN437" s="60">
        <f>IF(OR(BH437="",BG437=""),"",BH437-BG437)</f>
        <v/>
      </c>
      <c r="BO437" s="60">
        <f>IF(OR(BI437="",BH437=""),"",BI437-BH437)</f>
        <v/>
      </c>
      <c r="BP437" s="60">
        <f>IF(C437="","",_xlfn.MAXIFS('Saisie'!$AS$5:$AS$2004,'Saisie'!$C$5:$C$2004,C437,'Saisie'!$J$5:$J$2004,"&lt;&gt;"))</f>
        <v/>
      </c>
      <c r="BQ437" s="60">
        <f>IF(C437="","",_xlfn.MAXIFS('Saisie'!$AS$5:$AS$2004,'Saisie'!$C$5:$C$2004,C437))</f>
        <v/>
      </c>
      <c r="BR437" s="60">
        <f>IF(C437="","",_xlfn.MAXIFS('Saisie'!$AS$5:$AS$2004,'Saisie'!$C$5:$C$2004,C437,'Saisie'!$E$5:$E$2004,"Perdu"))</f>
        <v/>
      </c>
      <c r="BS437" s="60">
        <f>IF(C437="","",_xlfn.MAXIFS('Saisie'!$AS$5:$AS$2004,'Saisie'!$C$5:$C$2004,C437,'Saisie'!$AT$5:$AT$2004,"&gt;0"))</f>
        <v/>
      </c>
      <c r="BT437" s="109">
        <f>IF(AND(C437&lt;&gt;"",OR(D437="Nouveau",D437="Contacté",D437="Qualifié"),OR(G437="",N(G437)&lt;=TODAY()),NOT(AND(O437&gt;='Paramètres'!$B$21,P437=0))),E437+433/10000,"")</f>
        <v/>
      </c>
      <c r="BU437" s="60">
        <f>IF(AND(G437&lt;&gt;"",N(G437)&lt;=TODAY()),MAX($BU$4:BU436)+1,"")</f>
        <v/>
      </c>
      <c r="BV437" s="60">
        <f>IF(AND(F437&lt;&gt;"",F437&lt;&gt;"Relance en retard"),MAX($BV$4:BV436)+1,"")</f>
        <v/>
      </c>
      <c r="BW437" s="60">
        <f>IF(C437="","",IF(AND(B437&gt;='Tableau de bord'!$R$4,B437&lt;='Tableau de bord'!$S$4,OR('Tableau de bord'!$G$4="Tous",N437='Tableau de bord'!$G$4)),1,0))</f>
        <v/>
      </c>
      <c r="BX437" s="60">
        <f>IF(AND(C437&lt;&gt;"",N(BA437)=7),MAX($BX$4:BX436)+1,"")</f>
        <v/>
      </c>
    </row>
    <row r="438">
      <c r="A438" s="60">
        <f>IF(C438="","","P-"&amp;TEXT(434,"000"))</f>
        <v/>
      </c>
      <c r="B438" s="106">
        <f>IF(C438="","",IFERROR(1/(1/_xlfn.MINIFS('Saisie'!$A$5:$A$2004,'Saisie'!$C$5:$C$2004,C438)),""))</f>
        <v/>
      </c>
      <c r="C438" s="60">
        <f>IFERROR(INDEX('Saisie'!$C$5:$C$2004,MATCH(434,'Saisie'!$AX$5:$AX$2004,0)),"")</f>
        <v/>
      </c>
      <c r="D438" s="60">
        <f>IF(C438="","",IF(AND(BR438&gt;0,BR438&gt;BS438,BA438&lt;7),"Perdu",INDEX('Paramètres'!$F$6:$F$13,BA438)))</f>
        <v/>
      </c>
      <c r="E438" s="61">
        <f>IF(C438="","",MIN(100,(Z438="Oui")*'Paramètres'!$B$38+(AB438="Régulière")*'Paramètres'!$B$39+IF(AND(N(AA438)&gt;0,TODAY()-N(AA438)&lt;=30),'Paramètres'!$B$40,0)+(W438="")*'Paramètres'!$B$41+(AC438="Absente")*'Paramètres'!$B$42+(AC438="Faible")*'Paramètres'!$B$43+IF(AND(N(AD438)&gt;0,N(AD438)&lt;4),'Paramètres'!$B$44,0)+(AF438="Moyenne")*'Paramètres'!$B$45+(AF438="Grande")*'Paramètres'!$B$46+(Y438&lt;&gt;"")*'Paramètres'!$B$47))</f>
        <v/>
      </c>
      <c r="F438" s="60">
        <f>IF(C438="","",IF(D438="Gagné","",IF(D438="Perdu",IF(AND(AX438&lt;&gt;"",AX438&lt;=TODAY()),"À recontacter (perdu)",""),IF(AND(O438&gt;='Paramètres'!$B$21,P438=0),"Stop : "&amp;'Paramètres'!$B$21&amp;" tentatives sans réponse",IF(AND(D438="Proposition",AR438&lt;&gt;"",TODAY()&gt;N(AR438)),"Proposition expirée",IF(AND(D438="Proposition",N(R438)&gt;='Paramètres'!$B$25),"Proposition sans réponse",IF(AND(G438&lt;&gt;"",N(G438)&lt;TODAY()),"Relance en retard",IF(N(R438)&gt;='Paramètres'!$B$24,"Sans action depuis "&amp;R438&amp;" j",""))))))))</f>
        <v/>
      </c>
      <c r="G438" s="106">
        <f>IF(OR(C438="",D438="Gagné",D438="Perdu"),"",IF(AND(BP438&gt;0,BP438=BQ438),INDEX('Saisie'!$J$5:$J$2004,BP438-4),IF(OR(O438=0,AND(O438&gt;='Paramètres'!$B$21,P438=0)),"",Q438+IF(O438&lt;=1,'Paramètres'!$B$18,IF(O438=2,'Paramètres'!$B$19,'Paramètres'!$B$20)))))</f>
        <v/>
      </c>
      <c r="H438" s="107">
        <f>IF(OR(G438="",BP438&lt;&gt;BQ438),"",IF(INDEX('Saisie'!$K$5:$K$2004,BP438-4)="","",INDEX('Saisie'!$K$5:$K$2004,BP438-4)))</f>
        <v/>
      </c>
      <c r="I438" s="60">
        <f>IF(C438="","",IF(OR(D438="Gagné",D438="Perdu"),"",IFERROR(INDEX('Saisie'!$I$5:$I$2004,_xlfn.MAXIFS('Saisie'!$AS$5:$AS$2004,'Saisie'!$C$5:$C$2004,C438,'Saisie'!$I$5:$I$2004,"&lt;&gt;")-4),"")))</f>
        <v/>
      </c>
      <c r="J438" s="60">
        <f>IF(C438="","",IFERROR(INDEX('Saisie'!$U$5:$U$2004,_xlfn.MAXIFS('Saisie'!$AS$5:$AS$2004,'Saisie'!$C$5:$C$2004,C438,'Saisie'!$U$5:$U$2004,"&lt;&gt;")-4),""))</f>
        <v/>
      </c>
      <c r="K438" s="60">
        <f>IF(C438="","",IFERROR(INDEX('Saisie'!$W$5:$W$2004,_xlfn.MAXIFS('Saisie'!$AS$5:$AS$2004,'Saisie'!$C$5:$C$2004,C438,'Saisie'!$W$5:$W$2004,"&lt;&gt;")-4),""))</f>
        <v/>
      </c>
      <c r="L438" s="60">
        <f>IF(IF(BB438&lt;&gt;"",BB438,K438)="","",HYPERLINK("https://wa.me/"&amp;IF(LEFT(SUBSTITUTE(SUBSTITUTE(SUBSTITUTE(IF(BB438&lt;&gt;"",BB438,K438)," ",""),".",""),"+",""),1)="0",'Paramètres'!$B$35&amp;MID(SUBSTITUTE(SUBSTITUTE(SUBSTITUTE(IF(BB438&lt;&gt;"",BB438,K438)," ",""),".",""),"+",""),2,20),SUBSTITUTE(SUBSTITUTE(SUBSTITUTE(IF(BB438&lt;&gt;"",BB438,K438)," ",""),".",""),"+","")),"WhatsApp"))</f>
        <v/>
      </c>
      <c r="M438" s="60">
        <f>IF(BC438="","",HYPERLINK(IF(LEFT(BC438,4)="http",BC438,"https://www.instagram.com/"&amp;SUBSTITUTE(SUBSTITUTE(BC438,"@","")," ","")),BC438))</f>
        <v/>
      </c>
      <c r="N438" s="60">
        <f>IF(C438="","",IFERROR(INDEX('Saisie'!$D$5:$D$2004,_xlfn.MINIFS('Saisie'!$AS$5:$AS$2004,'Saisie'!$C$5:$C$2004,C438,'Saisie'!$AU$5:$AU$2004,1)-4),IFERROR(INDEX('Saisie'!$D$5:$D$2004,_xlfn.MINIFS('Saisie'!$AS$5:$AS$2004,'Saisie'!$C$5:$C$2004,C438,'Saisie'!$D$5:$D$2004,"&lt;&gt;")-4),"")))</f>
        <v/>
      </c>
      <c r="O438" s="60">
        <f>IF(C438="","",COUNTIFS('Saisie'!$C$5:$C$2004,C438,'Saisie'!$AU$5:$AU$2004,1))</f>
        <v/>
      </c>
      <c r="P438" s="60">
        <f>IF(C438="","",COUNTIFS('Saisie'!$C$5:$C$2004,C438,'Saisie'!$AV$5:$AV$2004,1))</f>
        <v/>
      </c>
      <c r="Q438" s="106">
        <f>IF(C438="","",IFERROR(1/(1/_xlfn.MAXIFS('Saisie'!$A$5:$A$2004,'Saisie'!$C$5:$C$2004,C438)),""))</f>
        <v/>
      </c>
      <c r="R438" s="61">
        <f>IF(C438="","",IF(Q438="","",TODAY()-Q438))</f>
        <v/>
      </c>
      <c r="S438" s="60">
        <f>IF(C438="","",IFERROR(INDEX('Saisie'!$R$5:$R$2004,_xlfn.MAXIFS('Saisie'!$AS$5:$AS$2004,'Saisie'!$C$5:$C$2004,C438,'Saisie'!$R$5:$R$2004,"&lt;&gt;")-4),""))</f>
        <v/>
      </c>
      <c r="T438" s="60">
        <f>IF(C438="","",IFERROR(INDEX('Saisie'!$S$5:$S$2004,_xlfn.MAXIFS('Saisie'!$AS$5:$AS$2004,'Saisie'!$C$5:$C$2004,C438,'Saisie'!$S$5:$S$2004,"&lt;&gt;")-4),""))</f>
        <v/>
      </c>
      <c r="U438" s="60">
        <f>IF(C438="","",IFERROR(INDEX('Saisie'!$T$5:$T$2004,_xlfn.MAXIFS('Saisie'!$AS$5:$AS$2004,'Saisie'!$C$5:$C$2004,C438,'Saisie'!$T$5:$T$2004,"&lt;&gt;")-4),""))</f>
        <v/>
      </c>
      <c r="V438" s="60">
        <f>IF(C438="","",IFERROR(INDEX('Saisie'!$V$5:$V$2004,_xlfn.MAXIFS('Saisie'!$AS$5:$AS$2004,'Saisie'!$C$5:$C$2004,C438,'Saisie'!$V$5:$V$2004,"&lt;&gt;")-4),""))</f>
        <v/>
      </c>
      <c r="W438" s="60">
        <f>IF(C438="","",IFERROR(INDEX('Saisie'!$Z$5:$Z$2004,_xlfn.MAXIFS('Saisie'!$AS$5:$AS$2004,'Saisie'!$C$5:$C$2004,C438,'Saisie'!$Z$5:$Z$2004,"&lt;&gt;")-4),""))</f>
        <v/>
      </c>
      <c r="X438" s="60">
        <f>IF(C438="","",IFERROR(INDEX('Saisie'!$AA$5:$AA$2004,_xlfn.MAXIFS('Saisie'!$AS$5:$AS$2004,'Saisie'!$C$5:$C$2004,C438,'Saisie'!$AA$5:$AA$2004,"&lt;&gt;")-4),""))</f>
        <v/>
      </c>
      <c r="Y438" s="60">
        <f>IF(C438="","",IFERROR(INDEX('Saisie'!$AB$5:$AB$2004,_xlfn.MAXIFS('Saisie'!$AS$5:$AS$2004,'Saisie'!$C$5:$C$2004,C438,'Saisie'!$AB$5:$AB$2004,"&lt;&gt;")-4),""))</f>
        <v/>
      </c>
      <c r="Z438" s="60">
        <f>IF(C438="","",IFERROR(INDEX('Saisie'!$AC$5:$AC$2004,_xlfn.MAXIFS('Saisie'!$AS$5:$AS$2004,'Saisie'!$C$5:$C$2004,C438,'Saisie'!$AC$5:$AC$2004,"&lt;&gt;")-4),""))</f>
        <v/>
      </c>
      <c r="AA438" s="106">
        <f>IF(C438="","",IFERROR(INDEX('Saisie'!$AD$5:$AD$2004,_xlfn.MAXIFS('Saisie'!$AS$5:$AS$2004,'Saisie'!$C$5:$C$2004,C438,'Saisie'!$AD$5:$AD$2004,"&lt;&gt;")-4),""))</f>
        <v/>
      </c>
      <c r="AB438" s="60">
        <f>IF(C438="","",IFERROR(INDEX('Saisie'!$AE$5:$AE$2004,_xlfn.MAXIFS('Saisie'!$AS$5:$AS$2004,'Saisie'!$C$5:$C$2004,C438,'Saisie'!$AE$5:$AE$2004,"&lt;&gt;")-4),""))</f>
        <v/>
      </c>
      <c r="AC438" s="60">
        <f>IF(C438="","",IFERROR(INDEX('Saisie'!$AF$5:$AF$2004,_xlfn.MAXIFS('Saisie'!$AS$5:$AS$2004,'Saisie'!$C$5:$C$2004,C438,'Saisie'!$AF$5:$AF$2004,"&lt;&gt;")-4),""))</f>
        <v/>
      </c>
      <c r="AD438" s="108">
        <f>IF(C438="","",IFERROR(INDEX('Saisie'!$AG$5:$AG$2004,_xlfn.MAXIFS('Saisie'!$AS$5:$AS$2004,'Saisie'!$C$5:$C$2004,C438,'Saisie'!$AG$5:$AG$2004,"&lt;&gt;")-4),""))</f>
        <v/>
      </c>
      <c r="AE438" s="60">
        <f>IF(C438="","",IFERROR(INDEX('Saisie'!$AH$5:$AH$2004,_xlfn.MAXIFS('Saisie'!$AS$5:$AS$2004,'Saisie'!$C$5:$C$2004,C438,'Saisie'!$AH$5:$AH$2004,"&lt;&gt;")-4),""))</f>
        <v/>
      </c>
      <c r="AF438" s="60">
        <f>IF(C438="","",IFERROR(INDEX('Saisie'!$AI$5:$AI$2004,_xlfn.MAXIFS('Saisie'!$AS$5:$AS$2004,'Saisie'!$C$5:$C$2004,C438,'Saisie'!$AI$5:$AI$2004,"&lt;&gt;")-4),""))</f>
        <v/>
      </c>
      <c r="AG438" s="60">
        <f>IF(C438="","",IFERROR(INDEX('Saisie'!$AJ$5:$AJ$2004,_xlfn.MAXIFS('Saisie'!$AS$5:$AS$2004,'Saisie'!$C$5:$C$2004,C438,'Saisie'!$AJ$5:$AJ$2004,"&lt;&gt;")-4),""))</f>
        <v/>
      </c>
      <c r="AH438" s="60">
        <f>IF(C438="","",IFERROR(INDEX('Saisie'!$AK$5:$AK$2004,_xlfn.MAXIFS('Saisie'!$AS$5:$AS$2004,'Saisie'!$C$5:$C$2004,C438,'Saisie'!$AK$5:$AK$2004,"&lt;&gt;")-4),""))</f>
        <v/>
      </c>
      <c r="AI438" s="60">
        <f>IF(C438="","",IFERROR(INDEX('Saisie'!$AN$5:$AN$2004,_xlfn.MAXIFS('Saisie'!$AS$5:$AS$2004,'Saisie'!$C$5:$C$2004,C438,'Saisie'!$AN$5:$AN$2004,"&lt;&gt;")-4),""))</f>
        <v/>
      </c>
      <c r="AJ438" s="60">
        <f>IF(C438="","",IFERROR(INDEX('Saisie'!$AO$5:$AO$2004,_xlfn.MAXIFS('Saisie'!$AS$5:$AS$2004,'Saisie'!$C$5:$C$2004,C438,'Saisie'!$AO$5:$AO$2004,"&lt;&gt;")-4),""))</f>
        <v/>
      </c>
      <c r="AK438" s="60">
        <f>IF(C438="","",IFERROR(INDEX('Saisie'!$AP$5:$AP$2004,_xlfn.MAXIFS('Saisie'!$AS$5:$AS$2004,'Saisie'!$C$5:$C$2004,C438,'Saisie'!$AP$5:$AP$2004,"&lt;&gt;")-4),""))</f>
        <v/>
      </c>
      <c r="AL438" s="60">
        <f>IF(C438="","",IFERROR(INDEX('Saisie'!$AQ$5:$AQ$2004,_xlfn.MAXIFS('Saisie'!$AS$5:$AS$2004,'Saisie'!$C$5:$C$2004,C438,'Saisie'!$AQ$5:$AQ$2004,"&lt;&gt;")-4),""))</f>
        <v/>
      </c>
      <c r="AM438" s="60">
        <f>IF(C438="","",((AI438="Oui")+(AJ438="Oui")+(AK438="Oui")+OR(AL438="Immédiat",AL438="&lt; 1 mois"))&amp;"/4")</f>
        <v/>
      </c>
      <c r="AN438" s="60">
        <f>IF(C438="","",IFERROR(INDEX('Saisie'!$AL$5:$AL$2004,_xlfn.MAXIFS('Saisie'!$AS$5:$AS$2004,'Saisie'!$C$5:$C$2004,C438,'Saisie'!$AL$5:$AL$2004,"&lt;&gt;")-4),""))</f>
        <v/>
      </c>
      <c r="AO438" s="62">
        <f>IF(C438="","",IF(IFERROR(INDEX('Saisie'!$AM$5:$AM$2004,_xlfn.MAXIFS('Saisie'!$AS$5:$AS$2004,'Saisie'!$C$5:$C$2004,C438,'Saisie'!$AM$5:$AM$2004,"&lt;&gt;")-4),"")&lt;&gt;"",IFERROR(INDEX('Saisie'!$AM$5:$AM$2004,_xlfn.MAXIFS('Saisie'!$AS$5:$AS$2004,'Saisie'!$C$5:$C$2004,C438,'Saisie'!$AM$5:$AM$2004,"&lt;&gt;")-4),""),IFERROR(INDEX('Paramètres'!$S$6:$S$15,MATCH(AN438,'Paramètres'!$Q$6:$Q$15,0)),"")))</f>
        <v/>
      </c>
      <c r="AP438" s="62">
        <f>IF(C438="","",IFERROR(INDEX('Saisie'!$AW$5:$AW$2004,_xlfn.MAXIFS('Saisie'!$AS$5:$AS$2004,'Saisie'!$C$5:$C$2004,C438,'Saisie'!$E$5:$E$2004,"Proposition envoyée")-4),""))</f>
        <v/>
      </c>
      <c r="AQ438" s="106">
        <f>IF(C438="","",IFERROR(1/(1/_xlfn.MAXIFS('Saisie'!$A$5:$A$2004,'Saisie'!$C$5:$C$2004,C438,'Saisie'!$E$5:$E$2004,"Proposition envoyée")),""))</f>
        <v/>
      </c>
      <c r="AR438" s="106">
        <f>IF(C438="","",IF(AQ438="","",AQ438+'Paramètres'!$B$26))</f>
        <v/>
      </c>
      <c r="AS438" s="62">
        <f>IF(OR(C438="",D438="Gagné",D438="Perdu"),0,N(AP438)*IFERROR(INDEX('Paramètres'!$G$6:$G$13,MATCH(D438,'Paramètres'!$F$6:$F$13,0)),0))</f>
        <v/>
      </c>
      <c r="AT438" s="106">
        <f>IF(C438="","",IFERROR(1/(1/_xlfn.MINIFS('Saisie'!$A$5:$A$2004,'Saisie'!$C$5:$C$2004,C438,'Saisie'!$E$5:$E$2004,"Signature")),""))</f>
        <v/>
      </c>
      <c r="AU438" s="60">
        <f>IF(C438="","",IF(OR(AT438="",B438=""),"",AT438-B438))</f>
        <v/>
      </c>
      <c r="AV438" s="60">
        <f>IF(C438="","",IFERROR(INDEX('Saisie'!$L$5:$L$2004,_xlfn.MAXIFS('Saisie'!$AS$5:$AS$2004,'Saisie'!$C$5:$C$2004,C438,'Saisie'!$L$5:$L$2004,"&lt;&gt;")-4),""))</f>
        <v/>
      </c>
      <c r="AW438" s="106">
        <f>IF(C438="","",IF(D438&lt;&gt;"Perdu","",IFERROR(1/(1/_xlfn.MAXIFS('Saisie'!$A$5:$A$2004,'Saisie'!$C$5:$C$2004,C438,'Saisie'!$E$5:$E$2004,"Perdu")),"")))</f>
        <v/>
      </c>
      <c r="AX438" s="106">
        <f>IF(C438="","",IF(AW438="","",AW438+'Paramètres'!$B$28))</f>
        <v/>
      </c>
      <c r="AY438" s="60">
        <f>IF(C438="","",SUMIFS('Saisie'!$H$5:$H$2004,'Saisie'!$C$5:$C$2004,C438))</f>
        <v/>
      </c>
      <c r="AZ438" s="60">
        <f>IF(C438="","",IFERROR(INDEX('Paramètres'!$W$6:$W$20,MATCH(S438,'Paramètres'!$V$6:$V$20,0))&amp;"",""))</f>
        <v/>
      </c>
      <c r="BA438" s="60">
        <f>IF(C438="","",MAX(1,_xlfn.MAXIFS('Saisie'!$AT$5:$AT$2004,'Saisie'!$C$5:$C$2004,C438)))</f>
        <v/>
      </c>
      <c r="BB438" s="60">
        <f>IF(C438="","",IFERROR(INDEX('Saisie'!$X$5:$X$2004,_xlfn.MAXIFS('Saisie'!$AS$5:$AS$2004,'Saisie'!$C$5:$C$2004,C438,'Saisie'!$X$5:$X$2004,"&lt;&gt;")-4),""))</f>
        <v/>
      </c>
      <c r="BC438" s="60">
        <f>IF(C438="","",IFERROR(INDEX('Saisie'!$Y$5:$Y$2004,_xlfn.MAXIFS('Saisie'!$AS$5:$AS$2004,'Saisie'!$C$5:$C$2004,C438,'Saisie'!$Y$5:$Y$2004,"&lt;&gt;")-4),""))</f>
        <v/>
      </c>
      <c r="BD438" s="106">
        <f>IF(C438="","",IFERROR(1/(1/_xlfn.MINIFS('Saisie'!$A$5:$A$2004,'Saisie'!$C$5:$C$2004,C438,'Saisie'!$AT$5:$AT$2004,"&gt;=2")),""))</f>
        <v/>
      </c>
      <c r="BE438" s="106">
        <f>IF(C438="","",IFERROR(1/(1/_xlfn.MINIFS('Saisie'!$A$5:$A$2004,'Saisie'!$C$5:$C$2004,C438,'Saisie'!$AT$5:$AT$2004,"&gt;=3")),""))</f>
        <v/>
      </c>
      <c r="BF438" s="106">
        <f>IF(C438="","",IFERROR(1/(1/_xlfn.MINIFS('Saisie'!$A$5:$A$2004,'Saisie'!$C$5:$C$2004,C438,'Saisie'!$AT$5:$AT$2004,"&gt;=4")),""))</f>
        <v/>
      </c>
      <c r="BG438" s="106">
        <f>IF(C438="","",IFERROR(1/(1/_xlfn.MINIFS('Saisie'!$A$5:$A$2004,'Saisie'!$C$5:$C$2004,C438,'Saisie'!$AT$5:$AT$2004,"&gt;=5")),""))</f>
        <v/>
      </c>
      <c r="BH438" s="106">
        <f>IF(C438="","",IFERROR(1/(1/_xlfn.MINIFS('Saisie'!$A$5:$A$2004,'Saisie'!$C$5:$C$2004,C438,'Saisie'!$AT$5:$AT$2004,"&gt;=6")),""))</f>
        <v/>
      </c>
      <c r="BI438" s="106">
        <f>IF(C438="","",IFERROR(1/(1/_xlfn.MINIFS('Saisie'!$A$5:$A$2004,'Saisie'!$C$5:$C$2004,C438,'Saisie'!$AT$5:$AT$2004,"&gt;=7")),""))</f>
        <v/>
      </c>
      <c r="BJ438" s="60">
        <f>IF(OR(BD438="",B438=""),"",BD438-B438)</f>
        <v/>
      </c>
      <c r="BK438" s="60">
        <f>IF(OR(BE438="",BD438=""),"",BE438-BD438)</f>
        <v/>
      </c>
      <c r="BL438" s="60">
        <f>IF(OR(BF438="",BE438=""),"",BF438-BE438)</f>
        <v/>
      </c>
      <c r="BM438" s="60">
        <f>IF(OR(BG438="",BF438=""),"",BG438-BF438)</f>
        <v/>
      </c>
      <c r="BN438" s="60">
        <f>IF(OR(BH438="",BG438=""),"",BH438-BG438)</f>
        <v/>
      </c>
      <c r="BO438" s="60">
        <f>IF(OR(BI438="",BH438=""),"",BI438-BH438)</f>
        <v/>
      </c>
      <c r="BP438" s="60">
        <f>IF(C438="","",_xlfn.MAXIFS('Saisie'!$AS$5:$AS$2004,'Saisie'!$C$5:$C$2004,C438,'Saisie'!$J$5:$J$2004,"&lt;&gt;"))</f>
        <v/>
      </c>
      <c r="BQ438" s="60">
        <f>IF(C438="","",_xlfn.MAXIFS('Saisie'!$AS$5:$AS$2004,'Saisie'!$C$5:$C$2004,C438))</f>
        <v/>
      </c>
      <c r="BR438" s="60">
        <f>IF(C438="","",_xlfn.MAXIFS('Saisie'!$AS$5:$AS$2004,'Saisie'!$C$5:$C$2004,C438,'Saisie'!$E$5:$E$2004,"Perdu"))</f>
        <v/>
      </c>
      <c r="BS438" s="60">
        <f>IF(C438="","",_xlfn.MAXIFS('Saisie'!$AS$5:$AS$2004,'Saisie'!$C$5:$C$2004,C438,'Saisie'!$AT$5:$AT$2004,"&gt;0"))</f>
        <v/>
      </c>
      <c r="BT438" s="109">
        <f>IF(AND(C438&lt;&gt;"",OR(D438="Nouveau",D438="Contacté",D438="Qualifié"),OR(G438="",N(G438)&lt;=TODAY()),NOT(AND(O438&gt;='Paramètres'!$B$21,P438=0))),E438+434/10000,"")</f>
        <v/>
      </c>
      <c r="BU438" s="60">
        <f>IF(AND(G438&lt;&gt;"",N(G438)&lt;=TODAY()),MAX($BU$4:BU437)+1,"")</f>
        <v/>
      </c>
      <c r="BV438" s="60">
        <f>IF(AND(F438&lt;&gt;"",F438&lt;&gt;"Relance en retard"),MAX($BV$4:BV437)+1,"")</f>
        <v/>
      </c>
      <c r="BW438" s="60">
        <f>IF(C438="","",IF(AND(B438&gt;='Tableau de bord'!$R$4,B438&lt;='Tableau de bord'!$S$4,OR('Tableau de bord'!$G$4="Tous",N438='Tableau de bord'!$G$4)),1,0))</f>
        <v/>
      </c>
      <c r="BX438" s="60">
        <f>IF(AND(C438&lt;&gt;"",N(BA438)=7),MAX($BX$4:BX437)+1,"")</f>
        <v/>
      </c>
    </row>
    <row r="439">
      <c r="A439" s="60">
        <f>IF(C439="","","P-"&amp;TEXT(435,"000"))</f>
        <v/>
      </c>
      <c r="B439" s="106">
        <f>IF(C439="","",IFERROR(1/(1/_xlfn.MINIFS('Saisie'!$A$5:$A$2004,'Saisie'!$C$5:$C$2004,C439)),""))</f>
        <v/>
      </c>
      <c r="C439" s="60">
        <f>IFERROR(INDEX('Saisie'!$C$5:$C$2004,MATCH(435,'Saisie'!$AX$5:$AX$2004,0)),"")</f>
        <v/>
      </c>
      <c r="D439" s="60">
        <f>IF(C439="","",IF(AND(BR439&gt;0,BR439&gt;BS439,BA439&lt;7),"Perdu",INDEX('Paramètres'!$F$6:$F$13,BA439)))</f>
        <v/>
      </c>
      <c r="E439" s="61">
        <f>IF(C439="","",MIN(100,(Z439="Oui")*'Paramètres'!$B$38+(AB439="Régulière")*'Paramètres'!$B$39+IF(AND(N(AA439)&gt;0,TODAY()-N(AA439)&lt;=30),'Paramètres'!$B$40,0)+(W439="")*'Paramètres'!$B$41+(AC439="Absente")*'Paramètres'!$B$42+(AC439="Faible")*'Paramètres'!$B$43+IF(AND(N(AD439)&gt;0,N(AD439)&lt;4),'Paramètres'!$B$44,0)+(AF439="Moyenne")*'Paramètres'!$B$45+(AF439="Grande")*'Paramètres'!$B$46+(Y439&lt;&gt;"")*'Paramètres'!$B$47))</f>
        <v/>
      </c>
      <c r="F439" s="60">
        <f>IF(C439="","",IF(D439="Gagné","",IF(D439="Perdu",IF(AND(AX439&lt;&gt;"",AX439&lt;=TODAY()),"À recontacter (perdu)",""),IF(AND(O439&gt;='Paramètres'!$B$21,P439=0),"Stop : "&amp;'Paramètres'!$B$21&amp;" tentatives sans réponse",IF(AND(D439="Proposition",AR439&lt;&gt;"",TODAY()&gt;N(AR439)),"Proposition expirée",IF(AND(D439="Proposition",N(R439)&gt;='Paramètres'!$B$25),"Proposition sans réponse",IF(AND(G439&lt;&gt;"",N(G439)&lt;TODAY()),"Relance en retard",IF(N(R439)&gt;='Paramètres'!$B$24,"Sans action depuis "&amp;R439&amp;" j",""))))))))</f>
        <v/>
      </c>
      <c r="G439" s="106">
        <f>IF(OR(C439="",D439="Gagné",D439="Perdu"),"",IF(AND(BP439&gt;0,BP439=BQ439),INDEX('Saisie'!$J$5:$J$2004,BP439-4),IF(OR(O439=0,AND(O439&gt;='Paramètres'!$B$21,P439=0)),"",Q439+IF(O439&lt;=1,'Paramètres'!$B$18,IF(O439=2,'Paramètres'!$B$19,'Paramètres'!$B$20)))))</f>
        <v/>
      </c>
      <c r="H439" s="107">
        <f>IF(OR(G439="",BP439&lt;&gt;BQ439),"",IF(INDEX('Saisie'!$K$5:$K$2004,BP439-4)="","",INDEX('Saisie'!$K$5:$K$2004,BP439-4)))</f>
        <v/>
      </c>
      <c r="I439" s="60">
        <f>IF(C439="","",IF(OR(D439="Gagné",D439="Perdu"),"",IFERROR(INDEX('Saisie'!$I$5:$I$2004,_xlfn.MAXIFS('Saisie'!$AS$5:$AS$2004,'Saisie'!$C$5:$C$2004,C439,'Saisie'!$I$5:$I$2004,"&lt;&gt;")-4),"")))</f>
        <v/>
      </c>
      <c r="J439" s="60">
        <f>IF(C439="","",IFERROR(INDEX('Saisie'!$U$5:$U$2004,_xlfn.MAXIFS('Saisie'!$AS$5:$AS$2004,'Saisie'!$C$5:$C$2004,C439,'Saisie'!$U$5:$U$2004,"&lt;&gt;")-4),""))</f>
        <v/>
      </c>
      <c r="K439" s="60">
        <f>IF(C439="","",IFERROR(INDEX('Saisie'!$W$5:$W$2004,_xlfn.MAXIFS('Saisie'!$AS$5:$AS$2004,'Saisie'!$C$5:$C$2004,C439,'Saisie'!$W$5:$W$2004,"&lt;&gt;")-4),""))</f>
        <v/>
      </c>
      <c r="L439" s="60">
        <f>IF(IF(BB439&lt;&gt;"",BB439,K439)="","",HYPERLINK("https://wa.me/"&amp;IF(LEFT(SUBSTITUTE(SUBSTITUTE(SUBSTITUTE(IF(BB439&lt;&gt;"",BB439,K439)," ",""),".",""),"+",""),1)="0",'Paramètres'!$B$35&amp;MID(SUBSTITUTE(SUBSTITUTE(SUBSTITUTE(IF(BB439&lt;&gt;"",BB439,K439)," ",""),".",""),"+",""),2,20),SUBSTITUTE(SUBSTITUTE(SUBSTITUTE(IF(BB439&lt;&gt;"",BB439,K439)," ",""),".",""),"+","")),"WhatsApp"))</f>
        <v/>
      </c>
      <c r="M439" s="60">
        <f>IF(BC439="","",HYPERLINK(IF(LEFT(BC439,4)="http",BC439,"https://www.instagram.com/"&amp;SUBSTITUTE(SUBSTITUTE(BC439,"@","")," ","")),BC439))</f>
        <v/>
      </c>
      <c r="N439" s="60">
        <f>IF(C439="","",IFERROR(INDEX('Saisie'!$D$5:$D$2004,_xlfn.MINIFS('Saisie'!$AS$5:$AS$2004,'Saisie'!$C$5:$C$2004,C439,'Saisie'!$AU$5:$AU$2004,1)-4),IFERROR(INDEX('Saisie'!$D$5:$D$2004,_xlfn.MINIFS('Saisie'!$AS$5:$AS$2004,'Saisie'!$C$5:$C$2004,C439,'Saisie'!$D$5:$D$2004,"&lt;&gt;")-4),"")))</f>
        <v/>
      </c>
      <c r="O439" s="60">
        <f>IF(C439="","",COUNTIFS('Saisie'!$C$5:$C$2004,C439,'Saisie'!$AU$5:$AU$2004,1))</f>
        <v/>
      </c>
      <c r="P439" s="60">
        <f>IF(C439="","",COUNTIFS('Saisie'!$C$5:$C$2004,C439,'Saisie'!$AV$5:$AV$2004,1))</f>
        <v/>
      </c>
      <c r="Q439" s="106">
        <f>IF(C439="","",IFERROR(1/(1/_xlfn.MAXIFS('Saisie'!$A$5:$A$2004,'Saisie'!$C$5:$C$2004,C439)),""))</f>
        <v/>
      </c>
      <c r="R439" s="61">
        <f>IF(C439="","",IF(Q439="","",TODAY()-Q439))</f>
        <v/>
      </c>
      <c r="S439" s="60">
        <f>IF(C439="","",IFERROR(INDEX('Saisie'!$R$5:$R$2004,_xlfn.MAXIFS('Saisie'!$AS$5:$AS$2004,'Saisie'!$C$5:$C$2004,C439,'Saisie'!$R$5:$R$2004,"&lt;&gt;")-4),""))</f>
        <v/>
      </c>
      <c r="T439" s="60">
        <f>IF(C439="","",IFERROR(INDEX('Saisie'!$S$5:$S$2004,_xlfn.MAXIFS('Saisie'!$AS$5:$AS$2004,'Saisie'!$C$5:$C$2004,C439,'Saisie'!$S$5:$S$2004,"&lt;&gt;")-4),""))</f>
        <v/>
      </c>
      <c r="U439" s="60">
        <f>IF(C439="","",IFERROR(INDEX('Saisie'!$T$5:$T$2004,_xlfn.MAXIFS('Saisie'!$AS$5:$AS$2004,'Saisie'!$C$5:$C$2004,C439,'Saisie'!$T$5:$T$2004,"&lt;&gt;")-4),""))</f>
        <v/>
      </c>
      <c r="V439" s="60">
        <f>IF(C439="","",IFERROR(INDEX('Saisie'!$V$5:$V$2004,_xlfn.MAXIFS('Saisie'!$AS$5:$AS$2004,'Saisie'!$C$5:$C$2004,C439,'Saisie'!$V$5:$V$2004,"&lt;&gt;")-4),""))</f>
        <v/>
      </c>
      <c r="W439" s="60">
        <f>IF(C439="","",IFERROR(INDEX('Saisie'!$Z$5:$Z$2004,_xlfn.MAXIFS('Saisie'!$AS$5:$AS$2004,'Saisie'!$C$5:$C$2004,C439,'Saisie'!$Z$5:$Z$2004,"&lt;&gt;")-4),""))</f>
        <v/>
      </c>
      <c r="X439" s="60">
        <f>IF(C439="","",IFERROR(INDEX('Saisie'!$AA$5:$AA$2004,_xlfn.MAXIFS('Saisie'!$AS$5:$AS$2004,'Saisie'!$C$5:$C$2004,C439,'Saisie'!$AA$5:$AA$2004,"&lt;&gt;")-4),""))</f>
        <v/>
      </c>
      <c r="Y439" s="60">
        <f>IF(C439="","",IFERROR(INDEX('Saisie'!$AB$5:$AB$2004,_xlfn.MAXIFS('Saisie'!$AS$5:$AS$2004,'Saisie'!$C$5:$C$2004,C439,'Saisie'!$AB$5:$AB$2004,"&lt;&gt;")-4),""))</f>
        <v/>
      </c>
      <c r="Z439" s="60">
        <f>IF(C439="","",IFERROR(INDEX('Saisie'!$AC$5:$AC$2004,_xlfn.MAXIFS('Saisie'!$AS$5:$AS$2004,'Saisie'!$C$5:$C$2004,C439,'Saisie'!$AC$5:$AC$2004,"&lt;&gt;")-4),""))</f>
        <v/>
      </c>
      <c r="AA439" s="106">
        <f>IF(C439="","",IFERROR(INDEX('Saisie'!$AD$5:$AD$2004,_xlfn.MAXIFS('Saisie'!$AS$5:$AS$2004,'Saisie'!$C$5:$C$2004,C439,'Saisie'!$AD$5:$AD$2004,"&lt;&gt;")-4),""))</f>
        <v/>
      </c>
      <c r="AB439" s="60">
        <f>IF(C439="","",IFERROR(INDEX('Saisie'!$AE$5:$AE$2004,_xlfn.MAXIFS('Saisie'!$AS$5:$AS$2004,'Saisie'!$C$5:$C$2004,C439,'Saisie'!$AE$5:$AE$2004,"&lt;&gt;")-4),""))</f>
        <v/>
      </c>
      <c r="AC439" s="60">
        <f>IF(C439="","",IFERROR(INDEX('Saisie'!$AF$5:$AF$2004,_xlfn.MAXIFS('Saisie'!$AS$5:$AS$2004,'Saisie'!$C$5:$C$2004,C439,'Saisie'!$AF$5:$AF$2004,"&lt;&gt;")-4),""))</f>
        <v/>
      </c>
      <c r="AD439" s="108">
        <f>IF(C439="","",IFERROR(INDEX('Saisie'!$AG$5:$AG$2004,_xlfn.MAXIFS('Saisie'!$AS$5:$AS$2004,'Saisie'!$C$5:$C$2004,C439,'Saisie'!$AG$5:$AG$2004,"&lt;&gt;")-4),""))</f>
        <v/>
      </c>
      <c r="AE439" s="60">
        <f>IF(C439="","",IFERROR(INDEX('Saisie'!$AH$5:$AH$2004,_xlfn.MAXIFS('Saisie'!$AS$5:$AS$2004,'Saisie'!$C$5:$C$2004,C439,'Saisie'!$AH$5:$AH$2004,"&lt;&gt;")-4),""))</f>
        <v/>
      </c>
      <c r="AF439" s="60">
        <f>IF(C439="","",IFERROR(INDEX('Saisie'!$AI$5:$AI$2004,_xlfn.MAXIFS('Saisie'!$AS$5:$AS$2004,'Saisie'!$C$5:$C$2004,C439,'Saisie'!$AI$5:$AI$2004,"&lt;&gt;")-4),""))</f>
        <v/>
      </c>
      <c r="AG439" s="60">
        <f>IF(C439="","",IFERROR(INDEX('Saisie'!$AJ$5:$AJ$2004,_xlfn.MAXIFS('Saisie'!$AS$5:$AS$2004,'Saisie'!$C$5:$C$2004,C439,'Saisie'!$AJ$5:$AJ$2004,"&lt;&gt;")-4),""))</f>
        <v/>
      </c>
      <c r="AH439" s="60">
        <f>IF(C439="","",IFERROR(INDEX('Saisie'!$AK$5:$AK$2004,_xlfn.MAXIFS('Saisie'!$AS$5:$AS$2004,'Saisie'!$C$5:$C$2004,C439,'Saisie'!$AK$5:$AK$2004,"&lt;&gt;")-4),""))</f>
        <v/>
      </c>
      <c r="AI439" s="60">
        <f>IF(C439="","",IFERROR(INDEX('Saisie'!$AN$5:$AN$2004,_xlfn.MAXIFS('Saisie'!$AS$5:$AS$2004,'Saisie'!$C$5:$C$2004,C439,'Saisie'!$AN$5:$AN$2004,"&lt;&gt;")-4),""))</f>
        <v/>
      </c>
      <c r="AJ439" s="60">
        <f>IF(C439="","",IFERROR(INDEX('Saisie'!$AO$5:$AO$2004,_xlfn.MAXIFS('Saisie'!$AS$5:$AS$2004,'Saisie'!$C$5:$C$2004,C439,'Saisie'!$AO$5:$AO$2004,"&lt;&gt;")-4),""))</f>
        <v/>
      </c>
      <c r="AK439" s="60">
        <f>IF(C439="","",IFERROR(INDEX('Saisie'!$AP$5:$AP$2004,_xlfn.MAXIFS('Saisie'!$AS$5:$AS$2004,'Saisie'!$C$5:$C$2004,C439,'Saisie'!$AP$5:$AP$2004,"&lt;&gt;")-4),""))</f>
        <v/>
      </c>
      <c r="AL439" s="60">
        <f>IF(C439="","",IFERROR(INDEX('Saisie'!$AQ$5:$AQ$2004,_xlfn.MAXIFS('Saisie'!$AS$5:$AS$2004,'Saisie'!$C$5:$C$2004,C439,'Saisie'!$AQ$5:$AQ$2004,"&lt;&gt;")-4),""))</f>
        <v/>
      </c>
      <c r="AM439" s="60">
        <f>IF(C439="","",((AI439="Oui")+(AJ439="Oui")+(AK439="Oui")+OR(AL439="Immédiat",AL439="&lt; 1 mois"))&amp;"/4")</f>
        <v/>
      </c>
      <c r="AN439" s="60">
        <f>IF(C439="","",IFERROR(INDEX('Saisie'!$AL$5:$AL$2004,_xlfn.MAXIFS('Saisie'!$AS$5:$AS$2004,'Saisie'!$C$5:$C$2004,C439,'Saisie'!$AL$5:$AL$2004,"&lt;&gt;")-4),""))</f>
        <v/>
      </c>
      <c r="AO439" s="62">
        <f>IF(C439="","",IF(IFERROR(INDEX('Saisie'!$AM$5:$AM$2004,_xlfn.MAXIFS('Saisie'!$AS$5:$AS$2004,'Saisie'!$C$5:$C$2004,C439,'Saisie'!$AM$5:$AM$2004,"&lt;&gt;")-4),"")&lt;&gt;"",IFERROR(INDEX('Saisie'!$AM$5:$AM$2004,_xlfn.MAXIFS('Saisie'!$AS$5:$AS$2004,'Saisie'!$C$5:$C$2004,C439,'Saisie'!$AM$5:$AM$2004,"&lt;&gt;")-4),""),IFERROR(INDEX('Paramètres'!$S$6:$S$15,MATCH(AN439,'Paramètres'!$Q$6:$Q$15,0)),"")))</f>
        <v/>
      </c>
      <c r="AP439" s="62">
        <f>IF(C439="","",IFERROR(INDEX('Saisie'!$AW$5:$AW$2004,_xlfn.MAXIFS('Saisie'!$AS$5:$AS$2004,'Saisie'!$C$5:$C$2004,C439,'Saisie'!$E$5:$E$2004,"Proposition envoyée")-4),""))</f>
        <v/>
      </c>
      <c r="AQ439" s="106">
        <f>IF(C439="","",IFERROR(1/(1/_xlfn.MAXIFS('Saisie'!$A$5:$A$2004,'Saisie'!$C$5:$C$2004,C439,'Saisie'!$E$5:$E$2004,"Proposition envoyée")),""))</f>
        <v/>
      </c>
      <c r="AR439" s="106">
        <f>IF(C439="","",IF(AQ439="","",AQ439+'Paramètres'!$B$26))</f>
        <v/>
      </c>
      <c r="AS439" s="62">
        <f>IF(OR(C439="",D439="Gagné",D439="Perdu"),0,N(AP439)*IFERROR(INDEX('Paramètres'!$G$6:$G$13,MATCH(D439,'Paramètres'!$F$6:$F$13,0)),0))</f>
        <v/>
      </c>
      <c r="AT439" s="106">
        <f>IF(C439="","",IFERROR(1/(1/_xlfn.MINIFS('Saisie'!$A$5:$A$2004,'Saisie'!$C$5:$C$2004,C439,'Saisie'!$E$5:$E$2004,"Signature")),""))</f>
        <v/>
      </c>
      <c r="AU439" s="60">
        <f>IF(C439="","",IF(OR(AT439="",B439=""),"",AT439-B439))</f>
        <v/>
      </c>
      <c r="AV439" s="60">
        <f>IF(C439="","",IFERROR(INDEX('Saisie'!$L$5:$L$2004,_xlfn.MAXIFS('Saisie'!$AS$5:$AS$2004,'Saisie'!$C$5:$C$2004,C439,'Saisie'!$L$5:$L$2004,"&lt;&gt;")-4),""))</f>
        <v/>
      </c>
      <c r="AW439" s="106">
        <f>IF(C439="","",IF(D439&lt;&gt;"Perdu","",IFERROR(1/(1/_xlfn.MAXIFS('Saisie'!$A$5:$A$2004,'Saisie'!$C$5:$C$2004,C439,'Saisie'!$E$5:$E$2004,"Perdu")),"")))</f>
        <v/>
      </c>
      <c r="AX439" s="106">
        <f>IF(C439="","",IF(AW439="","",AW439+'Paramètres'!$B$28))</f>
        <v/>
      </c>
      <c r="AY439" s="60">
        <f>IF(C439="","",SUMIFS('Saisie'!$H$5:$H$2004,'Saisie'!$C$5:$C$2004,C439))</f>
        <v/>
      </c>
      <c r="AZ439" s="60">
        <f>IF(C439="","",IFERROR(INDEX('Paramètres'!$W$6:$W$20,MATCH(S439,'Paramètres'!$V$6:$V$20,0))&amp;"",""))</f>
        <v/>
      </c>
      <c r="BA439" s="60">
        <f>IF(C439="","",MAX(1,_xlfn.MAXIFS('Saisie'!$AT$5:$AT$2004,'Saisie'!$C$5:$C$2004,C439)))</f>
        <v/>
      </c>
      <c r="BB439" s="60">
        <f>IF(C439="","",IFERROR(INDEX('Saisie'!$X$5:$X$2004,_xlfn.MAXIFS('Saisie'!$AS$5:$AS$2004,'Saisie'!$C$5:$C$2004,C439,'Saisie'!$X$5:$X$2004,"&lt;&gt;")-4),""))</f>
        <v/>
      </c>
      <c r="BC439" s="60">
        <f>IF(C439="","",IFERROR(INDEX('Saisie'!$Y$5:$Y$2004,_xlfn.MAXIFS('Saisie'!$AS$5:$AS$2004,'Saisie'!$C$5:$C$2004,C439,'Saisie'!$Y$5:$Y$2004,"&lt;&gt;")-4),""))</f>
        <v/>
      </c>
      <c r="BD439" s="106">
        <f>IF(C439="","",IFERROR(1/(1/_xlfn.MINIFS('Saisie'!$A$5:$A$2004,'Saisie'!$C$5:$C$2004,C439,'Saisie'!$AT$5:$AT$2004,"&gt;=2")),""))</f>
        <v/>
      </c>
      <c r="BE439" s="106">
        <f>IF(C439="","",IFERROR(1/(1/_xlfn.MINIFS('Saisie'!$A$5:$A$2004,'Saisie'!$C$5:$C$2004,C439,'Saisie'!$AT$5:$AT$2004,"&gt;=3")),""))</f>
        <v/>
      </c>
      <c r="BF439" s="106">
        <f>IF(C439="","",IFERROR(1/(1/_xlfn.MINIFS('Saisie'!$A$5:$A$2004,'Saisie'!$C$5:$C$2004,C439,'Saisie'!$AT$5:$AT$2004,"&gt;=4")),""))</f>
        <v/>
      </c>
      <c r="BG439" s="106">
        <f>IF(C439="","",IFERROR(1/(1/_xlfn.MINIFS('Saisie'!$A$5:$A$2004,'Saisie'!$C$5:$C$2004,C439,'Saisie'!$AT$5:$AT$2004,"&gt;=5")),""))</f>
        <v/>
      </c>
      <c r="BH439" s="106">
        <f>IF(C439="","",IFERROR(1/(1/_xlfn.MINIFS('Saisie'!$A$5:$A$2004,'Saisie'!$C$5:$C$2004,C439,'Saisie'!$AT$5:$AT$2004,"&gt;=6")),""))</f>
        <v/>
      </c>
      <c r="BI439" s="106">
        <f>IF(C439="","",IFERROR(1/(1/_xlfn.MINIFS('Saisie'!$A$5:$A$2004,'Saisie'!$C$5:$C$2004,C439,'Saisie'!$AT$5:$AT$2004,"&gt;=7")),""))</f>
        <v/>
      </c>
      <c r="BJ439" s="60">
        <f>IF(OR(BD439="",B439=""),"",BD439-B439)</f>
        <v/>
      </c>
      <c r="BK439" s="60">
        <f>IF(OR(BE439="",BD439=""),"",BE439-BD439)</f>
        <v/>
      </c>
      <c r="BL439" s="60">
        <f>IF(OR(BF439="",BE439=""),"",BF439-BE439)</f>
        <v/>
      </c>
      <c r="BM439" s="60">
        <f>IF(OR(BG439="",BF439=""),"",BG439-BF439)</f>
        <v/>
      </c>
      <c r="BN439" s="60">
        <f>IF(OR(BH439="",BG439=""),"",BH439-BG439)</f>
        <v/>
      </c>
      <c r="BO439" s="60">
        <f>IF(OR(BI439="",BH439=""),"",BI439-BH439)</f>
        <v/>
      </c>
      <c r="BP439" s="60">
        <f>IF(C439="","",_xlfn.MAXIFS('Saisie'!$AS$5:$AS$2004,'Saisie'!$C$5:$C$2004,C439,'Saisie'!$J$5:$J$2004,"&lt;&gt;"))</f>
        <v/>
      </c>
      <c r="BQ439" s="60">
        <f>IF(C439="","",_xlfn.MAXIFS('Saisie'!$AS$5:$AS$2004,'Saisie'!$C$5:$C$2004,C439))</f>
        <v/>
      </c>
      <c r="BR439" s="60">
        <f>IF(C439="","",_xlfn.MAXIFS('Saisie'!$AS$5:$AS$2004,'Saisie'!$C$5:$C$2004,C439,'Saisie'!$E$5:$E$2004,"Perdu"))</f>
        <v/>
      </c>
      <c r="BS439" s="60">
        <f>IF(C439="","",_xlfn.MAXIFS('Saisie'!$AS$5:$AS$2004,'Saisie'!$C$5:$C$2004,C439,'Saisie'!$AT$5:$AT$2004,"&gt;0"))</f>
        <v/>
      </c>
      <c r="BT439" s="109">
        <f>IF(AND(C439&lt;&gt;"",OR(D439="Nouveau",D439="Contacté",D439="Qualifié"),OR(G439="",N(G439)&lt;=TODAY()),NOT(AND(O439&gt;='Paramètres'!$B$21,P439=0))),E439+435/10000,"")</f>
        <v/>
      </c>
      <c r="BU439" s="60">
        <f>IF(AND(G439&lt;&gt;"",N(G439)&lt;=TODAY()),MAX($BU$4:BU438)+1,"")</f>
        <v/>
      </c>
      <c r="BV439" s="60">
        <f>IF(AND(F439&lt;&gt;"",F439&lt;&gt;"Relance en retard"),MAX($BV$4:BV438)+1,"")</f>
        <v/>
      </c>
      <c r="BW439" s="60">
        <f>IF(C439="","",IF(AND(B439&gt;='Tableau de bord'!$R$4,B439&lt;='Tableau de bord'!$S$4,OR('Tableau de bord'!$G$4="Tous",N439='Tableau de bord'!$G$4)),1,0))</f>
        <v/>
      </c>
      <c r="BX439" s="60">
        <f>IF(AND(C439&lt;&gt;"",N(BA439)=7),MAX($BX$4:BX438)+1,"")</f>
        <v/>
      </c>
    </row>
    <row r="440">
      <c r="A440" s="60">
        <f>IF(C440="","","P-"&amp;TEXT(436,"000"))</f>
        <v/>
      </c>
      <c r="B440" s="106">
        <f>IF(C440="","",IFERROR(1/(1/_xlfn.MINIFS('Saisie'!$A$5:$A$2004,'Saisie'!$C$5:$C$2004,C440)),""))</f>
        <v/>
      </c>
      <c r="C440" s="60">
        <f>IFERROR(INDEX('Saisie'!$C$5:$C$2004,MATCH(436,'Saisie'!$AX$5:$AX$2004,0)),"")</f>
        <v/>
      </c>
      <c r="D440" s="60">
        <f>IF(C440="","",IF(AND(BR440&gt;0,BR440&gt;BS440,BA440&lt;7),"Perdu",INDEX('Paramètres'!$F$6:$F$13,BA440)))</f>
        <v/>
      </c>
      <c r="E440" s="61">
        <f>IF(C440="","",MIN(100,(Z440="Oui")*'Paramètres'!$B$38+(AB440="Régulière")*'Paramètres'!$B$39+IF(AND(N(AA440)&gt;0,TODAY()-N(AA440)&lt;=30),'Paramètres'!$B$40,0)+(W440="")*'Paramètres'!$B$41+(AC440="Absente")*'Paramètres'!$B$42+(AC440="Faible")*'Paramètres'!$B$43+IF(AND(N(AD440)&gt;0,N(AD440)&lt;4),'Paramètres'!$B$44,0)+(AF440="Moyenne")*'Paramètres'!$B$45+(AF440="Grande")*'Paramètres'!$B$46+(Y440&lt;&gt;"")*'Paramètres'!$B$47))</f>
        <v/>
      </c>
      <c r="F440" s="60">
        <f>IF(C440="","",IF(D440="Gagné","",IF(D440="Perdu",IF(AND(AX440&lt;&gt;"",AX440&lt;=TODAY()),"À recontacter (perdu)",""),IF(AND(O440&gt;='Paramètres'!$B$21,P440=0),"Stop : "&amp;'Paramètres'!$B$21&amp;" tentatives sans réponse",IF(AND(D440="Proposition",AR440&lt;&gt;"",TODAY()&gt;N(AR440)),"Proposition expirée",IF(AND(D440="Proposition",N(R440)&gt;='Paramètres'!$B$25),"Proposition sans réponse",IF(AND(G440&lt;&gt;"",N(G440)&lt;TODAY()),"Relance en retard",IF(N(R440)&gt;='Paramètres'!$B$24,"Sans action depuis "&amp;R440&amp;" j",""))))))))</f>
        <v/>
      </c>
      <c r="G440" s="106">
        <f>IF(OR(C440="",D440="Gagné",D440="Perdu"),"",IF(AND(BP440&gt;0,BP440=BQ440),INDEX('Saisie'!$J$5:$J$2004,BP440-4),IF(OR(O440=0,AND(O440&gt;='Paramètres'!$B$21,P440=0)),"",Q440+IF(O440&lt;=1,'Paramètres'!$B$18,IF(O440=2,'Paramètres'!$B$19,'Paramètres'!$B$20)))))</f>
        <v/>
      </c>
      <c r="H440" s="107">
        <f>IF(OR(G440="",BP440&lt;&gt;BQ440),"",IF(INDEX('Saisie'!$K$5:$K$2004,BP440-4)="","",INDEX('Saisie'!$K$5:$K$2004,BP440-4)))</f>
        <v/>
      </c>
      <c r="I440" s="60">
        <f>IF(C440="","",IF(OR(D440="Gagné",D440="Perdu"),"",IFERROR(INDEX('Saisie'!$I$5:$I$2004,_xlfn.MAXIFS('Saisie'!$AS$5:$AS$2004,'Saisie'!$C$5:$C$2004,C440,'Saisie'!$I$5:$I$2004,"&lt;&gt;")-4),"")))</f>
        <v/>
      </c>
      <c r="J440" s="60">
        <f>IF(C440="","",IFERROR(INDEX('Saisie'!$U$5:$U$2004,_xlfn.MAXIFS('Saisie'!$AS$5:$AS$2004,'Saisie'!$C$5:$C$2004,C440,'Saisie'!$U$5:$U$2004,"&lt;&gt;")-4),""))</f>
        <v/>
      </c>
      <c r="K440" s="60">
        <f>IF(C440="","",IFERROR(INDEX('Saisie'!$W$5:$W$2004,_xlfn.MAXIFS('Saisie'!$AS$5:$AS$2004,'Saisie'!$C$5:$C$2004,C440,'Saisie'!$W$5:$W$2004,"&lt;&gt;")-4),""))</f>
        <v/>
      </c>
      <c r="L440" s="60">
        <f>IF(IF(BB440&lt;&gt;"",BB440,K440)="","",HYPERLINK("https://wa.me/"&amp;IF(LEFT(SUBSTITUTE(SUBSTITUTE(SUBSTITUTE(IF(BB440&lt;&gt;"",BB440,K440)," ",""),".",""),"+",""),1)="0",'Paramètres'!$B$35&amp;MID(SUBSTITUTE(SUBSTITUTE(SUBSTITUTE(IF(BB440&lt;&gt;"",BB440,K440)," ",""),".",""),"+",""),2,20),SUBSTITUTE(SUBSTITUTE(SUBSTITUTE(IF(BB440&lt;&gt;"",BB440,K440)," ",""),".",""),"+","")),"WhatsApp"))</f>
        <v/>
      </c>
      <c r="M440" s="60">
        <f>IF(BC440="","",HYPERLINK(IF(LEFT(BC440,4)="http",BC440,"https://www.instagram.com/"&amp;SUBSTITUTE(SUBSTITUTE(BC440,"@","")," ","")),BC440))</f>
        <v/>
      </c>
      <c r="N440" s="60">
        <f>IF(C440="","",IFERROR(INDEX('Saisie'!$D$5:$D$2004,_xlfn.MINIFS('Saisie'!$AS$5:$AS$2004,'Saisie'!$C$5:$C$2004,C440,'Saisie'!$AU$5:$AU$2004,1)-4),IFERROR(INDEX('Saisie'!$D$5:$D$2004,_xlfn.MINIFS('Saisie'!$AS$5:$AS$2004,'Saisie'!$C$5:$C$2004,C440,'Saisie'!$D$5:$D$2004,"&lt;&gt;")-4),"")))</f>
        <v/>
      </c>
      <c r="O440" s="60">
        <f>IF(C440="","",COUNTIFS('Saisie'!$C$5:$C$2004,C440,'Saisie'!$AU$5:$AU$2004,1))</f>
        <v/>
      </c>
      <c r="P440" s="60">
        <f>IF(C440="","",COUNTIFS('Saisie'!$C$5:$C$2004,C440,'Saisie'!$AV$5:$AV$2004,1))</f>
        <v/>
      </c>
      <c r="Q440" s="106">
        <f>IF(C440="","",IFERROR(1/(1/_xlfn.MAXIFS('Saisie'!$A$5:$A$2004,'Saisie'!$C$5:$C$2004,C440)),""))</f>
        <v/>
      </c>
      <c r="R440" s="61">
        <f>IF(C440="","",IF(Q440="","",TODAY()-Q440))</f>
        <v/>
      </c>
      <c r="S440" s="60">
        <f>IF(C440="","",IFERROR(INDEX('Saisie'!$R$5:$R$2004,_xlfn.MAXIFS('Saisie'!$AS$5:$AS$2004,'Saisie'!$C$5:$C$2004,C440,'Saisie'!$R$5:$R$2004,"&lt;&gt;")-4),""))</f>
        <v/>
      </c>
      <c r="T440" s="60">
        <f>IF(C440="","",IFERROR(INDEX('Saisie'!$S$5:$S$2004,_xlfn.MAXIFS('Saisie'!$AS$5:$AS$2004,'Saisie'!$C$5:$C$2004,C440,'Saisie'!$S$5:$S$2004,"&lt;&gt;")-4),""))</f>
        <v/>
      </c>
      <c r="U440" s="60">
        <f>IF(C440="","",IFERROR(INDEX('Saisie'!$T$5:$T$2004,_xlfn.MAXIFS('Saisie'!$AS$5:$AS$2004,'Saisie'!$C$5:$C$2004,C440,'Saisie'!$T$5:$T$2004,"&lt;&gt;")-4),""))</f>
        <v/>
      </c>
      <c r="V440" s="60">
        <f>IF(C440="","",IFERROR(INDEX('Saisie'!$V$5:$V$2004,_xlfn.MAXIFS('Saisie'!$AS$5:$AS$2004,'Saisie'!$C$5:$C$2004,C440,'Saisie'!$V$5:$V$2004,"&lt;&gt;")-4),""))</f>
        <v/>
      </c>
      <c r="W440" s="60">
        <f>IF(C440="","",IFERROR(INDEX('Saisie'!$Z$5:$Z$2004,_xlfn.MAXIFS('Saisie'!$AS$5:$AS$2004,'Saisie'!$C$5:$C$2004,C440,'Saisie'!$Z$5:$Z$2004,"&lt;&gt;")-4),""))</f>
        <v/>
      </c>
      <c r="X440" s="60">
        <f>IF(C440="","",IFERROR(INDEX('Saisie'!$AA$5:$AA$2004,_xlfn.MAXIFS('Saisie'!$AS$5:$AS$2004,'Saisie'!$C$5:$C$2004,C440,'Saisie'!$AA$5:$AA$2004,"&lt;&gt;")-4),""))</f>
        <v/>
      </c>
      <c r="Y440" s="60">
        <f>IF(C440="","",IFERROR(INDEX('Saisie'!$AB$5:$AB$2004,_xlfn.MAXIFS('Saisie'!$AS$5:$AS$2004,'Saisie'!$C$5:$C$2004,C440,'Saisie'!$AB$5:$AB$2004,"&lt;&gt;")-4),""))</f>
        <v/>
      </c>
      <c r="Z440" s="60">
        <f>IF(C440="","",IFERROR(INDEX('Saisie'!$AC$5:$AC$2004,_xlfn.MAXIFS('Saisie'!$AS$5:$AS$2004,'Saisie'!$C$5:$C$2004,C440,'Saisie'!$AC$5:$AC$2004,"&lt;&gt;")-4),""))</f>
        <v/>
      </c>
      <c r="AA440" s="106">
        <f>IF(C440="","",IFERROR(INDEX('Saisie'!$AD$5:$AD$2004,_xlfn.MAXIFS('Saisie'!$AS$5:$AS$2004,'Saisie'!$C$5:$C$2004,C440,'Saisie'!$AD$5:$AD$2004,"&lt;&gt;")-4),""))</f>
        <v/>
      </c>
      <c r="AB440" s="60">
        <f>IF(C440="","",IFERROR(INDEX('Saisie'!$AE$5:$AE$2004,_xlfn.MAXIFS('Saisie'!$AS$5:$AS$2004,'Saisie'!$C$5:$C$2004,C440,'Saisie'!$AE$5:$AE$2004,"&lt;&gt;")-4),""))</f>
        <v/>
      </c>
      <c r="AC440" s="60">
        <f>IF(C440="","",IFERROR(INDEX('Saisie'!$AF$5:$AF$2004,_xlfn.MAXIFS('Saisie'!$AS$5:$AS$2004,'Saisie'!$C$5:$C$2004,C440,'Saisie'!$AF$5:$AF$2004,"&lt;&gt;")-4),""))</f>
        <v/>
      </c>
      <c r="AD440" s="108">
        <f>IF(C440="","",IFERROR(INDEX('Saisie'!$AG$5:$AG$2004,_xlfn.MAXIFS('Saisie'!$AS$5:$AS$2004,'Saisie'!$C$5:$C$2004,C440,'Saisie'!$AG$5:$AG$2004,"&lt;&gt;")-4),""))</f>
        <v/>
      </c>
      <c r="AE440" s="60">
        <f>IF(C440="","",IFERROR(INDEX('Saisie'!$AH$5:$AH$2004,_xlfn.MAXIFS('Saisie'!$AS$5:$AS$2004,'Saisie'!$C$5:$C$2004,C440,'Saisie'!$AH$5:$AH$2004,"&lt;&gt;")-4),""))</f>
        <v/>
      </c>
      <c r="AF440" s="60">
        <f>IF(C440="","",IFERROR(INDEX('Saisie'!$AI$5:$AI$2004,_xlfn.MAXIFS('Saisie'!$AS$5:$AS$2004,'Saisie'!$C$5:$C$2004,C440,'Saisie'!$AI$5:$AI$2004,"&lt;&gt;")-4),""))</f>
        <v/>
      </c>
      <c r="AG440" s="60">
        <f>IF(C440="","",IFERROR(INDEX('Saisie'!$AJ$5:$AJ$2004,_xlfn.MAXIFS('Saisie'!$AS$5:$AS$2004,'Saisie'!$C$5:$C$2004,C440,'Saisie'!$AJ$5:$AJ$2004,"&lt;&gt;")-4),""))</f>
        <v/>
      </c>
      <c r="AH440" s="60">
        <f>IF(C440="","",IFERROR(INDEX('Saisie'!$AK$5:$AK$2004,_xlfn.MAXIFS('Saisie'!$AS$5:$AS$2004,'Saisie'!$C$5:$C$2004,C440,'Saisie'!$AK$5:$AK$2004,"&lt;&gt;")-4),""))</f>
        <v/>
      </c>
      <c r="AI440" s="60">
        <f>IF(C440="","",IFERROR(INDEX('Saisie'!$AN$5:$AN$2004,_xlfn.MAXIFS('Saisie'!$AS$5:$AS$2004,'Saisie'!$C$5:$C$2004,C440,'Saisie'!$AN$5:$AN$2004,"&lt;&gt;")-4),""))</f>
        <v/>
      </c>
      <c r="AJ440" s="60">
        <f>IF(C440="","",IFERROR(INDEX('Saisie'!$AO$5:$AO$2004,_xlfn.MAXIFS('Saisie'!$AS$5:$AS$2004,'Saisie'!$C$5:$C$2004,C440,'Saisie'!$AO$5:$AO$2004,"&lt;&gt;")-4),""))</f>
        <v/>
      </c>
      <c r="AK440" s="60">
        <f>IF(C440="","",IFERROR(INDEX('Saisie'!$AP$5:$AP$2004,_xlfn.MAXIFS('Saisie'!$AS$5:$AS$2004,'Saisie'!$C$5:$C$2004,C440,'Saisie'!$AP$5:$AP$2004,"&lt;&gt;")-4),""))</f>
        <v/>
      </c>
      <c r="AL440" s="60">
        <f>IF(C440="","",IFERROR(INDEX('Saisie'!$AQ$5:$AQ$2004,_xlfn.MAXIFS('Saisie'!$AS$5:$AS$2004,'Saisie'!$C$5:$C$2004,C440,'Saisie'!$AQ$5:$AQ$2004,"&lt;&gt;")-4),""))</f>
        <v/>
      </c>
      <c r="AM440" s="60">
        <f>IF(C440="","",((AI440="Oui")+(AJ440="Oui")+(AK440="Oui")+OR(AL440="Immédiat",AL440="&lt; 1 mois"))&amp;"/4")</f>
        <v/>
      </c>
      <c r="AN440" s="60">
        <f>IF(C440="","",IFERROR(INDEX('Saisie'!$AL$5:$AL$2004,_xlfn.MAXIFS('Saisie'!$AS$5:$AS$2004,'Saisie'!$C$5:$C$2004,C440,'Saisie'!$AL$5:$AL$2004,"&lt;&gt;")-4),""))</f>
        <v/>
      </c>
      <c r="AO440" s="62">
        <f>IF(C440="","",IF(IFERROR(INDEX('Saisie'!$AM$5:$AM$2004,_xlfn.MAXIFS('Saisie'!$AS$5:$AS$2004,'Saisie'!$C$5:$C$2004,C440,'Saisie'!$AM$5:$AM$2004,"&lt;&gt;")-4),"")&lt;&gt;"",IFERROR(INDEX('Saisie'!$AM$5:$AM$2004,_xlfn.MAXIFS('Saisie'!$AS$5:$AS$2004,'Saisie'!$C$5:$C$2004,C440,'Saisie'!$AM$5:$AM$2004,"&lt;&gt;")-4),""),IFERROR(INDEX('Paramètres'!$S$6:$S$15,MATCH(AN440,'Paramètres'!$Q$6:$Q$15,0)),"")))</f>
        <v/>
      </c>
      <c r="AP440" s="62">
        <f>IF(C440="","",IFERROR(INDEX('Saisie'!$AW$5:$AW$2004,_xlfn.MAXIFS('Saisie'!$AS$5:$AS$2004,'Saisie'!$C$5:$C$2004,C440,'Saisie'!$E$5:$E$2004,"Proposition envoyée")-4),""))</f>
        <v/>
      </c>
      <c r="AQ440" s="106">
        <f>IF(C440="","",IFERROR(1/(1/_xlfn.MAXIFS('Saisie'!$A$5:$A$2004,'Saisie'!$C$5:$C$2004,C440,'Saisie'!$E$5:$E$2004,"Proposition envoyée")),""))</f>
        <v/>
      </c>
      <c r="AR440" s="106">
        <f>IF(C440="","",IF(AQ440="","",AQ440+'Paramètres'!$B$26))</f>
        <v/>
      </c>
      <c r="AS440" s="62">
        <f>IF(OR(C440="",D440="Gagné",D440="Perdu"),0,N(AP440)*IFERROR(INDEX('Paramètres'!$G$6:$G$13,MATCH(D440,'Paramètres'!$F$6:$F$13,0)),0))</f>
        <v/>
      </c>
      <c r="AT440" s="106">
        <f>IF(C440="","",IFERROR(1/(1/_xlfn.MINIFS('Saisie'!$A$5:$A$2004,'Saisie'!$C$5:$C$2004,C440,'Saisie'!$E$5:$E$2004,"Signature")),""))</f>
        <v/>
      </c>
      <c r="AU440" s="60">
        <f>IF(C440="","",IF(OR(AT440="",B440=""),"",AT440-B440))</f>
        <v/>
      </c>
      <c r="AV440" s="60">
        <f>IF(C440="","",IFERROR(INDEX('Saisie'!$L$5:$L$2004,_xlfn.MAXIFS('Saisie'!$AS$5:$AS$2004,'Saisie'!$C$5:$C$2004,C440,'Saisie'!$L$5:$L$2004,"&lt;&gt;")-4),""))</f>
        <v/>
      </c>
      <c r="AW440" s="106">
        <f>IF(C440="","",IF(D440&lt;&gt;"Perdu","",IFERROR(1/(1/_xlfn.MAXIFS('Saisie'!$A$5:$A$2004,'Saisie'!$C$5:$C$2004,C440,'Saisie'!$E$5:$E$2004,"Perdu")),"")))</f>
        <v/>
      </c>
      <c r="AX440" s="106">
        <f>IF(C440="","",IF(AW440="","",AW440+'Paramètres'!$B$28))</f>
        <v/>
      </c>
      <c r="AY440" s="60">
        <f>IF(C440="","",SUMIFS('Saisie'!$H$5:$H$2004,'Saisie'!$C$5:$C$2004,C440))</f>
        <v/>
      </c>
      <c r="AZ440" s="60">
        <f>IF(C440="","",IFERROR(INDEX('Paramètres'!$W$6:$W$20,MATCH(S440,'Paramètres'!$V$6:$V$20,0))&amp;"",""))</f>
        <v/>
      </c>
      <c r="BA440" s="60">
        <f>IF(C440="","",MAX(1,_xlfn.MAXIFS('Saisie'!$AT$5:$AT$2004,'Saisie'!$C$5:$C$2004,C440)))</f>
        <v/>
      </c>
      <c r="BB440" s="60">
        <f>IF(C440="","",IFERROR(INDEX('Saisie'!$X$5:$X$2004,_xlfn.MAXIFS('Saisie'!$AS$5:$AS$2004,'Saisie'!$C$5:$C$2004,C440,'Saisie'!$X$5:$X$2004,"&lt;&gt;")-4),""))</f>
        <v/>
      </c>
      <c r="BC440" s="60">
        <f>IF(C440="","",IFERROR(INDEX('Saisie'!$Y$5:$Y$2004,_xlfn.MAXIFS('Saisie'!$AS$5:$AS$2004,'Saisie'!$C$5:$C$2004,C440,'Saisie'!$Y$5:$Y$2004,"&lt;&gt;")-4),""))</f>
        <v/>
      </c>
      <c r="BD440" s="106">
        <f>IF(C440="","",IFERROR(1/(1/_xlfn.MINIFS('Saisie'!$A$5:$A$2004,'Saisie'!$C$5:$C$2004,C440,'Saisie'!$AT$5:$AT$2004,"&gt;=2")),""))</f>
        <v/>
      </c>
      <c r="BE440" s="106">
        <f>IF(C440="","",IFERROR(1/(1/_xlfn.MINIFS('Saisie'!$A$5:$A$2004,'Saisie'!$C$5:$C$2004,C440,'Saisie'!$AT$5:$AT$2004,"&gt;=3")),""))</f>
        <v/>
      </c>
      <c r="BF440" s="106">
        <f>IF(C440="","",IFERROR(1/(1/_xlfn.MINIFS('Saisie'!$A$5:$A$2004,'Saisie'!$C$5:$C$2004,C440,'Saisie'!$AT$5:$AT$2004,"&gt;=4")),""))</f>
        <v/>
      </c>
      <c r="BG440" s="106">
        <f>IF(C440="","",IFERROR(1/(1/_xlfn.MINIFS('Saisie'!$A$5:$A$2004,'Saisie'!$C$5:$C$2004,C440,'Saisie'!$AT$5:$AT$2004,"&gt;=5")),""))</f>
        <v/>
      </c>
      <c r="BH440" s="106">
        <f>IF(C440="","",IFERROR(1/(1/_xlfn.MINIFS('Saisie'!$A$5:$A$2004,'Saisie'!$C$5:$C$2004,C440,'Saisie'!$AT$5:$AT$2004,"&gt;=6")),""))</f>
        <v/>
      </c>
      <c r="BI440" s="106">
        <f>IF(C440="","",IFERROR(1/(1/_xlfn.MINIFS('Saisie'!$A$5:$A$2004,'Saisie'!$C$5:$C$2004,C440,'Saisie'!$AT$5:$AT$2004,"&gt;=7")),""))</f>
        <v/>
      </c>
      <c r="BJ440" s="60">
        <f>IF(OR(BD440="",B440=""),"",BD440-B440)</f>
        <v/>
      </c>
      <c r="BK440" s="60">
        <f>IF(OR(BE440="",BD440=""),"",BE440-BD440)</f>
        <v/>
      </c>
      <c r="BL440" s="60">
        <f>IF(OR(BF440="",BE440=""),"",BF440-BE440)</f>
        <v/>
      </c>
      <c r="BM440" s="60">
        <f>IF(OR(BG440="",BF440=""),"",BG440-BF440)</f>
        <v/>
      </c>
      <c r="BN440" s="60">
        <f>IF(OR(BH440="",BG440=""),"",BH440-BG440)</f>
        <v/>
      </c>
      <c r="BO440" s="60">
        <f>IF(OR(BI440="",BH440=""),"",BI440-BH440)</f>
        <v/>
      </c>
      <c r="BP440" s="60">
        <f>IF(C440="","",_xlfn.MAXIFS('Saisie'!$AS$5:$AS$2004,'Saisie'!$C$5:$C$2004,C440,'Saisie'!$J$5:$J$2004,"&lt;&gt;"))</f>
        <v/>
      </c>
      <c r="BQ440" s="60">
        <f>IF(C440="","",_xlfn.MAXIFS('Saisie'!$AS$5:$AS$2004,'Saisie'!$C$5:$C$2004,C440))</f>
        <v/>
      </c>
      <c r="BR440" s="60">
        <f>IF(C440="","",_xlfn.MAXIFS('Saisie'!$AS$5:$AS$2004,'Saisie'!$C$5:$C$2004,C440,'Saisie'!$E$5:$E$2004,"Perdu"))</f>
        <v/>
      </c>
      <c r="BS440" s="60">
        <f>IF(C440="","",_xlfn.MAXIFS('Saisie'!$AS$5:$AS$2004,'Saisie'!$C$5:$C$2004,C440,'Saisie'!$AT$5:$AT$2004,"&gt;0"))</f>
        <v/>
      </c>
      <c r="BT440" s="109">
        <f>IF(AND(C440&lt;&gt;"",OR(D440="Nouveau",D440="Contacté",D440="Qualifié"),OR(G440="",N(G440)&lt;=TODAY()),NOT(AND(O440&gt;='Paramètres'!$B$21,P440=0))),E440+436/10000,"")</f>
        <v/>
      </c>
      <c r="BU440" s="60">
        <f>IF(AND(G440&lt;&gt;"",N(G440)&lt;=TODAY()),MAX($BU$4:BU439)+1,"")</f>
        <v/>
      </c>
      <c r="BV440" s="60">
        <f>IF(AND(F440&lt;&gt;"",F440&lt;&gt;"Relance en retard"),MAX($BV$4:BV439)+1,"")</f>
        <v/>
      </c>
      <c r="BW440" s="60">
        <f>IF(C440="","",IF(AND(B440&gt;='Tableau de bord'!$R$4,B440&lt;='Tableau de bord'!$S$4,OR('Tableau de bord'!$G$4="Tous",N440='Tableau de bord'!$G$4)),1,0))</f>
        <v/>
      </c>
      <c r="BX440" s="60">
        <f>IF(AND(C440&lt;&gt;"",N(BA440)=7),MAX($BX$4:BX439)+1,"")</f>
        <v/>
      </c>
    </row>
    <row r="441">
      <c r="A441" s="60">
        <f>IF(C441="","","P-"&amp;TEXT(437,"000"))</f>
        <v/>
      </c>
      <c r="B441" s="106">
        <f>IF(C441="","",IFERROR(1/(1/_xlfn.MINIFS('Saisie'!$A$5:$A$2004,'Saisie'!$C$5:$C$2004,C441)),""))</f>
        <v/>
      </c>
      <c r="C441" s="60">
        <f>IFERROR(INDEX('Saisie'!$C$5:$C$2004,MATCH(437,'Saisie'!$AX$5:$AX$2004,0)),"")</f>
        <v/>
      </c>
      <c r="D441" s="60">
        <f>IF(C441="","",IF(AND(BR441&gt;0,BR441&gt;BS441,BA441&lt;7),"Perdu",INDEX('Paramètres'!$F$6:$F$13,BA441)))</f>
        <v/>
      </c>
      <c r="E441" s="61">
        <f>IF(C441="","",MIN(100,(Z441="Oui")*'Paramètres'!$B$38+(AB441="Régulière")*'Paramètres'!$B$39+IF(AND(N(AA441)&gt;0,TODAY()-N(AA441)&lt;=30),'Paramètres'!$B$40,0)+(W441="")*'Paramètres'!$B$41+(AC441="Absente")*'Paramètres'!$B$42+(AC441="Faible")*'Paramètres'!$B$43+IF(AND(N(AD441)&gt;0,N(AD441)&lt;4),'Paramètres'!$B$44,0)+(AF441="Moyenne")*'Paramètres'!$B$45+(AF441="Grande")*'Paramètres'!$B$46+(Y441&lt;&gt;"")*'Paramètres'!$B$47))</f>
        <v/>
      </c>
      <c r="F441" s="60">
        <f>IF(C441="","",IF(D441="Gagné","",IF(D441="Perdu",IF(AND(AX441&lt;&gt;"",AX441&lt;=TODAY()),"À recontacter (perdu)",""),IF(AND(O441&gt;='Paramètres'!$B$21,P441=0),"Stop : "&amp;'Paramètres'!$B$21&amp;" tentatives sans réponse",IF(AND(D441="Proposition",AR441&lt;&gt;"",TODAY()&gt;N(AR441)),"Proposition expirée",IF(AND(D441="Proposition",N(R441)&gt;='Paramètres'!$B$25),"Proposition sans réponse",IF(AND(G441&lt;&gt;"",N(G441)&lt;TODAY()),"Relance en retard",IF(N(R441)&gt;='Paramètres'!$B$24,"Sans action depuis "&amp;R441&amp;" j",""))))))))</f>
        <v/>
      </c>
      <c r="G441" s="106">
        <f>IF(OR(C441="",D441="Gagné",D441="Perdu"),"",IF(AND(BP441&gt;0,BP441=BQ441),INDEX('Saisie'!$J$5:$J$2004,BP441-4),IF(OR(O441=0,AND(O441&gt;='Paramètres'!$B$21,P441=0)),"",Q441+IF(O441&lt;=1,'Paramètres'!$B$18,IF(O441=2,'Paramètres'!$B$19,'Paramètres'!$B$20)))))</f>
        <v/>
      </c>
      <c r="H441" s="107">
        <f>IF(OR(G441="",BP441&lt;&gt;BQ441),"",IF(INDEX('Saisie'!$K$5:$K$2004,BP441-4)="","",INDEX('Saisie'!$K$5:$K$2004,BP441-4)))</f>
        <v/>
      </c>
      <c r="I441" s="60">
        <f>IF(C441="","",IF(OR(D441="Gagné",D441="Perdu"),"",IFERROR(INDEX('Saisie'!$I$5:$I$2004,_xlfn.MAXIFS('Saisie'!$AS$5:$AS$2004,'Saisie'!$C$5:$C$2004,C441,'Saisie'!$I$5:$I$2004,"&lt;&gt;")-4),"")))</f>
        <v/>
      </c>
      <c r="J441" s="60">
        <f>IF(C441="","",IFERROR(INDEX('Saisie'!$U$5:$U$2004,_xlfn.MAXIFS('Saisie'!$AS$5:$AS$2004,'Saisie'!$C$5:$C$2004,C441,'Saisie'!$U$5:$U$2004,"&lt;&gt;")-4),""))</f>
        <v/>
      </c>
      <c r="K441" s="60">
        <f>IF(C441="","",IFERROR(INDEX('Saisie'!$W$5:$W$2004,_xlfn.MAXIFS('Saisie'!$AS$5:$AS$2004,'Saisie'!$C$5:$C$2004,C441,'Saisie'!$W$5:$W$2004,"&lt;&gt;")-4),""))</f>
        <v/>
      </c>
      <c r="L441" s="60">
        <f>IF(IF(BB441&lt;&gt;"",BB441,K441)="","",HYPERLINK("https://wa.me/"&amp;IF(LEFT(SUBSTITUTE(SUBSTITUTE(SUBSTITUTE(IF(BB441&lt;&gt;"",BB441,K441)," ",""),".",""),"+",""),1)="0",'Paramètres'!$B$35&amp;MID(SUBSTITUTE(SUBSTITUTE(SUBSTITUTE(IF(BB441&lt;&gt;"",BB441,K441)," ",""),".",""),"+",""),2,20),SUBSTITUTE(SUBSTITUTE(SUBSTITUTE(IF(BB441&lt;&gt;"",BB441,K441)," ",""),".",""),"+","")),"WhatsApp"))</f>
        <v/>
      </c>
      <c r="M441" s="60">
        <f>IF(BC441="","",HYPERLINK(IF(LEFT(BC441,4)="http",BC441,"https://www.instagram.com/"&amp;SUBSTITUTE(SUBSTITUTE(BC441,"@","")," ","")),BC441))</f>
        <v/>
      </c>
      <c r="N441" s="60">
        <f>IF(C441="","",IFERROR(INDEX('Saisie'!$D$5:$D$2004,_xlfn.MINIFS('Saisie'!$AS$5:$AS$2004,'Saisie'!$C$5:$C$2004,C441,'Saisie'!$AU$5:$AU$2004,1)-4),IFERROR(INDEX('Saisie'!$D$5:$D$2004,_xlfn.MINIFS('Saisie'!$AS$5:$AS$2004,'Saisie'!$C$5:$C$2004,C441,'Saisie'!$D$5:$D$2004,"&lt;&gt;")-4),"")))</f>
        <v/>
      </c>
      <c r="O441" s="60">
        <f>IF(C441="","",COUNTIFS('Saisie'!$C$5:$C$2004,C441,'Saisie'!$AU$5:$AU$2004,1))</f>
        <v/>
      </c>
      <c r="P441" s="60">
        <f>IF(C441="","",COUNTIFS('Saisie'!$C$5:$C$2004,C441,'Saisie'!$AV$5:$AV$2004,1))</f>
        <v/>
      </c>
      <c r="Q441" s="106">
        <f>IF(C441="","",IFERROR(1/(1/_xlfn.MAXIFS('Saisie'!$A$5:$A$2004,'Saisie'!$C$5:$C$2004,C441)),""))</f>
        <v/>
      </c>
      <c r="R441" s="61">
        <f>IF(C441="","",IF(Q441="","",TODAY()-Q441))</f>
        <v/>
      </c>
      <c r="S441" s="60">
        <f>IF(C441="","",IFERROR(INDEX('Saisie'!$R$5:$R$2004,_xlfn.MAXIFS('Saisie'!$AS$5:$AS$2004,'Saisie'!$C$5:$C$2004,C441,'Saisie'!$R$5:$R$2004,"&lt;&gt;")-4),""))</f>
        <v/>
      </c>
      <c r="T441" s="60">
        <f>IF(C441="","",IFERROR(INDEX('Saisie'!$S$5:$S$2004,_xlfn.MAXIFS('Saisie'!$AS$5:$AS$2004,'Saisie'!$C$5:$C$2004,C441,'Saisie'!$S$5:$S$2004,"&lt;&gt;")-4),""))</f>
        <v/>
      </c>
      <c r="U441" s="60">
        <f>IF(C441="","",IFERROR(INDEX('Saisie'!$T$5:$T$2004,_xlfn.MAXIFS('Saisie'!$AS$5:$AS$2004,'Saisie'!$C$5:$C$2004,C441,'Saisie'!$T$5:$T$2004,"&lt;&gt;")-4),""))</f>
        <v/>
      </c>
      <c r="V441" s="60">
        <f>IF(C441="","",IFERROR(INDEX('Saisie'!$V$5:$V$2004,_xlfn.MAXIFS('Saisie'!$AS$5:$AS$2004,'Saisie'!$C$5:$C$2004,C441,'Saisie'!$V$5:$V$2004,"&lt;&gt;")-4),""))</f>
        <v/>
      </c>
      <c r="W441" s="60">
        <f>IF(C441="","",IFERROR(INDEX('Saisie'!$Z$5:$Z$2004,_xlfn.MAXIFS('Saisie'!$AS$5:$AS$2004,'Saisie'!$C$5:$C$2004,C441,'Saisie'!$Z$5:$Z$2004,"&lt;&gt;")-4),""))</f>
        <v/>
      </c>
      <c r="X441" s="60">
        <f>IF(C441="","",IFERROR(INDEX('Saisie'!$AA$5:$AA$2004,_xlfn.MAXIFS('Saisie'!$AS$5:$AS$2004,'Saisie'!$C$5:$C$2004,C441,'Saisie'!$AA$5:$AA$2004,"&lt;&gt;")-4),""))</f>
        <v/>
      </c>
      <c r="Y441" s="60">
        <f>IF(C441="","",IFERROR(INDEX('Saisie'!$AB$5:$AB$2004,_xlfn.MAXIFS('Saisie'!$AS$5:$AS$2004,'Saisie'!$C$5:$C$2004,C441,'Saisie'!$AB$5:$AB$2004,"&lt;&gt;")-4),""))</f>
        <v/>
      </c>
      <c r="Z441" s="60">
        <f>IF(C441="","",IFERROR(INDEX('Saisie'!$AC$5:$AC$2004,_xlfn.MAXIFS('Saisie'!$AS$5:$AS$2004,'Saisie'!$C$5:$C$2004,C441,'Saisie'!$AC$5:$AC$2004,"&lt;&gt;")-4),""))</f>
        <v/>
      </c>
      <c r="AA441" s="106">
        <f>IF(C441="","",IFERROR(INDEX('Saisie'!$AD$5:$AD$2004,_xlfn.MAXIFS('Saisie'!$AS$5:$AS$2004,'Saisie'!$C$5:$C$2004,C441,'Saisie'!$AD$5:$AD$2004,"&lt;&gt;")-4),""))</f>
        <v/>
      </c>
      <c r="AB441" s="60">
        <f>IF(C441="","",IFERROR(INDEX('Saisie'!$AE$5:$AE$2004,_xlfn.MAXIFS('Saisie'!$AS$5:$AS$2004,'Saisie'!$C$5:$C$2004,C441,'Saisie'!$AE$5:$AE$2004,"&lt;&gt;")-4),""))</f>
        <v/>
      </c>
      <c r="AC441" s="60">
        <f>IF(C441="","",IFERROR(INDEX('Saisie'!$AF$5:$AF$2004,_xlfn.MAXIFS('Saisie'!$AS$5:$AS$2004,'Saisie'!$C$5:$C$2004,C441,'Saisie'!$AF$5:$AF$2004,"&lt;&gt;")-4),""))</f>
        <v/>
      </c>
      <c r="AD441" s="108">
        <f>IF(C441="","",IFERROR(INDEX('Saisie'!$AG$5:$AG$2004,_xlfn.MAXIFS('Saisie'!$AS$5:$AS$2004,'Saisie'!$C$5:$C$2004,C441,'Saisie'!$AG$5:$AG$2004,"&lt;&gt;")-4),""))</f>
        <v/>
      </c>
      <c r="AE441" s="60">
        <f>IF(C441="","",IFERROR(INDEX('Saisie'!$AH$5:$AH$2004,_xlfn.MAXIFS('Saisie'!$AS$5:$AS$2004,'Saisie'!$C$5:$C$2004,C441,'Saisie'!$AH$5:$AH$2004,"&lt;&gt;")-4),""))</f>
        <v/>
      </c>
      <c r="AF441" s="60">
        <f>IF(C441="","",IFERROR(INDEX('Saisie'!$AI$5:$AI$2004,_xlfn.MAXIFS('Saisie'!$AS$5:$AS$2004,'Saisie'!$C$5:$C$2004,C441,'Saisie'!$AI$5:$AI$2004,"&lt;&gt;")-4),""))</f>
        <v/>
      </c>
      <c r="AG441" s="60">
        <f>IF(C441="","",IFERROR(INDEX('Saisie'!$AJ$5:$AJ$2004,_xlfn.MAXIFS('Saisie'!$AS$5:$AS$2004,'Saisie'!$C$5:$C$2004,C441,'Saisie'!$AJ$5:$AJ$2004,"&lt;&gt;")-4),""))</f>
        <v/>
      </c>
      <c r="AH441" s="60">
        <f>IF(C441="","",IFERROR(INDEX('Saisie'!$AK$5:$AK$2004,_xlfn.MAXIFS('Saisie'!$AS$5:$AS$2004,'Saisie'!$C$5:$C$2004,C441,'Saisie'!$AK$5:$AK$2004,"&lt;&gt;")-4),""))</f>
        <v/>
      </c>
      <c r="AI441" s="60">
        <f>IF(C441="","",IFERROR(INDEX('Saisie'!$AN$5:$AN$2004,_xlfn.MAXIFS('Saisie'!$AS$5:$AS$2004,'Saisie'!$C$5:$C$2004,C441,'Saisie'!$AN$5:$AN$2004,"&lt;&gt;")-4),""))</f>
        <v/>
      </c>
      <c r="AJ441" s="60">
        <f>IF(C441="","",IFERROR(INDEX('Saisie'!$AO$5:$AO$2004,_xlfn.MAXIFS('Saisie'!$AS$5:$AS$2004,'Saisie'!$C$5:$C$2004,C441,'Saisie'!$AO$5:$AO$2004,"&lt;&gt;")-4),""))</f>
        <v/>
      </c>
      <c r="AK441" s="60">
        <f>IF(C441="","",IFERROR(INDEX('Saisie'!$AP$5:$AP$2004,_xlfn.MAXIFS('Saisie'!$AS$5:$AS$2004,'Saisie'!$C$5:$C$2004,C441,'Saisie'!$AP$5:$AP$2004,"&lt;&gt;")-4),""))</f>
        <v/>
      </c>
      <c r="AL441" s="60">
        <f>IF(C441="","",IFERROR(INDEX('Saisie'!$AQ$5:$AQ$2004,_xlfn.MAXIFS('Saisie'!$AS$5:$AS$2004,'Saisie'!$C$5:$C$2004,C441,'Saisie'!$AQ$5:$AQ$2004,"&lt;&gt;")-4),""))</f>
        <v/>
      </c>
      <c r="AM441" s="60">
        <f>IF(C441="","",((AI441="Oui")+(AJ441="Oui")+(AK441="Oui")+OR(AL441="Immédiat",AL441="&lt; 1 mois"))&amp;"/4")</f>
        <v/>
      </c>
      <c r="AN441" s="60">
        <f>IF(C441="","",IFERROR(INDEX('Saisie'!$AL$5:$AL$2004,_xlfn.MAXIFS('Saisie'!$AS$5:$AS$2004,'Saisie'!$C$5:$C$2004,C441,'Saisie'!$AL$5:$AL$2004,"&lt;&gt;")-4),""))</f>
        <v/>
      </c>
      <c r="AO441" s="62">
        <f>IF(C441="","",IF(IFERROR(INDEX('Saisie'!$AM$5:$AM$2004,_xlfn.MAXIFS('Saisie'!$AS$5:$AS$2004,'Saisie'!$C$5:$C$2004,C441,'Saisie'!$AM$5:$AM$2004,"&lt;&gt;")-4),"")&lt;&gt;"",IFERROR(INDEX('Saisie'!$AM$5:$AM$2004,_xlfn.MAXIFS('Saisie'!$AS$5:$AS$2004,'Saisie'!$C$5:$C$2004,C441,'Saisie'!$AM$5:$AM$2004,"&lt;&gt;")-4),""),IFERROR(INDEX('Paramètres'!$S$6:$S$15,MATCH(AN441,'Paramètres'!$Q$6:$Q$15,0)),"")))</f>
        <v/>
      </c>
      <c r="AP441" s="62">
        <f>IF(C441="","",IFERROR(INDEX('Saisie'!$AW$5:$AW$2004,_xlfn.MAXIFS('Saisie'!$AS$5:$AS$2004,'Saisie'!$C$5:$C$2004,C441,'Saisie'!$E$5:$E$2004,"Proposition envoyée")-4),""))</f>
        <v/>
      </c>
      <c r="AQ441" s="106">
        <f>IF(C441="","",IFERROR(1/(1/_xlfn.MAXIFS('Saisie'!$A$5:$A$2004,'Saisie'!$C$5:$C$2004,C441,'Saisie'!$E$5:$E$2004,"Proposition envoyée")),""))</f>
        <v/>
      </c>
      <c r="AR441" s="106">
        <f>IF(C441="","",IF(AQ441="","",AQ441+'Paramètres'!$B$26))</f>
        <v/>
      </c>
      <c r="AS441" s="62">
        <f>IF(OR(C441="",D441="Gagné",D441="Perdu"),0,N(AP441)*IFERROR(INDEX('Paramètres'!$G$6:$G$13,MATCH(D441,'Paramètres'!$F$6:$F$13,0)),0))</f>
        <v/>
      </c>
      <c r="AT441" s="106">
        <f>IF(C441="","",IFERROR(1/(1/_xlfn.MINIFS('Saisie'!$A$5:$A$2004,'Saisie'!$C$5:$C$2004,C441,'Saisie'!$E$5:$E$2004,"Signature")),""))</f>
        <v/>
      </c>
      <c r="AU441" s="60">
        <f>IF(C441="","",IF(OR(AT441="",B441=""),"",AT441-B441))</f>
        <v/>
      </c>
      <c r="AV441" s="60">
        <f>IF(C441="","",IFERROR(INDEX('Saisie'!$L$5:$L$2004,_xlfn.MAXIFS('Saisie'!$AS$5:$AS$2004,'Saisie'!$C$5:$C$2004,C441,'Saisie'!$L$5:$L$2004,"&lt;&gt;")-4),""))</f>
        <v/>
      </c>
      <c r="AW441" s="106">
        <f>IF(C441="","",IF(D441&lt;&gt;"Perdu","",IFERROR(1/(1/_xlfn.MAXIFS('Saisie'!$A$5:$A$2004,'Saisie'!$C$5:$C$2004,C441,'Saisie'!$E$5:$E$2004,"Perdu")),"")))</f>
        <v/>
      </c>
      <c r="AX441" s="106">
        <f>IF(C441="","",IF(AW441="","",AW441+'Paramètres'!$B$28))</f>
        <v/>
      </c>
      <c r="AY441" s="60">
        <f>IF(C441="","",SUMIFS('Saisie'!$H$5:$H$2004,'Saisie'!$C$5:$C$2004,C441))</f>
        <v/>
      </c>
      <c r="AZ441" s="60">
        <f>IF(C441="","",IFERROR(INDEX('Paramètres'!$W$6:$W$20,MATCH(S441,'Paramètres'!$V$6:$V$20,0))&amp;"",""))</f>
        <v/>
      </c>
      <c r="BA441" s="60">
        <f>IF(C441="","",MAX(1,_xlfn.MAXIFS('Saisie'!$AT$5:$AT$2004,'Saisie'!$C$5:$C$2004,C441)))</f>
        <v/>
      </c>
      <c r="BB441" s="60">
        <f>IF(C441="","",IFERROR(INDEX('Saisie'!$X$5:$X$2004,_xlfn.MAXIFS('Saisie'!$AS$5:$AS$2004,'Saisie'!$C$5:$C$2004,C441,'Saisie'!$X$5:$X$2004,"&lt;&gt;")-4),""))</f>
        <v/>
      </c>
      <c r="BC441" s="60">
        <f>IF(C441="","",IFERROR(INDEX('Saisie'!$Y$5:$Y$2004,_xlfn.MAXIFS('Saisie'!$AS$5:$AS$2004,'Saisie'!$C$5:$C$2004,C441,'Saisie'!$Y$5:$Y$2004,"&lt;&gt;")-4),""))</f>
        <v/>
      </c>
      <c r="BD441" s="106">
        <f>IF(C441="","",IFERROR(1/(1/_xlfn.MINIFS('Saisie'!$A$5:$A$2004,'Saisie'!$C$5:$C$2004,C441,'Saisie'!$AT$5:$AT$2004,"&gt;=2")),""))</f>
        <v/>
      </c>
      <c r="BE441" s="106">
        <f>IF(C441="","",IFERROR(1/(1/_xlfn.MINIFS('Saisie'!$A$5:$A$2004,'Saisie'!$C$5:$C$2004,C441,'Saisie'!$AT$5:$AT$2004,"&gt;=3")),""))</f>
        <v/>
      </c>
      <c r="BF441" s="106">
        <f>IF(C441="","",IFERROR(1/(1/_xlfn.MINIFS('Saisie'!$A$5:$A$2004,'Saisie'!$C$5:$C$2004,C441,'Saisie'!$AT$5:$AT$2004,"&gt;=4")),""))</f>
        <v/>
      </c>
      <c r="BG441" s="106">
        <f>IF(C441="","",IFERROR(1/(1/_xlfn.MINIFS('Saisie'!$A$5:$A$2004,'Saisie'!$C$5:$C$2004,C441,'Saisie'!$AT$5:$AT$2004,"&gt;=5")),""))</f>
        <v/>
      </c>
      <c r="BH441" s="106">
        <f>IF(C441="","",IFERROR(1/(1/_xlfn.MINIFS('Saisie'!$A$5:$A$2004,'Saisie'!$C$5:$C$2004,C441,'Saisie'!$AT$5:$AT$2004,"&gt;=6")),""))</f>
        <v/>
      </c>
      <c r="BI441" s="106">
        <f>IF(C441="","",IFERROR(1/(1/_xlfn.MINIFS('Saisie'!$A$5:$A$2004,'Saisie'!$C$5:$C$2004,C441,'Saisie'!$AT$5:$AT$2004,"&gt;=7")),""))</f>
        <v/>
      </c>
      <c r="BJ441" s="60">
        <f>IF(OR(BD441="",B441=""),"",BD441-B441)</f>
        <v/>
      </c>
      <c r="BK441" s="60">
        <f>IF(OR(BE441="",BD441=""),"",BE441-BD441)</f>
        <v/>
      </c>
      <c r="BL441" s="60">
        <f>IF(OR(BF441="",BE441=""),"",BF441-BE441)</f>
        <v/>
      </c>
      <c r="BM441" s="60">
        <f>IF(OR(BG441="",BF441=""),"",BG441-BF441)</f>
        <v/>
      </c>
      <c r="BN441" s="60">
        <f>IF(OR(BH441="",BG441=""),"",BH441-BG441)</f>
        <v/>
      </c>
      <c r="BO441" s="60">
        <f>IF(OR(BI441="",BH441=""),"",BI441-BH441)</f>
        <v/>
      </c>
      <c r="BP441" s="60">
        <f>IF(C441="","",_xlfn.MAXIFS('Saisie'!$AS$5:$AS$2004,'Saisie'!$C$5:$C$2004,C441,'Saisie'!$J$5:$J$2004,"&lt;&gt;"))</f>
        <v/>
      </c>
      <c r="BQ441" s="60">
        <f>IF(C441="","",_xlfn.MAXIFS('Saisie'!$AS$5:$AS$2004,'Saisie'!$C$5:$C$2004,C441))</f>
        <v/>
      </c>
      <c r="BR441" s="60">
        <f>IF(C441="","",_xlfn.MAXIFS('Saisie'!$AS$5:$AS$2004,'Saisie'!$C$5:$C$2004,C441,'Saisie'!$E$5:$E$2004,"Perdu"))</f>
        <v/>
      </c>
      <c r="BS441" s="60">
        <f>IF(C441="","",_xlfn.MAXIFS('Saisie'!$AS$5:$AS$2004,'Saisie'!$C$5:$C$2004,C441,'Saisie'!$AT$5:$AT$2004,"&gt;0"))</f>
        <v/>
      </c>
      <c r="BT441" s="109">
        <f>IF(AND(C441&lt;&gt;"",OR(D441="Nouveau",D441="Contacté",D441="Qualifié"),OR(G441="",N(G441)&lt;=TODAY()),NOT(AND(O441&gt;='Paramètres'!$B$21,P441=0))),E441+437/10000,"")</f>
        <v/>
      </c>
      <c r="BU441" s="60">
        <f>IF(AND(G441&lt;&gt;"",N(G441)&lt;=TODAY()),MAX($BU$4:BU440)+1,"")</f>
        <v/>
      </c>
      <c r="BV441" s="60">
        <f>IF(AND(F441&lt;&gt;"",F441&lt;&gt;"Relance en retard"),MAX($BV$4:BV440)+1,"")</f>
        <v/>
      </c>
      <c r="BW441" s="60">
        <f>IF(C441="","",IF(AND(B441&gt;='Tableau de bord'!$R$4,B441&lt;='Tableau de bord'!$S$4,OR('Tableau de bord'!$G$4="Tous",N441='Tableau de bord'!$G$4)),1,0))</f>
        <v/>
      </c>
      <c r="BX441" s="60">
        <f>IF(AND(C441&lt;&gt;"",N(BA441)=7),MAX($BX$4:BX440)+1,"")</f>
        <v/>
      </c>
    </row>
    <row r="442">
      <c r="A442" s="60">
        <f>IF(C442="","","P-"&amp;TEXT(438,"000"))</f>
        <v/>
      </c>
      <c r="B442" s="106">
        <f>IF(C442="","",IFERROR(1/(1/_xlfn.MINIFS('Saisie'!$A$5:$A$2004,'Saisie'!$C$5:$C$2004,C442)),""))</f>
        <v/>
      </c>
      <c r="C442" s="60">
        <f>IFERROR(INDEX('Saisie'!$C$5:$C$2004,MATCH(438,'Saisie'!$AX$5:$AX$2004,0)),"")</f>
        <v/>
      </c>
      <c r="D442" s="60">
        <f>IF(C442="","",IF(AND(BR442&gt;0,BR442&gt;BS442,BA442&lt;7),"Perdu",INDEX('Paramètres'!$F$6:$F$13,BA442)))</f>
        <v/>
      </c>
      <c r="E442" s="61">
        <f>IF(C442="","",MIN(100,(Z442="Oui")*'Paramètres'!$B$38+(AB442="Régulière")*'Paramètres'!$B$39+IF(AND(N(AA442)&gt;0,TODAY()-N(AA442)&lt;=30),'Paramètres'!$B$40,0)+(W442="")*'Paramètres'!$B$41+(AC442="Absente")*'Paramètres'!$B$42+(AC442="Faible")*'Paramètres'!$B$43+IF(AND(N(AD442)&gt;0,N(AD442)&lt;4),'Paramètres'!$B$44,0)+(AF442="Moyenne")*'Paramètres'!$B$45+(AF442="Grande")*'Paramètres'!$B$46+(Y442&lt;&gt;"")*'Paramètres'!$B$47))</f>
        <v/>
      </c>
      <c r="F442" s="60">
        <f>IF(C442="","",IF(D442="Gagné","",IF(D442="Perdu",IF(AND(AX442&lt;&gt;"",AX442&lt;=TODAY()),"À recontacter (perdu)",""),IF(AND(O442&gt;='Paramètres'!$B$21,P442=0),"Stop : "&amp;'Paramètres'!$B$21&amp;" tentatives sans réponse",IF(AND(D442="Proposition",AR442&lt;&gt;"",TODAY()&gt;N(AR442)),"Proposition expirée",IF(AND(D442="Proposition",N(R442)&gt;='Paramètres'!$B$25),"Proposition sans réponse",IF(AND(G442&lt;&gt;"",N(G442)&lt;TODAY()),"Relance en retard",IF(N(R442)&gt;='Paramètres'!$B$24,"Sans action depuis "&amp;R442&amp;" j",""))))))))</f>
        <v/>
      </c>
      <c r="G442" s="106">
        <f>IF(OR(C442="",D442="Gagné",D442="Perdu"),"",IF(AND(BP442&gt;0,BP442=BQ442),INDEX('Saisie'!$J$5:$J$2004,BP442-4),IF(OR(O442=0,AND(O442&gt;='Paramètres'!$B$21,P442=0)),"",Q442+IF(O442&lt;=1,'Paramètres'!$B$18,IF(O442=2,'Paramètres'!$B$19,'Paramètres'!$B$20)))))</f>
        <v/>
      </c>
      <c r="H442" s="107">
        <f>IF(OR(G442="",BP442&lt;&gt;BQ442),"",IF(INDEX('Saisie'!$K$5:$K$2004,BP442-4)="","",INDEX('Saisie'!$K$5:$K$2004,BP442-4)))</f>
        <v/>
      </c>
      <c r="I442" s="60">
        <f>IF(C442="","",IF(OR(D442="Gagné",D442="Perdu"),"",IFERROR(INDEX('Saisie'!$I$5:$I$2004,_xlfn.MAXIFS('Saisie'!$AS$5:$AS$2004,'Saisie'!$C$5:$C$2004,C442,'Saisie'!$I$5:$I$2004,"&lt;&gt;")-4),"")))</f>
        <v/>
      </c>
      <c r="J442" s="60">
        <f>IF(C442="","",IFERROR(INDEX('Saisie'!$U$5:$U$2004,_xlfn.MAXIFS('Saisie'!$AS$5:$AS$2004,'Saisie'!$C$5:$C$2004,C442,'Saisie'!$U$5:$U$2004,"&lt;&gt;")-4),""))</f>
        <v/>
      </c>
      <c r="K442" s="60">
        <f>IF(C442="","",IFERROR(INDEX('Saisie'!$W$5:$W$2004,_xlfn.MAXIFS('Saisie'!$AS$5:$AS$2004,'Saisie'!$C$5:$C$2004,C442,'Saisie'!$W$5:$W$2004,"&lt;&gt;")-4),""))</f>
        <v/>
      </c>
      <c r="L442" s="60">
        <f>IF(IF(BB442&lt;&gt;"",BB442,K442)="","",HYPERLINK("https://wa.me/"&amp;IF(LEFT(SUBSTITUTE(SUBSTITUTE(SUBSTITUTE(IF(BB442&lt;&gt;"",BB442,K442)," ",""),".",""),"+",""),1)="0",'Paramètres'!$B$35&amp;MID(SUBSTITUTE(SUBSTITUTE(SUBSTITUTE(IF(BB442&lt;&gt;"",BB442,K442)," ",""),".",""),"+",""),2,20),SUBSTITUTE(SUBSTITUTE(SUBSTITUTE(IF(BB442&lt;&gt;"",BB442,K442)," ",""),".",""),"+","")),"WhatsApp"))</f>
        <v/>
      </c>
      <c r="M442" s="60">
        <f>IF(BC442="","",HYPERLINK(IF(LEFT(BC442,4)="http",BC442,"https://www.instagram.com/"&amp;SUBSTITUTE(SUBSTITUTE(BC442,"@","")," ","")),BC442))</f>
        <v/>
      </c>
      <c r="N442" s="60">
        <f>IF(C442="","",IFERROR(INDEX('Saisie'!$D$5:$D$2004,_xlfn.MINIFS('Saisie'!$AS$5:$AS$2004,'Saisie'!$C$5:$C$2004,C442,'Saisie'!$AU$5:$AU$2004,1)-4),IFERROR(INDEX('Saisie'!$D$5:$D$2004,_xlfn.MINIFS('Saisie'!$AS$5:$AS$2004,'Saisie'!$C$5:$C$2004,C442,'Saisie'!$D$5:$D$2004,"&lt;&gt;")-4),"")))</f>
        <v/>
      </c>
      <c r="O442" s="60">
        <f>IF(C442="","",COUNTIFS('Saisie'!$C$5:$C$2004,C442,'Saisie'!$AU$5:$AU$2004,1))</f>
        <v/>
      </c>
      <c r="P442" s="60">
        <f>IF(C442="","",COUNTIFS('Saisie'!$C$5:$C$2004,C442,'Saisie'!$AV$5:$AV$2004,1))</f>
        <v/>
      </c>
      <c r="Q442" s="106">
        <f>IF(C442="","",IFERROR(1/(1/_xlfn.MAXIFS('Saisie'!$A$5:$A$2004,'Saisie'!$C$5:$C$2004,C442)),""))</f>
        <v/>
      </c>
      <c r="R442" s="61">
        <f>IF(C442="","",IF(Q442="","",TODAY()-Q442))</f>
        <v/>
      </c>
      <c r="S442" s="60">
        <f>IF(C442="","",IFERROR(INDEX('Saisie'!$R$5:$R$2004,_xlfn.MAXIFS('Saisie'!$AS$5:$AS$2004,'Saisie'!$C$5:$C$2004,C442,'Saisie'!$R$5:$R$2004,"&lt;&gt;")-4),""))</f>
        <v/>
      </c>
      <c r="T442" s="60">
        <f>IF(C442="","",IFERROR(INDEX('Saisie'!$S$5:$S$2004,_xlfn.MAXIFS('Saisie'!$AS$5:$AS$2004,'Saisie'!$C$5:$C$2004,C442,'Saisie'!$S$5:$S$2004,"&lt;&gt;")-4),""))</f>
        <v/>
      </c>
      <c r="U442" s="60">
        <f>IF(C442="","",IFERROR(INDEX('Saisie'!$T$5:$T$2004,_xlfn.MAXIFS('Saisie'!$AS$5:$AS$2004,'Saisie'!$C$5:$C$2004,C442,'Saisie'!$T$5:$T$2004,"&lt;&gt;")-4),""))</f>
        <v/>
      </c>
      <c r="V442" s="60">
        <f>IF(C442="","",IFERROR(INDEX('Saisie'!$V$5:$V$2004,_xlfn.MAXIFS('Saisie'!$AS$5:$AS$2004,'Saisie'!$C$5:$C$2004,C442,'Saisie'!$V$5:$V$2004,"&lt;&gt;")-4),""))</f>
        <v/>
      </c>
      <c r="W442" s="60">
        <f>IF(C442="","",IFERROR(INDEX('Saisie'!$Z$5:$Z$2004,_xlfn.MAXIFS('Saisie'!$AS$5:$AS$2004,'Saisie'!$C$5:$C$2004,C442,'Saisie'!$Z$5:$Z$2004,"&lt;&gt;")-4),""))</f>
        <v/>
      </c>
      <c r="X442" s="60">
        <f>IF(C442="","",IFERROR(INDEX('Saisie'!$AA$5:$AA$2004,_xlfn.MAXIFS('Saisie'!$AS$5:$AS$2004,'Saisie'!$C$5:$C$2004,C442,'Saisie'!$AA$5:$AA$2004,"&lt;&gt;")-4),""))</f>
        <v/>
      </c>
      <c r="Y442" s="60">
        <f>IF(C442="","",IFERROR(INDEX('Saisie'!$AB$5:$AB$2004,_xlfn.MAXIFS('Saisie'!$AS$5:$AS$2004,'Saisie'!$C$5:$C$2004,C442,'Saisie'!$AB$5:$AB$2004,"&lt;&gt;")-4),""))</f>
        <v/>
      </c>
      <c r="Z442" s="60">
        <f>IF(C442="","",IFERROR(INDEX('Saisie'!$AC$5:$AC$2004,_xlfn.MAXIFS('Saisie'!$AS$5:$AS$2004,'Saisie'!$C$5:$C$2004,C442,'Saisie'!$AC$5:$AC$2004,"&lt;&gt;")-4),""))</f>
        <v/>
      </c>
      <c r="AA442" s="106">
        <f>IF(C442="","",IFERROR(INDEX('Saisie'!$AD$5:$AD$2004,_xlfn.MAXIFS('Saisie'!$AS$5:$AS$2004,'Saisie'!$C$5:$C$2004,C442,'Saisie'!$AD$5:$AD$2004,"&lt;&gt;")-4),""))</f>
        <v/>
      </c>
      <c r="AB442" s="60">
        <f>IF(C442="","",IFERROR(INDEX('Saisie'!$AE$5:$AE$2004,_xlfn.MAXIFS('Saisie'!$AS$5:$AS$2004,'Saisie'!$C$5:$C$2004,C442,'Saisie'!$AE$5:$AE$2004,"&lt;&gt;")-4),""))</f>
        <v/>
      </c>
      <c r="AC442" s="60">
        <f>IF(C442="","",IFERROR(INDEX('Saisie'!$AF$5:$AF$2004,_xlfn.MAXIFS('Saisie'!$AS$5:$AS$2004,'Saisie'!$C$5:$C$2004,C442,'Saisie'!$AF$5:$AF$2004,"&lt;&gt;")-4),""))</f>
        <v/>
      </c>
      <c r="AD442" s="108">
        <f>IF(C442="","",IFERROR(INDEX('Saisie'!$AG$5:$AG$2004,_xlfn.MAXIFS('Saisie'!$AS$5:$AS$2004,'Saisie'!$C$5:$C$2004,C442,'Saisie'!$AG$5:$AG$2004,"&lt;&gt;")-4),""))</f>
        <v/>
      </c>
      <c r="AE442" s="60">
        <f>IF(C442="","",IFERROR(INDEX('Saisie'!$AH$5:$AH$2004,_xlfn.MAXIFS('Saisie'!$AS$5:$AS$2004,'Saisie'!$C$5:$C$2004,C442,'Saisie'!$AH$5:$AH$2004,"&lt;&gt;")-4),""))</f>
        <v/>
      </c>
      <c r="AF442" s="60">
        <f>IF(C442="","",IFERROR(INDEX('Saisie'!$AI$5:$AI$2004,_xlfn.MAXIFS('Saisie'!$AS$5:$AS$2004,'Saisie'!$C$5:$C$2004,C442,'Saisie'!$AI$5:$AI$2004,"&lt;&gt;")-4),""))</f>
        <v/>
      </c>
      <c r="AG442" s="60">
        <f>IF(C442="","",IFERROR(INDEX('Saisie'!$AJ$5:$AJ$2004,_xlfn.MAXIFS('Saisie'!$AS$5:$AS$2004,'Saisie'!$C$5:$C$2004,C442,'Saisie'!$AJ$5:$AJ$2004,"&lt;&gt;")-4),""))</f>
        <v/>
      </c>
      <c r="AH442" s="60">
        <f>IF(C442="","",IFERROR(INDEX('Saisie'!$AK$5:$AK$2004,_xlfn.MAXIFS('Saisie'!$AS$5:$AS$2004,'Saisie'!$C$5:$C$2004,C442,'Saisie'!$AK$5:$AK$2004,"&lt;&gt;")-4),""))</f>
        <v/>
      </c>
      <c r="AI442" s="60">
        <f>IF(C442="","",IFERROR(INDEX('Saisie'!$AN$5:$AN$2004,_xlfn.MAXIFS('Saisie'!$AS$5:$AS$2004,'Saisie'!$C$5:$C$2004,C442,'Saisie'!$AN$5:$AN$2004,"&lt;&gt;")-4),""))</f>
        <v/>
      </c>
      <c r="AJ442" s="60">
        <f>IF(C442="","",IFERROR(INDEX('Saisie'!$AO$5:$AO$2004,_xlfn.MAXIFS('Saisie'!$AS$5:$AS$2004,'Saisie'!$C$5:$C$2004,C442,'Saisie'!$AO$5:$AO$2004,"&lt;&gt;")-4),""))</f>
        <v/>
      </c>
      <c r="AK442" s="60">
        <f>IF(C442="","",IFERROR(INDEX('Saisie'!$AP$5:$AP$2004,_xlfn.MAXIFS('Saisie'!$AS$5:$AS$2004,'Saisie'!$C$5:$C$2004,C442,'Saisie'!$AP$5:$AP$2004,"&lt;&gt;")-4),""))</f>
        <v/>
      </c>
      <c r="AL442" s="60">
        <f>IF(C442="","",IFERROR(INDEX('Saisie'!$AQ$5:$AQ$2004,_xlfn.MAXIFS('Saisie'!$AS$5:$AS$2004,'Saisie'!$C$5:$C$2004,C442,'Saisie'!$AQ$5:$AQ$2004,"&lt;&gt;")-4),""))</f>
        <v/>
      </c>
      <c r="AM442" s="60">
        <f>IF(C442="","",((AI442="Oui")+(AJ442="Oui")+(AK442="Oui")+OR(AL442="Immédiat",AL442="&lt; 1 mois"))&amp;"/4")</f>
        <v/>
      </c>
      <c r="AN442" s="60">
        <f>IF(C442="","",IFERROR(INDEX('Saisie'!$AL$5:$AL$2004,_xlfn.MAXIFS('Saisie'!$AS$5:$AS$2004,'Saisie'!$C$5:$C$2004,C442,'Saisie'!$AL$5:$AL$2004,"&lt;&gt;")-4),""))</f>
        <v/>
      </c>
      <c r="AO442" s="62">
        <f>IF(C442="","",IF(IFERROR(INDEX('Saisie'!$AM$5:$AM$2004,_xlfn.MAXIFS('Saisie'!$AS$5:$AS$2004,'Saisie'!$C$5:$C$2004,C442,'Saisie'!$AM$5:$AM$2004,"&lt;&gt;")-4),"")&lt;&gt;"",IFERROR(INDEX('Saisie'!$AM$5:$AM$2004,_xlfn.MAXIFS('Saisie'!$AS$5:$AS$2004,'Saisie'!$C$5:$C$2004,C442,'Saisie'!$AM$5:$AM$2004,"&lt;&gt;")-4),""),IFERROR(INDEX('Paramètres'!$S$6:$S$15,MATCH(AN442,'Paramètres'!$Q$6:$Q$15,0)),"")))</f>
        <v/>
      </c>
      <c r="AP442" s="62">
        <f>IF(C442="","",IFERROR(INDEX('Saisie'!$AW$5:$AW$2004,_xlfn.MAXIFS('Saisie'!$AS$5:$AS$2004,'Saisie'!$C$5:$C$2004,C442,'Saisie'!$E$5:$E$2004,"Proposition envoyée")-4),""))</f>
        <v/>
      </c>
      <c r="AQ442" s="106">
        <f>IF(C442="","",IFERROR(1/(1/_xlfn.MAXIFS('Saisie'!$A$5:$A$2004,'Saisie'!$C$5:$C$2004,C442,'Saisie'!$E$5:$E$2004,"Proposition envoyée")),""))</f>
        <v/>
      </c>
      <c r="AR442" s="106">
        <f>IF(C442="","",IF(AQ442="","",AQ442+'Paramètres'!$B$26))</f>
        <v/>
      </c>
      <c r="AS442" s="62">
        <f>IF(OR(C442="",D442="Gagné",D442="Perdu"),0,N(AP442)*IFERROR(INDEX('Paramètres'!$G$6:$G$13,MATCH(D442,'Paramètres'!$F$6:$F$13,0)),0))</f>
        <v/>
      </c>
      <c r="AT442" s="106">
        <f>IF(C442="","",IFERROR(1/(1/_xlfn.MINIFS('Saisie'!$A$5:$A$2004,'Saisie'!$C$5:$C$2004,C442,'Saisie'!$E$5:$E$2004,"Signature")),""))</f>
        <v/>
      </c>
      <c r="AU442" s="60">
        <f>IF(C442="","",IF(OR(AT442="",B442=""),"",AT442-B442))</f>
        <v/>
      </c>
      <c r="AV442" s="60">
        <f>IF(C442="","",IFERROR(INDEX('Saisie'!$L$5:$L$2004,_xlfn.MAXIFS('Saisie'!$AS$5:$AS$2004,'Saisie'!$C$5:$C$2004,C442,'Saisie'!$L$5:$L$2004,"&lt;&gt;")-4),""))</f>
        <v/>
      </c>
      <c r="AW442" s="106">
        <f>IF(C442="","",IF(D442&lt;&gt;"Perdu","",IFERROR(1/(1/_xlfn.MAXIFS('Saisie'!$A$5:$A$2004,'Saisie'!$C$5:$C$2004,C442,'Saisie'!$E$5:$E$2004,"Perdu")),"")))</f>
        <v/>
      </c>
      <c r="AX442" s="106">
        <f>IF(C442="","",IF(AW442="","",AW442+'Paramètres'!$B$28))</f>
        <v/>
      </c>
      <c r="AY442" s="60">
        <f>IF(C442="","",SUMIFS('Saisie'!$H$5:$H$2004,'Saisie'!$C$5:$C$2004,C442))</f>
        <v/>
      </c>
      <c r="AZ442" s="60">
        <f>IF(C442="","",IFERROR(INDEX('Paramètres'!$W$6:$W$20,MATCH(S442,'Paramètres'!$V$6:$V$20,0))&amp;"",""))</f>
        <v/>
      </c>
      <c r="BA442" s="60">
        <f>IF(C442="","",MAX(1,_xlfn.MAXIFS('Saisie'!$AT$5:$AT$2004,'Saisie'!$C$5:$C$2004,C442)))</f>
        <v/>
      </c>
      <c r="BB442" s="60">
        <f>IF(C442="","",IFERROR(INDEX('Saisie'!$X$5:$X$2004,_xlfn.MAXIFS('Saisie'!$AS$5:$AS$2004,'Saisie'!$C$5:$C$2004,C442,'Saisie'!$X$5:$X$2004,"&lt;&gt;")-4),""))</f>
        <v/>
      </c>
      <c r="BC442" s="60">
        <f>IF(C442="","",IFERROR(INDEX('Saisie'!$Y$5:$Y$2004,_xlfn.MAXIFS('Saisie'!$AS$5:$AS$2004,'Saisie'!$C$5:$C$2004,C442,'Saisie'!$Y$5:$Y$2004,"&lt;&gt;")-4),""))</f>
        <v/>
      </c>
      <c r="BD442" s="106">
        <f>IF(C442="","",IFERROR(1/(1/_xlfn.MINIFS('Saisie'!$A$5:$A$2004,'Saisie'!$C$5:$C$2004,C442,'Saisie'!$AT$5:$AT$2004,"&gt;=2")),""))</f>
        <v/>
      </c>
      <c r="BE442" s="106">
        <f>IF(C442="","",IFERROR(1/(1/_xlfn.MINIFS('Saisie'!$A$5:$A$2004,'Saisie'!$C$5:$C$2004,C442,'Saisie'!$AT$5:$AT$2004,"&gt;=3")),""))</f>
        <v/>
      </c>
      <c r="BF442" s="106">
        <f>IF(C442="","",IFERROR(1/(1/_xlfn.MINIFS('Saisie'!$A$5:$A$2004,'Saisie'!$C$5:$C$2004,C442,'Saisie'!$AT$5:$AT$2004,"&gt;=4")),""))</f>
        <v/>
      </c>
      <c r="BG442" s="106">
        <f>IF(C442="","",IFERROR(1/(1/_xlfn.MINIFS('Saisie'!$A$5:$A$2004,'Saisie'!$C$5:$C$2004,C442,'Saisie'!$AT$5:$AT$2004,"&gt;=5")),""))</f>
        <v/>
      </c>
      <c r="BH442" s="106">
        <f>IF(C442="","",IFERROR(1/(1/_xlfn.MINIFS('Saisie'!$A$5:$A$2004,'Saisie'!$C$5:$C$2004,C442,'Saisie'!$AT$5:$AT$2004,"&gt;=6")),""))</f>
        <v/>
      </c>
      <c r="BI442" s="106">
        <f>IF(C442="","",IFERROR(1/(1/_xlfn.MINIFS('Saisie'!$A$5:$A$2004,'Saisie'!$C$5:$C$2004,C442,'Saisie'!$AT$5:$AT$2004,"&gt;=7")),""))</f>
        <v/>
      </c>
      <c r="BJ442" s="60">
        <f>IF(OR(BD442="",B442=""),"",BD442-B442)</f>
        <v/>
      </c>
      <c r="BK442" s="60">
        <f>IF(OR(BE442="",BD442=""),"",BE442-BD442)</f>
        <v/>
      </c>
      <c r="BL442" s="60">
        <f>IF(OR(BF442="",BE442=""),"",BF442-BE442)</f>
        <v/>
      </c>
      <c r="BM442" s="60">
        <f>IF(OR(BG442="",BF442=""),"",BG442-BF442)</f>
        <v/>
      </c>
      <c r="BN442" s="60">
        <f>IF(OR(BH442="",BG442=""),"",BH442-BG442)</f>
        <v/>
      </c>
      <c r="BO442" s="60">
        <f>IF(OR(BI442="",BH442=""),"",BI442-BH442)</f>
        <v/>
      </c>
      <c r="BP442" s="60">
        <f>IF(C442="","",_xlfn.MAXIFS('Saisie'!$AS$5:$AS$2004,'Saisie'!$C$5:$C$2004,C442,'Saisie'!$J$5:$J$2004,"&lt;&gt;"))</f>
        <v/>
      </c>
      <c r="BQ442" s="60">
        <f>IF(C442="","",_xlfn.MAXIFS('Saisie'!$AS$5:$AS$2004,'Saisie'!$C$5:$C$2004,C442))</f>
        <v/>
      </c>
      <c r="BR442" s="60">
        <f>IF(C442="","",_xlfn.MAXIFS('Saisie'!$AS$5:$AS$2004,'Saisie'!$C$5:$C$2004,C442,'Saisie'!$E$5:$E$2004,"Perdu"))</f>
        <v/>
      </c>
      <c r="BS442" s="60">
        <f>IF(C442="","",_xlfn.MAXIFS('Saisie'!$AS$5:$AS$2004,'Saisie'!$C$5:$C$2004,C442,'Saisie'!$AT$5:$AT$2004,"&gt;0"))</f>
        <v/>
      </c>
      <c r="BT442" s="109">
        <f>IF(AND(C442&lt;&gt;"",OR(D442="Nouveau",D442="Contacté",D442="Qualifié"),OR(G442="",N(G442)&lt;=TODAY()),NOT(AND(O442&gt;='Paramètres'!$B$21,P442=0))),E442+438/10000,"")</f>
        <v/>
      </c>
      <c r="BU442" s="60">
        <f>IF(AND(G442&lt;&gt;"",N(G442)&lt;=TODAY()),MAX($BU$4:BU441)+1,"")</f>
        <v/>
      </c>
      <c r="BV442" s="60">
        <f>IF(AND(F442&lt;&gt;"",F442&lt;&gt;"Relance en retard"),MAX($BV$4:BV441)+1,"")</f>
        <v/>
      </c>
      <c r="BW442" s="60">
        <f>IF(C442="","",IF(AND(B442&gt;='Tableau de bord'!$R$4,B442&lt;='Tableau de bord'!$S$4,OR('Tableau de bord'!$G$4="Tous",N442='Tableau de bord'!$G$4)),1,0))</f>
        <v/>
      </c>
      <c r="BX442" s="60">
        <f>IF(AND(C442&lt;&gt;"",N(BA442)=7),MAX($BX$4:BX441)+1,"")</f>
        <v/>
      </c>
    </row>
    <row r="443">
      <c r="A443" s="60">
        <f>IF(C443="","","P-"&amp;TEXT(439,"000"))</f>
        <v/>
      </c>
      <c r="B443" s="106">
        <f>IF(C443="","",IFERROR(1/(1/_xlfn.MINIFS('Saisie'!$A$5:$A$2004,'Saisie'!$C$5:$C$2004,C443)),""))</f>
        <v/>
      </c>
      <c r="C443" s="60">
        <f>IFERROR(INDEX('Saisie'!$C$5:$C$2004,MATCH(439,'Saisie'!$AX$5:$AX$2004,0)),"")</f>
        <v/>
      </c>
      <c r="D443" s="60">
        <f>IF(C443="","",IF(AND(BR443&gt;0,BR443&gt;BS443,BA443&lt;7),"Perdu",INDEX('Paramètres'!$F$6:$F$13,BA443)))</f>
        <v/>
      </c>
      <c r="E443" s="61">
        <f>IF(C443="","",MIN(100,(Z443="Oui")*'Paramètres'!$B$38+(AB443="Régulière")*'Paramètres'!$B$39+IF(AND(N(AA443)&gt;0,TODAY()-N(AA443)&lt;=30),'Paramètres'!$B$40,0)+(W443="")*'Paramètres'!$B$41+(AC443="Absente")*'Paramètres'!$B$42+(AC443="Faible")*'Paramètres'!$B$43+IF(AND(N(AD443)&gt;0,N(AD443)&lt;4),'Paramètres'!$B$44,0)+(AF443="Moyenne")*'Paramètres'!$B$45+(AF443="Grande")*'Paramètres'!$B$46+(Y443&lt;&gt;"")*'Paramètres'!$B$47))</f>
        <v/>
      </c>
      <c r="F443" s="60">
        <f>IF(C443="","",IF(D443="Gagné","",IF(D443="Perdu",IF(AND(AX443&lt;&gt;"",AX443&lt;=TODAY()),"À recontacter (perdu)",""),IF(AND(O443&gt;='Paramètres'!$B$21,P443=0),"Stop : "&amp;'Paramètres'!$B$21&amp;" tentatives sans réponse",IF(AND(D443="Proposition",AR443&lt;&gt;"",TODAY()&gt;N(AR443)),"Proposition expirée",IF(AND(D443="Proposition",N(R443)&gt;='Paramètres'!$B$25),"Proposition sans réponse",IF(AND(G443&lt;&gt;"",N(G443)&lt;TODAY()),"Relance en retard",IF(N(R443)&gt;='Paramètres'!$B$24,"Sans action depuis "&amp;R443&amp;" j",""))))))))</f>
        <v/>
      </c>
      <c r="G443" s="106">
        <f>IF(OR(C443="",D443="Gagné",D443="Perdu"),"",IF(AND(BP443&gt;0,BP443=BQ443),INDEX('Saisie'!$J$5:$J$2004,BP443-4),IF(OR(O443=0,AND(O443&gt;='Paramètres'!$B$21,P443=0)),"",Q443+IF(O443&lt;=1,'Paramètres'!$B$18,IF(O443=2,'Paramètres'!$B$19,'Paramètres'!$B$20)))))</f>
        <v/>
      </c>
      <c r="H443" s="107">
        <f>IF(OR(G443="",BP443&lt;&gt;BQ443),"",IF(INDEX('Saisie'!$K$5:$K$2004,BP443-4)="","",INDEX('Saisie'!$K$5:$K$2004,BP443-4)))</f>
        <v/>
      </c>
      <c r="I443" s="60">
        <f>IF(C443="","",IF(OR(D443="Gagné",D443="Perdu"),"",IFERROR(INDEX('Saisie'!$I$5:$I$2004,_xlfn.MAXIFS('Saisie'!$AS$5:$AS$2004,'Saisie'!$C$5:$C$2004,C443,'Saisie'!$I$5:$I$2004,"&lt;&gt;")-4),"")))</f>
        <v/>
      </c>
      <c r="J443" s="60">
        <f>IF(C443="","",IFERROR(INDEX('Saisie'!$U$5:$U$2004,_xlfn.MAXIFS('Saisie'!$AS$5:$AS$2004,'Saisie'!$C$5:$C$2004,C443,'Saisie'!$U$5:$U$2004,"&lt;&gt;")-4),""))</f>
        <v/>
      </c>
      <c r="K443" s="60">
        <f>IF(C443="","",IFERROR(INDEX('Saisie'!$W$5:$W$2004,_xlfn.MAXIFS('Saisie'!$AS$5:$AS$2004,'Saisie'!$C$5:$C$2004,C443,'Saisie'!$W$5:$W$2004,"&lt;&gt;")-4),""))</f>
        <v/>
      </c>
      <c r="L443" s="60">
        <f>IF(IF(BB443&lt;&gt;"",BB443,K443)="","",HYPERLINK("https://wa.me/"&amp;IF(LEFT(SUBSTITUTE(SUBSTITUTE(SUBSTITUTE(IF(BB443&lt;&gt;"",BB443,K443)," ",""),".",""),"+",""),1)="0",'Paramètres'!$B$35&amp;MID(SUBSTITUTE(SUBSTITUTE(SUBSTITUTE(IF(BB443&lt;&gt;"",BB443,K443)," ",""),".",""),"+",""),2,20),SUBSTITUTE(SUBSTITUTE(SUBSTITUTE(IF(BB443&lt;&gt;"",BB443,K443)," ",""),".",""),"+","")),"WhatsApp"))</f>
        <v/>
      </c>
      <c r="M443" s="60">
        <f>IF(BC443="","",HYPERLINK(IF(LEFT(BC443,4)="http",BC443,"https://www.instagram.com/"&amp;SUBSTITUTE(SUBSTITUTE(BC443,"@","")," ","")),BC443))</f>
        <v/>
      </c>
      <c r="N443" s="60">
        <f>IF(C443="","",IFERROR(INDEX('Saisie'!$D$5:$D$2004,_xlfn.MINIFS('Saisie'!$AS$5:$AS$2004,'Saisie'!$C$5:$C$2004,C443,'Saisie'!$AU$5:$AU$2004,1)-4),IFERROR(INDEX('Saisie'!$D$5:$D$2004,_xlfn.MINIFS('Saisie'!$AS$5:$AS$2004,'Saisie'!$C$5:$C$2004,C443,'Saisie'!$D$5:$D$2004,"&lt;&gt;")-4),"")))</f>
        <v/>
      </c>
      <c r="O443" s="60">
        <f>IF(C443="","",COUNTIFS('Saisie'!$C$5:$C$2004,C443,'Saisie'!$AU$5:$AU$2004,1))</f>
        <v/>
      </c>
      <c r="P443" s="60">
        <f>IF(C443="","",COUNTIFS('Saisie'!$C$5:$C$2004,C443,'Saisie'!$AV$5:$AV$2004,1))</f>
        <v/>
      </c>
      <c r="Q443" s="106">
        <f>IF(C443="","",IFERROR(1/(1/_xlfn.MAXIFS('Saisie'!$A$5:$A$2004,'Saisie'!$C$5:$C$2004,C443)),""))</f>
        <v/>
      </c>
      <c r="R443" s="61">
        <f>IF(C443="","",IF(Q443="","",TODAY()-Q443))</f>
        <v/>
      </c>
      <c r="S443" s="60">
        <f>IF(C443="","",IFERROR(INDEX('Saisie'!$R$5:$R$2004,_xlfn.MAXIFS('Saisie'!$AS$5:$AS$2004,'Saisie'!$C$5:$C$2004,C443,'Saisie'!$R$5:$R$2004,"&lt;&gt;")-4),""))</f>
        <v/>
      </c>
      <c r="T443" s="60">
        <f>IF(C443="","",IFERROR(INDEX('Saisie'!$S$5:$S$2004,_xlfn.MAXIFS('Saisie'!$AS$5:$AS$2004,'Saisie'!$C$5:$C$2004,C443,'Saisie'!$S$5:$S$2004,"&lt;&gt;")-4),""))</f>
        <v/>
      </c>
      <c r="U443" s="60">
        <f>IF(C443="","",IFERROR(INDEX('Saisie'!$T$5:$T$2004,_xlfn.MAXIFS('Saisie'!$AS$5:$AS$2004,'Saisie'!$C$5:$C$2004,C443,'Saisie'!$T$5:$T$2004,"&lt;&gt;")-4),""))</f>
        <v/>
      </c>
      <c r="V443" s="60">
        <f>IF(C443="","",IFERROR(INDEX('Saisie'!$V$5:$V$2004,_xlfn.MAXIFS('Saisie'!$AS$5:$AS$2004,'Saisie'!$C$5:$C$2004,C443,'Saisie'!$V$5:$V$2004,"&lt;&gt;")-4),""))</f>
        <v/>
      </c>
      <c r="W443" s="60">
        <f>IF(C443="","",IFERROR(INDEX('Saisie'!$Z$5:$Z$2004,_xlfn.MAXIFS('Saisie'!$AS$5:$AS$2004,'Saisie'!$C$5:$C$2004,C443,'Saisie'!$Z$5:$Z$2004,"&lt;&gt;")-4),""))</f>
        <v/>
      </c>
      <c r="X443" s="60">
        <f>IF(C443="","",IFERROR(INDEX('Saisie'!$AA$5:$AA$2004,_xlfn.MAXIFS('Saisie'!$AS$5:$AS$2004,'Saisie'!$C$5:$C$2004,C443,'Saisie'!$AA$5:$AA$2004,"&lt;&gt;")-4),""))</f>
        <v/>
      </c>
      <c r="Y443" s="60">
        <f>IF(C443="","",IFERROR(INDEX('Saisie'!$AB$5:$AB$2004,_xlfn.MAXIFS('Saisie'!$AS$5:$AS$2004,'Saisie'!$C$5:$C$2004,C443,'Saisie'!$AB$5:$AB$2004,"&lt;&gt;")-4),""))</f>
        <v/>
      </c>
      <c r="Z443" s="60">
        <f>IF(C443="","",IFERROR(INDEX('Saisie'!$AC$5:$AC$2004,_xlfn.MAXIFS('Saisie'!$AS$5:$AS$2004,'Saisie'!$C$5:$C$2004,C443,'Saisie'!$AC$5:$AC$2004,"&lt;&gt;")-4),""))</f>
        <v/>
      </c>
      <c r="AA443" s="106">
        <f>IF(C443="","",IFERROR(INDEX('Saisie'!$AD$5:$AD$2004,_xlfn.MAXIFS('Saisie'!$AS$5:$AS$2004,'Saisie'!$C$5:$C$2004,C443,'Saisie'!$AD$5:$AD$2004,"&lt;&gt;")-4),""))</f>
        <v/>
      </c>
      <c r="AB443" s="60">
        <f>IF(C443="","",IFERROR(INDEX('Saisie'!$AE$5:$AE$2004,_xlfn.MAXIFS('Saisie'!$AS$5:$AS$2004,'Saisie'!$C$5:$C$2004,C443,'Saisie'!$AE$5:$AE$2004,"&lt;&gt;")-4),""))</f>
        <v/>
      </c>
      <c r="AC443" s="60">
        <f>IF(C443="","",IFERROR(INDEX('Saisie'!$AF$5:$AF$2004,_xlfn.MAXIFS('Saisie'!$AS$5:$AS$2004,'Saisie'!$C$5:$C$2004,C443,'Saisie'!$AF$5:$AF$2004,"&lt;&gt;")-4),""))</f>
        <v/>
      </c>
      <c r="AD443" s="108">
        <f>IF(C443="","",IFERROR(INDEX('Saisie'!$AG$5:$AG$2004,_xlfn.MAXIFS('Saisie'!$AS$5:$AS$2004,'Saisie'!$C$5:$C$2004,C443,'Saisie'!$AG$5:$AG$2004,"&lt;&gt;")-4),""))</f>
        <v/>
      </c>
      <c r="AE443" s="60">
        <f>IF(C443="","",IFERROR(INDEX('Saisie'!$AH$5:$AH$2004,_xlfn.MAXIFS('Saisie'!$AS$5:$AS$2004,'Saisie'!$C$5:$C$2004,C443,'Saisie'!$AH$5:$AH$2004,"&lt;&gt;")-4),""))</f>
        <v/>
      </c>
      <c r="AF443" s="60">
        <f>IF(C443="","",IFERROR(INDEX('Saisie'!$AI$5:$AI$2004,_xlfn.MAXIFS('Saisie'!$AS$5:$AS$2004,'Saisie'!$C$5:$C$2004,C443,'Saisie'!$AI$5:$AI$2004,"&lt;&gt;")-4),""))</f>
        <v/>
      </c>
      <c r="AG443" s="60">
        <f>IF(C443="","",IFERROR(INDEX('Saisie'!$AJ$5:$AJ$2004,_xlfn.MAXIFS('Saisie'!$AS$5:$AS$2004,'Saisie'!$C$5:$C$2004,C443,'Saisie'!$AJ$5:$AJ$2004,"&lt;&gt;")-4),""))</f>
        <v/>
      </c>
      <c r="AH443" s="60">
        <f>IF(C443="","",IFERROR(INDEX('Saisie'!$AK$5:$AK$2004,_xlfn.MAXIFS('Saisie'!$AS$5:$AS$2004,'Saisie'!$C$5:$C$2004,C443,'Saisie'!$AK$5:$AK$2004,"&lt;&gt;")-4),""))</f>
        <v/>
      </c>
      <c r="AI443" s="60">
        <f>IF(C443="","",IFERROR(INDEX('Saisie'!$AN$5:$AN$2004,_xlfn.MAXIFS('Saisie'!$AS$5:$AS$2004,'Saisie'!$C$5:$C$2004,C443,'Saisie'!$AN$5:$AN$2004,"&lt;&gt;")-4),""))</f>
        <v/>
      </c>
      <c r="AJ443" s="60">
        <f>IF(C443="","",IFERROR(INDEX('Saisie'!$AO$5:$AO$2004,_xlfn.MAXIFS('Saisie'!$AS$5:$AS$2004,'Saisie'!$C$5:$C$2004,C443,'Saisie'!$AO$5:$AO$2004,"&lt;&gt;")-4),""))</f>
        <v/>
      </c>
      <c r="AK443" s="60">
        <f>IF(C443="","",IFERROR(INDEX('Saisie'!$AP$5:$AP$2004,_xlfn.MAXIFS('Saisie'!$AS$5:$AS$2004,'Saisie'!$C$5:$C$2004,C443,'Saisie'!$AP$5:$AP$2004,"&lt;&gt;")-4),""))</f>
        <v/>
      </c>
      <c r="AL443" s="60">
        <f>IF(C443="","",IFERROR(INDEX('Saisie'!$AQ$5:$AQ$2004,_xlfn.MAXIFS('Saisie'!$AS$5:$AS$2004,'Saisie'!$C$5:$C$2004,C443,'Saisie'!$AQ$5:$AQ$2004,"&lt;&gt;")-4),""))</f>
        <v/>
      </c>
      <c r="AM443" s="60">
        <f>IF(C443="","",((AI443="Oui")+(AJ443="Oui")+(AK443="Oui")+OR(AL443="Immédiat",AL443="&lt; 1 mois"))&amp;"/4")</f>
        <v/>
      </c>
      <c r="AN443" s="60">
        <f>IF(C443="","",IFERROR(INDEX('Saisie'!$AL$5:$AL$2004,_xlfn.MAXIFS('Saisie'!$AS$5:$AS$2004,'Saisie'!$C$5:$C$2004,C443,'Saisie'!$AL$5:$AL$2004,"&lt;&gt;")-4),""))</f>
        <v/>
      </c>
      <c r="AO443" s="62">
        <f>IF(C443="","",IF(IFERROR(INDEX('Saisie'!$AM$5:$AM$2004,_xlfn.MAXIFS('Saisie'!$AS$5:$AS$2004,'Saisie'!$C$5:$C$2004,C443,'Saisie'!$AM$5:$AM$2004,"&lt;&gt;")-4),"")&lt;&gt;"",IFERROR(INDEX('Saisie'!$AM$5:$AM$2004,_xlfn.MAXIFS('Saisie'!$AS$5:$AS$2004,'Saisie'!$C$5:$C$2004,C443,'Saisie'!$AM$5:$AM$2004,"&lt;&gt;")-4),""),IFERROR(INDEX('Paramètres'!$S$6:$S$15,MATCH(AN443,'Paramètres'!$Q$6:$Q$15,0)),"")))</f>
        <v/>
      </c>
      <c r="AP443" s="62">
        <f>IF(C443="","",IFERROR(INDEX('Saisie'!$AW$5:$AW$2004,_xlfn.MAXIFS('Saisie'!$AS$5:$AS$2004,'Saisie'!$C$5:$C$2004,C443,'Saisie'!$E$5:$E$2004,"Proposition envoyée")-4),""))</f>
        <v/>
      </c>
      <c r="AQ443" s="106">
        <f>IF(C443="","",IFERROR(1/(1/_xlfn.MAXIFS('Saisie'!$A$5:$A$2004,'Saisie'!$C$5:$C$2004,C443,'Saisie'!$E$5:$E$2004,"Proposition envoyée")),""))</f>
        <v/>
      </c>
      <c r="AR443" s="106">
        <f>IF(C443="","",IF(AQ443="","",AQ443+'Paramètres'!$B$26))</f>
        <v/>
      </c>
      <c r="AS443" s="62">
        <f>IF(OR(C443="",D443="Gagné",D443="Perdu"),0,N(AP443)*IFERROR(INDEX('Paramètres'!$G$6:$G$13,MATCH(D443,'Paramètres'!$F$6:$F$13,0)),0))</f>
        <v/>
      </c>
      <c r="AT443" s="106">
        <f>IF(C443="","",IFERROR(1/(1/_xlfn.MINIFS('Saisie'!$A$5:$A$2004,'Saisie'!$C$5:$C$2004,C443,'Saisie'!$E$5:$E$2004,"Signature")),""))</f>
        <v/>
      </c>
      <c r="AU443" s="60">
        <f>IF(C443="","",IF(OR(AT443="",B443=""),"",AT443-B443))</f>
        <v/>
      </c>
      <c r="AV443" s="60">
        <f>IF(C443="","",IFERROR(INDEX('Saisie'!$L$5:$L$2004,_xlfn.MAXIFS('Saisie'!$AS$5:$AS$2004,'Saisie'!$C$5:$C$2004,C443,'Saisie'!$L$5:$L$2004,"&lt;&gt;")-4),""))</f>
        <v/>
      </c>
      <c r="AW443" s="106">
        <f>IF(C443="","",IF(D443&lt;&gt;"Perdu","",IFERROR(1/(1/_xlfn.MAXIFS('Saisie'!$A$5:$A$2004,'Saisie'!$C$5:$C$2004,C443,'Saisie'!$E$5:$E$2004,"Perdu")),"")))</f>
        <v/>
      </c>
      <c r="AX443" s="106">
        <f>IF(C443="","",IF(AW443="","",AW443+'Paramètres'!$B$28))</f>
        <v/>
      </c>
      <c r="AY443" s="60">
        <f>IF(C443="","",SUMIFS('Saisie'!$H$5:$H$2004,'Saisie'!$C$5:$C$2004,C443))</f>
        <v/>
      </c>
      <c r="AZ443" s="60">
        <f>IF(C443="","",IFERROR(INDEX('Paramètres'!$W$6:$W$20,MATCH(S443,'Paramètres'!$V$6:$V$20,0))&amp;"",""))</f>
        <v/>
      </c>
      <c r="BA443" s="60">
        <f>IF(C443="","",MAX(1,_xlfn.MAXIFS('Saisie'!$AT$5:$AT$2004,'Saisie'!$C$5:$C$2004,C443)))</f>
        <v/>
      </c>
      <c r="BB443" s="60">
        <f>IF(C443="","",IFERROR(INDEX('Saisie'!$X$5:$X$2004,_xlfn.MAXIFS('Saisie'!$AS$5:$AS$2004,'Saisie'!$C$5:$C$2004,C443,'Saisie'!$X$5:$X$2004,"&lt;&gt;")-4),""))</f>
        <v/>
      </c>
      <c r="BC443" s="60">
        <f>IF(C443="","",IFERROR(INDEX('Saisie'!$Y$5:$Y$2004,_xlfn.MAXIFS('Saisie'!$AS$5:$AS$2004,'Saisie'!$C$5:$C$2004,C443,'Saisie'!$Y$5:$Y$2004,"&lt;&gt;")-4),""))</f>
        <v/>
      </c>
      <c r="BD443" s="106">
        <f>IF(C443="","",IFERROR(1/(1/_xlfn.MINIFS('Saisie'!$A$5:$A$2004,'Saisie'!$C$5:$C$2004,C443,'Saisie'!$AT$5:$AT$2004,"&gt;=2")),""))</f>
        <v/>
      </c>
      <c r="BE443" s="106">
        <f>IF(C443="","",IFERROR(1/(1/_xlfn.MINIFS('Saisie'!$A$5:$A$2004,'Saisie'!$C$5:$C$2004,C443,'Saisie'!$AT$5:$AT$2004,"&gt;=3")),""))</f>
        <v/>
      </c>
      <c r="BF443" s="106">
        <f>IF(C443="","",IFERROR(1/(1/_xlfn.MINIFS('Saisie'!$A$5:$A$2004,'Saisie'!$C$5:$C$2004,C443,'Saisie'!$AT$5:$AT$2004,"&gt;=4")),""))</f>
        <v/>
      </c>
      <c r="BG443" s="106">
        <f>IF(C443="","",IFERROR(1/(1/_xlfn.MINIFS('Saisie'!$A$5:$A$2004,'Saisie'!$C$5:$C$2004,C443,'Saisie'!$AT$5:$AT$2004,"&gt;=5")),""))</f>
        <v/>
      </c>
      <c r="BH443" s="106">
        <f>IF(C443="","",IFERROR(1/(1/_xlfn.MINIFS('Saisie'!$A$5:$A$2004,'Saisie'!$C$5:$C$2004,C443,'Saisie'!$AT$5:$AT$2004,"&gt;=6")),""))</f>
        <v/>
      </c>
      <c r="BI443" s="106">
        <f>IF(C443="","",IFERROR(1/(1/_xlfn.MINIFS('Saisie'!$A$5:$A$2004,'Saisie'!$C$5:$C$2004,C443,'Saisie'!$AT$5:$AT$2004,"&gt;=7")),""))</f>
        <v/>
      </c>
      <c r="BJ443" s="60">
        <f>IF(OR(BD443="",B443=""),"",BD443-B443)</f>
        <v/>
      </c>
      <c r="BK443" s="60">
        <f>IF(OR(BE443="",BD443=""),"",BE443-BD443)</f>
        <v/>
      </c>
      <c r="BL443" s="60">
        <f>IF(OR(BF443="",BE443=""),"",BF443-BE443)</f>
        <v/>
      </c>
      <c r="BM443" s="60">
        <f>IF(OR(BG443="",BF443=""),"",BG443-BF443)</f>
        <v/>
      </c>
      <c r="BN443" s="60">
        <f>IF(OR(BH443="",BG443=""),"",BH443-BG443)</f>
        <v/>
      </c>
      <c r="BO443" s="60">
        <f>IF(OR(BI443="",BH443=""),"",BI443-BH443)</f>
        <v/>
      </c>
      <c r="BP443" s="60">
        <f>IF(C443="","",_xlfn.MAXIFS('Saisie'!$AS$5:$AS$2004,'Saisie'!$C$5:$C$2004,C443,'Saisie'!$J$5:$J$2004,"&lt;&gt;"))</f>
        <v/>
      </c>
      <c r="BQ443" s="60">
        <f>IF(C443="","",_xlfn.MAXIFS('Saisie'!$AS$5:$AS$2004,'Saisie'!$C$5:$C$2004,C443))</f>
        <v/>
      </c>
      <c r="BR443" s="60">
        <f>IF(C443="","",_xlfn.MAXIFS('Saisie'!$AS$5:$AS$2004,'Saisie'!$C$5:$C$2004,C443,'Saisie'!$E$5:$E$2004,"Perdu"))</f>
        <v/>
      </c>
      <c r="BS443" s="60">
        <f>IF(C443="","",_xlfn.MAXIFS('Saisie'!$AS$5:$AS$2004,'Saisie'!$C$5:$C$2004,C443,'Saisie'!$AT$5:$AT$2004,"&gt;0"))</f>
        <v/>
      </c>
      <c r="BT443" s="109">
        <f>IF(AND(C443&lt;&gt;"",OR(D443="Nouveau",D443="Contacté",D443="Qualifié"),OR(G443="",N(G443)&lt;=TODAY()),NOT(AND(O443&gt;='Paramètres'!$B$21,P443=0))),E443+439/10000,"")</f>
        <v/>
      </c>
      <c r="BU443" s="60">
        <f>IF(AND(G443&lt;&gt;"",N(G443)&lt;=TODAY()),MAX($BU$4:BU442)+1,"")</f>
        <v/>
      </c>
      <c r="BV443" s="60">
        <f>IF(AND(F443&lt;&gt;"",F443&lt;&gt;"Relance en retard"),MAX($BV$4:BV442)+1,"")</f>
        <v/>
      </c>
      <c r="BW443" s="60">
        <f>IF(C443="","",IF(AND(B443&gt;='Tableau de bord'!$R$4,B443&lt;='Tableau de bord'!$S$4,OR('Tableau de bord'!$G$4="Tous",N443='Tableau de bord'!$G$4)),1,0))</f>
        <v/>
      </c>
      <c r="BX443" s="60">
        <f>IF(AND(C443&lt;&gt;"",N(BA443)=7),MAX($BX$4:BX442)+1,"")</f>
        <v/>
      </c>
    </row>
    <row r="444">
      <c r="A444" s="60">
        <f>IF(C444="","","P-"&amp;TEXT(440,"000"))</f>
        <v/>
      </c>
      <c r="B444" s="106">
        <f>IF(C444="","",IFERROR(1/(1/_xlfn.MINIFS('Saisie'!$A$5:$A$2004,'Saisie'!$C$5:$C$2004,C444)),""))</f>
        <v/>
      </c>
      <c r="C444" s="60">
        <f>IFERROR(INDEX('Saisie'!$C$5:$C$2004,MATCH(440,'Saisie'!$AX$5:$AX$2004,0)),"")</f>
        <v/>
      </c>
      <c r="D444" s="60">
        <f>IF(C444="","",IF(AND(BR444&gt;0,BR444&gt;BS444,BA444&lt;7),"Perdu",INDEX('Paramètres'!$F$6:$F$13,BA444)))</f>
        <v/>
      </c>
      <c r="E444" s="61">
        <f>IF(C444="","",MIN(100,(Z444="Oui")*'Paramètres'!$B$38+(AB444="Régulière")*'Paramètres'!$B$39+IF(AND(N(AA444)&gt;0,TODAY()-N(AA444)&lt;=30),'Paramètres'!$B$40,0)+(W444="")*'Paramètres'!$B$41+(AC444="Absente")*'Paramètres'!$B$42+(AC444="Faible")*'Paramètres'!$B$43+IF(AND(N(AD444)&gt;0,N(AD444)&lt;4),'Paramètres'!$B$44,0)+(AF444="Moyenne")*'Paramètres'!$B$45+(AF444="Grande")*'Paramètres'!$B$46+(Y444&lt;&gt;"")*'Paramètres'!$B$47))</f>
        <v/>
      </c>
      <c r="F444" s="60">
        <f>IF(C444="","",IF(D444="Gagné","",IF(D444="Perdu",IF(AND(AX444&lt;&gt;"",AX444&lt;=TODAY()),"À recontacter (perdu)",""),IF(AND(O444&gt;='Paramètres'!$B$21,P444=0),"Stop : "&amp;'Paramètres'!$B$21&amp;" tentatives sans réponse",IF(AND(D444="Proposition",AR444&lt;&gt;"",TODAY()&gt;N(AR444)),"Proposition expirée",IF(AND(D444="Proposition",N(R444)&gt;='Paramètres'!$B$25),"Proposition sans réponse",IF(AND(G444&lt;&gt;"",N(G444)&lt;TODAY()),"Relance en retard",IF(N(R444)&gt;='Paramètres'!$B$24,"Sans action depuis "&amp;R444&amp;" j",""))))))))</f>
        <v/>
      </c>
      <c r="G444" s="106">
        <f>IF(OR(C444="",D444="Gagné",D444="Perdu"),"",IF(AND(BP444&gt;0,BP444=BQ444),INDEX('Saisie'!$J$5:$J$2004,BP444-4),IF(OR(O444=0,AND(O444&gt;='Paramètres'!$B$21,P444=0)),"",Q444+IF(O444&lt;=1,'Paramètres'!$B$18,IF(O444=2,'Paramètres'!$B$19,'Paramètres'!$B$20)))))</f>
        <v/>
      </c>
      <c r="H444" s="107">
        <f>IF(OR(G444="",BP444&lt;&gt;BQ444),"",IF(INDEX('Saisie'!$K$5:$K$2004,BP444-4)="","",INDEX('Saisie'!$K$5:$K$2004,BP444-4)))</f>
        <v/>
      </c>
      <c r="I444" s="60">
        <f>IF(C444="","",IF(OR(D444="Gagné",D444="Perdu"),"",IFERROR(INDEX('Saisie'!$I$5:$I$2004,_xlfn.MAXIFS('Saisie'!$AS$5:$AS$2004,'Saisie'!$C$5:$C$2004,C444,'Saisie'!$I$5:$I$2004,"&lt;&gt;")-4),"")))</f>
        <v/>
      </c>
      <c r="J444" s="60">
        <f>IF(C444="","",IFERROR(INDEX('Saisie'!$U$5:$U$2004,_xlfn.MAXIFS('Saisie'!$AS$5:$AS$2004,'Saisie'!$C$5:$C$2004,C444,'Saisie'!$U$5:$U$2004,"&lt;&gt;")-4),""))</f>
        <v/>
      </c>
      <c r="K444" s="60">
        <f>IF(C444="","",IFERROR(INDEX('Saisie'!$W$5:$W$2004,_xlfn.MAXIFS('Saisie'!$AS$5:$AS$2004,'Saisie'!$C$5:$C$2004,C444,'Saisie'!$W$5:$W$2004,"&lt;&gt;")-4),""))</f>
        <v/>
      </c>
      <c r="L444" s="60">
        <f>IF(IF(BB444&lt;&gt;"",BB444,K444)="","",HYPERLINK("https://wa.me/"&amp;IF(LEFT(SUBSTITUTE(SUBSTITUTE(SUBSTITUTE(IF(BB444&lt;&gt;"",BB444,K444)," ",""),".",""),"+",""),1)="0",'Paramètres'!$B$35&amp;MID(SUBSTITUTE(SUBSTITUTE(SUBSTITUTE(IF(BB444&lt;&gt;"",BB444,K444)," ",""),".",""),"+",""),2,20),SUBSTITUTE(SUBSTITUTE(SUBSTITUTE(IF(BB444&lt;&gt;"",BB444,K444)," ",""),".",""),"+","")),"WhatsApp"))</f>
        <v/>
      </c>
      <c r="M444" s="60">
        <f>IF(BC444="","",HYPERLINK(IF(LEFT(BC444,4)="http",BC444,"https://www.instagram.com/"&amp;SUBSTITUTE(SUBSTITUTE(BC444,"@","")," ","")),BC444))</f>
        <v/>
      </c>
      <c r="N444" s="60">
        <f>IF(C444="","",IFERROR(INDEX('Saisie'!$D$5:$D$2004,_xlfn.MINIFS('Saisie'!$AS$5:$AS$2004,'Saisie'!$C$5:$C$2004,C444,'Saisie'!$AU$5:$AU$2004,1)-4),IFERROR(INDEX('Saisie'!$D$5:$D$2004,_xlfn.MINIFS('Saisie'!$AS$5:$AS$2004,'Saisie'!$C$5:$C$2004,C444,'Saisie'!$D$5:$D$2004,"&lt;&gt;")-4),"")))</f>
        <v/>
      </c>
      <c r="O444" s="60">
        <f>IF(C444="","",COUNTIFS('Saisie'!$C$5:$C$2004,C444,'Saisie'!$AU$5:$AU$2004,1))</f>
        <v/>
      </c>
      <c r="P444" s="60">
        <f>IF(C444="","",COUNTIFS('Saisie'!$C$5:$C$2004,C444,'Saisie'!$AV$5:$AV$2004,1))</f>
        <v/>
      </c>
      <c r="Q444" s="106">
        <f>IF(C444="","",IFERROR(1/(1/_xlfn.MAXIFS('Saisie'!$A$5:$A$2004,'Saisie'!$C$5:$C$2004,C444)),""))</f>
        <v/>
      </c>
      <c r="R444" s="61">
        <f>IF(C444="","",IF(Q444="","",TODAY()-Q444))</f>
        <v/>
      </c>
      <c r="S444" s="60">
        <f>IF(C444="","",IFERROR(INDEX('Saisie'!$R$5:$R$2004,_xlfn.MAXIFS('Saisie'!$AS$5:$AS$2004,'Saisie'!$C$5:$C$2004,C444,'Saisie'!$R$5:$R$2004,"&lt;&gt;")-4),""))</f>
        <v/>
      </c>
      <c r="T444" s="60">
        <f>IF(C444="","",IFERROR(INDEX('Saisie'!$S$5:$S$2004,_xlfn.MAXIFS('Saisie'!$AS$5:$AS$2004,'Saisie'!$C$5:$C$2004,C444,'Saisie'!$S$5:$S$2004,"&lt;&gt;")-4),""))</f>
        <v/>
      </c>
      <c r="U444" s="60">
        <f>IF(C444="","",IFERROR(INDEX('Saisie'!$T$5:$T$2004,_xlfn.MAXIFS('Saisie'!$AS$5:$AS$2004,'Saisie'!$C$5:$C$2004,C444,'Saisie'!$T$5:$T$2004,"&lt;&gt;")-4),""))</f>
        <v/>
      </c>
      <c r="V444" s="60">
        <f>IF(C444="","",IFERROR(INDEX('Saisie'!$V$5:$V$2004,_xlfn.MAXIFS('Saisie'!$AS$5:$AS$2004,'Saisie'!$C$5:$C$2004,C444,'Saisie'!$V$5:$V$2004,"&lt;&gt;")-4),""))</f>
        <v/>
      </c>
      <c r="W444" s="60">
        <f>IF(C444="","",IFERROR(INDEX('Saisie'!$Z$5:$Z$2004,_xlfn.MAXIFS('Saisie'!$AS$5:$AS$2004,'Saisie'!$C$5:$C$2004,C444,'Saisie'!$Z$5:$Z$2004,"&lt;&gt;")-4),""))</f>
        <v/>
      </c>
      <c r="X444" s="60">
        <f>IF(C444="","",IFERROR(INDEX('Saisie'!$AA$5:$AA$2004,_xlfn.MAXIFS('Saisie'!$AS$5:$AS$2004,'Saisie'!$C$5:$C$2004,C444,'Saisie'!$AA$5:$AA$2004,"&lt;&gt;")-4),""))</f>
        <v/>
      </c>
      <c r="Y444" s="60">
        <f>IF(C444="","",IFERROR(INDEX('Saisie'!$AB$5:$AB$2004,_xlfn.MAXIFS('Saisie'!$AS$5:$AS$2004,'Saisie'!$C$5:$C$2004,C444,'Saisie'!$AB$5:$AB$2004,"&lt;&gt;")-4),""))</f>
        <v/>
      </c>
      <c r="Z444" s="60">
        <f>IF(C444="","",IFERROR(INDEX('Saisie'!$AC$5:$AC$2004,_xlfn.MAXIFS('Saisie'!$AS$5:$AS$2004,'Saisie'!$C$5:$C$2004,C444,'Saisie'!$AC$5:$AC$2004,"&lt;&gt;")-4),""))</f>
        <v/>
      </c>
      <c r="AA444" s="106">
        <f>IF(C444="","",IFERROR(INDEX('Saisie'!$AD$5:$AD$2004,_xlfn.MAXIFS('Saisie'!$AS$5:$AS$2004,'Saisie'!$C$5:$C$2004,C444,'Saisie'!$AD$5:$AD$2004,"&lt;&gt;")-4),""))</f>
        <v/>
      </c>
      <c r="AB444" s="60">
        <f>IF(C444="","",IFERROR(INDEX('Saisie'!$AE$5:$AE$2004,_xlfn.MAXIFS('Saisie'!$AS$5:$AS$2004,'Saisie'!$C$5:$C$2004,C444,'Saisie'!$AE$5:$AE$2004,"&lt;&gt;")-4),""))</f>
        <v/>
      </c>
      <c r="AC444" s="60">
        <f>IF(C444="","",IFERROR(INDEX('Saisie'!$AF$5:$AF$2004,_xlfn.MAXIFS('Saisie'!$AS$5:$AS$2004,'Saisie'!$C$5:$C$2004,C444,'Saisie'!$AF$5:$AF$2004,"&lt;&gt;")-4),""))</f>
        <v/>
      </c>
      <c r="AD444" s="108">
        <f>IF(C444="","",IFERROR(INDEX('Saisie'!$AG$5:$AG$2004,_xlfn.MAXIFS('Saisie'!$AS$5:$AS$2004,'Saisie'!$C$5:$C$2004,C444,'Saisie'!$AG$5:$AG$2004,"&lt;&gt;")-4),""))</f>
        <v/>
      </c>
      <c r="AE444" s="60">
        <f>IF(C444="","",IFERROR(INDEX('Saisie'!$AH$5:$AH$2004,_xlfn.MAXIFS('Saisie'!$AS$5:$AS$2004,'Saisie'!$C$5:$C$2004,C444,'Saisie'!$AH$5:$AH$2004,"&lt;&gt;")-4),""))</f>
        <v/>
      </c>
      <c r="AF444" s="60">
        <f>IF(C444="","",IFERROR(INDEX('Saisie'!$AI$5:$AI$2004,_xlfn.MAXIFS('Saisie'!$AS$5:$AS$2004,'Saisie'!$C$5:$C$2004,C444,'Saisie'!$AI$5:$AI$2004,"&lt;&gt;")-4),""))</f>
        <v/>
      </c>
      <c r="AG444" s="60">
        <f>IF(C444="","",IFERROR(INDEX('Saisie'!$AJ$5:$AJ$2004,_xlfn.MAXIFS('Saisie'!$AS$5:$AS$2004,'Saisie'!$C$5:$C$2004,C444,'Saisie'!$AJ$5:$AJ$2004,"&lt;&gt;")-4),""))</f>
        <v/>
      </c>
      <c r="AH444" s="60">
        <f>IF(C444="","",IFERROR(INDEX('Saisie'!$AK$5:$AK$2004,_xlfn.MAXIFS('Saisie'!$AS$5:$AS$2004,'Saisie'!$C$5:$C$2004,C444,'Saisie'!$AK$5:$AK$2004,"&lt;&gt;")-4),""))</f>
        <v/>
      </c>
      <c r="AI444" s="60">
        <f>IF(C444="","",IFERROR(INDEX('Saisie'!$AN$5:$AN$2004,_xlfn.MAXIFS('Saisie'!$AS$5:$AS$2004,'Saisie'!$C$5:$C$2004,C444,'Saisie'!$AN$5:$AN$2004,"&lt;&gt;")-4),""))</f>
        <v/>
      </c>
      <c r="AJ444" s="60">
        <f>IF(C444="","",IFERROR(INDEX('Saisie'!$AO$5:$AO$2004,_xlfn.MAXIFS('Saisie'!$AS$5:$AS$2004,'Saisie'!$C$5:$C$2004,C444,'Saisie'!$AO$5:$AO$2004,"&lt;&gt;")-4),""))</f>
        <v/>
      </c>
      <c r="AK444" s="60">
        <f>IF(C444="","",IFERROR(INDEX('Saisie'!$AP$5:$AP$2004,_xlfn.MAXIFS('Saisie'!$AS$5:$AS$2004,'Saisie'!$C$5:$C$2004,C444,'Saisie'!$AP$5:$AP$2004,"&lt;&gt;")-4),""))</f>
        <v/>
      </c>
      <c r="AL444" s="60">
        <f>IF(C444="","",IFERROR(INDEX('Saisie'!$AQ$5:$AQ$2004,_xlfn.MAXIFS('Saisie'!$AS$5:$AS$2004,'Saisie'!$C$5:$C$2004,C444,'Saisie'!$AQ$5:$AQ$2004,"&lt;&gt;")-4),""))</f>
        <v/>
      </c>
      <c r="AM444" s="60">
        <f>IF(C444="","",((AI444="Oui")+(AJ444="Oui")+(AK444="Oui")+OR(AL444="Immédiat",AL444="&lt; 1 mois"))&amp;"/4")</f>
        <v/>
      </c>
      <c r="AN444" s="60">
        <f>IF(C444="","",IFERROR(INDEX('Saisie'!$AL$5:$AL$2004,_xlfn.MAXIFS('Saisie'!$AS$5:$AS$2004,'Saisie'!$C$5:$C$2004,C444,'Saisie'!$AL$5:$AL$2004,"&lt;&gt;")-4),""))</f>
        <v/>
      </c>
      <c r="AO444" s="62">
        <f>IF(C444="","",IF(IFERROR(INDEX('Saisie'!$AM$5:$AM$2004,_xlfn.MAXIFS('Saisie'!$AS$5:$AS$2004,'Saisie'!$C$5:$C$2004,C444,'Saisie'!$AM$5:$AM$2004,"&lt;&gt;")-4),"")&lt;&gt;"",IFERROR(INDEX('Saisie'!$AM$5:$AM$2004,_xlfn.MAXIFS('Saisie'!$AS$5:$AS$2004,'Saisie'!$C$5:$C$2004,C444,'Saisie'!$AM$5:$AM$2004,"&lt;&gt;")-4),""),IFERROR(INDEX('Paramètres'!$S$6:$S$15,MATCH(AN444,'Paramètres'!$Q$6:$Q$15,0)),"")))</f>
        <v/>
      </c>
      <c r="AP444" s="62">
        <f>IF(C444="","",IFERROR(INDEX('Saisie'!$AW$5:$AW$2004,_xlfn.MAXIFS('Saisie'!$AS$5:$AS$2004,'Saisie'!$C$5:$C$2004,C444,'Saisie'!$E$5:$E$2004,"Proposition envoyée")-4),""))</f>
        <v/>
      </c>
      <c r="AQ444" s="106">
        <f>IF(C444="","",IFERROR(1/(1/_xlfn.MAXIFS('Saisie'!$A$5:$A$2004,'Saisie'!$C$5:$C$2004,C444,'Saisie'!$E$5:$E$2004,"Proposition envoyée")),""))</f>
        <v/>
      </c>
      <c r="AR444" s="106">
        <f>IF(C444="","",IF(AQ444="","",AQ444+'Paramètres'!$B$26))</f>
        <v/>
      </c>
      <c r="AS444" s="62">
        <f>IF(OR(C444="",D444="Gagné",D444="Perdu"),0,N(AP444)*IFERROR(INDEX('Paramètres'!$G$6:$G$13,MATCH(D444,'Paramètres'!$F$6:$F$13,0)),0))</f>
        <v/>
      </c>
      <c r="AT444" s="106">
        <f>IF(C444="","",IFERROR(1/(1/_xlfn.MINIFS('Saisie'!$A$5:$A$2004,'Saisie'!$C$5:$C$2004,C444,'Saisie'!$E$5:$E$2004,"Signature")),""))</f>
        <v/>
      </c>
      <c r="AU444" s="60">
        <f>IF(C444="","",IF(OR(AT444="",B444=""),"",AT444-B444))</f>
        <v/>
      </c>
      <c r="AV444" s="60">
        <f>IF(C444="","",IFERROR(INDEX('Saisie'!$L$5:$L$2004,_xlfn.MAXIFS('Saisie'!$AS$5:$AS$2004,'Saisie'!$C$5:$C$2004,C444,'Saisie'!$L$5:$L$2004,"&lt;&gt;")-4),""))</f>
        <v/>
      </c>
      <c r="AW444" s="106">
        <f>IF(C444="","",IF(D444&lt;&gt;"Perdu","",IFERROR(1/(1/_xlfn.MAXIFS('Saisie'!$A$5:$A$2004,'Saisie'!$C$5:$C$2004,C444,'Saisie'!$E$5:$E$2004,"Perdu")),"")))</f>
        <v/>
      </c>
      <c r="AX444" s="106">
        <f>IF(C444="","",IF(AW444="","",AW444+'Paramètres'!$B$28))</f>
        <v/>
      </c>
      <c r="AY444" s="60">
        <f>IF(C444="","",SUMIFS('Saisie'!$H$5:$H$2004,'Saisie'!$C$5:$C$2004,C444))</f>
        <v/>
      </c>
      <c r="AZ444" s="60">
        <f>IF(C444="","",IFERROR(INDEX('Paramètres'!$W$6:$W$20,MATCH(S444,'Paramètres'!$V$6:$V$20,0))&amp;"",""))</f>
        <v/>
      </c>
      <c r="BA444" s="60">
        <f>IF(C444="","",MAX(1,_xlfn.MAXIFS('Saisie'!$AT$5:$AT$2004,'Saisie'!$C$5:$C$2004,C444)))</f>
        <v/>
      </c>
      <c r="BB444" s="60">
        <f>IF(C444="","",IFERROR(INDEX('Saisie'!$X$5:$X$2004,_xlfn.MAXIFS('Saisie'!$AS$5:$AS$2004,'Saisie'!$C$5:$C$2004,C444,'Saisie'!$X$5:$X$2004,"&lt;&gt;")-4),""))</f>
        <v/>
      </c>
      <c r="BC444" s="60">
        <f>IF(C444="","",IFERROR(INDEX('Saisie'!$Y$5:$Y$2004,_xlfn.MAXIFS('Saisie'!$AS$5:$AS$2004,'Saisie'!$C$5:$C$2004,C444,'Saisie'!$Y$5:$Y$2004,"&lt;&gt;")-4),""))</f>
        <v/>
      </c>
      <c r="BD444" s="106">
        <f>IF(C444="","",IFERROR(1/(1/_xlfn.MINIFS('Saisie'!$A$5:$A$2004,'Saisie'!$C$5:$C$2004,C444,'Saisie'!$AT$5:$AT$2004,"&gt;=2")),""))</f>
        <v/>
      </c>
      <c r="BE444" s="106">
        <f>IF(C444="","",IFERROR(1/(1/_xlfn.MINIFS('Saisie'!$A$5:$A$2004,'Saisie'!$C$5:$C$2004,C444,'Saisie'!$AT$5:$AT$2004,"&gt;=3")),""))</f>
        <v/>
      </c>
      <c r="BF444" s="106">
        <f>IF(C444="","",IFERROR(1/(1/_xlfn.MINIFS('Saisie'!$A$5:$A$2004,'Saisie'!$C$5:$C$2004,C444,'Saisie'!$AT$5:$AT$2004,"&gt;=4")),""))</f>
        <v/>
      </c>
      <c r="BG444" s="106">
        <f>IF(C444="","",IFERROR(1/(1/_xlfn.MINIFS('Saisie'!$A$5:$A$2004,'Saisie'!$C$5:$C$2004,C444,'Saisie'!$AT$5:$AT$2004,"&gt;=5")),""))</f>
        <v/>
      </c>
      <c r="BH444" s="106">
        <f>IF(C444="","",IFERROR(1/(1/_xlfn.MINIFS('Saisie'!$A$5:$A$2004,'Saisie'!$C$5:$C$2004,C444,'Saisie'!$AT$5:$AT$2004,"&gt;=6")),""))</f>
        <v/>
      </c>
      <c r="BI444" s="106">
        <f>IF(C444="","",IFERROR(1/(1/_xlfn.MINIFS('Saisie'!$A$5:$A$2004,'Saisie'!$C$5:$C$2004,C444,'Saisie'!$AT$5:$AT$2004,"&gt;=7")),""))</f>
        <v/>
      </c>
      <c r="BJ444" s="60">
        <f>IF(OR(BD444="",B444=""),"",BD444-B444)</f>
        <v/>
      </c>
      <c r="BK444" s="60">
        <f>IF(OR(BE444="",BD444=""),"",BE444-BD444)</f>
        <v/>
      </c>
      <c r="BL444" s="60">
        <f>IF(OR(BF444="",BE444=""),"",BF444-BE444)</f>
        <v/>
      </c>
      <c r="BM444" s="60">
        <f>IF(OR(BG444="",BF444=""),"",BG444-BF444)</f>
        <v/>
      </c>
      <c r="BN444" s="60">
        <f>IF(OR(BH444="",BG444=""),"",BH444-BG444)</f>
        <v/>
      </c>
      <c r="BO444" s="60">
        <f>IF(OR(BI444="",BH444=""),"",BI444-BH444)</f>
        <v/>
      </c>
      <c r="BP444" s="60">
        <f>IF(C444="","",_xlfn.MAXIFS('Saisie'!$AS$5:$AS$2004,'Saisie'!$C$5:$C$2004,C444,'Saisie'!$J$5:$J$2004,"&lt;&gt;"))</f>
        <v/>
      </c>
      <c r="BQ444" s="60">
        <f>IF(C444="","",_xlfn.MAXIFS('Saisie'!$AS$5:$AS$2004,'Saisie'!$C$5:$C$2004,C444))</f>
        <v/>
      </c>
      <c r="BR444" s="60">
        <f>IF(C444="","",_xlfn.MAXIFS('Saisie'!$AS$5:$AS$2004,'Saisie'!$C$5:$C$2004,C444,'Saisie'!$E$5:$E$2004,"Perdu"))</f>
        <v/>
      </c>
      <c r="BS444" s="60">
        <f>IF(C444="","",_xlfn.MAXIFS('Saisie'!$AS$5:$AS$2004,'Saisie'!$C$5:$C$2004,C444,'Saisie'!$AT$5:$AT$2004,"&gt;0"))</f>
        <v/>
      </c>
      <c r="BT444" s="109">
        <f>IF(AND(C444&lt;&gt;"",OR(D444="Nouveau",D444="Contacté",D444="Qualifié"),OR(G444="",N(G444)&lt;=TODAY()),NOT(AND(O444&gt;='Paramètres'!$B$21,P444=0))),E444+440/10000,"")</f>
        <v/>
      </c>
      <c r="BU444" s="60">
        <f>IF(AND(G444&lt;&gt;"",N(G444)&lt;=TODAY()),MAX($BU$4:BU443)+1,"")</f>
        <v/>
      </c>
      <c r="BV444" s="60">
        <f>IF(AND(F444&lt;&gt;"",F444&lt;&gt;"Relance en retard"),MAX($BV$4:BV443)+1,"")</f>
        <v/>
      </c>
      <c r="BW444" s="60">
        <f>IF(C444="","",IF(AND(B444&gt;='Tableau de bord'!$R$4,B444&lt;='Tableau de bord'!$S$4,OR('Tableau de bord'!$G$4="Tous",N444='Tableau de bord'!$G$4)),1,0))</f>
        <v/>
      </c>
      <c r="BX444" s="60">
        <f>IF(AND(C444&lt;&gt;"",N(BA444)=7),MAX($BX$4:BX443)+1,"")</f>
        <v/>
      </c>
    </row>
    <row r="445">
      <c r="A445" s="60">
        <f>IF(C445="","","P-"&amp;TEXT(441,"000"))</f>
        <v/>
      </c>
      <c r="B445" s="106">
        <f>IF(C445="","",IFERROR(1/(1/_xlfn.MINIFS('Saisie'!$A$5:$A$2004,'Saisie'!$C$5:$C$2004,C445)),""))</f>
        <v/>
      </c>
      <c r="C445" s="60">
        <f>IFERROR(INDEX('Saisie'!$C$5:$C$2004,MATCH(441,'Saisie'!$AX$5:$AX$2004,0)),"")</f>
        <v/>
      </c>
      <c r="D445" s="60">
        <f>IF(C445="","",IF(AND(BR445&gt;0,BR445&gt;BS445,BA445&lt;7),"Perdu",INDEX('Paramètres'!$F$6:$F$13,BA445)))</f>
        <v/>
      </c>
      <c r="E445" s="61">
        <f>IF(C445="","",MIN(100,(Z445="Oui")*'Paramètres'!$B$38+(AB445="Régulière")*'Paramètres'!$B$39+IF(AND(N(AA445)&gt;0,TODAY()-N(AA445)&lt;=30),'Paramètres'!$B$40,0)+(W445="")*'Paramètres'!$B$41+(AC445="Absente")*'Paramètres'!$B$42+(AC445="Faible")*'Paramètres'!$B$43+IF(AND(N(AD445)&gt;0,N(AD445)&lt;4),'Paramètres'!$B$44,0)+(AF445="Moyenne")*'Paramètres'!$B$45+(AF445="Grande")*'Paramètres'!$B$46+(Y445&lt;&gt;"")*'Paramètres'!$B$47))</f>
        <v/>
      </c>
      <c r="F445" s="60">
        <f>IF(C445="","",IF(D445="Gagné","",IF(D445="Perdu",IF(AND(AX445&lt;&gt;"",AX445&lt;=TODAY()),"À recontacter (perdu)",""),IF(AND(O445&gt;='Paramètres'!$B$21,P445=0),"Stop : "&amp;'Paramètres'!$B$21&amp;" tentatives sans réponse",IF(AND(D445="Proposition",AR445&lt;&gt;"",TODAY()&gt;N(AR445)),"Proposition expirée",IF(AND(D445="Proposition",N(R445)&gt;='Paramètres'!$B$25),"Proposition sans réponse",IF(AND(G445&lt;&gt;"",N(G445)&lt;TODAY()),"Relance en retard",IF(N(R445)&gt;='Paramètres'!$B$24,"Sans action depuis "&amp;R445&amp;" j",""))))))))</f>
        <v/>
      </c>
      <c r="G445" s="106">
        <f>IF(OR(C445="",D445="Gagné",D445="Perdu"),"",IF(AND(BP445&gt;0,BP445=BQ445),INDEX('Saisie'!$J$5:$J$2004,BP445-4),IF(OR(O445=0,AND(O445&gt;='Paramètres'!$B$21,P445=0)),"",Q445+IF(O445&lt;=1,'Paramètres'!$B$18,IF(O445=2,'Paramètres'!$B$19,'Paramètres'!$B$20)))))</f>
        <v/>
      </c>
      <c r="H445" s="107">
        <f>IF(OR(G445="",BP445&lt;&gt;BQ445),"",IF(INDEX('Saisie'!$K$5:$K$2004,BP445-4)="","",INDEX('Saisie'!$K$5:$K$2004,BP445-4)))</f>
        <v/>
      </c>
      <c r="I445" s="60">
        <f>IF(C445="","",IF(OR(D445="Gagné",D445="Perdu"),"",IFERROR(INDEX('Saisie'!$I$5:$I$2004,_xlfn.MAXIFS('Saisie'!$AS$5:$AS$2004,'Saisie'!$C$5:$C$2004,C445,'Saisie'!$I$5:$I$2004,"&lt;&gt;")-4),"")))</f>
        <v/>
      </c>
      <c r="J445" s="60">
        <f>IF(C445="","",IFERROR(INDEX('Saisie'!$U$5:$U$2004,_xlfn.MAXIFS('Saisie'!$AS$5:$AS$2004,'Saisie'!$C$5:$C$2004,C445,'Saisie'!$U$5:$U$2004,"&lt;&gt;")-4),""))</f>
        <v/>
      </c>
      <c r="K445" s="60">
        <f>IF(C445="","",IFERROR(INDEX('Saisie'!$W$5:$W$2004,_xlfn.MAXIFS('Saisie'!$AS$5:$AS$2004,'Saisie'!$C$5:$C$2004,C445,'Saisie'!$W$5:$W$2004,"&lt;&gt;")-4),""))</f>
        <v/>
      </c>
      <c r="L445" s="60">
        <f>IF(IF(BB445&lt;&gt;"",BB445,K445)="","",HYPERLINK("https://wa.me/"&amp;IF(LEFT(SUBSTITUTE(SUBSTITUTE(SUBSTITUTE(IF(BB445&lt;&gt;"",BB445,K445)," ",""),".",""),"+",""),1)="0",'Paramètres'!$B$35&amp;MID(SUBSTITUTE(SUBSTITUTE(SUBSTITUTE(IF(BB445&lt;&gt;"",BB445,K445)," ",""),".",""),"+",""),2,20),SUBSTITUTE(SUBSTITUTE(SUBSTITUTE(IF(BB445&lt;&gt;"",BB445,K445)," ",""),".",""),"+","")),"WhatsApp"))</f>
        <v/>
      </c>
      <c r="M445" s="60">
        <f>IF(BC445="","",HYPERLINK(IF(LEFT(BC445,4)="http",BC445,"https://www.instagram.com/"&amp;SUBSTITUTE(SUBSTITUTE(BC445,"@","")," ","")),BC445))</f>
        <v/>
      </c>
      <c r="N445" s="60">
        <f>IF(C445="","",IFERROR(INDEX('Saisie'!$D$5:$D$2004,_xlfn.MINIFS('Saisie'!$AS$5:$AS$2004,'Saisie'!$C$5:$C$2004,C445,'Saisie'!$AU$5:$AU$2004,1)-4),IFERROR(INDEX('Saisie'!$D$5:$D$2004,_xlfn.MINIFS('Saisie'!$AS$5:$AS$2004,'Saisie'!$C$5:$C$2004,C445,'Saisie'!$D$5:$D$2004,"&lt;&gt;")-4),"")))</f>
        <v/>
      </c>
      <c r="O445" s="60">
        <f>IF(C445="","",COUNTIFS('Saisie'!$C$5:$C$2004,C445,'Saisie'!$AU$5:$AU$2004,1))</f>
        <v/>
      </c>
      <c r="P445" s="60">
        <f>IF(C445="","",COUNTIFS('Saisie'!$C$5:$C$2004,C445,'Saisie'!$AV$5:$AV$2004,1))</f>
        <v/>
      </c>
      <c r="Q445" s="106">
        <f>IF(C445="","",IFERROR(1/(1/_xlfn.MAXIFS('Saisie'!$A$5:$A$2004,'Saisie'!$C$5:$C$2004,C445)),""))</f>
        <v/>
      </c>
      <c r="R445" s="61">
        <f>IF(C445="","",IF(Q445="","",TODAY()-Q445))</f>
        <v/>
      </c>
      <c r="S445" s="60">
        <f>IF(C445="","",IFERROR(INDEX('Saisie'!$R$5:$R$2004,_xlfn.MAXIFS('Saisie'!$AS$5:$AS$2004,'Saisie'!$C$5:$C$2004,C445,'Saisie'!$R$5:$R$2004,"&lt;&gt;")-4),""))</f>
        <v/>
      </c>
      <c r="T445" s="60">
        <f>IF(C445="","",IFERROR(INDEX('Saisie'!$S$5:$S$2004,_xlfn.MAXIFS('Saisie'!$AS$5:$AS$2004,'Saisie'!$C$5:$C$2004,C445,'Saisie'!$S$5:$S$2004,"&lt;&gt;")-4),""))</f>
        <v/>
      </c>
      <c r="U445" s="60">
        <f>IF(C445="","",IFERROR(INDEX('Saisie'!$T$5:$T$2004,_xlfn.MAXIFS('Saisie'!$AS$5:$AS$2004,'Saisie'!$C$5:$C$2004,C445,'Saisie'!$T$5:$T$2004,"&lt;&gt;")-4),""))</f>
        <v/>
      </c>
      <c r="V445" s="60">
        <f>IF(C445="","",IFERROR(INDEX('Saisie'!$V$5:$V$2004,_xlfn.MAXIFS('Saisie'!$AS$5:$AS$2004,'Saisie'!$C$5:$C$2004,C445,'Saisie'!$V$5:$V$2004,"&lt;&gt;")-4),""))</f>
        <v/>
      </c>
      <c r="W445" s="60">
        <f>IF(C445="","",IFERROR(INDEX('Saisie'!$Z$5:$Z$2004,_xlfn.MAXIFS('Saisie'!$AS$5:$AS$2004,'Saisie'!$C$5:$C$2004,C445,'Saisie'!$Z$5:$Z$2004,"&lt;&gt;")-4),""))</f>
        <v/>
      </c>
      <c r="X445" s="60">
        <f>IF(C445="","",IFERROR(INDEX('Saisie'!$AA$5:$AA$2004,_xlfn.MAXIFS('Saisie'!$AS$5:$AS$2004,'Saisie'!$C$5:$C$2004,C445,'Saisie'!$AA$5:$AA$2004,"&lt;&gt;")-4),""))</f>
        <v/>
      </c>
      <c r="Y445" s="60">
        <f>IF(C445="","",IFERROR(INDEX('Saisie'!$AB$5:$AB$2004,_xlfn.MAXIFS('Saisie'!$AS$5:$AS$2004,'Saisie'!$C$5:$C$2004,C445,'Saisie'!$AB$5:$AB$2004,"&lt;&gt;")-4),""))</f>
        <v/>
      </c>
      <c r="Z445" s="60">
        <f>IF(C445="","",IFERROR(INDEX('Saisie'!$AC$5:$AC$2004,_xlfn.MAXIFS('Saisie'!$AS$5:$AS$2004,'Saisie'!$C$5:$C$2004,C445,'Saisie'!$AC$5:$AC$2004,"&lt;&gt;")-4),""))</f>
        <v/>
      </c>
      <c r="AA445" s="106">
        <f>IF(C445="","",IFERROR(INDEX('Saisie'!$AD$5:$AD$2004,_xlfn.MAXIFS('Saisie'!$AS$5:$AS$2004,'Saisie'!$C$5:$C$2004,C445,'Saisie'!$AD$5:$AD$2004,"&lt;&gt;")-4),""))</f>
        <v/>
      </c>
      <c r="AB445" s="60">
        <f>IF(C445="","",IFERROR(INDEX('Saisie'!$AE$5:$AE$2004,_xlfn.MAXIFS('Saisie'!$AS$5:$AS$2004,'Saisie'!$C$5:$C$2004,C445,'Saisie'!$AE$5:$AE$2004,"&lt;&gt;")-4),""))</f>
        <v/>
      </c>
      <c r="AC445" s="60">
        <f>IF(C445="","",IFERROR(INDEX('Saisie'!$AF$5:$AF$2004,_xlfn.MAXIFS('Saisie'!$AS$5:$AS$2004,'Saisie'!$C$5:$C$2004,C445,'Saisie'!$AF$5:$AF$2004,"&lt;&gt;")-4),""))</f>
        <v/>
      </c>
      <c r="AD445" s="108">
        <f>IF(C445="","",IFERROR(INDEX('Saisie'!$AG$5:$AG$2004,_xlfn.MAXIFS('Saisie'!$AS$5:$AS$2004,'Saisie'!$C$5:$C$2004,C445,'Saisie'!$AG$5:$AG$2004,"&lt;&gt;")-4),""))</f>
        <v/>
      </c>
      <c r="AE445" s="60">
        <f>IF(C445="","",IFERROR(INDEX('Saisie'!$AH$5:$AH$2004,_xlfn.MAXIFS('Saisie'!$AS$5:$AS$2004,'Saisie'!$C$5:$C$2004,C445,'Saisie'!$AH$5:$AH$2004,"&lt;&gt;")-4),""))</f>
        <v/>
      </c>
      <c r="AF445" s="60">
        <f>IF(C445="","",IFERROR(INDEX('Saisie'!$AI$5:$AI$2004,_xlfn.MAXIFS('Saisie'!$AS$5:$AS$2004,'Saisie'!$C$5:$C$2004,C445,'Saisie'!$AI$5:$AI$2004,"&lt;&gt;")-4),""))</f>
        <v/>
      </c>
      <c r="AG445" s="60">
        <f>IF(C445="","",IFERROR(INDEX('Saisie'!$AJ$5:$AJ$2004,_xlfn.MAXIFS('Saisie'!$AS$5:$AS$2004,'Saisie'!$C$5:$C$2004,C445,'Saisie'!$AJ$5:$AJ$2004,"&lt;&gt;")-4),""))</f>
        <v/>
      </c>
      <c r="AH445" s="60">
        <f>IF(C445="","",IFERROR(INDEX('Saisie'!$AK$5:$AK$2004,_xlfn.MAXIFS('Saisie'!$AS$5:$AS$2004,'Saisie'!$C$5:$C$2004,C445,'Saisie'!$AK$5:$AK$2004,"&lt;&gt;")-4),""))</f>
        <v/>
      </c>
      <c r="AI445" s="60">
        <f>IF(C445="","",IFERROR(INDEX('Saisie'!$AN$5:$AN$2004,_xlfn.MAXIFS('Saisie'!$AS$5:$AS$2004,'Saisie'!$C$5:$C$2004,C445,'Saisie'!$AN$5:$AN$2004,"&lt;&gt;")-4),""))</f>
        <v/>
      </c>
      <c r="AJ445" s="60">
        <f>IF(C445="","",IFERROR(INDEX('Saisie'!$AO$5:$AO$2004,_xlfn.MAXIFS('Saisie'!$AS$5:$AS$2004,'Saisie'!$C$5:$C$2004,C445,'Saisie'!$AO$5:$AO$2004,"&lt;&gt;")-4),""))</f>
        <v/>
      </c>
      <c r="AK445" s="60">
        <f>IF(C445="","",IFERROR(INDEX('Saisie'!$AP$5:$AP$2004,_xlfn.MAXIFS('Saisie'!$AS$5:$AS$2004,'Saisie'!$C$5:$C$2004,C445,'Saisie'!$AP$5:$AP$2004,"&lt;&gt;")-4),""))</f>
        <v/>
      </c>
      <c r="AL445" s="60">
        <f>IF(C445="","",IFERROR(INDEX('Saisie'!$AQ$5:$AQ$2004,_xlfn.MAXIFS('Saisie'!$AS$5:$AS$2004,'Saisie'!$C$5:$C$2004,C445,'Saisie'!$AQ$5:$AQ$2004,"&lt;&gt;")-4),""))</f>
        <v/>
      </c>
      <c r="AM445" s="60">
        <f>IF(C445="","",((AI445="Oui")+(AJ445="Oui")+(AK445="Oui")+OR(AL445="Immédiat",AL445="&lt; 1 mois"))&amp;"/4")</f>
        <v/>
      </c>
      <c r="AN445" s="60">
        <f>IF(C445="","",IFERROR(INDEX('Saisie'!$AL$5:$AL$2004,_xlfn.MAXIFS('Saisie'!$AS$5:$AS$2004,'Saisie'!$C$5:$C$2004,C445,'Saisie'!$AL$5:$AL$2004,"&lt;&gt;")-4),""))</f>
        <v/>
      </c>
      <c r="AO445" s="62">
        <f>IF(C445="","",IF(IFERROR(INDEX('Saisie'!$AM$5:$AM$2004,_xlfn.MAXIFS('Saisie'!$AS$5:$AS$2004,'Saisie'!$C$5:$C$2004,C445,'Saisie'!$AM$5:$AM$2004,"&lt;&gt;")-4),"")&lt;&gt;"",IFERROR(INDEX('Saisie'!$AM$5:$AM$2004,_xlfn.MAXIFS('Saisie'!$AS$5:$AS$2004,'Saisie'!$C$5:$C$2004,C445,'Saisie'!$AM$5:$AM$2004,"&lt;&gt;")-4),""),IFERROR(INDEX('Paramètres'!$S$6:$S$15,MATCH(AN445,'Paramètres'!$Q$6:$Q$15,0)),"")))</f>
        <v/>
      </c>
      <c r="AP445" s="62">
        <f>IF(C445="","",IFERROR(INDEX('Saisie'!$AW$5:$AW$2004,_xlfn.MAXIFS('Saisie'!$AS$5:$AS$2004,'Saisie'!$C$5:$C$2004,C445,'Saisie'!$E$5:$E$2004,"Proposition envoyée")-4),""))</f>
        <v/>
      </c>
      <c r="AQ445" s="106">
        <f>IF(C445="","",IFERROR(1/(1/_xlfn.MAXIFS('Saisie'!$A$5:$A$2004,'Saisie'!$C$5:$C$2004,C445,'Saisie'!$E$5:$E$2004,"Proposition envoyée")),""))</f>
        <v/>
      </c>
      <c r="AR445" s="106">
        <f>IF(C445="","",IF(AQ445="","",AQ445+'Paramètres'!$B$26))</f>
        <v/>
      </c>
      <c r="AS445" s="62">
        <f>IF(OR(C445="",D445="Gagné",D445="Perdu"),0,N(AP445)*IFERROR(INDEX('Paramètres'!$G$6:$G$13,MATCH(D445,'Paramètres'!$F$6:$F$13,0)),0))</f>
        <v/>
      </c>
      <c r="AT445" s="106">
        <f>IF(C445="","",IFERROR(1/(1/_xlfn.MINIFS('Saisie'!$A$5:$A$2004,'Saisie'!$C$5:$C$2004,C445,'Saisie'!$E$5:$E$2004,"Signature")),""))</f>
        <v/>
      </c>
      <c r="AU445" s="60">
        <f>IF(C445="","",IF(OR(AT445="",B445=""),"",AT445-B445))</f>
        <v/>
      </c>
      <c r="AV445" s="60">
        <f>IF(C445="","",IFERROR(INDEX('Saisie'!$L$5:$L$2004,_xlfn.MAXIFS('Saisie'!$AS$5:$AS$2004,'Saisie'!$C$5:$C$2004,C445,'Saisie'!$L$5:$L$2004,"&lt;&gt;")-4),""))</f>
        <v/>
      </c>
      <c r="AW445" s="106">
        <f>IF(C445="","",IF(D445&lt;&gt;"Perdu","",IFERROR(1/(1/_xlfn.MAXIFS('Saisie'!$A$5:$A$2004,'Saisie'!$C$5:$C$2004,C445,'Saisie'!$E$5:$E$2004,"Perdu")),"")))</f>
        <v/>
      </c>
      <c r="AX445" s="106">
        <f>IF(C445="","",IF(AW445="","",AW445+'Paramètres'!$B$28))</f>
        <v/>
      </c>
      <c r="AY445" s="60">
        <f>IF(C445="","",SUMIFS('Saisie'!$H$5:$H$2004,'Saisie'!$C$5:$C$2004,C445))</f>
        <v/>
      </c>
      <c r="AZ445" s="60">
        <f>IF(C445="","",IFERROR(INDEX('Paramètres'!$W$6:$W$20,MATCH(S445,'Paramètres'!$V$6:$V$20,0))&amp;"",""))</f>
        <v/>
      </c>
      <c r="BA445" s="60">
        <f>IF(C445="","",MAX(1,_xlfn.MAXIFS('Saisie'!$AT$5:$AT$2004,'Saisie'!$C$5:$C$2004,C445)))</f>
        <v/>
      </c>
      <c r="BB445" s="60">
        <f>IF(C445="","",IFERROR(INDEX('Saisie'!$X$5:$X$2004,_xlfn.MAXIFS('Saisie'!$AS$5:$AS$2004,'Saisie'!$C$5:$C$2004,C445,'Saisie'!$X$5:$X$2004,"&lt;&gt;")-4),""))</f>
        <v/>
      </c>
      <c r="BC445" s="60">
        <f>IF(C445="","",IFERROR(INDEX('Saisie'!$Y$5:$Y$2004,_xlfn.MAXIFS('Saisie'!$AS$5:$AS$2004,'Saisie'!$C$5:$C$2004,C445,'Saisie'!$Y$5:$Y$2004,"&lt;&gt;")-4),""))</f>
        <v/>
      </c>
      <c r="BD445" s="106">
        <f>IF(C445="","",IFERROR(1/(1/_xlfn.MINIFS('Saisie'!$A$5:$A$2004,'Saisie'!$C$5:$C$2004,C445,'Saisie'!$AT$5:$AT$2004,"&gt;=2")),""))</f>
        <v/>
      </c>
      <c r="BE445" s="106">
        <f>IF(C445="","",IFERROR(1/(1/_xlfn.MINIFS('Saisie'!$A$5:$A$2004,'Saisie'!$C$5:$C$2004,C445,'Saisie'!$AT$5:$AT$2004,"&gt;=3")),""))</f>
        <v/>
      </c>
      <c r="BF445" s="106">
        <f>IF(C445="","",IFERROR(1/(1/_xlfn.MINIFS('Saisie'!$A$5:$A$2004,'Saisie'!$C$5:$C$2004,C445,'Saisie'!$AT$5:$AT$2004,"&gt;=4")),""))</f>
        <v/>
      </c>
      <c r="BG445" s="106">
        <f>IF(C445="","",IFERROR(1/(1/_xlfn.MINIFS('Saisie'!$A$5:$A$2004,'Saisie'!$C$5:$C$2004,C445,'Saisie'!$AT$5:$AT$2004,"&gt;=5")),""))</f>
        <v/>
      </c>
      <c r="BH445" s="106">
        <f>IF(C445="","",IFERROR(1/(1/_xlfn.MINIFS('Saisie'!$A$5:$A$2004,'Saisie'!$C$5:$C$2004,C445,'Saisie'!$AT$5:$AT$2004,"&gt;=6")),""))</f>
        <v/>
      </c>
      <c r="BI445" s="106">
        <f>IF(C445="","",IFERROR(1/(1/_xlfn.MINIFS('Saisie'!$A$5:$A$2004,'Saisie'!$C$5:$C$2004,C445,'Saisie'!$AT$5:$AT$2004,"&gt;=7")),""))</f>
        <v/>
      </c>
      <c r="BJ445" s="60">
        <f>IF(OR(BD445="",B445=""),"",BD445-B445)</f>
        <v/>
      </c>
      <c r="BK445" s="60">
        <f>IF(OR(BE445="",BD445=""),"",BE445-BD445)</f>
        <v/>
      </c>
      <c r="BL445" s="60">
        <f>IF(OR(BF445="",BE445=""),"",BF445-BE445)</f>
        <v/>
      </c>
      <c r="BM445" s="60">
        <f>IF(OR(BG445="",BF445=""),"",BG445-BF445)</f>
        <v/>
      </c>
      <c r="BN445" s="60">
        <f>IF(OR(BH445="",BG445=""),"",BH445-BG445)</f>
        <v/>
      </c>
      <c r="BO445" s="60">
        <f>IF(OR(BI445="",BH445=""),"",BI445-BH445)</f>
        <v/>
      </c>
      <c r="BP445" s="60">
        <f>IF(C445="","",_xlfn.MAXIFS('Saisie'!$AS$5:$AS$2004,'Saisie'!$C$5:$C$2004,C445,'Saisie'!$J$5:$J$2004,"&lt;&gt;"))</f>
        <v/>
      </c>
      <c r="BQ445" s="60">
        <f>IF(C445="","",_xlfn.MAXIFS('Saisie'!$AS$5:$AS$2004,'Saisie'!$C$5:$C$2004,C445))</f>
        <v/>
      </c>
      <c r="BR445" s="60">
        <f>IF(C445="","",_xlfn.MAXIFS('Saisie'!$AS$5:$AS$2004,'Saisie'!$C$5:$C$2004,C445,'Saisie'!$E$5:$E$2004,"Perdu"))</f>
        <v/>
      </c>
      <c r="BS445" s="60">
        <f>IF(C445="","",_xlfn.MAXIFS('Saisie'!$AS$5:$AS$2004,'Saisie'!$C$5:$C$2004,C445,'Saisie'!$AT$5:$AT$2004,"&gt;0"))</f>
        <v/>
      </c>
      <c r="BT445" s="109">
        <f>IF(AND(C445&lt;&gt;"",OR(D445="Nouveau",D445="Contacté",D445="Qualifié"),OR(G445="",N(G445)&lt;=TODAY()),NOT(AND(O445&gt;='Paramètres'!$B$21,P445=0))),E445+441/10000,"")</f>
        <v/>
      </c>
      <c r="BU445" s="60">
        <f>IF(AND(G445&lt;&gt;"",N(G445)&lt;=TODAY()),MAX($BU$4:BU444)+1,"")</f>
        <v/>
      </c>
      <c r="BV445" s="60">
        <f>IF(AND(F445&lt;&gt;"",F445&lt;&gt;"Relance en retard"),MAX($BV$4:BV444)+1,"")</f>
        <v/>
      </c>
      <c r="BW445" s="60">
        <f>IF(C445="","",IF(AND(B445&gt;='Tableau de bord'!$R$4,B445&lt;='Tableau de bord'!$S$4,OR('Tableau de bord'!$G$4="Tous",N445='Tableau de bord'!$G$4)),1,0))</f>
        <v/>
      </c>
      <c r="BX445" s="60">
        <f>IF(AND(C445&lt;&gt;"",N(BA445)=7),MAX($BX$4:BX444)+1,"")</f>
        <v/>
      </c>
    </row>
    <row r="446">
      <c r="A446" s="60">
        <f>IF(C446="","","P-"&amp;TEXT(442,"000"))</f>
        <v/>
      </c>
      <c r="B446" s="106">
        <f>IF(C446="","",IFERROR(1/(1/_xlfn.MINIFS('Saisie'!$A$5:$A$2004,'Saisie'!$C$5:$C$2004,C446)),""))</f>
        <v/>
      </c>
      <c r="C446" s="60">
        <f>IFERROR(INDEX('Saisie'!$C$5:$C$2004,MATCH(442,'Saisie'!$AX$5:$AX$2004,0)),"")</f>
        <v/>
      </c>
      <c r="D446" s="60">
        <f>IF(C446="","",IF(AND(BR446&gt;0,BR446&gt;BS446,BA446&lt;7),"Perdu",INDEX('Paramètres'!$F$6:$F$13,BA446)))</f>
        <v/>
      </c>
      <c r="E446" s="61">
        <f>IF(C446="","",MIN(100,(Z446="Oui")*'Paramètres'!$B$38+(AB446="Régulière")*'Paramètres'!$B$39+IF(AND(N(AA446)&gt;0,TODAY()-N(AA446)&lt;=30),'Paramètres'!$B$40,0)+(W446="")*'Paramètres'!$B$41+(AC446="Absente")*'Paramètres'!$B$42+(AC446="Faible")*'Paramètres'!$B$43+IF(AND(N(AD446)&gt;0,N(AD446)&lt;4),'Paramètres'!$B$44,0)+(AF446="Moyenne")*'Paramètres'!$B$45+(AF446="Grande")*'Paramètres'!$B$46+(Y446&lt;&gt;"")*'Paramètres'!$B$47))</f>
        <v/>
      </c>
      <c r="F446" s="60">
        <f>IF(C446="","",IF(D446="Gagné","",IF(D446="Perdu",IF(AND(AX446&lt;&gt;"",AX446&lt;=TODAY()),"À recontacter (perdu)",""),IF(AND(O446&gt;='Paramètres'!$B$21,P446=0),"Stop : "&amp;'Paramètres'!$B$21&amp;" tentatives sans réponse",IF(AND(D446="Proposition",AR446&lt;&gt;"",TODAY()&gt;N(AR446)),"Proposition expirée",IF(AND(D446="Proposition",N(R446)&gt;='Paramètres'!$B$25),"Proposition sans réponse",IF(AND(G446&lt;&gt;"",N(G446)&lt;TODAY()),"Relance en retard",IF(N(R446)&gt;='Paramètres'!$B$24,"Sans action depuis "&amp;R446&amp;" j",""))))))))</f>
        <v/>
      </c>
      <c r="G446" s="106">
        <f>IF(OR(C446="",D446="Gagné",D446="Perdu"),"",IF(AND(BP446&gt;0,BP446=BQ446),INDEX('Saisie'!$J$5:$J$2004,BP446-4),IF(OR(O446=0,AND(O446&gt;='Paramètres'!$B$21,P446=0)),"",Q446+IF(O446&lt;=1,'Paramètres'!$B$18,IF(O446=2,'Paramètres'!$B$19,'Paramètres'!$B$20)))))</f>
        <v/>
      </c>
      <c r="H446" s="107">
        <f>IF(OR(G446="",BP446&lt;&gt;BQ446),"",IF(INDEX('Saisie'!$K$5:$K$2004,BP446-4)="","",INDEX('Saisie'!$K$5:$K$2004,BP446-4)))</f>
        <v/>
      </c>
      <c r="I446" s="60">
        <f>IF(C446="","",IF(OR(D446="Gagné",D446="Perdu"),"",IFERROR(INDEX('Saisie'!$I$5:$I$2004,_xlfn.MAXIFS('Saisie'!$AS$5:$AS$2004,'Saisie'!$C$5:$C$2004,C446,'Saisie'!$I$5:$I$2004,"&lt;&gt;")-4),"")))</f>
        <v/>
      </c>
      <c r="J446" s="60">
        <f>IF(C446="","",IFERROR(INDEX('Saisie'!$U$5:$U$2004,_xlfn.MAXIFS('Saisie'!$AS$5:$AS$2004,'Saisie'!$C$5:$C$2004,C446,'Saisie'!$U$5:$U$2004,"&lt;&gt;")-4),""))</f>
        <v/>
      </c>
      <c r="K446" s="60">
        <f>IF(C446="","",IFERROR(INDEX('Saisie'!$W$5:$W$2004,_xlfn.MAXIFS('Saisie'!$AS$5:$AS$2004,'Saisie'!$C$5:$C$2004,C446,'Saisie'!$W$5:$W$2004,"&lt;&gt;")-4),""))</f>
        <v/>
      </c>
      <c r="L446" s="60">
        <f>IF(IF(BB446&lt;&gt;"",BB446,K446)="","",HYPERLINK("https://wa.me/"&amp;IF(LEFT(SUBSTITUTE(SUBSTITUTE(SUBSTITUTE(IF(BB446&lt;&gt;"",BB446,K446)," ",""),".",""),"+",""),1)="0",'Paramètres'!$B$35&amp;MID(SUBSTITUTE(SUBSTITUTE(SUBSTITUTE(IF(BB446&lt;&gt;"",BB446,K446)," ",""),".",""),"+",""),2,20),SUBSTITUTE(SUBSTITUTE(SUBSTITUTE(IF(BB446&lt;&gt;"",BB446,K446)," ",""),".",""),"+","")),"WhatsApp"))</f>
        <v/>
      </c>
      <c r="M446" s="60">
        <f>IF(BC446="","",HYPERLINK(IF(LEFT(BC446,4)="http",BC446,"https://www.instagram.com/"&amp;SUBSTITUTE(SUBSTITUTE(BC446,"@","")," ","")),BC446))</f>
        <v/>
      </c>
      <c r="N446" s="60">
        <f>IF(C446="","",IFERROR(INDEX('Saisie'!$D$5:$D$2004,_xlfn.MINIFS('Saisie'!$AS$5:$AS$2004,'Saisie'!$C$5:$C$2004,C446,'Saisie'!$AU$5:$AU$2004,1)-4),IFERROR(INDEX('Saisie'!$D$5:$D$2004,_xlfn.MINIFS('Saisie'!$AS$5:$AS$2004,'Saisie'!$C$5:$C$2004,C446,'Saisie'!$D$5:$D$2004,"&lt;&gt;")-4),"")))</f>
        <v/>
      </c>
      <c r="O446" s="60">
        <f>IF(C446="","",COUNTIFS('Saisie'!$C$5:$C$2004,C446,'Saisie'!$AU$5:$AU$2004,1))</f>
        <v/>
      </c>
      <c r="P446" s="60">
        <f>IF(C446="","",COUNTIFS('Saisie'!$C$5:$C$2004,C446,'Saisie'!$AV$5:$AV$2004,1))</f>
        <v/>
      </c>
      <c r="Q446" s="106">
        <f>IF(C446="","",IFERROR(1/(1/_xlfn.MAXIFS('Saisie'!$A$5:$A$2004,'Saisie'!$C$5:$C$2004,C446)),""))</f>
        <v/>
      </c>
      <c r="R446" s="61">
        <f>IF(C446="","",IF(Q446="","",TODAY()-Q446))</f>
        <v/>
      </c>
      <c r="S446" s="60">
        <f>IF(C446="","",IFERROR(INDEX('Saisie'!$R$5:$R$2004,_xlfn.MAXIFS('Saisie'!$AS$5:$AS$2004,'Saisie'!$C$5:$C$2004,C446,'Saisie'!$R$5:$R$2004,"&lt;&gt;")-4),""))</f>
        <v/>
      </c>
      <c r="T446" s="60">
        <f>IF(C446="","",IFERROR(INDEX('Saisie'!$S$5:$S$2004,_xlfn.MAXIFS('Saisie'!$AS$5:$AS$2004,'Saisie'!$C$5:$C$2004,C446,'Saisie'!$S$5:$S$2004,"&lt;&gt;")-4),""))</f>
        <v/>
      </c>
      <c r="U446" s="60">
        <f>IF(C446="","",IFERROR(INDEX('Saisie'!$T$5:$T$2004,_xlfn.MAXIFS('Saisie'!$AS$5:$AS$2004,'Saisie'!$C$5:$C$2004,C446,'Saisie'!$T$5:$T$2004,"&lt;&gt;")-4),""))</f>
        <v/>
      </c>
      <c r="V446" s="60">
        <f>IF(C446="","",IFERROR(INDEX('Saisie'!$V$5:$V$2004,_xlfn.MAXIFS('Saisie'!$AS$5:$AS$2004,'Saisie'!$C$5:$C$2004,C446,'Saisie'!$V$5:$V$2004,"&lt;&gt;")-4),""))</f>
        <v/>
      </c>
      <c r="W446" s="60">
        <f>IF(C446="","",IFERROR(INDEX('Saisie'!$Z$5:$Z$2004,_xlfn.MAXIFS('Saisie'!$AS$5:$AS$2004,'Saisie'!$C$5:$C$2004,C446,'Saisie'!$Z$5:$Z$2004,"&lt;&gt;")-4),""))</f>
        <v/>
      </c>
      <c r="X446" s="60">
        <f>IF(C446="","",IFERROR(INDEX('Saisie'!$AA$5:$AA$2004,_xlfn.MAXIFS('Saisie'!$AS$5:$AS$2004,'Saisie'!$C$5:$C$2004,C446,'Saisie'!$AA$5:$AA$2004,"&lt;&gt;")-4),""))</f>
        <v/>
      </c>
      <c r="Y446" s="60">
        <f>IF(C446="","",IFERROR(INDEX('Saisie'!$AB$5:$AB$2004,_xlfn.MAXIFS('Saisie'!$AS$5:$AS$2004,'Saisie'!$C$5:$C$2004,C446,'Saisie'!$AB$5:$AB$2004,"&lt;&gt;")-4),""))</f>
        <v/>
      </c>
      <c r="Z446" s="60">
        <f>IF(C446="","",IFERROR(INDEX('Saisie'!$AC$5:$AC$2004,_xlfn.MAXIFS('Saisie'!$AS$5:$AS$2004,'Saisie'!$C$5:$C$2004,C446,'Saisie'!$AC$5:$AC$2004,"&lt;&gt;")-4),""))</f>
        <v/>
      </c>
      <c r="AA446" s="106">
        <f>IF(C446="","",IFERROR(INDEX('Saisie'!$AD$5:$AD$2004,_xlfn.MAXIFS('Saisie'!$AS$5:$AS$2004,'Saisie'!$C$5:$C$2004,C446,'Saisie'!$AD$5:$AD$2004,"&lt;&gt;")-4),""))</f>
        <v/>
      </c>
      <c r="AB446" s="60">
        <f>IF(C446="","",IFERROR(INDEX('Saisie'!$AE$5:$AE$2004,_xlfn.MAXIFS('Saisie'!$AS$5:$AS$2004,'Saisie'!$C$5:$C$2004,C446,'Saisie'!$AE$5:$AE$2004,"&lt;&gt;")-4),""))</f>
        <v/>
      </c>
      <c r="AC446" s="60">
        <f>IF(C446="","",IFERROR(INDEX('Saisie'!$AF$5:$AF$2004,_xlfn.MAXIFS('Saisie'!$AS$5:$AS$2004,'Saisie'!$C$5:$C$2004,C446,'Saisie'!$AF$5:$AF$2004,"&lt;&gt;")-4),""))</f>
        <v/>
      </c>
      <c r="AD446" s="108">
        <f>IF(C446="","",IFERROR(INDEX('Saisie'!$AG$5:$AG$2004,_xlfn.MAXIFS('Saisie'!$AS$5:$AS$2004,'Saisie'!$C$5:$C$2004,C446,'Saisie'!$AG$5:$AG$2004,"&lt;&gt;")-4),""))</f>
        <v/>
      </c>
      <c r="AE446" s="60">
        <f>IF(C446="","",IFERROR(INDEX('Saisie'!$AH$5:$AH$2004,_xlfn.MAXIFS('Saisie'!$AS$5:$AS$2004,'Saisie'!$C$5:$C$2004,C446,'Saisie'!$AH$5:$AH$2004,"&lt;&gt;")-4),""))</f>
        <v/>
      </c>
      <c r="AF446" s="60">
        <f>IF(C446="","",IFERROR(INDEX('Saisie'!$AI$5:$AI$2004,_xlfn.MAXIFS('Saisie'!$AS$5:$AS$2004,'Saisie'!$C$5:$C$2004,C446,'Saisie'!$AI$5:$AI$2004,"&lt;&gt;")-4),""))</f>
        <v/>
      </c>
      <c r="AG446" s="60">
        <f>IF(C446="","",IFERROR(INDEX('Saisie'!$AJ$5:$AJ$2004,_xlfn.MAXIFS('Saisie'!$AS$5:$AS$2004,'Saisie'!$C$5:$C$2004,C446,'Saisie'!$AJ$5:$AJ$2004,"&lt;&gt;")-4),""))</f>
        <v/>
      </c>
      <c r="AH446" s="60">
        <f>IF(C446="","",IFERROR(INDEX('Saisie'!$AK$5:$AK$2004,_xlfn.MAXIFS('Saisie'!$AS$5:$AS$2004,'Saisie'!$C$5:$C$2004,C446,'Saisie'!$AK$5:$AK$2004,"&lt;&gt;")-4),""))</f>
        <v/>
      </c>
      <c r="AI446" s="60">
        <f>IF(C446="","",IFERROR(INDEX('Saisie'!$AN$5:$AN$2004,_xlfn.MAXIFS('Saisie'!$AS$5:$AS$2004,'Saisie'!$C$5:$C$2004,C446,'Saisie'!$AN$5:$AN$2004,"&lt;&gt;")-4),""))</f>
        <v/>
      </c>
      <c r="AJ446" s="60">
        <f>IF(C446="","",IFERROR(INDEX('Saisie'!$AO$5:$AO$2004,_xlfn.MAXIFS('Saisie'!$AS$5:$AS$2004,'Saisie'!$C$5:$C$2004,C446,'Saisie'!$AO$5:$AO$2004,"&lt;&gt;")-4),""))</f>
        <v/>
      </c>
      <c r="AK446" s="60">
        <f>IF(C446="","",IFERROR(INDEX('Saisie'!$AP$5:$AP$2004,_xlfn.MAXIFS('Saisie'!$AS$5:$AS$2004,'Saisie'!$C$5:$C$2004,C446,'Saisie'!$AP$5:$AP$2004,"&lt;&gt;")-4),""))</f>
        <v/>
      </c>
      <c r="AL446" s="60">
        <f>IF(C446="","",IFERROR(INDEX('Saisie'!$AQ$5:$AQ$2004,_xlfn.MAXIFS('Saisie'!$AS$5:$AS$2004,'Saisie'!$C$5:$C$2004,C446,'Saisie'!$AQ$5:$AQ$2004,"&lt;&gt;")-4),""))</f>
        <v/>
      </c>
      <c r="AM446" s="60">
        <f>IF(C446="","",((AI446="Oui")+(AJ446="Oui")+(AK446="Oui")+OR(AL446="Immédiat",AL446="&lt; 1 mois"))&amp;"/4")</f>
        <v/>
      </c>
      <c r="AN446" s="60">
        <f>IF(C446="","",IFERROR(INDEX('Saisie'!$AL$5:$AL$2004,_xlfn.MAXIFS('Saisie'!$AS$5:$AS$2004,'Saisie'!$C$5:$C$2004,C446,'Saisie'!$AL$5:$AL$2004,"&lt;&gt;")-4),""))</f>
        <v/>
      </c>
      <c r="AO446" s="62">
        <f>IF(C446="","",IF(IFERROR(INDEX('Saisie'!$AM$5:$AM$2004,_xlfn.MAXIFS('Saisie'!$AS$5:$AS$2004,'Saisie'!$C$5:$C$2004,C446,'Saisie'!$AM$5:$AM$2004,"&lt;&gt;")-4),"")&lt;&gt;"",IFERROR(INDEX('Saisie'!$AM$5:$AM$2004,_xlfn.MAXIFS('Saisie'!$AS$5:$AS$2004,'Saisie'!$C$5:$C$2004,C446,'Saisie'!$AM$5:$AM$2004,"&lt;&gt;")-4),""),IFERROR(INDEX('Paramètres'!$S$6:$S$15,MATCH(AN446,'Paramètres'!$Q$6:$Q$15,0)),"")))</f>
        <v/>
      </c>
      <c r="AP446" s="62">
        <f>IF(C446="","",IFERROR(INDEX('Saisie'!$AW$5:$AW$2004,_xlfn.MAXIFS('Saisie'!$AS$5:$AS$2004,'Saisie'!$C$5:$C$2004,C446,'Saisie'!$E$5:$E$2004,"Proposition envoyée")-4),""))</f>
        <v/>
      </c>
      <c r="AQ446" s="106">
        <f>IF(C446="","",IFERROR(1/(1/_xlfn.MAXIFS('Saisie'!$A$5:$A$2004,'Saisie'!$C$5:$C$2004,C446,'Saisie'!$E$5:$E$2004,"Proposition envoyée")),""))</f>
        <v/>
      </c>
      <c r="AR446" s="106">
        <f>IF(C446="","",IF(AQ446="","",AQ446+'Paramètres'!$B$26))</f>
        <v/>
      </c>
      <c r="AS446" s="62">
        <f>IF(OR(C446="",D446="Gagné",D446="Perdu"),0,N(AP446)*IFERROR(INDEX('Paramètres'!$G$6:$G$13,MATCH(D446,'Paramètres'!$F$6:$F$13,0)),0))</f>
        <v/>
      </c>
      <c r="AT446" s="106">
        <f>IF(C446="","",IFERROR(1/(1/_xlfn.MINIFS('Saisie'!$A$5:$A$2004,'Saisie'!$C$5:$C$2004,C446,'Saisie'!$E$5:$E$2004,"Signature")),""))</f>
        <v/>
      </c>
      <c r="AU446" s="60">
        <f>IF(C446="","",IF(OR(AT446="",B446=""),"",AT446-B446))</f>
        <v/>
      </c>
      <c r="AV446" s="60">
        <f>IF(C446="","",IFERROR(INDEX('Saisie'!$L$5:$L$2004,_xlfn.MAXIFS('Saisie'!$AS$5:$AS$2004,'Saisie'!$C$5:$C$2004,C446,'Saisie'!$L$5:$L$2004,"&lt;&gt;")-4),""))</f>
        <v/>
      </c>
      <c r="AW446" s="106">
        <f>IF(C446="","",IF(D446&lt;&gt;"Perdu","",IFERROR(1/(1/_xlfn.MAXIFS('Saisie'!$A$5:$A$2004,'Saisie'!$C$5:$C$2004,C446,'Saisie'!$E$5:$E$2004,"Perdu")),"")))</f>
        <v/>
      </c>
      <c r="AX446" s="106">
        <f>IF(C446="","",IF(AW446="","",AW446+'Paramètres'!$B$28))</f>
        <v/>
      </c>
      <c r="AY446" s="60">
        <f>IF(C446="","",SUMIFS('Saisie'!$H$5:$H$2004,'Saisie'!$C$5:$C$2004,C446))</f>
        <v/>
      </c>
      <c r="AZ446" s="60">
        <f>IF(C446="","",IFERROR(INDEX('Paramètres'!$W$6:$W$20,MATCH(S446,'Paramètres'!$V$6:$V$20,0))&amp;"",""))</f>
        <v/>
      </c>
      <c r="BA446" s="60">
        <f>IF(C446="","",MAX(1,_xlfn.MAXIFS('Saisie'!$AT$5:$AT$2004,'Saisie'!$C$5:$C$2004,C446)))</f>
        <v/>
      </c>
      <c r="BB446" s="60">
        <f>IF(C446="","",IFERROR(INDEX('Saisie'!$X$5:$X$2004,_xlfn.MAXIFS('Saisie'!$AS$5:$AS$2004,'Saisie'!$C$5:$C$2004,C446,'Saisie'!$X$5:$X$2004,"&lt;&gt;")-4),""))</f>
        <v/>
      </c>
      <c r="BC446" s="60">
        <f>IF(C446="","",IFERROR(INDEX('Saisie'!$Y$5:$Y$2004,_xlfn.MAXIFS('Saisie'!$AS$5:$AS$2004,'Saisie'!$C$5:$C$2004,C446,'Saisie'!$Y$5:$Y$2004,"&lt;&gt;")-4),""))</f>
        <v/>
      </c>
      <c r="BD446" s="106">
        <f>IF(C446="","",IFERROR(1/(1/_xlfn.MINIFS('Saisie'!$A$5:$A$2004,'Saisie'!$C$5:$C$2004,C446,'Saisie'!$AT$5:$AT$2004,"&gt;=2")),""))</f>
        <v/>
      </c>
      <c r="BE446" s="106">
        <f>IF(C446="","",IFERROR(1/(1/_xlfn.MINIFS('Saisie'!$A$5:$A$2004,'Saisie'!$C$5:$C$2004,C446,'Saisie'!$AT$5:$AT$2004,"&gt;=3")),""))</f>
        <v/>
      </c>
      <c r="BF446" s="106">
        <f>IF(C446="","",IFERROR(1/(1/_xlfn.MINIFS('Saisie'!$A$5:$A$2004,'Saisie'!$C$5:$C$2004,C446,'Saisie'!$AT$5:$AT$2004,"&gt;=4")),""))</f>
        <v/>
      </c>
      <c r="BG446" s="106">
        <f>IF(C446="","",IFERROR(1/(1/_xlfn.MINIFS('Saisie'!$A$5:$A$2004,'Saisie'!$C$5:$C$2004,C446,'Saisie'!$AT$5:$AT$2004,"&gt;=5")),""))</f>
        <v/>
      </c>
      <c r="BH446" s="106">
        <f>IF(C446="","",IFERROR(1/(1/_xlfn.MINIFS('Saisie'!$A$5:$A$2004,'Saisie'!$C$5:$C$2004,C446,'Saisie'!$AT$5:$AT$2004,"&gt;=6")),""))</f>
        <v/>
      </c>
      <c r="BI446" s="106">
        <f>IF(C446="","",IFERROR(1/(1/_xlfn.MINIFS('Saisie'!$A$5:$A$2004,'Saisie'!$C$5:$C$2004,C446,'Saisie'!$AT$5:$AT$2004,"&gt;=7")),""))</f>
        <v/>
      </c>
      <c r="BJ446" s="60">
        <f>IF(OR(BD446="",B446=""),"",BD446-B446)</f>
        <v/>
      </c>
      <c r="BK446" s="60">
        <f>IF(OR(BE446="",BD446=""),"",BE446-BD446)</f>
        <v/>
      </c>
      <c r="BL446" s="60">
        <f>IF(OR(BF446="",BE446=""),"",BF446-BE446)</f>
        <v/>
      </c>
      <c r="BM446" s="60">
        <f>IF(OR(BG446="",BF446=""),"",BG446-BF446)</f>
        <v/>
      </c>
      <c r="BN446" s="60">
        <f>IF(OR(BH446="",BG446=""),"",BH446-BG446)</f>
        <v/>
      </c>
      <c r="BO446" s="60">
        <f>IF(OR(BI446="",BH446=""),"",BI446-BH446)</f>
        <v/>
      </c>
      <c r="BP446" s="60">
        <f>IF(C446="","",_xlfn.MAXIFS('Saisie'!$AS$5:$AS$2004,'Saisie'!$C$5:$C$2004,C446,'Saisie'!$J$5:$J$2004,"&lt;&gt;"))</f>
        <v/>
      </c>
      <c r="BQ446" s="60">
        <f>IF(C446="","",_xlfn.MAXIFS('Saisie'!$AS$5:$AS$2004,'Saisie'!$C$5:$C$2004,C446))</f>
        <v/>
      </c>
      <c r="BR446" s="60">
        <f>IF(C446="","",_xlfn.MAXIFS('Saisie'!$AS$5:$AS$2004,'Saisie'!$C$5:$C$2004,C446,'Saisie'!$E$5:$E$2004,"Perdu"))</f>
        <v/>
      </c>
      <c r="BS446" s="60">
        <f>IF(C446="","",_xlfn.MAXIFS('Saisie'!$AS$5:$AS$2004,'Saisie'!$C$5:$C$2004,C446,'Saisie'!$AT$5:$AT$2004,"&gt;0"))</f>
        <v/>
      </c>
      <c r="BT446" s="109">
        <f>IF(AND(C446&lt;&gt;"",OR(D446="Nouveau",D446="Contacté",D446="Qualifié"),OR(G446="",N(G446)&lt;=TODAY()),NOT(AND(O446&gt;='Paramètres'!$B$21,P446=0))),E446+442/10000,"")</f>
        <v/>
      </c>
      <c r="BU446" s="60">
        <f>IF(AND(G446&lt;&gt;"",N(G446)&lt;=TODAY()),MAX($BU$4:BU445)+1,"")</f>
        <v/>
      </c>
      <c r="BV446" s="60">
        <f>IF(AND(F446&lt;&gt;"",F446&lt;&gt;"Relance en retard"),MAX($BV$4:BV445)+1,"")</f>
        <v/>
      </c>
      <c r="BW446" s="60">
        <f>IF(C446="","",IF(AND(B446&gt;='Tableau de bord'!$R$4,B446&lt;='Tableau de bord'!$S$4,OR('Tableau de bord'!$G$4="Tous",N446='Tableau de bord'!$G$4)),1,0))</f>
        <v/>
      </c>
      <c r="BX446" s="60">
        <f>IF(AND(C446&lt;&gt;"",N(BA446)=7),MAX($BX$4:BX445)+1,"")</f>
        <v/>
      </c>
    </row>
    <row r="447">
      <c r="A447" s="60">
        <f>IF(C447="","","P-"&amp;TEXT(443,"000"))</f>
        <v/>
      </c>
      <c r="B447" s="106">
        <f>IF(C447="","",IFERROR(1/(1/_xlfn.MINIFS('Saisie'!$A$5:$A$2004,'Saisie'!$C$5:$C$2004,C447)),""))</f>
        <v/>
      </c>
      <c r="C447" s="60">
        <f>IFERROR(INDEX('Saisie'!$C$5:$C$2004,MATCH(443,'Saisie'!$AX$5:$AX$2004,0)),"")</f>
        <v/>
      </c>
      <c r="D447" s="60">
        <f>IF(C447="","",IF(AND(BR447&gt;0,BR447&gt;BS447,BA447&lt;7),"Perdu",INDEX('Paramètres'!$F$6:$F$13,BA447)))</f>
        <v/>
      </c>
      <c r="E447" s="61">
        <f>IF(C447="","",MIN(100,(Z447="Oui")*'Paramètres'!$B$38+(AB447="Régulière")*'Paramètres'!$B$39+IF(AND(N(AA447)&gt;0,TODAY()-N(AA447)&lt;=30),'Paramètres'!$B$40,0)+(W447="")*'Paramètres'!$B$41+(AC447="Absente")*'Paramètres'!$B$42+(AC447="Faible")*'Paramètres'!$B$43+IF(AND(N(AD447)&gt;0,N(AD447)&lt;4),'Paramètres'!$B$44,0)+(AF447="Moyenne")*'Paramètres'!$B$45+(AF447="Grande")*'Paramètres'!$B$46+(Y447&lt;&gt;"")*'Paramètres'!$B$47))</f>
        <v/>
      </c>
      <c r="F447" s="60">
        <f>IF(C447="","",IF(D447="Gagné","",IF(D447="Perdu",IF(AND(AX447&lt;&gt;"",AX447&lt;=TODAY()),"À recontacter (perdu)",""),IF(AND(O447&gt;='Paramètres'!$B$21,P447=0),"Stop : "&amp;'Paramètres'!$B$21&amp;" tentatives sans réponse",IF(AND(D447="Proposition",AR447&lt;&gt;"",TODAY()&gt;N(AR447)),"Proposition expirée",IF(AND(D447="Proposition",N(R447)&gt;='Paramètres'!$B$25),"Proposition sans réponse",IF(AND(G447&lt;&gt;"",N(G447)&lt;TODAY()),"Relance en retard",IF(N(R447)&gt;='Paramètres'!$B$24,"Sans action depuis "&amp;R447&amp;" j",""))))))))</f>
        <v/>
      </c>
      <c r="G447" s="106">
        <f>IF(OR(C447="",D447="Gagné",D447="Perdu"),"",IF(AND(BP447&gt;0,BP447=BQ447),INDEX('Saisie'!$J$5:$J$2004,BP447-4),IF(OR(O447=0,AND(O447&gt;='Paramètres'!$B$21,P447=0)),"",Q447+IF(O447&lt;=1,'Paramètres'!$B$18,IF(O447=2,'Paramètres'!$B$19,'Paramètres'!$B$20)))))</f>
        <v/>
      </c>
      <c r="H447" s="107">
        <f>IF(OR(G447="",BP447&lt;&gt;BQ447),"",IF(INDEX('Saisie'!$K$5:$K$2004,BP447-4)="","",INDEX('Saisie'!$K$5:$K$2004,BP447-4)))</f>
        <v/>
      </c>
      <c r="I447" s="60">
        <f>IF(C447="","",IF(OR(D447="Gagné",D447="Perdu"),"",IFERROR(INDEX('Saisie'!$I$5:$I$2004,_xlfn.MAXIFS('Saisie'!$AS$5:$AS$2004,'Saisie'!$C$5:$C$2004,C447,'Saisie'!$I$5:$I$2004,"&lt;&gt;")-4),"")))</f>
        <v/>
      </c>
      <c r="J447" s="60">
        <f>IF(C447="","",IFERROR(INDEX('Saisie'!$U$5:$U$2004,_xlfn.MAXIFS('Saisie'!$AS$5:$AS$2004,'Saisie'!$C$5:$C$2004,C447,'Saisie'!$U$5:$U$2004,"&lt;&gt;")-4),""))</f>
        <v/>
      </c>
      <c r="K447" s="60">
        <f>IF(C447="","",IFERROR(INDEX('Saisie'!$W$5:$W$2004,_xlfn.MAXIFS('Saisie'!$AS$5:$AS$2004,'Saisie'!$C$5:$C$2004,C447,'Saisie'!$W$5:$W$2004,"&lt;&gt;")-4),""))</f>
        <v/>
      </c>
      <c r="L447" s="60">
        <f>IF(IF(BB447&lt;&gt;"",BB447,K447)="","",HYPERLINK("https://wa.me/"&amp;IF(LEFT(SUBSTITUTE(SUBSTITUTE(SUBSTITUTE(IF(BB447&lt;&gt;"",BB447,K447)," ",""),".",""),"+",""),1)="0",'Paramètres'!$B$35&amp;MID(SUBSTITUTE(SUBSTITUTE(SUBSTITUTE(IF(BB447&lt;&gt;"",BB447,K447)," ",""),".",""),"+",""),2,20),SUBSTITUTE(SUBSTITUTE(SUBSTITUTE(IF(BB447&lt;&gt;"",BB447,K447)," ",""),".",""),"+","")),"WhatsApp"))</f>
        <v/>
      </c>
      <c r="M447" s="60">
        <f>IF(BC447="","",HYPERLINK(IF(LEFT(BC447,4)="http",BC447,"https://www.instagram.com/"&amp;SUBSTITUTE(SUBSTITUTE(BC447,"@","")," ","")),BC447))</f>
        <v/>
      </c>
      <c r="N447" s="60">
        <f>IF(C447="","",IFERROR(INDEX('Saisie'!$D$5:$D$2004,_xlfn.MINIFS('Saisie'!$AS$5:$AS$2004,'Saisie'!$C$5:$C$2004,C447,'Saisie'!$AU$5:$AU$2004,1)-4),IFERROR(INDEX('Saisie'!$D$5:$D$2004,_xlfn.MINIFS('Saisie'!$AS$5:$AS$2004,'Saisie'!$C$5:$C$2004,C447,'Saisie'!$D$5:$D$2004,"&lt;&gt;")-4),"")))</f>
        <v/>
      </c>
      <c r="O447" s="60">
        <f>IF(C447="","",COUNTIFS('Saisie'!$C$5:$C$2004,C447,'Saisie'!$AU$5:$AU$2004,1))</f>
        <v/>
      </c>
      <c r="P447" s="60">
        <f>IF(C447="","",COUNTIFS('Saisie'!$C$5:$C$2004,C447,'Saisie'!$AV$5:$AV$2004,1))</f>
        <v/>
      </c>
      <c r="Q447" s="106">
        <f>IF(C447="","",IFERROR(1/(1/_xlfn.MAXIFS('Saisie'!$A$5:$A$2004,'Saisie'!$C$5:$C$2004,C447)),""))</f>
        <v/>
      </c>
      <c r="R447" s="61">
        <f>IF(C447="","",IF(Q447="","",TODAY()-Q447))</f>
        <v/>
      </c>
      <c r="S447" s="60">
        <f>IF(C447="","",IFERROR(INDEX('Saisie'!$R$5:$R$2004,_xlfn.MAXIFS('Saisie'!$AS$5:$AS$2004,'Saisie'!$C$5:$C$2004,C447,'Saisie'!$R$5:$R$2004,"&lt;&gt;")-4),""))</f>
        <v/>
      </c>
      <c r="T447" s="60">
        <f>IF(C447="","",IFERROR(INDEX('Saisie'!$S$5:$S$2004,_xlfn.MAXIFS('Saisie'!$AS$5:$AS$2004,'Saisie'!$C$5:$C$2004,C447,'Saisie'!$S$5:$S$2004,"&lt;&gt;")-4),""))</f>
        <v/>
      </c>
      <c r="U447" s="60">
        <f>IF(C447="","",IFERROR(INDEX('Saisie'!$T$5:$T$2004,_xlfn.MAXIFS('Saisie'!$AS$5:$AS$2004,'Saisie'!$C$5:$C$2004,C447,'Saisie'!$T$5:$T$2004,"&lt;&gt;")-4),""))</f>
        <v/>
      </c>
      <c r="V447" s="60">
        <f>IF(C447="","",IFERROR(INDEX('Saisie'!$V$5:$V$2004,_xlfn.MAXIFS('Saisie'!$AS$5:$AS$2004,'Saisie'!$C$5:$C$2004,C447,'Saisie'!$V$5:$V$2004,"&lt;&gt;")-4),""))</f>
        <v/>
      </c>
      <c r="W447" s="60">
        <f>IF(C447="","",IFERROR(INDEX('Saisie'!$Z$5:$Z$2004,_xlfn.MAXIFS('Saisie'!$AS$5:$AS$2004,'Saisie'!$C$5:$C$2004,C447,'Saisie'!$Z$5:$Z$2004,"&lt;&gt;")-4),""))</f>
        <v/>
      </c>
      <c r="X447" s="60">
        <f>IF(C447="","",IFERROR(INDEX('Saisie'!$AA$5:$AA$2004,_xlfn.MAXIFS('Saisie'!$AS$5:$AS$2004,'Saisie'!$C$5:$C$2004,C447,'Saisie'!$AA$5:$AA$2004,"&lt;&gt;")-4),""))</f>
        <v/>
      </c>
      <c r="Y447" s="60">
        <f>IF(C447="","",IFERROR(INDEX('Saisie'!$AB$5:$AB$2004,_xlfn.MAXIFS('Saisie'!$AS$5:$AS$2004,'Saisie'!$C$5:$C$2004,C447,'Saisie'!$AB$5:$AB$2004,"&lt;&gt;")-4),""))</f>
        <v/>
      </c>
      <c r="Z447" s="60">
        <f>IF(C447="","",IFERROR(INDEX('Saisie'!$AC$5:$AC$2004,_xlfn.MAXIFS('Saisie'!$AS$5:$AS$2004,'Saisie'!$C$5:$C$2004,C447,'Saisie'!$AC$5:$AC$2004,"&lt;&gt;")-4),""))</f>
        <v/>
      </c>
      <c r="AA447" s="106">
        <f>IF(C447="","",IFERROR(INDEX('Saisie'!$AD$5:$AD$2004,_xlfn.MAXIFS('Saisie'!$AS$5:$AS$2004,'Saisie'!$C$5:$C$2004,C447,'Saisie'!$AD$5:$AD$2004,"&lt;&gt;")-4),""))</f>
        <v/>
      </c>
      <c r="AB447" s="60">
        <f>IF(C447="","",IFERROR(INDEX('Saisie'!$AE$5:$AE$2004,_xlfn.MAXIFS('Saisie'!$AS$5:$AS$2004,'Saisie'!$C$5:$C$2004,C447,'Saisie'!$AE$5:$AE$2004,"&lt;&gt;")-4),""))</f>
        <v/>
      </c>
      <c r="AC447" s="60">
        <f>IF(C447="","",IFERROR(INDEX('Saisie'!$AF$5:$AF$2004,_xlfn.MAXIFS('Saisie'!$AS$5:$AS$2004,'Saisie'!$C$5:$C$2004,C447,'Saisie'!$AF$5:$AF$2004,"&lt;&gt;")-4),""))</f>
        <v/>
      </c>
      <c r="AD447" s="108">
        <f>IF(C447="","",IFERROR(INDEX('Saisie'!$AG$5:$AG$2004,_xlfn.MAXIFS('Saisie'!$AS$5:$AS$2004,'Saisie'!$C$5:$C$2004,C447,'Saisie'!$AG$5:$AG$2004,"&lt;&gt;")-4),""))</f>
        <v/>
      </c>
      <c r="AE447" s="60">
        <f>IF(C447="","",IFERROR(INDEX('Saisie'!$AH$5:$AH$2004,_xlfn.MAXIFS('Saisie'!$AS$5:$AS$2004,'Saisie'!$C$5:$C$2004,C447,'Saisie'!$AH$5:$AH$2004,"&lt;&gt;")-4),""))</f>
        <v/>
      </c>
      <c r="AF447" s="60">
        <f>IF(C447="","",IFERROR(INDEX('Saisie'!$AI$5:$AI$2004,_xlfn.MAXIFS('Saisie'!$AS$5:$AS$2004,'Saisie'!$C$5:$C$2004,C447,'Saisie'!$AI$5:$AI$2004,"&lt;&gt;")-4),""))</f>
        <v/>
      </c>
      <c r="AG447" s="60">
        <f>IF(C447="","",IFERROR(INDEX('Saisie'!$AJ$5:$AJ$2004,_xlfn.MAXIFS('Saisie'!$AS$5:$AS$2004,'Saisie'!$C$5:$C$2004,C447,'Saisie'!$AJ$5:$AJ$2004,"&lt;&gt;")-4),""))</f>
        <v/>
      </c>
      <c r="AH447" s="60">
        <f>IF(C447="","",IFERROR(INDEX('Saisie'!$AK$5:$AK$2004,_xlfn.MAXIFS('Saisie'!$AS$5:$AS$2004,'Saisie'!$C$5:$C$2004,C447,'Saisie'!$AK$5:$AK$2004,"&lt;&gt;")-4),""))</f>
        <v/>
      </c>
      <c r="AI447" s="60">
        <f>IF(C447="","",IFERROR(INDEX('Saisie'!$AN$5:$AN$2004,_xlfn.MAXIFS('Saisie'!$AS$5:$AS$2004,'Saisie'!$C$5:$C$2004,C447,'Saisie'!$AN$5:$AN$2004,"&lt;&gt;")-4),""))</f>
        <v/>
      </c>
      <c r="AJ447" s="60">
        <f>IF(C447="","",IFERROR(INDEX('Saisie'!$AO$5:$AO$2004,_xlfn.MAXIFS('Saisie'!$AS$5:$AS$2004,'Saisie'!$C$5:$C$2004,C447,'Saisie'!$AO$5:$AO$2004,"&lt;&gt;")-4),""))</f>
        <v/>
      </c>
      <c r="AK447" s="60">
        <f>IF(C447="","",IFERROR(INDEX('Saisie'!$AP$5:$AP$2004,_xlfn.MAXIFS('Saisie'!$AS$5:$AS$2004,'Saisie'!$C$5:$C$2004,C447,'Saisie'!$AP$5:$AP$2004,"&lt;&gt;")-4),""))</f>
        <v/>
      </c>
      <c r="AL447" s="60">
        <f>IF(C447="","",IFERROR(INDEX('Saisie'!$AQ$5:$AQ$2004,_xlfn.MAXIFS('Saisie'!$AS$5:$AS$2004,'Saisie'!$C$5:$C$2004,C447,'Saisie'!$AQ$5:$AQ$2004,"&lt;&gt;")-4),""))</f>
        <v/>
      </c>
      <c r="AM447" s="60">
        <f>IF(C447="","",((AI447="Oui")+(AJ447="Oui")+(AK447="Oui")+OR(AL447="Immédiat",AL447="&lt; 1 mois"))&amp;"/4")</f>
        <v/>
      </c>
      <c r="AN447" s="60">
        <f>IF(C447="","",IFERROR(INDEX('Saisie'!$AL$5:$AL$2004,_xlfn.MAXIFS('Saisie'!$AS$5:$AS$2004,'Saisie'!$C$5:$C$2004,C447,'Saisie'!$AL$5:$AL$2004,"&lt;&gt;")-4),""))</f>
        <v/>
      </c>
      <c r="AO447" s="62">
        <f>IF(C447="","",IF(IFERROR(INDEX('Saisie'!$AM$5:$AM$2004,_xlfn.MAXIFS('Saisie'!$AS$5:$AS$2004,'Saisie'!$C$5:$C$2004,C447,'Saisie'!$AM$5:$AM$2004,"&lt;&gt;")-4),"")&lt;&gt;"",IFERROR(INDEX('Saisie'!$AM$5:$AM$2004,_xlfn.MAXIFS('Saisie'!$AS$5:$AS$2004,'Saisie'!$C$5:$C$2004,C447,'Saisie'!$AM$5:$AM$2004,"&lt;&gt;")-4),""),IFERROR(INDEX('Paramètres'!$S$6:$S$15,MATCH(AN447,'Paramètres'!$Q$6:$Q$15,0)),"")))</f>
        <v/>
      </c>
      <c r="AP447" s="62">
        <f>IF(C447="","",IFERROR(INDEX('Saisie'!$AW$5:$AW$2004,_xlfn.MAXIFS('Saisie'!$AS$5:$AS$2004,'Saisie'!$C$5:$C$2004,C447,'Saisie'!$E$5:$E$2004,"Proposition envoyée")-4),""))</f>
        <v/>
      </c>
      <c r="AQ447" s="106">
        <f>IF(C447="","",IFERROR(1/(1/_xlfn.MAXIFS('Saisie'!$A$5:$A$2004,'Saisie'!$C$5:$C$2004,C447,'Saisie'!$E$5:$E$2004,"Proposition envoyée")),""))</f>
        <v/>
      </c>
      <c r="AR447" s="106">
        <f>IF(C447="","",IF(AQ447="","",AQ447+'Paramètres'!$B$26))</f>
        <v/>
      </c>
      <c r="AS447" s="62">
        <f>IF(OR(C447="",D447="Gagné",D447="Perdu"),0,N(AP447)*IFERROR(INDEX('Paramètres'!$G$6:$G$13,MATCH(D447,'Paramètres'!$F$6:$F$13,0)),0))</f>
        <v/>
      </c>
      <c r="AT447" s="106">
        <f>IF(C447="","",IFERROR(1/(1/_xlfn.MINIFS('Saisie'!$A$5:$A$2004,'Saisie'!$C$5:$C$2004,C447,'Saisie'!$E$5:$E$2004,"Signature")),""))</f>
        <v/>
      </c>
      <c r="AU447" s="60">
        <f>IF(C447="","",IF(OR(AT447="",B447=""),"",AT447-B447))</f>
        <v/>
      </c>
      <c r="AV447" s="60">
        <f>IF(C447="","",IFERROR(INDEX('Saisie'!$L$5:$L$2004,_xlfn.MAXIFS('Saisie'!$AS$5:$AS$2004,'Saisie'!$C$5:$C$2004,C447,'Saisie'!$L$5:$L$2004,"&lt;&gt;")-4),""))</f>
        <v/>
      </c>
      <c r="AW447" s="106">
        <f>IF(C447="","",IF(D447&lt;&gt;"Perdu","",IFERROR(1/(1/_xlfn.MAXIFS('Saisie'!$A$5:$A$2004,'Saisie'!$C$5:$C$2004,C447,'Saisie'!$E$5:$E$2004,"Perdu")),"")))</f>
        <v/>
      </c>
      <c r="AX447" s="106">
        <f>IF(C447="","",IF(AW447="","",AW447+'Paramètres'!$B$28))</f>
        <v/>
      </c>
      <c r="AY447" s="60">
        <f>IF(C447="","",SUMIFS('Saisie'!$H$5:$H$2004,'Saisie'!$C$5:$C$2004,C447))</f>
        <v/>
      </c>
      <c r="AZ447" s="60">
        <f>IF(C447="","",IFERROR(INDEX('Paramètres'!$W$6:$W$20,MATCH(S447,'Paramètres'!$V$6:$V$20,0))&amp;"",""))</f>
        <v/>
      </c>
      <c r="BA447" s="60">
        <f>IF(C447="","",MAX(1,_xlfn.MAXIFS('Saisie'!$AT$5:$AT$2004,'Saisie'!$C$5:$C$2004,C447)))</f>
        <v/>
      </c>
      <c r="BB447" s="60">
        <f>IF(C447="","",IFERROR(INDEX('Saisie'!$X$5:$X$2004,_xlfn.MAXIFS('Saisie'!$AS$5:$AS$2004,'Saisie'!$C$5:$C$2004,C447,'Saisie'!$X$5:$X$2004,"&lt;&gt;")-4),""))</f>
        <v/>
      </c>
      <c r="BC447" s="60">
        <f>IF(C447="","",IFERROR(INDEX('Saisie'!$Y$5:$Y$2004,_xlfn.MAXIFS('Saisie'!$AS$5:$AS$2004,'Saisie'!$C$5:$C$2004,C447,'Saisie'!$Y$5:$Y$2004,"&lt;&gt;")-4),""))</f>
        <v/>
      </c>
      <c r="BD447" s="106">
        <f>IF(C447="","",IFERROR(1/(1/_xlfn.MINIFS('Saisie'!$A$5:$A$2004,'Saisie'!$C$5:$C$2004,C447,'Saisie'!$AT$5:$AT$2004,"&gt;=2")),""))</f>
        <v/>
      </c>
      <c r="BE447" s="106">
        <f>IF(C447="","",IFERROR(1/(1/_xlfn.MINIFS('Saisie'!$A$5:$A$2004,'Saisie'!$C$5:$C$2004,C447,'Saisie'!$AT$5:$AT$2004,"&gt;=3")),""))</f>
        <v/>
      </c>
      <c r="BF447" s="106">
        <f>IF(C447="","",IFERROR(1/(1/_xlfn.MINIFS('Saisie'!$A$5:$A$2004,'Saisie'!$C$5:$C$2004,C447,'Saisie'!$AT$5:$AT$2004,"&gt;=4")),""))</f>
        <v/>
      </c>
      <c r="BG447" s="106">
        <f>IF(C447="","",IFERROR(1/(1/_xlfn.MINIFS('Saisie'!$A$5:$A$2004,'Saisie'!$C$5:$C$2004,C447,'Saisie'!$AT$5:$AT$2004,"&gt;=5")),""))</f>
        <v/>
      </c>
      <c r="BH447" s="106">
        <f>IF(C447="","",IFERROR(1/(1/_xlfn.MINIFS('Saisie'!$A$5:$A$2004,'Saisie'!$C$5:$C$2004,C447,'Saisie'!$AT$5:$AT$2004,"&gt;=6")),""))</f>
        <v/>
      </c>
      <c r="BI447" s="106">
        <f>IF(C447="","",IFERROR(1/(1/_xlfn.MINIFS('Saisie'!$A$5:$A$2004,'Saisie'!$C$5:$C$2004,C447,'Saisie'!$AT$5:$AT$2004,"&gt;=7")),""))</f>
        <v/>
      </c>
      <c r="BJ447" s="60">
        <f>IF(OR(BD447="",B447=""),"",BD447-B447)</f>
        <v/>
      </c>
      <c r="BK447" s="60">
        <f>IF(OR(BE447="",BD447=""),"",BE447-BD447)</f>
        <v/>
      </c>
      <c r="BL447" s="60">
        <f>IF(OR(BF447="",BE447=""),"",BF447-BE447)</f>
        <v/>
      </c>
      <c r="BM447" s="60">
        <f>IF(OR(BG447="",BF447=""),"",BG447-BF447)</f>
        <v/>
      </c>
      <c r="BN447" s="60">
        <f>IF(OR(BH447="",BG447=""),"",BH447-BG447)</f>
        <v/>
      </c>
      <c r="BO447" s="60">
        <f>IF(OR(BI447="",BH447=""),"",BI447-BH447)</f>
        <v/>
      </c>
      <c r="BP447" s="60">
        <f>IF(C447="","",_xlfn.MAXIFS('Saisie'!$AS$5:$AS$2004,'Saisie'!$C$5:$C$2004,C447,'Saisie'!$J$5:$J$2004,"&lt;&gt;"))</f>
        <v/>
      </c>
      <c r="BQ447" s="60">
        <f>IF(C447="","",_xlfn.MAXIFS('Saisie'!$AS$5:$AS$2004,'Saisie'!$C$5:$C$2004,C447))</f>
        <v/>
      </c>
      <c r="BR447" s="60">
        <f>IF(C447="","",_xlfn.MAXIFS('Saisie'!$AS$5:$AS$2004,'Saisie'!$C$5:$C$2004,C447,'Saisie'!$E$5:$E$2004,"Perdu"))</f>
        <v/>
      </c>
      <c r="BS447" s="60">
        <f>IF(C447="","",_xlfn.MAXIFS('Saisie'!$AS$5:$AS$2004,'Saisie'!$C$5:$C$2004,C447,'Saisie'!$AT$5:$AT$2004,"&gt;0"))</f>
        <v/>
      </c>
      <c r="BT447" s="109">
        <f>IF(AND(C447&lt;&gt;"",OR(D447="Nouveau",D447="Contacté",D447="Qualifié"),OR(G447="",N(G447)&lt;=TODAY()),NOT(AND(O447&gt;='Paramètres'!$B$21,P447=0))),E447+443/10000,"")</f>
        <v/>
      </c>
      <c r="BU447" s="60">
        <f>IF(AND(G447&lt;&gt;"",N(G447)&lt;=TODAY()),MAX($BU$4:BU446)+1,"")</f>
        <v/>
      </c>
      <c r="BV447" s="60">
        <f>IF(AND(F447&lt;&gt;"",F447&lt;&gt;"Relance en retard"),MAX($BV$4:BV446)+1,"")</f>
        <v/>
      </c>
      <c r="BW447" s="60">
        <f>IF(C447="","",IF(AND(B447&gt;='Tableau de bord'!$R$4,B447&lt;='Tableau de bord'!$S$4,OR('Tableau de bord'!$G$4="Tous",N447='Tableau de bord'!$G$4)),1,0))</f>
        <v/>
      </c>
      <c r="BX447" s="60">
        <f>IF(AND(C447&lt;&gt;"",N(BA447)=7),MAX($BX$4:BX446)+1,"")</f>
        <v/>
      </c>
    </row>
    <row r="448">
      <c r="A448" s="60">
        <f>IF(C448="","","P-"&amp;TEXT(444,"000"))</f>
        <v/>
      </c>
      <c r="B448" s="106">
        <f>IF(C448="","",IFERROR(1/(1/_xlfn.MINIFS('Saisie'!$A$5:$A$2004,'Saisie'!$C$5:$C$2004,C448)),""))</f>
        <v/>
      </c>
      <c r="C448" s="60">
        <f>IFERROR(INDEX('Saisie'!$C$5:$C$2004,MATCH(444,'Saisie'!$AX$5:$AX$2004,0)),"")</f>
        <v/>
      </c>
      <c r="D448" s="60">
        <f>IF(C448="","",IF(AND(BR448&gt;0,BR448&gt;BS448,BA448&lt;7),"Perdu",INDEX('Paramètres'!$F$6:$F$13,BA448)))</f>
        <v/>
      </c>
      <c r="E448" s="61">
        <f>IF(C448="","",MIN(100,(Z448="Oui")*'Paramètres'!$B$38+(AB448="Régulière")*'Paramètres'!$B$39+IF(AND(N(AA448)&gt;0,TODAY()-N(AA448)&lt;=30),'Paramètres'!$B$40,0)+(W448="")*'Paramètres'!$B$41+(AC448="Absente")*'Paramètres'!$B$42+(AC448="Faible")*'Paramètres'!$B$43+IF(AND(N(AD448)&gt;0,N(AD448)&lt;4),'Paramètres'!$B$44,0)+(AF448="Moyenne")*'Paramètres'!$B$45+(AF448="Grande")*'Paramètres'!$B$46+(Y448&lt;&gt;"")*'Paramètres'!$B$47))</f>
        <v/>
      </c>
      <c r="F448" s="60">
        <f>IF(C448="","",IF(D448="Gagné","",IF(D448="Perdu",IF(AND(AX448&lt;&gt;"",AX448&lt;=TODAY()),"À recontacter (perdu)",""),IF(AND(O448&gt;='Paramètres'!$B$21,P448=0),"Stop : "&amp;'Paramètres'!$B$21&amp;" tentatives sans réponse",IF(AND(D448="Proposition",AR448&lt;&gt;"",TODAY()&gt;N(AR448)),"Proposition expirée",IF(AND(D448="Proposition",N(R448)&gt;='Paramètres'!$B$25),"Proposition sans réponse",IF(AND(G448&lt;&gt;"",N(G448)&lt;TODAY()),"Relance en retard",IF(N(R448)&gt;='Paramètres'!$B$24,"Sans action depuis "&amp;R448&amp;" j",""))))))))</f>
        <v/>
      </c>
      <c r="G448" s="106">
        <f>IF(OR(C448="",D448="Gagné",D448="Perdu"),"",IF(AND(BP448&gt;0,BP448=BQ448),INDEX('Saisie'!$J$5:$J$2004,BP448-4),IF(OR(O448=0,AND(O448&gt;='Paramètres'!$B$21,P448=0)),"",Q448+IF(O448&lt;=1,'Paramètres'!$B$18,IF(O448=2,'Paramètres'!$B$19,'Paramètres'!$B$20)))))</f>
        <v/>
      </c>
      <c r="H448" s="107">
        <f>IF(OR(G448="",BP448&lt;&gt;BQ448),"",IF(INDEX('Saisie'!$K$5:$K$2004,BP448-4)="","",INDEX('Saisie'!$K$5:$K$2004,BP448-4)))</f>
        <v/>
      </c>
      <c r="I448" s="60">
        <f>IF(C448="","",IF(OR(D448="Gagné",D448="Perdu"),"",IFERROR(INDEX('Saisie'!$I$5:$I$2004,_xlfn.MAXIFS('Saisie'!$AS$5:$AS$2004,'Saisie'!$C$5:$C$2004,C448,'Saisie'!$I$5:$I$2004,"&lt;&gt;")-4),"")))</f>
        <v/>
      </c>
      <c r="J448" s="60">
        <f>IF(C448="","",IFERROR(INDEX('Saisie'!$U$5:$U$2004,_xlfn.MAXIFS('Saisie'!$AS$5:$AS$2004,'Saisie'!$C$5:$C$2004,C448,'Saisie'!$U$5:$U$2004,"&lt;&gt;")-4),""))</f>
        <v/>
      </c>
      <c r="K448" s="60">
        <f>IF(C448="","",IFERROR(INDEX('Saisie'!$W$5:$W$2004,_xlfn.MAXIFS('Saisie'!$AS$5:$AS$2004,'Saisie'!$C$5:$C$2004,C448,'Saisie'!$W$5:$W$2004,"&lt;&gt;")-4),""))</f>
        <v/>
      </c>
      <c r="L448" s="60">
        <f>IF(IF(BB448&lt;&gt;"",BB448,K448)="","",HYPERLINK("https://wa.me/"&amp;IF(LEFT(SUBSTITUTE(SUBSTITUTE(SUBSTITUTE(IF(BB448&lt;&gt;"",BB448,K448)," ",""),".",""),"+",""),1)="0",'Paramètres'!$B$35&amp;MID(SUBSTITUTE(SUBSTITUTE(SUBSTITUTE(IF(BB448&lt;&gt;"",BB448,K448)," ",""),".",""),"+",""),2,20),SUBSTITUTE(SUBSTITUTE(SUBSTITUTE(IF(BB448&lt;&gt;"",BB448,K448)," ",""),".",""),"+","")),"WhatsApp"))</f>
        <v/>
      </c>
      <c r="M448" s="60">
        <f>IF(BC448="","",HYPERLINK(IF(LEFT(BC448,4)="http",BC448,"https://www.instagram.com/"&amp;SUBSTITUTE(SUBSTITUTE(BC448,"@","")," ","")),BC448))</f>
        <v/>
      </c>
      <c r="N448" s="60">
        <f>IF(C448="","",IFERROR(INDEX('Saisie'!$D$5:$D$2004,_xlfn.MINIFS('Saisie'!$AS$5:$AS$2004,'Saisie'!$C$5:$C$2004,C448,'Saisie'!$AU$5:$AU$2004,1)-4),IFERROR(INDEX('Saisie'!$D$5:$D$2004,_xlfn.MINIFS('Saisie'!$AS$5:$AS$2004,'Saisie'!$C$5:$C$2004,C448,'Saisie'!$D$5:$D$2004,"&lt;&gt;")-4),"")))</f>
        <v/>
      </c>
      <c r="O448" s="60">
        <f>IF(C448="","",COUNTIFS('Saisie'!$C$5:$C$2004,C448,'Saisie'!$AU$5:$AU$2004,1))</f>
        <v/>
      </c>
      <c r="P448" s="60">
        <f>IF(C448="","",COUNTIFS('Saisie'!$C$5:$C$2004,C448,'Saisie'!$AV$5:$AV$2004,1))</f>
        <v/>
      </c>
      <c r="Q448" s="106">
        <f>IF(C448="","",IFERROR(1/(1/_xlfn.MAXIFS('Saisie'!$A$5:$A$2004,'Saisie'!$C$5:$C$2004,C448)),""))</f>
        <v/>
      </c>
      <c r="R448" s="61">
        <f>IF(C448="","",IF(Q448="","",TODAY()-Q448))</f>
        <v/>
      </c>
      <c r="S448" s="60">
        <f>IF(C448="","",IFERROR(INDEX('Saisie'!$R$5:$R$2004,_xlfn.MAXIFS('Saisie'!$AS$5:$AS$2004,'Saisie'!$C$5:$C$2004,C448,'Saisie'!$R$5:$R$2004,"&lt;&gt;")-4),""))</f>
        <v/>
      </c>
      <c r="T448" s="60">
        <f>IF(C448="","",IFERROR(INDEX('Saisie'!$S$5:$S$2004,_xlfn.MAXIFS('Saisie'!$AS$5:$AS$2004,'Saisie'!$C$5:$C$2004,C448,'Saisie'!$S$5:$S$2004,"&lt;&gt;")-4),""))</f>
        <v/>
      </c>
      <c r="U448" s="60">
        <f>IF(C448="","",IFERROR(INDEX('Saisie'!$T$5:$T$2004,_xlfn.MAXIFS('Saisie'!$AS$5:$AS$2004,'Saisie'!$C$5:$C$2004,C448,'Saisie'!$T$5:$T$2004,"&lt;&gt;")-4),""))</f>
        <v/>
      </c>
      <c r="V448" s="60">
        <f>IF(C448="","",IFERROR(INDEX('Saisie'!$V$5:$V$2004,_xlfn.MAXIFS('Saisie'!$AS$5:$AS$2004,'Saisie'!$C$5:$C$2004,C448,'Saisie'!$V$5:$V$2004,"&lt;&gt;")-4),""))</f>
        <v/>
      </c>
      <c r="W448" s="60">
        <f>IF(C448="","",IFERROR(INDEX('Saisie'!$Z$5:$Z$2004,_xlfn.MAXIFS('Saisie'!$AS$5:$AS$2004,'Saisie'!$C$5:$C$2004,C448,'Saisie'!$Z$5:$Z$2004,"&lt;&gt;")-4),""))</f>
        <v/>
      </c>
      <c r="X448" s="60">
        <f>IF(C448="","",IFERROR(INDEX('Saisie'!$AA$5:$AA$2004,_xlfn.MAXIFS('Saisie'!$AS$5:$AS$2004,'Saisie'!$C$5:$C$2004,C448,'Saisie'!$AA$5:$AA$2004,"&lt;&gt;")-4),""))</f>
        <v/>
      </c>
      <c r="Y448" s="60">
        <f>IF(C448="","",IFERROR(INDEX('Saisie'!$AB$5:$AB$2004,_xlfn.MAXIFS('Saisie'!$AS$5:$AS$2004,'Saisie'!$C$5:$C$2004,C448,'Saisie'!$AB$5:$AB$2004,"&lt;&gt;")-4),""))</f>
        <v/>
      </c>
      <c r="Z448" s="60">
        <f>IF(C448="","",IFERROR(INDEX('Saisie'!$AC$5:$AC$2004,_xlfn.MAXIFS('Saisie'!$AS$5:$AS$2004,'Saisie'!$C$5:$C$2004,C448,'Saisie'!$AC$5:$AC$2004,"&lt;&gt;")-4),""))</f>
        <v/>
      </c>
      <c r="AA448" s="106">
        <f>IF(C448="","",IFERROR(INDEX('Saisie'!$AD$5:$AD$2004,_xlfn.MAXIFS('Saisie'!$AS$5:$AS$2004,'Saisie'!$C$5:$C$2004,C448,'Saisie'!$AD$5:$AD$2004,"&lt;&gt;")-4),""))</f>
        <v/>
      </c>
      <c r="AB448" s="60">
        <f>IF(C448="","",IFERROR(INDEX('Saisie'!$AE$5:$AE$2004,_xlfn.MAXIFS('Saisie'!$AS$5:$AS$2004,'Saisie'!$C$5:$C$2004,C448,'Saisie'!$AE$5:$AE$2004,"&lt;&gt;")-4),""))</f>
        <v/>
      </c>
      <c r="AC448" s="60">
        <f>IF(C448="","",IFERROR(INDEX('Saisie'!$AF$5:$AF$2004,_xlfn.MAXIFS('Saisie'!$AS$5:$AS$2004,'Saisie'!$C$5:$C$2004,C448,'Saisie'!$AF$5:$AF$2004,"&lt;&gt;")-4),""))</f>
        <v/>
      </c>
      <c r="AD448" s="108">
        <f>IF(C448="","",IFERROR(INDEX('Saisie'!$AG$5:$AG$2004,_xlfn.MAXIFS('Saisie'!$AS$5:$AS$2004,'Saisie'!$C$5:$C$2004,C448,'Saisie'!$AG$5:$AG$2004,"&lt;&gt;")-4),""))</f>
        <v/>
      </c>
      <c r="AE448" s="60">
        <f>IF(C448="","",IFERROR(INDEX('Saisie'!$AH$5:$AH$2004,_xlfn.MAXIFS('Saisie'!$AS$5:$AS$2004,'Saisie'!$C$5:$C$2004,C448,'Saisie'!$AH$5:$AH$2004,"&lt;&gt;")-4),""))</f>
        <v/>
      </c>
      <c r="AF448" s="60">
        <f>IF(C448="","",IFERROR(INDEX('Saisie'!$AI$5:$AI$2004,_xlfn.MAXIFS('Saisie'!$AS$5:$AS$2004,'Saisie'!$C$5:$C$2004,C448,'Saisie'!$AI$5:$AI$2004,"&lt;&gt;")-4),""))</f>
        <v/>
      </c>
      <c r="AG448" s="60">
        <f>IF(C448="","",IFERROR(INDEX('Saisie'!$AJ$5:$AJ$2004,_xlfn.MAXIFS('Saisie'!$AS$5:$AS$2004,'Saisie'!$C$5:$C$2004,C448,'Saisie'!$AJ$5:$AJ$2004,"&lt;&gt;")-4),""))</f>
        <v/>
      </c>
      <c r="AH448" s="60">
        <f>IF(C448="","",IFERROR(INDEX('Saisie'!$AK$5:$AK$2004,_xlfn.MAXIFS('Saisie'!$AS$5:$AS$2004,'Saisie'!$C$5:$C$2004,C448,'Saisie'!$AK$5:$AK$2004,"&lt;&gt;")-4),""))</f>
        <v/>
      </c>
      <c r="AI448" s="60">
        <f>IF(C448="","",IFERROR(INDEX('Saisie'!$AN$5:$AN$2004,_xlfn.MAXIFS('Saisie'!$AS$5:$AS$2004,'Saisie'!$C$5:$C$2004,C448,'Saisie'!$AN$5:$AN$2004,"&lt;&gt;")-4),""))</f>
        <v/>
      </c>
      <c r="AJ448" s="60">
        <f>IF(C448="","",IFERROR(INDEX('Saisie'!$AO$5:$AO$2004,_xlfn.MAXIFS('Saisie'!$AS$5:$AS$2004,'Saisie'!$C$5:$C$2004,C448,'Saisie'!$AO$5:$AO$2004,"&lt;&gt;")-4),""))</f>
        <v/>
      </c>
      <c r="AK448" s="60">
        <f>IF(C448="","",IFERROR(INDEX('Saisie'!$AP$5:$AP$2004,_xlfn.MAXIFS('Saisie'!$AS$5:$AS$2004,'Saisie'!$C$5:$C$2004,C448,'Saisie'!$AP$5:$AP$2004,"&lt;&gt;")-4),""))</f>
        <v/>
      </c>
      <c r="AL448" s="60">
        <f>IF(C448="","",IFERROR(INDEX('Saisie'!$AQ$5:$AQ$2004,_xlfn.MAXIFS('Saisie'!$AS$5:$AS$2004,'Saisie'!$C$5:$C$2004,C448,'Saisie'!$AQ$5:$AQ$2004,"&lt;&gt;")-4),""))</f>
        <v/>
      </c>
      <c r="AM448" s="60">
        <f>IF(C448="","",((AI448="Oui")+(AJ448="Oui")+(AK448="Oui")+OR(AL448="Immédiat",AL448="&lt; 1 mois"))&amp;"/4")</f>
        <v/>
      </c>
      <c r="AN448" s="60">
        <f>IF(C448="","",IFERROR(INDEX('Saisie'!$AL$5:$AL$2004,_xlfn.MAXIFS('Saisie'!$AS$5:$AS$2004,'Saisie'!$C$5:$C$2004,C448,'Saisie'!$AL$5:$AL$2004,"&lt;&gt;")-4),""))</f>
        <v/>
      </c>
      <c r="AO448" s="62">
        <f>IF(C448="","",IF(IFERROR(INDEX('Saisie'!$AM$5:$AM$2004,_xlfn.MAXIFS('Saisie'!$AS$5:$AS$2004,'Saisie'!$C$5:$C$2004,C448,'Saisie'!$AM$5:$AM$2004,"&lt;&gt;")-4),"")&lt;&gt;"",IFERROR(INDEX('Saisie'!$AM$5:$AM$2004,_xlfn.MAXIFS('Saisie'!$AS$5:$AS$2004,'Saisie'!$C$5:$C$2004,C448,'Saisie'!$AM$5:$AM$2004,"&lt;&gt;")-4),""),IFERROR(INDEX('Paramètres'!$S$6:$S$15,MATCH(AN448,'Paramètres'!$Q$6:$Q$15,0)),"")))</f>
        <v/>
      </c>
      <c r="AP448" s="62">
        <f>IF(C448="","",IFERROR(INDEX('Saisie'!$AW$5:$AW$2004,_xlfn.MAXIFS('Saisie'!$AS$5:$AS$2004,'Saisie'!$C$5:$C$2004,C448,'Saisie'!$E$5:$E$2004,"Proposition envoyée")-4),""))</f>
        <v/>
      </c>
      <c r="AQ448" s="106">
        <f>IF(C448="","",IFERROR(1/(1/_xlfn.MAXIFS('Saisie'!$A$5:$A$2004,'Saisie'!$C$5:$C$2004,C448,'Saisie'!$E$5:$E$2004,"Proposition envoyée")),""))</f>
        <v/>
      </c>
      <c r="AR448" s="106">
        <f>IF(C448="","",IF(AQ448="","",AQ448+'Paramètres'!$B$26))</f>
        <v/>
      </c>
      <c r="AS448" s="62">
        <f>IF(OR(C448="",D448="Gagné",D448="Perdu"),0,N(AP448)*IFERROR(INDEX('Paramètres'!$G$6:$G$13,MATCH(D448,'Paramètres'!$F$6:$F$13,0)),0))</f>
        <v/>
      </c>
      <c r="AT448" s="106">
        <f>IF(C448="","",IFERROR(1/(1/_xlfn.MINIFS('Saisie'!$A$5:$A$2004,'Saisie'!$C$5:$C$2004,C448,'Saisie'!$E$5:$E$2004,"Signature")),""))</f>
        <v/>
      </c>
      <c r="AU448" s="60">
        <f>IF(C448="","",IF(OR(AT448="",B448=""),"",AT448-B448))</f>
        <v/>
      </c>
      <c r="AV448" s="60">
        <f>IF(C448="","",IFERROR(INDEX('Saisie'!$L$5:$L$2004,_xlfn.MAXIFS('Saisie'!$AS$5:$AS$2004,'Saisie'!$C$5:$C$2004,C448,'Saisie'!$L$5:$L$2004,"&lt;&gt;")-4),""))</f>
        <v/>
      </c>
      <c r="AW448" s="106">
        <f>IF(C448="","",IF(D448&lt;&gt;"Perdu","",IFERROR(1/(1/_xlfn.MAXIFS('Saisie'!$A$5:$A$2004,'Saisie'!$C$5:$C$2004,C448,'Saisie'!$E$5:$E$2004,"Perdu")),"")))</f>
        <v/>
      </c>
      <c r="AX448" s="106">
        <f>IF(C448="","",IF(AW448="","",AW448+'Paramètres'!$B$28))</f>
        <v/>
      </c>
      <c r="AY448" s="60">
        <f>IF(C448="","",SUMIFS('Saisie'!$H$5:$H$2004,'Saisie'!$C$5:$C$2004,C448))</f>
        <v/>
      </c>
      <c r="AZ448" s="60">
        <f>IF(C448="","",IFERROR(INDEX('Paramètres'!$W$6:$W$20,MATCH(S448,'Paramètres'!$V$6:$V$20,0))&amp;"",""))</f>
        <v/>
      </c>
      <c r="BA448" s="60">
        <f>IF(C448="","",MAX(1,_xlfn.MAXIFS('Saisie'!$AT$5:$AT$2004,'Saisie'!$C$5:$C$2004,C448)))</f>
        <v/>
      </c>
      <c r="BB448" s="60">
        <f>IF(C448="","",IFERROR(INDEX('Saisie'!$X$5:$X$2004,_xlfn.MAXIFS('Saisie'!$AS$5:$AS$2004,'Saisie'!$C$5:$C$2004,C448,'Saisie'!$X$5:$X$2004,"&lt;&gt;")-4),""))</f>
        <v/>
      </c>
      <c r="BC448" s="60">
        <f>IF(C448="","",IFERROR(INDEX('Saisie'!$Y$5:$Y$2004,_xlfn.MAXIFS('Saisie'!$AS$5:$AS$2004,'Saisie'!$C$5:$C$2004,C448,'Saisie'!$Y$5:$Y$2004,"&lt;&gt;")-4),""))</f>
        <v/>
      </c>
      <c r="BD448" s="106">
        <f>IF(C448="","",IFERROR(1/(1/_xlfn.MINIFS('Saisie'!$A$5:$A$2004,'Saisie'!$C$5:$C$2004,C448,'Saisie'!$AT$5:$AT$2004,"&gt;=2")),""))</f>
        <v/>
      </c>
      <c r="BE448" s="106">
        <f>IF(C448="","",IFERROR(1/(1/_xlfn.MINIFS('Saisie'!$A$5:$A$2004,'Saisie'!$C$5:$C$2004,C448,'Saisie'!$AT$5:$AT$2004,"&gt;=3")),""))</f>
        <v/>
      </c>
      <c r="BF448" s="106">
        <f>IF(C448="","",IFERROR(1/(1/_xlfn.MINIFS('Saisie'!$A$5:$A$2004,'Saisie'!$C$5:$C$2004,C448,'Saisie'!$AT$5:$AT$2004,"&gt;=4")),""))</f>
        <v/>
      </c>
      <c r="BG448" s="106">
        <f>IF(C448="","",IFERROR(1/(1/_xlfn.MINIFS('Saisie'!$A$5:$A$2004,'Saisie'!$C$5:$C$2004,C448,'Saisie'!$AT$5:$AT$2004,"&gt;=5")),""))</f>
        <v/>
      </c>
      <c r="BH448" s="106">
        <f>IF(C448="","",IFERROR(1/(1/_xlfn.MINIFS('Saisie'!$A$5:$A$2004,'Saisie'!$C$5:$C$2004,C448,'Saisie'!$AT$5:$AT$2004,"&gt;=6")),""))</f>
        <v/>
      </c>
      <c r="BI448" s="106">
        <f>IF(C448="","",IFERROR(1/(1/_xlfn.MINIFS('Saisie'!$A$5:$A$2004,'Saisie'!$C$5:$C$2004,C448,'Saisie'!$AT$5:$AT$2004,"&gt;=7")),""))</f>
        <v/>
      </c>
      <c r="BJ448" s="60">
        <f>IF(OR(BD448="",B448=""),"",BD448-B448)</f>
        <v/>
      </c>
      <c r="BK448" s="60">
        <f>IF(OR(BE448="",BD448=""),"",BE448-BD448)</f>
        <v/>
      </c>
      <c r="BL448" s="60">
        <f>IF(OR(BF448="",BE448=""),"",BF448-BE448)</f>
        <v/>
      </c>
      <c r="BM448" s="60">
        <f>IF(OR(BG448="",BF448=""),"",BG448-BF448)</f>
        <v/>
      </c>
      <c r="BN448" s="60">
        <f>IF(OR(BH448="",BG448=""),"",BH448-BG448)</f>
        <v/>
      </c>
      <c r="BO448" s="60">
        <f>IF(OR(BI448="",BH448=""),"",BI448-BH448)</f>
        <v/>
      </c>
      <c r="BP448" s="60">
        <f>IF(C448="","",_xlfn.MAXIFS('Saisie'!$AS$5:$AS$2004,'Saisie'!$C$5:$C$2004,C448,'Saisie'!$J$5:$J$2004,"&lt;&gt;"))</f>
        <v/>
      </c>
      <c r="BQ448" s="60">
        <f>IF(C448="","",_xlfn.MAXIFS('Saisie'!$AS$5:$AS$2004,'Saisie'!$C$5:$C$2004,C448))</f>
        <v/>
      </c>
      <c r="BR448" s="60">
        <f>IF(C448="","",_xlfn.MAXIFS('Saisie'!$AS$5:$AS$2004,'Saisie'!$C$5:$C$2004,C448,'Saisie'!$E$5:$E$2004,"Perdu"))</f>
        <v/>
      </c>
      <c r="BS448" s="60">
        <f>IF(C448="","",_xlfn.MAXIFS('Saisie'!$AS$5:$AS$2004,'Saisie'!$C$5:$C$2004,C448,'Saisie'!$AT$5:$AT$2004,"&gt;0"))</f>
        <v/>
      </c>
      <c r="BT448" s="109">
        <f>IF(AND(C448&lt;&gt;"",OR(D448="Nouveau",D448="Contacté",D448="Qualifié"),OR(G448="",N(G448)&lt;=TODAY()),NOT(AND(O448&gt;='Paramètres'!$B$21,P448=0))),E448+444/10000,"")</f>
        <v/>
      </c>
      <c r="BU448" s="60">
        <f>IF(AND(G448&lt;&gt;"",N(G448)&lt;=TODAY()),MAX($BU$4:BU447)+1,"")</f>
        <v/>
      </c>
      <c r="BV448" s="60">
        <f>IF(AND(F448&lt;&gt;"",F448&lt;&gt;"Relance en retard"),MAX($BV$4:BV447)+1,"")</f>
        <v/>
      </c>
      <c r="BW448" s="60">
        <f>IF(C448="","",IF(AND(B448&gt;='Tableau de bord'!$R$4,B448&lt;='Tableau de bord'!$S$4,OR('Tableau de bord'!$G$4="Tous",N448='Tableau de bord'!$G$4)),1,0))</f>
        <v/>
      </c>
      <c r="BX448" s="60">
        <f>IF(AND(C448&lt;&gt;"",N(BA448)=7),MAX($BX$4:BX447)+1,"")</f>
        <v/>
      </c>
    </row>
    <row r="449">
      <c r="A449" s="60">
        <f>IF(C449="","","P-"&amp;TEXT(445,"000"))</f>
        <v/>
      </c>
      <c r="B449" s="106">
        <f>IF(C449="","",IFERROR(1/(1/_xlfn.MINIFS('Saisie'!$A$5:$A$2004,'Saisie'!$C$5:$C$2004,C449)),""))</f>
        <v/>
      </c>
      <c r="C449" s="60">
        <f>IFERROR(INDEX('Saisie'!$C$5:$C$2004,MATCH(445,'Saisie'!$AX$5:$AX$2004,0)),"")</f>
        <v/>
      </c>
      <c r="D449" s="60">
        <f>IF(C449="","",IF(AND(BR449&gt;0,BR449&gt;BS449,BA449&lt;7),"Perdu",INDEX('Paramètres'!$F$6:$F$13,BA449)))</f>
        <v/>
      </c>
      <c r="E449" s="61">
        <f>IF(C449="","",MIN(100,(Z449="Oui")*'Paramètres'!$B$38+(AB449="Régulière")*'Paramètres'!$B$39+IF(AND(N(AA449)&gt;0,TODAY()-N(AA449)&lt;=30),'Paramètres'!$B$40,0)+(W449="")*'Paramètres'!$B$41+(AC449="Absente")*'Paramètres'!$B$42+(AC449="Faible")*'Paramètres'!$B$43+IF(AND(N(AD449)&gt;0,N(AD449)&lt;4),'Paramètres'!$B$44,0)+(AF449="Moyenne")*'Paramètres'!$B$45+(AF449="Grande")*'Paramètres'!$B$46+(Y449&lt;&gt;"")*'Paramètres'!$B$47))</f>
        <v/>
      </c>
      <c r="F449" s="60">
        <f>IF(C449="","",IF(D449="Gagné","",IF(D449="Perdu",IF(AND(AX449&lt;&gt;"",AX449&lt;=TODAY()),"À recontacter (perdu)",""),IF(AND(O449&gt;='Paramètres'!$B$21,P449=0),"Stop : "&amp;'Paramètres'!$B$21&amp;" tentatives sans réponse",IF(AND(D449="Proposition",AR449&lt;&gt;"",TODAY()&gt;N(AR449)),"Proposition expirée",IF(AND(D449="Proposition",N(R449)&gt;='Paramètres'!$B$25),"Proposition sans réponse",IF(AND(G449&lt;&gt;"",N(G449)&lt;TODAY()),"Relance en retard",IF(N(R449)&gt;='Paramètres'!$B$24,"Sans action depuis "&amp;R449&amp;" j",""))))))))</f>
        <v/>
      </c>
      <c r="G449" s="106">
        <f>IF(OR(C449="",D449="Gagné",D449="Perdu"),"",IF(AND(BP449&gt;0,BP449=BQ449),INDEX('Saisie'!$J$5:$J$2004,BP449-4),IF(OR(O449=0,AND(O449&gt;='Paramètres'!$B$21,P449=0)),"",Q449+IF(O449&lt;=1,'Paramètres'!$B$18,IF(O449=2,'Paramètres'!$B$19,'Paramètres'!$B$20)))))</f>
        <v/>
      </c>
      <c r="H449" s="107">
        <f>IF(OR(G449="",BP449&lt;&gt;BQ449),"",IF(INDEX('Saisie'!$K$5:$K$2004,BP449-4)="","",INDEX('Saisie'!$K$5:$K$2004,BP449-4)))</f>
        <v/>
      </c>
      <c r="I449" s="60">
        <f>IF(C449="","",IF(OR(D449="Gagné",D449="Perdu"),"",IFERROR(INDEX('Saisie'!$I$5:$I$2004,_xlfn.MAXIFS('Saisie'!$AS$5:$AS$2004,'Saisie'!$C$5:$C$2004,C449,'Saisie'!$I$5:$I$2004,"&lt;&gt;")-4),"")))</f>
        <v/>
      </c>
      <c r="J449" s="60">
        <f>IF(C449="","",IFERROR(INDEX('Saisie'!$U$5:$U$2004,_xlfn.MAXIFS('Saisie'!$AS$5:$AS$2004,'Saisie'!$C$5:$C$2004,C449,'Saisie'!$U$5:$U$2004,"&lt;&gt;")-4),""))</f>
        <v/>
      </c>
      <c r="K449" s="60">
        <f>IF(C449="","",IFERROR(INDEX('Saisie'!$W$5:$W$2004,_xlfn.MAXIFS('Saisie'!$AS$5:$AS$2004,'Saisie'!$C$5:$C$2004,C449,'Saisie'!$W$5:$W$2004,"&lt;&gt;")-4),""))</f>
        <v/>
      </c>
      <c r="L449" s="60">
        <f>IF(IF(BB449&lt;&gt;"",BB449,K449)="","",HYPERLINK("https://wa.me/"&amp;IF(LEFT(SUBSTITUTE(SUBSTITUTE(SUBSTITUTE(IF(BB449&lt;&gt;"",BB449,K449)," ",""),".",""),"+",""),1)="0",'Paramètres'!$B$35&amp;MID(SUBSTITUTE(SUBSTITUTE(SUBSTITUTE(IF(BB449&lt;&gt;"",BB449,K449)," ",""),".",""),"+",""),2,20),SUBSTITUTE(SUBSTITUTE(SUBSTITUTE(IF(BB449&lt;&gt;"",BB449,K449)," ",""),".",""),"+","")),"WhatsApp"))</f>
        <v/>
      </c>
      <c r="M449" s="60">
        <f>IF(BC449="","",HYPERLINK(IF(LEFT(BC449,4)="http",BC449,"https://www.instagram.com/"&amp;SUBSTITUTE(SUBSTITUTE(BC449,"@","")," ","")),BC449))</f>
        <v/>
      </c>
      <c r="N449" s="60">
        <f>IF(C449="","",IFERROR(INDEX('Saisie'!$D$5:$D$2004,_xlfn.MINIFS('Saisie'!$AS$5:$AS$2004,'Saisie'!$C$5:$C$2004,C449,'Saisie'!$AU$5:$AU$2004,1)-4),IFERROR(INDEX('Saisie'!$D$5:$D$2004,_xlfn.MINIFS('Saisie'!$AS$5:$AS$2004,'Saisie'!$C$5:$C$2004,C449,'Saisie'!$D$5:$D$2004,"&lt;&gt;")-4),"")))</f>
        <v/>
      </c>
      <c r="O449" s="60">
        <f>IF(C449="","",COUNTIFS('Saisie'!$C$5:$C$2004,C449,'Saisie'!$AU$5:$AU$2004,1))</f>
        <v/>
      </c>
      <c r="P449" s="60">
        <f>IF(C449="","",COUNTIFS('Saisie'!$C$5:$C$2004,C449,'Saisie'!$AV$5:$AV$2004,1))</f>
        <v/>
      </c>
      <c r="Q449" s="106">
        <f>IF(C449="","",IFERROR(1/(1/_xlfn.MAXIFS('Saisie'!$A$5:$A$2004,'Saisie'!$C$5:$C$2004,C449)),""))</f>
        <v/>
      </c>
      <c r="R449" s="61">
        <f>IF(C449="","",IF(Q449="","",TODAY()-Q449))</f>
        <v/>
      </c>
      <c r="S449" s="60">
        <f>IF(C449="","",IFERROR(INDEX('Saisie'!$R$5:$R$2004,_xlfn.MAXIFS('Saisie'!$AS$5:$AS$2004,'Saisie'!$C$5:$C$2004,C449,'Saisie'!$R$5:$R$2004,"&lt;&gt;")-4),""))</f>
        <v/>
      </c>
      <c r="T449" s="60">
        <f>IF(C449="","",IFERROR(INDEX('Saisie'!$S$5:$S$2004,_xlfn.MAXIFS('Saisie'!$AS$5:$AS$2004,'Saisie'!$C$5:$C$2004,C449,'Saisie'!$S$5:$S$2004,"&lt;&gt;")-4),""))</f>
        <v/>
      </c>
      <c r="U449" s="60">
        <f>IF(C449="","",IFERROR(INDEX('Saisie'!$T$5:$T$2004,_xlfn.MAXIFS('Saisie'!$AS$5:$AS$2004,'Saisie'!$C$5:$C$2004,C449,'Saisie'!$T$5:$T$2004,"&lt;&gt;")-4),""))</f>
        <v/>
      </c>
      <c r="V449" s="60">
        <f>IF(C449="","",IFERROR(INDEX('Saisie'!$V$5:$V$2004,_xlfn.MAXIFS('Saisie'!$AS$5:$AS$2004,'Saisie'!$C$5:$C$2004,C449,'Saisie'!$V$5:$V$2004,"&lt;&gt;")-4),""))</f>
        <v/>
      </c>
      <c r="W449" s="60">
        <f>IF(C449="","",IFERROR(INDEX('Saisie'!$Z$5:$Z$2004,_xlfn.MAXIFS('Saisie'!$AS$5:$AS$2004,'Saisie'!$C$5:$C$2004,C449,'Saisie'!$Z$5:$Z$2004,"&lt;&gt;")-4),""))</f>
        <v/>
      </c>
      <c r="X449" s="60">
        <f>IF(C449="","",IFERROR(INDEX('Saisie'!$AA$5:$AA$2004,_xlfn.MAXIFS('Saisie'!$AS$5:$AS$2004,'Saisie'!$C$5:$C$2004,C449,'Saisie'!$AA$5:$AA$2004,"&lt;&gt;")-4),""))</f>
        <v/>
      </c>
      <c r="Y449" s="60">
        <f>IF(C449="","",IFERROR(INDEX('Saisie'!$AB$5:$AB$2004,_xlfn.MAXIFS('Saisie'!$AS$5:$AS$2004,'Saisie'!$C$5:$C$2004,C449,'Saisie'!$AB$5:$AB$2004,"&lt;&gt;")-4),""))</f>
        <v/>
      </c>
      <c r="Z449" s="60">
        <f>IF(C449="","",IFERROR(INDEX('Saisie'!$AC$5:$AC$2004,_xlfn.MAXIFS('Saisie'!$AS$5:$AS$2004,'Saisie'!$C$5:$C$2004,C449,'Saisie'!$AC$5:$AC$2004,"&lt;&gt;")-4),""))</f>
        <v/>
      </c>
      <c r="AA449" s="106">
        <f>IF(C449="","",IFERROR(INDEX('Saisie'!$AD$5:$AD$2004,_xlfn.MAXIFS('Saisie'!$AS$5:$AS$2004,'Saisie'!$C$5:$C$2004,C449,'Saisie'!$AD$5:$AD$2004,"&lt;&gt;")-4),""))</f>
        <v/>
      </c>
      <c r="AB449" s="60">
        <f>IF(C449="","",IFERROR(INDEX('Saisie'!$AE$5:$AE$2004,_xlfn.MAXIFS('Saisie'!$AS$5:$AS$2004,'Saisie'!$C$5:$C$2004,C449,'Saisie'!$AE$5:$AE$2004,"&lt;&gt;")-4),""))</f>
        <v/>
      </c>
      <c r="AC449" s="60">
        <f>IF(C449="","",IFERROR(INDEX('Saisie'!$AF$5:$AF$2004,_xlfn.MAXIFS('Saisie'!$AS$5:$AS$2004,'Saisie'!$C$5:$C$2004,C449,'Saisie'!$AF$5:$AF$2004,"&lt;&gt;")-4),""))</f>
        <v/>
      </c>
      <c r="AD449" s="108">
        <f>IF(C449="","",IFERROR(INDEX('Saisie'!$AG$5:$AG$2004,_xlfn.MAXIFS('Saisie'!$AS$5:$AS$2004,'Saisie'!$C$5:$C$2004,C449,'Saisie'!$AG$5:$AG$2004,"&lt;&gt;")-4),""))</f>
        <v/>
      </c>
      <c r="AE449" s="60">
        <f>IF(C449="","",IFERROR(INDEX('Saisie'!$AH$5:$AH$2004,_xlfn.MAXIFS('Saisie'!$AS$5:$AS$2004,'Saisie'!$C$5:$C$2004,C449,'Saisie'!$AH$5:$AH$2004,"&lt;&gt;")-4),""))</f>
        <v/>
      </c>
      <c r="AF449" s="60">
        <f>IF(C449="","",IFERROR(INDEX('Saisie'!$AI$5:$AI$2004,_xlfn.MAXIFS('Saisie'!$AS$5:$AS$2004,'Saisie'!$C$5:$C$2004,C449,'Saisie'!$AI$5:$AI$2004,"&lt;&gt;")-4),""))</f>
        <v/>
      </c>
      <c r="AG449" s="60">
        <f>IF(C449="","",IFERROR(INDEX('Saisie'!$AJ$5:$AJ$2004,_xlfn.MAXIFS('Saisie'!$AS$5:$AS$2004,'Saisie'!$C$5:$C$2004,C449,'Saisie'!$AJ$5:$AJ$2004,"&lt;&gt;")-4),""))</f>
        <v/>
      </c>
      <c r="AH449" s="60">
        <f>IF(C449="","",IFERROR(INDEX('Saisie'!$AK$5:$AK$2004,_xlfn.MAXIFS('Saisie'!$AS$5:$AS$2004,'Saisie'!$C$5:$C$2004,C449,'Saisie'!$AK$5:$AK$2004,"&lt;&gt;")-4),""))</f>
        <v/>
      </c>
      <c r="AI449" s="60">
        <f>IF(C449="","",IFERROR(INDEX('Saisie'!$AN$5:$AN$2004,_xlfn.MAXIFS('Saisie'!$AS$5:$AS$2004,'Saisie'!$C$5:$C$2004,C449,'Saisie'!$AN$5:$AN$2004,"&lt;&gt;")-4),""))</f>
        <v/>
      </c>
      <c r="AJ449" s="60">
        <f>IF(C449="","",IFERROR(INDEX('Saisie'!$AO$5:$AO$2004,_xlfn.MAXIFS('Saisie'!$AS$5:$AS$2004,'Saisie'!$C$5:$C$2004,C449,'Saisie'!$AO$5:$AO$2004,"&lt;&gt;")-4),""))</f>
        <v/>
      </c>
      <c r="AK449" s="60">
        <f>IF(C449="","",IFERROR(INDEX('Saisie'!$AP$5:$AP$2004,_xlfn.MAXIFS('Saisie'!$AS$5:$AS$2004,'Saisie'!$C$5:$C$2004,C449,'Saisie'!$AP$5:$AP$2004,"&lt;&gt;")-4),""))</f>
        <v/>
      </c>
      <c r="AL449" s="60">
        <f>IF(C449="","",IFERROR(INDEX('Saisie'!$AQ$5:$AQ$2004,_xlfn.MAXIFS('Saisie'!$AS$5:$AS$2004,'Saisie'!$C$5:$C$2004,C449,'Saisie'!$AQ$5:$AQ$2004,"&lt;&gt;")-4),""))</f>
        <v/>
      </c>
      <c r="AM449" s="60">
        <f>IF(C449="","",((AI449="Oui")+(AJ449="Oui")+(AK449="Oui")+OR(AL449="Immédiat",AL449="&lt; 1 mois"))&amp;"/4")</f>
        <v/>
      </c>
      <c r="AN449" s="60">
        <f>IF(C449="","",IFERROR(INDEX('Saisie'!$AL$5:$AL$2004,_xlfn.MAXIFS('Saisie'!$AS$5:$AS$2004,'Saisie'!$C$5:$C$2004,C449,'Saisie'!$AL$5:$AL$2004,"&lt;&gt;")-4),""))</f>
        <v/>
      </c>
      <c r="AO449" s="62">
        <f>IF(C449="","",IF(IFERROR(INDEX('Saisie'!$AM$5:$AM$2004,_xlfn.MAXIFS('Saisie'!$AS$5:$AS$2004,'Saisie'!$C$5:$C$2004,C449,'Saisie'!$AM$5:$AM$2004,"&lt;&gt;")-4),"")&lt;&gt;"",IFERROR(INDEX('Saisie'!$AM$5:$AM$2004,_xlfn.MAXIFS('Saisie'!$AS$5:$AS$2004,'Saisie'!$C$5:$C$2004,C449,'Saisie'!$AM$5:$AM$2004,"&lt;&gt;")-4),""),IFERROR(INDEX('Paramètres'!$S$6:$S$15,MATCH(AN449,'Paramètres'!$Q$6:$Q$15,0)),"")))</f>
        <v/>
      </c>
      <c r="AP449" s="62">
        <f>IF(C449="","",IFERROR(INDEX('Saisie'!$AW$5:$AW$2004,_xlfn.MAXIFS('Saisie'!$AS$5:$AS$2004,'Saisie'!$C$5:$C$2004,C449,'Saisie'!$E$5:$E$2004,"Proposition envoyée")-4),""))</f>
        <v/>
      </c>
      <c r="AQ449" s="106">
        <f>IF(C449="","",IFERROR(1/(1/_xlfn.MAXIFS('Saisie'!$A$5:$A$2004,'Saisie'!$C$5:$C$2004,C449,'Saisie'!$E$5:$E$2004,"Proposition envoyée")),""))</f>
        <v/>
      </c>
      <c r="AR449" s="106">
        <f>IF(C449="","",IF(AQ449="","",AQ449+'Paramètres'!$B$26))</f>
        <v/>
      </c>
      <c r="AS449" s="62">
        <f>IF(OR(C449="",D449="Gagné",D449="Perdu"),0,N(AP449)*IFERROR(INDEX('Paramètres'!$G$6:$G$13,MATCH(D449,'Paramètres'!$F$6:$F$13,0)),0))</f>
        <v/>
      </c>
      <c r="AT449" s="106">
        <f>IF(C449="","",IFERROR(1/(1/_xlfn.MINIFS('Saisie'!$A$5:$A$2004,'Saisie'!$C$5:$C$2004,C449,'Saisie'!$E$5:$E$2004,"Signature")),""))</f>
        <v/>
      </c>
      <c r="AU449" s="60">
        <f>IF(C449="","",IF(OR(AT449="",B449=""),"",AT449-B449))</f>
        <v/>
      </c>
      <c r="AV449" s="60">
        <f>IF(C449="","",IFERROR(INDEX('Saisie'!$L$5:$L$2004,_xlfn.MAXIFS('Saisie'!$AS$5:$AS$2004,'Saisie'!$C$5:$C$2004,C449,'Saisie'!$L$5:$L$2004,"&lt;&gt;")-4),""))</f>
        <v/>
      </c>
      <c r="AW449" s="106">
        <f>IF(C449="","",IF(D449&lt;&gt;"Perdu","",IFERROR(1/(1/_xlfn.MAXIFS('Saisie'!$A$5:$A$2004,'Saisie'!$C$5:$C$2004,C449,'Saisie'!$E$5:$E$2004,"Perdu")),"")))</f>
        <v/>
      </c>
      <c r="AX449" s="106">
        <f>IF(C449="","",IF(AW449="","",AW449+'Paramètres'!$B$28))</f>
        <v/>
      </c>
      <c r="AY449" s="60">
        <f>IF(C449="","",SUMIFS('Saisie'!$H$5:$H$2004,'Saisie'!$C$5:$C$2004,C449))</f>
        <v/>
      </c>
      <c r="AZ449" s="60">
        <f>IF(C449="","",IFERROR(INDEX('Paramètres'!$W$6:$W$20,MATCH(S449,'Paramètres'!$V$6:$V$20,0))&amp;"",""))</f>
        <v/>
      </c>
      <c r="BA449" s="60">
        <f>IF(C449="","",MAX(1,_xlfn.MAXIFS('Saisie'!$AT$5:$AT$2004,'Saisie'!$C$5:$C$2004,C449)))</f>
        <v/>
      </c>
      <c r="BB449" s="60">
        <f>IF(C449="","",IFERROR(INDEX('Saisie'!$X$5:$X$2004,_xlfn.MAXIFS('Saisie'!$AS$5:$AS$2004,'Saisie'!$C$5:$C$2004,C449,'Saisie'!$X$5:$X$2004,"&lt;&gt;")-4),""))</f>
        <v/>
      </c>
      <c r="BC449" s="60">
        <f>IF(C449="","",IFERROR(INDEX('Saisie'!$Y$5:$Y$2004,_xlfn.MAXIFS('Saisie'!$AS$5:$AS$2004,'Saisie'!$C$5:$C$2004,C449,'Saisie'!$Y$5:$Y$2004,"&lt;&gt;")-4),""))</f>
        <v/>
      </c>
      <c r="BD449" s="106">
        <f>IF(C449="","",IFERROR(1/(1/_xlfn.MINIFS('Saisie'!$A$5:$A$2004,'Saisie'!$C$5:$C$2004,C449,'Saisie'!$AT$5:$AT$2004,"&gt;=2")),""))</f>
        <v/>
      </c>
      <c r="BE449" s="106">
        <f>IF(C449="","",IFERROR(1/(1/_xlfn.MINIFS('Saisie'!$A$5:$A$2004,'Saisie'!$C$5:$C$2004,C449,'Saisie'!$AT$5:$AT$2004,"&gt;=3")),""))</f>
        <v/>
      </c>
      <c r="BF449" s="106">
        <f>IF(C449="","",IFERROR(1/(1/_xlfn.MINIFS('Saisie'!$A$5:$A$2004,'Saisie'!$C$5:$C$2004,C449,'Saisie'!$AT$5:$AT$2004,"&gt;=4")),""))</f>
        <v/>
      </c>
      <c r="BG449" s="106">
        <f>IF(C449="","",IFERROR(1/(1/_xlfn.MINIFS('Saisie'!$A$5:$A$2004,'Saisie'!$C$5:$C$2004,C449,'Saisie'!$AT$5:$AT$2004,"&gt;=5")),""))</f>
        <v/>
      </c>
      <c r="BH449" s="106">
        <f>IF(C449="","",IFERROR(1/(1/_xlfn.MINIFS('Saisie'!$A$5:$A$2004,'Saisie'!$C$5:$C$2004,C449,'Saisie'!$AT$5:$AT$2004,"&gt;=6")),""))</f>
        <v/>
      </c>
      <c r="BI449" s="106">
        <f>IF(C449="","",IFERROR(1/(1/_xlfn.MINIFS('Saisie'!$A$5:$A$2004,'Saisie'!$C$5:$C$2004,C449,'Saisie'!$AT$5:$AT$2004,"&gt;=7")),""))</f>
        <v/>
      </c>
      <c r="BJ449" s="60">
        <f>IF(OR(BD449="",B449=""),"",BD449-B449)</f>
        <v/>
      </c>
      <c r="BK449" s="60">
        <f>IF(OR(BE449="",BD449=""),"",BE449-BD449)</f>
        <v/>
      </c>
      <c r="BL449" s="60">
        <f>IF(OR(BF449="",BE449=""),"",BF449-BE449)</f>
        <v/>
      </c>
      <c r="BM449" s="60">
        <f>IF(OR(BG449="",BF449=""),"",BG449-BF449)</f>
        <v/>
      </c>
      <c r="BN449" s="60">
        <f>IF(OR(BH449="",BG449=""),"",BH449-BG449)</f>
        <v/>
      </c>
      <c r="BO449" s="60">
        <f>IF(OR(BI449="",BH449=""),"",BI449-BH449)</f>
        <v/>
      </c>
      <c r="BP449" s="60">
        <f>IF(C449="","",_xlfn.MAXIFS('Saisie'!$AS$5:$AS$2004,'Saisie'!$C$5:$C$2004,C449,'Saisie'!$J$5:$J$2004,"&lt;&gt;"))</f>
        <v/>
      </c>
      <c r="BQ449" s="60">
        <f>IF(C449="","",_xlfn.MAXIFS('Saisie'!$AS$5:$AS$2004,'Saisie'!$C$5:$C$2004,C449))</f>
        <v/>
      </c>
      <c r="BR449" s="60">
        <f>IF(C449="","",_xlfn.MAXIFS('Saisie'!$AS$5:$AS$2004,'Saisie'!$C$5:$C$2004,C449,'Saisie'!$E$5:$E$2004,"Perdu"))</f>
        <v/>
      </c>
      <c r="BS449" s="60">
        <f>IF(C449="","",_xlfn.MAXIFS('Saisie'!$AS$5:$AS$2004,'Saisie'!$C$5:$C$2004,C449,'Saisie'!$AT$5:$AT$2004,"&gt;0"))</f>
        <v/>
      </c>
      <c r="BT449" s="109">
        <f>IF(AND(C449&lt;&gt;"",OR(D449="Nouveau",D449="Contacté",D449="Qualifié"),OR(G449="",N(G449)&lt;=TODAY()),NOT(AND(O449&gt;='Paramètres'!$B$21,P449=0))),E449+445/10000,"")</f>
        <v/>
      </c>
      <c r="BU449" s="60">
        <f>IF(AND(G449&lt;&gt;"",N(G449)&lt;=TODAY()),MAX($BU$4:BU448)+1,"")</f>
        <v/>
      </c>
      <c r="BV449" s="60">
        <f>IF(AND(F449&lt;&gt;"",F449&lt;&gt;"Relance en retard"),MAX($BV$4:BV448)+1,"")</f>
        <v/>
      </c>
      <c r="BW449" s="60">
        <f>IF(C449="","",IF(AND(B449&gt;='Tableau de bord'!$R$4,B449&lt;='Tableau de bord'!$S$4,OR('Tableau de bord'!$G$4="Tous",N449='Tableau de bord'!$G$4)),1,0))</f>
        <v/>
      </c>
      <c r="BX449" s="60">
        <f>IF(AND(C449&lt;&gt;"",N(BA449)=7),MAX($BX$4:BX448)+1,"")</f>
        <v/>
      </c>
    </row>
    <row r="450">
      <c r="A450" s="60">
        <f>IF(C450="","","P-"&amp;TEXT(446,"000"))</f>
        <v/>
      </c>
      <c r="B450" s="106">
        <f>IF(C450="","",IFERROR(1/(1/_xlfn.MINIFS('Saisie'!$A$5:$A$2004,'Saisie'!$C$5:$C$2004,C450)),""))</f>
        <v/>
      </c>
      <c r="C450" s="60">
        <f>IFERROR(INDEX('Saisie'!$C$5:$C$2004,MATCH(446,'Saisie'!$AX$5:$AX$2004,0)),"")</f>
        <v/>
      </c>
      <c r="D450" s="60">
        <f>IF(C450="","",IF(AND(BR450&gt;0,BR450&gt;BS450,BA450&lt;7),"Perdu",INDEX('Paramètres'!$F$6:$F$13,BA450)))</f>
        <v/>
      </c>
      <c r="E450" s="61">
        <f>IF(C450="","",MIN(100,(Z450="Oui")*'Paramètres'!$B$38+(AB450="Régulière")*'Paramètres'!$B$39+IF(AND(N(AA450)&gt;0,TODAY()-N(AA450)&lt;=30),'Paramètres'!$B$40,0)+(W450="")*'Paramètres'!$B$41+(AC450="Absente")*'Paramètres'!$B$42+(AC450="Faible")*'Paramètres'!$B$43+IF(AND(N(AD450)&gt;0,N(AD450)&lt;4),'Paramètres'!$B$44,0)+(AF450="Moyenne")*'Paramètres'!$B$45+(AF450="Grande")*'Paramètres'!$B$46+(Y450&lt;&gt;"")*'Paramètres'!$B$47))</f>
        <v/>
      </c>
      <c r="F450" s="60">
        <f>IF(C450="","",IF(D450="Gagné","",IF(D450="Perdu",IF(AND(AX450&lt;&gt;"",AX450&lt;=TODAY()),"À recontacter (perdu)",""),IF(AND(O450&gt;='Paramètres'!$B$21,P450=0),"Stop : "&amp;'Paramètres'!$B$21&amp;" tentatives sans réponse",IF(AND(D450="Proposition",AR450&lt;&gt;"",TODAY()&gt;N(AR450)),"Proposition expirée",IF(AND(D450="Proposition",N(R450)&gt;='Paramètres'!$B$25),"Proposition sans réponse",IF(AND(G450&lt;&gt;"",N(G450)&lt;TODAY()),"Relance en retard",IF(N(R450)&gt;='Paramètres'!$B$24,"Sans action depuis "&amp;R450&amp;" j",""))))))))</f>
        <v/>
      </c>
      <c r="G450" s="106">
        <f>IF(OR(C450="",D450="Gagné",D450="Perdu"),"",IF(AND(BP450&gt;0,BP450=BQ450),INDEX('Saisie'!$J$5:$J$2004,BP450-4),IF(OR(O450=0,AND(O450&gt;='Paramètres'!$B$21,P450=0)),"",Q450+IF(O450&lt;=1,'Paramètres'!$B$18,IF(O450=2,'Paramètres'!$B$19,'Paramètres'!$B$20)))))</f>
        <v/>
      </c>
      <c r="H450" s="107">
        <f>IF(OR(G450="",BP450&lt;&gt;BQ450),"",IF(INDEX('Saisie'!$K$5:$K$2004,BP450-4)="","",INDEX('Saisie'!$K$5:$K$2004,BP450-4)))</f>
        <v/>
      </c>
      <c r="I450" s="60">
        <f>IF(C450="","",IF(OR(D450="Gagné",D450="Perdu"),"",IFERROR(INDEX('Saisie'!$I$5:$I$2004,_xlfn.MAXIFS('Saisie'!$AS$5:$AS$2004,'Saisie'!$C$5:$C$2004,C450,'Saisie'!$I$5:$I$2004,"&lt;&gt;")-4),"")))</f>
        <v/>
      </c>
      <c r="J450" s="60">
        <f>IF(C450="","",IFERROR(INDEX('Saisie'!$U$5:$U$2004,_xlfn.MAXIFS('Saisie'!$AS$5:$AS$2004,'Saisie'!$C$5:$C$2004,C450,'Saisie'!$U$5:$U$2004,"&lt;&gt;")-4),""))</f>
        <v/>
      </c>
      <c r="K450" s="60">
        <f>IF(C450="","",IFERROR(INDEX('Saisie'!$W$5:$W$2004,_xlfn.MAXIFS('Saisie'!$AS$5:$AS$2004,'Saisie'!$C$5:$C$2004,C450,'Saisie'!$W$5:$W$2004,"&lt;&gt;")-4),""))</f>
        <v/>
      </c>
      <c r="L450" s="60">
        <f>IF(IF(BB450&lt;&gt;"",BB450,K450)="","",HYPERLINK("https://wa.me/"&amp;IF(LEFT(SUBSTITUTE(SUBSTITUTE(SUBSTITUTE(IF(BB450&lt;&gt;"",BB450,K450)," ",""),".",""),"+",""),1)="0",'Paramètres'!$B$35&amp;MID(SUBSTITUTE(SUBSTITUTE(SUBSTITUTE(IF(BB450&lt;&gt;"",BB450,K450)," ",""),".",""),"+",""),2,20),SUBSTITUTE(SUBSTITUTE(SUBSTITUTE(IF(BB450&lt;&gt;"",BB450,K450)," ",""),".",""),"+","")),"WhatsApp"))</f>
        <v/>
      </c>
      <c r="M450" s="60">
        <f>IF(BC450="","",HYPERLINK(IF(LEFT(BC450,4)="http",BC450,"https://www.instagram.com/"&amp;SUBSTITUTE(SUBSTITUTE(BC450,"@","")," ","")),BC450))</f>
        <v/>
      </c>
      <c r="N450" s="60">
        <f>IF(C450="","",IFERROR(INDEX('Saisie'!$D$5:$D$2004,_xlfn.MINIFS('Saisie'!$AS$5:$AS$2004,'Saisie'!$C$5:$C$2004,C450,'Saisie'!$AU$5:$AU$2004,1)-4),IFERROR(INDEX('Saisie'!$D$5:$D$2004,_xlfn.MINIFS('Saisie'!$AS$5:$AS$2004,'Saisie'!$C$5:$C$2004,C450,'Saisie'!$D$5:$D$2004,"&lt;&gt;")-4),"")))</f>
        <v/>
      </c>
      <c r="O450" s="60">
        <f>IF(C450="","",COUNTIFS('Saisie'!$C$5:$C$2004,C450,'Saisie'!$AU$5:$AU$2004,1))</f>
        <v/>
      </c>
      <c r="P450" s="60">
        <f>IF(C450="","",COUNTIFS('Saisie'!$C$5:$C$2004,C450,'Saisie'!$AV$5:$AV$2004,1))</f>
        <v/>
      </c>
      <c r="Q450" s="106">
        <f>IF(C450="","",IFERROR(1/(1/_xlfn.MAXIFS('Saisie'!$A$5:$A$2004,'Saisie'!$C$5:$C$2004,C450)),""))</f>
        <v/>
      </c>
      <c r="R450" s="61">
        <f>IF(C450="","",IF(Q450="","",TODAY()-Q450))</f>
        <v/>
      </c>
      <c r="S450" s="60">
        <f>IF(C450="","",IFERROR(INDEX('Saisie'!$R$5:$R$2004,_xlfn.MAXIFS('Saisie'!$AS$5:$AS$2004,'Saisie'!$C$5:$C$2004,C450,'Saisie'!$R$5:$R$2004,"&lt;&gt;")-4),""))</f>
        <v/>
      </c>
      <c r="T450" s="60">
        <f>IF(C450="","",IFERROR(INDEX('Saisie'!$S$5:$S$2004,_xlfn.MAXIFS('Saisie'!$AS$5:$AS$2004,'Saisie'!$C$5:$C$2004,C450,'Saisie'!$S$5:$S$2004,"&lt;&gt;")-4),""))</f>
        <v/>
      </c>
      <c r="U450" s="60">
        <f>IF(C450="","",IFERROR(INDEX('Saisie'!$T$5:$T$2004,_xlfn.MAXIFS('Saisie'!$AS$5:$AS$2004,'Saisie'!$C$5:$C$2004,C450,'Saisie'!$T$5:$T$2004,"&lt;&gt;")-4),""))</f>
        <v/>
      </c>
      <c r="V450" s="60">
        <f>IF(C450="","",IFERROR(INDEX('Saisie'!$V$5:$V$2004,_xlfn.MAXIFS('Saisie'!$AS$5:$AS$2004,'Saisie'!$C$5:$C$2004,C450,'Saisie'!$V$5:$V$2004,"&lt;&gt;")-4),""))</f>
        <v/>
      </c>
      <c r="W450" s="60">
        <f>IF(C450="","",IFERROR(INDEX('Saisie'!$Z$5:$Z$2004,_xlfn.MAXIFS('Saisie'!$AS$5:$AS$2004,'Saisie'!$C$5:$C$2004,C450,'Saisie'!$Z$5:$Z$2004,"&lt;&gt;")-4),""))</f>
        <v/>
      </c>
      <c r="X450" s="60">
        <f>IF(C450="","",IFERROR(INDEX('Saisie'!$AA$5:$AA$2004,_xlfn.MAXIFS('Saisie'!$AS$5:$AS$2004,'Saisie'!$C$5:$C$2004,C450,'Saisie'!$AA$5:$AA$2004,"&lt;&gt;")-4),""))</f>
        <v/>
      </c>
      <c r="Y450" s="60">
        <f>IF(C450="","",IFERROR(INDEX('Saisie'!$AB$5:$AB$2004,_xlfn.MAXIFS('Saisie'!$AS$5:$AS$2004,'Saisie'!$C$5:$C$2004,C450,'Saisie'!$AB$5:$AB$2004,"&lt;&gt;")-4),""))</f>
        <v/>
      </c>
      <c r="Z450" s="60">
        <f>IF(C450="","",IFERROR(INDEX('Saisie'!$AC$5:$AC$2004,_xlfn.MAXIFS('Saisie'!$AS$5:$AS$2004,'Saisie'!$C$5:$C$2004,C450,'Saisie'!$AC$5:$AC$2004,"&lt;&gt;")-4),""))</f>
        <v/>
      </c>
      <c r="AA450" s="106">
        <f>IF(C450="","",IFERROR(INDEX('Saisie'!$AD$5:$AD$2004,_xlfn.MAXIFS('Saisie'!$AS$5:$AS$2004,'Saisie'!$C$5:$C$2004,C450,'Saisie'!$AD$5:$AD$2004,"&lt;&gt;")-4),""))</f>
        <v/>
      </c>
      <c r="AB450" s="60">
        <f>IF(C450="","",IFERROR(INDEX('Saisie'!$AE$5:$AE$2004,_xlfn.MAXIFS('Saisie'!$AS$5:$AS$2004,'Saisie'!$C$5:$C$2004,C450,'Saisie'!$AE$5:$AE$2004,"&lt;&gt;")-4),""))</f>
        <v/>
      </c>
      <c r="AC450" s="60">
        <f>IF(C450="","",IFERROR(INDEX('Saisie'!$AF$5:$AF$2004,_xlfn.MAXIFS('Saisie'!$AS$5:$AS$2004,'Saisie'!$C$5:$C$2004,C450,'Saisie'!$AF$5:$AF$2004,"&lt;&gt;")-4),""))</f>
        <v/>
      </c>
      <c r="AD450" s="108">
        <f>IF(C450="","",IFERROR(INDEX('Saisie'!$AG$5:$AG$2004,_xlfn.MAXIFS('Saisie'!$AS$5:$AS$2004,'Saisie'!$C$5:$C$2004,C450,'Saisie'!$AG$5:$AG$2004,"&lt;&gt;")-4),""))</f>
        <v/>
      </c>
      <c r="AE450" s="60">
        <f>IF(C450="","",IFERROR(INDEX('Saisie'!$AH$5:$AH$2004,_xlfn.MAXIFS('Saisie'!$AS$5:$AS$2004,'Saisie'!$C$5:$C$2004,C450,'Saisie'!$AH$5:$AH$2004,"&lt;&gt;")-4),""))</f>
        <v/>
      </c>
      <c r="AF450" s="60">
        <f>IF(C450="","",IFERROR(INDEX('Saisie'!$AI$5:$AI$2004,_xlfn.MAXIFS('Saisie'!$AS$5:$AS$2004,'Saisie'!$C$5:$C$2004,C450,'Saisie'!$AI$5:$AI$2004,"&lt;&gt;")-4),""))</f>
        <v/>
      </c>
      <c r="AG450" s="60">
        <f>IF(C450="","",IFERROR(INDEX('Saisie'!$AJ$5:$AJ$2004,_xlfn.MAXIFS('Saisie'!$AS$5:$AS$2004,'Saisie'!$C$5:$C$2004,C450,'Saisie'!$AJ$5:$AJ$2004,"&lt;&gt;")-4),""))</f>
        <v/>
      </c>
      <c r="AH450" s="60">
        <f>IF(C450="","",IFERROR(INDEX('Saisie'!$AK$5:$AK$2004,_xlfn.MAXIFS('Saisie'!$AS$5:$AS$2004,'Saisie'!$C$5:$C$2004,C450,'Saisie'!$AK$5:$AK$2004,"&lt;&gt;")-4),""))</f>
        <v/>
      </c>
      <c r="AI450" s="60">
        <f>IF(C450="","",IFERROR(INDEX('Saisie'!$AN$5:$AN$2004,_xlfn.MAXIFS('Saisie'!$AS$5:$AS$2004,'Saisie'!$C$5:$C$2004,C450,'Saisie'!$AN$5:$AN$2004,"&lt;&gt;")-4),""))</f>
        <v/>
      </c>
      <c r="AJ450" s="60">
        <f>IF(C450="","",IFERROR(INDEX('Saisie'!$AO$5:$AO$2004,_xlfn.MAXIFS('Saisie'!$AS$5:$AS$2004,'Saisie'!$C$5:$C$2004,C450,'Saisie'!$AO$5:$AO$2004,"&lt;&gt;")-4),""))</f>
        <v/>
      </c>
      <c r="AK450" s="60">
        <f>IF(C450="","",IFERROR(INDEX('Saisie'!$AP$5:$AP$2004,_xlfn.MAXIFS('Saisie'!$AS$5:$AS$2004,'Saisie'!$C$5:$C$2004,C450,'Saisie'!$AP$5:$AP$2004,"&lt;&gt;")-4),""))</f>
        <v/>
      </c>
      <c r="AL450" s="60">
        <f>IF(C450="","",IFERROR(INDEX('Saisie'!$AQ$5:$AQ$2004,_xlfn.MAXIFS('Saisie'!$AS$5:$AS$2004,'Saisie'!$C$5:$C$2004,C450,'Saisie'!$AQ$5:$AQ$2004,"&lt;&gt;")-4),""))</f>
        <v/>
      </c>
      <c r="AM450" s="60">
        <f>IF(C450="","",((AI450="Oui")+(AJ450="Oui")+(AK450="Oui")+OR(AL450="Immédiat",AL450="&lt; 1 mois"))&amp;"/4")</f>
        <v/>
      </c>
      <c r="AN450" s="60">
        <f>IF(C450="","",IFERROR(INDEX('Saisie'!$AL$5:$AL$2004,_xlfn.MAXIFS('Saisie'!$AS$5:$AS$2004,'Saisie'!$C$5:$C$2004,C450,'Saisie'!$AL$5:$AL$2004,"&lt;&gt;")-4),""))</f>
        <v/>
      </c>
      <c r="AO450" s="62">
        <f>IF(C450="","",IF(IFERROR(INDEX('Saisie'!$AM$5:$AM$2004,_xlfn.MAXIFS('Saisie'!$AS$5:$AS$2004,'Saisie'!$C$5:$C$2004,C450,'Saisie'!$AM$5:$AM$2004,"&lt;&gt;")-4),"")&lt;&gt;"",IFERROR(INDEX('Saisie'!$AM$5:$AM$2004,_xlfn.MAXIFS('Saisie'!$AS$5:$AS$2004,'Saisie'!$C$5:$C$2004,C450,'Saisie'!$AM$5:$AM$2004,"&lt;&gt;")-4),""),IFERROR(INDEX('Paramètres'!$S$6:$S$15,MATCH(AN450,'Paramètres'!$Q$6:$Q$15,0)),"")))</f>
        <v/>
      </c>
      <c r="AP450" s="62">
        <f>IF(C450="","",IFERROR(INDEX('Saisie'!$AW$5:$AW$2004,_xlfn.MAXIFS('Saisie'!$AS$5:$AS$2004,'Saisie'!$C$5:$C$2004,C450,'Saisie'!$E$5:$E$2004,"Proposition envoyée")-4),""))</f>
        <v/>
      </c>
      <c r="AQ450" s="106">
        <f>IF(C450="","",IFERROR(1/(1/_xlfn.MAXIFS('Saisie'!$A$5:$A$2004,'Saisie'!$C$5:$C$2004,C450,'Saisie'!$E$5:$E$2004,"Proposition envoyée")),""))</f>
        <v/>
      </c>
      <c r="AR450" s="106">
        <f>IF(C450="","",IF(AQ450="","",AQ450+'Paramètres'!$B$26))</f>
        <v/>
      </c>
      <c r="AS450" s="62">
        <f>IF(OR(C450="",D450="Gagné",D450="Perdu"),0,N(AP450)*IFERROR(INDEX('Paramètres'!$G$6:$G$13,MATCH(D450,'Paramètres'!$F$6:$F$13,0)),0))</f>
        <v/>
      </c>
      <c r="AT450" s="106">
        <f>IF(C450="","",IFERROR(1/(1/_xlfn.MINIFS('Saisie'!$A$5:$A$2004,'Saisie'!$C$5:$C$2004,C450,'Saisie'!$E$5:$E$2004,"Signature")),""))</f>
        <v/>
      </c>
      <c r="AU450" s="60">
        <f>IF(C450="","",IF(OR(AT450="",B450=""),"",AT450-B450))</f>
        <v/>
      </c>
      <c r="AV450" s="60">
        <f>IF(C450="","",IFERROR(INDEX('Saisie'!$L$5:$L$2004,_xlfn.MAXIFS('Saisie'!$AS$5:$AS$2004,'Saisie'!$C$5:$C$2004,C450,'Saisie'!$L$5:$L$2004,"&lt;&gt;")-4),""))</f>
        <v/>
      </c>
      <c r="AW450" s="106">
        <f>IF(C450="","",IF(D450&lt;&gt;"Perdu","",IFERROR(1/(1/_xlfn.MAXIFS('Saisie'!$A$5:$A$2004,'Saisie'!$C$5:$C$2004,C450,'Saisie'!$E$5:$E$2004,"Perdu")),"")))</f>
        <v/>
      </c>
      <c r="AX450" s="106">
        <f>IF(C450="","",IF(AW450="","",AW450+'Paramètres'!$B$28))</f>
        <v/>
      </c>
      <c r="AY450" s="60">
        <f>IF(C450="","",SUMIFS('Saisie'!$H$5:$H$2004,'Saisie'!$C$5:$C$2004,C450))</f>
        <v/>
      </c>
      <c r="AZ450" s="60">
        <f>IF(C450="","",IFERROR(INDEX('Paramètres'!$W$6:$W$20,MATCH(S450,'Paramètres'!$V$6:$V$20,0))&amp;"",""))</f>
        <v/>
      </c>
      <c r="BA450" s="60">
        <f>IF(C450="","",MAX(1,_xlfn.MAXIFS('Saisie'!$AT$5:$AT$2004,'Saisie'!$C$5:$C$2004,C450)))</f>
        <v/>
      </c>
      <c r="BB450" s="60">
        <f>IF(C450="","",IFERROR(INDEX('Saisie'!$X$5:$X$2004,_xlfn.MAXIFS('Saisie'!$AS$5:$AS$2004,'Saisie'!$C$5:$C$2004,C450,'Saisie'!$X$5:$X$2004,"&lt;&gt;")-4),""))</f>
        <v/>
      </c>
      <c r="BC450" s="60">
        <f>IF(C450="","",IFERROR(INDEX('Saisie'!$Y$5:$Y$2004,_xlfn.MAXIFS('Saisie'!$AS$5:$AS$2004,'Saisie'!$C$5:$C$2004,C450,'Saisie'!$Y$5:$Y$2004,"&lt;&gt;")-4),""))</f>
        <v/>
      </c>
      <c r="BD450" s="106">
        <f>IF(C450="","",IFERROR(1/(1/_xlfn.MINIFS('Saisie'!$A$5:$A$2004,'Saisie'!$C$5:$C$2004,C450,'Saisie'!$AT$5:$AT$2004,"&gt;=2")),""))</f>
        <v/>
      </c>
      <c r="BE450" s="106">
        <f>IF(C450="","",IFERROR(1/(1/_xlfn.MINIFS('Saisie'!$A$5:$A$2004,'Saisie'!$C$5:$C$2004,C450,'Saisie'!$AT$5:$AT$2004,"&gt;=3")),""))</f>
        <v/>
      </c>
      <c r="BF450" s="106">
        <f>IF(C450="","",IFERROR(1/(1/_xlfn.MINIFS('Saisie'!$A$5:$A$2004,'Saisie'!$C$5:$C$2004,C450,'Saisie'!$AT$5:$AT$2004,"&gt;=4")),""))</f>
        <v/>
      </c>
      <c r="BG450" s="106">
        <f>IF(C450="","",IFERROR(1/(1/_xlfn.MINIFS('Saisie'!$A$5:$A$2004,'Saisie'!$C$5:$C$2004,C450,'Saisie'!$AT$5:$AT$2004,"&gt;=5")),""))</f>
        <v/>
      </c>
      <c r="BH450" s="106">
        <f>IF(C450="","",IFERROR(1/(1/_xlfn.MINIFS('Saisie'!$A$5:$A$2004,'Saisie'!$C$5:$C$2004,C450,'Saisie'!$AT$5:$AT$2004,"&gt;=6")),""))</f>
        <v/>
      </c>
      <c r="BI450" s="106">
        <f>IF(C450="","",IFERROR(1/(1/_xlfn.MINIFS('Saisie'!$A$5:$A$2004,'Saisie'!$C$5:$C$2004,C450,'Saisie'!$AT$5:$AT$2004,"&gt;=7")),""))</f>
        <v/>
      </c>
      <c r="BJ450" s="60">
        <f>IF(OR(BD450="",B450=""),"",BD450-B450)</f>
        <v/>
      </c>
      <c r="BK450" s="60">
        <f>IF(OR(BE450="",BD450=""),"",BE450-BD450)</f>
        <v/>
      </c>
      <c r="BL450" s="60">
        <f>IF(OR(BF450="",BE450=""),"",BF450-BE450)</f>
        <v/>
      </c>
      <c r="BM450" s="60">
        <f>IF(OR(BG450="",BF450=""),"",BG450-BF450)</f>
        <v/>
      </c>
      <c r="BN450" s="60">
        <f>IF(OR(BH450="",BG450=""),"",BH450-BG450)</f>
        <v/>
      </c>
      <c r="BO450" s="60">
        <f>IF(OR(BI450="",BH450=""),"",BI450-BH450)</f>
        <v/>
      </c>
      <c r="BP450" s="60">
        <f>IF(C450="","",_xlfn.MAXIFS('Saisie'!$AS$5:$AS$2004,'Saisie'!$C$5:$C$2004,C450,'Saisie'!$J$5:$J$2004,"&lt;&gt;"))</f>
        <v/>
      </c>
      <c r="BQ450" s="60">
        <f>IF(C450="","",_xlfn.MAXIFS('Saisie'!$AS$5:$AS$2004,'Saisie'!$C$5:$C$2004,C450))</f>
        <v/>
      </c>
      <c r="BR450" s="60">
        <f>IF(C450="","",_xlfn.MAXIFS('Saisie'!$AS$5:$AS$2004,'Saisie'!$C$5:$C$2004,C450,'Saisie'!$E$5:$E$2004,"Perdu"))</f>
        <v/>
      </c>
      <c r="BS450" s="60">
        <f>IF(C450="","",_xlfn.MAXIFS('Saisie'!$AS$5:$AS$2004,'Saisie'!$C$5:$C$2004,C450,'Saisie'!$AT$5:$AT$2004,"&gt;0"))</f>
        <v/>
      </c>
      <c r="BT450" s="109">
        <f>IF(AND(C450&lt;&gt;"",OR(D450="Nouveau",D450="Contacté",D450="Qualifié"),OR(G450="",N(G450)&lt;=TODAY()),NOT(AND(O450&gt;='Paramètres'!$B$21,P450=0))),E450+446/10000,"")</f>
        <v/>
      </c>
      <c r="BU450" s="60">
        <f>IF(AND(G450&lt;&gt;"",N(G450)&lt;=TODAY()),MAX($BU$4:BU449)+1,"")</f>
        <v/>
      </c>
      <c r="BV450" s="60">
        <f>IF(AND(F450&lt;&gt;"",F450&lt;&gt;"Relance en retard"),MAX($BV$4:BV449)+1,"")</f>
        <v/>
      </c>
      <c r="BW450" s="60">
        <f>IF(C450="","",IF(AND(B450&gt;='Tableau de bord'!$R$4,B450&lt;='Tableau de bord'!$S$4,OR('Tableau de bord'!$G$4="Tous",N450='Tableau de bord'!$G$4)),1,0))</f>
        <v/>
      </c>
      <c r="BX450" s="60">
        <f>IF(AND(C450&lt;&gt;"",N(BA450)=7),MAX($BX$4:BX449)+1,"")</f>
        <v/>
      </c>
    </row>
    <row r="451">
      <c r="A451" s="60">
        <f>IF(C451="","","P-"&amp;TEXT(447,"000"))</f>
        <v/>
      </c>
      <c r="B451" s="106">
        <f>IF(C451="","",IFERROR(1/(1/_xlfn.MINIFS('Saisie'!$A$5:$A$2004,'Saisie'!$C$5:$C$2004,C451)),""))</f>
        <v/>
      </c>
      <c r="C451" s="60">
        <f>IFERROR(INDEX('Saisie'!$C$5:$C$2004,MATCH(447,'Saisie'!$AX$5:$AX$2004,0)),"")</f>
        <v/>
      </c>
      <c r="D451" s="60">
        <f>IF(C451="","",IF(AND(BR451&gt;0,BR451&gt;BS451,BA451&lt;7),"Perdu",INDEX('Paramètres'!$F$6:$F$13,BA451)))</f>
        <v/>
      </c>
      <c r="E451" s="61">
        <f>IF(C451="","",MIN(100,(Z451="Oui")*'Paramètres'!$B$38+(AB451="Régulière")*'Paramètres'!$B$39+IF(AND(N(AA451)&gt;0,TODAY()-N(AA451)&lt;=30),'Paramètres'!$B$40,0)+(W451="")*'Paramètres'!$B$41+(AC451="Absente")*'Paramètres'!$B$42+(AC451="Faible")*'Paramètres'!$B$43+IF(AND(N(AD451)&gt;0,N(AD451)&lt;4),'Paramètres'!$B$44,0)+(AF451="Moyenne")*'Paramètres'!$B$45+(AF451="Grande")*'Paramètres'!$B$46+(Y451&lt;&gt;"")*'Paramètres'!$B$47))</f>
        <v/>
      </c>
      <c r="F451" s="60">
        <f>IF(C451="","",IF(D451="Gagné","",IF(D451="Perdu",IF(AND(AX451&lt;&gt;"",AX451&lt;=TODAY()),"À recontacter (perdu)",""),IF(AND(O451&gt;='Paramètres'!$B$21,P451=0),"Stop : "&amp;'Paramètres'!$B$21&amp;" tentatives sans réponse",IF(AND(D451="Proposition",AR451&lt;&gt;"",TODAY()&gt;N(AR451)),"Proposition expirée",IF(AND(D451="Proposition",N(R451)&gt;='Paramètres'!$B$25),"Proposition sans réponse",IF(AND(G451&lt;&gt;"",N(G451)&lt;TODAY()),"Relance en retard",IF(N(R451)&gt;='Paramètres'!$B$24,"Sans action depuis "&amp;R451&amp;" j",""))))))))</f>
        <v/>
      </c>
      <c r="G451" s="106">
        <f>IF(OR(C451="",D451="Gagné",D451="Perdu"),"",IF(AND(BP451&gt;0,BP451=BQ451),INDEX('Saisie'!$J$5:$J$2004,BP451-4),IF(OR(O451=0,AND(O451&gt;='Paramètres'!$B$21,P451=0)),"",Q451+IF(O451&lt;=1,'Paramètres'!$B$18,IF(O451=2,'Paramètres'!$B$19,'Paramètres'!$B$20)))))</f>
        <v/>
      </c>
      <c r="H451" s="107">
        <f>IF(OR(G451="",BP451&lt;&gt;BQ451),"",IF(INDEX('Saisie'!$K$5:$K$2004,BP451-4)="","",INDEX('Saisie'!$K$5:$K$2004,BP451-4)))</f>
        <v/>
      </c>
      <c r="I451" s="60">
        <f>IF(C451="","",IF(OR(D451="Gagné",D451="Perdu"),"",IFERROR(INDEX('Saisie'!$I$5:$I$2004,_xlfn.MAXIFS('Saisie'!$AS$5:$AS$2004,'Saisie'!$C$5:$C$2004,C451,'Saisie'!$I$5:$I$2004,"&lt;&gt;")-4),"")))</f>
        <v/>
      </c>
      <c r="J451" s="60">
        <f>IF(C451="","",IFERROR(INDEX('Saisie'!$U$5:$U$2004,_xlfn.MAXIFS('Saisie'!$AS$5:$AS$2004,'Saisie'!$C$5:$C$2004,C451,'Saisie'!$U$5:$U$2004,"&lt;&gt;")-4),""))</f>
        <v/>
      </c>
      <c r="K451" s="60">
        <f>IF(C451="","",IFERROR(INDEX('Saisie'!$W$5:$W$2004,_xlfn.MAXIFS('Saisie'!$AS$5:$AS$2004,'Saisie'!$C$5:$C$2004,C451,'Saisie'!$W$5:$W$2004,"&lt;&gt;")-4),""))</f>
        <v/>
      </c>
      <c r="L451" s="60">
        <f>IF(IF(BB451&lt;&gt;"",BB451,K451)="","",HYPERLINK("https://wa.me/"&amp;IF(LEFT(SUBSTITUTE(SUBSTITUTE(SUBSTITUTE(IF(BB451&lt;&gt;"",BB451,K451)," ",""),".",""),"+",""),1)="0",'Paramètres'!$B$35&amp;MID(SUBSTITUTE(SUBSTITUTE(SUBSTITUTE(IF(BB451&lt;&gt;"",BB451,K451)," ",""),".",""),"+",""),2,20),SUBSTITUTE(SUBSTITUTE(SUBSTITUTE(IF(BB451&lt;&gt;"",BB451,K451)," ",""),".",""),"+","")),"WhatsApp"))</f>
        <v/>
      </c>
      <c r="M451" s="60">
        <f>IF(BC451="","",HYPERLINK(IF(LEFT(BC451,4)="http",BC451,"https://www.instagram.com/"&amp;SUBSTITUTE(SUBSTITUTE(BC451,"@","")," ","")),BC451))</f>
        <v/>
      </c>
      <c r="N451" s="60">
        <f>IF(C451="","",IFERROR(INDEX('Saisie'!$D$5:$D$2004,_xlfn.MINIFS('Saisie'!$AS$5:$AS$2004,'Saisie'!$C$5:$C$2004,C451,'Saisie'!$AU$5:$AU$2004,1)-4),IFERROR(INDEX('Saisie'!$D$5:$D$2004,_xlfn.MINIFS('Saisie'!$AS$5:$AS$2004,'Saisie'!$C$5:$C$2004,C451,'Saisie'!$D$5:$D$2004,"&lt;&gt;")-4),"")))</f>
        <v/>
      </c>
      <c r="O451" s="60">
        <f>IF(C451="","",COUNTIFS('Saisie'!$C$5:$C$2004,C451,'Saisie'!$AU$5:$AU$2004,1))</f>
        <v/>
      </c>
      <c r="P451" s="60">
        <f>IF(C451="","",COUNTIFS('Saisie'!$C$5:$C$2004,C451,'Saisie'!$AV$5:$AV$2004,1))</f>
        <v/>
      </c>
      <c r="Q451" s="106">
        <f>IF(C451="","",IFERROR(1/(1/_xlfn.MAXIFS('Saisie'!$A$5:$A$2004,'Saisie'!$C$5:$C$2004,C451)),""))</f>
        <v/>
      </c>
      <c r="R451" s="61">
        <f>IF(C451="","",IF(Q451="","",TODAY()-Q451))</f>
        <v/>
      </c>
      <c r="S451" s="60">
        <f>IF(C451="","",IFERROR(INDEX('Saisie'!$R$5:$R$2004,_xlfn.MAXIFS('Saisie'!$AS$5:$AS$2004,'Saisie'!$C$5:$C$2004,C451,'Saisie'!$R$5:$R$2004,"&lt;&gt;")-4),""))</f>
        <v/>
      </c>
      <c r="T451" s="60">
        <f>IF(C451="","",IFERROR(INDEX('Saisie'!$S$5:$S$2004,_xlfn.MAXIFS('Saisie'!$AS$5:$AS$2004,'Saisie'!$C$5:$C$2004,C451,'Saisie'!$S$5:$S$2004,"&lt;&gt;")-4),""))</f>
        <v/>
      </c>
      <c r="U451" s="60">
        <f>IF(C451="","",IFERROR(INDEX('Saisie'!$T$5:$T$2004,_xlfn.MAXIFS('Saisie'!$AS$5:$AS$2004,'Saisie'!$C$5:$C$2004,C451,'Saisie'!$T$5:$T$2004,"&lt;&gt;")-4),""))</f>
        <v/>
      </c>
      <c r="V451" s="60">
        <f>IF(C451="","",IFERROR(INDEX('Saisie'!$V$5:$V$2004,_xlfn.MAXIFS('Saisie'!$AS$5:$AS$2004,'Saisie'!$C$5:$C$2004,C451,'Saisie'!$V$5:$V$2004,"&lt;&gt;")-4),""))</f>
        <v/>
      </c>
      <c r="W451" s="60">
        <f>IF(C451="","",IFERROR(INDEX('Saisie'!$Z$5:$Z$2004,_xlfn.MAXIFS('Saisie'!$AS$5:$AS$2004,'Saisie'!$C$5:$C$2004,C451,'Saisie'!$Z$5:$Z$2004,"&lt;&gt;")-4),""))</f>
        <v/>
      </c>
      <c r="X451" s="60">
        <f>IF(C451="","",IFERROR(INDEX('Saisie'!$AA$5:$AA$2004,_xlfn.MAXIFS('Saisie'!$AS$5:$AS$2004,'Saisie'!$C$5:$C$2004,C451,'Saisie'!$AA$5:$AA$2004,"&lt;&gt;")-4),""))</f>
        <v/>
      </c>
      <c r="Y451" s="60">
        <f>IF(C451="","",IFERROR(INDEX('Saisie'!$AB$5:$AB$2004,_xlfn.MAXIFS('Saisie'!$AS$5:$AS$2004,'Saisie'!$C$5:$C$2004,C451,'Saisie'!$AB$5:$AB$2004,"&lt;&gt;")-4),""))</f>
        <v/>
      </c>
      <c r="Z451" s="60">
        <f>IF(C451="","",IFERROR(INDEX('Saisie'!$AC$5:$AC$2004,_xlfn.MAXIFS('Saisie'!$AS$5:$AS$2004,'Saisie'!$C$5:$C$2004,C451,'Saisie'!$AC$5:$AC$2004,"&lt;&gt;")-4),""))</f>
        <v/>
      </c>
      <c r="AA451" s="106">
        <f>IF(C451="","",IFERROR(INDEX('Saisie'!$AD$5:$AD$2004,_xlfn.MAXIFS('Saisie'!$AS$5:$AS$2004,'Saisie'!$C$5:$C$2004,C451,'Saisie'!$AD$5:$AD$2004,"&lt;&gt;")-4),""))</f>
        <v/>
      </c>
      <c r="AB451" s="60">
        <f>IF(C451="","",IFERROR(INDEX('Saisie'!$AE$5:$AE$2004,_xlfn.MAXIFS('Saisie'!$AS$5:$AS$2004,'Saisie'!$C$5:$C$2004,C451,'Saisie'!$AE$5:$AE$2004,"&lt;&gt;")-4),""))</f>
        <v/>
      </c>
      <c r="AC451" s="60">
        <f>IF(C451="","",IFERROR(INDEX('Saisie'!$AF$5:$AF$2004,_xlfn.MAXIFS('Saisie'!$AS$5:$AS$2004,'Saisie'!$C$5:$C$2004,C451,'Saisie'!$AF$5:$AF$2004,"&lt;&gt;")-4),""))</f>
        <v/>
      </c>
      <c r="AD451" s="108">
        <f>IF(C451="","",IFERROR(INDEX('Saisie'!$AG$5:$AG$2004,_xlfn.MAXIFS('Saisie'!$AS$5:$AS$2004,'Saisie'!$C$5:$C$2004,C451,'Saisie'!$AG$5:$AG$2004,"&lt;&gt;")-4),""))</f>
        <v/>
      </c>
      <c r="AE451" s="60">
        <f>IF(C451="","",IFERROR(INDEX('Saisie'!$AH$5:$AH$2004,_xlfn.MAXIFS('Saisie'!$AS$5:$AS$2004,'Saisie'!$C$5:$C$2004,C451,'Saisie'!$AH$5:$AH$2004,"&lt;&gt;")-4),""))</f>
        <v/>
      </c>
      <c r="AF451" s="60">
        <f>IF(C451="","",IFERROR(INDEX('Saisie'!$AI$5:$AI$2004,_xlfn.MAXIFS('Saisie'!$AS$5:$AS$2004,'Saisie'!$C$5:$C$2004,C451,'Saisie'!$AI$5:$AI$2004,"&lt;&gt;")-4),""))</f>
        <v/>
      </c>
      <c r="AG451" s="60">
        <f>IF(C451="","",IFERROR(INDEX('Saisie'!$AJ$5:$AJ$2004,_xlfn.MAXIFS('Saisie'!$AS$5:$AS$2004,'Saisie'!$C$5:$C$2004,C451,'Saisie'!$AJ$5:$AJ$2004,"&lt;&gt;")-4),""))</f>
        <v/>
      </c>
      <c r="AH451" s="60">
        <f>IF(C451="","",IFERROR(INDEX('Saisie'!$AK$5:$AK$2004,_xlfn.MAXIFS('Saisie'!$AS$5:$AS$2004,'Saisie'!$C$5:$C$2004,C451,'Saisie'!$AK$5:$AK$2004,"&lt;&gt;")-4),""))</f>
        <v/>
      </c>
      <c r="AI451" s="60">
        <f>IF(C451="","",IFERROR(INDEX('Saisie'!$AN$5:$AN$2004,_xlfn.MAXIFS('Saisie'!$AS$5:$AS$2004,'Saisie'!$C$5:$C$2004,C451,'Saisie'!$AN$5:$AN$2004,"&lt;&gt;")-4),""))</f>
        <v/>
      </c>
      <c r="AJ451" s="60">
        <f>IF(C451="","",IFERROR(INDEX('Saisie'!$AO$5:$AO$2004,_xlfn.MAXIFS('Saisie'!$AS$5:$AS$2004,'Saisie'!$C$5:$C$2004,C451,'Saisie'!$AO$5:$AO$2004,"&lt;&gt;")-4),""))</f>
        <v/>
      </c>
      <c r="AK451" s="60">
        <f>IF(C451="","",IFERROR(INDEX('Saisie'!$AP$5:$AP$2004,_xlfn.MAXIFS('Saisie'!$AS$5:$AS$2004,'Saisie'!$C$5:$C$2004,C451,'Saisie'!$AP$5:$AP$2004,"&lt;&gt;")-4),""))</f>
        <v/>
      </c>
      <c r="AL451" s="60">
        <f>IF(C451="","",IFERROR(INDEX('Saisie'!$AQ$5:$AQ$2004,_xlfn.MAXIFS('Saisie'!$AS$5:$AS$2004,'Saisie'!$C$5:$C$2004,C451,'Saisie'!$AQ$5:$AQ$2004,"&lt;&gt;")-4),""))</f>
        <v/>
      </c>
      <c r="AM451" s="60">
        <f>IF(C451="","",((AI451="Oui")+(AJ451="Oui")+(AK451="Oui")+OR(AL451="Immédiat",AL451="&lt; 1 mois"))&amp;"/4")</f>
        <v/>
      </c>
      <c r="AN451" s="60">
        <f>IF(C451="","",IFERROR(INDEX('Saisie'!$AL$5:$AL$2004,_xlfn.MAXIFS('Saisie'!$AS$5:$AS$2004,'Saisie'!$C$5:$C$2004,C451,'Saisie'!$AL$5:$AL$2004,"&lt;&gt;")-4),""))</f>
        <v/>
      </c>
      <c r="AO451" s="62">
        <f>IF(C451="","",IF(IFERROR(INDEX('Saisie'!$AM$5:$AM$2004,_xlfn.MAXIFS('Saisie'!$AS$5:$AS$2004,'Saisie'!$C$5:$C$2004,C451,'Saisie'!$AM$5:$AM$2004,"&lt;&gt;")-4),"")&lt;&gt;"",IFERROR(INDEX('Saisie'!$AM$5:$AM$2004,_xlfn.MAXIFS('Saisie'!$AS$5:$AS$2004,'Saisie'!$C$5:$C$2004,C451,'Saisie'!$AM$5:$AM$2004,"&lt;&gt;")-4),""),IFERROR(INDEX('Paramètres'!$S$6:$S$15,MATCH(AN451,'Paramètres'!$Q$6:$Q$15,0)),"")))</f>
        <v/>
      </c>
      <c r="AP451" s="62">
        <f>IF(C451="","",IFERROR(INDEX('Saisie'!$AW$5:$AW$2004,_xlfn.MAXIFS('Saisie'!$AS$5:$AS$2004,'Saisie'!$C$5:$C$2004,C451,'Saisie'!$E$5:$E$2004,"Proposition envoyée")-4),""))</f>
        <v/>
      </c>
      <c r="AQ451" s="106">
        <f>IF(C451="","",IFERROR(1/(1/_xlfn.MAXIFS('Saisie'!$A$5:$A$2004,'Saisie'!$C$5:$C$2004,C451,'Saisie'!$E$5:$E$2004,"Proposition envoyée")),""))</f>
        <v/>
      </c>
      <c r="AR451" s="106">
        <f>IF(C451="","",IF(AQ451="","",AQ451+'Paramètres'!$B$26))</f>
        <v/>
      </c>
      <c r="AS451" s="62">
        <f>IF(OR(C451="",D451="Gagné",D451="Perdu"),0,N(AP451)*IFERROR(INDEX('Paramètres'!$G$6:$G$13,MATCH(D451,'Paramètres'!$F$6:$F$13,0)),0))</f>
        <v/>
      </c>
      <c r="AT451" s="106">
        <f>IF(C451="","",IFERROR(1/(1/_xlfn.MINIFS('Saisie'!$A$5:$A$2004,'Saisie'!$C$5:$C$2004,C451,'Saisie'!$E$5:$E$2004,"Signature")),""))</f>
        <v/>
      </c>
      <c r="AU451" s="60">
        <f>IF(C451="","",IF(OR(AT451="",B451=""),"",AT451-B451))</f>
        <v/>
      </c>
      <c r="AV451" s="60">
        <f>IF(C451="","",IFERROR(INDEX('Saisie'!$L$5:$L$2004,_xlfn.MAXIFS('Saisie'!$AS$5:$AS$2004,'Saisie'!$C$5:$C$2004,C451,'Saisie'!$L$5:$L$2004,"&lt;&gt;")-4),""))</f>
        <v/>
      </c>
      <c r="AW451" s="106">
        <f>IF(C451="","",IF(D451&lt;&gt;"Perdu","",IFERROR(1/(1/_xlfn.MAXIFS('Saisie'!$A$5:$A$2004,'Saisie'!$C$5:$C$2004,C451,'Saisie'!$E$5:$E$2004,"Perdu")),"")))</f>
        <v/>
      </c>
      <c r="AX451" s="106">
        <f>IF(C451="","",IF(AW451="","",AW451+'Paramètres'!$B$28))</f>
        <v/>
      </c>
      <c r="AY451" s="60">
        <f>IF(C451="","",SUMIFS('Saisie'!$H$5:$H$2004,'Saisie'!$C$5:$C$2004,C451))</f>
        <v/>
      </c>
      <c r="AZ451" s="60">
        <f>IF(C451="","",IFERROR(INDEX('Paramètres'!$W$6:$W$20,MATCH(S451,'Paramètres'!$V$6:$V$20,0))&amp;"",""))</f>
        <v/>
      </c>
      <c r="BA451" s="60">
        <f>IF(C451="","",MAX(1,_xlfn.MAXIFS('Saisie'!$AT$5:$AT$2004,'Saisie'!$C$5:$C$2004,C451)))</f>
        <v/>
      </c>
      <c r="BB451" s="60">
        <f>IF(C451="","",IFERROR(INDEX('Saisie'!$X$5:$X$2004,_xlfn.MAXIFS('Saisie'!$AS$5:$AS$2004,'Saisie'!$C$5:$C$2004,C451,'Saisie'!$X$5:$X$2004,"&lt;&gt;")-4),""))</f>
        <v/>
      </c>
      <c r="BC451" s="60">
        <f>IF(C451="","",IFERROR(INDEX('Saisie'!$Y$5:$Y$2004,_xlfn.MAXIFS('Saisie'!$AS$5:$AS$2004,'Saisie'!$C$5:$C$2004,C451,'Saisie'!$Y$5:$Y$2004,"&lt;&gt;")-4),""))</f>
        <v/>
      </c>
      <c r="BD451" s="106">
        <f>IF(C451="","",IFERROR(1/(1/_xlfn.MINIFS('Saisie'!$A$5:$A$2004,'Saisie'!$C$5:$C$2004,C451,'Saisie'!$AT$5:$AT$2004,"&gt;=2")),""))</f>
        <v/>
      </c>
      <c r="BE451" s="106">
        <f>IF(C451="","",IFERROR(1/(1/_xlfn.MINIFS('Saisie'!$A$5:$A$2004,'Saisie'!$C$5:$C$2004,C451,'Saisie'!$AT$5:$AT$2004,"&gt;=3")),""))</f>
        <v/>
      </c>
      <c r="BF451" s="106">
        <f>IF(C451="","",IFERROR(1/(1/_xlfn.MINIFS('Saisie'!$A$5:$A$2004,'Saisie'!$C$5:$C$2004,C451,'Saisie'!$AT$5:$AT$2004,"&gt;=4")),""))</f>
        <v/>
      </c>
      <c r="BG451" s="106">
        <f>IF(C451="","",IFERROR(1/(1/_xlfn.MINIFS('Saisie'!$A$5:$A$2004,'Saisie'!$C$5:$C$2004,C451,'Saisie'!$AT$5:$AT$2004,"&gt;=5")),""))</f>
        <v/>
      </c>
      <c r="BH451" s="106">
        <f>IF(C451="","",IFERROR(1/(1/_xlfn.MINIFS('Saisie'!$A$5:$A$2004,'Saisie'!$C$5:$C$2004,C451,'Saisie'!$AT$5:$AT$2004,"&gt;=6")),""))</f>
        <v/>
      </c>
      <c r="BI451" s="106">
        <f>IF(C451="","",IFERROR(1/(1/_xlfn.MINIFS('Saisie'!$A$5:$A$2004,'Saisie'!$C$5:$C$2004,C451,'Saisie'!$AT$5:$AT$2004,"&gt;=7")),""))</f>
        <v/>
      </c>
      <c r="BJ451" s="60">
        <f>IF(OR(BD451="",B451=""),"",BD451-B451)</f>
        <v/>
      </c>
      <c r="BK451" s="60">
        <f>IF(OR(BE451="",BD451=""),"",BE451-BD451)</f>
        <v/>
      </c>
      <c r="BL451" s="60">
        <f>IF(OR(BF451="",BE451=""),"",BF451-BE451)</f>
        <v/>
      </c>
      <c r="BM451" s="60">
        <f>IF(OR(BG451="",BF451=""),"",BG451-BF451)</f>
        <v/>
      </c>
      <c r="BN451" s="60">
        <f>IF(OR(BH451="",BG451=""),"",BH451-BG451)</f>
        <v/>
      </c>
      <c r="BO451" s="60">
        <f>IF(OR(BI451="",BH451=""),"",BI451-BH451)</f>
        <v/>
      </c>
      <c r="BP451" s="60">
        <f>IF(C451="","",_xlfn.MAXIFS('Saisie'!$AS$5:$AS$2004,'Saisie'!$C$5:$C$2004,C451,'Saisie'!$J$5:$J$2004,"&lt;&gt;"))</f>
        <v/>
      </c>
      <c r="BQ451" s="60">
        <f>IF(C451="","",_xlfn.MAXIFS('Saisie'!$AS$5:$AS$2004,'Saisie'!$C$5:$C$2004,C451))</f>
        <v/>
      </c>
      <c r="BR451" s="60">
        <f>IF(C451="","",_xlfn.MAXIFS('Saisie'!$AS$5:$AS$2004,'Saisie'!$C$5:$C$2004,C451,'Saisie'!$E$5:$E$2004,"Perdu"))</f>
        <v/>
      </c>
      <c r="BS451" s="60">
        <f>IF(C451="","",_xlfn.MAXIFS('Saisie'!$AS$5:$AS$2004,'Saisie'!$C$5:$C$2004,C451,'Saisie'!$AT$5:$AT$2004,"&gt;0"))</f>
        <v/>
      </c>
      <c r="BT451" s="109">
        <f>IF(AND(C451&lt;&gt;"",OR(D451="Nouveau",D451="Contacté",D451="Qualifié"),OR(G451="",N(G451)&lt;=TODAY()),NOT(AND(O451&gt;='Paramètres'!$B$21,P451=0))),E451+447/10000,"")</f>
        <v/>
      </c>
      <c r="BU451" s="60">
        <f>IF(AND(G451&lt;&gt;"",N(G451)&lt;=TODAY()),MAX($BU$4:BU450)+1,"")</f>
        <v/>
      </c>
      <c r="BV451" s="60">
        <f>IF(AND(F451&lt;&gt;"",F451&lt;&gt;"Relance en retard"),MAX($BV$4:BV450)+1,"")</f>
        <v/>
      </c>
      <c r="BW451" s="60">
        <f>IF(C451="","",IF(AND(B451&gt;='Tableau de bord'!$R$4,B451&lt;='Tableau de bord'!$S$4,OR('Tableau de bord'!$G$4="Tous",N451='Tableau de bord'!$G$4)),1,0))</f>
        <v/>
      </c>
      <c r="BX451" s="60">
        <f>IF(AND(C451&lt;&gt;"",N(BA451)=7),MAX($BX$4:BX450)+1,"")</f>
        <v/>
      </c>
    </row>
    <row r="452">
      <c r="A452" s="60">
        <f>IF(C452="","","P-"&amp;TEXT(448,"000"))</f>
        <v/>
      </c>
      <c r="B452" s="106">
        <f>IF(C452="","",IFERROR(1/(1/_xlfn.MINIFS('Saisie'!$A$5:$A$2004,'Saisie'!$C$5:$C$2004,C452)),""))</f>
        <v/>
      </c>
      <c r="C452" s="60">
        <f>IFERROR(INDEX('Saisie'!$C$5:$C$2004,MATCH(448,'Saisie'!$AX$5:$AX$2004,0)),"")</f>
        <v/>
      </c>
      <c r="D452" s="60">
        <f>IF(C452="","",IF(AND(BR452&gt;0,BR452&gt;BS452,BA452&lt;7),"Perdu",INDEX('Paramètres'!$F$6:$F$13,BA452)))</f>
        <v/>
      </c>
      <c r="E452" s="61">
        <f>IF(C452="","",MIN(100,(Z452="Oui")*'Paramètres'!$B$38+(AB452="Régulière")*'Paramètres'!$B$39+IF(AND(N(AA452)&gt;0,TODAY()-N(AA452)&lt;=30),'Paramètres'!$B$40,0)+(W452="")*'Paramètres'!$B$41+(AC452="Absente")*'Paramètres'!$B$42+(AC452="Faible")*'Paramètres'!$B$43+IF(AND(N(AD452)&gt;0,N(AD452)&lt;4),'Paramètres'!$B$44,0)+(AF452="Moyenne")*'Paramètres'!$B$45+(AF452="Grande")*'Paramètres'!$B$46+(Y452&lt;&gt;"")*'Paramètres'!$B$47))</f>
        <v/>
      </c>
      <c r="F452" s="60">
        <f>IF(C452="","",IF(D452="Gagné","",IF(D452="Perdu",IF(AND(AX452&lt;&gt;"",AX452&lt;=TODAY()),"À recontacter (perdu)",""),IF(AND(O452&gt;='Paramètres'!$B$21,P452=0),"Stop : "&amp;'Paramètres'!$B$21&amp;" tentatives sans réponse",IF(AND(D452="Proposition",AR452&lt;&gt;"",TODAY()&gt;N(AR452)),"Proposition expirée",IF(AND(D452="Proposition",N(R452)&gt;='Paramètres'!$B$25),"Proposition sans réponse",IF(AND(G452&lt;&gt;"",N(G452)&lt;TODAY()),"Relance en retard",IF(N(R452)&gt;='Paramètres'!$B$24,"Sans action depuis "&amp;R452&amp;" j",""))))))))</f>
        <v/>
      </c>
      <c r="G452" s="106">
        <f>IF(OR(C452="",D452="Gagné",D452="Perdu"),"",IF(AND(BP452&gt;0,BP452=BQ452),INDEX('Saisie'!$J$5:$J$2004,BP452-4),IF(OR(O452=0,AND(O452&gt;='Paramètres'!$B$21,P452=0)),"",Q452+IF(O452&lt;=1,'Paramètres'!$B$18,IF(O452=2,'Paramètres'!$B$19,'Paramètres'!$B$20)))))</f>
        <v/>
      </c>
      <c r="H452" s="107">
        <f>IF(OR(G452="",BP452&lt;&gt;BQ452),"",IF(INDEX('Saisie'!$K$5:$K$2004,BP452-4)="","",INDEX('Saisie'!$K$5:$K$2004,BP452-4)))</f>
        <v/>
      </c>
      <c r="I452" s="60">
        <f>IF(C452="","",IF(OR(D452="Gagné",D452="Perdu"),"",IFERROR(INDEX('Saisie'!$I$5:$I$2004,_xlfn.MAXIFS('Saisie'!$AS$5:$AS$2004,'Saisie'!$C$5:$C$2004,C452,'Saisie'!$I$5:$I$2004,"&lt;&gt;")-4),"")))</f>
        <v/>
      </c>
      <c r="J452" s="60">
        <f>IF(C452="","",IFERROR(INDEX('Saisie'!$U$5:$U$2004,_xlfn.MAXIFS('Saisie'!$AS$5:$AS$2004,'Saisie'!$C$5:$C$2004,C452,'Saisie'!$U$5:$U$2004,"&lt;&gt;")-4),""))</f>
        <v/>
      </c>
      <c r="K452" s="60">
        <f>IF(C452="","",IFERROR(INDEX('Saisie'!$W$5:$W$2004,_xlfn.MAXIFS('Saisie'!$AS$5:$AS$2004,'Saisie'!$C$5:$C$2004,C452,'Saisie'!$W$5:$W$2004,"&lt;&gt;")-4),""))</f>
        <v/>
      </c>
      <c r="L452" s="60">
        <f>IF(IF(BB452&lt;&gt;"",BB452,K452)="","",HYPERLINK("https://wa.me/"&amp;IF(LEFT(SUBSTITUTE(SUBSTITUTE(SUBSTITUTE(IF(BB452&lt;&gt;"",BB452,K452)," ",""),".",""),"+",""),1)="0",'Paramètres'!$B$35&amp;MID(SUBSTITUTE(SUBSTITUTE(SUBSTITUTE(IF(BB452&lt;&gt;"",BB452,K452)," ",""),".",""),"+",""),2,20),SUBSTITUTE(SUBSTITUTE(SUBSTITUTE(IF(BB452&lt;&gt;"",BB452,K452)," ",""),".",""),"+","")),"WhatsApp"))</f>
        <v/>
      </c>
      <c r="M452" s="60">
        <f>IF(BC452="","",HYPERLINK(IF(LEFT(BC452,4)="http",BC452,"https://www.instagram.com/"&amp;SUBSTITUTE(SUBSTITUTE(BC452,"@","")," ","")),BC452))</f>
        <v/>
      </c>
      <c r="N452" s="60">
        <f>IF(C452="","",IFERROR(INDEX('Saisie'!$D$5:$D$2004,_xlfn.MINIFS('Saisie'!$AS$5:$AS$2004,'Saisie'!$C$5:$C$2004,C452,'Saisie'!$AU$5:$AU$2004,1)-4),IFERROR(INDEX('Saisie'!$D$5:$D$2004,_xlfn.MINIFS('Saisie'!$AS$5:$AS$2004,'Saisie'!$C$5:$C$2004,C452,'Saisie'!$D$5:$D$2004,"&lt;&gt;")-4),"")))</f>
        <v/>
      </c>
      <c r="O452" s="60">
        <f>IF(C452="","",COUNTIFS('Saisie'!$C$5:$C$2004,C452,'Saisie'!$AU$5:$AU$2004,1))</f>
        <v/>
      </c>
      <c r="P452" s="60">
        <f>IF(C452="","",COUNTIFS('Saisie'!$C$5:$C$2004,C452,'Saisie'!$AV$5:$AV$2004,1))</f>
        <v/>
      </c>
      <c r="Q452" s="106">
        <f>IF(C452="","",IFERROR(1/(1/_xlfn.MAXIFS('Saisie'!$A$5:$A$2004,'Saisie'!$C$5:$C$2004,C452)),""))</f>
        <v/>
      </c>
      <c r="R452" s="61">
        <f>IF(C452="","",IF(Q452="","",TODAY()-Q452))</f>
        <v/>
      </c>
      <c r="S452" s="60">
        <f>IF(C452="","",IFERROR(INDEX('Saisie'!$R$5:$R$2004,_xlfn.MAXIFS('Saisie'!$AS$5:$AS$2004,'Saisie'!$C$5:$C$2004,C452,'Saisie'!$R$5:$R$2004,"&lt;&gt;")-4),""))</f>
        <v/>
      </c>
      <c r="T452" s="60">
        <f>IF(C452="","",IFERROR(INDEX('Saisie'!$S$5:$S$2004,_xlfn.MAXIFS('Saisie'!$AS$5:$AS$2004,'Saisie'!$C$5:$C$2004,C452,'Saisie'!$S$5:$S$2004,"&lt;&gt;")-4),""))</f>
        <v/>
      </c>
      <c r="U452" s="60">
        <f>IF(C452="","",IFERROR(INDEX('Saisie'!$T$5:$T$2004,_xlfn.MAXIFS('Saisie'!$AS$5:$AS$2004,'Saisie'!$C$5:$C$2004,C452,'Saisie'!$T$5:$T$2004,"&lt;&gt;")-4),""))</f>
        <v/>
      </c>
      <c r="V452" s="60">
        <f>IF(C452="","",IFERROR(INDEX('Saisie'!$V$5:$V$2004,_xlfn.MAXIFS('Saisie'!$AS$5:$AS$2004,'Saisie'!$C$5:$C$2004,C452,'Saisie'!$V$5:$V$2004,"&lt;&gt;")-4),""))</f>
        <v/>
      </c>
      <c r="W452" s="60">
        <f>IF(C452="","",IFERROR(INDEX('Saisie'!$Z$5:$Z$2004,_xlfn.MAXIFS('Saisie'!$AS$5:$AS$2004,'Saisie'!$C$5:$C$2004,C452,'Saisie'!$Z$5:$Z$2004,"&lt;&gt;")-4),""))</f>
        <v/>
      </c>
      <c r="X452" s="60">
        <f>IF(C452="","",IFERROR(INDEX('Saisie'!$AA$5:$AA$2004,_xlfn.MAXIFS('Saisie'!$AS$5:$AS$2004,'Saisie'!$C$5:$C$2004,C452,'Saisie'!$AA$5:$AA$2004,"&lt;&gt;")-4),""))</f>
        <v/>
      </c>
      <c r="Y452" s="60">
        <f>IF(C452="","",IFERROR(INDEX('Saisie'!$AB$5:$AB$2004,_xlfn.MAXIFS('Saisie'!$AS$5:$AS$2004,'Saisie'!$C$5:$C$2004,C452,'Saisie'!$AB$5:$AB$2004,"&lt;&gt;")-4),""))</f>
        <v/>
      </c>
      <c r="Z452" s="60">
        <f>IF(C452="","",IFERROR(INDEX('Saisie'!$AC$5:$AC$2004,_xlfn.MAXIFS('Saisie'!$AS$5:$AS$2004,'Saisie'!$C$5:$C$2004,C452,'Saisie'!$AC$5:$AC$2004,"&lt;&gt;")-4),""))</f>
        <v/>
      </c>
      <c r="AA452" s="106">
        <f>IF(C452="","",IFERROR(INDEX('Saisie'!$AD$5:$AD$2004,_xlfn.MAXIFS('Saisie'!$AS$5:$AS$2004,'Saisie'!$C$5:$C$2004,C452,'Saisie'!$AD$5:$AD$2004,"&lt;&gt;")-4),""))</f>
        <v/>
      </c>
      <c r="AB452" s="60">
        <f>IF(C452="","",IFERROR(INDEX('Saisie'!$AE$5:$AE$2004,_xlfn.MAXIFS('Saisie'!$AS$5:$AS$2004,'Saisie'!$C$5:$C$2004,C452,'Saisie'!$AE$5:$AE$2004,"&lt;&gt;")-4),""))</f>
        <v/>
      </c>
      <c r="AC452" s="60">
        <f>IF(C452="","",IFERROR(INDEX('Saisie'!$AF$5:$AF$2004,_xlfn.MAXIFS('Saisie'!$AS$5:$AS$2004,'Saisie'!$C$5:$C$2004,C452,'Saisie'!$AF$5:$AF$2004,"&lt;&gt;")-4),""))</f>
        <v/>
      </c>
      <c r="AD452" s="108">
        <f>IF(C452="","",IFERROR(INDEX('Saisie'!$AG$5:$AG$2004,_xlfn.MAXIFS('Saisie'!$AS$5:$AS$2004,'Saisie'!$C$5:$C$2004,C452,'Saisie'!$AG$5:$AG$2004,"&lt;&gt;")-4),""))</f>
        <v/>
      </c>
      <c r="AE452" s="60">
        <f>IF(C452="","",IFERROR(INDEX('Saisie'!$AH$5:$AH$2004,_xlfn.MAXIFS('Saisie'!$AS$5:$AS$2004,'Saisie'!$C$5:$C$2004,C452,'Saisie'!$AH$5:$AH$2004,"&lt;&gt;")-4),""))</f>
        <v/>
      </c>
      <c r="AF452" s="60">
        <f>IF(C452="","",IFERROR(INDEX('Saisie'!$AI$5:$AI$2004,_xlfn.MAXIFS('Saisie'!$AS$5:$AS$2004,'Saisie'!$C$5:$C$2004,C452,'Saisie'!$AI$5:$AI$2004,"&lt;&gt;")-4),""))</f>
        <v/>
      </c>
      <c r="AG452" s="60">
        <f>IF(C452="","",IFERROR(INDEX('Saisie'!$AJ$5:$AJ$2004,_xlfn.MAXIFS('Saisie'!$AS$5:$AS$2004,'Saisie'!$C$5:$C$2004,C452,'Saisie'!$AJ$5:$AJ$2004,"&lt;&gt;")-4),""))</f>
        <v/>
      </c>
      <c r="AH452" s="60">
        <f>IF(C452="","",IFERROR(INDEX('Saisie'!$AK$5:$AK$2004,_xlfn.MAXIFS('Saisie'!$AS$5:$AS$2004,'Saisie'!$C$5:$C$2004,C452,'Saisie'!$AK$5:$AK$2004,"&lt;&gt;")-4),""))</f>
        <v/>
      </c>
      <c r="AI452" s="60">
        <f>IF(C452="","",IFERROR(INDEX('Saisie'!$AN$5:$AN$2004,_xlfn.MAXIFS('Saisie'!$AS$5:$AS$2004,'Saisie'!$C$5:$C$2004,C452,'Saisie'!$AN$5:$AN$2004,"&lt;&gt;")-4),""))</f>
        <v/>
      </c>
      <c r="AJ452" s="60">
        <f>IF(C452="","",IFERROR(INDEX('Saisie'!$AO$5:$AO$2004,_xlfn.MAXIFS('Saisie'!$AS$5:$AS$2004,'Saisie'!$C$5:$C$2004,C452,'Saisie'!$AO$5:$AO$2004,"&lt;&gt;")-4),""))</f>
        <v/>
      </c>
      <c r="AK452" s="60">
        <f>IF(C452="","",IFERROR(INDEX('Saisie'!$AP$5:$AP$2004,_xlfn.MAXIFS('Saisie'!$AS$5:$AS$2004,'Saisie'!$C$5:$C$2004,C452,'Saisie'!$AP$5:$AP$2004,"&lt;&gt;")-4),""))</f>
        <v/>
      </c>
      <c r="AL452" s="60">
        <f>IF(C452="","",IFERROR(INDEX('Saisie'!$AQ$5:$AQ$2004,_xlfn.MAXIFS('Saisie'!$AS$5:$AS$2004,'Saisie'!$C$5:$C$2004,C452,'Saisie'!$AQ$5:$AQ$2004,"&lt;&gt;")-4),""))</f>
        <v/>
      </c>
      <c r="AM452" s="60">
        <f>IF(C452="","",((AI452="Oui")+(AJ452="Oui")+(AK452="Oui")+OR(AL452="Immédiat",AL452="&lt; 1 mois"))&amp;"/4")</f>
        <v/>
      </c>
      <c r="AN452" s="60">
        <f>IF(C452="","",IFERROR(INDEX('Saisie'!$AL$5:$AL$2004,_xlfn.MAXIFS('Saisie'!$AS$5:$AS$2004,'Saisie'!$C$5:$C$2004,C452,'Saisie'!$AL$5:$AL$2004,"&lt;&gt;")-4),""))</f>
        <v/>
      </c>
      <c r="AO452" s="62">
        <f>IF(C452="","",IF(IFERROR(INDEX('Saisie'!$AM$5:$AM$2004,_xlfn.MAXIFS('Saisie'!$AS$5:$AS$2004,'Saisie'!$C$5:$C$2004,C452,'Saisie'!$AM$5:$AM$2004,"&lt;&gt;")-4),"")&lt;&gt;"",IFERROR(INDEX('Saisie'!$AM$5:$AM$2004,_xlfn.MAXIFS('Saisie'!$AS$5:$AS$2004,'Saisie'!$C$5:$C$2004,C452,'Saisie'!$AM$5:$AM$2004,"&lt;&gt;")-4),""),IFERROR(INDEX('Paramètres'!$S$6:$S$15,MATCH(AN452,'Paramètres'!$Q$6:$Q$15,0)),"")))</f>
        <v/>
      </c>
      <c r="AP452" s="62">
        <f>IF(C452="","",IFERROR(INDEX('Saisie'!$AW$5:$AW$2004,_xlfn.MAXIFS('Saisie'!$AS$5:$AS$2004,'Saisie'!$C$5:$C$2004,C452,'Saisie'!$E$5:$E$2004,"Proposition envoyée")-4),""))</f>
        <v/>
      </c>
      <c r="AQ452" s="106">
        <f>IF(C452="","",IFERROR(1/(1/_xlfn.MAXIFS('Saisie'!$A$5:$A$2004,'Saisie'!$C$5:$C$2004,C452,'Saisie'!$E$5:$E$2004,"Proposition envoyée")),""))</f>
        <v/>
      </c>
      <c r="AR452" s="106">
        <f>IF(C452="","",IF(AQ452="","",AQ452+'Paramètres'!$B$26))</f>
        <v/>
      </c>
      <c r="AS452" s="62">
        <f>IF(OR(C452="",D452="Gagné",D452="Perdu"),0,N(AP452)*IFERROR(INDEX('Paramètres'!$G$6:$G$13,MATCH(D452,'Paramètres'!$F$6:$F$13,0)),0))</f>
        <v/>
      </c>
      <c r="AT452" s="106">
        <f>IF(C452="","",IFERROR(1/(1/_xlfn.MINIFS('Saisie'!$A$5:$A$2004,'Saisie'!$C$5:$C$2004,C452,'Saisie'!$E$5:$E$2004,"Signature")),""))</f>
        <v/>
      </c>
      <c r="AU452" s="60">
        <f>IF(C452="","",IF(OR(AT452="",B452=""),"",AT452-B452))</f>
        <v/>
      </c>
      <c r="AV452" s="60">
        <f>IF(C452="","",IFERROR(INDEX('Saisie'!$L$5:$L$2004,_xlfn.MAXIFS('Saisie'!$AS$5:$AS$2004,'Saisie'!$C$5:$C$2004,C452,'Saisie'!$L$5:$L$2004,"&lt;&gt;")-4),""))</f>
        <v/>
      </c>
      <c r="AW452" s="106">
        <f>IF(C452="","",IF(D452&lt;&gt;"Perdu","",IFERROR(1/(1/_xlfn.MAXIFS('Saisie'!$A$5:$A$2004,'Saisie'!$C$5:$C$2004,C452,'Saisie'!$E$5:$E$2004,"Perdu")),"")))</f>
        <v/>
      </c>
      <c r="AX452" s="106">
        <f>IF(C452="","",IF(AW452="","",AW452+'Paramètres'!$B$28))</f>
        <v/>
      </c>
      <c r="AY452" s="60">
        <f>IF(C452="","",SUMIFS('Saisie'!$H$5:$H$2004,'Saisie'!$C$5:$C$2004,C452))</f>
        <v/>
      </c>
      <c r="AZ452" s="60">
        <f>IF(C452="","",IFERROR(INDEX('Paramètres'!$W$6:$W$20,MATCH(S452,'Paramètres'!$V$6:$V$20,0))&amp;"",""))</f>
        <v/>
      </c>
      <c r="BA452" s="60">
        <f>IF(C452="","",MAX(1,_xlfn.MAXIFS('Saisie'!$AT$5:$AT$2004,'Saisie'!$C$5:$C$2004,C452)))</f>
        <v/>
      </c>
      <c r="BB452" s="60">
        <f>IF(C452="","",IFERROR(INDEX('Saisie'!$X$5:$X$2004,_xlfn.MAXIFS('Saisie'!$AS$5:$AS$2004,'Saisie'!$C$5:$C$2004,C452,'Saisie'!$X$5:$X$2004,"&lt;&gt;")-4),""))</f>
        <v/>
      </c>
      <c r="BC452" s="60">
        <f>IF(C452="","",IFERROR(INDEX('Saisie'!$Y$5:$Y$2004,_xlfn.MAXIFS('Saisie'!$AS$5:$AS$2004,'Saisie'!$C$5:$C$2004,C452,'Saisie'!$Y$5:$Y$2004,"&lt;&gt;")-4),""))</f>
        <v/>
      </c>
      <c r="BD452" s="106">
        <f>IF(C452="","",IFERROR(1/(1/_xlfn.MINIFS('Saisie'!$A$5:$A$2004,'Saisie'!$C$5:$C$2004,C452,'Saisie'!$AT$5:$AT$2004,"&gt;=2")),""))</f>
        <v/>
      </c>
      <c r="BE452" s="106">
        <f>IF(C452="","",IFERROR(1/(1/_xlfn.MINIFS('Saisie'!$A$5:$A$2004,'Saisie'!$C$5:$C$2004,C452,'Saisie'!$AT$5:$AT$2004,"&gt;=3")),""))</f>
        <v/>
      </c>
      <c r="BF452" s="106">
        <f>IF(C452="","",IFERROR(1/(1/_xlfn.MINIFS('Saisie'!$A$5:$A$2004,'Saisie'!$C$5:$C$2004,C452,'Saisie'!$AT$5:$AT$2004,"&gt;=4")),""))</f>
        <v/>
      </c>
      <c r="BG452" s="106">
        <f>IF(C452="","",IFERROR(1/(1/_xlfn.MINIFS('Saisie'!$A$5:$A$2004,'Saisie'!$C$5:$C$2004,C452,'Saisie'!$AT$5:$AT$2004,"&gt;=5")),""))</f>
        <v/>
      </c>
      <c r="BH452" s="106">
        <f>IF(C452="","",IFERROR(1/(1/_xlfn.MINIFS('Saisie'!$A$5:$A$2004,'Saisie'!$C$5:$C$2004,C452,'Saisie'!$AT$5:$AT$2004,"&gt;=6")),""))</f>
        <v/>
      </c>
      <c r="BI452" s="106">
        <f>IF(C452="","",IFERROR(1/(1/_xlfn.MINIFS('Saisie'!$A$5:$A$2004,'Saisie'!$C$5:$C$2004,C452,'Saisie'!$AT$5:$AT$2004,"&gt;=7")),""))</f>
        <v/>
      </c>
      <c r="BJ452" s="60">
        <f>IF(OR(BD452="",B452=""),"",BD452-B452)</f>
        <v/>
      </c>
      <c r="BK452" s="60">
        <f>IF(OR(BE452="",BD452=""),"",BE452-BD452)</f>
        <v/>
      </c>
      <c r="BL452" s="60">
        <f>IF(OR(BF452="",BE452=""),"",BF452-BE452)</f>
        <v/>
      </c>
      <c r="BM452" s="60">
        <f>IF(OR(BG452="",BF452=""),"",BG452-BF452)</f>
        <v/>
      </c>
      <c r="BN452" s="60">
        <f>IF(OR(BH452="",BG452=""),"",BH452-BG452)</f>
        <v/>
      </c>
      <c r="BO452" s="60">
        <f>IF(OR(BI452="",BH452=""),"",BI452-BH452)</f>
        <v/>
      </c>
      <c r="BP452" s="60">
        <f>IF(C452="","",_xlfn.MAXIFS('Saisie'!$AS$5:$AS$2004,'Saisie'!$C$5:$C$2004,C452,'Saisie'!$J$5:$J$2004,"&lt;&gt;"))</f>
        <v/>
      </c>
      <c r="BQ452" s="60">
        <f>IF(C452="","",_xlfn.MAXIFS('Saisie'!$AS$5:$AS$2004,'Saisie'!$C$5:$C$2004,C452))</f>
        <v/>
      </c>
      <c r="BR452" s="60">
        <f>IF(C452="","",_xlfn.MAXIFS('Saisie'!$AS$5:$AS$2004,'Saisie'!$C$5:$C$2004,C452,'Saisie'!$E$5:$E$2004,"Perdu"))</f>
        <v/>
      </c>
      <c r="BS452" s="60">
        <f>IF(C452="","",_xlfn.MAXIFS('Saisie'!$AS$5:$AS$2004,'Saisie'!$C$5:$C$2004,C452,'Saisie'!$AT$5:$AT$2004,"&gt;0"))</f>
        <v/>
      </c>
      <c r="BT452" s="109">
        <f>IF(AND(C452&lt;&gt;"",OR(D452="Nouveau",D452="Contacté",D452="Qualifié"),OR(G452="",N(G452)&lt;=TODAY()),NOT(AND(O452&gt;='Paramètres'!$B$21,P452=0))),E452+448/10000,"")</f>
        <v/>
      </c>
      <c r="BU452" s="60">
        <f>IF(AND(G452&lt;&gt;"",N(G452)&lt;=TODAY()),MAX($BU$4:BU451)+1,"")</f>
        <v/>
      </c>
      <c r="BV452" s="60">
        <f>IF(AND(F452&lt;&gt;"",F452&lt;&gt;"Relance en retard"),MAX($BV$4:BV451)+1,"")</f>
        <v/>
      </c>
      <c r="BW452" s="60">
        <f>IF(C452="","",IF(AND(B452&gt;='Tableau de bord'!$R$4,B452&lt;='Tableau de bord'!$S$4,OR('Tableau de bord'!$G$4="Tous",N452='Tableau de bord'!$G$4)),1,0))</f>
        <v/>
      </c>
      <c r="BX452" s="60">
        <f>IF(AND(C452&lt;&gt;"",N(BA452)=7),MAX($BX$4:BX451)+1,"")</f>
        <v/>
      </c>
    </row>
    <row r="453">
      <c r="A453" s="60">
        <f>IF(C453="","","P-"&amp;TEXT(449,"000"))</f>
        <v/>
      </c>
      <c r="B453" s="106">
        <f>IF(C453="","",IFERROR(1/(1/_xlfn.MINIFS('Saisie'!$A$5:$A$2004,'Saisie'!$C$5:$C$2004,C453)),""))</f>
        <v/>
      </c>
      <c r="C453" s="60">
        <f>IFERROR(INDEX('Saisie'!$C$5:$C$2004,MATCH(449,'Saisie'!$AX$5:$AX$2004,0)),"")</f>
        <v/>
      </c>
      <c r="D453" s="60">
        <f>IF(C453="","",IF(AND(BR453&gt;0,BR453&gt;BS453,BA453&lt;7),"Perdu",INDEX('Paramètres'!$F$6:$F$13,BA453)))</f>
        <v/>
      </c>
      <c r="E453" s="61">
        <f>IF(C453="","",MIN(100,(Z453="Oui")*'Paramètres'!$B$38+(AB453="Régulière")*'Paramètres'!$B$39+IF(AND(N(AA453)&gt;0,TODAY()-N(AA453)&lt;=30),'Paramètres'!$B$40,0)+(W453="")*'Paramètres'!$B$41+(AC453="Absente")*'Paramètres'!$B$42+(AC453="Faible")*'Paramètres'!$B$43+IF(AND(N(AD453)&gt;0,N(AD453)&lt;4),'Paramètres'!$B$44,0)+(AF453="Moyenne")*'Paramètres'!$B$45+(AF453="Grande")*'Paramètres'!$B$46+(Y453&lt;&gt;"")*'Paramètres'!$B$47))</f>
        <v/>
      </c>
      <c r="F453" s="60">
        <f>IF(C453="","",IF(D453="Gagné","",IF(D453="Perdu",IF(AND(AX453&lt;&gt;"",AX453&lt;=TODAY()),"À recontacter (perdu)",""),IF(AND(O453&gt;='Paramètres'!$B$21,P453=0),"Stop : "&amp;'Paramètres'!$B$21&amp;" tentatives sans réponse",IF(AND(D453="Proposition",AR453&lt;&gt;"",TODAY()&gt;N(AR453)),"Proposition expirée",IF(AND(D453="Proposition",N(R453)&gt;='Paramètres'!$B$25),"Proposition sans réponse",IF(AND(G453&lt;&gt;"",N(G453)&lt;TODAY()),"Relance en retard",IF(N(R453)&gt;='Paramètres'!$B$24,"Sans action depuis "&amp;R453&amp;" j",""))))))))</f>
        <v/>
      </c>
      <c r="G453" s="106">
        <f>IF(OR(C453="",D453="Gagné",D453="Perdu"),"",IF(AND(BP453&gt;0,BP453=BQ453),INDEX('Saisie'!$J$5:$J$2004,BP453-4),IF(OR(O453=0,AND(O453&gt;='Paramètres'!$B$21,P453=0)),"",Q453+IF(O453&lt;=1,'Paramètres'!$B$18,IF(O453=2,'Paramètres'!$B$19,'Paramètres'!$B$20)))))</f>
        <v/>
      </c>
      <c r="H453" s="107">
        <f>IF(OR(G453="",BP453&lt;&gt;BQ453),"",IF(INDEX('Saisie'!$K$5:$K$2004,BP453-4)="","",INDEX('Saisie'!$K$5:$K$2004,BP453-4)))</f>
        <v/>
      </c>
      <c r="I453" s="60">
        <f>IF(C453="","",IF(OR(D453="Gagné",D453="Perdu"),"",IFERROR(INDEX('Saisie'!$I$5:$I$2004,_xlfn.MAXIFS('Saisie'!$AS$5:$AS$2004,'Saisie'!$C$5:$C$2004,C453,'Saisie'!$I$5:$I$2004,"&lt;&gt;")-4),"")))</f>
        <v/>
      </c>
      <c r="J453" s="60">
        <f>IF(C453="","",IFERROR(INDEX('Saisie'!$U$5:$U$2004,_xlfn.MAXIFS('Saisie'!$AS$5:$AS$2004,'Saisie'!$C$5:$C$2004,C453,'Saisie'!$U$5:$U$2004,"&lt;&gt;")-4),""))</f>
        <v/>
      </c>
      <c r="K453" s="60">
        <f>IF(C453="","",IFERROR(INDEX('Saisie'!$W$5:$W$2004,_xlfn.MAXIFS('Saisie'!$AS$5:$AS$2004,'Saisie'!$C$5:$C$2004,C453,'Saisie'!$W$5:$W$2004,"&lt;&gt;")-4),""))</f>
        <v/>
      </c>
      <c r="L453" s="60">
        <f>IF(IF(BB453&lt;&gt;"",BB453,K453)="","",HYPERLINK("https://wa.me/"&amp;IF(LEFT(SUBSTITUTE(SUBSTITUTE(SUBSTITUTE(IF(BB453&lt;&gt;"",BB453,K453)," ",""),".",""),"+",""),1)="0",'Paramètres'!$B$35&amp;MID(SUBSTITUTE(SUBSTITUTE(SUBSTITUTE(IF(BB453&lt;&gt;"",BB453,K453)," ",""),".",""),"+",""),2,20),SUBSTITUTE(SUBSTITUTE(SUBSTITUTE(IF(BB453&lt;&gt;"",BB453,K453)," ",""),".",""),"+","")),"WhatsApp"))</f>
        <v/>
      </c>
      <c r="M453" s="60">
        <f>IF(BC453="","",HYPERLINK(IF(LEFT(BC453,4)="http",BC453,"https://www.instagram.com/"&amp;SUBSTITUTE(SUBSTITUTE(BC453,"@","")," ","")),BC453))</f>
        <v/>
      </c>
      <c r="N453" s="60">
        <f>IF(C453="","",IFERROR(INDEX('Saisie'!$D$5:$D$2004,_xlfn.MINIFS('Saisie'!$AS$5:$AS$2004,'Saisie'!$C$5:$C$2004,C453,'Saisie'!$AU$5:$AU$2004,1)-4),IFERROR(INDEX('Saisie'!$D$5:$D$2004,_xlfn.MINIFS('Saisie'!$AS$5:$AS$2004,'Saisie'!$C$5:$C$2004,C453,'Saisie'!$D$5:$D$2004,"&lt;&gt;")-4),"")))</f>
        <v/>
      </c>
      <c r="O453" s="60">
        <f>IF(C453="","",COUNTIFS('Saisie'!$C$5:$C$2004,C453,'Saisie'!$AU$5:$AU$2004,1))</f>
        <v/>
      </c>
      <c r="P453" s="60">
        <f>IF(C453="","",COUNTIFS('Saisie'!$C$5:$C$2004,C453,'Saisie'!$AV$5:$AV$2004,1))</f>
        <v/>
      </c>
      <c r="Q453" s="106">
        <f>IF(C453="","",IFERROR(1/(1/_xlfn.MAXIFS('Saisie'!$A$5:$A$2004,'Saisie'!$C$5:$C$2004,C453)),""))</f>
        <v/>
      </c>
      <c r="R453" s="61">
        <f>IF(C453="","",IF(Q453="","",TODAY()-Q453))</f>
        <v/>
      </c>
      <c r="S453" s="60">
        <f>IF(C453="","",IFERROR(INDEX('Saisie'!$R$5:$R$2004,_xlfn.MAXIFS('Saisie'!$AS$5:$AS$2004,'Saisie'!$C$5:$C$2004,C453,'Saisie'!$R$5:$R$2004,"&lt;&gt;")-4),""))</f>
        <v/>
      </c>
      <c r="T453" s="60">
        <f>IF(C453="","",IFERROR(INDEX('Saisie'!$S$5:$S$2004,_xlfn.MAXIFS('Saisie'!$AS$5:$AS$2004,'Saisie'!$C$5:$C$2004,C453,'Saisie'!$S$5:$S$2004,"&lt;&gt;")-4),""))</f>
        <v/>
      </c>
      <c r="U453" s="60">
        <f>IF(C453="","",IFERROR(INDEX('Saisie'!$T$5:$T$2004,_xlfn.MAXIFS('Saisie'!$AS$5:$AS$2004,'Saisie'!$C$5:$C$2004,C453,'Saisie'!$T$5:$T$2004,"&lt;&gt;")-4),""))</f>
        <v/>
      </c>
      <c r="V453" s="60">
        <f>IF(C453="","",IFERROR(INDEX('Saisie'!$V$5:$V$2004,_xlfn.MAXIFS('Saisie'!$AS$5:$AS$2004,'Saisie'!$C$5:$C$2004,C453,'Saisie'!$V$5:$V$2004,"&lt;&gt;")-4),""))</f>
        <v/>
      </c>
      <c r="W453" s="60">
        <f>IF(C453="","",IFERROR(INDEX('Saisie'!$Z$5:$Z$2004,_xlfn.MAXIFS('Saisie'!$AS$5:$AS$2004,'Saisie'!$C$5:$C$2004,C453,'Saisie'!$Z$5:$Z$2004,"&lt;&gt;")-4),""))</f>
        <v/>
      </c>
      <c r="X453" s="60">
        <f>IF(C453="","",IFERROR(INDEX('Saisie'!$AA$5:$AA$2004,_xlfn.MAXIFS('Saisie'!$AS$5:$AS$2004,'Saisie'!$C$5:$C$2004,C453,'Saisie'!$AA$5:$AA$2004,"&lt;&gt;")-4),""))</f>
        <v/>
      </c>
      <c r="Y453" s="60">
        <f>IF(C453="","",IFERROR(INDEX('Saisie'!$AB$5:$AB$2004,_xlfn.MAXIFS('Saisie'!$AS$5:$AS$2004,'Saisie'!$C$5:$C$2004,C453,'Saisie'!$AB$5:$AB$2004,"&lt;&gt;")-4),""))</f>
        <v/>
      </c>
      <c r="Z453" s="60">
        <f>IF(C453="","",IFERROR(INDEX('Saisie'!$AC$5:$AC$2004,_xlfn.MAXIFS('Saisie'!$AS$5:$AS$2004,'Saisie'!$C$5:$C$2004,C453,'Saisie'!$AC$5:$AC$2004,"&lt;&gt;")-4),""))</f>
        <v/>
      </c>
      <c r="AA453" s="106">
        <f>IF(C453="","",IFERROR(INDEX('Saisie'!$AD$5:$AD$2004,_xlfn.MAXIFS('Saisie'!$AS$5:$AS$2004,'Saisie'!$C$5:$C$2004,C453,'Saisie'!$AD$5:$AD$2004,"&lt;&gt;")-4),""))</f>
        <v/>
      </c>
      <c r="AB453" s="60">
        <f>IF(C453="","",IFERROR(INDEX('Saisie'!$AE$5:$AE$2004,_xlfn.MAXIFS('Saisie'!$AS$5:$AS$2004,'Saisie'!$C$5:$C$2004,C453,'Saisie'!$AE$5:$AE$2004,"&lt;&gt;")-4),""))</f>
        <v/>
      </c>
      <c r="AC453" s="60">
        <f>IF(C453="","",IFERROR(INDEX('Saisie'!$AF$5:$AF$2004,_xlfn.MAXIFS('Saisie'!$AS$5:$AS$2004,'Saisie'!$C$5:$C$2004,C453,'Saisie'!$AF$5:$AF$2004,"&lt;&gt;")-4),""))</f>
        <v/>
      </c>
      <c r="AD453" s="108">
        <f>IF(C453="","",IFERROR(INDEX('Saisie'!$AG$5:$AG$2004,_xlfn.MAXIFS('Saisie'!$AS$5:$AS$2004,'Saisie'!$C$5:$C$2004,C453,'Saisie'!$AG$5:$AG$2004,"&lt;&gt;")-4),""))</f>
        <v/>
      </c>
      <c r="AE453" s="60">
        <f>IF(C453="","",IFERROR(INDEX('Saisie'!$AH$5:$AH$2004,_xlfn.MAXIFS('Saisie'!$AS$5:$AS$2004,'Saisie'!$C$5:$C$2004,C453,'Saisie'!$AH$5:$AH$2004,"&lt;&gt;")-4),""))</f>
        <v/>
      </c>
      <c r="AF453" s="60">
        <f>IF(C453="","",IFERROR(INDEX('Saisie'!$AI$5:$AI$2004,_xlfn.MAXIFS('Saisie'!$AS$5:$AS$2004,'Saisie'!$C$5:$C$2004,C453,'Saisie'!$AI$5:$AI$2004,"&lt;&gt;")-4),""))</f>
        <v/>
      </c>
      <c r="AG453" s="60">
        <f>IF(C453="","",IFERROR(INDEX('Saisie'!$AJ$5:$AJ$2004,_xlfn.MAXIFS('Saisie'!$AS$5:$AS$2004,'Saisie'!$C$5:$C$2004,C453,'Saisie'!$AJ$5:$AJ$2004,"&lt;&gt;")-4),""))</f>
        <v/>
      </c>
      <c r="AH453" s="60">
        <f>IF(C453="","",IFERROR(INDEX('Saisie'!$AK$5:$AK$2004,_xlfn.MAXIFS('Saisie'!$AS$5:$AS$2004,'Saisie'!$C$5:$C$2004,C453,'Saisie'!$AK$5:$AK$2004,"&lt;&gt;")-4),""))</f>
        <v/>
      </c>
      <c r="AI453" s="60">
        <f>IF(C453="","",IFERROR(INDEX('Saisie'!$AN$5:$AN$2004,_xlfn.MAXIFS('Saisie'!$AS$5:$AS$2004,'Saisie'!$C$5:$C$2004,C453,'Saisie'!$AN$5:$AN$2004,"&lt;&gt;")-4),""))</f>
        <v/>
      </c>
      <c r="AJ453" s="60">
        <f>IF(C453="","",IFERROR(INDEX('Saisie'!$AO$5:$AO$2004,_xlfn.MAXIFS('Saisie'!$AS$5:$AS$2004,'Saisie'!$C$5:$C$2004,C453,'Saisie'!$AO$5:$AO$2004,"&lt;&gt;")-4),""))</f>
        <v/>
      </c>
      <c r="AK453" s="60">
        <f>IF(C453="","",IFERROR(INDEX('Saisie'!$AP$5:$AP$2004,_xlfn.MAXIFS('Saisie'!$AS$5:$AS$2004,'Saisie'!$C$5:$C$2004,C453,'Saisie'!$AP$5:$AP$2004,"&lt;&gt;")-4),""))</f>
        <v/>
      </c>
      <c r="AL453" s="60">
        <f>IF(C453="","",IFERROR(INDEX('Saisie'!$AQ$5:$AQ$2004,_xlfn.MAXIFS('Saisie'!$AS$5:$AS$2004,'Saisie'!$C$5:$C$2004,C453,'Saisie'!$AQ$5:$AQ$2004,"&lt;&gt;")-4),""))</f>
        <v/>
      </c>
      <c r="AM453" s="60">
        <f>IF(C453="","",((AI453="Oui")+(AJ453="Oui")+(AK453="Oui")+OR(AL453="Immédiat",AL453="&lt; 1 mois"))&amp;"/4")</f>
        <v/>
      </c>
      <c r="AN453" s="60">
        <f>IF(C453="","",IFERROR(INDEX('Saisie'!$AL$5:$AL$2004,_xlfn.MAXIFS('Saisie'!$AS$5:$AS$2004,'Saisie'!$C$5:$C$2004,C453,'Saisie'!$AL$5:$AL$2004,"&lt;&gt;")-4),""))</f>
        <v/>
      </c>
      <c r="AO453" s="62">
        <f>IF(C453="","",IF(IFERROR(INDEX('Saisie'!$AM$5:$AM$2004,_xlfn.MAXIFS('Saisie'!$AS$5:$AS$2004,'Saisie'!$C$5:$C$2004,C453,'Saisie'!$AM$5:$AM$2004,"&lt;&gt;")-4),"")&lt;&gt;"",IFERROR(INDEX('Saisie'!$AM$5:$AM$2004,_xlfn.MAXIFS('Saisie'!$AS$5:$AS$2004,'Saisie'!$C$5:$C$2004,C453,'Saisie'!$AM$5:$AM$2004,"&lt;&gt;")-4),""),IFERROR(INDEX('Paramètres'!$S$6:$S$15,MATCH(AN453,'Paramètres'!$Q$6:$Q$15,0)),"")))</f>
        <v/>
      </c>
      <c r="AP453" s="62">
        <f>IF(C453="","",IFERROR(INDEX('Saisie'!$AW$5:$AW$2004,_xlfn.MAXIFS('Saisie'!$AS$5:$AS$2004,'Saisie'!$C$5:$C$2004,C453,'Saisie'!$E$5:$E$2004,"Proposition envoyée")-4),""))</f>
        <v/>
      </c>
      <c r="AQ453" s="106">
        <f>IF(C453="","",IFERROR(1/(1/_xlfn.MAXIFS('Saisie'!$A$5:$A$2004,'Saisie'!$C$5:$C$2004,C453,'Saisie'!$E$5:$E$2004,"Proposition envoyée")),""))</f>
        <v/>
      </c>
      <c r="AR453" s="106">
        <f>IF(C453="","",IF(AQ453="","",AQ453+'Paramètres'!$B$26))</f>
        <v/>
      </c>
      <c r="AS453" s="62">
        <f>IF(OR(C453="",D453="Gagné",D453="Perdu"),0,N(AP453)*IFERROR(INDEX('Paramètres'!$G$6:$G$13,MATCH(D453,'Paramètres'!$F$6:$F$13,0)),0))</f>
        <v/>
      </c>
      <c r="AT453" s="106">
        <f>IF(C453="","",IFERROR(1/(1/_xlfn.MINIFS('Saisie'!$A$5:$A$2004,'Saisie'!$C$5:$C$2004,C453,'Saisie'!$E$5:$E$2004,"Signature")),""))</f>
        <v/>
      </c>
      <c r="AU453" s="60">
        <f>IF(C453="","",IF(OR(AT453="",B453=""),"",AT453-B453))</f>
        <v/>
      </c>
      <c r="AV453" s="60">
        <f>IF(C453="","",IFERROR(INDEX('Saisie'!$L$5:$L$2004,_xlfn.MAXIFS('Saisie'!$AS$5:$AS$2004,'Saisie'!$C$5:$C$2004,C453,'Saisie'!$L$5:$L$2004,"&lt;&gt;")-4),""))</f>
        <v/>
      </c>
      <c r="AW453" s="106">
        <f>IF(C453="","",IF(D453&lt;&gt;"Perdu","",IFERROR(1/(1/_xlfn.MAXIFS('Saisie'!$A$5:$A$2004,'Saisie'!$C$5:$C$2004,C453,'Saisie'!$E$5:$E$2004,"Perdu")),"")))</f>
        <v/>
      </c>
      <c r="AX453" s="106">
        <f>IF(C453="","",IF(AW453="","",AW453+'Paramètres'!$B$28))</f>
        <v/>
      </c>
      <c r="AY453" s="60">
        <f>IF(C453="","",SUMIFS('Saisie'!$H$5:$H$2004,'Saisie'!$C$5:$C$2004,C453))</f>
        <v/>
      </c>
      <c r="AZ453" s="60">
        <f>IF(C453="","",IFERROR(INDEX('Paramètres'!$W$6:$W$20,MATCH(S453,'Paramètres'!$V$6:$V$20,0))&amp;"",""))</f>
        <v/>
      </c>
      <c r="BA453" s="60">
        <f>IF(C453="","",MAX(1,_xlfn.MAXIFS('Saisie'!$AT$5:$AT$2004,'Saisie'!$C$5:$C$2004,C453)))</f>
        <v/>
      </c>
      <c r="BB453" s="60">
        <f>IF(C453="","",IFERROR(INDEX('Saisie'!$X$5:$X$2004,_xlfn.MAXIFS('Saisie'!$AS$5:$AS$2004,'Saisie'!$C$5:$C$2004,C453,'Saisie'!$X$5:$X$2004,"&lt;&gt;")-4),""))</f>
        <v/>
      </c>
      <c r="BC453" s="60">
        <f>IF(C453="","",IFERROR(INDEX('Saisie'!$Y$5:$Y$2004,_xlfn.MAXIFS('Saisie'!$AS$5:$AS$2004,'Saisie'!$C$5:$C$2004,C453,'Saisie'!$Y$5:$Y$2004,"&lt;&gt;")-4),""))</f>
        <v/>
      </c>
      <c r="BD453" s="106">
        <f>IF(C453="","",IFERROR(1/(1/_xlfn.MINIFS('Saisie'!$A$5:$A$2004,'Saisie'!$C$5:$C$2004,C453,'Saisie'!$AT$5:$AT$2004,"&gt;=2")),""))</f>
        <v/>
      </c>
      <c r="BE453" s="106">
        <f>IF(C453="","",IFERROR(1/(1/_xlfn.MINIFS('Saisie'!$A$5:$A$2004,'Saisie'!$C$5:$C$2004,C453,'Saisie'!$AT$5:$AT$2004,"&gt;=3")),""))</f>
        <v/>
      </c>
      <c r="BF453" s="106">
        <f>IF(C453="","",IFERROR(1/(1/_xlfn.MINIFS('Saisie'!$A$5:$A$2004,'Saisie'!$C$5:$C$2004,C453,'Saisie'!$AT$5:$AT$2004,"&gt;=4")),""))</f>
        <v/>
      </c>
      <c r="BG453" s="106">
        <f>IF(C453="","",IFERROR(1/(1/_xlfn.MINIFS('Saisie'!$A$5:$A$2004,'Saisie'!$C$5:$C$2004,C453,'Saisie'!$AT$5:$AT$2004,"&gt;=5")),""))</f>
        <v/>
      </c>
      <c r="BH453" s="106">
        <f>IF(C453="","",IFERROR(1/(1/_xlfn.MINIFS('Saisie'!$A$5:$A$2004,'Saisie'!$C$5:$C$2004,C453,'Saisie'!$AT$5:$AT$2004,"&gt;=6")),""))</f>
        <v/>
      </c>
      <c r="BI453" s="106">
        <f>IF(C453="","",IFERROR(1/(1/_xlfn.MINIFS('Saisie'!$A$5:$A$2004,'Saisie'!$C$5:$C$2004,C453,'Saisie'!$AT$5:$AT$2004,"&gt;=7")),""))</f>
        <v/>
      </c>
      <c r="BJ453" s="60">
        <f>IF(OR(BD453="",B453=""),"",BD453-B453)</f>
        <v/>
      </c>
      <c r="BK453" s="60">
        <f>IF(OR(BE453="",BD453=""),"",BE453-BD453)</f>
        <v/>
      </c>
      <c r="BL453" s="60">
        <f>IF(OR(BF453="",BE453=""),"",BF453-BE453)</f>
        <v/>
      </c>
      <c r="BM453" s="60">
        <f>IF(OR(BG453="",BF453=""),"",BG453-BF453)</f>
        <v/>
      </c>
      <c r="BN453" s="60">
        <f>IF(OR(BH453="",BG453=""),"",BH453-BG453)</f>
        <v/>
      </c>
      <c r="BO453" s="60">
        <f>IF(OR(BI453="",BH453=""),"",BI453-BH453)</f>
        <v/>
      </c>
      <c r="BP453" s="60">
        <f>IF(C453="","",_xlfn.MAXIFS('Saisie'!$AS$5:$AS$2004,'Saisie'!$C$5:$C$2004,C453,'Saisie'!$J$5:$J$2004,"&lt;&gt;"))</f>
        <v/>
      </c>
      <c r="BQ453" s="60">
        <f>IF(C453="","",_xlfn.MAXIFS('Saisie'!$AS$5:$AS$2004,'Saisie'!$C$5:$C$2004,C453))</f>
        <v/>
      </c>
      <c r="BR453" s="60">
        <f>IF(C453="","",_xlfn.MAXIFS('Saisie'!$AS$5:$AS$2004,'Saisie'!$C$5:$C$2004,C453,'Saisie'!$E$5:$E$2004,"Perdu"))</f>
        <v/>
      </c>
      <c r="BS453" s="60">
        <f>IF(C453="","",_xlfn.MAXIFS('Saisie'!$AS$5:$AS$2004,'Saisie'!$C$5:$C$2004,C453,'Saisie'!$AT$5:$AT$2004,"&gt;0"))</f>
        <v/>
      </c>
      <c r="BT453" s="109">
        <f>IF(AND(C453&lt;&gt;"",OR(D453="Nouveau",D453="Contacté",D453="Qualifié"),OR(G453="",N(G453)&lt;=TODAY()),NOT(AND(O453&gt;='Paramètres'!$B$21,P453=0))),E453+449/10000,"")</f>
        <v/>
      </c>
      <c r="BU453" s="60">
        <f>IF(AND(G453&lt;&gt;"",N(G453)&lt;=TODAY()),MAX($BU$4:BU452)+1,"")</f>
        <v/>
      </c>
      <c r="BV453" s="60">
        <f>IF(AND(F453&lt;&gt;"",F453&lt;&gt;"Relance en retard"),MAX($BV$4:BV452)+1,"")</f>
        <v/>
      </c>
      <c r="BW453" s="60">
        <f>IF(C453="","",IF(AND(B453&gt;='Tableau de bord'!$R$4,B453&lt;='Tableau de bord'!$S$4,OR('Tableau de bord'!$G$4="Tous",N453='Tableau de bord'!$G$4)),1,0))</f>
        <v/>
      </c>
      <c r="BX453" s="60">
        <f>IF(AND(C453&lt;&gt;"",N(BA453)=7),MAX($BX$4:BX452)+1,"")</f>
        <v/>
      </c>
    </row>
    <row r="454">
      <c r="A454" s="60">
        <f>IF(C454="","","P-"&amp;TEXT(450,"000"))</f>
        <v/>
      </c>
      <c r="B454" s="106">
        <f>IF(C454="","",IFERROR(1/(1/_xlfn.MINIFS('Saisie'!$A$5:$A$2004,'Saisie'!$C$5:$C$2004,C454)),""))</f>
        <v/>
      </c>
      <c r="C454" s="60">
        <f>IFERROR(INDEX('Saisie'!$C$5:$C$2004,MATCH(450,'Saisie'!$AX$5:$AX$2004,0)),"")</f>
        <v/>
      </c>
      <c r="D454" s="60">
        <f>IF(C454="","",IF(AND(BR454&gt;0,BR454&gt;BS454,BA454&lt;7),"Perdu",INDEX('Paramètres'!$F$6:$F$13,BA454)))</f>
        <v/>
      </c>
      <c r="E454" s="61">
        <f>IF(C454="","",MIN(100,(Z454="Oui")*'Paramètres'!$B$38+(AB454="Régulière")*'Paramètres'!$B$39+IF(AND(N(AA454)&gt;0,TODAY()-N(AA454)&lt;=30),'Paramètres'!$B$40,0)+(W454="")*'Paramètres'!$B$41+(AC454="Absente")*'Paramètres'!$B$42+(AC454="Faible")*'Paramètres'!$B$43+IF(AND(N(AD454)&gt;0,N(AD454)&lt;4),'Paramètres'!$B$44,0)+(AF454="Moyenne")*'Paramètres'!$B$45+(AF454="Grande")*'Paramètres'!$B$46+(Y454&lt;&gt;"")*'Paramètres'!$B$47))</f>
        <v/>
      </c>
      <c r="F454" s="60">
        <f>IF(C454="","",IF(D454="Gagné","",IF(D454="Perdu",IF(AND(AX454&lt;&gt;"",AX454&lt;=TODAY()),"À recontacter (perdu)",""),IF(AND(O454&gt;='Paramètres'!$B$21,P454=0),"Stop : "&amp;'Paramètres'!$B$21&amp;" tentatives sans réponse",IF(AND(D454="Proposition",AR454&lt;&gt;"",TODAY()&gt;N(AR454)),"Proposition expirée",IF(AND(D454="Proposition",N(R454)&gt;='Paramètres'!$B$25),"Proposition sans réponse",IF(AND(G454&lt;&gt;"",N(G454)&lt;TODAY()),"Relance en retard",IF(N(R454)&gt;='Paramètres'!$B$24,"Sans action depuis "&amp;R454&amp;" j",""))))))))</f>
        <v/>
      </c>
      <c r="G454" s="106">
        <f>IF(OR(C454="",D454="Gagné",D454="Perdu"),"",IF(AND(BP454&gt;0,BP454=BQ454),INDEX('Saisie'!$J$5:$J$2004,BP454-4),IF(OR(O454=0,AND(O454&gt;='Paramètres'!$B$21,P454=0)),"",Q454+IF(O454&lt;=1,'Paramètres'!$B$18,IF(O454=2,'Paramètres'!$B$19,'Paramètres'!$B$20)))))</f>
        <v/>
      </c>
      <c r="H454" s="107">
        <f>IF(OR(G454="",BP454&lt;&gt;BQ454),"",IF(INDEX('Saisie'!$K$5:$K$2004,BP454-4)="","",INDEX('Saisie'!$K$5:$K$2004,BP454-4)))</f>
        <v/>
      </c>
      <c r="I454" s="60">
        <f>IF(C454="","",IF(OR(D454="Gagné",D454="Perdu"),"",IFERROR(INDEX('Saisie'!$I$5:$I$2004,_xlfn.MAXIFS('Saisie'!$AS$5:$AS$2004,'Saisie'!$C$5:$C$2004,C454,'Saisie'!$I$5:$I$2004,"&lt;&gt;")-4),"")))</f>
        <v/>
      </c>
      <c r="J454" s="60">
        <f>IF(C454="","",IFERROR(INDEX('Saisie'!$U$5:$U$2004,_xlfn.MAXIFS('Saisie'!$AS$5:$AS$2004,'Saisie'!$C$5:$C$2004,C454,'Saisie'!$U$5:$U$2004,"&lt;&gt;")-4),""))</f>
        <v/>
      </c>
      <c r="K454" s="60">
        <f>IF(C454="","",IFERROR(INDEX('Saisie'!$W$5:$W$2004,_xlfn.MAXIFS('Saisie'!$AS$5:$AS$2004,'Saisie'!$C$5:$C$2004,C454,'Saisie'!$W$5:$W$2004,"&lt;&gt;")-4),""))</f>
        <v/>
      </c>
      <c r="L454" s="60">
        <f>IF(IF(BB454&lt;&gt;"",BB454,K454)="","",HYPERLINK("https://wa.me/"&amp;IF(LEFT(SUBSTITUTE(SUBSTITUTE(SUBSTITUTE(IF(BB454&lt;&gt;"",BB454,K454)," ",""),".",""),"+",""),1)="0",'Paramètres'!$B$35&amp;MID(SUBSTITUTE(SUBSTITUTE(SUBSTITUTE(IF(BB454&lt;&gt;"",BB454,K454)," ",""),".",""),"+",""),2,20),SUBSTITUTE(SUBSTITUTE(SUBSTITUTE(IF(BB454&lt;&gt;"",BB454,K454)," ",""),".",""),"+","")),"WhatsApp"))</f>
        <v/>
      </c>
      <c r="M454" s="60">
        <f>IF(BC454="","",HYPERLINK(IF(LEFT(BC454,4)="http",BC454,"https://www.instagram.com/"&amp;SUBSTITUTE(SUBSTITUTE(BC454,"@","")," ","")),BC454))</f>
        <v/>
      </c>
      <c r="N454" s="60">
        <f>IF(C454="","",IFERROR(INDEX('Saisie'!$D$5:$D$2004,_xlfn.MINIFS('Saisie'!$AS$5:$AS$2004,'Saisie'!$C$5:$C$2004,C454,'Saisie'!$AU$5:$AU$2004,1)-4),IFERROR(INDEX('Saisie'!$D$5:$D$2004,_xlfn.MINIFS('Saisie'!$AS$5:$AS$2004,'Saisie'!$C$5:$C$2004,C454,'Saisie'!$D$5:$D$2004,"&lt;&gt;")-4),"")))</f>
        <v/>
      </c>
      <c r="O454" s="60">
        <f>IF(C454="","",COUNTIFS('Saisie'!$C$5:$C$2004,C454,'Saisie'!$AU$5:$AU$2004,1))</f>
        <v/>
      </c>
      <c r="P454" s="60">
        <f>IF(C454="","",COUNTIFS('Saisie'!$C$5:$C$2004,C454,'Saisie'!$AV$5:$AV$2004,1))</f>
        <v/>
      </c>
      <c r="Q454" s="106">
        <f>IF(C454="","",IFERROR(1/(1/_xlfn.MAXIFS('Saisie'!$A$5:$A$2004,'Saisie'!$C$5:$C$2004,C454)),""))</f>
        <v/>
      </c>
      <c r="R454" s="61">
        <f>IF(C454="","",IF(Q454="","",TODAY()-Q454))</f>
        <v/>
      </c>
      <c r="S454" s="60">
        <f>IF(C454="","",IFERROR(INDEX('Saisie'!$R$5:$R$2004,_xlfn.MAXIFS('Saisie'!$AS$5:$AS$2004,'Saisie'!$C$5:$C$2004,C454,'Saisie'!$R$5:$R$2004,"&lt;&gt;")-4),""))</f>
        <v/>
      </c>
      <c r="T454" s="60">
        <f>IF(C454="","",IFERROR(INDEX('Saisie'!$S$5:$S$2004,_xlfn.MAXIFS('Saisie'!$AS$5:$AS$2004,'Saisie'!$C$5:$C$2004,C454,'Saisie'!$S$5:$S$2004,"&lt;&gt;")-4),""))</f>
        <v/>
      </c>
      <c r="U454" s="60">
        <f>IF(C454="","",IFERROR(INDEX('Saisie'!$T$5:$T$2004,_xlfn.MAXIFS('Saisie'!$AS$5:$AS$2004,'Saisie'!$C$5:$C$2004,C454,'Saisie'!$T$5:$T$2004,"&lt;&gt;")-4),""))</f>
        <v/>
      </c>
      <c r="V454" s="60">
        <f>IF(C454="","",IFERROR(INDEX('Saisie'!$V$5:$V$2004,_xlfn.MAXIFS('Saisie'!$AS$5:$AS$2004,'Saisie'!$C$5:$C$2004,C454,'Saisie'!$V$5:$V$2004,"&lt;&gt;")-4),""))</f>
        <v/>
      </c>
      <c r="W454" s="60">
        <f>IF(C454="","",IFERROR(INDEX('Saisie'!$Z$5:$Z$2004,_xlfn.MAXIFS('Saisie'!$AS$5:$AS$2004,'Saisie'!$C$5:$C$2004,C454,'Saisie'!$Z$5:$Z$2004,"&lt;&gt;")-4),""))</f>
        <v/>
      </c>
      <c r="X454" s="60">
        <f>IF(C454="","",IFERROR(INDEX('Saisie'!$AA$5:$AA$2004,_xlfn.MAXIFS('Saisie'!$AS$5:$AS$2004,'Saisie'!$C$5:$C$2004,C454,'Saisie'!$AA$5:$AA$2004,"&lt;&gt;")-4),""))</f>
        <v/>
      </c>
      <c r="Y454" s="60">
        <f>IF(C454="","",IFERROR(INDEX('Saisie'!$AB$5:$AB$2004,_xlfn.MAXIFS('Saisie'!$AS$5:$AS$2004,'Saisie'!$C$5:$C$2004,C454,'Saisie'!$AB$5:$AB$2004,"&lt;&gt;")-4),""))</f>
        <v/>
      </c>
      <c r="Z454" s="60">
        <f>IF(C454="","",IFERROR(INDEX('Saisie'!$AC$5:$AC$2004,_xlfn.MAXIFS('Saisie'!$AS$5:$AS$2004,'Saisie'!$C$5:$C$2004,C454,'Saisie'!$AC$5:$AC$2004,"&lt;&gt;")-4),""))</f>
        <v/>
      </c>
      <c r="AA454" s="106">
        <f>IF(C454="","",IFERROR(INDEX('Saisie'!$AD$5:$AD$2004,_xlfn.MAXIFS('Saisie'!$AS$5:$AS$2004,'Saisie'!$C$5:$C$2004,C454,'Saisie'!$AD$5:$AD$2004,"&lt;&gt;")-4),""))</f>
        <v/>
      </c>
      <c r="AB454" s="60">
        <f>IF(C454="","",IFERROR(INDEX('Saisie'!$AE$5:$AE$2004,_xlfn.MAXIFS('Saisie'!$AS$5:$AS$2004,'Saisie'!$C$5:$C$2004,C454,'Saisie'!$AE$5:$AE$2004,"&lt;&gt;")-4),""))</f>
        <v/>
      </c>
      <c r="AC454" s="60">
        <f>IF(C454="","",IFERROR(INDEX('Saisie'!$AF$5:$AF$2004,_xlfn.MAXIFS('Saisie'!$AS$5:$AS$2004,'Saisie'!$C$5:$C$2004,C454,'Saisie'!$AF$5:$AF$2004,"&lt;&gt;")-4),""))</f>
        <v/>
      </c>
      <c r="AD454" s="108">
        <f>IF(C454="","",IFERROR(INDEX('Saisie'!$AG$5:$AG$2004,_xlfn.MAXIFS('Saisie'!$AS$5:$AS$2004,'Saisie'!$C$5:$C$2004,C454,'Saisie'!$AG$5:$AG$2004,"&lt;&gt;")-4),""))</f>
        <v/>
      </c>
      <c r="AE454" s="60">
        <f>IF(C454="","",IFERROR(INDEX('Saisie'!$AH$5:$AH$2004,_xlfn.MAXIFS('Saisie'!$AS$5:$AS$2004,'Saisie'!$C$5:$C$2004,C454,'Saisie'!$AH$5:$AH$2004,"&lt;&gt;")-4),""))</f>
        <v/>
      </c>
      <c r="AF454" s="60">
        <f>IF(C454="","",IFERROR(INDEX('Saisie'!$AI$5:$AI$2004,_xlfn.MAXIFS('Saisie'!$AS$5:$AS$2004,'Saisie'!$C$5:$C$2004,C454,'Saisie'!$AI$5:$AI$2004,"&lt;&gt;")-4),""))</f>
        <v/>
      </c>
      <c r="AG454" s="60">
        <f>IF(C454="","",IFERROR(INDEX('Saisie'!$AJ$5:$AJ$2004,_xlfn.MAXIFS('Saisie'!$AS$5:$AS$2004,'Saisie'!$C$5:$C$2004,C454,'Saisie'!$AJ$5:$AJ$2004,"&lt;&gt;")-4),""))</f>
        <v/>
      </c>
      <c r="AH454" s="60">
        <f>IF(C454="","",IFERROR(INDEX('Saisie'!$AK$5:$AK$2004,_xlfn.MAXIFS('Saisie'!$AS$5:$AS$2004,'Saisie'!$C$5:$C$2004,C454,'Saisie'!$AK$5:$AK$2004,"&lt;&gt;")-4),""))</f>
        <v/>
      </c>
      <c r="AI454" s="60">
        <f>IF(C454="","",IFERROR(INDEX('Saisie'!$AN$5:$AN$2004,_xlfn.MAXIFS('Saisie'!$AS$5:$AS$2004,'Saisie'!$C$5:$C$2004,C454,'Saisie'!$AN$5:$AN$2004,"&lt;&gt;")-4),""))</f>
        <v/>
      </c>
      <c r="AJ454" s="60">
        <f>IF(C454="","",IFERROR(INDEX('Saisie'!$AO$5:$AO$2004,_xlfn.MAXIFS('Saisie'!$AS$5:$AS$2004,'Saisie'!$C$5:$C$2004,C454,'Saisie'!$AO$5:$AO$2004,"&lt;&gt;")-4),""))</f>
        <v/>
      </c>
      <c r="AK454" s="60">
        <f>IF(C454="","",IFERROR(INDEX('Saisie'!$AP$5:$AP$2004,_xlfn.MAXIFS('Saisie'!$AS$5:$AS$2004,'Saisie'!$C$5:$C$2004,C454,'Saisie'!$AP$5:$AP$2004,"&lt;&gt;")-4),""))</f>
        <v/>
      </c>
      <c r="AL454" s="60">
        <f>IF(C454="","",IFERROR(INDEX('Saisie'!$AQ$5:$AQ$2004,_xlfn.MAXIFS('Saisie'!$AS$5:$AS$2004,'Saisie'!$C$5:$C$2004,C454,'Saisie'!$AQ$5:$AQ$2004,"&lt;&gt;")-4),""))</f>
        <v/>
      </c>
      <c r="AM454" s="60">
        <f>IF(C454="","",((AI454="Oui")+(AJ454="Oui")+(AK454="Oui")+OR(AL454="Immédiat",AL454="&lt; 1 mois"))&amp;"/4")</f>
        <v/>
      </c>
      <c r="AN454" s="60">
        <f>IF(C454="","",IFERROR(INDEX('Saisie'!$AL$5:$AL$2004,_xlfn.MAXIFS('Saisie'!$AS$5:$AS$2004,'Saisie'!$C$5:$C$2004,C454,'Saisie'!$AL$5:$AL$2004,"&lt;&gt;")-4),""))</f>
        <v/>
      </c>
      <c r="AO454" s="62">
        <f>IF(C454="","",IF(IFERROR(INDEX('Saisie'!$AM$5:$AM$2004,_xlfn.MAXIFS('Saisie'!$AS$5:$AS$2004,'Saisie'!$C$5:$C$2004,C454,'Saisie'!$AM$5:$AM$2004,"&lt;&gt;")-4),"")&lt;&gt;"",IFERROR(INDEX('Saisie'!$AM$5:$AM$2004,_xlfn.MAXIFS('Saisie'!$AS$5:$AS$2004,'Saisie'!$C$5:$C$2004,C454,'Saisie'!$AM$5:$AM$2004,"&lt;&gt;")-4),""),IFERROR(INDEX('Paramètres'!$S$6:$S$15,MATCH(AN454,'Paramètres'!$Q$6:$Q$15,0)),"")))</f>
        <v/>
      </c>
      <c r="AP454" s="62">
        <f>IF(C454="","",IFERROR(INDEX('Saisie'!$AW$5:$AW$2004,_xlfn.MAXIFS('Saisie'!$AS$5:$AS$2004,'Saisie'!$C$5:$C$2004,C454,'Saisie'!$E$5:$E$2004,"Proposition envoyée")-4),""))</f>
        <v/>
      </c>
      <c r="AQ454" s="106">
        <f>IF(C454="","",IFERROR(1/(1/_xlfn.MAXIFS('Saisie'!$A$5:$A$2004,'Saisie'!$C$5:$C$2004,C454,'Saisie'!$E$5:$E$2004,"Proposition envoyée")),""))</f>
        <v/>
      </c>
      <c r="AR454" s="106">
        <f>IF(C454="","",IF(AQ454="","",AQ454+'Paramètres'!$B$26))</f>
        <v/>
      </c>
      <c r="AS454" s="62">
        <f>IF(OR(C454="",D454="Gagné",D454="Perdu"),0,N(AP454)*IFERROR(INDEX('Paramètres'!$G$6:$G$13,MATCH(D454,'Paramètres'!$F$6:$F$13,0)),0))</f>
        <v/>
      </c>
      <c r="AT454" s="106">
        <f>IF(C454="","",IFERROR(1/(1/_xlfn.MINIFS('Saisie'!$A$5:$A$2004,'Saisie'!$C$5:$C$2004,C454,'Saisie'!$E$5:$E$2004,"Signature")),""))</f>
        <v/>
      </c>
      <c r="AU454" s="60">
        <f>IF(C454="","",IF(OR(AT454="",B454=""),"",AT454-B454))</f>
        <v/>
      </c>
      <c r="AV454" s="60">
        <f>IF(C454="","",IFERROR(INDEX('Saisie'!$L$5:$L$2004,_xlfn.MAXIFS('Saisie'!$AS$5:$AS$2004,'Saisie'!$C$5:$C$2004,C454,'Saisie'!$L$5:$L$2004,"&lt;&gt;")-4),""))</f>
        <v/>
      </c>
      <c r="AW454" s="106">
        <f>IF(C454="","",IF(D454&lt;&gt;"Perdu","",IFERROR(1/(1/_xlfn.MAXIFS('Saisie'!$A$5:$A$2004,'Saisie'!$C$5:$C$2004,C454,'Saisie'!$E$5:$E$2004,"Perdu")),"")))</f>
        <v/>
      </c>
      <c r="AX454" s="106">
        <f>IF(C454="","",IF(AW454="","",AW454+'Paramètres'!$B$28))</f>
        <v/>
      </c>
      <c r="AY454" s="60">
        <f>IF(C454="","",SUMIFS('Saisie'!$H$5:$H$2004,'Saisie'!$C$5:$C$2004,C454))</f>
        <v/>
      </c>
      <c r="AZ454" s="60">
        <f>IF(C454="","",IFERROR(INDEX('Paramètres'!$W$6:$W$20,MATCH(S454,'Paramètres'!$V$6:$V$20,0))&amp;"",""))</f>
        <v/>
      </c>
      <c r="BA454" s="60">
        <f>IF(C454="","",MAX(1,_xlfn.MAXIFS('Saisie'!$AT$5:$AT$2004,'Saisie'!$C$5:$C$2004,C454)))</f>
        <v/>
      </c>
      <c r="BB454" s="60">
        <f>IF(C454="","",IFERROR(INDEX('Saisie'!$X$5:$X$2004,_xlfn.MAXIFS('Saisie'!$AS$5:$AS$2004,'Saisie'!$C$5:$C$2004,C454,'Saisie'!$X$5:$X$2004,"&lt;&gt;")-4),""))</f>
        <v/>
      </c>
      <c r="BC454" s="60">
        <f>IF(C454="","",IFERROR(INDEX('Saisie'!$Y$5:$Y$2004,_xlfn.MAXIFS('Saisie'!$AS$5:$AS$2004,'Saisie'!$C$5:$C$2004,C454,'Saisie'!$Y$5:$Y$2004,"&lt;&gt;")-4),""))</f>
        <v/>
      </c>
      <c r="BD454" s="106">
        <f>IF(C454="","",IFERROR(1/(1/_xlfn.MINIFS('Saisie'!$A$5:$A$2004,'Saisie'!$C$5:$C$2004,C454,'Saisie'!$AT$5:$AT$2004,"&gt;=2")),""))</f>
        <v/>
      </c>
      <c r="BE454" s="106">
        <f>IF(C454="","",IFERROR(1/(1/_xlfn.MINIFS('Saisie'!$A$5:$A$2004,'Saisie'!$C$5:$C$2004,C454,'Saisie'!$AT$5:$AT$2004,"&gt;=3")),""))</f>
        <v/>
      </c>
      <c r="BF454" s="106">
        <f>IF(C454="","",IFERROR(1/(1/_xlfn.MINIFS('Saisie'!$A$5:$A$2004,'Saisie'!$C$5:$C$2004,C454,'Saisie'!$AT$5:$AT$2004,"&gt;=4")),""))</f>
        <v/>
      </c>
      <c r="BG454" s="106">
        <f>IF(C454="","",IFERROR(1/(1/_xlfn.MINIFS('Saisie'!$A$5:$A$2004,'Saisie'!$C$5:$C$2004,C454,'Saisie'!$AT$5:$AT$2004,"&gt;=5")),""))</f>
        <v/>
      </c>
      <c r="BH454" s="106">
        <f>IF(C454="","",IFERROR(1/(1/_xlfn.MINIFS('Saisie'!$A$5:$A$2004,'Saisie'!$C$5:$C$2004,C454,'Saisie'!$AT$5:$AT$2004,"&gt;=6")),""))</f>
        <v/>
      </c>
      <c r="BI454" s="106">
        <f>IF(C454="","",IFERROR(1/(1/_xlfn.MINIFS('Saisie'!$A$5:$A$2004,'Saisie'!$C$5:$C$2004,C454,'Saisie'!$AT$5:$AT$2004,"&gt;=7")),""))</f>
        <v/>
      </c>
      <c r="BJ454" s="60">
        <f>IF(OR(BD454="",B454=""),"",BD454-B454)</f>
        <v/>
      </c>
      <c r="BK454" s="60">
        <f>IF(OR(BE454="",BD454=""),"",BE454-BD454)</f>
        <v/>
      </c>
      <c r="BL454" s="60">
        <f>IF(OR(BF454="",BE454=""),"",BF454-BE454)</f>
        <v/>
      </c>
      <c r="BM454" s="60">
        <f>IF(OR(BG454="",BF454=""),"",BG454-BF454)</f>
        <v/>
      </c>
      <c r="BN454" s="60">
        <f>IF(OR(BH454="",BG454=""),"",BH454-BG454)</f>
        <v/>
      </c>
      <c r="BO454" s="60">
        <f>IF(OR(BI454="",BH454=""),"",BI454-BH454)</f>
        <v/>
      </c>
      <c r="BP454" s="60">
        <f>IF(C454="","",_xlfn.MAXIFS('Saisie'!$AS$5:$AS$2004,'Saisie'!$C$5:$C$2004,C454,'Saisie'!$J$5:$J$2004,"&lt;&gt;"))</f>
        <v/>
      </c>
      <c r="BQ454" s="60">
        <f>IF(C454="","",_xlfn.MAXIFS('Saisie'!$AS$5:$AS$2004,'Saisie'!$C$5:$C$2004,C454))</f>
        <v/>
      </c>
      <c r="BR454" s="60">
        <f>IF(C454="","",_xlfn.MAXIFS('Saisie'!$AS$5:$AS$2004,'Saisie'!$C$5:$C$2004,C454,'Saisie'!$E$5:$E$2004,"Perdu"))</f>
        <v/>
      </c>
      <c r="BS454" s="60">
        <f>IF(C454="","",_xlfn.MAXIFS('Saisie'!$AS$5:$AS$2004,'Saisie'!$C$5:$C$2004,C454,'Saisie'!$AT$5:$AT$2004,"&gt;0"))</f>
        <v/>
      </c>
      <c r="BT454" s="109">
        <f>IF(AND(C454&lt;&gt;"",OR(D454="Nouveau",D454="Contacté",D454="Qualifié"),OR(G454="",N(G454)&lt;=TODAY()),NOT(AND(O454&gt;='Paramètres'!$B$21,P454=0))),E454+450/10000,"")</f>
        <v/>
      </c>
      <c r="BU454" s="60">
        <f>IF(AND(G454&lt;&gt;"",N(G454)&lt;=TODAY()),MAX($BU$4:BU453)+1,"")</f>
        <v/>
      </c>
      <c r="BV454" s="60">
        <f>IF(AND(F454&lt;&gt;"",F454&lt;&gt;"Relance en retard"),MAX($BV$4:BV453)+1,"")</f>
        <v/>
      </c>
      <c r="BW454" s="60">
        <f>IF(C454="","",IF(AND(B454&gt;='Tableau de bord'!$R$4,B454&lt;='Tableau de bord'!$S$4,OR('Tableau de bord'!$G$4="Tous",N454='Tableau de bord'!$G$4)),1,0))</f>
        <v/>
      </c>
      <c r="BX454" s="60">
        <f>IF(AND(C454&lt;&gt;"",N(BA454)=7),MAX($BX$4:BX453)+1,"")</f>
        <v/>
      </c>
    </row>
    <row r="455">
      <c r="A455" s="60">
        <f>IF(C455="","","P-"&amp;TEXT(451,"000"))</f>
        <v/>
      </c>
      <c r="B455" s="106">
        <f>IF(C455="","",IFERROR(1/(1/_xlfn.MINIFS('Saisie'!$A$5:$A$2004,'Saisie'!$C$5:$C$2004,C455)),""))</f>
        <v/>
      </c>
      <c r="C455" s="60">
        <f>IFERROR(INDEX('Saisie'!$C$5:$C$2004,MATCH(451,'Saisie'!$AX$5:$AX$2004,0)),"")</f>
        <v/>
      </c>
      <c r="D455" s="60">
        <f>IF(C455="","",IF(AND(BR455&gt;0,BR455&gt;BS455,BA455&lt;7),"Perdu",INDEX('Paramètres'!$F$6:$F$13,BA455)))</f>
        <v/>
      </c>
      <c r="E455" s="61">
        <f>IF(C455="","",MIN(100,(Z455="Oui")*'Paramètres'!$B$38+(AB455="Régulière")*'Paramètres'!$B$39+IF(AND(N(AA455)&gt;0,TODAY()-N(AA455)&lt;=30),'Paramètres'!$B$40,0)+(W455="")*'Paramètres'!$B$41+(AC455="Absente")*'Paramètres'!$B$42+(AC455="Faible")*'Paramètres'!$B$43+IF(AND(N(AD455)&gt;0,N(AD455)&lt;4),'Paramètres'!$B$44,0)+(AF455="Moyenne")*'Paramètres'!$B$45+(AF455="Grande")*'Paramètres'!$B$46+(Y455&lt;&gt;"")*'Paramètres'!$B$47))</f>
        <v/>
      </c>
      <c r="F455" s="60">
        <f>IF(C455="","",IF(D455="Gagné","",IF(D455="Perdu",IF(AND(AX455&lt;&gt;"",AX455&lt;=TODAY()),"À recontacter (perdu)",""),IF(AND(O455&gt;='Paramètres'!$B$21,P455=0),"Stop : "&amp;'Paramètres'!$B$21&amp;" tentatives sans réponse",IF(AND(D455="Proposition",AR455&lt;&gt;"",TODAY()&gt;N(AR455)),"Proposition expirée",IF(AND(D455="Proposition",N(R455)&gt;='Paramètres'!$B$25),"Proposition sans réponse",IF(AND(G455&lt;&gt;"",N(G455)&lt;TODAY()),"Relance en retard",IF(N(R455)&gt;='Paramètres'!$B$24,"Sans action depuis "&amp;R455&amp;" j",""))))))))</f>
        <v/>
      </c>
      <c r="G455" s="106">
        <f>IF(OR(C455="",D455="Gagné",D455="Perdu"),"",IF(AND(BP455&gt;0,BP455=BQ455),INDEX('Saisie'!$J$5:$J$2004,BP455-4),IF(OR(O455=0,AND(O455&gt;='Paramètres'!$B$21,P455=0)),"",Q455+IF(O455&lt;=1,'Paramètres'!$B$18,IF(O455=2,'Paramètres'!$B$19,'Paramètres'!$B$20)))))</f>
        <v/>
      </c>
      <c r="H455" s="107">
        <f>IF(OR(G455="",BP455&lt;&gt;BQ455),"",IF(INDEX('Saisie'!$K$5:$K$2004,BP455-4)="","",INDEX('Saisie'!$K$5:$K$2004,BP455-4)))</f>
        <v/>
      </c>
      <c r="I455" s="60">
        <f>IF(C455="","",IF(OR(D455="Gagné",D455="Perdu"),"",IFERROR(INDEX('Saisie'!$I$5:$I$2004,_xlfn.MAXIFS('Saisie'!$AS$5:$AS$2004,'Saisie'!$C$5:$C$2004,C455,'Saisie'!$I$5:$I$2004,"&lt;&gt;")-4),"")))</f>
        <v/>
      </c>
      <c r="J455" s="60">
        <f>IF(C455="","",IFERROR(INDEX('Saisie'!$U$5:$U$2004,_xlfn.MAXIFS('Saisie'!$AS$5:$AS$2004,'Saisie'!$C$5:$C$2004,C455,'Saisie'!$U$5:$U$2004,"&lt;&gt;")-4),""))</f>
        <v/>
      </c>
      <c r="K455" s="60">
        <f>IF(C455="","",IFERROR(INDEX('Saisie'!$W$5:$W$2004,_xlfn.MAXIFS('Saisie'!$AS$5:$AS$2004,'Saisie'!$C$5:$C$2004,C455,'Saisie'!$W$5:$W$2004,"&lt;&gt;")-4),""))</f>
        <v/>
      </c>
      <c r="L455" s="60">
        <f>IF(IF(BB455&lt;&gt;"",BB455,K455)="","",HYPERLINK("https://wa.me/"&amp;IF(LEFT(SUBSTITUTE(SUBSTITUTE(SUBSTITUTE(IF(BB455&lt;&gt;"",BB455,K455)," ",""),".",""),"+",""),1)="0",'Paramètres'!$B$35&amp;MID(SUBSTITUTE(SUBSTITUTE(SUBSTITUTE(IF(BB455&lt;&gt;"",BB455,K455)," ",""),".",""),"+",""),2,20),SUBSTITUTE(SUBSTITUTE(SUBSTITUTE(IF(BB455&lt;&gt;"",BB455,K455)," ",""),".",""),"+","")),"WhatsApp"))</f>
        <v/>
      </c>
      <c r="M455" s="60">
        <f>IF(BC455="","",HYPERLINK(IF(LEFT(BC455,4)="http",BC455,"https://www.instagram.com/"&amp;SUBSTITUTE(SUBSTITUTE(BC455,"@","")," ","")),BC455))</f>
        <v/>
      </c>
      <c r="N455" s="60">
        <f>IF(C455="","",IFERROR(INDEX('Saisie'!$D$5:$D$2004,_xlfn.MINIFS('Saisie'!$AS$5:$AS$2004,'Saisie'!$C$5:$C$2004,C455,'Saisie'!$AU$5:$AU$2004,1)-4),IFERROR(INDEX('Saisie'!$D$5:$D$2004,_xlfn.MINIFS('Saisie'!$AS$5:$AS$2004,'Saisie'!$C$5:$C$2004,C455,'Saisie'!$D$5:$D$2004,"&lt;&gt;")-4),"")))</f>
        <v/>
      </c>
      <c r="O455" s="60">
        <f>IF(C455="","",COUNTIFS('Saisie'!$C$5:$C$2004,C455,'Saisie'!$AU$5:$AU$2004,1))</f>
        <v/>
      </c>
      <c r="P455" s="60">
        <f>IF(C455="","",COUNTIFS('Saisie'!$C$5:$C$2004,C455,'Saisie'!$AV$5:$AV$2004,1))</f>
        <v/>
      </c>
      <c r="Q455" s="106">
        <f>IF(C455="","",IFERROR(1/(1/_xlfn.MAXIFS('Saisie'!$A$5:$A$2004,'Saisie'!$C$5:$C$2004,C455)),""))</f>
        <v/>
      </c>
      <c r="R455" s="61">
        <f>IF(C455="","",IF(Q455="","",TODAY()-Q455))</f>
        <v/>
      </c>
      <c r="S455" s="60">
        <f>IF(C455="","",IFERROR(INDEX('Saisie'!$R$5:$R$2004,_xlfn.MAXIFS('Saisie'!$AS$5:$AS$2004,'Saisie'!$C$5:$C$2004,C455,'Saisie'!$R$5:$R$2004,"&lt;&gt;")-4),""))</f>
        <v/>
      </c>
      <c r="T455" s="60">
        <f>IF(C455="","",IFERROR(INDEX('Saisie'!$S$5:$S$2004,_xlfn.MAXIFS('Saisie'!$AS$5:$AS$2004,'Saisie'!$C$5:$C$2004,C455,'Saisie'!$S$5:$S$2004,"&lt;&gt;")-4),""))</f>
        <v/>
      </c>
      <c r="U455" s="60">
        <f>IF(C455="","",IFERROR(INDEX('Saisie'!$T$5:$T$2004,_xlfn.MAXIFS('Saisie'!$AS$5:$AS$2004,'Saisie'!$C$5:$C$2004,C455,'Saisie'!$T$5:$T$2004,"&lt;&gt;")-4),""))</f>
        <v/>
      </c>
      <c r="V455" s="60">
        <f>IF(C455="","",IFERROR(INDEX('Saisie'!$V$5:$V$2004,_xlfn.MAXIFS('Saisie'!$AS$5:$AS$2004,'Saisie'!$C$5:$C$2004,C455,'Saisie'!$V$5:$V$2004,"&lt;&gt;")-4),""))</f>
        <v/>
      </c>
      <c r="W455" s="60">
        <f>IF(C455="","",IFERROR(INDEX('Saisie'!$Z$5:$Z$2004,_xlfn.MAXIFS('Saisie'!$AS$5:$AS$2004,'Saisie'!$C$5:$C$2004,C455,'Saisie'!$Z$5:$Z$2004,"&lt;&gt;")-4),""))</f>
        <v/>
      </c>
      <c r="X455" s="60">
        <f>IF(C455="","",IFERROR(INDEX('Saisie'!$AA$5:$AA$2004,_xlfn.MAXIFS('Saisie'!$AS$5:$AS$2004,'Saisie'!$C$5:$C$2004,C455,'Saisie'!$AA$5:$AA$2004,"&lt;&gt;")-4),""))</f>
        <v/>
      </c>
      <c r="Y455" s="60">
        <f>IF(C455="","",IFERROR(INDEX('Saisie'!$AB$5:$AB$2004,_xlfn.MAXIFS('Saisie'!$AS$5:$AS$2004,'Saisie'!$C$5:$C$2004,C455,'Saisie'!$AB$5:$AB$2004,"&lt;&gt;")-4),""))</f>
        <v/>
      </c>
      <c r="Z455" s="60">
        <f>IF(C455="","",IFERROR(INDEX('Saisie'!$AC$5:$AC$2004,_xlfn.MAXIFS('Saisie'!$AS$5:$AS$2004,'Saisie'!$C$5:$C$2004,C455,'Saisie'!$AC$5:$AC$2004,"&lt;&gt;")-4),""))</f>
        <v/>
      </c>
      <c r="AA455" s="106">
        <f>IF(C455="","",IFERROR(INDEX('Saisie'!$AD$5:$AD$2004,_xlfn.MAXIFS('Saisie'!$AS$5:$AS$2004,'Saisie'!$C$5:$C$2004,C455,'Saisie'!$AD$5:$AD$2004,"&lt;&gt;")-4),""))</f>
        <v/>
      </c>
      <c r="AB455" s="60">
        <f>IF(C455="","",IFERROR(INDEX('Saisie'!$AE$5:$AE$2004,_xlfn.MAXIFS('Saisie'!$AS$5:$AS$2004,'Saisie'!$C$5:$C$2004,C455,'Saisie'!$AE$5:$AE$2004,"&lt;&gt;")-4),""))</f>
        <v/>
      </c>
      <c r="AC455" s="60">
        <f>IF(C455="","",IFERROR(INDEX('Saisie'!$AF$5:$AF$2004,_xlfn.MAXIFS('Saisie'!$AS$5:$AS$2004,'Saisie'!$C$5:$C$2004,C455,'Saisie'!$AF$5:$AF$2004,"&lt;&gt;")-4),""))</f>
        <v/>
      </c>
      <c r="AD455" s="108">
        <f>IF(C455="","",IFERROR(INDEX('Saisie'!$AG$5:$AG$2004,_xlfn.MAXIFS('Saisie'!$AS$5:$AS$2004,'Saisie'!$C$5:$C$2004,C455,'Saisie'!$AG$5:$AG$2004,"&lt;&gt;")-4),""))</f>
        <v/>
      </c>
      <c r="AE455" s="60">
        <f>IF(C455="","",IFERROR(INDEX('Saisie'!$AH$5:$AH$2004,_xlfn.MAXIFS('Saisie'!$AS$5:$AS$2004,'Saisie'!$C$5:$C$2004,C455,'Saisie'!$AH$5:$AH$2004,"&lt;&gt;")-4),""))</f>
        <v/>
      </c>
      <c r="AF455" s="60">
        <f>IF(C455="","",IFERROR(INDEX('Saisie'!$AI$5:$AI$2004,_xlfn.MAXIFS('Saisie'!$AS$5:$AS$2004,'Saisie'!$C$5:$C$2004,C455,'Saisie'!$AI$5:$AI$2004,"&lt;&gt;")-4),""))</f>
        <v/>
      </c>
      <c r="AG455" s="60">
        <f>IF(C455="","",IFERROR(INDEX('Saisie'!$AJ$5:$AJ$2004,_xlfn.MAXIFS('Saisie'!$AS$5:$AS$2004,'Saisie'!$C$5:$C$2004,C455,'Saisie'!$AJ$5:$AJ$2004,"&lt;&gt;")-4),""))</f>
        <v/>
      </c>
      <c r="AH455" s="60">
        <f>IF(C455="","",IFERROR(INDEX('Saisie'!$AK$5:$AK$2004,_xlfn.MAXIFS('Saisie'!$AS$5:$AS$2004,'Saisie'!$C$5:$C$2004,C455,'Saisie'!$AK$5:$AK$2004,"&lt;&gt;")-4),""))</f>
        <v/>
      </c>
      <c r="AI455" s="60">
        <f>IF(C455="","",IFERROR(INDEX('Saisie'!$AN$5:$AN$2004,_xlfn.MAXIFS('Saisie'!$AS$5:$AS$2004,'Saisie'!$C$5:$C$2004,C455,'Saisie'!$AN$5:$AN$2004,"&lt;&gt;")-4),""))</f>
        <v/>
      </c>
      <c r="AJ455" s="60">
        <f>IF(C455="","",IFERROR(INDEX('Saisie'!$AO$5:$AO$2004,_xlfn.MAXIFS('Saisie'!$AS$5:$AS$2004,'Saisie'!$C$5:$C$2004,C455,'Saisie'!$AO$5:$AO$2004,"&lt;&gt;")-4),""))</f>
        <v/>
      </c>
      <c r="AK455" s="60">
        <f>IF(C455="","",IFERROR(INDEX('Saisie'!$AP$5:$AP$2004,_xlfn.MAXIFS('Saisie'!$AS$5:$AS$2004,'Saisie'!$C$5:$C$2004,C455,'Saisie'!$AP$5:$AP$2004,"&lt;&gt;")-4),""))</f>
        <v/>
      </c>
      <c r="AL455" s="60">
        <f>IF(C455="","",IFERROR(INDEX('Saisie'!$AQ$5:$AQ$2004,_xlfn.MAXIFS('Saisie'!$AS$5:$AS$2004,'Saisie'!$C$5:$C$2004,C455,'Saisie'!$AQ$5:$AQ$2004,"&lt;&gt;")-4),""))</f>
        <v/>
      </c>
      <c r="AM455" s="60">
        <f>IF(C455="","",((AI455="Oui")+(AJ455="Oui")+(AK455="Oui")+OR(AL455="Immédiat",AL455="&lt; 1 mois"))&amp;"/4")</f>
        <v/>
      </c>
      <c r="AN455" s="60">
        <f>IF(C455="","",IFERROR(INDEX('Saisie'!$AL$5:$AL$2004,_xlfn.MAXIFS('Saisie'!$AS$5:$AS$2004,'Saisie'!$C$5:$C$2004,C455,'Saisie'!$AL$5:$AL$2004,"&lt;&gt;")-4),""))</f>
        <v/>
      </c>
      <c r="AO455" s="62">
        <f>IF(C455="","",IF(IFERROR(INDEX('Saisie'!$AM$5:$AM$2004,_xlfn.MAXIFS('Saisie'!$AS$5:$AS$2004,'Saisie'!$C$5:$C$2004,C455,'Saisie'!$AM$5:$AM$2004,"&lt;&gt;")-4),"")&lt;&gt;"",IFERROR(INDEX('Saisie'!$AM$5:$AM$2004,_xlfn.MAXIFS('Saisie'!$AS$5:$AS$2004,'Saisie'!$C$5:$C$2004,C455,'Saisie'!$AM$5:$AM$2004,"&lt;&gt;")-4),""),IFERROR(INDEX('Paramètres'!$S$6:$S$15,MATCH(AN455,'Paramètres'!$Q$6:$Q$15,0)),"")))</f>
        <v/>
      </c>
      <c r="AP455" s="62">
        <f>IF(C455="","",IFERROR(INDEX('Saisie'!$AW$5:$AW$2004,_xlfn.MAXIFS('Saisie'!$AS$5:$AS$2004,'Saisie'!$C$5:$C$2004,C455,'Saisie'!$E$5:$E$2004,"Proposition envoyée")-4),""))</f>
        <v/>
      </c>
      <c r="AQ455" s="106">
        <f>IF(C455="","",IFERROR(1/(1/_xlfn.MAXIFS('Saisie'!$A$5:$A$2004,'Saisie'!$C$5:$C$2004,C455,'Saisie'!$E$5:$E$2004,"Proposition envoyée")),""))</f>
        <v/>
      </c>
      <c r="AR455" s="106">
        <f>IF(C455="","",IF(AQ455="","",AQ455+'Paramètres'!$B$26))</f>
        <v/>
      </c>
      <c r="AS455" s="62">
        <f>IF(OR(C455="",D455="Gagné",D455="Perdu"),0,N(AP455)*IFERROR(INDEX('Paramètres'!$G$6:$G$13,MATCH(D455,'Paramètres'!$F$6:$F$13,0)),0))</f>
        <v/>
      </c>
      <c r="AT455" s="106">
        <f>IF(C455="","",IFERROR(1/(1/_xlfn.MINIFS('Saisie'!$A$5:$A$2004,'Saisie'!$C$5:$C$2004,C455,'Saisie'!$E$5:$E$2004,"Signature")),""))</f>
        <v/>
      </c>
      <c r="AU455" s="60">
        <f>IF(C455="","",IF(OR(AT455="",B455=""),"",AT455-B455))</f>
        <v/>
      </c>
      <c r="AV455" s="60">
        <f>IF(C455="","",IFERROR(INDEX('Saisie'!$L$5:$L$2004,_xlfn.MAXIFS('Saisie'!$AS$5:$AS$2004,'Saisie'!$C$5:$C$2004,C455,'Saisie'!$L$5:$L$2004,"&lt;&gt;")-4),""))</f>
        <v/>
      </c>
      <c r="AW455" s="106">
        <f>IF(C455="","",IF(D455&lt;&gt;"Perdu","",IFERROR(1/(1/_xlfn.MAXIFS('Saisie'!$A$5:$A$2004,'Saisie'!$C$5:$C$2004,C455,'Saisie'!$E$5:$E$2004,"Perdu")),"")))</f>
        <v/>
      </c>
      <c r="AX455" s="106">
        <f>IF(C455="","",IF(AW455="","",AW455+'Paramètres'!$B$28))</f>
        <v/>
      </c>
      <c r="AY455" s="60">
        <f>IF(C455="","",SUMIFS('Saisie'!$H$5:$H$2004,'Saisie'!$C$5:$C$2004,C455))</f>
        <v/>
      </c>
      <c r="AZ455" s="60">
        <f>IF(C455="","",IFERROR(INDEX('Paramètres'!$W$6:$W$20,MATCH(S455,'Paramètres'!$V$6:$V$20,0))&amp;"",""))</f>
        <v/>
      </c>
      <c r="BA455" s="60">
        <f>IF(C455="","",MAX(1,_xlfn.MAXIFS('Saisie'!$AT$5:$AT$2004,'Saisie'!$C$5:$C$2004,C455)))</f>
        <v/>
      </c>
      <c r="BB455" s="60">
        <f>IF(C455="","",IFERROR(INDEX('Saisie'!$X$5:$X$2004,_xlfn.MAXIFS('Saisie'!$AS$5:$AS$2004,'Saisie'!$C$5:$C$2004,C455,'Saisie'!$X$5:$X$2004,"&lt;&gt;")-4),""))</f>
        <v/>
      </c>
      <c r="BC455" s="60">
        <f>IF(C455="","",IFERROR(INDEX('Saisie'!$Y$5:$Y$2004,_xlfn.MAXIFS('Saisie'!$AS$5:$AS$2004,'Saisie'!$C$5:$C$2004,C455,'Saisie'!$Y$5:$Y$2004,"&lt;&gt;")-4),""))</f>
        <v/>
      </c>
      <c r="BD455" s="106">
        <f>IF(C455="","",IFERROR(1/(1/_xlfn.MINIFS('Saisie'!$A$5:$A$2004,'Saisie'!$C$5:$C$2004,C455,'Saisie'!$AT$5:$AT$2004,"&gt;=2")),""))</f>
        <v/>
      </c>
      <c r="BE455" s="106">
        <f>IF(C455="","",IFERROR(1/(1/_xlfn.MINIFS('Saisie'!$A$5:$A$2004,'Saisie'!$C$5:$C$2004,C455,'Saisie'!$AT$5:$AT$2004,"&gt;=3")),""))</f>
        <v/>
      </c>
      <c r="BF455" s="106">
        <f>IF(C455="","",IFERROR(1/(1/_xlfn.MINIFS('Saisie'!$A$5:$A$2004,'Saisie'!$C$5:$C$2004,C455,'Saisie'!$AT$5:$AT$2004,"&gt;=4")),""))</f>
        <v/>
      </c>
      <c r="BG455" s="106">
        <f>IF(C455="","",IFERROR(1/(1/_xlfn.MINIFS('Saisie'!$A$5:$A$2004,'Saisie'!$C$5:$C$2004,C455,'Saisie'!$AT$5:$AT$2004,"&gt;=5")),""))</f>
        <v/>
      </c>
      <c r="BH455" s="106">
        <f>IF(C455="","",IFERROR(1/(1/_xlfn.MINIFS('Saisie'!$A$5:$A$2004,'Saisie'!$C$5:$C$2004,C455,'Saisie'!$AT$5:$AT$2004,"&gt;=6")),""))</f>
        <v/>
      </c>
      <c r="BI455" s="106">
        <f>IF(C455="","",IFERROR(1/(1/_xlfn.MINIFS('Saisie'!$A$5:$A$2004,'Saisie'!$C$5:$C$2004,C455,'Saisie'!$AT$5:$AT$2004,"&gt;=7")),""))</f>
        <v/>
      </c>
      <c r="BJ455" s="60">
        <f>IF(OR(BD455="",B455=""),"",BD455-B455)</f>
        <v/>
      </c>
      <c r="BK455" s="60">
        <f>IF(OR(BE455="",BD455=""),"",BE455-BD455)</f>
        <v/>
      </c>
      <c r="BL455" s="60">
        <f>IF(OR(BF455="",BE455=""),"",BF455-BE455)</f>
        <v/>
      </c>
      <c r="BM455" s="60">
        <f>IF(OR(BG455="",BF455=""),"",BG455-BF455)</f>
        <v/>
      </c>
      <c r="BN455" s="60">
        <f>IF(OR(BH455="",BG455=""),"",BH455-BG455)</f>
        <v/>
      </c>
      <c r="BO455" s="60">
        <f>IF(OR(BI455="",BH455=""),"",BI455-BH455)</f>
        <v/>
      </c>
      <c r="BP455" s="60">
        <f>IF(C455="","",_xlfn.MAXIFS('Saisie'!$AS$5:$AS$2004,'Saisie'!$C$5:$C$2004,C455,'Saisie'!$J$5:$J$2004,"&lt;&gt;"))</f>
        <v/>
      </c>
      <c r="BQ455" s="60">
        <f>IF(C455="","",_xlfn.MAXIFS('Saisie'!$AS$5:$AS$2004,'Saisie'!$C$5:$C$2004,C455))</f>
        <v/>
      </c>
      <c r="BR455" s="60">
        <f>IF(C455="","",_xlfn.MAXIFS('Saisie'!$AS$5:$AS$2004,'Saisie'!$C$5:$C$2004,C455,'Saisie'!$E$5:$E$2004,"Perdu"))</f>
        <v/>
      </c>
      <c r="BS455" s="60">
        <f>IF(C455="","",_xlfn.MAXIFS('Saisie'!$AS$5:$AS$2004,'Saisie'!$C$5:$C$2004,C455,'Saisie'!$AT$5:$AT$2004,"&gt;0"))</f>
        <v/>
      </c>
      <c r="BT455" s="109">
        <f>IF(AND(C455&lt;&gt;"",OR(D455="Nouveau",D455="Contacté",D455="Qualifié"),OR(G455="",N(G455)&lt;=TODAY()),NOT(AND(O455&gt;='Paramètres'!$B$21,P455=0))),E455+451/10000,"")</f>
        <v/>
      </c>
      <c r="BU455" s="60">
        <f>IF(AND(G455&lt;&gt;"",N(G455)&lt;=TODAY()),MAX($BU$4:BU454)+1,"")</f>
        <v/>
      </c>
      <c r="BV455" s="60">
        <f>IF(AND(F455&lt;&gt;"",F455&lt;&gt;"Relance en retard"),MAX($BV$4:BV454)+1,"")</f>
        <v/>
      </c>
      <c r="BW455" s="60">
        <f>IF(C455="","",IF(AND(B455&gt;='Tableau de bord'!$R$4,B455&lt;='Tableau de bord'!$S$4,OR('Tableau de bord'!$G$4="Tous",N455='Tableau de bord'!$G$4)),1,0))</f>
        <v/>
      </c>
      <c r="BX455" s="60">
        <f>IF(AND(C455&lt;&gt;"",N(BA455)=7),MAX($BX$4:BX454)+1,"")</f>
        <v/>
      </c>
    </row>
    <row r="456">
      <c r="A456" s="60">
        <f>IF(C456="","","P-"&amp;TEXT(452,"000"))</f>
        <v/>
      </c>
      <c r="B456" s="106">
        <f>IF(C456="","",IFERROR(1/(1/_xlfn.MINIFS('Saisie'!$A$5:$A$2004,'Saisie'!$C$5:$C$2004,C456)),""))</f>
        <v/>
      </c>
      <c r="C456" s="60">
        <f>IFERROR(INDEX('Saisie'!$C$5:$C$2004,MATCH(452,'Saisie'!$AX$5:$AX$2004,0)),"")</f>
        <v/>
      </c>
      <c r="D456" s="60">
        <f>IF(C456="","",IF(AND(BR456&gt;0,BR456&gt;BS456,BA456&lt;7),"Perdu",INDEX('Paramètres'!$F$6:$F$13,BA456)))</f>
        <v/>
      </c>
      <c r="E456" s="61">
        <f>IF(C456="","",MIN(100,(Z456="Oui")*'Paramètres'!$B$38+(AB456="Régulière")*'Paramètres'!$B$39+IF(AND(N(AA456)&gt;0,TODAY()-N(AA456)&lt;=30),'Paramètres'!$B$40,0)+(W456="")*'Paramètres'!$B$41+(AC456="Absente")*'Paramètres'!$B$42+(AC456="Faible")*'Paramètres'!$B$43+IF(AND(N(AD456)&gt;0,N(AD456)&lt;4),'Paramètres'!$B$44,0)+(AF456="Moyenne")*'Paramètres'!$B$45+(AF456="Grande")*'Paramètres'!$B$46+(Y456&lt;&gt;"")*'Paramètres'!$B$47))</f>
        <v/>
      </c>
      <c r="F456" s="60">
        <f>IF(C456="","",IF(D456="Gagné","",IF(D456="Perdu",IF(AND(AX456&lt;&gt;"",AX456&lt;=TODAY()),"À recontacter (perdu)",""),IF(AND(O456&gt;='Paramètres'!$B$21,P456=0),"Stop : "&amp;'Paramètres'!$B$21&amp;" tentatives sans réponse",IF(AND(D456="Proposition",AR456&lt;&gt;"",TODAY()&gt;N(AR456)),"Proposition expirée",IF(AND(D456="Proposition",N(R456)&gt;='Paramètres'!$B$25),"Proposition sans réponse",IF(AND(G456&lt;&gt;"",N(G456)&lt;TODAY()),"Relance en retard",IF(N(R456)&gt;='Paramètres'!$B$24,"Sans action depuis "&amp;R456&amp;" j",""))))))))</f>
        <v/>
      </c>
      <c r="G456" s="106">
        <f>IF(OR(C456="",D456="Gagné",D456="Perdu"),"",IF(AND(BP456&gt;0,BP456=BQ456),INDEX('Saisie'!$J$5:$J$2004,BP456-4),IF(OR(O456=0,AND(O456&gt;='Paramètres'!$B$21,P456=0)),"",Q456+IF(O456&lt;=1,'Paramètres'!$B$18,IF(O456=2,'Paramètres'!$B$19,'Paramètres'!$B$20)))))</f>
        <v/>
      </c>
      <c r="H456" s="107">
        <f>IF(OR(G456="",BP456&lt;&gt;BQ456),"",IF(INDEX('Saisie'!$K$5:$K$2004,BP456-4)="","",INDEX('Saisie'!$K$5:$K$2004,BP456-4)))</f>
        <v/>
      </c>
      <c r="I456" s="60">
        <f>IF(C456="","",IF(OR(D456="Gagné",D456="Perdu"),"",IFERROR(INDEX('Saisie'!$I$5:$I$2004,_xlfn.MAXIFS('Saisie'!$AS$5:$AS$2004,'Saisie'!$C$5:$C$2004,C456,'Saisie'!$I$5:$I$2004,"&lt;&gt;")-4),"")))</f>
        <v/>
      </c>
      <c r="J456" s="60">
        <f>IF(C456="","",IFERROR(INDEX('Saisie'!$U$5:$U$2004,_xlfn.MAXIFS('Saisie'!$AS$5:$AS$2004,'Saisie'!$C$5:$C$2004,C456,'Saisie'!$U$5:$U$2004,"&lt;&gt;")-4),""))</f>
        <v/>
      </c>
      <c r="K456" s="60">
        <f>IF(C456="","",IFERROR(INDEX('Saisie'!$W$5:$W$2004,_xlfn.MAXIFS('Saisie'!$AS$5:$AS$2004,'Saisie'!$C$5:$C$2004,C456,'Saisie'!$W$5:$W$2004,"&lt;&gt;")-4),""))</f>
        <v/>
      </c>
      <c r="L456" s="60">
        <f>IF(IF(BB456&lt;&gt;"",BB456,K456)="","",HYPERLINK("https://wa.me/"&amp;IF(LEFT(SUBSTITUTE(SUBSTITUTE(SUBSTITUTE(IF(BB456&lt;&gt;"",BB456,K456)," ",""),".",""),"+",""),1)="0",'Paramètres'!$B$35&amp;MID(SUBSTITUTE(SUBSTITUTE(SUBSTITUTE(IF(BB456&lt;&gt;"",BB456,K456)," ",""),".",""),"+",""),2,20),SUBSTITUTE(SUBSTITUTE(SUBSTITUTE(IF(BB456&lt;&gt;"",BB456,K456)," ",""),".",""),"+","")),"WhatsApp"))</f>
        <v/>
      </c>
      <c r="M456" s="60">
        <f>IF(BC456="","",HYPERLINK(IF(LEFT(BC456,4)="http",BC456,"https://www.instagram.com/"&amp;SUBSTITUTE(SUBSTITUTE(BC456,"@","")," ","")),BC456))</f>
        <v/>
      </c>
      <c r="N456" s="60">
        <f>IF(C456="","",IFERROR(INDEX('Saisie'!$D$5:$D$2004,_xlfn.MINIFS('Saisie'!$AS$5:$AS$2004,'Saisie'!$C$5:$C$2004,C456,'Saisie'!$AU$5:$AU$2004,1)-4),IFERROR(INDEX('Saisie'!$D$5:$D$2004,_xlfn.MINIFS('Saisie'!$AS$5:$AS$2004,'Saisie'!$C$5:$C$2004,C456,'Saisie'!$D$5:$D$2004,"&lt;&gt;")-4),"")))</f>
        <v/>
      </c>
      <c r="O456" s="60">
        <f>IF(C456="","",COUNTIFS('Saisie'!$C$5:$C$2004,C456,'Saisie'!$AU$5:$AU$2004,1))</f>
        <v/>
      </c>
      <c r="P456" s="60">
        <f>IF(C456="","",COUNTIFS('Saisie'!$C$5:$C$2004,C456,'Saisie'!$AV$5:$AV$2004,1))</f>
        <v/>
      </c>
      <c r="Q456" s="106">
        <f>IF(C456="","",IFERROR(1/(1/_xlfn.MAXIFS('Saisie'!$A$5:$A$2004,'Saisie'!$C$5:$C$2004,C456)),""))</f>
        <v/>
      </c>
      <c r="R456" s="61">
        <f>IF(C456="","",IF(Q456="","",TODAY()-Q456))</f>
        <v/>
      </c>
      <c r="S456" s="60">
        <f>IF(C456="","",IFERROR(INDEX('Saisie'!$R$5:$R$2004,_xlfn.MAXIFS('Saisie'!$AS$5:$AS$2004,'Saisie'!$C$5:$C$2004,C456,'Saisie'!$R$5:$R$2004,"&lt;&gt;")-4),""))</f>
        <v/>
      </c>
      <c r="T456" s="60">
        <f>IF(C456="","",IFERROR(INDEX('Saisie'!$S$5:$S$2004,_xlfn.MAXIFS('Saisie'!$AS$5:$AS$2004,'Saisie'!$C$5:$C$2004,C456,'Saisie'!$S$5:$S$2004,"&lt;&gt;")-4),""))</f>
        <v/>
      </c>
      <c r="U456" s="60">
        <f>IF(C456="","",IFERROR(INDEX('Saisie'!$T$5:$T$2004,_xlfn.MAXIFS('Saisie'!$AS$5:$AS$2004,'Saisie'!$C$5:$C$2004,C456,'Saisie'!$T$5:$T$2004,"&lt;&gt;")-4),""))</f>
        <v/>
      </c>
      <c r="V456" s="60">
        <f>IF(C456="","",IFERROR(INDEX('Saisie'!$V$5:$V$2004,_xlfn.MAXIFS('Saisie'!$AS$5:$AS$2004,'Saisie'!$C$5:$C$2004,C456,'Saisie'!$V$5:$V$2004,"&lt;&gt;")-4),""))</f>
        <v/>
      </c>
      <c r="W456" s="60">
        <f>IF(C456="","",IFERROR(INDEX('Saisie'!$Z$5:$Z$2004,_xlfn.MAXIFS('Saisie'!$AS$5:$AS$2004,'Saisie'!$C$5:$C$2004,C456,'Saisie'!$Z$5:$Z$2004,"&lt;&gt;")-4),""))</f>
        <v/>
      </c>
      <c r="X456" s="60">
        <f>IF(C456="","",IFERROR(INDEX('Saisie'!$AA$5:$AA$2004,_xlfn.MAXIFS('Saisie'!$AS$5:$AS$2004,'Saisie'!$C$5:$C$2004,C456,'Saisie'!$AA$5:$AA$2004,"&lt;&gt;")-4),""))</f>
        <v/>
      </c>
      <c r="Y456" s="60">
        <f>IF(C456="","",IFERROR(INDEX('Saisie'!$AB$5:$AB$2004,_xlfn.MAXIFS('Saisie'!$AS$5:$AS$2004,'Saisie'!$C$5:$C$2004,C456,'Saisie'!$AB$5:$AB$2004,"&lt;&gt;")-4),""))</f>
        <v/>
      </c>
      <c r="Z456" s="60">
        <f>IF(C456="","",IFERROR(INDEX('Saisie'!$AC$5:$AC$2004,_xlfn.MAXIFS('Saisie'!$AS$5:$AS$2004,'Saisie'!$C$5:$C$2004,C456,'Saisie'!$AC$5:$AC$2004,"&lt;&gt;")-4),""))</f>
        <v/>
      </c>
      <c r="AA456" s="106">
        <f>IF(C456="","",IFERROR(INDEX('Saisie'!$AD$5:$AD$2004,_xlfn.MAXIFS('Saisie'!$AS$5:$AS$2004,'Saisie'!$C$5:$C$2004,C456,'Saisie'!$AD$5:$AD$2004,"&lt;&gt;")-4),""))</f>
        <v/>
      </c>
      <c r="AB456" s="60">
        <f>IF(C456="","",IFERROR(INDEX('Saisie'!$AE$5:$AE$2004,_xlfn.MAXIFS('Saisie'!$AS$5:$AS$2004,'Saisie'!$C$5:$C$2004,C456,'Saisie'!$AE$5:$AE$2004,"&lt;&gt;")-4),""))</f>
        <v/>
      </c>
      <c r="AC456" s="60">
        <f>IF(C456="","",IFERROR(INDEX('Saisie'!$AF$5:$AF$2004,_xlfn.MAXIFS('Saisie'!$AS$5:$AS$2004,'Saisie'!$C$5:$C$2004,C456,'Saisie'!$AF$5:$AF$2004,"&lt;&gt;")-4),""))</f>
        <v/>
      </c>
      <c r="AD456" s="108">
        <f>IF(C456="","",IFERROR(INDEX('Saisie'!$AG$5:$AG$2004,_xlfn.MAXIFS('Saisie'!$AS$5:$AS$2004,'Saisie'!$C$5:$C$2004,C456,'Saisie'!$AG$5:$AG$2004,"&lt;&gt;")-4),""))</f>
        <v/>
      </c>
      <c r="AE456" s="60">
        <f>IF(C456="","",IFERROR(INDEX('Saisie'!$AH$5:$AH$2004,_xlfn.MAXIFS('Saisie'!$AS$5:$AS$2004,'Saisie'!$C$5:$C$2004,C456,'Saisie'!$AH$5:$AH$2004,"&lt;&gt;")-4),""))</f>
        <v/>
      </c>
      <c r="AF456" s="60">
        <f>IF(C456="","",IFERROR(INDEX('Saisie'!$AI$5:$AI$2004,_xlfn.MAXIFS('Saisie'!$AS$5:$AS$2004,'Saisie'!$C$5:$C$2004,C456,'Saisie'!$AI$5:$AI$2004,"&lt;&gt;")-4),""))</f>
        <v/>
      </c>
      <c r="AG456" s="60">
        <f>IF(C456="","",IFERROR(INDEX('Saisie'!$AJ$5:$AJ$2004,_xlfn.MAXIFS('Saisie'!$AS$5:$AS$2004,'Saisie'!$C$5:$C$2004,C456,'Saisie'!$AJ$5:$AJ$2004,"&lt;&gt;")-4),""))</f>
        <v/>
      </c>
      <c r="AH456" s="60">
        <f>IF(C456="","",IFERROR(INDEX('Saisie'!$AK$5:$AK$2004,_xlfn.MAXIFS('Saisie'!$AS$5:$AS$2004,'Saisie'!$C$5:$C$2004,C456,'Saisie'!$AK$5:$AK$2004,"&lt;&gt;")-4),""))</f>
        <v/>
      </c>
      <c r="AI456" s="60">
        <f>IF(C456="","",IFERROR(INDEX('Saisie'!$AN$5:$AN$2004,_xlfn.MAXIFS('Saisie'!$AS$5:$AS$2004,'Saisie'!$C$5:$C$2004,C456,'Saisie'!$AN$5:$AN$2004,"&lt;&gt;")-4),""))</f>
        <v/>
      </c>
      <c r="AJ456" s="60">
        <f>IF(C456="","",IFERROR(INDEX('Saisie'!$AO$5:$AO$2004,_xlfn.MAXIFS('Saisie'!$AS$5:$AS$2004,'Saisie'!$C$5:$C$2004,C456,'Saisie'!$AO$5:$AO$2004,"&lt;&gt;")-4),""))</f>
        <v/>
      </c>
      <c r="AK456" s="60">
        <f>IF(C456="","",IFERROR(INDEX('Saisie'!$AP$5:$AP$2004,_xlfn.MAXIFS('Saisie'!$AS$5:$AS$2004,'Saisie'!$C$5:$C$2004,C456,'Saisie'!$AP$5:$AP$2004,"&lt;&gt;")-4),""))</f>
        <v/>
      </c>
      <c r="AL456" s="60">
        <f>IF(C456="","",IFERROR(INDEX('Saisie'!$AQ$5:$AQ$2004,_xlfn.MAXIFS('Saisie'!$AS$5:$AS$2004,'Saisie'!$C$5:$C$2004,C456,'Saisie'!$AQ$5:$AQ$2004,"&lt;&gt;")-4),""))</f>
        <v/>
      </c>
      <c r="AM456" s="60">
        <f>IF(C456="","",((AI456="Oui")+(AJ456="Oui")+(AK456="Oui")+OR(AL456="Immédiat",AL456="&lt; 1 mois"))&amp;"/4")</f>
        <v/>
      </c>
      <c r="AN456" s="60">
        <f>IF(C456="","",IFERROR(INDEX('Saisie'!$AL$5:$AL$2004,_xlfn.MAXIFS('Saisie'!$AS$5:$AS$2004,'Saisie'!$C$5:$C$2004,C456,'Saisie'!$AL$5:$AL$2004,"&lt;&gt;")-4),""))</f>
        <v/>
      </c>
      <c r="AO456" s="62">
        <f>IF(C456="","",IF(IFERROR(INDEX('Saisie'!$AM$5:$AM$2004,_xlfn.MAXIFS('Saisie'!$AS$5:$AS$2004,'Saisie'!$C$5:$C$2004,C456,'Saisie'!$AM$5:$AM$2004,"&lt;&gt;")-4),"")&lt;&gt;"",IFERROR(INDEX('Saisie'!$AM$5:$AM$2004,_xlfn.MAXIFS('Saisie'!$AS$5:$AS$2004,'Saisie'!$C$5:$C$2004,C456,'Saisie'!$AM$5:$AM$2004,"&lt;&gt;")-4),""),IFERROR(INDEX('Paramètres'!$S$6:$S$15,MATCH(AN456,'Paramètres'!$Q$6:$Q$15,0)),"")))</f>
        <v/>
      </c>
      <c r="AP456" s="62">
        <f>IF(C456="","",IFERROR(INDEX('Saisie'!$AW$5:$AW$2004,_xlfn.MAXIFS('Saisie'!$AS$5:$AS$2004,'Saisie'!$C$5:$C$2004,C456,'Saisie'!$E$5:$E$2004,"Proposition envoyée")-4),""))</f>
        <v/>
      </c>
      <c r="AQ456" s="106">
        <f>IF(C456="","",IFERROR(1/(1/_xlfn.MAXIFS('Saisie'!$A$5:$A$2004,'Saisie'!$C$5:$C$2004,C456,'Saisie'!$E$5:$E$2004,"Proposition envoyée")),""))</f>
        <v/>
      </c>
      <c r="AR456" s="106">
        <f>IF(C456="","",IF(AQ456="","",AQ456+'Paramètres'!$B$26))</f>
        <v/>
      </c>
      <c r="AS456" s="62">
        <f>IF(OR(C456="",D456="Gagné",D456="Perdu"),0,N(AP456)*IFERROR(INDEX('Paramètres'!$G$6:$G$13,MATCH(D456,'Paramètres'!$F$6:$F$13,0)),0))</f>
        <v/>
      </c>
      <c r="AT456" s="106">
        <f>IF(C456="","",IFERROR(1/(1/_xlfn.MINIFS('Saisie'!$A$5:$A$2004,'Saisie'!$C$5:$C$2004,C456,'Saisie'!$E$5:$E$2004,"Signature")),""))</f>
        <v/>
      </c>
      <c r="AU456" s="60">
        <f>IF(C456="","",IF(OR(AT456="",B456=""),"",AT456-B456))</f>
        <v/>
      </c>
      <c r="AV456" s="60">
        <f>IF(C456="","",IFERROR(INDEX('Saisie'!$L$5:$L$2004,_xlfn.MAXIFS('Saisie'!$AS$5:$AS$2004,'Saisie'!$C$5:$C$2004,C456,'Saisie'!$L$5:$L$2004,"&lt;&gt;")-4),""))</f>
        <v/>
      </c>
      <c r="AW456" s="106">
        <f>IF(C456="","",IF(D456&lt;&gt;"Perdu","",IFERROR(1/(1/_xlfn.MAXIFS('Saisie'!$A$5:$A$2004,'Saisie'!$C$5:$C$2004,C456,'Saisie'!$E$5:$E$2004,"Perdu")),"")))</f>
        <v/>
      </c>
      <c r="AX456" s="106">
        <f>IF(C456="","",IF(AW456="","",AW456+'Paramètres'!$B$28))</f>
        <v/>
      </c>
      <c r="AY456" s="60">
        <f>IF(C456="","",SUMIFS('Saisie'!$H$5:$H$2004,'Saisie'!$C$5:$C$2004,C456))</f>
        <v/>
      </c>
      <c r="AZ456" s="60">
        <f>IF(C456="","",IFERROR(INDEX('Paramètres'!$W$6:$W$20,MATCH(S456,'Paramètres'!$V$6:$V$20,0))&amp;"",""))</f>
        <v/>
      </c>
      <c r="BA456" s="60">
        <f>IF(C456="","",MAX(1,_xlfn.MAXIFS('Saisie'!$AT$5:$AT$2004,'Saisie'!$C$5:$C$2004,C456)))</f>
        <v/>
      </c>
      <c r="BB456" s="60">
        <f>IF(C456="","",IFERROR(INDEX('Saisie'!$X$5:$X$2004,_xlfn.MAXIFS('Saisie'!$AS$5:$AS$2004,'Saisie'!$C$5:$C$2004,C456,'Saisie'!$X$5:$X$2004,"&lt;&gt;")-4),""))</f>
        <v/>
      </c>
      <c r="BC456" s="60">
        <f>IF(C456="","",IFERROR(INDEX('Saisie'!$Y$5:$Y$2004,_xlfn.MAXIFS('Saisie'!$AS$5:$AS$2004,'Saisie'!$C$5:$C$2004,C456,'Saisie'!$Y$5:$Y$2004,"&lt;&gt;")-4),""))</f>
        <v/>
      </c>
      <c r="BD456" s="106">
        <f>IF(C456="","",IFERROR(1/(1/_xlfn.MINIFS('Saisie'!$A$5:$A$2004,'Saisie'!$C$5:$C$2004,C456,'Saisie'!$AT$5:$AT$2004,"&gt;=2")),""))</f>
        <v/>
      </c>
      <c r="BE456" s="106">
        <f>IF(C456="","",IFERROR(1/(1/_xlfn.MINIFS('Saisie'!$A$5:$A$2004,'Saisie'!$C$5:$C$2004,C456,'Saisie'!$AT$5:$AT$2004,"&gt;=3")),""))</f>
        <v/>
      </c>
      <c r="BF456" s="106">
        <f>IF(C456="","",IFERROR(1/(1/_xlfn.MINIFS('Saisie'!$A$5:$A$2004,'Saisie'!$C$5:$C$2004,C456,'Saisie'!$AT$5:$AT$2004,"&gt;=4")),""))</f>
        <v/>
      </c>
      <c r="BG456" s="106">
        <f>IF(C456="","",IFERROR(1/(1/_xlfn.MINIFS('Saisie'!$A$5:$A$2004,'Saisie'!$C$5:$C$2004,C456,'Saisie'!$AT$5:$AT$2004,"&gt;=5")),""))</f>
        <v/>
      </c>
      <c r="BH456" s="106">
        <f>IF(C456="","",IFERROR(1/(1/_xlfn.MINIFS('Saisie'!$A$5:$A$2004,'Saisie'!$C$5:$C$2004,C456,'Saisie'!$AT$5:$AT$2004,"&gt;=6")),""))</f>
        <v/>
      </c>
      <c r="BI456" s="106">
        <f>IF(C456="","",IFERROR(1/(1/_xlfn.MINIFS('Saisie'!$A$5:$A$2004,'Saisie'!$C$5:$C$2004,C456,'Saisie'!$AT$5:$AT$2004,"&gt;=7")),""))</f>
        <v/>
      </c>
      <c r="BJ456" s="60">
        <f>IF(OR(BD456="",B456=""),"",BD456-B456)</f>
        <v/>
      </c>
      <c r="BK456" s="60">
        <f>IF(OR(BE456="",BD456=""),"",BE456-BD456)</f>
        <v/>
      </c>
      <c r="BL456" s="60">
        <f>IF(OR(BF456="",BE456=""),"",BF456-BE456)</f>
        <v/>
      </c>
      <c r="BM456" s="60">
        <f>IF(OR(BG456="",BF456=""),"",BG456-BF456)</f>
        <v/>
      </c>
      <c r="BN456" s="60">
        <f>IF(OR(BH456="",BG456=""),"",BH456-BG456)</f>
        <v/>
      </c>
      <c r="BO456" s="60">
        <f>IF(OR(BI456="",BH456=""),"",BI456-BH456)</f>
        <v/>
      </c>
      <c r="BP456" s="60">
        <f>IF(C456="","",_xlfn.MAXIFS('Saisie'!$AS$5:$AS$2004,'Saisie'!$C$5:$C$2004,C456,'Saisie'!$J$5:$J$2004,"&lt;&gt;"))</f>
        <v/>
      </c>
      <c r="BQ456" s="60">
        <f>IF(C456="","",_xlfn.MAXIFS('Saisie'!$AS$5:$AS$2004,'Saisie'!$C$5:$C$2004,C456))</f>
        <v/>
      </c>
      <c r="BR456" s="60">
        <f>IF(C456="","",_xlfn.MAXIFS('Saisie'!$AS$5:$AS$2004,'Saisie'!$C$5:$C$2004,C456,'Saisie'!$E$5:$E$2004,"Perdu"))</f>
        <v/>
      </c>
      <c r="BS456" s="60">
        <f>IF(C456="","",_xlfn.MAXIFS('Saisie'!$AS$5:$AS$2004,'Saisie'!$C$5:$C$2004,C456,'Saisie'!$AT$5:$AT$2004,"&gt;0"))</f>
        <v/>
      </c>
      <c r="BT456" s="109">
        <f>IF(AND(C456&lt;&gt;"",OR(D456="Nouveau",D456="Contacté",D456="Qualifié"),OR(G456="",N(G456)&lt;=TODAY()),NOT(AND(O456&gt;='Paramètres'!$B$21,P456=0))),E456+452/10000,"")</f>
        <v/>
      </c>
      <c r="BU456" s="60">
        <f>IF(AND(G456&lt;&gt;"",N(G456)&lt;=TODAY()),MAX($BU$4:BU455)+1,"")</f>
        <v/>
      </c>
      <c r="BV456" s="60">
        <f>IF(AND(F456&lt;&gt;"",F456&lt;&gt;"Relance en retard"),MAX($BV$4:BV455)+1,"")</f>
        <v/>
      </c>
      <c r="BW456" s="60">
        <f>IF(C456="","",IF(AND(B456&gt;='Tableau de bord'!$R$4,B456&lt;='Tableau de bord'!$S$4,OR('Tableau de bord'!$G$4="Tous",N456='Tableau de bord'!$G$4)),1,0))</f>
        <v/>
      </c>
      <c r="BX456" s="60">
        <f>IF(AND(C456&lt;&gt;"",N(BA456)=7),MAX($BX$4:BX455)+1,"")</f>
        <v/>
      </c>
    </row>
    <row r="457">
      <c r="A457" s="60">
        <f>IF(C457="","","P-"&amp;TEXT(453,"000"))</f>
        <v/>
      </c>
      <c r="B457" s="106">
        <f>IF(C457="","",IFERROR(1/(1/_xlfn.MINIFS('Saisie'!$A$5:$A$2004,'Saisie'!$C$5:$C$2004,C457)),""))</f>
        <v/>
      </c>
      <c r="C457" s="60">
        <f>IFERROR(INDEX('Saisie'!$C$5:$C$2004,MATCH(453,'Saisie'!$AX$5:$AX$2004,0)),"")</f>
        <v/>
      </c>
      <c r="D457" s="60">
        <f>IF(C457="","",IF(AND(BR457&gt;0,BR457&gt;BS457,BA457&lt;7),"Perdu",INDEX('Paramètres'!$F$6:$F$13,BA457)))</f>
        <v/>
      </c>
      <c r="E457" s="61">
        <f>IF(C457="","",MIN(100,(Z457="Oui")*'Paramètres'!$B$38+(AB457="Régulière")*'Paramètres'!$B$39+IF(AND(N(AA457)&gt;0,TODAY()-N(AA457)&lt;=30),'Paramètres'!$B$40,0)+(W457="")*'Paramètres'!$B$41+(AC457="Absente")*'Paramètres'!$B$42+(AC457="Faible")*'Paramètres'!$B$43+IF(AND(N(AD457)&gt;0,N(AD457)&lt;4),'Paramètres'!$B$44,0)+(AF457="Moyenne")*'Paramètres'!$B$45+(AF457="Grande")*'Paramètres'!$B$46+(Y457&lt;&gt;"")*'Paramètres'!$B$47))</f>
        <v/>
      </c>
      <c r="F457" s="60">
        <f>IF(C457="","",IF(D457="Gagné","",IF(D457="Perdu",IF(AND(AX457&lt;&gt;"",AX457&lt;=TODAY()),"À recontacter (perdu)",""),IF(AND(O457&gt;='Paramètres'!$B$21,P457=0),"Stop : "&amp;'Paramètres'!$B$21&amp;" tentatives sans réponse",IF(AND(D457="Proposition",AR457&lt;&gt;"",TODAY()&gt;N(AR457)),"Proposition expirée",IF(AND(D457="Proposition",N(R457)&gt;='Paramètres'!$B$25),"Proposition sans réponse",IF(AND(G457&lt;&gt;"",N(G457)&lt;TODAY()),"Relance en retard",IF(N(R457)&gt;='Paramètres'!$B$24,"Sans action depuis "&amp;R457&amp;" j",""))))))))</f>
        <v/>
      </c>
      <c r="G457" s="106">
        <f>IF(OR(C457="",D457="Gagné",D457="Perdu"),"",IF(AND(BP457&gt;0,BP457=BQ457),INDEX('Saisie'!$J$5:$J$2004,BP457-4),IF(OR(O457=0,AND(O457&gt;='Paramètres'!$B$21,P457=0)),"",Q457+IF(O457&lt;=1,'Paramètres'!$B$18,IF(O457=2,'Paramètres'!$B$19,'Paramètres'!$B$20)))))</f>
        <v/>
      </c>
      <c r="H457" s="107">
        <f>IF(OR(G457="",BP457&lt;&gt;BQ457),"",IF(INDEX('Saisie'!$K$5:$K$2004,BP457-4)="","",INDEX('Saisie'!$K$5:$K$2004,BP457-4)))</f>
        <v/>
      </c>
      <c r="I457" s="60">
        <f>IF(C457="","",IF(OR(D457="Gagné",D457="Perdu"),"",IFERROR(INDEX('Saisie'!$I$5:$I$2004,_xlfn.MAXIFS('Saisie'!$AS$5:$AS$2004,'Saisie'!$C$5:$C$2004,C457,'Saisie'!$I$5:$I$2004,"&lt;&gt;")-4),"")))</f>
        <v/>
      </c>
      <c r="J457" s="60">
        <f>IF(C457="","",IFERROR(INDEX('Saisie'!$U$5:$U$2004,_xlfn.MAXIFS('Saisie'!$AS$5:$AS$2004,'Saisie'!$C$5:$C$2004,C457,'Saisie'!$U$5:$U$2004,"&lt;&gt;")-4),""))</f>
        <v/>
      </c>
      <c r="K457" s="60">
        <f>IF(C457="","",IFERROR(INDEX('Saisie'!$W$5:$W$2004,_xlfn.MAXIFS('Saisie'!$AS$5:$AS$2004,'Saisie'!$C$5:$C$2004,C457,'Saisie'!$W$5:$W$2004,"&lt;&gt;")-4),""))</f>
        <v/>
      </c>
      <c r="L457" s="60">
        <f>IF(IF(BB457&lt;&gt;"",BB457,K457)="","",HYPERLINK("https://wa.me/"&amp;IF(LEFT(SUBSTITUTE(SUBSTITUTE(SUBSTITUTE(IF(BB457&lt;&gt;"",BB457,K457)," ",""),".",""),"+",""),1)="0",'Paramètres'!$B$35&amp;MID(SUBSTITUTE(SUBSTITUTE(SUBSTITUTE(IF(BB457&lt;&gt;"",BB457,K457)," ",""),".",""),"+",""),2,20),SUBSTITUTE(SUBSTITUTE(SUBSTITUTE(IF(BB457&lt;&gt;"",BB457,K457)," ",""),".",""),"+","")),"WhatsApp"))</f>
        <v/>
      </c>
      <c r="M457" s="60">
        <f>IF(BC457="","",HYPERLINK(IF(LEFT(BC457,4)="http",BC457,"https://www.instagram.com/"&amp;SUBSTITUTE(SUBSTITUTE(BC457,"@","")," ","")),BC457))</f>
        <v/>
      </c>
      <c r="N457" s="60">
        <f>IF(C457="","",IFERROR(INDEX('Saisie'!$D$5:$D$2004,_xlfn.MINIFS('Saisie'!$AS$5:$AS$2004,'Saisie'!$C$5:$C$2004,C457,'Saisie'!$AU$5:$AU$2004,1)-4),IFERROR(INDEX('Saisie'!$D$5:$D$2004,_xlfn.MINIFS('Saisie'!$AS$5:$AS$2004,'Saisie'!$C$5:$C$2004,C457,'Saisie'!$D$5:$D$2004,"&lt;&gt;")-4),"")))</f>
        <v/>
      </c>
      <c r="O457" s="60">
        <f>IF(C457="","",COUNTIFS('Saisie'!$C$5:$C$2004,C457,'Saisie'!$AU$5:$AU$2004,1))</f>
        <v/>
      </c>
      <c r="P457" s="60">
        <f>IF(C457="","",COUNTIFS('Saisie'!$C$5:$C$2004,C457,'Saisie'!$AV$5:$AV$2004,1))</f>
        <v/>
      </c>
      <c r="Q457" s="106">
        <f>IF(C457="","",IFERROR(1/(1/_xlfn.MAXIFS('Saisie'!$A$5:$A$2004,'Saisie'!$C$5:$C$2004,C457)),""))</f>
        <v/>
      </c>
      <c r="R457" s="61">
        <f>IF(C457="","",IF(Q457="","",TODAY()-Q457))</f>
        <v/>
      </c>
      <c r="S457" s="60">
        <f>IF(C457="","",IFERROR(INDEX('Saisie'!$R$5:$R$2004,_xlfn.MAXIFS('Saisie'!$AS$5:$AS$2004,'Saisie'!$C$5:$C$2004,C457,'Saisie'!$R$5:$R$2004,"&lt;&gt;")-4),""))</f>
        <v/>
      </c>
      <c r="T457" s="60">
        <f>IF(C457="","",IFERROR(INDEX('Saisie'!$S$5:$S$2004,_xlfn.MAXIFS('Saisie'!$AS$5:$AS$2004,'Saisie'!$C$5:$C$2004,C457,'Saisie'!$S$5:$S$2004,"&lt;&gt;")-4),""))</f>
        <v/>
      </c>
      <c r="U457" s="60">
        <f>IF(C457="","",IFERROR(INDEX('Saisie'!$T$5:$T$2004,_xlfn.MAXIFS('Saisie'!$AS$5:$AS$2004,'Saisie'!$C$5:$C$2004,C457,'Saisie'!$T$5:$T$2004,"&lt;&gt;")-4),""))</f>
        <v/>
      </c>
      <c r="V457" s="60">
        <f>IF(C457="","",IFERROR(INDEX('Saisie'!$V$5:$V$2004,_xlfn.MAXIFS('Saisie'!$AS$5:$AS$2004,'Saisie'!$C$5:$C$2004,C457,'Saisie'!$V$5:$V$2004,"&lt;&gt;")-4),""))</f>
        <v/>
      </c>
      <c r="W457" s="60">
        <f>IF(C457="","",IFERROR(INDEX('Saisie'!$Z$5:$Z$2004,_xlfn.MAXIFS('Saisie'!$AS$5:$AS$2004,'Saisie'!$C$5:$C$2004,C457,'Saisie'!$Z$5:$Z$2004,"&lt;&gt;")-4),""))</f>
        <v/>
      </c>
      <c r="X457" s="60">
        <f>IF(C457="","",IFERROR(INDEX('Saisie'!$AA$5:$AA$2004,_xlfn.MAXIFS('Saisie'!$AS$5:$AS$2004,'Saisie'!$C$5:$C$2004,C457,'Saisie'!$AA$5:$AA$2004,"&lt;&gt;")-4),""))</f>
        <v/>
      </c>
      <c r="Y457" s="60">
        <f>IF(C457="","",IFERROR(INDEX('Saisie'!$AB$5:$AB$2004,_xlfn.MAXIFS('Saisie'!$AS$5:$AS$2004,'Saisie'!$C$5:$C$2004,C457,'Saisie'!$AB$5:$AB$2004,"&lt;&gt;")-4),""))</f>
        <v/>
      </c>
      <c r="Z457" s="60">
        <f>IF(C457="","",IFERROR(INDEX('Saisie'!$AC$5:$AC$2004,_xlfn.MAXIFS('Saisie'!$AS$5:$AS$2004,'Saisie'!$C$5:$C$2004,C457,'Saisie'!$AC$5:$AC$2004,"&lt;&gt;")-4),""))</f>
        <v/>
      </c>
      <c r="AA457" s="106">
        <f>IF(C457="","",IFERROR(INDEX('Saisie'!$AD$5:$AD$2004,_xlfn.MAXIFS('Saisie'!$AS$5:$AS$2004,'Saisie'!$C$5:$C$2004,C457,'Saisie'!$AD$5:$AD$2004,"&lt;&gt;")-4),""))</f>
        <v/>
      </c>
      <c r="AB457" s="60">
        <f>IF(C457="","",IFERROR(INDEX('Saisie'!$AE$5:$AE$2004,_xlfn.MAXIFS('Saisie'!$AS$5:$AS$2004,'Saisie'!$C$5:$C$2004,C457,'Saisie'!$AE$5:$AE$2004,"&lt;&gt;")-4),""))</f>
        <v/>
      </c>
      <c r="AC457" s="60">
        <f>IF(C457="","",IFERROR(INDEX('Saisie'!$AF$5:$AF$2004,_xlfn.MAXIFS('Saisie'!$AS$5:$AS$2004,'Saisie'!$C$5:$C$2004,C457,'Saisie'!$AF$5:$AF$2004,"&lt;&gt;")-4),""))</f>
        <v/>
      </c>
      <c r="AD457" s="108">
        <f>IF(C457="","",IFERROR(INDEX('Saisie'!$AG$5:$AG$2004,_xlfn.MAXIFS('Saisie'!$AS$5:$AS$2004,'Saisie'!$C$5:$C$2004,C457,'Saisie'!$AG$5:$AG$2004,"&lt;&gt;")-4),""))</f>
        <v/>
      </c>
      <c r="AE457" s="60">
        <f>IF(C457="","",IFERROR(INDEX('Saisie'!$AH$5:$AH$2004,_xlfn.MAXIFS('Saisie'!$AS$5:$AS$2004,'Saisie'!$C$5:$C$2004,C457,'Saisie'!$AH$5:$AH$2004,"&lt;&gt;")-4),""))</f>
        <v/>
      </c>
      <c r="AF457" s="60">
        <f>IF(C457="","",IFERROR(INDEX('Saisie'!$AI$5:$AI$2004,_xlfn.MAXIFS('Saisie'!$AS$5:$AS$2004,'Saisie'!$C$5:$C$2004,C457,'Saisie'!$AI$5:$AI$2004,"&lt;&gt;")-4),""))</f>
        <v/>
      </c>
      <c r="AG457" s="60">
        <f>IF(C457="","",IFERROR(INDEX('Saisie'!$AJ$5:$AJ$2004,_xlfn.MAXIFS('Saisie'!$AS$5:$AS$2004,'Saisie'!$C$5:$C$2004,C457,'Saisie'!$AJ$5:$AJ$2004,"&lt;&gt;")-4),""))</f>
        <v/>
      </c>
      <c r="AH457" s="60">
        <f>IF(C457="","",IFERROR(INDEX('Saisie'!$AK$5:$AK$2004,_xlfn.MAXIFS('Saisie'!$AS$5:$AS$2004,'Saisie'!$C$5:$C$2004,C457,'Saisie'!$AK$5:$AK$2004,"&lt;&gt;")-4),""))</f>
        <v/>
      </c>
      <c r="AI457" s="60">
        <f>IF(C457="","",IFERROR(INDEX('Saisie'!$AN$5:$AN$2004,_xlfn.MAXIFS('Saisie'!$AS$5:$AS$2004,'Saisie'!$C$5:$C$2004,C457,'Saisie'!$AN$5:$AN$2004,"&lt;&gt;")-4),""))</f>
        <v/>
      </c>
      <c r="AJ457" s="60">
        <f>IF(C457="","",IFERROR(INDEX('Saisie'!$AO$5:$AO$2004,_xlfn.MAXIFS('Saisie'!$AS$5:$AS$2004,'Saisie'!$C$5:$C$2004,C457,'Saisie'!$AO$5:$AO$2004,"&lt;&gt;")-4),""))</f>
        <v/>
      </c>
      <c r="AK457" s="60">
        <f>IF(C457="","",IFERROR(INDEX('Saisie'!$AP$5:$AP$2004,_xlfn.MAXIFS('Saisie'!$AS$5:$AS$2004,'Saisie'!$C$5:$C$2004,C457,'Saisie'!$AP$5:$AP$2004,"&lt;&gt;")-4),""))</f>
        <v/>
      </c>
      <c r="AL457" s="60">
        <f>IF(C457="","",IFERROR(INDEX('Saisie'!$AQ$5:$AQ$2004,_xlfn.MAXIFS('Saisie'!$AS$5:$AS$2004,'Saisie'!$C$5:$C$2004,C457,'Saisie'!$AQ$5:$AQ$2004,"&lt;&gt;")-4),""))</f>
        <v/>
      </c>
      <c r="AM457" s="60">
        <f>IF(C457="","",((AI457="Oui")+(AJ457="Oui")+(AK457="Oui")+OR(AL457="Immédiat",AL457="&lt; 1 mois"))&amp;"/4")</f>
        <v/>
      </c>
      <c r="AN457" s="60">
        <f>IF(C457="","",IFERROR(INDEX('Saisie'!$AL$5:$AL$2004,_xlfn.MAXIFS('Saisie'!$AS$5:$AS$2004,'Saisie'!$C$5:$C$2004,C457,'Saisie'!$AL$5:$AL$2004,"&lt;&gt;")-4),""))</f>
        <v/>
      </c>
      <c r="AO457" s="62">
        <f>IF(C457="","",IF(IFERROR(INDEX('Saisie'!$AM$5:$AM$2004,_xlfn.MAXIFS('Saisie'!$AS$5:$AS$2004,'Saisie'!$C$5:$C$2004,C457,'Saisie'!$AM$5:$AM$2004,"&lt;&gt;")-4),"")&lt;&gt;"",IFERROR(INDEX('Saisie'!$AM$5:$AM$2004,_xlfn.MAXIFS('Saisie'!$AS$5:$AS$2004,'Saisie'!$C$5:$C$2004,C457,'Saisie'!$AM$5:$AM$2004,"&lt;&gt;")-4),""),IFERROR(INDEX('Paramètres'!$S$6:$S$15,MATCH(AN457,'Paramètres'!$Q$6:$Q$15,0)),"")))</f>
        <v/>
      </c>
      <c r="AP457" s="62">
        <f>IF(C457="","",IFERROR(INDEX('Saisie'!$AW$5:$AW$2004,_xlfn.MAXIFS('Saisie'!$AS$5:$AS$2004,'Saisie'!$C$5:$C$2004,C457,'Saisie'!$E$5:$E$2004,"Proposition envoyée")-4),""))</f>
        <v/>
      </c>
      <c r="AQ457" s="106">
        <f>IF(C457="","",IFERROR(1/(1/_xlfn.MAXIFS('Saisie'!$A$5:$A$2004,'Saisie'!$C$5:$C$2004,C457,'Saisie'!$E$5:$E$2004,"Proposition envoyée")),""))</f>
        <v/>
      </c>
      <c r="AR457" s="106">
        <f>IF(C457="","",IF(AQ457="","",AQ457+'Paramètres'!$B$26))</f>
        <v/>
      </c>
      <c r="AS457" s="62">
        <f>IF(OR(C457="",D457="Gagné",D457="Perdu"),0,N(AP457)*IFERROR(INDEX('Paramètres'!$G$6:$G$13,MATCH(D457,'Paramètres'!$F$6:$F$13,0)),0))</f>
        <v/>
      </c>
      <c r="AT457" s="106">
        <f>IF(C457="","",IFERROR(1/(1/_xlfn.MINIFS('Saisie'!$A$5:$A$2004,'Saisie'!$C$5:$C$2004,C457,'Saisie'!$E$5:$E$2004,"Signature")),""))</f>
        <v/>
      </c>
      <c r="AU457" s="60">
        <f>IF(C457="","",IF(OR(AT457="",B457=""),"",AT457-B457))</f>
        <v/>
      </c>
      <c r="AV457" s="60">
        <f>IF(C457="","",IFERROR(INDEX('Saisie'!$L$5:$L$2004,_xlfn.MAXIFS('Saisie'!$AS$5:$AS$2004,'Saisie'!$C$5:$C$2004,C457,'Saisie'!$L$5:$L$2004,"&lt;&gt;")-4),""))</f>
        <v/>
      </c>
      <c r="AW457" s="106">
        <f>IF(C457="","",IF(D457&lt;&gt;"Perdu","",IFERROR(1/(1/_xlfn.MAXIFS('Saisie'!$A$5:$A$2004,'Saisie'!$C$5:$C$2004,C457,'Saisie'!$E$5:$E$2004,"Perdu")),"")))</f>
        <v/>
      </c>
      <c r="AX457" s="106">
        <f>IF(C457="","",IF(AW457="","",AW457+'Paramètres'!$B$28))</f>
        <v/>
      </c>
      <c r="AY457" s="60">
        <f>IF(C457="","",SUMIFS('Saisie'!$H$5:$H$2004,'Saisie'!$C$5:$C$2004,C457))</f>
        <v/>
      </c>
      <c r="AZ457" s="60">
        <f>IF(C457="","",IFERROR(INDEX('Paramètres'!$W$6:$W$20,MATCH(S457,'Paramètres'!$V$6:$V$20,0))&amp;"",""))</f>
        <v/>
      </c>
      <c r="BA457" s="60">
        <f>IF(C457="","",MAX(1,_xlfn.MAXIFS('Saisie'!$AT$5:$AT$2004,'Saisie'!$C$5:$C$2004,C457)))</f>
        <v/>
      </c>
      <c r="BB457" s="60">
        <f>IF(C457="","",IFERROR(INDEX('Saisie'!$X$5:$X$2004,_xlfn.MAXIFS('Saisie'!$AS$5:$AS$2004,'Saisie'!$C$5:$C$2004,C457,'Saisie'!$X$5:$X$2004,"&lt;&gt;")-4),""))</f>
        <v/>
      </c>
      <c r="BC457" s="60">
        <f>IF(C457="","",IFERROR(INDEX('Saisie'!$Y$5:$Y$2004,_xlfn.MAXIFS('Saisie'!$AS$5:$AS$2004,'Saisie'!$C$5:$C$2004,C457,'Saisie'!$Y$5:$Y$2004,"&lt;&gt;")-4),""))</f>
        <v/>
      </c>
      <c r="BD457" s="106">
        <f>IF(C457="","",IFERROR(1/(1/_xlfn.MINIFS('Saisie'!$A$5:$A$2004,'Saisie'!$C$5:$C$2004,C457,'Saisie'!$AT$5:$AT$2004,"&gt;=2")),""))</f>
        <v/>
      </c>
      <c r="BE457" s="106">
        <f>IF(C457="","",IFERROR(1/(1/_xlfn.MINIFS('Saisie'!$A$5:$A$2004,'Saisie'!$C$5:$C$2004,C457,'Saisie'!$AT$5:$AT$2004,"&gt;=3")),""))</f>
        <v/>
      </c>
      <c r="BF457" s="106">
        <f>IF(C457="","",IFERROR(1/(1/_xlfn.MINIFS('Saisie'!$A$5:$A$2004,'Saisie'!$C$5:$C$2004,C457,'Saisie'!$AT$5:$AT$2004,"&gt;=4")),""))</f>
        <v/>
      </c>
      <c r="BG457" s="106">
        <f>IF(C457="","",IFERROR(1/(1/_xlfn.MINIFS('Saisie'!$A$5:$A$2004,'Saisie'!$C$5:$C$2004,C457,'Saisie'!$AT$5:$AT$2004,"&gt;=5")),""))</f>
        <v/>
      </c>
      <c r="BH457" s="106">
        <f>IF(C457="","",IFERROR(1/(1/_xlfn.MINIFS('Saisie'!$A$5:$A$2004,'Saisie'!$C$5:$C$2004,C457,'Saisie'!$AT$5:$AT$2004,"&gt;=6")),""))</f>
        <v/>
      </c>
      <c r="BI457" s="106">
        <f>IF(C457="","",IFERROR(1/(1/_xlfn.MINIFS('Saisie'!$A$5:$A$2004,'Saisie'!$C$5:$C$2004,C457,'Saisie'!$AT$5:$AT$2004,"&gt;=7")),""))</f>
        <v/>
      </c>
      <c r="BJ457" s="60">
        <f>IF(OR(BD457="",B457=""),"",BD457-B457)</f>
        <v/>
      </c>
      <c r="BK457" s="60">
        <f>IF(OR(BE457="",BD457=""),"",BE457-BD457)</f>
        <v/>
      </c>
      <c r="BL457" s="60">
        <f>IF(OR(BF457="",BE457=""),"",BF457-BE457)</f>
        <v/>
      </c>
      <c r="BM457" s="60">
        <f>IF(OR(BG457="",BF457=""),"",BG457-BF457)</f>
        <v/>
      </c>
      <c r="BN457" s="60">
        <f>IF(OR(BH457="",BG457=""),"",BH457-BG457)</f>
        <v/>
      </c>
      <c r="BO457" s="60">
        <f>IF(OR(BI457="",BH457=""),"",BI457-BH457)</f>
        <v/>
      </c>
      <c r="BP457" s="60">
        <f>IF(C457="","",_xlfn.MAXIFS('Saisie'!$AS$5:$AS$2004,'Saisie'!$C$5:$C$2004,C457,'Saisie'!$J$5:$J$2004,"&lt;&gt;"))</f>
        <v/>
      </c>
      <c r="BQ457" s="60">
        <f>IF(C457="","",_xlfn.MAXIFS('Saisie'!$AS$5:$AS$2004,'Saisie'!$C$5:$C$2004,C457))</f>
        <v/>
      </c>
      <c r="BR457" s="60">
        <f>IF(C457="","",_xlfn.MAXIFS('Saisie'!$AS$5:$AS$2004,'Saisie'!$C$5:$C$2004,C457,'Saisie'!$E$5:$E$2004,"Perdu"))</f>
        <v/>
      </c>
      <c r="BS457" s="60">
        <f>IF(C457="","",_xlfn.MAXIFS('Saisie'!$AS$5:$AS$2004,'Saisie'!$C$5:$C$2004,C457,'Saisie'!$AT$5:$AT$2004,"&gt;0"))</f>
        <v/>
      </c>
      <c r="BT457" s="109">
        <f>IF(AND(C457&lt;&gt;"",OR(D457="Nouveau",D457="Contacté",D457="Qualifié"),OR(G457="",N(G457)&lt;=TODAY()),NOT(AND(O457&gt;='Paramètres'!$B$21,P457=0))),E457+453/10000,"")</f>
        <v/>
      </c>
      <c r="BU457" s="60">
        <f>IF(AND(G457&lt;&gt;"",N(G457)&lt;=TODAY()),MAX($BU$4:BU456)+1,"")</f>
        <v/>
      </c>
      <c r="BV457" s="60">
        <f>IF(AND(F457&lt;&gt;"",F457&lt;&gt;"Relance en retard"),MAX($BV$4:BV456)+1,"")</f>
        <v/>
      </c>
      <c r="BW457" s="60">
        <f>IF(C457="","",IF(AND(B457&gt;='Tableau de bord'!$R$4,B457&lt;='Tableau de bord'!$S$4,OR('Tableau de bord'!$G$4="Tous",N457='Tableau de bord'!$G$4)),1,0))</f>
        <v/>
      </c>
      <c r="BX457" s="60">
        <f>IF(AND(C457&lt;&gt;"",N(BA457)=7),MAX($BX$4:BX456)+1,"")</f>
        <v/>
      </c>
    </row>
    <row r="458">
      <c r="A458" s="60">
        <f>IF(C458="","","P-"&amp;TEXT(454,"000"))</f>
        <v/>
      </c>
      <c r="B458" s="106">
        <f>IF(C458="","",IFERROR(1/(1/_xlfn.MINIFS('Saisie'!$A$5:$A$2004,'Saisie'!$C$5:$C$2004,C458)),""))</f>
        <v/>
      </c>
      <c r="C458" s="60">
        <f>IFERROR(INDEX('Saisie'!$C$5:$C$2004,MATCH(454,'Saisie'!$AX$5:$AX$2004,0)),"")</f>
        <v/>
      </c>
      <c r="D458" s="60">
        <f>IF(C458="","",IF(AND(BR458&gt;0,BR458&gt;BS458,BA458&lt;7),"Perdu",INDEX('Paramètres'!$F$6:$F$13,BA458)))</f>
        <v/>
      </c>
      <c r="E458" s="61">
        <f>IF(C458="","",MIN(100,(Z458="Oui")*'Paramètres'!$B$38+(AB458="Régulière")*'Paramètres'!$B$39+IF(AND(N(AA458)&gt;0,TODAY()-N(AA458)&lt;=30),'Paramètres'!$B$40,0)+(W458="")*'Paramètres'!$B$41+(AC458="Absente")*'Paramètres'!$B$42+(AC458="Faible")*'Paramètres'!$B$43+IF(AND(N(AD458)&gt;0,N(AD458)&lt;4),'Paramètres'!$B$44,0)+(AF458="Moyenne")*'Paramètres'!$B$45+(AF458="Grande")*'Paramètres'!$B$46+(Y458&lt;&gt;"")*'Paramètres'!$B$47))</f>
        <v/>
      </c>
      <c r="F458" s="60">
        <f>IF(C458="","",IF(D458="Gagné","",IF(D458="Perdu",IF(AND(AX458&lt;&gt;"",AX458&lt;=TODAY()),"À recontacter (perdu)",""),IF(AND(O458&gt;='Paramètres'!$B$21,P458=0),"Stop : "&amp;'Paramètres'!$B$21&amp;" tentatives sans réponse",IF(AND(D458="Proposition",AR458&lt;&gt;"",TODAY()&gt;N(AR458)),"Proposition expirée",IF(AND(D458="Proposition",N(R458)&gt;='Paramètres'!$B$25),"Proposition sans réponse",IF(AND(G458&lt;&gt;"",N(G458)&lt;TODAY()),"Relance en retard",IF(N(R458)&gt;='Paramètres'!$B$24,"Sans action depuis "&amp;R458&amp;" j",""))))))))</f>
        <v/>
      </c>
      <c r="G458" s="106">
        <f>IF(OR(C458="",D458="Gagné",D458="Perdu"),"",IF(AND(BP458&gt;0,BP458=BQ458),INDEX('Saisie'!$J$5:$J$2004,BP458-4),IF(OR(O458=0,AND(O458&gt;='Paramètres'!$B$21,P458=0)),"",Q458+IF(O458&lt;=1,'Paramètres'!$B$18,IF(O458=2,'Paramètres'!$B$19,'Paramètres'!$B$20)))))</f>
        <v/>
      </c>
      <c r="H458" s="107">
        <f>IF(OR(G458="",BP458&lt;&gt;BQ458),"",IF(INDEX('Saisie'!$K$5:$K$2004,BP458-4)="","",INDEX('Saisie'!$K$5:$K$2004,BP458-4)))</f>
        <v/>
      </c>
      <c r="I458" s="60">
        <f>IF(C458="","",IF(OR(D458="Gagné",D458="Perdu"),"",IFERROR(INDEX('Saisie'!$I$5:$I$2004,_xlfn.MAXIFS('Saisie'!$AS$5:$AS$2004,'Saisie'!$C$5:$C$2004,C458,'Saisie'!$I$5:$I$2004,"&lt;&gt;")-4),"")))</f>
        <v/>
      </c>
      <c r="J458" s="60">
        <f>IF(C458="","",IFERROR(INDEX('Saisie'!$U$5:$U$2004,_xlfn.MAXIFS('Saisie'!$AS$5:$AS$2004,'Saisie'!$C$5:$C$2004,C458,'Saisie'!$U$5:$U$2004,"&lt;&gt;")-4),""))</f>
        <v/>
      </c>
      <c r="K458" s="60">
        <f>IF(C458="","",IFERROR(INDEX('Saisie'!$W$5:$W$2004,_xlfn.MAXIFS('Saisie'!$AS$5:$AS$2004,'Saisie'!$C$5:$C$2004,C458,'Saisie'!$W$5:$W$2004,"&lt;&gt;")-4),""))</f>
        <v/>
      </c>
      <c r="L458" s="60">
        <f>IF(IF(BB458&lt;&gt;"",BB458,K458)="","",HYPERLINK("https://wa.me/"&amp;IF(LEFT(SUBSTITUTE(SUBSTITUTE(SUBSTITUTE(IF(BB458&lt;&gt;"",BB458,K458)," ",""),".",""),"+",""),1)="0",'Paramètres'!$B$35&amp;MID(SUBSTITUTE(SUBSTITUTE(SUBSTITUTE(IF(BB458&lt;&gt;"",BB458,K458)," ",""),".",""),"+",""),2,20),SUBSTITUTE(SUBSTITUTE(SUBSTITUTE(IF(BB458&lt;&gt;"",BB458,K458)," ",""),".",""),"+","")),"WhatsApp"))</f>
        <v/>
      </c>
      <c r="M458" s="60">
        <f>IF(BC458="","",HYPERLINK(IF(LEFT(BC458,4)="http",BC458,"https://www.instagram.com/"&amp;SUBSTITUTE(SUBSTITUTE(BC458,"@","")," ","")),BC458))</f>
        <v/>
      </c>
      <c r="N458" s="60">
        <f>IF(C458="","",IFERROR(INDEX('Saisie'!$D$5:$D$2004,_xlfn.MINIFS('Saisie'!$AS$5:$AS$2004,'Saisie'!$C$5:$C$2004,C458,'Saisie'!$AU$5:$AU$2004,1)-4),IFERROR(INDEX('Saisie'!$D$5:$D$2004,_xlfn.MINIFS('Saisie'!$AS$5:$AS$2004,'Saisie'!$C$5:$C$2004,C458,'Saisie'!$D$5:$D$2004,"&lt;&gt;")-4),"")))</f>
        <v/>
      </c>
      <c r="O458" s="60">
        <f>IF(C458="","",COUNTIFS('Saisie'!$C$5:$C$2004,C458,'Saisie'!$AU$5:$AU$2004,1))</f>
        <v/>
      </c>
      <c r="P458" s="60">
        <f>IF(C458="","",COUNTIFS('Saisie'!$C$5:$C$2004,C458,'Saisie'!$AV$5:$AV$2004,1))</f>
        <v/>
      </c>
      <c r="Q458" s="106">
        <f>IF(C458="","",IFERROR(1/(1/_xlfn.MAXIFS('Saisie'!$A$5:$A$2004,'Saisie'!$C$5:$C$2004,C458)),""))</f>
        <v/>
      </c>
      <c r="R458" s="61">
        <f>IF(C458="","",IF(Q458="","",TODAY()-Q458))</f>
        <v/>
      </c>
      <c r="S458" s="60">
        <f>IF(C458="","",IFERROR(INDEX('Saisie'!$R$5:$R$2004,_xlfn.MAXIFS('Saisie'!$AS$5:$AS$2004,'Saisie'!$C$5:$C$2004,C458,'Saisie'!$R$5:$R$2004,"&lt;&gt;")-4),""))</f>
        <v/>
      </c>
      <c r="T458" s="60">
        <f>IF(C458="","",IFERROR(INDEX('Saisie'!$S$5:$S$2004,_xlfn.MAXIFS('Saisie'!$AS$5:$AS$2004,'Saisie'!$C$5:$C$2004,C458,'Saisie'!$S$5:$S$2004,"&lt;&gt;")-4),""))</f>
        <v/>
      </c>
      <c r="U458" s="60">
        <f>IF(C458="","",IFERROR(INDEX('Saisie'!$T$5:$T$2004,_xlfn.MAXIFS('Saisie'!$AS$5:$AS$2004,'Saisie'!$C$5:$C$2004,C458,'Saisie'!$T$5:$T$2004,"&lt;&gt;")-4),""))</f>
        <v/>
      </c>
      <c r="V458" s="60">
        <f>IF(C458="","",IFERROR(INDEX('Saisie'!$V$5:$V$2004,_xlfn.MAXIFS('Saisie'!$AS$5:$AS$2004,'Saisie'!$C$5:$C$2004,C458,'Saisie'!$V$5:$V$2004,"&lt;&gt;")-4),""))</f>
        <v/>
      </c>
      <c r="W458" s="60">
        <f>IF(C458="","",IFERROR(INDEX('Saisie'!$Z$5:$Z$2004,_xlfn.MAXIFS('Saisie'!$AS$5:$AS$2004,'Saisie'!$C$5:$C$2004,C458,'Saisie'!$Z$5:$Z$2004,"&lt;&gt;")-4),""))</f>
        <v/>
      </c>
      <c r="X458" s="60">
        <f>IF(C458="","",IFERROR(INDEX('Saisie'!$AA$5:$AA$2004,_xlfn.MAXIFS('Saisie'!$AS$5:$AS$2004,'Saisie'!$C$5:$C$2004,C458,'Saisie'!$AA$5:$AA$2004,"&lt;&gt;")-4),""))</f>
        <v/>
      </c>
      <c r="Y458" s="60">
        <f>IF(C458="","",IFERROR(INDEX('Saisie'!$AB$5:$AB$2004,_xlfn.MAXIFS('Saisie'!$AS$5:$AS$2004,'Saisie'!$C$5:$C$2004,C458,'Saisie'!$AB$5:$AB$2004,"&lt;&gt;")-4),""))</f>
        <v/>
      </c>
      <c r="Z458" s="60">
        <f>IF(C458="","",IFERROR(INDEX('Saisie'!$AC$5:$AC$2004,_xlfn.MAXIFS('Saisie'!$AS$5:$AS$2004,'Saisie'!$C$5:$C$2004,C458,'Saisie'!$AC$5:$AC$2004,"&lt;&gt;")-4),""))</f>
        <v/>
      </c>
      <c r="AA458" s="106">
        <f>IF(C458="","",IFERROR(INDEX('Saisie'!$AD$5:$AD$2004,_xlfn.MAXIFS('Saisie'!$AS$5:$AS$2004,'Saisie'!$C$5:$C$2004,C458,'Saisie'!$AD$5:$AD$2004,"&lt;&gt;")-4),""))</f>
        <v/>
      </c>
      <c r="AB458" s="60">
        <f>IF(C458="","",IFERROR(INDEX('Saisie'!$AE$5:$AE$2004,_xlfn.MAXIFS('Saisie'!$AS$5:$AS$2004,'Saisie'!$C$5:$C$2004,C458,'Saisie'!$AE$5:$AE$2004,"&lt;&gt;")-4),""))</f>
        <v/>
      </c>
      <c r="AC458" s="60">
        <f>IF(C458="","",IFERROR(INDEX('Saisie'!$AF$5:$AF$2004,_xlfn.MAXIFS('Saisie'!$AS$5:$AS$2004,'Saisie'!$C$5:$C$2004,C458,'Saisie'!$AF$5:$AF$2004,"&lt;&gt;")-4),""))</f>
        <v/>
      </c>
      <c r="AD458" s="108">
        <f>IF(C458="","",IFERROR(INDEX('Saisie'!$AG$5:$AG$2004,_xlfn.MAXIFS('Saisie'!$AS$5:$AS$2004,'Saisie'!$C$5:$C$2004,C458,'Saisie'!$AG$5:$AG$2004,"&lt;&gt;")-4),""))</f>
        <v/>
      </c>
      <c r="AE458" s="60">
        <f>IF(C458="","",IFERROR(INDEX('Saisie'!$AH$5:$AH$2004,_xlfn.MAXIFS('Saisie'!$AS$5:$AS$2004,'Saisie'!$C$5:$C$2004,C458,'Saisie'!$AH$5:$AH$2004,"&lt;&gt;")-4),""))</f>
        <v/>
      </c>
      <c r="AF458" s="60">
        <f>IF(C458="","",IFERROR(INDEX('Saisie'!$AI$5:$AI$2004,_xlfn.MAXIFS('Saisie'!$AS$5:$AS$2004,'Saisie'!$C$5:$C$2004,C458,'Saisie'!$AI$5:$AI$2004,"&lt;&gt;")-4),""))</f>
        <v/>
      </c>
      <c r="AG458" s="60">
        <f>IF(C458="","",IFERROR(INDEX('Saisie'!$AJ$5:$AJ$2004,_xlfn.MAXIFS('Saisie'!$AS$5:$AS$2004,'Saisie'!$C$5:$C$2004,C458,'Saisie'!$AJ$5:$AJ$2004,"&lt;&gt;")-4),""))</f>
        <v/>
      </c>
      <c r="AH458" s="60">
        <f>IF(C458="","",IFERROR(INDEX('Saisie'!$AK$5:$AK$2004,_xlfn.MAXIFS('Saisie'!$AS$5:$AS$2004,'Saisie'!$C$5:$C$2004,C458,'Saisie'!$AK$5:$AK$2004,"&lt;&gt;")-4),""))</f>
        <v/>
      </c>
      <c r="AI458" s="60">
        <f>IF(C458="","",IFERROR(INDEX('Saisie'!$AN$5:$AN$2004,_xlfn.MAXIFS('Saisie'!$AS$5:$AS$2004,'Saisie'!$C$5:$C$2004,C458,'Saisie'!$AN$5:$AN$2004,"&lt;&gt;")-4),""))</f>
        <v/>
      </c>
      <c r="AJ458" s="60">
        <f>IF(C458="","",IFERROR(INDEX('Saisie'!$AO$5:$AO$2004,_xlfn.MAXIFS('Saisie'!$AS$5:$AS$2004,'Saisie'!$C$5:$C$2004,C458,'Saisie'!$AO$5:$AO$2004,"&lt;&gt;")-4),""))</f>
        <v/>
      </c>
      <c r="AK458" s="60">
        <f>IF(C458="","",IFERROR(INDEX('Saisie'!$AP$5:$AP$2004,_xlfn.MAXIFS('Saisie'!$AS$5:$AS$2004,'Saisie'!$C$5:$C$2004,C458,'Saisie'!$AP$5:$AP$2004,"&lt;&gt;")-4),""))</f>
        <v/>
      </c>
      <c r="AL458" s="60">
        <f>IF(C458="","",IFERROR(INDEX('Saisie'!$AQ$5:$AQ$2004,_xlfn.MAXIFS('Saisie'!$AS$5:$AS$2004,'Saisie'!$C$5:$C$2004,C458,'Saisie'!$AQ$5:$AQ$2004,"&lt;&gt;")-4),""))</f>
        <v/>
      </c>
      <c r="AM458" s="60">
        <f>IF(C458="","",((AI458="Oui")+(AJ458="Oui")+(AK458="Oui")+OR(AL458="Immédiat",AL458="&lt; 1 mois"))&amp;"/4")</f>
        <v/>
      </c>
      <c r="AN458" s="60">
        <f>IF(C458="","",IFERROR(INDEX('Saisie'!$AL$5:$AL$2004,_xlfn.MAXIFS('Saisie'!$AS$5:$AS$2004,'Saisie'!$C$5:$C$2004,C458,'Saisie'!$AL$5:$AL$2004,"&lt;&gt;")-4),""))</f>
        <v/>
      </c>
      <c r="AO458" s="62">
        <f>IF(C458="","",IF(IFERROR(INDEX('Saisie'!$AM$5:$AM$2004,_xlfn.MAXIFS('Saisie'!$AS$5:$AS$2004,'Saisie'!$C$5:$C$2004,C458,'Saisie'!$AM$5:$AM$2004,"&lt;&gt;")-4),"")&lt;&gt;"",IFERROR(INDEX('Saisie'!$AM$5:$AM$2004,_xlfn.MAXIFS('Saisie'!$AS$5:$AS$2004,'Saisie'!$C$5:$C$2004,C458,'Saisie'!$AM$5:$AM$2004,"&lt;&gt;")-4),""),IFERROR(INDEX('Paramètres'!$S$6:$S$15,MATCH(AN458,'Paramètres'!$Q$6:$Q$15,0)),"")))</f>
        <v/>
      </c>
      <c r="AP458" s="62">
        <f>IF(C458="","",IFERROR(INDEX('Saisie'!$AW$5:$AW$2004,_xlfn.MAXIFS('Saisie'!$AS$5:$AS$2004,'Saisie'!$C$5:$C$2004,C458,'Saisie'!$E$5:$E$2004,"Proposition envoyée")-4),""))</f>
        <v/>
      </c>
      <c r="AQ458" s="106">
        <f>IF(C458="","",IFERROR(1/(1/_xlfn.MAXIFS('Saisie'!$A$5:$A$2004,'Saisie'!$C$5:$C$2004,C458,'Saisie'!$E$5:$E$2004,"Proposition envoyée")),""))</f>
        <v/>
      </c>
      <c r="AR458" s="106">
        <f>IF(C458="","",IF(AQ458="","",AQ458+'Paramètres'!$B$26))</f>
        <v/>
      </c>
      <c r="AS458" s="62">
        <f>IF(OR(C458="",D458="Gagné",D458="Perdu"),0,N(AP458)*IFERROR(INDEX('Paramètres'!$G$6:$G$13,MATCH(D458,'Paramètres'!$F$6:$F$13,0)),0))</f>
        <v/>
      </c>
      <c r="AT458" s="106">
        <f>IF(C458="","",IFERROR(1/(1/_xlfn.MINIFS('Saisie'!$A$5:$A$2004,'Saisie'!$C$5:$C$2004,C458,'Saisie'!$E$5:$E$2004,"Signature")),""))</f>
        <v/>
      </c>
      <c r="AU458" s="60">
        <f>IF(C458="","",IF(OR(AT458="",B458=""),"",AT458-B458))</f>
        <v/>
      </c>
      <c r="AV458" s="60">
        <f>IF(C458="","",IFERROR(INDEX('Saisie'!$L$5:$L$2004,_xlfn.MAXIFS('Saisie'!$AS$5:$AS$2004,'Saisie'!$C$5:$C$2004,C458,'Saisie'!$L$5:$L$2004,"&lt;&gt;")-4),""))</f>
        <v/>
      </c>
      <c r="AW458" s="106">
        <f>IF(C458="","",IF(D458&lt;&gt;"Perdu","",IFERROR(1/(1/_xlfn.MAXIFS('Saisie'!$A$5:$A$2004,'Saisie'!$C$5:$C$2004,C458,'Saisie'!$E$5:$E$2004,"Perdu")),"")))</f>
        <v/>
      </c>
      <c r="AX458" s="106">
        <f>IF(C458="","",IF(AW458="","",AW458+'Paramètres'!$B$28))</f>
        <v/>
      </c>
      <c r="AY458" s="60">
        <f>IF(C458="","",SUMIFS('Saisie'!$H$5:$H$2004,'Saisie'!$C$5:$C$2004,C458))</f>
        <v/>
      </c>
      <c r="AZ458" s="60">
        <f>IF(C458="","",IFERROR(INDEX('Paramètres'!$W$6:$W$20,MATCH(S458,'Paramètres'!$V$6:$V$20,0))&amp;"",""))</f>
        <v/>
      </c>
      <c r="BA458" s="60">
        <f>IF(C458="","",MAX(1,_xlfn.MAXIFS('Saisie'!$AT$5:$AT$2004,'Saisie'!$C$5:$C$2004,C458)))</f>
        <v/>
      </c>
      <c r="BB458" s="60">
        <f>IF(C458="","",IFERROR(INDEX('Saisie'!$X$5:$X$2004,_xlfn.MAXIFS('Saisie'!$AS$5:$AS$2004,'Saisie'!$C$5:$C$2004,C458,'Saisie'!$X$5:$X$2004,"&lt;&gt;")-4),""))</f>
        <v/>
      </c>
      <c r="BC458" s="60">
        <f>IF(C458="","",IFERROR(INDEX('Saisie'!$Y$5:$Y$2004,_xlfn.MAXIFS('Saisie'!$AS$5:$AS$2004,'Saisie'!$C$5:$C$2004,C458,'Saisie'!$Y$5:$Y$2004,"&lt;&gt;")-4),""))</f>
        <v/>
      </c>
      <c r="BD458" s="106">
        <f>IF(C458="","",IFERROR(1/(1/_xlfn.MINIFS('Saisie'!$A$5:$A$2004,'Saisie'!$C$5:$C$2004,C458,'Saisie'!$AT$5:$AT$2004,"&gt;=2")),""))</f>
        <v/>
      </c>
      <c r="BE458" s="106">
        <f>IF(C458="","",IFERROR(1/(1/_xlfn.MINIFS('Saisie'!$A$5:$A$2004,'Saisie'!$C$5:$C$2004,C458,'Saisie'!$AT$5:$AT$2004,"&gt;=3")),""))</f>
        <v/>
      </c>
      <c r="BF458" s="106">
        <f>IF(C458="","",IFERROR(1/(1/_xlfn.MINIFS('Saisie'!$A$5:$A$2004,'Saisie'!$C$5:$C$2004,C458,'Saisie'!$AT$5:$AT$2004,"&gt;=4")),""))</f>
        <v/>
      </c>
      <c r="BG458" s="106">
        <f>IF(C458="","",IFERROR(1/(1/_xlfn.MINIFS('Saisie'!$A$5:$A$2004,'Saisie'!$C$5:$C$2004,C458,'Saisie'!$AT$5:$AT$2004,"&gt;=5")),""))</f>
        <v/>
      </c>
      <c r="BH458" s="106">
        <f>IF(C458="","",IFERROR(1/(1/_xlfn.MINIFS('Saisie'!$A$5:$A$2004,'Saisie'!$C$5:$C$2004,C458,'Saisie'!$AT$5:$AT$2004,"&gt;=6")),""))</f>
        <v/>
      </c>
      <c r="BI458" s="106">
        <f>IF(C458="","",IFERROR(1/(1/_xlfn.MINIFS('Saisie'!$A$5:$A$2004,'Saisie'!$C$5:$C$2004,C458,'Saisie'!$AT$5:$AT$2004,"&gt;=7")),""))</f>
        <v/>
      </c>
      <c r="BJ458" s="60">
        <f>IF(OR(BD458="",B458=""),"",BD458-B458)</f>
        <v/>
      </c>
      <c r="BK458" s="60">
        <f>IF(OR(BE458="",BD458=""),"",BE458-BD458)</f>
        <v/>
      </c>
      <c r="BL458" s="60">
        <f>IF(OR(BF458="",BE458=""),"",BF458-BE458)</f>
        <v/>
      </c>
      <c r="BM458" s="60">
        <f>IF(OR(BG458="",BF458=""),"",BG458-BF458)</f>
        <v/>
      </c>
      <c r="BN458" s="60">
        <f>IF(OR(BH458="",BG458=""),"",BH458-BG458)</f>
        <v/>
      </c>
      <c r="BO458" s="60">
        <f>IF(OR(BI458="",BH458=""),"",BI458-BH458)</f>
        <v/>
      </c>
      <c r="BP458" s="60">
        <f>IF(C458="","",_xlfn.MAXIFS('Saisie'!$AS$5:$AS$2004,'Saisie'!$C$5:$C$2004,C458,'Saisie'!$J$5:$J$2004,"&lt;&gt;"))</f>
        <v/>
      </c>
      <c r="BQ458" s="60">
        <f>IF(C458="","",_xlfn.MAXIFS('Saisie'!$AS$5:$AS$2004,'Saisie'!$C$5:$C$2004,C458))</f>
        <v/>
      </c>
      <c r="BR458" s="60">
        <f>IF(C458="","",_xlfn.MAXIFS('Saisie'!$AS$5:$AS$2004,'Saisie'!$C$5:$C$2004,C458,'Saisie'!$E$5:$E$2004,"Perdu"))</f>
        <v/>
      </c>
      <c r="BS458" s="60">
        <f>IF(C458="","",_xlfn.MAXIFS('Saisie'!$AS$5:$AS$2004,'Saisie'!$C$5:$C$2004,C458,'Saisie'!$AT$5:$AT$2004,"&gt;0"))</f>
        <v/>
      </c>
      <c r="BT458" s="109">
        <f>IF(AND(C458&lt;&gt;"",OR(D458="Nouveau",D458="Contacté",D458="Qualifié"),OR(G458="",N(G458)&lt;=TODAY()),NOT(AND(O458&gt;='Paramètres'!$B$21,P458=0))),E458+454/10000,"")</f>
        <v/>
      </c>
      <c r="BU458" s="60">
        <f>IF(AND(G458&lt;&gt;"",N(G458)&lt;=TODAY()),MAX($BU$4:BU457)+1,"")</f>
        <v/>
      </c>
      <c r="BV458" s="60">
        <f>IF(AND(F458&lt;&gt;"",F458&lt;&gt;"Relance en retard"),MAX($BV$4:BV457)+1,"")</f>
        <v/>
      </c>
      <c r="BW458" s="60">
        <f>IF(C458="","",IF(AND(B458&gt;='Tableau de bord'!$R$4,B458&lt;='Tableau de bord'!$S$4,OR('Tableau de bord'!$G$4="Tous",N458='Tableau de bord'!$G$4)),1,0))</f>
        <v/>
      </c>
      <c r="BX458" s="60">
        <f>IF(AND(C458&lt;&gt;"",N(BA458)=7),MAX($BX$4:BX457)+1,"")</f>
        <v/>
      </c>
    </row>
    <row r="459">
      <c r="A459" s="60">
        <f>IF(C459="","","P-"&amp;TEXT(455,"000"))</f>
        <v/>
      </c>
      <c r="B459" s="106">
        <f>IF(C459="","",IFERROR(1/(1/_xlfn.MINIFS('Saisie'!$A$5:$A$2004,'Saisie'!$C$5:$C$2004,C459)),""))</f>
        <v/>
      </c>
      <c r="C459" s="60">
        <f>IFERROR(INDEX('Saisie'!$C$5:$C$2004,MATCH(455,'Saisie'!$AX$5:$AX$2004,0)),"")</f>
        <v/>
      </c>
      <c r="D459" s="60">
        <f>IF(C459="","",IF(AND(BR459&gt;0,BR459&gt;BS459,BA459&lt;7),"Perdu",INDEX('Paramètres'!$F$6:$F$13,BA459)))</f>
        <v/>
      </c>
      <c r="E459" s="61">
        <f>IF(C459="","",MIN(100,(Z459="Oui")*'Paramètres'!$B$38+(AB459="Régulière")*'Paramètres'!$B$39+IF(AND(N(AA459)&gt;0,TODAY()-N(AA459)&lt;=30),'Paramètres'!$B$40,0)+(W459="")*'Paramètres'!$B$41+(AC459="Absente")*'Paramètres'!$B$42+(AC459="Faible")*'Paramètres'!$B$43+IF(AND(N(AD459)&gt;0,N(AD459)&lt;4),'Paramètres'!$B$44,0)+(AF459="Moyenne")*'Paramètres'!$B$45+(AF459="Grande")*'Paramètres'!$B$46+(Y459&lt;&gt;"")*'Paramètres'!$B$47))</f>
        <v/>
      </c>
      <c r="F459" s="60">
        <f>IF(C459="","",IF(D459="Gagné","",IF(D459="Perdu",IF(AND(AX459&lt;&gt;"",AX459&lt;=TODAY()),"À recontacter (perdu)",""),IF(AND(O459&gt;='Paramètres'!$B$21,P459=0),"Stop : "&amp;'Paramètres'!$B$21&amp;" tentatives sans réponse",IF(AND(D459="Proposition",AR459&lt;&gt;"",TODAY()&gt;N(AR459)),"Proposition expirée",IF(AND(D459="Proposition",N(R459)&gt;='Paramètres'!$B$25),"Proposition sans réponse",IF(AND(G459&lt;&gt;"",N(G459)&lt;TODAY()),"Relance en retard",IF(N(R459)&gt;='Paramètres'!$B$24,"Sans action depuis "&amp;R459&amp;" j",""))))))))</f>
        <v/>
      </c>
      <c r="G459" s="106">
        <f>IF(OR(C459="",D459="Gagné",D459="Perdu"),"",IF(AND(BP459&gt;0,BP459=BQ459),INDEX('Saisie'!$J$5:$J$2004,BP459-4),IF(OR(O459=0,AND(O459&gt;='Paramètres'!$B$21,P459=0)),"",Q459+IF(O459&lt;=1,'Paramètres'!$B$18,IF(O459=2,'Paramètres'!$B$19,'Paramètres'!$B$20)))))</f>
        <v/>
      </c>
      <c r="H459" s="107">
        <f>IF(OR(G459="",BP459&lt;&gt;BQ459),"",IF(INDEX('Saisie'!$K$5:$K$2004,BP459-4)="","",INDEX('Saisie'!$K$5:$K$2004,BP459-4)))</f>
        <v/>
      </c>
      <c r="I459" s="60">
        <f>IF(C459="","",IF(OR(D459="Gagné",D459="Perdu"),"",IFERROR(INDEX('Saisie'!$I$5:$I$2004,_xlfn.MAXIFS('Saisie'!$AS$5:$AS$2004,'Saisie'!$C$5:$C$2004,C459,'Saisie'!$I$5:$I$2004,"&lt;&gt;")-4),"")))</f>
        <v/>
      </c>
      <c r="J459" s="60">
        <f>IF(C459="","",IFERROR(INDEX('Saisie'!$U$5:$U$2004,_xlfn.MAXIFS('Saisie'!$AS$5:$AS$2004,'Saisie'!$C$5:$C$2004,C459,'Saisie'!$U$5:$U$2004,"&lt;&gt;")-4),""))</f>
        <v/>
      </c>
      <c r="K459" s="60">
        <f>IF(C459="","",IFERROR(INDEX('Saisie'!$W$5:$W$2004,_xlfn.MAXIFS('Saisie'!$AS$5:$AS$2004,'Saisie'!$C$5:$C$2004,C459,'Saisie'!$W$5:$W$2004,"&lt;&gt;")-4),""))</f>
        <v/>
      </c>
      <c r="L459" s="60">
        <f>IF(IF(BB459&lt;&gt;"",BB459,K459)="","",HYPERLINK("https://wa.me/"&amp;IF(LEFT(SUBSTITUTE(SUBSTITUTE(SUBSTITUTE(IF(BB459&lt;&gt;"",BB459,K459)," ",""),".",""),"+",""),1)="0",'Paramètres'!$B$35&amp;MID(SUBSTITUTE(SUBSTITUTE(SUBSTITUTE(IF(BB459&lt;&gt;"",BB459,K459)," ",""),".",""),"+",""),2,20),SUBSTITUTE(SUBSTITUTE(SUBSTITUTE(IF(BB459&lt;&gt;"",BB459,K459)," ",""),".",""),"+","")),"WhatsApp"))</f>
        <v/>
      </c>
      <c r="M459" s="60">
        <f>IF(BC459="","",HYPERLINK(IF(LEFT(BC459,4)="http",BC459,"https://www.instagram.com/"&amp;SUBSTITUTE(SUBSTITUTE(BC459,"@","")," ","")),BC459))</f>
        <v/>
      </c>
      <c r="N459" s="60">
        <f>IF(C459="","",IFERROR(INDEX('Saisie'!$D$5:$D$2004,_xlfn.MINIFS('Saisie'!$AS$5:$AS$2004,'Saisie'!$C$5:$C$2004,C459,'Saisie'!$AU$5:$AU$2004,1)-4),IFERROR(INDEX('Saisie'!$D$5:$D$2004,_xlfn.MINIFS('Saisie'!$AS$5:$AS$2004,'Saisie'!$C$5:$C$2004,C459,'Saisie'!$D$5:$D$2004,"&lt;&gt;")-4),"")))</f>
        <v/>
      </c>
      <c r="O459" s="60">
        <f>IF(C459="","",COUNTIFS('Saisie'!$C$5:$C$2004,C459,'Saisie'!$AU$5:$AU$2004,1))</f>
        <v/>
      </c>
      <c r="P459" s="60">
        <f>IF(C459="","",COUNTIFS('Saisie'!$C$5:$C$2004,C459,'Saisie'!$AV$5:$AV$2004,1))</f>
        <v/>
      </c>
      <c r="Q459" s="106">
        <f>IF(C459="","",IFERROR(1/(1/_xlfn.MAXIFS('Saisie'!$A$5:$A$2004,'Saisie'!$C$5:$C$2004,C459)),""))</f>
        <v/>
      </c>
      <c r="R459" s="61">
        <f>IF(C459="","",IF(Q459="","",TODAY()-Q459))</f>
        <v/>
      </c>
      <c r="S459" s="60">
        <f>IF(C459="","",IFERROR(INDEX('Saisie'!$R$5:$R$2004,_xlfn.MAXIFS('Saisie'!$AS$5:$AS$2004,'Saisie'!$C$5:$C$2004,C459,'Saisie'!$R$5:$R$2004,"&lt;&gt;")-4),""))</f>
        <v/>
      </c>
      <c r="T459" s="60">
        <f>IF(C459="","",IFERROR(INDEX('Saisie'!$S$5:$S$2004,_xlfn.MAXIFS('Saisie'!$AS$5:$AS$2004,'Saisie'!$C$5:$C$2004,C459,'Saisie'!$S$5:$S$2004,"&lt;&gt;")-4),""))</f>
        <v/>
      </c>
      <c r="U459" s="60">
        <f>IF(C459="","",IFERROR(INDEX('Saisie'!$T$5:$T$2004,_xlfn.MAXIFS('Saisie'!$AS$5:$AS$2004,'Saisie'!$C$5:$C$2004,C459,'Saisie'!$T$5:$T$2004,"&lt;&gt;")-4),""))</f>
        <v/>
      </c>
      <c r="V459" s="60">
        <f>IF(C459="","",IFERROR(INDEX('Saisie'!$V$5:$V$2004,_xlfn.MAXIFS('Saisie'!$AS$5:$AS$2004,'Saisie'!$C$5:$C$2004,C459,'Saisie'!$V$5:$V$2004,"&lt;&gt;")-4),""))</f>
        <v/>
      </c>
      <c r="W459" s="60">
        <f>IF(C459="","",IFERROR(INDEX('Saisie'!$Z$5:$Z$2004,_xlfn.MAXIFS('Saisie'!$AS$5:$AS$2004,'Saisie'!$C$5:$C$2004,C459,'Saisie'!$Z$5:$Z$2004,"&lt;&gt;")-4),""))</f>
        <v/>
      </c>
      <c r="X459" s="60">
        <f>IF(C459="","",IFERROR(INDEX('Saisie'!$AA$5:$AA$2004,_xlfn.MAXIFS('Saisie'!$AS$5:$AS$2004,'Saisie'!$C$5:$C$2004,C459,'Saisie'!$AA$5:$AA$2004,"&lt;&gt;")-4),""))</f>
        <v/>
      </c>
      <c r="Y459" s="60">
        <f>IF(C459="","",IFERROR(INDEX('Saisie'!$AB$5:$AB$2004,_xlfn.MAXIFS('Saisie'!$AS$5:$AS$2004,'Saisie'!$C$5:$C$2004,C459,'Saisie'!$AB$5:$AB$2004,"&lt;&gt;")-4),""))</f>
        <v/>
      </c>
      <c r="Z459" s="60">
        <f>IF(C459="","",IFERROR(INDEX('Saisie'!$AC$5:$AC$2004,_xlfn.MAXIFS('Saisie'!$AS$5:$AS$2004,'Saisie'!$C$5:$C$2004,C459,'Saisie'!$AC$5:$AC$2004,"&lt;&gt;")-4),""))</f>
        <v/>
      </c>
      <c r="AA459" s="106">
        <f>IF(C459="","",IFERROR(INDEX('Saisie'!$AD$5:$AD$2004,_xlfn.MAXIFS('Saisie'!$AS$5:$AS$2004,'Saisie'!$C$5:$C$2004,C459,'Saisie'!$AD$5:$AD$2004,"&lt;&gt;")-4),""))</f>
        <v/>
      </c>
      <c r="AB459" s="60">
        <f>IF(C459="","",IFERROR(INDEX('Saisie'!$AE$5:$AE$2004,_xlfn.MAXIFS('Saisie'!$AS$5:$AS$2004,'Saisie'!$C$5:$C$2004,C459,'Saisie'!$AE$5:$AE$2004,"&lt;&gt;")-4),""))</f>
        <v/>
      </c>
      <c r="AC459" s="60">
        <f>IF(C459="","",IFERROR(INDEX('Saisie'!$AF$5:$AF$2004,_xlfn.MAXIFS('Saisie'!$AS$5:$AS$2004,'Saisie'!$C$5:$C$2004,C459,'Saisie'!$AF$5:$AF$2004,"&lt;&gt;")-4),""))</f>
        <v/>
      </c>
      <c r="AD459" s="108">
        <f>IF(C459="","",IFERROR(INDEX('Saisie'!$AG$5:$AG$2004,_xlfn.MAXIFS('Saisie'!$AS$5:$AS$2004,'Saisie'!$C$5:$C$2004,C459,'Saisie'!$AG$5:$AG$2004,"&lt;&gt;")-4),""))</f>
        <v/>
      </c>
      <c r="AE459" s="60">
        <f>IF(C459="","",IFERROR(INDEX('Saisie'!$AH$5:$AH$2004,_xlfn.MAXIFS('Saisie'!$AS$5:$AS$2004,'Saisie'!$C$5:$C$2004,C459,'Saisie'!$AH$5:$AH$2004,"&lt;&gt;")-4),""))</f>
        <v/>
      </c>
      <c r="AF459" s="60">
        <f>IF(C459="","",IFERROR(INDEX('Saisie'!$AI$5:$AI$2004,_xlfn.MAXIFS('Saisie'!$AS$5:$AS$2004,'Saisie'!$C$5:$C$2004,C459,'Saisie'!$AI$5:$AI$2004,"&lt;&gt;")-4),""))</f>
        <v/>
      </c>
      <c r="AG459" s="60">
        <f>IF(C459="","",IFERROR(INDEX('Saisie'!$AJ$5:$AJ$2004,_xlfn.MAXIFS('Saisie'!$AS$5:$AS$2004,'Saisie'!$C$5:$C$2004,C459,'Saisie'!$AJ$5:$AJ$2004,"&lt;&gt;")-4),""))</f>
        <v/>
      </c>
      <c r="AH459" s="60">
        <f>IF(C459="","",IFERROR(INDEX('Saisie'!$AK$5:$AK$2004,_xlfn.MAXIFS('Saisie'!$AS$5:$AS$2004,'Saisie'!$C$5:$C$2004,C459,'Saisie'!$AK$5:$AK$2004,"&lt;&gt;")-4),""))</f>
        <v/>
      </c>
      <c r="AI459" s="60">
        <f>IF(C459="","",IFERROR(INDEX('Saisie'!$AN$5:$AN$2004,_xlfn.MAXIFS('Saisie'!$AS$5:$AS$2004,'Saisie'!$C$5:$C$2004,C459,'Saisie'!$AN$5:$AN$2004,"&lt;&gt;")-4),""))</f>
        <v/>
      </c>
      <c r="AJ459" s="60">
        <f>IF(C459="","",IFERROR(INDEX('Saisie'!$AO$5:$AO$2004,_xlfn.MAXIFS('Saisie'!$AS$5:$AS$2004,'Saisie'!$C$5:$C$2004,C459,'Saisie'!$AO$5:$AO$2004,"&lt;&gt;")-4),""))</f>
        <v/>
      </c>
      <c r="AK459" s="60">
        <f>IF(C459="","",IFERROR(INDEX('Saisie'!$AP$5:$AP$2004,_xlfn.MAXIFS('Saisie'!$AS$5:$AS$2004,'Saisie'!$C$5:$C$2004,C459,'Saisie'!$AP$5:$AP$2004,"&lt;&gt;")-4),""))</f>
        <v/>
      </c>
      <c r="AL459" s="60">
        <f>IF(C459="","",IFERROR(INDEX('Saisie'!$AQ$5:$AQ$2004,_xlfn.MAXIFS('Saisie'!$AS$5:$AS$2004,'Saisie'!$C$5:$C$2004,C459,'Saisie'!$AQ$5:$AQ$2004,"&lt;&gt;")-4),""))</f>
        <v/>
      </c>
      <c r="AM459" s="60">
        <f>IF(C459="","",((AI459="Oui")+(AJ459="Oui")+(AK459="Oui")+OR(AL459="Immédiat",AL459="&lt; 1 mois"))&amp;"/4")</f>
        <v/>
      </c>
      <c r="AN459" s="60">
        <f>IF(C459="","",IFERROR(INDEX('Saisie'!$AL$5:$AL$2004,_xlfn.MAXIFS('Saisie'!$AS$5:$AS$2004,'Saisie'!$C$5:$C$2004,C459,'Saisie'!$AL$5:$AL$2004,"&lt;&gt;")-4),""))</f>
        <v/>
      </c>
      <c r="AO459" s="62">
        <f>IF(C459="","",IF(IFERROR(INDEX('Saisie'!$AM$5:$AM$2004,_xlfn.MAXIFS('Saisie'!$AS$5:$AS$2004,'Saisie'!$C$5:$C$2004,C459,'Saisie'!$AM$5:$AM$2004,"&lt;&gt;")-4),"")&lt;&gt;"",IFERROR(INDEX('Saisie'!$AM$5:$AM$2004,_xlfn.MAXIFS('Saisie'!$AS$5:$AS$2004,'Saisie'!$C$5:$C$2004,C459,'Saisie'!$AM$5:$AM$2004,"&lt;&gt;")-4),""),IFERROR(INDEX('Paramètres'!$S$6:$S$15,MATCH(AN459,'Paramètres'!$Q$6:$Q$15,0)),"")))</f>
        <v/>
      </c>
      <c r="AP459" s="62">
        <f>IF(C459="","",IFERROR(INDEX('Saisie'!$AW$5:$AW$2004,_xlfn.MAXIFS('Saisie'!$AS$5:$AS$2004,'Saisie'!$C$5:$C$2004,C459,'Saisie'!$E$5:$E$2004,"Proposition envoyée")-4),""))</f>
        <v/>
      </c>
      <c r="AQ459" s="106">
        <f>IF(C459="","",IFERROR(1/(1/_xlfn.MAXIFS('Saisie'!$A$5:$A$2004,'Saisie'!$C$5:$C$2004,C459,'Saisie'!$E$5:$E$2004,"Proposition envoyée")),""))</f>
        <v/>
      </c>
      <c r="AR459" s="106">
        <f>IF(C459="","",IF(AQ459="","",AQ459+'Paramètres'!$B$26))</f>
        <v/>
      </c>
      <c r="AS459" s="62">
        <f>IF(OR(C459="",D459="Gagné",D459="Perdu"),0,N(AP459)*IFERROR(INDEX('Paramètres'!$G$6:$G$13,MATCH(D459,'Paramètres'!$F$6:$F$13,0)),0))</f>
        <v/>
      </c>
      <c r="AT459" s="106">
        <f>IF(C459="","",IFERROR(1/(1/_xlfn.MINIFS('Saisie'!$A$5:$A$2004,'Saisie'!$C$5:$C$2004,C459,'Saisie'!$E$5:$E$2004,"Signature")),""))</f>
        <v/>
      </c>
      <c r="AU459" s="60">
        <f>IF(C459="","",IF(OR(AT459="",B459=""),"",AT459-B459))</f>
        <v/>
      </c>
      <c r="AV459" s="60">
        <f>IF(C459="","",IFERROR(INDEX('Saisie'!$L$5:$L$2004,_xlfn.MAXIFS('Saisie'!$AS$5:$AS$2004,'Saisie'!$C$5:$C$2004,C459,'Saisie'!$L$5:$L$2004,"&lt;&gt;")-4),""))</f>
        <v/>
      </c>
      <c r="AW459" s="106">
        <f>IF(C459="","",IF(D459&lt;&gt;"Perdu","",IFERROR(1/(1/_xlfn.MAXIFS('Saisie'!$A$5:$A$2004,'Saisie'!$C$5:$C$2004,C459,'Saisie'!$E$5:$E$2004,"Perdu")),"")))</f>
        <v/>
      </c>
      <c r="AX459" s="106">
        <f>IF(C459="","",IF(AW459="","",AW459+'Paramètres'!$B$28))</f>
        <v/>
      </c>
      <c r="AY459" s="60">
        <f>IF(C459="","",SUMIFS('Saisie'!$H$5:$H$2004,'Saisie'!$C$5:$C$2004,C459))</f>
        <v/>
      </c>
      <c r="AZ459" s="60">
        <f>IF(C459="","",IFERROR(INDEX('Paramètres'!$W$6:$W$20,MATCH(S459,'Paramètres'!$V$6:$V$20,0))&amp;"",""))</f>
        <v/>
      </c>
      <c r="BA459" s="60">
        <f>IF(C459="","",MAX(1,_xlfn.MAXIFS('Saisie'!$AT$5:$AT$2004,'Saisie'!$C$5:$C$2004,C459)))</f>
        <v/>
      </c>
      <c r="BB459" s="60">
        <f>IF(C459="","",IFERROR(INDEX('Saisie'!$X$5:$X$2004,_xlfn.MAXIFS('Saisie'!$AS$5:$AS$2004,'Saisie'!$C$5:$C$2004,C459,'Saisie'!$X$5:$X$2004,"&lt;&gt;")-4),""))</f>
        <v/>
      </c>
      <c r="BC459" s="60">
        <f>IF(C459="","",IFERROR(INDEX('Saisie'!$Y$5:$Y$2004,_xlfn.MAXIFS('Saisie'!$AS$5:$AS$2004,'Saisie'!$C$5:$C$2004,C459,'Saisie'!$Y$5:$Y$2004,"&lt;&gt;")-4),""))</f>
        <v/>
      </c>
      <c r="BD459" s="106">
        <f>IF(C459="","",IFERROR(1/(1/_xlfn.MINIFS('Saisie'!$A$5:$A$2004,'Saisie'!$C$5:$C$2004,C459,'Saisie'!$AT$5:$AT$2004,"&gt;=2")),""))</f>
        <v/>
      </c>
      <c r="BE459" s="106">
        <f>IF(C459="","",IFERROR(1/(1/_xlfn.MINIFS('Saisie'!$A$5:$A$2004,'Saisie'!$C$5:$C$2004,C459,'Saisie'!$AT$5:$AT$2004,"&gt;=3")),""))</f>
        <v/>
      </c>
      <c r="BF459" s="106">
        <f>IF(C459="","",IFERROR(1/(1/_xlfn.MINIFS('Saisie'!$A$5:$A$2004,'Saisie'!$C$5:$C$2004,C459,'Saisie'!$AT$5:$AT$2004,"&gt;=4")),""))</f>
        <v/>
      </c>
      <c r="BG459" s="106">
        <f>IF(C459="","",IFERROR(1/(1/_xlfn.MINIFS('Saisie'!$A$5:$A$2004,'Saisie'!$C$5:$C$2004,C459,'Saisie'!$AT$5:$AT$2004,"&gt;=5")),""))</f>
        <v/>
      </c>
      <c r="BH459" s="106">
        <f>IF(C459="","",IFERROR(1/(1/_xlfn.MINIFS('Saisie'!$A$5:$A$2004,'Saisie'!$C$5:$C$2004,C459,'Saisie'!$AT$5:$AT$2004,"&gt;=6")),""))</f>
        <v/>
      </c>
      <c r="BI459" s="106">
        <f>IF(C459="","",IFERROR(1/(1/_xlfn.MINIFS('Saisie'!$A$5:$A$2004,'Saisie'!$C$5:$C$2004,C459,'Saisie'!$AT$5:$AT$2004,"&gt;=7")),""))</f>
        <v/>
      </c>
      <c r="BJ459" s="60">
        <f>IF(OR(BD459="",B459=""),"",BD459-B459)</f>
        <v/>
      </c>
      <c r="BK459" s="60">
        <f>IF(OR(BE459="",BD459=""),"",BE459-BD459)</f>
        <v/>
      </c>
      <c r="BL459" s="60">
        <f>IF(OR(BF459="",BE459=""),"",BF459-BE459)</f>
        <v/>
      </c>
      <c r="BM459" s="60">
        <f>IF(OR(BG459="",BF459=""),"",BG459-BF459)</f>
        <v/>
      </c>
      <c r="BN459" s="60">
        <f>IF(OR(BH459="",BG459=""),"",BH459-BG459)</f>
        <v/>
      </c>
      <c r="BO459" s="60">
        <f>IF(OR(BI459="",BH459=""),"",BI459-BH459)</f>
        <v/>
      </c>
      <c r="BP459" s="60">
        <f>IF(C459="","",_xlfn.MAXIFS('Saisie'!$AS$5:$AS$2004,'Saisie'!$C$5:$C$2004,C459,'Saisie'!$J$5:$J$2004,"&lt;&gt;"))</f>
        <v/>
      </c>
      <c r="BQ459" s="60">
        <f>IF(C459="","",_xlfn.MAXIFS('Saisie'!$AS$5:$AS$2004,'Saisie'!$C$5:$C$2004,C459))</f>
        <v/>
      </c>
      <c r="BR459" s="60">
        <f>IF(C459="","",_xlfn.MAXIFS('Saisie'!$AS$5:$AS$2004,'Saisie'!$C$5:$C$2004,C459,'Saisie'!$E$5:$E$2004,"Perdu"))</f>
        <v/>
      </c>
      <c r="BS459" s="60">
        <f>IF(C459="","",_xlfn.MAXIFS('Saisie'!$AS$5:$AS$2004,'Saisie'!$C$5:$C$2004,C459,'Saisie'!$AT$5:$AT$2004,"&gt;0"))</f>
        <v/>
      </c>
      <c r="BT459" s="109">
        <f>IF(AND(C459&lt;&gt;"",OR(D459="Nouveau",D459="Contacté",D459="Qualifié"),OR(G459="",N(G459)&lt;=TODAY()),NOT(AND(O459&gt;='Paramètres'!$B$21,P459=0))),E459+455/10000,"")</f>
        <v/>
      </c>
      <c r="BU459" s="60">
        <f>IF(AND(G459&lt;&gt;"",N(G459)&lt;=TODAY()),MAX($BU$4:BU458)+1,"")</f>
        <v/>
      </c>
      <c r="BV459" s="60">
        <f>IF(AND(F459&lt;&gt;"",F459&lt;&gt;"Relance en retard"),MAX($BV$4:BV458)+1,"")</f>
        <v/>
      </c>
      <c r="BW459" s="60">
        <f>IF(C459="","",IF(AND(B459&gt;='Tableau de bord'!$R$4,B459&lt;='Tableau de bord'!$S$4,OR('Tableau de bord'!$G$4="Tous",N459='Tableau de bord'!$G$4)),1,0))</f>
        <v/>
      </c>
      <c r="BX459" s="60">
        <f>IF(AND(C459&lt;&gt;"",N(BA459)=7),MAX($BX$4:BX458)+1,"")</f>
        <v/>
      </c>
    </row>
    <row r="460">
      <c r="A460" s="60">
        <f>IF(C460="","","P-"&amp;TEXT(456,"000"))</f>
        <v/>
      </c>
      <c r="B460" s="106">
        <f>IF(C460="","",IFERROR(1/(1/_xlfn.MINIFS('Saisie'!$A$5:$A$2004,'Saisie'!$C$5:$C$2004,C460)),""))</f>
        <v/>
      </c>
      <c r="C460" s="60">
        <f>IFERROR(INDEX('Saisie'!$C$5:$C$2004,MATCH(456,'Saisie'!$AX$5:$AX$2004,0)),"")</f>
        <v/>
      </c>
      <c r="D460" s="60">
        <f>IF(C460="","",IF(AND(BR460&gt;0,BR460&gt;BS460,BA460&lt;7),"Perdu",INDEX('Paramètres'!$F$6:$F$13,BA460)))</f>
        <v/>
      </c>
      <c r="E460" s="61">
        <f>IF(C460="","",MIN(100,(Z460="Oui")*'Paramètres'!$B$38+(AB460="Régulière")*'Paramètres'!$B$39+IF(AND(N(AA460)&gt;0,TODAY()-N(AA460)&lt;=30),'Paramètres'!$B$40,0)+(W460="")*'Paramètres'!$B$41+(AC460="Absente")*'Paramètres'!$B$42+(AC460="Faible")*'Paramètres'!$B$43+IF(AND(N(AD460)&gt;0,N(AD460)&lt;4),'Paramètres'!$B$44,0)+(AF460="Moyenne")*'Paramètres'!$B$45+(AF460="Grande")*'Paramètres'!$B$46+(Y460&lt;&gt;"")*'Paramètres'!$B$47))</f>
        <v/>
      </c>
      <c r="F460" s="60">
        <f>IF(C460="","",IF(D460="Gagné","",IF(D460="Perdu",IF(AND(AX460&lt;&gt;"",AX460&lt;=TODAY()),"À recontacter (perdu)",""),IF(AND(O460&gt;='Paramètres'!$B$21,P460=0),"Stop : "&amp;'Paramètres'!$B$21&amp;" tentatives sans réponse",IF(AND(D460="Proposition",AR460&lt;&gt;"",TODAY()&gt;N(AR460)),"Proposition expirée",IF(AND(D460="Proposition",N(R460)&gt;='Paramètres'!$B$25),"Proposition sans réponse",IF(AND(G460&lt;&gt;"",N(G460)&lt;TODAY()),"Relance en retard",IF(N(R460)&gt;='Paramètres'!$B$24,"Sans action depuis "&amp;R460&amp;" j",""))))))))</f>
        <v/>
      </c>
      <c r="G460" s="106">
        <f>IF(OR(C460="",D460="Gagné",D460="Perdu"),"",IF(AND(BP460&gt;0,BP460=BQ460),INDEX('Saisie'!$J$5:$J$2004,BP460-4),IF(OR(O460=0,AND(O460&gt;='Paramètres'!$B$21,P460=0)),"",Q460+IF(O460&lt;=1,'Paramètres'!$B$18,IF(O460=2,'Paramètres'!$B$19,'Paramètres'!$B$20)))))</f>
        <v/>
      </c>
      <c r="H460" s="107">
        <f>IF(OR(G460="",BP460&lt;&gt;BQ460),"",IF(INDEX('Saisie'!$K$5:$K$2004,BP460-4)="","",INDEX('Saisie'!$K$5:$K$2004,BP460-4)))</f>
        <v/>
      </c>
      <c r="I460" s="60">
        <f>IF(C460="","",IF(OR(D460="Gagné",D460="Perdu"),"",IFERROR(INDEX('Saisie'!$I$5:$I$2004,_xlfn.MAXIFS('Saisie'!$AS$5:$AS$2004,'Saisie'!$C$5:$C$2004,C460,'Saisie'!$I$5:$I$2004,"&lt;&gt;")-4),"")))</f>
        <v/>
      </c>
      <c r="J460" s="60">
        <f>IF(C460="","",IFERROR(INDEX('Saisie'!$U$5:$U$2004,_xlfn.MAXIFS('Saisie'!$AS$5:$AS$2004,'Saisie'!$C$5:$C$2004,C460,'Saisie'!$U$5:$U$2004,"&lt;&gt;")-4),""))</f>
        <v/>
      </c>
      <c r="K460" s="60">
        <f>IF(C460="","",IFERROR(INDEX('Saisie'!$W$5:$W$2004,_xlfn.MAXIFS('Saisie'!$AS$5:$AS$2004,'Saisie'!$C$5:$C$2004,C460,'Saisie'!$W$5:$W$2004,"&lt;&gt;")-4),""))</f>
        <v/>
      </c>
      <c r="L460" s="60">
        <f>IF(IF(BB460&lt;&gt;"",BB460,K460)="","",HYPERLINK("https://wa.me/"&amp;IF(LEFT(SUBSTITUTE(SUBSTITUTE(SUBSTITUTE(IF(BB460&lt;&gt;"",BB460,K460)," ",""),".",""),"+",""),1)="0",'Paramètres'!$B$35&amp;MID(SUBSTITUTE(SUBSTITUTE(SUBSTITUTE(IF(BB460&lt;&gt;"",BB460,K460)," ",""),".",""),"+",""),2,20),SUBSTITUTE(SUBSTITUTE(SUBSTITUTE(IF(BB460&lt;&gt;"",BB460,K460)," ",""),".",""),"+","")),"WhatsApp"))</f>
        <v/>
      </c>
      <c r="M460" s="60">
        <f>IF(BC460="","",HYPERLINK(IF(LEFT(BC460,4)="http",BC460,"https://www.instagram.com/"&amp;SUBSTITUTE(SUBSTITUTE(BC460,"@","")," ","")),BC460))</f>
        <v/>
      </c>
      <c r="N460" s="60">
        <f>IF(C460="","",IFERROR(INDEX('Saisie'!$D$5:$D$2004,_xlfn.MINIFS('Saisie'!$AS$5:$AS$2004,'Saisie'!$C$5:$C$2004,C460,'Saisie'!$AU$5:$AU$2004,1)-4),IFERROR(INDEX('Saisie'!$D$5:$D$2004,_xlfn.MINIFS('Saisie'!$AS$5:$AS$2004,'Saisie'!$C$5:$C$2004,C460,'Saisie'!$D$5:$D$2004,"&lt;&gt;")-4),"")))</f>
        <v/>
      </c>
      <c r="O460" s="60">
        <f>IF(C460="","",COUNTIFS('Saisie'!$C$5:$C$2004,C460,'Saisie'!$AU$5:$AU$2004,1))</f>
        <v/>
      </c>
      <c r="P460" s="60">
        <f>IF(C460="","",COUNTIFS('Saisie'!$C$5:$C$2004,C460,'Saisie'!$AV$5:$AV$2004,1))</f>
        <v/>
      </c>
      <c r="Q460" s="106">
        <f>IF(C460="","",IFERROR(1/(1/_xlfn.MAXIFS('Saisie'!$A$5:$A$2004,'Saisie'!$C$5:$C$2004,C460)),""))</f>
        <v/>
      </c>
      <c r="R460" s="61">
        <f>IF(C460="","",IF(Q460="","",TODAY()-Q460))</f>
        <v/>
      </c>
      <c r="S460" s="60">
        <f>IF(C460="","",IFERROR(INDEX('Saisie'!$R$5:$R$2004,_xlfn.MAXIFS('Saisie'!$AS$5:$AS$2004,'Saisie'!$C$5:$C$2004,C460,'Saisie'!$R$5:$R$2004,"&lt;&gt;")-4),""))</f>
        <v/>
      </c>
      <c r="T460" s="60">
        <f>IF(C460="","",IFERROR(INDEX('Saisie'!$S$5:$S$2004,_xlfn.MAXIFS('Saisie'!$AS$5:$AS$2004,'Saisie'!$C$5:$C$2004,C460,'Saisie'!$S$5:$S$2004,"&lt;&gt;")-4),""))</f>
        <v/>
      </c>
      <c r="U460" s="60">
        <f>IF(C460="","",IFERROR(INDEX('Saisie'!$T$5:$T$2004,_xlfn.MAXIFS('Saisie'!$AS$5:$AS$2004,'Saisie'!$C$5:$C$2004,C460,'Saisie'!$T$5:$T$2004,"&lt;&gt;")-4),""))</f>
        <v/>
      </c>
      <c r="V460" s="60">
        <f>IF(C460="","",IFERROR(INDEX('Saisie'!$V$5:$V$2004,_xlfn.MAXIFS('Saisie'!$AS$5:$AS$2004,'Saisie'!$C$5:$C$2004,C460,'Saisie'!$V$5:$V$2004,"&lt;&gt;")-4),""))</f>
        <v/>
      </c>
      <c r="W460" s="60">
        <f>IF(C460="","",IFERROR(INDEX('Saisie'!$Z$5:$Z$2004,_xlfn.MAXIFS('Saisie'!$AS$5:$AS$2004,'Saisie'!$C$5:$C$2004,C460,'Saisie'!$Z$5:$Z$2004,"&lt;&gt;")-4),""))</f>
        <v/>
      </c>
      <c r="X460" s="60">
        <f>IF(C460="","",IFERROR(INDEX('Saisie'!$AA$5:$AA$2004,_xlfn.MAXIFS('Saisie'!$AS$5:$AS$2004,'Saisie'!$C$5:$C$2004,C460,'Saisie'!$AA$5:$AA$2004,"&lt;&gt;")-4),""))</f>
        <v/>
      </c>
      <c r="Y460" s="60">
        <f>IF(C460="","",IFERROR(INDEX('Saisie'!$AB$5:$AB$2004,_xlfn.MAXIFS('Saisie'!$AS$5:$AS$2004,'Saisie'!$C$5:$C$2004,C460,'Saisie'!$AB$5:$AB$2004,"&lt;&gt;")-4),""))</f>
        <v/>
      </c>
      <c r="Z460" s="60">
        <f>IF(C460="","",IFERROR(INDEX('Saisie'!$AC$5:$AC$2004,_xlfn.MAXIFS('Saisie'!$AS$5:$AS$2004,'Saisie'!$C$5:$C$2004,C460,'Saisie'!$AC$5:$AC$2004,"&lt;&gt;")-4),""))</f>
        <v/>
      </c>
      <c r="AA460" s="106">
        <f>IF(C460="","",IFERROR(INDEX('Saisie'!$AD$5:$AD$2004,_xlfn.MAXIFS('Saisie'!$AS$5:$AS$2004,'Saisie'!$C$5:$C$2004,C460,'Saisie'!$AD$5:$AD$2004,"&lt;&gt;")-4),""))</f>
        <v/>
      </c>
      <c r="AB460" s="60">
        <f>IF(C460="","",IFERROR(INDEX('Saisie'!$AE$5:$AE$2004,_xlfn.MAXIFS('Saisie'!$AS$5:$AS$2004,'Saisie'!$C$5:$C$2004,C460,'Saisie'!$AE$5:$AE$2004,"&lt;&gt;")-4),""))</f>
        <v/>
      </c>
      <c r="AC460" s="60">
        <f>IF(C460="","",IFERROR(INDEX('Saisie'!$AF$5:$AF$2004,_xlfn.MAXIFS('Saisie'!$AS$5:$AS$2004,'Saisie'!$C$5:$C$2004,C460,'Saisie'!$AF$5:$AF$2004,"&lt;&gt;")-4),""))</f>
        <v/>
      </c>
      <c r="AD460" s="108">
        <f>IF(C460="","",IFERROR(INDEX('Saisie'!$AG$5:$AG$2004,_xlfn.MAXIFS('Saisie'!$AS$5:$AS$2004,'Saisie'!$C$5:$C$2004,C460,'Saisie'!$AG$5:$AG$2004,"&lt;&gt;")-4),""))</f>
        <v/>
      </c>
      <c r="AE460" s="60">
        <f>IF(C460="","",IFERROR(INDEX('Saisie'!$AH$5:$AH$2004,_xlfn.MAXIFS('Saisie'!$AS$5:$AS$2004,'Saisie'!$C$5:$C$2004,C460,'Saisie'!$AH$5:$AH$2004,"&lt;&gt;")-4),""))</f>
        <v/>
      </c>
      <c r="AF460" s="60">
        <f>IF(C460="","",IFERROR(INDEX('Saisie'!$AI$5:$AI$2004,_xlfn.MAXIFS('Saisie'!$AS$5:$AS$2004,'Saisie'!$C$5:$C$2004,C460,'Saisie'!$AI$5:$AI$2004,"&lt;&gt;")-4),""))</f>
        <v/>
      </c>
      <c r="AG460" s="60">
        <f>IF(C460="","",IFERROR(INDEX('Saisie'!$AJ$5:$AJ$2004,_xlfn.MAXIFS('Saisie'!$AS$5:$AS$2004,'Saisie'!$C$5:$C$2004,C460,'Saisie'!$AJ$5:$AJ$2004,"&lt;&gt;")-4),""))</f>
        <v/>
      </c>
      <c r="AH460" s="60">
        <f>IF(C460="","",IFERROR(INDEX('Saisie'!$AK$5:$AK$2004,_xlfn.MAXIFS('Saisie'!$AS$5:$AS$2004,'Saisie'!$C$5:$C$2004,C460,'Saisie'!$AK$5:$AK$2004,"&lt;&gt;")-4),""))</f>
        <v/>
      </c>
      <c r="AI460" s="60">
        <f>IF(C460="","",IFERROR(INDEX('Saisie'!$AN$5:$AN$2004,_xlfn.MAXIFS('Saisie'!$AS$5:$AS$2004,'Saisie'!$C$5:$C$2004,C460,'Saisie'!$AN$5:$AN$2004,"&lt;&gt;")-4),""))</f>
        <v/>
      </c>
      <c r="AJ460" s="60">
        <f>IF(C460="","",IFERROR(INDEX('Saisie'!$AO$5:$AO$2004,_xlfn.MAXIFS('Saisie'!$AS$5:$AS$2004,'Saisie'!$C$5:$C$2004,C460,'Saisie'!$AO$5:$AO$2004,"&lt;&gt;")-4),""))</f>
        <v/>
      </c>
      <c r="AK460" s="60">
        <f>IF(C460="","",IFERROR(INDEX('Saisie'!$AP$5:$AP$2004,_xlfn.MAXIFS('Saisie'!$AS$5:$AS$2004,'Saisie'!$C$5:$C$2004,C460,'Saisie'!$AP$5:$AP$2004,"&lt;&gt;")-4),""))</f>
        <v/>
      </c>
      <c r="AL460" s="60">
        <f>IF(C460="","",IFERROR(INDEX('Saisie'!$AQ$5:$AQ$2004,_xlfn.MAXIFS('Saisie'!$AS$5:$AS$2004,'Saisie'!$C$5:$C$2004,C460,'Saisie'!$AQ$5:$AQ$2004,"&lt;&gt;")-4),""))</f>
        <v/>
      </c>
      <c r="AM460" s="60">
        <f>IF(C460="","",((AI460="Oui")+(AJ460="Oui")+(AK460="Oui")+OR(AL460="Immédiat",AL460="&lt; 1 mois"))&amp;"/4")</f>
        <v/>
      </c>
      <c r="AN460" s="60">
        <f>IF(C460="","",IFERROR(INDEX('Saisie'!$AL$5:$AL$2004,_xlfn.MAXIFS('Saisie'!$AS$5:$AS$2004,'Saisie'!$C$5:$C$2004,C460,'Saisie'!$AL$5:$AL$2004,"&lt;&gt;")-4),""))</f>
        <v/>
      </c>
      <c r="AO460" s="62">
        <f>IF(C460="","",IF(IFERROR(INDEX('Saisie'!$AM$5:$AM$2004,_xlfn.MAXIFS('Saisie'!$AS$5:$AS$2004,'Saisie'!$C$5:$C$2004,C460,'Saisie'!$AM$5:$AM$2004,"&lt;&gt;")-4),"")&lt;&gt;"",IFERROR(INDEX('Saisie'!$AM$5:$AM$2004,_xlfn.MAXIFS('Saisie'!$AS$5:$AS$2004,'Saisie'!$C$5:$C$2004,C460,'Saisie'!$AM$5:$AM$2004,"&lt;&gt;")-4),""),IFERROR(INDEX('Paramètres'!$S$6:$S$15,MATCH(AN460,'Paramètres'!$Q$6:$Q$15,0)),"")))</f>
        <v/>
      </c>
      <c r="AP460" s="62">
        <f>IF(C460="","",IFERROR(INDEX('Saisie'!$AW$5:$AW$2004,_xlfn.MAXIFS('Saisie'!$AS$5:$AS$2004,'Saisie'!$C$5:$C$2004,C460,'Saisie'!$E$5:$E$2004,"Proposition envoyée")-4),""))</f>
        <v/>
      </c>
      <c r="AQ460" s="106">
        <f>IF(C460="","",IFERROR(1/(1/_xlfn.MAXIFS('Saisie'!$A$5:$A$2004,'Saisie'!$C$5:$C$2004,C460,'Saisie'!$E$5:$E$2004,"Proposition envoyée")),""))</f>
        <v/>
      </c>
      <c r="AR460" s="106">
        <f>IF(C460="","",IF(AQ460="","",AQ460+'Paramètres'!$B$26))</f>
        <v/>
      </c>
      <c r="AS460" s="62">
        <f>IF(OR(C460="",D460="Gagné",D460="Perdu"),0,N(AP460)*IFERROR(INDEX('Paramètres'!$G$6:$G$13,MATCH(D460,'Paramètres'!$F$6:$F$13,0)),0))</f>
        <v/>
      </c>
      <c r="AT460" s="106">
        <f>IF(C460="","",IFERROR(1/(1/_xlfn.MINIFS('Saisie'!$A$5:$A$2004,'Saisie'!$C$5:$C$2004,C460,'Saisie'!$E$5:$E$2004,"Signature")),""))</f>
        <v/>
      </c>
      <c r="AU460" s="60">
        <f>IF(C460="","",IF(OR(AT460="",B460=""),"",AT460-B460))</f>
        <v/>
      </c>
      <c r="AV460" s="60">
        <f>IF(C460="","",IFERROR(INDEX('Saisie'!$L$5:$L$2004,_xlfn.MAXIFS('Saisie'!$AS$5:$AS$2004,'Saisie'!$C$5:$C$2004,C460,'Saisie'!$L$5:$L$2004,"&lt;&gt;")-4),""))</f>
        <v/>
      </c>
      <c r="AW460" s="106">
        <f>IF(C460="","",IF(D460&lt;&gt;"Perdu","",IFERROR(1/(1/_xlfn.MAXIFS('Saisie'!$A$5:$A$2004,'Saisie'!$C$5:$C$2004,C460,'Saisie'!$E$5:$E$2004,"Perdu")),"")))</f>
        <v/>
      </c>
      <c r="AX460" s="106">
        <f>IF(C460="","",IF(AW460="","",AW460+'Paramètres'!$B$28))</f>
        <v/>
      </c>
      <c r="AY460" s="60">
        <f>IF(C460="","",SUMIFS('Saisie'!$H$5:$H$2004,'Saisie'!$C$5:$C$2004,C460))</f>
        <v/>
      </c>
      <c r="AZ460" s="60">
        <f>IF(C460="","",IFERROR(INDEX('Paramètres'!$W$6:$W$20,MATCH(S460,'Paramètres'!$V$6:$V$20,0))&amp;"",""))</f>
        <v/>
      </c>
      <c r="BA460" s="60">
        <f>IF(C460="","",MAX(1,_xlfn.MAXIFS('Saisie'!$AT$5:$AT$2004,'Saisie'!$C$5:$C$2004,C460)))</f>
        <v/>
      </c>
      <c r="BB460" s="60">
        <f>IF(C460="","",IFERROR(INDEX('Saisie'!$X$5:$X$2004,_xlfn.MAXIFS('Saisie'!$AS$5:$AS$2004,'Saisie'!$C$5:$C$2004,C460,'Saisie'!$X$5:$X$2004,"&lt;&gt;")-4),""))</f>
        <v/>
      </c>
      <c r="BC460" s="60">
        <f>IF(C460="","",IFERROR(INDEX('Saisie'!$Y$5:$Y$2004,_xlfn.MAXIFS('Saisie'!$AS$5:$AS$2004,'Saisie'!$C$5:$C$2004,C460,'Saisie'!$Y$5:$Y$2004,"&lt;&gt;")-4),""))</f>
        <v/>
      </c>
      <c r="BD460" s="106">
        <f>IF(C460="","",IFERROR(1/(1/_xlfn.MINIFS('Saisie'!$A$5:$A$2004,'Saisie'!$C$5:$C$2004,C460,'Saisie'!$AT$5:$AT$2004,"&gt;=2")),""))</f>
        <v/>
      </c>
      <c r="BE460" s="106">
        <f>IF(C460="","",IFERROR(1/(1/_xlfn.MINIFS('Saisie'!$A$5:$A$2004,'Saisie'!$C$5:$C$2004,C460,'Saisie'!$AT$5:$AT$2004,"&gt;=3")),""))</f>
        <v/>
      </c>
      <c r="BF460" s="106">
        <f>IF(C460="","",IFERROR(1/(1/_xlfn.MINIFS('Saisie'!$A$5:$A$2004,'Saisie'!$C$5:$C$2004,C460,'Saisie'!$AT$5:$AT$2004,"&gt;=4")),""))</f>
        <v/>
      </c>
      <c r="BG460" s="106">
        <f>IF(C460="","",IFERROR(1/(1/_xlfn.MINIFS('Saisie'!$A$5:$A$2004,'Saisie'!$C$5:$C$2004,C460,'Saisie'!$AT$5:$AT$2004,"&gt;=5")),""))</f>
        <v/>
      </c>
      <c r="BH460" s="106">
        <f>IF(C460="","",IFERROR(1/(1/_xlfn.MINIFS('Saisie'!$A$5:$A$2004,'Saisie'!$C$5:$C$2004,C460,'Saisie'!$AT$5:$AT$2004,"&gt;=6")),""))</f>
        <v/>
      </c>
      <c r="BI460" s="106">
        <f>IF(C460="","",IFERROR(1/(1/_xlfn.MINIFS('Saisie'!$A$5:$A$2004,'Saisie'!$C$5:$C$2004,C460,'Saisie'!$AT$5:$AT$2004,"&gt;=7")),""))</f>
        <v/>
      </c>
      <c r="BJ460" s="60">
        <f>IF(OR(BD460="",B460=""),"",BD460-B460)</f>
        <v/>
      </c>
      <c r="BK460" s="60">
        <f>IF(OR(BE460="",BD460=""),"",BE460-BD460)</f>
        <v/>
      </c>
      <c r="BL460" s="60">
        <f>IF(OR(BF460="",BE460=""),"",BF460-BE460)</f>
        <v/>
      </c>
      <c r="BM460" s="60">
        <f>IF(OR(BG460="",BF460=""),"",BG460-BF460)</f>
        <v/>
      </c>
      <c r="BN460" s="60">
        <f>IF(OR(BH460="",BG460=""),"",BH460-BG460)</f>
        <v/>
      </c>
      <c r="BO460" s="60">
        <f>IF(OR(BI460="",BH460=""),"",BI460-BH460)</f>
        <v/>
      </c>
      <c r="BP460" s="60">
        <f>IF(C460="","",_xlfn.MAXIFS('Saisie'!$AS$5:$AS$2004,'Saisie'!$C$5:$C$2004,C460,'Saisie'!$J$5:$J$2004,"&lt;&gt;"))</f>
        <v/>
      </c>
      <c r="BQ460" s="60">
        <f>IF(C460="","",_xlfn.MAXIFS('Saisie'!$AS$5:$AS$2004,'Saisie'!$C$5:$C$2004,C460))</f>
        <v/>
      </c>
      <c r="BR460" s="60">
        <f>IF(C460="","",_xlfn.MAXIFS('Saisie'!$AS$5:$AS$2004,'Saisie'!$C$5:$C$2004,C460,'Saisie'!$E$5:$E$2004,"Perdu"))</f>
        <v/>
      </c>
      <c r="BS460" s="60">
        <f>IF(C460="","",_xlfn.MAXIFS('Saisie'!$AS$5:$AS$2004,'Saisie'!$C$5:$C$2004,C460,'Saisie'!$AT$5:$AT$2004,"&gt;0"))</f>
        <v/>
      </c>
      <c r="BT460" s="109">
        <f>IF(AND(C460&lt;&gt;"",OR(D460="Nouveau",D460="Contacté",D460="Qualifié"),OR(G460="",N(G460)&lt;=TODAY()),NOT(AND(O460&gt;='Paramètres'!$B$21,P460=0))),E460+456/10000,"")</f>
        <v/>
      </c>
      <c r="BU460" s="60">
        <f>IF(AND(G460&lt;&gt;"",N(G460)&lt;=TODAY()),MAX($BU$4:BU459)+1,"")</f>
        <v/>
      </c>
      <c r="BV460" s="60">
        <f>IF(AND(F460&lt;&gt;"",F460&lt;&gt;"Relance en retard"),MAX($BV$4:BV459)+1,"")</f>
        <v/>
      </c>
      <c r="BW460" s="60">
        <f>IF(C460="","",IF(AND(B460&gt;='Tableau de bord'!$R$4,B460&lt;='Tableau de bord'!$S$4,OR('Tableau de bord'!$G$4="Tous",N460='Tableau de bord'!$G$4)),1,0))</f>
        <v/>
      </c>
      <c r="BX460" s="60">
        <f>IF(AND(C460&lt;&gt;"",N(BA460)=7),MAX($BX$4:BX459)+1,"")</f>
        <v/>
      </c>
    </row>
    <row r="461">
      <c r="A461" s="60">
        <f>IF(C461="","","P-"&amp;TEXT(457,"000"))</f>
        <v/>
      </c>
      <c r="B461" s="106">
        <f>IF(C461="","",IFERROR(1/(1/_xlfn.MINIFS('Saisie'!$A$5:$A$2004,'Saisie'!$C$5:$C$2004,C461)),""))</f>
        <v/>
      </c>
      <c r="C461" s="60">
        <f>IFERROR(INDEX('Saisie'!$C$5:$C$2004,MATCH(457,'Saisie'!$AX$5:$AX$2004,0)),"")</f>
        <v/>
      </c>
      <c r="D461" s="60">
        <f>IF(C461="","",IF(AND(BR461&gt;0,BR461&gt;BS461,BA461&lt;7),"Perdu",INDEX('Paramètres'!$F$6:$F$13,BA461)))</f>
        <v/>
      </c>
      <c r="E461" s="61">
        <f>IF(C461="","",MIN(100,(Z461="Oui")*'Paramètres'!$B$38+(AB461="Régulière")*'Paramètres'!$B$39+IF(AND(N(AA461)&gt;0,TODAY()-N(AA461)&lt;=30),'Paramètres'!$B$40,0)+(W461="")*'Paramètres'!$B$41+(AC461="Absente")*'Paramètres'!$B$42+(AC461="Faible")*'Paramètres'!$B$43+IF(AND(N(AD461)&gt;0,N(AD461)&lt;4),'Paramètres'!$B$44,0)+(AF461="Moyenne")*'Paramètres'!$B$45+(AF461="Grande")*'Paramètres'!$B$46+(Y461&lt;&gt;"")*'Paramètres'!$B$47))</f>
        <v/>
      </c>
      <c r="F461" s="60">
        <f>IF(C461="","",IF(D461="Gagné","",IF(D461="Perdu",IF(AND(AX461&lt;&gt;"",AX461&lt;=TODAY()),"À recontacter (perdu)",""),IF(AND(O461&gt;='Paramètres'!$B$21,P461=0),"Stop : "&amp;'Paramètres'!$B$21&amp;" tentatives sans réponse",IF(AND(D461="Proposition",AR461&lt;&gt;"",TODAY()&gt;N(AR461)),"Proposition expirée",IF(AND(D461="Proposition",N(R461)&gt;='Paramètres'!$B$25),"Proposition sans réponse",IF(AND(G461&lt;&gt;"",N(G461)&lt;TODAY()),"Relance en retard",IF(N(R461)&gt;='Paramètres'!$B$24,"Sans action depuis "&amp;R461&amp;" j",""))))))))</f>
        <v/>
      </c>
      <c r="G461" s="106">
        <f>IF(OR(C461="",D461="Gagné",D461="Perdu"),"",IF(AND(BP461&gt;0,BP461=BQ461),INDEX('Saisie'!$J$5:$J$2004,BP461-4),IF(OR(O461=0,AND(O461&gt;='Paramètres'!$B$21,P461=0)),"",Q461+IF(O461&lt;=1,'Paramètres'!$B$18,IF(O461=2,'Paramètres'!$B$19,'Paramètres'!$B$20)))))</f>
        <v/>
      </c>
      <c r="H461" s="107">
        <f>IF(OR(G461="",BP461&lt;&gt;BQ461),"",IF(INDEX('Saisie'!$K$5:$K$2004,BP461-4)="","",INDEX('Saisie'!$K$5:$K$2004,BP461-4)))</f>
        <v/>
      </c>
      <c r="I461" s="60">
        <f>IF(C461="","",IF(OR(D461="Gagné",D461="Perdu"),"",IFERROR(INDEX('Saisie'!$I$5:$I$2004,_xlfn.MAXIFS('Saisie'!$AS$5:$AS$2004,'Saisie'!$C$5:$C$2004,C461,'Saisie'!$I$5:$I$2004,"&lt;&gt;")-4),"")))</f>
        <v/>
      </c>
      <c r="J461" s="60">
        <f>IF(C461="","",IFERROR(INDEX('Saisie'!$U$5:$U$2004,_xlfn.MAXIFS('Saisie'!$AS$5:$AS$2004,'Saisie'!$C$5:$C$2004,C461,'Saisie'!$U$5:$U$2004,"&lt;&gt;")-4),""))</f>
        <v/>
      </c>
      <c r="K461" s="60">
        <f>IF(C461="","",IFERROR(INDEX('Saisie'!$W$5:$W$2004,_xlfn.MAXIFS('Saisie'!$AS$5:$AS$2004,'Saisie'!$C$5:$C$2004,C461,'Saisie'!$W$5:$W$2004,"&lt;&gt;")-4),""))</f>
        <v/>
      </c>
      <c r="L461" s="60">
        <f>IF(IF(BB461&lt;&gt;"",BB461,K461)="","",HYPERLINK("https://wa.me/"&amp;IF(LEFT(SUBSTITUTE(SUBSTITUTE(SUBSTITUTE(IF(BB461&lt;&gt;"",BB461,K461)," ",""),".",""),"+",""),1)="0",'Paramètres'!$B$35&amp;MID(SUBSTITUTE(SUBSTITUTE(SUBSTITUTE(IF(BB461&lt;&gt;"",BB461,K461)," ",""),".",""),"+",""),2,20),SUBSTITUTE(SUBSTITUTE(SUBSTITUTE(IF(BB461&lt;&gt;"",BB461,K461)," ",""),".",""),"+","")),"WhatsApp"))</f>
        <v/>
      </c>
      <c r="M461" s="60">
        <f>IF(BC461="","",HYPERLINK(IF(LEFT(BC461,4)="http",BC461,"https://www.instagram.com/"&amp;SUBSTITUTE(SUBSTITUTE(BC461,"@","")," ","")),BC461))</f>
        <v/>
      </c>
      <c r="N461" s="60">
        <f>IF(C461="","",IFERROR(INDEX('Saisie'!$D$5:$D$2004,_xlfn.MINIFS('Saisie'!$AS$5:$AS$2004,'Saisie'!$C$5:$C$2004,C461,'Saisie'!$AU$5:$AU$2004,1)-4),IFERROR(INDEX('Saisie'!$D$5:$D$2004,_xlfn.MINIFS('Saisie'!$AS$5:$AS$2004,'Saisie'!$C$5:$C$2004,C461,'Saisie'!$D$5:$D$2004,"&lt;&gt;")-4),"")))</f>
        <v/>
      </c>
      <c r="O461" s="60">
        <f>IF(C461="","",COUNTIFS('Saisie'!$C$5:$C$2004,C461,'Saisie'!$AU$5:$AU$2004,1))</f>
        <v/>
      </c>
      <c r="P461" s="60">
        <f>IF(C461="","",COUNTIFS('Saisie'!$C$5:$C$2004,C461,'Saisie'!$AV$5:$AV$2004,1))</f>
        <v/>
      </c>
      <c r="Q461" s="106">
        <f>IF(C461="","",IFERROR(1/(1/_xlfn.MAXIFS('Saisie'!$A$5:$A$2004,'Saisie'!$C$5:$C$2004,C461)),""))</f>
        <v/>
      </c>
      <c r="R461" s="61">
        <f>IF(C461="","",IF(Q461="","",TODAY()-Q461))</f>
        <v/>
      </c>
      <c r="S461" s="60">
        <f>IF(C461="","",IFERROR(INDEX('Saisie'!$R$5:$R$2004,_xlfn.MAXIFS('Saisie'!$AS$5:$AS$2004,'Saisie'!$C$5:$C$2004,C461,'Saisie'!$R$5:$R$2004,"&lt;&gt;")-4),""))</f>
        <v/>
      </c>
      <c r="T461" s="60">
        <f>IF(C461="","",IFERROR(INDEX('Saisie'!$S$5:$S$2004,_xlfn.MAXIFS('Saisie'!$AS$5:$AS$2004,'Saisie'!$C$5:$C$2004,C461,'Saisie'!$S$5:$S$2004,"&lt;&gt;")-4),""))</f>
        <v/>
      </c>
      <c r="U461" s="60">
        <f>IF(C461="","",IFERROR(INDEX('Saisie'!$T$5:$T$2004,_xlfn.MAXIFS('Saisie'!$AS$5:$AS$2004,'Saisie'!$C$5:$C$2004,C461,'Saisie'!$T$5:$T$2004,"&lt;&gt;")-4),""))</f>
        <v/>
      </c>
      <c r="V461" s="60">
        <f>IF(C461="","",IFERROR(INDEX('Saisie'!$V$5:$V$2004,_xlfn.MAXIFS('Saisie'!$AS$5:$AS$2004,'Saisie'!$C$5:$C$2004,C461,'Saisie'!$V$5:$V$2004,"&lt;&gt;")-4),""))</f>
        <v/>
      </c>
      <c r="W461" s="60">
        <f>IF(C461="","",IFERROR(INDEX('Saisie'!$Z$5:$Z$2004,_xlfn.MAXIFS('Saisie'!$AS$5:$AS$2004,'Saisie'!$C$5:$C$2004,C461,'Saisie'!$Z$5:$Z$2004,"&lt;&gt;")-4),""))</f>
        <v/>
      </c>
      <c r="X461" s="60">
        <f>IF(C461="","",IFERROR(INDEX('Saisie'!$AA$5:$AA$2004,_xlfn.MAXIFS('Saisie'!$AS$5:$AS$2004,'Saisie'!$C$5:$C$2004,C461,'Saisie'!$AA$5:$AA$2004,"&lt;&gt;")-4),""))</f>
        <v/>
      </c>
      <c r="Y461" s="60">
        <f>IF(C461="","",IFERROR(INDEX('Saisie'!$AB$5:$AB$2004,_xlfn.MAXIFS('Saisie'!$AS$5:$AS$2004,'Saisie'!$C$5:$C$2004,C461,'Saisie'!$AB$5:$AB$2004,"&lt;&gt;")-4),""))</f>
        <v/>
      </c>
      <c r="Z461" s="60">
        <f>IF(C461="","",IFERROR(INDEX('Saisie'!$AC$5:$AC$2004,_xlfn.MAXIFS('Saisie'!$AS$5:$AS$2004,'Saisie'!$C$5:$C$2004,C461,'Saisie'!$AC$5:$AC$2004,"&lt;&gt;")-4),""))</f>
        <v/>
      </c>
      <c r="AA461" s="106">
        <f>IF(C461="","",IFERROR(INDEX('Saisie'!$AD$5:$AD$2004,_xlfn.MAXIFS('Saisie'!$AS$5:$AS$2004,'Saisie'!$C$5:$C$2004,C461,'Saisie'!$AD$5:$AD$2004,"&lt;&gt;")-4),""))</f>
        <v/>
      </c>
      <c r="AB461" s="60">
        <f>IF(C461="","",IFERROR(INDEX('Saisie'!$AE$5:$AE$2004,_xlfn.MAXIFS('Saisie'!$AS$5:$AS$2004,'Saisie'!$C$5:$C$2004,C461,'Saisie'!$AE$5:$AE$2004,"&lt;&gt;")-4),""))</f>
        <v/>
      </c>
      <c r="AC461" s="60">
        <f>IF(C461="","",IFERROR(INDEX('Saisie'!$AF$5:$AF$2004,_xlfn.MAXIFS('Saisie'!$AS$5:$AS$2004,'Saisie'!$C$5:$C$2004,C461,'Saisie'!$AF$5:$AF$2004,"&lt;&gt;")-4),""))</f>
        <v/>
      </c>
      <c r="AD461" s="108">
        <f>IF(C461="","",IFERROR(INDEX('Saisie'!$AG$5:$AG$2004,_xlfn.MAXIFS('Saisie'!$AS$5:$AS$2004,'Saisie'!$C$5:$C$2004,C461,'Saisie'!$AG$5:$AG$2004,"&lt;&gt;")-4),""))</f>
        <v/>
      </c>
      <c r="AE461" s="60">
        <f>IF(C461="","",IFERROR(INDEX('Saisie'!$AH$5:$AH$2004,_xlfn.MAXIFS('Saisie'!$AS$5:$AS$2004,'Saisie'!$C$5:$C$2004,C461,'Saisie'!$AH$5:$AH$2004,"&lt;&gt;")-4),""))</f>
        <v/>
      </c>
      <c r="AF461" s="60">
        <f>IF(C461="","",IFERROR(INDEX('Saisie'!$AI$5:$AI$2004,_xlfn.MAXIFS('Saisie'!$AS$5:$AS$2004,'Saisie'!$C$5:$C$2004,C461,'Saisie'!$AI$5:$AI$2004,"&lt;&gt;")-4),""))</f>
        <v/>
      </c>
      <c r="AG461" s="60">
        <f>IF(C461="","",IFERROR(INDEX('Saisie'!$AJ$5:$AJ$2004,_xlfn.MAXIFS('Saisie'!$AS$5:$AS$2004,'Saisie'!$C$5:$C$2004,C461,'Saisie'!$AJ$5:$AJ$2004,"&lt;&gt;")-4),""))</f>
        <v/>
      </c>
      <c r="AH461" s="60">
        <f>IF(C461="","",IFERROR(INDEX('Saisie'!$AK$5:$AK$2004,_xlfn.MAXIFS('Saisie'!$AS$5:$AS$2004,'Saisie'!$C$5:$C$2004,C461,'Saisie'!$AK$5:$AK$2004,"&lt;&gt;")-4),""))</f>
        <v/>
      </c>
      <c r="AI461" s="60">
        <f>IF(C461="","",IFERROR(INDEX('Saisie'!$AN$5:$AN$2004,_xlfn.MAXIFS('Saisie'!$AS$5:$AS$2004,'Saisie'!$C$5:$C$2004,C461,'Saisie'!$AN$5:$AN$2004,"&lt;&gt;")-4),""))</f>
        <v/>
      </c>
      <c r="AJ461" s="60">
        <f>IF(C461="","",IFERROR(INDEX('Saisie'!$AO$5:$AO$2004,_xlfn.MAXIFS('Saisie'!$AS$5:$AS$2004,'Saisie'!$C$5:$C$2004,C461,'Saisie'!$AO$5:$AO$2004,"&lt;&gt;")-4),""))</f>
        <v/>
      </c>
      <c r="AK461" s="60">
        <f>IF(C461="","",IFERROR(INDEX('Saisie'!$AP$5:$AP$2004,_xlfn.MAXIFS('Saisie'!$AS$5:$AS$2004,'Saisie'!$C$5:$C$2004,C461,'Saisie'!$AP$5:$AP$2004,"&lt;&gt;")-4),""))</f>
        <v/>
      </c>
      <c r="AL461" s="60">
        <f>IF(C461="","",IFERROR(INDEX('Saisie'!$AQ$5:$AQ$2004,_xlfn.MAXIFS('Saisie'!$AS$5:$AS$2004,'Saisie'!$C$5:$C$2004,C461,'Saisie'!$AQ$5:$AQ$2004,"&lt;&gt;")-4),""))</f>
        <v/>
      </c>
      <c r="AM461" s="60">
        <f>IF(C461="","",((AI461="Oui")+(AJ461="Oui")+(AK461="Oui")+OR(AL461="Immédiat",AL461="&lt; 1 mois"))&amp;"/4")</f>
        <v/>
      </c>
      <c r="AN461" s="60">
        <f>IF(C461="","",IFERROR(INDEX('Saisie'!$AL$5:$AL$2004,_xlfn.MAXIFS('Saisie'!$AS$5:$AS$2004,'Saisie'!$C$5:$C$2004,C461,'Saisie'!$AL$5:$AL$2004,"&lt;&gt;")-4),""))</f>
        <v/>
      </c>
      <c r="AO461" s="62">
        <f>IF(C461="","",IF(IFERROR(INDEX('Saisie'!$AM$5:$AM$2004,_xlfn.MAXIFS('Saisie'!$AS$5:$AS$2004,'Saisie'!$C$5:$C$2004,C461,'Saisie'!$AM$5:$AM$2004,"&lt;&gt;")-4),"")&lt;&gt;"",IFERROR(INDEX('Saisie'!$AM$5:$AM$2004,_xlfn.MAXIFS('Saisie'!$AS$5:$AS$2004,'Saisie'!$C$5:$C$2004,C461,'Saisie'!$AM$5:$AM$2004,"&lt;&gt;")-4),""),IFERROR(INDEX('Paramètres'!$S$6:$S$15,MATCH(AN461,'Paramètres'!$Q$6:$Q$15,0)),"")))</f>
        <v/>
      </c>
      <c r="AP461" s="62">
        <f>IF(C461="","",IFERROR(INDEX('Saisie'!$AW$5:$AW$2004,_xlfn.MAXIFS('Saisie'!$AS$5:$AS$2004,'Saisie'!$C$5:$C$2004,C461,'Saisie'!$E$5:$E$2004,"Proposition envoyée")-4),""))</f>
        <v/>
      </c>
      <c r="AQ461" s="106">
        <f>IF(C461="","",IFERROR(1/(1/_xlfn.MAXIFS('Saisie'!$A$5:$A$2004,'Saisie'!$C$5:$C$2004,C461,'Saisie'!$E$5:$E$2004,"Proposition envoyée")),""))</f>
        <v/>
      </c>
      <c r="AR461" s="106">
        <f>IF(C461="","",IF(AQ461="","",AQ461+'Paramètres'!$B$26))</f>
        <v/>
      </c>
      <c r="AS461" s="62">
        <f>IF(OR(C461="",D461="Gagné",D461="Perdu"),0,N(AP461)*IFERROR(INDEX('Paramètres'!$G$6:$G$13,MATCH(D461,'Paramètres'!$F$6:$F$13,0)),0))</f>
        <v/>
      </c>
      <c r="AT461" s="106">
        <f>IF(C461="","",IFERROR(1/(1/_xlfn.MINIFS('Saisie'!$A$5:$A$2004,'Saisie'!$C$5:$C$2004,C461,'Saisie'!$E$5:$E$2004,"Signature")),""))</f>
        <v/>
      </c>
      <c r="AU461" s="60">
        <f>IF(C461="","",IF(OR(AT461="",B461=""),"",AT461-B461))</f>
        <v/>
      </c>
      <c r="AV461" s="60">
        <f>IF(C461="","",IFERROR(INDEX('Saisie'!$L$5:$L$2004,_xlfn.MAXIFS('Saisie'!$AS$5:$AS$2004,'Saisie'!$C$5:$C$2004,C461,'Saisie'!$L$5:$L$2004,"&lt;&gt;")-4),""))</f>
        <v/>
      </c>
      <c r="AW461" s="106">
        <f>IF(C461="","",IF(D461&lt;&gt;"Perdu","",IFERROR(1/(1/_xlfn.MAXIFS('Saisie'!$A$5:$A$2004,'Saisie'!$C$5:$C$2004,C461,'Saisie'!$E$5:$E$2004,"Perdu")),"")))</f>
        <v/>
      </c>
      <c r="AX461" s="106">
        <f>IF(C461="","",IF(AW461="","",AW461+'Paramètres'!$B$28))</f>
        <v/>
      </c>
      <c r="AY461" s="60">
        <f>IF(C461="","",SUMIFS('Saisie'!$H$5:$H$2004,'Saisie'!$C$5:$C$2004,C461))</f>
        <v/>
      </c>
      <c r="AZ461" s="60">
        <f>IF(C461="","",IFERROR(INDEX('Paramètres'!$W$6:$W$20,MATCH(S461,'Paramètres'!$V$6:$V$20,0))&amp;"",""))</f>
        <v/>
      </c>
      <c r="BA461" s="60">
        <f>IF(C461="","",MAX(1,_xlfn.MAXIFS('Saisie'!$AT$5:$AT$2004,'Saisie'!$C$5:$C$2004,C461)))</f>
        <v/>
      </c>
      <c r="BB461" s="60">
        <f>IF(C461="","",IFERROR(INDEX('Saisie'!$X$5:$X$2004,_xlfn.MAXIFS('Saisie'!$AS$5:$AS$2004,'Saisie'!$C$5:$C$2004,C461,'Saisie'!$X$5:$X$2004,"&lt;&gt;")-4),""))</f>
        <v/>
      </c>
      <c r="BC461" s="60">
        <f>IF(C461="","",IFERROR(INDEX('Saisie'!$Y$5:$Y$2004,_xlfn.MAXIFS('Saisie'!$AS$5:$AS$2004,'Saisie'!$C$5:$C$2004,C461,'Saisie'!$Y$5:$Y$2004,"&lt;&gt;")-4),""))</f>
        <v/>
      </c>
      <c r="BD461" s="106">
        <f>IF(C461="","",IFERROR(1/(1/_xlfn.MINIFS('Saisie'!$A$5:$A$2004,'Saisie'!$C$5:$C$2004,C461,'Saisie'!$AT$5:$AT$2004,"&gt;=2")),""))</f>
        <v/>
      </c>
      <c r="BE461" s="106">
        <f>IF(C461="","",IFERROR(1/(1/_xlfn.MINIFS('Saisie'!$A$5:$A$2004,'Saisie'!$C$5:$C$2004,C461,'Saisie'!$AT$5:$AT$2004,"&gt;=3")),""))</f>
        <v/>
      </c>
      <c r="BF461" s="106">
        <f>IF(C461="","",IFERROR(1/(1/_xlfn.MINIFS('Saisie'!$A$5:$A$2004,'Saisie'!$C$5:$C$2004,C461,'Saisie'!$AT$5:$AT$2004,"&gt;=4")),""))</f>
        <v/>
      </c>
      <c r="BG461" s="106">
        <f>IF(C461="","",IFERROR(1/(1/_xlfn.MINIFS('Saisie'!$A$5:$A$2004,'Saisie'!$C$5:$C$2004,C461,'Saisie'!$AT$5:$AT$2004,"&gt;=5")),""))</f>
        <v/>
      </c>
      <c r="BH461" s="106">
        <f>IF(C461="","",IFERROR(1/(1/_xlfn.MINIFS('Saisie'!$A$5:$A$2004,'Saisie'!$C$5:$C$2004,C461,'Saisie'!$AT$5:$AT$2004,"&gt;=6")),""))</f>
        <v/>
      </c>
      <c r="BI461" s="106">
        <f>IF(C461="","",IFERROR(1/(1/_xlfn.MINIFS('Saisie'!$A$5:$A$2004,'Saisie'!$C$5:$C$2004,C461,'Saisie'!$AT$5:$AT$2004,"&gt;=7")),""))</f>
        <v/>
      </c>
      <c r="BJ461" s="60">
        <f>IF(OR(BD461="",B461=""),"",BD461-B461)</f>
        <v/>
      </c>
      <c r="BK461" s="60">
        <f>IF(OR(BE461="",BD461=""),"",BE461-BD461)</f>
        <v/>
      </c>
      <c r="BL461" s="60">
        <f>IF(OR(BF461="",BE461=""),"",BF461-BE461)</f>
        <v/>
      </c>
      <c r="BM461" s="60">
        <f>IF(OR(BG461="",BF461=""),"",BG461-BF461)</f>
        <v/>
      </c>
      <c r="BN461" s="60">
        <f>IF(OR(BH461="",BG461=""),"",BH461-BG461)</f>
        <v/>
      </c>
      <c r="BO461" s="60">
        <f>IF(OR(BI461="",BH461=""),"",BI461-BH461)</f>
        <v/>
      </c>
      <c r="BP461" s="60">
        <f>IF(C461="","",_xlfn.MAXIFS('Saisie'!$AS$5:$AS$2004,'Saisie'!$C$5:$C$2004,C461,'Saisie'!$J$5:$J$2004,"&lt;&gt;"))</f>
        <v/>
      </c>
      <c r="BQ461" s="60">
        <f>IF(C461="","",_xlfn.MAXIFS('Saisie'!$AS$5:$AS$2004,'Saisie'!$C$5:$C$2004,C461))</f>
        <v/>
      </c>
      <c r="BR461" s="60">
        <f>IF(C461="","",_xlfn.MAXIFS('Saisie'!$AS$5:$AS$2004,'Saisie'!$C$5:$C$2004,C461,'Saisie'!$E$5:$E$2004,"Perdu"))</f>
        <v/>
      </c>
      <c r="BS461" s="60">
        <f>IF(C461="","",_xlfn.MAXIFS('Saisie'!$AS$5:$AS$2004,'Saisie'!$C$5:$C$2004,C461,'Saisie'!$AT$5:$AT$2004,"&gt;0"))</f>
        <v/>
      </c>
      <c r="BT461" s="109">
        <f>IF(AND(C461&lt;&gt;"",OR(D461="Nouveau",D461="Contacté",D461="Qualifié"),OR(G461="",N(G461)&lt;=TODAY()),NOT(AND(O461&gt;='Paramètres'!$B$21,P461=0))),E461+457/10000,"")</f>
        <v/>
      </c>
      <c r="BU461" s="60">
        <f>IF(AND(G461&lt;&gt;"",N(G461)&lt;=TODAY()),MAX($BU$4:BU460)+1,"")</f>
        <v/>
      </c>
      <c r="BV461" s="60">
        <f>IF(AND(F461&lt;&gt;"",F461&lt;&gt;"Relance en retard"),MAX($BV$4:BV460)+1,"")</f>
        <v/>
      </c>
      <c r="BW461" s="60">
        <f>IF(C461="","",IF(AND(B461&gt;='Tableau de bord'!$R$4,B461&lt;='Tableau de bord'!$S$4,OR('Tableau de bord'!$G$4="Tous",N461='Tableau de bord'!$G$4)),1,0))</f>
        <v/>
      </c>
      <c r="BX461" s="60">
        <f>IF(AND(C461&lt;&gt;"",N(BA461)=7),MAX($BX$4:BX460)+1,"")</f>
        <v/>
      </c>
    </row>
    <row r="462">
      <c r="A462" s="60">
        <f>IF(C462="","","P-"&amp;TEXT(458,"000"))</f>
        <v/>
      </c>
      <c r="B462" s="106">
        <f>IF(C462="","",IFERROR(1/(1/_xlfn.MINIFS('Saisie'!$A$5:$A$2004,'Saisie'!$C$5:$C$2004,C462)),""))</f>
        <v/>
      </c>
      <c r="C462" s="60">
        <f>IFERROR(INDEX('Saisie'!$C$5:$C$2004,MATCH(458,'Saisie'!$AX$5:$AX$2004,0)),"")</f>
        <v/>
      </c>
      <c r="D462" s="60">
        <f>IF(C462="","",IF(AND(BR462&gt;0,BR462&gt;BS462,BA462&lt;7),"Perdu",INDEX('Paramètres'!$F$6:$F$13,BA462)))</f>
        <v/>
      </c>
      <c r="E462" s="61">
        <f>IF(C462="","",MIN(100,(Z462="Oui")*'Paramètres'!$B$38+(AB462="Régulière")*'Paramètres'!$B$39+IF(AND(N(AA462)&gt;0,TODAY()-N(AA462)&lt;=30),'Paramètres'!$B$40,0)+(W462="")*'Paramètres'!$B$41+(AC462="Absente")*'Paramètres'!$B$42+(AC462="Faible")*'Paramètres'!$B$43+IF(AND(N(AD462)&gt;0,N(AD462)&lt;4),'Paramètres'!$B$44,0)+(AF462="Moyenne")*'Paramètres'!$B$45+(AF462="Grande")*'Paramètres'!$B$46+(Y462&lt;&gt;"")*'Paramètres'!$B$47))</f>
        <v/>
      </c>
      <c r="F462" s="60">
        <f>IF(C462="","",IF(D462="Gagné","",IF(D462="Perdu",IF(AND(AX462&lt;&gt;"",AX462&lt;=TODAY()),"À recontacter (perdu)",""),IF(AND(O462&gt;='Paramètres'!$B$21,P462=0),"Stop : "&amp;'Paramètres'!$B$21&amp;" tentatives sans réponse",IF(AND(D462="Proposition",AR462&lt;&gt;"",TODAY()&gt;N(AR462)),"Proposition expirée",IF(AND(D462="Proposition",N(R462)&gt;='Paramètres'!$B$25),"Proposition sans réponse",IF(AND(G462&lt;&gt;"",N(G462)&lt;TODAY()),"Relance en retard",IF(N(R462)&gt;='Paramètres'!$B$24,"Sans action depuis "&amp;R462&amp;" j",""))))))))</f>
        <v/>
      </c>
      <c r="G462" s="106">
        <f>IF(OR(C462="",D462="Gagné",D462="Perdu"),"",IF(AND(BP462&gt;0,BP462=BQ462),INDEX('Saisie'!$J$5:$J$2004,BP462-4),IF(OR(O462=0,AND(O462&gt;='Paramètres'!$B$21,P462=0)),"",Q462+IF(O462&lt;=1,'Paramètres'!$B$18,IF(O462=2,'Paramètres'!$B$19,'Paramètres'!$B$20)))))</f>
        <v/>
      </c>
      <c r="H462" s="107">
        <f>IF(OR(G462="",BP462&lt;&gt;BQ462),"",IF(INDEX('Saisie'!$K$5:$K$2004,BP462-4)="","",INDEX('Saisie'!$K$5:$K$2004,BP462-4)))</f>
        <v/>
      </c>
      <c r="I462" s="60">
        <f>IF(C462="","",IF(OR(D462="Gagné",D462="Perdu"),"",IFERROR(INDEX('Saisie'!$I$5:$I$2004,_xlfn.MAXIFS('Saisie'!$AS$5:$AS$2004,'Saisie'!$C$5:$C$2004,C462,'Saisie'!$I$5:$I$2004,"&lt;&gt;")-4),"")))</f>
        <v/>
      </c>
      <c r="J462" s="60">
        <f>IF(C462="","",IFERROR(INDEX('Saisie'!$U$5:$U$2004,_xlfn.MAXIFS('Saisie'!$AS$5:$AS$2004,'Saisie'!$C$5:$C$2004,C462,'Saisie'!$U$5:$U$2004,"&lt;&gt;")-4),""))</f>
        <v/>
      </c>
      <c r="K462" s="60">
        <f>IF(C462="","",IFERROR(INDEX('Saisie'!$W$5:$W$2004,_xlfn.MAXIFS('Saisie'!$AS$5:$AS$2004,'Saisie'!$C$5:$C$2004,C462,'Saisie'!$W$5:$W$2004,"&lt;&gt;")-4),""))</f>
        <v/>
      </c>
      <c r="L462" s="60">
        <f>IF(IF(BB462&lt;&gt;"",BB462,K462)="","",HYPERLINK("https://wa.me/"&amp;IF(LEFT(SUBSTITUTE(SUBSTITUTE(SUBSTITUTE(IF(BB462&lt;&gt;"",BB462,K462)," ",""),".",""),"+",""),1)="0",'Paramètres'!$B$35&amp;MID(SUBSTITUTE(SUBSTITUTE(SUBSTITUTE(IF(BB462&lt;&gt;"",BB462,K462)," ",""),".",""),"+",""),2,20),SUBSTITUTE(SUBSTITUTE(SUBSTITUTE(IF(BB462&lt;&gt;"",BB462,K462)," ",""),".",""),"+","")),"WhatsApp"))</f>
        <v/>
      </c>
      <c r="M462" s="60">
        <f>IF(BC462="","",HYPERLINK(IF(LEFT(BC462,4)="http",BC462,"https://www.instagram.com/"&amp;SUBSTITUTE(SUBSTITUTE(BC462,"@","")," ","")),BC462))</f>
        <v/>
      </c>
      <c r="N462" s="60">
        <f>IF(C462="","",IFERROR(INDEX('Saisie'!$D$5:$D$2004,_xlfn.MINIFS('Saisie'!$AS$5:$AS$2004,'Saisie'!$C$5:$C$2004,C462,'Saisie'!$AU$5:$AU$2004,1)-4),IFERROR(INDEX('Saisie'!$D$5:$D$2004,_xlfn.MINIFS('Saisie'!$AS$5:$AS$2004,'Saisie'!$C$5:$C$2004,C462,'Saisie'!$D$5:$D$2004,"&lt;&gt;")-4),"")))</f>
        <v/>
      </c>
      <c r="O462" s="60">
        <f>IF(C462="","",COUNTIFS('Saisie'!$C$5:$C$2004,C462,'Saisie'!$AU$5:$AU$2004,1))</f>
        <v/>
      </c>
      <c r="P462" s="60">
        <f>IF(C462="","",COUNTIFS('Saisie'!$C$5:$C$2004,C462,'Saisie'!$AV$5:$AV$2004,1))</f>
        <v/>
      </c>
      <c r="Q462" s="106">
        <f>IF(C462="","",IFERROR(1/(1/_xlfn.MAXIFS('Saisie'!$A$5:$A$2004,'Saisie'!$C$5:$C$2004,C462)),""))</f>
        <v/>
      </c>
      <c r="R462" s="61">
        <f>IF(C462="","",IF(Q462="","",TODAY()-Q462))</f>
        <v/>
      </c>
      <c r="S462" s="60">
        <f>IF(C462="","",IFERROR(INDEX('Saisie'!$R$5:$R$2004,_xlfn.MAXIFS('Saisie'!$AS$5:$AS$2004,'Saisie'!$C$5:$C$2004,C462,'Saisie'!$R$5:$R$2004,"&lt;&gt;")-4),""))</f>
        <v/>
      </c>
      <c r="T462" s="60">
        <f>IF(C462="","",IFERROR(INDEX('Saisie'!$S$5:$S$2004,_xlfn.MAXIFS('Saisie'!$AS$5:$AS$2004,'Saisie'!$C$5:$C$2004,C462,'Saisie'!$S$5:$S$2004,"&lt;&gt;")-4),""))</f>
        <v/>
      </c>
      <c r="U462" s="60">
        <f>IF(C462="","",IFERROR(INDEX('Saisie'!$T$5:$T$2004,_xlfn.MAXIFS('Saisie'!$AS$5:$AS$2004,'Saisie'!$C$5:$C$2004,C462,'Saisie'!$T$5:$T$2004,"&lt;&gt;")-4),""))</f>
        <v/>
      </c>
      <c r="V462" s="60">
        <f>IF(C462="","",IFERROR(INDEX('Saisie'!$V$5:$V$2004,_xlfn.MAXIFS('Saisie'!$AS$5:$AS$2004,'Saisie'!$C$5:$C$2004,C462,'Saisie'!$V$5:$V$2004,"&lt;&gt;")-4),""))</f>
        <v/>
      </c>
      <c r="W462" s="60">
        <f>IF(C462="","",IFERROR(INDEX('Saisie'!$Z$5:$Z$2004,_xlfn.MAXIFS('Saisie'!$AS$5:$AS$2004,'Saisie'!$C$5:$C$2004,C462,'Saisie'!$Z$5:$Z$2004,"&lt;&gt;")-4),""))</f>
        <v/>
      </c>
      <c r="X462" s="60">
        <f>IF(C462="","",IFERROR(INDEX('Saisie'!$AA$5:$AA$2004,_xlfn.MAXIFS('Saisie'!$AS$5:$AS$2004,'Saisie'!$C$5:$C$2004,C462,'Saisie'!$AA$5:$AA$2004,"&lt;&gt;")-4),""))</f>
        <v/>
      </c>
      <c r="Y462" s="60">
        <f>IF(C462="","",IFERROR(INDEX('Saisie'!$AB$5:$AB$2004,_xlfn.MAXIFS('Saisie'!$AS$5:$AS$2004,'Saisie'!$C$5:$C$2004,C462,'Saisie'!$AB$5:$AB$2004,"&lt;&gt;")-4),""))</f>
        <v/>
      </c>
      <c r="Z462" s="60">
        <f>IF(C462="","",IFERROR(INDEX('Saisie'!$AC$5:$AC$2004,_xlfn.MAXIFS('Saisie'!$AS$5:$AS$2004,'Saisie'!$C$5:$C$2004,C462,'Saisie'!$AC$5:$AC$2004,"&lt;&gt;")-4),""))</f>
        <v/>
      </c>
      <c r="AA462" s="106">
        <f>IF(C462="","",IFERROR(INDEX('Saisie'!$AD$5:$AD$2004,_xlfn.MAXIFS('Saisie'!$AS$5:$AS$2004,'Saisie'!$C$5:$C$2004,C462,'Saisie'!$AD$5:$AD$2004,"&lt;&gt;")-4),""))</f>
        <v/>
      </c>
      <c r="AB462" s="60">
        <f>IF(C462="","",IFERROR(INDEX('Saisie'!$AE$5:$AE$2004,_xlfn.MAXIFS('Saisie'!$AS$5:$AS$2004,'Saisie'!$C$5:$C$2004,C462,'Saisie'!$AE$5:$AE$2004,"&lt;&gt;")-4),""))</f>
        <v/>
      </c>
      <c r="AC462" s="60">
        <f>IF(C462="","",IFERROR(INDEX('Saisie'!$AF$5:$AF$2004,_xlfn.MAXIFS('Saisie'!$AS$5:$AS$2004,'Saisie'!$C$5:$C$2004,C462,'Saisie'!$AF$5:$AF$2004,"&lt;&gt;")-4),""))</f>
        <v/>
      </c>
      <c r="AD462" s="108">
        <f>IF(C462="","",IFERROR(INDEX('Saisie'!$AG$5:$AG$2004,_xlfn.MAXIFS('Saisie'!$AS$5:$AS$2004,'Saisie'!$C$5:$C$2004,C462,'Saisie'!$AG$5:$AG$2004,"&lt;&gt;")-4),""))</f>
        <v/>
      </c>
      <c r="AE462" s="60">
        <f>IF(C462="","",IFERROR(INDEX('Saisie'!$AH$5:$AH$2004,_xlfn.MAXIFS('Saisie'!$AS$5:$AS$2004,'Saisie'!$C$5:$C$2004,C462,'Saisie'!$AH$5:$AH$2004,"&lt;&gt;")-4),""))</f>
        <v/>
      </c>
      <c r="AF462" s="60">
        <f>IF(C462="","",IFERROR(INDEX('Saisie'!$AI$5:$AI$2004,_xlfn.MAXIFS('Saisie'!$AS$5:$AS$2004,'Saisie'!$C$5:$C$2004,C462,'Saisie'!$AI$5:$AI$2004,"&lt;&gt;")-4),""))</f>
        <v/>
      </c>
      <c r="AG462" s="60">
        <f>IF(C462="","",IFERROR(INDEX('Saisie'!$AJ$5:$AJ$2004,_xlfn.MAXIFS('Saisie'!$AS$5:$AS$2004,'Saisie'!$C$5:$C$2004,C462,'Saisie'!$AJ$5:$AJ$2004,"&lt;&gt;")-4),""))</f>
        <v/>
      </c>
      <c r="AH462" s="60">
        <f>IF(C462="","",IFERROR(INDEX('Saisie'!$AK$5:$AK$2004,_xlfn.MAXIFS('Saisie'!$AS$5:$AS$2004,'Saisie'!$C$5:$C$2004,C462,'Saisie'!$AK$5:$AK$2004,"&lt;&gt;")-4),""))</f>
        <v/>
      </c>
      <c r="AI462" s="60">
        <f>IF(C462="","",IFERROR(INDEX('Saisie'!$AN$5:$AN$2004,_xlfn.MAXIFS('Saisie'!$AS$5:$AS$2004,'Saisie'!$C$5:$C$2004,C462,'Saisie'!$AN$5:$AN$2004,"&lt;&gt;")-4),""))</f>
        <v/>
      </c>
      <c r="AJ462" s="60">
        <f>IF(C462="","",IFERROR(INDEX('Saisie'!$AO$5:$AO$2004,_xlfn.MAXIFS('Saisie'!$AS$5:$AS$2004,'Saisie'!$C$5:$C$2004,C462,'Saisie'!$AO$5:$AO$2004,"&lt;&gt;")-4),""))</f>
        <v/>
      </c>
      <c r="AK462" s="60">
        <f>IF(C462="","",IFERROR(INDEX('Saisie'!$AP$5:$AP$2004,_xlfn.MAXIFS('Saisie'!$AS$5:$AS$2004,'Saisie'!$C$5:$C$2004,C462,'Saisie'!$AP$5:$AP$2004,"&lt;&gt;")-4),""))</f>
        <v/>
      </c>
      <c r="AL462" s="60">
        <f>IF(C462="","",IFERROR(INDEX('Saisie'!$AQ$5:$AQ$2004,_xlfn.MAXIFS('Saisie'!$AS$5:$AS$2004,'Saisie'!$C$5:$C$2004,C462,'Saisie'!$AQ$5:$AQ$2004,"&lt;&gt;")-4),""))</f>
        <v/>
      </c>
      <c r="AM462" s="60">
        <f>IF(C462="","",((AI462="Oui")+(AJ462="Oui")+(AK462="Oui")+OR(AL462="Immédiat",AL462="&lt; 1 mois"))&amp;"/4")</f>
        <v/>
      </c>
      <c r="AN462" s="60">
        <f>IF(C462="","",IFERROR(INDEX('Saisie'!$AL$5:$AL$2004,_xlfn.MAXIFS('Saisie'!$AS$5:$AS$2004,'Saisie'!$C$5:$C$2004,C462,'Saisie'!$AL$5:$AL$2004,"&lt;&gt;")-4),""))</f>
        <v/>
      </c>
      <c r="AO462" s="62">
        <f>IF(C462="","",IF(IFERROR(INDEX('Saisie'!$AM$5:$AM$2004,_xlfn.MAXIFS('Saisie'!$AS$5:$AS$2004,'Saisie'!$C$5:$C$2004,C462,'Saisie'!$AM$5:$AM$2004,"&lt;&gt;")-4),"")&lt;&gt;"",IFERROR(INDEX('Saisie'!$AM$5:$AM$2004,_xlfn.MAXIFS('Saisie'!$AS$5:$AS$2004,'Saisie'!$C$5:$C$2004,C462,'Saisie'!$AM$5:$AM$2004,"&lt;&gt;")-4),""),IFERROR(INDEX('Paramètres'!$S$6:$S$15,MATCH(AN462,'Paramètres'!$Q$6:$Q$15,0)),"")))</f>
        <v/>
      </c>
      <c r="AP462" s="62">
        <f>IF(C462="","",IFERROR(INDEX('Saisie'!$AW$5:$AW$2004,_xlfn.MAXIFS('Saisie'!$AS$5:$AS$2004,'Saisie'!$C$5:$C$2004,C462,'Saisie'!$E$5:$E$2004,"Proposition envoyée")-4),""))</f>
        <v/>
      </c>
      <c r="AQ462" s="106">
        <f>IF(C462="","",IFERROR(1/(1/_xlfn.MAXIFS('Saisie'!$A$5:$A$2004,'Saisie'!$C$5:$C$2004,C462,'Saisie'!$E$5:$E$2004,"Proposition envoyée")),""))</f>
        <v/>
      </c>
      <c r="AR462" s="106">
        <f>IF(C462="","",IF(AQ462="","",AQ462+'Paramètres'!$B$26))</f>
        <v/>
      </c>
      <c r="AS462" s="62">
        <f>IF(OR(C462="",D462="Gagné",D462="Perdu"),0,N(AP462)*IFERROR(INDEX('Paramètres'!$G$6:$G$13,MATCH(D462,'Paramètres'!$F$6:$F$13,0)),0))</f>
        <v/>
      </c>
      <c r="AT462" s="106">
        <f>IF(C462="","",IFERROR(1/(1/_xlfn.MINIFS('Saisie'!$A$5:$A$2004,'Saisie'!$C$5:$C$2004,C462,'Saisie'!$E$5:$E$2004,"Signature")),""))</f>
        <v/>
      </c>
      <c r="AU462" s="60">
        <f>IF(C462="","",IF(OR(AT462="",B462=""),"",AT462-B462))</f>
        <v/>
      </c>
      <c r="AV462" s="60">
        <f>IF(C462="","",IFERROR(INDEX('Saisie'!$L$5:$L$2004,_xlfn.MAXIFS('Saisie'!$AS$5:$AS$2004,'Saisie'!$C$5:$C$2004,C462,'Saisie'!$L$5:$L$2004,"&lt;&gt;")-4),""))</f>
        <v/>
      </c>
      <c r="AW462" s="106">
        <f>IF(C462="","",IF(D462&lt;&gt;"Perdu","",IFERROR(1/(1/_xlfn.MAXIFS('Saisie'!$A$5:$A$2004,'Saisie'!$C$5:$C$2004,C462,'Saisie'!$E$5:$E$2004,"Perdu")),"")))</f>
        <v/>
      </c>
      <c r="AX462" s="106">
        <f>IF(C462="","",IF(AW462="","",AW462+'Paramètres'!$B$28))</f>
        <v/>
      </c>
      <c r="AY462" s="60">
        <f>IF(C462="","",SUMIFS('Saisie'!$H$5:$H$2004,'Saisie'!$C$5:$C$2004,C462))</f>
        <v/>
      </c>
      <c r="AZ462" s="60">
        <f>IF(C462="","",IFERROR(INDEX('Paramètres'!$W$6:$W$20,MATCH(S462,'Paramètres'!$V$6:$V$20,0))&amp;"",""))</f>
        <v/>
      </c>
      <c r="BA462" s="60">
        <f>IF(C462="","",MAX(1,_xlfn.MAXIFS('Saisie'!$AT$5:$AT$2004,'Saisie'!$C$5:$C$2004,C462)))</f>
        <v/>
      </c>
      <c r="BB462" s="60">
        <f>IF(C462="","",IFERROR(INDEX('Saisie'!$X$5:$X$2004,_xlfn.MAXIFS('Saisie'!$AS$5:$AS$2004,'Saisie'!$C$5:$C$2004,C462,'Saisie'!$X$5:$X$2004,"&lt;&gt;")-4),""))</f>
        <v/>
      </c>
      <c r="BC462" s="60">
        <f>IF(C462="","",IFERROR(INDEX('Saisie'!$Y$5:$Y$2004,_xlfn.MAXIFS('Saisie'!$AS$5:$AS$2004,'Saisie'!$C$5:$C$2004,C462,'Saisie'!$Y$5:$Y$2004,"&lt;&gt;")-4),""))</f>
        <v/>
      </c>
      <c r="BD462" s="106">
        <f>IF(C462="","",IFERROR(1/(1/_xlfn.MINIFS('Saisie'!$A$5:$A$2004,'Saisie'!$C$5:$C$2004,C462,'Saisie'!$AT$5:$AT$2004,"&gt;=2")),""))</f>
        <v/>
      </c>
      <c r="BE462" s="106">
        <f>IF(C462="","",IFERROR(1/(1/_xlfn.MINIFS('Saisie'!$A$5:$A$2004,'Saisie'!$C$5:$C$2004,C462,'Saisie'!$AT$5:$AT$2004,"&gt;=3")),""))</f>
        <v/>
      </c>
      <c r="BF462" s="106">
        <f>IF(C462="","",IFERROR(1/(1/_xlfn.MINIFS('Saisie'!$A$5:$A$2004,'Saisie'!$C$5:$C$2004,C462,'Saisie'!$AT$5:$AT$2004,"&gt;=4")),""))</f>
        <v/>
      </c>
      <c r="BG462" s="106">
        <f>IF(C462="","",IFERROR(1/(1/_xlfn.MINIFS('Saisie'!$A$5:$A$2004,'Saisie'!$C$5:$C$2004,C462,'Saisie'!$AT$5:$AT$2004,"&gt;=5")),""))</f>
        <v/>
      </c>
      <c r="BH462" s="106">
        <f>IF(C462="","",IFERROR(1/(1/_xlfn.MINIFS('Saisie'!$A$5:$A$2004,'Saisie'!$C$5:$C$2004,C462,'Saisie'!$AT$5:$AT$2004,"&gt;=6")),""))</f>
        <v/>
      </c>
      <c r="BI462" s="106">
        <f>IF(C462="","",IFERROR(1/(1/_xlfn.MINIFS('Saisie'!$A$5:$A$2004,'Saisie'!$C$5:$C$2004,C462,'Saisie'!$AT$5:$AT$2004,"&gt;=7")),""))</f>
        <v/>
      </c>
      <c r="BJ462" s="60">
        <f>IF(OR(BD462="",B462=""),"",BD462-B462)</f>
        <v/>
      </c>
      <c r="BK462" s="60">
        <f>IF(OR(BE462="",BD462=""),"",BE462-BD462)</f>
        <v/>
      </c>
      <c r="BL462" s="60">
        <f>IF(OR(BF462="",BE462=""),"",BF462-BE462)</f>
        <v/>
      </c>
      <c r="BM462" s="60">
        <f>IF(OR(BG462="",BF462=""),"",BG462-BF462)</f>
        <v/>
      </c>
      <c r="BN462" s="60">
        <f>IF(OR(BH462="",BG462=""),"",BH462-BG462)</f>
        <v/>
      </c>
      <c r="BO462" s="60">
        <f>IF(OR(BI462="",BH462=""),"",BI462-BH462)</f>
        <v/>
      </c>
      <c r="BP462" s="60">
        <f>IF(C462="","",_xlfn.MAXIFS('Saisie'!$AS$5:$AS$2004,'Saisie'!$C$5:$C$2004,C462,'Saisie'!$J$5:$J$2004,"&lt;&gt;"))</f>
        <v/>
      </c>
      <c r="BQ462" s="60">
        <f>IF(C462="","",_xlfn.MAXIFS('Saisie'!$AS$5:$AS$2004,'Saisie'!$C$5:$C$2004,C462))</f>
        <v/>
      </c>
      <c r="BR462" s="60">
        <f>IF(C462="","",_xlfn.MAXIFS('Saisie'!$AS$5:$AS$2004,'Saisie'!$C$5:$C$2004,C462,'Saisie'!$E$5:$E$2004,"Perdu"))</f>
        <v/>
      </c>
      <c r="BS462" s="60">
        <f>IF(C462="","",_xlfn.MAXIFS('Saisie'!$AS$5:$AS$2004,'Saisie'!$C$5:$C$2004,C462,'Saisie'!$AT$5:$AT$2004,"&gt;0"))</f>
        <v/>
      </c>
      <c r="BT462" s="109">
        <f>IF(AND(C462&lt;&gt;"",OR(D462="Nouveau",D462="Contacté",D462="Qualifié"),OR(G462="",N(G462)&lt;=TODAY()),NOT(AND(O462&gt;='Paramètres'!$B$21,P462=0))),E462+458/10000,"")</f>
        <v/>
      </c>
      <c r="BU462" s="60">
        <f>IF(AND(G462&lt;&gt;"",N(G462)&lt;=TODAY()),MAX($BU$4:BU461)+1,"")</f>
        <v/>
      </c>
      <c r="BV462" s="60">
        <f>IF(AND(F462&lt;&gt;"",F462&lt;&gt;"Relance en retard"),MAX($BV$4:BV461)+1,"")</f>
        <v/>
      </c>
      <c r="BW462" s="60">
        <f>IF(C462="","",IF(AND(B462&gt;='Tableau de bord'!$R$4,B462&lt;='Tableau de bord'!$S$4,OR('Tableau de bord'!$G$4="Tous",N462='Tableau de bord'!$G$4)),1,0))</f>
        <v/>
      </c>
      <c r="BX462" s="60">
        <f>IF(AND(C462&lt;&gt;"",N(BA462)=7),MAX($BX$4:BX461)+1,"")</f>
        <v/>
      </c>
    </row>
    <row r="463">
      <c r="A463" s="60">
        <f>IF(C463="","","P-"&amp;TEXT(459,"000"))</f>
        <v/>
      </c>
      <c r="B463" s="106">
        <f>IF(C463="","",IFERROR(1/(1/_xlfn.MINIFS('Saisie'!$A$5:$A$2004,'Saisie'!$C$5:$C$2004,C463)),""))</f>
        <v/>
      </c>
      <c r="C463" s="60">
        <f>IFERROR(INDEX('Saisie'!$C$5:$C$2004,MATCH(459,'Saisie'!$AX$5:$AX$2004,0)),"")</f>
        <v/>
      </c>
      <c r="D463" s="60">
        <f>IF(C463="","",IF(AND(BR463&gt;0,BR463&gt;BS463,BA463&lt;7),"Perdu",INDEX('Paramètres'!$F$6:$F$13,BA463)))</f>
        <v/>
      </c>
      <c r="E463" s="61">
        <f>IF(C463="","",MIN(100,(Z463="Oui")*'Paramètres'!$B$38+(AB463="Régulière")*'Paramètres'!$B$39+IF(AND(N(AA463)&gt;0,TODAY()-N(AA463)&lt;=30),'Paramètres'!$B$40,0)+(W463="")*'Paramètres'!$B$41+(AC463="Absente")*'Paramètres'!$B$42+(AC463="Faible")*'Paramètres'!$B$43+IF(AND(N(AD463)&gt;0,N(AD463)&lt;4),'Paramètres'!$B$44,0)+(AF463="Moyenne")*'Paramètres'!$B$45+(AF463="Grande")*'Paramètres'!$B$46+(Y463&lt;&gt;"")*'Paramètres'!$B$47))</f>
        <v/>
      </c>
      <c r="F463" s="60">
        <f>IF(C463="","",IF(D463="Gagné","",IF(D463="Perdu",IF(AND(AX463&lt;&gt;"",AX463&lt;=TODAY()),"À recontacter (perdu)",""),IF(AND(O463&gt;='Paramètres'!$B$21,P463=0),"Stop : "&amp;'Paramètres'!$B$21&amp;" tentatives sans réponse",IF(AND(D463="Proposition",AR463&lt;&gt;"",TODAY()&gt;N(AR463)),"Proposition expirée",IF(AND(D463="Proposition",N(R463)&gt;='Paramètres'!$B$25),"Proposition sans réponse",IF(AND(G463&lt;&gt;"",N(G463)&lt;TODAY()),"Relance en retard",IF(N(R463)&gt;='Paramètres'!$B$24,"Sans action depuis "&amp;R463&amp;" j",""))))))))</f>
        <v/>
      </c>
      <c r="G463" s="106">
        <f>IF(OR(C463="",D463="Gagné",D463="Perdu"),"",IF(AND(BP463&gt;0,BP463=BQ463),INDEX('Saisie'!$J$5:$J$2004,BP463-4),IF(OR(O463=0,AND(O463&gt;='Paramètres'!$B$21,P463=0)),"",Q463+IF(O463&lt;=1,'Paramètres'!$B$18,IF(O463=2,'Paramètres'!$B$19,'Paramètres'!$B$20)))))</f>
        <v/>
      </c>
      <c r="H463" s="107">
        <f>IF(OR(G463="",BP463&lt;&gt;BQ463),"",IF(INDEX('Saisie'!$K$5:$K$2004,BP463-4)="","",INDEX('Saisie'!$K$5:$K$2004,BP463-4)))</f>
        <v/>
      </c>
      <c r="I463" s="60">
        <f>IF(C463="","",IF(OR(D463="Gagné",D463="Perdu"),"",IFERROR(INDEX('Saisie'!$I$5:$I$2004,_xlfn.MAXIFS('Saisie'!$AS$5:$AS$2004,'Saisie'!$C$5:$C$2004,C463,'Saisie'!$I$5:$I$2004,"&lt;&gt;")-4),"")))</f>
        <v/>
      </c>
      <c r="J463" s="60">
        <f>IF(C463="","",IFERROR(INDEX('Saisie'!$U$5:$U$2004,_xlfn.MAXIFS('Saisie'!$AS$5:$AS$2004,'Saisie'!$C$5:$C$2004,C463,'Saisie'!$U$5:$U$2004,"&lt;&gt;")-4),""))</f>
        <v/>
      </c>
      <c r="K463" s="60">
        <f>IF(C463="","",IFERROR(INDEX('Saisie'!$W$5:$W$2004,_xlfn.MAXIFS('Saisie'!$AS$5:$AS$2004,'Saisie'!$C$5:$C$2004,C463,'Saisie'!$W$5:$W$2004,"&lt;&gt;")-4),""))</f>
        <v/>
      </c>
      <c r="L463" s="60">
        <f>IF(IF(BB463&lt;&gt;"",BB463,K463)="","",HYPERLINK("https://wa.me/"&amp;IF(LEFT(SUBSTITUTE(SUBSTITUTE(SUBSTITUTE(IF(BB463&lt;&gt;"",BB463,K463)," ",""),".",""),"+",""),1)="0",'Paramètres'!$B$35&amp;MID(SUBSTITUTE(SUBSTITUTE(SUBSTITUTE(IF(BB463&lt;&gt;"",BB463,K463)," ",""),".",""),"+",""),2,20),SUBSTITUTE(SUBSTITUTE(SUBSTITUTE(IF(BB463&lt;&gt;"",BB463,K463)," ",""),".",""),"+","")),"WhatsApp"))</f>
        <v/>
      </c>
      <c r="M463" s="60">
        <f>IF(BC463="","",HYPERLINK(IF(LEFT(BC463,4)="http",BC463,"https://www.instagram.com/"&amp;SUBSTITUTE(SUBSTITUTE(BC463,"@","")," ","")),BC463))</f>
        <v/>
      </c>
      <c r="N463" s="60">
        <f>IF(C463="","",IFERROR(INDEX('Saisie'!$D$5:$D$2004,_xlfn.MINIFS('Saisie'!$AS$5:$AS$2004,'Saisie'!$C$5:$C$2004,C463,'Saisie'!$AU$5:$AU$2004,1)-4),IFERROR(INDEX('Saisie'!$D$5:$D$2004,_xlfn.MINIFS('Saisie'!$AS$5:$AS$2004,'Saisie'!$C$5:$C$2004,C463,'Saisie'!$D$5:$D$2004,"&lt;&gt;")-4),"")))</f>
        <v/>
      </c>
      <c r="O463" s="60">
        <f>IF(C463="","",COUNTIFS('Saisie'!$C$5:$C$2004,C463,'Saisie'!$AU$5:$AU$2004,1))</f>
        <v/>
      </c>
      <c r="P463" s="60">
        <f>IF(C463="","",COUNTIFS('Saisie'!$C$5:$C$2004,C463,'Saisie'!$AV$5:$AV$2004,1))</f>
        <v/>
      </c>
      <c r="Q463" s="106">
        <f>IF(C463="","",IFERROR(1/(1/_xlfn.MAXIFS('Saisie'!$A$5:$A$2004,'Saisie'!$C$5:$C$2004,C463)),""))</f>
        <v/>
      </c>
      <c r="R463" s="61">
        <f>IF(C463="","",IF(Q463="","",TODAY()-Q463))</f>
        <v/>
      </c>
      <c r="S463" s="60">
        <f>IF(C463="","",IFERROR(INDEX('Saisie'!$R$5:$R$2004,_xlfn.MAXIFS('Saisie'!$AS$5:$AS$2004,'Saisie'!$C$5:$C$2004,C463,'Saisie'!$R$5:$R$2004,"&lt;&gt;")-4),""))</f>
        <v/>
      </c>
      <c r="T463" s="60">
        <f>IF(C463="","",IFERROR(INDEX('Saisie'!$S$5:$S$2004,_xlfn.MAXIFS('Saisie'!$AS$5:$AS$2004,'Saisie'!$C$5:$C$2004,C463,'Saisie'!$S$5:$S$2004,"&lt;&gt;")-4),""))</f>
        <v/>
      </c>
      <c r="U463" s="60">
        <f>IF(C463="","",IFERROR(INDEX('Saisie'!$T$5:$T$2004,_xlfn.MAXIFS('Saisie'!$AS$5:$AS$2004,'Saisie'!$C$5:$C$2004,C463,'Saisie'!$T$5:$T$2004,"&lt;&gt;")-4),""))</f>
        <v/>
      </c>
      <c r="V463" s="60">
        <f>IF(C463="","",IFERROR(INDEX('Saisie'!$V$5:$V$2004,_xlfn.MAXIFS('Saisie'!$AS$5:$AS$2004,'Saisie'!$C$5:$C$2004,C463,'Saisie'!$V$5:$V$2004,"&lt;&gt;")-4),""))</f>
        <v/>
      </c>
      <c r="W463" s="60">
        <f>IF(C463="","",IFERROR(INDEX('Saisie'!$Z$5:$Z$2004,_xlfn.MAXIFS('Saisie'!$AS$5:$AS$2004,'Saisie'!$C$5:$C$2004,C463,'Saisie'!$Z$5:$Z$2004,"&lt;&gt;")-4),""))</f>
        <v/>
      </c>
      <c r="X463" s="60">
        <f>IF(C463="","",IFERROR(INDEX('Saisie'!$AA$5:$AA$2004,_xlfn.MAXIFS('Saisie'!$AS$5:$AS$2004,'Saisie'!$C$5:$C$2004,C463,'Saisie'!$AA$5:$AA$2004,"&lt;&gt;")-4),""))</f>
        <v/>
      </c>
      <c r="Y463" s="60">
        <f>IF(C463="","",IFERROR(INDEX('Saisie'!$AB$5:$AB$2004,_xlfn.MAXIFS('Saisie'!$AS$5:$AS$2004,'Saisie'!$C$5:$C$2004,C463,'Saisie'!$AB$5:$AB$2004,"&lt;&gt;")-4),""))</f>
        <v/>
      </c>
      <c r="Z463" s="60">
        <f>IF(C463="","",IFERROR(INDEX('Saisie'!$AC$5:$AC$2004,_xlfn.MAXIFS('Saisie'!$AS$5:$AS$2004,'Saisie'!$C$5:$C$2004,C463,'Saisie'!$AC$5:$AC$2004,"&lt;&gt;")-4),""))</f>
        <v/>
      </c>
      <c r="AA463" s="106">
        <f>IF(C463="","",IFERROR(INDEX('Saisie'!$AD$5:$AD$2004,_xlfn.MAXIFS('Saisie'!$AS$5:$AS$2004,'Saisie'!$C$5:$C$2004,C463,'Saisie'!$AD$5:$AD$2004,"&lt;&gt;")-4),""))</f>
        <v/>
      </c>
      <c r="AB463" s="60">
        <f>IF(C463="","",IFERROR(INDEX('Saisie'!$AE$5:$AE$2004,_xlfn.MAXIFS('Saisie'!$AS$5:$AS$2004,'Saisie'!$C$5:$C$2004,C463,'Saisie'!$AE$5:$AE$2004,"&lt;&gt;")-4),""))</f>
        <v/>
      </c>
      <c r="AC463" s="60">
        <f>IF(C463="","",IFERROR(INDEX('Saisie'!$AF$5:$AF$2004,_xlfn.MAXIFS('Saisie'!$AS$5:$AS$2004,'Saisie'!$C$5:$C$2004,C463,'Saisie'!$AF$5:$AF$2004,"&lt;&gt;")-4),""))</f>
        <v/>
      </c>
      <c r="AD463" s="108">
        <f>IF(C463="","",IFERROR(INDEX('Saisie'!$AG$5:$AG$2004,_xlfn.MAXIFS('Saisie'!$AS$5:$AS$2004,'Saisie'!$C$5:$C$2004,C463,'Saisie'!$AG$5:$AG$2004,"&lt;&gt;")-4),""))</f>
        <v/>
      </c>
      <c r="AE463" s="60">
        <f>IF(C463="","",IFERROR(INDEX('Saisie'!$AH$5:$AH$2004,_xlfn.MAXIFS('Saisie'!$AS$5:$AS$2004,'Saisie'!$C$5:$C$2004,C463,'Saisie'!$AH$5:$AH$2004,"&lt;&gt;")-4),""))</f>
        <v/>
      </c>
      <c r="AF463" s="60">
        <f>IF(C463="","",IFERROR(INDEX('Saisie'!$AI$5:$AI$2004,_xlfn.MAXIFS('Saisie'!$AS$5:$AS$2004,'Saisie'!$C$5:$C$2004,C463,'Saisie'!$AI$5:$AI$2004,"&lt;&gt;")-4),""))</f>
        <v/>
      </c>
      <c r="AG463" s="60">
        <f>IF(C463="","",IFERROR(INDEX('Saisie'!$AJ$5:$AJ$2004,_xlfn.MAXIFS('Saisie'!$AS$5:$AS$2004,'Saisie'!$C$5:$C$2004,C463,'Saisie'!$AJ$5:$AJ$2004,"&lt;&gt;")-4),""))</f>
        <v/>
      </c>
      <c r="AH463" s="60">
        <f>IF(C463="","",IFERROR(INDEX('Saisie'!$AK$5:$AK$2004,_xlfn.MAXIFS('Saisie'!$AS$5:$AS$2004,'Saisie'!$C$5:$C$2004,C463,'Saisie'!$AK$5:$AK$2004,"&lt;&gt;")-4),""))</f>
        <v/>
      </c>
      <c r="AI463" s="60">
        <f>IF(C463="","",IFERROR(INDEX('Saisie'!$AN$5:$AN$2004,_xlfn.MAXIFS('Saisie'!$AS$5:$AS$2004,'Saisie'!$C$5:$C$2004,C463,'Saisie'!$AN$5:$AN$2004,"&lt;&gt;")-4),""))</f>
        <v/>
      </c>
      <c r="AJ463" s="60">
        <f>IF(C463="","",IFERROR(INDEX('Saisie'!$AO$5:$AO$2004,_xlfn.MAXIFS('Saisie'!$AS$5:$AS$2004,'Saisie'!$C$5:$C$2004,C463,'Saisie'!$AO$5:$AO$2004,"&lt;&gt;")-4),""))</f>
        <v/>
      </c>
      <c r="AK463" s="60">
        <f>IF(C463="","",IFERROR(INDEX('Saisie'!$AP$5:$AP$2004,_xlfn.MAXIFS('Saisie'!$AS$5:$AS$2004,'Saisie'!$C$5:$C$2004,C463,'Saisie'!$AP$5:$AP$2004,"&lt;&gt;")-4),""))</f>
        <v/>
      </c>
      <c r="AL463" s="60">
        <f>IF(C463="","",IFERROR(INDEX('Saisie'!$AQ$5:$AQ$2004,_xlfn.MAXIFS('Saisie'!$AS$5:$AS$2004,'Saisie'!$C$5:$C$2004,C463,'Saisie'!$AQ$5:$AQ$2004,"&lt;&gt;")-4),""))</f>
        <v/>
      </c>
      <c r="AM463" s="60">
        <f>IF(C463="","",((AI463="Oui")+(AJ463="Oui")+(AK463="Oui")+OR(AL463="Immédiat",AL463="&lt; 1 mois"))&amp;"/4")</f>
        <v/>
      </c>
      <c r="AN463" s="60">
        <f>IF(C463="","",IFERROR(INDEX('Saisie'!$AL$5:$AL$2004,_xlfn.MAXIFS('Saisie'!$AS$5:$AS$2004,'Saisie'!$C$5:$C$2004,C463,'Saisie'!$AL$5:$AL$2004,"&lt;&gt;")-4),""))</f>
        <v/>
      </c>
      <c r="AO463" s="62">
        <f>IF(C463="","",IF(IFERROR(INDEX('Saisie'!$AM$5:$AM$2004,_xlfn.MAXIFS('Saisie'!$AS$5:$AS$2004,'Saisie'!$C$5:$C$2004,C463,'Saisie'!$AM$5:$AM$2004,"&lt;&gt;")-4),"")&lt;&gt;"",IFERROR(INDEX('Saisie'!$AM$5:$AM$2004,_xlfn.MAXIFS('Saisie'!$AS$5:$AS$2004,'Saisie'!$C$5:$C$2004,C463,'Saisie'!$AM$5:$AM$2004,"&lt;&gt;")-4),""),IFERROR(INDEX('Paramètres'!$S$6:$S$15,MATCH(AN463,'Paramètres'!$Q$6:$Q$15,0)),"")))</f>
        <v/>
      </c>
      <c r="AP463" s="62">
        <f>IF(C463="","",IFERROR(INDEX('Saisie'!$AW$5:$AW$2004,_xlfn.MAXIFS('Saisie'!$AS$5:$AS$2004,'Saisie'!$C$5:$C$2004,C463,'Saisie'!$E$5:$E$2004,"Proposition envoyée")-4),""))</f>
        <v/>
      </c>
      <c r="AQ463" s="106">
        <f>IF(C463="","",IFERROR(1/(1/_xlfn.MAXIFS('Saisie'!$A$5:$A$2004,'Saisie'!$C$5:$C$2004,C463,'Saisie'!$E$5:$E$2004,"Proposition envoyée")),""))</f>
        <v/>
      </c>
      <c r="AR463" s="106">
        <f>IF(C463="","",IF(AQ463="","",AQ463+'Paramètres'!$B$26))</f>
        <v/>
      </c>
      <c r="AS463" s="62">
        <f>IF(OR(C463="",D463="Gagné",D463="Perdu"),0,N(AP463)*IFERROR(INDEX('Paramètres'!$G$6:$G$13,MATCH(D463,'Paramètres'!$F$6:$F$13,0)),0))</f>
        <v/>
      </c>
      <c r="AT463" s="106">
        <f>IF(C463="","",IFERROR(1/(1/_xlfn.MINIFS('Saisie'!$A$5:$A$2004,'Saisie'!$C$5:$C$2004,C463,'Saisie'!$E$5:$E$2004,"Signature")),""))</f>
        <v/>
      </c>
      <c r="AU463" s="60">
        <f>IF(C463="","",IF(OR(AT463="",B463=""),"",AT463-B463))</f>
        <v/>
      </c>
      <c r="AV463" s="60">
        <f>IF(C463="","",IFERROR(INDEX('Saisie'!$L$5:$L$2004,_xlfn.MAXIFS('Saisie'!$AS$5:$AS$2004,'Saisie'!$C$5:$C$2004,C463,'Saisie'!$L$5:$L$2004,"&lt;&gt;")-4),""))</f>
        <v/>
      </c>
      <c r="AW463" s="106">
        <f>IF(C463="","",IF(D463&lt;&gt;"Perdu","",IFERROR(1/(1/_xlfn.MAXIFS('Saisie'!$A$5:$A$2004,'Saisie'!$C$5:$C$2004,C463,'Saisie'!$E$5:$E$2004,"Perdu")),"")))</f>
        <v/>
      </c>
      <c r="AX463" s="106">
        <f>IF(C463="","",IF(AW463="","",AW463+'Paramètres'!$B$28))</f>
        <v/>
      </c>
      <c r="AY463" s="60">
        <f>IF(C463="","",SUMIFS('Saisie'!$H$5:$H$2004,'Saisie'!$C$5:$C$2004,C463))</f>
        <v/>
      </c>
      <c r="AZ463" s="60">
        <f>IF(C463="","",IFERROR(INDEX('Paramètres'!$W$6:$W$20,MATCH(S463,'Paramètres'!$V$6:$V$20,0))&amp;"",""))</f>
        <v/>
      </c>
      <c r="BA463" s="60">
        <f>IF(C463="","",MAX(1,_xlfn.MAXIFS('Saisie'!$AT$5:$AT$2004,'Saisie'!$C$5:$C$2004,C463)))</f>
        <v/>
      </c>
      <c r="BB463" s="60">
        <f>IF(C463="","",IFERROR(INDEX('Saisie'!$X$5:$X$2004,_xlfn.MAXIFS('Saisie'!$AS$5:$AS$2004,'Saisie'!$C$5:$C$2004,C463,'Saisie'!$X$5:$X$2004,"&lt;&gt;")-4),""))</f>
        <v/>
      </c>
      <c r="BC463" s="60">
        <f>IF(C463="","",IFERROR(INDEX('Saisie'!$Y$5:$Y$2004,_xlfn.MAXIFS('Saisie'!$AS$5:$AS$2004,'Saisie'!$C$5:$C$2004,C463,'Saisie'!$Y$5:$Y$2004,"&lt;&gt;")-4),""))</f>
        <v/>
      </c>
      <c r="BD463" s="106">
        <f>IF(C463="","",IFERROR(1/(1/_xlfn.MINIFS('Saisie'!$A$5:$A$2004,'Saisie'!$C$5:$C$2004,C463,'Saisie'!$AT$5:$AT$2004,"&gt;=2")),""))</f>
        <v/>
      </c>
      <c r="BE463" s="106">
        <f>IF(C463="","",IFERROR(1/(1/_xlfn.MINIFS('Saisie'!$A$5:$A$2004,'Saisie'!$C$5:$C$2004,C463,'Saisie'!$AT$5:$AT$2004,"&gt;=3")),""))</f>
        <v/>
      </c>
      <c r="BF463" s="106">
        <f>IF(C463="","",IFERROR(1/(1/_xlfn.MINIFS('Saisie'!$A$5:$A$2004,'Saisie'!$C$5:$C$2004,C463,'Saisie'!$AT$5:$AT$2004,"&gt;=4")),""))</f>
        <v/>
      </c>
      <c r="BG463" s="106">
        <f>IF(C463="","",IFERROR(1/(1/_xlfn.MINIFS('Saisie'!$A$5:$A$2004,'Saisie'!$C$5:$C$2004,C463,'Saisie'!$AT$5:$AT$2004,"&gt;=5")),""))</f>
        <v/>
      </c>
      <c r="BH463" s="106">
        <f>IF(C463="","",IFERROR(1/(1/_xlfn.MINIFS('Saisie'!$A$5:$A$2004,'Saisie'!$C$5:$C$2004,C463,'Saisie'!$AT$5:$AT$2004,"&gt;=6")),""))</f>
        <v/>
      </c>
      <c r="BI463" s="106">
        <f>IF(C463="","",IFERROR(1/(1/_xlfn.MINIFS('Saisie'!$A$5:$A$2004,'Saisie'!$C$5:$C$2004,C463,'Saisie'!$AT$5:$AT$2004,"&gt;=7")),""))</f>
        <v/>
      </c>
      <c r="BJ463" s="60">
        <f>IF(OR(BD463="",B463=""),"",BD463-B463)</f>
        <v/>
      </c>
      <c r="BK463" s="60">
        <f>IF(OR(BE463="",BD463=""),"",BE463-BD463)</f>
        <v/>
      </c>
      <c r="BL463" s="60">
        <f>IF(OR(BF463="",BE463=""),"",BF463-BE463)</f>
        <v/>
      </c>
      <c r="BM463" s="60">
        <f>IF(OR(BG463="",BF463=""),"",BG463-BF463)</f>
        <v/>
      </c>
      <c r="BN463" s="60">
        <f>IF(OR(BH463="",BG463=""),"",BH463-BG463)</f>
        <v/>
      </c>
      <c r="BO463" s="60">
        <f>IF(OR(BI463="",BH463=""),"",BI463-BH463)</f>
        <v/>
      </c>
      <c r="BP463" s="60">
        <f>IF(C463="","",_xlfn.MAXIFS('Saisie'!$AS$5:$AS$2004,'Saisie'!$C$5:$C$2004,C463,'Saisie'!$J$5:$J$2004,"&lt;&gt;"))</f>
        <v/>
      </c>
      <c r="BQ463" s="60">
        <f>IF(C463="","",_xlfn.MAXIFS('Saisie'!$AS$5:$AS$2004,'Saisie'!$C$5:$C$2004,C463))</f>
        <v/>
      </c>
      <c r="BR463" s="60">
        <f>IF(C463="","",_xlfn.MAXIFS('Saisie'!$AS$5:$AS$2004,'Saisie'!$C$5:$C$2004,C463,'Saisie'!$E$5:$E$2004,"Perdu"))</f>
        <v/>
      </c>
      <c r="BS463" s="60">
        <f>IF(C463="","",_xlfn.MAXIFS('Saisie'!$AS$5:$AS$2004,'Saisie'!$C$5:$C$2004,C463,'Saisie'!$AT$5:$AT$2004,"&gt;0"))</f>
        <v/>
      </c>
      <c r="BT463" s="109">
        <f>IF(AND(C463&lt;&gt;"",OR(D463="Nouveau",D463="Contacté",D463="Qualifié"),OR(G463="",N(G463)&lt;=TODAY()),NOT(AND(O463&gt;='Paramètres'!$B$21,P463=0))),E463+459/10000,"")</f>
        <v/>
      </c>
      <c r="BU463" s="60">
        <f>IF(AND(G463&lt;&gt;"",N(G463)&lt;=TODAY()),MAX($BU$4:BU462)+1,"")</f>
        <v/>
      </c>
      <c r="BV463" s="60">
        <f>IF(AND(F463&lt;&gt;"",F463&lt;&gt;"Relance en retard"),MAX($BV$4:BV462)+1,"")</f>
        <v/>
      </c>
      <c r="BW463" s="60">
        <f>IF(C463="","",IF(AND(B463&gt;='Tableau de bord'!$R$4,B463&lt;='Tableau de bord'!$S$4,OR('Tableau de bord'!$G$4="Tous",N463='Tableau de bord'!$G$4)),1,0))</f>
        <v/>
      </c>
      <c r="BX463" s="60">
        <f>IF(AND(C463&lt;&gt;"",N(BA463)=7),MAX($BX$4:BX462)+1,"")</f>
        <v/>
      </c>
    </row>
    <row r="464">
      <c r="A464" s="60">
        <f>IF(C464="","","P-"&amp;TEXT(460,"000"))</f>
        <v/>
      </c>
      <c r="B464" s="106">
        <f>IF(C464="","",IFERROR(1/(1/_xlfn.MINIFS('Saisie'!$A$5:$A$2004,'Saisie'!$C$5:$C$2004,C464)),""))</f>
        <v/>
      </c>
      <c r="C464" s="60">
        <f>IFERROR(INDEX('Saisie'!$C$5:$C$2004,MATCH(460,'Saisie'!$AX$5:$AX$2004,0)),"")</f>
        <v/>
      </c>
      <c r="D464" s="60">
        <f>IF(C464="","",IF(AND(BR464&gt;0,BR464&gt;BS464,BA464&lt;7),"Perdu",INDEX('Paramètres'!$F$6:$F$13,BA464)))</f>
        <v/>
      </c>
      <c r="E464" s="61">
        <f>IF(C464="","",MIN(100,(Z464="Oui")*'Paramètres'!$B$38+(AB464="Régulière")*'Paramètres'!$B$39+IF(AND(N(AA464)&gt;0,TODAY()-N(AA464)&lt;=30),'Paramètres'!$B$40,0)+(W464="")*'Paramètres'!$B$41+(AC464="Absente")*'Paramètres'!$B$42+(AC464="Faible")*'Paramètres'!$B$43+IF(AND(N(AD464)&gt;0,N(AD464)&lt;4),'Paramètres'!$B$44,0)+(AF464="Moyenne")*'Paramètres'!$B$45+(AF464="Grande")*'Paramètres'!$B$46+(Y464&lt;&gt;"")*'Paramètres'!$B$47))</f>
        <v/>
      </c>
      <c r="F464" s="60">
        <f>IF(C464="","",IF(D464="Gagné","",IF(D464="Perdu",IF(AND(AX464&lt;&gt;"",AX464&lt;=TODAY()),"À recontacter (perdu)",""),IF(AND(O464&gt;='Paramètres'!$B$21,P464=0),"Stop : "&amp;'Paramètres'!$B$21&amp;" tentatives sans réponse",IF(AND(D464="Proposition",AR464&lt;&gt;"",TODAY()&gt;N(AR464)),"Proposition expirée",IF(AND(D464="Proposition",N(R464)&gt;='Paramètres'!$B$25),"Proposition sans réponse",IF(AND(G464&lt;&gt;"",N(G464)&lt;TODAY()),"Relance en retard",IF(N(R464)&gt;='Paramètres'!$B$24,"Sans action depuis "&amp;R464&amp;" j",""))))))))</f>
        <v/>
      </c>
      <c r="G464" s="106">
        <f>IF(OR(C464="",D464="Gagné",D464="Perdu"),"",IF(AND(BP464&gt;0,BP464=BQ464),INDEX('Saisie'!$J$5:$J$2004,BP464-4),IF(OR(O464=0,AND(O464&gt;='Paramètres'!$B$21,P464=0)),"",Q464+IF(O464&lt;=1,'Paramètres'!$B$18,IF(O464=2,'Paramètres'!$B$19,'Paramètres'!$B$20)))))</f>
        <v/>
      </c>
      <c r="H464" s="107">
        <f>IF(OR(G464="",BP464&lt;&gt;BQ464),"",IF(INDEX('Saisie'!$K$5:$K$2004,BP464-4)="","",INDEX('Saisie'!$K$5:$K$2004,BP464-4)))</f>
        <v/>
      </c>
      <c r="I464" s="60">
        <f>IF(C464="","",IF(OR(D464="Gagné",D464="Perdu"),"",IFERROR(INDEX('Saisie'!$I$5:$I$2004,_xlfn.MAXIFS('Saisie'!$AS$5:$AS$2004,'Saisie'!$C$5:$C$2004,C464,'Saisie'!$I$5:$I$2004,"&lt;&gt;")-4),"")))</f>
        <v/>
      </c>
      <c r="J464" s="60">
        <f>IF(C464="","",IFERROR(INDEX('Saisie'!$U$5:$U$2004,_xlfn.MAXIFS('Saisie'!$AS$5:$AS$2004,'Saisie'!$C$5:$C$2004,C464,'Saisie'!$U$5:$U$2004,"&lt;&gt;")-4),""))</f>
        <v/>
      </c>
      <c r="K464" s="60">
        <f>IF(C464="","",IFERROR(INDEX('Saisie'!$W$5:$W$2004,_xlfn.MAXIFS('Saisie'!$AS$5:$AS$2004,'Saisie'!$C$5:$C$2004,C464,'Saisie'!$W$5:$W$2004,"&lt;&gt;")-4),""))</f>
        <v/>
      </c>
      <c r="L464" s="60">
        <f>IF(IF(BB464&lt;&gt;"",BB464,K464)="","",HYPERLINK("https://wa.me/"&amp;IF(LEFT(SUBSTITUTE(SUBSTITUTE(SUBSTITUTE(IF(BB464&lt;&gt;"",BB464,K464)," ",""),".",""),"+",""),1)="0",'Paramètres'!$B$35&amp;MID(SUBSTITUTE(SUBSTITUTE(SUBSTITUTE(IF(BB464&lt;&gt;"",BB464,K464)," ",""),".",""),"+",""),2,20),SUBSTITUTE(SUBSTITUTE(SUBSTITUTE(IF(BB464&lt;&gt;"",BB464,K464)," ",""),".",""),"+","")),"WhatsApp"))</f>
        <v/>
      </c>
      <c r="M464" s="60">
        <f>IF(BC464="","",HYPERLINK(IF(LEFT(BC464,4)="http",BC464,"https://www.instagram.com/"&amp;SUBSTITUTE(SUBSTITUTE(BC464,"@","")," ","")),BC464))</f>
        <v/>
      </c>
      <c r="N464" s="60">
        <f>IF(C464="","",IFERROR(INDEX('Saisie'!$D$5:$D$2004,_xlfn.MINIFS('Saisie'!$AS$5:$AS$2004,'Saisie'!$C$5:$C$2004,C464,'Saisie'!$AU$5:$AU$2004,1)-4),IFERROR(INDEX('Saisie'!$D$5:$D$2004,_xlfn.MINIFS('Saisie'!$AS$5:$AS$2004,'Saisie'!$C$5:$C$2004,C464,'Saisie'!$D$5:$D$2004,"&lt;&gt;")-4),"")))</f>
        <v/>
      </c>
      <c r="O464" s="60">
        <f>IF(C464="","",COUNTIFS('Saisie'!$C$5:$C$2004,C464,'Saisie'!$AU$5:$AU$2004,1))</f>
        <v/>
      </c>
      <c r="P464" s="60">
        <f>IF(C464="","",COUNTIFS('Saisie'!$C$5:$C$2004,C464,'Saisie'!$AV$5:$AV$2004,1))</f>
        <v/>
      </c>
      <c r="Q464" s="106">
        <f>IF(C464="","",IFERROR(1/(1/_xlfn.MAXIFS('Saisie'!$A$5:$A$2004,'Saisie'!$C$5:$C$2004,C464)),""))</f>
        <v/>
      </c>
      <c r="R464" s="61">
        <f>IF(C464="","",IF(Q464="","",TODAY()-Q464))</f>
        <v/>
      </c>
      <c r="S464" s="60">
        <f>IF(C464="","",IFERROR(INDEX('Saisie'!$R$5:$R$2004,_xlfn.MAXIFS('Saisie'!$AS$5:$AS$2004,'Saisie'!$C$5:$C$2004,C464,'Saisie'!$R$5:$R$2004,"&lt;&gt;")-4),""))</f>
        <v/>
      </c>
      <c r="T464" s="60">
        <f>IF(C464="","",IFERROR(INDEX('Saisie'!$S$5:$S$2004,_xlfn.MAXIFS('Saisie'!$AS$5:$AS$2004,'Saisie'!$C$5:$C$2004,C464,'Saisie'!$S$5:$S$2004,"&lt;&gt;")-4),""))</f>
        <v/>
      </c>
      <c r="U464" s="60">
        <f>IF(C464="","",IFERROR(INDEX('Saisie'!$T$5:$T$2004,_xlfn.MAXIFS('Saisie'!$AS$5:$AS$2004,'Saisie'!$C$5:$C$2004,C464,'Saisie'!$T$5:$T$2004,"&lt;&gt;")-4),""))</f>
        <v/>
      </c>
      <c r="V464" s="60">
        <f>IF(C464="","",IFERROR(INDEX('Saisie'!$V$5:$V$2004,_xlfn.MAXIFS('Saisie'!$AS$5:$AS$2004,'Saisie'!$C$5:$C$2004,C464,'Saisie'!$V$5:$V$2004,"&lt;&gt;")-4),""))</f>
        <v/>
      </c>
      <c r="W464" s="60">
        <f>IF(C464="","",IFERROR(INDEX('Saisie'!$Z$5:$Z$2004,_xlfn.MAXIFS('Saisie'!$AS$5:$AS$2004,'Saisie'!$C$5:$C$2004,C464,'Saisie'!$Z$5:$Z$2004,"&lt;&gt;")-4),""))</f>
        <v/>
      </c>
      <c r="X464" s="60">
        <f>IF(C464="","",IFERROR(INDEX('Saisie'!$AA$5:$AA$2004,_xlfn.MAXIFS('Saisie'!$AS$5:$AS$2004,'Saisie'!$C$5:$C$2004,C464,'Saisie'!$AA$5:$AA$2004,"&lt;&gt;")-4),""))</f>
        <v/>
      </c>
      <c r="Y464" s="60">
        <f>IF(C464="","",IFERROR(INDEX('Saisie'!$AB$5:$AB$2004,_xlfn.MAXIFS('Saisie'!$AS$5:$AS$2004,'Saisie'!$C$5:$C$2004,C464,'Saisie'!$AB$5:$AB$2004,"&lt;&gt;")-4),""))</f>
        <v/>
      </c>
      <c r="Z464" s="60">
        <f>IF(C464="","",IFERROR(INDEX('Saisie'!$AC$5:$AC$2004,_xlfn.MAXIFS('Saisie'!$AS$5:$AS$2004,'Saisie'!$C$5:$C$2004,C464,'Saisie'!$AC$5:$AC$2004,"&lt;&gt;")-4),""))</f>
        <v/>
      </c>
      <c r="AA464" s="106">
        <f>IF(C464="","",IFERROR(INDEX('Saisie'!$AD$5:$AD$2004,_xlfn.MAXIFS('Saisie'!$AS$5:$AS$2004,'Saisie'!$C$5:$C$2004,C464,'Saisie'!$AD$5:$AD$2004,"&lt;&gt;")-4),""))</f>
        <v/>
      </c>
      <c r="AB464" s="60">
        <f>IF(C464="","",IFERROR(INDEX('Saisie'!$AE$5:$AE$2004,_xlfn.MAXIFS('Saisie'!$AS$5:$AS$2004,'Saisie'!$C$5:$C$2004,C464,'Saisie'!$AE$5:$AE$2004,"&lt;&gt;")-4),""))</f>
        <v/>
      </c>
      <c r="AC464" s="60">
        <f>IF(C464="","",IFERROR(INDEX('Saisie'!$AF$5:$AF$2004,_xlfn.MAXIFS('Saisie'!$AS$5:$AS$2004,'Saisie'!$C$5:$C$2004,C464,'Saisie'!$AF$5:$AF$2004,"&lt;&gt;")-4),""))</f>
        <v/>
      </c>
      <c r="AD464" s="108">
        <f>IF(C464="","",IFERROR(INDEX('Saisie'!$AG$5:$AG$2004,_xlfn.MAXIFS('Saisie'!$AS$5:$AS$2004,'Saisie'!$C$5:$C$2004,C464,'Saisie'!$AG$5:$AG$2004,"&lt;&gt;")-4),""))</f>
        <v/>
      </c>
      <c r="AE464" s="60">
        <f>IF(C464="","",IFERROR(INDEX('Saisie'!$AH$5:$AH$2004,_xlfn.MAXIFS('Saisie'!$AS$5:$AS$2004,'Saisie'!$C$5:$C$2004,C464,'Saisie'!$AH$5:$AH$2004,"&lt;&gt;")-4),""))</f>
        <v/>
      </c>
      <c r="AF464" s="60">
        <f>IF(C464="","",IFERROR(INDEX('Saisie'!$AI$5:$AI$2004,_xlfn.MAXIFS('Saisie'!$AS$5:$AS$2004,'Saisie'!$C$5:$C$2004,C464,'Saisie'!$AI$5:$AI$2004,"&lt;&gt;")-4),""))</f>
        <v/>
      </c>
      <c r="AG464" s="60">
        <f>IF(C464="","",IFERROR(INDEX('Saisie'!$AJ$5:$AJ$2004,_xlfn.MAXIFS('Saisie'!$AS$5:$AS$2004,'Saisie'!$C$5:$C$2004,C464,'Saisie'!$AJ$5:$AJ$2004,"&lt;&gt;")-4),""))</f>
        <v/>
      </c>
      <c r="AH464" s="60">
        <f>IF(C464="","",IFERROR(INDEX('Saisie'!$AK$5:$AK$2004,_xlfn.MAXIFS('Saisie'!$AS$5:$AS$2004,'Saisie'!$C$5:$C$2004,C464,'Saisie'!$AK$5:$AK$2004,"&lt;&gt;")-4),""))</f>
        <v/>
      </c>
      <c r="AI464" s="60">
        <f>IF(C464="","",IFERROR(INDEX('Saisie'!$AN$5:$AN$2004,_xlfn.MAXIFS('Saisie'!$AS$5:$AS$2004,'Saisie'!$C$5:$C$2004,C464,'Saisie'!$AN$5:$AN$2004,"&lt;&gt;")-4),""))</f>
        <v/>
      </c>
      <c r="AJ464" s="60">
        <f>IF(C464="","",IFERROR(INDEX('Saisie'!$AO$5:$AO$2004,_xlfn.MAXIFS('Saisie'!$AS$5:$AS$2004,'Saisie'!$C$5:$C$2004,C464,'Saisie'!$AO$5:$AO$2004,"&lt;&gt;")-4),""))</f>
        <v/>
      </c>
      <c r="AK464" s="60">
        <f>IF(C464="","",IFERROR(INDEX('Saisie'!$AP$5:$AP$2004,_xlfn.MAXIFS('Saisie'!$AS$5:$AS$2004,'Saisie'!$C$5:$C$2004,C464,'Saisie'!$AP$5:$AP$2004,"&lt;&gt;")-4),""))</f>
        <v/>
      </c>
      <c r="AL464" s="60">
        <f>IF(C464="","",IFERROR(INDEX('Saisie'!$AQ$5:$AQ$2004,_xlfn.MAXIFS('Saisie'!$AS$5:$AS$2004,'Saisie'!$C$5:$C$2004,C464,'Saisie'!$AQ$5:$AQ$2004,"&lt;&gt;")-4),""))</f>
        <v/>
      </c>
      <c r="AM464" s="60">
        <f>IF(C464="","",((AI464="Oui")+(AJ464="Oui")+(AK464="Oui")+OR(AL464="Immédiat",AL464="&lt; 1 mois"))&amp;"/4")</f>
        <v/>
      </c>
      <c r="AN464" s="60">
        <f>IF(C464="","",IFERROR(INDEX('Saisie'!$AL$5:$AL$2004,_xlfn.MAXIFS('Saisie'!$AS$5:$AS$2004,'Saisie'!$C$5:$C$2004,C464,'Saisie'!$AL$5:$AL$2004,"&lt;&gt;")-4),""))</f>
        <v/>
      </c>
      <c r="AO464" s="62">
        <f>IF(C464="","",IF(IFERROR(INDEX('Saisie'!$AM$5:$AM$2004,_xlfn.MAXIFS('Saisie'!$AS$5:$AS$2004,'Saisie'!$C$5:$C$2004,C464,'Saisie'!$AM$5:$AM$2004,"&lt;&gt;")-4),"")&lt;&gt;"",IFERROR(INDEX('Saisie'!$AM$5:$AM$2004,_xlfn.MAXIFS('Saisie'!$AS$5:$AS$2004,'Saisie'!$C$5:$C$2004,C464,'Saisie'!$AM$5:$AM$2004,"&lt;&gt;")-4),""),IFERROR(INDEX('Paramètres'!$S$6:$S$15,MATCH(AN464,'Paramètres'!$Q$6:$Q$15,0)),"")))</f>
        <v/>
      </c>
      <c r="AP464" s="62">
        <f>IF(C464="","",IFERROR(INDEX('Saisie'!$AW$5:$AW$2004,_xlfn.MAXIFS('Saisie'!$AS$5:$AS$2004,'Saisie'!$C$5:$C$2004,C464,'Saisie'!$E$5:$E$2004,"Proposition envoyée")-4),""))</f>
        <v/>
      </c>
      <c r="AQ464" s="106">
        <f>IF(C464="","",IFERROR(1/(1/_xlfn.MAXIFS('Saisie'!$A$5:$A$2004,'Saisie'!$C$5:$C$2004,C464,'Saisie'!$E$5:$E$2004,"Proposition envoyée")),""))</f>
        <v/>
      </c>
      <c r="AR464" s="106">
        <f>IF(C464="","",IF(AQ464="","",AQ464+'Paramètres'!$B$26))</f>
        <v/>
      </c>
      <c r="AS464" s="62">
        <f>IF(OR(C464="",D464="Gagné",D464="Perdu"),0,N(AP464)*IFERROR(INDEX('Paramètres'!$G$6:$G$13,MATCH(D464,'Paramètres'!$F$6:$F$13,0)),0))</f>
        <v/>
      </c>
      <c r="AT464" s="106">
        <f>IF(C464="","",IFERROR(1/(1/_xlfn.MINIFS('Saisie'!$A$5:$A$2004,'Saisie'!$C$5:$C$2004,C464,'Saisie'!$E$5:$E$2004,"Signature")),""))</f>
        <v/>
      </c>
      <c r="AU464" s="60">
        <f>IF(C464="","",IF(OR(AT464="",B464=""),"",AT464-B464))</f>
        <v/>
      </c>
      <c r="AV464" s="60">
        <f>IF(C464="","",IFERROR(INDEX('Saisie'!$L$5:$L$2004,_xlfn.MAXIFS('Saisie'!$AS$5:$AS$2004,'Saisie'!$C$5:$C$2004,C464,'Saisie'!$L$5:$L$2004,"&lt;&gt;")-4),""))</f>
        <v/>
      </c>
      <c r="AW464" s="106">
        <f>IF(C464="","",IF(D464&lt;&gt;"Perdu","",IFERROR(1/(1/_xlfn.MAXIFS('Saisie'!$A$5:$A$2004,'Saisie'!$C$5:$C$2004,C464,'Saisie'!$E$5:$E$2004,"Perdu")),"")))</f>
        <v/>
      </c>
      <c r="AX464" s="106">
        <f>IF(C464="","",IF(AW464="","",AW464+'Paramètres'!$B$28))</f>
        <v/>
      </c>
      <c r="AY464" s="60">
        <f>IF(C464="","",SUMIFS('Saisie'!$H$5:$H$2004,'Saisie'!$C$5:$C$2004,C464))</f>
        <v/>
      </c>
      <c r="AZ464" s="60">
        <f>IF(C464="","",IFERROR(INDEX('Paramètres'!$W$6:$W$20,MATCH(S464,'Paramètres'!$V$6:$V$20,0))&amp;"",""))</f>
        <v/>
      </c>
      <c r="BA464" s="60">
        <f>IF(C464="","",MAX(1,_xlfn.MAXIFS('Saisie'!$AT$5:$AT$2004,'Saisie'!$C$5:$C$2004,C464)))</f>
        <v/>
      </c>
      <c r="BB464" s="60">
        <f>IF(C464="","",IFERROR(INDEX('Saisie'!$X$5:$X$2004,_xlfn.MAXIFS('Saisie'!$AS$5:$AS$2004,'Saisie'!$C$5:$C$2004,C464,'Saisie'!$X$5:$X$2004,"&lt;&gt;")-4),""))</f>
        <v/>
      </c>
      <c r="BC464" s="60">
        <f>IF(C464="","",IFERROR(INDEX('Saisie'!$Y$5:$Y$2004,_xlfn.MAXIFS('Saisie'!$AS$5:$AS$2004,'Saisie'!$C$5:$C$2004,C464,'Saisie'!$Y$5:$Y$2004,"&lt;&gt;")-4),""))</f>
        <v/>
      </c>
      <c r="BD464" s="106">
        <f>IF(C464="","",IFERROR(1/(1/_xlfn.MINIFS('Saisie'!$A$5:$A$2004,'Saisie'!$C$5:$C$2004,C464,'Saisie'!$AT$5:$AT$2004,"&gt;=2")),""))</f>
        <v/>
      </c>
      <c r="BE464" s="106">
        <f>IF(C464="","",IFERROR(1/(1/_xlfn.MINIFS('Saisie'!$A$5:$A$2004,'Saisie'!$C$5:$C$2004,C464,'Saisie'!$AT$5:$AT$2004,"&gt;=3")),""))</f>
        <v/>
      </c>
      <c r="BF464" s="106">
        <f>IF(C464="","",IFERROR(1/(1/_xlfn.MINIFS('Saisie'!$A$5:$A$2004,'Saisie'!$C$5:$C$2004,C464,'Saisie'!$AT$5:$AT$2004,"&gt;=4")),""))</f>
        <v/>
      </c>
      <c r="BG464" s="106">
        <f>IF(C464="","",IFERROR(1/(1/_xlfn.MINIFS('Saisie'!$A$5:$A$2004,'Saisie'!$C$5:$C$2004,C464,'Saisie'!$AT$5:$AT$2004,"&gt;=5")),""))</f>
        <v/>
      </c>
      <c r="BH464" s="106">
        <f>IF(C464="","",IFERROR(1/(1/_xlfn.MINIFS('Saisie'!$A$5:$A$2004,'Saisie'!$C$5:$C$2004,C464,'Saisie'!$AT$5:$AT$2004,"&gt;=6")),""))</f>
        <v/>
      </c>
      <c r="BI464" s="106">
        <f>IF(C464="","",IFERROR(1/(1/_xlfn.MINIFS('Saisie'!$A$5:$A$2004,'Saisie'!$C$5:$C$2004,C464,'Saisie'!$AT$5:$AT$2004,"&gt;=7")),""))</f>
        <v/>
      </c>
      <c r="BJ464" s="60">
        <f>IF(OR(BD464="",B464=""),"",BD464-B464)</f>
        <v/>
      </c>
      <c r="BK464" s="60">
        <f>IF(OR(BE464="",BD464=""),"",BE464-BD464)</f>
        <v/>
      </c>
      <c r="BL464" s="60">
        <f>IF(OR(BF464="",BE464=""),"",BF464-BE464)</f>
        <v/>
      </c>
      <c r="BM464" s="60">
        <f>IF(OR(BG464="",BF464=""),"",BG464-BF464)</f>
        <v/>
      </c>
      <c r="BN464" s="60">
        <f>IF(OR(BH464="",BG464=""),"",BH464-BG464)</f>
        <v/>
      </c>
      <c r="BO464" s="60">
        <f>IF(OR(BI464="",BH464=""),"",BI464-BH464)</f>
        <v/>
      </c>
      <c r="BP464" s="60">
        <f>IF(C464="","",_xlfn.MAXIFS('Saisie'!$AS$5:$AS$2004,'Saisie'!$C$5:$C$2004,C464,'Saisie'!$J$5:$J$2004,"&lt;&gt;"))</f>
        <v/>
      </c>
      <c r="BQ464" s="60">
        <f>IF(C464="","",_xlfn.MAXIFS('Saisie'!$AS$5:$AS$2004,'Saisie'!$C$5:$C$2004,C464))</f>
        <v/>
      </c>
      <c r="BR464" s="60">
        <f>IF(C464="","",_xlfn.MAXIFS('Saisie'!$AS$5:$AS$2004,'Saisie'!$C$5:$C$2004,C464,'Saisie'!$E$5:$E$2004,"Perdu"))</f>
        <v/>
      </c>
      <c r="BS464" s="60">
        <f>IF(C464="","",_xlfn.MAXIFS('Saisie'!$AS$5:$AS$2004,'Saisie'!$C$5:$C$2004,C464,'Saisie'!$AT$5:$AT$2004,"&gt;0"))</f>
        <v/>
      </c>
      <c r="BT464" s="109">
        <f>IF(AND(C464&lt;&gt;"",OR(D464="Nouveau",D464="Contacté",D464="Qualifié"),OR(G464="",N(G464)&lt;=TODAY()),NOT(AND(O464&gt;='Paramètres'!$B$21,P464=0))),E464+460/10000,"")</f>
        <v/>
      </c>
      <c r="BU464" s="60">
        <f>IF(AND(G464&lt;&gt;"",N(G464)&lt;=TODAY()),MAX($BU$4:BU463)+1,"")</f>
        <v/>
      </c>
      <c r="BV464" s="60">
        <f>IF(AND(F464&lt;&gt;"",F464&lt;&gt;"Relance en retard"),MAX($BV$4:BV463)+1,"")</f>
        <v/>
      </c>
      <c r="BW464" s="60">
        <f>IF(C464="","",IF(AND(B464&gt;='Tableau de bord'!$R$4,B464&lt;='Tableau de bord'!$S$4,OR('Tableau de bord'!$G$4="Tous",N464='Tableau de bord'!$G$4)),1,0))</f>
        <v/>
      </c>
      <c r="BX464" s="60">
        <f>IF(AND(C464&lt;&gt;"",N(BA464)=7),MAX($BX$4:BX463)+1,"")</f>
        <v/>
      </c>
    </row>
    <row r="465">
      <c r="A465" s="60">
        <f>IF(C465="","","P-"&amp;TEXT(461,"000"))</f>
        <v/>
      </c>
      <c r="B465" s="106">
        <f>IF(C465="","",IFERROR(1/(1/_xlfn.MINIFS('Saisie'!$A$5:$A$2004,'Saisie'!$C$5:$C$2004,C465)),""))</f>
        <v/>
      </c>
      <c r="C465" s="60">
        <f>IFERROR(INDEX('Saisie'!$C$5:$C$2004,MATCH(461,'Saisie'!$AX$5:$AX$2004,0)),"")</f>
        <v/>
      </c>
      <c r="D465" s="60">
        <f>IF(C465="","",IF(AND(BR465&gt;0,BR465&gt;BS465,BA465&lt;7),"Perdu",INDEX('Paramètres'!$F$6:$F$13,BA465)))</f>
        <v/>
      </c>
      <c r="E465" s="61">
        <f>IF(C465="","",MIN(100,(Z465="Oui")*'Paramètres'!$B$38+(AB465="Régulière")*'Paramètres'!$B$39+IF(AND(N(AA465)&gt;0,TODAY()-N(AA465)&lt;=30),'Paramètres'!$B$40,0)+(W465="")*'Paramètres'!$B$41+(AC465="Absente")*'Paramètres'!$B$42+(AC465="Faible")*'Paramètres'!$B$43+IF(AND(N(AD465)&gt;0,N(AD465)&lt;4),'Paramètres'!$B$44,0)+(AF465="Moyenne")*'Paramètres'!$B$45+(AF465="Grande")*'Paramètres'!$B$46+(Y465&lt;&gt;"")*'Paramètres'!$B$47))</f>
        <v/>
      </c>
      <c r="F465" s="60">
        <f>IF(C465="","",IF(D465="Gagné","",IF(D465="Perdu",IF(AND(AX465&lt;&gt;"",AX465&lt;=TODAY()),"À recontacter (perdu)",""),IF(AND(O465&gt;='Paramètres'!$B$21,P465=0),"Stop : "&amp;'Paramètres'!$B$21&amp;" tentatives sans réponse",IF(AND(D465="Proposition",AR465&lt;&gt;"",TODAY()&gt;N(AR465)),"Proposition expirée",IF(AND(D465="Proposition",N(R465)&gt;='Paramètres'!$B$25),"Proposition sans réponse",IF(AND(G465&lt;&gt;"",N(G465)&lt;TODAY()),"Relance en retard",IF(N(R465)&gt;='Paramètres'!$B$24,"Sans action depuis "&amp;R465&amp;" j",""))))))))</f>
        <v/>
      </c>
      <c r="G465" s="106">
        <f>IF(OR(C465="",D465="Gagné",D465="Perdu"),"",IF(AND(BP465&gt;0,BP465=BQ465),INDEX('Saisie'!$J$5:$J$2004,BP465-4),IF(OR(O465=0,AND(O465&gt;='Paramètres'!$B$21,P465=0)),"",Q465+IF(O465&lt;=1,'Paramètres'!$B$18,IF(O465=2,'Paramètres'!$B$19,'Paramètres'!$B$20)))))</f>
        <v/>
      </c>
      <c r="H465" s="107">
        <f>IF(OR(G465="",BP465&lt;&gt;BQ465),"",IF(INDEX('Saisie'!$K$5:$K$2004,BP465-4)="","",INDEX('Saisie'!$K$5:$K$2004,BP465-4)))</f>
        <v/>
      </c>
      <c r="I465" s="60">
        <f>IF(C465="","",IF(OR(D465="Gagné",D465="Perdu"),"",IFERROR(INDEX('Saisie'!$I$5:$I$2004,_xlfn.MAXIFS('Saisie'!$AS$5:$AS$2004,'Saisie'!$C$5:$C$2004,C465,'Saisie'!$I$5:$I$2004,"&lt;&gt;")-4),"")))</f>
        <v/>
      </c>
      <c r="J465" s="60">
        <f>IF(C465="","",IFERROR(INDEX('Saisie'!$U$5:$U$2004,_xlfn.MAXIFS('Saisie'!$AS$5:$AS$2004,'Saisie'!$C$5:$C$2004,C465,'Saisie'!$U$5:$U$2004,"&lt;&gt;")-4),""))</f>
        <v/>
      </c>
      <c r="K465" s="60">
        <f>IF(C465="","",IFERROR(INDEX('Saisie'!$W$5:$W$2004,_xlfn.MAXIFS('Saisie'!$AS$5:$AS$2004,'Saisie'!$C$5:$C$2004,C465,'Saisie'!$W$5:$W$2004,"&lt;&gt;")-4),""))</f>
        <v/>
      </c>
      <c r="L465" s="60">
        <f>IF(IF(BB465&lt;&gt;"",BB465,K465)="","",HYPERLINK("https://wa.me/"&amp;IF(LEFT(SUBSTITUTE(SUBSTITUTE(SUBSTITUTE(IF(BB465&lt;&gt;"",BB465,K465)," ",""),".",""),"+",""),1)="0",'Paramètres'!$B$35&amp;MID(SUBSTITUTE(SUBSTITUTE(SUBSTITUTE(IF(BB465&lt;&gt;"",BB465,K465)," ",""),".",""),"+",""),2,20),SUBSTITUTE(SUBSTITUTE(SUBSTITUTE(IF(BB465&lt;&gt;"",BB465,K465)," ",""),".",""),"+","")),"WhatsApp"))</f>
        <v/>
      </c>
      <c r="M465" s="60">
        <f>IF(BC465="","",HYPERLINK(IF(LEFT(BC465,4)="http",BC465,"https://www.instagram.com/"&amp;SUBSTITUTE(SUBSTITUTE(BC465,"@","")," ","")),BC465))</f>
        <v/>
      </c>
      <c r="N465" s="60">
        <f>IF(C465="","",IFERROR(INDEX('Saisie'!$D$5:$D$2004,_xlfn.MINIFS('Saisie'!$AS$5:$AS$2004,'Saisie'!$C$5:$C$2004,C465,'Saisie'!$AU$5:$AU$2004,1)-4),IFERROR(INDEX('Saisie'!$D$5:$D$2004,_xlfn.MINIFS('Saisie'!$AS$5:$AS$2004,'Saisie'!$C$5:$C$2004,C465,'Saisie'!$D$5:$D$2004,"&lt;&gt;")-4),"")))</f>
        <v/>
      </c>
      <c r="O465" s="60">
        <f>IF(C465="","",COUNTIFS('Saisie'!$C$5:$C$2004,C465,'Saisie'!$AU$5:$AU$2004,1))</f>
        <v/>
      </c>
      <c r="P465" s="60">
        <f>IF(C465="","",COUNTIFS('Saisie'!$C$5:$C$2004,C465,'Saisie'!$AV$5:$AV$2004,1))</f>
        <v/>
      </c>
      <c r="Q465" s="106">
        <f>IF(C465="","",IFERROR(1/(1/_xlfn.MAXIFS('Saisie'!$A$5:$A$2004,'Saisie'!$C$5:$C$2004,C465)),""))</f>
        <v/>
      </c>
      <c r="R465" s="61">
        <f>IF(C465="","",IF(Q465="","",TODAY()-Q465))</f>
        <v/>
      </c>
      <c r="S465" s="60">
        <f>IF(C465="","",IFERROR(INDEX('Saisie'!$R$5:$R$2004,_xlfn.MAXIFS('Saisie'!$AS$5:$AS$2004,'Saisie'!$C$5:$C$2004,C465,'Saisie'!$R$5:$R$2004,"&lt;&gt;")-4),""))</f>
        <v/>
      </c>
      <c r="T465" s="60">
        <f>IF(C465="","",IFERROR(INDEX('Saisie'!$S$5:$S$2004,_xlfn.MAXIFS('Saisie'!$AS$5:$AS$2004,'Saisie'!$C$5:$C$2004,C465,'Saisie'!$S$5:$S$2004,"&lt;&gt;")-4),""))</f>
        <v/>
      </c>
      <c r="U465" s="60">
        <f>IF(C465="","",IFERROR(INDEX('Saisie'!$T$5:$T$2004,_xlfn.MAXIFS('Saisie'!$AS$5:$AS$2004,'Saisie'!$C$5:$C$2004,C465,'Saisie'!$T$5:$T$2004,"&lt;&gt;")-4),""))</f>
        <v/>
      </c>
      <c r="V465" s="60">
        <f>IF(C465="","",IFERROR(INDEX('Saisie'!$V$5:$V$2004,_xlfn.MAXIFS('Saisie'!$AS$5:$AS$2004,'Saisie'!$C$5:$C$2004,C465,'Saisie'!$V$5:$V$2004,"&lt;&gt;")-4),""))</f>
        <v/>
      </c>
      <c r="W465" s="60">
        <f>IF(C465="","",IFERROR(INDEX('Saisie'!$Z$5:$Z$2004,_xlfn.MAXIFS('Saisie'!$AS$5:$AS$2004,'Saisie'!$C$5:$C$2004,C465,'Saisie'!$Z$5:$Z$2004,"&lt;&gt;")-4),""))</f>
        <v/>
      </c>
      <c r="X465" s="60">
        <f>IF(C465="","",IFERROR(INDEX('Saisie'!$AA$5:$AA$2004,_xlfn.MAXIFS('Saisie'!$AS$5:$AS$2004,'Saisie'!$C$5:$C$2004,C465,'Saisie'!$AA$5:$AA$2004,"&lt;&gt;")-4),""))</f>
        <v/>
      </c>
      <c r="Y465" s="60">
        <f>IF(C465="","",IFERROR(INDEX('Saisie'!$AB$5:$AB$2004,_xlfn.MAXIFS('Saisie'!$AS$5:$AS$2004,'Saisie'!$C$5:$C$2004,C465,'Saisie'!$AB$5:$AB$2004,"&lt;&gt;")-4),""))</f>
        <v/>
      </c>
      <c r="Z465" s="60">
        <f>IF(C465="","",IFERROR(INDEX('Saisie'!$AC$5:$AC$2004,_xlfn.MAXIFS('Saisie'!$AS$5:$AS$2004,'Saisie'!$C$5:$C$2004,C465,'Saisie'!$AC$5:$AC$2004,"&lt;&gt;")-4),""))</f>
        <v/>
      </c>
      <c r="AA465" s="106">
        <f>IF(C465="","",IFERROR(INDEX('Saisie'!$AD$5:$AD$2004,_xlfn.MAXIFS('Saisie'!$AS$5:$AS$2004,'Saisie'!$C$5:$C$2004,C465,'Saisie'!$AD$5:$AD$2004,"&lt;&gt;")-4),""))</f>
        <v/>
      </c>
      <c r="AB465" s="60">
        <f>IF(C465="","",IFERROR(INDEX('Saisie'!$AE$5:$AE$2004,_xlfn.MAXIFS('Saisie'!$AS$5:$AS$2004,'Saisie'!$C$5:$C$2004,C465,'Saisie'!$AE$5:$AE$2004,"&lt;&gt;")-4),""))</f>
        <v/>
      </c>
      <c r="AC465" s="60">
        <f>IF(C465="","",IFERROR(INDEX('Saisie'!$AF$5:$AF$2004,_xlfn.MAXIFS('Saisie'!$AS$5:$AS$2004,'Saisie'!$C$5:$C$2004,C465,'Saisie'!$AF$5:$AF$2004,"&lt;&gt;")-4),""))</f>
        <v/>
      </c>
      <c r="AD465" s="108">
        <f>IF(C465="","",IFERROR(INDEX('Saisie'!$AG$5:$AG$2004,_xlfn.MAXIFS('Saisie'!$AS$5:$AS$2004,'Saisie'!$C$5:$C$2004,C465,'Saisie'!$AG$5:$AG$2004,"&lt;&gt;")-4),""))</f>
        <v/>
      </c>
      <c r="AE465" s="60">
        <f>IF(C465="","",IFERROR(INDEX('Saisie'!$AH$5:$AH$2004,_xlfn.MAXIFS('Saisie'!$AS$5:$AS$2004,'Saisie'!$C$5:$C$2004,C465,'Saisie'!$AH$5:$AH$2004,"&lt;&gt;")-4),""))</f>
        <v/>
      </c>
      <c r="AF465" s="60">
        <f>IF(C465="","",IFERROR(INDEX('Saisie'!$AI$5:$AI$2004,_xlfn.MAXIFS('Saisie'!$AS$5:$AS$2004,'Saisie'!$C$5:$C$2004,C465,'Saisie'!$AI$5:$AI$2004,"&lt;&gt;")-4),""))</f>
        <v/>
      </c>
      <c r="AG465" s="60">
        <f>IF(C465="","",IFERROR(INDEX('Saisie'!$AJ$5:$AJ$2004,_xlfn.MAXIFS('Saisie'!$AS$5:$AS$2004,'Saisie'!$C$5:$C$2004,C465,'Saisie'!$AJ$5:$AJ$2004,"&lt;&gt;")-4),""))</f>
        <v/>
      </c>
      <c r="AH465" s="60">
        <f>IF(C465="","",IFERROR(INDEX('Saisie'!$AK$5:$AK$2004,_xlfn.MAXIFS('Saisie'!$AS$5:$AS$2004,'Saisie'!$C$5:$C$2004,C465,'Saisie'!$AK$5:$AK$2004,"&lt;&gt;")-4),""))</f>
        <v/>
      </c>
      <c r="AI465" s="60">
        <f>IF(C465="","",IFERROR(INDEX('Saisie'!$AN$5:$AN$2004,_xlfn.MAXIFS('Saisie'!$AS$5:$AS$2004,'Saisie'!$C$5:$C$2004,C465,'Saisie'!$AN$5:$AN$2004,"&lt;&gt;")-4),""))</f>
        <v/>
      </c>
      <c r="AJ465" s="60">
        <f>IF(C465="","",IFERROR(INDEX('Saisie'!$AO$5:$AO$2004,_xlfn.MAXIFS('Saisie'!$AS$5:$AS$2004,'Saisie'!$C$5:$C$2004,C465,'Saisie'!$AO$5:$AO$2004,"&lt;&gt;")-4),""))</f>
        <v/>
      </c>
      <c r="AK465" s="60">
        <f>IF(C465="","",IFERROR(INDEX('Saisie'!$AP$5:$AP$2004,_xlfn.MAXIFS('Saisie'!$AS$5:$AS$2004,'Saisie'!$C$5:$C$2004,C465,'Saisie'!$AP$5:$AP$2004,"&lt;&gt;")-4),""))</f>
        <v/>
      </c>
      <c r="AL465" s="60">
        <f>IF(C465="","",IFERROR(INDEX('Saisie'!$AQ$5:$AQ$2004,_xlfn.MAXIFS('Saisie'!$AS$5:$AS$2004,'Saisie'!$C$5:$C$2004,C465,'Saisie'!$AQ$5:$AQ$2004,"&lt;&gt;")-4),""))</f>
        <v/>
      </c>
      <c r="AM465" s="60">
        <f>IF(C465="","",((AI465="Oui")+(AJ465="Oui")+(AK465="Oui")+OR(AL465="Immédiat",AL465="&lt; 1 mois"))&amp;"/4")</f>
        <v/>
      </c>
      <c r="AN465" s="60">
        <f>IF(C465="","",IFERROR(INDEX('Saisie'!$AL$5:$AL$2004,_xlfn.MAXIFS('Saisie'!$AS$5:$AS$2004,'Saisie'!$C$5:$C$2004,C465,'Saisie'!$AL$5:$AL$2004,"&lt;&gt;")-4),""))</f>
        <v/>
      </c>
      <c r="AO465" s="62">
        <f>IF(C465="","",IF(IFERROR(INDEX('Saisie'!$AM$5:$AM$2004,_xlfn.MAXIFS('Saisie'!$AS$5:$AS$2004,'Saisie'!$C$5:$C$2004,C465,'Saisie'!$AM$5:$AM$2004,"&lt;&gt;")-4),"")&lt;&gt;"",IFERROR(INDEX('Saisie'!$AM$5:$AM$2004,_xlfn.MAXIFS('Saisie'!$AS$5:$AS$2004,'Saisie'!$C$5:$C$2004,C465,'Saisie'!$AM$5:$AM$2004,"&lt;&gt;")-4),""),IFERROR(INDEX('Paramètres'!$S$6:$S$15,MATCH(AN465,'Paramètres'!$Q$6:$Q$15,0)),"")))</f>
        <v/>
      </c>
      <c r="AP465" s="62">
        <f>IF(C465="","",IFERROR(INDEX('Saisie'!$AW$5:$AW$2004,_xlfn.MAXIFS('Saisie'!$AS$5:$AS$2004,'Saisie'!$C$5:$C$2004,C465,'Saisie'!$E$5:$E$2004,"Proposition envoyée")-4),""))</f>
        <v/>
      </c>
      <c r="AQ465" s="106">
        <f>IF(C465="","",IFERROR(1/(1/_xlfn.MAXIFS('Saisie'!$A$5:$A$2004,'Saisie'!$C$5:$C$2004,C465,'Saisie'!$E$5:$E$2004,"Proposition envoyée")),""))</f>
        <v/>
      </c>
      <c r="AR465" s="106">
        <f>IF(C465="","",IF(AQ465="","",AQ465+'Paramètres'!$B$26))</f>
        <v/>
      </c>
      <c r="AS465" s="62">
        <f>IF(OR(C465="",D465="Gagné",D465="Perdu"),0,N(AP465)*IFERROR(INDEX('Paramètres'!$G$6:$G$13,MATCH(D465,'Paramètres'!$F$6:$F$13,0)),0))</f>
        <v/>
      </c>
      <c r="AT465" s="106">
        <f>IF(C465="","",IFERROR(1/(1/_xlfn.MINIFS('Saisie'!$A$5:$A$2004,'Saisie'!$C$5:$C$2004,C465,'Saisie'!$E$5:$E$2004,"Signature")),""))</f>
        <v/>
      </c>
      <c r="AU465" s="60">
        <f>IF(C465="","",IF(OR(AT465="",B465=""),"",AT465-B465))</f>
        <v/>
      </c>
      <c r="AV465" s="60">
        <f>IF(C465="","",IFERROR(INDEX('Saisie'!$L$5:$L$2004,_xlfn.MAXIFS('Saisie'!$AS$5:$AS$2004,'Saisie'!$C$5:$C$2004,C465,'Saisie'!$L$5:$L$2004,"&lt;&gt;")-4),""))</f>
        <v/>
      </c>
      <c r="AW465" s="106">
        <f>IF(C465="","",IF(D465&lt;&gt;"Perdu","",IFERROR(1/(1/_xlfn.MAXIFS('Saisie'!$A$5:$A$2004,'Saisie'!$C$5:$C$2004,C465,'Saisie'!$E$5:$E$2004,"Perdu")),"")))</f>
        <v/>
      </c>
      <c r="AX465" s="106">
        <f>IF(C465="","",IF(AW465="","",AW465+'Paramètres'!$B$28))</f>
        <v/>
      </c>
      <c r="AY465" s="60">
        <f>IF(C465="","",SUMIFS('Saisie'!$H$5:$H$2004,'Saisie'!$C$5:$C$2004,C465))</f>
        <v/>
      </c>
      <c r="AZ465" s="60">
        <f>IF(C465="","",IFERROR(INDEX('Paramètres'!$W$6:$W$20,MATCH(S465,'Paramètres'!$V$6:$V$20,0))&amp;"",""))</f>
        <v/>
      </c>
      <c r="BA465" s="60">
        <f>IF(C465="","",MAX(1,_xlfn.MAXIFS('Saisie'!$AT$5:$AT$2004,'Saisie'!$C$5:$C$2004,C465)))</f>
        <v/>
      </c>
      <c r="BB465" s="60">
        <f>IF(C465="","",IFERROR(INDEX('Saisie'!$X$5:$X$2004,_xlfn.MAXIFS('Saisie'!$AS$5:$AS$2004,'Saisie'!$C$5:$C$2004,C465,'Saisie'!$X$5:$X$2004,"&lt;&gt;")-4),""))</f>
        <v/>
      </c>
      <c r="BC465" s="60">
        <f>IF(C465="","",IFERROR(INDEX('Saisie'!$Y$5:$Y$2004,_xlfn.MAXIFS('Saisie'!$AS$5:$AS$2004,'Saisie'!$C$5:$C$2004,C465,'Saisie'!$Y$5:$Y$2004,"&lt;&gt;")-4),""))</f>
        <v/>
      </c>
      <c r="BD465" s="106">
        <f>IF(C465="","",IFERROR(1/(1/_xlfn.MINIFS('Saisie'!$A$5:$A$2004,'Saisie'!$C$5:$C$2004,C465,'Saisie'!$AT$5:$AT$2004,"&gt;=2")),""))</f>
        <v/>
      </c>
      <c r="BE465" s="106">
        <f>IF(C465="","",IFERROR(1/(1/_xlfn.MINIFS('Saisie'!$A$5:$A$2004,'Saisie'!$C$5:$C$2004,C465,'Saisie'!$AT$5:$AT$2004,"&gt;=3")),""))</f>
        <v/>
      </c>
      <c r="BF465" s="106">
        <f>IF(C465="","",IFERROR(1/(1/_xlfn.MINIFS('Saisie'!$A$5:$A$2004,'Saisie'!$C$5:$C$2004,C465,'Saisie'!$AT$5:$AT$2004,"&gt;=4")),""))</f>
        <v/>
      </c>
      <c r="BG465" s="106">
        <f>IF(C465="","",IFERROR(1/(1/_xlfn.MINIFS('Saisie'!$A$5:$A$2004,'Saisie'!$C$5:$C$2004,C465,'Saisie'!$AT$5:$AT$2004,"&gt;=5")),""))</f>
        <v/>
      </c>
      <c r="BH465" s="106">
        <f>IF(C465="","",IFERROR(1/(1/_xlfn.MINIFS('Saisie'!$A$5:$A$2004,'Saisie'!$C$5:$C$2004,C465,'Saisie'!$AT$5:$AT$2004,"&gt;=6")),""))</f>
        <v/>
      </c>
      <c r="BI465" s="106">
        <f>IF(C465="","",IFERROR(1/(1/_xlfn.MINIFS('Saisie'!$A$5:$A$2004,'Saisie'!$C$5:$C$2004,C465,'Saisie'!$AT$5:$AT$2004,"&gt;=7")),""))</f>
        <v/>
      </c>
      <c r="BJ465" s="60">
        <f>IF(OR(BD465="",B465=""),"",BD465-B465)</f>
        <v/>
      </c>
      <c r="BK465" s="60">
        <f>IF(OR(BE465="",BD465=""),"",BE465-BD465)</f>
        <v/>
      </c>
      <c r="BL465" s="60">
        <f>IF(OR(BF465="",BE465=""),"",BF465-BE465)</f>
        <v/>
      </c>
      <c r="BM465" s="60">
        <f>IF(OR(BG465="",BF465=""),"",BG465-BF465)</f>
        <v/>
      </c>
      <c r="BN465" s="60">
        <f>IF(OR(BH465="",BG465=""),"",BH465-BG465)</f>
        <v/>
      </c>
      <c r="BO465" s="60">
        <f>IF(OR(BI465="",BH465=""),"",BI465-BH465)</f>
        <v/>
      </c>
      <c r="BP465" s="60">
        <f>IF(C465="","",_xlfn.MAXIFS('Saisie'!$AS$5:$AS$2004,'Saisie'!$C$5:$C$2004,C465,'Saisie'!$J$5:$J$2004,"&lt;&gt;"))</f>
        <v/>
      </c>
      <c r="BQ465" s="60">
        <f>IF(C465="","",_xlfn.MAXIFS('Saisie'!$AS$5:$AS$2004,'Saisie'!$C$5:$C$2004,C465))</f>
        <v/>
      </c>
      <c r="BR465" s="60">
        <f>IF(C465="","",_xlfn.MAXIFS('Saisie'!$AS$5:$AS$2004,'Saisie'!$C$5:$C$2004,C465,'Saisie'!$E$5:$E$2004,"Perdu"))</f>
        <v/>
      </c>
      <c r="BS465" s="60">
        <f>IF(C465="","",_xlfn.MAXIFS('Saisie'!$AS$5:$AS$2004,'Saisie'!$C$5:$C$2004,C465,'Saisie'!$AT$5:$AT$2004,"&gt;0"))</f>
        <v/>
      </c>
      <c r="BT465" s="109">
        <f>IF(AND(C465&lt;&gt;"",OR(D465="Nouveau",D465="Contacté",D465="Qualifié"),OR(G465="",N(G465)&lt;=TODAY()),NOT(AND(O465&gt;='Paramètres'!$B$21,P465=0))),E465+461/10000,"")</f>
        <v/>
      </c>
      <c r="BU465" s="60">
        <f>IF(AND(G465&lt;&gt;"",N(G465)&lt;=TODAY()),MAX($BU$4:BU464)+1,"")</f>
        <v/>
      </c>
      <c r="BV465" s="60">
        <f>IF(AND(F465&lt;&gt;"",F465&lt;&gt;"Relance en retard"),MAX($BV$4:BV464)+1,"")</f>
        <v/>
      </c>
      <c r="BW465" s="60">
        <f>IF(C465="","",IF(AND(B465&gt;='Tableau de bord'!$R$4,B465&lt;='Tableau de bord'!$S$4,OR('Tableau de bord'!$G$4="Tous",N465='Tableau de bord'!$G$4)),1,0))</f>
        <v/>
      </c>
      <c r="BX465" s="60">
        <f>IF(AND(C465&lt;&gt;"",N(BA465)=7),MAX($BX$4:BX464)+1,"")</f>
        <v/>
      </c>
    </row>
    <row r="466">
      <c r="A466" s="60">
        <f>IF(C466="","","P-"&amp;TEXT(462,"000"))</f>
        <v/>
      </c>
      <c r="B466" s="106">
        <f>IF(C466="","",IFERROR(1/(1/_xlfn.MINIFS('Saisie'!$A$5:$A$2004,'Saisie'!$C$5:$C$2004,C466)),""))</f>
        <v/>
      </c>
      <c r="C466" s="60">
        <f>IFERROR(INDEX('Saisie'!$C$5:$C$2004,MATCH(462,'Saisie'!$AX$5:$AX$2004,0)),"")</f>
        <v/>
      </c>
      <c r="D466" s="60">
        <f>IF(C466="","",IF(AND(BR466&gt;0,BR466&gt;BS466,BA466&lt;7),"Perdu",INDEX('Paramètres'!$F$6:$F$13,BA466)))</f>
        <v/>
      </c>
      <c r="E466" s="61">
        <f>IF(C466="","",MIN(100,(Z466="Oui")*'Paramètres'!$B$38+(AB466="Régulière")*'Paramètres'!$B$39+IF(AND(N(AA466)&gt;0,TODAY()-N(AA466)&lt;=30),'Paramètres'!$B$40,0)+(W466="")*'Paramètres'!$B$41+(AC466="Absente")*'Paramètres'!$B$42+(AC466="Faible")*'Paramètres'!$B$43+IF(AND(N(AD466)&gt;0,N(AD466)&lt;4),'Paramètres'!$B$44,0)+(AF466="Moyenne")*'Paramètres'!$B$45+(AF466="Grande")*'Paramètres'!$B$46+(Y466&lt;&gt;"")*'Paramètres'!$B$47))</f>
        <v/>
      </c>
      <c r="F466" s="60">
        <f>IF(C466="","",IF(D466="Gagné","",IF(D466="Perdu",IF(AND(AX466&lt;&gt;"",AX466&lt;=TODAY()),"À recontacter (perdu)",""),IF(AND(O466&gt;='Paramètres'!$B$21,P466=0),"Stop : "&amp;'Paramètres'!$B$21&amp;" tentatives sans réponse",IF(AND(D466="Proposition",AR466&lt;&gt;"",TODAY()&gt;N(AR466)),"Proposition expirée",IF(AND(D466="Proposition",N(R466)&gt;='Paramètres'!$B$25),"Proposition sans réponse",IF(AND(G466&lt;&gt;"",N(G466)&lt;TODAY()),"Relance en retard",IF(N(R466)&gt;='Paramètres'!$B$24,"Sans action depuis "&amp;R466&amp;" j",""))))))))</f>
        <v/>
      </c>
      <c r="G466" s="106">
        <f>IF(OR(C466="",D466="Gagné",D466="Perdu"),"",IF(AND(BP466&gt;0,BP466=BQ466),INDEX('Saisie'!$J$5:$J$2004,BP466-4),IF(OR(O466=0,AND(O466&gt;='Paramètres'!$B$21,P466=0)),"",Q466+IF(O466&lt;=1,'Paramètres'!$B$18,IF(O466=2,'Paramètres'!$B$19,'Paramètres'!$B$20)))))</f>
        <v/>
      </c>
      <c r="H466" s="107">
        <f>IF(OR(G466="",BP466&lt;&gt;BQ466),"",IF(INDEX('Saisie'!$K$5:$K$2004,BP466-4)="","",INDEX('Saisie'!$K$5:$K$2004,BP466-4)))</f>
        <v/>
      </c>
      <c r="I466" s="60">
        <f>IF(C466="","",IF(OR(D466="Gagné",D466="Perdu"),"",IFERROR(INDEX('Saisie'!$I$5:$I$2004,_xlfn.MAXIFS('Saisie'!$AS$5:$AS$2004,'Saisie'!$C$5:$C$2004,C466,'Saisie'!$I$5:$I$2004,"&lt;&gt;")-4),"")))</f>
        <v/>
      </c>
      <c r="J466" s="60">
        <f>IF(C466="","",IFERROR(INDEX('Saisie'!$U$5:$U$2004,_xlfn.MAXIFS('Saisie'!$AS$5:$AS$2004,'Saisie'!$C$5:$C$2004,C466,'Saisie'!$U$5:$U$2004,"&lt;&gt;")-4),""))</f>
        <v/>
      </c>
      <c r="K466" s="60">
        <f>IF(C466="","",IFERROR(INDEX('Saisie'!$W$5:$W$2004,_xlfn.MAXIFS('Saisie'!$AS$5:$AS$2004,'Saisie'!$C$5:$C$2004,C466,'Saisie'!$W$5:$W$2004,"&lt;&gt;")-4),""))</f>
        <v/>
      </c>
      <c r="L466" s="60">
        <f>IF(IF(BB466&lt;&gt;"",BB466,K466)="","",HYPERLINK("https://wa.me/"&amp;IF(LEFT(SUBSTITUTE(SUBSTITUTE(SUBSTITUTE(IF(BB466&lt;&gt;"",BB466,K466)," ",""),".",""),"+",""),1)="0",'Paramètres'!$B$35&amp;MID(SUBSTITUTE(SUBSTITUTE(SUBSTITUTE(IF(BB466&lt;&gt;"",BB466,K466)," ",""),".",""),"+",""),2,20),SUBSTITUTE(SUBSTITUTE(SUBSTITUTE(IF(BB466&lt;&gt;"",BB466,K466)," ",""),".",""),"+","")),"WhatsApp"))</f>
        <v/>
      </c>
      <c r="M466" s="60">
        <f>IF(BC466="","",HYPERLINK(IF(LEFT(BC466,4)="http",BC466,"https://www.instagram.com/"&amp;SUBSTITUTE(SUBSTITUTE(BC466,"@","")," ","")),BC466))</f>
        <v/>
      </c>
      <c r="N466" s="60">
        <f>IF(C466="","",IFERROR(INDEX('Saisie'!$D$5:$D$2004,_xlfn.MINIFS('Saisie'!$AS$5:$AS$2004,'Saisie'!$C$5:$C$2004,C466,'Saisie'!$AU$5:$AU$2004,1)-4),IFERROR(INDEX('Saisie'!$D$5:$D$2004,_xlfn.MINIFS('Saisie'!$AS$5:$AS$2004,'Saisie'!$C$5:$C$2004,C466,'Saisie'!$D$5:$D$2004,"&lt;&gt;")-4),"")))</f>
        <v/>
      </c>
      <c r="O466" s="60">
        <f>IF(C466="","",COUNTIFS('Saisie'!$C$5:$C$2004,C466,'Saisie'!$AU$5:$AU$2004,1))</f>
        <v/>
      </c>
      <c r="P466" s="60">
        <f>IF(C466="","",COUNTIFS('Saisie'!$C$5:$C$2004,C466,'Saisie'!$AV$5:$AV$2004,1))</f>
        <v/>
      </c>
      <c r="Q466" s="106">
        <f>IF(C466="","",IFERROR(1/(1/_xlfn.MAXIFS('Saisie'!$A$5:$A$2004,'Saisie'!$C$5:$C$2004,C466)),""))</f>
        <v/>
      </c>
      <c r="R466" s="61">
        <f>IF(C466="","",IF(Q466="","",TODAY()-Q466))</f>
        <v/>
      </c>
      <c r="S466" s="60">
        <f>IF(C466="","",IFERROR(INDEX('Saisie'!$R$5:$R$2004,_xlfn.MAXIFS('Saisie'!$AS$5:$AS$2004,'Saisie'!$C$5:$C$2004,C466,'Saisie'!$R$5:$R$2004,"&lt;&gt;")-4),""))</f>
        <v/>
      </c>
      <c r="T466" s="60">
        <f>IF(C466="","",IFERROR(INDEX('Saisie'!$S$5:$S$2004,_xlfn.MAXIFS('Saisie'!$AS$5:$AS$2004,'Saisie'!$C$5:$C$2004,C466,'Saisie'!$S$5:$S$2004,"&lt;&gt;")-4),""))</f>
        <v/>
      </c>
      <c r="U466" s="60">
        <f>IF(C466="","",IFERROR(INDEX('Saisie'!$T$5:$T$2004,_xlfn.MAXIFS('Saisie'!$AS$5:$AS$2004,'Saisie'!$C$5:$C$2004,C466,'Saisie'!$T$5:$T$2004,"&lt;&gt;")-4),""))</f>
        <v/>
      </c>
      <c r="V466" s="60">
        <f>IF(C466="","",IFERROR(INDEX('Saisie'!$V$5:$V$2004,_xlfn.MAXIFS('Saisie'!$AS$5:$AS$2004,'Saisie'!$C$5:$C$2004,C466,'Saisie'!$V$5:$V$2004,"&lt;&gt;")-4),""))</f>
        <v/>
      </c>
      <c r="W466" s="60">
        <f>IF(C466="","",IFERROR(INDEX('Saisie'!$Z$5:$Z$2004,_xlfn.MAXIFS('Saisie'!$AS$5:$AS$2004,'Saisie'!$C$5:$C$2004,C466,'Saisie'!$Z$5:$Z$2004,"&lt;&gt;")-4),""))</f>
        <v/>
      </c>
      <c r="X466" s="60">
        <f>IF(C466="","",IFERROR(INDEX('Saisie'!$AA$5:$AA$2004,_xlfn.MAXIFS('Saisie'!$AS$5:$AS$2004,'Saisie'!$C$5:$C$2004,C466,'Saisie'!$AA$5:$AA$2004,"&lt;&gt;")-4),""))</f>
        <v/>
      </c>
      <c r="Y466" s="60">
        <f>IF(C466="","",IFERROR(INDEX('Saisie'!$AB$5:$AB$2004,_xlfn.MAXIFS('Saisie'!$AS$5:$AS$2004,'Saisie'!$C$5:$C$2004,C466,'Saisie'!$AB$5:$AB$2004,"&lt;&gt;")-4),""))</f>
        <v/>
      </c>
      <c r="Z466" s="60">
        <f>IF(C466="","",IFERROR(INDEX('Saisie'!$AC$5:$AC$2004,_xlfn.MAXIFS('Saisie'!$AS$5:$AS$2004,'Saisie'!$C$5:$C$2004,C466,'Saisie'!$AC$5:$AC$2004,"&lt;&gt;")-4),""))</f>
        <v/>
      </c>
      <c r="AA466" s="106">
        <f>IF(C466="","",IFERROR(INDEX('Saisie'!$AD$5:$AD$2004,_xlfn.MAXIFS('Saisie'!$AS$5:$AS$2004,'Saisie'!$C$5:$C$2004,C466,'Saisie'!$AD$5:$AD$2004,"&lt;&gt;")-4),""))</f>
        <v/>
      </c>
      <c r="AB466" s="60">
        <f>IF(C466="","",IFERROR(INDEX('Saisie'!$AE$5:$AE$2004,_xlfn.MAXIFS('Saisie'!$AS$5:$AS$2004,'Saisie'!$C$5:$C$2004,C466,'Saisie'!$AE$5:$AE$2004,"&lt;&gt;")-4),""))</f>
        <v/>
      </c>
      <c r="AC466" s="60">
        <f>IF(C466="","",IFERROR(INDEX('Saisie'!$AF$5:$AF$2004,_xlfn.MAXIFS('Saisie'!$AS$5:$AS$2004,'Saisie'!$C$5:$C$2004,C466,'Saisie'!$AF$5:$AF$2004,"&lt;&gt;")-4),""))</f>
        <v/>
      </c>
      <c r="AD466" s="108">
        <f>IF(C466="","",IFERROR(INDEX('Saisie'!$AG$5:$AG$2004,_xlfn.MAXIFS('Saisie'!$AS$5:$AS$2004,'Saisie'!$C$5:$C$2004,C466,'Saisie'!$AG$5:$AG$2004,"&lt;&gt;")-4),""))</f>
        <v/>
      </c>
      <c r="AE466" s="60">
        <f>IF(C466="","",IFERROR(INDEX('Saisie'!$AH$5:$AH$2004,_xlfn.MAXIFS('Saisie'!$AS$5:$AS$2004,'Saisie'!$C$5:$C$2004,C466,'Saisie'!$AH$5:$AH$2004,"&lt;&gt;")-4),""))</f>
        <v/>
      </c>
      <c r="AF466" s="60">
        <f>IF(C466="","",IFERROR(INDEX('Saisie'!$AI$5:$AI$2004,_xlfn.MAXIFS('Saisie'!$AS$5:$AS$2004,'Saisie'!$C$5:$C$2004,C466,'Saisie'!$AI$5:$AI$2004,"&lt;&gt;")-4),""))</f>
        <v/>
      </c>
      <c r="AG466" s="60">
        <f>IF(C466="","",IFERROR(INDEX('Saisie'!$AJ$5:$AJ$2004,_xlfn.MAXIFS('Saisie'!$AS$5:$AS$2004,'Saisie'!$C$5:$C$2004,C466,'Saisie'!$AJ$5:$AJ$2004,"&lt;&gt;")-4),""))</f>
        <v/>
      </c>
      <c r="AH466" s="60">
        <f>IF(C466="","",IFERROR(INDEX('Saisie'!$AK$5:$AK$2004,_xlfn.MAXIFS('Saisie'!$AS$5:$AS$2004,'Saisie'!$C$5:$C$2004,C466,'Saisie'!$AK$5:$AK$2004,"&lt;&gt;")-4),""))</f>
        <v/>
      </c>
      <c r="AI466" s="60">
        <f>IF(C466="","",IFERROR(INDEX('Saisie'!$AN$5:$AN$2004,_xlfn.MAXIFS('Saisie'!$AS$5:$AS$2004,'Saisie'!$C$5:$C$2004,C466,'Saisie'!$AN$5:$AN$2004,"&lt;&gt;")-4),""))</f>
        <v/>
      </c>
      <c r="AJ466" s="60">
        <f>IF(C466="","",IFERROR(INDEX('Saisie'!$AO$5:$AO$2004,_xlfn.MAXIFS('Saisie'!$AS$5:$AS$2004,'Saisie'!$C$5:$C$2004,C466,'Saisie'!$AO$5:$AO$2004,"&lt;&gt;")-4),""))</f>
        <v/>
      </c>
      <c r="AK466" s="60">
        <f>IF(C466="","",IFERROR(INDEX('Saisie'!$AP$5:$AP$2004,_xlfn.MAXIFS('Saisie'!$AS$5:$AS$2004,'Saisie'!$C$5:$C$2004,C466,'Saisie'!$AP$5:$AP$2004,"&lt;&gt;")-4),""))</f>
        <v/>
      </c>
      <c r="AL466" s="60">
        <f>IF(C466="","",IFERROR(INDEX('Saisie'!$AQ$5:$AQ$2004,_xlfn.MAXIFS('Saisie'!$AS$5:$AS$2004,'Saisie'!$C$5:$C$2004,C466,'Saisie'!$AQ$5:$AQ$2004,"&lt;&gt;")-4),""))</f>
        <v/>
      </c>
      <c r="AM466" s="60">
        <f>IF(C466="","",((AI466="Oui")+(AJ466="Oui")+(AK466="Oui")+OR(AL466="Immédiat",AL466="&lt; 1 mois"))&amp;"/4")</f>
        <v/>
      </c>
      <c r="AN466" s="60">
        <f>IF(C466="","",IFERROR(INDEX('Saisie'!$AL$5:$AL$2004,_xlfn.MAXIFS('Saisie'!$AS$5:$AS$2004,'Saisie'!$C$5:$C$2004,C466,'Saisie'!$AL$5:$AL$2004,"&lt;&gt;")-4),""))</f>
        <v/>
      </c>
      <c r="AO466" s="62">
        <f>IF(C466="","",IF(IFERROR(INDEX('Saisie'!$AM$5:$AM$2004,_xlfn.MAXIFS('Saisie'!$AS$5:$AS$2004,'Saisie'!$C$5:$C$2004,C466,'Saisie'!$AM$5:$AM$2004,"&lt;&gt;")-4),"")&lt;&gt;"",IFERROR(INDEX('Saisie'!$AM$5:$AM$2004,_xlfn.MAXIFS('Saisie'!$AS$5:$AS$2004,'Saisie'!$C$5:$C$2004,C466,'Saisie'!$AM$5:$AM$2004,"&lt;&gt;")-4),""),IFERROR(INDEX('Paramètres'!$S$6:$S$15,MATCH(AN466,'Paramètres'!$Q$6:$Q$15,0)),"")))</f>
        <v/>
      </c>
      <c r="AP466" s="62">
        <f>IF(C466="","",IFERROR(INDEX('Saisie'!$AW$5:$AW$2004,_xlfn.MAXIFS('Saisie'!$AS$5:$AS$2004,'Saisie'!$C$5:$C$2004,C466,'Saisie'!$E$5:$E$2004,"Proposition envoyée")-4),""))</f>
        <v/>
      </c>
      <c r="AQ466" s="106">
        <f>IF(C466="","",IFERROR(1/(1/_xlfn.MAXIFS('Saisie'!$A$5:$A$2004,'Saisie'!$C$5:$C$2004,C466,'Saisie'!$E$5:$E$2004,"Proposition envoyée")),""))</f>
        <v/>
      </c>
      <c r="AR466" s="106">
        <f>IF(C466="","",IF(AQ466="","",AQ466+'Paramètres'!$B$26))</f>
        <v/>
      </c>
      <c r="AS466" s="62">
        <f>IF(OR(C466="",D466="Gagné",D466="Perdu"),0,N(AP466)*IFERROR(INDEX('Paramètres'!$G$6:$G$13,MATCH(D466,'Paramètres'!$F$6:$F$13,0)),0))</f>
        <v/>
      </c>
      <c r="AT466" s="106">
        <f>IF(C466="","",IFERROR(1/(1/_xlfn.MINIFS('Saisie'!$A$5:$A$2004,'Saisie'!$C$5:$C$2004,C466,'Saisie'!$E$5:$E$2004,"Signature")),""))</f>
        <v/>
      </c>
      <c r="AU466" s="60">
        <f>IF(C466="","",IF(OR(AT466="",B466=""),"",AT466-B466))</f>
        <v/>
      </c>
      <c r="AV466" s="60">
        <f>IF(C466="","",IFERROR(INDEX('Saisie'!$L$5:$L$2004,_xlfn.MAXIFS('Saisie'!$AS$5:$AS$2004,'Saisie'!$C$5:$C$2004,C466,'Saisie'!$L$5:$L$2004,"&lt;&gt;")-4),""))</f>
        <v/>
      </c>
      <c r="AW466" s="106">
        <f>IF(C466="","",IF(D466&lt;&gt;"Perdu","",IFERROR(1/(1/_xlfn.MAXIFS('Saisie'!$A$5:$A$2004,'Saisie'!$C$5:$C$2004,C466,'Saisie'!$E$5:$E$2004,"Perdu")),"")))</f>
        <v/>
      </c>
      <c r="AX466" s="106">
        <f>IF(C466="","",IF(AW466="","",AW466+'Paramètres'!$B$28))</f>
        <v/>
      </c>
      <c r="AY466" s="60">
        <f>IF(C466="","",SUMIFS('Saisie'!$H$5:$H$2004,'Saisie'!$C$5:$C$2004,C466))</f>
        <v/>
      </c>
      <c r="AZ466" s="60">
        <f>IF(C466="","",IFERROR(INDEX('Paramètres'!$W$6:$W$20,MATCH(S466,'Paramètres'!$V$6:$V$20,0))&amp;"",""))</f>
        <v/>
      </c>
      <c r="BA466" s="60">
        <f>IF(C466="","",MAX(1,_xlfn.MAXIFS('Saisie'!$AT$5:$AT$2004,'Saisie'!$C$5:$C$2004,C466)))</f>
        <v/>
      </c>
      <c r="BB466" s="60">
        <f>IF(C466="","",IFERROR(INDEX('Saisie'!$X$5:$X$2004,_xlfn.MAXIFS('Saisie'!$AS$5:$AS$2004,'Saisie'!$C$5:$C$2004,C466,'Saisie'!$X$5:$X$2004,"&lt;&gt;")-4),""))</f>
        <v/>
      </c>
      <c r="BC466" s="60">
        <f>IF(C466="","",IFERROR(INDEX('Saisie'!$Y$5:$Y$2004,_xlfn.MAXIFS('Saisie'!$AS$5:$AS$2004,'Saisie'!$C$5:$C$2004,C466,'Saisie'!$Y$5:$Y$2004,"&lt;&gt;")-4),""))</f>
        <v/>
      </c>
      <c r="BD466" s="106">
        <f>IF(C466="","",IFERROR(1/(1/_xlfn.MINIFS('Saisie'!$A$5:$A$2004,'Saisie'!$C$5:$C$2004,C466,'Saisie'!$AT$5:$AT$2004,"&gt;=2")),""))</f>
        <v/>
      </c>
      <c r="BE466" s="106">
        <f>IF(C466="","",IFERROR(1/(1/_xlfn.MINIFS('Saisie'!$A$5:$A$2004,'Saisie'!$C$5:$C$2004,C466,'Saisie'!$AT$5:$AT$2004,"&gt;=3")),""))</f>
        <v/>
      </c>
      <c r="BF466" s="106">
        <f>IF(C466="","",IFERROR(1/(1/_xlfn.MINIFS('Saisie'!$A$5:$A$2004,'Saisie'!$C$5:$C$2004,C466,'Saisie'!$AT$5:$AT$2004,"&gt;=4")),""))</f>
        <v/>
      </c>
      <c r="BG466" s="106">
        <f>IF(C466="","",IFERROR(1/(1/_xlfn.MINIFS('Saisie'!$A$5:$A$2004,'Saisie'!$C$5:$C$2004,C466,'Saisie'!$AT$5:$AT$2004,"&gt;=5")),""))</f>
        <v/>
      </c>
      <c r="BH466" s="106">
        <f>IF(C466="","",IFERROR(1/(1/_xlfn.MINIFS('Saisie'!$A$5:$A$2004,'Saisie'!$C$5:$C$2004,C466,'Saisie'!$AT$5:$AT$2004,"&gt;=6")),""))</f>
        <v/>
      </c>
      <c r="BI466" s="106">
        <f>IF(C466="","",IFERROR(1/(1/_xlfn.MINIFS('Saisie'!$A$5:$A$2004,'Saisie'!$C$5:$C$2004,C466,'Saisie'!$AT$5:$AT$2004,"&gt;=7")),""))</f>
        <v/>
      </c>
      <c r="BJ466" s="60">
        <f>IF(OR(BD466="",B466=""),"",BD466-B466)</f>
        <v/>
      </c>
      <c r="BK466" s="60">
        <f>IF(OR(BE466="",BD466=""),"",BE466-BD466)</f>
        <v/>
      </c>
      <c r="BL466" s="60">
        <f>IF(OR(BF466="",BE466=""),"",BF466-BE466)</f>
        <v/>
      </c>
      <c r="BM466" s="60">
        <f>IF(OR(BG466="",BF466=""),"",BG466-BF466)</f>
        <v/>
      </c>
      <c r="BN466" s="60">
        <f>IF(OR(BH466="",BG466=""),"",BH466-BG466)</f>
        <v/>
      </c>
      <c r="BO466" s="60">
        <f>IF(OR(BI466="",BH466=""),"",BI466-BH466)</f>
        <v/>
      </c>
      <c r="BP466" s="60">
        <f>IF(C466="","",_xlfn.MAXIFS('Saisie'!$AS$5:$AS$2004,'Saisie'!$C$5:$C$2004,C466,'Saisie'!$J$5:$J$2004,"&lt;&gt;"))</f>
        <v/>
      </c>
      <c r="BQ466" s="60">
        <f>IF(C466="","",_xlfn.MAXIFS('Saisie'!$AS$5:$AS$2004,'Saisie'!$C$5:$C$2004,C466))</f>
        <v/>
      </c>
      <c r="BR466" s="60">
        <f>IF(C466="","",_xlfn.MAXIFS('Saisie'!$AS$5:$AS$2004,'Saisie'!$C$5:$C$2004,C466,'Saisie'!$E$5:$E$2004,"Perdu"))</f>
        <v/>
      </c>
      <c r="BS466" s="60">
        <f>IF(C466="","",_xlfn.MAXIFS('Saisie'!$AS$5:$AS$2004,'Saisie'!$C$5:$C$2004,C466,'Saisie'!$AT$5:$AT$2004,"&gt;0"))</f>
        <v/>
      </c>
      <c r="BT466" s="109">
        <f>IF(AND(C466&lt;&gt;"",OR(D466="Nouveau",D466="Contacté",D466="Qualifié"),OR(G466="",N(G466)&lt;=TODAY()),NOT(AND(O466&gt;='Paramètres'!$B$21,P466=0))),E466+462/10000,"")</f>
        <v/>
      </c>
      <c r="BU466" s="60">
        <f>IF(AND(G466&lt;&gt;"",N(G466)&lt;=TODAY()),MAX($BU$4:BU465)+1,"")</f>
        <v/>
      </c>
      <c r="BV466" s="60">
        <f>IF(AND(F466&lt;&gt;"",F466&lt;&gt;"Relance en retard"),MAX($BV$4:BV465)+1,"")</f>
        <v/>
      </c>
      <c r="BW466" s="60">
        <f>IF(C466="","",IF(AND(B466&gt;='Tableau de bord'!$R$4,B466&lt;='Tableau de bord'!$S$4,OR('Tableau de bord'!$G$4="Tous",N466='Tableau de bord'!$G$4)),1,0))</f>
        <v/>
      </c>
      <c r="BX466" s="60">
        <f>IF(AND(C466&lt;&gt;"",N(BA466)=7),MAX($BX$4:BX465)+1,"")</f>
        <v/>
      </c>
    </row>
    <row r="467">
      <c r="A467" s="60">
        <f>IF(C467="","","P-"&amp;TEXT(463,"000"))</f>
        <v/>
      </c>
      <c r="B467" s="106">
        <f>IF(C467="","",IFERROR(1/(1/_xlfn.MINIFS('Saisie'!$A$5:$A$2004,'Saisie'!$C$5:$C$2004,C467)),""))</f>
        <v/>
      </c>
      <c r="C467" s="60">
        <f>IFERROR(INDEX('Saisie'!$C$5:$C$2004,MATCH(463,'Saisie'!$AX$5:$AX$2004,0)),"")</f>
        <v/>
      </c>
      <c r="D467" s="60">
        <f>IF(C467="","",IF(AND(BR467&gt;0,BR467&gt;BS467,BA467&lt;7),"Perdu",INDEX('Paramètres'!$F$6:$F$13,BA467)))</f>
        <v/>
      </c>
      <c r="E467" s="61">
        <f>IF(C467="","",MIN(100,(Z467="Oui")*'Paramètres'!$B$38+(AB467="Régulière")*'Paramètres'!$B$39+IF(AND(N(AA467)&gt;0,TODAY()-N(AA467)&lt;=30),'Paramètres'!$B$40,0)+(W467="")*'Paramètres'!$B$41+(AC467="Absente")*'Paramètres'!$B$42+(AC467="Faible")*'Paramètres'!$B$43+IF(AND(N(AD467)&gt;0,N(AD467)&lt;4),'Paramètres'!$B$44,0)+(AF467="Moyenne")*'Paramètres'!$B$45+(AF467="Grande")*'Paramètres'!$B$46+(Y467&lt;&gt;"")*'Paramètres'!$B$47))</f>
        <v/>
      </c>
      <c r="F467" s="60">
        <f>IF(C467="","",IF(D467="Gagné","",IF(D467="Perdu",IF(AND(AX467&lt;&gt;"",AX467&lt;=TODAY()),"À recontacter (perdu)",""),IF(AND(O467&gt;='Paramètres'!$B$21,P467=0),"Stop : "&amp;'Paramètres'!$B$21&amp;" tentatives sans réponse",IF(AND(D467="Proposition",AR467&lt;&gt;"",TODAY()&gt;N(AR467)),"Proposition expirée",IF(AND(D467="Proposition",N(R467)&gt;='Paramètres'!$B$25),"Proposition sans réponse",IF(AND(G467&lt;&gt;"",N(G467)&lt;TODAY()),"Relance en retard",IF(N(R467)&gt;='Paramètres'!$B$24,"Sans action depuis "&amp;R467&amp;" j",""))))))))</f>
        <v/>
      </c>
      <c r="G467" s="106">
        <f>IF(OR(C467="",D467="Gagné",D467="Perdu"),"",IF(AND(BP467&gt;0,BP467=BQ467),INDEX('Saisie'!$J$5:$J$2004,BP467-4),IF(OR(O467=0,AND(O467&gt;='Paramètres'!$B$21,P467=0)),"",Q467+IF(O467&lt;=1,'Paramètres'!$B$18,IF(O467=2,'Paramètres'!$B$19,'Paramètres'!$B$20)))))</f>
        <v/>
      </c>
      <c r="H467" s="107">
        <f>IF(OR(G467="",BP467&lt;&gt;BQ467),"",IF(INDEX('Saisie'!$K$5:$K$2004,BP467-4)="","",INDEX('Saisie'!$K$5:$K$2004,BP467-4)))</f>
        <v/>
      </c>
      <c r="I467" s="60">
        <f>IF(C467="","",IF(OR(D467="Gagné",D467="Perdu"),"",IFERROR(INDEX('Saisie'!$I$5:$I$2004,_xlfn.MAXIFS('Saisie'!$AS$5:$AS$2004,'Saisie'!$C$5:$C$2004,C467,'Saisie'!$I$5:$I$2004,"&lt;&gt;")-4),"")))</f>
        <v/>
      </c>
      <c r="J467" s="60">
        <f>IF(C467="","",IFERROR(INDEX('Saisie'!$U$5:$U$2004,_xlfn.MAXIFS('Saisie'!$AS$5:$AS$2004,'Saisie'!$C$5:$C$2004,C467,'Saisie'!$U$5:$U$2004,"&lt;&gt;")-4),""))</f>
        <v/>
      </c>
      <c r="K467" s="60">
        <f>IF(C467="","",IFERROR(INDEX('Saisie'!$W$5:$W$2004,_xlfn.MAXIFS('Saisie'!$AS$5:$AS$2004,'Saisie'!$C$5:$C$2004,C467,'Saisie'!$W$5:$W$2004,"&lt;&gt;")-4),""))</f>
        <v/>
      </c>
      <c r="L467" s="60">
        <f>IF(IF(BB467&lt;&gt;"",BB467,K467)="","",HYPERLINK("https://wa.me/"&amp;IF(LEFT(SUBSTITUTE(SUBSTITUTE(SUBSTITUTE(IF(BB467&lt;&gt;"",BB467,K467)," ",""),".",""),"+",""),1)="0",'Paramètres'!$B$35&amp;MID(SUBSTITUTE(SUBSTITUTE(SUBSTITUTE(IF(BB467&lt;&gt;"",BB467,K467)," ",""),".",""),"+",""),2,20),SUBSTITUTE(SUBSTITUTE(SUBSTITUTE(IF(BB467&lt;&gt;"",BB467,K467)," ",""),".",""),"+","")),"WhatsApp"))</f>
        <v/>
      </c>
      <c r="M467" s="60">
        <f>IF(BC467="","",HYPERLINK(IF(LEFT(BC467,4)="http",BC467,"https://www.instagram.com/"&amp;SUBSTITUTE(SUBSTITUTE(BC467,"@","")," ","")),BC467))</f>
        <v/>
      </c>
      <c r="N467" s="60">
        <f>IF(C467="","",IFERROR(INDEX('Saisie'!$D$5:$D$2004,_xlfn.MINIFS('Saisie'!$AS$5:$AS$2004,'Saisie'!$C$5:$C$2004,C467,'Saisie'!$AU$5:$AU$2004,1)-4),IFERROR(INDEX('Saisie'!$D$5:$D$2004,_xlfn.MINIFS('Saisie'!$AS$5:$AS$2004,'Saisie'!$C$5:$C$2004,C467,'Saisie'!$D$5:$D$2004,"&lt;&gt;")-4),"")))</f>
        <v/>
      </c>
      <c r="O467" s="60">
        <f>IF(C467="","",COUNTIFS('Saisie'!$C$5:$C$2004,C467,'Saisie'!$AU$5:$AU$2004,1))</f>
        <v/>
      </c>
      <c r="P467" s="60">
        <f>IF(C467="","",COUNTIFS('Saisie'!$C$5:$C$2004,C467,'Saisie'!$AV$5:$AV$2004,1))</f>
        <v/>
      </c>
      <c r="Q467" s="106">
        <f>IF(C467="","",IFERROR(1/(1/_xlfn.MAXIFS('Saisie'!$A$5:$A$2004,'Saisie'!$C$5:$C$2004,C467)),""))</f>
        <v/>
      </c>
      <c r="R467" s="61">
        <f>IF(C467="","",IF(Q467="","",TODAY()-Q467))</f>
        <v/>
      </c>
      <c r="S467" s="60">
        <f>IF(C467="","",IFERROR(INDEX('Saisie'!$R$5:$R$2004,_xlfn.MAXIFS('Saisie'!$AS$5:$AS$2004,'Saisie'!$C$5:$C$2004,C467,'Saisie'!$R$5:$R$2004,"&lt;&gt;")-4),""))</f>
        <v/>
      </c>
      <c r="T467" s="60">
        <f>IF(C467="","",IFERROR(INDEX('Saisie'!$S$5:$S$2004,_xlfn.MAXIFS('Saisie'!$AS$5:$AS$2004,'Saisie'!$C$5:$C$2004,C467,'Saisie'!$S$5:$S$2004,"&lt;&gt;")-4),""))</f>
        <v/>
      </c>
      <c r="U467" s="60">
        <f>IF(C467="","",IFERROR(INDEX('Saisie'!$T$5:$T$2004,_xlfn.MAXIFS('Saisie'!$AS$5:$AS$2004,'Saisie'!$C$5:$C$2004,C467,'Saisie'!$T$5:$T$2004,"&lt;&gt;")-4),""))</f>
        <v/>
      </c>
      <c r="V467" s="60">
        <f>IF(C467="","",IFERROR(INDEX('Saisie'!$V$5:$V$2004,_xlfn.MAXIFS('Saisie'!$AS$5:$AS$2004,'Saisie'!$C$5:$C$2004,C467,'Saisie'!$V$5:$V$2004,"&lt;&gt;")-4),""))</f>
        <v/>
      </c>
      <c r="W467" s="60">
        <f>IF(C467="","",IFERROR(INDEX('Saisie'!$Z$5:$Z$2004,_xlfn.MAXIFS('Saisie'!$AS$5:$AS$2004,'Saisie'!$C$5:$C$2004,C467,'Saisie'!$Z$5:$Z$2004,"&lt;&gt;")-4),""))</f>
        <v/>
      </c>
      <c r="X467" s="60">
        <f>IF(C467="","",IFERROR(INDEX('Saisie'!$AA$5:$AA$2004,_xlfn.MAXIFS('Saisie'!$AS$5:$AS$2004,'Saisie'!$C$5:$C$2004,C467,'Saisie'!$AA$5:$AA$2004,"&lt;&gt;")-4),""))</f>
        <v/>
      </c>
      <c r="Y467" s="60">
        <f>IF(C467="","",IFERROR(INDEX('Saisie'!$AB$5:$AB$2004,_xlfn.MAXIFS('Saisie'!$AS$5:$AS$2004,'Saisie'!$C$5:$C$2004,C467,'Saisie'!$AB$5:$AB$2004,"&lt;&gt;")-4),""))</f>
        <v/>
      </c>
      <c r="Z467" s="60">
        <f>IF(C467="","",IFERROR(INDEX('Saisie'!$AC$5:$AC$2004,_xlfn.MAXIFS('Saisie'!$AS$5:$AS$2004,'Saisie'!$C$5:$C$2004,C467,'Saisie'!$AC$5:$AC$2004,"&lt;&gt;")-4),""))</f>
        <v/>
      </c>
      <c r="AA467" s="106">
        <f>IF(C467="","",IFERROR(INDEX('Saisie'!$AD$5:$AD$2004,_xlfn.MAXIFS('Saisie'!$AS$5:$AS$2004,'Saisie'!$C$5:$C$2004,C467,'Saisie'!$AD$5:$AD$2004,"&lt;&gt;")-4),""))</f>
        <v/>
      </c>
      <c r="AB467" s="60">
        <f>IF(C467="","",IFERROR(INDEX('Saisie'!$AE$5:$AE$2004,_xlfn.MAXIFS('Saisie'!$AS$5:$AS$2004,'Saisie'!$C$5:$C$2004,C467,'Saisie'!$AE$5:$AE$2004,"&lt;&gt;")-4),""))</f>
        <v/>
      </c>
      <c r="AC467" s="60">
        <f>IF(C467="","",IFERROR(INDEX('Saisie'!$AF$5:$AF$2004,_xlfn.MAXIFS('Saisie'!$AS$5:$AS$2004,'Saisie'!$C$5:$C$2004,C467,'Saisie'!$AF$5:$AF$2004,"&lt;&gt;")-4),""))</f>
        <v/>
      </c>
      <c r="AD467" s="108">
        <f>IF(C467="","",IFERROR(INDEX('Saisie'!$AG$5:$AG$2004,_xlfn.MAXIFS('Saisie'!$AS$5:$AS$2004,'Saisie'!$C$5:$C$2004,C467,'Saisie'!$AG$5:$AG$2004,"&lt;&gt;")-4),""))</f>
        <v/>
      </c>
      <c r="AE467" s="60">
        <f>IF(C467="","",IFERROR(INDEX('Saisie'!$AH$5:$AH$2004,_xlfn.MAXIFS('Saisie'!$AS$5:$AS$2004,'Saisie'!$C$5:$C$2004,C467,'Saisie'!$AH$5:$AH$2004,"&lt;&gt;")-4),""))</f>
        <v/>
      </c>
      <c r="AF467" s="60">
        <f>IF(C467="","",IFERROR(INDEX('Saisie'!$AI$5:$AI$2004,_xlfn.MAXIFS('Saisie'!$AS$5:$AS$2004,'Saisie'!$C$5:$C$2004,C467,'Saisie'!$AI$5:$AI$2004,"&lt;&gt;")-4),""))</f>
        <v/>
      </c>
      <c r="AG467" s="60">
        <f>IF(C467="","",IFERROR(INDEX('Saisie'!$AJ$5:$AJ$2004,_xlfn.MAXIFS('Saisie'!$AS$5:$AS$2004,'Saisie'!$C$5:$C$2004,C467,'Saisie'!$AJ$5:$AJ$2004,"&lt;&gt;")-4),""))</f>
        <v/>
      </c>
      <c r="AH467" s="60">
        <f>IF(C467="","",IFERROR(INDEX('Saisie'!$AK$5:$AK$2004,_xlfn.MAXIFS('Saisie'!$AS$5:$AS$2004,'Saisie'!$C$5:$C$2004,C467,'Saisie'!$AK$5:$AK$2004,"&lt;&gt;")-4),""))</f>
        <v/>
      </c>
      <c r="AI467" s="60">
        <f>IF(C467="","",IFERROR(INDEX('Saisie'!$AN$5:$AN$2004,_xlfn.MAXIFS('Saisie'!$AS$5:$AS$2004,'Saisie'!$C$5:$C$2004,C467,'Saisie'!$AN$5:$AN$2004,"&lt;&gt;")-4),""))</f>
        <v/>
      </c>
      <c r="AJ467" s="60">
        <f>IF(C467="","",IFERROR(INDEX('Saisie'!$AO$5:$AO$2004,_xlfn.MAXIFS('Saisie'!$AS$5:$AS$2004,'Saisie'!$C$5:$C$2004,C467,'Saisie'!$AO$5:$AO$2004,"&lt;&gt;")-4),""))</f>
        <v/>
      </c>
      <c r="AK467" s="60">
        <f>IF(C467="","",IFERROR(INDEX('Saisie'!$AP$5:$AP$2004,_xlfn.MAXIFS('Saisie'!$AS$5:$AS$2004,'Saisie'!$C$5:$C$2004,C467,'Saisie'!$AP$5:$AP$2004,"&lt;&gt;")-4),""))</f>
        <v/>
      </c>
      <c r="AL467" s="60">
        <f>IF(C467="","",IFERROR(INDEX('Saisie'!$AQ$5:$AQ$2004,_xlfn.MAXIFS('Saisie'!$AS$5:$AS$2004,'Saisie'!$C$5:$C$2004,C467,'Saisie'!$AQ$5:$AQ$2004,"&lt;&gt;")-4),""))</f>
        <v/>
      </c>
      <c r="AM467" s="60">
        <f>IF(C467="","",((AI467="Oui")+(AJ467="Oui")+(AK467="Oui")+OR(AL467="Immédiat",AL467="&lt; 1 mois"))&amp;"/4")</f>
        <v/>
      </c>
      <c r="AN467" s="60">
        <f>IF(C467="","",IFERROR(INDEX('Saisie'!$AL$5:$AL$2004,_xlfn.MAXIFS('Saisie'!$AS$5:$AS$2004,'Saisie'!$C$5:$C$2004,C467,'Saisie'!$AL$5:$AL$2004,"&lt;&gt;")-4),""))</f>
        <v/>
      </c>
      <c r="AO467" s="62">
        <f>IF(C467="","",IF(IFERROR(INDEX('Saisie'!$AM$5:$AM$2004,_xlfn.MAXIFS('Saisie'!$AS$5:$AS$2004,'Saisie'!$C$5:$C$2004,C467,'Saisie'!$AM$5:$AM$2004,"&lt;&gt;")-4),"")&lt;&gt;"",IFERROR(INDEX('Saisie'!$AM$5:$AM$2004,_xlfn.MAXIFS('Saisie'!$AS$5:$AS$2004,'Saisie'!$C$5:$C$2004,C467,'Saisie'!$AM$5:$AM$2004,"&lt;&gt;")-4),""),IFERROR(INDEX('Paramètres'!$S$6:$S$15,MATCH(AN467,'Paramètres'!$Q$6:$Q$15,0)),"")))</f>
        <v/>
      </c>
      <c r="AP467" s="62">
        <f>IF(C467="","",IFERROR(INDEX('Saisie'!$AW$5:$AW$2004,_xlfn.MAXIFS('Saisie'!$AS$5:$AS$2004,'Saisie'!$C$5:$C$2004,C467,'Saisie'!$E$5:$E$2004,"Proposition envoyée")-4),""))</f>
        <v/>
      </c>
      <c r="AQ467" s="106">
        <f>IF(C467="","",IFERROR(1/(1/_xlfn.MAXIFS('Saisie'!$A$5:$A$2004,'Saisie'!$C$5:$C$2004,C467,'Saisie'!$E$5:$E$2004,"Proposition envoyée")),""))</f>
        <v/>
      </c>
      <c r="AR467" s="106">
        <f>IF(C467="","",IF(AQ467="","",AQ467+'Paramètres'!$B$26))</f>
        <v/>
      </c>
      <c r="AS467" s="62">
        <f>IF(OR(C467="",D467="Gagné",D467="Perdu"),0,N(AP467)*IFERROR(INDEX('Paramètres'!$G$6:$G$13,MATCH(D467,'Paramètres'!$F$6:$F$13,0)),0))</f>
        <v/>
      </c>
      <c r="AT467" s="106">
        <f>IF(C467="","",IFERROR(1/(1/_xlfn.MINIFS('Saisie'!$A$5:$A$2004,'Saisie'!$C$5:$C$2004,C467,'Saisie'!$E$5:$E$2004,"Signature")),""))</f>
        <v/>
      </c>
      <c r="AU467" s="60">
        <f>IF(C467="","",IF(OR(AT467="",B467=""),"",AT467-B467))</f>
        <v/>
      </c>
      <c r="AV467" s="60">
        <f>IF(C467="","",IFERROR(INDEX('Saisie'!$L$5:$L$2004,_xlfn.MAXIFS('Saisie'!$AS$5:$AS$2004,'Saisie'!$C$5:$C$2004,C467,'Saisie'!$L$5:$L$2004,"&lt;&gt;")-4),""))</f>
        <v/>
      </c>
      <c r="AW467" s="106">
        <f>IF(C467="","",IF(D467&lt;&gt;"Perdu","",IFERROR(1/(1/_xlfn.MAXIFS('Saisie'!$A$5:$A$2004,'Saisie'!$C$5:$C$2004,C467,'Saisie'!$E$5:$E$2004,"Perdu")),"")))</f>
        <v/>
      </c>
      <c r="AX467" s="106">
        <f>IF(C467="","",IF(AW467="","",AW467+'Paramètres'!$B$28))</f>
        <v/>
      </c>
      <c r="AY467" s="60">
        <f>IF(C467="","",SUMIFS('Saisie'!$H$5:$H$2004,'Saisie'!$C$5:$C$2004,C467))</f>
        <v/>
      </c>
      <c r="AZ467" s="60">
        <f>IF(C467="","",IFERROR(INDEX('Paramètres'!$W$6:$W$20,MATCH(S467,'Paramètres'!$V$6:$V$20,0))&amp;"",""))</f>
        <v/>
      </c>
      <c r="BA467" s="60">
        <f>IF(C467="","",MAX(1,_xlfn.MAXIFS('Saisie'!$AT$5:$AT$2004,'Saisie'!$C$5:$C$2004,C467)))</f>
        <v/>
      </c>
      <c r="BB467" s="60">
        <f>IF(C467="","",IFERROR(INDEX('Saisie'!$X$5:$X$2004,_xlfn.MAXIFS('Saisie'!$AS$5:$AS$2004,'Saisie'!$C$5:$C$2004,C467,'Saisie'!$X$5:$X$2004,"&lt;&gt;")-4),""))</f>
        <v/>
      </c>
      <c r="BC467" s="60">
        <f>IF(C467="","",IFERROR(INDEX('Saisie'!$Y$5:$Y$2004,_xlfn.MAXIFS('Saisie'!$AS$5:$AS$2004,'Saisie'!$C$5:$C$2004,C467,'Saisie'!$Y$5:$Y$2004,"&lt;&gt;")-4),""))</f>
        <v/>
      </c>
      <c r="BD467" s="106">
        <f>IF(C467="","",IFERROR(1/(1/_xlfn.MINIFS('Saisie'!$A$5:$A$2004,'Saisie'!$C$5:$C$2004,C467,'Saisie'!$AT$5:$AT$2004,"&gt;=2")),""))</f>
        <v/>
      </c>
      <c r="BE467" s="106">
        <f>IF(C467="","",IFERROR(1/(1/_xlfn.MINIFS('Saisie'!$A$5:$A$2004,'Saisie'!$C$5:$C$2004,C467,'Saisie'!$AT$5:$AT$2004,"&gt;=3")),""))</f>
        <v/>
      </c>
      <c r="BF467" s="106">
        <f>IF(C467="","",IFERROR(1/(1/_xlfn.MINIFS('Saisie'!$A$5:$A$2004,'Saisie'!$C$5:$C$2004,C467,'Saisie'!$AT$5:$AT$2004,"&gt;=4")),""))</f>
        <v/>
      </c>
      <c r="BG467" s="106">
        <f>IF(C467="","",IFERROR(1/(1/_xlfn.MINIFS('Saisie'!$A$5:$A$2004,'Saisie'!$C$5:$C$2004,C467,'Saisie'!$AT$5:$AT$2004,"&gt;=5")),""))</f>
        <v/>
      </c>
      <c r="BH467" s="106">
        <f>IF(C467="","",IFERROR(1/(1/_xlfn.MINIFS('Saisie'!$A$5:$A$2004,'Saisie'!$C$5:$C$2004,C467,'Saisie'!$AT$5:$AT$2004,"&gt;=6")),""))</f>
        <v/>
      </c>
      <c r="BI467" s="106">
        <f>IF(C467="","",IFERROR(1/(1/_xlfn.MINIFS('Saisie'!$A$5:$A$2004,'Saisie'!$C$5:$C$2004,C467,'Saisie'!$AT$5:$AT$2004,"&gt;=7")),""))</f>
        <v/>
      </c>
      <c r="BJ467" s="60">
        <f>IF(OR(BD467="",B467=""),"",BD467-B467)</f>
        <v/>
      </c>
      <c r="BK467" s="60">
        <f>IF(OR(BE467="",BD467=""),"",BE467-BD467)</f>
        <v/>
      </c>
      <c r="BL467" s="60">
        <f>IF(OR(BF467="",BE467=""),"",BF467-BE467)</f>
        <v/>
      </c>
      <c r="BM467" s="60">
        <f>IF(OR(BG467="",BF467=""),"",BG467-BF467)</f>
        <v/>
      </c>
      <c r="BN467" s="60">
        <f>IF(OR(BH467="",BG467=""),"",BH467-BG467)</f>
        <v/>
      </c>
      <c r="BO467" s="60">
        <f>IF(OR(BI467="",BH467=""),"",BI467-BH467)</f>
        <v/>
      </c>
      <c r="BP467" s="60">
        <f>IF(C467="","",_xlfn.MAXIFS('Saisie'!$AS$5:$AS$2004,'Saisie'!$C$5:$C$2004,C467,'Saisie'!$J$5:$J$2004,"&lt;&gt;"))</f>
        <v/>
      </c>
      <c r="BQ467" s="60">
        <f>IF(C467="","",_xlfn.MAXIFS('Saisie'!$AS$5:$AS$2004,'Saisie'!$C$5:$C$2004,C467))</f>
        <v/>
      </c>
      <c r="BR467" s="60">
        <f>IF(C467="","",_xlfn.MAXIFS('Saisie'!$AS$5:$AS$2004,'Saisie'!$C$5:$C$2004,C467,'Saisie'!$E$5:$E$2004,"Perdu"))</f>
        <v/>
      </c>
      <c r="BS467" s="60">
        <f>IF(C467="","",_xlfn.MAXIFS('Saisie'!$AS$5:$AS$2004,'Saisie'!$C$5:$C$2004,C467,'Saisie'!$AT$5:$AT$2004,"&gt;0"))</f>
        <v/>
      </c>
      <c r="BT467" s="109">
        <f>IF(AND(C467&lt;&gt;"",OR(D467="Nouveau",D467="Contacté",D467="Qualifié"),OR(G467="",N(G467)&lt;=TODAY()),NOT(AND(O467&gt;='Paramètres'!$B$21,P467=0))),E467+463/10000,"")</f>
        <v/>
      </c>
      <c r="BU467" s="60">
        <f>IF(AND(G467&lt;&gt;"",N(G467)&lt;=TODAY()),MAX($BU$4:BU466)+1,"")</f>
        <v/>
      </c>
      <c r="BV467" s="60">
        <f>IF(AND(F467&lt;&gt;"",F467&lt;&gt;"Relance en retard"),MAX($BV$4:BV466)+1,"")</f>
        <v/>
      </c>
      <c r="BW467" s="60">
        <f>IF(C467="","",IF(AND(B467&gt;='Tableau de bord'!$R$4,B467&lt;='Tableau de bord'!$S$4,OR('Tableau de bord'!$G$4="Tous",N467='Tableau de bord'!$G$4)),1,0))</f>
        <v/>
      </c>
      <c r="BX467" s="60">
        <f>IF(AND(C467&lt;&gt;"",N(BA467)=7),MAX($BX$4:BX466)+1,"")</f>
        <v/>
      </c>
    </row>
    <row r="468">
      <c r="A468" s="60">
        <f>IF(C468="","","P-"&amp;TEXT(464,"000"))</f>
        <v/>
      </c>
      <c r="B468" s="106">
        <f>IF(C468="","",IFERROR(1/(1/_xlfn.MINIFS('Saisie'!$A$5:$A$2004,'Saisie'!$C$5:$C$2004,C468)),""))</f>
        <v/>
      </c>
      <c r="C468" s="60">
        <f>IFERROR(INDEX('Saisie'!$C$5:$C$2004,MATCH(464,'Saisie'!$AX$5:$AX$2004,0)),"")</f>
        <v/>
      </c>
      <c r="D468" s="60">
        <f>IF(C468="","",IF(AND(BR468&gt;0,BR468&gt;BS468,BA468&lt;7),"Perdu",INDEX('Paramètres'!$F$6:$F$13,BA468)))</f>
        <v/>
      </c>
      <c r="E468" s="61">
        <f>IF(C468="","",MIN(100,(Z468="Oui")*'Paramètres'!$B$38+(AB468="Régulière")*'Paramètres'!$B$39+IF(AND(N(AA468)&gt;0,TODAY()-N(AA468)&lt;=30),'Paramètres'!$B$40,0)+(W468="")*'Paramètres'!$B$41+(AC468="Absente")*'Paramètres'!$B$42+(AC468="Faible")*'Paramètres'!$B$43+IF(AND(N(AD468)&gt;0,N(AD468)&lt;4),'Paramètres'!$B$44,0)+(AF468="Moyenne")*'Paramètres'!$B$45+(AF468="Grande")*'Paramètres'!$B$46+(Y468&lt;&gt;"")*'Paramètres'!$B$47))</f>
        <v/>
      </c>
      <c r="F468" s="60">
        <f>IF(C468="","",IF(D468="Gagné","",IF(D468="Perdu",IF(AND(AX468&lt;&gt;"",AX468&lt;=TODAY()),"À recontacter (perdu)",""),IF(AND(O468&gt;='Paramètres'!$B$21,P468=0),"Stop : "&amp;'Paramètres'!$B$21&amp;" tentatives sans réponse",IF(AND(D468="Proposition",AR468&lt;&gt;"",TODAY()&gt;N(AR468)),"Proposition expirée",IF(AND(D468="Proposition",N(R468)&gt;='Paramètres'!$B$25),"Proposition sans réponse",IF(AND(G468&lt;&gt;"",N(G468)&lt;TODAY()),"Relance en retard",IF(N(R468)&gt;='Paramètres'!$B$24,"Sans action depuis "&amp;R468&amp;" j",""))))))))</f>
        <v/>
      </c>
      <c r="G468" s="106">
        <f>IF(OR(C468="",D468="Gagné",D468="Perdu"),"",IF(AND(BP468&gt;0,BP468=BQ468),INDEX('Saisie'!$J$5:$J$2004,BP468-4),IF(OR(O468=0,AND(O468&gt;='Paramètres'!$B$21,P468=0)),"",Q468+IF(O468&lt;=1,'Paramètres'!$B$18,IF(O468=2,'Paramètres'!$B$19,'Paramètres'!$B$20)))))</f>
        <v/>
      </c>
      <c r="H468" s="107">
        <f>IF(OR(G468="",BP468&lt;&gt;BQ468),"",IF(INDEX('Saisie'!$K$5:$K$2004,BP468-4)="","",INDEX('Saisie'!$K$5:$K$2004,BP468-4)))</f>
        <v/>
      </c>
      <c r="I468" s="60">
        <f>IF(C468="","",IF(OR(D468="Gagné",D468="Perdu"),"",IFERROR(INDEX('Saisie'!$I$5:$I$2004,_xlfn.MAXIFS('Saisie'!$AS$5:$AS$2004,'Saisie'!$C$5:$C$2004,C468,'Saisie'!$I$5:$I$2004,"&lt;&gt;")-4),"")))</f>
        <v/>
      </c>
      <c r="J468" s="60">
        <f>IF(C468="","",IFERROR(INDEX('Saisie'!$U$5:$U$2004,_xlfn.MAXIFS('Saisie'!$AS$5:$AS$2004,'Saisie'!$C$5:$C$2004,C468,'Saisie'!$U$5:$U$2004,"&lt;&gt;")-4),""))</f>
        <v/>
      </c>
      <c r="K468" s="60">
        <f>IF(C468="","",IFERROR(INDEX('Saisie'!$W$5:$W$2004,_xlfn.MAXIFS('Saisie'!$AS$5:$AS$2004,'Saisie'!$C$5:$C$2004,C468,'Saisie'!$W$5:$W$2004,"&lt;&gt;")-4),""))</f>
        <v/>
      </c>
      <c r="L468" s="60">
        <f>IF(IF(BB468&lt;&gt;"",BB468,K468)="","",HYPERLINK("https://wa.me/"&amp;IF(LEFT(SUBSTITUTE(SUBSTITUTE(SUBSTITUTE(IF(BB468&lt;&gt;"",BB468,K468)," ",""),".",""),"+",""),1)="0",'Paramètres'!$B$35&amp;MID(SUBSTITUTE(SUBSTITUTE(SUBSTITUTE(IF(BB468&lt;&gt;"",BB468,K468)," ",""),".",""),"+",""),2,20),SUBSTITUTE(SUBSTITUTE(SUBSTITUTE(IF(BB468&lt;&gt;"",BB468,K468)," ",""),".",""),"+","")),"WhatsApp"))</f>
        <v/>
      </c>
      <c r="M468" s="60">
        <f>IF(BC468="","",HYPERLINK(IF(LEFT(BC468,4)="http",BC468,"https://www.instagram.com/"&amp;SUBSTITUTE(SUBSTITUTE(BC468,"@","")," ","")),BC468))</f>
        <v/>
      </c>
      <c r="N468" s="60">
        <f>IF(C468="","",IFERROR(INDEX('Saisie'!$D$5:$D$2004,_xlfn.MINIFS('Saisie'!$AS$5:$AS$2004,'Saisie'!$C$5:$C$2004,C468,'Saisie'!$AU$5:$AU$2004,1)-4),IFERROR(INDEX('Saisie'!$D$5:$D$2004,_xlfn.MINIFS('Saisie'!$AS$5:$AS$2004,'Saisie'!$C$5:$C$2004,C468,'Saisie'!$D$5:$D$2004,"&lt;&gt;")-4),"")))</f>
        <v/>
      </c>
      <c r="O468" s="60">
        <f>IF(C468="","",COUNTIFS('Saisie'!$C$5:$C$2004,C468,'Saisie'!$AU$5:$AU$2004,1))</f>
        <v/>
      </c>
      <c r="P468" s="60">
        <f>IF(C468="","",COUNTIFS('Saisie'!$C$5:$C$2004,C468,'Saisie'!$AV$5:$AV$2004,1))</f>
        <v/>
      </c>
      <c r="Q468" s="106">
        <f>IF(C468="","",IFERROR(1/(1/_xlfn.MAXIFS('Saisie'!$A$5:$A$2004,'Saisie'!$C$5:$C$2004,C468)),""))</f>
        <v/>
      </c>
      <c r="R468" s="61">
        <f>IF(C468="","",IF(Q468="","",TODAY()-Q468))</f>
        <v/>
      </c>
      <c r="S468" s="60">
        <f>IF(C468="","",IFERROR(INDEX('Saisie'!$R$5:$R$2004,_xlfn.MAXIFS('Saisie'!$AS$5:$AS$2004,'Saisie'!$C$5:$C$2004,C468,'Saisie'!$R$5:$R$2004,"&lt;&gt;")-4),""))</f>
        <v/>
      </c>
      <c r="T468" s="60">
        <f>IF(C468="","",IFERROR(INDEX('Saisie'!$S$5:$S$2004,_xlfn.MAXIFS('Saisie'!$AS$5:$AS$2004,'Saisie'!$C$5:$C$2004,C468,'Saisie'!$S$5:$S$2004,"&lt;&gt;")-4),""))</f>
        <v/>
      </c>
      <c r="U468" s="60">
        <f>IF(C468="","",IFERROR(INDEX('Saisie'!$T$5:$T$2004,_xlfn.MAXIFS('Saisie'!$AS$5:$AS$2004,'Saisie'!$C$5:$C$2004,C468,'Saisie'!$T$5:$T$2004,"&lt;&gt;")-4),""))</f>
        <v/>
      </c>
      <c r="V468" s="60">
        <f>IF(C468="","",IFERROR(INDEX('Saisie'!$V$5:$V$2004,_xlfn.MAXIFS('Saisie'!$AS$5:$AS$2004,'Saisie'!$C$5:$C$2004,C468,'Saisie'!$V$5:$V$2004,"&lt;&gt;")-4),""))</f>
        <v/>
      </c>
      <c r="W468" s="60">
        <f>IF(C468="","",IFERROR(INDEX('Saisie'!$Z$5:$Z$2004,_xlfn.MAXIFS('Saisie'!$AS$5:$AS$2004,'Saisie'!$C$5:$C$2004,C468,'Saisie'!$Z$5:$Z$2004,"&lt;&gt;")-4),""))</f>
        <v/>
      </c>
      <c r="X468" s="60">
        <f>IF(C468="","",IFERROR(INDEX('Saisie'!$AA$5:$AA$2004,_xlfn.MAXIFS('Saisie'!$AS$5:$AS$2004,'Saisie'!$C$5:$C$2004,C468,'Saisie'!$AA$5:$AA$2004,"&lt;&gt;")-4),""))</f>
        <v/>
      </c>
      <c r="Y468" s="60">
        <f>IF(C468="","",IFERROR(INDEX('Saisie'!$AB$5:$AB$2004,_xlfn.MAXIFS('Saisie'!$AS$5:$AS$2004,'Saisie'!$C$5:$C$2004,C468,'Saisie'!$AB$5:$AB$2004,"&lt;&gt;")-4),""))</f>
        <v/>
      </c>
      <c r="Z468" s="60">
        <f>IF(C468="","",IFERROR(INDEX('Saisie'!$AC$5:$AC$2004,_xlfn.MAXIFS('Saisie'!$AS$5:$AS$2004,'Saisie'!$C$5:$C$2004,C468,'Saisie'!$AC$5:$AC$2004,"&lt;&gt;")-4),""))</f>
        <v/>
      </c>
      <c r="AA468" s="106">
        <f>IF(C468="","",IFERROR(INDEX('Saisie'!$AD$5:$AD$2004,_xlfn.MAXIFS('Saisie'!$AS$5:$AS$2004,'Saisie'!$C$5:$C$2004,C468,'Saisie'!$AD$5:$AD$2004,"&lt;&gt;")-4),""))</f>
        <v/>
      </c>
      <c r="AB468" s="60">
        <f>IF(C468="","",IFERROR(INDEX('Saisie'!$AE$5:$AE$2004,_xlfn.MAXIFS('Saisie'!$AS$5:$AS$2004,'Saisie'!$C$5:$C$2004,C468,'Saisie'!$AE$5:$AE$2004,"&lt;&gt;")-4),""))</f>
        <v/>
      </c>
      <c r="AC468" s="60">
        <f>IF(C468="","",IFERROR(INDEX('Saisie'!$AF$5:$AF$2004,_xlfn.MAXIFS('Saisie'!$AS$5:$AS$2004,'Saisie'!$C$5:$C$2004,C468,'Saisie'!$AF$5:$AF$2004,"&lt;&gt;")-4),""))</f>
        <v/>
      </c>
      <c r="AD468" s="108">
        <f>IF(C468="","",IFERROR(INDEX('Saisie'!$AG$5:$AG$2004,_xlfn.MAXIFS('Saisie'!$AS$5:$AS$2004,'Saisie'!$C$5:$C$2004,C468,'Saisie'!$AG$5:$AG$2004,"&lt;&gt;")-4),""))</f>
        <v/>
      </c>
      <c r="AE468" s="60">
        <f>IF(C468="","",IFERROR(INDEX('Saisie'!$AH$5:$AH$2004,_xlfn.MAXIFS('Saisie'!$AS$5:$AS$2004,'Saisie'!$C$5:$C$2004,C468,'Saisie'!$AH$5:$AH$2004,"&lt;&gt;")-4),""))</f>
        <v/>
      </c>
      <c r="AF468" s="60">
        <f>IF(C468="","",IFERROR(INDEX('Saisie'!$AI$5:$AI$2004,_xlfn.MAXIFS('Saisie'!$AS$5:$AS$2004,'Saisie'!$C$5:$C$2004,C468,'Saisie'!$AI$5:$AI$2004,"&lt;&gt;")-4),""))</f>
        <v/>
      </c>
      <c r="AG468" s="60">
        <f>IF(C468="","",IFERROR(INDEX('Saisie'!$AJ$5:$AJ$2004,_xlfn.MAXIFS('Saisie'!$AS$5:$AS$2004,'Saisie'!$C$5:$C$2004,C468,'Saisie'!$AJ$5:$AJ$2004,"&lt;&gt;")-4),""))</f>
        <v/>
      </c>
      <c r="AH468" s="60">
        <f>IF(C468="","",IFERROR(INDEX('Saisie'!$AK$5:$AK$2004,_xlfn.MAXIFS('Saisie'!$AS$5:$AS$2004,'Saisie'!$C$5:$C$2004,C468,'Saisie'!$AK$5:$AK$2004,"&lt;&gt;")-4),""))</f>
        <v/>
      </c>
      <c r="AI468" s="60">
        <f>IF(C468="","",IFERROR(INDEX('Saisie'!$AN$5:$AN$2004,_xlfn.MAXIFS('Saisie'!$AS$5:$AS$2004,'Saisie'!$C$5:$C$2004,C468,'Saisie'!$AN$5:$AN$2004,"&lt;&gt;")-4),""))</f>
        <v/>
      </c>
      <c r="AJ468" s="60">
        <f>IF(C468="","",IFERROR(INDEX('Saisie'!$AO$5:$AO$2004,_xlfn.MAXIFS('Saisie'!$AS$5:$AS$2004,'Saisie'!$C$5:$C$2004,C468,'Saisie'!$AO$5:$AO$2004,"&lt;&gt;")-4),""))</f>
        <v/>
      </c>
      <c r="AK468" s="60">
        <f>IF(C468="","",IFERROR(INDEX('Saisie'!$AP$5:$AP$2004,_xlfn.MAXIFS('Saisie'!$AS$5:$AS$2004,'Saisie'!$C$5:$C$2004,C468,'Saisie'!$AP$5:$AP$2004,"&lt;&gt;")-4),""))</f>
        <v/>
      </c>
      <c r="AL468" s="60">
        <f>IF(C468="","",IFERROR(INDEX('Saisie'!$AQ$5:$AQ$2004,_xlfn.MAXIFS('Saisie'!$AS$5:$AS$2004,'Saisie'!$C$5:$C$2004,C468,'Saisie'!$AQ$5:$AQ$2004,"&lt;&gt;")-4),""))</f>
        <v/>
      </c>
      <c r="AM468" s="60">
        <f>IF(C468="","",((AI468="Oui")+(AJ468="Oui")+(AK468="Oui")+OR(AL468="Immédiat",AL468="&lt; 1 mois"))&amp;"/4")</f>
        <v/>
      </c>
      <c r="AN468" s="60">
        <f>IF(C468="","",IFERROR(INDEX('Saisie'!$AL$5:$AL$2004,_xlfn.MAXIFS('Saisie'!$AS$5:$AS$2004,'Saisie'!$C$5:$C$2004,C468,'Saisie'!$AL$5:$AL$2004,"&lt;&gt;")-4),""))</f>
        <v/>
      </c>
      <c r="AO468" s="62">
        <f>IF(C468="","",IF(IFERROR(INDEX('Saisie'!$AM$5:$AM$2004,_xlfn.MAXIFS('Saisie'!$AS$5:$AS$2004,'Saisie'!$C$5:$C$2004,C468,'Saisie'!$AM$5:$AM$2004,"&lt;&gt;")-4),"")&lt;&gt;"",IFERROR(INDEX('Saisie'!$AM$5:$AM$2004,_xlfn.MAXIFS('Saisie'!$AS$5:$AS$2004,'Saisie'!$C$5:$C$2004,C468,'Saisie'!$AM$5:$AM$2004,"&lt;&gt;")-4),""),IFERROR(INDEX('Paramètres'!$S$6:$S$15,MATCH(AN468,'Paramètres'!$Q$6:$Q$15,0)),"")))</f>
        <v/>
      </c>
      <c r="AP468" s="62">
        <f>IF(C468="","",IFERROR(INDEX('Saisie'!$AW$5:$AW$2004,_xlfn.MAXIFS('Saisie'!$AS$5:$AS$2004,'Saisie'!$C$5:$C$2004,C468,'Saisie'!$E$5:$E$2004,"Proposition envoyée")-4),""))</f>
        <v/>
      </c>
      <c r="AQ468" s="106">
        <f>IF(C468="","",IFERROR(1/(1/_xlfn.MAXIFS('Saisie'!$A$5:$A$2004,'Saisie'!$C$5:$C$2004,C468,'Saisie'!$E$5:$E$2004,"Proposition envoyée")),""))</f>
        <v/>
      </c>
      <c r="AR468" s="106">
        <f>IF(C468="","",IF(AQ468="","",AQ468+'Paramètres'!$B$26))</f>
        <v/>
      </c>
      <c r="AS468" s="62">
        <f>IF(OR(C468="",D468="Gagné",D468="Perdu"),0,N(AP468)*IFERROR(INDEX('Paramètres'!$G$6:$G$13,MATCH(D468,'Paramètres'!$F$6:$F$13,0)),0))</f>
        <v/>
      </c>
      <c r="AT468" s="106">
        <f>IF(C468="","",IFERROR(1/(1/_xlfn.MINIFS('Saisie'!$A$5:$A$2004,'Saisie'!$C$5:$C$2004,C468,'Saisie'!$E$5:$E$2004,"Signature")),""))</f>
        <v/>
      </c>
      <c r="AU468" s="60">
        <f>IF(C468="","",IF(OR(AT468="",B468=""),"",AT468-B468))</f>
        <v/>
      </c>
      <c r="AV468" s="60">
        <f>IF(C468="","",IFERROR(INDEX('Saisie'!$L$5:$L$2004,_xlfn.MAXIFS('Saisie'!$AS$5:$AS$2004,'Saisie'!$C$5:$C$2004,C468,'Saisie'!$L$5:$L$2004,"&lt;&gt;")-4),""))</f>
        <v/>
      </c>
      <c r="AW468" s="106">
        <f>IF(C468="","",IF(D468&lt;&gt;"Perdu","",IFERROR(1/(1/_xlfn.MAXIFS('Saisie'!$A$5:$A$2004,'Saisie'!$C$5:$C$2004,C468,'Saisie'!$E$5:$E$2004,"Perdu")),"")))</f>
        <v/>
      </c>
      <c r="AX468" s="106">
        <f>IF(C468="","",IF(AW468="","",AW468+'Paramètres'!$B$28))</f>
        <v/>
      </c>
      <c r="AY468" s="60">
        <f>IF(C468="","",SUMIFS('Saisie'!$H$5:$H$2004,'Saisie'!$C$5:$C$2004,C468))</f>
        <v/>
      </c>
      <c r="AZ468" s="60">
        <f>IF(C468="","",IFERROR(INDEX('Paramètres'!$W$6:$W$20,MATCH(S468,'Paramètres'!$V$6:$V$20,0))&amp;"",""))</f>
        <v/>
      </c>
      <c r="BA468" s="60">
        <f>IF(C468="","",MAX(1,_xlfn.MAXIFS('Saisie'!$AT$5:$AT$2004,'Saisie'!$C$5:$C$2004,C468)))</f>
        <v/>
      </c>
      <c r="BB468" s="60">
        <f>IF(C468="","",IFERROR(INDEX('Saisie'!$X$5:$X$2004,_xlfn.MAXIFS('Saisie'!$AS$5:$AS$2004,'Saisie'!$C$5:$C$2004,C468,'Saisie'!$X$5:$X$2004,"&lt;&gt;")-4),""))</f>
        <v/>
      </c>
      <c r="BC468" s="60">
        <f>IF(C468="","",IFERROR(INDEX('Saisie'!$Y$5:$Y$2004,_xlfn.MAXIFS('Saisie'!$AS$5:$AS$2004,'Saisie'!$C$5:$C$2004,C468,'Saisie'!$Y$5:$Y$2004,"&lt;&gt;")-4),""))</f>
        <v/>
      </c>
      <c r="BD468" s="106">
        <f>IF(C468="","",IFERROR(1/(1/_xlfn.MINIFS('Saisie'!$A$5:$A$2004,'Saisie'!$C$5:$C$2004,C468,'Saisie'!$AT$5:$AT$2004,"&gt;=2")),""))</f>
        <v/>
      </c>
      <c r="BE468" s="106">
        <f>IF(C468="","",IFERROR(1/(1/_xlfn.MINIFS('Saisie'!$A$5:$A$2004,'Saisie'!$C$5:$C$2004,C468,'Saisie'!$AT$5:$AT$2004,"&gt;=3")),""))</f>
        <v/>
      </c>
      <c r="BF468" s="106">
        <f>IF(C468="","",IFERROR(1/(1/_xlfn.MINIFS('Saisie'!$A$5:$A$2004,'Saisie'!$C$5:$C$2004,C468,'Saisie'!$AT$5:$AT$2004,"&gt;=4")),""))</f>
        <v/>
      </c>
      <c r="BG468" s="106">
        <f>IF(C468="","",IFERROR(1/(1/_xlfn.MINIFS('Saisie'!$A$5:$A$2004,'Saisie'!$C$5:$C$2004,C468,'Saisie'!$AT$5:$AT$2004,"&gt;=5")),""))</f>
        <v/>
      </c>
      <c r="BH468" s="106">
        <f>IF(C468="","",IFERROR(1/(1/_xlfn.MINIFS('Saisie'!$A$5:$A$2004,'Saisie'!$C$5:$C$2004,C468,'Saisie'!$AT$5:$AT$2004,"&gt;=6")),""))</f>
        <v/>
      </c>
      <c r="BI468" s="106">
        <f>IF(C468="","",IFERROR(1/(1/_xlfn.MINIFS('Saisie'!$A$5:$A$2004,'Saisie'!$C$5:$C$2004,C468,'Saisie'!$AT$5:$AT$2004,"&gt;=7")),""))</f>
        <v/>
      </c>
      <c r="BJ468" s="60">
        <f>IF(OR(BD468="",B468=""),"",BD468-B468)</f>
        <v/>
      </c>
      <c r="BK468" s="60">
        <f>IF(OR(BE468="",BD468=""),"",BE468-BD468)</f>
        <v/>
      </c>
      <c r="BL468" s="60">
        <f>IF(OR(BF468="",BE468=""),"",BF468-BE468)</f>
        <v/>
      </c>
      <c r="BM468" s="60">
        <f>IF(OR(BG468="",BF468=""),"",BG468-BF468)</f>
        <v/>
      </c>
      <c r="BN468" s="60">
        <f>IF(OR(BH468="",BG468=""),"",BH468-BG468)</f>
        <v/>
      </c>
      <c r="BO468" s="60">
        <f>IF(OR(BI468="",BH468=""),"",BI468-BH468)</f>
        <v/>
      </c>
      <c r="BP468" s="60">
        <f>IF(C468="","",_xlfn.MAXIFS('Saisie'!$AS$5:$AS$2004,'Saisie'!$C$5:$C$2004,C468,'Saisie'!$J$5:$J$2004,"&lt;&gt;"))</f>
        <v/>
      </c>
      <c r="BQ468" s="60">
        <f>IF(C468="","",_xlfn.MAXIFS('Saisie'!$AS$5:$AS$2004,'Saisie'!$C$5:$C$2004,C468))</f>
        <v/>
      </c>
      <c r="BR468" s="60">
        <f>IF(C468="","",_xlfn.MAXIFS('Saisie'!$AS$5:$AS$2004,'Saisie'!$C$5:$C$2004,C468,'Saisie'!$E$5:$E$2004,"Perdu"))</f>
        <v/>
      </c>
      <c r="BS468" s="60">
        <f>IF(C468="","",_xlfn.MAXIFS('Saisie'!$AS$5:$AS$2004,'Saisie'!$C$5:$C$2004,C468,'Saisie'!$AT$5:$AT$2004,"&gt;0"))</f>
        <v/>
      </c>
      <c r="BT468" s="109">
        <f>IF(AND(C468&lt;&gt;"",OR(D468="Nouveau",D468="Contacté",D468="Qualifié"),OR(G468="",N(G468)&lt;=TODAY()),NOT(AND(O468&gt;='Paramètres'!$B$21,P468=0))),E468+464/10000,"")</f>
        <v/>
      </c>
      <c r="BU468" s="60">
        <f>IF(AND(G468&lt;&gt;"",N(G468)&lt;=TODAY()),MAX($BU$4:BU467)+1,"")</f>
        <v/>
      </c>
      <c r="BV468" s="60">
        <f>IF(AND(F468&lt;&gt;"",F468&lt;&gt;"Relance en retard"),MAX($BV$4:BV467)+1,"")</f>
        <v/>
      </c>
      <c r="BW468" s="60">
        <f>IF(C468="","",IF(AND(B468&gt;='Tableau de bord'!$R$4,B468&lt;='Tableau de bord'!$S$4,OR('Tableau de bord'!$G$4="Tous",N468='Tableau de bord'!$G$4)),1,0))</f>
        <v/>
      </c>
      <c r="BX468" s="60">
        <f>IF(AND(C468&lt;&gt;"",N(BA468)=7),MAX($BX$4:BX467)+1,"")</f>
        <v/>
      </c>
    </row>
    <row r="469">
      <c r="A469" s="60">
        <f>IF(C469="","","P-"&amp;TEXT(465,"000"))</f>
        <v/>
      </c>
      <c r="B469" s="106">
        <f>IF(C469="","",IFERROR(1/(1/_xlfn.MINIFS('Saisie'!$A$5:$A$2004,'Saisie'!$C$5:$C$2004,C469)),""))</f>
        <v/>
      </c>
      <c r="C469" s="60">
        <f>IFERROR(INDEX('Saisie'!$C$5:$C$2004,MATCH(465,'Saisie'!$AX$5:$AX$2004,0)),"")</f>
        <v/>
      </c>
      <c r="D469" s="60">
        <f>IF(C469="","",IF(AND(BR469&gt;0,BR469&gt;BS469,BA469&lt;7),"Perdu",INDEX('Paramètres'!$F$6:$F$13,BA469)))</f>
        <v/>
      </c>
      <c r="E469" s="61">
        <f>IF(C469="","",MIN(100,(Z469="Oui")*'Paramètres'!$B$38+(AB469="Régulière")*'Paramètres'!$B$39+IF(AND(N(AA469)&gt;0,TODAY()-N(AA469)&lt;=30),'Paramètres'!$B$40,0)+(W469="")*'Paramètres'!$B$41+(AC469="Absente")*'Paramètres'!$B$42+(AC469="Faible")*'Paramètres'!$B$43+IF(AND(N(AD469)&gt;0,N(AD469)&lt;4),'Paramètres'!$B$44,0)+(AF469="Moyenne")*'Paramètres'!$B$45+(AF469="Grande")*'Paramètres'!$B$46+(Y469&lt;&gt;"")*'Paramètres'!$B$47))</f>
        <v/>
      </c>
      <c r="F469" s="60">
        <f>IF(C469="","",IF(D469="Gagné","",IF(D469="Perdu",IF(AND(AX469&lt;&gt;"",AX469&lt;=TODAY()),"À recontacter (perdu)",""),IF(AND(O469&gt;='Paramètres'!$B$21,P469=0),"Stop : "&amp;'Paramètres'!$B$21&amp;" tentatives sans réponse",IF(AND(D469="Proposition",AR469&lt;&gt;"",TODAY()&gt;N(AR469)),"Proposition expirée",IF(AND(D469="Proposition",N(R469)&gt;='Paramètres'!$B$25),"Proposition sans réponse",IF(AND(G469&lt;&gt;"",N(G469)&lt;TODAY()),"Relance en retard",IF(N(R469)&gt;='Paramètres'!$B$24,"Sans action depuis "&amp;R469&amp;" j",""))))))))</f>
        <v/>
      </c>
      <c r="G469" s="106">
        <f>IF(OR(C469="",D469="Gagné",D469="Perdu"),"",IF(AND(BP469&gt;0,BP469=BQ469),INDEX('Saisie'!$J$5:$J$2004,BP469-4),IF(OR(O469=0,AND(O469&gt;='Paramètres'!$B$21,P469=0)),"",Q469+IF(O469&lt;=1,'Paramètres'!$B$18,IF(O469=2,'Paramètres'!$B$19,'Paramètres'!$B$20)))))</f>
        <v/>
      </c>
      <c r="H469" s="107">
        <f>IF(OR(G469="",BP469&lt;&gt;BQ469),"",IF(INDEX('Saisie'!$K$5:$K$2004,BP469-4)="","",INDEX('Saisie'!$K$5:$K$2004,BP469-4)))</f>
        <v/>
      </c>
      <c r="I469" s="60">
        <f>IF(C469="","",IF(OR(D469="Gagné",D469="Perdu"),"",IFERROR(INDEX('Saisie'!$I$5:$I$2004,_xlfn.MAXIFS('Saisie'!$AS$5:$AS$2004,'Saisie'!$C$5:$C$2004,C469,'Saisie'!$I$5:$I$2004,"&lt;&gt;")-4),"")))</f>
        <v/>
      </c>
      <c r="J469" s="60">
        <f>IF(C469="","",IFERROR(INDEX('Saisie'!$U$5:$U$2004,_xlfn.MAXIFS('Saisie'!$AS$5:$AS$2004,'Saisie'!$C$5:$C$2004,C469,'Saisie'!$U$5:$U$2004,"&lt;&gt;")-4),""))</f>
        <v/>
      </c>
      <c r="K469" s="60">
        <f>IF(C469="","",IFERROR(INDEX('Saisie'!$W$5:$W$2004,_xlfn.MAXIFS('Saisie'!$AS$5:$AS$2004,'Saisie'!$C$5:$C$2004,C469,'Saisie'!$W$5:$W$2004,"&lt;&gt;")-4),""))</f>
        <v/>
      </c>
      <c r="L469" s="60">
        <f>IF(IF(BB469&lt;&gt;"",BB469,K469)="","",HYPERLINK("https://wa.me/"&amp;IF(LEFT(SUBSTITUTE(SUBSTITUTE(SUBSTITUTE(IF(BB469&lt;&gt;"",BB469,K469)," ",""),".",""),"+",""),1)="0",'Paramètres'!$B$35&amp;MID(SUBSTITUTE(SUBSTITUTE(SUBSTITUTE(IF(BB469&lt;&gt;"",BB469,K469)," ",""),".",""),"+",""),2,20),SUBSTITUTE(SUBSTITUTE(SUBSTITUTE(IF(BB469&lt;&gt;"",BB469,K469)," ",""),".",""),"+","")),"WhatsApp"))</f>
        <v/>
      </c>
      <c r="M469" s="60">
        <f>IF(BC469="","",HYPERLINK(IF(LEFT(BC469,4)="http",BC469,"https://www.instagram.com/"&amp;SUBSTITUTE(SUBSTITUTE(BC469,"@","")," ","")),BC469))</f>
        <v/>
      </c>
      <c r="N469" s="60">
        <f>IF(C469="","",IFERROR(INDEX('Saisie'!$D$5:$D$2004,_xlfn.MINIFS('Saisie'!$AS$5:$AS$2004,'Saisie'!$C$5:$C$2004,C469,'Saisie'!$AU$5:$AU$2004,1)-4),IFERROR(INDEX('Saisie'!$D$5:$D$2004,_xlfn.MINIFS('Saisie'!$AS$5:$AS$2004,'Saisie'!$C$5:$C$2004,C469,'Saisie'!$D$5:$D$2004,"&lt;&gt;")-4),"")))</f>
        <v/>
      </c>
      <c r="O469" s="60">
        <f>IF(C469="","",COUNTIFS('Saisie'!$C$5:$C$2004,C469,'Saisie'!$AU$5:$AU$2004,1))</f>
        <v/>
      </c>
      <c r="P469" s="60">
        <f>IF(C469="","",COUNTIFS('Saisie'!$C$5:$C$2004,C469,'Saisie'!$AV$5:$AV$2004,1))</f>
        <v/>
      </c>
      <c r="Q469" s="106">
        <f>IF(C469="","",IFERROR(1/(1/_xlfn.MAXIFS('Saisie'!$A$5:$A$2004,'Saisie'!$C$5:$C$2004,C469)),""))</f>
        <v/>
      </c>
      <c r="R469" s="61">
        <f>IF(C469="","",IF(Q469="","",TODAY()-Q469))</f>
        <v/>
      </c>
      <c r="S469" s="60">
        <f>IF(C469="","",IFERROR(INDEX('Saisie'!$R$5:$R$2004,_xlfn.MAXIFS('Saisie'!$AS$5:$AS$2004,'Saisie'!$C$5:$C$2004,C469,'Saisie'!$R$5:$R$2004,"&lt;&gt;")-4),""))</f>
        <v/>
      </c>
      <c r="T469" s="60">
        <f>IF(C469="","",IFERROR(INDEX('Saisie'!$S$5:$S$2004,_xlfn.MAXIFS('Saisie'!$AS$5:$AS$2004,'Saisie'!$C$5:$C$2004,C469,'Saisie'!$S$5:$S$2004,"&lt;&gt;")-4),""))</f>
        <v/>
      </c>
      <c r="U469" s="60">
        <f>IF(C469="","",IFERROR(INDEX('Saisie'!$T$5:$T$2004,_xlfn.MAXIFS('Saisie'!$AS$5:$AS$2004,'Saisie'!$C$5:$C$2004,C469,'Saisie'!$T$5:$T$2004,"&lt;&gt;")-4),""))</f>
        <v/>
      </c>
      <c r="V469" s="60">
        <f>IF(C469="","",IFERROR(INDEX('Saisie'!$V$5:$V$2004,_xlfn.MAXIFS('Saisie'!$AS$5:$AS$2004,'Saisie'!$C$5:$C$2004,C469,'Saisie'!$V$5:$V$2004,"&lt;&gt;")-4),""))</f>
        <v/>
      </c>
      <c r="W469" s="60">
        <f>IF(C469="","",IFERROR(INDEX('Saisie'!$Z$5:$Z$2004,_xlfn.MAXIFS('Saisie'!$AS$5:$AS$2004,'Saisie'!$C$5:$C$2004,C469,'Saisie'!$Z$5:$Z$2004,"&lt;&gt;")-4),""))</f>
        <v/>
      </c>
      <c r="X469" s="60">
        <f>IF(C469="","",IFERROR(INDEX('Saisie'!$AA$5:$AA$2004,_xlfn.MAXIFS('Saisie'!$AS$5:$AS$2004,'Saisie'!$C$5:$C$2004,C469,'Saisie'!$AA$5:$AA$2004,"&lt;&gt;")-4),""))</f>
        <v/>
      </c>
      <c r="Y469" s="60">
        <f>IF(C469="","",IFERROR(INDEX('Saisie'!$AB$5:$AB$2004,_xlfn.MAXIFS('Saisie'!$AS$5:$AS$2004,'Saisie'!$C$5:$C$2004,C469,'Saisie'!$AB$5:$AB$2004,"&lt;&gt;")-4),""))</f>
        <v/>
      </c>
      <c r="Z469" s="60">
        <f>IF(C469="","",IFERROR(INDEX('Saisie'!$AC$5:$AC$2004,_xlfn.MAXIFS('Saisie'!$AS$5:$AS$2004,'Saisie'!$C$5:$C$2004,C469,'Saisie'!$AC$5:$AC$2004,"&lt;&gt;")-4),""))</f>
        <v/>
      </c>
      <c r="AA469" s="106">
        <f>IF(C469="","",IFERROR(INDEX('Saisie'!$AD$5:$AD$2004,_xlfn.MAXIFS('Saisie'!$AS$5:$AS$2004,'Saisie'!$C$5:$C$2004,C469,'Saisie'!$AD$5:$AD$2004,"&lt;&gt;")-4),""))</f>
        <v/>
      </c>
      <c r="AB469" s="60">
        <f>IF(C469="","",IFERROR(INDEX('Saisie'!$AE$5:$AE$2004,_xlfn.MAXIFS('Saisie'!$AS$5:$AS$2004,'Saisie'!$C$5:$C$2004,C469,'Saisie'!$AE$5:$AE$2004,"&lt;&gt;")-4),""))</f>
        <v/>
      </c>
      <c r="AC469" s="60">
        <f>IF(C469="","",IFERROR(INDEX('Saisie'!$AF$5:$AF$2004,_xlfn.MAXIFS('Saisie'!$AS$5:$AS$2004,'Saisie'!$C$5:$C$2004,C469,'Saisie'!$AF$5:$AF$2004,"&lt;&gt;")-4),""))</f>
        <v/>
      </c>
      <c r="AD469" s="108">
        <f>IF(C469="","",IFERROR(INDEX('Saisie'!$AG$5:$AG$2004,_xlfn.MAXIFS('Saisie'!$AS$5:$AS$2004,'Saisie'!$C$5:$C$2004,C469,'Saisie'!$AG$5:$AG$2004,"&lt;&gt;")-4),""))</f>
        <v/>
      </c>
      <c r="AE469" s="60">
        <f>IF(C469="","",IFERROR(INDEX('Saisie'!$AH$5:$AH$2004,_xlfn.MAXIFS('Saisie'!$AS$5:$AS$2004,'Saisie'!$C$5:$C$2004,C469,'Saisie'!$AH$5:$AH$2004,"&lt;&gt;")-4),""))</f>
        <v/>
      </c>
      <c r="AF469" s="60">
        <f>IF(C469="","",IFERROR(INDEX('Saisie'!$AI$5:$AI$2004,_xlfn.MAXIFS('Saisie'!$AS$5:$AS$2004,'Saisie'!$C$5:$C$2004,C469,'Saisie'!$AI$5:$AI$2004,"&lt;&gt;")-4),""))</f>
        <v/>
      </c>
      <c r="AG469" s="60">
        <f>IF(C469="","",IFERROR(INDEX('Saisie'!$AJ$5:$AJ$2004,_xlfn.MAXIFS('Saisie'!$AS$5:$AS$2004,'Saisie'!$C$5:$C$2004,C469,'Saisie'!$AJ$5:$AJ$2004,"&lt;&gt;")-4),""))</f>
        <v/>
      </c>
      <c r="AH469" s="60">
        <f>IF(C469="","",IFERROR(INDEX('Saisie'!$AK$5:$AK$2004,_xlfn.MAXIFS('Saisie'!$AS$5:$AS$2004,'Saisie'!$C$5:$C$2004,C469,'Saisie'!$AK$5:$AK$2004,"&lt;&gt;")-4),""))</f>
        <v/>
      </c>
      <c r="AI469" s="60">
        <f>IF(C469="","",IFERROR(INDEX('Saisie'!$AN$5:$AN$2004,_xlfn.MAXIFS('Saisie'!$AS$5:$AS$2004,'Saisie'!$C$5:$C$2004,C469,'Saisie'!$AN$5:$AN$2004,"&lt;&gt;")-4),""))</f>
        <v/>
      </c>
      <c r="AJ469" s="60">
        <f>IF(C469="","",IFERROR(INDEX('Saisie'!$AO$5:$AO$2004,_xlfn.MAXIFS('Saisie'!$AS$5:$AS$2004,'Saisie'!$C$5:$C$2004,C469,'Saisie'!$AO$5:$AO$2004,"&lt;&gt;")-4),""))</f>
        <v/>
      </c>
      <c r="AK469" s="60">
        <f>IF(C469="","",IFERROR(INDEX('Saisie'!$AP$5:$AP$2004,_xlfn.MAXIFS('Saisie'!$AS$5:$AS$2004,'Saisie'!$C$5:$C$2004,C469,'Saisie'!$AP$5:$AP$2004,"&lt;&gt;")-4),""))</f>
        <v/>
      </c>
      <c r="AL469" s="60">
        <f>IF(C469="","",IFERROR(INDEX('Saisie'!$AQ$5:$AQ$2004,_xlfn.MAXIFS('Saisie'!$AS$5:$AS$2004,'Saisie'!$C$5:$C$2004,C469,'Saisie'!$AQ$5:$AQ$2004,"&lt;&gt;")-4),""))</f>
        <v/>
      </c>
      <c r="AM469" s="60">
        <f>IF(C469="","",((AI469="Oui")+(AJ469="Oui")+(AK469="Oui")+OR(AL469="Immédiat",AL469="&lt; 1 mois"))&amp;"/4")</f>
        <v/>
      </c>
      <c r="AN469" s="60">
        <f>IF(C469="","",IFERROR(INDEX('Saisie'!$AL$5:$AL$2004,_xlfn.MAXIFS('Saisie'!$AS$5:$AS$2004,'Saisie'!$C$5:$C$2004,C469,'Saisie'!$AL$5:$AL$2004,"&lt;&gt;")-4),""))</f>
        <v/>
      </c>
      <c r="AO469" s="62">
        <f>IF(C469="","",IF(IFERROR(INDEX('Saisie'!$AM$5:$AM$2004,_xlfn.MAXIFS('Saisie'!$AS$5:$AS$2004,'Saisie'!$C$5:$C$2004,C469,'Saisie'!$AM$5:$AM$2004,"&lt;&gt;")-4),"")&lt;&gt;"",IFERROR(INDEX('Saisie'!$AM$5:$AM$2004,_xlfn.MAXIFS('Saisie'!$AS$5:$AS$2004,'Saisie'!$C$5:$C$2004,C469,'Saisie'!$AM$5:$AM$2004,"&lt;&gt;")-4),""),IFERROR(INDEX('Paramètres'!$S$6:$S$15,MATCH(AN469,'Paramètres'!$Q$6:$Q$15,0)),"")))</f>
        <v/>
      </c>
      <c r="AP469" s="62">
        <f>IF(C469="","",IFERROR(INDEX('Saisie'!$AW$5:$AW$2004,_xlfn.MAXIFS('Saisie'!$AS$5:$AS$2004,'Saisie'!$C$5:$C$2004,C469,'Saisie'!$E$5:$E$2004,"Proposition envoyée")-4),""))</f>
        <v/>
      </c>
      <c r="AQ469" s="106">
        <f>IF(C469="","",IFERROR(1/(1/_xlfn.MAXIFS('Saisie'!$A$5:$A$2004,'Saisie'!$C$5:$C$2004,C469,'Saisie'!$E$5:$E$2004,"Proposition envoyée")),""))</f>
        <v/>
      </c>
      <c r="AR469" s="106">
        <f>IF(C469="","",IF(AQ469="","",AQ469+'Paramètres'!$B$26))</f>
        <v/>
      </c>
      <c r="AS469" s="62">
        <f>IF(OR(C469="",D469="Gagné",D469="Perdu"),0,N(AP469)*IFERROR(INDEX('Paramètres'!$G$6:$G$13,MATCH(D469,'Paramètres'!$F$6:$F$13,0)),0))</f>
        <v/>
      </c>
      <c r="AT469" s="106">
        <f>IF(C469="","",IFERROR(1/(1/_xlfn.MINIFS('Saisie'!$A$5:$A$2004,'Saisie'!$C$5:$C$2004,C469,'Saisie'!$E$5:$E$2004,"Signature")),""))</f>
        <v/>
      </c>
      <c r="AU469" s="60">
        <f>IF(C469="","",IF(OR(AT469="",B469=""),"",AT469-B469))</f>
        <v/>
      </c>
      <c r="AV469" s="60">
        <f>IF(C469="","",IFERROR(INDEX('Saisie'!$L$5:$L$2004,_xlfn.MAXIFS('Saisie'!$AS$5:$AS$2004,'Saisie'!$C$5:$C$2004,C469,'Saisie'!$L$5:$L$2004,"&lt;&gt;")-4),""))</f>
        <v/>
      </c>
      <c r="AW469" s="106">
        <f>IF(C469="","",IF(D469&lt;&gt;"Perdu","",IFERROR(1/(1/_xlfn.MAXIFS('Saisie'!$A$5:$A$2004,'Saisie'!$C$5:$C$2004,C469,'Saisie'!$E$5:$E$2004,"Perdu")),"")))</f>
        <v/>
      </c>
      <c r="AX469" s="106">
        <f>IF(C469="","",IF(AW469="","",AW469+'Paramètres'!$B$28))</f>
        <v/>
      </c>
      <c r="AY469" s="60">
        <f>IF(C469="","",SUMIFS('Saisie'!$H$5:$H$2004,'Saisie'!$C$5:$C$2004,C469))</f>
        <v/>
      </c>
      <c r="AZ469" s="60">
        <f>IF(C469="","",IFERROR(INDEX('Paramètres'!$W$6:$W$20,MATCH(S469,'Paramètres'!$V$6:$V$20,0))&amp;"",""))</f>
        <v/>
      </c>
      <c r="BA469" s="60">
        <f>IF(C469="","",MAX(1,_xlfn.MAXIFS('Saisie'!$AT$5:$AT$2004,'Saisie'!$C$5:$C$2004,C469)))</f>
        <v/>
      </c>
      <c r="BB469" s="60">
        <f>IF(C469="","",IFERROR(INDEX('Saisie'!$X$5:$X$2004,_xlfn.MAXIFS('Saisie'!$AS$5:$AS$2004,'Saisie'!$C$5:$C$2004,C469,'Saisie'!$X$5:$X$2004,"&lt;&gt;")-4),""))</f>
        <v/>
      </c>
      <c r="BC469" s="60">
        <f>IF(C469="","",IFERROR(INDEX('Saisie'!$Y$5:$Y$2004,_xlfn.MAXIFS('Saisie'!$AS$5:$AS$2004,'Saisie'!$C$5:$C$2004,C469,'Saisie'!$Y$5:$Y$2004,"&lt;&gt;")-4),""))</f>
        <v/>
      </c>
      <c r="BD469" s="106">
        <f>IF(C469="","",IFERROR(1/(1/_xlfn.MINIFS('Saisie'!$A$5:$A$2004,'Saisie'!$C$5:$C$2004,C469,'Saisie'!$AT$5:$AT$2004,"&gt;=2")),""))</f>
        <v/>
      </c>
      <c r="BE469" s="106">
        <f>IF(C469="","",IFERROR(1/(1/_xlfn.MINIFS('Saisie'!$A$5:$A$2004,'Saisie'!$C$5:$C$2004,C469,'Saisie'!$AT$5:$AT$2004,"&gt;=3")),""))</f>
        <v/>
      </c>
      <c r="BF469" s="106">
        <f>IF(C469="","",IFERROR(1/(1/_xlfn.MINIFS('Saisie'!$A$5:$A$2004,'Saisie'!$C$5:$C$2004,C469,'Saisie'!$AT$5:$AT$2004,"&gt;=4")),""))</f>
        <v/>
      </c>
      <c r="BG469" s="106">
        <f>IF(C469="","",IFERROR(1/(1/_xlfn.MINIFS('Saisie'!$A$5:$A$2004,'Saisie'!$C$5:$C$2004,C469,'Saisie'!$AT$5:$AT$2004,"&gt;=5")),""))</f>
        <v/>
      </c>
      <c r="BH469" s="106">
        <f>IF(C469="","",IFERROR(1/(1/_xlfn.MINIFS('Saisie'!$A$5:$A$2004,'Saisie'!$C$5:$C$2004,C469,'Saisie'!$AT$5:$AT$2004,"&gt;=6")),""))</f>
        <v/>
      </c>
      <c r="BI469" s="106">
        <f>IF(C469="","",IFERROR(1/(1/_xlfn.MINIFS('Saisie'!$A$5:$A$2004,'Saisie'!$C$5:$C$2004,C469,'Saisie'!$AT$5:$AT$2004,"&gt;=7")),""))</f>
        <v/>
      </c>
      <c r="BJ469" s="60">
        <f>IF(OR(BD469="",B469=""),"",BD469-B469)</f>
        <v/>
      </c>
      <c r="BK469" s="60">
        <f>IF(OR(BE469="",BD469=""),"",BE469-BD469)</f>
        <v/>
      </c>
      <c r="BL469" s="60">
        <f>IF(OR(BF469="",BE469=""),"",BF469-BE469)</f>
        <v/>
      </c>
      <c r="BM469" s="60">
        <f>IF(OR(BG469="",BF469=""),"",BG469-BF469)</f>
        <v/>
      </c>
      <c r="BN469" s="60">
        <f>IF(OR(BH469="",BG469=""),"",BH469-BG469)</f>
        <v/>
      </c>
      <c r="BO469" s="60">
        <f>IF(OR(BI469="",BH469=""),"",BI469-BH469)</f>
        <v/>
      </c>
      <c r="BP469" s="60">
        <f>IF(C469="","",_xlfn.MAXIFS('Saisie'!$AS$5:$AS$2004,'Saisie'!$C$5:$C$2004,C469,'Saisie'!$J$5:$J$2004,"&lt;&gt;"))</f>
        <v/>
      </c>
      <c r="BQ469" s="60">
        <f>IF(C469="","",_xlfn.MAXIFS('Saisie'!$AS$5:$AS$2004,'Saisie'!$C$5:$C$2004,C469))</f>
        <v/>
      </c>
      <c r="BR469" s="60">
        <f>IF(C469="","",_xlfn.MAXIFS('Saisie'!$AS$5:$AS$2004,'Saisie'!$C$5:$C$2004,C469,'Saisie'!$E$5:$E$2004,"Perdu"))</f>
        <v/>
      </c>
      <c r="BS469" s="60">
        <f>IF(C469="","",_xlfn.MAXIFS('Saisie'!$AS$5:$AS$2004,'Saisie'!$C$5:$C$2004,C469,'Saisie'!$AT$5:$AT$2004,"&gt;0"))</f>
        <v/>
      </c>
      <c r="BT469" s="109">
        <f>IF(AND(C469&lt;&gt;"",OR(D469="Nouveau",D469="Contacté",D469="Qualifié"),OR(G469="",N(G469)&lt;=TODAY()),NOT(AND(O469&gt;='Paramètres'!$B$21,P469=0))),E469+465/10000,"")</f>
        <v/>
      </c>
      <c r="BU469" s="60">
        <f>IF(AND(G469&lt;&gt;"",N(G469)&lt;=TODAY()),MAX($BU$4:BU468)+1,"")</f>
        <v/>
      </c>
      <c r="BV469" s="60">
        <f>IF(AND(F469&lt;&gt;"",F469&lt;&gt;"Relance en retard"),MAX($BV$4:BV468)+1,"")</f>
        <v/>
      </c>
      <c r="BW469" s="60">
        <f>IF(C469="","",IF(AND(B469&gt;='Tableau de bord'!$R$4,B469&lt;='Tableau de bord'!$S$4,OR('Tableau de bord'!$G$4="Tous",N469='Tableau de bord'!$G$4)),1,0))</f>
        <v/>
      </c>
      <c r="BX469" s="60">
        <f>IF(AND(C469&lt;&gt;"",N(BA469)=7),MAX($BX$4:BX468)+1,"")</f>
        <v/>
      </c>
    </row>
    <row r="470">
      <c r="A470" s="60">
        <f>IF(C470="","","P-"&amp;TEXT(466,"000"))</f>
        <v/>
      </c>
      <c r="B470" s="106">
        <f>IF(C470="","",IFERROR(1/(1/_xlfn.MINIFS('Saisie'!$A$5:$A$2004,'Saisie'!$C$5:$C$2004,C470)),""))</f>
        <v/>
      </c>
      <c r="C470" s="60">
        <f>IFERROR(INDEX('Saisie'!$C$5:$C$2004,MATCH(466,'Saisie'!$AX$5:$AX$2004,0)),"")</f>
        <v/>
      </c>
      <c r="D470" s="60">
        <f>IF(C470="","",IF(AND(BR470&gt;0,BR470&gt;BS470,BA470&lt;7),"Perdu",INDEX('Paramètres'!$F$6:$F$13,BA470)))</f>
        <v/>
      </c>
      <c r="E470" s="61">
        <f>IF(C470="","",MIN(100,(Z470="Oui")*'Paramètres'!$B$38+(AB470="Régulière")*'Paramètres'!$B$39+IF(AND(N(AA470)&gt;0,TODAY()-N(AA470)&lt;=30),'Paramètres'!$B$40,0)+(W470="")*'Paramètres'!$B$41+(AC470="Absente")*'Paramètres'!$B$42+(AC470="Faible")*'Paramètres'!$B$43+IF(AND(N(AD470)&gt;0,N(AD470)&lt;4),'Paramètres'!$B$44,0)+(AF470="Moyenne")*'Paramètres'!$B$45+(AF470="Grande")*'Paramètres'!$B$46+(Y470&lt;&gt;"")*'Paramètres'!$B$47))</f>
        <v/>
      </c>
      <c r="F470" s="60">
        <f>IF(C470="","",IF(D470="Gagné","",IF(D470="Perdu",IF(AND(AX470&lt;&gt;"",AX470&lt;=TODAY()),"À recontacter (perdu)",""),IF(AND(O470&gt;='Paramètres'!$B$21,P470=0),"Stop : "&amp;'Paramètres'!$B$21&amp;" tentatives sans réponse",IF(AND(D470="Proposition",AR470&lt;&gt;"",TODAY()&gt;N(AR470)),"Proposition expirée",IF(AND(D470="Proposition",N(R470)&gt;='Paramètres'!$B$25),"Proposition sans réponse",IF(AND(G470&lt;&gt;"",N(G470)&lt;TODAY()),"Relance en retard",IF(N(R470)&gt;='Paramètres'!$B$24,"Sans action depuis "&amp;R470&amp;" j",""))))))))</f>
        <v/>
      </c>
      <c r="G470" s="106">
        <f>IF(OR(C470="",D470="Gagné",D470="Perdu"),"",IF(AND(BP470&gt;0,BP470=BQ470),INDEX('Saisie'!$J$5:$J$2004,BP470-4),IF(OR(O470=0,AND(O470&gt;='Paramètres'!$B$21,P470=0)),"",Q470+IF(O470&lt;=1,'Paramètres'!$B$18,IF(O470=2,'Paramètres'!$B$19,'Paramètres'!$B$20)))))</f>
        <v/>
      </c>
      <c r="H470" s="107">
        <f>IF(OR(G470="",BP470&lt;&gt;BQ470),"",IF(INDEX('Saisie'!$K$5:$K$2004,BP470-4)="","",INDEX('Saisie'!$K$5:$K$2004,BP470-4)))</f>
        <v/>
      </c>
      <c r="I470" s="60">
        <f>IF(C470="","",IF(OR(D470="Gagné",D470="Perdu"),"",IFERROR(INDEX('Saisie'!$I$5:$I$2004,_xlfn.MAXIFS('Saisie'!$AS$5:$AS$2004,'Saisie'!$C$5:$C$2004,C470,'Saisie'!$I$5:$I$2004,"&lt;&gt;")-4),"")))</f>
        <v/>
      </c>
      <c r="J470" s="60">
        <f>IF(C470="","",IFERROR(INDEX('Saisie'!$U$5:$U$2004,_xlfn.MAXIFS('Saisie'!$AS$5:$AS$2004,'Saisie'!$C$5:$C$2004,C470,'Saisie'!$U$5:$U$2004,"&lt;&gt;")-4),""))</f>
        <v/>
      </c>
      <c r="K470" s="60">
        <f>IF(C470="","",IFERROR(INDEX('Saisie'!$W$5:$W$2004,_xlfn.MAXIFS('Saisie'!$AS$5:$AS$2004,'Saisie'!$C$5:$C$2004,C470,'Saisie'!$W$5:$W$2004,"&lt;&gt;")-4),""))</f>
        <v/>
      </c>
      <c r="L470" s="60">
        <f>IF(IF(BB470&lt;&gt;"",BB470,K470)="","",HYPERLINK("https://wa.me/"&amp;IF(LEFT(SUBSTITUTE(SUBSTITUTE(SUBSTITUTE(IF(BB470&lt;&gt;"",BB470,K470)," ",""),".",""),"+",""),1)="0",'Paramètres'!$B$35&amp;MID(SUBSTITUTE(SUBSTITUTE(SUBSTITUTE(IF(BB470&lt;&gt;"",BB470,K470)," ",""),".",""),"+",""),2,20),SUBSTITUTE(SUBSTITUTE(SUBSTITUTE(IF(BB470&lt;&gt;"",BB470,K470)," ",""),".",""),"+","")),"WhatsApp"))</f>
        <v/>
      </c>
      <c r="M470" s="60">
        <f>IF(BC470="","",HYPERLINK(IF(LEFT(BC470,4)="http",BC470,"https://www.instagram.com/"&amp;SUBSTITUTE(SUBSTITUTE(BC470,"@","")," ","")),BC470))</f>
        <v/>
      </c>
      <c r="N470" s="60">
        <f>IF(C470="","",IFERROR(INDEX('Saisie'!$D$5:$D$2004,_xlfn.MINIFS('Saisie'!$AS$5:$AS$2004,'Saisie'!$C$5:$C$2004,C470,'Saisie'!$AU$5:$AU$2004,1)-4),IFERROR(INDEX('Saisie'!$D$5:$D$2004,_xlfn.MINIFS('Saisie'!$AS$5:$AS$2004,'Saisie'!$C$5:$C$2004,C470,'Saisie'!$D$5:$D$2004,"&lt;&gt;")-4),"")))</f>
        <v/>
      </c>
      <c r="O470" s="60">
        <f>IF(C470="","",COUNTIFS('Saisie'!$C$5:$C$2004,C470,'Saisie'!$AU$5:$AU$2004,1))</f>
        <v/>
      </c>
      <c r="P470" s="60">
        <f>IF(C470="","",COUNTIFS('Saisie'!$C$5:$C$2004,C470,'Saisie'!$AV$5:$AV$2004,1))</f>
        <v/>
      </c>
      <c r="Q470" s="106">
        <f>IF(C470="","",IFERROR(1/(1/_xlfn.MAXIFS('Saisie'!$A$5:$A$2004,'Saisie'!$C$5:$C$2004,C470)),""))</f>
        <v/>
      </c>
      <c r="R470" s="61">
        <f>IF(C470="","",IF(Q470="","",TODAY()-Q470))</f>
        <v/>
      </c>
      <c r="S470" s="60">
        <f>IF(C470="","",IFERROR(INDEX('Saisie'!$R$5:$R$2004,_xlfn.MAXIFS('Saisie'!$AS$5:$AS$2004,'Saisie'!$C$5:$C$2004,C470,'Saisie'!$R$5:$R$2004,"&lt;&gt;")-4),""))</f>
        <v/>
      </c>
      <c r="T470" s="60">
        <f>IF(C470="","",IFERROR(INDEX('Saisie'!$S$5:$S$2004,_xlfn.MAXIFS('Saisie'!$AS$5:$AS$2004,'Saisie'!$C$5:$C$2004,C470,'Saisie'!$S$5:$S$2004,"&lt;&gt;")-4),""))</f>
        <v/>
      </c>
      <c r="U470" s="60">
        <f>IF(C470="","",IFERROR(INDEX('Saisie'!$T$5:$T$2004,_xlfn.MAXIFS('Saisie'!$AS$5:$AS$2004,'Saisie'!$C$5:$C$2004,C470,'Saisie'!$T$5:$T$2004,"&lt;&gt;")-4),""))</f>
        <v/>
      </c>
      <c r="V470" s="60">
        <f>IF(C470="","",IFERROR(INDEX('Saisie'!$V$5:$V$2004,_xlfn.MAXIFS('Saisie'!$AS$5:$AS$2004,'Saisie'!$C$5:$C$2004,C470,'Saisie'!$V$5:$V$2004,"&lt;&gt;")-4),""))</f>
        <v/>
      </c>
      <c r="W470" s="60">
        <f>IF(C470="","",IFERROR(INDEX('Saisie'!$Z$5:$Z$2004,_xlfn.MAXIFS('Saisie'!$AS$5:$AS$2004,'Saisie'!$C$5:$C$2004,C470,'Saisie'!$Z$5:$Z$2004,"&lt;&gt;")-4),""))</f>
        <v/>
      </c>
      <c r="X470" s="60">
        <f>IF(C470="","",IFERROR(INDEX('Saisie'!$AA$5:$AA$2004,_xlfn.MAXIFS('Saisie'!$AS$5:$AS$2004,'Saisie'!$C$5:$C$2004,C470,'Saisie'!$AA$5:$AA$2004,"&lt;&gt;")-4),""))</f>
        <v/>
      </c>
      <c r="Y470" s="60">
        <f>IF(C470="","",IFERROR(INDEX('Saisie'!$AB$5:$AB$2004,_xlfn.MAXIFS('Saisie'!$AS$5:$AS$2004,'Saisie'!$C$5:$C$2004,C470,'Saisie'!$AB$5:$AB$2004,"&lt;&gt;")-4),""))</f>
        <v/>
      </c>
      <c r="Z470" s="60">
        <f>IF(C470="","",IFERROR(INDEX('Saisie'!$AC$5:$AC$2004,_xlfn.MAXIFS('Saisie'!$AS$5:$AS$2004,'Saisie'!$C$5:$C$2004,C470,'Saisie'!$AC$5:$AC$2004,"&lt;&gt;")-4),""))</f>
        <v/>
      </c>
      <c r="AA470" s="106">
        <f>IF(C470="","",IFERROR(INDEX('Saisie'!$AD$5:$AD$2004,_xlfn.MAXIFS('Saisie'!$AS$5:$AS$2004,'Saisie'!$C$5:$C$2004,C470,'Saisie'!$AD$5:$AD$2004,"&lt;&gt;")-4),""))</f>
        <v/>
      </c>
      <c r="AB470" s="60">
        <f>IF(C470="","",IFERROR(INDEX('Saisie'!$AE$5:$AE$2004,_xlfn.MAXIFS('Saisie'!$AS$5:$AS$2004,'Saisie'!$C$5:$C$2004,C470,'Saisie'!$AE$5:$AE$2004,"&lt;&gt;")-4),""))</f>
        <v/>
      </c>
      <c r="AC470" s="60">
        <f>IF(C470="","",IFERROR(INDEX('Saisie'!$AF$5:$AF$2004,_xlfn.MAXIFS('Saisie'!$AS$5:$AS$2004,'Saisie'!$C$5:$C$2004,C470,'Saisie'!$AF$5:$AF$2004,"&lt;&gt;")-4),""))</f>
        <v/>
      </c>
      <c r="AD470" s="108">
        <f>IF(C470="","",IFERROR(INDEX('Saisie'!$AG$5:$AG$2004,_xlfn.MAXIFS('Saisie'!$AS$5:$AS$2004,'Saisie'!$C$5:$C$2004,C470,'Saisie'!$AG$5:$AG$2004,"&lt;&gt;")-4),""))</f>
        <v/>
      </c>
      <c r="AE470" s="60">
        <f>IF(C470="","",IFERROR(INDEX('Saisie'!$AH$5:$AH$2004,_xlfn.MAXIFS('Saisie'!$AS$5:$AS$2004,'Saisie'!$C$5:$C$2004,C470,'Saisie'!$AH$5:$AH$2004,"&lt;&gt;")-4),""))</f>
        <v/>
      </c>
      <c r="AF470" s="60">
        <f>IF(C470="","",IFERROR(INDEX('Saisie'!$AI$5:$AI$2004,_xlfn.MAXIFS('Saisie'!$AS$5:$AS$2004,'Saisie'!$C$5:$C$2004,C470,'Saisie'!$AI$5:$AI$2004,"&lt;&gt;")-4),""))</f>
        <v/>
      </c>
      <c r="AG470" s="60">
        <f>IF(C470="","",IFERROR(INDEX('Saisie'!$AJ$5:$AJ$2004,_xlfn.MAXIFS('Saisie'!$AS$5:$AS$2004,'Saisie'!$C$5:$C$2004,C470,'Saisie'!$AJ$5:$AJ$2004,"&lt;&gt;")-4),""))</f>
        <v/>
      </c>
      <c r="AH470" s="60">
        <f>IF(C470="","",IFERROR(INDEX('Saisie'!$AK$5:$AK$2004,_xlfn.MAXIFS('Saisie'!$AS$5:$AS$2004,'Saisie'!$C$5:$C$2004,C470,'Saisie'!$AK$5:$AK$2004,"&lt;&gt;")-4),""))</f>
        <v/>
      </c>
      <c r="AI470" s="60">
        <f>IF(C470="","",IFERROR(INDEX('Saisie'!$AN$5:$AN$2004,_xlfn.MAXIFS('Saisie'!$AS$5:$AS$2004,'Saisie'!$C$5:$C$2004,C470,'Saisie'!$AN$5:$AN$2004,"&lt;&gt;")-4),""))</f>
        <v/>
      </c>
      <c r="AJ470" s="60">
        <f>IF(C470="","",IFERROR(INDEX('Saisie'!$AO$5:$AO$2004,_xlfn.MAXIFS('Saisie'!$AS$5:$AS$2004,'Saisie'!$C$5:$C$2004,C470,'Saisie'!$AO$5:$AO$2004,"&lt;&gt;")-4),""))</f>
        <v/>
      </c>
      <c r="AK470" s="60">
        <f>IF(C470="","",IFERROR(INDEX('Saisie'!$AP$5:$AP$2004,_xlfn.MAXIFS('Saisie'!$AS$5:$AS$2004,'Saisie'!$C$5:$C$2004,C470,'Saisie'!$AP$5:$AP$2004,"&lt;&gt;")-4),""))</f>
        <v/>
      </c>
      <c r="AL470" s="60">
        <f>IF(C470="","",IFERROR(INDEX('Saisie'!$AQ$5:$AQ$2004,_xlfn.MAXIFS('Saisie'!$AS$5:$AS$2004,'Saisie'!$C$5:$C$2004,C470,'Saisie'!$AQ$5:$AQ$2004,"&lt;&gt;")-4),""))</f>
        <v/>
      </c>
      <c r="AM470" s="60">
        <f>IF(C470="","",((AI470="Oui")+(AJ470="Oui")+(AK470="Oui")+OR(AL470="Immédiat",AL470="&lt; 1 mois"))&amp;"/4")</f>
        <v/>
      </c>
      <c r="AN470" s="60">
        <f>IF(C470="","",IFERROR(INDEX('Saisie'!$AL$5:$AL$2004,_xlfn.MAXIFS('Saisie'!$AS$5:$AS$2004,'Saisie'!$C$5:$C$2004,C470,'Saisie'!$AL$5:$AL$2004,"&lt;&gt;")-4),""))</f>
        <v/>
      </c>
      <c r="AO470" s="62">
        <f>IF(C470="","",IF(IFERROR(INDEX('Saisie'!$AM$5:$AM$2004,_xlfn.MAXIFS('Saisie'!$AS$5:$AS$2004,'Saisie'!$C$5:$C$2004,C470,'Saisie'!$AM$5:$AM$2004,"&lt;&gt;")-4),"")&lt;&gt;"",IFERROR(INDEX('Saisie'!$AM$5:$AM$2004,_xlfn.MAXIFS('Saisie'!$AS$5:$AS$2004,'Saisie'!$C$5:$C$2004,C470,'Saisie'!$AM$5:$AM$2004,"&lt;&gt;")-4),""),IFERROR(INDEX('Paramètres'!$S$6:$S$15,MATCH(AN470,'Paramètres'!$Q$6:$Q$15,0)),"")))</f>
        <v/>
      </c>
      <c r="AP470" s="62">
        <f>IF(C470="","",IFERROR(INDEX('Saisie'!$AW$5:$AW$2004,_xlfn.MAXIFS('Saisie'!$AS$5:$AS$2004,'Saisie'!$C$5:$C$2004,C470,'Saisie'!$E$5:$E$2004,"Proposition envoyée")-4),""))</f>
        <v/>
      </c>
      <c r="AQ470" s="106">
        <f>IF(C470="","",IFERROR(1/(1/_xlfn.MAXIFS('Saisie'!$A$5:$A$2004,'Saisie'!$C$5:$C$2004,C470,'Saisie'!$E$5:$E$2004,"Proposition envoyée")),""))</f>
        <v/>
      </c>
      <c r="AR470" s="106">
        <f>IF(C470="","",IF(AQ470="","",AQ470+'Paramètres'!$B$26))</f>
        <v/>
      </c>
      <c r="AS470" s="62">
        <f>IF(OR(C470="",D470="Gagné",D470="Perdu"),0,N(AP470)*IFERROR(INDEX('Paramètres'!$G$6:$G$13,MATCH(D470,'Paramètres'!$F$6:$F$13,0)),0))</f>
        <v/>
      </c>
      <c r="AT470" s="106">
        <f>IF(C470="","",IFERROR(1/(1/_xlfn.MINIFS('Saisie'!$A$5:$A$2004,'Saisie'!$C$5:$C$2004,C470,'Saisie'!$E$5:$E$2004,"Signature")),""))</f>
        <v/>
      </c>
      <c r="AU470" s="60">
        <f>IF(C470="","",IF(OR(AT470="",B470=""),"",AT470-B470))</f>
        <v/>
      </c>
      <c r="AV470" s="60">
        <f>IF(C470="","",IFERROR(INDEX('Saisie'!$L$5:$L$2004,_xlfn.MAXIFS('Saisie'!$AS$5:$AS$2004,'Saisie'!$C$5:$C$2004,C470,'Saisie'!$L$5:$L$2004,"&lt;&gt;")-4),""))</f>
        <v/>
      </c>
      <c r="AW470" s="106">
        <f>IF(C470="","",IF(D470&lt;&gt;"Perdu","",IFERROR(1/(1/_xlfn.MAXIFS('Saisie'!$A$5:$A$2004,'Saisie'!$C$5:$C$2004,C470,'Saisie'!$E$5:$E$2004,"Perdu")),"")))</f>
        <v/>
      </c>
      <c r="AX470" s="106">
        <f>IF(C470="","",IF(AW470="","",AW470+'Paramètres'!$B$28))</f>
        <v/>
      </c>
      <c r="AY470" s="60">
        <f>IF(C470="","",SUMIFS('Saisie'!$H$5:$H$2004,'Saisie'!$C$5:$C$2004,C470))</f>
        <v/>
      </c>
      <c r="AZ470" s="60">
        <f>IF(C470="","",IFERROR(INDEX('Paramètres'!$W$6:$W$20,MATCH(S470,'Paramètres'!$V$6:$V$20,0))&amp;"",""))</f>
        <v/>
      </c>
      <c r="BA470" s="60">
        <f>IF(C470="","",MAX(1,_xlfn.MAXIFS('Saisie'!$AT$5:$AT$2004,'Saisie'!$C$5:$C$2004,C470)))</f>
        <v/>
      </c>
      <c r="BB470" s="60">
        <f>IF(C470="","",IFERROR(INDEX('Saisie'!$X$5:$X$2004,_xlfn.MAXIFS('Saisie'!$AS$5:$AS$2004,'Saisie'!$C$5:$C$2004,C470,'Saisie'!$X$5:$X$2004,"&lt;&gt;")-4),""))</f>
        <v/>
      </c>
      <c r="BC470" s="60">
        <f>IF(C470="","",IFERROR(INDEX('Saisie'!$Y$5:$Y$2004,_xlfn.MAXIFS('Saisie'!$AS$5:$AS$2004,'Saisie'!$C$5:$C$2004,C470,'Saisie'!$Y$5:$Y$2004,"&lt;&gt;")-4),""))</f>
        <v/>
      </c>
      <c r="BD470" s="106">
        <f>IF(C470="","",IFERROR(1/(1/_xlfn.MINIFS('Saisie'!$A$5:$A$2004,'Saisie'!$C$5:$C$2004,C470,'Saisie'!$AT$5:$AT$2004,"&gt;=2")),""))</f>
        <v/>
      </c>
      <c r="BE470" s="106">
        <f>IF(C470="","",IFERROR(1/(1/_xlfn.MINIFS('Saisie'!$A$5:$A$2004,'Saisie'!$C$5:$C$2004,C470,'Saisie'!$AT$5:$AT$2004,"&gt;=3")),""))</f>
        <v/>
      </c>
      <c r="BF470" s="106">
        <f>IF(C470="","",IFERROR(1/(1/_xlfn.MINIFS('Saisie'!$A$5:$A$2004,'Saisie'!$C$5:$C$2004,C470,'Saisie'!$AT$5:$AT$2004,"&gt;=4")),""))</f>
        <v/>
      </c>
      <c r="BG470" s="106">
        <f>IF(C470="","",IFERROR(1/(1/_xlfn.MINIFS('Saisie'!$A$5:$A$2004,'Saisie'!$C$5:$C$2004,C470,'Saisie'!$AT$5:$AT$2004,"&gt;=5")),""))</f>
        <v/>
      </c>
      <c r="BH470" s="106">
        <f>IF(C470="","",IFERROR(1/(1/_xlfn.MINIFS('Saisie'!$A$5:$A$2004,'Saisie'!$C$5:$C$2004,C470,'Saisie'!$AT$5:$AT$2004,"&gt;=6")),""))</f>
        <v/>
      </c>
      <c r="BI470" s="106">
        <f>IF(C470="","",IFERROR(1/(1/_xlfn.MINIFS('Saisie'!$A$5:$A$2004,'Saisie'!$C$5:$C$2004,C470,'Saisie'!$AT$5:$AT$2004,"&gt;=7")),""))</f>
        <v/>
      </c>
      <c r="BJ470" s="60">
        <f>IF(OR(BD470="",B470=""),"",BD470-B470)</f>
        <v/>
      </c>
      <c r="BK470" s="60">
        <f>IF(OR(BE470="",BD470=""),"",BE470-BD470)</f>
        <v/>
      </c>
      <c r="BL470" s="60">
        <f>IF(OR(BF470="",BE470=""),"",BF470-BE470)</f>
        <v/>
      </c>
      <c r="BM470" s="60">
        <f>IF(OR(BG470="",BF470=""),"",BG470-BF470)</f>
        <v/>
      </c>
      <c r="BN470" s="60">
        <f>IF(OR(BH470="",BG470=""),"",BH470-BG470)</f>
        <v/>
      </c>
      <c r="BO470" s="60">
        <f>IF(OR(BI470="",BH470=""),"",BI470-BH470)</f>
        <v/>
      </c>
      <c r="BP470" s="60">
        <f>IF(C470="","",_xlfn.MAXIFS('Saisie'!$AS$5:$AS$2004,'Saisie'!$C$5:$C$2004,C470,'Saisie'!$J$5:$J$2004,"&lt;&gt;"))</f>
        <v/>
      </c>
      <c r="BQ470" s="60">
        <f>IF(C470="","",_xlfn.MAXIFS('Saisie'!$AS$5:$AS$2004,'Saisie'!$C$5:$C$2004,C470))</f>
        <v/>
      </c>
      <c r="BR470" s="60">
        <f>IF(C470="","",_xlfn.MAXIFS('Saisie'!$AS$5:$AS$2004,'Saisie'!$C$5:$C$2004,C470,'Saisie'!$E$5:$E$2004,"Perdu"))</f>
        <v/>
      </c>
      <c r="BS470" s="60">
        <f>IF(C470="","",_xlfn.MAXIFS('Saisie'!$AS$5:$AS$2004,'Saisie'!$C$5:$C$2004,C470,'Saisie'!$AT$5:$AT$2004,"&gt;0"))</f>
        <v/>
      </c>
      <c r="BT470" s="109">
        <f>IF(AND(C470&lt;&gt;"",OR(D470="Nouveau",D470="Contacté",D470="Qualifié"),OR(G470="",N(G470)&lt;=TODAY()),NOT(AND(O470&gt;='Paramètres'!$B$21,P470=0))),E470+466/10000,"")</f>
        <v/>
      </c>
      <c r="BU470" s="60">
        <f>IF(AND(G470&lt;&gt;"",N(G470)&lt;=TODAY()),MAX($BU$4:BU469)+1,"")</f>
        <v/>
      </c>
      <c r="BV470" s="60">
        <f>IF(AND(F470&lt;&gt;"",F470&lt;&gt;"Relance en retard"),MAX($BV$4:BV469)+1,"")</f>
        <v/>
      </c>
      <c r="BW470" s="60">
        <f>IF(C470="","",IF(AND(B470&gt;='Tableau de bord'!$R$4,B470&lt;='Tableau de bord'!$S$4,OR('Tableau de bord'!$G$4="Tous",N470='Tableau de bord'!$G$4)),1,0))</f>
        <v/>
      </c>
      <c r="BX470" s="60">
        <f>IF(AND(C470&lt;&gt;"",N(BA470)=7),MAX($BX$4:BX469)+1,"")</f>
        <v/>
      </c>
    </row>
    <row r="471">
      <c r="A471" s="60">
        <f>IF(C471="","","P-"&amp;TEXT(467,"000"))</f>
        <v/>
      </c>
      <c r="B471" s="106">
        <f>IF(C471="","",IFERROR(1/(1/_xlfn.MINIFS('Saisie'!$A$5:$A$2004,'Saisie'!$C$5:$C$2004,C471)),""))</f>
        <v/>
      </c>
      <c r="C471" s="60">
        <f>IFERROR(INDEX('Saisie'!$C$5:$C$2004,MATCH(467,'Saisie'!$AX$5:$AX$2004,0)),"")</f>
        <v/>
      </c>
      <c r="D471" s="60">
        <f>IF(C471="","",IF(AND(BR471&gt;0,BR471&gt;BS471,BA471&lt;7),"Perdu",INDEX('Paramètres'!$F$6:$F$13,BA471)))</f>
        <v/>
      </c>
      <c r="E471" s="61">
        <f>IF(C471="","",MIN(100,(Z471="Oui")*'Paramètres'!$B$38+(AB471="Régulière")*'Paramètres'!$B$39+IF(AND(N(AA471)&gt;0,TODAY()-N(AA471)&lt;=30),'Paramètres'!$B$40,0)+(W471="")*'Paramètres'!$B$41+(AC471="Absente")*'Paramètres'!$B$42+(AC471="Faible")*'Paramètres'!$B$43+IF(AND(N(AD471)&gt;0,N(AD471)&lt;4),'Paramètres'!$B$44,0)+(AF471="Moyenne")*'Paramètres'!$B$45+(AF471="Grande")*'Paramètres'!$B$46+(Y471&lt;&gt;"")*'Paramètres'!$B$47))</f>
        <v/>
      </c>
      <c r="F471" s="60">
        <f>IF(C471="","",IF(D471="Gagné","",IF(D471="Perdu",IF(AND(AX471&lt;&gt;"",AX471&lt;=TODAY()),"À recontacter (perdu)",""),IF(AND(O471&gt;='Paramètres'!$B$21,P471=0),"Stop : "&amp;'Paramètres'!$B$21&amp;" tentatives sans réponse",IF(AND(D471="Proposition",AR471&lt;&gt;"",TODAY()&gt;N(AR471)),"Proposition expirée",IF(AND(D471="Proposition",N(R471)&gt;='Paramètres'!$B$25),"Proposition sans réponse",IF(AND(G471&lt;&gt;"",N(G471)&lt;TODAY()),"Relance en retard",IF(N(R471)&gt;='Paramètres'!$B$24,"Sans action depuis "&amp;R471&amp;" j",""))))))))</f>
        <v/>
      </c>
      <c r="G471" s="106">
        <f>IF(OR(C471="",D471="Gagné",D471="Perdu"),"",IF(AND(BP471&gt;0,BP471=BQ471),INDEX('Saisie'!$J$5:$J$2004,BP471-4),IF(OR(O471=0,AND(O471&gt;='Paramètres'!$B$21,P471=0)),"",Q471+IF(O471&lt;=1,'Paramètres'!$B$18,IF(O471=2,'Paramètres'!$B$19,'Paramètres'!$B$20)))))</f>
        <v/>
      </c>
      <c r="H471" s="107">
        <f>IF(OR(G471="",BP471&lt;&gt;BQ471),"",IF(INDEX('Saisie'!$K$5:$K$2004,BP471-4)="","",INDEX('Saisie'!$K$5:$K$2004,BP471-4)))</f>
        <v/>
      </c>
      <c r="I471" s="60">
        <f>IF(C471="","",IF(OR(D471="Gagné",D471="Perdu"),"",IFERROR(INDEX('Saisie'!$I$5:$I$2004,_xlfn.MAXIFS('Saisie'!$AS$5:$AS$2004,'Saisie'!$C$5:$C$2004,C471,'Saisie'!$I$5:$I$2004,"&lt;&gt;")-4),"")))</f>
        <v/>
      </c>
      <c r="J471" s="60">
        <f>IF(C471="","",IFERROR(INDEX('Saisie'!$U$5:$U$2004,_xlfn.MAXIFS('Saisie'!$AS$5:$AS$2004,'Saisie'!$C$5:$C$2004,C471,'Saisie'!$U$5:$U$2004,"&lt;&gt;")-4),""))</f>
        <v/>
      </c>
      <c r="K471" s="60">
        <f>IF(C471="","",IFERROR(INDEX('Saisie'!$W$5:$W$2004,_xlfn.MAXIFS('Saisie'!$AS$5:$AS$2004,'Saisie'!$C$5:$C$2004,C471,'Saisie'!$W$5:$W$2004,"&lt;&gt;")-4),""))</f>
        <v/>
      </c>
      <c r="L471" s="60">
        <f>IF(IF(BB471&lt;&gt;"",BB471,K471)="","",HYPERLINK("https://wa.me/"&amp;IF(LEFT(SUBSTITUTE(SUBSTITUTE(SUBSTITUTE(IF(BB471&lt;&gt;"",BB471,K471)," ",""),".",""),"+",""),1)="0",'Paramètres'!$B$35&amp;MID(SUBSTITUTE(SUBSTITUTE(SUBSTITUTE(IF(BB471&lt;&gt;"",BB471,K471)," ",""),".",""),"+",""),2,20),SUBSTITUTE(SUBSTITUTE(SUBSTITUTE(IF(BB471&lt;&gt;"",BB471,K471)," ",""),".",""),"+","")),"WhatsApp"))</f>
        <v/>
      </c>
      <c r="M471" s="60">
        <f>IF(BC471="","",HYPERLINK(IF(LEFT(BC471,4)="http",BC471,"https://www.instagram.com/"&amp;SUBSTITUTE(SUBSTITUTE(BC471,"@","")," ","")),BC471))</f>
        <v/>
      </c>
      <c r="N471" s="60">
        <f>IF(C471="","",IFERROR(INDEX('Saisie'!$D$5:$D$2004,_xlfn.MINIFS('Saisie'!$AS$5:$AS$2004,'Saisie'!$C$5:$C$2004,C471,'Saisie'!$AU$5:$AU$2004,1)-4),IFERROR(INDEX('Saisie'!$D$5:$D$2004,_xlfn.MINIFS('Saisie'!$AS$5:$AS$2004,'Saisie'!$C$5:$C$2004,C471,'Saisie'!$D$5:$D$2004,"&lt;&gt;")-4),"")))</f>
        <v/>
      </c>
      <c r="O471" s="60">
        <f>IF(C471="","",COUNTIFS('Saisie'!$C$5:$C$2004,C471,'Saisie'!$AU$5:$AU$2004,1))</f>
        <v/>
      </c>
      <c r="P471" s="60">
        <f>IF(C471="","",COUNTIFS('Saisie'!$C$5:$C$2004,C471,'Saisie'!$AV$5:$AV$2004,1))</f>
        <v/>
      </c>
      <c r="Q471" s="106">
        <f>IF(C471="","",IFERROR(1/(1/_xlfn.MAXIFS('Saisie'!$A$5:$A$2004,'Saisie'!$C$5:$C$2004,C471)),""))</f>
        <v/>
      </c>
      <c r="R471" s="61">
        <f>IF(C471="","",IF(Q471="","",TODAY()-Q471))</f>
        <v/>
      </c>
      <c r="S471" s="60">
        <f>IF(C471="","",IFERROR(INDEX('Saisie'!$R$5:$R$2004,_xlfn.MAXIFS('Saisie'!$AS$5:$AS$2004,'Saisie'!$C$5:$C$2004,C471,'Saisie'!$R$5:$R$2004,"&lt;&gt;")-4),""))</f>
        <v/>
      </c>
      <c r="T471" s="60">
        <f>IF(C471="","",IFERROR(INDEX('Saisie'!$S$5:$S$2004,_xlfn.MAXIFS('Saisie'!$AS$5:$AS$2004,'Saisie'!$C$5:$C$2004,C471,'Saisie'!$S$5:$S$2004,"&lt;&gt;")-4),""))</f>
        <v/>
      </c>
      <c r="U471" s="60">
        <f>IF(C471="","",IFERROR(INDEX('Saisie'!$T$5:$T$2004,_xlfn.MAXIFS('Saisie'!$AS$5:$AS$2004,'Saisie'!$C$5:$C$2004,C471,'Saisie'!$T$5:$T$2004,"&lt;&gt;")-4),""))</f>
        <v/>
      </c>
      <c r="V471" s="60">
        <f>IF(C471="","",IFERROR(INDEX('Saisie'!$V$5:$V$2004,_xlfn.MAXIFS('Saisie'!$AS$5:$AS$2004,'Saisie'!$C$5:$C$2004,C471,'Saisie'!$V$5:$V$2004,"&lt;&gt;")-4),""))</f>
        <v/>
      </c>
      <c r="W471" s="60">
        <f>IF(C471="","",IFERROR(INDEX('Saisie'!$Z$5:$Z$2004,_xlfn.MAXIFS('Saisie'!$AS$5:$AS$2004,'Saisie'!$C$5:$C$2004,C471,'Saisie'!$Z$5:$Z$2004,"&lt;&gt;")-4),""))</f>
        <v/>
      </c>
      <c r="X471" s="60">
        <f>IF(C471="","",IFERROR(INDEX('Saisie'!$AA$5:$AA$2004,_xlfn.MAXIFS('Saisie'!$AS$5:$AS$2004,'Saisie'!$C$5:$C$2004,C471,'Saisie'!$AA$5:$AA$2004,"&lt;&gt;")-4),""))</f>
        <v/>
      </c>
      <c r="Y471" s="60">
        <f>IF(C471="","",IFERROR(INDEX('Saisie'!$AB$5:$AB$2004,_xlfn.MAXIFS('Saisie'!$AS$5:$AS$2004,'Saisie'!$C$5:$C$2004,C471,'Saisie'!$AB$5:$AB$2004,"&lt;&gt;")-4),""))</f>
        <v/>
      </c>
      <c r="Z471" s="60">
        <f>IF(C471="","",IFERROR(INDEX('Saisie'!$AC$5:$AC$2004,_xlfn.MAXIFS('Saisie'!$AS$5:$AS$2004,'Saisie'!$C$5:$C$2004,C471,'Saisie'!$AC$5:$AC$2004,"&lt;&gt;")-4),""))</f>
        <v/>
      </c>
      <c r="AA471" s="106">
        <f>IF(C471="","",IFERROR(INDEX('Saisie'!$AD$5:$AD$2004,_xlfn.MAXIFS('Saisie'!$AS$5:$AS$2004,'Saisie'!$C$5:$C$2004,C471,'Saisie'!$AD$5:$AD$2004,"&lt;&gt;")-4),""))</f>
        <v/>
      </c>
      <c r="AB471" s="60">
        <f>IF(C471="","",IFERROR(INDEX('Saisie'!$AE$5:$AE$2004,_xlfn.MAXIFS('Saisie'!$AS$5:$AS$2004,'Saisie'!$C$5:$C$2004,C471,'Saisie'!$AE$5:$AE$2004,"&lt;&gt;")-4),""))</f>
        <v/>
      </c>
      <c r="AC471" s="60">
        <f>IF(C471="","",IFERROR(INDEX('Saisie'!$AF$5:$AF$2004,_xlfn.MAXIFS('Saisie'!$AS$5:$AS$2004,'Saisie'!$C$5:$C$2004,C471,'Saisie'!$AF$5:$AF$2004,"&lt;&gt;")-4),""))</f>
        <v/>
      </c>
      <c r="AD471" s="108">
        <f>IF(C471="","",IFERROR(INDEX('Saisie'!$AG$5:$AG$2004,_xlfn.MAXIFS('Saisie'!$AS$5:$AS$2004,'Saisie'!$C$5:$C$2004,C471,'Saisie'!$AG$5:$AG$2004,"&lt;&gt;")-4),""))</f>
        <v/>
      </c>
      <c r="AE471" s="60">
        <f>IF(C471="","",IFERROR(INDEX('Saisie'!$AH$5:$AH$2004,_xlfn.MAXIFS('Saisie'!$AS$5:$AS$2004,'Saisie'!$C$5:$C$2004,C471,'Saisie'!$AH$5:$AH$2004,"&lt;&gt;")-4),""))</f>
        <v/>
      </c>
      <c r="AF471" s="60">
        <f>IF(C471="","",IFERROR(INDEX('Saisie'!$AI$5:$AI$2004,_xlfn.MAXIFS('Saisie'!$AS$5:$AS$2004,'Saisie'!$C$5:$C$2004,C471,'Saisie'!$AI$5:$AI$2004,"&lt;&gt;")-4),""))</f>
        <v/>
      </c>
      <c r="AG471" s="60">
        <f>IF(C471="","",IFERROR(INDEX('Saisie'!$AJ$5:$AJ$2004,_xlfn.MAXIFS('Saisie'!$AS$5:$AS$2004,'Saisie'!$C$5:$C$2004,C471,'Saisie'!$AJ$5:$AJ$2004,"&lt;&gt;")-4),""))</f>
        <v/>
      </c>
      <c r="AH471" s="60">
        <f>IF(C471="","",IFERROR(INDEX('Saisie'!$AK$5:$AK$2004,_xlfn.MAXIFS('Saisie'!$AS$5:$AS$2004,'Saisie'!$C$5:$C$2004,C471,'Saisie'!$AK$5:$AK$2004,"&lt;&gt;")-4),""))</f>
        <v/>
      </c>
      <c r="AI471" s="60">
        <f>IF(C471="","",IFERROR(INDEX('Saisie'!$AN$5:$AN$2004,_xlfn.MAXIFS('Saisie'!$AS$5:$AS$2004,'Saisie'!$C$5:$C$2004,C471,'Saisie'!$AN$5:$AN$2004,"&lt;&gt;")-4),""))</f>
        <v/>
      </c>
      <c r="AJ471" s="60">
        <f>IF(C471="","",IFERROR(INDEX('Saisie'!$AO$5:$AO$2004,_xlfn.MAXIFS('Saisie'!$AS$5:$AS$2004,'Saisie'!$C$5:$C$2004,C471,'Saisie'!$AO$5:$AO$2004,"&lt;&gt;")-4),""))</f>
        <v/>
      </c>
      <c r="AK471" s="60">
        <f>IF(C471="","",IFERROR(INDEX('Saisie'!$AP$5:$AP$2004,_xlfn.MAXIFS('Saisie'!$AS$5:$AS$2004,'Saisie'!$C$5:$C$2004,C471,'Saisie'!$AP$5:$AP$2004,"&lt;&gt;")-4),""))</f>
        <v/>
      </c>
      <c r="AL471" s="60">
        <f>IF(C471="","",IFERROR(INDEX('Saisie'!$AQ$5:$AQ$2004,_xlfn.MAXIFS('Saisie'!$AS$5:$AS$2004,'Saisie'!$C$5:$C$2004,C471,'Saisie'!$AQ$5:$AQ$2004,"&lt;&gt;")-4),""))</f>
        <v/>
      </c>
      <c r="AM471" s="60">
        <f>IF(C471="","",((AI471="Oui")+(AJ471="Oui")+(AK471="Oui")+OR(AL471="Immédiat",AL471="&lt; 1 mois"))&amp;"/4")</f>
        <v/>
      </c>
      <c r="AN471" s="60">
        <f>IF(C471="","",IFERROR(INDEX('Saisie'!$AL$5:$AL$2004,_xlfn.MAXIFS('Saisie'!$AS$5:$AS$2004,'Saisie'!$C$5:$C$2004,C471,'Saisie'!$AL$5:$AL$2004,"&lt;&gt;")-4),""))</f>
        <v/>
      </c>
      <c r="AO471" s="62">
        <f>IF(C471="","",IF(IFERROR(INDEX('Saisie'!$AM$5:$AM$2004,_xlfn.MAXIFS('Saisie'!$AS$5:$AS$2004,'Saisie'!$C$5:$C$2004,C471,'Saisie'!$AM$5:$AM$2004,"&lt;&gt;")-4),"")&lt;&gt;"",IFERROR(INDEX('Saisie'!$AM$5:$AM$2004,_xlfn.MAXIFS('Saisie'!$AS$5:$AS$2004,'Saisie'!$C$5:$C$2004,C471,'Saisie'!$AM$5:$AM$2004,"&lt;&gt;")-4),""),IFERROR(INDEX('Paramètres'!$S$6:$S$15,MATCH(AN471,'Paramètres'!$Q$6:$Q$15,0)),"")))</f>
        <v/>
      </c>
      <c r="AP471" s="62">
        <f>IF(C471="","",IFERROR(INDEX('Saisie'!$AW$5:$AW$2004,_xlfn.MAXIFS('Saisie'!$AS$5:$AS$2004,'Saisie'!$C$5:$C$2004,C471,'Saisie'!$E$5:$E$2004,"Proposition envoyée")-4),""))</f>
        <v/>
      </c>
      <c r="AQ471" s="106">
        <f>IF(C471="","",IFERROR(1/(1/_xlfn.MAXIFS('Saisie'!$A$5:$A$2004,'Saisie'!$C$5:$C$2004,C471,'Saisie'!$E$5:$E$2004,"Proposition envoyée")),""))</f>
        <v/>
      </c>
      <c r="AR471" s="106">
        <f>IF(C471="","",IF(AQ471="","",AQ471+'Paramètres'!$B$26))</f>
        <v/>
      </c>
      <c r="AS471" s="62">
        <f>IF(OR(C471="",D471="Gagné",D471="Perdu"),0,N(AP471)*IFERROR(INDEX('Paramètres'!$G$6:$G$13,MATCH(D471,'Paramètres'!$F$6:$F$13,0)),0))</f>
        <v/>
      </c>
      <c r="AT471" s="106">
        <f>IF(C471="","",IFERROR(1/(1/_xlfn.MINIFS('Saisie'!$A$5:$A$2004,'Saisie'!$C$5:$C$2004,C471,'Saisie'!$E$5:$E$2004,"Signature")),""))</f>
        <v/>
      </c>
      <c r="AU471" s="60">
        <f>IF(C471="","",IF(OR(AT471="",B471=""),"",AT471-B471))</f>
        <v/>
      </c>
      <c r="AV471" s="60">
        <f>IF(C471="","",IFERROR(INDEX('Saisie'!$L$5:$L$2004,_xlfn.MAXIFS('Saisie'!$AS$5:$AS$2004,'Saisie'!$C$5:$C$2004,C471,'Saisie'!$L$5:$L$2004,"&lt;&gt;")-4),""))</f>
        <v/>
      </c>
      <c r="AW471" s="106">
        <f>IF(C471="","",IF(D471&lt;&gt;"Perdu","",IFERROR(1/(1/_xlfn.MAXIFS('Saisie'!$A$5:$A$2004,'Saisie'!$C$5:$C$2004,C471,'Saisie'!$E$5:$E$2004,"Perdu")),"")))</f>
        <v/>
      </c>
      <c r="AX471" s="106">
        <f>IF(C471="","",IF(AW471="","",AW471+'Paramètres'!$B$28))</f>
        <v/>
      </c>
      <c r="AY471" s="60">
        <f>IF(C471="","",SUMIFS('Saisie'!$H$5:$H$2004,'Saisie'!$C$5:$C$2004,C471))</f>
        <v/>
      </c>
      <c r="AZ471" s="60">
        <f>IF(C471="","",IFERROR(INDEX('Paramètres'!$W$6:$W$20,MATCH(S471,'Paramètres'!$V$6:$V$20,0))&amp;"",""))</f>
        <v/>
      </c>
      <c r="BA471" s="60">
        <f>IF(C471="","",MAX(1,_xlfn.MAXIFS('Saisie'!$AT$5:$AT$2004,'Saisie'!$C$5:$C$2004,C471)))</f>
        <v/>
      </c>
      <c r="BB471" s="60">
        <f>IF(C471="","",IFERROR(INDEX('Saisie'!$X$5:$X$2004,_xlfn.MAXIFS('Saisie'!$AS$5:$AS$2004,'Saisie'!$C$5:$C$2004,C471,'Saisie'!$X$5:$X$2004,"&lt;&gt;")-4),""))</f>
        <v/>
      </c>
      <c r="BC471" s="60">
        <f>IF(C471="","",IFERROR(INDEX('Saisie'!$Y$5:$Y$2004,_xlfn.MAXIFS('Saisie'!$AS$5:$AS$2004,'Saisie'!$C$5:$C$2004,C471,'Saisie'!$Y$5:$Y$2004,"&lt;&gt;")-4),""))</f>
        <v/>
      </c>
      <c r="BD471" s="106">
        <f>IF(C471="","",IFERROR(1/(1/_xlfn.MINIFS('Saisie'!$A$5:$A$2004,'Saisie'!$C$5:$C$2004,C471,'Saisie'!$AT$5:$AT$2004,"&gt;=2")),""))</f>
        <v/>
      </c>
      <c r="BE471" s="106">
        <f>IF(C471="","",IFERROR(1/(1/_xlfn.MINIFS('Saisie'!$A$5:$A$2004,'Saisie'!$C$5:$C$2004,C471,'Saisie'!$AT$5:$AT$2004,"&gt;=3")),""))</f>
        <v/>
      </c>
      <c r="BF471" s="106">
        <f>IF(C471="","",IFERROR(1/(1/_xlfn.MINIFS('Saisie'!$A$5:$A$2004,'Saisie'!$C$5:$C$2004,C471,'Saisie'!$AT$5:$AT$2004,"&gt;=4")),""))</f>
        <v/>
      </c>
      <c r="BG471" s="106">
        <f>IF(C471="","",IFERROR(1/(1/_xlfn.MINIFS('Saisie'!$A$5:$A$2004,'Saisie'!$C$5:$C$2004,C471,'Saisie'!$AT$5:$AT$2004,"&gt;=5")),""))</f>
        <v/>
      </c>
      <c r="BH471" s="106">
        <f>IF(C471="","",IFERROR(1/(1/_xlfn.MINIFS('Saisie'!$A$5:$A$2004,'Saisie'!$C$5:$C$2004,C471,'Saisie'!$AT$5:$AT$2004,"&gt;=6")),""))</f>
        <v/>
      </c>
      <c r="BI471" s="106">
        <f>IF(C471="","",IFERROR(1/(1/_xlfn.MINIFS('Saisie'!$A$5:$A$2004,'Saisie'!$C$5:$C$2004,C471,'Saisie'!$AT$5:$AT$2004,"&gt;=7")),""))</f>
        <v/>
      </c>
      <c r="BJ471" s="60">
        <f>IF(OR(BD471="",B471=""),"",BD471-B471)</f>
        <v/>
      </c>
      <c r="BK471" s="60">
        <f>IF(OR(BE471="",BD471=""),"",BE471-BD471)</f>
        <v/>
      </c>
      <c r="BL471" s="60">
        <f>IF(OR(BF471="",BE471=""),"",BF471-BE471)</f>
        <v/>
      </c>
      <c r="BM471" s="60">
        <f>IF(OR(BG471="",BF471=""),"",BG471-BF471)</f>
        <v/>
      </c>
      <c r="BN471" s="60">
        <f>IF(OR(BH471="",BG471=""),"",BH471-BG471)</f>
        <v/>
      </c>
      <c r="BO471" s="60">
        <f>IF(OR(BI471="",BH471=""),"",BI471-BH471)</f>
        <v/>
      </c>
      <c r="BP471" s="60">
        <f>IF(C471="","",_xlfn.MAXIFS('Saisie'!$AS$5:$AS$2004,'Saisie'!$C$5:$C$2004,C471,'Saisie'!$J$5:$J$2004,"&lt;&gt;"))</f>
        <v/>
      </c>
      <c r="BQ471" s="60">
        <f>IF(C471="","",_xlfn.MAXIFS('Saisie'!$AS$5:$AS$2004,'Saisie'!$C$5:$C$2004,C471))</f>
        <v/>
      </c>
      <c r="BR471" s="60">
        <f>IF(C471="","",_xlfn.MAXIFS('Saisie'!$AS$5:$AS$2004,'Saisie'!$C$5:$C$2004,C471,'Saisie'!$E$5:$E$2004,"Perdu"))</f>
        <v/>
      </c>
      <c r="BS471" s="60">
        <f>IF(C471="","",_xlfn.MAXIFS('Saisie'!$AS$5:$AS$2004,'Saisie'!$C$5:$C$2004,C471,'Saisie'!$AT$5:$AT$2004,"&gt;0"))</f>
        <v/>
      </c>
      <c r="BT471" s="109">
        <f>IF(AND(C471&lt;&gt;"",OR(D471="Nouveau",D471="Contacté",D471="Qualifié"),OR(G471="",N(G471)&lt;=TODAY()),NOT(AND(O471&gt;='Paramètres'!$B$21,P471=0))),E471+467/10000,"")</f>
        <v/>
      </c>
      <c r="BU471" s="60">
        <f>IF(AND(G471&lt;&gt;"",N(G471)&lt;=TODAY()),MAX($BU$4:BU470)+1,"")</f>
        <v/>
      </c>
      <c r="BV471" s="60">
        <f>IF(AND(F471&lt;&gt;"",F471&lt;&gt;"Relance en retard"),MAX($BV$4:BV470)+1,"")</f>
        <v/>
      </c>
      <c r="BW471" s="60">
        <f>IF(C471="","",IF(AND(B471&gt;='Tableau de bord'!$R$4,B471&lt;='Tableau de bord'!$S$4,OR('Tableau de bord'!$G$4="Tous",N471='Tableau de bord'!$G$4)),1,0))</f>
        <v/>
      </c>
      <c r="BX471" s="60">
        <f>IF(AND(C471&lt;&gt;"",N(BA471)=7),MAX($BX$4:BX470)+1,"")</f>
        <v/>
      </c>
    </row>
    <row r="472">
      <c r="A472" s="60">
        <f>IF(C472="","","P-"&amp;TEXT(468,"000"))</f>
        <v/>
      </c>
      <c r="B472" s="106">
        <f>IF(C472="","",IFERROR(1/(1/_xlfn.MINIFS('Saisie'!$A$5:$A$2004,'Saisie'!$C$5:$C$2004,C472)),""))</f>
        <v/>
      </c>
      <c r="C472" s="60">
        <f>IFERROR(INDEX('Saisie'!$C$5:$C$2004,MATCH(468,'Saisie'!$AX$5:$AX$2004,0)),"")</f>
        <v/>
      </c>
      <c r="D472" s="60">
        <f>IF(C472="","",IF(AND(BR472&gt;0,BR472&gt;BS472,BA472&lt;7),"Perdu",INDEX('Paramètres'!$F$6:$F$13,BA472)))</f>
        <v/>
      </c>
      <c r="E472" s="61">
        <f>IF(C472="","",MIN(100,(Z472="Oui")*'Paramètres'!$B$38+(AB472="Régulière")*'Paramètres'!$B$39+IF(AND(N(AA472)&gt;0,TODAY()-N(AA472)&lt;=30),'Paramètres'!$B$40,0)+(W472="")*'Paramètres'!$B$41+(AC472="Absente")*'Paramètres'!$B$42+(AC472="Faible")*'Paramètres'!$B$43+IF(AND(N(AD472)&gt;0,N(AD472)&lt;4),'Paramètres'!$B$44,0)+(AF472="Moyenne")*'Paramètres'!$B$45+(AF472="Grande")*'Paramètres'!$B$46+(Y472&lt;&gt;"")*'Paramètres'!$B$47))</f>
        <v/>
      </c>
      <c r="F472" s="60">
        <f>IF(C472="","",IF(D472="Gagné","",IF(D472="Perdu",IF(AND(AX472&lt;&gt;"",AX472&lt;=TODAY()),"À recontacter (perdu)",""),IF(AND(O472&gt;='Paramètres'!$B$21,P472=0),"Stop : "&amp;'Paramètres'!$B$21&amp;" tentatives sans réponse",IF(AND(D472="Proposition",AR472&lt;&gt;"",TODAY()&gt;N(AR472)),"Proposition expirée",IF(AND(D472="Proposition",N(R472)&gt;='Paramètres'!$B$25),"Proposition sans réponse",IF(AND(G472&lt;&gt;"",N(G472)&lt;TODAY()),"Relance en retard",IF(N(R472)&gt;='Paramètres'!$B$24,"Sans action depuis "&amp;R472&amp;" j",""))))))))</f>
        <v/>
      </c>
      <c r="G472" s="106">
        <f>IF(OR(C472="",D472="Gagné",D472="Perdu"),"",IF(AND(BP472&gt;0,BP472=BQ472),INDEX('Saisie'!$J$5:$J$2004,BP472-4),IF(OR(O472=0,AND(O472&gt;='Paramètres'!$B$21,P472=0)),"",Q472+IF(O472&lt;=1,'Paramètres'!$B$18,IF(O472=2,'Paramètres'!$B$19,'Paramètres'!$B$20)))))</f>
        <v/>
      </c>
      <c r="H472" s="107">
        <f>IF(OR(G472="",BP472&lt;&gt;BQ472),"",IF(INDEX('Saisie'!$K$5:$K$2004,BP472-4)="","",INDEX('Saisie'!$K$5:$K$2004,BP472-4)))</f>
        <v/>
      </c>
      <c r="I472" s="60">
        <f>IF(C472="","",IF(OR(D472="Gagné",D472="Perdu"),"",IFERROR(INDEX('Saisie'!$I$5:$I$2004,_xlfn.MAXIFS('Saisie'!$AS$5:$AS$2004,'Saisie'!$C$5:$C$2004,C472,'Saisie'!$I$5:$I$2004,"&lt;&gt;")-4),"")))</f>
        <v/>
      </c>
      <c r="J472" s="60">
        <f>IF(C472="","",IFERROR(INDEX('Saisie'!$U$5:$U$2004,_xlfn.MAXIFS('Saisie'!$AS$5:$AS$2004,'Saisie'!$C$5:$C$2004,C472,'Saisie'!$U$5:$U$2004,"&lt;&gt;")-4),""))</f>
        <v/>
      </c>
      <c r="K472" s="60">
        <f>IF(C472="","",IFERROR(INDEX('Saisie'!$W$5:$W$2004,_xlfn.MAXIFS('Saisie'!$AS$5:$AS$2004,'Saisie'!$C$5:$C$2004,C472,'Saisie'!$W$5:$W$2004,"&lt;&gt;")-4),""))</f>
        <v/>
      </c>
      <c r="L472" s="60">
        <f>IF(IF(BB472&lt;&gt;"",BB472,K472)="","",HYPERLINK("https://wa.me/"&amp;IF(LEFT(SUBSTITUTE(SUBSTITUTE(SUBSTITUTE(IF(BB472&lt;&gt;"",BB472,K472)," ",""),".",""),"+",""),1)="0",'Paramètres'!$B$35&amp;MID(SUBSTITUTE(SUBSTITUTE(SUBSTITUTE(IF(BB472&lt;&gt;"",BB472,K472)," ",""),".",""),"+",""),2,20),SUBSTITUTE(SUBSTITUTE(SUBSTITUTE(IF(BB472&lt;&gt;"",BB472,K472)," ",""),".",""),"+","")),"WhatsApp"))</f>
        <v/>
      </c>
      <c r="M472" s="60">
        <f>IF(BC472="","",HYPERLINK(IF(LEFT(BC472,4)="http",BC472,"https://www.instagram.com/"&amp;SUBSTITUTE(SUBSTITUTE(BC472,"@","")," ","")),BC472))</f>
        <v/>
      </c>
      <c r="N472" s="60">
        <f>IF(C472="","",IFERROR(INDEX('Saisie'!$D$5:$D$2004,_xlfn.MINIFS('Saisie'!$AS$5:$AS$2004,'Saisie'!$C$5:$C$2004,C472,'Saisie'!$AU$5:$AU$2004,1)-4),IFERROR(INDEX('Saisie'!$D$5:$D$2004,_xlfn.MINIFS('Saisie'!$AS$5:$AS$2004,'Saisie'!$C$5:$C$2004,C472,'Saisie'!$D$5:$D$2004,"&lt;&gt;")-4),"")))</f>
        <v/>
      </c>
      <c r="O472" s="60">
        <f>IF(C472="","",COUNTIFS('Saisie'!$C$5:$C$2004,C472,'Saisie'!$AU$5:$AU$2004,1))</f>
        <v/>
      </c>
      <c r="P472" s="60">
        <f>IF(C472="","",COUNTIFS('Saisie'!$C$5:$C$2004,C472,'Saisie'!$AV$5:$AV$2004,1))</f>
        <v/>
      </c>
      <c r="Q472" s="106">
        <f>IF(C472="","",IFERROR(1/(1/_xlfn.MAXIFS('Saisie'!$A$5:$A$2004,'Saisie'!$C$5:$C$2004,C472)),""))</f>
        <v/>
      </c>
      <c r="R472" s="61">
        <f>IF(C472="","",IF(Q472="","",TODAY()-Q472))</f>
        <v/>
      </c>
      <c r="S472" s="60">
        <f>IF(C472="","",IFERROR(INDEX('Saisie'!$R$5:$R$2004,_xlfn.MAXIFS('Saisie'!$AS$5:$AS$2004,'Saisie'!$C$5:$C$2004,C472,'Saisie'!$R$5:$R$2004,"&lt;&gt;")-4),""))</f>
        <v/>
      </c>
      <c r="T472" s="60">
        <f>IF(C472="","",IFERROR(INDEX('Saisie'!$S$5:$S$2004,_xlfn.MAXIFS('Saisie'!$AS$5:$AS$2004,'Saisie'!$C$5:$C$2004,C472,'Saisie'!$S$5:$S$2004,"&lt;&gt;")-4),""))</f>
        <v/>
      </c>
      <c r="U472" s="60">
        <f>IF(C472="","",IFERROR(INDEX('Saisie'!$T$5:$T$2004,_xlfn.MAXIFS('Saisie'!$AS$5:$AS$2004,'Saisie'!$C$5:$C$2004,C472,'Saisie'!$T$5:$T$2004,"&lt;&gt;")-4),""))</f>
        <v/>
      </c>
      <c r="V472" s="60">
        <f>IF(C472="","",IFERROR(INDEX('Saisie'!$V$5:$V$2004,_xlfn.MAXIFS('Saisie'!$AS$5:$AS$2004,'Saisie'!$C$5:$C$2004,C472,'Saisie'!$V$5:$V$2004,"&lt;&gt;")-4),""))</f>
        <v/>
      </c>
      <c r="W472" s="60">
        <f>IF(C472="","",IFERROR(INDEX('Saisie'!$Z$5:$Z$2004,_xlfn.MAXIFS('Saisie'!$AS$5:$AS$2004,'Saisie'!$C$5:$C$2004,C472,'Saisie'!$Z$5:$Z$2004,"&lt;&gt;")-4),""))</f>
        <v/>
      </c>
      <c r="X472" s="60">
        <f>IF(C472="","",IFERROR(INDEX('Saisie'!$AA$5:$AA$2004,_xlfn.MAXIFS('Saisie'!$AS$5:$AS$2004,'Saisie'!$C$5:$C$2004,C472,'Saisie'!$AA$5:$AA$2004,"&lt;&gt;")-4),""))</f>
        <v/>
      </c>
      <c r="Y472" s="60">
        <f>IF(C472="","",IFERROR(INDEX('Saisie'!$AB$5:$AB$2004,_xlfn.MAXIFS('Saisie'!$AS$5:$AS$2004,'Saisie'!$C$5:$C$2004,C472,'Saisie'!$AB$5:$AB$2004,"&lt;&gt;")-4),""))</f>
        <v/>
      </c>
      <c r="Z472" s="60">
        <f>IF(C472="","",IFERROR(INDEX('Saisie'!$AC$5:$AC$2004,_xlfn.MAXIFS('Saisie'!$AS$5:$AS$2004,'Saisie'!$C$5:$C$2004,C472,'Saisie'!$AC$5:$AC$2004,"&lt;&gt;")-4),""))</f>
        <v/>
      </c>
      <c r="AA472" s="106">
        <f>IF(C472="","",IFERROR(INDEX('Saisie'!$AD$5:$AD$2004,_xlfn.MAXIFS('Saisie'!$AS$5:$AS$2004,'Saisie'!$C$5:$C$2004,C472,'Saisie'!$AD$5:$AD$2004,"&lt;&gt;")-4),""))</f>
        <v/>
      </c>
      <c r="AB472" s="60">
        <f>IF(C472="","",IFERROR(INDEX('Saisie'!$AE$5:$AE$2004,_xlfn.MAXIFS('Saisie'!$AS$5:$AS$2004,'Saisie'!$C$5:$C$2004,C472,'Saisie'!$AE$5:$AE$2004,"&lt;&gt;")-4),""))</f>
        <v/>
      </c>
      <c r="AC472" s="60">
        <f>IF(C472="","",IFERROR(INDEX('Saisie'!$AF$5:$AF$2004,_xlfn.MAXIFS('Saisie'!$AS$5:$AS$2004,'Saisie'!$C$5:$C$2004,C472,'Saisie'!$AF$5:$AF$2004,"&lt;&gt;")-4),""))</f>
        <v/>
      </c>
      <c r="AD472" s="108">
        <f>IF(C472="","",IFERROR(INDEX('Saisie'!$AG$5:$AG$2004,_xlfn.MAXIFS('Saisie'!$AS$5:$AS$2004,'Saisie'!$C$5:$C$2004,C472,'Saisie'!$AG$5:$AG$2004,"&lt;&gt;")-4),""))</f>
        <v/>
      </c>
      <c r="AE472" s="60">
        <f>IF(C472="","",IFERROR(INDEX('Saisie'!$AH$5:$AH$2004,_xlfn.MAXIFS('Saisie'!$AS$5:$AS$2004,'Saisie'!$C$5:$C$2004,C472,'Saisie'!$AH$5:$AH$2004,"&lt;&gt;")-4),""))</f>
        <v/>
      </c>
      <c r="AF472" s="60">
        <f>IF(C472="","",IFERROR(INDEX('Saisie'!$AI$5:$AI$2004,_xlfn.MAXIFS('Saisie'!$AS$5:$AS$2004,'Saisie'!$C$5:$C$2004,C472,'Saisie'!$AI$5:$AI$2004,"&lt;&gt;")-4),""))</f>
        <v/>
      </c>
      <c r="AG472" s="60">
        <f>IF(C472="","",IFERROR(INDEX('Saisie'!$AJ$5:$AJ$2004,_xlfn.MAXIFS('Saisie'!$AS$5:$AS$2004,'Saisie'!$C$5:$C$2004,C472,'Saisie'!$AJ$5:$AJ$2004,"&lt;&gt;")-4),""))</f>
        <v/>
      </c>
      <c r="AH472" s="60">
        <f>IF(C472="","",IFERROR(INDEX('Saisie'!$AK$5:$AK$2004,_xlfn.MAXIFS('Saisie'!$AS$5:$AS$2004,'Saisie'!$C$5:$C$2004,C472,'Saisie'!$AK$5:$AK$2004,"&lt;&gt;")-4),""))</f>
        <v/>
      </c>
      <c r="AI472" s="60">
        <f>IF(C472="","",IFERROR(INDEX('Saisie'!$AN$5:$AN$2004,_xlfn.MAXIFS('Saisie'!$AS$5:$AS$2004,'Saisie'!$C$5:$C$2004,C472,'Saisie'!$AN$5:$AN$2004,"&lt;&gt;")-4),""))</f>
        <v/>
      </c>
      <c r="AJ472" s="60">
        <f>IF(C472="","",IFERROR(INDEX('Saisie'!$AO$5:$AO$2004,_xlfn.MAXIFS('Saisie'!$AS$5:$AS$2004,'Saisie'!$C$5:$C$2004,C472,'Saisie'!$AO$5:$AO$2004,"&lt;&gt;")-4),""))</f>
        <v/>
      </c>
      <c r="AK472" s="60">
        <f>IF(C472="","",IFERROR(INDEX('Saisie'!$AP$5:$AP$2004,_xlfn.MAXIFS('Saisie'!$AS$5:$AS$2004,'Saisie'!$C$5:$C$2004,C472,'Saisie'!$AP$5:$AP$2004,"&lt;&gt;")-4),""))</f>
        <v/>
      </c>
      <c r="AL472" s="60">
        <f>IF(C472="","",IFERROR(INDEX('Saisie'!$AQ$5:$AQ$2004,_xlfn.MAXIFS('Saisie'!$AS$5:$AS$2004,'Saisie'!$C$5:$C$2004,C472,'Saisie'!$AQ$5:$AQ$2004,"&lt;&gt;")-4),""))</f>
        <v/>
      </c>
      <c r="AM472" s="60">
        <f>IF(C472="","",((AI472="Oui")+(AJ472="Oui")+(AK472="Oui")+OR(AL472="Immédiat",AL472="&lt; 1 mois"))&amp;"/4")</f>
        <v/>
      </c>
      <c r="AN472" s="60">
        <f>IF(C472="","",IFERROR(INDEX('Saisie'!$AL$5:$AL$2004,_xlfn.MAXIFS('Saisie'!$AS$5:$AS$2004,'Saisie'!$C$5:$C$2004,C472,'Saisie'!$AL$5:$AL$2004,"&lt;&gt;")-4),""))</f>
        <v/>
      </c>
      <c r="AO472" s="62">
        <f>IF(C472="","",IF(IFERROR(INDEX('Saisie'!$AM$5:$AM$2004,_xlfn.MAXIFS('Saisie'!$AS$5:$AS$2004,'Saisie'!$C$5:$C$2004,C472,'Saisie'!$AM$5:$AM$2004,"&lt;&gt;")-4),"")&lt;&gt;"",IFERROR(INDEX('Saisie'!$AM$5:$AM$2004,_xlfn.MAXIFS('Saisie'!$AS$5:$AS$2004,'Saisie'!$C$5:$C$2004,C472,'Saisie'!$AM$5:$AM$2004,"&lt;&gt;")-4),""),IFERROR(INDEX('Paramètres'!$S$6:$S$15,MATCH(AN472,'Paramètres'!$Q$6:$Q$15,0)),"")))</f>
        <v/>
      </c>
      <c r="AP472" s="62">
        <f>IF(C472="","",IFERROR(INDEX('Saisie'!$AW$5:$AW$2004,_xlfn.MAXIFS('Saisie'!$AS$5:$AS$2004,'Saisie'!$C$5:$C$2004,C472,'Saisie'!$E$5:$E$2004,"Proposition envoyée")-4),""))</f>
        <v/>
      </c>
      <c r="AQ472" s="106">
        <f>IF(C472="","",IFERROR(1/(1/_xlfn.MAXIFS('Saisie'!$A$5:$A$2004,'Saisie'!$C$5:$C$2004,C472,'Saisie'!$E$5:$E$2004,"Proposition envoyée")),""))</f>
        <v/>
      </c>
      <c r="AR472" s="106">
        <f>IF(C472="","",IF(AQ472="","",AQ472+'Paramètres'!$B$26))</f>
        <v/>
      </c>
      <c r="AS472" s="62">
        <f>IF(OR(C472="",D472="Gagné",D472="Perdu"),0,N(AP472)*IFERROR(INDEX('Paramètres'!$G$6:$G$13,MATCH(D472,'Paramètres'!$F$6:$F$13,0)),0))</f>
        <v/>
      </c>
      <c r="AT472" s="106">
        <f>IF(C472="","",IFERROR(1/(1/_xlfn.MINIFS('Saisie'!$A$5:$A$2004,'Saisie'!$C$5:$C$2004,C472,'Saisie'!$E$5:$E$2004,"Signature")),""))</f>
        <v/>
      </c>
      <c r="AU472" s="60">
        <f>IF(C472="","",IF(OR(AT472="",B472=""),"",AT472-B472))</f>
        <v/>
      </c>
      <c r="AV472" s="60">
        <f>IF(C472="","",IFERROR(INDEX('Saisie'!$L$5:$L$2004,_xlfn.MAXIFS('Saisie'!$AS$5:$AS$2004,'Saisie'!$C$5:$C$2004,C472,'Saisie'!$L$5:$L$2004,"&lt;&gt;")-4),""))</f>
        <v/>
      </c>
      <c r="AW472" s="106">
        <f>IF(C472="","",IF(D472&lt;&gt;"Perdu","",IFERROR(1/(1/_xlfn.MAXIFS('Saisie'!$A$5:$A$2004,'Saisie'!$C$5:$C$2004,C472,'Saisie'!$E$5:$E$2004,"Perdu")),"")))</f>
        <v/>
      </c>
      <c r="AX472" s="106">
        <f>IF(C472="","",IF(AW472="","",AW472+'Paramètres'!$B$28))</f>
        <v/>
      </c>
      <c r="AY472" s="60">
        <f>IF(C472="","",SUMIFS('Saisie'!$H$5:$H$2004,'Saisie'!$C$5:$C$2004,C472))</f>
        <v/>
      </c>
      <c r="AZ472" s="60">
        <f>IF(C472="","",IFERROR(INDEX('Paramètres'!$W$6:$W$20,MATCH(S472,'Paramètres'!$V$6:$V$20,0))&amp;"",""))</f>
        <v/>
      </c>
      <c r="BA472" s="60">
        <f>IF(C472="","",MAX(1,_xlfn.MAXIFS('Saisie'!$AT$5:$AT$2004,'Saisie'!$C$5:$C$2004,C472)))</f>
        <v/>
      </c>
      <c r="BB472" s="60">
        <f>IF(C472="","",IFERROR(INDEX('Saisie'!$X$5:$X$2004,_xlfn.MAXIFS('Saisie'!$AS$5:$AS$2004,'Saisie'!$C$5:$C$2004,C472,'Saisie'!$X$5:$X$2004,"&lt;&gt;")-4),""))</f>
        <v/>
      </c>
      <c r="BC472" s="60">
        <f>IF(C472="","",IFERROR(INDEX('Saisie'!$Y$5:$Y$2004,_xlfn.MAXIFS('Saisie'!$AS$5:$AS$2004,'Saisie'!$C$5:$C$2004,C472,'Saisie'!$Y$5:$Y$2004,"&lt;&gt;")-4),""))</f>
        <v/>
      </c>
      <c r="BD472" s="106">
        <f>IF(C472="","",IFERROR(1/(1/_xlfn.MINIFS('Saisie'!$A$5:$A$2004,'Saisie'!$C$5:$C$2004,C472,'Saisie'!$AT$5:$AT$2004,"&gt;=2")),""))</f>
        <v/>
      </c>
      <c r="BE472" s="106">
        <f>IF(C472="","",IFERROR(1/(1/_xlfn.MINIFS('Saisie'!$A$5:$A$2004,'Saisie'!$C$5:$C$2004,C472,'Saisie'!$AT$5:$AT$2004,"&gt;=3")),""))</f>
        <v/>
      </c>
      <c r="BF472" s="106">
        <f>IF(C472="","",IFERROR(1/(1/_xlfn.MINIFS('Saisie'!$A$5:$A$2004,'Saisie'!$C$5:$C$2004,C472,'Saisie'!$AT$5:$AT$2004,"&gt;=4")),""))</f>
        <v/>
      </c>
      <c r="BG472" s="106">
        <f>IF(C472="","",IFERROR(1/(1/_xlfn.MINIFS('Saisie'!$A$5:$A$2004,'Saisie'!$C$5:$C$2004,C472,'Saisie'!$AT$5:$AT$2004,"&gt;=5")),""))</f>
        <v/>
      </c>
      <c r="BH472" s="106">
        <f>IF(C472="","",IFERROR(1/(1/_xlfn.MINIFS('Saisie'!$A$5:$A$2004,'Saisie'!$C$5:$C$2004,C472,'Saisie'!$AT$5:$AT$2004,"&gt;=6")),""))</f>
        <v/>
      </c>
      <c r="BI472" s="106">
        <f>IF(C472="","",IFERROR(1/(1/_xlfn.MINIFS('Saisie'!$A$5:$A$2004,'Saisie'!$C$5:$C$2004,C472,'Saisie'!$AT$5:$AT$2004,"&gt;=7")),""))</f>
        <v/>
      </c>
      <c r="BJ472" s="60">
        <f>IF(OR(BD472="",B472=""),"",BD472-B472)</f>
        <v/>
      </c>
      <c r="BK472" s="60">
        <f>IF(OR(BE472="",BD472=""),"",BE472-BD472)</f>
        <v/>
      </c>
      <c r="BL472" s="60">
        <f>IF(OR(BF472="",BE472=""),"",BF472-BE472)</f>
        <v/>
      </c>
      <c r="BM472" s="60">
        <f>IF(OR(BG472="",BF472=""),"",BG472-BF472)</f>
        <v/>
      </c>
      <c r="BN472" s="60">
        <f>IF(OR(BH472="",BG472=""),"",BH472-BG472)</f>
        <v/>
      </c>
      <c r="BO472" s="60">
        <f>IF(OR(BI472="",BH472=""),"",BI472-BH472)</f>
        <v/>
      </c>
      <c r="BP472" s="60">
        <f>IF(C472="","",_xlfn.MAXIFS('Saisie'!$AS$5:$AS$2004,'Saisie'!$C$5:$C$2004,C472,'Saisie'!$J$5:$J$2004,"&lt;&gt;"))</f>
        <v/>
      </c>
      <c r="BQ472" s="60">
        <f>IF(C472="","",_xlfn.MAXIFS('Saisie'!$AS$5:$AS$2004,'Saisie'!$C$5:$C$2004,C472))</f>
        <v/>
      </c>
      <c r="BR472" s="60">
        <f>IF(C472="","",_xlfn.MAXIFS('Saisie'!$AS$5:$AS$2004,'Saisie'!$C$5:$C$2004,C472,'Saisie'!$E$5:$E$2004,"Perdu"))</f>
        <v/>
      </c>
      <c r="BS472" s="60">
        <f>IF(C472="","",_xlfn.MAXIFS('Saisie'!$AS$5:$AS$2004,'Saisie'!$C$5:$C$2004,C472,'Saisie'!$AT$5:$AT$2004,"&gt;0"))</f>
        <v/>
      </c>
      <c r="BT472" s="109">
        <f>IF(AND(C472&lt;&gt;"",OR(D472="Nouveau",D472="Contacté",D472="Qualifié"),OR(G472="",N(G472)&lt;=TODAY()),NOT(AND(O472&gt;='Paramètres'!$B$21,P472=0))),E472+468/10000,"")</f>
        <v/>
      </c>
      <c r="BU472" s="60">
        <f>IF(AND(G472&lt;&gt;"",N(G472)&lt;=TODAY()),MAX($BU$4:BU471)+1,"")</f>
        <v/>
      </c>
      <c r="BV472" s="60">
        <f>IF(AND(F472&lt;&gt;"",F472&lt;&gt;"Relance en retard"),MAX($BV$4:BV471)+1,"")</f>
        <v/>
      </c>
      <c r="BW472" s="60">
        <f>IF(C472="","",IF(AND(B472&gt;='Tableau de bord'!$R$4,B472&lt;='Tableau de bord'!$S$4,OR('Tableau de bord'!$G$4="Tous",N472='Tableau de bord'!$G$4)),1,0))</f>
        <v/>
      </c>
      <c r="BX472" s="60">
        <f>IF(AND(C472&lt;&gt;"",N(BA472)=7),MAX($BX$4:BX471)+1,"")</f>
        <v/>
      </c>
    </row>
    <row r="473">
      <c r="A473" s="60">
        <f>IF(C473="","","P-"&amp;TEXT(469,"000"))</f>
        <v/>
      </c>
      <c r="B473" s="106">
        <f>IF(C473="","",IFERROR(1/(1/_xlfn.MINIFS('Saisie'!$A$5:$A$2004,'Saisie'!$C$5:$C$2004,C473)),""))</f>
        <v/>
      </c>
      <c r="C473" s="60">
        <f>IFERROR(INDEX('Saisie'!$C$5:$C$2004,MATCH(469,'Saisie'!$AX$5:$AX$2004,0)),"")</f>
        <v/>
      </c>
      <c r="D473" s="60">
        <f>IF(C473="","",IF(AND(BR473&gt;0,BR473&gt;BS473,BA473&lt;7),"Perdu",INDEX('Paramètres'!$F$6:$F$13,BA473)))</f>
        <v/>
      </c>
      <c r="E473" s="61">
        <f>IF(C473="","",MIN(100,(Z473="Oui")*'Paramètres'!$B$38+(AB473="Régulière")*'Paramètres'!$B$39+IF(AND(N(AA473)&gt;0,TODAY()-N(AA473)&lt;=30),'Paramètres'!$B$40,0)+(W473="")*'Paramètres'!$B$41+(AC473="Absente")*'Paramètres'!$B$42+(AC473="Faible")*'Paramètres'!$B$43+IF(AND(N(AD473)&gt;0,N(AD473)&lt;4),'Paramètres'!$B$44,0)+(AF473="Moyenne")*'Paramètres'!$B$45+(AF473="Grande")*'Paramètres'!$B$46+(Y473&lt;&gt;"")*'Paramètres'!$B$47))</f>
        <v/>
      </c>
      <c r="F473" s="60">
        <f>IF(C473="","",IF(D473="Gagné","",IF(D473="Perdu",IF(AND(AX473&lt;&gt;"",AX473&lt;=TODAY()),"À recontacter (perdu)",""),IF(AND(O473&gt;='Paramètres'!$B$21,P473=0),"Stop : "&amp;'Paramètres'!$B$21&amp;" tentatives sans réponse",IF(AND(D473="Proposition",AR473&lt;&gt;"",TODAY()&gt;N(AR473)),"Proposition expirée",IF(AND(D473="Proposition",N(R473)&gt;='Paramètres'!$B$25),"Proposition sans réponse",IF(AND(G473&lt;&gt;"",N(G473)&lt;TODAY()),"Relance en retard",IF(N(R473)&gt;='Paramètres'!$B$24,"Sans action depuis "&amp;R473&amp;" j",""))))))))</f>
        <v/>
      </c>
      <c r="G473" s="106">
        <f>IF(OR(C473="",D473="Gagné",D473="Perdu"),"",IF(AND(BP473&gt;0,BP473=BQ473),INDEX('Saisie'!$J$5:$J$2004,BP473-4),IF(OR(O473=0,AND(O473&gt;='Paramètres'!$B$21,P473=0)),"",Q473+IF(O473&lt;=1,'Paramètres'!$B$18,IF(O473=2,'Paramètres'!$B$19,'Paramètres'!$B$20)))))</f>
        <v/>
      </c>
      <c r="H473" s="107">
        <f>IF(OR(G473="",BP473&lt;&gt;BQ473),"",IF(INDEX('Saisie'!$K$5:$K$2004,BP473-4)="","",INDEX('Saisie'!$K$5:$K$2004,BP473-4)))</f>
        <v/>
      </c>
      <c r="I473" s="60">
        <f>IF(C473="","",IF(OR(D473="Gagné",D473="Perdu"),"",IFERROR(INDEX('Saisie'!$I$5:$I$2004,_xlfn.MAXIFS('Saisie'!$AS$5:$AS$2004,'Saisie'!$C$5:$C$2004,C473,'Saisie'!$I$5:$I$2004,"&lt;&gt;")-4),"")))</f>
        <v/>
      </c>
      <c r="J473" s="60">
        <f>IF(C473="","",IFERROR(INDEX('Saisie'!$U$5:$U$2004,_xlfn.MAXIFS('Saisie'!$AS$5:$AS$2004,'Saisie'!$C$5:$C$2004,C473,'Saisie'!$U$5:$U$2004,"&lt;&gt;")-4),""))</f>
        <v/>
      </c>
      <c r="K473" s="60">
        <f>IF(C473="","",IFERROR(INDEX('Saisie'!$W$5:$W$2004,_xlfn.MAXIFS('Saisie'!$AS$5:$AS$2004,'Saisie'!$C$5:$C$2004,C473,'Saisie'!$W$5:$W$2004,"&lt;&gt;")-4),""))</f>
        <v/>
      </c>
      <c r="L473" s="60">
        <f>IF(IF(BB473&lt;&gt;"",BB473,K473)="","",HYPERLINK("https://wa.me/"&amp;IF(LEFT(SUBSTITUTE(SUBSTITUTE(SUBSTITUTE(IF(BB473&lt;&gt;"",BB473,K473)," ",""),".",""),"+",""),1)="0",'Paramètres'!$B$35&amp;MID(SUBSTITUTE(SUBSTITUTE(SUBSTITUTE(IF(BB473&lt;&gt;"",BB473,K473)," ",""),".",""),"+",""),2,20),SUBSTITUTE(SUBSTITUTE(SUBSTITUTE(IF(BB473&lt;&gt;"",BB473,K473)," ",""),".",""),"+","")),"WhatsApp"))</f>
        <v/>
      </c>
      <c r="M473" s="60">
        <f>IF(BC473="","",HYPERLINK(IF(LEFT(BC473,4)="http",BC473,"https://www.instagram.com/"&amp;SUBSTITUTE(SUBSTITUTE(BC473,"@","")," ","")),BC473))</f>
        <v/>
      </c>
      <c r="N473" s="60">
        <f>IF(C473="","",IFERROR(INDEX('Saisie'!$D$5:$D$2004,_xlfn.MINIFS('Saisie'!$AS$5:$AS$2004,'Saisie'!$C$5:$C$2004,C473,'Saisie'!$AU$5:$AU$2004,1)-4),IFERROR(INDEX('Saisie'!$D$5:$D$2004,_xlfn.MINIFS('Saisie'!$AS$5:$AS$2004,'Saisie'!$C$5:$C$2004,C473,'Saisie'!$D$5:$D$2004,"&lt;&gt;")-4),"")))</f>
        <v/>
      </c>
      <c r="O473" s="60">
        <f>IF(C473="","",COUNTIFS('Saisie'!$C$5:$C$2004,C473,'Saisie'!$AU$5:$AU$2004,1))</f>
        <v/>
      </c>
      <c r="P473" s="60">
        <f>IF(C473="","",COUNTIFS('Saisie'!$C$5:$C$2004,C473,'Saisie'!$AV$5:$AV$2004,1))</f>
        <v/>
      </c>
      <c r="Q473" s="106">
        <f>IF(C473="","",IFERROR(1/(1/_xlfn.MAXIFS('Saisie'!$A$5:$A$2004,'Saisie'!$C$5:$C$2004,C473)),""))</f>
        <v/>
      </c>
      <c r="R473" s="61">
        <f>IF(C473="","",IF(Q473="","",TODAY()-Q473))</f>
        <v/>
      </c>
      <c r="S473" s="60">
        <f>IF(C473="","",IFERROR(INDEX('Saisie'!$R$5:$R$2004,_xlfn.MAXIFS('Saisie'!$AS$5:$AS$2004,'Saisie'!$C$5:$C$2004,C473,'Saisie'!$R$5:$R$2004,"&lt;&gt;")-4),""))</f>
        <v/>
      </c>
      <c r="T473" s="60">
        <f>IF(C473="","",IFERROR(INDEX('Saisie'!$S$5:$S$2004,_xlfn.MAXIFS('Saisie'!$AS$5:$AS$2004,'Saisie'!$C$5:$C$2004,C473,'Saisie'!$S$5:$S$2004,"&lt;&gt;")-4),""))</f>
        <v/>
      </c>
      <c r="U473" s="60">
        <f>IF(C473="","",IFERROR(INDEX('Saisie'!$T$5:$T$2004,_xlfn.MAXIFS('Saisie'!$AS$5:$AS$2004,'Saisie'!$C$5:$C$2004,C473,'Saisie'!$T$5:$T$2004,"&lt;&gt;")-4),""))</f>
        <v/>
      </c>
      <c r="V473" s="60">
        <f>IF(C473="","",IFERROR(INDEX('Saisie'!$V$5:$V$2004,_xlfn.MAXIFS('Saisie'!$AS$5:$AS$2004,'Saisie'!$C$5:$C$2004,C473,'Saisie'!$V$5:$V$2004,"&lt;&gt;")-4),""))</f>
        <v/>
      </c>
      <c r="W473" s="60">
        <f>IF(C473="","",IFERROR(INDEX('Saisie'!$Z$5:$Z$2004,_xlfn.MAXIFS('Saisie'!$AS$5:$AS$2004,'Saisie'!$C$5:$C$2004,C473,'Saisie'!$Z$5:$Z$2004,"&lt;&gt;")-4),""))</f>
        <v/>
      </c>
      <c r="X473" s="60">
        <f>IF(C473="","",IFERROR(INDEX('Saisie'!$AA$5:$AA$2004,_xlfn.MAXIFS('Saisie'!$AS$5:$AS$2004,'Saisie'!$C$5:$C$2004,C473,'Saisie'!$AA$5:$AA$2004,"&lt;&gt;")-4),""))</f>
        <v/>
      </c>
      <c r="Y473" s="60">
        <f>IF(C473="","",IFERROR(INDEX('Saisie'!$AB$5:$AB$2004,_xlfn.MAXIFS('Saisie'!$AS$5:$AS$2004,'Saisie'!$C$5:$C$2004,C473,'Saisie'!$AB$5:$AB$2004,"&lt;&gt;")-4),""))</f>
        <v/>
      </c>
      <c r="Z473" s="60">
        <f>IF(C473="","",IFERROR(INDEX('Saisie'!$AC$5:$AC$2004,_xlfn.MAXIFS('Saisie'!$AS$5:$AS$2004,'Saisie'!$C$5:$C$2004,C473,'Saisie'!$AC$5:$AC$2004,"&lt;&gt;")-4),""))</f>
        <v/>
      </c>
      <c r="AA473" s="106">
        <f>IF(C473="","",IFERROR(INDEX('Saisie'!$AD$5:$AD$2004,_xlfn.MAXIFS('Saisie'!$AS$5:$AS$2004,'Saisie'!$C$5:$C$2004,C473,'Saisie'!$AD$5:$AD$2004,"&lt;&gt;")-4),""))</f>
        <v/>
      </c>
      <c r="AB473" s="60">
        <f>IF(C473="","",IFERROR(INDEX('Saisie'!$AE$5:$AE$2004,_xlfn.MAXIFS('Saisie'!$AS$5:$AS$2004,'Saisie'!$C$5:$C$2004,C473,'Saisie'!$AE$5:$AE$2004,"&lt;&gt;")-4),""))</f>
        <v/>
      </c>
      <c r="AC473" s="60">
        <f>IF(C473="","",IFERROR(INDEX('Saisie'!$AF$5:$AF$2004,_xlfn.MAXIFS('Saisie'!$AS$5:$AS$2004,'Saisie'!$C$5:$C$2004,C473,'Saisie'!$AF$5:$AF$2004,"&lt;&gt;")-4),""))</f>
        <v/>
      </c>
      <c r="AD473" s="108">
        <f>IF(C473="","",IFERROR(INDEX('Saisie'!$AG$5:$AG$2004,_xlfn.MAXIFS('Saisie'!$AS$5:$AS$2004,'Saisie'!$C$5:$C$2004,C473,'Saisie'!$AG$5:$AG$2004,"&lt;&gt;")-4),""))</f>
        <v/>
      </c>
      <c r="AE473" s="60">
        <f>IF(C473="","",IFERROR(INDEX('Saisie'!$AH$5:$AH$2004,_xlfn.MAXIFS('Saisie'!$AS$5:$AS$2004,'Saisie'!$C$5:$C$2004,C473,'Saisie'!$AH$5:$AH$2004,"&lt;&gt;")-4),""))</f>
        <v/>
      </c>
      <c r="AF473" s="60">
        <f>IF(C473="","",IFERROR(INDEX('Saisie'!$AI$5:$AI$2004,_xlfn.MAXIFS('Saisie'!$AS$5:$AS$2004,'Saisie'!$C$5:$C$2004,C473,'Saisie'!$AI$5:$AI$2004,"&lt;&gt;")-4),""))</f>
        <v/>
      </c>
      <c r="AG473" s="60">
        <f>IF(C473="","",IFERROR(INDEX('Saisie'!$AJ$5:$AJ$2004,_xlfn.MAXIFS('Saisie'!$AS$5:$AS$2004,'Saisie'!$C$5:$C$2004,C473,'Saisie'!$AJ$5:$AJ$2004,"&lt;&gt;")-4),""))</f>
        <v/>
      </c>
      <c r="AH473" s="60">
        <f>IF(C473="","",IFERROR(INDEX('Saisie'!$AK$5:$AK$2004,_xlfn.MAXIFS('Saisie'!$AS$5:$AS$2004,'Saisie'!$C$5:$C$2004,C473,'Saisie'!$AK$5:$AK$2004,"&lt;&gt;")-4),""))</f>
        <v/>
      </c>
      <c r="AI473" s="60">
        <f>IF(C473="","",IFERROR(INDEX('Saisie'!$AN$5:$AN$2004,_xlfn.MAXIFS('Saisie'!$AS$5:$AS$2004,'Saisie'!$C$5:$C$2004,C473,'Saisie'!$AN$5:$AN$2004,"&lt;&gt;")-4),""))</f>
        <v/>
      </c>
      <c r="AJ473" s="60">
        <f>IF(C473="","",IFERROR(INDEX('Saisie'!$AO$5:$AO$2004,_xlfn.MAXIFS('Saisie'!$AS$5:$AS$2004,'Saisie'!$C$5:$C$2004,C473,'Saisie'!$AO$5:$AO$2004,"&lt;&gt;")-4),""))</f>
        <v/>
      </c>
      <c r="AK473" s="60">
        <f>IF(C473="","",IFERROR(INDEX('Saisie'!$AP$5:$AP$2004,_xlfn.MAXIFS('Saisie'!$AS$5:$AS$2004,'Saisie'!$C$5:$C$2004,C473,'Saisie'!$AP$5:$AP$2004,"&lt;&gt;")-4),""))</f>
        <v/>
      </c>
      <c r="AL473" s="60">
        <f>IF(C473="","",IFERROR(INDEX('Saisie'!$AQ$5:$AQ$2004,_xlfn.MAXIFS('Saisie'!$AS$5:$AS$2004,'Saisie'!$C$5:$C$2004,C473,'Saisie'!$AQ$5:$AQ$2004,"&lt;&gt;")-4),""))</f>
        <v/>
      </c>
      <c r="AM473" s="60">
        <f>IF(C473="","",((AI473="Oui")+(AJ473="Oui")+(AK473="Oui")+OR(AL473="Immédiat",AL473="&lt; 1 mois"))&amp;"/4")</f>
        <v/>
      </c>
      <c r="AN473" s="60">
        <f>IF(C473="","",IFERROR(INDEX('Saisie'!$AL$5:$AL$2004,_xlfn.MAXIFS('Saisie'!$AS$5:$AS$2004,'Saisie'!$C$5:$C$2004,C473,'Saisie'!$AL$5:$AL$2004,"&lt;&gt;")-4),""))</f>
        <v/>
      </c>
      <c r="AO473" s="62">
        <f>IF(C473="","",IF(IFERROR(INDEX('Saisie'!$AM$5:$AM$2004,_xlfn.MAXIFS('Saisie'!$AS$5:$AS$2004,'Saisie'!$C$5:$C$2004,C473,'Saisie'!$AM$5:$AM$2004,"&lt;&gt;")-4),"")&lt;&gt;"",IFERROR(INDEX('Saisie'!$AM$5:$AM$2004,_xlfn.MAXIFS('Saisie'!$AS$5:$AS$2004,'Saisie'!$C$5:$C$2004,C473,'Saisie'!$AM$5:$AM$2004,"&lt;&gt;")-4),""),IFERROR(INDEX('Paramètres'!$S$6:$S$15,MATCH(AN473,'Paramètres'!$Q$6:$Q$15,0)),"")))</f>
        <v/>
      </c>
      <c r="AP473" s="62">
        <f>IF(C473="","",IFERROR(INDEX('Saisie'!$AW$5:$AW$2004,_xlfn.MAXIFS('Saisie'!$AS$5:$AS$2004,'Saisie'!$C$5:$C$2004,C473,'Saisie'!$E$5:$E$2004,"Proposition envoyée")-4),""))</f>
        <v/>
      </c>
      <c r="AQ473" s="106">
        <f>IF(C473="","",IFERROR(1/(1/_xlfn.MAXIFS('Saisie'!$A$5:$A$2004,'Saisie'!$C$5:$C$2004,C473,'Saisie'!$E$5:$E$2004,"Proposition envoyée")),""))</f>
        <v/>
      </c>
      <c r="AR473" s="106">
        <f>IF(C473="","",IF(AQ473="","",AQ473+'Paramètres'!$B$26))</f>
        <v/>
      </c>
      <c r="AS473" s="62">
        <f>IF(OR(C473="",D473="Gagné",D473="Perdu"),0,N(AP473)*IFERROR(INDEX('Paramètres'!$G$6:$G$13,MATCH(D473,'Paramètres'!$F$6:$F$13,0)),0))</f>
        <v/>
      </c>
      <c r="AT473" s="106">
        <f>IF(C473="","",IFERROR(1/(1/_xlfn.MINIFS('Saisie'!$A$5:$A$2004,'Saisie'!$C$5:$C$2004,C473,'Saisie'!$E$5:$E$2004,"Signature")),""))</f>
        <v/>
      </c>
      <c r="AU473" s="60">
        <f>IF(C473="","",IF(OR(AT473="",B473=""),"",AT473-B473))</f>
        <v/>
      </c>
      <c r="AV473" s="60">
        <f>IF(C473="","",IFERROR(INDEX('Saisie'!$L$5:$L$2004,_xlfn.MAXIFS('Saisie'!$AS$5:$AS$2004,'Saisie'!$C$5:$C$2004,C473,'Saisie'!$L$5:$L$2004,"&lt;&gt;")-4),""))</f>
        <v/>
      </c>
      <c r="AW473" s="106">
        <f>IF(C473="","",IF(D473&lt;&gt;"Perdu","",IFERROR(1/(1/_xlfn.MAXIFS('Saisie'!$A$5:$A$2004,'Saisie'!$C$5:$C$2004,C473,'Saisie'!$E$5:$E$2004,"Perdu")),"")))</f>
        <v/>
      </c>
      <c r="AX473" s="106">
        <f>IF(C473="","",IF(AW473="","",AW473+'Paramètres'!$B$28))</f>
        <v/>
      </c>
      <c r="AY473" s="60">
        <f>IF(C473="","",SUMIFS('Saisie'!$H$5:$H$2004,'Saisie'!$C$5:$C$2004,C473))</f>
        <v/>
      </c>
      <c r="AZ473" s="60">
        <f>IF(C473="","",IFERROR(INDEX('Paramètres'!$W$6:$W$20,MATCH(S473,'Paramètres'!$V$6:$V$20,0))&amp;"",""))</f>
        <v/>
      </c>
      <c r="BA473" s="60">
        <f>IF(C473="","",MAX(1,_xlfn.MAXIFS('Saisie'!$AT$5:$AT$2004,'Saisie'!$C$5:$C$2004,C473)))</f>
        <v/>
      </c>
      <c r="BB473" s="60">
        <f>IF(C473="","",IFERROR(INDEX('Saisie'!$X$5:$X$2004,_xlfn.MAXIFS('Saisie'!$AS$5:$AS$2004,'Saisie'!$C$5:$C$2004,C473,'Saisie'!$X$5:$X$2004,"&lt;&gt;")-4),""))</f>
        <v/>
      </c>
      <c r="BC473" s="60">
        <f>IF(C473="","",IFERROR(INDEX('Saisie'!$Y$5:$Y$2004,_xlfn.MAXIFS('Saisie'!$AS$5:$AS$2004,'Saisie'!$C$5:$C$2004,C473,'Saisie'!$Y$5:$Y$2004,"&lt;&gt;")-4),""))</f>
        <v/>
      </c>
      <c r="BD473" s="106">
        <f>IF(C473="","",IFERROR(1/(1/_xlfn.MINIFS('Saisie'!$A$5:$A$2004,'Saisie'!$C$5:$C$2004,C473,'Saisie'!$AT$5:$AT$2004,"&gt;=2")),""))</f>
        <v/>
      </c>
      <c r="BE473" s="106">
        <f>IF(C473="","",IFERROR(1/(1/_xlfn.MINIFS('Saisie'!$A$5:$A$2004,'Saisie'!$C$5:$C$2004,C473,'Saisie'!$AT$5:$AT$2004,"&gt;=3")),""))</f>
        <v/>
      </c>
      <c r="BF473" s="106">
        <f>IF(C473="","",IFERROR(1/(1/_xlfn.MINIFS('Saisie'!$A$5:$A$2004,'Saisie'!$C$5:$C$2004,C473,'Saisie'!$AT$5:$AT$2004,"&gt;=4")),""))</f>
        <v/>
      </c>
      <c r="BG473" s="106">
        <f>IF(C473="","",IFERROR(1/(1/_xlfn.MINIFS('Saisie'!$A$5:$A$2004,'Saisie'!$C$5:$C$2004,C473,'Saisie'!$AT$5:$AT$2004,"&gt;=5")),""))</f>
        <v/>
      </c>
      <c r="BH473" s="106">
        <f>IF(C473="","",IFERROR(1/(1/_xlfn.MINIFS('Saisie'!$A$5:$A$2004,'Saisie'!$C$5:$C$2004,C473,'Saisie'!$AT$5:$AT$2004,"&gt;=6")),""))</f>
        <v/>
      </c>
      <c r="BI473" s="106">
        <f>IF(C473="","",IFERROR(1/(1/_xlfn.MINIFS('Saisie'!$A$5:$A$2004,'Saisie'!$C$5:$C$2004,C473,'Saisie'!$AT$5:$AT$2004,"&gt;=7")),""))</f>
        <v/>
      </c>
      <c r="BJ473" s="60">
        <f>IF(OR(BD473="",B473=""),"",BD473-B473)</f>
        <v/>
      </c>
      <c r="BK473" s="60">
        <f>IF(OR(BE473="",BD473=""),"",BE473-BD473)</f>
        <v/>
      </c>
      <c r="BL473" s="60">
        <f>IF(OR(BF473="",BE473=""),"",BF473-BE473)</f>
        <v/>
      </c>
      <c r="BM473" s="60">
        <f>IF(OR(BG473="",BF473=""),"",BG473-BF473)</f>
        <v/>
      </c>
      <c r="BN473" s="60">
        <f>IF(OR(BH473="",BG473=""),"",BH473-BG473)</f>
        <v/>
      </c>
      <c r="BO473" s="60">
        <f>IF(OR(BI473="",BH473=""),"",BI473-BH473)</f>
        <v/>
      </c>
      <c r="BP473" s="60">
        <f>IF(C473="","",_xlfn.MAXIFS('Saisie'!$AS$5:$AS$2004,'Saisie'!$C$5:$C$2004,C473,'Saisie'!$J$5:$J$2004,"&lt;&gt;"))</f>
        <v/>
      </c>
      <c r="BQ473" s="60">
        <f>IF(C473="","",_xlfn.MAXIFS('Saisie'!$AS$5:$AS$2004,'Saisie'!$C$5:$C$2004,C473))</f>
        <v/>
      </c>
      <c r="BR473" s="60">
        <f>IF(C473="","",_xlfn.MAXIFS('Saisie'!$AS$5:$AS$2004,'Saisie'!$C$5:$C$2004,C473,'Saisie'!$E$5:$E$2004,"Perdu"))</f>
        <v/>
      </c>
      <c r="BS473" s="60">
        <f>IF(C473="","",_xlfn.MAXIFS('Saisie'!$AS$5:$AS$2004,'Saisie'!$C$5:$C$2004,C473,'Saisie'!$AT$5:$AT$2004,"&gt;0"))</f>
        <v/>
      </c>
      <c r="BT473" s="109">
        <f>IF(AND(C473&lt;&gt;"",OR(D473="Nouveau",D473="Contacté",D473="Qualifié"),OR(G473="",N(G473)&lt;=TODAY()),NOT(AND(O473&gt;='Paramètres'!$B$21,P473=0))),E473+469/10000,"")</f>
        <v/>
      </c>
      <c r="BU473" s="60">
        <f>IF(AND(G473&lt;&gt;"",N(G473)&lt;=TODAY()),MAX($BU$4:BU472)+1,"")</f>
        <v/>
      </c>
      <c r="BV473" s="60">
        <f>IF(AND(F473&lt;&gt;"",F473&lt;&gt;"Relance en retard"),MAX($BV$4:BV472)+1,"")</f>
        <v/>
      </c>
      <c r="BW473" s="60">
        <f>IF(C473="","",IF(AND(B473&gt;='Tableau de bord'!$R$4,B473&lt;='Tableau de bord'!$S$4,OR('Tableau de bord'!$G$4="Tous",N473='Tableau de bord'!$G$4)),1,0))</f>
        <v/>
      </c>
      <c r="BX473" s="60">
        <f>IF(AND(C473&lt;&gt;"",N(BA473)=7),MAX($BX$4:BX472)+1,"")</f>
        <v/>
      </c>
    </row>
    <row r="474">
      <c r="A474" s="60">
        <f>IF(C474="","","P-"&amp;TEXT(470,"000"))</f>
        <v/>
      </c>
      <c r="B474" s="106">
        <f>IF(C474="","",IFERROR(1/(1/_xlfn.MINIFS('Saisie'!$A$5:$A$2004,'Saisie'!$C$5:$C$2004,C474)),""))</f>
        <v/>
      </c>
      <c r="C474" s="60">
        <f>IFERROR(INDEX('Saisie'!$C$5:$C$2004,MATCH(470,'Saisie'!$AX$5:$AX$2004,0)),"")</f>
        <v/>
      </c>
      <c r="D474" s="60">
        <f>IF(C474="","",IF(AND(BR474&gt;0,BR474&gt;BS474,BA474&lt;7),"Perdu",INDEX('Paramètres'!$F$6:$F$13,BA474)))</f>
        <v/>
      </c>
      <c r="E474" s="61">
        <f>IF(C474="","",MIN(100,(Z474="Oui")*'Paramètres'!$B$38+(AB474="Régulière")*'Paramètres'!$B$39+IF(AND(N(AA474)&gt;0,TODAY()-N(AA474)&lt;=30),'Paramètres'!$B$40,0)+(W474="")*'Paramètres'!$B$41+(AC474="Absente")*'Paramètres'!$B$42+(AC474="Faible")*'Paramètres'!$B$43+IF(AND(N(AD474)&gt;0,N(AD474)&lt;4),'Paramètres'!$B$44,0)+(AF474="Moyenne")*'Paramètres'!$B$45+(AF474="Grande")*'Paramètres'!$B$46+(Y474&lt;&gt;"")*'Paramètres'!$B$47))</f>
        <v/>
      </c>
      <c r="F474" s="60">
        <f>IF(C474="","",IF(D474="Gagné","",IF(D474="Perdu",IF(AND(AX474&lt;&gt;"",AX474&lt;=TODAY()),"À recontacter (perdu)",""),IF(AND(O474&gt;='Paramètres'!$B$21,P474=0),"Stop : "&amp;'Paramètres'!$B$21&amp;" tentatives sans réponse",IF(AND(D474="Proposition",AR474&lt;&gt;"",TODAY()&gt;N(AR474)),"Proposition expirée",IF(AND(D474="Proposition",N(R474)&gt;='Paramètres'!$B$25),"Proposition sans réponse",IF(AND(G474&lt;&gt;"",N(G474)&lt;TODAY()),"Relance en retard",IF(N(R474)&gt;='Paramètres'!$B$24,"Sans action depuis "&amp;R474&amp;" j",""))))))))</f>
        <v/>
      </c>
      <c r="G474" s="106">
        <f>IF(OR(C474="",D474="Gagné",D474="Perdu"),"",IF(AND(BP474&gt;0,BP474=BQ474),INDEX('Saisie'!$J$5:$J$2004,BP474-4),IF(OR(O474=0,AND(O474&gt;='Paramètres'!$B$21,P474=0)),"",Q474+IF(O474&lt;=1,'Paramètres'!$B$18,IF(O474=2,'Paramètres'!$B$19,'Paramètres'!$B$20)))))</f>
        <v/>
      </c>
      <c r="H474" s="107">
        <f>IF(OR(G474="",BP474&lt;&gt;BQ474),"",IF(INDEX('Saisie'!$K$5:$K$2004,BP474-4)="","",INDEX('Saisie'!$K$5:$K$2004,BP474-4)))</f>
        <v/>
      </c>
      <c r="I474" s="60">
        <f>IF(C474="","",IF(OR(D474="Gagné",D474="Perdu"),"",IFERROR(INDEX('Saisie'!$I$5:$I$2004,_xlfn.MAXIFS('Saisie'!$AS$5:$AS$2004,'Saisie'!$C$5:$C$2004,C474,'Saisie'!$I$5:$I$2004,"&lt;&gt;")-4),"")))</f>
        <v/>
      </c>
      <c r="J474" s="60">
        <f>IF(C474="","",IFERROR(INDEX('Saisie'!$U$5:$U$2004,_xlfn.MAXIFS('Saisie'!$AS$5:$AS$2004,'Saisie'!$C$5:$C$2004,C474,'Saisie'!$U$5:$U$2004,"&lt;&gt;")-4),""))</f>
        <v/>
      </c>
      <c r="K474" s="60">
        <f>IF(C474="","",IFERROR(INDEX('Saisie'!$W$5:$W$2004,_xlfn.MAXIFS('Saisie'!$AS$5:$AS$2004,'Saisie'!$C$5:$C$2004,C474,'Saisie'!$W$5:$W$2004,"&lt;&gt;")-4),""))</f>
        <v/>
      </c>
      <c r="L474" s="60">
        <f>IF(IF(BB474&lt;&gt;"",BB474,K474)="","",HYPERLINK("https://wa.me/"&amp;IF(LEFT(SUBSTITUTE(SUBSTITUTE(SUBSTITUTE(IF(BB474&lt;&gt;"",BB474,K474)," ",""),".",""),"+",""),1)="0",'Paramètres'!$B$35&amp;MID(SUBSTITUTE(SUBSTITUTE(SUBSTITUTE(IF(BB474&lt;&gt;"",BB474,K474)," ",""),".",""),"+",""),2,20),SUBSTITUTE(SUBSTITUTE(SUBSTITUTE(IF(BB474&lt;&gt;"",BB474,K474)," ",""),".",""),"+","")),"WhatsApp"))</f>
        <v/>
      </c>
      <c r="M474" s="60">
        <f>IF(BC474="","",HYPERLINK(IF(LEFT(BC474,4)="http",BC474,"https://www.instagram.com/"&amp;SUBSTITUTE(SUBSTITUTE(BC474,"@","")," ","")),BC474))</f>
        <v/>
      </c>
      <c r="N474" s="60">
        <f>IF(C474="","",IFERROR(INDEX('Saisie'!$D$5:$D$2004,_xlfn.MINIFS('Saisie'!$AS$5:$AS$2004,'Saisie'!$C$5:$C$2004,C474,'Saisie'!$AU$5:$AU$2004,1)-4),IFERROR(INDEX('Saisie'!$D$5:$D$2004,_xlfn.MINIFS('Saisie'!$AS$5:$AS$2004,'Saisie'!$C$5:$C$2004,C474,'Saisie'!$D$5:$D$2004,"&lt;&gt;")-4),"")))</f>
        <v/>
      </c>
      <c r="O474" s="60">
        <f>IF(C474="","",COUNTIFS('Saisie'!$C$5:$C$2004,C474,'Saisie'!$AU$5:$AU$2004,1))</f>
        <v/>
      </c>
      <c r="P474" s="60">
        <f>IF(C474="","",COUNTIFS('Saisie'!$C$5:$C$2004,C474,'Saisie'!$AV$5:$AV$2004,1))</f>
        <v/>
      </c>
      <c r="Q474" s="106">
        <f>IF(C474="","",IFERROR(1/(1/_xlfn.MAXIFS('Saisie'!$A$5:$A$2004,'Saisie'!$C$5:$C$2004,C474)),""))</f>
        <v/>
      </c>
      <c r="R474" s="61">
        <f>IF(C474="","",IF(Q474="","",TODAY()-Q474))</f>
        <v/>
      </c>
      <c r="S474" s="60">
        <f>IF(C474="","",IFERROR(INDEX('Saisie'!$R$5:$R$2004,_xlfn.MAXIFS('Saisie'!$AS$5:$AS$2004,'Saisie'!$C$5:$C$2004,C474,'Saisie'!$R$5:$R$2004,"&lt;&gt;")-4),""))</f>
        <v/>
      </c>
      <c r="T474" s="60">
        <f>IF(C474="","",IFERROR(INDEX('Saisie'!$S$5:$S$2004,_xlfn.MAXIFS('Saisie'!$AS$5:$AS$2004,'Saisie'!$C$5:$C$2004,C474,'Saisie'!$S$5:$S$2004,"&lt;&gt;")-4),""))</f>
        <v/>
      </c>
      <c r="U474" s="60">
        <f>IF(C474="","",IFERROR(INDEX('Saisie'!$T$5:$T$2004,_xlfn.MAXIFS('Saisie'!$AS$5:$AS$2004,'Saisie'!$C$5:$C$2004,C474,'Saisie'!$T$5:$T$2004,"&lt;&gt;")-4),""))</f>
        <v/>
      </c>
      <c r="V474" s="60">
        <f>IF(C474="","",IFERROR(INDEX('Saisie'!$V$5:$V$2004,_xlfn.MAXIFS('Saisie'!$AS$5:$AS$2004,'Saisie'!$C$5:$C$2004,C474,'Saisie'!$V$5:$V$2004,"&lt;&gt;")-4),""))</f>
        <v/>
      </c>
      <c r="W474" s="60">
        <f>IF(C474="","",IFERROR(INDEX('Saisie'!$Z$5:$Z$2004,_xlfn.MAXIFS('Saisie'!$AS$5:$AS$2004,'Saisie'!$C$5:$C$2004,C474,'Saisie'!$Z$5:$Z$2004,"&lt;&gt;")-4),""))</f>
        <v/>
      </c>
      <c r="X474" s="60">
        <f>IF(C474="","",IFERROR(INDEX('Saisie'!$AA$5:$AA$2004,_xlfn.MAXIFS('Saisie'!$AS$5:$AS$2004,'Saisie'!$C$5:$C$2004,C474,'Saisie'!$AA$5:$AA$2004,"&lt;&gt;")-4),""))</f>
        <v/>
      </c>
      <c r="Y474" s="60">
        <f>IF(C474="","",IFERROR(INDEX('Saisie'!$AB$5:$AB$2004,_xlfn.MAXIFS('Saisie'!$AS$5:$AS$2004,'Saisie'!$C$5:$C$2004,C474,'Saisie'!$AB$5:$AB$2004,"&lt;&gt;")-4),""))</f>
        <v/>
      </c>
      <c r="Z474" s="60">
        <f>IF(C474="","",IFERROR(INDEX('Saisie'!$AC$5:$AC$2004,_xlfn.MAXIFS('Saisie'!$AS$5:$AS$2004,'Saisie'!$C$5:$C$2004,C474,'Saisie'!$AC$5:$AC$2004,"&lt;&gt;")-4),""))</f>
        <v/>
      </c>
      <c r="AA474" s="106">
        <f>IF(C474="","",IFERROR(INDEX('Saisie'!$AD$5:$AD$2004,_xlfn.MAXIFS('Saisie'!$AS$5:$AS$2004,'Saisie'!$C$5:$C$2004,C474,'Saisie'!$AD$5:$AD$2004,"&lt;&gt;")-4),""))</f>
        <v/>
      </c>
      <c r="AB474" s="60">
        <f>IF(C474="","",IFERROR(INDEX('Saisie'!$AE$5:$AE$2004,_xlfn.MAXIFS('Saisie'!$AS$5:$AS$2004,'Saisie'!$C$5:$C$2004,C474,'Saisie'!$AE$5:$AE$2004,"&lt;&gt;")-4),""))</f>
        <v/>
      </c>
      <c r="AC474" s="60">
        <f>IF(C474="","",IFERROR(INDEX('Saisie'!$AF$5:$AF$2004,_xlfn.MAXIFS('Saisie'!$AS$5:$AS$2004,'Saisie'!$C$5:$C$2004,C474,'Saisie'!$AF$5:$AF$2004,"&lt;&gt;")-4),""))</f>
        <v/>
      </c>
      <c r="AD474" s="108">
        <f>IF(C474="","",IFERROR(INDEX('Saisie'!$AG$5:$AG$2004,_xlfn.MAXIFS('Saisie'!$AS$5:$AS$2004,'Saisie'!$C$5:$C$2004,C474,'Saisie'!$AG$5:$AG$2004,"&lt;&gt;")-4),""))</f>
        <v/>
      </c>
      <c r="AE474" s="60">
        <f>IF(C474="","",IFERROR(INDEX('Saisie'!$AH$5:$AH$2004,_xlfn.MAXIFS('Saisie'!$AS$5:$AS$2004,'Saisie'!$C$5:$C$2004,C474,'Saisie'!$AH$5:$AH$2004,"&lt;&gt;")-4),""))</f>
        <v/>
      </c>
      <c r="AF474" s="60">
        <f>IF(C474="","",IFERROR(INDEX('Saisie'!$AI$5:$AI$2004,_xlfn.MAXIFS('Saisie'!$AS$5:$AS$2004,'Saisie'!$C$5:$C$2004,C474,'Saisie'!$AI$5:$AI$2004,"&lt;&gt;")-4),""))</f>
        <v/>
      </c>
      <c r="AG474" s="60">
        <f>IF(C474="","",IFERROR(INDEX('Saisie'!$AJ$5:$AJ$2004,_xlfn.MAXIFS('Saisie'!$AS$5:$AS$2004,'Saisie'!$C$5:$C$2004,C474,'Saisie'!$AJ$5:$AJ$2004,"&lt;&gt;")-4),""))</f>
        <v/>
      </c>
      <c r="AH474" s="60">
        <f>IF(C474="","",IFERROR(INDEX('Saisie'!$AK$5:$AK$2004,_xlfn.MAXIFS('Saisie'!$AS$5:$AS$2004,'Saisie'!$C$5:$C$2004,C474,'Saisie'!$AK$5:$AK$2004,"&lt;&gt;")-4),""))</f>
        <v/>
      </c>
      <c r="AI474" s="60">
        <f>IF(C474="","",IFERROR(INDEX('Saisie'!$AN$5:$AN$2004,_xlfn.MAXIFS('Saisie'!$AS$5:$AS$2004,'Saisie'!$C$5:$C$2004,C474,'Saisie'!$AN$5:$AN$2004,"&lt;&gt;")-4),""))</f>
        <v/>
      </c>
      <c r="AJ474" s="60">
        <f>IF(C474="","",IFERROR(INDEX('Saisie'!$AO$5:$AO$2004,_xlfn.MAXIFS('Saisie'!$AS$5:$AS$2004,'Saisie'!$C$5:$C$2004,C474,'Saisie'!$AO$5:$AO$2004,"&lt;&gt;")-4),""))</f>
        <v/>
      </c>
      <c r="AK474" s="60">
        <f>IF(C474="","",IFERROR(INDEX('Saisie'!$AP$5:$AP$2004,_xlfn.MAXIFS('Saisie'!$AS$5:$AS$2004,'Saisie'!$C$5:$C$2004,C474,'Saisie'!$AP$5:$AP$2004,"&lt;&gt;")-4),""))</f>
        <v/>
      </c>
      <c r="AL474" s="60">
        <f>IF(C474="","",IFERROR(INDEX('Saisie'!$AQ$5:$AQ$2004,_xlfn.MAXIFS('Saisie'!$AS$5:$AS$2004,'Saisie'!$C$5:$C$2004,C474,'Saisie'!$AQ$5:$AQ$2004,"&lt;&gt;")-4),""))</f>
        <v/>
      </c>
      <c r="AM474" s="60">
        <f>IF(C474="","",((AI474="Oui")+(AJ474="Oui")+(AK474="Oui")+OR(AL474="Immédiat",AL474="&lt; 1 mois"))&amp;"/4")</f>
        <v/>
      </c>
      <c r="AN474" s="60">
        <f>IF(C474="","",IFERROR(INDEX('Saisie'!$AL$5:$AL$2004,_xlfn.MAXIFS('Saisie'!$AS$5:$AS$2004,'Saisie'!$C$5:$C$2004,C474,'Saisie'!$AL$5:$AL$2004,"&lt;&gt;")-4),""))</f>
        <v/>
      </c>
      <c r="AO474" s="62">
        <f>IF(C474="","",IF(IFERROR(INDEX('Saisie'!$AM$5:$AM$2004,_xlfn.MAXIFS('Saisie'!$AS$5:$AS$2004,'Saisie'!$C$5:$C$2004,C474,'Saisie'!$AM$5:$AM$2004,"&lt;&gt;")-4),"")&lt;&gt;"",IFERROR(INDEX('Saisie'!$AM$5:$AM$2004,_xlfn.MAXIFS('Saisie'!$AS$5:$AS$2004,'Saisie'!$C$5:$C$2004,C474,'Saisie'!$AM$5:$AM$2004,"&lt;&gt;")-4),""),IFERROR(INDEX('Paramètres'!$S$6:$S$15,MATCH(AN474,'Paramètres'!$Q$6:$Q$15,0)),"")))</f>
        <v/>
      </c>
      <c r="AP474" s="62">
        <f>IF(C474="","",IFERROR(INDEX('Saisie'!$AW$5:$AW$2004,_xlfn.MAXIFS('Saisie'!$AS$5:$AS$2004,'Saisie'!$C$5:$C$2004,C474,'Saisie'!$E$5:$E$2004,"Proposition envoyée")-4),""))</f>
        <v/>
      </c>
      <c r="AQ474" s="106">
        <f>IF(C474="","",IFERROR(1/(1/_xlfn.MAXIFS('Saisie'!$A$5:$A$2004,'Saisie'!$C$5:$C$2004,C474,'Saisie'!$E$5:$E$2004,"Proposition envoyée")),""))</f>
        <v/>
      </c>
      <c r="AR474" s="106">
        <f>IF(C474="","",IF(AQ474="","",AQ474+'Paramètres'!$B$26))</f>
        <v/>
      </c>
      <c r="AS474" s="62">
        <f>IF(OR(C474="",D474="Gagné",D474="Perdu"),0,N(AP474)*IFERROR(INDEX('Paramètres'!$G$6:$G$13,MATCH(D474,'Paramètres'!$F$6:$F$13,0)),0))</f>
        <v/>
      </c>
      <c r="AT474" s="106">
        <f>IF(C474="","",IFERROR(1/(1/_xlfn.MINIFS('Saisie'!$A$5:$A$2004,'Saisie'!$C$5:$C$2004,C474,'Saisie'!$E$5:$E$2004,"Signature")),""))</f>
        <v/>
      </c>
      <c r="AU474" s="60">
        <f>IF(C474="","",IF(OR(AT474="",B474=""),"",AT474-B474))</f>
        <v/>
      </c>
      <c r="AV474" s="60">
        <f>IF(C474="","",IFERROR(INDEX('Saisie'!$L$5:$L$2004,_xlfn.MAXIFS('Saisie'!$AS$5:$AS$2004,'Saisie'!$C$5:$C$2004,C474,'Saisie'!$L$5:$L$2004,"&lt;&gt;")-4),""))</f>
        <v/>
      </c>
      <c r="AW474" s="106">
        <f>IF(C474="","",IF(D474&lt;&gt;"Perdu","",IFERROR(1/(1/_xlfn.MAXIFS('Saisie'!$A$5:$A$2004,'Saisie'!$C$5:$C$2004,C474,'Saisie'!$E$5:$E$2004,"Perdu")),"")))</f>
        <v/>
      </c>
      <c r="AX474" s="106">
        <f>IF(C474="","",IF(AW474="","",AW474+'Paramètres'!$B$28))</f>
        <v/>
      </c>
      <c r="AY474" s="60">
        <f>IF(C474="","",SUMIFS('Saisie'!$H$5:$H$2004,'Saisie'!$C$5:$C$2004,C474))</f>
        <v/>
      </c>
      <c r="AZ474" s="60">
        <f>IF(C474="","",IFERROR(INDEX('Paramètres'!$W$6:$W$20,MATCH(S474,'Paramètres'!$V$6:$V$20,0))&amp;"",""))</f>
        <v/>
      </c>
      <c r="BA474" s="60">
        <f>IF(C474="","",MAX(1,_xlfn.MAXIFS('Saisie'!$AT$5:$AT$2004,'Saisie'!$C$5:$C$2004,C474)))</f>
        <v/>
      </c>
      <c r="BB474" s="60">
        <f>IF(C474="","",IFERROR(INDEX('Saisie'!$X$5:$X$2004,_xlfn.MAXIFS('Saisie'!$AS$5:$AS$2004,'Saisie'!$C$5:$C$2004,C474,'Saisie'!$X$5:$X$2004,"&lt;&gt;")-4),""))</f>
        <v/>
      </c>
      <c r="BC474" s="60">
        <f>IF(C474="","",IFERROR(INDEX('Saisie'!$Y$5:$Y$2004,_xlfn.MAXIFS('Saisie'!$AS$5:$AS$2004,'Saisie'!$C$5:$C$2004,C474,'Saisie'!$Y$5:$Y$2004,"&lt;&gt;")-4),""))</f>
        <v/>
      </c>
      <c r="BD474" s="106">
        <f>IF(C474="","",IFERROR(1/(1/_xlfn.MINIFS('Saisie'!$A$5:$A$2004,'Saisie'!$C$5:$C$2004,C474,'Saisie'!$AT$5:$AT$2004,"&gt;=2")),""))</f>
        <v/>
      </c>
      <c r="BE474" s="106">
        <f>IF(C474="","",IFERROR(1/(1/_xlfn.MINIFS('Saisie'!$A$5:$A$2004,'Saisie'!$C$5:$C$2004,C474,'Saisie'!$AT$5:$AT$2004,"&gt;=3")),""))</f>
        <v/>
      </c>
      <c r="BF474" s="106">
        <f>IF(C474="","",IFERROR(1/(1/_xlfn.MINIFS('Saisie'!$A$5:$A$2004,'Saisie'!$C$5:$C$2004,C474,'Saisie'!$AT$5:$AT$2004,"&gt;=4")),""))</f>
        <v/>
      </c>
      <c r="BG474" s="106">
        <f>IF(C474="","",IFERROR(1/(1/_xlfn.MINIFS('Saisie'!$A$5:$A$2004,'Saisie'!$C$5:$C$2004,C474,'Saisie'!$AT$5:$AT$2004,"&gt;=5")),""))</f>
        <v/>
      </c>
      <c r="BH474" s="106">
        <f>IF(C474="","",IFERROR(1/(1/_xlfn.MINIFS('Saisie'!$A$5:$A$2004,'Saisie'!$C$5:$C$2004,C474,'Saisie'!$AT$5:$AT$2004,"&gt;=6")),""))</f>
        <v/>
      </c>
      <c r="BI474" s="106">
        <f>IF(C474="","",IFERROR(1/(1/_xlfn.MINIFS('Saisie'!$A$5:$A$2004,'Saisie'!$C$5:$C$2004,C474,'Saisie'!$AT$5:$AT$2004,"&gt;=7")),""))</f>
        <v/>
      </c>
      <c r="BJ474" s="60">
        <f>IF(OR(BD474="",B474=""),"",BD474-B474)</f>
        <v/>
      </c>
      <c r="BK474" s="60">
        <f>IF(OR(BE474="",BD474=""),"",BE474-BD474)</f>
        <v/>
      </c>
      <c r="BL474" s="60">
        <f>IF(OR(BF474="",BE474=""),"",BF474-BE474)</f>
        <v/>
      </c>
      <c r="BM474" s="60">
        <f>IF(OR(BG474="",BF474=""),"",BG474-BF474)</f>
        <v/>
      </c>
      <c r="BN474" s="60">
        <f>IF(OR(BH474="",BG474=""),"",BH474-BG474)</f>
        <v/>
      </c>
      <c r="BO474" s="60">
        <f>IF(OR(BI474="",BH474=""),"",BI474-BH474)</f>
        <v/>
      </c>
      <c r="BP474" s="60">
        <f>IF(C474="","",_xlfn.MAXIFS('Saisie'!$AS$5:$AS$2004,'Saisie'!$C$5:$C$2004,C474,'Saisie'!$J$5:$J$2004,"&lt;&gt;"))</f>
        <v/>
      </c>
      <c r="BQ474" s="60">
        <f>IF(C474="","",_xlfn.MAXIFS('Saisie'!$AS$5:$AS$2004,'Saisie'!$C$5:$C$2004,C474))</f>
        <v/>
      </c>
      <c r="BR474" s="60">
        <f>IF(C474="","",_xlfn.MAXIFS('Saisie'!$AS$5:$AS$2004,'Saisie'!$C$5:$C$2004,C474,'Saisie'!$E$5:$E$2004,"Perdu"))</f>
        <v/>
      </c>
      <c r="BS474" s="60">
        <f>IF(C474="","",_xlfn.MAXIFS('Saisie'!$AS$5:$AS$2004,'Saisie'!$C$5:$C$2004,C474,'Saisie'!$AT$5:$AT$2004,"&gt;0"))</f>
        <v/>
      </c>
      <c r="BT474" s="109">
        <f>IF(AND(C474&lt;&gt;"",OR(D474="Nouveau",D474="Contacté",D474="Qualifié"),OR(G474="",N(G474)&lt;=TODAY()),NOT(AND(O474&gt;='Paramètres'!$B$21,P474=0))),E474+470/10000,"")</f>
        <v/>
      </c>
      <c r="BU474" s="60">
        <f>IF(AND(G474&lt;&gt;"",N(G474)&lt;=TODAY()),MAX($BU$4:BU473)+1,"")</f>
        <v/>
      </c>
      <c r="BV474" s="60">
        <f>IF(AND(F474&lt;&gt;"",F474&lt;&gt;"Relance en retard"),MAX($BV$4:BV473)+1,"")</f>
        <v/>
      </c>
      <c r="BW474" s="60">
        <f>IF(C474="","",IF(AND(B474&gt;='Tableau de bord'!$R$4,B474&lt;='Tableau de bord'!$S$4,OR('Tableau de bord'!$G$4="Tous",N474='Tableau de bord'!$G$4)),1,0))</f>
        <v/>
      </c>
      <c r="BX474" s="60">
        <f>IF(AND(C474&lt;&gt;"",N(BA474)=7),MAX($BX$4:BX473)+1,"")</f>
        <v/>
      </c>
    </row>
    <row r="475">
      <c r="A475" s="60">
        <f>IF(C475="","","P-"&amp;TEXT(471,"000"))</f>
        <v/>
      </c>
      <c r="B475" s="106">
        <f>IF(C475="","",IFERROR(1/(1/_xlfn.MINIFS('Saisie'!$A$5:$A$2004,'Saisie'!$C$5:$C$2004,C475)),""))</f>
        <v/>
      </c>
      <c r="C475" s="60">
        <f>IFERROR(INDEX('Saisie'!$C$5:$C$2004,MATCH(471,'Saisie'!$AX$5:$AX$2004,0)),"")</f>
        <v/>
      </c>
      <c r="D475" s="60">
        <f>IF(C475="","",IF(AND(BR475&gt;0,BR475&gt;BS475,BA475&lt;7),"Perdu",INDEX('Paramètres'!$F$6:$F$13,BA475)))</f>
        <v/>
      </c>
      <c r="E475" s="61">
        <f>IF(C475="","",MIN(100,(Z475="Oui")*'Paramètres'!$B$38+(AB475="Régulière")*'Paramètres'!$B$39+IF(AND(N(AA475)&gt;0,TODAY()-N(AA475)&lt;=30),'Paramètres'!$B$40,0)+(W475="")*'Paramètres'!$B$41+(AC475="Absente")*'Paramètres'!$B$42+(AC475="Faible")*'Paramètres'!$B$43+IF(AND(N(AD475)&gt;0,N(AD475)&lt;4),'Paramètres'!$B$44,0)+(AF475="Moyenne")*'Paramètres'!$B$45+(AF475="Grande")*'Paramètres'!$B$46+(Y475&lt;&gt;"")*'Paramètres'!$B$47))</f>
        <v/>
      </c>
      <c r="F475" s="60">
        <f>IF(C475="","",IF(D475="Gagné","",IF(D475="Perdu",IF(AND(AX475&lt;&gt;"",AX475&lt;=TODAY()),"À recontacter (perdu)",""),IF(AND(O475&gt;='Paramètres'!$B$21,P475=0),"Stop : "&amp;'Paramètres'!$B$21&amp;" tentatives sans réponse",IF(AND(D475="Proposition",AR475&lt;&gt;"",TODAY()&gt;N(AR475)),"Proposition expirée",IF(AND(D475="Proposition",N(R475)&gt;='Paramètres'!$B$25),"Proposition sans réponse",IF(AND(G475&lt;&gt;"",N(G475)&lt;TODAY()),"Relance en retard",IF(N(R475)&gt;='Paramètres'!$B$24,"Sans action depuis "&amp;R475&amp;" j",""))))))))</f>
        <v/>
      </c>
      <c r="G475" s="106">
        <f>IF(OR(C475="",D475="Gagné",D475="Perdu"),"",IF(AND(BP475&gt;0,BP475=BQ475),INDEX('Saisie'!$J$5:$J$2004,BP475-4),IF(OR(O475=0,AND(O475&gt;='Paramètres'!$B$21,P475=0)),"",Q475+IF(O475&lt;=1,'Paramètres'!$B$18,IF(O475=2,'Paramètres'!$B$19,'Paramètres'!$B$20)))))</f>
        <v/>
      </c>
      <c r="H475" s="107">
        <f>IF(OR(G475="",BP475&lt;&gt;BQ475),"",IF(INDEX('Saisie'!$K$5:$K$2004,BP475-4)="","",INDEX('Saisie'!$K$5:$K$2004,BP475-4)))</f>
        <v/>
      </c>
      <c r="I475" s="60">
        <f>IF(C475="","",IF(OR(D475="Gagné",D475="Perdu"),"",IFERROR(INDEX('Saisie'!$I$5:$I$2004,_xlfn.MAXIFS('Saisie'!$AS$5:$AS$2004,'Saisie'!$C$5:$C$2004,C475,'Saisie'!$I$5:$I$2004,"&lt;&gt;")-4),"")))</f>
        <v/>
      </c>
      <c r="J475" s="60">
        <f>IF(C475="","",IFERROR(INDEX('Saisie'!$U$5:$U$2004,_xlfn.MAXIFS('Saisie'!$AS$5:$AS$2004,'Saisie'!$C$5:$C$2004,C475,'Saisie'!$U$5:$U$2004,"&lt;&gt;")-4),""))</f>
        <v/>
      </c>
      <c r="K475" s="60">
        <f>IF(C475="","",IFERROR(INDEX('Saisie'!$W$5:$W$2004,_xlfn.MAXIFS('Saisie'!$AS$5:$AS$2004,'Saisie'!$C$5:$C$2004,C475,'Saisie'!$W$5:$W$2004,"&lt;&gt;")-4),""))</f>
        <v/>
      </c>
      <c r="L475" s="60">
        <f>IF(IF(BB475&lt;&gt;"",BB475,K475)="","",HYPERLINK("https://wa.me/"&amp;IF(LEFT(SUBSTITUTE(SUBSTITUTE(SUBSTITUTE(IF(BB475&lt;&gt;"",BB475,K475)," ",""),".",""),"+",""),1)="0",'Paramètres'!$B$35&amp;MID(SUBSTITUTE(SUBSTITUTE(SUBSTITUTE(IF(BB475&lt;&gt;"",BB475,K475)," ",""),".",""),"+",""),2,20),SUBSTITUTE(SUBSTITUTE(SUBSTITUTE(IF(BB475&lt;&gt;"",BB475,K475)," ",""),".",""),"+","")),"WhatsApp"))</f>
        <v/>
      </c>
      <c r="M475" s="60">
        <f>IF(BC475="","",HYPERLINK(IF(LEFT(BC475,4)="http",BC475,"https://www.instagram.com/"&amp;SUBSTITUTE(SUBSTITUTE(BC475,"@","")," ","")),BC475))</f>
        <v/>
      </c>
      <c r="N475" s="60">
        <f>IF(C475="","",IFERROR(INDEX('Saisie'!$D$5:$D$2004,_xlfn.MINIFS('Saisie'!$AS$5:$AS$2004,'Saisie'!$C$5:$C$2004,C475,'Saisie'!$AU$5:$AU$2004,1)-4),IFERROR(INDEX('Saisie'!$D$5:$D$2004,_xlfn.MINIFS('Saisie'!$AS$5:$AS$2004,'Saisie'!$C$5:$C$2004,C475,'Saisie'!$D$5:$D$2004,"&lt;&gt;")-4),"")))</f>
        <v/>
      </c>
      <c r="O475" s="60">
        <f>IF(C475="","",COUNTIFS('Saisie'!$C$5:$C$2004,C475,'Saisie'!$AU$5:$AU$2004,1))</f>
        <v/>
      </c>
      <c r="P475" s="60">
        <f>IF(C475="","",COUNTIFS('Saisie'!$C$5:$C$2004,C475,'Saisie'!$AV$5:$AV$2004,1))</f>
        <v/>
      </c>
      <c r="Q475" s="106">
        <f>IF(C475="","",IFERROR(1/(1/_xlfn.MAXIFS('Saisie'!$A$5:$A$2004,'Saisie'!$C$5:$C$2004,C475)),""))</f>
        <v/>
      </c>
      <c r="R475" s="61">
        <f>IF(C475="","",IF(Q475="","",TODAY()-Q475))</f>
        <v/>
      </c>
      <c r="S475" s="60">
        <f>IF(C475="","",IFERROR(INDEX('Saisie'!$R$5:$R$2004,_xlfn.MAXIFS('Saisie'!$AS$5:$AS$2004,'Saisie'!$C$5:$C$2004,C475,'Saisie'!$R$5:$R$2004,"&lt;&gt;")-4),""))</f>
        <v/>
      </c>
      <c r="T475" s="60">
        <f>IF(C475="","",IFERROR(INDEX('Saisie'!$S$5:$S$2004,_xlfn.MAXIFS('Saisie'!$AS$5:$AS$2004,'Saisie'!$C$5:$C$2004,C475,'Saisie'!$S$5:$S$2004,"&lt;&gt;")-4),""))</f>
        <v/>
      </c>
      <c r="U475" s="60">
        <f>IF(C475="","",IFERROR(INDEX('Saisie'!$T$5:$T$2004,_xlfn.MAXIFS('Saisie'!$AS$5:$AS$2004,'Saisie'!$C$5:$C$2004,C475,'Saisie'!$T$5:$T$2004,"&lt;&gt;")-4),""))</f>
        <v/>
      </c>
      <c r="V475" s="60">
        <f>IF(C475="","",IFERROR(INDEX('Saisie'!$V$5:$V$2004,_xlfn.MAXIFS('Saisie'!$AS$5:$AS$2004,'Saisie'!$C$5:$C$2004,C475,'Saisie'!$V$5:$V$2004,"&lt;&gt;")-4),""))</f>
        <v/>
      </c>
      <c r="W475" s="60">
        <f>IF(C475="","",IFERROR(INDEX('Saisie'!$Z$5:$Z$2004,_xlfn.MAXIFS('Saisie'!$AS$5:$AS$2004,'Saisie'!$C$5:$C$2004,C475,'Saisie'!$Z$5:$Z$2004,"&lt;&gt;")-4),""))</f>
        <v/>
      </c>
      <c r="X475" s="60">
        <f>IF(C475="","",IFERROR(INDEX('Saisie'!$AA$5:$AA$2004,_xlfn.MAXIFS('Saisie'!$AS$5:$AS$2004,'Saisie'!$C$5:$C$2004,C475,'Saisie'!$AA$5:$AA$2004,"&lt;&gt;")-4),""))</f>
        <v/>
      </c>
      <c r="Y475" s="60">
        <f>IF(C475="","",IFERROR(INDEX('Saisie'!$AB$5:$AB$2004,_xlfn.MAXIFS('Saisie'!$AS$5:$AS$2004,'Saisie'!$C$5:$C$2004,C475,'Saisie'!$AB$5:$AB$2004,"&lt;&gt;")-4),""))</f>
        <v/>
      </c>
      <c r="Z475" s="60">
        <f>IF(C475="","",IFERROR(INDEX('Saisie'!$AC$5:$AC$2004,_xlfn.MAXIFS('Saisie'!$AS$5:$AS$2004,'Saisie'!$C$5:$C$2004,C475,'Saisie'!$AC$5:$AC$2004,"&lt;&gt;")-4),""))</f>
        <v/>
      </c>
      <c r="AA475" s="106">
        <f>IF(C475="","",IFERROR(INDEX('Saisie'!$AD$5:$AD$2004,_xlfn.MAXIFS('Saisie'!$AS$5:$AS$2004,'Saisie'!$C$5:$C$2004,C475,'Saisie'!$AD$5:$AD$2004,"&lt;&gt;")-4),""))</f>
        <v/>
      </c>
      <c r="AB475" s="60">
        <f>IF(C475="","",IFERROR(INDEX('Saisie'!$AE$5:$AE$2004,_xlfn.MAXIFS('Saisie'!$AS$5:$AS$2004,'Saisie'!$C$5:$C$2004,C475,'Saisie'!$AE$5:$AE$2004,"&lt;&gt;")-4),""))</f>
        <v/>
      </c>
      <c r="AC475" s="60">
        <f>IF(C475="","",IFERROR(INDEX('Saisie'!$AF$5:$AF$2004,_xlfn.MAXIFS('Saisie'!$AS$5:$AS$2004,'Saisie'!$C$5:$C$2004,C475,'Saisie'!$AF$5:$AF$2004,"&lt;&gt;")-4),""))</f>
        <v/>
      </c>
      <c r="AD475" s="108">
        <f>IF(C475="","",IFERROR(INDEX('Saisie'!$AG$5:$AG$2004,_xlfn.MAXIFS('Saisie'!$AS$5:$AS$2004,'Saisie'!$C$5:$C$2004,C475,'Saisie'!$AG$5:$AG$2004,"&lt;&gt;")-4),""))</f>
        <v/>
      </c>
      <c r="AE475" s="60">
        <f>IF(C475="","",IFERROR(INDEX('Saisie'!$AH$5:$AH$2004,_xlfn.MAXIFS('Saisie'!$AS$5:$AS$2004,'Saisie'!$C$5:$C$2004,C475,'Saisie'!$AH$5:$AH$2004,"&lt;&gt;")-4),""))</f>
        <v/>
      </c>
      <c r="AF475" s="60">
        <f>IF(C475="","",IFERROR(INDEX('Saisie'!$AI$5:$AI$2004,_xlfn.MAXIFS('Saisie'!$AS$5:$AS$2004,'Saisie'!$C$5:$C$2004,C475,'Saisie'!$AI$5:$AI$2004,"&lt;&gt;")-4),""))</f>
        <v/>
      </c>
      <c r="AG475" s="60">
        <f>IF(C475="","",IFERROR(INDEX('Saisie'!$AJ$5:$AJ$2004,_xlfn.MAXIFS('Saisie'!$AS$5:$AS$2004,'Saisie'!$C$5:$C$2004,C475,'Saisie'!$AJ$5:$AJ$2004,"&lt;&gt;")-4),""))</f>
        <v/>
      </c>
      <c r="AH475" s="60">
        <f>IF(C475="","",IFERROR(INDEX('Saisie'!$AK$5:$AK$2004,_xlfn.MAXIFS('Saisie'!$AS$5:$AS$2004,'Saisie'!$C$5:$C$2004,C475,'Saisie'!$AK$5:$AK$2004,"&lt;&gt;")-4),""))</f>
        <v/>
      </c>
      <c r="AI475" s="60">
        <f>IF(C475="","",IFERROR(INDEX('Saisie'!$AN$5:$AN$2004,_xlfn.MAXIFS('Saisie'!$AS$5:$AS$2004,'Saisie'!$C$5:$C$2004,C475,'Saisie'!$AN$5:$AN$2004,"&lt;&gt;")-4),""))</f>
        <v/>
      </c>
      <c r="AJ475" s="60">
        <f>IF(C475="","",IFERROR(INDEX('Saisie'!$AO$5:$AO$2004,_xlfn.MAXIFS('Saisie'!$AS$5:$AS$2004,'Saisie'!$C$5:$C$2004,C475,'Saisie'!$AO$5:$AO$2004,"&lt;&gt;")-4),""))</f>
        <v/>
      </c>
      <c r="AK475" s="60">
        <f>IF(C475="","",IFERROR(INDEX('Saisie'!$AP$5:$AP$2004,_xlfn.MAXIFS('Saisie'!$AS$5:$AS$2004,'Saisie'!$C$5:$C$2004,C475,'Saisie'!$AP$5:$AP$2004,"&lt;&gt;")-4),""))</f>
        <v/>
      </c>
      <c r="AL475" s="60">
        <f>IF(C475="","",IFERROR(INDEX('Saisie'!$AQ$5:$AQ$2004,_xlfn.MAXIFS('Saisie'!$AS$5:$AS$2004,'Saisie'!$C$5:$C$2004,C475,'Saisie'!$AQ$5:$AQ$2004,"&lt;&gt;")-4),""))</f>
        <v/>
      </c>
      <c r="AM475" s="60">
        <f>IF(C475="","",((AI475="Oui")+(AJ475="Oui")+(AK475="Oui")+OR(AL475="Immédiat",AL475="&lt; 1 mois"))&amp;"/4")</f>
        <v/>
      </c>
      <c r="AN475" s="60">
        <f>IF(C475="","",IFERROR(INDEX('Saisie'!$AL$5:$AL$2004,_xlfn.MAXIFS('Saisie'!$AS$5:$AS$2004,'Saisie'!$C$5:$C$2004,C475,'Saisie'!$AL$5:$AL$2004,"&lt;&gt;")-4),""))</f>
        <v/>
      </c>
      <c r="AO475" s="62">
        <f>IF(C475="","",IF(IFERROR(INDEX('Saisie'!$AM$5:$AM$2004,_xlfn.MAXIFS('Saisie'!$AS$5:$AS$2004,'Saisie'!$C$5:$C$2004,C475,'Saisie'!$AM$5:$AM$2004,"&lt;&gt;")-4),"")&lt;&gt;"",IFERROR(INDEX('Saisie'!$AM$5:$AM$2004,_xlfn.MAXIFS('Saisie'!$AS$5:$AS$2004,'Saisie'!$C$5:$C$2004,C475,'Saisie'!$AM$5:$AM$2004,"&lt;&gt;")-4),""),IFERROR(INDEX('Paramètres'!$S$6:$S$15,MATCH(AN475,'Paramètres'!$Q$6:$Q$15,0)),"")))</f>
        <v/>
      </c>
      <c r="AP475" s="62">
        <f>IF(C475="","",IFERROR(INDEX('Saisie'!$AW$5:$AW$2004,_xlfn.MAXIFS('Saisie'!$AS$5:$AS$2004,'Saisie'!$C$5:$C$2004,C475,'Saisie'!$E$5:$E$2004,"Proposition envoyée")-4),""))</f>
        <v/>
      </c>
      <c r="AQ475" s="106">
        <f>IF(C475="","",IFERROR(1/(1/_xlfn.MAXIFS('Saisie'!$A$5:$A$2004,'Saisie'!$C$5:$C$2004,C475,'Saisie'!$E$5:$E$2004,"Proposition envoyée")),""))</f>
        <v/>
      </c>
      <c r="AR475" s="106">
        <f>IF(C475="","",IF(AQ475="","",AQ475+'Paramètres'!$B$26))</f>
        <v/>
      </c>
      <c r="AS475" s="62">
        <f>IF(OR(C475="",D475="Gagné",D475="Perdu"),0,N(AP475)*IFERROR(INDEX('Paramètres'!$G$6:$G$13,MATCH(D475,'Paramètres'!$F$6:$F$13,0)),0))</f>
        <v/>
      </c>
      <c r="AT475" s="106">
        <f>IF(C475="","",IFERROR(1/(1/_xlfn.MINIFS('Saisie'!$A$5:$A$2004,'Saisie'!$C$5:$C$2004,C475,'Saisie'!$E$5:$E$2004,"Signature")),""))</f>
        <v/>
      </c>
      <c r="AU475" s="60">
        <f>IF(C475="","",IF(OR(AT475="",B475=""),"",AT475-B475))</f>
        <v/>
      </c>
      <c r="AV475" s="60">
        <f>IF(C475="","",IFERROR(INDEX('Saisie'!$L$5:$L$2004,_xlfn.MAXIFS('Saisie'!$AS$5:$AS$2004,'Saisie'!$C$5:$C$2004,C475,'Saisie'!$L$5:$L$2004,"&lt;&gt;")-4),""))</f>
        <v/>
      </c>
      <c r="AW475" s="106">
        <f>IF(C475="","",IF(D475&lt;&gt;"Perdu","",IFERROR(1/(1/_xlfn.MAXIFS('Saisie'!$A$5:$A$2004,'Saisie'!$C$5:$C$2004,C475,'Saisie'!$E$5:$E$2004,"Perdu")),"")))</f>
        <v/>
      </c>
      <c r="AX475" s="106">
        <f>IF(C475="","",IF(AW475="","",AW475+'Paramètres'!$B$28))</f>
        <v/>
      </c>
      <c r="AY475" s="60">
        <f>IF(C475="","",SUMIFS('Saisie'!$H$5:$H$2004,'Saisie'!$C$5:$C$2004,C475))</f>
        <v/>
      </c>
      <c r="AZ475" s="60">
        <f>IF(C475="","",IFERROR(INDEX('Paramètres'!$W$6:$W$20,MATCH(S475,'Paramètres'!$V$6:$V$20,0))&amp;"",""))</f>
        <v/>
      </c>
      <c r="BA475" s="60">
        <f>IF(C475="","",MAX(1,_xlfn.MAXIFS('Saisie'!$AT$5:$AT$2004,'Saisie'!$C$5:$C$2004,C475)))</f>
        <v/>
      </c>
      <c r="BB475" s="60">
        <f>IF(C475="","",IFERROR(INDEX('Saisie'!$X$5:$X$2004,_xlfn.MAXIFS('Saisie'!$AS$5:$AS$2004,'Saisie'!$C$5:$C$2004,C475,'Saisie'!$X$5:$X$2004,"&lt;&gt;")-4),""))</f>
        <v/>
      </c>
      <c r="BC475" s="60">
        <f>IF(C475="","",IFERROR(INDEX('Saisie'!$Y$5:$Y$2004,_xlfn.MAXIFS('Saisie'!$AS$5:$AS$2004,'Saisie'!$C$5:$C$2004,C475,'Saisie'!$Y$5:$Y$2004,"&lt;&gt;")-4),""))</f>
        <v/>
      </c>
      <c r="BD475" s="106">
        <f>IF(C475="","",IFERROR(1/(1/_xlfn.MINIFS('Saisie'!$A$5:$A$2004,'Saisie'!$C$5:$C$2004,C475,'Saisie'!$AT$5:$AT$2004,"&gt;=2")),""))</f>
        <v/>
      </c>
      <c r="BE475" s="106">
        <f>IF(C475="","",IFERROR(1/(1/_xlfn.MINIFS('Saisie'!$A$5:$A$2004,'Saisie'!$C$5:$C$2004,C475,'Saisie'!$AT$5:$AT$2004,"&gt;=3")),""))</f>
        <v/>
      </c>
      <c r="BF475" s="106">
        <f>IF(C475="","",IFERROR(1/(1/_xlfn.MINIFS('Saisie'!$A$5:$A$2004,'Saisie'!$C$5:$C$2004,C475,'Saisie'!$AT$5:$AT$2004,"&gt;=4")),""))</f>
        <v/>
      </c>
      <c r="BG475" s="106">
        <f>IF(C475="","",IFERROR(1/(1/_xlfn.MINIFS('Saisie'!$A$5:$A$2004,'Saisie'!$C$5:$C$2004,C475,'Saisie'!$AT$5:$AT$2004,"&gt;=5")),""))</f>
        <v/>
      </c>
      <c r="BH475" s="106">
        <f>IF(C475="","",IFERROR(1/(1/_xlfn.MINIFS('Saisie'!$A$5:$A$2004,'Saisie'!$C$5:$C$2004,C475,'Saisie'!$AT$5:$AT$2004,"&gt;=6")),""))</f>
        <v/>
      </c>
      <c r="BI475" s="106">
        <f>IF(C475="","",IFERROR(1/(1/_xlfn.MINIFS('Saisie'!$A$5:$A$2004,'Saisie'!$C$5:$C$2004,C475,'Saisie'!$AT$5:$AT$2004,"&gt;=7")),""))</f>
        <v/>
      </c>
      <c r="BJ475" s="60">
        <f>IF(OR(BD475="",B475=""),"",BD475-B475)</f>
        <v/>
      </c>
      <c r="BK475" s="60">
        <f>IF(OR(BE475="",BD475=""),"",BE475-BD475)</f>
        <v/>
      </c>
      <c r="BL475" s="60">
        <f>IF(OR(BF475="",BE475=""),"",BF475-BE475)</f>
        <v/>
      </c>
      <c r="BM475" s="60">
        <f>IF(OR(BG475="",BF475=""),"",BG475-BF475)</f>
        <v/>
      </c>
      <c r="BN475" s="60">
        <f>IF(OR(BH475="",BG475=""),"",BH475-BG475)</f>
        <v/>
      </c>
      <c r="BO475" s="60">
        <f>IF(OR(BI475="",BH475=""),"",BI475-BH475)</f>
        <v/>
      </c>
      <c r="BP475" s="60">
        <f>IF(C475="","",_xlfn.MAXIFS('Saisie'!$AS$5:$AS$2004,'Saisie'!$C$5:$C$2004,C475,'Saisie'!$J$5:$J$2004,"&lt;&gt;"))</f>
        <v/>
      </c>
      <c r="BQ475" s="60">
        <f>IF(C475="","",_xlfn.MAXIFS('Saisie'!$AS$5:$AS$2004,'Saisie'!$C$5:$C$2004,C475))</f>
        <v/>
      </c>
      <c r="BR475" s="60">
        <f>IF(C475="","",_xlfn.MAXIFS('Saisie'!$AS$5:$AS$2004,'Saisie'!$C$5:$C$2004,C475,'Saisie'!$E$5:$E$2004,"Perdu"))</f>
        <v/>
      </c>
      <c r="BS475" s="60">
        <f>IF(C475="","",_xlfn.MAXIFS('Saisie'!$AS$5:$AS$2004,'Saisie'!$C$5:$C$2004,C475,'Saisie'!$AT$5:$AT$2004,"&gt;0"))</f>
        <v/>
      </c>
      <c r="BT475" s="109">
        <f>IF(AND(C475&lt;&gt;"",OR(D475="Nouveau",D475="Contacté",D475="Qualifié"),OR(G475="",N(G475)&lt;=TODAY()),NOT(AND(O475&gt;='Paramètres'!$B$21,P475=0))),E475+471/10000,"")</f>
        <v/>
      </c>
      <c r="BU475" s="60">
        <f>IF(AND(G475&lt;&gt;"",N(G475)&lt;=TODAY()),MAX($BU$4:BU474)+1,"")</f>
        <v/>
      </c>
      <c r="BV475" s="60">
        <f>IF(AND(F475&lt;&gt;"",F475&lt;&gt;"Relance en retard"),MAX($BV$4:BV474)+1,"")</f>
        <v/>
      </c>
      <c r="BW475" s="60">
        <f>IF(C475="","",IF(AND(B475&gt;='Tableau de bord'!$R$4,B475&lt;='Tableau de bord'!$S$4,OR('Tableau de bord'!$G$4="Tous",N475='Tableau de bord'!$G$4)),1,0))</f>
        <v/>
      </c>
      <c r="BX475" s="60">
        <f>IF(AND(C475&lt;&gt;"",N(BA475)=7),MAX($BX$4:BX474)+1,"")</f>
        <v/>
      </c>
    </row>
    <row r="476">
      <c r="A476" s="60">
        <f>IF(C476="","","P-"&amp;TEXT(472,"000"))</f>
        <v/>
      </c>
      <c r="B476" s="106">
        <f>IF(C476="","",IFERROR(1/(1/_xlfn.MINIFS('Saisie'!$A$5:$A$2004,'Saisie'!$C$5:$C$2004,C476)),""))</f>
        <v/>
      </c>
      <c r="C476" s="60">
        <f>IFERROR(INDEX('Saisie'!$C$5:$C$2004,MATCH(472,'Saisie'!$AX$5:$AX$2004,0)),"")</f>
        <v/>
      </c>
      <c r="D476" s="60">
        <f>IF(C476="","",IF(AND(BR476&gt;0,BR476&gt;BS476,BA476&lt;7),"Perdu",INDEX('Paramètres'!$F$6:$F$13,BA476)))</f>
        <v/>
      </c>
      <c r="E476" s="61">
        <f>IF(C476="","",MIN(100,(Z476="Oui")*'Paramètres'!$B$38+(AB476="Régulière")*'Paramètres'!$B$39+IF(AND(N(AA476)&gt;0,TODAY()-N(AA476)&lt;=30),'Paramètres'!$B$40,0)+(W476="")*'Paramètres'!$B$41+(AC476="Absente")*'Paramètres'!$B$42+(AC476="Faible")*'Paramètres'!$B$43+IF(AND(N(AD476)&gt;0,N(AD476)&lt;4),'Paramètres'!$B$44,0)+(AF476="Moyenne")*'Paramètres'!$B$45+(AF476="Grande")*'Paramètres'!$B$46+(Y476&lt;&gt;"")*'Paramètres'!$B$47))</f>
        <v/>
      </c>
      <c r="F476" s="60">
        <f>IF(C476="","",IF(D476="Gagné","",IF(D476="Perdu",IF(AND(AX476&lt;&gt;"",AX476&lt;=TODAY()),"À recontacter (perdu)",""),IF(AND(O476&gt;='Paramètres'!$B$21,P476=0),"Stop : "&amp;'Paramètres'!$B$21&amp;" tentatives sans réponse",IF(AND(D476="Proposition",AR476&lt;&gt;"",TODAY()&gt;N(AR476)),"Proposition expirée",IF(AND(D476="Proposition",N(R476)&gt;='Paramètres'!$B$25),"Proposition sans réponse",IF(AND(G476&lt;&gt;"",N(G476)&lt;TODAY()),"Relance en retard",IF(N(R476)&gt;='Paramètres'!$B$24,"Sans action depuis "&amp;R476&amp;" j",""))))))))</f>
        <v/>
      </c>
      <c r="G476" s="106">
        <f>IF(OR(C476="",D476="Gagné",D476="Perdu"),"",IF(AND(BP476&gt;0,BP476=BQ476),INDEX('Saisie'!$J$5:$J$2004,BP476-4),IF(OR(O476=0,AND(O476&gt;='Paramètres'!$B$21,P476=0)),"",Q476+IF(O476&lt;=1,'Paramètres'!$B$18,IF(O476=2,'Paramètres'!$B$19,'Paramètres'!$B$20)))))</f>
        <v/>
      </c>
      <c r="H476" s="107">
        <f>IF(OR(G476="",BP476&lt;&gt;BQ476),"",IF(INDEX('Saisie'!$K$5:$K$2004,BP476-4)="","",INDEX('Saisie'!$K$5:$K$2004,BP476-4)))</f>
        <v/>
      </c>
      <c r="I476" s="60">
        <f>IF(C476="","",IF(OR(D476="Gagné",D476="Perdu"),"",IFERROR(INDEX('Saisie'!$I$5:$I$2004,_xlfn.MAXIFS('Saisie'!$AS$5:$AS$2004,'Saisie'!$C$5:$C$2004,C476,'Saisie'!$I$5:$I$2004,"&lt;&gt;")-4),"")))</f>
        <v/>
      </c>
      <c r="J476" s="60">
        <f>IF(C476="","",IFERROR(INDEX('Saisie'!$U$5:$U$2004,_xlfn.MAXIFS('Saisie'!$AS$5:$AS$2004,'Saisie'!$C$5:$C$2004,C476,'Saisie'!$U$5:$U$2004,"&lt;&gt;")-4),""))</f>
        <v/>
      </c>
      <c r="K476" s="60">
        <f>IF(C476="","",IFERROR(INDEX('Saisie'!$W$5:$W$2004,_xlfn.MAXIFS('Saisie'!$AS$5:$AS$2004,'Saisie'!$C$5:$C$2004,C476,'Saisie'!$W$5:$W$2004,"&lt;&gt;")-4),""))</f>
        <v/>
      </c>
      <c r="L476" s="60">
        <f>IF(IF(BB476&lt;&gt;"",BB476,K476)="","",HYPERLINK("https://wa.me/"&amp;IF(LEFT(SUBSTITUTE(SUBSTITUTE(SUBSTITUTE(IF(BB476&lt;&gt;"",BB476,K476)," ",""),".",""),"+",""),1)="0",'Paramètres'!$B$35&amp;MID(SUBSTITUTE(SUBSTITUTE(SUBSTITUTE(IF(BB476&lt;&gt;"",BB476,K476)," ",""),".",""),"+",""),2,20),SUBSTITUTE(SUBSTITUTE(SUBSTITUTE(IF(BB476&lt;&gt;"",BB476,K476)," ",""),".",""),"+","")),"WhatsApp"))</f>
        <v/>
      </c>
      <c r="M476" s="60">
        <f>IF(BC476="","",HYPERLINK(IF(LEFT(BC476,4)="http",BC476,"https://www.instagram.com/"&amp;SUBSTITUTE(SUBSTITUTE(BC476,"@","")," ","")),BC476))</f>
        <v/>
      </c>
      <c r="N476" s="60">
        <f>IF(C476="","",IFERROR(INDEX('Saisie'!$D$5:$D$2004,_xlfn.MINIFS('Saisie'!$AS$5:$AS$2004,'Saisie'!$C$5:$C$2004,C476,'Saisie'!$AU$5:$AU$2004,1)-4),IFERROR(INDEX('Saisie'!$D$5:$D$2004,_xlfn.MINIFS('Saisie'!$AS$5:$AS$2004,'Saisie'!$C$5:$C$2004,C476,'Saisie'!$D$5:$D$2004,"&lt;&gt;")-4),"")))</f>
        <v/>
      </c>
      <c r="O476" s="60">
        <f>IF(C476="","",COUNTIFS('Saisie'!$C$5:$C$2004,C476,'Saisie'!$AU$5:$AU$2004,1))</f>
        <v/>
      </c>
      <c r="P476" s="60">
        <f>IF(C476="","",COUNTIFS('Saisie'!$C$5:$C$2004,C476,'Saisie'!$AV$5:$AV$2004,1))</f>
        <v/>
      </c>
      <c r="Q476" s="106">
        <f>IF(C476="","",IFERROR(1/(1/_xlfn.MAXIFS('Saisie'!$A$5:$A$2004,'Saisie'!$C$5:$C$2004,C476)),""))</f>
        <v/>
      </c>
      <c r="R476" s="61">
        <f>IF(C476="","",IF(Q476="","",TODAY()-Q476))</f>
        <v/>
      </c>
      <c r="S476" s="60">
        <f>IF(C476="","",IFERROR(INDEX('Saisie'!$R$5:$R$2004,_xlfn.MAXIFS('Saisie'!$AS$5:$AS$2004,'Saisie'!$C$5:$C$2004,C476,'Saisie'!$R$5:$R$2004,"&lt;&gt;")-4),""))</f>
        <v/>
      </c>
      <c r="T476" s="60">
        <f>IF(C476="","",IFERROR(INDEX('Saisie'!$S$5:$S$2004,_xlfn.MAXIFS('Saisie'!$AS$5:$AS$2004,'Saisie'!$C$5:$C$2004,C476,'Saisie'!$S$5:$S$2004,"&lt;&gt;")-4),""))</f>
        <v/>
      </c>
      <c r="U476" s="60">
        <f>IF(C476="","",IFERROR(INDEX('Saisie'!$T$5:$T$2004,_xlfn.MAXIFS('Saisie'!$AS$5:$AS$2004,'Saisie'!$C$5:$C$2004,C476,'Saisie'!$T$5:$T$2004,"&lt;&gt;")-4),""))</f>
        <v/>
      </c>
      <c r="V476" s="60">
        <f>IF(C476="","",IFERROR(INDEX('Saisie'!$V$5:$V$2004,_xlfn.MAXIFS('Saisie'!$AS$5:$AS$2004,'Saisie'!$C$5:$C$2004,C476,'Saisie'!$V$5:$V$2004,"&lt;&gt;")-4),""))</f>
        <v/>
      </c>
      <c r="W476" s="60">
        <f>IF(C476="","",IFERROR(INDEX('Saisie'!$Z$5:$Z$2004,_xlfn.MAXIFS('Saisie'!$AS$5:$AS$2004,'Saisie'!$C$5:$C$2004,C476,'Saisie'!$Z$5:$Z$2004,"&lt;&gt;")-4),""))</f>
        <v/>
      </c>
      <c r="X476" s="60">
        <f>IF(C476="","",IFERROR(INDEX('Saisie'!$AA$5:$AA$2004,_xlfn.MAXIFS('Saisie'!$AS$5:$AS$2004,'Saisie'!$C$5:$C$2004,C476,'Saisie'!$AA$5:$AA$2004,"&lt;&gt;")-4),""))</f>
        <v/>
      </c>
      <c r="Y476" s="60">
        <f>IF(C476="","",IFERROR(INDEX('Saisie'!$AB$5:$AB$2004,_xlfn.MAXIFS('Saisie'!$AS$5:$AS$2004,'Saisie'!$C$5:$C$2004,C476,'Saisie'!$AB$5:$AB$2004,"&lt;&gt;")-4),""))</f>
        <v/>
      </c>
      <c r="Z476" s="60">
        <f>IF(C476="","",IFERROR(INDEX('Saisie'!$AC$5:$AC$2004,_xlfn.MAXIFS('Saisie'!$AS$5:$AS$2004,'Saisie'!$C$5:$C$2004,C476,'Saisie'!$AC$5:$AC$2004,"&lt;&gt;")-4),""))</f>
        <v/>
      </c>
      <c r="AA476" s="106">
        <f>IF(C476="","",IFERROR(INDEX('Saisie'!$AD$5:$AD$2004,_xlfn.MAXIFS('Saisie'!$AS$5:$AS$2004,'Saisie'!$C$5:$C$2004,C476,'Saisie'!$AD$5:$AD$2004,"&lt;&gt;")-4),""))</f>
        <v/>
      </c>
      <c r="AB476" s="60">
        <f>IF(C476="","",IFERROR(INDEX('Saisie'!$AE$5:$AE$2004,_xlfn.MAXIFS('Saisie'!$AS$5:$AS$2004,'Saisie'!$C$5:$C$2004,C476,'Saisie'!$AE$5:$AE$2004,"&lt;&gt;")-4),""))</f>
        <v/>
      </c>
      <c r="AC476" s="60">
        <f>IF(C476="","",IFERROR(INDEX('Saisie'!$AF$5:$AF$2004,_xlfn.MAXIFS('Saisie'!$AS$5:$AS$2004,'Saisie'!$C$5:$C$2004,C476,'Saisie'!$AF$5:$AF$2004,"&lt;&gt;")-4),""))</f>
        <v/>
      </c>
      <c r="AD476" s="108">
        <f>IF(C476="","",IFERROR(INDEX('Saisie'!$AG$5:$AG$2004,_xlfn.MAXIFS('Saisie'!$AS$5:$AS$2004,'Saisie'!$C$5:$C$2004,C476,'Saisie'!$AG$5:$AG$2004,"&lt;&gt;")-4),""))</f>
        <v/>
      </c>
      <c r="AE476" s="60">
        <f>IF(C476="","",IFERROR(INDEX('Saisie'!$AH$5:$AH$2004,_xlfn.MAXIFS('Saisie'!$AS$5:$AS$2004,'Saisie'!$C$5:$C$2004,C476,'Saisie'!$AH$5:$AH$2004,"&lt;&gt;")-4),""))</f>
        <v/>
      </c>
      <c r="AF476" s="60">
        <f>IF(C476="","",IFERROR(INDEX('Saisie'!$AI$5:$AI$2004,_xlfn.MAXIFS('Saisie'!$AS$5:$AS$2004,'Saisie'!$C$5:$C$2004,C476,'Saisie'!$AI$5:$AI$2004,"&lt;&gt;")-4),""))</f>
        <v/>
      </c>
      <c r="AG476" s="60">
        <f>IF(C476="","",IFERROR(INDEX('Saisie'!$AJ$5:$AJ$2004,_xlfn.MAXIFS('Saisie'!$AS$5:$AS$2004,'Saisie'!$C$5:$C$2004,C476,'Saisie'!$AJ$5:$AJ$2004,"&lt;&gt;")-4),""))</f>
        <v/>
      </c>
      <c r="AH476" s="60">
        <f>IF(C476="","",IFERROR(INDEX('Saisie'!$AK$5:$AK$2004,_xlfn.MAXIFS('Saisie'!$AS$5:$AS$2004,'Saisie'!$C$5:$C$2004,C476,'Saisie'!$AK$5:$AK$2004,"&lt;&gt;")-4),""))</f>
        <v/>
      </c>
      <c r="AI476" s="60">
        <f>IF(C476="","",IFERROR(INDEX('Saisie'!$AN$5:$AN$2004,_xlfn.MAXIFS('Saisie'!$AS$5:$AS$2004,'Saisie'!$C$5:$C$2004,C476,'Saisie'!$AN$5:$AN$2004,"&lt;&gt;")-4),""))</f>
        <v/>
      </c>
      <c r="AJ476" s="60">
        <f>IF(C476="","",IFERROR(INDEX('Saisie'!$AO$5:$AO$2004,_xlfn.MAXIFS('Saisie'!$AS$5:$AS$2004,'Saisie'!$C$5:$C$2004,C476,'Saisie'!$AO$5:$AO$2004,"&lt;&gt;")-4),""))</f>
        <v/>
      </c>
      <c r="AK476" s="60">
        <f>IF(C476="","",IFERROR(INDEX('Saisie'!$AP$5:$AP$2004,_xlfn.MAXIFS('Saisie'!$AS$5:$AS$2004,'Saisie'!$C$5:$C$2004,C476,'Saisie'!$AP$5:$AP$2004,"&lt;&gt;")-4),""))</f>
        <v/>
      </c>
      <c r="AL476" s="60">
        <f>IF(C476="","",IFERROR(INDEX('Saisie'!$AQ$5:$AQ$2004,_xlfn.MAXIFS('Saisie'!$AS$5:$AS$2004,'Saisie'!$C$5:$C$2004,C476,'Saisie'!$AQ$5:$AQ$2004,"&lt;&gt;")-4),""))</f>
        <v/>
      </c>
      <c r="AM476" s="60">
        <f>IF(C476="","",((AI476="Oui")+(AJ476="Oui")+(AK476="Oui")+OR(AL476="Immédiat",AL476="&lt; 1 mois"))&amp;"/4")</f>
        <v/>
      </c>
      <c r="AN476" s="60">
        <f>IF(C476="","",IFERROR(INDEX('Saisie'!$AL$5:$AL$2004,_xlfn.MAXIFS('Saisie'!$AS$5:$AS$2004,'Saisie'!$C$5:$C$2004,C476,'Saisie'!$AL$5:$AL$2004,"&lt;&gt;")-4),""))</f>
        <v/>
      </c>
      <c r="AO476" s="62">
        <f>IF(C476="","",IF(IFERROR(INDEX('Saisie'!$AM$5:$AM$2004,_xlfn.MAXIFS('Saisie'!$AS$5:$AS$2004,'Saisie'!$C$5:$C$2004,C476,'Saisie'!$AM$5:$AM$2004,"&lt;&gt;")-4),"")&lt;&gt;"",IFERROR(INDEX('Saisie'!$AM$5:$AM$2004,_xlfn.MAXIFS('Saisie'!$AS$5:$AS$2004,'Saisie'!$C$5:$C$2004,C476,'Saisie'!$AM$5:$AM$2004,"&lt;&gt;")-4),""),IFERROR(INDEX('Paramètres'!$S$6:$S$15,MATCH(AN476,'Paramètres'!$Q$6:$Q$15,0)),"")))</f>
        <v/>
      </c>
      <c r="AP476" s="62">
        <f>IF(C476="","",IFERROR(INDEX('Saisie'!$AW$5:$AW$2004,_xlfn.MAXIFS('Saisie'!$AS$5:$AS$2004,'Saisie'!$C$5:$C$2004,C476,'Saisie'!$E$5:$E$2004,"Proposition envoyée")-4),""))</f>
        <v/>
      </c>
      <c r="AQ476" s="106">
        <f>IF(C476="","",IFERROR(1/(1/_xlfn.MAXIFS('Saisie'!$A$5:$A$2004,'Saisie'!$C$5:$C$2004,C476,'Saisie'!$E$5:$E$2004,"Proposition envoyée")),""))</f>
        <v/>
      </c>
      <c r="AR476" s="106">
        <f>IF(C476="","",IF(AQ476="","",AQ476+'Paramètres'!$B$26))</f>
        <v/>
      </c>
      <c r="AS476" s="62">
        <f>IF(OR(C476="",D476="Gagné",D476="Perdu"),0,N(AP476)*IFERROR(INDEX('Paramètres'!$G$6:$G$13,MATCH(D476,'Paramètres'!$F$6:$F$13,0)),0))</f>
        <v/>
      </c>
      <c r="AT476" s="106">
        <f>IF(C476="","",IFERROR(1/(1/_xlfn.MINIFS('Saisie'!$A$5:$A$2004,'Saisie'!$C$5:$C$2004,C476,'Saisie'!$E$5:$E$2004,"Signature")),""))</f>
        <v/>
      </c>
      <c r="AU476" s="60">
        <f>IF(C476="","",IF(OR(AT476="",B476=""),"",AT476-B476))</f>
        <v/>
      </c>
      <c r="AV476" s="60">
        <f>IF(C476="","",IFERROR(INDEX('Saisie'!$L$5:$L$2004,_xlfn.MAXIFS('Saisie'!$AS$5:$AS$2004,'Saisie'!$C$5:$C$2004,C476,'Saisie'!$L$5:$L$2004,"&lt;&gt;")-4),""))</f>
        <v/>
      </c>
      <c r="AW476" s="106">
        <f>IF(C476="","",IF(D476&lt;&gt;"Perdu","",IFERROR(1/(1/_xlfn.MAXIFS('Saisie'!$A$5:$A$2004,'Saisie'!$C$5:$C$2004,C476,'Saisie'!$E$5:$E$2004,"Perdu")),"")))</f>
        <v/>
      </c>
      <c r="AX476" s="106">
        <f>IF(C476="","",IF(AW476="","",AW476+'Paramètres'!$B$28))</f>
        <v/>
      </c>
      <c r="AY476" s="60">
        <f>IF(C476="","",SUMIFS('Saisie'!$H$5:$H$2004,'Saisie'!$C$5:$C$2004,C476))</f>
        <v/>
      </c>
      <c r="AZ476" s="60">
        <f>IF(C476="","",IFERROR(INDEX('Paramètres'!$W$6:$W$20,MATCH(S476,'Paramètres'!$V$6:$V$20,0))&amp;"",""))</f>
        <v/>
      </c>
      <c r="BA476" s="60">
        <f>IF(C476="","",MAX(1,_xlfn.MAXIFS('Saisie'!$AT$5:$AT$2004,'Saisie'!$C$5:$C$2004,C476)))</f>
        <v/>
      </c>
      <c r="BB476" s="60">
        <f>IF(C476="","",IFERROR(INDEX('Saisie'!$X$5:$X$2004,_xlfn.MAXIFS('Saisie'!$AS$5:$AS$2004,'Saisie'!$C$5:$C$2004,C476,'Saisie'!$X$5:$X$2004,"&lt;&gt;")-4),""))</f>
        <v/>
      </c>
      <c r="BC476" s="60">
        <f>IF(C476="","",IFERROR(INDEX('Saisie'!$Y$5:$Y$2004,_xlfn.MAXIFS('Saisie'!$AS$5:$AS$2004,'Saisie'!$C$5:$C$2004,C476,'Saisie'!$Y$5:$Y$2004,"&lt;&gt;")-4),""))</f>
        <v/>
      </c>
      <c r="BD476" s="106">
        <f>IF(C476="","",IFERROR(1/(1/_xlfn.MINIFS('Saisie'!$A$5:$A$2004,'Saisie'!$C$5:$C$2004,C476,'Saisie'!$AT$5:$AT$2004,"&gt;=2")),""))</f>
        <v/>
      </c>
      <c r="BE476" s="106">
        <f>IF(C476="","",IFERROR(1/(1/_xlfn.MINIFS('Saisie'!$A$5:$A$2004,'Saisie'!$C$5:$C$2004,C476,'Saisie'!$AT$5:$AT$2004,"&gt;=3")),""))</f>
        <v/>
      </c>
      <c r="BF476" s="106">
        <f>IF(C476="","",IFERROR(1/(1/_xlfn.MINIFS('Saisie'!$A$5:$A$2004,'Saisie'!$C$5:$C$2004,C476,'Saisie'!$AT$5:$AT$2004,"&gt;=4")),""))</f>
        <v/>
      </c>
      <c r="BG476" s="106">
        <f>IF(C476="","",IFERROR(1/(1/_xlfn.MINIFS('Saisie'!$A$5:$A$2004,'Saisie'!$C$5:$C$2004,C476,'Saisie'!$AT$5:$AT$2004,"&gt;=5")),""))</f>
        <v/>
      </c>
      <c r="BH476" s="106">
        <f>IF(C476="","",IFERROR(1/(1/_xlfn.MINIFS('Saisie'!$A$5:$A$2004,'Saisie'!$C$5:$C$2004,C476,'Saisie'!$AT$5:$AT$2004,"&gt;=6")),""))</f>
        <v/>
      </c>
      <c r="BI476" s="106">
        <f>IF(C476="","",IFERROR(1/(1/_xlfn.MINIFS('Saisie'!$A$5:$A$2004,'Saisie'!$C$5:$C$2004,C476,'Saisie'!$AT$5:$AT$2004,"&gt;=7")),""))</f>
        <v/>
      </c>
      <c r="BJ476" s="60">
        <f>IF(OR(BD476="",B476=""),"",BD476-B476)</f>
        <v/>
      </c>
      <c r="BK476" s="60">
        <f>IF(OR(BE476="",BD476=""),"",BE476-BD476)</f>
        <v/>
      </c>
      <c r="BL476" s="60">
        <f>IF(OR(BF476="",BE476=""),"",BF476-BE476)</f>
        <v/>
      </c>
      <c r="BM476" s="60">
        <f>IF(OR(BG476="",BF476=""),"",BG476-BF476)</f>
        <v/>
      </c>
      <c r="BN476" s="60">
        <f>IF(OR(BH476="",BG476=""),"",BH476-BG476)</f>
        <v/>
      </c>
      <c r="BO476" s="60">
        <f>IF(OR(BI476="",BH476=""),"",BI476-BH476)</f>
        <v/>
      </c>
      <c r="BP476" s="60">
        <f>IF(C476="","",_xlfn.MAXIFS('Saisie'!$AS$5:$AS$2004,'Saisie'!$C$5:$C$2004,C476,'Saisie'!$J$5:$J$2004,"&lt;&gt;"))</f>
        <v/>
      </c>
      <c r="BQ476" s="60">
        <f>IF(C476="","",_xlfn.MAXIFS('Saisie'!$AS$5:$AS$2004,'Saisie'!$C$5:$C$2004,C476))</f>
        <v/>
      </c>
      <c r="BR476" s="60">
        <f>IF(C476="","",_xlfn.MAXIFS('Saisie'!$AS$5:$AS$2004,'Saisie'!$C$5:$C$2004,C476,'Saisie'!$E$5:$E$2004,"Perdu"))</f>
        <v/>
      </c>
      <c r="BS476" s="60">
        <f>IF(C476="","",_xlfn.MAXIFS('Saisie'!$AS$5:$AS$2004,'Saisie'!$C$5:$C$2004,C476,'Saisie'!$AT$5:$AT$2004,"&gt;0"))</f>
        <v/>
      </c>
      <c r="BT476" s="109">
        <f>IF(AND(C476&lt;&gt;"",OR(D476="Nouveau",D476="Contacté",D476="Qualifié"),OR(G476="",N(G476)&lt;=TODAY()),NOT(AND(O476&gt;='Paramètres'!$B$21,P476=0))),E476+472/10000,"")</f>
        <v/>
      </c>
      <c r="BU476" s="60">
        <f>IF(AND(G476&lt;&gt;"",N(G476)&lt;=TODAY()),MAX($BU$4:BU475)+1,"")</f>
        <v/>
      </c>
      <c r="BV476" s="60">
        <f>IF(AND(F476&lt;&gt;"",F476&lt;&gt;"Relance en retard"),MAX($BV$4:BV475)+1,"")</f>
        <v/>
      </c>
      <c r="BW476" s="60">
        <f>IF(C476="","",IF(AND(B476&gt;='Tableau de bord'!$R$4,B476&lt;='Tableau de bord'!$S$4,OR('Tableau de bord'!$G$4="Tous",N476='Tableau de bord'!$G$4)),1,0))</f>
        <v/>
      </c>
      <c r="BX476" s="60">
        <f>IF(AND(C476&lt;&gt;"",N(BA476)=7),MAX($BX$4:BX475)+1,"")</f>
        <v/>
      </c>
    </row>
    <row r="477">
      <c r="A477" s="60">
        <f>IF(C477="","","P-"&amp;TEXT(473,"000"))</f>
        <v/>
      </c>
      <c r="B477" s="106">
        <f>IF(C477="","",IFERROR(1/(1/_xlfn.MINIFS('Saisie'!$A$5:$A$2004,'Saisie'!$C$5:$C$2004,C477)),""))</f>
        <v/>
      </c>
      <c r="C477" s="60">
        <f>IFERROR(INDEX('Saisie'!$C$5:$C$2004,MATCH(473,'Saisie'!$AX$5:$AX$2004,0)),"")</f>
        <v/>
      </c>
      <c r="D477" s="60">
        <f>IF(C477="","",IF(AND(BR477&gt;0,BR477&gt;BS477,BA477&lt;7),"Perdu",INDEX('Paramètres'!$F$6:$F$13,BA477)))</f>
        <v/>
      </c>
      <c r="E477" s="61">
        <f>IF(C477="","",MIN(100,(Z477="Oui")*'Paramètres'!$B$38+(AB477="Régulière")*'Paramètres'!$B$39+IF(AND(N(AA477)&gt;0,TODAY()-N(AA477)&lt;=30),'Paramètres'!$B$40,0)+(W477="")*'Paramètres'!$B$41+(AC477="Absente")*'Paramètres'!$B$42+(AC477="Faible")*'Paramètres'!$B$43+IF(AND(N(AD477)&gt;0,N(AD477)&lt;4),'Paramètres'!$B$44,0)+(AF477="Moyenne")*'Paramètres'!$B$45+(AF477="Grande")*'Paramètres'!$B$46+(Y477&lt;&gt;"")*'Paramètres'!$B$47))</f>
        <v/>
      </c>
      <c r="F477" s="60">
        <f>IF(C477="","",IF(D477="Gagné","",IF(D477="Perdu",IF(AND(AX477&lt;&gt;"",AX477&lt;=TODAY()),"À recontacter (perdu)",""),IF(AND(O477&gt;='Paramètres'!$B$21,P477=0),"Stop : "&amp;'Paramètres'!$B$21&amp;" tentatives sans réponse",IF(AND(D477="Proposition",AR477&lt;&gt;"",TODAY()&gt;N(AR477)),"Proposition expirée",IF(AND(D477="Proposition",N(R477)&gt;='Paramètres'!$B$25),"Proposition sans réponse",IF(AND(G477&lt;&gt;"",N(G477)&lt;TODAY()),"Relance en retard",IF(N(R477)&gt;='Paramètres'!$B$24,"Sans action depuis "&amp;R477&amp;" j",""))))))))</f>
        <v/>
      </c>
      <c r="G477" s="106">
        <f>IF(OR(C477="",D477="Gagné",D477="Perdu"),"",IF(AND(BP477&gt;0,BP477=BQ477),INDEX('Saisie'!$J$5:$J$2004,BP477-4),IF(OR(O477=0,AND(O477&gt;='Paramètres'!$B$21,P477=0)),"",Q477+IF(O477&lt;=1,'Paramètres'!$B$18,IF(O477=2,'Paramètres'!$B$19,'Paramètres'!$B$20)))))</f>
        <v/>
      </c>
      <c r="H477" s="107">
        <f>IF(OR(G477="",BP477&lt;&gt;BQ477),"",IF(INDEX('Saisie'!$K$5:$K$2004,BP477-4)="","",INDEX('Saisie'!$K$5:$K$2004,BP477-4)))</f>
        <v/>
      </c>
      <c r="I477" s="60">
        <f>IF(C477="","",IF(OR(D477="Gagné",D477="Perdu"),"",IFERROR(INDEX('Saisie'!$I$5:$I$2004,_xlfn.MAXIFS('Saisie'!$AS$5:$AS$2004,'Saisie'!$C$5:$C$2004,C477,'Saisie'!$I$5:$I$2004,"&lt;&gt;")-4),"")))</f>
        <v/>
      </c>
      <c r="J477" s="60">
        <f>IF(C477="","",IFERROR(INDEX('Saisie'!$U$5:$U$2004,_xlfn.MAXIFS('Saisie'!$AS$5:$AS$2004,'Saisie'!$C$5:$C$2004,C477,'Saisie'!$U$5:$U$2004,"&lt;&gt;")-4),""))</f>
        <v/>
      </c>
      <c r="K477" s="60">
        <f>IF(C477="","",IFERROR(INDEX('Saisie'!$W$5:$W$2004,_xlfn.MAXIFS('Saisie'!$AS$5:$AS$2004,'Saisie'!$C$5:$C$2004,C477,'Saisie'!$W$5:$W$2004,"&lt;&gt;")-4),""))</f>
        <v/>
      </c>
      <c r="L477" s="60">
        <f>IF(IF(BB477&lt;&gt;"",BB477,K477)="","",HYPERLINK("https://wa.me/"&amp;IF(LEFT(SUBSTITUTE(SUBSTITUTE(SUBSTITUTE(IF(BB477&lt;&gt;"",BB477,K477)," ",""),".",""),"+",""),1)="0",'Paramètres'!$B$35&amp;MID(SUBSTITUTE(SUBSTITUTE(SUBSTITUTE(IF(BB477&lt;&gt;"",BB477,K477)," ",""),".",""),"+",""),2,20),SUBSTITUTE(SUBSTITUTE(SUBSTITUTE(IF(BB477&lt;&gt;"",BB477,K477)," ",""),".",""),"+","")),"WhatsApp"))</f>
        <v/>
      </c>
      <c r="M477" s="60">
        <f>IF(BC477="","",HYPERLINK(IF(LEFT(BC477,4)="http",BC477,"https://www.instagram.com/"&amp;SUBSTITUTE(SUBSTITUTE(BC477,"@","")," ","")),BC477))</f>
        <v/>
      </c>
      <c r="N477" s="60">
        <f>IF(C477="","",IFERROR(INDEX('Saisie'!$D$5:$D$2004,_xlfn.MINIFS('Saisie'!$AS$5:$AS$2004,'Saisie'!$C$5:$C$2004,C477,'Saisie'!$AU$5:$AU$2004,1)-4),IFERROR(INDEX('Saisie'!$D$5:$D$2004,_xlfn.MINIFS('Saisie'!$AS$5:$AS$2004,'Saisie'!$C$5:$C$2004,C477,'Saisie'!$D$5:$D$2004,"&lt;&gt;")-4),"")))</f>
        <v/>
      </c>
      <c r="O477" s="60">
        <f>IF(C477="","",COUNTIFS('Saisie'!$C$5:$C$2004,C477,'Saisie'!$AU$5:$AU$2004,1))</f>
        <v/>
      </c>
      <c r="P477" s="60">
        <f>IF(C477="","",COUNTIFS('Saisie'!$C$5:$C$2004,C477,'Saisie'!$AV$5:$AV$2004,1))</f>
        <v/>
      </c>
      <c r="Q477" s="106">
        <f>IF(C477="","",IFERROR(1/(1/_xlfn.MAXIFS('Saisie'!$A$5:$A$2004,'Saisie'!$C$5:$C$2004,C477)),""))</f>
        <v/>
      </c>
      <c r="R477" s="61">
        <f>IF(C477="","",IF(Q477="","",TODAY()-Q477))</f>
        <v/>
      </c>
      <c r="S477" s="60">
        <f>IF(C477="","",IFERROR(INDEX('Saisie'!$R$5:$R$2004,_xlfn.MAXIFS('Saisie'!$AS$5:$AS$2004,'Saisie'!$C$5:$C$2004,C477,'Saisie'!$R$5:$R$2004,"&lt;&gt;")-4),""))</f>
        <v/>
      </c>
      <c r="T477" s="60">
        <f>IF(C477="","",IFERROR(INDEX('Saisie'!$S$5:$S$2004,_xlfn.MAXIFS('Saisie'!$AS$5:$AS$2004,'Saisie'!$C$5:$C$2004,C477,'Saisie'!$S$5:$S$2004,"&lt;&gt;")-4),""))</f>
        <v/>
      </c>
      <c r="U477" s="60">
        <f>IF(C477="","",IFERROR(INDEX('Saisie'!$T$5:$T$2004,_xlfn.MAXIFS('Saisie'!$AS$5:$AS$2004,'Saisie'!$C$5:$C$2004,C477,'Saisie'!$T$5:$T$2004,"&lt;&gt;")-4),""))</f>
        <v/>
      </c>
      <c r="V477" s="60">
        <f>IF(C477="","",IFERROR(INDEX('Saisie'!$V$5:$V$2004,_xlfn.MAXIFS('Saisie'!$AS$5:$AS$2004,'Saisie'!$C$5:$C$2004,C477,'Saisie'!$V$5:$V$2004,"&lt;&gt;")-4),""))</f>
        <v/>
      </c>
      <c r="W477" s="60">
        <f>IF(C477="","",IFERROR(INDEX('Saisie'!$Z$5:$Z$2004,_xlfn.MAXIFS('Saisie'!$AS$5:$AS$2004,'Saisie'!$C$5:$C$2004,C477,'Saisie'!$Z$5:$Z$2004,"&lt;&gt;")-4),""))</f>
        <v/>
      </c>
      <c r="X477" s="60">
        <f>IF(C477="","",IFERROR(INDEX('Saisie'!$AA$5:$AA$2004,_xlfn.MAXIFS('Saisie'!$AS$5:$AS$2004,'Saisie'!$C$5:$C$2004,C477,'Saisie'!$AA$5:$AA$2004,"&lt;&gt;")-4),""))</f>
        <v/>
      </c>
      <c r="Y477" s="60">
        <f>IF(C477="","",IFERROR(INDEX('Saisie'!$AB$5:$AB$2004,_xlfn.MAXIFS('Saisie'!$AS$5:$AS$2004,'Saisie'!$C$5:$C$2004,C477,'Saisie'!$AB$5:$AB$2004,"&lt;&gt;")-4),""))</f>
        <v/>
      </c>
      <c r="Z477" s="60">
        <f>IF(C477="","",IFERROR(INDEX('Saisie'!$AC$5:$AC$2004,_xlfn.MAXIFS('Saisie'!$AS$5:$AS$2004,'Saisie'!$C$5:$C$2004,C477,'Saisie'!$AC$5:$AC$2004,"&lt;&gt;")-4),""))</f>
        <v/>
      </c>
      <c r="AA477" s="106">
        <f>IF(C477="","",IFERROR(INDEX('Saisie'!$AD$5:$AD$2004,_xlfn.MAXIFS('Saisie'!$AS$5:$AS$2004,'Saisie'!$C$5:$C$2004,C477,'Saisie'!$AD$5:$AD$2004,"&lt;&gt;")-4),""))</f>
        <v/>
      </c>
      <c r="AB477" s="60">
        <f>IF(C477="","",IFERROR(INDEX('Saisie'!$AE$5:$AE$2004,_xlfn.MAXIFS('Saisie'!$AS$5:$AS$2004,'Saisie'!$C$5:$C$2004,C477,'Saisie'!$AE$5:$AE$2004,"&lt;&gt;")-4),""))</f>
        <v/>
      </c>
      <c r="AC477" s="60">
        <f>IF(C477="","",IFERROR(INDEX('Saisie'!$AF$5:$AF$2004,_xlfn.MAXIFS('Saisie'!$AS$5:$AS$2004,'Saisie'!$C$5:$C$2004,C477,'Saisie'!$AF$5:$AF$2004,"&lt;&gt;")-4),""))</f>
        <v/>
      </c>
      <c r="AD477" s="108">
        <f>IF(C477="","",IFERROR(INDEX('Saisie'!$AG$5:$AG$2004,_xlfn.MAXIFS('Saisie'!$AS$5:$AS$2004,'Saisie'!$C$5:$C$2004,C477,'Saisie'!$AG$5:$AG$2004,"&lt;&gt;")-4),""))</f>
        <v/>
      </c>
      <c r="AE477" s="60">
        <f>IF(C477="","",IFERROR(INDEX('Saisie'!$AH$5:$AH$2004,_xlfn.MAXIFS('Saisie'!$AS$5:$AS$2004,'Saisie'!$C$5:$C$2004,C477,'Saisie'!$AH$5:$AH$2004,"&lt;&gt;")-4),""))</f>
        <v/>
      </c>
      <c r="AF477" s="60">
        <f>IF(C477="","",IFERROR(INDEX('Saisie'!$AI$5:$AI$2004,_xlfn.MAXIFS('Saisie'!$AS$5:$AS$2004,'Saisie'!$C$5:$C$2004,C477,'Saisie'!$AI$5:$AI$2004,"&lt;&gt;")-4),""))</f>
        <v/>
      </c>
      <c r="AG477" s="60">
        <f>IF(C477="","",IFERROR(INDEX('Saisie'!$AJ$5:$AJ$2004,_xlfn.MAXIFS('Saisie'!$AS$5:$AS$2004,'Saisie'!$C$5:$C$2004,C477,'Saisie'!$AJ$5:$AJ$2004,"&lt;&gt;")-4),""))</f>
        <v/>
      </c>
      <c r="AH477" s="60">
        <f>IF(C477="","",IFERROR(INDEX('Saisie'!$AK$5:$AK$2004,_xlfn.MAXIFS('Saisie'!$AS$5:$AS$2004,'Saisie'!$C$5:$C$2004,C477,'Saisie'!$AK$5:$AK$2004,"&lt;&gt;")-4),""))</f>
        <v/>
      </c>
      <c r="AI477" s="60">
        <f>IF(C477="","",IFERROR(INDEX('Saisie'!$AN$5:$AN$2004,_xlfn.MAXIFS('Saisie'!$AS$5:$AS$2004,'Saisie'!$C$5:$C$2004,C477,'Saisie'!$AN$5:$AN$2004,"&lt;&gt;")-4),""))</f>
        <v/>
      </c>
      <c r="AJ477" s="60">
        <f>IF(C477="","",IFERROR(INDEX('Saisie'!$AO$5:$AO$2004,_xlfn.MAXIFS('Saisie'!$AS$5:$AS$2004,'Saisie'!$C$5:$C$2004,C477,'Saisie'!$AO$5:$AO$2004,"&lt;&gt;")-4),""))</f>
        <v/>
      </c>
      <c r="AK477" s="60">
        <f>IF(C477="","",IFERROR(INDEX('Saisie'!$AP$5:$AP$2004,_xlfn.MAXIFS('Saisie'!$AS$5:$AS$2004,'Saisie'!$C$5:$C$2004,C477,'Saisie'!$AP$5:$AP$2004,"&lt;&gt;")-4),""))</f>
        <v/>
      </c>
      <c r="AL477" s="60">
        <f>IF(C477="","",IFERROR(INDEX('Saisie'!$AQ$5:$AQ$2004,_xlfn.MAXIFS('Saisie'!$AS$5:$AS$2004,'Saisie'!$C$5:$C$2004,C477,'Saisie'!$AQ$5:$AQ$2004,"&lt;&gt;")-4),""))</f>
        <v/>
      </c>
      <c r="AM477" s="60">
        <f>IF(C477="","",((AI477="Oui")+(AJ477="Oui")+(AK477="Oui")+OR(AL477="Immédiat",AL477="&lt; 1 mois"))&amp;"/4")</f>
        <v/>
      </c>
      <c r="AN477" s="60">
        <f>IF(C477="","",IFERROR(INDEX('Saisie'!$AL$5:$AL$2004,_xlfn.MAXIFS('Saisie'!$AS$5:$AS$2004,'Saisie'!$C$5:$C$2004,C477,'Saisie'!$AL$5:$AL$2004,"&lt;&gt;")-4),""))</f>
        <v/>
      </c>
      <c r="AO477" s="62">
        <f>IF(C477="","",IF(IFERROR(INDEX('Saisie'!$AM$5:$AM$2004,_xlfn.MAXIFS('Saisie'!$AS$5:$AS$2004,'Saisie'!$C$5:$C$2004,C477,'Saisie'!$AM$5:$AM$2004,"&lt;&gt;")-4),"")&lt;&gt;"",IFERROR(INDEX('Saisie'!$AM$5:$AM$2004,_xlfn.MAXIFS('Saisie'!$AS$5:$AS$2004,'Saisie'!$C$5:$C$2004,C477,'Saisie'!$AM$5:$AM$2004,"&lt;&gt;")-4),""),IFERROR(INDEX('Paramètres'!$S$6:$S$15,MATCH(AN477,'Paramètres'!$Q$6:$Q$15,0)),"")))</f>
        <v/>
      </c>
      <c r="AP477" s="62">
        <f>IF(C477="","",IFERROR(INDEX('Saisie'!$AW$5:$AW$2004,_xlfn.MAXIFS('Saisie'!$AS$5:$AS$2004,'Saisie'!$C$5:$C$2004,C477,'Saisie'!$E$5:$E$2004,"Proposition envoyée")-4),""))</f>
        <v/>
      </c>
      <c r="AQ477" s="106">
        <f>IF(C477="","",IFERROR(1/(1/_xlfn.MAXIFS('Saisie'!$A$5:$A$2004,'Saisie'!$C$5:$C$2004,C477,'Saisie'!$E$5:$E$2004,"Proposition envoyée")),""))</f>
        <v/>
      </c>
      <c r="AR477" s="106">
        <f>IF(C477="","",IF(AQ477="","",AQ477+'Paramètres'!$B$26))</f>
        <v/>
      </c>
      <c r="AS477" s="62">
        <f>IF(OR(C477="",D477="Gagné",D477="Perdu"),0,N(AP477)*IFERROR(INDEX('Paramètres'!$G$6:$G$13,MATCH(D477,'Paramètres'!$F$6:$F$13,0)),0))</f>
        <v/>
      </c>
      <c r="AT477" s="106">
        <f>IF(C477="","",IFERROR(1/(1/_xlfn.MINIFS('Saisie'!$A$5:$A$2004,'Saisie'!$C$5:$C$2004,C477,'Saisie'!$E$5:$E$2004,"Signature")),""))</f>
        <v/>
      </c>
      <c r="AU477" s="60">
        <f>IF(C477="","",IF(OR(AT477="",B477=""),"",AT477-B477))</f>
        <v/>
      </c>
      <c r="AV477" s="60">
        <f>IF(C477="","",IFERROR(INDEX('Saisie'!$L$5:$L$2004,_xlfn.MAXIFS('Saisie'!$AS$5:$AS$2004,'Saisie'!$C$5:$C$2004,C477,'Saisie'!$L$5:$L$2004,"&lt;&gt;")-4),""))</f>
        <v/>
      </c>
      <c r="AW477" s="106">
        <f>IF(C477="","",IF(D477&lt;&gt;"Perdu","",IFERROR(1/(1/_xlfn.MAXIFS('Saisie'!$A$5:$A$2004,'Saisie'!$C$5:$C$2004,C477,'Saisie'!$E$5:$E$2004,"Perdu")),"")))</f>
        <v/>
      </c>
      <c r="AX477" s="106">
        <f>IF(C477="","",IF(AW477="","",AW477+'Paramètres'!$B$28))</f>
        <v/>
      </c>
      <c r="AY477" s="60">
        <f>IF(C477="","",SUMIFS('Saisie'!$H$5:$H$2004,'Saisie'!$C$5:$C$2004,C477))</f>
        <v/>
      </c>
      <c r="AZ477" s="60">
        <f>IF(C477="","",IFERROR(INDEX('Paramètres'!$W$6:$W$20,MATCH(S477,'Paramètres'!$V$6:$V$20,0))&amp;"",""))</f>
        <v/>
      </c>
      <c r="BA477" s="60">
        <f>IF(C477="","",MAX(1,_xlfn.MAXIFS('Saisie'!$AT$5:$AT$2004,'Saisie'!$C$5:$C$2004,C477)))</f>
        <v/>
      </c>
      <c r="BB477" s="60">
        <f>IF(C477="","",IFERROR(INDEX('Saisie'!$X$5:$X$2004,_xlfn.MAXIFS('Saisie'!$AS$5:$AS$2004,'Saisie'!$C$5:$C$2004,C477,'Saisie'!$X$5:$X$2004,"&lt;&gt;")-4),""))</f>
        <v/>
      </c>
      <c r="BC477" s="60">
        <f>IF(C477="","",IFERROR(INDEX('Saisie'!$Y$5:$Y$2004,_xlfn.MAXIFS('Saisie'!$AS$5:$AS$2004,'Saisie'!$C$5:$C$2004,C477,'Saisie'!$Y$5:$Y$2004,"&lt;&gt;")-4),""))</f>
        <v/>
      </c>
      <c r="BD477" s="106">
        <f>IF(C477="","",IFERROR(1/(1/_xlfn.MINIFS('Saisie'!$A$5:$A$2004,'Saisie'!$C$5:$C$2004,C477,'Saisie'!$AT$5:$AT$2004,"&gt;=2")),""))</f>
        <v/>
      </c>
      <c r="BE477" s="106">
        <f>IF(C477="","",IFERROR(1/(1/_xlfn.MINIFS('Saisie'!$A$5:$A$2004,'Saisie'!$C$5:$C$2004,C477,'Saisie'!$AT$5:$AT$2004,"&gt;=3")),""))</f>
        <v/>
      </c>
      <c r="BF477" s="106">
        <f>IF(C477="","",IFERROR(1/(1/_xlfn.MINIFS('Saisie'!$A$5:$A$2004,'Saisie'!$C$5:$C$2004,C477,'Saisie'!$AT$5:$AT$2004,"&gt;=4")),""))</f>
        <v/>
      </c>
      <c r="BG477" s="106">
        <f>IF(C477="","",IFERROR(1/(1/_xlfn.MINIFS('Saisie'!$A$5:$A$2004,'Saisie'!$C$5:$C$2004,C477,'Saisie'!$AT$5:$AT$2004,"&gt;=5")),""))</f>
        <v/>
      </c>
      <c r="BH477" s="106">
        <f>IF(C477="","",IFERROR(1/(1/_xlfn.MINIFS('Saisie'!$A$5:$A$2004,'Saisie'!$C$5:$C$2004,C477,'Saisie'!$AT$5:$AT$2004,"&gt;=6")),""))</f>
        <v/>
      </c>
      <c r="BI477" s="106">
        <f>IF(C477="","",IFERROR(1/(1/_xlfn.MINIFS('Saisie'!$A$5:$A$2004,'Saisie'!$C$5:$C$2004,C477,'Saisie'!$AT$5:$AT$2004,"&gt;=7")),""))</f>
        <v/>
      </c>
      <c r="BJ477" s="60">
        <f>IF(OR(BD477="",B477=""),"",BD477-B477)</f>
        <v/>
      </c>
      <c r="BK477" s="60">
        <f>IF(OR(BE477="",BD477=""),"",BE477-BD477)</f>
        <v/>
      </c>
      <c r="BL477" s="60">
        <f>IF(OR(BF477="",BE477=""),"",BF477-BE477)</f>
        <v/>
      </c>
      <c r="BM477" s="60">
        <f>IF(OR(BG477="",BF477=""),"",BG477-BF477)</f>
        <v/>
      </c>
      <c r="BN477" s="60">
        <f>IF(OR(BH477="",BG477=""),"",BH477-BG477)</f>
        <v/>
      </c>
      <c r="BO477" s="60">
        <f>IF(OR(BI477="",BH477=""),"",BI477-BH477)</f>
        <v/>
      </c>
      <c r="BP477" s="60">
        <f>IF(C477="","",_xlfn.MAXIFS('Saisie'!$AS$5:$AS$2004,'Saisie'!$C$5:$C$2004,C477,'Saisie'!$J$5:$J$2004,"&lt;&gt;"))</f>
        <v/>
      </c>
      <c r="BQ477" s="60">
        <f>IF(C477="","",_xlfn.MAXIFS('Saisie'!$AS$5:$AS$2004,'Saisie'!$C$5:$C$2004,C477))</f>
        <v/>
      </c>
      <c r="BR477" s="60">
        <f>IF(C477="","",_xlfn.MAXIFS('Saisie'!$AS$5:$AS$2004,'Saisie'!$C$5:$C$2004,C477,'Saisie'!$E$5:$E$2004,"Perdu"))</f>
        <v/>
      </c>
      <c r="BS477" s="60">
        <f>IF(C477="","",_xlfn.MAXIFS('Saisie'!$AS$5:$AS$2004,'Saisie'!$C$5:$C$2004,C477,'Saisie'!$AT$5:$AT$2004,"&gt;0"))</f>
        <v/>
      </c>
      <c r="BT477" s="109">
        <f>IF(AND(C477&lt;&gt;"",OR(D477="Nouveau",D477="Contacté",D477="Qualifié"),OR(G477="",N(G477)&lt;=TODAY()),NOT(AND(O477&gt;='Paramètres'!$B$21,P477=0))),E477+473/10000,"")</f>
        <v/>
      </c>
      <c r="BU477" s="60">
        <f>IF(AND(G477&lt;&gt;"",N(G477)&lt;=TODAY()),MAX($BU$4:BU476)+1,"")</f>
        <v/>
      </c>
      <c r="BV477" s="60">
        <f>IF(AND(F477&lt;&gt;"",F477&lt;&gt;"Relance en retard"),MAX($BV$4:BV476)+1,"")</f>
        <v/>
      </c>
      <c r="BW477" s="60">
        <f>IF(C477="","",IF(AND(B477&gt;='Tableau de bord'!$R$4,B477&lt;='Tableau de bord'!$S$4,OR('Tableau de bord'!$G$4="Tous",N477='Tableau de bord'!$G$4)),1,0))</f>
        <v/>
      </c>
      <c r="BX477" s="60">
        <f>IF(AND(C477&lt;&gt;"",N(BA477)=7),MAX($BX$4:BX476)+1,"")</f>
        <v/>
      </c>
    </row>
    <row r="478">
      <c r="A478" s="60">
        <f>IF(C478="","","P-"&amp;TEXT(474,"000"))</f>
        <v/>
      </c>
      <c r="B478" s="106">
        <f>IF(C478="","",IFERROR(1/(1/_xlfn.MINIFS('Saisie'!$A$5:$A$2004,'Saisie'!$C$5:$C$2004,C478)),""))</f>
        <v/>
      </c>
      <c r="C478" s="60">
        <f>IFERROR(INDEX('Saisie'!$C$5:$C$2004,MATCH(474,'Saisie'!$AX$5:$AX$2004,0)),"")</f>
        <v/>
      </c>
      <c r="D478" s="60">
        <f>IF(C478="","",IF(AND(BR478&gt;0,BR478&gt;BS478,BA478&lt;7),"Perdu",INDEX('Paramètres'!$F$6:$F$13,BA478)))</f>
        <v/>
      </c>
      <c r="E478" s="61">
        <f>IF(C478="","",MIN(100,(Z478="Oui")*'Paramètres'!$B$38+(AB478="Régulière")*'Paramètres'!$B$39+IF(AND(N(AA478)&gt;0,TODAY()-N(AA478)&lt;=30),'Paramètres'!$B$40,0)+(W478="")*'Paramètres'!$B$41+(AC478="Absente")*'Paramètres'!$B$42+(AC478="Faible")*'Paramètres'!$B$43+IF(AND(N(AD478)&gt;0,N(AD478)&lt;4),'Paramètres'!$B$44,0)+(AF478="Moyenne")*'Paramètres'!$B$45+(AF478="Grande")*'Paramètres'!$B$46+(Y478&lt;&gt;"")*'Paramètres'!$B$47))</f>
        <v/>
      </c>
      <c r="F478" s="60">
        <f>IF(C478="","",IF(D478="Gagné","",IF(D478="Perdu",IF(AND(AX478&lt;&gt;"",AX478&lt;=TODAY()),"À recontacter (perdu)",""),IF(AND(O478&gt;='Paramètres'!$B$21,P478=0),"Stop : "&amp;'Paramètres'!$B$21&amp;" tentatives sans réponse",IF(AND(D478="Proposition",AR478&lt;&gt;"",TODAY()&gt;N(AR478)),"Proposition expirée",IF(AND(D478="Proposition",N(R478)&gt;='Paramètres'!$B$25),"Proposition sans réponse",IF(AND(G478&lt;&gt;"",N(G478)&lt;TODAY()),"Relance en retard",IF(N(R478)&gt;='Paramètres'!$B$24,"Sans action depuis "&amp;R478&amp;" j",""))))))))</f>
        <v/>
      </c>
      <c r="G478" s="106">
        <f>IF(OR(C478="",D478="Gagné",D478="Perdu"),"",IF(AND(BP478&gt;0,BP478=BQ478),INDEX('Saisie'!$J$5:$J$2004,BP478-4),IF(OR(O478=0,AND(O478&gt;='Paramètres'!$B$21,P478=0)),"",Q478+IF(O478&lt;=1,'Paramètres'!$B$18,IF(O478=2,'Paramètres'!$B$19,'Paramètres'!$B$20)))))</f>
        <v/>
      </c>
      <c r="H478" s="107">
        <f>IF(OR(G478="",BP478&lt;&gt;BQ478),"",IF(INDEX('Saisie'!$K$5:$K$2004,BP478-4)="","",INDEX('Saisie'!$K$5:$K$2004,BP478-4)))</f>
        <v/>
      </c>
      <c r="I478" s="60">
        <f>IF(C478="","",IF(OR(D478="Gagné",D478="Perdu"),"",IFERROR(INDEX('Saisie'!$I$5:$I$2004,_xlfn.MAXIFS('Saisie'!$AS$5:$AS$2004,'Saisie'!$C$5:$C$2004,C478,'Saisie'!$I$5:$I$2004,"&lt;&gt;")-4),"")))</f>
        <v/>
      </c>
      <c r="J478" s="60">
        <f>IF(C478="","",IFERROR(INDEX('Saisie'!$U$5:$U$2004,_xlfn.MAXIFS('Saisie'!$AS$5:$AS$2004,'Saisie'!$C$5:$C$2004,C478,'Saisie'!$U$5:$U$2004,"&lt;&gt;")-4),""))</f>
        <v/>
      </c>
      <c r="K478" s="60">
        <f>IF(C478="","",IFERROR(INDEX('Saisie'!$W$5:$W$2004,_xlfn.MAXIFS('Saisie'!$AS$5:$AS$2004,'Saisie'!$C$5:$C$2004,C478,'Saisie'!$W$5:$W$2004,"&lt;&gt;")-4),""))</f>
        <v/>
      </c>
      <c r="L478" s="60">
        <f>IF(IF(BB478&lt;&gt;"",BB478,K478)="","",HYPERLINK("https://wa.me/"&amp;IF(LEFT(SUBSTITUTE(SUBSTITUTE(SUBSTITUTE(IF(BB478&lt;&gt;"",BB478,K478)," ",""),".",""),"+",""),1)="0",'Paramètres'!$B$35&amp;MID(SUBSTITUTE(SUBSTITUTE(SUBSTITUTE(IF(BB478&lt;&gt;"",BB478,K478)," ",""),".",""),"+",""),2,20),SUBSTITUTE(SUBSTITUTE(SUBSTITUTE(IF(BB478&lt;&gt;"",BB478,K478)," ",""),".",""),"+","")),"WhatsApp"))</f>
        <v/>
      </c>
      <c r="M478" s="60">
        <f>IF(BC478="","",HYPERLINK(IF(LEFT(BC478,4)="http",BC478,"https://www.instagram.com/"&amp;SUBSTITUTE(SUBSTITUTE(BC478,"@","")," ","")),BC478))</f>
        <v/>
      </c>
      <c r="N478" s="60">
        <f>IF(C478="","",IFERROR(INDEX('Saisie'!$D$5:$D$2004,_xlfn.MINIFS('Saisie'!$AS$5:$AS$2004,'Saisie'!$C$5:$C$2004,C478,'Saisie'!$AU$5:$AU$2004,1)-4),IFERROR(INDEX('Saisie'!$D$5:$D$2004,_xlfn.MINIFS('Saisie'!$AS$5:$AS$2004,'Saisie'!$C$5:$C$2004,C478,'Saisie'!$D$5:$D$2004,"&lt;&gt;")-4),"")))</f>
        <v/>
      </c>
      <c r="O478" s="60">
        <f>IF(C478="","",COUNTIFS('Saisie'!$C$5:$C$2004,C478,'Saisie'!$AU$5:$AU$2004,1))</f>
        <v/>
      </c>
      <c r="P478" s="60">
        <f>IF(C478="","",COUNTIFS('Saisie'!$C$5:$C$2004,C478,'Saisie'!$AV$5:$AV$2004,1))</f>
        <v/>
      </c>
      <c r="Q478" s="106">
        <f>IF(C478="","",IFERROR(1/(1/_xlfn.MAXIFS('Saisie'!$A$5:$A$2004,'Saisie'!$C$5:$C$2004,C478)),""))</f>
        <v/>
      </c>
      <c r="R478" s="61">
        <f>IF(C478="","",IF(Q478="","",TODAY()-Q478))</f>
        <v/>
      </c>
      <c r="S478" s="60">
        <f>IF(C478="","",IFERROR(INDEX('Saisie'!$R$5:$R$2004,_xlfn.MAXIFS('Saisie'!$AS$5:$AS$2004,'Saisie'!$C$5:$C$2004,C478,'Saisie'!$R$5:$R$2004,"&lt;&gt;")-4),""))</f>
        <v/>
      </c>
      <c r="T478" s="60">
        <f>IF(C478="","",IFERROR(INDEX('Saisie'!$S$5:$S$2004,_xlfn.MAXIFS('Saisie'!$AS$5:$AS$2004,'Saisie'!$C$5:$C$2004,C478,'Saisie'!$S$5:$S$2004,"&lt;&gt;")-4),""))</f>
        <v/>
      </c>
      <c r="U478" s="60">
        <f>IF(C478="","",IFERROR(INDEX('Saisie'!$T$5:$T$2004,_xlfn.MAXIFS('Saisie'!$AS$5:$AS$2004,'Saisie'!$C$5:$C$2004,C478,'Saisie'!$T$5:$T$2004,"&lt;&gt;")-4),""))</f>
        <v/>
      </c>
      <c r="V478" s="60">
        <f>IF(C478="","",IFERROR(INDEX('Saisie'!$V$5:$V$2004,_xlfn.MAXIFS('Saisie'!$AS$5:$AS$2004,'Saisie'!$C$5:$C$2004,C478,'Saisie'!$V$5:$V$2004,"&lt;&gt;")-4),""))</f>
        <v/>
      </c>
      <c r="W478" s="60">
        <f>IF(C478="","",IFERROR(INDEX('Saisie'!$Z$5:$Z$2004,_xlfn.MAXIFS('Saisie'!$AS$5:$AS$2004,'Saisie'!$C$5:$C$2004,C478,'Saisie'!$Z$5:$Z$2004,"&lt;&gt;")-4),""))</f>
        <v/>
      </c>
      <c r="X478" s="60">
        <f>IF(C478="","",IFERROR(INDEX('Saisie'!$AA$5:$AA$2004,_xlfn.MAXIFS('Saisie'!$AS$5:$AS$2004,'Saisie'!$C$5:$C$2004,C478,'Saisie'!$AA$5:$AA$2004,"&lt;&gt;")-4),""))</f>
        <v/>
      </c>
      <c r="Y478" s="60">
        <f>IF(C478="","",IFERROR(INDEX('Saisie'!$AB$5:$AB$2004,_xlfn.MAXIFS('Saisie'!$AS$5:$AS$2004,'Saisie'!$C$5:$C$2004,C478,'Saisie'!$AB$5:$AB$2004,"&lt;&gt;")-4),""))</f>
        <v/>
      </c>
      <c r="Z478" s="60">
        <f>IF(C478="","",IFERROR(INDEX('Saisie'!$AC$5:$AC$2004,_xlfn.MAXIFS('Saisie'!$AS$5:$AS$2004,'Saisie'!$C$5:$C$2004,C478,'Saisie'!$AC$5:$AC$2004,"&lt;&gt;")-4),""))</f>
        <v/>
      </c>
      <c r="AA478" s="106">
        <f>IF(C478="","",IFERROR(INDEX('Saisie'!$AD$5:$AD$2004,_xlfn.MAXIFS('Saisie'!$AS$5:$AS$2004,'Saisie'!$C$5:$C$2004,C478,'Saisie'!$AD$5:$AD$2004,"&lt;&gt;")-4),""))</f>
        <v/>
      </c>
      <c r="AB478" s="60">
        <f>IF(C478="","",IFERROR(INDEX('Saisie'!$AE$5:$AE$2004,_xlfn.MAXIFS('Saisie'!$AS$5:$AS$2004,'Saisie'!$C$5:$C$2004,C478,'Saisie'!$AE$5:$AE$2004,"&lt;&gt;")-4),""))</f>
        <v/>
      </c>
      <c r="AC478" s="60">
        <f>IF(C478="","",IFERROR(INDEX('Saisie'!$AF$5:$AF$2004,_xlfn.MAXIFS('Saisie'!$AS$5:$AS$2004,'Saisie'!$C$5:$C$2004,C478,'Saisie'!$AF$5:$AF$2004,"&lt;&gt;")-4),""))</f>
        <v/>
      </c>
      <c r="AD478" s="108">
        <f>IF(C478="","",IFERROR(INDEX('Saisie'!$AG$5:$AG$2004,_xlfn.MAXIFS('Saisie'!$AS$5:$AS$2004,'Saisie'!$C$5:$C$2004,C478,'Saisie'!$AG$5:$AG$2004,"&lt;&gt;")-4),""))</f>
        <v/>
      </c>
      <c r="AE478" s="60">
        <f>IF(C478="","",IFERROR(INDEX('Saisie'!$AH$5:$AH$2004,_xlfn.MAXIFS('Saisie'!$AS$5:$AS$2004,'Saisie'!$C$5:$C$2004,C478,'Saisie'!$AH$5:$AH$2004,"&lt;&gt;")-4),""))</f>
        <v/>
      </c>
      <c r="AF478" s="60">
        <f>IF(C478="","",IFERROR(INDEX('Saisie'!$AI$5:$AI$2004,_xlfn.MAXIFS('Saisie'!$AS$5:$AS$2004,'Saisie'!$C$5:$C$2004,C478,'Saisie'!$AI$5:$AI$2004,"&lt;&gt;")-4),""))</f>
        <v/>
      </c>
      <c r="AG478" s="60">
        <f>IF(C478="","",IFERROR(INDEX('Saisie'!$AJ$5:$AJ$2004,_xlfn.MAXIFS('Saisie'!$AS$5:$AS$2004,'Saisie'!$C$5:$C$2004,C478,'Saisie'!$AJ$5:$AJ$2004,"&lt;&gt;")-4),""))</f>
        <v/>
      </c>
      <c r="AH478" s="60">
        <f>IF(C478="","",IFERROR(INDEX('Saisie'!$AK$5:$AK$2004,_xlfn.MAXIFS('Saisie'!$AS$5:$AS$2004,'Saisie'!$C$5:$C$2004,C478,'Saisie'!$AK$5:$AK$2004,"&lt;&gt;")-4),""))</f>
        <v/>
      </c>
      <c r="AI478" s="60">
        <f>IF(C478="","",IFERROR(INDEX('Saisie'!$AN$5:$AN$2004,_xlfn.MAXIFS('Saisie'!$AS$5:$AS$2004,'Saisie'!$C$5:$C$2004,C478,'Saisie'!$AN$5:$AN$2004,"&lt;&gt;")-4),""))</f>
        <v/>
      </c>
      <c r="AJ478" s="60">
        <f>IF(C478="","",IFERROR(INDEX('Saisie'!$AO$5:$AO$2004,_xlfn.MAXIFS('Saisie'!$AS$5:$AS$2004,'Saisie'!$C$5:$C$2004,C478,'Saisie'!$AO$5:$AO$2004,"&lt;&gt;")-4),""))</f>
        <v/>
      </c>
      <c r="AK478" s="60">
        <f>IF(C478="","",IFERROR(INDEX('Saisie'!$AP$5:$AP$2004,_xlfn.MAXIFS('Saisie'!$AS$5:$AS$2004,'Saisie'!$C$5:$C$2004,C478,'Saisie'!$AP$5:$AP$2004,"&lt;&gt;")-4),""))</f>
        <v/>
      </c>
      <c r="AL478" s="60">
        <f>IF(C478="","",IFERROR(INDEX('Saisie'!$AQ$5:$AQ$2004,_xlfn.MAXIFS('Saisie'!$AS$5:$AS$2004,'Saisie'!$C$5:$C$2004,C478,'Saisie'!$AQ$5:$AQ$2004,"&lt;&gt;")-4),""))</f>
        <v/>
      </c>
      <c r="AM478" s="60">
        <f>IF(C478="","",((AI478="Oui")+(AJ478="Oui")+(AK478="Oui")+OR(AL478="Immédiat",AL478="&lt; 1 mois"))&amp;"/4")</f>
        <v/>
      </c>
      <c r="AN478" s="60">
        <f>IF(C478="","",IFERROR(INDEX('Saisie'!$AL$5:$AL$2004,_xlfn.MAXIFS('Saisie'!$AS$5:$AS$2004,'Saisie'!$C$5:$C$2004,C478,'Saisie'!$AL$5:$AL$2004,"&lt;&gt;")-4),""))</f>
        <v/>
      </c>
      <c r="AO478" s="62">
        <f>IF(C478="","",IF(IFERROR(INDEX('Saisie'!$AM$5:$AM$2004,_xlfn.MAXIFS('Saisie'!$AS$5:$AS$2004,'Saisie'!$C$5:$C$2004,C478,'Saisie'!$AM$5:$AM$2004,"&lt;&gt;")-4),"")&lt;&gt;"",IFERROR(INDEX('Saisie'!$AM$5:$AM$2004,_xlfn.MAXIFS('Saisie'!$AS$5:$AS$2004,'Saisie'!$C$5:$C$2004,C478,'Saisie'!$AM$5:$AM$2004,"&lt;&gt;")-4),""),IFERROR(INDEX('Paramètres'!$S$6:$S$15,MATCH(AN478,'Paramètres'!$Q$6:$Q$15,0)),"")))</f>
        <v/>
      </c>
      <c r="AP478" s="62">
        <f>IF(C478="","",IFERROR(INDEX('Saisie'!$AW$5:$AW$2004,_xlfn.MAXIFS('Saisie'!$AS$5:$AS$2004,'Saisie'!$C$5:$C$2004,C478,'Saisie'!$E$5:$E$2004,"Proposition envoyée")-4),""))</f>
        <v/>
      </c>
      <c r="AQ478" s="106">
        <f>IF(C478="","",IFERROR(1/(1/_xlfn.MAXIFS('Saisie'!$A$5:$A$2004,'Saisie'!$C$5:$C$2004,C478,'Saisie'!$E$5:$E$2004,"Proposition envoyée")),""))</f>
        <v/>
      </c>
      <c r="AR478" s="106">
        <f>IF(C478="","",IF(AQ478="","",AQ478+'Paramètres'!$B$26))</f>
        <v/>
      </c>
      <c r="AS478" s="62">
        <f>IF(OR(C478="",D478="Gagné",D478="Perdu"),0,N(AP478)*IFERROR(INDEX('Paramètres'!$G$6:$G$13,MATCH(D478,'Paramètres'!$F$6:$F$13,0)),0))</f>
        <v/>
      </c>
      <c r="AT478" s="106">
        <f>IF(C478="","",IFERROR(1/(1/_xlfn.MINIFS('Saisie'!$A$5:$A$2004,'Saisie'!$C$5:$C$2004,C478,'Saisie'!$E$5:$E$2004,"Signature")),""))</f>
        <v/>
      </c>
      <c r="AU478" s="60">
        <f>IF(C478="","",IF(OR(AT478="",B478=""),"",AT478-B478))</f>
        <v/>
      </c>
      <c r="AV478" s="60">
        <f>IF(C478="","",IFERROR(INDEX('Saisie'!$L$5:$L$2004,_xlfn.MAXIFS('Saisie'!$AS$5:$AS$2004,'Saisie'!$C$5:$C$2004,C478,'Saisie'!$L$5:$L$2004,"&lt;&gt;")-4),""))</f>
        <v/>
      </c>
      <c r="AW478" s="106">
        <f>IF(C478="","",IF(D478&lt;&gt;"Perdu","",IFERROR(1/(1/_xlfn.MAXIFS('Saisie'!$A$5:$A$2004,'Saisie'!$C$5:$C$2004,C478,'Saisie'!$E$5:$E$2004,"Perdu")),"")))</f>
        <v/>
      </c>
      <c r="AX478" s="106">
        <f>IF(C478="","",IF(AW478="","",AW478+'Paramètres'!$B$28))</f>
        <v/>
      </c>
      <c r="AY478" s="60">
        <f>IF(C478="","",SUMIFS('Saisie'!$H$5:$H$2004,'Saisie'!$C$5:$C$2004,C478))</f>
        <v/>
      </c>
      <c r="AZ478" s="60">
        <f>IF(C478="","",IFERROR(INDEX('Paramètres'!$W$6:$W$20,MATCH(S478,'Paramètres'!$V$6:$V$20,0))&amp;"",""))</f>
        <v/>
      </c>
      <c r="BA478" s="60">
        <f>IF(C478="","",MAX(1,_xlfn.MAXIFS('Saisie'!$AT$5:$AT$2004,'Saisie'!$C$5:$C$2004,C478)))</f>
        <v/>
      </c>
      <c r="BB478" s="60">
        <f>IF(C478="","",IFERROR(INDEX('Saisie'!$X$5:$X$2004,_xlfn.MAXIFS('Saisie'!$AS$5:$AS$2004,'Saisie'!$C$5:$C$2004,C478,'Saisie'!$X$5:$X$2004,"&lt;&gt;")-4),""))</f>
        <v/>
      </c>
      <c r="BC478" s="60">
        <f>IF(C478="","",IFERROR(INDEX('Saisie'!$Y$5:$Y$2004,_xlfn.MAXIFS('Saisie'!$AS$5:$AS$2004,'Saisie'!$C$5:$C$2004,C478,'Saisie'!$Y$5:$Y$2004,"&lt;&gt;")-4),""))</f>
        <v/>
      </c>
      <c r="BD478" s="106">
        <f>IF(C478="","",IFERROR(1/(1/_xlfn.MINIFS('Saisie'!$A$5:$A$2004,'Saisie'!$C$5:$C$2004,C478,'Saisie'!$AT$5:$AT$2004,"&gt;=2")),""))</f>
        <v/>
      </c>
      <c r="BE478" s="106">
        <f>IF(C478="","",IFERROR(1/(1/_xlfn.MINIFS('Saisie'!$A$5:$A$2004,'Saisie'!$C$5:$C$2004,C478,'Saisie'!$AT$5:$AT$2004,"&gt;=3")),""))</f>
        <v/>
      </c>
      <c r="BF478" s="106">
        <f>IF(C478="","",IFERROR(1/(1/_xlfn.MINIFS('Saisie'!$A$5:$A$2004,'Saisie'!$C$5:$C$2004,C478,'Saisie'!$AT$5:$AT$2004,"&gt;=4")),""))</f>
        <v/>
      </c>
      <c r="BG478" s="106">
        <f>IF(C478="","",IFERROR(1/(1/_xlfn.MINIFS('Saisie'!$A$5:$A$2004,'Saisie'!$C$5:$C$2004,C478,'Saisie'!$AT$5:$AT$2004,"&gt;=5")),""))</f>
        <v/>
      </c>
      <c r="BH478" s="106">
        <f>IF(C478="","",IFERROR(1/(1/_xlfn.MINIFS('Saisie'!$A$5:$A$2004,'Saisie'!$C$5:$C$2004,C478,'Saisie'!$AT$5:$AT$2004,"&gt;=6")),""))</f>
        <v/>
      </c>
      <c r="BI478" s="106">
        <f>IF(C478="","",IFERROR(1/(1/_xlfn.MINIFS('Saisie'!$A$5:$A$2004,'Saisie'!$C$5:$C$2004,C478,'Saisie'!$AT$5:$AT$2004,"&gt;=7")),""))</f>
        <v/>
      </c>
      <c r="BJ478" s="60">
        <f>IF(OR(BD478="",B478=""),"",BD478-B478)</f>
        <v/>
      </c>
      <c r="BK478" s="60">
        <f>IF(OR(BE478="",BD478=""),"",BE478-BD478)</f>
        <v/>
      </c>
      <c r="BL478" s="60">
        <f>IF(OR(BF478="",BE478=""),"",BF478-BE478)</f>
        <v/>
      </c>
      <c r="BM478" s="60">
        <f>IF(OR(BG478="",BF478=""),"",BG478-BF478)</f>
        <v/>
      </c>
      <c r="BN478" s="60">
        <f>IF(OR(BH478="",BG478=""),"",BH478-BG478)</f>
        <v/>
      </c>
      <c r="BO478" s="60">
        <f>IF(OR(BI478="",BH478=""),"",BI478-BH478)</f>
        <v/>
      </c>
      <c r="BP478" s="60">
        <f>IF(C478="","",_xlfn.MAXIFS('Saisie'!$AS$5:$AS$2004,'Saisie'!$C$5:$C$2004,C478,'Saisie'!$J$5:$J$2004,"&lt;&gt;"))</f>
        <v/>
      </c>
      <c r="BQ478" s="60">
        <f>IF(C478="","",_xlfn.MAXIFS('Saisie'!$AS$5:$AS$2004,'Saisie'!$C$5:$C$2004,C478))</f>
        <v/>
      </c>
      <c r="BR478" s="60">
        <f>IF(C478="","",_xlfn.MAXIFS('Saisie'!$AS$5:$AS$2004,'Saisie'!$C$5:$C$2004,C478,'Saisie'!$E$5:$E$2004,"Perdu"))</f>
        <v/>
      </c>
      <c r="BS478" s="60">
        <f>IF(C478="","",_xlfn.MAXIFS('Saisie'!$AS$5:$AS$2004,'Saisie'!$C$5:$C$2004,C478,'Saisie'!$AT$5:$AT$2004,"&gt;0"))</f>
        <v/>
      </c>
      <c r="BT478" s="109">
        <f>IF(AND(C478&lt;&gt;"",OR(D478="Nouveau",D478="Contacté",D478="Qualifié"),OR(G478="",N(G478)&lt;=TODAY()),NOT(AND(O478&gt;='Paramètres'!$B$21,P478=0))),E478+474/10000,"")</f>
        <v/>
      </c>
      <c r="BU478" s="60">
        <f>IF(AND(G478&lt;&gt;"",N(G478)&lt;=TODAY()),MAX($BU$4:BU477)+1,"")</f>
        <v/>
      </c>
      <c r="BV478" s="60">
        <f>IF(AND(F478&lt;&gt;"",F478&lt;&gt;"Relance en retard"),MAX($BV$4:BV477)+1,"")</f>
        <v/>
      </c>
      <c r="BW478" s="60">
        <f>IF(C478="","",IF(AND(B478&gt;='Tableau de bord'!$R$4,B478&lt;='Tableau de bord'!$S$4,OR('Tableau de bord'!$G$4="Tous",N478='Tableau de bord'!$G$4)),1,0))</f>
        <v/>
      </c>
      <c r="BX478" s="60">
        <f>IF(AND(C478&lt;&gt;"",N(BA478)=7),MAX($BX$4:BX477)+1,"")</f>
        <v/>
      </c>
    </row>
    <row r="479">
      <c r="A479" s="60">
        <f>IF(C479="","","P-"&amp;TEXT(475,"000"))</f>
        <v/>
      </c>
      <c r="B479" s="106">
        <f>IF(C479="","",IFERROR(1/(1/_xlfn.MINIFS('Saisie'!$A$5:$A$2004,'Saisie'!$C$5:$C$2004,C479)),""))</f>
        <v/>
      </c>
      <c r="C479" s="60">
        <f>IFERROR(INDEX('Saisie'!$C$5:$C$2004,MATCH(475,'Saisie'!$AX$5:$AX$2004,0)),"")</f>
        <v/>
      </c>
      <c r="D479" s="60">
        <f>IF(C479="","",IF(AND(BR479&gt;0,BR479&gt;BS479,BA479&lt;7),"Perdu",INDEX('Paramètres'!$F$6:$F$13,BA479)))</f>
        <v/>
      </c>
      <c r="E479" s="61">
        <f>IF(C479="","",MIN(100,(Z479="Oui")*'Paramètres'!$B$38+(AB479="Régulière")*'Paramètres'!$B$39+IF(AND(N(AA479)&gt;0,TODAY()-N(AA479)&lt;=30),'Paramètres'!$B$40,0)+(W479="")*'Paramètres'!$B$41+(AC479="Absente")*'Paramètres'!$B$42+(AC479="Faible")*'Paramètres'!$B$43+IF(AND(N(AD479)&gt;0,N(AD479)&lt;4),'Paramètres'!$B$44,0)+(AF479="Moyenne")*'Paramètres'!$B$45+(AF479="Grande")*'Paramètres'!$B$46+(Y479&lt;&gt;"")*'Paramètres'!$B$47))</f>
        <v/>
      </c>
      <c r="F479" s="60">
        <f>IF(C479="","",IF(D479="Gagné","",IF(D479="Perdu",IF(AND(AX479&lt;&gt;"",AX479&lt;=TODAY()),"À recontacter (perdu)",""),IF(AND(O479&gt;='Paramètres'!$B$21,P479=0),"Stop : "&amp;'Paramètres'!$B$21&amp;" tentatives sans réponse",IF(AND(D479="Proposition",AR479&lt;&gt;"",TODAY()&gt;N(AR479)),"Proposition expirée",IF(AND(D479="Proposition",N(R479)&gt;='Paramètres'!$B$25),"Proposition sans réponse",IF(AND(G479&lt;&gt;"",N(G479)&lt;TODAY()),"Relance en retard",IF(N(R479)&gt;='Paramètres'!$B$24,"Sans action depuis "&amp;R479&amp;" j",""))))))))</f>
        <v/>
      </c>
      <c r="G479" s="106">
        <f>IF(OR(C479="",D479="Gagné",D479="Perdu"),"",IF(AND(BP479&gt;0,BP479=BQ479),INDEX('Saisie'!$J$5:$J$2004,BP479-4),IF(OR(O479=0,AND(O479&gt;='Paramètres'!$B$21,P479=0)),"",Q479+IF(O479&lt;=1,'Paramètres'!$B$18,IF(O479=2,'Paramètres'!$B$19,'Paramètres'!$B$20)))))</f>
        <v/>
      </c>
      <c r="H479" s="107">
        <f>IF(OR(G479="",BP479&lt;&gt;BQ479),"",IF(INDEX('Saisie'!$K$5:$K$2004,BP479-4)="","",INDEX('Saisie'!$K$5:$K$2004,BP479-4)))</f>
        <v/>
      </c>
      <c r="I479" s="60">
        <f>IF(C479="","",IF(OR(D479="Gagné",D479="Perdu"),"",IFERROR(INDEX('Saisie'!$I$5:$I$2004,_xlfn.MAXIFS('Saisie'!$AS$5:$AS$2004,'Saisie'!$C$5:$C$2004,C479,'Saisie'!$I$5:$I$2004,"&lt;&gt;")-4),"")))</f>
        <v/>
      </c>
      <c r="J479" s="60">
        <f>IF(C479="","",IFERROR(INDEX('Saisie'!$U$5:$U$2004,_xlfn.MAXIFS('Saisie'!$AS$5:$AS$2004,'Saisie'!$C$5:$C$2004,C479,'Saisie'!$U$5:$U$2004,"&lt;&gt;")-4),""))</f>
        <v/>
      </c>
      <c r="K479" s="60">
        <f>IF(C479="","",IFERROR(INDEX('Saisie'!$W$5:$W$2004,_xlfn.MAXIFS('Saisie'!$AS$5:$AS$2004,'Saisie'!$C$5:$C$2004,C479,'Saisie'!$W$5:$W$2004,"&lt;&gt;")-4),""))</f>
        <v/>
      </c>
      <c r="L479" s="60">
        <f>IF(IF(BB479&lt;&gt;"",BB479,K479)="","",HYPERLINK("https://wa.me/"&amp;IF(LEFT(SUBSTITUTE(SUBSTITUTE(SUBSTITUTE(IF(BB479&lt;&gt;"",BB479,K479)," ",""),".",""),"+",""),1)="0",'Paramètres'!$B$35&amp;MID(SUBSTITUTE(SUBSTITUTE(SUBSTITUTE(IF(BB479&lt;&gt;"",BB479,K479)," ",""),".",""),"+",""),2,20),SUBSTITUTE(SUBSTITUTE(SUBSTITUTE(IF(BB479&lt;&gt;"",BB479,K479)," ",""),".",""),"+","")),"WhatsApp"))</f>
        <v/>
      </c>
      <c r="M479" s="60">
        <f>IF(BC479="","",HYPERLINK(IF(LEFT(BC479,4)="http",BC479,"https://www.instagram.com/"&amp;SUBSTITUTE(SUBSTITUTE(BC479,"@","")," ","")),BC479))</f>
        <v/>
      </c>
      <c r="N479" s="60">
        <f>IF(C479="","",IFERROR(INDEX('Saisie'!$D$5:$D$2004,_xlfn.MINIFS('Saisie'!$AS$5:$AS$2004,'Saisie'!$C$5:$C$2004,C479,'Saisie'!$AU$5:$AU$2004,1)-4),IFERROR(INDEX('Saisie'!$D$5:$D$2004,_xlfn.MINIFS('Saisie'!$AS$5:$AS$2004,'Saisie'!$C$5:$C$2004,C479,'Saisie'!$D$5:$D$2004,"&lt;&gt;")-4),"")))</f>
        <v/>
      </c>
      <c r="O479" s="60">
        <f>IF(C479="","",COUNTIFS('Saisie'!$C$5:$C$2004,C479,'Saisie'!$AU$5:$AU$2004,1))</f>
        <v/>
      </c>
      <c r="P479" s="60">
        <f>IF(C479="","",COUNTIFS('Saisie'!$C$5:$C$2004,C479,'Saisie'!$AV$5:$AV$2004,1))</f>
        <v/>
      </c>
      <c r="Q479" s="106">
        <f>IF(C479="","",IFERROR(1/(1/_xlfn.MAXIFS('Saisie'!$A$5:$A$2004,'Saisie'!$C$5:$C$2004,C479)),""))</f>
        <v/>
      </c>
      <c r="R479" s="61">
        <f>IF(C479="","",IF(Q479="","",TODAY()-Q479))</f>
        <v/>
      </c>
      <c r="S479" s="60">
        <f>IF(C479="","",IFERROR(INDEX('Saisie'!$R$5:$R$2004,_xlfn.MAXIFS('Saisie'!$AS$5:$AS$2004,'Saisie'!$C$5:$C$2004,C479,'Saisie'!$R$5:$R$2004,"&lt;&gt;")-4),""))</f>
        <v/>
      </c>
      <c r="T479" s="60">
        <f>IF(C479="","",IFERROR(INDEX('Saisie'!$S$5:$S$2004,_xlfn.MAXIFS('Saisie'!$AS$5:$AS$2004,'Saisie'!$C$5:$C$2004,C479,'Saisie'!$S$5:$S$2004,"&lt;&gt;")-4),""))</f>
        <v/>
      </c>
      <c r="U479" s="60">
        <f>IF(C479="","",IFERROR(INDEX('Saisie'!$T$5:$T$2004,_xlfn.MAXIFS('Saisie'!$AS$5:$AS$2004,'Saisie'!$C$5:$C$2004,C479,'Saisie'!$T$5:$T$2004,"&lt;&gt;")-4),""))</f>
        <v/>
      </c>
      <c r="V479" s="60">
        <f>IF(C479="","",IFERROR(INDEX('Saisie'!$V$5:$V$2004,_xlfn.MAXIFS('Saisie'!$AS$5:$AS$2004,'Saisie'!$C$5:$C$2004,C479,'Saisie'!$V$5:$V$2004,"&lt;&gt;")-4),""))</f>
        <v/>
      </c>
      <c r="W479" s="60">
        <f>IF(C479="","",IFERROR(INDEX('Saisie'!$Z$5:$Z$2004,_xlfn.MAXIFS('Saisie'!$AS$5:$AS$2004,'Saisie'!$C$5:$C$2004,C479,'Saisie'!$Z$5:$Z$2004,"&lt;&gt;")-4),""))</f>
        <v/>
      </c>
      <c r="X479" s="60">
        <f>IF(C479="","",IFERROR(INDEX('Saisie'!$AA$5:$AA$2004,_xlfn.MAXIFS('Saisie'!$AS$5:$AS$2004,'Saisie'!$C$5:$C$2004,C479,'Saisie'!$AA$5:$AA$2004,"&lt;&gt;")-4),""))</f>
        <v/>
      </c>
      <c r="Y479" s="60">
        <f>IF(C479="","",IFERROR(INDEX('Saisie'!$AB$5:$AB$2004,_xlfn.MAXIFS('Saisie'!$AS$5:$AS$2004,'Saisie'!$C$5:$C$2004,C479,'Saisie'!$AB$5:$AB$2004,"&lt;&gt;")-4),""))</f>
        <v/>
      </c>
      <c r="Z479" s="60">
        <f>IF(C479="","",IFERROR(INDEX('Saisie'!$AC$5:$AC$2004,_xlfn.MAXIFS('Saisie'!$AS$5:$AS$2004,'Saisie'!$C$5:$C$2004,C479,'Saisie'!$AC$5:$AC$2004,"&lt;&gt;")-4),""))</f>
        <v/>
      </c>
      <c r="AA479" s="106">
        <f>IF(C479="","",IFERROR(INDEX('Saisie'!$AD$5:$AD$2004,_xlfn.MAXIFS('Saisie'!$AS$5:$AS$2004,'Saisie'!$C$5:$C$2004,C479,'Saisie'!$AD$5:$AD$2004,"&lt;&gt;")-4),""))</f>
        <v/>
      </c>
      <c r="AB479" s="60">
        <f>IF(C479="","",IFERROR(INDEX('Saisie'!$AE$5:$AE$2004,_xlfn.MAXIFS('Saisie'!$AS$5:$AS$2004,'Saisie'!$C$5:$C$2004,C479,'Saisie'!$AE$5:$AE$2004,"&lt;&gt;")-4),""))</f>
        <v/>
      </c>
      <c r="AC479" s="60">
        <f>IF(C479="","",IFERROR(INDEX('Saisie'!$AF$5:$AF$2004,_xlfn.MAXIFS('Saisie'!$AS$5:$AS$2004,'Saisie'!$C$5:$C$2004,C479,'Saisie'!$AF$5:$AF$2004,"&lt;&gt;")-4),""))</f>
        <v/>
      </c>
      <c r="AD479" s="108">
        <f>IF(C479="","",IFERROR(INDEX('Saisie'!$AG$5:$AG$2004,_xlfn.MAXIFS('Saisie'!$AS$5:$AS$2004,'Saisie'!$C$5:$C$2004,C479,'Saisie'!$AG$5:$AG$2004,"&lt;&gt;")-4),""))</f>
        <v/>
      </c>
      <c r="AE479" s="60">
        <f>IF(C479="","",IFERROR(INDEX('Saisie'!$AH$5:$AH$2004,_xlfn.MAXIFS('Saisie'!$AS$5:$AS$2004,'Saisie'!$C$5:$C$2004,C479,'Saisie'!$AH$5:$AH$2004,"&lt;&gt;")-4),""))</f>
        <v/>
      </c>
      <c r="AF479" s="60">
        <f>IF(C479="","",IFERROR(INDEX('Saisie'!$AI$5:$AI$2004,_xlfn.MAXIFS('Saisie'!$AS$5:$AS$2004,'Saisie'!$C$5:$C$2004,C479,'Saisie'!$AI$5:$AI$2004,"&lt;&gt;")-4),""))</f>
        <v/>
      </c>
      <c r="AG479" s="60">
        <f>IF(C479="","",IFERROR(INDEX('Saisie'!$AJ$5:$AJ$2004,_xlfn.MAXIFS('Saisie'!$AS$5:$AS$2004,'Saisie'!$C$5:$C$2004,C479,'Saisie'!$AJ$5:$AJ$2004,"&lt;&gt;")-4),""))</f>
        <v/>
      </c>
      <c r="AH479" s="60">
        <f>IF(C479="","",IFERROR(INDEX('Saisie'!$AK$5:$AK$2004,_xlfn.MAXIFS('Saisie'!$AS$5:$AS$2004,'Saisie'!$C$5:$C$2004,C479,'Saisie'!$AK$5:$AK$2004,"&lt;&gt;")-4),""))</f>
        <v/>
      </c>
      <c r="AI479" s="60">
        <f>IF(C479="","",IFERROR(INDEX('Saisie'!$AN$5:$AN$2004,_xlfn.MAXIFS('Saisie'!$AS$5:$AS$2004,'Saisie'!$C$5:$C$2004,C479,'Saisie'!$AN$5:$AN$2004,"&lt;&gt;")-4),""))</f>
        <v/>
      </c>
      <c r="AJ479" s="60">
        <f>IF(C479="","",IFERROR(INDEX('Saisie'!$AO$5:$AO$2004,_xlfn.MAXIFS('Saisie'!$AS$5:$AS$2004,'Saisie'!$C$5:$C$2004,C479,'Saisie'!$AO$5:$AO$2004,"&lt;&gt;")-4),""))</f>
        <v/>
      </c>
      <c r="AK479" s="60">
        <f>IF(C479="","",IFERROR(INDEX('Saisie'!$AP$5:$AP$2004,_xlfn.MAXIFS('Saisie'!$AS$5:$AS$2004,'Saisie'!$C$5:$C$2004,C479,'Saisie'!$AP$5:$AP$2004,"&lt;&gt;")-4),""))</f>
        <v/>
      </c>
      <c r="AL479" s="60">
        <f>IF(C479="","",IFERROR(INDEX('Saisie'!$AQ$5:$AQ$2004,_xlfn.MAXIFS('Saisie'!$AS$5:$AS$2004,'Saisie'!$C$5:$C$2004,C479,'Saisie'!$AQ$5:$AQ$2004,"&lt;&gt;")-4),""))</f>
        <v/>
      </c>
      <c r="AM479" s="60">
        <f>IF(C479="","",((AI479="Oui")+(AJ479="Oui")+(AK479="Oui")+OR(AL479="Immédiat",AL479="&lt; 1 mois"))&amp;"/4")</f>
        <v/>
      </c>
      <c r="AN479" s="60">
        <f>IF(C479="","",IFERROR(INDEX('Saisie'!$AL$5:$AL$2004,_xlfn.MAXIFS('Saisie'!$AS$5:$AS$2004,'Saisie'!$C$5:$C$2004,C479,'Saisie'!$AL$5:$AL$2004,"&lt;&gt;")-4),""))</f>
        <v/>
      </c>
      <c r="AO479" s="62">
        <f>IF(C479="","",IF(IFERROR(INDEX('Saisie'!$AM$5:$AM$2004,_xlfn.MAXIFS('Saisie'!$AS$5:$AS$2004,'Saisie'!$C$5:$C$2004,C479,'Saisie'!$AM$5:$AM$2004,"&lt;&gt;")-4),"")&lt;&gt;"",IFERROR(INDEX('Saisie'!$AM$5:$AM$2004,_xlfn.MAXIFS('Saisie'!$AS$5:$AS$2004,'Saisie'!$C$5:$C$2004,C479,'Saisie'!$AM$5:$AM$2004,"&lt;&gt;")-4),""),IFERROR(INDEX('Paramètres'!$S$6:$S$15,MATCH(AN479,'Paramètres'!$Q$6:$Q$15,0)),"")))</f>
        <v/>
      </c>
      <c r="AP479" s="62">
        <f>IF(C479="","",IFERROR(INDEX('Saisie'!$AW$5:$AW$2004,_xlfn.MAXIFS('Saisie'!$AS$5:$AS$2004,'Saisie'!$C$5:$C$2004,C479,'Saisie'!$E$5:$E$2004,"Proposition envoyée")-4),""))</f>
        <v/>
      </c>
      <c r="AQ479" s="106">
        <f>IF(C479="","",IFERROR(1/(1/_xlfn.MAXIFS('Saisie'!$A$5:$A$2004,'Saisie'!$C$5:$C$2004,C479,'Saisie'!$E$5:$E$2004,"Proposition envoyée")),""))</f>
        <v/>
      </c>
      <c r="AR479" s="106">
        <f>IF(C479="","",IF(AQ479="","",AQ479+'Paramètres'!$B$26))</f>
        <v/>
      </c>
      <c r="AS479" s="62">
        <f>IF(OR(C479="",D479="Gagné",D479="Perdu"),0,N(AP479)*IFERROR(INDEX('Paramètres'!$G$6:$G$13,MATCH(D479,'Paramètres'!$F$6:$F$13,0)),0))</f>
        <v/>
      </c>
      <c r="AT479" s="106">
        <f>IF(C479="","",IFERROR(1/(1/_xlfn.MINIFS('Saisie'!$A$5:$A$2004,'Saisie'!$C$5:$C$2004,C479,'Saisie'!$E$5:$E$2004,"Signature")),""))</f>
        <v/>
      </c>
      <c r="AU479" s="60">
        <f>IF(C479="","",IF(OR(AT479="",B479=""),"",AT479-B479))</f>
        <v/>
      </c>
      <c r="AV479" s="60">
        <f>IF(C479="","",IFERROR(INDEX('Saisie'!$L$5:$L$2004,_xlfn.MAXIFS('Saisie'!$AS$5:$AS$2004,'Saisie'!$C$5:$C$2004,C479,'Saisie'!$L$5:$L$2004,"&lt;&gt;")-4),""))</f>
        <v/>
      </c>
      <c r="AW479" s="106">
        <f>IF(C479="","",IF(D479&lt;&gt;"Perdu","",IFERROR(1/(1/_xlfn.MAXIFS('Saisie'!$A$5:$A$2004,'Saisie'!$C$5:$C$2004,C479,'Saisie'!$E$5:$E$2004,"Perdu")),"")))</f>
        <v/>
      </c>
      <c r="AX479" s="106">
        <f>IF(C479="","",IF(AW479="","",AW479+'Paramètres'!$B$28))</f>
        <v/>
      </c>
      <c r="AY479" s="60">
        <f>IF(C479="","",SUMIFS('Saisie'!$H$5:$H$2004,'Saisie'!$C$5:$C$2004,C479))</f>
        <v/>
      </c>
      <c r="AZ479" s="60">
        <f>IF(C479="","",IFERROR(INDEX('Paramètres'!$W$6:$W$20,MATCH(S479,'Paramètres'!$V$6:$V$20,0))&amp;"",""))</f>
        <v/>
      </c>
      <c r="BA479" s="60">
        <f>IF(C479="","",MAX(1,_xlfn.MAXIFS('Saisie'!$AT$5:$AT$2004,'Saisie'!$C$5:$C$2004,C479)))</f>
        <v/>
      </c>
      <c r="BB479" s="60">
        <f>IF(C479="","",IFERROR(INDEX('Saisie'!$X$5:$X$2004,_xlfn.MAXIFS('Saisie'!$AS$5:$AS$2004,'Saisie'!$C$5:$C$2004,C479,'Saisie'!$X$5:$X$2004,"&lt;&gt;")-4),""))</f>
        <v/>
      </c>
      <c r="BC479" s="60">
        <f>IF(C479="","",IFERROR(INDEX('Saisie'!$Y$5:$Y$2004,_xlfn.MAXIFS('Saisie'!$AS$5:$AS$2004,'Saisie'!$C$5:$C$2004,C479,'Saisie'!$Y$5:$Y$2004,"&lt;&gt;")-4),""))</f>
        <v/>
      </c>
      <c r="BD479" s="106">
        <f>IF(C479="","",IFERROR(1/(1/_xlfn.MINIFS('Saisie'!$A$5:$A$2004,'Saisie'!$C$5:$C$2004,C479,'Saisie'!$AT$5:$AT$2004,"&gt;=2")),""))</f>
        <v/>
      </c>
      <c r="BE479" s="106">
        <f>IF(C479="","",IFERROR(1/(1/_xlfn.MINIFS('Saisie'!$A$5:$A$2004,'Saisie'!$C$5:$C$2004,C479,'Saisie'!$AT$5:$AT$2004,"&gt;=3")),""))</f>
        <v/>
      </c>
      <c r="BF479" s="106">
        <f>IF(C479="","",IFERROR(1/(1/_xlfn.MINIFS('Saisie'!$A$5:$A$2004,'Saisie'!$C$5:$C$2004,C479,'Saisie'!$AT$5:$AT$2004,"&gt;=4")),""))</f>
        <v/>
      </c>
      <c r="BG479" s="106">
        <f>IF(C479="","",IFERROR(1/(1/_xlfn.MINIFS('Saisie'!$A$5:$A$2004,'Saisie'!$C$5:$C$2004,C479,'Saisie'!$AT$5:$AT$2004,"&gt;=5")),""))</f>
        <v/>
      </c>
      <c r="BH479" s="106">
        <f>IF(C479="","",IFERROR(1/(1/_xlfn.MINIFS('Saisie'!$A$5:$A$2004,'Saisie'!$C$5:$C$2004,C479,'Saisie'!$AT$5:$AT$2004,"&gt;=6")),""))</f>
        <v/>
      </c>
      <c r="BI479" s="106">
        <f>IF(C479="","",IFERROR(1/(1/_xlfn.MINIFS('Saisie'!$A$5:$A$2004,'Saisie'!$C$5:$C$2004,C479,'Saisie'!$AT$5:$AT$2004,"&gt;=7")),""))</f>
        <v/>
      </c>
      <c r="BJ479" s="60">
        <f>IF(OR(BD479="",B479=""),"",BD479-B479)</f>
        <v/>
      </c>
      <c r="BK479" s="60">
        <f>IF(OR(BE479="",BD479=""),"",BE479-BD479)</f>
        <v/>
      </c>
      <c r="BL479" s="60">
        <f>IF(OR(BF479="",BE479=""),"",BF479-BE479)</f>
        <v/>
      </c>
      <c r="BM479" s="60">
        <f>IF(OR(BG479="",BF479=""),"",BG479-BF479)</f>
        <v/>
      </c>
      <c r="BN479" s="60">
        <f>IF(OR(BH479="",BG479=""),"",BH479-BG479)</f>
        <v/>
      </c>
      <c r="BO479" s="60">
        <f>IF(OR(BI479="",BH479=""),"",BI479-BH479)</f>
        <v/>
      </c>
      <c r="BP479" s="60">
        <f>IF(C479="","",_xlfn.MAXIFS('Saisie'!$AS$5:$AS$2004,'Saisie'!$C$5:$C$2004,C479,'Saisie'!$J$5:$J$2004,"&lt;&gt;"))</f>
        <v/>
      </c>
      <c r="BQ479" s="60">
        <f>IF(C479="","",_xlfn.MAXIFS('Saisie'!$AS$5:$AS$2004,'Saisie'!$C$5:$C$2004,C479))</f>
        <v/>
      </c>
      <c r="BR479" s="60">
        <f>IF(C479="","",_xlfn.MAXIFS('Saisie'!$AS$5:$AS$2004,'Saisie'!$C$5:$C$2004,C479,'Saisie'!$E$5:$E$2004,"Perdu"))</f>
        <v/>
      </c>
      <c r="BS479" s="60">
        <f>IF(C479="","",_xlfn.MAXIFS('Saisie'!$AS$5:$AS$2004,'Saisie'!$C$5:$C$2004,C479,'Saisie'!$AT$5:$AT$2004,"&gt;0"))</f>
        <v/>
      </c>
      <c r="BT479" s="109">
        <f>IF(AND(C479&lt;&gt;"",OR(D479="Nouveau",D479="Contacté",D479="Qualifié"),OR(G479="",N(G479)&lt;=TODAY()),NOT(AND(O479&gt;='Paramètres'!$B$21,P479=0))),E479+475/10000,"")</f>
        <v/>
      </c>
      <c r="BU479" s="60">
        <f>IF(AND(G479&lt;&gt;"",N(G479)&lt;=TODAY()),MAX($BU$4:BU478)+1,"")</f>
        <v/>
      </c>
      <c r="BV479" s="60">
        <f>IF(AND(F479&lt;&gt;"",F479&lt;&gt;"Relance en retard"),MAX($BV$4:BV478)+1,"")</f>
        <v/>
      </c>
      <c r="BW479" s="60">
        <f>IF(C479="","",IF(AND(B479&gt;='Tableau de bord'!$R$4,B479&lt;='Tableau de bord'!$S$4,OR('Tableau de bord'!$G$4="Tous",N479='Tableau de bord'!$G$4)),1,0))</f>
        <v/>
      </c>
      <c r="BX479" s="60">
        <f>IF(AND(C479&lt;&gt;"",N(BA479)=7),MAX($BX$4:BX478)+1,"")</f>
        <v/>
      </c>
    </row>
    <row r="480">
      <c r="A480" s="60">
        <f>IF(C480="","","P-"&amp;TEXT(476,"000"))</f>
        <v/>
      </c>
      <c r="B480" s="106">
        <f>IF(C480="","",IFERROR(1/(1/_xlfn.MINIFS('Saisie'!$A$5:$A$2004,'Saisie'!$C$5:$C$2004,C480)),""))</f>
        <v/>
      </c>
      <c r="C480" s="60">
        <f>IFERROR(INDEX('Saisie'!$C$5:$C$2004,MATCH(476,'Saisie'!$AX$5:$AX$2004,0)),"")</f>
        <v/>
      </c>
      <c r="D480" s="60">
        <f>IF(C480="","",IF(AND(BR480&gt;0,BR480&gt;BS480,BA480&lt;7),"Perdu",INDEX('Paramètres'!$F$6:$F$13,BA480)))</f>
        <v/>
      </c>
      <c r="E480" s="61">
        <f>IF(C480="","",MIN(100,(Z480="Oui")*'Paramètres'!$B$38+(AB480="Régulière")*'Paramètres'!$B$39+IF(AND(N(AA480)&gt;0,TODAY()-N(AA480)&lt;=30),'Paramètres'!$B$40,0)+(W480="")*'Paramètres'!$B$41+(AC480="Absente")*'Paramètres'!$B$42+(AC480="Faible")*'Paramètres'!$B$43+IF(AND(N(AD480)&gt;0,N(AD480)&lt;4),'Paramètres'!$B$44,0)+(AF480="Moyenne")*'Paramètres'!$B$45+(AF480="Grande")*'Paramètres'!$B$46+(Y480&lt;&gt;"")*'Paramètres'!$B$47))</f>
        <v/>
      </c>
      <c r="F480" s="60">
        <f>IF(C480="","",IF(D480="Gagné","",IF(D480="Perdu",IF(AND(AX480&lt;&gt;"",AX480&lt;=TODAY()),"À recontacter (perdu)",""),IF(AND(O480&gt;='Paramètres'!$B$21,P480=0),"Stop : "&amp;'Paramètres'!$B$21&amp;" tentatives sans réponse",IF(AND(D480="Proposition",AR480&lt;&gt;"",TODAY()&gt;N(AR480)),"Proposition expirée",IF(AND(D480="Proposition",N(R480)&gt;='Paramètres'!$B$25),"Proposition sans réponse",IF(AND(G480&lt;&gt;"",N(G480)&lt;TODAY()),"Relance en retard",IF(N(R480)&gt;='Paramètres'!$B$24,"Sans action depuis "&amp;R480&amp;" j",""))))))))</f>
        <v/>
      </c>
      <c r="G480" s="106">
        <f>IF(OR(C480="",D480="Gagné",D480="Perdu"),"",IF(AND(BP480&gt;0,BP480=BQ480),INDEX('Saisie'!$J$5:$J$2004,BP480-4),IF(OR(O480=0,AND(O480&gt;='Paramètres'!$B$21,P480=0)),"",Q480+IF(O480&lt;=1,'Paramètres'!$B$18,IF(O480=2,'Paramètres'!$B$19,'Paramètres'!$B$20)))))</f>
        <v/>
      </c>
      <c r="H480" s="107">
        <f>IF(OR(G480="",BP480&lt;&gt;BQ480),"",IF(INDEX('Saisie'!$K$5:$K$2004,BP480-4)="","",INDEX('Saisie'!$K$5:$K$2004,BP480-4)))</f>
        <v/>
      </c>
      <c r="I480" s="60">
        <f>IF(C480="","",IF(OR(D480="Gagné",D480="Perdu"),"",IFERROR(INDEX('Saisie'!$I$5:$I$2004,_xlfn.MAXIFS('Saisie'!$AS$5:$AS$2004,'Saisie'!$C$5:$C$2004,C480,'Saisie'!$I$5:$I$2004,"&lt;&gt;")-4),"")))</f>
        <v/>
      </c>
      <c r="J480" s="60">
        <f>IF(C480="","",IFERROR(INDEX('Saisie'!$U$5:$U$2004,_xlfn.MAXIFS('Saisie'!$AS$5:$AS$2004,'Saisie'!$C$5:$C$2004,C480,'Saisie'!$U$5:$U$2004,"&lt;&gt;")-4),""))</f>
        <v/>
      </c>
      <c r="K480" s="60">
        <f>IF(C480="","",IFERROR(INDEX('Saisie'!$W$5:$W$2004,_xlfn.MAXIFS('Saisie'!$AS$5:$AS$2004,'Saisie'!$C$5:$C$2004,C480,'Saisie'!$W$5:$W$2004,"&lt;&gt;")-4),""))</f>
        <v/>
      </c>
      <c r="L480" s="60">
        <f>IF(IF(BB480&lt;&gt;"",BB480,K480)="","",HYPERLINK("https://wa.me/"&amp;IF(LEFT(SUBSTITUTE(SUBSTITUTE(SUBSTITUTE(IF(BB480&lt;&gt;"",BB480,K480)," ",""),".",""),"+",""),1)="0",'Paramètres'!$B$35&amp;MID(SUBSTITUTE(SUBSTITUTE(SUBSTITUTE(IF(BB480&lt;&gt;"",BB480,K480)," ",""),".",""),"+",""),2,20),SUBSTITUTE(SUBSTITUTE(SUBSTITUTE(IF(BB480&lt;&gt;"",BB480,K480)," ",""),".",""),"+","")),"WhatsApp"))</f>
        <v/>
      </c>
      <c r="M480" s="60">
        <f>IF(BC480="","",HYPERLINK(IF(LEFT(BC480,4)="http",BC480,"https://www.instagram.com/"&amp;SUBSTITUTE(SUBSTITUTE(BC480,"@","")," ","")),BC480))</f>
        <v/>
      </c>
      <c r="N480" s="60">
        <f>IF(C480="","",IFERROR(INDEX('Saisie'!$D$5:$D$2004,_xlfn.MINIFS('Saisie'!$AS$5:$AS$2004,'Saisie'!$C$5:$C$2004,C480,'Saisie'!$AU$5:$AU$2004,1)-4),IFERROR(INDEX('Saisie'!$D$5:$D$2004,_xlfn.MINIFS('Saisie'!$AS$5:$AS$2004,'Saisie'!$C$5:$C$2004,C480,'Saisie'!$D$5:$D$2004,"&lt;&gt;")-4),"")))</f>
        <v/>
      </c>
      <c r="O480" s="60">
        <f>IF(C480="","",COUNTIFS('Saisie'!$C$5:$C$2004,C480,'Saisie'!$AU$5:$AU$2004,1))</f>
        <v/>
      </c>
      <c r="P480" s="60">
        <f>IF(C480="","",COUNTIFS('Saisie'!$C$5:$C$2004,C480,'Saisie'!$AV$5:$AV$2004,1))</f>
        <v/>
      </c>
      <c r="Q480" s="106">
        <f>IF(C480="","",IFERROR(1/(1/_xlfn.MAXIFS('Saisie'!$A$5:$A$2004,'Saisie'!$C$5:$C$2004,C480)),""))</f>
        <v/>
      </c>
      <c r="R480" s="61">
        <f>IF(C480="","",IF(Q480="","",TODAY()-Q480))</f>
        <v/>
      </c>
      <c r="S480" s="60">
        <f>IF(C480="","",IFERROR(INDEX('Saisie'!$R$5:$R$2004,_xlfn.MAXIFS('Saisie'!$AS$5:$AS$2004,'Saisie'!$C$5:$C$2004,C480,'Saisie'!$R$5:$R$2004,"&lt;&gt;")-4),""))</f>
        <v/>
      </c>
      <c r="T480" s="60">
        <f>IF(C480="","",IFERROR(INDEX('Saisie'!$S$5:$S$2004,_xlfn.MAXIFS('Saisie'!$AS$5:$AS$2004,'Saisie'!$C$5:$C$2004,C480,'Saisie'!$S$5:$S$2004,"&lt;&gt;")-4),""))</f>
        <v/>
      </c>
      <c r="U480" s="60">
        <f>IF(C480="","",IFERROR(INDEX('Saisie'!$T$5:$T$2004,_xlfn.MAXIFS('Saisie'!$AS$5:$AS$2004,'Saisie'!$C$5:$C$2004,C480,'Saisie'!$T$5:$T$2004,"&lt;&gt;")-4),""))</f>
        <v/>
      </c>
      <c r="V480" s="60">
        <f>IF(C480="","",IFERROR(INDEX('Saisie'!$V$5:$V$2004,_xlfn.MAXIFS('Saisie'!$AS$5:$AS$2004,'Saisie'!$C$5:$C$2004,C480,'Saisie'!$V$5:$V$2004,"&lt;&gt;")-4),""))</f>
        <v/>
      </c>
      <c r="W480" s="60">
        <f>IF(C480="","",IFERROR(INDEX('Saisie'!$Z$5:$Z$2004,_xlfn.MAXIFS('Saisie'!$AS$5:$AS$2004,'Saisie'!$C$5:$C$2004,C480,'Saisie'!$Z$5:$Z$2004,"&lt;&gt;")-4),""))</f>
        <v/>
      </c>
      <c r="X480" s="60">
        <f>IF(C480="","",IFERROR(INDEX('Saisie'!$AA$5:$AA$2004,_xlfn.MAXIFS('Saisie'!$AS$5:$AS$2004,'Saisie'!$C$5:$C$2004,C480,'Saisie'!$AA$5:$AA$2004,"&lt;&gt;")-4),""))</f>
        <v/>
      </c>
      <c r="Y480" s="60">
        <f>IF(C480="","",IFERROR(INDEX('Saisie'!$AB$5:$AB$2004,_xlfn.MAXIFS('Saisie'!$AS$5:$AS$2004,'Saisie'!$C$5:$C$2004,C480,'Saisie'!$AB$5:$AB$2004,"&lt;&gt;")-4),""))</f>
        <v/>
      </c>
      <c r="Z480" s="60">
        <f>IF(C480="","",IFERROR(INDEX('Saisie'!$AC$5:$AC$2004,_xlfn.MAXIFS('Saisie'!$AS$5:$AS$2004,'Saisie'!$C$5:$C$2004,C480,'Saisie'!$AC$5:$AC$2004,"&lt;&gt;")-4),""))</f>
        <v/>
      </c>
      <c r="AA480" s="106">
        <f>IF(C480="","",IFERROR(INDEX('Saisie'!$AD$5:$AD$2004,_xlfn.MAXIFS('Saisie'!$AS$5:$AS$2004,'Saisie'!$C$5:$C$2004,C480,'Saisie'!$AD$5:$AD$2004,"&lt;&gt;")-4),""))</f>
        <v/>
      </c>
      <c r="AB480" s="60">
        <f>IF(C480="","",IFERROR(INDEX('Saisie'!$AE$5:$AE$2004,_xlfn.MAXIFS('Saisie'!$AS$5:$AS$2004,'Saisie'!$C$5:$C$2004,C480,'Saisie'!$AE$5:$AE$2004,"&lt;&gt;")-4),""))</f>
        <v/>
      </c>
      <c r="AC480" s="60">
        <f>IF(C480="","",IFERROR(INDEX('Saisie'!$AF$5:$AF$2004,_xlfn.MAXIFS('Saisie'!$AS$5:$AS$2004,'Saisie'!$C$5:$C$2004,C480,'Saisie'!$AF$5:$AF$2004,"&lt;&gt;")-4),""))</f>
        <v/>
      </c>
      <c r="AD480" s="108">
        <f>IF(C480="","",IFERROR(INDEX('Saisie'!$AG$5:$AG$2004,_xlfn.MAXIFS('Saisie'!$AS$5:$AS$2004,'Saisie'!$C$5:$C$2004,C480,'Saisie'!$AG$5:$AG$2004,"&lt;&gt;")-4),""))</f>
        <v/>
      </c>
      <c r="AE480" s="60">
        <f>IF(C480="","",IFERROR(INDEX('Saisie'!$AH$5:$AH$2004,_xlfn.MAXIFS('Saisie'!$AS$5:$AS$2004,'Saisie'!$C$5:$C$2004,C480,'Saisie'!$AH$5:$AH$2004,"&lt;&gt;")-4),""))</f>
        <v/>
      </c>
      <c r="AF480" s="60">
        <f>IF(C480="","",IFERROR(INDEX('Saisie'!$AI$5:$AI$2004,_xlfn.MAXIFS('Saisie'!$AS$5:$AS$2004,'Saisie'!$C$5:$C$2004,C480,'Saisie'!$AI$5:$AI$2004,"&lt;&gt;")-4),""))</f>
        <v/>
      </c>
      <c r="AG480" s="60">
        <f>IF(C480="","",IFERROR(INDEX('Saisie'!$AJ$5:$AJ$2004,_xlfn.MAXIFS('Saisie'!$AS$5:$AS$2004,'Saisie'!$C$5:$C$2004,C480,'Saisie'!$AJ$5:$AJ$2004,"&lt;&gt;")-4),""))</f>
        <v/>
      </c>
      <c r="AH480" s="60">
        <f>IF(C480="","",IFERROR(INDEX('Saisie'!$AK$5:$AK$2004,_xlfn.MAXIFS('Saisie'!$AS$5:$AS$2004,'Saisie'!$C$5:$C$2004,C480,'Saisie'!$AK$5:$AK$2004,"&lt;&gt;")-4),""))</f>
        <v/>
      </c>
      <c r="AI480" s="60">
        <f>IF(C480="","",IFERROR(INDEX('Saisie'!$AN$5:$AN$2004,_xlfn.MAXIFS('Saisie'!$AS$5:$AS$2004,'Saisie'!$C$5:$C$2004,C480,'Saisie'!$AN$5:$AN$2004,"&lt;&gt;")-4),""))</f>
        <v/>
      </c>
      <c r="AJ480" s="60">
        <f>IF(C480="","",IFERROR(INDEX('Saisie'!$AO$5:$AO$2004,_xlfn.MAXIFS('Saisie'!$AS$5:$AS$2004,'Saisie'!$C$5:$C$2004,C480,'Saisie'!$AO$5:$AO$2004,"&lt;&gt;")-4),""))</f>
        <v/>
      </c>
      <c r="AK480" s="60">
        <f>IF(C480="","",IFERROR(INDEX('Saisie'!$AP$5:$AP$2004,_xlfn.MAXIFS('Saisie'!$AS$5:$AS$2004,'Saisie'!$C$5:$C$2004,C480,'Saisie'!$AP$5:$AP$2004,"&lt;&gt;")-4),""))</f>
        <v/>
      </c>
      <c r="AL480" s="60">
        <f>IF(C480="","",IFERROR(INDEX('Saisie'!$AQ$5:$AQ$2004,_xlfn.MAXIFS('Saisie'!$AS$5:$AS$2004,'Saisie'!$C$5:$C$2004,C480,'Saisie'!$AQ$5:$AQ$2004,"&lt;&gt;")-4),""))</f>
        <v/>
      </c>
      <c r="AM480" s="60">
        <f>IF(C480="","",((AI480="Oui")+(AJ480="Oui")+(AK480="Oui")+OR(AL480="Immédiat",AL480="&lt; 1 mois"))&amp;"/4")</f>
        <v/>
      </c>
      <c r="AN480" s="60">
        <f>IF(C480="","",IFERROR(INDEX('Saisie'!$AL$5:$AL$2004,_xlfn.MAXIFS('Saisie'!$AS$5:$AS$2004,'Saisie'!$C$5:$C$2004,C480,'Saisie'!$AL$5:$AL$2004,"&lt;&gt;")-4),""))</f>
        <v/>
      </c>
      <c r="AO480" s="62">
        <f>IF(C480="","",IF(IFERROR(INDEX('Saisie'!$AM$5:$AM$2004,_xlfn.MAXIFS('Saisie'!$AS$5:$AS$2004,'Saisie'!$C$5:$C$2004,C480,'Saisie'!$AM$5:$AM$2004,"&lt;&gt;")-4),"")&lt;&gt;"",IFERROR(INDEX('Saisie'!$AM$5:$AM$2004,_xlfn.MAXIFS('Saisie'!$AS$5:$AS$2004,'Saisie'!$C$5:$C$2004,C480,'Saisie'!$AM$5:$AM$2004,"&lt;&gt;")-4),""),IFERROR(INDEX('Paramètres'!$S$6:$S$15,MATCH(AN480,'Paramètres'!$Q$6:$Q$15,0)),"")))</f>
        <v/>
      </c>
      <c r="AP480" s="62">
        <f>IF(C480="","",IFERROR(INDEX('Saisie'!$AW$5:$AW$2004,_xlfn.MAXIFS('Saisie'!$AS$5:$AS$2004,'Saisie'!$C$5:$C$2004,C480,'Saisie'!$E$5:$E$2004,"Proposition envoyée")-4),""))</f>
        <v/>
      </c>
      <c r="AQ480" s="106">
        <f>IF(C480="","",IFERROR(1/(1/_xlfn.MAXIFS('Saisie'!$A$5:$A$2004,'Saisie'!$C$5:$C$2004,C480,'Saisie'!$E$5:$E$2004,"Proposition envoyée")),""))</f>
        <v/>
      </c>
      <c r="AR480" s="106">
        <f>IF(C480="","",IF(AQ480="","",AQ480+'Paramètres'!$B$26))</f>
        <v/>
      </c>
      <c r="AS480" s="62">
        <f>IF(OR(C480="",D480="Gagné",D480="Perdu"),0,N(AP480)*IFERROR(INDEX('Paramètres'!$G$6:$G$13,MATCH(D480,'Paramètres'!$F$6:$F$13,0)),0))</f>
        <v/>
      </c>
      <c r="AT480" s="106">
        <f>IF(C480="","",IFERROR(1/(1/_xlfn.MINIFS('Saisie'!$A$5:$A$2004,'Saisie'!$C$5:$C$2004,C480,'Saisie'!$E$5:$E$2004,"Signature")),""))</f>
        <v/>
      </c>
      <c r="AU480" s="60">
        <f>IF(C480="","",IF(OR(AT480="",B480=""),"",AT480-B480))</f>
        <v/>
      </c>
      <c r="AV480" s="60">
        <f>IF(C480="","",IFERROR(INDEX('Saisie'!$L$5:$L$2004,_xlfn.MAXIFS('Saisie'!$AS$5:$AS$2004,'Saisie'!$C$5:$C$2004,C480,'Saisie'!$L$5:$L$2004,"&lt;&gt;")-4),""))</f>
        <v/>
      </c>
      <c r="AW480" s="106">
        <f>IF(C480="","",IF(D480&lt;&gt;"Perdu","",IFERROR(1/(1/_xlfn.MAXIFS('Saisie'!$A$5:$A$2004,'Saisie'!$C$5:$C$2004,C480,'Saisie'!$E$5:$E$2004,"Perdu")),"")))</f>
        <v/>
      </c>
      <c r="AX480" s="106">
        <f>IF(C480="","",IF(AW480="","",AW480+'Paramètres'!$B$28))</f>
        <v/>
      </c>
      <c r="AY480" s="60">
        <f>IF(C480="","",SUMIFS('Saisie'!$H$5:$H$2004,'Saisie'!$C$5:$C$2004,C480))</f>
        <v/>
      </c>
      <c r="AZ480" s="60">
        <f>IF(C480="","",IFERROR(INDEX('Paramètres'!$W$6:$W$20,MATCH(S480,'Paramètres'!$V$6:$V$20,0))&amp;"",""))</f>
        <v/>
      </c>
      <c r="BA480" s="60">
        <f>IF(C480="","",MAX(1,_xlfn.MAXIFS('Saisie'!$AT$5:$AT$2004,'Saisie'!$C$5:$C$2004,C480)))</f>
        <v/>
      </c>
      <c r="BB480" s="60">
        <f>IF(C480="","",IFERROR(INDEX('Saisie'!$X$5:$X$2004,_xlfn.MAXIFS('Saisie'!$AS$5:$AS$2004,'Saisie'!$C$5:$C$2004,C480,'Saisie'!$X$5:$X$2004,"&lt;&gt;")-4),""))</f>
        <v/>
      </c>
      <c r="BC480" s="60">
        <f>IF(C480="","",IFERROR(INDEX('Saisie'!$Y$5:$Y$2004,_xlfn.MAXIFS('Saisie'!$AS$5:$AS$2004,'Saisie'!$C$5:$C$2004,C480,'Saisie'!$Y$5:$Y$2004,"&lt;&gt;")-4),""))</f>
        <v/>
      </c>
      <c r="BD480" s="106">
        <f>IF(C480="","",IFERROR(1/(1/_xlfn.MINIFS('Saisie'!$A$5:$A$2004,'Saisie'!$C$5:$C$2004,C480,'Saisie'!$AT$5:$AT$2004,"&gt;=2")),""))</f>
        <v/>
      </c>
      <c r="BE480" s="106">
        <f>IF(C480="","",IFERROR(1/(1/_xlfn.MINIFS('Saisie'!$A$5:$A$2004,'Saisie'!$C$5:$C$2004,C480,'Saisie'!$AT$5:$AT$2004,"&gt;=3")),""))</f>
        <v/>
      </c>
      <c r="BF480" s="106">
        <f>IF(C480="","",IFERROR(1/(1/_xlfn.MINIFS('Saisie'!$A$5:$A$2004,'Saisie'!$C$5:$C$2004,C480,'Saisie'!$AT$5:$AT$2004,"&gt;=4")),""))</f>
        <v/>
      </c>
      <c r="BG480" s="106">
        <f>IF(C480="","",IFERROR(1/(1/_xlfn.MINIFS('Saisie'!$A$5:$A$2004,'Saisie'!$C$5:$C$2004,C480,'Saisie'!$AT$5:$AT$2004,"&gt;=5")),""))</f>
        <v/>
      </c>
      <c r="BH480" s="106">
        <f>IF(C480="","",IFERROR(1/(1/_xlfn.MINIFS('Saisie'!$A$5:$A$2004,'Saisie'!$C$5:$C$2004,C480,'Saisie'!$AT$5:$AT$2004,"&gt;=6")),""))</f>
        <v/>
      </c>
      <c r="BI480" s="106">
        <f>IF(C480="","",IFERROR(1/(1/_xlfn.MINIFS('Saisie'!$A$5:$A$2004,'Saisie'!$C$5:$C$2004,C480,'Saisie'!$AT$5:$AT$2004,"&gt;=7")),""))</f>
        <v/>
      </c>
      <c r="BJ480" s="60">
        <f>IF(OR(BD480="",B480=""),"",BD480-B480)</f>
        <v/>
      </c>
      <c r="BK480" s="60">
        <f>IF(OR(BE480="",BD480=""),"",BE480-BD480)</f>
        <v/>
      </c>
      <c r="BL480" s="60">
        <f>IF(OR(BF480="",BE480=""),"",BF480-BE480)</f>
        <v/>
      </c>
      <c r="BM480" s="60">
        <f>IF(OR(BG480="",BF480=""),"",BG480-BF480)</f>
        <v/>
      </c>
      <c r="BN480" s="60">
        <f>IF(OR(BH480="",BG480=""),"",BH480-BG480)</f>
        <v/>
      </c>
      <c r="BO480" s="60">
        <f>IF(OR(BI480="",BH480=""),"",BI480-BH480)</f>
        <v/>
      </c>
      <c r="BP480" s="60">
        <f>IF(C480="","",_xlfn.MAXIFS('Saisie'!$AS$5:$AS$2004,'Saisie'!$C$5:$C$2004,C480,'Saisie'!$J$5:$J$2004,"&lt;&gt;"))</f>
        <v/>
      </c>
      <c r="BQ480" s="60">
        <f>IF(C480="","",_xlfn.MAXIFS('Saisie'!$AS$5:$AS$2004,'Saisie'!$C$5:$C$2004,C480))</f>
        <v/>
      </c>
      <c r="BR480" s="60">
        <f>IF(C480="","",_xlfn.MAXIFS('Saisie'!$AS$5:$AS$2004,'Saisie'!$C$5:$C$2004,C480,'Saisie'!$E$5:$E$2004,"Perdu"))</f>
        <v/>
      </c>
      <c r="BS480" s="60">
        <f>IF(C480="","",_xlfn.MAXIFS('Saisie'!$AS$5:$AS$2004,'Saisie'!$C$5:$C$2004,C480,'Saisie'!$AT$5:$AT$2004,"&gt;0"))</f>
        <v/>
      </c>
      <c r="BT480" s="109">
        <f>IF(AND(C480&lt;&gt;"",OR(D480="Nouveau",D480="Contacté",D480="Qualifié"),OR(G480="",N(G480)&lt;=TODAY()),NOT(AND(O480&gt;='Paramètres'!$B$21,P480=0))),E480+476/10000,"")</f>
        <v/>
      </c>
      <c r="BU480" s="60">
        <f>IF(AND(G480&lt;&gt;"",N(G480)&lt;=TODAY()),MAX($BU$4:BU479)+1,"")</f>
        <v/>
      </c>
      <c r="BV480" s="60">
        <f>IF(AND(F480&lt;&gt;"",F480&lt;&gt;"Relance en retard"),MAX($BV$4:BV479)+1,"")</f>
        <v/>
      </c>
      <c r="BW480" s="60">
        <f>IF(C480="","",IF(AND(B480&gt;='Tableau de bord'!$R$4,B480&lt;='Tableau de bord'!$S$4,OR('Tableau de bord'!$G$4="Tous",N480='Tableau de bord'!$G$4)),1,0))</f>
        <v/>
      </c>
      <c r="BX480" s="60">
        <f>IF(AND(C480&lt;&gt;"",N(BA480)=7),MAX($BX$4:BX479)+1,"")</f>
        <v/>
      </c>
    </row>
    <row r="481">
      <c r="A481" s="60">
        <f>IF(C481="","","P-"&amp;TEXT(477,"000"))</f>
        <v/>
      </c>
      <c r="B481" s="106">
        <f>IF(C481="","",IFERROR(1/(1/_xlfn.MINIFS('Saisie'!$A$5:$A$2004,'Saisie'!$C$5:$C$2004,C481)),""))</f>
        <v/>
      </c>
      <c r="C481" s="60">
        <f>IFERROR(INDEX('Saisie'!$C$5:$C$2004,MATCH(477,'Saisie'!$AX$5:$AX$2004,0)),"")</f>
        <v/>
      </c>
      <c r="D481" s="60">
        <f>IF(C481="","",IF(AND(BR481&gt;0,BR481&gt;BS481,BA481&lt;7),"Perdu",INDEX('Paramètres'!$F$6:$F$13,BA481)))</f>
        <v/>
      </c>
      <c r="E481" s="61">
        <f>IF(C481="","",MIN(100,(Z481="Oui")*'Paramètres'!$B$38+(AB481="Régulière")*'Paramètres'!$B$39+IF(AND(N(AA481)&gt;0,TODAY()-N(AA481)&lt;=30),'Paramètres'!$B$40,0)+(W481="")*'Paramètres'!$B$41+(AC481="Absente")*'Paramètres'!$B$42+(AC481="Faible")*'Paramètres'!$B$43+IF(AND(N(AD481)&gt;0,N(AD481)&lt;4),'Paramètres'!$B$44,0)+(AF481="Moyenne")*'Paramètres'!$B$45+(AF481="Grande")*'Paramètres'!$B$46+(Y481&lt;&gt;"")*'Paramètres'!$B$47))</f>
        <v/>
      </c>
      <c r="F481" s="60">
        <f>IF(C481="","",IF(D481="Gagné","",IF(D481="Perdu",IF(AND(AX481&lt;&gt;"",AX481&lt;=TODAY()),"À recontacter (perdu)",""),IF(AND(O481&gt;='Paramètres'!$B$21,P481=0),"Stop : "&amp;'Paramètres'!$B$21&amp;" tentatives sans réponse",IF(AND(D481="Proposition",AR481&lt;&gt;"",TODAY()&gt;N(AR481)),"Proposition expirée",IF(AND(D481="Proposition",N(R481)&gt;='Paramètres'!$B$25),"Proposition sans réponse",IF(AND(G481&lt;&gt;"",N(G481)&lt;TODAY()),"Relance en retard",IF(N(R481)&gt;='Paramètres'!$B$24,"Sans action depuis "&amp;R481&amp;" j",""))))))))</f>
        <v/>
      </c>
      <c r="G481" s="106">
        <f>IF(OR(C481="",D481="Gagné",D481="Perdu"),"",IF(AND(BP481&gt;0,BP481=BQ481),INDEX('Saisie'!$J$5:$J$2004,BP481-4),IF(OR(O481=0,AND(O481&gt;='Paramètres'!$B$21,P481=0)),"",Q481+IF(O481&lt;=1,'Paramètres'!$B$18,IF(O481=2,'Paramètres'!$B$19,'Paramètres'!$B$20)))))</f>
        <v/>
      </c>
      <c r="H481" s="107">
        <f>IF(OR(G481="",BP481&lt;&gt;BQ481),"",IF(INDEX('Saisie'!$K$5:$K$2004,BP481-4)="","",INDEX('Saisie'!$K$5:$K$2004,BP481-4)))</f>
        <v/>
      </c>
      <c r="I481" s="60">
        <f>IF(C481="","",IF(OR(D481="Gagné",D481="Perdu"),"",IFERROR(INDEX('Saisie'!$I$5:$I$2004,_xlfn.MAXIFS('Saisie'!$AS$5:$AS$2004,'Saisie'!$C$5:$C$2004,C481,'Saisie'!$I$5:$I$2004,"&lt;&gt;")-4),"")))</f>
        <v/>
      </c>
      <c r="J481" s="60">
        <f>IF(C481="","",IFERROR(INDEX('Saisie'!$U$5:$U$2004,_xlfn.MAXIFS('Saisie'!$AS$5:$AS$2004,'Saisie'!$C$5:$C$2004,C481,'Saisie'!$U$5:$U$2004,"&lt;&gt;")-4),""))</f>
        <v/>
      </c>
      <c r="K481" s="60">
        <f>IF(C481="","",IFERROR(INDEX('Saisie'!$W$5:$W$2004,_xlfn.MAXIFS('Saisie'!$AS$5:$AS$2004,'Saisie'!$C$5:$C$2004,C481,'Saisie'!$W$5:$W$2004,"&lt;&gt;")-4),""))</f>
        <v/>
      </c>
      <c r="L481" s="60">
        <f>IF(IF(BB481&lt;&gt;"",BB481,K481)="","",HYPERLINK("https://wa.me/"&amp;IF(LEFT(SUBSTITUTE(SUBSTITUTE(SUBSTITUTE(IF(BB481&lt;&gt;"",BB481,K481)," ",""),".",""),"+",""),1)="0",'Paramètres'!$B$35&amp;MID(SUBSTITUTE(SUBSTITUTE(SUBSTITUTE(IF(BB481&lt;&gt;"",BB481,K481)," ",""),".",""),"+",""),2,20),SUBSTITUTE(SUBSTITUTE(SUBSTITUTE(IF(BB481&lt;&gt;"",BB481,K481)," ",""),".",""),"+","")),"WhatsApp"))</f>
        <v/>
      </c>
      <c r="M481" s="60">
        <f>IF(BC481="","",HYPERLINK(IF(LEFT(BC481,4)="http",BC481,"https://www.instagram.com/"&amp;SUBSTITUTE(SUBSTITUTE(BC481,"@","")," ","")),BC481))</f>
        <v/>
      </c>
      <c r="N481" s="60">
        <f>IF(C481="","",IFERROR(INDEX('Saisie'!$D$5:$D$2004,_xlfn.MINIFS('Saisie'!$AS$5:$AS$2004,'Saisie'!$C$5:$C$2004,C481,'Saisie'!$AU$5:$AU$2004,1)-4),IFERROR(INDEX('Saisie'!$D$5:$D$2004,_xlfn.MINIFS('Saisie'!$AS$5:$AS$2004,'Saisie'!$C$5:$C$2004,C481,'Saisie'!$D$5:$D$2004,"&lt;&gt;")-4),"")))</f>
        <v/>
      </c>
      <c r="O481" s="60">
        <f>IF(C481="","",COUNTIFS('Saisie'!$C$5:$C$2004,C481,'Saisie'!$AU$5:$AU$2004,1))</f>
        <v/>
      </c>
      <c r="P481" s="60">
        <f>IF(C481="","",COUNTIFS('Saisie'!$C$5:$C$2004,C481,'Saisie'!$AV$5:$AV$2004,1))</f>
        <v/>
      </c>
      <c r="Q481" s="106">
        <f>IF(C481="","",IFERROR(1/(1/_xlfn.MAXIFS('Saisie'!$A$5:$A$2004,'Saisie'!$C$5:$C$2004,C481)),""))</f>
        <v/>
      </c>
      <c r="R481" s="61">
        <f>IF(C481="","",IF(Q481="","",TODAY()-Q481))</f>
        <v/>
      </c>
      <c r="S481" s="60">
        <f>IF(C481="","",IFERROR(INDEX('Saisie'!$R$5:$R$2004,_xlfn.MAXIFS('Saisie'!$AS$5:$AS$2004,'Saisie'!$C$5:$C$2004,C481,'Saisie'!$R$5:$R$2004,"&lt;&gt;")-4),""))</f>
        <v/>
      </c>
      <c r="T481" s="60">
        <f>IF(C481="","",IFERROR(INDEX('Saisie'!$S$5:$S$2004,_xlfn.MAXIFS('Saisie'!$AS$5:$AS$2004,'Saisie'!$C$5:$C$2004,C481,'Saisie'!$S$5:$S$2004,"&lt;&gt;")-4),""))</f>
        <v/>
      </c>
      <c r="U481" s="60">
        <f>IF(C481="","",IFERROR(INDEX('Saisie'!$T$5:$T$2004,_xlfn.MAXIFS('Saisie'!$AS$5:$AS$2004,'Saisie'!$C$5:$C$2004,C481,'Saisie'!$T$5:$T$2004,"&lt;&gt;")-4),""))</f>
        <v/>
      </c>
      <c r="V481" s="60">
        <f>IF(C481="","",IFERROR(INDEX('Saisie'!$V$5:$V$2004,_xlfn.MAXIFS('Saisie'!$AS$5:$AS$2004,'Saisie'!$C$5:$C$2004,C481,'Saisie'!$V$5:$V$2004,"&lt;&gt;")-4),""))</f>
        <v/>
      </c>
      <c r="W481" s="60">
        <f>IF(C481="","",IFERROR(INDEX('Saisie'!$Z$5:$Z$2004,_xlfn.MAXIFS('Saisie'!$AS$5:$AS$2004,'Saisie'!$C$5:$C$2004,C481,'Saisie'!$Z$5:$Z$2004,"&lt;&gt;")-4),""))</f>
        <v/>
      </c>
      <c r="X481" s="60">
        <f>IF(C481="","",IFERROR(INDEX('Saisie'!$AA$5:$AA$2004,_xlfn.MAXIFS('Saisie'!$AS$5:$AS$2004,'Saisie'!$C$5:$C$2004,C481,'Saisie'!$AA$5:$AA$2004,"&lt;&gt;")-4),""))</f>
        <v/>
      </c>
      <c r="Y481" s="60">
        <f>IF(C481="","",IFERROR(INDEX('Saisie'!$AB$5:$AB$2004,_xlfn.MAXIFS('Saisie'!$AS$5:$AS$2004,'Saisie'!$C$5:$C$2004,C481,'Saisie'!$AB$5:$AB$2004,"&lt;&gt;")-4),""))</f>
        <v/>
      </c>
      <c r="Z481" s="60">
        <f>IF(C481="","",IFERROR(INDEX('Saisie'!$AC$5:$AC$2004,_xlfn.MAXIFS('Saisie'!$AS$5:$AS$2004,'Saisie'!$C$5:$C$2004,C481,'Saisie'!$AC$5:$AC$2004,"&lt;&gt;")-4),""))</f>
        <v/>
      </c>
      <c r="AA481" s="106">
        <f>IF(C481="","",IFERROR(INDEX('Saisie'!$AD$5:$AD$2004,_xlfn.MAXIFS('Saisie'!$AS$5:$AS$2004,'Saisie'!$C$5:$C$2004,C481,'Saisie'!$AD$5:$AD$2004,"&lt;&gt;")-4),""))</f>
        <v/>
      </c>
      <c r="AB481" s="60">
        <f>IF(C481="","",IFERROR(INDEX('Saisie'!$AE$5:$AE$2004,_xlfn.MAXIFS('Saisie'!$AS$5:$AS$2004,'Saisie'!$C$5:$C$2004,C481,'Saisie'!$AE$5:$AE$2004,"&lt;&gt;")-4),""))</f>
        <v/>
      </c>
      <c r="AC481" s="60">
        <f>IF(C481="","",IFERROR(INDEX('Saisie'!$AF$5:$AF$2004,_xlfn.MAXIFS('Saisie'!$AS$5:$AS$2004,'Saisie'!$C$5:$C$2004,C481,'Saisie'!$AF$5:$AF$2004,"&lt;&gt;")-4),""))</f>
        <v/>
      </c>
      <c r="AD481" s="108">
        <f>IF(C481="","",IFERROR(INDEX('Saisie'!$AG$5:$AG$2004,_xlfn.MAXIFS('Saisie'!$AS$5:$AS$2004,'Saisie'!$C$5:$C$2004,C481,'Saisie'!$AG$5:$AG$2004,"&lt;&gt;")-4),""))</f>
        <v/>
      </c>
      <c r="AE481" s="60">
        <f>IF(C481="","",IFERROR(INDEX('Saisie'!$AH$5:$AH$2004,_xlfn.MAXIFS('Saisie'!$AS$5:$AS$2004,'Saisie'!$C$5:$C$2004,C481,'Saisie'!$AH$5:$AH$2004,"&lt;&gt;")-4),""))</f>
        <v/>
      </c>
      <c r="AF481" s="60">
        <f>IF(C481="","",IFERROR(INDEX('Saisie'!$AI$5:$AI$2004,_xlfn.MAXIFS('Saisie'!$AS$5:$AS$2004,'Saisie'!$C$5:$C$2004,C481,'Saisie'!$AI$5:$AI$2004,"&lt;&gt;")-4),""))</f>
        <v/>
      </c>
      <c r="AG481" s="60">
        <f>IF(C481="","",IFERROR(INDEX('Saisie'!$AJ$5:$AJ$2004,_xlfn.MAXIFS('Saisie'!$AS$5:$AS$2004,'Saisie'!$C$5:$C$2004,C481,'Saisie'!$AJ$5:$AJ$2004,"&lt;&gt;")-4),""))</f>
        <v/>
      </c>
      <c r="AH481" s="60">
        <f>IF(C481="","",IFERROR(INDEX('Saisie'!$AK$5:$AK$2004,_xlfn.MAXIFS('Saisie'!$AS$5:$AS$2004,'Saisie'!$C$5:$C$2004,C481,'Saisie'!$AK$5:$AK$2004,"&lt;&gt;")-4),""))</f>
        <v/>
      </c>
      <c r="AI481" s="60">
        <f>IF(C481="","",IFERROR(INDEX('Saisie'!$AN$5:$AN$2004,_xlfn.MAXIFS('Saisie'!$AS$5:$AS$2004,'Saisie'!$C$5:$C$2004,C481,'Saisie'!$AN$5:$AN$2004,"&lt;&gt;")-4),""))</f>
        <v/>
      </c>
      <c r="AJ481" s="60">
        <f>IF(C481="","",IFERROR(INDEX('Saisie'!$AO$5:$AO$2004,_xlfn.MAXIFS('Saisie'!$AS$5:$AS$2004,'Saisie'!$C$5:$C$2004,C481,'Saisie'!$AO$5:$AO$2004,"&lt;&gt;")-4),""))</f>
        <v/>
      </c>
      <c r="AK481" s="60">
        <f>IF(C481="","",IFERROR(INDEX('Saisie'!$AP$5:$AP$2004,_xlfn.MAXIFS('Saisie'!$AS$5:$AS$2004,'Saisie'!$C$5:$C$2004,C481,'Saisie'!$AP$5:$AP$2004,"&lt;&gt;")-4),""))</f>
        <v/>
      </c>
      <c r="AL481" s="60">
        <f>IF(C481="","",IFERROR(INDEX('Saisie'!$AQ$5:$AQ$2004,_xlfn.MAXIFS('Saisie'!$AS$5:$AS$2004,'Saisie'!$C$5:$C$2004,C481,'Saisie'!$AQ$5:$AQ$2004,"&lt;&gt;")-4),""))</f>
        <v/>
      </c>
      <c r="AM481" s="60">
        <f>IF(C481="","",((AI481="Oui")+(AJ481="Oui")+(AK481="Oui")+OR(AL481="Immédiat",AL481="&lt; 1 mois"))&amp;"/4")</f>
        <v/>
      </c>
      <c r="AN481" s="60">
        <f>IF(C481="","",IFERROR(INDEX('Saisie'!$AL$5:$AL$2004,_xlfn.MAXIFS('Saisie'!$AS$5:$AS$2004,'Saisie'!$C$5:$C$2004,C481,'Saisie'!$AL$5:$AL$2004,"&lt;&gt;")-4),""))</f>
        <v/>
      </c>
      <c r="AO481" s="62">
        <f>IF(C481="","",IF(IFERROR(INDEX('Saisie'!$AM$5:$AM$2004,_xlfn.MAXIFS('Saisie'!$AS$5:$AS$2004,'Saisie'!$C$5:$C$2004,C481,'Saisie'!$AM$5:$AM$2004,"&lt;&gt;")-4),"")&lt;&gt;"",IFERROR(INDEX('Saisie'!$AM$5:$AM$2004,_xlfn.MAXIFS('Saisie'!$AS$5:$AS$2004,'Saisie'!$C$5:$C$2004,C481,'Saisie'!$AM$5:$AM$2004,"&lt;&gt;")-4),""),IFERROR(INDEX('Paramètres'!$S$6:$S$15,MATCH(AN481,'Paramètres'!$Q$6:$Q$15,0)),"")))</f>
        <v/>
      </c>
      <c r="AP481" s="62">
        <f>IF(C481="","",IFERROR(INDEX('Saisie'!$AW$5:$AW$2004,_xlfn.MAXIFS('Saisie'!$AS$5:$AS$2004,'Saisie'!$C$5:$C$2004,C481,'Saisie'!$E$5:$E$2004,"Proposition envoyée")-4),""))</f>
        <v/>
      </c>
      <c r="AQ481" s="106">
        <f>IF(C481="","",IFERROR(1/(1/_xlfn.MAXIFS('Saisie'!$A$5:$A$2004,'Saisie'!$C$5:$C$2004,C481,'Saisie'!$E$5:$E$2004,"Proposition envoyée")),""))</f>
        <v/>
      </c>
      <c r="AR481" s="106">
        <f>IF(C481="","",IF(AQ481="","",AQ481+'Paramètres'!$B$26))</f>
        <v/>
      </c>
      <c r="AS481" s="62">
        <f>IF(OR(C481="",D481="Gagné",D481="Perdu"),0,N(AP481)*IFERROR(INDEX('Paramètres'!$G$6:$G$13,MATCH(D481,'Paramètres'!$F$6:$F$13,0)),0))</f>
        <v/>
      </c>
      <c r="AT481" s="106">
        <f>IF(C481="","",IFERROR(1/(1/_xlfn.MINIFS('Saisie'!$A$5:$A$2004,'Saisie'!$C$5:$C$2004,C481,'Saisie'!$E$5:$E$2004,"Signature")),""))</f>
        <v/>
      </c>
      <c r="AU481" s="60">
        <f>IF(C481="","",IF(OR(AT481="",B481=""),"",AT481-B481))</f>
        <v/>
      </c>
      <c r="AV481" s="60">
        <f>IF(C481="","",IFERROR(INDEX('Saisie'!$L$5:$L$2004,_xlfn.MAXIFS('Saisie'!$AS$5:$AS$2004,'Saisie'!$C$5:$C$2004,C481,'Saisie'!$L$5:$L$2004,"&lt;&gt;")-4),""))</f>
        <v/>
      </c>
      <c r="AW481" s="106">
        <f>IF(C481="","",IF(D481&lt;&gt;"Perdu","",IFERROR(1/(1/_xlfn.MAXIFS('Saisie'!$A$5:$A$2004,'Saisie'!$C$5:$C$2004,C481,'Saisie'!$E$5:$E$2004,"Perdu")),"")))</f>
        <v/>
      </c>
      <c r="AX481" s="106">
        <f>IF(C481="","",IF(AW481="","",AW481+'Paramètres'!$B$28))</f>
        <v/>
      </c>
      <c r="AY481" s="60">
        <f>IF(C481="","",SUMIFS('Saisie'!$H$5:$H$2004,'Saisie'!$C$5:$C$2004,C481))</f>
        <v/>
      </c>
      <c r="AZ481" s="60">
        <f>IF(C481="","",IFERROR(INDEX('Paramètres'!$W$6:$W$20,MATCH(S481,'Paramètres'!$V$6:$V$20,0))&amp;"",""))</f>
        <v/>
      </c>
      <c r="BA481" s="60">
        <f>IF(C481="","",MAX(1,_xlfn.MAXIFS('Saisie'!$AT$5:$AT$2004,'Saisie'!$C$5:$C$2004,C481)))</f>
        <v/>
      </c>
      <c r="BB481" s="60">
        <f>IF(C481="","",IFERROR(INDEX('Saisie'!$X$5:$X$2004,_xlfn.MAXIFS('Saisie'!$AS$5:$AS$2004,'Saisie'!$C$5:$C$2004,C481,'Saisie'!$X$5:$X$2004,"&lt;&gt;")-4),""))</f>
        <v/>
      </c>
      <c r="BC481" s="60">
        <f>IF(C481="","",IFERROR(INDEX('Saisie'!$Y$5:$Y$2004,_xlfn.MAXIFS('Saisie'!$AS$5:$AS$2004,'Saisie'!$C$5:$C$2004,C481,'Saisie'!$Y$5:$Y$2004,"&lt;&gt;")-4),""))</f>
        <v/>
      </c>
      <c r="BD481" s="106">
        <f>IF(C481="","",IFERROR(1/(1/_xlfn.MINIFS('Saisie'!$A$5:$A$2004,'Saisie'!$C$5:$C$2004,C481,'Saisie'!$AT$5:$AT$2004,"&gt;=2")),""))</f>
        <v/>
      </c>
      <c r="BE481" s="106">
        <f>IF(C481="","",IFERROR(1/(1/_xlfn.MINIFS('Saisie'!$A$5:$A$2004,'Saisie'!$C$5:$C$2004,C481,'Saisie'!$AT$5:$AT$2004,"&gt;=3")),""))</f>
        <v/>
      </c>
      <c r="BF481" s="106">
        <f>IF(C481="","",IFERROR(1/(1/_xlfn.MINIFS('Saisie'!$A$5:$A$2004,'Saisie'!$C$5:$C$2004,C481,'Saisie'!$AT$5:$AT$2004,"&gt;=4")),""))</f>
        <v/>
      </c>
      <c r="BG481" s="106">
        <f>IF(C481="","",IFERROR(1/(1/_xlfn.MINIFS('Saisie'!$A$5:$A$2004,'Saisie'!$C$5:$C$2004,C481,'Saisie'!$AT$5:$AT$2004,"&gt;=5")),""))</f>
        <v/>
      </c>
      <c r="BH481" s="106">
        <f>IF(C481="","",IFERROR(1/(1/_xlfn.MINIFS('Saisie'!$A$5:$A$2004,'Saisie'!$C$5:$C$2004,C481,'Saisie'!$AT$5:$AT$2004,"&gt;=6")),""))</f>
        <v/>
      </c>
      <c r="BI481" s="106">
        <f>IF(C481="","",IFERROR(1/(1/_xlfn.MINIFS('Saisie'!$A$5:$A$2004,'Saisie'!$C$5:$C$2004,C481,'Saisie'!$AT$5:$AT$2004,"&gt;=7")),""))</f>
        <v/>
      </c>
      <c r="BJ481" s="60">
        <f>IF(OR(BD481="",B481=""),"",BD481-B481)</f>
        <v/>
      </c>
      <c r="BK481" s="60">
        <f>IF(OR(BE481="",BD481=""),"",BE481-BD481)</f>
        <v/>
      </c>
      <c r="BL481" s="60">
        <f>IF(OR(BF481="",BE481=""),"",BF481-BE481)</f>
        <v/>
      </c>
      <c r="BM481" s="60">
        <f>IF(OR(BG481="",BF481=""),"",BG481-BF481)</f>
        <v/>
      </c>
      <c r="BN481" s="60">
        <f>IF(OR(BH481="",BG481=""),"",BH481-BG481)</f>
        <v/>
      </c>
      <c r="BO481" s="60">
        <f>IF(OR(BI481="",BH481=""),"",BI481-BH481)</f>
        <v/>
      </c>
      <c r="BP481" s="60">
        <f>IF(C481="","",_xlfn.MAXIFS('Saisie'!$AS$5:$AS$2004,'Saisie'!$C$5:$C$2004,C481,'Saisie'!$J$5:$J$2004,"&lt;&gt;"))</f>
        <v/>
      </c>
      <c r="BQ481" s="60">
        <f>IF(C481="","",_xlfn.MAXIFS('Saisie'!$AS$5:$AS$2004,'Saisie'!$C$5:$C$2004,C481))</f>
        <v/>
      </c>
      <c r="BR481" s="60">
        <f>IF(C481="","",_xlfn.MAXIFS('Saisie'!$AS$5:$AS$2004,'Saisie'!$C$5:$C$2004,C481,'Saisie'!$E$5:$E$2004,"Perdu"))</f>
        <v/>
      </c>
      <c r="BS481" s="60">
        <f>IF(C481="","",_xlfn.MAXIFS('Saisie'!$AS$5:$AS$2004,'Saisie'!$C$5:$C$2004,C481,'Saisie'!$AT$5:$AT$2004,"&gt;0"))</f>
        <v/>
      </c>
      <c r="BT481" s="109">
        <f>IF(AND(C481&lt;&gt;"",OR(D481="Nouveau",D481="Contacté",D481="Qualifié"),OR(G481="",N(G481)&lt;=TODAY()),NOT(AND(O481&gt;='Paramètres'!$B$21,P481=0))),E481+477/10000,"")</f>
        <v/>
      </c>
      <c r="BU481" s="60">
        <f>IF(AND(G481&lt;&gt;"",N(G481)&lt;=TODAY()),MAX($BU$4:BU480)+1,"")</f>
        <v/>
      </c>
      <c r="BV481" s="60">
        <f>IF(AND(F481&lt;&gt;"",F481&lt;&gt;"Relance en retard"),MAX($BV$4:BV480)+1,"")</f>
        <v/>
      </c>
      <c r="BW481" s="60">
        <f>IF(C481="","",IF(AND(B481&gt;='Tableau de bord'!$R$4,B481&lt;='Tableau de bord'!$S$4,OR('Tableau de bord'!$G$4="Tous",N481='Tableau de bord'!$G$4)),1,0))</f>
        <v/>
      </c>
      <c r="BX481" s="60">
        <f>IF(AND(C481&lt;&gt;"",N(BA481)=7),MAX($BX$4:BX480)+1,"")</f>
        <v/>
      </c>
    </row>
    <row r="482">
      <c r="A482" s="60">
        <f>IF(C482="","","P-"&amp;TEXT(478,"000"))</f>
        <v/>
      </c>
      <c r="B482" s="106">
        <f>IF(C482="","",IFERROR(1/(1/_xlfn.MINIFS('Saisie'!$A$5:$A$2004,'Saisie'!$C$5:$C$2004,C482)),""))</f>
        <v/>
      </c>
      <c r="C482" s="60">
        <f>IFERROR(INDEX('Saisie'!$C$5:$C$2004,MATCH(478,'Saisie'!$AX$5:$AX$2004,0)),"")</f>
        <v/>
      </c>
      <c r="D482" s="60">
        <f>IF(C482="","",IF(AND(BR482&gt;0,BR482&gt;BS482,BA482&lt;7),"Perdu",INDEX('Paramètres'!$F$6:$F$13,BA482)))</f>
        <v/>
      </c>
      <c r="E482" s="61">
        <f>IF(C482="","",MIN(100,(Z482="Oui")*'Paramètres'!$B$38+(AB482="Régulière")*'Paramètres'!$B$39+IF(AND(N(AA482)&gt;0,TODAY()-N(AA482)&lt;=30),'Paramètres'!$B$40,0)+(W482="")*'Paramètres'!$B$41+(AC482="Absente")*'Paramètres'!$B$42+(AC482="Faible")*'Paramètres'!$B$43+IF(AND(N(AD482)&gt;0,N(AD482)&lt;4),'Paramètres'!$B$44,0)+(AF482="Moyenne")*'Paramètres'!$B$45+(AF482="Grande")*'Paramètres'!$B$46+(Y482&lt;&gt;"")*'Paramètres'!$B$47))</f>
        <v/>
      </c>
      <c r="F482" s="60">
        <f>IF(C482="","",IF(D482="Gagné","",IF(D482="Perdu",IF(AND(AX482&lt;&gt;"",AX482&lt;=TODAY()),"À recontacter (perdu)",""),IF(AND(O482&gt;='Paramètres'!$B$21,P482=0),"Stop : "&amp;'Paramètres'!$B$21&amp;" tentatives sans réponse",IF(AND(D482="Proposition",AR482&lt;&gt;"",TODAY()&gt;N(AR482)),"Proposition expirée",IF(AND(D482="Proposition",N(R482)&gt;='Paramètres'!$B$25),"Proposition sans réponse",IF(AND(G482&lt;&gt;"",N(G482)&lt;TODAY()),"Relance en retard",IF(N(R482)&gt;='Paramètres'!$B$24,"Sans action depuis "&amp;R482&amp;" j",""))))))))</f>
        <v/>
      </c>
      <c r="G482" s="106">
        <f>IF(OR(C482="",D482="Gagné",D482="Perdu"),"",IF(AND(BP482&gt;0,BP482=BQ482),INDEX('Saisie'!$J$5:$J$2004,BP482-4),IF(OR(O482=0,AND(O482&gt;='Paramètres'!$B$21,P482=0)),"",Q482+IF(O482&lt;=1,'Paramètres'!$B$18,IF(O482=2,'Paramètres'!$B$19,'Paramètres'!$B$20)))))</f>
        <v/>
      </c>
      <c r="H482" s="107">
        <f>IF(OR(G482="",BP482&lt;&gt;BQ482),"",IF(INDEX('Saisie'!$K$5:$K$2004,BP482-4)="","",INDEX('Saisie'!$K$5:$K$2004,BP482-4)))</f>
        <v/>
      </c>
      <c r="I482" s="60">
        <f>IF(C482="","",IF(OR(D482="Gagné",D482="Perdu"),"",IFERROR(INDEX('Saisie'!$I$5:$I$2004,_xlfn.MAXIFS('Saisie'!$AS$5:$AS$2004,'Saisie'!$C$5:$C$2004,C482,'Saisie'!$I$5:$I$2004,"&lt;&gt;")-4),"")))</f>
        <v/>
      </c>
      <c r="J482" s="60">
        <f>IF(C482="","",IFERROR(INDEX('Saisie'!$U$5:$U$2004,_xlfn.MAXIFS('Saisie'!$AS$5:$AS$2004,'Saisie'!$C$5:$C$2004,C482,'Saisie'!$U$5:$U$2004,"&lt;&gt;")-4),""))</f>
        <v/>
      </c>
      <c r="K482" s="60">
        <f>IF(C482="","",IFERROR(INDEX('Saisie'!$W$5:$W$2004,_xlfn.MAXIFS('Saisie'!$AS$5:$AS$2004,'Saisie'!$C$5:$C$2004,C482,'Saisie'!$W$5:$W$2004,"&lt;&gt;")-4),""))</f>
        <v/>
      </c>
      <c r="L482" s="60">
        <f>IF(IF(BB482&lt;&gt;"",BB482,K482)="","",HYPERLINK("https://wa.me/"&amp;IF(LEFT(SUBSTITUTE(SUBSTITUTE(SUBSTITUTE(IF(BB482&lt;&gt;"",BB482,K482)," ",""),".",""),"+",""),1)="0",'Paramètres'!$B$35&amp;MID(SUBSTITUTE(SUBSTITUTE(SUBSTITUTE(IF(BB482&lt;&gt;"",BB482,K482)," ",""),".",""),"+",""),2,20),SUBSTITUTE(SUBSTITUTE(SUBSTITUTE(IF(BB482&lt;&gt;"",BB482,K482)," ",""),".",""),"+","")),"WhatsApp"))</f>
        <v/>
      </c>
      <c r="M482" s="60">
        <f>IF(BC482="","",HYPERLINK(IF(LEFT(BC482,4)="http",BC482,"https://www.instagram.com/"&amp;SUBSTITUTE(SUBSTITUTE(BC482,"@","")," ","")),BC482))</f>
        <v/>
      </c>
      <c r="N482" s="60">
        <f>IF(C482="","",IFERROR(INDEX('Saisie'!$D$5:$D$2004,_xlfn.MINIFS('Saisie'!$AS$5:$AS$2004,'Saisie'!$C$5:$C$2004,C482,'Saisie'!$AU$5:$AU$2004,1)-4),IFERROR(INDEX('Saisie'!$D$5:$D$2004,_xlfn.MINIFS('Saisie'!$AS$5:$AS$2004,'Saisie'!$C$5:$C$2004,C482,'Saisie'!$D$5:$D$2004,"&lt;&gt;")-4),"")))</f>
        <v/>
      </c>
      <c r="O482" s="60">
        <f>IF(C482="","",COUNTIFS('Saisie'!$C$5:$C$2004,C482,'Saisie'!$AU$5:$AU$2004,1))</f>
        <v/>
      </c>
      <c r="P482" s="60">
        <f>IF(C482="","",COUNTIFS('Saisie'!$C$5:$C$2004,C482,'Saisie'!$AV$5:$AV$2004,1))</f>
        <v/>
      </c>
      <c r="Q482" s="106">
        <f>IF(C482="","",IFERROR(1/(1/_xlfn.MAXIFS('Saisie'!$A$5:$A$2004,'Saisie'!$C$5:$C$2004,C482)),""))</f>
        <v/>
      </c>
      <c r="R482" s="61">
        <f>IF(C482="","",IF(Q482="","",TODAY()-Q482))</f>
        <v/>
      </c>
      <c r="S482" s="60">
        <f>IF(C482="","",IFERROR(INDEX('Saisie'!$R$5:$R$2004,_xlfn.MAXIFS('Saisie'!$AS$5:$AS$2004,'Saisie'!$C$5:$C$2004,C482,'Saisie'!$R$5:$R$2004,"&lt;&gt;")-4),""))</f>
        <v/>
      </c>
      <c r="T482" s="60">
        <f>IF(C482="","",IFERROR(INDEX('Saisie'!$S$5:$S$2004,_xlfn.MAXIFS('Saisie'!$AS$5:$AS$2004,'Saisie'!$C$5:$C$2004,C482,'Saisie'!$S$5:$S$2004,"&lt;&gt;")-4),""))</f>
        <v/>
      </c>
      <c r="U482" s="60">
        <f>IF(C482="","",IFERROR(INDEX('Saisie'!$T$5:$T$2004,_xlfn.MAXIFS('Saisie'!$AS$5:$AS$2004,'Saisie'!$C$5:$C$2004,C482,'Saisie'!$T$5:$T$2004,"&lt;&gt;")-4),""))</f>
        <v/>
      </c>
      <c r="V482" s="60">
        <f>IF(C482="","",IFERROR(INDEX('Saisie'!$V$5:$V$2004,_xlfn.MAXIFS('Saisie'!$AS$5:$AS$2004,'Saisie'!$C$5:$C$2004,C482,'Saisie'!$V$5:$V$2004,"&lt;&gt;")-4),""))</f>
        <v/>
      </c>
      <c r="W482" s="60">
        <f>IF(C482="","",IFERROR(INDEX('Saisie'!$Z$5:$Z$2004,_xlfn.MAXIFS('Saisie'!$AS$5:$AS$2004,'Saisie'!$C$5:$C$2004,C482,'Saisie'!$Z$5:$Z$2004,"&lt;&gt;")-4),""))</f>
        <v/>
      </c>
      <c r="X482" s="60">
        <f>IF(C482="","",IFERROR(INDEX('Saisie'!$AA$5:$AA$2004,_xlfn.MAXIFS('Saisie'!$AS$5:$AS$2004,'Saisie'!$C$5:$C$2004,C482,'Saisie'!$AA$5:$AA$2004,"&lt;&gt;")-4),""))</f>
        <v/>
      </c>
      <c r="Y482" s="60">
        <f>IF(C482="","",IFERROR(INDEX('Saisie'!$AB$5:$AB$2004,_xlfn.MAXIFS('Saisie'!$AS$5:$AS$2004,'Saisie'!$C$5:$C$2004,C482,'Saisie'!$AB$5:$AB$2004,"&lt;&gt;")-4),""))</f>
        <v/>
      </c>
      <c r="Z482" s="60">
        <f>IF(C482="","",IFERROR(INDEX('Saisie'!$AC$5:$AC$2004,_xlfn.MAXIFS('Saisie'!$AS$5:$AS$2004,'Saisie'!$C$5:$C$2004,C482,'Saisie'!$AC$5:$AC$2004,"&lt;&gt;")-4),""))</f>
        <v/>
      </c>
      <c r="AA482" s="106">
        <f>IF(C482="","",IFERROR(INDEX('Saisie'!$AD$5:$AD$2004,_xlfn.MAXIFS('Saisie'!$AS$5:$AS$2004,'Saisie'!$C$5:$C$2004,C482,'Saisie'!$AD$5:$AD$2004,"&lt;&gt;")-4),""))</f>
        <v/>
      </c>
      <c r="AB482" s="60">
        <f>IF(C482="","",IFERROR(INDEX('Saisie'!$AE$5:$AE$2004,_xlfn.MAXIFS('Saisie'!$AS$5:$AS$2004,'Saisie'!$C$5:$C$2004,C482,'Saisie'!$AE$5:$AE$2004,"&lt;&gt;")-4),""))</f>
        <v/>
      </c>
      <c r="AC482" s="60">
        <f>IF(C482="","",IFERROR(INDEX('Saisie'!$AF$5:$AF$2004,_xlfn.MAXIFS('Saisie'!$AS$5:$AS$2004,'Saisie'!$C$5:$C$2004,C482,'Saisie'!$AF$5:$AF$2004,"&lt;&gt;")-4),""))</f>
        <v/>
      </c>
      <c r="AD482" s="108">
        <f>IF(C482="","",IFERROR(INDEX('Saisie'!$AG$5:$AG$2004,_xlfn.MAXIFS('Saisie'!$AS$5:$AS$2004,'Saisie'!$C$5:$C$2004,C482,'Saisie'!$AG$5:$AG$2004,"&lt;&gt;")-4),""))</f>
        <v/>
      </c>
      <c r="AE482" s="60">
        <f>IF(C482="","",IFERROR(INDEX('Saisie'!$AH$5:$AH$2004,_xlfn.MAXIFS('Saisie'!$AS$5:$AS$2004,'Saisie'!$C$5:$C$2004,C482,'Saisie'!$AH$5:$AH$2004,"&lt;&gt;")-4),""))</f>
        <v/>
      </c>
      <c r="AF482" s="60">
        <f>IF(C482="","",IFERROR(INDEX('Saisie'!$AI$5:$AI$2004,_xlfn.MAXIFS('Saisie'!$AS$5:$AS$2004,'Saisie'!$C$5:$C$2004,C482,'Saisie'!$AI$5:$AI$2004,"&lt;&gt;")-4),""))</f>
        <v/>
      </c>
      <c r="AG482" s="60">
        <f>IF(C482="","",IFERROR(INDEX('Saisie'!$AJ$5:$AJ$2004,_xlfn.MAXIFS('Saisie'!$AS$5:$AS$2004,'Saisie'!$C$5:$C$2004,C482,'Saisie'!$AJ$5:$AJ$2004,"&lt;&gt;")-4),""))</f>
        <v/>
      </c>
      <c r="AH482" s="60">
        <f>IF(C482="","",IFERROR(INDEX('Saisie'!$AK$5:$AK$2004,_xlfn.MAXIFS('Saisie'!$AS$5:$AS$2004,'Saisie'!$C$5:$C$2004,C482,'Saisie'!$AK$5:$AK$2004,"&lt;&gt;")-4),""))</f>
        <v/>
      </c>
      <c r="AI482" s="60">
        <f>IF(C482="","",IFERROR(INDEX('Saisie'!$AN$5:$AN$2004,_xlfn.MAXIFS('Saisie'!$AS$5:$AS$2004,'Saisie'!$C$5:$C$2004,C482,'Saisie'!$AN$5:$AN$2004,"&lt;&gt;")-4),""))</f>
        <v/>
      </c>
      <c r="AJ482" s="60">
        <f>IF(C482="","",IFERROR(INDEX('Saisie'!$AO$5:$AO$2004,_xlfn.MAXIFS('Saisie'!$AS$5:$AS$2004,'Saisie'!$C$5:$C$2004,C482,'Saisie'!$AO$5:$AO$2004,"&lt;&gt;")-4),""))</f>
        <v/>
      </c>
      <c r="AK482" s="60">
        <f>IF(C482="","",IFERROR(INDEX('Saisie'!$AP$5:$AP$2004,_xlfn.MAXIFS('Saisie'!$AS$5:$AS$2004,'Saisie'!$C$5:$C$2004,C482,'Saisie'!$AP$5:$AP$2004,"&lt;&gt;")-4),""))</f>
        <v/>
      </c>
      <c r="AL482" s="60">
        <f>IF(C482="","",IFERROR(INDEX('Saisie'!$AQ$5:$AQ$2004,_xlfn.MAXIFS('Saisie'!$AS$5:$AS$2004,'Saisie'!$C$5:$C$2004,C482,'Saisie'!$AQ$5:$AQ$2004,"&lt;&gt;")-4),""))</f>
        <v/>
      </c>
      <c r="AM482" s="60">
        <f>IF(C482="","",((AI482="Oui")+(AJ482="Oui")+(AK482="Oui")+OR(AL482="Immédiat",AL482="&lt; 1 mois"))&amp;"/4")</f>
        <v/>
      </c>
      <c r="AN482" s="60">
        <f>IF(C482="","",IFERROR(INDEX('Saisie'!$AL$5:$AL$2004,_xlfn.MAXIFS('Saisie'!$AS$5:$AS$2004,'Saisie'!$C$5:$C$2004,C482,'Saisie'!$AL$5:$AL$2004,"&lt;&gt;")-4),""))</f>
        <v/>
      </c>
      <c r="AO482" s="62">
        <f>IF(C482="","",IF(IFERROR(INDEX('Saisie'!$AM$5:$AM$2004,_xlfn.MAXIFS('Saisie'!$AS$5:$AS$2004,'Saisie'!$C$5:$C$2004,C482,'Saisie'!$AM$5:$AM$2004,"&lt;&gt;")-4),"")&lt;&gt;"",IFERROR(INDEX('Saisie'!$AM$5:$AM$2004,_xlfn.MAXIFS('Saisie'!$AS$5:$AS$2004,'Saisie'!$C$5:$C$2004,C482,'Saisie'!$AM$5:$AM$2004,"&lt;&gt;")-4),""),IFERROR(INDEX('Paramètres'!$S$6:$S$15,MATCH(AN482,'Paramètres'!$Q$6:$Q$15,0)),"")))</f>
        <v/>
      </c>
      <c r="AP482" s="62">
        <f>IF(C482="","",IFERROR(INDEX('Saisie'!$AW$5:$AW$2004,_xlfn.MAXIFS('Saisie'!$AS$5:$AS$2004,'Saisie'!$C$5:$C$2004,C482,'Saisie'!$E$5:$E$2004,"Proposition envoyée")-4),""))</f>
        <v/>
      </c>
      <c r="AQ482" s="106">
        <f>IF(C482="","",IFERROR(1/(1/_xlfn.MAXIFS('Saisie'!$A$5:$A$2004,'Saisie'!$C$5:$C$2004,C482,'Saisie'!$E$5:$E$2004,"Proposition envoyée")),""))</f>
        <v/>
      </c>
      <c r="AR482" s="106">
        <f>IF(C482="","",IF(AQ482="","",AQ482+'Paramètres'!$B$26))</f>
        <v/>
      </c>
      <c r="AS482" s="62">
        <f>IF(OR(C482="",D482="Gagné",D482="Perdu"),0,N(AP482)*IFERROR(INDEX('Paramètres'!$G$6:$G$13,MATCH(D482,'Paramètres'!$F$6:$F$13,0)),0))</f>
        <v/>
      </c>
      <c r="AT482" s="106">
        <f>IF(C482="","",IFERROR(1/(1/_xlfn.MINIFS('Saisie'!$A$5:$A$2004,'Saisie'!$C$5:$C$2004,C482,'Saisie'!$E$5:$E$2004,"Signature")),""))</f>
        <v/>
      </c>
      <c r="AU482" s="60">
        <f>IF(C482="","",IF(OR(AT482="",B482=""),"",AT482-B482))</f>
        <v/>
      </c>
      <c r="AV482" s="60">
        <f>IF(C482="","",IFERROR(INDEX('Saisie'!$L$5:$L$2004,_xlfn.MAXIFS('Saisie'!$AS$5:$AS$2004,'Saisie'!$C$5:$C$2004,C482,'Saisie'!$L$5:$L$2004,"&lt;&gt;")-4),""))</f>
        <v/>
      </c>
      <c r="AW482" s="106">
        <f>IF(C482="","",IF(D482&lt;&gt;"Perdu","",IFERROR(1/(1/_xlfn.MAXIFS('Saisie'!$A$5:$A$2004,'Saisie'!$C$5:$C$2004,C482,'Saisie'!$E$5:$E$2004,"Perdu")),"")))</f>
        <v/>
      </c>
      <c r="AX482" s="106">
        <f>IF(C482="","",IF(AW482="","",AW482+'Paramètres'!$B$28))</f>
        <v/>
      </c>
      <c r="AY482" s="60">
        <f>IF(C482="","",SUMIFS('Saisie'!$H$5:$H$2004,'Saisie'!$C$5:$C$2004,C482))</f>
        <v/>
      </c>
      <c r="AZ482" s="60">
        <f>IF(C482="","",IFERROR(INDEX('Paramètres'!$W$6:$W$20,MATCH(S482,'Paramètres'!$V$6:$V$20,0))&amp;"",""))</f>
        <v/>
      </c>
      <c r="BA482" s="60">
        <f>IF(C482="","",MAX(1,_xlfn.MAXIFS('Saisie'!$AT$5:$AT$2004,'Saisie'!$C$5:$C$2004,C482)))</f>
        <v/>
      </c>
      <c r="BB482" s="60">
        <f>IF(C482="","",IFERROR(INDEX('Saisie'!$X$5:$X$2004,_xlfn.MAXIFS('Saisie'!$AS$5:$AS$2004,'Saisie'!$C$5:$C$2004,C482,'Saisie'!$X$5:$X$2004,"&lt;&gt;")-4),""))</f>
        <v/>
      </c>
      <c r="BC482" s="60">
        <f>IF(C482="","",IFERROR(INDEX('Saisie'!$Y$5:$Y$2004,_xlfn.MAXIFS('Saisie'!$AS$5:$AS$2004,'Saisie'!$C$5:$C$2004,C482,'Saisie'!$Y$5:$Y$2004,"&lt;&gt;")-4),""))</f>
        <v/>
      </c>
      <c r="BD482" s="106">
        <f>IF(C482="","",IFERROR(1/(1/_xlfn.MINIFS('Saisie'!$A$5:$A$2004,'Saisie'!$C$5:$C$2004,C482,'Saisie'!$AT$5:$AT$2004,"&gt;=2")),""))</f>
        <v/>
      </c>
      <c r="BE482" s="106">
        <f>IF(C482="","",IFERROR(1/(1/_xlfn.MINIFS('Saisie'!$A$5:$A$2004,'Saisie'!$C$5:$C$2004,C482,'Saisie'!$AT$5:$AT$2004,"&gt;=3")),""))</f>
        <v/>
      </c>
      <c r="BF482" s="106">
        <f>IF(C482="","",IFERROR(1/(1/_xlfn.MINIFS('Saisie'!$A$5:$A$2004,'Saisie'!$C$5:$C$2004,C482,'Saisie'!$AT$5:$AT$2004,"&gt;=4")),""))</f>
        <v/>
      </c>
      <c r="BG482" s="106">
        <f>IF(C482="","",IFERROR(1/(1/_xlfn.MINIFS('Saisie'!$A$5:$A$2004,'Saisie'!$C$5:$C$2004,C482,'Saisie'!$AT$5:$AT$2004,"&gt;=5")),""))</f>
        <v/>
      </c>
      <c r="BH482" s="106">
        <f>IF(C482="","",IFERROR(1/(1/_xlfn.MINIFS('Saisie'!$A$5:$A$2004,'Saisie'!$C$5:$C$2004,C482,'Saisie'!$AT$5:$AT$2004,"&gt;=6")),""))</f>
        <v/>
      </c>
      <c r="BI482" s="106">
        <f>IF(C482="","",IFERROR(1/(1/_xlfn.MINIFS('Saisie'!$A$5:$A$2004,'Saisie'!$C$5:$C$2004,C482,'Saisie'!$AT$5:$AT$2004,"&gt;=7")),""))</f>
        <v/>
      </c>
      <c r="BJ482" s="60">
        <f>IF(OR(BD482="",B482=""),"",BD482-B482)</f>
        <v/>
      </c>
      <c r="BK482" s="60">
        <f>IF(OR(BE482="",BD482=""),"",BE482-BD482)</f>
        <v/>
      </c>
      <c r="BL482" s="60">
        <f>IF(OR(BF482="",BE482=""),"",BF482-BE482)</f>
        <v/>
      </c>
      <c r="BM482" s="60">
        <f>IF(OR(BG482="",BF482=""),"",BG482-BF482)</f>
        <v/>
      </c>
      <c r="BN482" s="60">
        <f>IF(OR(BH482="",BG482=""),"",BH482-BG482)</f>
        <v/>
      </c>
      <c r="BO482" s="60">
        <f>IF(OR(BI482="",BH482=""),"",BI482-BH482)</f>
        <v/>
      </c>
      <c r="BP482" s="60">
        <f>IF(C482="","",_xlfn.MAXIFS('Saisie'!$AS$5:$AS$2004,'Saisie'!$C$5:$C$2004,C482,'Saisie'!$J$5:$J$2004,"&lt;&gt;"))</f>
        <v/>
      </c>
      <c r="BQ482" s="60">
        <f>IF(C482="","",_xlfn.MAXIFS('Saisie'!$AS$5:$AS$2004,'Saisie'!$C$5:$C$2004,C482))</f>
        <v/>
      </c>
      <c r="BR482" s="60">
        <f>IF(C482="","",_xlfn.MAXIFS('Saisie'!$AS$5:$AS$2004,'Saisie'!$C$5:$C$2004,C482,'Saisie'!$E$5:$E$2004,"Perdu"))</f>
        <v/>
      </c>
      <c r="BS482" s="60">
        <f>IF(C482="","",_xlfn.MAXIFS('Saisie'!$AS$5:$AS$2004,'Saisie'!$C$5:$C$2004,C482,'Saisie'!$AT$5:$AT$2004,"&gt;0"))</f>
        <v/>
      </c>
      <c r="BT482" s="109">
        <f>IF(AND(C482&lt;&gt;"",OR(D482="Nouveau",D482="Contacté",D482="Qualifié"),OR(G482="",N(G482)&lt;=TODAY()),NOT(AND(O482&gt;='Paramètres'!$B$21,P482=0))),E482+478/10000,"")</f>
        <v/>
      </c>
      <c r="BU482" s="60">
        <f>IF(AND(G482&lt;&gt;"",N(G482)&lt;=TODAY()),MAX($BU$4:BU481)+1,"")</f>
        <v/>
      </c>
      <c r="BV482" s="60">
        <f>IF(AND(F482&lt;&gt;"",F482&lt;&gt;"Relance en retard"),MAX($BV$4:BV481)+1,"")</f>
        <v/>
      </c>
      <c r="BW482" s="60">
        <f>IF(C482="","",IF(AND(B482&gt;='Tableau de bord'!$R$4,B482&lt;='Tableau de bord'!$S$4,OR('Tableau de bord'!$G$4="Tous",N482='Tableau de bord'!$G$4)),1,0))</f>
        <v/>
      </c>
      <c r="BX482" s="60">
        <f>IF(AND(C482&lt;&gt;"",N(BA482)=7),MAX($BX$4:BX481)+1,"")</f>
        <v/>
      </c>
    </row>
    <row r="483">
      <c r="A483" s="60">
        <f>IF(C483="","","P-"&amp;TEXT(479,"000"))</f>
        <v/>
      </c>
      <c r="B483" s="106">
        <f>IF(C483="","",IFERROR(1/(1/_xlfn.MINIFS('Saisie'!$A$5:$A$2004,'Saisie'!$C$5:$C$2004,C483)),""))</f>
        <v/>
      </c>
      <c r="C483" s="60">
        <f>IFERROR(INDEX('Saisie'!$C$5:$C$2004,MATCH(479,'Saisie'!$AX$5:$AX$2004,0)),"")</f>
        <v/>
      </c>
      <c r="D483" s="60">
        <f>IF(C483="","",IF(AND(BR483&gt;0,BR483&gt;BS483,BA483&lt;7),"Perdu",INDEX('Paramètres'!$F$6:$F$13,BA483)))</f>
        <v/>
      </c>
      <c r="E483" s="61">
        <f>IF(C483="","",MIN(100,(Z483="Oui")*'Paramètres'!$B$38+(AB483="Régulière")*'Paramètres'!$B$39+IF(AND(N(AA483)&gt;0,TODAY()-N(AA483)&lt;=30),'Paramètres'!$B$40,0)+(W483="")*'Paramètres'!$B$41+(AC483="Absente")*'Paramètres'!$B$42+(AC483="Faible")*'Paramètres'!$B$43+IF(AND(N(AD483)&gt;0,N(AD483)&lt;4),'Paramètres'!$B$44,0)+(AF483="Moyenne")*'Paramètres'!$B$45+(AF483="Grande")*'Paramètres'!$B$46+(Y483&lt;&gt;"")*'Paramètres'!$B$47))</f>
        <v/>
      </c>
      <c r="F483" s="60">
        <f>IF(C483="","",IF(D483="Gagné","",IF(D483="Perdu",IF(AND(AX483&lt;&gt;"",AX483&lt;=TODAY()),"À recontacter (perdu)",""),IF(AND(O483&gt;='Paramètres'!$B$21,P483=0),"Stop : "&amp;'Paramètres'!$B$21&amp;" tentatives sans réponse",IF(AND(D483="Proposition",AR483&lt;&gt;"",TODAY()&gt;N(AR483)),"Proposition expirée",IF(AND(D483="Proposition",N(R483)&gt;='Paramètres'!$B$25),"Proposition sans réponse",IF(AND(G483&lt;&gt;"",N(G483)&lt;TODAY()),"Relance en retard",IF(N(R483)&gt;='Paramètres'!$B$24,"Sans action depuis "&amp;R483&amp;" j",""))))))))</f>
        <v/>
      </c>
      <c r="G483" s="106">
        <f>IF(OR(C483="",D483="Gagné",D483="Perdu"),"",IF(AND(BP483&gt;0,BP483=BQ483),INDEX('Saisie'!$J$5:$J$2004,BP483-4),IF(OR(O483=0,AND(O483&gt;='Paramètres'!$B$21,P483=0)),"",Q483+IF(O483&lt;=1,'Paramètres'!$B$18,IF(O483=2,'Paramètres'!$B$19,'Paramètres'!$B$20)))))</f>
        <v/>
      </c>
      <c r="H483" s="107">
        <f>IF(OR(G483="",BP483&lt;&gt;BQ483),"",IF(INDEX('Saisie'!$K$5:$K$2004,BP483-4)="","",INDEX('Saisie'!$K$5:$K$2004,BP483-4)))</f>
        <v/>
      </c>
      <c r="I483" s="60">
        <f>IF(C483="","",IF(OR(D483="Gagné",D483="Perdu"),"",IFERROR(INDEX('Saisie'!$I$5:$I$2004,_xlfn.MAXIFS('Saisie'!$AS$5:$AS$2004,'Saisie'!$C$5:$C$2004,C483,'Saisie'!$I$5:$I$2004,"&lt;&gt;")-4),"")))</f>
        <v/>
      </c>
      <c r="J483" s="60">
        <f>IF(C483="","",IFERROR(INDEX('Saisie'!$U$5:$U$2004,_xlfn.MAXIFS('Saisie'!$AS$5:$AS$2004,'Saisie'!$C$5:$C$2004,C483,'Saisie'!$U$5:$U$2004,"&lt;&gt;")-4),""))</f>
        <v/>
      </c>
      <c r="K483" s="60">
        <f>IF(C483="","",IFERROR(INDEX('Saisie'!$W$5:$W$2004,_xlfn.MAXIFS('Saisie'!$AS$5:$AS$2004,'Saisie'!$C$5:$C$2004,C483,'Saisie'!$W$5:$W$2004,"&lt;&gt;")-4),""))</f>
        <v/>
      </c>
      <c r="L483" s="60">
        <f>IF(IF(BB483&lt;&gt;"",BB483,K483)="","",HYPERLINK("https://wa.me/"&amp;IF(LEFT(SUBSTITUTE(SUBSTITUTE(SUBSTITUTE(IF(BB483&lt;&gt;"",BB483,K483)," ",""),".",""),"+",""),1)="0",'Paramètres'!$B$35&amp;MID(SUBSTITUTE(SUBSTITUTE(SUBSTITUTE(IF(BB483&lt;&gt;"",BB483,K483)," ",""),".",""),"+",""),2,20),SUBSTITUTE(SUBSTITUTE(SUBSTITUTE(IF(BB483&lt;&gt;"",BB483,K483)," ",""),".",""),"+","")),"WhatsApp"))</f>
        <v/>
      </c>
      <c r="M483" s="60">
        <f>IF(BC483="","",HYPERLINK(IF(LEFT(BC483,4)="http",BC483,"https://www.instagram.com/"&amp;SUBSTITUTE(SUBSTITUTE(BC483,"@","")," ","")),BC483))</f>
        <v/>
      </c>
      <c r="N483" s="60">
        <f>IF(C483="","",IFERROR(INDEX('Saisie'!$D$5:$D$2004,_xlfn.MINIFS('Saisie'!$AS$5:$AS$2004,'Saisie'!$C$5:$C$2004,C483,'Saisie'!$AU$5:$AU$2004,1)-4),IFERROR(INDEX('Saisie'!$D$5:$D$2004,_xlfn.MINIFS('Saisie'!$AS$5:$AS$2004,'Saisie'!$C$5:$C$2004,C483,'Saisie'!$D$5:$D$2004,"&lt;&gt;")-4),"")))</f>
        <v/>
      </c>
      <c r="O483" s="60">
        <f>IF(C483="","",COUNTIFS('Saisie'!$C$5:$C$2004,C483,'Saisie'!$AU$5:$AU$2004,1))</f>
        <v/>
      </c>
      <c r="P483" s="60">
        <f>IF(C483="","",COUNTIFS('Saisie'!$C$5:$C$2004,C483,'Saisie'!$AV$5:$AV$2004,1))</f>
        <v/>
      </c>
      <c r="Q483" s="106">
        <f>IF(C483="","",IFERROR(1/(1/_xlfn.MAXIFS('Saisie'!$A$5:$A$2004,'Saisie'!$C$5:$C$2004,C483)),""))</f>
        <v/>
      </c>
      <c r="R483" s="61">
        <f>IF(C483="","",IF(Q483="","",TODAY()-Q483))</f>
        <v/>
      </c>
      <c r="S483" s="60">
        <f>IF(C483="","",IFERROR(INDEX('Saisie'!$R$5:$R$2004,_xlfn.MAXIFS('Saisie'!$AS$5:$AS$2004,'Saisie'!$C$5:$C$2004,C483,'Saisie'!$R$5:$R$2004,"&lt;&gt;")-4),""))</f>
        <v/>
      </c>
      <c r="T483" s="60">
        <f>IF(C483="","",IFERROR(INDEX('Saisie'!$S$5:$S$2004,_xlfn.MAXIFS('Saisie'!$AS$5:$AS$2004,'Saisie'!$C$5:$C$2004,C483,'Saisie'!$S$5:$S$2004,"&lt;&gt;")-4),""))</f>
        <v/>
      </c>
      <c r="U483" s="60">
        <f>IF(C483="","",IFERROR(INDEX('Saisie'!$T$5:$T$2004,_xlfn.MAXIFS('Saisie'!$AS$5:$AS$2004,'Saisie'!$C$5:$C$2004,C483,'Saisie'!$T$5:$T$2004,"&lt;&gt;")-4),""))</f>
        <v/>
      </c>
      <c r="V483" s="60">
        <f>IF(C483="","",IFERROR(INDEX('Saisie'!$V$5:$V$2004,_xlfn.MAXIFS('Saisie'!$AS$5:$AS$2004,'Saisie'!$C$5:$C$2004,C483,'Saisie'!$V$5:$V$2004,"&lt;&gt;")-4),""))</f>
        <v/>
      </c>
      <c r="W483" s="60">
        <f>IF(C483="","",IFERROR(INDEX('Saisie'!$Z$5:$Z$2004,_xlfn.MAXIFS('Saisie'!$AS$5:$AS$2004,'Saisie'!$C$5:$C$2004,C483,'Saisie'!$Z$5:$Z$2004,"&lt;&gt;")-4),""))</f>
        <v/>
      </c>
      <c r="X483" s="60">
        <f>IF(C483="","",IFERROR(INDEX('Saisie'!$AA$5:$AA$2004,_xlfn.MAXIFS('Saisie'!$AS$5:$AS$2004,'Saisie'!$C$5:$C$2004,C483,'Saisie'!$AA$5:$AA$2004,"&lt;&gt;")-4),""))</f>
        <v/>
      </c>
      <c r="Y483" s="60">
        <f>IF(C483="","",IFERROR(INDEX('Saisie'!$AB$5:$AB$2004,_xlfn.MAXIFS('Saisie'!$AS$5:$AS$2004,'Saisie'!$C$5:$C$2004,C483,'Saisie'!$AB$5:$AB$2004,"&lt;&gt;")-4),""))</f>
        <v/>
      </c>
      <c r="Z483" s="60">
        <f>IF(C483="","",IFERROR(INDEX('Saisie'!$AC$5:$AC$2004,_xlfn.MAXIFS('Saisie'!$AS$5:$AS$2004,'Saisie'!$C$5:$C$2004,C483,'Saisie'!$AC$5:$AC$2004,"&lt;&gt;")-4),""))</f>
        <v/>
      </c>
      <c r="AA483" s="106">
        <f>IF(C483="","",IFERROR(INDEX('Saisie'!$AD$5:$AD$2004,_xlfn.MAXIFS('Saisie'!$AS$5:$AS$2004,'Saisie'!$C$5:$C$2004,C483,'Saisie'!$AD$5:$AD$2004,"&lt;&gt;")-4),""))</f>
        <v/>
      </c>
      <c r="AB483" s="60">
        <f>IF(C483="","",IFERROR(INDEX('Saisie'!$AE$5:$AE$2004,_xlfn.MAXIFS('Saisie'!$AS$5:$AS$2004,'Saisie'!$C$5:$C$2004,C483,'Saisie'!$AE$5:$AE$2004,"&lt;&gt;")-4),""))</f>
        <v/>
      </c>
      <c r="AC483" s="60">
        <f>IF(C483="","",IFERROR(INDEX('Saisie'!$AF$5:$AF$2004,_xlfn.MAXIFS('Saisie'!$AS$5:$AS$2004,'Saisie'!$C$5:$C$2004,C483,'Saisie'!$AF$5:$AF$2004,"&lt;&gt;")-4),""))</f>
        <v/>
      </c>
      <c r="AD483" s="108">
        <f>IF(C483="","",IFERROR(INDEX('Saisie'!$AG$5:$AG$2004,_xlfn.MAXIFS('Saisie'!$AS$5:$AS$2004,'Saisie'!$C$5:$C$2004,C483,'Saisie'!$AG$5:$AG$2004,"&lt;&gt;")-4),""))</f>
        <v/>
      </c>
      <c r="AE483" s="60">
        <f>IF(C483="","",IFERROR(INDEX('Saisie'!$AH$5:$AH$2004,_xlfn.MAXIFS('Saisie'!$AS$5:$AS$2004,'Saisie'!$C$5:$C$2004,C483,'Saisie'!$AH$5:$AH$2004,"&lt;&gt;")-4),""))</f>
        <v/>
      </c>
      <c r="AF483" s="60">
        <f>IF(C483="","",IFERROR(INDEX('Saisie'!$AI$5:$AI$2004,_xlfn.MAXIFS('Saisie'!$AS$5:$AS$2004,'Saisie'!$C$5:$C$2004,C483,'Saisie'!$AI$5:$AI$2004,"&lt;&gt;")-4),""))</f>
        <v/>
      </c>
      <c r="AG483" s="60">
        <f>IF(C483="","",IFERROR(INDEX('Saisie'!$AJ$5:$AJ$2004,_xlfn.MAXIFS('Saisie'!$AS$5:$AS$2004,'Saisie'!$C$5:$C$2004,C483,'Saisie'!$AJ$5:$AJ$2004,"&lt;&gt;")-4),""))</f>
        <v/>
      </c>
      <c r="AH483" s="60">
        <f>IF(C483="","",IFERROR(INDEX('Saisie'!$AK$5:$AK$2004,_xlfn.MAXIFS('Saisie'!$AS$5:$AS$2004,'Saisie'!$C$5:$C$2004,C483,'Saisie'!$AK$5:$AK$2004,"&lt;&gt;")-4),""))</f>
        <v/>
      </c>
      <c r="AI483" s="60">
        <f>IF(C483="","",IFERROR(INDEX('Saisie'!$AN$5:$AN$2004,_xlfn.MAXIFS('Saisie'!$AS$5:$AS$2004,'Saisie'!$C$5:$C$2004,C483,'Saisie'!$AN$5:$AN$2004,"&lt;&gt;")-4),""))</f>
        <v/>
      </c>
      <c r="AJ483" s="60">
        <f>IF(C483="","",IFERROR(INDEX('Saisie'!$AO$5:$AO$2004,_xlfn.MAXIFS('Saisie'!$AS$5:$AS$2004,'Saisie'!$C$5:$C$2004,C483,'Saisie'!$AO$5:$AO$2004,"&lt;&gt;")-4),""))</f>
        <v/>
      </c>
      <c r="AK483" s="60">
        <f>IF(C483="","",IFERROR(INDEX('Saisie'!$AP$5:$AP$2004,_xlfn.MAXIFS('Saisie'!$AS$5:$AS$2004,'Saisie'!$C$5:$C$2004,C483,'Saisie'!$AP$5:$AP$2004,"&lt;&gt;")-4),""))</f>
        <v/>
      </c>
      <c r="AL483" s="60">
        <f>IF(C483="","",IFERROR(INDEX('Saisie'!$AQ$5:$AQ$2004,_xlfn.MAXIFS('Saisie'!$AS$5:$AS$2004,'Saisie'!$C$5:$C$2004,C483,'Saisie'!$AQ$5:$AQ$2004,"&lt;&gt;")-4),""))</f>
        <v/>
      </c>
      <c r="AM483" s="60">
        <f>IF(C483="","",((AI483="Oui")+(AJ483="Oui")+(AK483="Oui")+OR(AL483="Immédiat",AL483="&lt; 1 mois"))&amp;"/4")</f>
        <v/>
      </c>
      <c r="AN483" s="60">
        <f>IF(C483="","",IFERROR(INDEX('Saisie'!$AL$5:$AL$2004,_xlfn.MAXIFS('Saisie'!$AS$5:$AS$2004,'Saisie'!$C$5:$C$2004,C483,'Saisie'!$AL$5:$AL$2004,"&lt;&gt;")-4),""))</f>
        <v/>
      </c>
      <c r="AO483" s="62">
        <f>IF(C483="","",IF(IFERROR(INDEX('Saisie'!$AM$5:$AM$2004,_xlfn.MAXIFS('Saisie'!$AS$5:$AS$2004,'Saisie'!$C$5:$C$2004,C483,'Saisie'!$AM$5:$AM$2004,"&lt;&gt;")-4),"")&lt;&gt;"",IFERROR(INDEX('Saisie'!$AM$5:$AM$2004,_xlfn.MAXIFS('Saisie'!$AS$5:$AS$2004,'Saisie'!$C$5:$C$2004,C483,'Saisie'!$AM$5:$AM$2004,"&lt;&gt;")-4),""),IFERROR(INDEX('Paramètres'!$S$6:$S$15,MATCH(AN483,'Paramètres'!$Q$6:$Q$15,0)),"")))</f>
        <v/>
      </c>
      <c r="AP483" s="62">
        <f>IF(C483="","",IFERROR(INDEX('Saisie'!$AW$5:$AW$2004,_xlfn.MAXIFS('Saisie'!$AS$5:$AS$2004,'Saisie'!$C$5:$C$2004,C483,'Saisie'!$E$5:$E$2004,"Proposition envoyée")-4),""))</f>
        <v/>
      </c>
      <c r="AQ483" s="106">
        <f>IF(C483="","",IFERROR(1/(1/_xlfn.MAXIFS('Saisie'!$A$5:$A$2004,'Saisie'!$C$5:$C$2004,C483,'Saisie'!$E$5:$E$2004,"Proposition envoyée")),""))</f>
        <v/>
      </c>
      <c r="AR483" s="106">
        <f>IF(C483="","",IF(AQ483="","",AQ483+'Paramètres'!$B$26))</f>
        <v/>
      </c>
      <c r="AS483" s="62">
        <f>IF(OR(C483="",D483="Gagné",D483="Perdu"),0,N(AP483)*IFERROR(INDEX('Paramètres'!$G$6:$G$13,MATCH(D483,'Paramètres'!$F$6:$F$13,0)),0))</f>
        <v/>
      </c>
      <c r="AT483" s="106">
        <f>IF(C483="","",IFERROR(1/(1/_xlfn.MINIFS('Saisie'!$A$5:$A$2004,'Saisie'!$C$5:$C$2004,C483,'Saisie'!$E$5:$E$2004,"Signature")),""))</f>
        <v/>
      </c>
      <c r="AU483" s="60">
        <f>IF(C483="","",IF(OR(AT483="",B483=""),"",AT483-B483))</f>
        <v/>
      </c>
      <c r="AV483" s="60">
        <f>IF(C483="","",IFERROR(INDEX('Saisie'!$L$5:$L$2004,_xlfn.MAXIFS('Saisie'!$AS$5:$AS$2004,'Saisie'!$C$5:$C$2004,C483,'Saisie'!$L$5:$L$2004,"&lt;&gt;")-4),""))</f>
        <v/>
      </c>
      <c r="AW483" s="106">
        <f>IF(C483="","",IF(D483&lt;&gt;"Perdu","",IFERROR(1/(1/_xlfn.MAXIFS('Saisie'!$A$5:$A$2004,'Saisie'!$C$5:$C$2004,C483,'Saisie'!$E$5:$E$2004,"Perdu")),"")))</f>
        <v/>
      </c>
      <c r="AX483" s="106">
        <f>IF(C483="","",IF(AW483="","",AW483+'Paramètres'!$B$28))</f>
        <v/>
      </c>
      <c r="AY483" s="60">
        <f>IF(C483="","",SUMIFS('Saisie'!$H$5:$H$2004,'Saisie'!$C$5:$C$2004,C483))</f>
        <v/>
      </c>
      <c r="AZ483" s="60">
        <f>IF(C483="","",IFERROR(INDEX('Paramètres'!$W$6:$W$20,MATCH(S483,'Paramètres'!$V$6:$V$20,0))&amp;"",""))</f>
        <v/>
      </c>
      <c r="BA483" s="60">
        <f>IF(C483="","",MAX(1,_xlfn.MAXIFS('Saisie'!$AT$5:$AT$2004,'Saisie'!$C$5:$C$2004,C483)))</f>
        <v/>
      </c>
      <c r="BB483" s="60">
        <f>IF(C483="","",IFERROR(INDEX('Saisie'!$X$5:$X$2004,_xlfn.MAXIFS('Saisie'!$AS$5:$AS$2004,'Saisie'!$C$5:$C$2004,C483,'Saisie'!$X$5:$X$2004,"&lt;&gt;")-4),""))</f>
        <v/>
      </c>
      <c r="BC483" s="60">
        <f>IF(C483="","",IFERROR(INDEX('Saisie'!$Y$5:$Y$2004,_xlfn.MAXIFS('Saisie'!$AS$5:$AS$2004,'Saisie'!$C$5:$C$2004,C483,'Saisie'!$Y$5:$Y$2004,"&lt;&gt;")-4),""))</f>
        <v/>
      </c>
      <c r="BD483" s="106">
        <f>IF(C483="","",IFERROR(1/(1/_xlfn.MINIFS('Saisie'!$A$5:$A$2004,'Saisie'!$C$5:$C$2004,C483,'Saisie'!$AT$5:$AT$2004,"&gt;=2")),""))</f>
        <v/>
      </c>
      <c r="BE483" s="106">
        <f>IF(C483="","",IFERROR(1/(1/_xlfn.MINIFS('Saisie'!$A$5:$A$2004,'Saisie'!$C$5:$C$2004,C483,'Saisie'!$AT$5:$AT$2004,"&gt;=3")),""))</f>
        <v/>
      </c>
      <c r="BF483" s="106">
        <f>IF(C483="","",IFERROR(1/(1/_xlfn.MINIFS('Saisie'!$A$5:$A$2004,'Saisie'!$C$5:$C$2004,C483,'Saisie'!$AT$5:$AT$2004,"&gt;=4")),""))</f>
        <v/>
      </c>
      <c r="BG483" s="106">
        <f>IF(C483="","",IFERROR(1/(1/_xlfn.MINIFS('Saisie'!$A$5:$A$2004,'Saisie'!$C$5:$C$2004,C483,'Saisie'!$AT$5:$AT$2004,"&gt;=5")),""))</f>
        <v/>
      </c>
      <c r="BH483" s="106">
        <f>IF(C483="","",IFERROR(1/(1/_xlfn.MINIFS('Saisie'!$A$5:$A$2004,'Saisie'!$C$5:$C$2004,C483,'Saisie'!$AT$5:$AT$2004,"&gt;=6")),""))</f>
        <v/>
      </c>
      <c r="BI483" s="106">
        <f>IF(C483="","",IFERROR(1/(1/_xlfn.MINIFS('Saisie'!$A$5:$A$2004,'Saisie'!$C$5:$C$2004,C483,'Saisie'!$AT$5:$AT$2004,"&gt;=7")),""))</f>
        <v/>
      </c>
      <c r="BJ483" s="60">
        <f>IF(OR(BD483="",B483=""),"",BD483-B483)</f>
        <v/>
      </c>
      <c r="BK483" s="60">
        <f>IF(OR(BE483="",BD483=""),"",BE483-BD483)</f>
        <v/>
      </c>
      <c r="BL483" s="60">
        <f>IF(OR(BF483="",BE483=""),"",BF483-BE483)</f>
        <v/>
      </c>
      <c r="BM483" s="60">
        <f>IF(OR(BG483="",BF483=""),"",BG483-BF483)</f>
        <v/>
      </c>
      <c r="BN483" s="60">
        <f>IF(OR(BH483="",BG483=""),"",BH483-BG483)</f>
        <v/>
      </c>
      <c r="BO483" s="60">
        <f>IF(OR(BI483="",BH483=""),"",BI483-BH483)</f>
        <v/>
      </c>
      <c r="BP483" s="60">
        <f>IF(C483="","",_xlfn.MAXIFS('Saisie'!$AS$5:$AS$2004,'Saisie'!$C$5:$C$2004,C483,'Saisie'!$J$5:$J$2004,"&lt;&gt;"))</f>
        <v/>
      </c>
      <c r="BQ483" s="60">
        <f>IF(C483="","",_xlfn.MAXIFS('Saisie'!$AS$5:$AS$2004,'Saisie'!$C$5:$C$2004,C483))</f>
        <v/>
      </c>
      <c r="BR483" s="60">
        <f>IF(C483="","",_xlfn.MAXIFS('Saisie'!$AS$5:$AS$2004,'Saisie'!$C$5:$C$2004,C483,'Saisie'!$E$5:$E$2004,"Perdu"))</f>
        <v/>
      </c>
      <c r="BS483" s="60">
        <f>IF(C483="","",_xlfn.MAXIFS('Saisie'!$AS$5:$AS$2004,'Saisie'!$C$5:$C$2004,C483,'Saisie'!$AT$5:$AT$2004,"&gt;0"))</f>
        <v/>
      </c>
      <c r="BT483" s="109">
        <f>IF(AND(C483&lt;&gt;"",OR(D483="Nouveau",D483="Contacté",D483="Qualifié"),OR(G483="",N(G483)&lt;=TODAY()),NOT(AND(O483&gt;='Paramètres'!$B$21,P483=0))),E483+479/10000,"")</f>
        <v/>
      </c>
      <c r="BU483" s="60">
        <f>IF(AND(G483&lt;&gt;"",N(G483)&lt;=TODAY()),MAX($BU$4:BU482)+1,"")</f>
        <v/>
      </c>
      <c r="BV483" s="60">
        <f>IF(AND(F483&lt;&gt;"",F483&lt;&gt;"Relance en retard"),MAX($BV$4:BV482)+1,"")</f>
        <v/>
      </c>
      <c r="BW483" s="60">
        <f>IF(C483="","",IF(AND(B483&gt;='Tableau de bord'!$R$4,B483&lt;='Tableau de bord'!$S$4,OR('Tableau de bord'!$G$4="Tous",N483='Tableau de bord'!$G$4)),1,0))</f>
        <v/>
      </c>
      <c r="BX483" s="60">
        <f>IF(AND(C483&lt;&gt;"",N(BA483)=7),MAX($BX$4:BX482)+1,"")</f>
        <v/>
      </c>
    </row>
    <row r="484">
      <c r="A484" s="60">
        <f>IF(C484="","","P-"&amp;TEXT(480,"000"))</f>
        <v/>
      </c>
      <c r="B484" s="106">
        <f>IF(C484="","",IFERROR(1/(1/_xlfn.MINIFS('Saisie'!$A$5:$A$2004,'Saisie'!$C$5:$C$2004,C484)),""))</f>
        <v/>
      </c>
      <c r="C484" s="60">
        <f>IFERROR(INDEX('Saisie'!$C$5:$C$2004,MATCH(480,'Saisie'!$AX$5:$AX$2004,0)),"")</f>
        <v/>
      </c>
      <c r="D484" s="60">
        <f>IF(C484="","",IF(AND(BR484&gt;0,BR484&gt;BS484,BA484&lt;7),"Perdu",INDEX('Paramètres'!$F$6:$F$13,BA484)))</f>
        <v/>
      </c>
      <c r="E484" s="61">
        <f>IF(C484="","",MIN(100,(Z484="Oui")*'Paramètres'!$B$38+(AB484="Régulière")*'Paramètres'!$B$39+IF(AND(N(AA484)&gt;0,TODAY()-N(AA484)&lt;=30),'Paramètres'!$B$40,0)+(W484="")*'Paramètres'!$B$41+(AC484="Absente")*'Paramètres'!$B$42+(AC484="Faible")*'Paramètres'!$B$43+IF(AND(N(AD484)&gt;0,N(AD484)&lt;4),'Paramètres'!$B$44,0)+(AF484="Moyenne")*'Paramètres'!$B$45+(AF484="Grande")*'Paramètres'!$B$46+(Y484&lt;&gt;"")*'Paramètres'!$B$47))</f>
        <v/>
      </c>
      <c r="F484" s="60">
        <f>IF(C484="","",IF(D484="Gagné","",IF(D484="Perdu",IF(AND(AX484&lt;&gt;"",AX484&lt;=TODAY()),"À recontacter (perdu)",""),IF(AND(O484&gt;='Paramètres'!$B$21,P484=0),"Stop : "&amp;'Paramètres'!$B$21&amp;" tentatives sans réponse",IF(AND(D484="Proposition",AR484&lt;&gt;"",TODAY()&gt;N(AR484)),"Proposition expirée",IF(AND(D484="Proposition",N(R484)&gt;='Paramètres'!$B$25),"Proposition sans réponse",IF(AND(G484&lt;&gt;"",N(G484)&lt;TODAY()),"Relance en retard",IF(N(R484)&gt;='Paramètres'!$B$24,"Sans action depuis "&amp;R484&amp;" j",""))))))))</f>
        <v/>
      </c>
      <c r="G484" s="106">
        <f>IF(OR(C484="",D484="Gagné",D484="Perdu"),"",IF(AND(BP484&gt;0,BP484=BQ484),INDEX('Saisie'!$J$5:$J$2004,BP484-4),IF(OR(O484=0,AND(O484&gt;='Paramètres'!$B$21,P484=0)),"",Q484+IF(O484&lt;=1,'Paramètres'!$B$18,IF(O484=2,'Paramètres'!$B$19,'Paramètres'!$B$20)))))</f>
        <v/>
      </c>
      <c r="H484" s="107">
        <f>IF(OR(G484="",BP484&lt;&gt;BQ484),"",IF(INDEX('Saisie'!$K$5:$K$2004,BP484-4)="","",INDEX('Saisie'!$K$5:$K$2004,BP484-4)))</f>
        <v/>
      </c>
      <c r="I484" s="60">
        <f>IF(C484="","",IF(OR(D484="Gagné",D484="Perdu"),"",IFERROR(INDEX('Saisie'!$I$5:$I$2004,_xlfn.MAXIFS('Saisie'!$AS$5:$AS$2004,'Saisie'!$C$5:$C$2004,C484,'Saisie'!$I$5:$I$2004,"&lt;&gt;")-4),"")))</f>
        <v/>
      </c>
      <c r="J484" s="60">
        <f>IF(C484="","",IFERROR(INDEX('Saisie'!$U$5:$U$2004,_xlfn.MAXIFS('Saisie'!$AS$5:$AS$2004,'Saisie'!$C$5:$C$2004,C484,'Saisie'!$U$5:$U$2004,"&lt;&gt;")-4),""))</f>
        <v/>
      </c>
      <c r="K484" s="60">
        <f>IF(C484="","",IFERROR(INDEX('Saisie'!$W$5:$W$2004,_xlfn.MAXIFS('Saisie'!$AS$5:$AS$2004,'Saisie'!$C$5:$C$2004,C484,'Saisie'!$W$5:$W$2004,"&lt;&gt;")-4),""))</f>
        <v/>
      </c>
      <c r="L484" s="60">
        <f>IF(IF(BB484&lt;&gt;"",BB484,K484)="","",HYPERLINK("https://wa.me/"&amp;IF(LEFT(SUBSTITUTE(SUBSTITUTE(SUBSTITUTE(IF(BB484&lt;&gt;"",BB484,K484)," ",""),".",""),"+",""),1)="0",'Paramètres'!$B$35&amp;MID(SUBSTITUTE(SUBSTITUTE(SUBSTITUTE(IF(BB484&lt;&gt;"",BB484,K484)," ",""),".",""),"+",""),2,20),SUBSTITUTE(SUBSTITUTE(SUBSTITUTE(IF(BB484&lt;&gt;"",BB484,K484)," ",""),".",""),"+","")),"WhatsApp"))</f>
        <v/>
      </c>
      <c r="M484" s="60">
        <f>IF(BC484="","",HYPERLINK(IF(LEFT(BC484,4)="http",BC484,"https://www.instagram.com/"&amp;SUBSTITUTE(SUBSTITUTE(BC484,"@","")," ","")),BC484))</f>
        <v/>
      </c>
      <c r="N484" s="60">
        <f>IF(C484="","",IFERROR(INDEX('Saisie'!$D$5:$D$2004,_xlfn.MINIFS('Saisie'!$AS$5:$AS$2004,'Saisie'!$C$5:$C$2004,C484,'Saisie'!$AU$5:$AU$2004,1)-4),IFERROR(INDEX('Saisie'!$D$5:$D$2004,_xlfn.MINIFS('Saisie'!$AS$5:$AS$2004,'Saisie'!$C$5:$C$2004,C484,'Saisie'!$D$5:$D$2004,"&lt;&gt;")-4),"")))</f>
        <v/>
      </c>
      <c r="O484" s="60">
        <f>IF(C484="","",COUNTIFS('Saisie'!$C$5:$C$2004,C484,'Saisie'!$AU$5:$AU$2004,1))</f>
        <v/>
      </c>
      <c r="P484" s="60">
        <f>IF(C484="","",COUNTIFS('Saisie'!$C$5:$C$2004,C484,'Saisie'!$AV$5:$AV$2004,1))</f>
        <v/>
      </c>
      <c r="Q484" s="106">
        <f>IF(C484="","",IFERROR(1/(1/_xlfn.MAXIFS('Saisie'!$A$5:$A$2004,'Saisie'!$C$5:$C$2004,C484)),""))</f>
        <v/>
      </c>
      <c r="R484" s="61">
        <f>IF(C484="","",IF(Q484="","",TODAY()-Q484))</f>
        <v/>
      </c>
      <c r="S484" s="60">
        <f>IF(C484="","",IFERROR(INDEX('Saisie'!$R$5:$R$2004,_xlfn.MAXIFS('Saisie'!$AS$5:$AS$2004,'Saisie'!$C$5:$C$2004,C484,'Saisie'!$R$5:$R$2004,"&lt;&gt;")-4),""))</f>
        <v/>
      </c>
      <c r="T484" s="60">
        <f>IF(C484="","",IFERROR(INDEX('Saisie'!$S$5:$S$2004,_xlfn.MAXIFS('Saisie'!$AS$5:$AS$2004,'Saisie'!$C$5:$C$2004,C484,'Saisie'!$S$5:$S$2004,"&lt;&gt;")-4),""))</f>
        <v/>
      </c>
      <c r="U484" s="60">
        <f>IF(C484="","",IFERROR(INDEX('Saisie'!$T$5:$T$2004,_xlfn.MAXIFS('Saisie'!$AS$5:$AS$2004,'Saisie'!$C$5:$C$2004,C484,'Saisie'!$T$5:$T$2004,"&lt;&gt;")-4),""))</f>
        <v/>
      </c>
      <c r="V484" s="60">
        <f>IF(C484="","",IFERROR(INDEX('Saisie'!$V$5:$V$2004,_xlfn.MAXIFS('Saisie'!$AS$5:$AS$2004,'Saisie'!$C$5:$C$2004,C484,'Saisie'!$V$5:$V$2004,"&lt;&gt;")-4),""))</f>
        <v/>
      </c>
      <c r="W484" s="60">
        <f>IF(C484="","",IFERROR(INDEX('Saisie'!$Z$5:$Z$2004,_xlfn.MAXIFS('Saisie'!$AS$5:$AS$2004,'Saisie'!$C$5:$C$2004,C484,'Saisie'!$Z$5:$Z$2004,"&lt;&gt;")-4),""))</f>
        <v/>
      </c>
      <c r="X484" s="60">
        <f>IF(C484="","",IFERROR(INDEX('Saisie'!$AA$5:$AA$2004,_xlfn.MAXIFS('Saisie'!$AS$5:$AS$2004,'Saisie'!$C$5:$C$2004,C484,'Saisie'!$AA$5:$AA$2004,"&lt;&gt;")-4),""))</f>
        <v/>
      </c>
      <c r="Y484" s="60">
        <f>IF(C484="","",IFERROR(INDEX('Saisie'!$AB$5:$AB$2004,_xlfn.MAXIFS('Saisie'!$AS$5:$AS$2004,'Saisie'!$C$5:$C$2004,C484,'Saisie'!$AB$5:$AB$2004,"&lt;&gt;")-4),""))</f>
        <v/>
      </c>
      <c r="Z484" s="60">
        <f>IF(C484="","",IFERROR(INDEX('Saisie'!$AC$5:$AC$2004,_xlfn.MAXIFS('Saisie'!$AS$5:$AS$2004,'Saisie'!$C$5:$C$2004,C484,'Saisie'!$AC$5:$AC$2004,"&lt;&gt;")-4),""))</f>
        <v/>
      </c>
      <c r="AA484" s="106">
        <f>IF(C484="","",IFERROR(INDEX('Saisie'!$AD$5:$AD$2004,_xlfn.MAXIFS('Saisie'!$AS$5:$AS$2004,'Saisie'!$C$5:$C$2004,C484,'Saisie'!$AD$5:$AD$2004,"&lt;&gt;")-4),""))</f>
        <v/>
      </c>
      <c r="AB484" s="60">
        <f>IF(C484="","",IFERROR(INDEX('Saisie'!$AE$5:$AE$2004,_xlfn.MAXIFS('Saisie'!$AS$5:$AS$2004,'Saisie'!$C$5:$C$2004,C484,'Saisie'!$AE$5:$AE$2004,"&lt;&gt;")-4),""))</f>
        <v/>
      </c>
      <c r="AC484" s="60">
        <f>IF(C484="","",IFERROR(INDEX('Saisie'!$AF$5:$AF$2004,_xlfn.MAXIFS('Saisie'!$AS$5:$AS$2004,'Saisie'!$C$5:$C$2004,C484,'Saisie'!$AF$5:$AF$2004,"&lt;&gt;")-4),""))</f>
        <v/>
      </c>
      <c r="AD484" s="108">
        <f>IF(C484="","",IFERROR(INDEX('Saisie'!$AG$5:$AG$2004,_xlfn.MAXIFS('Saisie'!$AS$5:$AS$2004,'Saisie'!$C$5:$C$2004,C484,'Saisie'!$AG$5:$AG$2004,"&lt;&gt;")-4),""))</f>
        <v/>
      </c>
      <c r="AE484" s="60">
        <f>IF(C484="","",IFERROR(INDEX('Saisie'!$AH$5:$AH$2004,_xlfn.MAXIFS('Saisie'!$AS$5:$AS$2004,'Saisie'!$C$5:$C$2004,C484,'Saisie'!$AH$5:$AH$2004,"&lt;&gt;")-4),""))</f>
        <v/>
      </c>
      <c r="AF484" s="60">
        <f>IF(C484="","",IFERROR(INDEX('Saisie'!$AI$5:$AI$2004,_xlfn.MAXIFS('Saisie'!$AS$5:$AS$2004,'Saisie'!$C$5:$C$2004,C484,'Saisie'!$AI$5:$AI$2004,"&lt;&gt;")-4),""))</f>
        <v/>
      </c>
      <c r="AG484" s="60">
        <f>IF(C484="","",IFERROR(INDEX('Saisie'!$AJ$5:$AJ$2004,_xlfn.MAXIFS('Saisie'!$AS$5:$AS$2004,'Saisie'!$C$5:$C$2004,C484,'Saisie'!$AJ$5:$AJ$2004,"&lt;&gt;")-4),""))</f>
        <v/>
      </c>
      <c r="AH484" s="60">
        <f>IF(C484="","",IFERROR(INDEX('Saisie'!$AK$5:$AK$2004,_xlfn.MAXIFS('Saisie'!$AS$5:$AS$2004,'Saisie'!$C$5:$C$2004,C484,'Saisie'!$AK$5:$AK$2004,"&lt;&gt;")-4),""))</f>
        <v/>
      </c>
      <c r="AI484" s="60">
        <f>IF(C484="","",IFERROR(INDEX('Saisie'!$AN$5:$AN$2004,_xlfn.MAXIFS('Saisie'!$AS$5:$AS$2004,'Saisie'!$C$5:$C$2004,C484,'Saisie'!$AN$5:$AN$2004,"&lt;&gt;")-4),""))</f>
        <v/>
      </c>
      <c r="AJ484" s="60">
        <f>IF(C484="","",IFERROR(INDEX('Saisie'!$AO$5:$AO$2004,_xlfn.MAXIFS('Saisie'!$AS$5:$AS$2004,'Saisie'!$C$5:$C$2004,C484,'Saisie'!$AO$5:$AO$2004,"&lt;&gt;")-4),""))</f>
        <v/>
      </c>
      <c r="AK484" s="60">
        <f>IF(C484="","",IFERROR(INDEX('Saisie'!$AP$5:$AP$2004,_xlfn.MAXIFS('Saisie'!$AS$5:$AS$2004,'Saisie'!$C$5:$C$2004,C484,'Saisie'!$AP$5:$AP$2004,"&lt;&gt;")-4),""))</f>
        <v/>
      </c>
      <c r="AL484" s="60">
        <f>IF(C484="","",IFERROR(INDEX('Saisie'!$AQ$5:$AQ$2004,_xlfn.MAXIFS('Saisie'!$AS$5:$AS$2004,'Saisie'!$C$5:$C$2004,C484,'Saisie'!$AQ$5:$AQ$2004,"&lt;&gt;")-4),""))</f>
        <v/>
      </c>
      <c r="AM484" s="60">
        <f>IF(C484="","",((AI484="Oui")+(AJ484="Oui")+(AK484="Oui")+OR(AL484="Immédiat",AL484="&lt; 1 mois"))&amp;"/4")</f>
        <v/>
      </c>
      <c r="AN484" s="60">
        <f>IF(C484="","",IFERROR(INDEX('Saisie'!$AL$5:$AL$2004,_xlfn.MAXIFS('Saisie'!$AS$5:$AS$2004,'Saisie'!$C$5:$C$2004,C484,'Saisie'!$AL$5:$AL$2004,"&lt;&gt;")-4),""))</f>
        <v/>
      </c>
      <c r="AO484" s="62">
        <f>IF(C484="","",IF(IFERROR(INDEX('Saisie'!$AM$5:$AM$2004,_xlfn.MAXIFS('Saisie'!$AS$5:$AS$2004,'Saisie'!$C$5:$C$2004,C484,'Saisie'!$AM$5:$AM$2004,"&lt;&gt;")-4),"")&lt;&gt;"",IFERROR(INDEX('Saisie'!$AM$5:$AM$2004,_xlfn.MAXIFS('Saisie'!$AS$5:$AS$2004,'Saisie'!$C$5:$C$2004,C484,'Saisie'!$AM$5:$AM$2004,"&lt;&gt;")-4),""),IFERROR(INDEX('Paramètres'!$S$6:$S$15,MATCH(AN484,'Paramètres'!$Q$6:$Q$15,0)),"")))</f>
        <v/>
      </c>
      <c r="AP484" s="62">
        <f>IF(C484="","",IFERROR(INDEX('Saisie'!$AW$5:$AW$2004,_xlfn.MAXIFS('Saisie'!$AS$5:$AS$2004,'Saisie'!$C$5:$C$2004,C484,'Saisie'!$E$5:$E$2004,"Proposition envoyée")-4),""))</f>
        <v/>
      </c>
      <c r="AQ484" s="106">
        <f>IF(C484="","",IFERROR(1/(1/_xlfn.MAXIFS('Saisie'!$A$5:$A$2004,'Saisie'!$C$5:$C$2004,C484,'Saisie'!$E$5:$E$2004,"Proposition envoyée")),""))</f>
        <v/>
      </c>
      <c r="AR484" s="106">
        <f>IF(C484="","",IF(AQ484="","",AQ484+'Paramètres'!$B$26))</f>
        <v/>
      </c>
      <c r="AS484" s="62">
        <f>IF(OR(C484="",D484="Gagné",D484="Perdu"),0,N(AP484)*IFERROR(INDEX('Paramètres'!$G$6:$G$13,MATCH(D484,'Paramètres'!$F$6:$F$13,0)),0))</f>
        <v/>
      </c>
      <c r="AT484" s="106">
        <f>IF(C484="","",IFERROR(1/(1/_xlfn.MINIFS('Saisie'!$A$5:$A$2004,'Saisie'!$C$5:$C$2004,C484,'Saisie'!$E$5:$E$2004,"Signature")),""))</f>
        <v/>
      </c>
      <c r="AU484" s="60">
        <f>IF(C484="","",IF(OR(AT484="",B484=""),"",AT484-B484))</f>
        <v/>
      </c>
      <c r="AV484" s="60">
        <f>IF(C484="","",IFERROR(INDEX('Saisie'!$L$5:$L$2004,_xlfn.MAXIFS('Saisie'!$AS$5:$AS$2004,'Saisie'!$C$5:$C$2004,C484,'Saisie'!$L$5:$L$2004,"&lt;&gt;")-4),""))</f>
        <v/>
      </c>
      <c r="AW484" s="106">
        <f>IF(C484="","",IF(D484&lt;&gt;"Perdu","",IFERROR(1/(1/_xlfn.MAXIFS('Saisie'!$A$5:$A$2004,'Saisie'!$C$5:$C$2004,C484,'Saisie'!$E$5:$E$2004,"Perdu")),"")))</f>
        <v/>
      </c>
      <c r="AX484" s="106">
        <f>IF(C484="","",IF(AW484="","",AW484+'Paramètres'!$B$28))</f>
        <v/>
      </c>
      <c r="AY484" s="60">
        <f>IF(C484="","",SUMIFS('Saisie'!$H$5:$H$2004,'Saisie'!$C$5:$C$2004,C484))</f>
        <v/>
      </c>
      <c r="AZ484" s="60">
        <f>IF(C484="","",IFERROR(INDEX('Paramètres'!$W$6:$W$20,MATCH(S484,'Paramètres'!$V$6:$V$20,0))&amp;"",""))</f>
        <v/>
      </c>
      <c r="BA484" s="60">
        <f>IF(C484="","",MAX(1,_xlfn.MAXIFS('Saisie'!$AT$5:$AT$2004,'Saisie'!$C$5:$C$2004,C484)))</f>
        <v/>
      </c>
      <c r="BB484" s="60">
        <f>IF(C484="","",IFERROR(INDEX('Saisie'!$X$5:$X$2004,_xlfn.MAXIFS('Saisie'!$AS$5:$AS$2004,'Saisie'!$C$5:$C$2004,C484,'Saisie'!$X$5:$X$2004,"&lt;&gt;")-4),""))</f>
        <v/>
      </c>
      <c r="BC484" s="60">
        <f>IF(C484="","",IFERROR(INDEX('Saisie'!$Y$5:$Y$2004,_xlfn.MAXIFS('Saisie'!$AS$5:$AS$2004,'Saisie'!$C$5:$C$2004,C484,'Saisie'!$Y$5:$Y$2004,"&lt;&gt;")-4),""))</f>
        <v/>
      </c>
      <c r="BD484" s="106">
        <f>IF(C484="","",IFERROR(1/(1/_xlfn.MINIFS('Saisie'!$A$5:$A$2004,'Saisie'!$C$5:$C$2004,C484,'Saisie'!$AT$5:$AT$2004,"&gt;=2")),""))</f>
        <v/>
      </c>
      <c r="BE484" s="106">
        <f>IF(C484="","",IFERROR(1/(1/_xlfn.MINIFS('Saisie'!$A$5:$A$2004,'Saisie'!$C$5:$C$2004,C484,'Saisie'!$AT$5:$AT$2004,"&gt;=3")),""))</f>
        <v/>
      </c>
      <c r="BF484" s="106">
        <f>IF(C484="","",IFERROR(1/(1/_xlfn.MINIFS('Saisie'!$A$5:$A$2004,'Saisie'!$C$5:$C$2004,C484,'Saisie'!$AT$5:$AT$2004,"&gt;=4")),""))</f>
        <v/>
      </c>
      <c r="BG484" s="106">
        <f>IF(C484="","",IFERROR(1/(1/_xlfn.MINIFS('Saisie'!$A$5:$A$2004,'Saisie'!$C$5:$C$2004,C484,'Saisie'!$AT$5:$AT$2004,"&gt;=5")),""))</f>
        <v/>
      </c>
      <c r="BH484" s="106">
        <f>IF(C484="","",IFERROR(1/(1/_xlfn.MINIFS('Saisie'!$A$5:$A$2004,'Saisie'!$C$5:$C$2004,C484,'Saisie'!$AT$5:$AT$2004,"&gt;=6")),""))</f>
        <v/>
      </c>
      <c r="BI484" s="106">
        <f>IF(C484="","",IFERROR(1/(1/_xlfn.MINIFS('Saisie'!$A$5:$A$2004,'Saisie'!$C$5:$C$2004,C484,'Saisie'!$AT$5:$AT$2004,"&gt;=7")),""))</f>
        <v/>
      </c>
      <c r="BJ484" s="60">
        <f>IF(OR(BD484="",B484=""),"",BD484-B484)</f>
        <v/>
      </c>
      <c r="BK484" s="60">
        <f>IF(OR(BE484="",BD484=""),"",BE484-BD484)</f>
        <v/>
      </c>
      <c r="BL484" s="60">
        <f>IF(OR(BF484="",BE484=""),"",BF484-BE484)</f>
        <v/>
      </c>
      <c r="BM484" s="60">
        <f>IF(OR(BG484="",BF484=""),"",BG484-BF484)</f>
        <v/>
      </c>
      <c r="BN484" s="60">
        <f>IF(OR(BH484="",BG484=""),"",BH484-BG484)</f>
        <v/>
      </c>
      <c r="BO484" s="60">
        <f>IF(OR(BI484="",BH484=""),"",BI484-BH484)</f>
        <v/>
      </c>
      <c r="BP484" s="60">
        <f>IF(C484="","",_xlfn.MAXIFS('Saisie'!$AS$5:$AS$2004,'Saisie'!$C$5:$C$2004,C484,'Saisie'!$J$5:$J$2004,"&lt;&gt;"))</f>
        <v/>
      </c>
      <c r="BQ484" s="60">
        <f>IF(C484="","",_xlfn.MAXIFS('Saisie'!$AS$5:$AS$2004,'Saisie'!$C$5:$C$2004,C484))</f>
        <v/>
      </c>
      <c r="BR484" s="60">
        <f>IF(C484="","",_xlfn.MAXIFS('Saisie'!$AS$5:$AS$2004,'Saisie'!$C$5:$C$2004,C484,'Saisie'!$E$5:$E$2004,"Perdu"))</f>
        <v/>
      </c>
      <c r="BS484" s="60">
        <f>IF(C484="","",_xlfn.MAXIFS('Saisie'!$AS$5:$AS$2004,'Saisie'!$C$5:$C$2004,C484,'Saisie'!$AT$5:$AT$2004,"&gt;0"))</f>
        <v/>
      </c>
      <c r="BT484" s="109">
        <f>IF(AND(C484&lt;&gt;"",OR(D484="Nouveau",D484="Contacté",D484="Qualifié"),OR(G484="",N(G484)&lt;=TODAY()),NOT(AND(O484&gt;='Paramètres'!$B$21,P484=0))),E484+480/10000,"")</f>
        <v/>
      </c>
      <c r="BU484" s="60">
        <f>IF(AND(G484&lt;&gt;"",N(G484)&lt;=TODAY()),MAX($BU$4:BU483)+1,"")</f>
        <v/>
      </c>
      <c r="BV484" s="60">
        <f>IF(AND(F484&lt;&gt;"",F484&lt;&gt;"Relance en retard"),MAX($BV$4:BV483)+1,"")</f>
        <v/>
      </c>
      <c r="BW484" s="60">
        <f>IF(C484="","",IF(AND(B484&gt;='Tableau de bord'!$R$4,B484&lt;='Tableau de bord'!$S$4,OR('Tableau de bord'!$G$4="Tous",N484='Tableau de bord'!$G$4)),1,0))</f>
        <v/>
      </c>
      <c r="BX484" s="60">
        <f>IF(AND(C484&lt;&gt;"",N(BA484)=7),MAX($BX$4:BX483)+1,"")</f>
        <v/>
      </c>
    </row>
    <row r="485">
      <c r="A485" s="60">
        <f>IF(C485="","","P-"&amp;TEXT(481,"000"))</f>
        <v/>
      </c>
      <c r="B485" s="106">
        <f>IF(C485="","",IFERROR(1/(1/_xlfn.MINIFS('Saisie'!$A$5:$A$2004,'Saisie'!$C$5:$C$2004,C485)),""))</f>
        <v/>
      </c>
      <c r="C485" s="60">
        <f>IFERROR(INDEX('Saisie'!$C$5:$C$2004,MATCH(481,'Saisie'!$AX$5:$AX$2004,0)),"")</f>
        <v/>
      </c>
      <c r="D485" s="60">
        <f>IF(C485="","",IF(AND(BR485&gt;0,BR485&gt;BS485,BA485&lt;7),"Perdu",INDEX('Paramètres'!$F$6:$F$13,BA485)))</f>
        <v/>
      </c>
      <c r="E485" s="61">
        <f>IF(C485="","",MIN(100,(Z485="Oui")*'Paramètres'!$B$38+(AB485="Régulière")*'Paramètres'!$B$39+IF(AND(N(AA485)&gt;0,TODAY()-N(AA485)&lt;=30),'Paramètres'!$B$40,0)+(W485="")*'Paramètres'!$B$41+(AC485="Absente")*'Paramètres'!$B$42+(AC485="Faible")*'Paramètres'!$B$43+IF(AND(N(AD485)&gt;0,N(AD485)&lt;4),'Paramètres'!$B$44,0)+(AF485="Moyenne")*'Paramètres'!$B$45+(AF485="Grande")*'Paramètres'!$B$46+(Y485&lt;&gt;"")*'Paramètres'!$B$47))</f>
        <v/>
      </c>
      <c r="F485" s="60">
        <f>IF(C485="","",IF(D485="Gagné","",IF(D485="Perdu",IF(AND(AX485&lt;&gt;"",AX485&lt;=TODAY()),"À recontacter (perdu)",""),IF(AND(O485&gt;='Paramètres'!$B$21,P485=0),"Stop : "&amp;'Paramètres'!$B$21&amp;" tentatives sans réponse",IF(AND(D485="Proposition",AR485&lt;&gt;"",TODAY()&gt;N(AR485)),"Proposition expirée",IF(AND(D485="Proposition",N(R485)&gt;='Paramètres'!$B$25),"Proposition sans réponse",IF(AND(G485&lt;&gt;"",N(G485)&lt;TODAY()),"Relance en retard",IF(N(R485)&gt;='Paramètres'!$B$24,"Sans action depuis "&amp;R485&amp;" j",""))))))))</f>
        <v/>
      </c>
      <c r="G485" s="106">
        <f>IF(OR(C485="",D485="Gagné",D485="Perdu"),"",IF(AND(BP485&gt;0,BP485=BQ485),INDEX('Saisie'!$J$5:$J$2004,BP485-4),IF(OR(O485=0,AND(O485&gt;='Paramètres'!$B$21,P485=0)),"",Q485+IF(O485&lt;=1,'Paramètres'!$B$18,IF(O485=2,'Paramètres'!$B$19,'Paramètres'!$B$20)))))</f>
        <v/>
      </c>
      <c r="H485" s="107">
        <f>IF(OR(G485="",BP485&lt;&gt;BQ485),"",IF(INDEX('Saisie'!$K$5:$K$2004,BP485-4)="","",INDEX('Saisie'!$K$5:$K$2004,BP485-4)))</f>
        <v/>
      </c>
      <c r="I485" s="60">
        <f>IF(C485="","",IF(OR(D485="Gagné",D485="Perdu"),"",IFERROR(INDEX('Saisie'!$I$5:$I$2004,_xlfn.MAXIFS('Saisie'!$AS$5:$AS$2004,'Saisie'!$C$5:$C$2004,C485,'Saisie'!$I$5:$I$2004,"&lt;&gt;")-4),"")))</f>
        <v/>
      </c>
      <c r="J485" s="60">
        <f>IF(C485="","",IFERROR(INDEX('Saisie'!$U$5:$U$2004,_xlfn.MAXIFS('Saisie'!$AS$5:$AS$2004,'Saisie'!$C$5:$C$2004,C485,'Saisie'!$U$5:$U$2004,"&lt;&gt;")-4),""))</f>
        <v/>
      </c>
      <c r="K485" s="60">
        <f>IF(C485="","",IFERROR(INDEX('Saisie'!$W$5:$W$2004,_xlfn.MAXIFS('Saisie'!$AS$5:$AS$2004,'Saisie'!$C$5:$C$2004,C485,'Saisie'!$W$5:$W$2004,"&lt;&gt;")-4),""))</f>
        <v/>
      </c>
      <c r="L485" s="60">
        <f>IF(IF(BB485&lt;&gt;"",BB485,K485)="","",HYPERLINK("https://wa.me/"&amp;IF(LEFT(SUBSTITUTE(SUBSTITUTE(SUBSTITUTE(IF(BB485&lt;&gt;"",BB485,K485)," ",""),".",""),"+",""),1)="0",'Paramètres'!$B$35&amp;MID(SUBSTITUTE(SUBSTITUTE(SUBSTITUTE(IF(BB485&lt;&gt;"",BB485,K485)," ",""),".",""),"+",""),2,20),SUBSTITUTE(SUBSTITUTE(SUBSTITUTE(IF(BB485&lt;&gt;"",BB485,K485)," ",""),".",""),"+","")),"WhatsApp"))</f>
        <v/>
      </c>
      <c r="M485" s="60">
        <f>IF(BC485="","",HYPERLINK(IF(LEFT(BC485,4)="http",BC485,"https://www.instagram.com/"&amp;SUBSTITUTE(SUBSTITUTE(BC485,"@","")," ","")),BC485))</f>
        <v/>
      </c>
      <c r="N485" s="60">
        <f>IF(C485="","",IFERROR(INDEX('Saisie'!$D$5:$D$2004,_xlfn.MINIFS('Saisie'!$AS$5:$AS$2004,'Saisie'!$C$5:$C$2004,C485,'Saisie'!$AU$5:$AU$2004,1)-4),IFERROR(INDEX('Saisie'!$D$5:$D$2004,_xlfn.MINIFS('Saisie'!$AS$5:$AS$2004,'Saisie'!$C$5:$C$2004,C485,'Saisie'!$D$5:$D$2004,"&lt;&gt;")-4),"")))</f>
        <v/>
      </c>
      <c r="O485" s="60">
        <f>IF(C485="","",COUNTIFS('Saisie'!$C$5:$C$2004,C485,'Saisie'!$AU$5:$AU$2004,1))</f>
        <v/>
      </c>
      <c r="P485" s="60">
        <f>IF(C485="","",COUNTIFS('Saisie'!$C$5:$C$2004,C485,'Saisie'!$AV$5:$AV$2004,1))</f>
        <v/>
      </c>
      <c r="Q485" s="106">
        <f>IF(C485="","",IFERROR(1/(1/_xlfn.MAXIFS('Saisie'!$A$5:$A$2004,'Saisie'!$C$5:$C$2004,C485)),""))</f>
        <v/>
      </c>
      <c r="R485" s="61">
        <f>IF(C485="","",IF(Q485="","",TODAY()-Q485))</f>
        <v/>
      </c>
      <c r="S485" s="60">
        <f>IF(C485="","",IFERROR(INDEX('Saisie'!$R$5:$R$2004,_xlfn.MAXIFS('Saisie'!$AS$5:$AS$2004,'Saisie'!$C$5:$C$2004,C485,'Saisie'!$R$5:$R$2004,"&lt;&gt;")-4),""))</f>
        <v/>
      </c>
      <c r="T485" s="60">
        <f>IF(C485="","",IFERROR(INDEX('Saisie'!$S$5:$S$2004,_xlfn.MAXIFS('Saisie'!$AS$5:$AS$2004,'Saisie'!$C$5:$C$2004,C485,'Saisie'!$S$5:$S$2004,"&lt;&gt;")-4),""))</f>
        <v/>
      </c>
      <c r="U485" s="60">
        <f>IF(C485="","",IFERROR(INDEX('Saisie'!$T$5:$T$2004,_xlfn.MAXIFS('Saisie'!$AS$5:$AS$2004,'Saisie'!$C$5:$C$2004,C485,'Saisie'!$T$5:$T$2004,"&lt;&gt;")-4),""))</f>
        <v/>
      </c>
      <c r="V485" s="60">
        <f>IF(C485="","",IFERROR(INDEX('Saisie'!$V$5:$V$2004,_xlfn.MAXIFS('Saisie'!$AS$5:$AS$2004,'Saisie'!$C$5:$C$2004,C485,'Saisie'!$V$5:$V$2004,"&lt;&gt;")-4),""))</f>
        <v/>
      </c>
      <c r="W485" s="60">
        <f>IF(C485="","",IFERROR(INDEX('Saisie'!$Z$5:$Z$2004,_xlfn.MAXIFS('Saisie'!$AS$5:$AS$2004,'Saisie'!$C$5:$C$2004,C485,'Saisie'!$Z$5:$Z$2004,"&lt;&gt;")-4),""))</f>
        <v/>
      </c>
      <c r="X485" s="60">
        <f>IF(C485="","",IFERROR(INDEX('Saisie'!$AA$5:$AA$2004,_xlfn.MAXIFS('Saisie'!$AS$5:$AS$2004,'Saisie'!$C$5:$C$2004,C485,'Saisie'!$AA$5:$AA$2004,"&lt;&gt;")-4),""))</f>
        <v/>
      </c>
      <c r="Y485" s="60">
        <f>IF(C485="","",IFERROR(INDEX('Saisie'!$AB$5:$AB$2004,_xlfn.MAXIFS('Saisie'!$AS$5:$AS$2004,'Saisie'!$C$5:$C$2004,C485,'Saisie'!$AB$5:$AB$2004,"&lt;&gt;")-4),""))</f>
        <v/>
      </c>
      <c r="Z485" s="60">
        <f>IF(C485="","",IFERROR(INDEX('Saisie'!$AC$5:$AC$2004,_xlfn.MAXIFS('Saisie'!$AS$5:$AS$2004,'Saisie'!$C$5:$C$2004,C485,'Saisie'!$AC$5:$AC$2004,"&lt;&gt;")-4),""))</f>
        <v/>
      </c>
      <c r="AA485" s="106">
        <f>IF(C485="","",IFERROR(INDEX('Saisie'!$AD$5:$AD$2004,_xlfn.MAXIFS('Saisie'!$AS$5:$AS$2004,'Saisie'!$C$5:$C$2004,C485,'Saisie'!$AD$5:$AD$2004,"&lt;&gt;")-4),""))</f>
        <v/>
      </c>
      <c r="AB485" s="60">
        <f>IF(C485="","",IFERROR(INDEX('Saisie'!$AE$5:$AE$2004,_xlfn.MAXIFS('Saisie'!$AS$5:$AS$2004,'Saisie'!$C$5:$C$2004,C485,'Saisie'!$AE$5:$AE$2004,"&lt;&gt;")-4),""))</f>
        <v/>
      </c>
      <c r="AC485" s="60">
        <f>IF(C485="","",IFERROR(INDEX('Saisie'!$AF$5:$AF$2004,_xlfn.MAXIFS('Saisie'!$AS$5:$AS$2004,'Saisie'!$C$5:$C$2004,C485,'Saisie'!$AF$5:$AF$2004,"&lt;&gt;")-4),""))</f>
        <v/>
      </c>
      <c r="AD485" s="108">
        <f>IF(C485="","",IFERROR(INDEX('Saisie'!$AG$5:$AG$2004,_xlfn.MAXIFS('Saisie'!$AS$5:$AS$2004,'Saisie'!$C$5:$C$2004,C485,'Saisie'!$AG$5:$AG$2004,"&lt;&gt;")-4),""))</f>
        <v/>
      </c>
      <c r="AE485" s="60">
        <f>IF(C485="","",IFERROR(INDEX('Saisie'!$AH$5:$AH$2004,_xlfn.MAXIFS('Saisie'!$AS$5:$AS$2004,'Saisie'!$C$5:$C$2004,C485,'Saisie'!$AH$5:$AH$2004,"&lt;&gt;")-4),""))</f>
        <v/>
      </c>
      <c r="AF485" s="60">
        <f>IF(C485="","",IFERROR(INDEX('Saisie'!$AI$5:$AI$2004,_xlfn.MAXIFS('Saisie'!$AS$5:$AS$2004,'Saisie'!$C$5:$C$2004,C485,'Saisie'!$AI$5:$AI$2004,"&lt;&gt;")-4),""))</f>
        <v/>
      </c>
      <c r="AG485" s="60">
        <f>IF(C485="","",IFERROR(INDEX('Saisie'!$AJ$5:$AJ$2004,_xlfn.MAXIFS('Saisie'!$AS$5:$AS$2004,'Saisie'!$C$5:$C$2004,C485,'Saisie'!$AJ$5:$AJ$2004,"&lt;&gt;")-4),""))</f>
        <v/>
      </c>
      <c r="AH485" s="60">
        <f>IF(C485="","",IFERROR(INDEX('Saisie'!$AK$5:$AK$2004,_xlfn.MAXIFS('Saisie'!$AS$5:$AS$2004,'Saisie'!$C$5:$C$2004,C485,'Saisie'!$AK$5:$AK$2004,"&lt;&gt;")-4),""))</f>
        <v/>
      </c>
      <c r="AI485" s="60">
        <f>IF(C485="","",IFERROR(INDEX('Saisie'!$AN$5:$AN$2004,_xlfn.MAXIFS('Saisie'!$AS$5:$AS$2004,'Saisie'!$C$5:$C$2004,C485,'Saisie'!$AN$5:$AN$2004,"&lt;&gt;")-4),""))</f>
        <v/>
      </c>
      <c r="AJ485" s="60">
        <f>IF(C485="","",IFERROR(INDEX('Saisie'!$AO$5:$AO$2004,_xlfn.MAXIFS('Saisie'!$AS$5:$AS$2004,'Saisie'!$C$5:$C$2004,C485,'Saisie'!$AO$5:$AO$2004,"&lt;&gt;")-4),""))</f>
        <v/>
      </c>
      <c r="AK485" s="60">
        <f>IF(C485="","",IFERROR(INDEX('Saisie'!$AP$5:$AP$2004,_xlfn.MAXIFS('Saisie'!$AS$5:$AS$2004,'Saisie'!$C$5:$C$2004,C485,'Saisie'!$AP$5:$AP$2004,"&lt;&gt;")-4),""))</f>
        <v/>
      </c>
      <c r="AL485" s="60">
        <f>IF(C485="","",IFERROR(INDEX('Saisie'!$AQ$5:$AQ$2004,_xlfn.MAXIFS('Saisie'!$AS$5:$AS$2004,'Saisie'!$C$5:$C$2004,C485,'Saisie'!$AQ$5:$AQ$2004,"&lt;&gt;")-4),""))</f>
        <v/>
      </c>
      <c r="AM485" s="60">
        <f>IF(C485="","",((AI485="Oui")+(AJ485="Oui")+(AK485="Oui")+OR(AL485="Immédiat",AL485="&lt; 1 mois"))&amp;"/4")</f>
        <v/>
      </c>
      <c r="AN485" s="60">
        <f>IF(C485="","",IFERROR(INDEX('Saisie'!$AL$5:$AL$2004,_xlfn.MAXIFS('Saisie'!$AS$5:$AS$2004,'Saisie'!$C$5:$C$2004,C485,'Saisie'!$AL$5:$AL$2004,"&lt;&gt;")-4),""))</f>
        <v/>
      </c>
      <c r="AO485" s="62">
        <f>IF(C485="","",IF(IFERROR(INDEX('Saisie'!$AM$5:$AM$2004,_xlfn.MAXIFS('Saisie'!$AS$5:$AS$2004,'Saisie'!$C$5:$C$2004,C485,'Saisie'!$AM$5:$AM$2004,"&lt;&gt;")-4),"")&lt;&gt;"",IFERROR(INDEX('Saisie'!$AM$5:$AM$2004,_xlfn.MAXIFS('Saisie'!$AS$5:$AS$2004,'Saisie'!$C$5:$C$2004,C485,'Saisie'!$AM$5:$AM$2004,"&lt;&gt;")-4),""),IFERROR(INDEX('Paramètres'!$S$6:$S$15,MATCH(AN485,'Paramètres'!$Q$6:$Q$15,0)),"")))</f>
        <v/>
      </c>
      <c r="AP485" s="62">
        <f>IF(C485="","",IFERROR(INDEX('Saisie'!$AW$5:$AW$2004,_xlfn.MAXIFS('Saisie'!$AS$5:$AS$2004,'Saisie'!$C$5:$C$2004,C485,'Saisie'!$E$5:$E$2004,"Proposition envoyée")-4),""))</f>
        <v/>
      </c>
      <c r="AQ485" s="106">
        <f>IF(C485="","",IFERROR(1/(1/_xlfn.MAXIFS('Saisie'!$A$5:$A$2004,'Saisie'!$C$5:$C$2004,C485,'Saisie'!$E$5:$E$2004,"Proposition envoyée")),""))</f>
        <v/>
      </c>
      <c r="AR485" s="106">
        <f>IF(C485="","",IF(AQ485="","",AQ485+'Paramètres'!$B$26))</f>
        <v/>
      </c>
      <c r="AS485" s="62">
        <f>IF(OR(C485="",D485="Gagné",D485="Perdu"),0,N(AP485)*IFERROR(INDEX('Paramètres'!$G$6:$G$13,MATCH(D485,'Paramètres'!$F$6:$F$13,0)),0))</f>
        <v/>
      </c>
      <c r="AT485" s="106">
        <f>IF(C485="","",IFERROR(1/(1/_xlfn.MINIFS('Saisie'!$A$5:$A$2004,'Saisie'!$C$5:$C$2004,C485,'Saisie'!$E$5:$E$2004,"Signature")),""))</f>
        <v/>
      </c>
      <c r="AU485" s="60">
        <f>IF(C485="","",IF(OR(AT485="",B485=""),"",AT485-B485))</f>
        <v/>
      </c>
      <c r="AV485" s="60">
        <f>IF(C485="","",IFERROR(INDEX('Saisie'!$L$5:$L$2004,_xlfn.MAXIFS('Saisie'!$AS$5:$AS$2004,'Saisie'!$C$5:$C$2004,C485,'Saisie'!$L$5:$L$2004,"&lt;&gt;")-4),""))</f>
        <v/>
      </c>
      <c r="AW485" s="106">
        <f>IF(C485="","",IF(D485&lt;&gt;"Perdu","",IFERROR(1/(1/_xlfn.MAXIFS('Saisie'!$A$5:$A$2004,'Saisie'!$C$5:$C$2004,C485,'Saisie'!$E$5:$E$2004,"Perdu")),"")))</f>
        <v/>
      </c>
      <c r="AX485" s="106">
        <f>IF(C485="","",IF(AW485="","",AW485+'Paramètres'!$B$28))</f>
        <v/>
      </c>
      <c r="AY485" s="60">
        <f>IF(C485="","",SUMIFS('Saisie'!$H$5:$H$2004,'Saisie'!$C$5:$C$2004,C485))</f>
        <v/>
      </c>
      <c r="AZ485" s="60">
        <f>IF(C485="","",IFERROR(INDEX('Paramètres'!$W$6:$W$20,MATCH(S485,'Paramètres'!$V$6:$V$20,0))&amp;"",""))</f>
        <v/>
      </c>
      <c r="BA485" s="60">
        <f>IF(C485="","",MAX(1,_xlfn.MAXIFS('Saisie'!$AT$5:$AT$2004,'Saisie'!$C$5:$C$2004,C485)))</f>
        <v/>
      </c>
      <c r="BB485" s="60">
        <f>IF(C485="","",IFERROR(INDEX('Saisie'!$X$5:$X$2004,_xlfn.MAXIFS('Saisie'!$AS$5:$AS$2004,'Saisie'!$C$5:$C$2004,C485,'Saisie'!$X$5:$X$2004,"&lt;&gt;")-4),""))</f>
        <v/>
      </c>
      <c r="BC485" s="60">
        <f>IF(C485="","",IFERROR(INDEX('Saisie'!$Y$5:$Y$2004,_xlfn.MAXIFS('Saisie'!$AS$5:$AS$2004,'Saisie'!$C$5:$C$2004,C485,'Saisie'!$Y$5:$Y$2004,"&lt;&gt;")-4),""))</f>
        <v/>
      </c>
      <c r="BD485" s="106">
        <f>IF(C485="","",IFERROR(1/(1/_xlfn.MINIFS('Saisie'!$A$5:$A$2004,'Saisie'!$C$5:$C$2004,C485,'Saisie'!$AT$5:$AT$2004,"&gt;=2")),""))</f>
        <v/>
      </c>
      <c r="BE485" s="106">
        <f>IF(C485="","",IFERROR(1/(1/_xlfn.MINIFS('Saisie'!$A$5:$A$2004,'Saisie'!$C$5:$C$2004,C485,'Saisie'!$AT$5:$AT$2004,"&gt;=3")),""))</f>
        <v/>
      </c>
      <c r="BF485" s="106">
        <f>IF(C485="","",IFERROR(1/(1/_xlfn.MINIFS('Saisie'!$A$5:$A$2004,'Saisie'!$C$5:$C$2004,C485,'Saisie'!$AT$5:$AT$2004,"&gt;=4")),""))</f>
        <v/>
      </c>
      <c r="BG485" s="106">
        <f>IF(C485="","",IFERROR(1/(1/_xlfn.MINIFS('Saisie'!$A$5:$A$2004,'Saisie'!$C$5:$C$2004,C485,'Saisie'!$AT$5:$AT$2004,"&gt;=5")),""))</f>
        <v/>
      </c>
      <c r="BH485" s="106">
        <f>IF(C485="","",IFERROR(1/(1/_xlfn.MINIFS('Saisie'!$A$5:$A$2004,'Saisie'!$C$5:$C$2004,C485,'Saisie'!$AT$5:$AT$2004,"&gt;=6")),""))</f>
        <v/>
      </c>
      <c r="BI485" s="106">
        <f>IF(C485="","",IFERROR(1/(1/_xlfn.MINIFS('Saisie'!$A$5:$A$2004,'Saisie'!$C$5:$C$2004,C485,'Saisie'!$AT$5:$AT$2004,"&gt;=7")),""))</f>
        <v/>
      </c>
      <c r="BJ485" s="60">
        <f>IF(OR(BD485="",B485=""),"",BD485-B485)</f>
        <v/>
      </c>
      <c r="BK485" s="60">
        <f>IF(OR(BE485="",BD485=""),"",BE485-BD485)</f>
        <v/>
      </c>
      <c r="BL485" s="60">
        <f>IF(OR(BF485="",BE485=""),"",BF485-BE485)</f>
        <v/>
      </c>
      <c r="BM485" s="60">
        <f>IF(OR(BG485="",BF485=""),"",BG485-BF485)</f>
        <v/>
      </c>
      <c r="BN485" s="60">
        <f>IF(OR(BH485="",BG485=""),"",BH485-BG485)</f>
        <v/>
      </c>
      <c r="BO485" s="60">
        <f>IF(OR(BI485="",BH485=""),"",BI485-BH485)</f>
        <v/>
      </c>
      <c r="BP485" s="60">
        <f>IF(C485="","",_xlfn.MAXIFS('Saisie'!$AS$5:$AS$2004,'Saisie'!$C$5:$C$2004,C485,'Saisie'!$J$5:$J$2004,"&lt;&gt;"))</f>
        <v/>
      </c>
      <c r="BQ485" s="60">
        <f>IF(C485="","",_xlfn.MAXIFS('Saisie'!$AS$5:$AS$2004,'Saisie'!$C$5:$C$2004,C485))</f>
        <v/>
      </c>
      <c r="BR485" s="60">
        <f>IF(C485="","",_xlfn.MAXIFS('Saisie'!$AS$5:$AS$2004,'Saisie'!$C$5:$C$2004,C485,'Saisie'!$E$5:$E$2004,"Perdu"))</f>
        <v/>
      </c>
      <c r="BS485" s="60">
        <f>IF(C485="","",_xlfn.MAXIFS('Saisie'!$AS$5:$AS$2004,'Saisie'!$C$5:$C$2004,C485,'Saisie'!$AT$5:$AT$2004,"&gt;0"))</f>
        <v/>
      </c>
      <c r="BT485" s="109">
        <f>IF(AND(C485&lt;&gt;"",OR(D485="Nouveau",D485="Contacté",D485="Qualifié"),OR(G485="",N(G485)&lt;=TODAY()),NOT(AND(O485&gt;='Paramètres'!$B$21,P485=0))),E485+481/10000,"")</f>
        <v/>
      </c>
      <c r="BU485" s="60">
        <f>IF(AND(G485&lt;&gt;"",N(G485)&lt;=TODAY()),MAX($BU$4:BU484)+1,"")</f>
        <v/>
      </c>
      <c r="BV485" s="60">
        <f>IF(AND(F485&lt;&gt;"",F485&lt;&gt;"Relance en retard"),MAX($BV$4:BV484)+1,"")</f>
        <v/>
      </c>
      <c r="BW485" s="60">
        <f>IF(C485="","",IF(AND(B485&gt;='Tableau de bord'!$R$4,B485&lt;='Tableau de bord'!$S$4,OR('Tableau de bord'!$G$4="Tous",N485='Tableau de bord'!$G$4)),1,0))</f>
        <v/>
      </c>
      <c r="BX485" s="60">
        <f>IF(AND(C485&lt;&gt;"",N(BA485)=7),MAX($BX$4:BX484)+1,"")</f>
        <v/>
      </c>
    </row>
    <row r="486">
      <c r="A486" s="60">
        <f>IF(C486="","","P-"&amp;TEXT(482,"000"))</f>
        <v/>
      </c>
      <c r="B486" s="106">
        <f>IF(C486="","",IFERROR(1/(1/_xlfn.MINIFS('Saisie'!$A$5:$A$2004,'Saisie'!$C$5:$C$2004,C486)),""))</f>
        <v/>
      </c>
      <c r="C486" s="60">
        <f>IFERROR(INDEX('Saisie'!$C$5:$C$2004,MATCH(482,'Saisie'!$AX$5:$AX$2004,0)),"")</f>
        <v/>
      </c>
      <c r="D486" s="60">
        <f>IF(C486="","",IF(AND(BR486&gt;0,BR486&gt;BS486,BA486&lt;7),"Perdu",INDEX('Paramètres'!$F$6:$F$13,BA486)))</f>
        <v/>
      </c>
      <c r="E486" s="61">
        <f>IF(C486="","",MIN(100,(Z486="Oui")*'Paramètres'!$B$38+(AB486="Régulière")*'Paramètres'!$B$39+IF(AND(N(AA486)&gt;0,TODAY()-N(AA486)&lt;=30),'Paramètres'!$B$40,0)+(W486="")*'Paramètres'!$B$41+(AC486="Absente")*'Paramètres'!$B$42+(AC486="Faible")*'Paramètres'!$B$43+IF(AND(N(AD486)&gt;0,N(AD486)&lt;4),'Paramètres'!$B$44,0)+(AF486="Moyenne")*'Paramètres'!$B$45+(AF486="Grande")*'Paramètres'!$B$46+(Y486&lt;&gt;"")*'Paramètres'!$B$47))</f>
        <v/>
      </c>
      <c r="F486" s="60">
        <f>IF(C486="","",IF(D486="Gagné","",IF(D486="Perdu",IF(AND(AX486&lt;&gt;"",AX486&lt;=TODAY()),"À recontacter (perdu)",""),IF(AND(O486&gt;='Paramètres'!$B$21,P486=0),"Stop : "&amp;'Paramètres'!$B$21&amp;" tentatives sans réponse",IF(AND(D486="Proposition",AR486&lt;&gt;"",TODAY()&gt;N(AR486)),"Proposition expirée",IF(AND(D486="Proposition",N(R486)&gt;='Paramètres'!$B$25),"Proposition sans réponse",IF(AND(G486&lt;&gt;"",N(G486)&lt;TODAY()),"Relance en retard",IF(N(R486)&gt;='Paramètres'!$B$24,"Sans action depuis "&amp;R486&amp;" j",""))))))))</f>
        <v/>
      </c>
      <c r="G486" s="106">
        <f>IF(OR(C486="",D486="Gagné",D486="Perdu"),"",IF(AND(BP486&gt;0,BP486=BQ486),INDEX('Saisie'!$J$5:$J$2004,BP486-4),IF(OR(O486=0,AND(O486&gt;='Paramètres'!$B$21,P486=0)),"",Q486+IF(O486&lt;=1,'Paramètres'!$B$18,IF(O486=2,'Paramètres'!$B$19,'Paramètres'!$B$20)))))</f>
        <v/>
      </c>
      <c r="H486" s="107">
        <f>IF(OR(G486="",BP486&lt;&gt;BQ486),"",IF(INDEX('Saisie'!$K$5:$K$2004,BP486-4)="","",INDEX('Saisie'!$K$5:$K$2004,BP486-4)))</f>
        <v/>
      </c>
      <c r="I486" s="60">
        <f>IF(C486="","",IF(OR(D486="Gagné",D486="Perdu"),"",IFERROR(INDEX('Saisie'!$I$5:$I$2004,_xlfn.MAXIFS('Saisie'!$AS$5:$AS$2004,'Saisie'!$C$5:$C$2004,C486,'Saisie'!$I$5:$I$2004,"&lt;&gt;")-4),"")))</f>
        <v/>
      </c>
      <c r="J486" s="60">
        <f>IF(C486="","",IFERROR(INDEX('Saisie'!$U$5:$U$2004,_xlfn.MAXIFS('Saisie'!$AS$5:$AS$2004,'Saisie'!$C$5:$C$2004,C486,'Saisie'!$U$5:$U$2004,"&lt;&gt;")-4),""))</f>
        <v/>
      </c>
      <c r="K486" s="60">
        <f>IF(C486="","",IFERROR(INDEX('Saisie'!$W$5:$W$2004,_xlfn.MAXIFS('Saisie'!$AS$5:$AS$2004,'Saisie'!$C$5:$C$2004,C486,'Saisie'!$W$5:$W$2004,"&lt;&gt;")-4),""))</f>
        <v/>
      </c>
      <c r="L486" s="60">
        <f>IF(IF(BB486&lt;&gt;"",BB486,K486)="","",HYPERLINK("https://wa.me/"&amp;IF(LEFT(SUBSTITUTE(SUBSTITUTE(SUBSTITUTE(IF(BB486&lt;&gt;"",BB486,K486)," ",""),".",""),"+",""),1)="0",'Paramètres'!$B$35&amp;MID(SUBSTITUTE(SUBSTITUTE(SUBSTITUTE(IF(BB486&lt;&gt;"",BB486,K486)," ",""),".",""),"+",""),2,20),SUBSTITUTE(SUBSTITUTE(SUBSTITUTE(IF(BB486&lt;&gt;"",BB486,K486)," ",""),".",""),"+","")),"WhatsApp"))</f>
        <v/>
      </c>
      <c r="M486" s="60">
        <f>IF(BC486="","",HYPERLINK(IF(LEFT(BC486,4)="http",BC486,"https://www.instagram.com/"&amp;SUBSTITUTE(SUBSTITUTE(BC486,"@","")," ","")),BC486))</f>
        <v/>
      </c>
      <c r="N486" s="60">
        <f>IF(C486="","",IFERROR(INDEX('Saisie'!$D$5:$D$2004,_xlfn.MINIFS('Saisie'!$AS$5:$AS$2004,'Saisie'!$C$5:$C$2004,C486,'Saisie'!$AU$5:$AU$2004,1)-4),IFERROR(INDEX('Saisie'!$D$5:$D$2004,_xlfn.MINIFS('Saisie'!$AS$5:$AS$2004,'Saisie'!$C$5:$C$2004,C486,'Saisie'!$D$5:$D$2004,"&lt;&gt;")-4),"")))</f>
        <v/>
      </c>
      <c r="O486" s="60">
        <f>IF(C486="","",COUNTIFS('Saisie'!$C$5:$C$2004,C486,'Saisie'!$AU$5:$AU$2004,1))</f>
        <v/>
      </c>
      <c r="P486" s="60">
        <f>IF(C486="","",COUNTIFS('Saisie'!$C$5:$C$2004,C486,'Saisie'!$AV$5:$AV$2004,1))</f>
        <v/>
      </c>
      <c r="Q486" s="106">
        <f>IF(C486="","",IFERROR(1/(1/_xlfn.MAXIFS('Saisie'!$A$5:$A$2004,'Saisie'!$C$5:$C$2004,C486)),""))</f>
        <v/>
      </c>
      <c r="R486" s="61">
        <f>IF(C486="","",IF(Q486="","",TODAY()-Q486))</f>
        <v/>
      </c>
      <c r="S486" s="60">
        <f>IF(C486="","",IFERROR(INDEX('Saisie'!$R$5:$R$2004,_xlfn.MAXIFS('Saisie'!$AS$5:$AS$2004,'Saisie'!$C$5:$C$2004,C486,'Saisie'!$R$5:$R$2004,"&lt;&gt;")-4),""))</f>
        <v/>
      </c>
      <c r="T486" s="60">
        <f>IF(C486="","",IFERROR(INDEX('Saisie'!$S$5:$S$2004,_xlfn.MAXIFS('Saisie'!$AS$5:$AS$2004,'Saisie'!$C$5:$C$2004,C486,'Saisie'!$S$5:$S$2004,"&lt;&gt;")-4),""))</f>
        <v/>
      </c>
      <c r="U486" s="60">
        <f>IF(C486="","",IFERROR(INDEX('Saisie'!$T$5:$T$2004,_xlfn.MAXIFS('Saisie'!$AS$5:$AS$2004,'Saisie'!$C$5:$C$2004,C486,'Saisie'!$T$5:$T$2004,"&lt;&gt;")-4),""))</f>
        <v/>
      </c>
      <c r="V486" s="60">
        <f>IF(C486="","",IFERROR(INDEX('Saisie'!$V$5:$V$2004,_xlfn.MAXIFS('Saisie'!$AS$5:$AS$2004,'Saisie'!$C$5:$C$2004,C486,'Saisie'!$V$5:$V$2004,"&lt;&gt;")-4),""))</f>
        <v/>
      </c>
      <c r="W486" s="60">
        <f>IF(C486="","",IFERROR(INDEX('Saisie'!$Z$5:$Z$2004,_xlfn.MAXIFS('Saisie'!$AS$5:$AS$2004,'Saisie'!$C$5:$C$2004,C486,'Saisie'!$Z$5:$Z$2004,"&lt;&gt;")-4),""))</f>
        <v/>
      </c>
      <c r="X486" s="60">
        <f>IF(C486="","",IFERROR(INDEX('Saisie'!$AA$5:$AA$2004,_xlfn.MAXIFS('Saisie'!$AS$5:$AS$2004,'Saisie'!$C$5:$C$2004,C486,'Saisie'!$AA$5:$AA$2004,"&lt;&gt;")-4),""))</f>
        <v/>
      </c>
      <c r="Y486" s="60">
        <f>IF(C486="","",IFERROR(INDEX('Saisie'!$AB$5:$AB$2004,_xlfn.MAXIFS('Saisie'!$AS$5:$AS$2004,'Saisie'!$C$5:$C$2004,C486,'Saisie'!$AB$5:$AB$2004,"&lt;&gt;")-4),""))</f>
        <v/>
      </c>
      <c r="Z486" s="60">
        <f>IF(C486="","",IFERROR(INDEX('Saisie'!$AC$5:$AC$2004,_xlfn.MAXIFS('Saisie'!$AS$5:$AS$2004,'Saisie'!$C$5:$C$2004,C486,'Saisie'!$AC$5:$AC$2004,"&lt;&gt;")-4),""))</f>
        <v/>
      </c>
      <c r="AA486" s="106">
        <f>IF(C486="","",IFERROR(INDEX('Saisie'!$AD$5:$AD$2004,_xlfn.MAXIFS('Saisie'!$AS$5:$AS$2004,'Saisie'!$C$5:$C$2004,C486,'Saisie'!$AD$5:$AD$2004,"&lt;&gt;")-4),""))</f>
        <v/>
      </c>
      <c r="AB486" s="60">
        <f>IF(C486="","",IFERROR(INDEX('Saisie'!$AE$5:$AE$2004,_xlfn.MAXIFS('Saisie'!$AS$5:$AS$2004,'Saisie'!$C$5:$C$2004,C486,'Saisie'!$AE$5:$AE$2004,"&lt;&gt;")-4),""))</f>
        <v/>
      </c>
      <c r="AC486" s="60">
        <f>IF(C486="","",IFERROR(INDEX('Saisie'!$AF$5:$AF$2004,_xlfn.MAXIFS('Saisie'!$AS$5:$AS$2004,'Saisie'!$C$5:$C$2004,C486,'Saisie'!$AF$5:$AF$2004,"&lt;&gt;")-4),""))</f>
        <v/>
      </c>
      <c r="AD486" s="108">
        <f>IF(C486="","",IFERROR(INDEX('Saisie'!$AG$5:$AG$2004,_xlfn.MAXIFS('Saisie'!$AS$5:$AS$2004,'Saisie'!$C$5:$C$2004,C486,'Saisie'!$AG$5:$AG$2004,"&lt;&gt;")-4),""))</f>
        <v/>
      </c>
      <c r="AE486" s="60">
        <f>IF(C486="","",IFERROR(INDEX('Saisie'!$AH$5:$AH$2004,_xlfn.MAXIFS('Saisie'!$AS$5:$AS$2004,'Saisie'!$C$5:$C$2004,C486,'Saisie'!$AH$5:$AH$2004,"&lt;&gt;")-4),""))</f>
        <v/>
      </c>
      <c r="AF486" s="60">
        <f>IF(C486="","",IFERROR(INDEX('Saisie'!$AI$5:$AI$2004,_xlfn.MAXIFS('Saisie'!$AS$5:$AS$2004,'Saisie'!$C$5:$C$2004,C486,'Saisie'!$AI$5:$AI$2004,"&lt;&gt;")-4),""))</f>
        <v/>
      </c>
      <c r="AG486" s="60">
        <f>IF(C486="","",IFERROR(INDEX('Saisie'!$AJ$5:$AJ$2004,_xlfn.MAXIFS('Saisie'!$AS$5:$AS$2004,'Saisie'!$C$5:$C$2004,C486,'Saisie'!$AJ$5:$AJ$2004,"&lt;&gt;")-4),""))</f>
        <v/>
      </c>
      <c r="AH486" s="60">
        <f>IF(C486="","",IFERROR(INDEX('Saisie'!$AK$5:$AK$2004,_xlfn.MAXIFS('Saisie'!$AS$5:$AS$2004,'Saisie'!$C$5:$C$2004,C486,'Saisie'!$AK$5:$AK$2004,"&lt;&gt;")-4),""))</f>
        <v/>
      </c>
      <c r="AI486" s="60">
        <f>IF(C486="","",IFERROR(INDEX('Saisie'!$AN$5:$AN$2004,_xlfn.MAXIFS('Saisie'!$AS$5:$AS$2004,'Saisie'!$C$5:$C$2004,C486,'Saisie'!$AN$5:$AN$2004,"&lt;&gt;")-4),""))</f>
        <v/>
      </c>
      <c r="AJ486" s="60">
        <f>IF(C486="","",IFERROR(INDEX('Saisie'!$AO$5:$AO$2004,_xlfn.MAXIFS('Saisie'!$AS$5:$AS$2004,'Saisie'!$C$5:$C$2004,C486,'Saisie'!$AO$5:$AO$2004,"&lt;&gt;")-4),""))</f>
        <v/>
      </c>
      <c r="AK486" s="60">
        <f>IF(C486="","",IFERROR(INDEX('Saisie'!$AP$5:$AP$2004,_xlfn.MAXIFS('Saisie'!$AS$5:$AS$2004,'Saisie'!$C$5:$C$2004,C486,'Saisie'!$AP$5:$AP$2004,"&lt;&gt;")-4),""))</f>
        <v/>
      </c>
      <c r="AL486" s="60">
        <f>IF(C486="","",IFERROR(INDEX('Saisie'!$AQ$5:$AQ$2004,_xlfn.MAXIFS('Saisie'!$AS$5:$AS$2004,'Saisie'!$C$5:$C$2004,C486,'Saisie'!$AQ$5:$AQ$2004,"&lt;&gt;")-4),""))</f>
        <v/>
      </c>
      <c r="AM486" s="60">
        <f>IF(C486="","",((AI486="Oui")+(AJ486="Oui")+(AK486="Oui")+OR(AL486="Immédiat",AL486="&lt; 1 mois"))&amp;"/4")</f>
        <v/>
      </c>
      <c r="AN486" s="60">
        <f>IF(C486="","",IFERROR(INDEX('Saisie'!$AL$5:$AL$2004,_xlfn.MAXIFS('Saisie'!$AS$5:$AS$2004,'Saisie'!$C$5:$C$2004,C486,'Saisie'!$AL$5:$AL$2004,"&lt;&gt;")-4),""))</f>
        <v/>
      </c>
      <c r="AO486" s="62">
        <f>IF(C486="","",IF(IFERROR(INDEX('Saisie'!$AM$5:$AM$2004,_xlfn.MAXIFS('Saisie'!$AS$5:$AS$2004,'Saisie'!$C$5:$C$2004,C486,'Saisie'!$AM$5:$AM$2004,"&lt;&gt;")-4),"")&lt;&gt;"",IFERROR(INDEX('Saisie'!$AM$5:$AM$2004,_xlfn.MAXIFS('Saisie'!$AS$5:$AS$2004,'Saisie'!$C$5:$C$2004,C486,'Saisie'!$AM$5:$AM$2004,"&lt;&gt;")-4),""),IFERROR(INDEX('Paramètres'!$S$6:$S$15,MATCH(AN486,'Paramètres'!$Q$6:$Q$15,0)),"")))</f>
        <v/>
      </c>
      <c r="AP486" s="62">
        <f>IF(C486="","",IFERROR(INDEX('Saisie'!$AW$5:$AW$2004,_xlfn.MAXIFS('Saisie'!$AS$5:$AS$2004,'Saisie'!$C$5:$C$2004,C486,'Saisie'!$E$5:$E$2004,"Proposition envoyée")-4),""))</f>
        <v/>
      </c>
      <c r="AQ486" s="106">
        <f>IF(C486="","",IFERROR(1/(1/_xlfn.MAXIFS('Saisie'!$A$5:$A$2004,'Saisie'!$C$5:$C$2004,C486,'Saisie'!$E$5:$E$2004,"Proposition envoyée")),""))</f>
        <v/>
      </c>
      <c r="AR486" s="106">
        <f>IF(C486="","",IF(AQ486="","",AQ486+'Paramètres'!$B$26))</f>
        <v/>
      </c>
      <c r="AS486" s="62">
        <f>IF(OR(C486="",D486="Gagné",D486="Perdu"),0,N(AP486)*IFERROR(INDEX('Paramètres'!$G$6:$G$13,MATCH(D486,'Paramètres'!$F$6:$F$13,0)),0))</f>
        <v/>
      </c>
      <c r="AT486" s="106">
        <f>IF(C486="","",IFERROR(1/(1/_xlfn.MINIFS('Saisie'!$A$5:$A$2004,'Saisie'!$C$5:$C$2004,C486,'Saisie'!$E$5:$E$2004,"Signature")),""))</f>
        <v/>
      </c>
      <c r="AU486" s="60">
        <f>IF(C486="","",IF(OR(AT486="",B486=""),"",AT486-B486))</f>
        <v/>
      </c>
      <c r="AV486" s="60">
        <f>IF(C486="","",IFERROR(INDEX('Saisie'!$L$5:$L$2004,_xlfn.MAXIFS('Saisie'!$AS$5:$AS$2004,'Saisie'!$C$5:$C$2004,C486,'Saisie'!$L$5:$L$2004,"&lt;&gt;")-4),""))</f>
        <v/>
      </c>
      <c r="AW486" s="106">
        <f>IF(C486="","",IF(D486&lt;&gt;"Perdu","",IFERROR(1/(1/_xlfn.MAXIFS('Saisie'!$A$5:$A$2004,'Saisie'!$C$5:$C$2004,C486,'Saisie'!$E$5:$E$2004,"Perdu")),"")))</f>
        <v/>
      </c>
      <c r="AX486" s="106">
        <f>IF(C486="","",IF(AW486="","",AW486+'Paramètres'!$B$28))</f>
        <v/>
      </c>
      <c r="AY486" s="60">
        <f>IF(C486="","",SUMIFS('Saisie'!$H$5:$H$2004,'Saisie'!$C$5:$C$2004,C486))</f>
        <v/>
      </c>
      <c r="AZ486" s="60">
        <f>IF(C486="","",IFERROR(INDEX('Paramètres'!$W$6:$W$20,MATCH(S486,'Paramètres'!$V$6:$V$20,0))&amp;"",""))</f>
        <v/>
      </c>
      <c r="BA486" s="60">
        <f>IF(C486="","",MAX(1,_xlfn.MAXIFS('Saisie'!$AT$5:$AT$2004,'Saisie'!$C$5:$C$2004,C486)))</f>
        <v/>
      </c>
      <c r="BB486" s="60">
        <f>IF(C486="","",IFERROR(INDEX('Saisie'!$X$5:$X$2004,_xlfn.MAXIFS('Saisie'!$AS$5:$AS$2004,'Saisie'!$C$5:$C$2004,C486,'Saisie'!$X$5:$X$2004,"&lt;&gt;")-4),""))</f>
        <v/>
      </c>
      <c r="BC486" s="60">
        <f>IF(C486="","",IFERROR(INDEX('Saisie'!$Y$5:$Y$2004,_xlfn.MAXIFS('Saisie'!$AS$5:$AS$2004,'Saisie'!$C$5:$C$2004,C486,'Saisie'!$Y$5:$Y$2004,"&lt;&gt;")-4),""))</f>
        <v/>
      </c>
      <c r="BD486" s="106">
        <f>IF(C486="","",IFERROR(1/(1/_xlfn.MINIFS('Saisie'!$A$5:$A$2004,'Saisie'!$C$5:$C$2004,C486,'Saisie'!$AT$5:$AT$2004,"&gt;=2")),""))</f>
        <v/>
      </c>
      <c r="BE486" s="106">
        <f>IF(C486="","",IFERROR(1/(1/_xlfn.MINIFS('Saisie'!$A$5:$A$2004,'Saisie'!$C$5:$C$2004,C486,'Saisie'!$AT$5:$AT$2004,"&gt;=3")),""))</f>
        <v/>
      </c>
      <c r="BF486" s="106">
        <f>IF(C486="","",IFERROR(1/(1/_xlfn.MINIFS('Saisie'!$A$5:$A$2004,'Saisie'!$C$5:$C$2004,C486,'Saisie'!$AT$5:$AT$2004,"&gt;=4")),""))</f>
        <v/>
      </c>
      <c r="BG486" s="106">
        <f>IF(C486="","",IFERROR(1/(1/_xlfn.MINIFS('Saisie'!$A$5:$A$2004,'Saisie'!$C$5:$C$2004,C486,'Saisie'!$AT$5:$AT$2004,"&gt;=5")),""))</f>
        <v/>
      </c>
      <c r="BH486" s="106">
        <f>IF(C486="","",IFERROR(1/(1/_xlfn.MINIFS('Saisie'!$A$5:$A$2004,'Saisie'!$C$5:$C$2004,C486,'Saisie'!$AT$5:$AT$2004,"&gt;=6")),""))</f>
        <v/>
      </c>
      <c r="BI486" s="106">
        <f>IF(C486="","",IFERROR(1/(1/_xlfn.MINIFS('Saisie'!$A$5:$A$2004,'Saisie'!$C$5:$C$2004,C486,'Saisie'!$AT$5:$AT$2004,"&gt;=7")),""))</f>
        <v/>
      </c>
      <c r="BJ486" s="60">
        <f>IF(OR(BD486="",B486=""),"",BD486-B486)</f>
        <v/>
      </c>
      <c r="BK486" s="60">
        <f>IF(OR(BE486="",BD486=""),"",BE486-BD486)</f>
        <v/>
      </c>
      <c r="BL486" s="60">
        <f>IF(OR(BF486="",BE486=""),"",BF486-BE486)</f>
        <v/>
      </c>
      <c r="BM486" s="60">
        <f>IF(OR(BG486="",BF486=""),"",BG486-BF486)</f>
        <v/>
      </c>
      <c r="BN486" s="60">
        <f>IF(OR(BH486="",BG486=""),"",BH486-BG486)</f>
        <v/>
      </c>
      <c r="BO486" s="60">
        <f>IF(OR(BI486="",BH486=""),"",BI486-BH486)</f>
        <v/>
      </c>
      <c r="BP486" s="60">
        <f>IF(C486="","",_xlfn.MAXIFS('Saisie'!$AS$5:$AS$2004,'Saisie'!$C$5:$C$2004,C486,'Saisie'!$J$5:$J$2004,"&lt;&gt;"))</f>
        <v/>
      </c>
      <c r="BQ486" s="60">
        <f>IF(C486="","",_xlfn.MAXIFS('Saisie'!$AS$5:$AS$2004,'Saisie'!$C$5:$C$2004,C486))</f>
        <v/>
      </c>
      <c r="BR486" s="60">
        <f>IF(C486="","",_xlfn.MAXIFS('Saisie'!$AS$5:$AS$2004,'Saisie'!$C$5:$C$2004,C486,'Saisie'!$E$5:$E$2004,"Perdu"))</f>
        <v/>
      </c>
      <c r="BS486" s="60">
        <f>IF(C486="","",_xlfn.MAXIFS('Saisie'!$AS$5:$AS$2004,'Saisie'!$C$5:$C$2004,C486,'Saisie'!$AT$5:$AT$2004,"&gt;0"))</f>
        <v/>
      </c>
      <c r="BT486" s="109">
        <f>IF(AND(C486&lt;&gt;"",OR(D486="Nouveau",D486="Contacté",D486="Qualifié"),OR(G486="",N(G486)&lt;=TODAY()),NOT(AND(O486&gt;='Paramètres'!$B$21,P486=0))),E486+482/10000,"")</f>
        <v/>
      </c>
      <c r="BU486" s="60">
        <f>IF(AND(G486&lt;&gt;"",N(G486)&lt;=TODAY()),MAX($BU$4:BU485)+1,"")</f>
        <v/>
      </c>
      <c r="BV486" s="60">
        <f>IF(AND(F486&lt;&gt;"",F486&lt;&gt;"Relance en retard"),MAX($BV$4:BV485)+1,"")</f>
        <v/>
      </c>
      <c r="BW486" s="60">
        <f>IF(C486="","",IF(AND(B486&gt;='Tableau de bord'!$R$4,B486&lt;='Tableau de bord'!$S$4,OR('Tableau de bord'!$G$4="Tous",N486='Tableau de bord'!$G$4)),1,0))</f>
        <v/>
      </c>
      <c r="BX486" s="60">
        <f>IF(AND(C486&lt;&gt;"",N(BA486)=7),MAX($BX$4:BX485)+1,"")</f>
        <v/>
      </c>
    </row>
    <row r="487">
      <c r="A487" s="60">
        <f>IF(C487="","","P-"&amp;TEXT(483,"000"))</f>
        <v/>
      </c>
      <c r="B487" s="106">
        <f>IF(C487="","",IFERROR(1/(1/_xlfn.MINIFS('Saisie'!$A$5:$A$2004,'Saisie'!$C$5:$C$2004,C487)),""))</f>
        <v/>
      </c>
      <c r="C487" s="60">
        <f>IFERROR(INDEX('Saisie'!$C$5:$C$2004,MATCH(483,'Saisie'!$AX$5:$AX$2004,0)),"")</f>
        <v/>
      </c>
      <c r="D487" s="60">
        <f>IF(C487="","",IF(AND(BR487&gt;0,BR487&gt;BS487,BA487&lt;7),"Perdu",INDEX('Paramètres'!$F$6:$F$13,BA487)))</f>
        <v/>
      </c>
      <c r="E487" s="61">
        <f>IF(C487="","",MIN(100,(Z487="Oui")*'Paramètres'!$B$38+(AB487="Régulière")*'Paramètres'!$B$39+IF(AND(N(AA487)&gt;0,TODAY()-N(AA487)&lt;=30),'Paramètres'!$B$40,0)+(W487="")*'Paramètres'!$B$41+(AC487="Absente")*'Paramètres'!$B$42+(AC487="Faible")*'Paramètres'!$B$43+IF(AND(N(AD487)&gt;0,N(AD487)&lt;4),'Paramètres'!$B$44,0)+(AF487="Moyenne")*'Paramètres'!$B$45+(AF487="Grande")*'Paramètres'!$B$46+(Y487&lt;&gt;"")*'Paramètres'!$B$47))</f>
        <v/>
      </c>
      <c r="F487" s="60">
        <f>IF(C487="","",IF(D487="Gagné","",IF(D487="Perdu",IF(AND(AX487&lt;&gt;"",AX487&lt;=TODAY()),"À recontacter (perdu)",""),IF(AND(O487&gt;='Paramètres'!$B$21,P487=0),"Stop : "&amp;'Paramètres'!$B$21&amp;" tentatives sans réponse",IF(AND(D487="Proposition",AR487&lt;&gt;"",TODAY()&gt;N(AR487)),"Proposition expirée",IF(AND(D487="Proposition",N(R487)&gt;='Paramètres'!$B$25),"Proposition sans réponse",IF(AND(G487&lt;&gt;"",N(G487)&lt;TODAY()),"Relance en retard",IF(N(R487)&gt;='Paramètres'!$B$24,"Sans action depuis "&amp;R487&amp;" j",""))))))))</f>
        <v/>
      </c>
      <c r="G487" s="106">
        <f>IF(OR(C487="",D487="Gagné",D487="Perdu"),"",IF(AND(BP487&gt;0,BP487=BQ487),INDEX('Saisie'!$J$5:$J$2004,BP487-4),IF(OR(O487=0,AND(O487&gt;='Paramètres'!$B$21,P487=0)),"",Q487+IF(O487&lt;=1,'Paramètres'!$B$18,IF(O487=2,'Paramètres'!$B$19,'Paramètres'!$B$20)))))</f>
        <v/>
      </c>
      <c r="H487" s="107">
        <f>IF(OR(G487="",BP487&lt;&gt;BQ487),"",IF(INDEX('Saisie'!$K$5:$K$2004,BP487-4)="","",INDEX('Saisie'!$K$5:$K$2004,BP487-4)))</f>
        <v/>
      </c>
      <c r="I487" s="60">
        <f>IF(C487="","",IF(OR(D487="Gagné",D487="Perdu"),"",IFERROR(INDEX('Saisie'!$I$5:$I$2004,_xlfn.MAXIFS('Saisie'!$AS$5:$AS$2004,'Saisie'!$C$5:$C$2004,C487,'Saisie'!$I$5:$I$2004,"&lt;&gt;")-4),"")))</f>
        <v/>
      </c>
      <c r="J487" s="60">
        <f>IF(C487="","",IFERROR(INDEX('Saisie'!$U$5:$U$2004,_xlfn.MAXIFS('Saisie'!$AS$5:$AS$2004,'Saisie'!$C$5:$C$2004,C487,'Saisie'!$U$5:$U$2004,"&lt;&gt;")-4),""))</f>
        <v/>
      </c>
      <c r="K487" s="60">
        <f>IF(C487="","",IFERROR(INDEX('Saisie'!$W$5:$W$2004,_xlfn.MAXIFS('Saisie'!$AS$5:$AS$2004,'Saisie'!$C$5:$C$2004,C487,'Saisie'!$W$5:$W$2004,"&lt;&gt;")-4),""))</f>
        <v/>
      </c>
      <c r="L487" s="60">
        <f>IF(IF(BB487&lt;&gt;"",BB487,K487)="","",HYPERLINK("https://wa.me/"&amp;IF(LEFT(SUBSTITUTE(SUBSTITUTE(SUBSTITUTE(IF(BB487&lt;&gt;"",BB487,K487)," ",""),".",""),"+",""),1)="0",'Paramètres'!$B$35&amp;MID(SUBSTITUTE(SUBSTITUTE(SUBSTITUTE(IF(BB487&lt;&gt;"",BB487,K487)," ",""),".",""),"+",""),2,20),SUBSTITUTE(SUBSTITUTE(SUBSTITUTE(IF(BB487&lt;&gt;"",BB487,K487)," ",""),".",""),"+","")),"WhatsApp"))</f>
        <v/>
      </c>
      <c r="M487" s="60">
        <f>IF(BC487="","",HYPERLINK(IF(LEFT(BC487,4)="http",BC487,"https://www.instagram.com/"&amp;SUBSTITUTE(SUBSTITUTE(BC487,"@","")," ","")),BC487))</f>
        <v/>
      </c>
      <c r="N487" s="60">
        <f>IF(C487="","",IFERROR(INDEX('Saisie'!$D$5:$D$2004,_xlfn.MINIFS('Saisie'!$AS$5:$AS$2004,'Saisie'!$C$5:$C$2004,C487,'Saisie'!$AU$5:$AU$2004,1)-4),IFERROR(INDEX('Saisie'!$D$5:$D$2004,_xlfn.MINIFS('Saisie'!$AS$5:$AS$2004,'Saisie'!$C$5:$C$2004,C487,'Saisie'!$D$5:$D$2004,"&lt;&gt;")-4),"")))</f>
        <v/>
      </c>
      <c r="O487" s="60">
        <f>IF(C487="","",COUNTIFS('Saisie'!$C$5:$C$2004,C487,'Saisie'!$AU$5:$AU$2004,1))</f>
        <v/>
      </c>
      <c r="P487" s="60">
        <f>IF(C487="","",COUNTIFS('Saisie'!$C$5:$C$2004,C487,'Saisie'!$AV$5:$AV$2004,1))</f>
        <v/>
      </c>
      <c r="Q487" s="106">
        <f>IF(C487="","",IFERROR(1/(1/_xlfn.MAXIFS('Saisie'!$A$5:$A$2004,'Saisie'!$C$5:$C$2004,C487)),""))</f>
        <v/>
      </c>
      <c r="R487" s="61">
        <f>IF(C487="","",IF(Q487="","",TODAY()-Q487))</f>
        <v/>
      </c>
      <c r="S487" s="60">
        <f>IF(C487="","",IFERROR(INDEX('Saisie'!$R$5:$R$2004,_xlfn.MAXIFS('Saisie'!$AS$5:$AS$2004,'Saisie'!$C$5:$C$2004,C487,'Saisie'!$R$5:$R$2004,"&lt;&gt;")-4),""))</f>
        <v/>
      </c>
      <c r="T487" s="60">
        <f>IF(C487="","",IFERROR(INDEX('Saisie'!$S$5:$S$2004,_xlfn.MAXIFS('Saisie'!$AS$5:$AS$2004,'Saisie'!$C$5:$C$2004,C487,'Saisie'!$S$5:$S$2004,"&lt;&gt;")-4),""))</f>
        <v/>
      </c>
      <c r="U487" s="60">
        <f>IF(C487="","",IFERROR(INDEX('Saisie'!$T$5:$T$2004,_xlfn.MAXIFS('Saisie'!$AS$5:$AS$2004,'Saisie'!$C$5:$C$2004,C487,'Saisie'!$T$5:$T$2004,"&lt;&gt;")-4),""))</f>
        <v/>
      </c>
      <c r="V487" s="60">
        <f>IF(C487="","",IFERROR(INDEX('Saisie'!$V$5:$V$2004,_xlfn.MAXIFS('Saisie'!$AS$5:$AS$2004,'Saisie'!$C$5:$C$2004,C487,'Saisie'!$V$5:$V$2004,"&lt;&gt;")-4),""))</f>
        <v/>
      </c>
      <c r="W487" s="60">
        <f>IF(C487="","",IFERROR(INDEX('Saisie'!$Z$5:$Z$2004,_xlfn.MAXIFS('Saisie'!$AS$5:$AS$2004,'Saisie'!$C$5:$C$2004,C487,'Saisie'!$Z$5:$Z$2004,"&lt;&gt;")-4),""))</f>
        <v/>
      </c>
      <c r="X487" s="60">
        <f>IF(C487="","",IFERROR(INDEX('Saisie'!$AA$5:$AA$2004,_xlfn.MAXIFS('Saisie'!$AS$5:$AS$2004,'Saisie'!$C$5:$C$2004,C487,'Saisie'!$AA$5:$AA$2004,"&lt;&gt;")-4),""))</f>
        <v/>
      </c>
      <c r="Y487" s="60">
        <f>IF(C487="","",IFERROR(INDEX('Saisie'!$AB$5:$AB$2004,_xlfn.MAXIFS('Saisie'!$AS$5:$AS$2004,'Saisie'!$C$5:$C$2004,C487,'Saisie'!$AB$5:$AB$2004,"&lt;&gt;")-4),""))</f>
        <v/>
      </c>
      <c r="Z487" s="60">
        <f>IF(C487="","",IFERROR(INDEX('Saisie'!$AC$5:$AC$2004,_xlfn.MAXIFS('Saisie'!$AS$5:$AS$2004,'Saisie'!$C$5:$C$2004,C487,'Saisie'!$AC$5:$AC$2004,"&lt;&gt;")-4),""))</f>
        <v/>
      </c>
      <c r="AA487" s="106">
        <f>IF(C487="","",IFERROR(INDEX('Saisie'!$AD$5:$AD$2004,_xlfn.MAXIFS('Saisie'!$AS$5:$AS$2004,'Saisie'!$C$5:$C$2004,C487,'Saisie'!$AD$5:$AD$2004,"&lt;&gt;")-4),""))</f>
        <v/>
      </c>
      <c r="AB487" s="60">
        <f>IF(C487="","",IFERROR(INDEX('Saisie'!$AE$5:$AE$2004,_xlfn.MAXIFS('Saisie'!$AS$5:$AS$2004,'Saisie'!$C$5:$C$2004,C487,'Saisie'!$AE$5:$AE$2004,"&lt;&gt;")-4),""))</f>
        <v/>
      </c>
      <c r="AC487" s="60">
        <f>IF(C487="","",IFERROR(INDEX('Saisie'!$AF$5:$AF$2004,_xlfn.MAXIFS('Saisie'!$AS$5:$AS$2004,'Saisie'!$C$5:$C$2004,C487,'Saisie'!$AF$5:$AF$2004,"&lt;&gt;")-4),""))</f>
        <v/>
      </c>
      <c r="AD487" s="108">
        <f>IF(C487="","",IFERROR(INDEX('Saisie'!$AG$5:$AG$2004,_xlfn.MAXIFS('Saisie'!$AS$5:$AS$2004,'Saisie'!$C$5:$C$2004,C487,'Saisie'!$AG$5:$AG$2004,"&lt;&gt;")-4),""))</f>
        <v/>
      </c>
      <c r="AE487" s="60">
        <f>IF(C487="","",IFERROR(INDEX('Saisie'!$AH$5:$AH$2004,_xlfn.MAXIFS('Saisie'!$AS$5:$AS$2004,'Saisie'!$C$5:$C$2004,C487,'Saisie'!$AH$5:$AH$2004,"&lt;&gt;")-4),""))</f>
        <v/>
      </c>
      <c r="AF487" s="60">
        <f>IF(C487="","",IFERROR(INDEX('Saisie'!$AI$5:$AI$2004,_xlfn.MAXIFS('Saisie'!$AS$5:$AS$2004,'Saisie'!$C$5:$C$2004,C487,'Saisie'!$AI$5:$AI$2004,"&lt;&gt;")-4),""))</f>
        <v/>
      </c>
      <c r="AG487" s="60">
        <f>IF(C487="","",IFERROR(INDEX('Saisie'!$AJ$5:$AJ$2004,_xlfn.MAXIFS('Saisie'!$AS$5:$AS$2004,'Saisie'!$C$5:$C$2004,C487,'Saisie'!$AJ$5:$AJ$2004,"&lt;&gt;")-4),""))</f>
        <v/>
      </c>
      <c r="AH487" s="60">
        <f>IF(C487="","",IFERROR(INDEX('Saisie'!$AK$5:$AK$2004,_xlfn.MAXIFS('Saisie'!$AS$5:$AS$2004,'Saisie'!$C$5:$C$2004,C487,'Saisie'!$AK$5:$AK$2004,"&lt;&gt;")-4),""))</f>
        <v/>
      </c>
      <c r="AI487" s="60">
        <f>IF(C487="","",IFERROR(INDEX('Saisie'!$AN$5:$AN$2004,_xlfn.MAXIFS('Saisie'!$AS$5:$AS$2004,'Saisie'!$C$5:$C$2004,C487,'Saisie'!$AN$5:$AN$2004,"&lt;&gt;")-4),""))</f>
        <v/>
      </c>
      <c r="AJ487" s="60">
        <f>IF(C487="","",IFERROR(INDEX('Saisie'!$AO$5:$AO$2004,_xlfn.MAXIFS('Saisie'!$AS$5:$AS$2004,'Saisie'!$C$5:$C$2004,C487,'Saisie'!$AO$5:$AO$2004,"&lt;&gt;")-4),""))</f>
        <v/>
      </c>
      <c r="AK487" s="60">
        <f>IF(C487="","",IFERROR(INDEX('Saisie'!$AP$5:$AP$2004,_xlfn.MAXIFS('Saisie'!$AS$5:$AS$2004,'Saisie'!$C$5:$C$2004,C487,'Saisie'!$AP$5:$AP$2004,"&lt;&gt;")-4),""))</f>
        <v/>
      </c>
      <c r="AL487" s="60">
        <f>IF(C487="","",IFERROR(INDEX('Saisie'!$AQ$5:$AQ$2004,_xlfn.MAXIFS('Saisie'!$AS$5:$AS$2004,'Saisie'!$C$5:$C$2004,C487,'Saisie'!$AQ$5:$AQ$2004,"&lt;&gt;")-4),""))</f>
        <v/>
      </c>
      <c r="AM487" s="60">
        <f>IF(C487="","",((AI487="Oui")+(AJ487="Oui")+(AK487="Oui")+OR(AL487="Immédiat",AL487="&lt; 1 mois"))&amp;"/4")</f>
        <v/>
      </c>
      <c r="AN487" s="60">
        <f>IF(C487="","",IFERROR(INDEX('Saisie'!$AL$5:$AL$2004,_xlfn.MAXIFS('Saisie'!$AS$5:$AS$2004,'Saisie'!$C$5:$C$2004,C487,'Saisie'!$AL$5:$AL$2004,"&lt;&gt;")-4),""))</f>
        <v/>
      </c>
      <c r="AO487" s="62">
        <f>IF(C487="","",IF(IFERROR(INDEX('Saisie'!$AM$5:$AM$2004,_xlfn.MAXIFS('Saisie'!$AS$5:$AS$2004,'Saisie'!$C$5:$C$2004,C487,'Saisie'!$AM$5:$AM$2004,"&lt;&gt;")-4),"")&lt;&gt;"",IFERROR(INDEX('Saisie'!$AM$5:$AM$2004,_xlfn.MAXIFS('Saisie'!$AS$5:$AS$2004,'Saisie'!$C$5:$C$2004,C487,'Saisie'!$AM$5:$AM$2004,"&lt;&gt;")-4),""),IFERROR(INDEX('Paramètres'!$S$6:$S$15,MATCH(AN487,'Paramètres'!$Q$6:$Q$15,0)),"")))</f>
        <v/>
      </c>
      <c r="AP487" s="62">
        <f>IF(C487="","",IFERROR(INDEX('Saisie'!$AW$5:$AW$2004,_xlfn.MAXIFS('Saisie'!$AS$5:$AS$2004,'Saisie'!$C$5:$C$2004,C487,'Saisie'!$E$5:$E$2004,"Proposition envoyée")-4),""))</f>
        <v/>
      </c>
      <c r="AQ487" s="106">
        <f>IF(C487="","",IFERROR(1/(1/_xlfn.MAXIFS('Saisie'!$A$5:$A$2004,'Saisie'!$C$5:$C$2004,C487,'Saisie'!$E$5:$E$2004,"Proposition envoyée")),""))</f>
        <v/>
      </c>
      <c r="AR487" s="106">
        <f>IF(C487="","",IF(AQ487="","",AQ487+'Paramètres'!$B$26))</f>
        <v/>
      </c>
      <c r="AS487" s="62">
        <f>IF(OR(C487="",D487="Gagné",D487="Perdu"),0,N(AP487)*IFERROR(INDEX('Paramètres'!$G$6:$G$13,MATCH(D487,'Paramètres'!$F$6:$F$13,0)),0))</f>
        <v/>
      </c>
      <c r="AT487" s="106">
        <f>IF(C487="","",IFERROR(1/(1/_xlfn.MINIFS('Saisie'!$A$5:$A$2004,'Saisie'!$C$5:$C$2004,C487,'Saisie'!$E$5:$E$2004,"Signature")),""))</f>
        <v/>
      </c>
      <c r="AU487" s="60">
        <f>IF(C487="","",IF(OR(AT487="",B487=""),"",AT487-B487))</f>
        <v/>
      </c>
      <c r="AV487" s="60">
        <f>IF(C487="","",IFERROR(INDEX('Saisie'!$L$5:$L$2004,_xlfn.MAXIFS('Saisie'!$AS$5:$AS$2004,'Saisie'!$C$5:$C$2004,C487,'Saisie'!$L$5:$L$2004,"&lt;&gt;")-4),""))</f>
        <v/>
      </c>
      <c r="AW487" s="106">
        <f>IF(C487="","",IF(D487&lt;&gt;"Perdu","",IFERROR(1/(1/_xlfn.MAXIFS('Saisie'!$A$5:$A$2004,'Saisie'!$C$5:$C$2004,C487,'Saisie'!$E$5:$E$2004,"Perdu")),"")))</f>
        <v/>
      </c>
      <c r="AX487" s="106">
        <f>IF(C487="","",IF(AW487="","",AW487+'Paramètres'!$B$28))</f>
        <v/>
      </c>
      <c r="AY487" s="60">
        <f>IF(C487="","",SUMIFS('Saisie'!$H$5:$H$2004,'Saisie'!$C$5:$C$2004,C487))</f>
        <v/>
      </c>
      <c r="AZ487" s="60">
        <f>IF(C487="","",IFERROR(INDEX('Paramètres'!$W$6:$W$20,MATCH(S487,'Paramètres'!$V$6:$V$20,0))&amp;"",""))</f>
        <v/>
      </c>
      <c r="BA487" s="60">
        <f>IF(C487="","",MAX(1,_xlfn.MAXIFS('Saisie'!$AT$5:$AT$2004,'Saisie'!$C$5:$C$2004,C487)))</f>
        <v/>
      </c>
      <c r="BB487" s="60">
        <f>IF(C487="","",IFERROR(INDEX('Saisie'!$X$5:$X$2004,_xlfn.MAXIFS('Saisie'!$AS$5:$AS$2004,'Saisie'!$C$5:$C$2004,C487,'Saisie'!$X$5:$X$2004,"&lt;&gt;")-4),""))</f>
        <v/>
      </c>
      <c r="BC487" s="60">
        <f>IF(C487="","",IFERROR(INDEX('Saisie'!$Y$5:$Y$2004,_xlfn.MAXIFS('Saisie'!$AS$5:$AS$2004,'Saisie'!$C$5:$C$2004,C487,'Saisie'!$Y$5:$Y$2004,"&lt;&gt;")-4),""))</f>
        <v/>
      </c>
      <c r="BD487" s="106">
        <f>IF(C487="","",IFERROR(1/(1/_xlfn.MINIFS('Saisie'!$A$5:$A$2004,'Saisie'!$C$5:$C$2004,C487,'Saisie'!$AT$5:$AT$2004,"&gt;=2")),""))</f>
        <v/>
      </c>
      <c r="BE487" s="106">
        <f>IF(C487="","",IFERROR(1/(1/_xlfn.MINIFS('Saisie'!$A$5:$A$2004,'Saisie'!$C$5:$C$2004,C487,'Saisie'!$AT$5:$AT$2004,"&gt;=3")),""))</f>
        <v/>
      </c>
      <c r="BF487" s="106">
        <f>IF(C487="","",IFERROR(1/(1/_xlfn.MINIFS('Saisie'!$A$5:$A$2004,'Saisie'!$C$5:$C$2004,C487,'Saisie'!$AT$5:$AT$2004,"&gt;=4")),""))</f>
        <v/>
      </c>
      <c r="BG487" s="106">
        <f>IF(C487="","",IFERROR(1/(1/_xlfn.MINIFS('Saisie'!$A$5:$A$2004,'Saisie'!$C$5:$C$2004,C487,'Saisie'!$AT$5:$AT$2004,"&gt;=5")),""))</f>
        <v/>
      </c>
      <c r="BH487" s="106">
        <f>IF(C487="","",IFERROR(1/(1/_xlfn.MINIFS('Saisie'!$A$5:$A$2004,'Saisie'!$C$5:$C$2004,C487,'Saisie'!$AT$5:$AT$2004,"&gt;=6")),""))</f>
        <v/>
      </c>
      <c r="BI487" s="106">
        <f>IF(C487="","",IFERROR(1/(1/_xlfn.MINIFS('Saisie'!$A$5:$A$2004,'Saisie'!$C$5:$C$2004,C487,'Saisie'!$AT$5:$AT$2004,"&gt;=7")),""))</f>
        <v/>
      </c>
      <c r="BJ487" s="60">
        <f>IF(OR(BD487="",B487=""),"",BD487-B487)</f>
        <v/>
      </c>
      <c r="BK487" s="60">
        <f>IF(OR(BE487="",BD487=""),"",BE487-BD487)</f>
        <v/>
      </c>
      <c r="BL487" s="60">
        <f>IF(OR(BF487="",BE487=""),"",BF487-BE487)</f>
        <v/>
      </c>
      <c r="BM487" s="60">
        <f>IF(OR(BG487="",BF487=""),"",BG487-BF487)</f>
        <v/>
      </c>
      <c r="BN487" s="60">
        <f>IF(OR(BH487="",BG487=""),"",BH487-BG487)</f>
        <v/>
      </c>
      <c r="BO487" s="60">
        <f>IF(OR(BI487="",BH487=""),"",BI487-BH487)</f>
        <v/>
      </c>
      <c r="BP487" s="60">
        <f>IF(C487="","",_xlfn.MAXIFS('Saisie'!$AS$5:$AS$2004,'Saisie'!$C$5:$C$2004,C487,'Saisie'!$J$5:$J$2004,"&lt;&gt;"))</f>
        <v/>
      </c>
      <c r="BQ487" s="60">
        <f>IF(C487="","",_xlfn.MAXIFS('Saisie'!$AS$5:$AS$2004,'Saisie'!$C$5:$C$2004,C487))</f>
        <v/>
      </c>
      <c r="BR487" s="60">
        <f>IF(C487="","",_xlfn.MAXIFS('Saisie'!$AS$5:$AS$2004,'Saisie'!$C$5:$C$2004,C487,'Saisie'!$E$5:$E$2004,"Perdu"))</f>
        <v/>
      </c>
      <c r="BS487" s="60">
        <f>IF(C487="","",_xlfn.MAXIFS('Saisie'!$AS$5:$AS$2004,'Saisie'!$C$5:$C$2004,C487,'Saisie'!$AT$5:$AT$2004,"&gt;0"))</f>
        <v/>
      </c>
      <c r="BT487" s="109">
        <f>IF(AND(C487&lt;&gt;"",OR(D487="Nouveau",D487="Contacté",D487="Qualifié"),OR(G487="",N(G487)&lt;=TODAY()),NOT(AND(O487&gt;='Paramètres'!$B$21,P487=0))),E487+483/10000,"")</f>
        <v/>
      </c>
      <c r="BU487" s="60">
        <f>IF(AND(G487&lt;&gt;"",N(G487)&lt;=TODAY()),MAX($BU$4:BU486)+1,"")</f>
        <v/>
      </c>
      <c r="BV487" s="60">
        <f>IF(AND(F487&lt;&gt;"",F487&lt;&gt;"Relance en retard"),MAX($BV$4:BV486)+1,"")</f>
        <v/>
      </c>
      <c r="BW487" s="60">
        <f>IF(C487="","",IF(AND(B487&gt;='Tableau de bord'!$R$4,B487&lt;='Tableau de bord'!$S$4,OR('Tableau de bord'!$G$4="Tous",N487='Tableau de bord'!$G$4)),1,0))</f>
        <v/>
      </c>
      <c r="BX487" s="60">
        <f>IF(AND(C487&lt;&gt;"",N(BA487)=7),MAX($BX$4:BX486)+1,"")</f>
        <v/>
      </c>
    </row>
    <row r="488">
      <c r="A488" s="60">
        <f>IF(C488="","","P-"&amp;TEXT(484,"000"))</f>
        <v/>
      </c>
      <c r="B488" s="106">
        <f>IF(C488="","",IFERROR(1/(1/_xlfn.MINIFS('Saisie'!$A$5:$A$2004,'Saisie'!$C$5:$C$2004,C488)),""))</f>
        <v/>
      </c>
      <c r="C488" s="60">
        <f>IFERROR(INDEX('Saisie'!$C$5:$C$2004,MATCH(484,'Saisie'!$AX$5:$AX$2004,0)),"")</f>
        <v/>
      </c>
      <c r="D488" s="60">
        <f>IF(C488="","",IF(AND(BR488&gt;0,BR488&gt;BS488,BA488&lt;7),"Perdu",INDEX('Paramètres'!$F$6:$F$13,BA488)))</f>
        <v/>
      </c>
      <c r="E488" s="61">
        <f>IF(C488="","",MIN(100,(Z488="Oui")*'Paramètres'!$B$38+(AB488="Régulière")*'Paramètres'!$B$39+IF(AND(N(AA488)&gt;0,TODAY()-N(AA488)&lt;=30),'Paramètres'!$B$40,0)+(W488="")*'Paramètres'!$B$41+(AC488="Absente")*'Paramètres'!$B$42+(AC488="Faible")*'Paramètres'!$B$43+IF(AND(N(AD488)&gt;0,N(AD488)&lt;4),'Paramètres'!$B$44,0)+(AF488="Moyenne")*'Paramètres'!$B$45+(AF488="Grande")*'Paramètres'!$B$46+(Y488&lt;&gt;"")*'Paramètres'!$B$47))</f>
        <v/>
      </c>
      <c r="F488" s="60">
        <f>IF(C488="","",IF(D488="Gagné","",IF(D488="Perdu",IF(AND(AX488&lt;&gt;"",AX488&lt;=TODAY()),"À recontacter (perdu)",""),IF(AND(O488&gt;='Paramètres'!$B$21,P488=0),"Stop : "&amp;'Paramètres'!$B$21&amp;" tentatives sans réponse",IF(AND(D488="Proposition",AR488&lt;&gt;"",TODAY()&gt;N(AR488)),"Proposition expirée",IF(AND(D488="Proposition",N(R488)&gt;='Paramètres'!$B$25),"Proposition sans réponse",IF(AND(G488&lt;&gt;"",N(G488)&lt;TODAY()),"Relance en retard",IF(N(R488)&gt;='Paramètres'!$B$24,"Sans action depuis "&amp;R488&amp;" j",""))))))))</f>
        <v/>
      </c>
      <c r="G488" s="106">
        <f>IF(OR(C488="",D488="Gagné",D488="Perdu"),"",IF(AND(BP488&gt;0,BP488=BQ488),INDEX('Saisie'!$J$5:$J$2004,BP488-4),IF(OR(O488=0,AND(O488&gt;='Paramètres'!$B$21,P488=0)),"",Q488+IF(O488&lt;=1,'Paramètres'!$B$18,IF(O488=2,'Paramètres'!$B$19,'Paramètres'!$B$20)))))</f>
        <v/>
      </c>
      <c r="H488" s="107">
        <f>IF(OR(G488="",BP488&lt;&gt;BQ488),"",IF(INDEX('Saisie'!$K$5:$K$2004,BP488-4)="","",INDEX('Saisie'!$K$5:$K$2004,BP488-4)))</f>
        <v/>
      </c>
      <c r="I488" s="60">
        <f>IF(C488="","",IF(OR(D488="Gagné",D488="Perdu"),"",IFERROR(INDEX('Saisie'!$I$5:$I$2004,_xlfn.MAXIFS('Saisie'!$AS$5:$AS$2004,'Saisie'!$C$5:$C$2004,C488,'Saisie'!$I$5:$I$2004,"&lt;&gt;")-4),"")))</f>
        <v/>
      </c>
      <c r="J488" s="60">
        <f>IF(C488="","",IFERROR(INDEX('Saisie'!$U$5:$U$2004,_xlfn.MAXIFS('Saisie'!$AS$5:$AS$2004,'Saisie'!$C$5:$C$2004,C488,'Saisie'!$U$5:$U$2004,"&lt;&gt;")-4),""))</f>
        <v/>
      </c>
      <c r="K488" s="60">
        <f>IF(C488="","",IFERROR(INDEX('Saisie'!$W$5:$W$2004,_xlfn.MAXIFS('Saisie'!$AS$5:$AS$2004,'Saisie'!$C$5:$C$2004,C488,'Saisie'!$W$5:$W$2004,"&lt;&gt;")-4),""))</f>
        <v/>
      </c>
      <c r="L488" s="60">
        <f>IF(IF(BB488&lt;&gt;"",BB488,K488)="","",HYPERLINK("https://wa.me/"&amp;IF(LEFT(SUBSTITUTE(SUBSTITUTE(SUBSTITUTE(IF(BB488&lt;&gt;"",BB488,K488)," ",""),".",""),"+",""),1)="0",'Paramètres'!$B$35&amp;MID(SUBSTITUTE(SUBSTITUTE(SUBSTITUTE(IF(BB488&lt;&gt;"",BB488,K488)," ",""),".",""),"+",""),2,20),SUBSTITUTE(SUBSTITUTE(SUBSTITUTE(IF(BB488&lt;&gt;"",BB488,K488)," ",""),".",""),"+","")),"WhatsApp"))</f>
        <v/>
      </c>
      <c r="M488" s="60">
        <f>IF(BC488="","",HYPERLINK(IF(LEFT(BC488,4)="http",BC488,"https://www.instagram.com/"&amp;SUBSTITUTE(SUBSTITUTE(BC488,"@","")," ","")),BC488))</f>
        <v/>
      </c>
      <c r="N488" s="60">
        <f>IF(C488="","",IFERROR(INDEX('Saisie'!$D$5:$D$2004,_xlfn.MINIFS('Saisie'!$AS$5:$AS$2004,'Saisie'!$C$5:$C$2004,C488,'Saisie'!$AU$5:$AU$2004,1)-4),IFERROR(INDEX('Saisie'!$D$5:$D$2004,_xlfn.MINIFS('Saisie'!$AS$5:$AS$2004,'Saisie'!$C$5:$C$2004,C488,'Saisie'!$D$5:$D$2004,"&lt;&gt;")-4),"")))</f>
        <v/>
      </c>
      <c r="O488" s="60">
        <f>IF(C488="","",COUNTIFS('Saisie'!$C$5:$C$2004,C488,'Saisie'!$AU$5:$AU$2004,1))</f>
        <v/>
      </c>
      <c r="P488" s="60">
        <f>IF(C488="","",COUNTIFS('Saisie'!$C$5:$C$2004,C488,'Saisie'!$AV$5:$AV$2004,1))</f>
        <v/>
      </c>
      <c r="Q488" s="106">
        <f>IF(C488="","",IFERROR(1/(1/_xlfn.MAXIFS('Saisie'!$A$5:$A$2004,'Saisie'!$C$5:$C$2004,C488)),""))</f>
        <v/>
      </c>
      <c r="R488" s="61">
        <f>IF(C488="","",IF(Q488="","",TODAY()-Q488))</f>
        <v/>
      </c>
      <c r="S488" s="60">
        <f>IF(C488="","",IFERROR(INDEX('Saisie'!$R$5:$R$2004,_xlfn.MAXIFS('Saisie'!$AS$5:$AS$2004,'Saisie'!$C$5:$C$2004,C488,'Saisie'!$R$5:$R$2004,"&lt;&gt;")-4),""))</f>
        <v/>
      </c>
      <c r="T488" s="60">
        <f>IF(C488="","",IFERROR(INDEX('Saisie'!$S$5:$S$2004,_xlfn.MAXIFS('Saisie'!$AS$5:$AS$2004,'Saisie'!$C$5:$C$2004,C488,'Saisie'!$S$5:$S$2004,"&lt;&gt;")-4),""))</f>
        <v/>
      </c>
      <c r="U488" s="60">
        <f>IF(C488="","",IFERROR(INDEX('Saisie'!$T$5:$T$2004,_xlfn.MAXIFS('Saisie'!$AS$5:$AS$2004,'Saisie'!$C$5:$C$2004,C488,'Saisie'!$T$5:$T$2004,"&lt;&gt;")-4),""))</f>
        <v/>
      </c>
      <c r="V488" s="60">
        <f>IF(C488="","",IFERROR(INDEX('Saisie'!$V$5:$V$2004,_xlfn.MAXIFS('Saisie'!$AS$5:$AS$2004,'Saisie'!$C$5:$C$2004,C488,'Saisie'!$V$5:$V$2004,"&lt;&gt;")-4),""))</f>
        <v/>
      </c>
      <c r="W488" s="60">
        <f>IF(C488="","",IFERROR(INDEX('Saisie'!$Z$5:$Z$2004,_xlfn.MAXIFS('Saisie'!$AS$5:$AS$2004,'Saisie'!$C$5:$C$2004,C488,'Saisie'!$Z$5:$Z$2004,"&lt;&gt;")-4),""))</f>
        <v/>
      </c>
      <c r="X488" s="60">
        <f>IF(C488="","",IFERROR(INDEX('Saisie'!$AA$5:$AA$2004,_xlfn.MAXIFS('Saisie'!$AS$5:$AS$2004,'Saisie'!$C$5:$C$2004,C488,'Saisie'!$AA$5:$AA$2004,"&lt;&gt;")-4),""))</f>
        <v/>
      </c>
      <c r="Y488" s="60">
        <f>IF(C488="","",IFERROR(INDEX('Saisie'!$AB$5:$AB$2004,_xlfn.MAXIFS('Saisie'!$AS$5:$AS$2004,'Saisie'!$C$5:$C$2004,C488,'Saisie'!$AB$5:$AB$2004,"&lt;&gt;")-4),""))</f>
        <v/>
      </c>
      <c r="Z488" s="60">
        <f>IF(C488="","",IFERROR(INDEX('Saisie'!$AC$5:$AC$2004,_xlfn.MAXIFS('Saisie'!$AS$5:$AS$2004,'Saisie'!$C$5:$C$2004,C488,'Saisie'!$AC$5:$AC$2004,"&lt;&gt;")-4),""))</f>
        <v/>
      </c>
      <c r="AA488" s="106">
        <f>IF(C488="","",IFERROR(INDEX('Saisie'!$AD$5:$AD$2004,_xlfn.MAXIFS('Saisie'!$AS$5:$AS$2004,'Saisie'!$C$5:$C$2004,C488,'Saisie'!$AD$5:$AD$2004,"&lt;&gt;")-4),""))</f>
        <v/>
      </c>
      <c r="AB488" s="60">
        <f>IF(C488="","",IFERROR(INDEX('Saisie'!$AE$5:$AE$2004,_xlfn.MAXIFS('Saisie'!$AS$5:$AS$2004,'Saisie'!$C$5:$C$2004,C488,'Saisie'!$AE$5:$AE$2004,"&lt;&gt;")-4),""))</f>
        <v/>
      </c>
      <c r="AC488" s="60">
        <f>IF(C488="","",IFERROR(INDEX('Saisie'!$AF$5:$AF$2004,_xlfn.MAXIFS('Saisie'!$AS$5:$AS$2004,'Saisie'!$C$5:$C$2004,C488,'Saisie'!$AF$5:$AF$2004,"&lt;&gt;")-4),""))</f>
        <v/>
      </c>
      <c r="AD488" s="108">
        <f>IF(C488="","",IFERROR(INDEX('Saisie'!$AG$5:$AG$2004,_xlfn.MAXIFS('Saisie'!$AS$5:$AS$2004,'Saisie'!$C$5:$C$2004,C488,'Saisie'!$AG$5:$AG$2004,"&lt;&gt;")-4),""))</f>
        <v/>
      </c>
      <c r="AE488" s="60">
        <f>IF(C488="","",IFERROR(INDEX('Saisie'!$AH$5:$AH$2004,_xlfn.MAXIFS('Saisie'!$AS$5:$AS$2004,'Saisie'!$C$5:$C$2004,C488,'Saisie'!$AH$5:$AH$2004,"&lt;&gt;")-4),""))</f>
        <v/>
      </c>
      <c r="AF488" s="60">
        <f>IF(C488="","",IFERROR(INDEX('Saisie'!$AI$5:$AI$2004,_xlfn.MAXIFS('Saisie'!$AS$5:$AS$2004,'Saisie'!$C$5:$C$2004,C488,'Saisie'!$AI$5:$AI$2004,"&lt;&gt;")-4),""))</f>
        <v/>
      </c>
      <c r="AG488" s="60">
        <f>IF(C488="","",IFERROR(INDEX('Saisie'!$AJ$5:$AJ$2004,_xlfn.MAXIFS('Saisie'!$AS$5:$AS$2004,'Saisie'!$C$5:$C$2004,C488,'Saisie'!$AJ$5:$AJ$2004,"&lt;&gt;")-4),""))</f>
        <v/>
      </c>
      <c r="AH488" s="60">
        <f>IF(C488="","",IFERROR(INDEX('Saisie'!$AK$5:$AK$2004,_xlfn.MAXIFS('Saisie'!$AS$5:$AS$2004,'Saisie'!$C$5:$C$2004,C488,'Saisie'!$AK$5:$AK$2004,"&lt;&gt;")-4),""))</f>
        <v/>
      </c>
      <c r="AI488" s="60">
        <f>IF(C488="","",IFERROR(INDEX('Saisie'!$AN$5:$AN$2004,_xlfn.MAXIFS('Saisie'!$AS$5:$AS$2004,'Saisie'!$C$5:$C$2004,C488,'Saisie'!$AN$5:$AN$2004,"&lt;&gt;")-4),""))</f>
        <v/>
      </c>
      <c r="AJ488" s="60">
        <f>IF(C488="","",IFERROR(INDEX('Saisie'!$AO$5:$AO$2004,_xlfn.MAXIFS('Saisie'!$AS$5:$AS$2004,'Saisie'!$C$5:$C$2004,C488,'Saisie'!$AO$5:$AO$2004,"&lt;&gt;")-4),""))</f>
        <v/>
      </c>
      <c r="AK488" s="60">
        <f>IF(C488="","",IFERROR(INDEX('Saisie'!$AP$5:$AP$2004,_xlfn.MAXIFS('Saisie'!$AS$5:$AS$2004,'Saisie'!$C$5:$C$2004,C488,'Saisie'!$AP$5:$AP$2004,"&lt;&gt;")-4),""))</f>
        <v/>
      </c>
      <c r="AL488" s="60">
        <f>IF(C488="","",IFERROR(INDEX('Saisie'!$AQ$5:$AQ$2004,_xlfn.MAXIFS('Saisie'!$AS$5:$AS$2004,'Saisie'!$C$5:$C$2004,C488,'Saisie'!$AQ$5:$AQ$2004,"&lt;&gt;")-4),""))</f>
        <v/>
      </c>
      <c r="AM488" s="60">
        <f>IF(C488="","",((AI488="Oui")+(AJ488="Oui")+(AK488="Oui")+OR(AL488="Immédiat",AL488="&lt; 1 mois"))&amp;"/4")</f>
        <v/>
      </c>
      <c r="AN488" s="60">
        <f>IF(C488="","",IFERROR(INDEX('Saisie'!$AL$5:$AL$2004,_xlfn.MAXIFS('Saisie'!$AS$5:$AS$2004,'Saisie'!$C$5:$C$2004,C488,'Saisie'!$AL$5:$AL$2004,"&lt;&gt;")-4),""))</f>
        <v/>
      </c>
      <c r="AO488" s="62">
        <f>IF(C488="","",IF(IFERROR(INDEX('Saisie'!$AM$5:$AM$2004,_xlfn.MAXIFS('Saisie'!$AS$5:$AS$2004,'Saisie'!$C$5:$C$2004,C488,'Saisie'!$AM$5:$AM$2004,"&lt;&gt;")-4),"")&lt;&gt;"",IFERROR(INDEX('Saisie'!$AM$5:$AM$2004,_xlfn.MAXIFS('Saisie'!$AS$5:$AS$2004,'Saisie'!$C$5:$C$2004,C488,'Saisie'!$AM$5:$AM$2004,"&lt;&gt;")-4),""),IFERROR(INDEX('Paramètres'!$S$6:$S$15,MATCH(AN488,'Paramètres'!$Q$6:$Q$15,0)),"")))</f>
        <v/>
      </c>
      <c r="AP488" s="62">
        <f>IF(C488="","",IFERROR(INDEX('Saisie'!$AW$5:$AW$2004,_xlfn.MAXIFS('Saisie'!$AS$5:$AS$2004,'Saisie'!$C$5:$C$2004,C488,'Saisie'!$E$5:$E$2004,"Proposition envoyée")-4),""))</f>
        <v/>
      </c>
      <c r="AQ488" s="106">
        <f>IF(C488="","",IFERROR(1/(1/_xlfn.MAXIFS('Saisie'!$A$5:$A$2004,'Saisie'!$C$5:$C$2004,C488,'Saisie'!$E$5:$E$2004,"Proposition envoyée")),""))</f>
        <v/>
      </c>
      <c r="AR488" s="106">
        <f>IF(C488="","",IF(AQ488="","",AQ488+'Paramètres'!$B$26))</f>
        <v/>
      </c>
      <c r="AS488" s="62">
        <f>IF(OR(C488="",D488="Gagné",D488="Perdu"),0,N(AP488)*IFERROR(INDEX('Paramètres'!$G$6:$G$13,MATCH(D488,'Paramètres'!$F$6:$F$13,0)),0))</f>
        <v/>
      </c>
      <c r="AT488" s="106">
        <f>IF(C488="","",IFERROR(1/(1/_xlfn.MINIFS('Saisie'!$A$5:$A$2004,'Saisie'!$C$5:$C$2004,C488,'Saisie'!$E$5:$E$2004,"Signature")),""))</f>
        <v/>
      </c>
      <c r="AU488" s="60">
        <f>IF(C488="","",IF(OR(AT488="",B488=""),"",AT488-B488))</f>
        <v/>
      </c>
      <c r="AV488" s="60">
        <f>IF(C488="","",IFERROR(INDEX('Saisie'!$L$5:$L$2004,_xlfn.MAXIFS('Saisie'!$AS$5:$AS$2004,'Saisie'!$C$5:$C$2004,C488,'Saisie'!$L$5:$L$2004,"&lt;&gt;")-4),""))</f>
        <v/>
      </c>
      <c r="AW488" s="106">
        <f>IF(C488="","",IF(D488&lt;&gt;"Perdu","",IFERROR(1/(1/_xlfn.MAXIFS('Saisie'!$A$5:$A$2004,'Saisie'!$C$5:$C$2004,C488,'Saisie'!$E$5:$E$2004,"Perdu")),"")))</f>
        <v/>
      </c>
      <c r="AX488" s="106">
        <f>IF(C488="","",IF(AW488="","",AW488+'Paramètres'!$B$28))</f>
        <v/>
      </c>
      <c r="AY488" s="60">
        <f>IF(C488="","",SUMIFS('Saisie'!$H$5:$H$2004,'Saisie'!$C$5:$C$2004,C488))</f>
        <v/>
      </c>
      <c r="AZ488" s="60">
        <f>IF(C488="","",IFERROR(INDEX('Paramètres'!$W$6:$W$20,MATCH(S488,'Paramètres'!$V$6:$V$20,0))&amp;"",""))</f>
        <v/>
      </c>
      <c r="BA488" s="60">
        <f>IF(C488="","",MAX(1,_xlfn.MAXIFS('Saisie'!$AT$5:$AT$2004,'Saisie'!$C$5:$C$2004,C488)))</f>
        <v/>
      </c>
      <c r="BB488" s="60">
        <f>IF(C488="","",IFERROR(INDEX('Saisie'!$X$5:$X$2004,_xlfn.MAXIFS('Saisie'!$AS$5:$AS$2004,'Saisie'!$C$5:$C$2004,C488,'Saisie'!$X$5:$X$2004,"&lt;&gt;")-4),""))</f>
        <v/>
      </c>
      <c r="BC488" s="60">
        <f>IF(C488="","",IFERROR(INDEX('Saisie'!$Y$5:$Y$2004,_xlfn.MAXIFS('Saisie'!$AS$5:$AS$2004,'Saisie'!$C$5:$C$2004,C488,'Saisie'!$Y$5:$Y$2004,"&lt;&gt;")-4),""))</f>
        <v/>
      </c>
      <c r="BD488" s="106">
        <f>IF(C488="","",IFERROR(1/(1/_xlfn.MINIFS('Saisie'!$A$5:$A$2004,'Saisie'!$C$5:$C$2004,C488,'Saisie'!$AT$5:$AT$2004,"&gt;=2")),""))</f>
        <v/>
      </c>
      <c r="BE488" s="106">
        <f>IF(C488="","",IFERROR(1/(1/_xlfn.MINIFS('Saisie'!$A$5:$A$2004,'Saisie'!$C$5:$C$2004,C488,'Saisie'!$AT$5:$AT$2004,"&gt;=3")),""))</f>
        <v/>
      </c>
      <c r="BF488" s="106">
        <f>IF(C488="","",IFERROR(1/(1/_xlfn.MINIFS('Saisie'!$A$5:$A$2004,'Saisie'!$C$5:$C$2004,C488,'Saisie'!$AT$5:$AT$2004,"&gt;=4")),""))</f>
        <v/>
      </c>
      <c r="BG488" s="106">
        <f>IF(C488="","",IFERROR(1/(1/_xlfn.MINIFS('Saisie'!$A$5:$A$2004,'Saisie'!$C$5:$C$2004,C488,'Saisie'!$AT$5:$AT$2004,"&gt;=5")),""))</f>
        <v/>
      </c>
      <c r="BH488" s="106">
        <f>IF(C488="","",IFERROR(1/(1/_xlfn.MINIFS('Saisie'!$A$5:$A$2004,'Saisie'!$C$5:$C$2004,C488,'Saisie'!$AT$5:$AT$2004,"&gt;=6")),""))</f>
        <v/>
      </c>
      <c r="BI488" s="106">
        <f>IF(C488="","",IFERROR(1/(1/_xlfn.MINIFS('Saisie'!$A$5:$A$2004,'Saisie'!$C$5:$C$2004,C488,'Saisie'!$AT$5:$AT$2004,"&gt;=7")),""))</f>
        <v/>
      </c>
      <c r="BJ488" s="60">
        <f>IF(OR(BD488="",B488=""),"",BD488-B488)</f>
        <v/>
      </c>
      <c r="BK488" s="60">
        <f>IF(OR(BE488="",BD488=""),"",BE488-BD488)</f>
        <v/>
      </c>
      <c r="BL488" s="60">
        <f>IF(OR(BF488="",BE488=""),"",BF488-BE488)</f>
        <v/>
      </c>
      <c r="BM488" s="60">
        <f>IF(OR(BG488="",BF488=""),"",BG488-BF488)</f>
        <v/>
      </c>
      <c r="BN488" s="60">
        <f>IF(OR(BH488="",BG488=""),"",BH488-BG488)</f>
        <v/>
      </c>
      <c r="BO488" s="60">
        <f>IF(OR(BI488="",BH488=""),"",BI488-BH488)</f>
        <v/>
      </c>
      <c r="BP488" s="60">
        <f>IF(C488="","",_xlfn.MAXIFS('Saisie'!$AS$5:$AS$2004,'Saisie'!$C$5:$C$2004,C488,'Saisie'!$J$5:$J$2004,"&lt;&gt;"))</f>
        <v/>
      </c>
      <c r="BQ488" s="60">
        <f>IF(C488="","",_xlfn.MAXIFS('Saisie'!$AS$5:$AS$2004,'Saisie'!$C$5:$C$2004,C488))</f>
        <v/>
      </c>
      <c r="BR488" s="60">
        <f>IF(C488="","",_xlfn.MAXIFS('Saisie'!$AS$5:$AS$2004,'Saisie'!$C$5:$C$2004,C488,'Saisie'!$E$5:$E$2004,"Perdu"))</f>
        <v/>
      </c>
      <c r="BS488" s="60">
        <f>IF(C488="","",_xlfn.MAXIFS('Saisie'!$AS$5:$AS$2004,'Saisie'!$C$5:$C$2004,C488,'Saisie'!$AT$5:$AT$2004,"&gt;0"))</f>
        <v/>
      </c>
      <c r="BT488" s="109">
        <f>IF(AND(C488&lt;&gt;"",OR(D488="Nouveau",D488="Contacté",D488="Qualifié"),OR(G488="",N(G488)&lt;=TODAY()),NOT(AND(O488&gt;='Paramètres'!$B$21,P488=0))),E488+484/10000,"")</f>
        <v/>
      </c>
      <c r="BU488" s="60">
        <f>IF(AND(G488&lt;&gt;"",N(G488)&lt;=TODAY()),MAX($BU$4:BU487)+1,"")</f>
        <v/>
      </c>
      <c r="BV488" s="60">
        <f>IF(AND(F488&lt;&gt;"",F488&lt;&gt;"Relance en retard"),MAX($BV$4:BV487)+1,"")</f>
        <v/>
      </c>
      <c r="BW488" s="60">
        <f>IF(C488="","",IF(AND(B488&gt;='Tableau de bord'!$R$4,B488&lt;='Tableau de bord'!$S$4,OR('Tableau de bord'!$G$4="Tous",N488='Tableau de bord'!$G$4)),1,0))</f>
        <v/>
      </c>
      <c r="BX488" s="60">
        <f>IF(AND(C488&lt;&gt;"",N(BA488)=7),MAX($BX$4:BX487)+1,"")</f>
        <v/>
      </c>
    </row>
    <row r="489">
      <c r="A489" s="60">
        <f>IF(C489="","","P-"&amp;TEXT(485,"000"))</f>
        <v/>
      </c>
      <c r="B489" s="106">
        <f>IF(C489="","",IFERROR(1/(1/_xlfn.MINIFS('Saisie'!$A$5:$A$2004,'Saisie'!$C$5:$C$2004,C489)),""))</f>
        <v/>
      </c>
      <c r="C489" s="60">
        <f>IFERROR(INDEX('Saisie'!$C$5:$C$2004,MATCH(485,'Saisie'!$AX$5:$AX$2004,0)),"")</f>
        <v/>
      </c>
      <c r="D489" s="60">
        <f>IF(C489="","",IF(AND(BR489&gt;0,BR489&gt;BS489,BA489&lt;7),"Perdu",INDEX('Paramètres'!$F$6:$F$13,BA489)))</f>
        <v/>
      </c>
      <c r="E489" s="61">
        <f>IF(C489="","",MIN(100,(Z489="Oui")*'Paramètres'!$B$38+(AB489="Régulière")*'Paramètres'!$B$39+IF(AND(N(AA489)&gt;0,TODAY()-N(AA489)&lt;=30),'Paramètres'!$B$40,0)+(W489="")*'Paramètres'!$B$41+(AC489="Absente")*'Paramètres'!$B$42+(AC489="Faible")*'Paramètres'!$B$43+IF(AND(N(AD489)&gt;0,N(AD489)&lt;4),'Paramètres'!$B$44,0)+(AF489="Moyenne")*'Paramètres'!$B$45+(AF489="Grande")*'Paramètres'!$B$46+(Y489&lt;&gt;"")*'Paramètres'!$B$47))</f>
        <v/>
      </c>
      <c r="F489" s="60">
        <f>IF(C489="","",IF(D489="Gagné","",IF(D489="Perdu",IF(AND(AX489&lt;&gt;"",AX489&lt;=TODAY()),"À recontacter (perdu)",""),IF(AND(O489&gt;='Paramètres'!$B$21,P489=0),"Stop : "&amp;'Paramètres'!$B$21&amp;" tentatives sans réponse",IF(AND(D489="Proposition",AR489&lt;&gt;"",TODAY()&gt;N(AR489)),"Proposition expirée",IF(AND(D489="Proposition",N(R489)&gt;='Paramètres'!$B$25),"Proposition sans réponse",IF(AND(G489&lt;&gt;"",N(G489)&lt;TODAY()),"Relance en retard",IF(N(R489)&gt;='Paramètres'!$B$24,"Sans action depuis "&amp;R489&amp;" j",""))))))))</f>
        <v/>
      </c>
      <c r="G489" s="106">
        <f>IF(OR(C489="",D489="Gagné",D489="Perdu"),"",IF(AND(BP489&gt;0,BP489=BQ489),INDEX('Saisie'!$J$5:$J$2004,BP489-4),IF(OR(O489=0,AND(O489&gt;='Paramètres'!$B$21,P489=0)),"",Q489+IF(O489&lt;=1,'Paramètres'!$B$18,IF(O489=2,'Paramètres'!$B$19,'Paramètres'!$B$20)))))</f>
        <v/>
      </c>
      <c r="H489" s="107">
        <f>IF(OR(G489="",BP489&lt;&gt;BQ489),"",IF(INDEX('Saisie'!$K$5:$K$2004,BP489-4)="","",INDEX('Saisie'!$K$5:$K$2004,BP489-4)))</f>
        <v/>
      </c>
      <c r="I489" s="60">
        <f>IF(C489="","",IF(OR(D489="Gagné",D489="Perdu"),"",IFERROR(INDEX('Saisie'!$I$5:$I$2004,_xlfn.MAXIFS('Saisie'!$AS$5:$AS$2004,'Saisie'!$C$5:$C$2004,C489,'Saisie'!$I$5:$I$2004,"&lt;&gt;")-4),"")))</f>
        <v/>
      </c>
      <c r="J489" s="60">
        <f>IF(C489="","",IFERROR(INDEX('Saisie'!$U$5:$U$2004,_xlfn.MAXIFS('Saisie'!$AS$5:$AS$2004,'Saisie'!$C$5:$C$2004,C489,'Saisie'!$U$5:$U$2004,"&lt;&gt;")-4),""))</f>
        <v/>
      </c>
      <c r="K489" s="60">
        <f>IF(C489="","",IFERROR(INDEX('Saisie'!$W$5:$W$2004,_xlfn.MAXIFS('Saisie'!$AS$5:$AS$2004,'Saisie'!$C$5:$C$2004,C489,'Saisie'!$W$5:$W$2004,"&lt;&gt;")-4),""))</f>
        <v/>
      </c>
      <c r="L489" s="60">
        <f>IF(IF(BB489&lt;&gt;"",BB489,K489)="","",HYPERLINK("https://wa.me/"&amp;IF(LEFT(SUBSTITUTE(SUBSTITUTE(SUBSTITUTE(IF(BB489&lt;&gt;"",BB489,K489)," ",""),".",""),"+",""),1)="0",'Paramètres'!$B$35&amp;MID(SUBSTITUTE(SUBSTITUTE(SUBSTITUTE(IF(BB489&lt;&gt;"",BB489,K489)," ",""),".",""),"+",""),2,20),SUBSTITUTE(SUBSTITUTE(SUBSTITUTE(IF(BB489&lt;&gt;"",BB489,K489)," ",""),".",""),"+","")),"WhatsApp"))</f>
        <v/>
      </c>
      <c r="M489" s="60">
        <f>IF(BC489="","",HYPERLINK(IF(LEFT(BC489,4)="http",BC489,"https://www.instagram.com/"&amp;SUBSTITUTE(SUBSTITUTE(BC489,"@","")," ","")),BC489))</f>
        <v/>
      </c>
      <c r="N489" s="60">
        <f>IF(C489="","",IFERROR(INDEX('Saisie'!$D$5:$D$2004,_xlfn.MINIFS('Saisie'!$AS$5:$AS$2004,'Saisie'!$C$5:$C$2004,C489,'Saisie'!$AU$5:$AU$2004,1)-4),IFERROR(INDEX('Saisie'!$D$5:$D$2004,_xlfn.MINIFS('Saisie'!$AS$5:$AS$2004,'Saisie'!$C$5:$C$2004,C489,'Saisie'!$D$5:$D$2004,"&lt;&gt;")-4),"")))</f>
        <v/>
      </c>
      <c r="O489" s="60">
        <f>IF(C489="","",COUNTIFS('Saisie'!$C$5:$C$2004,C489,'Saisie'!$AU$5:$AU$2004,1))</f>
        <v/>
      </c>
      <c r="P489" s="60">
        <f>IF(C489="","",COUNTIFS('Saisie'!$C$5:$C$2004,C489,'Saisie'!$AV$5:$AV$2004,1))</f>
        <v/>
      </c>
      <c r="Q489" s="106">
        <f>IF(C489="","",IFERROR(1/(1/_xlfn.MAXIFS('Saisie'!$A$5:$A$2004,'Saisie'!$C$5:$C$2004,C489)),""))</f>
        <v/>
      </c>
      <c r="R489" s="61">
        <f>IF(C489="","",IF(Q489="","",TODAY()-Q489))</f>
        <v/>
      </c>
      <c r="S489" s="60">
        <f>IF(C489="","",IFERROR(INDEX('Saisie'!$R$5:$R$2004,_xlfn.MAXIFS('Saisie'!$AS$5:$AS$2004,'Saisie'!$C$5:$C$2004,C489,'Saisie'!$R$5:$R$2004,"&lt;&gt;")-4),""))</f>
        <v/>
      </c>
      <c r="T489" s="60">
        <f>IF(C489="","",IFERROR(INDEX('Saisie'!$S$5:$S$2004,_xlfn.MAXIFS('Saisie'!$AS$5:$AS$2004,'Saisie'!$C$5:$C$2004,C489,'Saisie'!$S$5:$S$2004,"&lt;&gt;")-4),""))</f>
        <v/>
      </c>
      <c r="U489" s="60">
        <f>IF(C489="","",IFERROR(INDEX('Saisie'!$T$5:$T$2004,_xlfn.MAXIFS('Saisie'!$AS$5:$AS$2004,'Saisie'!$C$5:$C$2004,C489,'Saisie'!$T$5:$T$2004,"&lt;&gt;")-4),""))</f>
        <v/>
      </c>
      <c r="V489" s="60">
        <f>IF(C489="","",IFERROR(INDEX('Saisie'!$V$5:$V$2004,_xlfn.MAXIFS('Saisie'!$AS$5:$AS$2004,'Saisie'!$C$5:$C$2004,C489,'Saisie'!$V$5:$V$2004,"&lt;&gt;")-4),""))</f>
        <v/>
      </c>
      <c r="W489" s="60">
        <f>IF(C489="","",IFERROR(INDEX('Saisie'!$Z$5:$Z$2004,_xlfn.MAXIFS('Saisie'!$AS$5:$AS$2004,'Saisie'!$C$5:$C$2004,C489,'Saisie'!$Z$5:$Z$2004,"&lt;&gt;")-4),""))</f>
        <v/>
      </c>
      <c r="X489" s="60">
        <f>IF(C489="","",IFERROR(INDEX('Saisie'!$AA$5:$AA$2004,_xlfn.MAXIFS('Saisie'!$AS$5:$AS$2004,'Saisie'!$C$5:$C$2004,C489,'Saisie'!$AA$5:$AA$2004,"&lt;&gt;")-4),""))</f>
        <v/>
      </c>
      <c r="Y489" s="60">
        <f>IF(C489="","",IFERROR(INDEX('Saisie'!$AB$5:$AB$2004,_xlfn.MAXIFS('Saisie'!$AS$5:$AS$2004,'Saisie'!$C$5:$C$2004,C489,'Saisie'!$AB$5:$AB$2004,"&lt;&gt;")-4),""))</f>
        <v/>
      </c>
      <c r="Z489" s="60">
        <f>IF(C489="","",IFERROR(INDEX('Saisie'!$AC$5:$AC$2004,_xlfn.MAXIFS('Saisie'!$AS$5:$AS$2004,'Saisie'!$C$5:$C$2004,C489,'Saisie'!$AC$5:$AC$2004,"&lt;&gt;")-4),""))</f>
        <v/>
      </c>
      <c r="AA489" s="106">
        <f>IF(C489="","",IFERROR(INDEX('Saisie'!$AD$5:$AD$2004,_xlfn.MAXIFS('Saisie'!$AS$5:$AS$2004,'Saisie'!$C$5:$C$2004,C489,'Saisie'!$AD$5:$AD$2004,"&lt;&gt;")-4),""))</f>
        <v/>
      </c>
      <c r="AB489" s="60">
        <f>IF(C489="","",IFERROR(INDEX('Saisie'!$AE$5:$AE$2004,_xlfn.MAXIFS('Saisie'!$AS$5:$AS$2004,'Saisie'!$C$5:$C$2004,C489,'Saisie'!$AE$5:$AE$2004,"&lt;&gt;")-4),""))</f>
        <v/>
      </c>
      <c r="AC489" s="60">
        <f>IF(C489="","",IFERROR(INDEX('Saisie'!$AF$5:$AF$2004,_xlfn.MAXIFS('Saisie'!$AS$5:$AS$2004,'Saisie'!$C$5:$C$2004,C489,'Saisie'!$AF$5:$AF$2004,"&lt;&gt;")-4),""))</f>
        <v/>
      </c>
      <c r="AD489" s="108">
        <f>IF(C489="","",IFERROR(INDEX('Saisie'!$AG$5:$AG$2004,_xlfn.MAXIFS('Saisie'!$AS$5:$AS$2004,'Saisie'!$C$5:$C$2004,C489,'Saisie'!$AG$5:$AG$2004,"&lt;&gt;")-4),""))</f>
        <v/>
      </c>
      <c r="AE489" s="60">
        <f>IF(C489="","",IFERROR(INDEX('Saisie'!$AH$5:$AH$2004,_xlfn.MAXIFS('Saisie'!$AS$5:$AS$2004,'Saisie'!$C$5:$C$2004,C489,'Saisie'!$AH$5:$AH$2004,"&lt;&gt;")-4),""))</f>
        <v/>
      </c>
      <c r="AF489" s="60">
        <f>IF(C489="","",IFERROR(INDEX('Saisie'!$AI$5:$AI$2004,_xlfn.MAXIFS('Saisie'!$AS$5:$AS$2004,'Saisie'!$C$5:$C$2004,C489,'Saisie'!$AI$5:$AI$2004,"&lt;&gt;")-4),""))</f>
        <v/>
      </c>
      <c r="AG489" s="60">
        <f>IF(C489="","",IFERROR(INDEX('Saisie'!$AJ$5:$AJ$2004,_xlfn.MAXIFS('Saisie'!$AS$5:$AS$2004,'Saisie'!$C$5:$C$2004,C489,'Saisie'!$AJ$5:$AJ$2004,"&lt;&gt;")-4),""))</f>
        <v/>
      </c>
      <c r="AH489" s="60">
        <f>IF(C489="","",IFERROR(INDEX('Saisie'!$AK$5:$AK$2004,_xlfn.MAXIFS('Saisie'!$AS$5:$AS$2004,'Saisie'!$C$5:$C$2004,C489,'Saisie'!$AK$5:$AK$2004,"&lt;&gt;")-4),""))</f>
        <v/>
      </c>
      <c r="AI489" s="60">
        <f>IF(C489="","",IFERROR(INDEX('Saisie'!$AN$5:$AN$2004,_xlfn.MAXIFS('Saisie'!$AS$5:$AS$2004,'Saisie'!$C$5:$C$2004,C489,'Saisie'!$AN$5:$AN$2004,"&lt;&gt;")-4),""))</f>
        <v/>
      </c>
      <c r="AJ489" s="60">
        <f>IF(C489="","",IFERROR(INDEX('Saisie'!$AO$5:$AO$2004,_xlfn.MAXIFS('Saisie'!$AS$5:$AS$2004,'Saisie'!$C$5:$C$2004,C489,'Saisie'!$AO$5:$AO$2004,"&lt;&gt;")-4),""))</f>
        <v/>
      </c>
      <c r="AK489" s="60">
        <f>IF(C489="","",IFERROR(INDEX('Saisie'!$AP$5:$AP$2004,_xlfn.MAXIFS('Saisie'!$AS$5:$AS$2004,'Saisie'!$C$5:$C$2004,C489,'Saisie'!$AP$5:$AP$2004,"&lt;&gt;")-4),""))</f>
        <v/>
      </c>
      <c r="AL489" s="60">
        <f>IF(C489="","",IFERROR(INDEX('Saisie'!$AQ$5:$AQ$2004,_xlfn.MAXIFS('Saisie'!$AS$5:$AS$2004,'Saisie'!$C$5:$C$2004,C489,'Saisie'!$AQ$5:$AQ$2004,"&lt;&gt;")-4),""))</f>
        <v/>
      </c>
      <c r="AM489" s="60">
        <f>IF(C489="","",((AI489="Oui")+(AJ489="Oui")+(AK489="Oui")+OR(AL489="Immédiat",AL489="&lt; 1 mois"))&amp;"/4")</f>
        <v/>
      </c>
      <c r="AN489" s="60">
        <f>IF(C489="","",IFERROR(INDEX('Saisie'!$AL$5:$AL$2004,_xlfn.MAXIFS('Saisie'!$AS$5:$AS$2004,'Saisie'!$C$5:$C$2004,C489,'Saisie'!$AL$5:$AL$2004,"&lt;&gt;")-4),""))</f>
        <v/>
      </c>
      <c r="AO489" s="62">
        <f>IF(C489="","",IF(IFERROR(INDEX('Saisie'!$AM$5:$AM$2004,_xlfn.MAXIFS('Saisie'!$AS$5:$AS$2004,'Saisie'!$C$5:$C$2004,C489,'Saisie'!$AM$5:$AM$2004,"&lt;&gt;")-4),"")&lt;&gt;"",IFERROR(INDEX('Saisie'!$AM$5:$AM$2004,_xlfn.MAXIFS('Saisie'!$AS$5:$AS$2004,'Saisie'!$C$5:$C$2004,C489,'Saisie'!$AM$5:$AM$2004,"&lt;&gt;")-4),""),IFERROR(INDEX('Paramètres'!$S$6:$S$15,MATCH(AN489,'Paramètres'!$Q$6:$Q$15,0)),"")))</f>
        <v/>
      </c>
      <c r="AP489" s="62">
        <f>IF(C489="","",IFERROR(INDEX('Saisie'!$AW$5:$AW$2004,_xlfn.MAXIFS('Saisie'!$AS$5:$AS$2004,'Saisie'!$C$5:$C$2004,C489,'Saisie'!$E$5:$E$2004,"Proposition envoyée")-4),""))</f>
        <v/>
      </c>
      <c r="AQ489" s="106">
        <f>IF(C489="","",IFERROR(1/(1/_xlfn.MAXIFS('Saisie'!$A$5:$A$2004,'Saisie'!$C$5:$C$2004,C489,'Saisie'!$E$5:$E$2004,"Proposition envoyée")),""))</f>
        <v/>
      </c>
      <c r="AR489" s="106">
        <f>IF(C489="","",IF(AQ489="","",AQ489+'Paramètres'!$B$26))</f>
        <v/>
      </c>
      <c r="AS489" s="62">
        <f>IF(OR(C489="",D489="Gagné",D489="Perdu"),0,N(AP489)*IFERROR(INDEX('Paramètres'!$G$6:$G$13,MATCH(D489,'Paramètres'!$F$6:$F$13,0)),0))</f>
        <v/>
      </c>
      <c r="AT489" s="106">
        <f>IF(C489="","",IFERROR(1/(1/_xlfn.MINIFS('Saisie'!$A$5:$A$2004,'Saisie'!$C$5:$C$2004,C489,'Saisie'!$E$5:$E$2004,"Signature")),""))</f>
        <v/>
      </c>
      <c r="AU489" s="60">
        <f>IF(C489="","",IF(OR(AT489="",B489=""),"",AT489-B489))</f>
        <v/>
      </c>
      <c r="AV489" s="60">
        <f>IF(C489="","",IFERROR(INDEX('Saisie'!$L$5:$L$2004,_xlfn.MAXIFS('Saisie'!$AS$5:$AS$2004,'Saisie'!$C$5:$C$2004,C489,'Saisie'!$L$5:$L$2004,"&lt;&gt;")-4),""))</f>
        <v/>
      </c>
      <c r="AW489" s="106">
        <f>IF(C489="","",IF(D489&lt;&gt;"Perdu","",IFERROR(1/(1/_xlfn.MAXIFS('Saisie'!$A$5:$A$2004,'Saisie'!$C$5:$C$2004,C489,'Saisie'!$E$5:$E$2004,"Perdu")),"")))</f>
        <v/>
      </c>
      <c r="AX489" s="106">
        <f>IF(C489="","",IF(AW489="","",AW489+'Paramètres'!$B$28))</f>
        <v/>
      </c>
      <c r="AY489" s="60">
        <f>IF(C489="","",SUMIFS('Saisie'!$H$5:$H$2004,'Saisie'!$C$5:$C$2004,C489))</f>
        <v/>
      </c>
      <c r="AZ489" s="60">
        <f>IF(C489="","",IFERROR(INDEX('Paramètres'!$W$6:$W$20,MATCH(S489,'Paramètres'!$V$6:$V$20,0))&amp;"",""))</f>
        <v/>
      </c>
      <c r="BA489" s="60">
        <f>IF(C489="","",MAX(1,_xlfn.MAXIFS('Saisie'!$AT$5:$AT$2004,'Saisie'!$C$5:$C$2004,C489)))</f>
        <v/>
      </c>
      <c r="BB489" s="60">
        <f>IF(C489="","",IFERROR(INDEX('Saisie'!$X$5:$X$2004,_xlfn.MAXIFS('Saisie'!$AS$5:$AS$2004,'Saisie'!$C$5:$C$2004,C489,'Saisie'!$X$5:$X$2004,"&lt;&gt;")-4),""))</f>
        <v/>
      </c>
      <c r="BC489" s="60">
        <f>IF(C489="","",IFERROR(INDEX('Saisie'!$Y$5:$Y$2004,_xlfn.MAXIFS('Saisie'!$AS$5:$AS$2004,'Saisie'!$C$5:$C$2004,C489,'Saisie'!$Y$5:$Y$2004,"&lt;&gt;")-4),""))</f>
        <v/>
      </c>
      <c r="BD489" s="106">
        <f>IF(C489="","",IFERROR(1/(1/_xlfn.MINIFS('Saisie'!$A$5:$A$2004,'Saisie'!$C$5:$C$2004,C489,'Saisie'!$AT$5:$AT$2004,"&gt;=2")),""))</f>
        <v/>
      </c>
      <c r="BE489" s="106">
        <f>IF(C489="","",IFERROR(1/(1/_xlfn.MINIFS('Saisie'!$A$5:$A$2004,'Saisie'!$C$5:$C$2004,C489,'Saisie'!$AT$5:$AT$2004,"&gt;=3")),""))</f>
        <v/>
      </c>
      <c r="BF489" s="106">
        <f>IF(C489="","",IFERROR(1/(1/_xlfn.MINIFS('Saisie'!$A$5:$A$2004,'Saisie'!$C$5:$C$2004,C489,'Saisie'!$AT$5:$AT$2004,"&gt;=4")),""))</f>
        <v/>
      </c>
      <c r="BG489" s="106">
        <f>IF(C489="","",IFERROR(1/(1/_xlfn.MINIFS('Saisie'!$A$5:$A$2004,'Saisie'!$C$5:$C$2004,C489,'Saisie'!$AT$5:$AT$2004,"&gt;=5")),""))</f>
        <v/>
      </c>
      <c r="BH489" s="106">
        <f>IF(C489="","",IFERROR(1/(1/_xlfn.MINIFS('Saisie'!$A$5:$A$2004,'Saisie'!$C$5:$C$2004,C489,'Saisie'!$AT$5:$AT$2004,"&gt;=6")),""))</f>
        <v/>
      </c>
      <c r="BI489" s="106">
        <f>IF(C489="","",IFERROR(1/(1/_xlfn.MINIFS('Saisie'!$A$5:$A$2004,'Saisie'!$C$5:$C$2004,C489,'Saisie'!$AT$5:$AT$2004,"&gt;=7")),""))</f>
        <v/>
      </c>
      <c r="BJ489" s="60">
        <f>IF(OR(BD489="",B489=""),"",BD489-B489)</f>
        <v/>
      </c>
      <c r="BK489" s="60">
        <f>IF(OR(BE489="",BD489=""),"",BE489-BD489)</f>
        <v/>
      </c>
      <c r="BL489" s="60">
        <f>IF(OR(BF489="",BE489=""),"",BF489-BE489)</f>
        <v/>
      </c>
      <c r="BM489" s="60">
        <f>IF(OR(BG489="",BF489=""),"",BG489-BF489)</f>
        <v/>
      </c>
      <c r="BN489" s="60">
        <f>IF(OR(BH489="",BG489=""),"",BH489-BG489)</f>
        <v/>
      </c>
      <c r="BO489" s="60">
        <f>IF(OR(BI489="",BH489=""),"",BI489-BH489)</f>
        <v/>
      </c>
      <c r="BP489" s="60">
        <f>IF(C489="","",_xlfn.MAXIFS('Saisie'!$AS$5:$AS$2004,'Saisie'!$C$5:$C$2004,C489,'Saisie'!$J$5:$J$2004,"&lt;&gt;"))</f>
        <v/>
      </c>
      <c r="BQ489" s="60">
        <f>IF(C489="","",_xlfn.MAXIFS('Saisie'!$AS$5:$AS$2004,'Saisie'!$C$5:$C$2004,C489))</f>
        <v/>
      </c>
      <c r="BR489" s="60">
        <f>IF(C489="","",_xlfn.MAXIFS('Saisie'!$AS$5:$AS$2004,'Saisie'!$C$5:$C$2004,C489,'Saisie'!$E$5:$E$2004,"Perdu"))</f>
        <v/>
      </c>
      <c r="BS489" s="60">
        <f>IF(C489="","",_xlfn.MAXIFS('Saisie'!$AS$5:$AS$2004,'Saisie'!$C$5:$C$2004,C489,'Saisie'!$AT$5:$AT$2004,"&gt;0"))</f>
        <v/>
      </c>
      <c r="BT489" s="109">
        <f>IF(AND(C489&lt;&gt;"",OR(D489="Nouveau",D489="Contacté",D489="Qualifié"),OR(G489="",N(G489)&lt;=TODAY()),NOT(AND(O489&gt;='Paramètres'!$B$21,P489=0))),E489+485/10000,"")</f>
        <v/>
      </c>
      <c r="BU489" s="60">
        <f>IF(AND(G489&lt;&gt;"",N(G489)&lt;=TODAY()),MAX($BU$4:BU488)+1,"")</f>
        <v/>
      </c>
      <c r="BV489" s="60">
        <f>IF(AND(F489&lt;&gt;"",F489&lt;&gt;"Relance en retard"),MAX($BV$4:BV488)+1,"")</f>
        <v/>
      </c>
      <c r="BW489" s="60">
        <f>IF(C489="","",IF(AND(B489&gt;='Tableau de bord'!$R$4,B489&lt;='Tableau de bord'!$S$4,OR('Tableau de bord'!$G$4="Tous",N489='Tableau de bord'!$G$4)),1,0))</f>
        <v/>
      </c>
      <c r="BX489" s="60">
        <f>IF(AND(C489&lt;&gt;"",N(BA489)=7),MAX($BX$4:BX488)+1,"")</f>
        <v/>
      </c>
    </row>
    <row r="490">
      <c r="A490" s="60">
        <f>IF(C490="","","P-"&amp;TEXT(486,"000"))</f>
        <v/>
      </c>
      <c r="B490" s="106">
        <f>IF(C490="","",IFERROR(1/(1/_xlfn.MINIFS('Saisie'!$A$5:$A$2004,'Saisie'!$C$5:$C$2004,C490)),""))</f>
        <v/>
      </c>
      <c r="C490" s="60">
        <f>IFERROR(INDEX('Saisie'!$C$5:$C$2004,MATCH(486,'Saisie'!$AX$5:$AX$2004,0)),"")</f>
        <v/>
      </c>
      <c r="D490" s="60">
        <f>IF(C490="","",IF(AND(BR490&gt;0,BR490&gt;BS490,BA490&lt;7),"Perdu",INDEX('Paramètres'!$F$6:$F$13,BA490)))</f>
        <v/>
      </c>
      <c r="E490" s="61">
        <f>IF(C490="","",MIN(100,(Z490="Oui")*'Paramètres'!$B$38+(AB490="Régulière")*'Paramètres'!$B$39+IF(AND(N(AA490)&gt;0,TODAY()-N(AA490)&lt;=30),'Paramètres'!$B$40,0)+(W490="")*'Paramètres'!$B$41+(AC490="Absente")*'Paramètres'!$B$42+(AC490="Faible")*'Paramètres'!$B$43+IF(AND(N(AD490)&gt;0,N(AD490)&lt;4),'Paramètres'!$B$44,0)+(AF490="Moyenne")*'Paramètres'!$B$45+(AF490="Grande")*'Paramètres'!$B$46+(Y490&lt;&gt;"")*'Paramètres'!$B$47))</f>
        <v/>
      </c>
      <c r="F490" s="60">
        <f>IF(C490="","",IF(D490="Gagné","",IF(D490="Perdu",IF(AND(AX490&lt;&gt;"",AX490&lt;=TODAY()),"À recontacter (perdu)",""),IF(AND(O490&gt;='Paramètres'!$B$21,P490=0),"Stop : "&amp;'Paramètres'!$B$21&amp;" tentatives sans réponse",IF(AND(D490="Proposition",AR490&lt;&gt;"",TODAY()&gt;N(AR490)),"Proposition expirée",IF(AND(D490="Proposition",N(R490)&gt;='Paramètres'!$B$25),"Proposition sans réponse",IF(AND(G490&lt;&gt;"",N(G490)&lt;TODAY()),"Relance en retard",IF(N(R490)&gt;='Paramètres'!$B$24,"Sans action depuis "&amp;R490&amp;" j",""))))))))</f>
        <v/>
      </c>
      <c r="G490" s="106">
        <f>IF(OR(C490="",D490="Gagné",D490="Perdu"),"",IF(AND(BP490&gt;0,BP490=BQ490),INDEX('Saisie'!$J$5:$J$2004,BP490-4),IF(OR(O490=0,AND(O490&gt;='Paramètres'!$B$21,P490=0)),"",Q490+IF(O490&lt;=1,'Paramètres'!$B$18,IF(O490=2,'Paramètres'!$B$19,'Paramètres'!$B$20)))))</f>
        <v/>
      </c>
      <c r="H490" s="107">
        <f>IF(OR(G490="",BP490&lt;&gt;BQ490),"",IF(INDEX('Saisie'!$K$5:$K$2004,BP490-4)="","",INDEX('Saisie'!$K$5:$K$2004,BP490-4)))</f>
        <v/>
      </c>
      <c r="I490" s="60">
        <f>IF(C490="","",IF(OR(D490="Gagné",D490="Perdu"),"",IFERROR(INDEX('Saisie'!$I$5:$I$2004,_xlfn.MAXIFS('Saisie'!$AS$5:$AS$2004,'Saisie'!$C$5:$C$2004,C490,'Saisie'!$I$5:$I$2004,"&lt;&gt;")-4),"")))</f>
        <v/>
      </c>
      <c r="J490" s="60">
        <f>IF(C490="","",IFERROR(INDEX('Saisie'!$U$5:$U$2004,_xlfn.MAXIFS('Saisie'!$AS$5:$AS$2004,'Saisie'!$C$5:$C$2004,C490,'Saisie'!$U$5:$U$2004,"&lt;&gt;")-4),""))</f>
        <v/>
      </c>
      <c r="K490" s="60">
        <f>IF(C490="","",IFERROR(INDEX('Saisie'!$W$5:$W$2004,_xlfn.MAXIFS('Saisie'!$AS$5:$AS$2004,'Saisie'!$C$5:$C$2004,C490,'Saisie'!$W$5:$W$2004,"&lt;&gt;")-4),""))</f>
        <v/>
      </c>
      <c r="L490" s="60">
        <f>IF(IF(BB490&lt;&gt;"",BB490,K490)="","",HYPERLINK("https://wa.me/"&amp;IF(LEFT(SUBSTITUTE(SUBSTITUTE(SUBSTITUTE(IF(BB490&lt;&gt;"",BB490,K490)," ",""),".",""),"+",""),1)="0",'Paramètres'!$B$35&amp;MID(SUBSTITUTE(SUBSTITUTE(SUBSTITUTE(IF(BB490&lt;&gt;"",BB490,K490)," ",""),".",""),"+",""),2,20),SUBSTITUTE(SUBSTITUTE(SUBSTITUTE(IF(BB490&lt;&gt;"",BB490,K490)," ",""),".",""),"+","")),"WhatsApp"))</f>
        <v/>
      </c>
      <c r="M490" s="60">
        <f>IF(BC490="","",HYPERLINK(IF(LEFT(BC490,4)="http",BC490,"https://www.instagram.com/"&amp;SUBSTITUTE(SUBSTITUTE(BC490,"@","")," ","")),BC490))</f>
        <v/>
      </c>
      <c r="N490" s="60">
        <f>IF(C490="","",IFERROR(INDEX('Saisie'!$D$5:$D$2004,_xlfn.MINIFS('Saisie'!$AS$5:$AS$2004,'Saisie'!$C$5:$C$2004,C490,'Saisie'!$AU$5:$AU$2004,1)-4),IFERROR(INDEX('Saisie'!$D$5:$D$2004,_xlfn.MINIFS('Saisie'!$AS$5:$AS$2004,'Saisie'!$C$5:$C$2004,C490,'Saisie'!$D$5:$D$2004,"&lt;&gt;")-4),"")))</f>
        <v/>
      </c>
      <c r="O490" s="60">
        <f>IF(C490="","",COUNTIFS('Saisie'!$C$5:$C$2004,C490,'Saisie'!$AU$5:$AU$2004,1))</f>
        <v/>
      </c>
      <c r="P490" s="60">
        <f>IF(C490="","",COUNTIFS('Saisie'!$C$5:$C$2004,C490,'Saisie'!$AV$5:$AV$2004,1))</f>
        <v/>
      </c>
      <c r="Q490" s="106">
        <f>IF(C490="","",IFERROR(1/(1/_xlfn.MAXIFS('Saisie'!$A$5:$A$2004,'Saisie'!$C$5:$C$2004,C490)),""))</f>
        <v/>
      </c>
      <c r="R490" s="61">
        <f>IF(C490="","",IF(Q490="","",TODAY()-Q490))</f>
        <v/>
      </c>
      <c r="S490" s="60">
        <f>IF(C490="","",IFERROR(INDEX('Saisie'!$R$5:$R$2004,_xlfn.MAXIFS('Saisie'!$AS$5:$AS$2004,'Saisie'!$C$5:$C$2004,C490,'Saisie'!$R$5:$R$2004,"&lt;&gt;")-4),""))</f>
        <v/>
      </c>
      <c r="T490" s="60">
        <f>IF(C490="","",IFERROR(INDEX('Saisie'!$S$5:$S$2004,_xlfn.MAXIFS('Saisie'!$AS$5:$AS$2004,'Saisie'!$C$5:$C$2004,C490,'Saisie'!$S$5:$S$2004,"&lt;&gt;")-4),""))</f>
        <v/>
      </c>
      <c r="U490" s="60">
        <f>IF(C490="","",IFERROR(INDEX('Saisie'!$T$5:$T$2004,_xlfn.MAXIFS('Saisie'!$AS$5:$AS$2004,'Saisie'!$C$5:$C$2004,C490,'Saisie'!$T$5:$T$2004,"&lt;&gt;")-4),""))</f>
        <v/>
      </c>
      <c r="V490" s="60">
        <f>IF(C490="","",IFERROR(INDEX('Saisie'!$V$5:$V$2004,_xlfn.MAXIFS('Saisie'!$AS$5:$AS$2004,'Saisie'!$C$5:$C$2004,C490,'Saisie'!$V$5:$V$2004,"&lt;&gt;")-4),""))</f>
        <v/>
      </c>
      <c r="W490" s="60">
        <f>IF(C490="","",IFERROR(INDEX('Saisie'!$Z$5:$Z$2004,_xlfn.MAXIFS('Saisie'!$AS$5:$AS$2004,'Saisie'!$C$5:$C$2004,C490,'Saisie'!$Z$5:$Z$2004,"&lt;&gt;")-4),""))</f>
        <v/>
      </c>
      <c r="X490" s="60">
        <f>IF(C490="","",IFERROR(INDEX('Saisie'!$AA$5:$AA$2004,_xlfn.MAXIFS('Saisie'!$AS$5:$AS$2004,'Saisie'!$C$5:$C$2004,C490,'Saisie'!$AA$5:$AA$2004,"&lt;&gt;")-4),""))</f>
        <v/>
      </c>
      <c r="Y490" s="60">
        <f>IF(C490="","",IFERROR(INDEX('Saisie'!$AB$5:$AB$2004,_xlfn.MAXIFS('Saisie'!$AS$5:$AS$2004,'Saisie'!$C$5:$C$2004,C490,'Saisie'!$AB$5:$AB$2004,"&lt;&gt;")-4),""))</f>
        <v/>
      </c>
      <c r="Z490" s="60">
        <f>IF(C490="","",IFERROR(INDEX('Saisie'!$AC$5:$AC$2004,_xlfn.MAXIFS('Saisie'!$AS$5:$AS$2004,'Saisie'!$C$5:$C$2004,C490,'Saisie'!$AC$5:$AC$2004,"&lt;&gt;")-4),""))</f>
        <v/>
      </c>
      <c r="AA490" s="106">
        <f>IF(C490="","",IFERROR(INDEX('Saisie'!$AD$5:$AD$2004,_xlfn.MAXIFS('Saisie'!$AS$5:$AS$2004,'Saisie'!$C$5:$C$2004,C490,'Saisie'!$AD$5:$AD$2004,"&lt;&gt;")-4),""))</f>
        <v/>
      </c>
      <c r="AB490" s="60">
        <f>IF(C490="","",IFERROR(INDEX('Saisie'!$AE$5:$AE$2004,_xlfn.MAXIFS('Saisie'!$AS$5:$AS$2004,'Saisie'!$C$5:$C$2004,C490,'Saisie'!$AE$5:$AE$2004,"&lt;&gt;")-4),""))</f>
        <v/>
      </c>
      <c r="AC490" s="60">
        <f>IF(C490="","",IFERROR(INDEX('Saisie'!$AF$5:$AF$2004,_xlfn.MAXIFS('Saisie'!$AS$5:$AS$2004,'Saisie'!$C$5:$C$2004,C490,'Saisie'!$AF$5:$AF$2004,"&lt;&gt;")-4),""))</f>
        <v/>
      </c>
      <c r="AD490" s="108">
        <f>IF(C490="","",IFERROR(INDEX('Saisie'!$AG$5:$AG$2004,_xlfn.MAXIFS('Saisie'!$AS$5:$AS$2004,'Saisie'!$C$5:$C$2004,C490,'Saisie'!$AG$5:$AG$2004,"&lt;&gt;")-4),""))</f>
        <v/>
      </c>
      <c r="AE490" s="60">
        <f>IF(C490="","",IFERROR(INDEX('Saisie'!$AH$5:$AH$2004,_xlfn.MAXIFS('Saisie'!$AS$5:$AS$2004,'Saisie'!$C$5:$C$2004,C490,'Saisie'!$AH$5:$AH$2004,"&lt;&gt;")-4),""))</f>
        <v/>
      </c>
      <c r="AF490" s="60">
        <f>IF(C490="","",IFERROR(INDEX('Saisie'!$AI$5:$AI$2004,_xlfn.MAXIFS('Saisie'!$AS$5:$AS$2004,'Saisie'!$C$5:$C$2004,C490,'Saisie'!$AI$5:$AI$2004,"&lt;&gt;")-4),""))</f>
        <v/>
      </c>
      <c r="AG490" s="60">
        <f>IF(C490="","",IFERROR(INDEX('Saisie'!$AJ$5:$AJ$2004,_xlfn.MAXIFS('Saisie'!$AS$5:$AS$2004,'Saisie'!$C$5:$C$2004,C490,'Saisie'!$AJ$5:$AJ$2004,"&lt;&gt;")-4),""))</f>
        <v/>
      </c>
      <c r="AH490" s="60">
        <f>IF(C490="","",IFERROR(INDEX('Saisie'!$AK$5:$AK$2004,_xlfn.MAXIFS('Saisie'!$AS$5:$AS$2004,'Saisie'!$C$5:$C$2004,C490,'Saisie'!$AK$5:$AK$2004,"&lt;&gt;")-4),""))</f>
        <v/>
      </c>
      <c r="AI490" s="60">
        <f>IF(C490="","",IFERROR(INDEX('Saisie'!$AN$5:$AN$2004,_xlfn.MAXIFS('Saisie'!$AS$5:$AS$2004,'Saisie'!$C$5:$C$2004,C490,'Saisie'!$AN$5:$AN$2004,"&lt;&gt;")-4),""))</f>
        <v/>
      </c>
      <c r="AJ490" s="60">
        <f>IF(C490="","",IFERROR(INDEX('Saisie'!$AO$5:$AO$2004,_xlfn.MAXIFS('Saisie'!$AS$5:$AS$2004,'Saisie'!$C$5:$C$2004,C490,'Saisie'!$AO$5:$AO$2004,"&lt;&gt;")-4),""))</f>
        <v/>
      </c>
      <c r="AK490" s="60">
        <f>IF(C490="","",IFERROR(INDEX('Saisie'!$AP$5:$AP$2004,_xlfn.MAXIFS('Saisie'!$AS$5:$AS$2004,'Saisie'!$C$5:$C$2004,C490,'Saisie'!$AP$5:$AP$2004,"&lt;&gt;")-4),""))</f>
        <v/>
      </c>
      <c r="AL490" s="60">
        <f>IF(C490="","",IFERROR(INDEX('Saisie'!$AQ$5:$AQ$2004,_xlfn.MAXIFS('Saisie'!$AS$5:$AS$2004,'Saisie'!$C$5:$C$2004,C490,'Saisie'!$AQ$5:$AQ$2004,"&lt;&gt;")-4),""))</f>
        <v/>
      </c>
      <c r="AM490" s="60">
        <f>IF(C490="","",((AI490="Oui")+(AJ490="Oui")+(AK490="Oui")+OR(AL490="Immédiat",AL490="&lt; 1 mois"))&amp;"/4")</f>
        <v/>
      </c>
      <c r="AN490" s="60">
        <f>IF(C490="","",IFERROR(INDEX('Saisie'!$AL$5:$AL$2004,_xlfn.MAXIFS('Saisie'!$AS$5:$AS$2004,'Saisie'!$C$5:$C$2004,C490,'Saisie'!$AL$5:$AL$2004,"&lt;&gt;")-4),""))</f>
        <v/>
      </c>
      <c r="AO490" s="62">
        <f>IF(C490="","",IF(IFERROR(INDEX('Saisie'!$AM$5:$AM$2004,_xlfn.MAXIFS('Saisie'!$AS$5:$AS$2004,'Saisie'!$C$5:$C$2004,C490,'Saisie'!$AM$5:$AM$2004,"&lt;&gt;")-4),"")&lt;&gt;"",IFERROR(INDEX('Saisie'!$AM$5:$AM$2004,_xlfn.MAXIFS('Saisie'!$AS$5:$AS$2004,'Saisie'!$C$5:$C$2004,C490,'Saisie'!$AM$5:$AM$2004,"&lt;&gt;")-4),""),IFERROR(INDEX('Paramètres'!$S$6:$S$15,MATCH(AN490,'Paramètres'!$Q$6:$Q$15,0)),"")))</f>
        <v/>
      </c>
      <c r="AP490" s="62">
        <f>IF(C490="","",IFERROR(INDEX('Saisie'!$AW$5:$AW$2004,_xlfn.MAXIFS('Saisie'!$AS$5:$AS$2004,'Saisie'!$C$5:$C$2004,C490,'Saisie'!$E$5:$E$2004,"Proposition envoyée")-4),""))</f>
        <v/>
      </c>
      <c r="AQ490" s="106">
        <f>IF(C490="","",IFERROR(1/(1/_xlfn.MAXIFS('Saisie'!$A$5:$A$2004,'Saisie'!$C$5:$C$2004,C490,'Saisie'!$E$5:$E$2004,"Proposition envoyée")),""))</f>
        <v/>
      </c>
      <c r="AR490" s="106">
        <f>IF(C490="","",IF(AQ490="","",AQ490+'Paramètres'!$B$26))</f>
        <v/>
      </c>
      <c r="AS490" s="62">
        <f>IF(OR(C490="",D490="Gagné",D490="Perdu"),0,N(AP490)*IFERROR(INDEX('Paramètres'!$G$6:$G$13,MATCH(D490,'Paramètres'!$F$6:$F$13,0)),0))</f>
        <v/>
      </c>
      <c r="AT490" s="106">
        <f>IF(C490="","",IFERROR(1/(1/_xlfn.MINIFS('Saisie'!$A$5:$A$2004,'Saisie'!$C$5:$C$2004,C490,'Saisie'!$E$5:$E$2004,"Signature")),""))</f>
        <v/>
      </c>
      <c r="AU490" s="60">
        <f>IF(C490="","",IF(OR(AT490="",B490=""),"",AT490-B490))</f>
        <v/>
      </c>
      <c r="AV490" s="60">
        <f>IF(C490="","",IFERROR(INDEX('Saisie'!$L$5:$L$2004,_xlfn.MAXIFS('Saisie'!$AS$5:$AS$2004,'Saisie'!$C$5:$C$2004,C490,'Saisie'!$L$5:$L$2004,"&lt;&gt;")-4),""))</f>
        <v/>
      </c>
      <c r="AW490" s="106">
        <f>IF(C490="","",IF(D490&lt;&gt;"Perdu","",IFERROR(1/(1/_xlfn.MAXIFS('Saisie'!$A$5:$A$2004,'Saisie'!$C$5:$C$2004,C490,'Saisie'!$E$5:$E$2004,"Perdu")),"")))</f>
        <v/>
      </c>
      <c r="AX490" s="106">
        <f>IF(C490="","",IF(AW490="","",AW490+'Paramètres'!$B$28))</f>
        <v/>
      </c>
      <c r="AY490" s="60">
        <f>IF(C490="","",SUMIFS('Saisie'!$H$5:$H$2004,'Saisie'!$C$5:$C$2004,C490))</f>
        <v/>
      </c>
      <c r="AZ490" s="60">
        <f>IF(C490="","",IFERROR(INDEX('Paramètres'!$W$6:$W$20,MATCH(S490,'Paramètres'!$V$6:$V$20,0))&amp;"",""))</f>
        <v/>
      </c>
      <c r="BA490" s="60">
        <f>IF(C490="","",MAX(1,_xlfn.MAXIFS('Saisie'!$AT$5:$AT$2004,'Saisie'!$C$5:$C$2004,C490)))</f>
        <v/>
      </c>
      <c r="BB490" s="60">
        <f>IF(C490="","",IFERROR(INDEX('Saisie'!$X$5:$X$2004,_xlfn.MAXIFS('Saisie'!$AS$5:$AS$2004,'Saisie'!$C$5:$C$2004,C490,'Saisie'!$X$5:$X$2004,"&lt;&gt;")-4),""))</f>
        <v/>
      </c>
      <c r="BC490" s="60">
        <f>IF(C490="","",IFERROR(INDEX('Saisie'!$Y$5:$Y$2004,_xlfn.MAXIFS('Saisie'!$AS$5:$AS$2004,'Saisie'!$C$5:$C$2004,C490,'Saisie'!$Y$5:$Y$2004,"&lt;&gt;")-4),""))</f>
        <v/>
      </c>
      <c r="BD490" s="106">
        <f>IF(C490="","",IFERROR(1/(1/_xlfn.MINIFS('Saisie'!$A$5:$A$2004,'Saisie'!$C$5:$C$2004,C490,'Saisie'!$AT$5:$AT$2004,"&gt;=2")),""))</f>
        <v/>
      </c>
      <c r="BE490" s="106">
        <f>IF(C490="","",IFERROR(1/(1/_xlfn.MINIFS('Saisie'!$A$5:$A$2004,'Saisie'!$C$5:$C$2004,C490,'Saisie'!$AT$5:$AT$2004,"&gt;=3")),""))</f>
        <v/>
      </c>
      <c r="BF490" s="106">
        <f>IF(C490="","",IFERROR(1/(1/_xlfn.MINIFS('Saisie'!$A$5:$A$2004,'Saisie'!$C$5:$C$2004,C490,'Saisie'!$AT$5:$AT$2004,"&gt;=4")),""))</f>
        <v/>
      </c>
      <c r="BG490" s="106">
        <f>IF(C490="","",IFERROR(1/(1/_xlfn.MINIFS('Saisie'!$A$5:$A$2004,'Saisie'!$C$5:$C$2004,C490,'Saisie'!$AT$5:$AT$2004,"&gt;=5")),""))</f>
        <v/>
      </c>
      <c r="BH490" s="106">
        <f>IF(C490="","",IFERROR(1/(1/_xlfn.MINIFS('Saisie'!$A$5:$A$2004,'Saisie'!$C$5:$C$2004,C490,'Saisie'!$AT$5:$AT$2004,"&gt;=6")),""))</f>
        <v/>
      </c>
      <c r="BI490" s="106">
        <f>IF(C490="","",IFERROR(1/(1/_xlfn.MINIFS('Saisie'!$A$5:$A$2004,'Saisie'!$C$5:$C$2004,C490,'Saisie'!$AT$5:$AT$2004,"&gt;=7")),""))</f>
        <v/>
      </c>
      <c r="BJ490" s="60">
        <f>IF(OR(BD490="",B490=""),"",BD490-B490)</f>
        <v/>
      </c>
      <c r="BK490" s="60">
        <f>IF(OR(BE490="",BD490=""),"",BE490-BD490)</f>
        <v/>
      </c>
      <c r="BL490" s="60">
        <f>IF(OR(BF490="",BE490=""),"",BF490-BE490)</f>
        <v/>
      </c>
      <c r="BM490" s="60">
        <f>IF(OR(BG490="",BF490=""),"",BG490-BF490)</f>
        <v/>
      </c>
      <c r="BN490" s="60">
        <f>IF(OR(BH490="",BG490=""),"",BH490-BG490)</f>
        <v/>
      </c>
      <c r="BO490" s="60">
        <f>IF(OR(BI490="",BH490=""),"",BI490-BH490)</f>
        <v/>
      </c>
      <c r="BP490" s="60">
        <f>IF(C490="","",_xlfn.MAXIFS('Saisie'!$AS$5:$AS$2004,'Saisie'!$C$5:$C$2004,C490,'Saisie'!$J$5:$J$2004,"&lt;&gt;"))</f>
        <v/>
      </c>
      <c r="BQ490" s="60">
        <f>IF(C490="","",_xlfn.MAXIFS('Saisie'!$AS$5:$AS$2004,'Saisie'!$C$5:$C$2004,C490))</f>
        <v/>
      </c>
      <c r="BR490" s="60">
        <f>IF(C490="","",_xlfn.MAXIFS('Saisie'!$AS$5:$AS$2004,'Saisie'!$C$5:$C$2004,C490,'Saisie'!$E$5:$E$2004,"Perdu"))</f>
        <v/>
      </c>
      <c r="BS490" s="60">
        <f>IF(C490="","",_xlfn.MAXIFS('Saisie'!$AS$5:$AS$2004,'Saisie'!$C$5:$C$2004,C490,'Saisie'!$AT$5:$AT$2004,"&gt;0"))</f>
        <v/>
      </c>
      <c r="BT490" s="109">
        <f>IF(AND(C490&lt;&gt;"",OR(D490="Nouveau",D490="Contacté",D490="Qualifié"),OR(G490="",N(G490)&lt;=TODAY()),NOT(AND(O490&gt;='Paramètres'!$B$21,P490=0))),E490+486/10000,"")</f>
        <v/>
      </c>
      <c r="BU490" s="60">
        <f>IF(AND(G490&lt;&gt;"",N(G490)&lt;=TODAY()),MAX($BU$4:BU489)+1,"")</f>
        <v/>
      </c>
      <c r="BV490" s="60">
        <f>IF(AND(F490&lt;&gt;"",F490&lt;&gt;"Relance en retard"),MAX($BV$4:BV489)+1,"")</f>
        <v/>
      </c>
      <c r="BW490" s="60">
        <f>IF(C490="","",IF(AND(B490&gt;='Tableau de bord'!$R$4,B490&lt;='Tableau de bord'!$S$4,OR('Tableau de bord'!$G$4="Tous",N490='Tableau de bord'!$G$4)),1,0))</f>
        <v/>
      </c>
      <c r="BX490" s="60">
        <f>IF(AND(C490&lt;&gt;"",N(BA490)=7),MAX($BX$4:BX489)+1,"")</f>
        <v/>
      </c>
    </row>
    <row r="491">
      <c r="A491" s="60">
        <f>IF(C491="","","P-"&amp;TEXT(487,"000"))</f>
        <v/>
      </c>
      <c r="B491" s="106">
        <f>IF(C491="","",IFERROR(1/(1/_xlfn.MINIFS('Saisie'!$A$5:$A$2004,'Saisie'!$C$5:$C$2004,C491)),""))</f>
        <v/>
      </c>
      <c r="C491" s="60">
        <f>IFERROR(INDEX('Saisie'!$C$5:$C$2004,MATCH(487,'Saisie'!$AX$5:$AX$2004,0)),"")</f>
        <v/>
      </c>
      <c r="D491" s="60">
        <f>IF(C491="","",IF(AND(BR491&gt;0,BR491&gt;BS491,BA491&lt;7),"Perdu",INDEX('Paramètres'!$F$6:$F$13,BA491)))</f>
        <v/>
      </c>
      <c r="E491" s="61">
        <f>IF(C491="","",MIN(100,(Z491="Oui")*'Paramètres'!$B$38+(AB491="Régulière")*'Paramètres'!$B$39+IF(AND(N(AA491)&gt;0,TODAY()-N(AA491)&lt;=30),'Paramètres'!$B$40,0)+(W491="")*'Paramètres'!$B$41+(AC491="Absente")*'Paramètres'!$B$42+(AC491="Faible")*'Paramètres'!$B$43+IF(AND(N(AD491)&gt;0,N(AD491)&lt;4),'Paramètres'!$B$44,0)+(AF491="Moyenne")*'Paramètres'!$B$45+(AF491="Grande")*'Paramètres'!$B$46+(Y491&lt;&gt;"")*'Paramètres'!$B$47))</f>
        <v/>
      </c>
      <c r="F491" s="60">
        <f>IF(C491="","",IF(D491="Gagné","",IF(D491="Perdu",IF(AND(AX491&lt;&gt;"",AX491&lt;=TODAY()),"À recontacter (perdu)",""),IF(AND(O491&gt;='Paramètres'!$B$21,P491=0),"Stop : "&amp;'Paramètres'!$B$21&amp;" tentatives sans réponse",IF(AND(D491="Proposition",AR491&lt;&gt;"",TODAY()&gt;N(AR491)),"Proposition expirée",IF(AND(D491="Proposition",N(R491)&gt;='Paramètres'!$B$25),"Proposition sans réponse",IF(AND(G491&lt;&gt;"",N(G491)&lt;TODAY()),"Relance en retard",IF(N(R491)&gt;='Paramètres'!$B$24,"Sans action depuis "&amp;R491&amp;" j",""))))))))</f>
        <v/>
      </c>
      <c r="G491" s="106">
        <f>IF(OR(C491="",D491="Gagné",D491="Perdu"),"",IF(AND(BP491&gt;0,BP491=BQ491),INDEX('Saisie'!$J$5:$J$2004,BP491-4),IF(OR(O491=0,AND(O491&gt;='Paramètres'!$B$21,P491=0)),"",Q491+IF(O491&lt;=1,'Paramètres'!$B$18,IF(O491=2,'Paramètres'!$B$19,'Paramètres'!$B$20)))))</f>
        <v/>
      </c>
      <c r="H491" s="107">
        <f>IF(OR(G491="",BP491&lt;&gt;BQ491),"",IF(INDEX('Saisie'!$K$5:$K$2004,BP491-4)="","",INDEX('Saisie'!$K$5:$K$2004,BP491-4)))</f>
        <v/>
      </c>
      <c r="I491" s="60">
        <f>IF(C491="","",IF(OR(D491="Gagné",D491="Perdu"),"",IFERROR(INDEX('Saisie'!$I$5:$I$2004,_xlfn.MAXIFS('Saisie'!$AS$5:$AS$2004,'Saisie'!$C$5:$C$2004,C491,'Saisie'!$I$5:$I$2004,"&lt;&gt;")-4),"")))</f>
        <v/>
      </c>
      <c r="J491" s="60">
        <f>IF(C491="","",IFERROR(INDEX('Saisie'!$U$5:$U$2004,_xlfn.MAXIFS('Saisie'!$AS$5:$AS$2004,'Saisie'!$C$5:$C$2004,C491,'Saisie'!$U$5:$U$2004,"&lt;&gt;")-4),""))</f>
        <v/>
      </c>
      <c r="K491" s="60">
        <f>IF(C491="","",IFERROR(INDEX('Saisie'!$W$5:$W$2004,_xlfn.MAXIFS('Saisie'!$AS$5:$AS$2004,'Saisie'!$C$5:$C$2004,C491,'Saisie'!$W$5:$W$2004,"&lt;&gt;")-4),""))</f>
        <v/>
      </c>
      <c r="L491" s="60">
        <f>IF(IF(BB491&lt;&gt;"",BB491,K491)="","",HYPERLINK("https://wa.me/"&amp;IF(LEFT(SUBSTITUTE(SUBSTITUTE(SUBSTITUTE(IF(BB491&lt;&gt;"",BB491,K491)," ",""),".",""),"+",""),1)="0",'Paramètres'!$B$35&amp;MID(SUBSTITUTE(SUBSTITUTE(SUBSTITUTE(IF(BB491&lt;&gt;"",BB491,K491)," ",""),".",""),"+",""),2,20),SUBSTITUTE(SUBSTITUTE(SUBSTITUTE(IF(BB491&lt;&gt;"",BB491,K491)," ",""),".",""),"+","")),"WhatsApp"))</f>
        <v/>
      </c>
      <c r="M491" s="60">
        <f>IF(BC491="","",HYPERLINK(IF(LEFT(BC491,4)="http",BC491,"https://www.instagram.com/"&amp;SUBSTITUTE(SUBSTITUTE(BC491,"@","")," ","")),BC491))</f>
        <v/>
      </c>
      <c r="N491" s="60">
        <f>IF(C491="","",IFERROR(INDEX('Saisie'!$D$5:$D$2004,_xlfn.MINIFS('Saisie'!$AS$5:$AS$2004,'Saisie'!$C$5:$C$2004,C491,'Saisie'!$AU$5:$AU$2004,1)-4),IFERROR(INDEX('Saisie'!$D$5:$D$2004,_xlfn.MINIFS('Saisie'!$AS$5:$AS$2004,'Saisie'!$C$5:$C$2004,C491,'Saisie'!$D$5:$D$2004,"&lt;&gt;")-4),"")))</f>
        <v/>
      </c>
      <c r="O491" s="60">
        <f>IF(C491="","",COUNTIFS('Saisie'!$C$5:$C$2004,C491,'Saisie'!$AU$5:$AU$2004,1))</f>
        <v/>
      </c>
      <c r="P491" s="60">
        <f>IF(C491="","",COUNTIFS('Saisie'!$C$5:$C$2004,C491,'Saisie'!$AV$5:$AV$2004,1))</f>
        <v/>
      </c>
      <c r="Q491" s="106">
        <f>IF(C491="","",IFERROR(1/(1/_xlfn.MAXIFS('Saisie'!$A$5:$A$2004,'Saisie'!$C$5:$C$2004,C491)),""))</f>
        <v/>
      </c>
      <c r="R491" s="61">
        <f>IF(C491="","",IF(Q491="","",TODAY()-Q491))</f>
        <v/>
      </c>
      <c r="S491" s="60">
        <f>IF(C491="","",IFERROR(INDEX('Saisie'!$R$5:$R$2004,_xlfn.MAXIFS('Saisie'!$AS$5:$AS$2004,'Saisie'!$C$5:$C$2004,C491,'Saisie'!$R$5:$R$2004,"&lt;&gt;")-4),""))</f>
        <v/>
      </c>
      <c r="T491" s="60">
        <f>IF(C491="","",IFERROR(INDEX('Saisie'!$S$5:$S$2004,_xlfn.MAXIFS('Saisie'!$AS$5:$AS$2004,'Saisie'!$C$5:$C$2004,C491,'Saisie'!$S$5:$S$2004,"&lt;&gt;")-4),""))</f>
        <v/>
      </c>
      <c r="U491" s="60">
        <f>IF(C491="","",IFERROR(INDEX('Saisie'!$T$5:$T$2004,_xlfn.MAXIFS('Saisie'!$AS$5:$AS$2004,'Saisie'!$C$5:$C$2004,C491,'Saisie'!$T$5:$T$2004,"&lt;&gt;")-4),""))</f>
        <v/>
      </c>
      <c r="V491" s="60">
        <f>IF(C491="","",IFERROR(INDEX('Saisie'!$V$5:$V$2004,_xlfn.MAXIFS('Saisie'!$AS$5:$AS$2004,'Saisie'!$C$5:$C$2004,C491,'Saisie'!$V$5:$V$2004,"&lt;&gt;")-4),""))</f>
        <v/>
      </c>
      <c r="W491" s="60">
        <f>IF(C491="","",IFERROR(INDEX('Saisie'!$Z$5:$Z$2004,_xlfn.MAXIFS('Saisie'!$AS$5:$AS$2004,'Saisie'!$C$5:$C$2004,C491,'Saisie'!$Z$5:$Z$2004,"&lt;&gt;")-4),""))</f>
        <v/>
      </c>
      <c r="X491" s="60">
        <f>IF(C491="","",IFERROR(INDEX('Saisie'!$AA$5:$AA$2004,_xlfn.MAXIFS('Saisie'!$AS$5:$AS$2004,'Saisie'!$C$5:$C$2004,C491,'Saisie'!$AA$5:$AA$2004,"&lt;&gt;")-4),""))</f>
        <v/>
      </c>
      <c r="Y491" s="60">
        <f>IF(C491="","",IFERROR(INDEX('Saisie'!$AB$5:$AB$2004,_xlfn.MAXIFS('Saisie'!$AS$5:$AS$2004,'Saisie'!$C$5:$C$2004,C491,'Saisie'!$AB$5:$AB$2004,"&lt;&gt;")-4),""))</f>
        <v/>
      </c>
      <c r="Z491" s="60">
        <f>IF(C491="","",IFERROR(INDEX('Saisie'!$AC$5:$AC$2004,_xlfn.MAXIFS('Saisie'!$AS$5:$AS$2004,'Saisie'!$C$5:$C$2004,C491,'Saisie'!$AC$5:$AC$2004,"&lt;&gt;")-4),""))</f>
        <v/>
      </c>
      <c r="AA491" s="106">
        <f>IF(C491="","",IFERROR(INDEX('Saisie'!$AD$5:$AD$2004,_xlfn.MAXIFS('Saisie'!$AS$5:$AS$2004,'Saisie'!$C$5:$C$2004,C491,'Saisie'!$AD$5:$AD$2004,"&lt;&gt;")-4),""))</f>
        <v/>
      </c>
      <c r="AB491" s="60">
        <f>IF(C491="","",IFERROR(INDEX('Saisie'!$AE$5:$AE$2004,_xlfn.MAXIFS('Saisie'!$AS$5:$AS$2004,'Saisie'!$C$5:$C$2004,C491,'Saisie'!$AE$5:$AE$2004,"&lt;&gt;")-4),""))</f>
        <v/>
      </c>
      <c r="AC491" s="60">
        <f>IF(C491="","",IFERROR(INDEX('Saisie'!$AF$5:$AF$2004,_xlfn.MAXIFS('Saisie'!$AS$5:$AS$2004,'Saisie'!$C$5:$C$2004,C491,'Saisie'!$AF$5:$AF$2004,"&lt;&gt;")-4),""))</f>
        <v/>
      </c>
      <c r="AD491" s="108">
        <f>IF(C491="","",IFERROR(INDEX('Saisie'!$AG$5:$AG$2004,_xlfn.MAXIFS('Saisie'!$AS$5:$AS$2004,'Saisie'!$C$5:$C$2004,C491,'Saisie'!$AG$5:$AG$2004,"&lt;&gt;")-4),""))</f>
        <v/>
      </c>
      <c r="AE491" s="60">
        <f>IF(C491="","",IFERROR(INDEX('Saisie'!$AH$5:$AH$2004,_xlfn.MAXIFS('Saisie'!$AS$5:$AS$2004,'Saisie'!$C$5:$C$2004,C491,'Saisie'!$AH$5:$AH$2004,"&lt;&gt;")-4),""))</f>
        <v/>
      </c>
      <c r="AF491" s="60">
        <f>IF(C491="","",IFERROR(INDEX('Saisie'!$AI$5:$AI$2004,_xlfn.MAXIFS('Saisie'!$AS$5:$AS$2004,'Saisie'!$C$5:$C$2004,C491,'Saisie'!$AI$5:$AI$2004,"&lt;&gt;")-4),""))</f>
        <v/>
      </c>
      <c r="AG491" s="60">
        <f>IF(C491="","",IFERROR(INDEX('Saisie'!$AJ$5:$AJ$2004,_xlfn.MAXIFS('Saisie'!$AS$5:$AS$2004,'Saisie'!$C$5:$C$2004,C491,'Saisie'!$AJ$5:$AJ$2004,"&lt;&gt;")-4),""))</f>
        <v/>
      </c>
      <c r="AH491" s="60">
        <f>IF(C491="","",IFERROR(INDEX('Saisie'!$AK$5:$AK$2004,_xlfn.MAXIFS('Saisie'!$AS$5:$AS$2004,'Saisie'!$C$5:$C$2004,C491,'Saisie'!$AK$5:$AK$2004,"&lt;&gt;")-4),""))</f>
        <v/>
      </c>
      <c r="AI491" s="60">
        <f>IF(C491="","",IFERROR(INDEX('Saisie'!$AN$5:$AN$2004,_xlfn.MAXIFS('Saisie'!$AS$5:$AS$2004,'Saisie'!$C$5:$C$2004,C491,'Saisie'!$AN$5:$AN$2004,"&lt;&gt;")-4),""))</f>
        <v/>
      </c>
      <c r="AJ491" s="60">
        <f>IF(C491="","",IFERROR(INDEX('Saisie'!$AO$5:$AO$2004,_xlfn.MAXIFS('Saisie'!$AS$5:$AS$2004,'Saisie'!$C$5:$C$2004,C491,'Saisie'!$AO$5:$AO$2004,"&lt;&gt;")-4),""))</f>
        <v/>
      </c>
      <c r="AK491" s="60">
        <f>IF(C491="","",IFERROR(INDEX('Saisie'!$AP$5:$AP$2004,_xlfn.MAXIFS('Saisie'!$AS$5:$AS$2004,'Saisie'!$C$5:$C$2004,C491,'Saisie'!$AP$5:$AP$2004,"&lt;&gt;")-4),""))</f>
        <v/>
      </c>
      <c r="AL491" s="60">
        <f>IF(C491="","",IFERROR(INDEX('Saisie'!$AQ$5:$AQ$2004,_xlfn.MAXIFS('Saisie'!$AS$5:$AS$2004,'Saisie'!$C$5:$C$2004,C491,'Saisie'!$AQ$5:$AQ$2004,"&lt;&gt;")-4),""))</f>
        <v/>
      </c>
      <c r="AM491" s="60">
        <f>IF(C491="","",((AI491="Oui")+(AJ491="Oui")+(AK491="Oui")+OR(AL491="Immédiat",AL491="&lt; 1 mois"))&amp;"/4")</f>
        <v/>
      </c>
      <c r="AN491" s="60">
        <f>IF(C491="","",IFERROR(INDEX('Saisie'!$AL$5:$AL$2004,_xlfn.MAXIFS('Saisie'!$AS$5:$AS$2004,'Saisie'!$C$5:$C$2004,C491,'Saisie'!$AL$5:$AL$2004,"&lt;&gt;")-4),""))</f>
        <v/>
      </c>
      <c r="AO491" s="62">
        <f>IF(C491="","",IF(IFERROR(INDEX('Saisie'!$AM$5:$AM$2004,_xlfn.MAXIFS('Saisie'!$AS$5:$AS$2004,'Saisie'!$C$5:$C$2004,C491,'Saisie'!$AM$5:$AM$2004,"&lt;&gt;")-4),"")&lt;&gt;"",IFERROR(INDEX('Saisie'!$AM$5:$AM$2004,_xlfn.MAXIFS('Saisie'!$AS$5:$AS$2004,'Saisie'!$C$5:$C$2004,C491,'Saisie'!$AM$5:$AM$2004,"&lt;&gt;")-4),""),IFERROR(INDEX('Paramètres'!$S$6:$S$15,MATCH(AN491,'Paramètres'!$Q$6:$Q$15,0)),"")))</f>
        <v/>
      </c>
      <c r="AP491" s="62">
        <f>IF(C491="","",IFERROR(INDEX('Saisie'!$AW$5:$AW$2004,_xlfn.MAXIFS('Saisie'!$AS$5:$AS$2004,'Saisie'!$C$5:$C$2004,C491,'Saisie'!$E$5:$E$2004,"Proposition envoyée")-4),""))</f>
        <v/>
      </c>
      <c r="AQ491" s="106">
        <f>IF(C491="","",IFERROR(1/(1/_xlfn.MAXIFS('Saisie'!$A$5:$A$2004,'Saisie'!$C$5:$C$2004,C491,'Saisie'!$E$5:$E$2004,"Proposition envoyée")),""))</f>
        <v/>
      </c>
      <c r="AR491" s="106">
        <f>IF(C491="","",IF(AQ491="","",AQ491+'Paramètres'!$B$26))</f>
        <v/>
      </c>
      <c r="AS491" s="62">
        <f>IF(OR(C491="",D491="Gagné",D491="Perdu"),0,N(AP491)*IFERROR(INDEX('Paramètres'!$G$6:$G$13,MATCH(D491,'Paramètres'!$F$6:$F$13,0)),0))</f>
        <v/>
      </c>
      <c r="AT491" s="106">
        <f>IF(C491="","",IFERROR(1/(1/_xlfn.MINIFS('Saisie'!$A$5:$A$2004,'Saisie'!$C$5:$C$2004,C491,'Saisie'!$E$5:$E$2004,"Signature")),""))</f>
        <v/>
      </c>
      <c r="AU491" s="60">
        <f>IF(C491="","",IF(OR(AT491="",B491=""),"",AT491-B491))</f>
        <v/>
      </c>
      <c r="AV491" s="60">
        <f>IF(C491="","",IFERROR(INDEX('Saisie'!$L$5:$L$2004,_xlfn.MAXIFS('Saisie'!$AS$5:$AS$2004,'Saisie'!$C$5:$C$2004,C491,'Saisie'!$L$5:$L$2004,"&lt;&gt;")-4),""))</f>
        <v/>
      </c>
      <c r="AW491" s="106">
        <f>IF(C491="","",IF(D491&lt;&gt;"Perdu","",IFERROR(1/(1/_xlfn.MAXIFS('Saisie'!$A$5:$A$2004,'Saisie'!$C$5:$C$2004,C491,'Saisie'!$E$5:$E$2004,"Perdu")),"")))</f>
        <v/>
      </c>
      <c r="AX491" s="106">
        <f>IF(C491="","",IF(AW491="","",AW491+'Paramètres'!$B$28))</f>
        <v/>
      </c>
      <c r="AY491" s="60">
        <f>IF(C491="","",SUMIFS('Saisie'!$H$5:$H$2004,'Saisie'!$C$5:$C$2004,C491))</f>
        <v/>
      </c>
      <c r="AZ491" s="60">
        <f>IF(C491="","",IFERROR(INDEX('Paramètres'!$W$6:$W$20,MATCH(S491,'Paramètres'!$V$6:$V$20,0))&amp;"",""))</f>
        <v/>
      </c>
      <c r="BA491" s="60">
        <f>IF(C491="","",MAX(1,_xlfn.MAXIFS('Saisie'!$AT$5:$AT$2004,'Saisie'!$C$5:$C$2004,C491)))</f>
        <v/>
      </c>
      <c r="BB491" s="60">
        <f>IF(C491="","",IFERROR(INDEX('Saisie'!$X$5:$X$2004,_xlfn.MAXIFS('Saisie'!$AS$5:$AS$2004,'Saisie'!$C$5:$C$2004,C491,'Saisie'!$X$5:$X$2004,"&lt;&gt;")-4),""))</f>
        <v/>
      </c>
      <c r="BC491" s="60">
        <f>IF(C491="","",IFERROR(INDEX('Saisie'!$Y$5:$Y$2004,_xlfn.MAXIFS('Saisie'!$AS$5:$AS$2004,'Saisie'!$C$5:$C$2004,C491,'Saisie'!$Y$5:$Y$2004,"&lt;&gt;")-4),""))</f>
        <v/>
      </c>
      <c r="BD491" s="106">
        <f>IF(C491="","",IFERROR(1/(1/_xlfn.MINIFS('Saisie'!$A$5:$A$2004,'Saisie'!$C$5:$C$2004,C491,'Saisie'!$AT$5:$AT$2004,"&gt;=2")),""))</f>
        <v/>
      </c>
      <c r="BE491" s="106">
        <f>IF(C491="","",IFERROR(1/(1/_xlfn.MINIFS('Saisie'!$A$5:$A$2004,'Saisie'!$C$5:$C$2004,C491,'Saisie'!$AT$5:$AT$2004,"&gt;=3")),""))</f>
        <v/>
      </c>
      <c r="BF491" s="106">
        <f>IF(C491="","",IFERROR(1/(1/_xlfn.MINIFS('Saisie'!$A$5:$A$2004,'Saisie'!$C$5:$C$2004,C491,'Saisie'!$AT$5:$AT$2004,"&gt;=4")),""))</f>
        <v/>
      </c>
      <c r="BG491" s="106">
        <f>IF(C491="","",IFERROR(1/(1/_xlfn.MINIFS('Saisie'!$A$5:$A$2004,'Saisie'!$C$5:$C$2004,C491,'Saisie'!$AT$5:$AT$2004,"&gt;=5")),""))</f>
        <v/>
      </c>
      <c r="BH491" s="106">
        <f>IF(C491="","",IFERROR(1/(1/_xlfn.MINIFS('Saisie'!$A$5:$A$2004,'Saisie'!$C$5:$C$2004,C491,'Saisie'!$AT$5:$AT$2004,"&gt;=6")),""))</f>
        <v/>
      </c>
      <c r="BI491" s="106">
        <f>IF(C491="","",IFERROR(1/(1/_xlfn.MINIFS('Saisie'!$A$5:$A$2004,'Saisie'!$C$5:$C$2004,C491,'Saisie'!$AT$5:$AT$2004,"&gt;=7")),""))</f>
        <v/>
      </c>
      <c r="BJ491" s="60">
        <f>IF(OR(BD491="",B491=""),"",BD491-B491)</f>
        <v/>
      </c>
      <c r="BK491" s="60">
        <f>IF(OR(BE491="",BD491=""),"",BE491-BD491)</f>
        <v/>
      </c>
      <c r="BL491" s="60">
        <f>IF(OR(BF491="",BE491=""),"",BF491-BE491)</f>
        <v/>
      </c>
      <c r="BM491" s="60">
        <f>IF(OR(BG491="",BF491=""),"",BG491-BF491)</f>
        <v/>
      </c>
      <c r="BN491" s="60">
        <f>IF(OR(BH491="",BG491=""),"",BH491-BG491)</f>
        <v/>
      </c>
      <c r="BO491" s="60">
        <f>IF(OR(BI491="",BH491=""),"",BI491-BH491)</f>
        <v/>
      </c>
      <c r="BP491" s="60">
        <f>IF(C491="","",_xlfn.MAXIFS('Saisie'!$AS$5:$AS$2004,'Saisie'!$C$5:$C$2004,C491,'Saisie'!$J$5:$J$2004,"&lt;&gt;"))</f>
        <v/>
      </c>
      <c r="BQ491" s="60">
        <f>IF(C491="","",_xlfn.MAXIFS('Saisie'!$AS$5:$AS$2004,'Saisie'!$C$5:$C$2004,C491))</f>
        <v/>
      </c>
      <c r="BR491" s="60">
        <f>IF(C491="","",_xlfn.MAXIFS('Saisie'!$AS$5:$AS$2004,'Saisie'!$C$5:$C$2004,C491,'Saisie'!$E$5:$E$2004,"Perdu"))</f>
        <v/>
      </c>
      <c r="BS491" s="60">
        <f>IF(C491="","",_xlfn.MAXIFS('Saisie'!$AS$5:$AS$2004,'Saisie'!$C$5:$C$2004,C491,'Saisie'!$AT$5:$AT$2004,"&gt;0"))</f>
        <v/>
      </c>
      <c r="BT491" s="109">
        <f>IF(AND(C491&lt;&gt;"",OR(D491="Nouveau",D491="Contacté",D491="Qualifié"),OR(G491="",N(G491)&lt;=TODAY()),NOT(AND(O491&gt;='Paramètres'!$B$21,P491=0))),E491+487/10000,"")</f>
        <v/>
      </c>
      <c r="BU491" s="60">
        <f>IF(AND(G491&lt;&gt;"",N(G491)&lt;=TODAY()),MAX($BU$4:BU490)+1,"")</f>
        <v/>
      </c>
      <c r="BV491" s="60">
        <f>IF(AND(F491&lt;&gt;"",F491&lt;&gt;"Relance en retard"),MAX($BV$4:BV490)+1,"")</f>
        <v/>
      </c>
      <c r="BW491" s="60">
        <f>IF(C491="","",IF(AND(B491&gt;='Tableau de bord'!$R$4,B491&lt;='Tableau de bord'!$S$4,OR('Tableau de bord'!$G$4="Tous",N491='Tableau de bord'!$G$4)),1,0))</f>
        <v/>
      </c>
      <c r="BX491" s="60">
        <f>IF(AND(C491&lt;&gt;"",N(BA491)=7),MAX($BX$4:BX490)+1,"")</f>
        <v/>
      </c>
    </row>
    <row r="492">
      <c r="A492" s="60">
        <f>IF(C492="","","P-"&amp;TEXT(488,"000"))</f>
        <v/>
      </c>
      <c r="B492" s="106">
        <f>IF(C492="","",IFERROR(1/(1/_xlfn.MINIFS('Saisie'!$A$5:$A$2004,'Saisie'!$C$5:$C$2004,C492)),""))</f>
        <v/>
      </c>
      <c r="C492" s="60">
        <f>IFERROR(INDEX('Saisie'!$C$5:$C$2004,MATCH(488,'Saisie'!$AX$5:$AX$2004,0)),"")</f>
        <v/>
      </c>
      <c r="D492" s="60">
        <f>IF(C492="","",IF(AND(BR492&gt;0,BR492&gt;BS492,BA492&lt;7),"Perdu",INDEX('Paramètres'!$F$6:$F$13,BA492)))</f>
        <v/>
      </c>
      <c r="E492" s="61">
        <f>IF(C492="","",MIN(100,(Z492="Oui")*'Paramètres'!$B$38+(AB492="Régulière")*'Paramètres'!$B$39+IF(AND(N(AA492)&gt;0,TODAY()-N(AA492)&lt;=30),'Paramètres'!$B$40,0)+(W492="")*'Paramètres'!$B$41+(AC492="Absente")*'Paramètres'!$B$42+(AC492="Faible")*'Paramètres'!$B$43+IF(AND(N(AD492)&gt;0,N(AD492)&lt;4),'Paramètres'!$B$44,0)+(AF492="Moyenne")*'Paramètres'!$B$45+(AF492="Grande")*'Paramètres'!$B$46+(Y492&lt;&gt;"")*'Paramètres'!$B$47))</f>
        <v/>
      </c>
      <c r="F492" s="60">
        <f>IF(C492="","",IF(D492="Gagné","",IF(D492="Perdu",IF(AND(AX492&lt;&gt;"",AX492&lt;=TODAY()),"À recontacter (perdu)",""),IF(AND(O492&gt;='Paramètres'!$B$21,P492=0),"Stop : "&amp;'Paramètres'!$B$21&amp;" tentatives sans réponse",IF(AND(D492="Proposition",AR492&lt;&gt;"",TODAY()&gt;N(AR492)),"Proposition expirée",IF(AND(D492="Proposition",N(R492)&gt;='Paramètres'!$B$25),"Proposition sans réponse",IF(AND(G492&lt;&gt;"",N(G492)&lt;TODAY()),"Relance en retard",IF(N(R492)&gt;='Paramètres'!$B$24,"Sans action depuis "&amp;R492&amp;" j",""))))))))</f>
        <v/>
      </c>
      <c r="G492" s="106">
        <f>IF(OR(C492="",D492="Gagné",D492="Perdu"),"",IF(AND(BP492&gt;0,BP492=BQ492),INDEX('Saisie'!$J$5:$J$2004,BP492-4),IF(OR(O492=0,AND(O492&gt;='Paramètres'!$B$21,P492=0)),"",Q492+IF(O492&lt;=1,'Paramètres'!$B$18,IF(O492=2,'Paramètres'!$B$19,'Paramètres'!$B$20)))))</f>
        <v/>
      </c>
      <c r="H492" s="107">
        <f>IF(OR(G492="",BP492&lt;&gt;BQ492),"",IF(INDEX('Saisie'!$K$5:$K$2004,BP492-4)="","",INDEX('Saisie'!$K$5:$K$2004,BP492-4)))</f>
        <v/>
      </c>
      <c r="I492" s="60">
        <f>IF(C492="","",IF(OR(D492="Gagné",D492="Perdu"),"",IFERROR(INDEX('Saisie'!$I$5:$I$2004,_xlfn.MAXIFS('Saisie'!$AS$5:$AS$2004,'Saisie'!$C$5:$C$2004,C492,'Saisie'!$I$5:$I$2004,"&lt;&gt;")-4),"")))</f>
        <v/>
      </c>
      <c r="J492" s="60">
        <f>IF(C492="","",IFERROR(INDEX('Saisie'!$U$5:$U$2004,_xlfn.MAXIFS('Saisie'!$AS$5:$AS$2004,'Saisie'!$C$5:$C$2004,C492,'Saisie'!$U$5:$U$2004,"&lt;&gt;")-4),""))</f>
        <v/>
      </c>
      <c r="K492" s="60">
        <f>IF(C492="","",IFERROR(INDEX('Saisie'!$W$5:$W$2004,_xlfn.MAXIFS('Saisie'!$AS$5:$AS$2004,'Saisie'!$C$5:$C$2004,C492,'Saisie'!$W$5:$W$2004,"&lt;&gt;")-4),""))</f>
        <v/>
      </c>
      <c r="L492" s="60">
        <f>IF(IF(BB492&lt;&gt;"",BB492,K492)="","",HYPERLINK("https://wa.me/"&amp;IF(LEFT(SUBSTITUTE(SUBSTITUTE(SUBSTITUTE(IF(BB492&lt;&gt;"",BB492,K492)," ",""),".",""),"+",""),1)="0",'Paramètres'!$B$35&amp;MID(SUBSTITUTE(SUBSTITUTE(SUBSTITUTE(IF(BB492&lt;&gt;"",BB492,K492)," ",""),".",""),"+",""),2,20),SUBSTITUTE(SUBSTITUTE(SUBSTITUTE(IF(BB492&lt;&gt;"",BB492,K492)," ",""),".",""),"+","")),"WhatsApp"))</f>
        <v/>
      </c>
      <c r="M492" s="60">
        <f>IF(BC492="","",HYPERLINK(IF(LEFT(BC492,4)="http",BC492,"https://www.instagram.com/"&amp;SUBSTITUTE(SUBSTITUTE(BC492,"@","")," ","")),BC492))</f>
        <v/>
      </c>
      <c r="N492" s="60">
        <f>IF(C492="","",IFERROR(INDEX('Saisie'!$D$5:$D$2004,_xlfn.MINIFS('Saisie'!$AS$5:$AS$2004,'Saisie'!$C$5:$C$2004,C492,'Saisie'!$AU$5:$AU$2004,1)-4),IFERROR(INDEX('Saisie'!$D$5:$D$2004,_xlfn.MINIFS('Saisie'!$AS$5:$AS$2004,'Saisie'!$C$5:$C$2004,C492,'Saisie'!$D$5:$D$2004,"&lt;&gt;")-4),"")))</f>
        <v/>
      </c>
      <c r="O492" s="60">
        <f>IF(C492="","",COUNTIFS('Saisie'!$C$5:$C$2004,C492,'Saisie'!$AU$5:$AU$2004,1))</f>
        <v/>
      </c>
      <c r="P492" s="60">
        <f>IF(C492="","",COUNTIFS('Saisie'!$C$5:$C$2004,C492,'Saisie'!$AV$5:$AV$2004,1))</f>
        <v/>
      </c>
      <c r="Q492" s="106">
        <f>IF(C492="","",IFERROR(1/(1/_xlfn.MAXIFS('Saisie'!$A$5:$A$2004,'Saisie'!$C$5:$C$2004,C492)),""))</f>
        <v/>
      </c>
      <c r="R492" s="61">
        <f>IF(C492="","",IF(Q492="","",TODAY()-Q492))</f>
        <v/>
      </c>
      <c r="S492" s="60">
        <f>IF(C492="","",IFERROR(INDEX('Saisie'!$R$5:$R$2004,_xlfn.MAXIFS('Saisie'!$AS$5:$AS$2004,'Saisie'!$C$5:$C$2004,C492,'Saisie'!$R$5:$R$2004,"&lt;&gt;")-4),""))</f>
        <v/>
      </c>
      <c r="T492" s="60">
        <f>IF(C492="","",IFERROR(INDEX('Saisie'!$S$5:$S$2004,_xlfn.MAXIFS('Saisie'!$AS$5:$AS$2004,'Saisie'!$C$5:$C$2004,C492,'Saisie'!$S$5:$S$2004,"&lt;&gt;")-4),""))</f>
        <v/>
      </c>
      <c r="U492" s="60">
        <f>IF(C492="","",IFERROR(INDEX('Saisie'!$T$5:$T$2004,_xlfn.MAXIFS('Saisie'!$AS$5:$AS$2004,'Saisie'!$C$5:$C$2004,C492,'Saisie'!$T$5:$T$2004,"&lt;&gt;")-4),""))</f>
        <v/>
      </c>
      <c r="V492" s="60">
        <f>IF(C492="","",IFERROR(INDEX('Saisie'!$V$5:$V$2004,_xlfn.MAXIFS('Saisie'!$AS$5:$AS$2004,'Saisie'!$C$5:$C$2004,C492,'Saisie'!$V$5:$V$2004,"&lt;&gt;")-4),""))</f>
        <v/>
      </c>
      <c r="W492" s="60">
        <f>IF(C492="","",IFERROR(INDEX('Saisie'!$Z$5:$Z$2004,_xlfn.MAXIFS('Saisie'!$AS$5:$AS$2004,'Saisie'!$C$5:$C$2004,C492,'Saisie'!$Z$5:$Z$2004,"&lt;&gt;")-4),""))</f>
        <v/>
      </c>
      <c r="X492" s="60">
        <f>IF(C492="","",IFERROR(INDEX('Saisie'!$AA$5:$AA$2004,_xlfn.MAXIFS('Saisie'!$AS$5:$AS$2004,'Saisie'!$C$5:$C$2004,C492,'Saisie'!$AA$5:$AA$2004,"&lt;&gt;")-4),""))</f>
        <v/>
      </c>
      <c r="Y492" s="60">
        <f>IF(C492="","",IFERROR(INDEX('Saisie'!$AB$5:$AB$2004,_xlfn.MAXIFS('Saisie'!$AS$5:$AS$2004,'Saisie'!$C$5:$C$2004,C492,'Saisie'!$AB$5:$AB$2004,"&lt;&gt;")-4),""))</f>
        <v/>
      </c>
      <c r="Z492" s="60">
        <f>IF(C492="","",IFERROR(INDEX('Saisie'!$AC$5:$AC$2004,_xlfn.MAXIFS('Saisie'!$AS$5:$AS$2004,'Saisie'!$C$5:$C$2004,C492,'Saisie'!$AC$5:$AC$2004,"&lt;&gt;")-4),""))</f>
        <v/>
      </c>
      <c r="AA492" s="106">
        <f>IF(C492="","",IFERROR(INDEX('Saisie'!$AD$5:$AD$2004,_xlfn.MAXIFS('Saisie'!$AS$5:$AS$2004,'Saisie'!$C$5:$C$2004,C492,'Saisie'!$AD$5:$AD$2004,"&lt;&gt;")-4),""))</f>
        <v/>
      </c>
      <c r="AB492" s="60">
        <f>IF(C492="","",IFERROR(INDEX('Saisie'!$AE$5:$AE$2004,_xlfn.MAXIFS('Saisie'!$AS$5:$AS$2004,'Saisie'!$C$5:$C$2004,C492,'Saisie'!$AE$5:$AE$2004,"&lt;&gt;")-4),""))</f>
        <v/>
      </c>
      <c r="AC492" s="60">
        <f>IF(C492="","",IFERROR(INDEX('Saisie'!$AF$5:$AF$2004,_xlfn.MAXIFS('Saisie'!$AS$5:$AS$2004,'Saisie'!$C$5:$C$2004,C492,'Saisie'!$AF$5:$AF$2004,"&lt;&gt;")-4),""))</f>
        <v/>
      </c>
      <c r="AD492" s="108">
        <f>IF(C492="","",IFERROR(INDEX('Saisie'!$AG$5:$AG$2004,_xlfn.MAXIFS('Saisie'!$AS$5:$AS$2004,'Saisie'!$C$5:$C$2004,C492,'Saisie'!$AG$5:$AG$2004,"&lt;&gt;")-4),""))</f>
        <v/>
      </c>
      <c r="AE492" s="60">
        <f>IF(C492="","",IFERROR(INDEX('Saisie'!$AH$5:$AH$2004,_xlfn.MAXIFS('Saisie'!$AS$5:$AS$2004,'Saisie'!$C$5:$C$2004,C492,'Saisie'!$AH$5:$AH$2004,"&lt;&gt;")-4),""))</f>
        <v/>
      </c>
      <c r="AF492" s="60">
        <f>IF(C492="","",IFERROR(INDEX('Saisie'!$AI$5:$AI$2004,_xlfn.MAXIFS('Saisie'!$AS$5:$AS$2004,'Saisie'!$C$5:$C$2004,C492,'Saisie'!$AI$5:$AI$2004,"&lt;&gt;")-4),""))</f>
        <v/>
      </c>
      <c r="AG492" s="60">
        <f>IF(C492="","",IFERROR(INDEX('Saisie'!$AJ$5:$AJ$2004,_xlfn.MAXIFS('Saisie'!$AS$5:$AS$2004,'Saisie'!$C$5:$C$2004,C492,'Saisie'!$AJ$5:$AJ$2004,"&lt;&gt;")-4),""))</f>
        <v/>
      </c>
      <c r="AH492" s="60">
        <f>IF(C492="","",IFERROR(INDEX('Saisie'!$AK$5:$AK$2004,_xlfn.MAXIFS('Saisie'!$AS$5:$AS$2004,'Saisie'!$C$5:$C$2004,C492,'Saisie'!$AK$5:$AK$2004,"&lt;&gt;")-4),""))</f>
        <v/>
      </c>
      <c r="AI492" s="60">
        <f>IF(C492="","",IFERROR(INDEX('Saisie'!$AN$5:$AN$2004,_xlfn.MAXIFS('Saisie'!$AS$5:$AS$2004,'Saisie'!$C$5:$C$2004,C492,'Saisie'!$AN$5:$AN$2004,"&lt;&gt;")-4),""))</f>
        <v/>
      </c>
      <c r="AJ492" s="60">
        <f>IF(C492="","",IFERROR(INDEX('Saisie'!$AO$5:$AO$2004,_xlfn.MAXIFS('Saisie'!$AS$5:$AS$2004,'Saisie'!$C$5:$C$2004,C492,'Saisie'!$AO$5:$AO$2004,"&lt;&gt;")-4),""))</f>
        <v/>
      </c>
      <c r="AK492" s="60">
        <f>IF(C492="","",IFERROR(INDEX('Saisie'!$AP$5:$AP$2004,_xlfn.MAXIFS('Saisie'!$AS$5:$AS$2004,'Saisie'!$C$5:$C$2004,C492,'Saisie'!$AP$5:$AP$2004,"&lt;&gt;")-4),""))</f>
        <v/>
      </c>
      <c r="AL492" s="60">
        <f>IF(C492="","",IFERROR(INDEX('Saisie'!$AQ$5:$AQ$2004,_xlfn.MAXIFS('Saisie'!$AS$5:$AS$2004,'Saisie'!$C$5:$C$2004,C492,'Saisie'!$AQ$5:$AQ$2004,"&lt;&gt;")-4),""))</f>
        <v/>
      </c>
      <c r="AM492" s="60">
        <f>IF(C492="","",((AI492="Oui")+(AJ492="Oui")+(AK492="Oui")+OR(AL492="Immédiat",AL492="&lt; 1 mois"))&amp;"/4")</f>
        <v/>
      </c>
      <c r="AN492" s="60">
        <f>IF(C492="","",IFERROR(INDEX('Saisie'!$AL$5:$AL$2004,_xlfn.MAXIFS('Saisie'!$AS$5:$AS$2004,'Saisie'!$C$5:$C$2004,C492,'Saisie'!$AL$5:$AL$2004,"&lt;&gt;")-4),""))</f>
        <v/>
      </c>
      <c r="AO492" s="62">
        <f>IF(C492="","",IF(IFERROR(INDEX('Saisie'!$AM$5:$AM$2004,_xlfn.MAXIFS('Saisie'!$AS$5:$AS$2004,'Saisie'!$C$5:$C$2004,C492,'Saisie'!$AM$5:$AM$2004,"&lt;&gt;")-4),"")&lt;&gt;"",IFERROR(INDEX('Saisie'!$AM$5:$AM$2004,_xlfn.MAXIFS('Saisie'!$AS$5:$AS$2004,'Saisie'!$C$5:$C$2004,C492,'Saisie'!$AM$5:$AM$2004,"&lt;&gt;")-4),""),IFERROR(INDEX('Paramètres'!$S$6:$S$15,MATCH(AN492,'Paramètres'!$Q$6:$Q$15,0)),"")))</f>
        <v/>
      </c>
      <c r="AP492" s="62">
        <f>IF(C492="","",IFERROR(INDEX('Saisie'!$AW$5:$AW$2004,_xlfn.MAXIFS('Saisie'!$AS$5:$AS$2004,'Saisie'!$C$5:$C$2004,C492,'Saisie'!$E$5:$E$2004,"Proposition envoyée")-4),""))</f>
        <v/>
      </c>
      <c r="AQ492" s="106">
        <f>IF(C492="","",IFERROR(1/(1/_xlfn.MAXIFS('Saisie'!$A$5:$A$2004,'Saisie'!$C$5:$C$2004,C492,'Saisie'!$E$5:$E$2004,"Proposition envoyée")),""))</f>
        <v/>
      </c>
      <c r="AR492" s="106">
        <f>IF(C492="","",IF(AQ492="","",AQ492+'Paramètres'!$B$26))</f>
        <v/>
      </c>
      <c r="AS492" s="62">
        <f>IF(OR(C492="",D492="Gagné",D492="Perdu"),0,N(AP492)*IFERROR(INDEX('Paramètres'!$G$6:$G$13,MATCH(D492,'Paramètres'!$F$6:$F$13,0)),0))</f>
        <v/>
      </c>
      <c r="AT492" s="106">
        <f>IF(C492="","",IFERROR(1/(1/_xlfn.MINIFS('Saisie'!$A$5:$A$2004,'Saisie'!$C$5:$C$2004,C492,'Saisie'!$E$5:$E$2004,"Signature")),""))</f>
        <v/>
      </c>
      <c r="AU492" s="60">
        <f>IF(C492="","",IF(OR(AT492="",B492=""),"",AT492-B492))</f>
        <v/>
      </c>
      <c r="AV492" s="60">
        <f>IF(C492="","",IFERROR(INDEX('Saisie'!$L$5:$L$2004,_xlfn.MAXIFS('Saisie'!$AS$5:$AS$2004,'Saisie'!$C$5:$C$2004,C492,'Saisie'!$L$5:$L$2004,"&lt;&gt;")-4),""))</f>
        <v/>
      </c>
      <c r="AW492" s="106">
        <f>IF(C492="","",IF(D492&lt;&gt;"Perdu","",IFERROR(1/(1/_xlfn.MAXIFS('Saisie'!$A$5:$A$2004,'Saisie'!$C$5:$C$2004,C492,'Saisie'!$E$5:$E$2004,"Perdu")),"")))</f>
        <v/>
      </c>
      <c r="AX492" s="106">
        <f>IF(C492="","",IF(AW492="","",AW492+'Paramètres'!$B$28))</f>
        <v/>
      </c>
      <c r="AY492" s="60">
        <f>IF(C492="","",SUMIFS('Saisie'!$H$5:$H$2004,'Saisie'!$C$5:$C$2004,C492))</f>
        <v/>
      </c>
      <c r="AZ492" s="60">
        <f>IF(C492="","",IFERROR(INDEX('Paramètres'!$W$6:$W$20,MATCH(S492,'Paramètres'!$V$6:$V$20,0))&amp;"",""))</f>
        <v/>
      </c>
      <c r="BA492" s="60">
        <f>IF(C492="","",MAX(1,_xlfn.MAXIFS('Saisie'!$AT$5:$AT$2004,'Saisie'!$C$5:$C$2004,C492)))</f>
        <v/>
      </c>
      <c r="BB492" s="60">
        <f>IF(C492="","",IFERROR(INDEX('Saisie'!$X$5:$X$2004,_xlfn.MAXIFS('Saisie'!$AS$5:$AS$2004,'Saisie'!$C$5:$C$2004,C492,'Saisie'!$X$5:$X$2004,"&lt;&gt;")-4),""))</f>
        <v/>
      </c>
      <c r="BC492" s="60">
        <f>IF(C492="","",IFERROR(INDEX('Saisie'!$Y$5:$Y$2004,_xlfn.MAXIFS('Saisie'!$AS$5:$AS$2004,'Saisie'!$C$5:$C$2004,C492,'Saisie'!$Y$5:$Y$2004,"&lt;&gt;")-4),""))</f>
        <v/>
      </c>
      <c r="BD492" s="106">
        <f>IF(C492="","",IFERROR(1/(1/_xlfn.MINIFS('Saisie'!$A$5:$A$2004,'Saisie'!$C$5:$C$2004,C492,'Saisie'!$AT$5:$AT$2004,"&gt;=2")),""))</f>
        <v/>
      </c>
      <c r="BE492" s="106">
        <f>IF(C492="","",IFERROR(1/(1/_xlfn.MINIFS('Saisie'!$A$5:$A$2004,'Saisie'!$C$5:$C$2004,C492,'Saisie'!$AT$5:$AT$2004,"&gt;=3")),""))</f>
        <v/>
      </c>
      <c r="BF492" s="106">
        <f>IF(C492="","",IFERROR(1/(1/_xlfn.MINIFS('Saisie'!$A$5:$A$2004,'Saisie'!$C$5:$C$2004,C492,'Saisie'!$AT$5:$AT$2004,"&gt;=4")),""))</f>
        <v/>
      </c>
      <c r="BG492" s="106">
        <f>IF(C492="","",IFERROR(1/(1/_xlfn.MINIFS('Saisie'!$A$5:$A$2004,'Saisie'!$C$5:$C$2004,C492,'Saisie'!$AT$5:$AT$2004,"&gt;=5")),""))</f>
        <v/>
      </c>
      <c r="BH492" s="106">
        <f>IF(C492="","",IFERROR(1/(1/_xlfn.MINIFS('Saisie'!$A$5:$A$2004,'Saisie'!$C$5:$C$2004,C492,'Saisie'!$AT$5:$AT$2004,"&gt;=6")),""))</f>
        <v/>
      </c>
      <c r="BI492" s="106">
        <f>IF(C492="","",IFERROR(1/(1/_xlfn.MINIFS('Saisie'!$A$5:$A$2004,'Saisie'!$C$5:$C$2004,C492,'Saisie'!$AT$5:$AT$2004,"&gt;=7")),""))</f>
        <v/>
      </c>
      <c r="BJ492" s="60">
        <f>IF(OR(BD492="",B492=""),"",BD492-B492)</f>
        <v/>
      </c>
      <c r="BK492" s="60">
        <f>IF(OR(BE492="",BD492=""),"",BE492-BD492)</f>
        <v/>
      </c>
      <c r="BL492" s="60">
        <f>IF(OR(BF492="",BE492=""),"",BF492-BE492)</f>
        <v/>
      </c>
      <c r="BM492" s="60">
        <f>IF(OR(BG492="",BF492=""),"",BG492-BF492)</f>
        <v/>
      </c>
      <c r="BN492" s="60">
        <f>IF(OR(BH492="",BG492=""),"",BH492-BG492)</f>
        <v/>
      </c>
      <c r="BO492" s="60">
        <f>IF(OR(BI492="",BH492=""),"",BI492-BH492)</f>
        <v/>
      </c>
      <c r="BP492" s="60">
        <f>IF(C492="","",_xlfn.MAXIFS('Saisie'!$AS$5:$AS$2004,'Saisie'!$C$5:$C$2004,C492,'Saisie'!$J$5:$J$2004,"&lt;&gt;"))</f>
        <v/>
      </c>
      <c r="BQ492" s="60">
        <f>IF(C492="","",_xlfn.MAXIFS('Saisie'!$AS$5:$AS$2004,'Saisie'!$C$5:$C$2004,C492))</f>
        <v/>
      </c>
      <c r="BR492" s="60">
        <f>IF(C492="","",_xlfn.MAXIFS('Saisie'!$AS$5:$AS$2004,'Saisie'!$C$5:$C$2004,C492,'Saisie'!$E$5:$E$2004,"Perdu"))</f>
        <v/>
      </c>
      <c r="BS492" s="60">
        <f>IF(C492="","",_xlfn.MAXIFS('Saisie'!$AS$5:$AS$2004,'Saisie'!$C$5:$C$2004,C492,'Saisie'!$AT$5:$AT$2004,"&gt;0"))</f>
        <v/>
      </c>
      <c r="BT492" s="109">
        <f>IF(AND(C492&lt;&gt;"",OR(D492="Nouveau",D492="Contacté",D492="Qualifié"),OR(G492="",N(G492)&lt;=TODAY()),NOT(AND(O492&gt;='Paramètres'!$B$21,P492=0))),E492+488/10000,"")</f>
        <v/>
      </c>
      <c r="BU492" s="60">
        <f>IF(AND(G492&lt;&gt;"",N(G492)&lt;=TODAY()),MAX($BU$4:BU491)+1,"")</f>
        <v/>
      </c>
      <c r="BV492" s="60">
        <f>IF(AND(F492&lt;&gt;"",F492&lt;&gt;"Relance en retard"),MAX($BV$4:BV491)+1,"")</f>
        <v/>
      </c>
      <c r="BW492" s="60">
        <f>IF(C492="","",IF(AND(B492&gt;='Tableau de bord'!$R$4,B492&lt;='Tableau de bord'!$S$4,OR('Tableau de bord'!$G$4="Tous",N492='Tableau de bord'!$G$4)),1,0))</f>
        <v/>
      </c>
      <c r="BX492" s="60">
        <f>IF(AND(C492&lt;&gt;"",N(BA492)=7),MAX($BX$4:BX491)+1,"")</f>
        <v/>
      </c>
    </row>
    <row r="493">
      <c r="A493" s="60">
        <f>IF(C493="","","P-"&amp;TEXT(489,"000"))</f>
        <v/>
      </c>
      <c r="B493" s="106">
        <f>IF(C493="","",IFERROR(1/(1/_xlfn.MINIFS('Saisie'!$A$5:$A$2004,'Saisie'!$C$5:$C$2004,C493)),""))</f>
        <v/>
      </c>
      <c r="C493" s="60">
        <f>IFERROR(INDEX('Saisie'!$C$5:$C$2004,MATCH(489,'Saisie'!$AX$5:$AX$2004,0)),"")</f>
        <v/>
      </c>
      <c r="D493" s="60">
        <f>IF(C493="","",IF(AND(BR493&gt;0,BR493&gt;BS493,BA493&lt;7),"Perdu",INDEX('Paramètres'!$F$6:$F$13,BA493)))</f>
        <v/>
      </c>
      <c r="E493" s="61">
        <f>IF(C493="","",MIN(100,(Z493="Oui")*'Paramètres'!$B$38+(AB493="Régulière")*'Paramètres'!$B$39+IF(AND(N(AA493)&gt;0,TODAY()-N(AA493)&lt;=30),'Paramètres'!$B$40,0)+(W493="")*'Paramètres'!$B$41+(AC493="Absente")*'Paramètres'!$B$42+(AC493="Faible")*'Paramètres'!$B$43+IF(AND(N(AD493)&gt;0,N(AD493)&lt;4),'Paramètres'!$B$44,0)+(AF493="Moyenne")*'Paramètres'!$B$45+(AF493="Grande")*'Paramètres'!$B$46+(Y493&lt;&gt;"")*'Paramètres'!$B$47))</f>
        <v/>
      </c>
      <c r="F493" s="60">
        <f>IF(C493="","",IF(D493="Gagné","",IF(D493="Perdu",IF(AND(AX493&lt;&gt;"",AX493&lt;=TODAY()),"À recontacter (perdu)",""),IF(AND(O493&gt;='Paramètres'!$B$21,P493=0),"Stop : "&amp;'Paramètres'!$B$21&amp;" tentatives sans réponse",IF(AND(D493="Proposition",AR493&lt;&gt;"",TODAY()&gt;N(AR493)),"Proposition expirée",IF(AND(D493="Proposition",N(R493)&gt;='Paramètres'!$B$25),"Proposition sans réponse",IF(AND(G493&lt;&gt;"",N(G493)&lt;TODAY()),"Relance en retard",IF(N(R493)&gt;='Paramètres'!$B$24,"Sans action depuis "&amp;R493&amp;" j",""))))))))</f>
        <v/>
      </c>
      <c r="G493" s="106">
        <f>IF(OR(C493="",D493="Gagné",D493="Perdu"),"",IF(AND(BP493&gt;0,BP493=BQ493),INDEX('Saisie'!$J$5:$J$2004,BP493-4),IF(OR(O493=0,AND(O493&gt;='Paramètres'!$B$21,P493=0)),"",Q493+IF(O493&lt;=1,'Paramètres'!$B$18,IF(O493=2,'Paramètres'!$B$19,'Paramètres'!$B$20)))))</f>
        <v/>
      </c>
      <c r="H493" s="107">
        <f>IF(OR(G493="",BP493&lt;&gt;BQ493),"",IF(INDEX('Saisie'!$K$5:$K$2004,BP493-4)="","",INDEX('Saisie'!$K$5:$K$2004,BP493-4)))</f>
        <v/>
      </c>
      <c r="I493" s="60">
        <f>IF(C493="","",IF(OR(D493="Gagné",D493="Perdu"),"",IFERROR(INDEX('Saisie'!$I$5:$I$2004,_xlfn.MAXIFS('Saisie'!$AS$5:$AS$2004,'Saisie'!$C$5:$C$2004,C493,'Saisie'!$I$5:$I$2004,"&lt;&gt;")-4),"")))</f>
        <v/>
      </c>
      <c r="J493" s="60">
        <f>IF(C493="","",IFERROR(INDEX('Saisie'!$U$5:$U$2004,_xlfn.MAXIFS('Saisie'!$AS$5:$AS$2004,'Saisie'!$C$5:$C$2004,C493,'Saisie'!$U$5:$U$2004,"&lt;&gt;")-4),""))</f>
        <v/>
      </c>
      <c r="K493" s="60">
        <f>IF(C493="","",IFERROR(INDEX('Saisie'!$W$5:$W$2004,_xlfn.MAXIFS('Saisie'!$AS$5:$AS$2004,'Saisie'!$C$5:$C$2004,C493,'Saisie'!$W$5:$W$2004,"&lt;&gt;")-4),""))</f>
        <v/>
      </c>
      <c r="L493" s="60">
        <f>IF(IF(BB493&lt;&gt;"",BB493,K493)="","",HYPERLINK("https://wa.me/"&amp;IF(LEFT(SUBSTITUTE(SUBSTITUTE(SUBSTITUTE(IF(BB493&lt;&gt;"",BB493,K493)," ",""),".",""),"+",""),1)="0",'Paramètres'!$B$35&amp;MID(SUBSTITUTE(SUBSTITUTE(SUBSTITUTE(IF(BB493&lt;&gt;"",BB493,K493)," ",""),".",""),"+",""),2,20),SUBSTITUTE(SUBSTITUTE(SUBSTITUTE(IF(BB493&lt;&gt;"",BB493,K493)," ",""),".",""),"+","")),"WhatsApp"))</f>
        <v/>
      </c>
      <c r="M493" s="60">
        <f>IF(BC493="","",HYPERLINK(IF(LEFT(BC493,4)="http",BC493,"https://www.instagram.com/"&amp;SUBSTITUTE(SUBSTITUTE(BC493,"@","")," ","")),BC493))</f>
        <v/>
      </c>
      <c r="N493" s="60">
        <f>IF(C493="","",IFERROR(INDEX('Saisie'!$D$5:$D$2004,_xlfn.MINIFS('Saisie'!$AS$5:$AS$2004,'Saisie'!$C$5:$C$2004,C493,'Saisie'!$AU$5:$AU$2004,1)-4),IFERROR(INDEX('Saisie'!$D$5:$D$2004,_xlfn.MINIFS('Saisie'!$AS$5:$AS$2004,'Saisie'!$C$5:$C$2004,C493,'Saisie'!$D$5:$D$2004,"&lt;&gt;")-4),"")))</f>
        <v/>
      </c>
      <c r="O493" s="60">
        <f>IF(C493="","",COUNTIFS('Saisie'!$C$5:$C$2004,C493,'Saisie'!$AU$5:$AU$2004,1))</f>
        <v/>
      </c>
      <c r="P493" s="60">
        <f>IF(C493="","",COUNTIFS('Saisie'!$C$5:$C$2004,C493,'Saisie'!$AV$5:$AV$2004,1))</f>
        <v/>
      </c>
      <c r="Q493" s="106">
        <f>IF(C493="","",IFERROR(1/(1/_xlfn.MAXIFS('Saisie'!$A$5:$A$2004,'Saisie'!$C$5:$C$2004,C493)),""))</f>
        <v/>
      </c>
      <c r="R493" s="61">
        <f>IF(C493="","",IF(Q493="","",TODAY()-Q493))</f>
        <v/>
      </c>
      <c r="S493" s="60">
        <f>IF(C493="","",IFERROR(INDEX('Saisie'!$R$5:$R$2004,_xlfn.MAXIFS('Saisie'!$AS$5:$AS$2004,'Saisie'!$C$5:$C$2004,C493,'Saisie'!$R$5:$R$2004,"&lt;&gt;")-4),""))</f>
        <v/>
      </c>
      <c r="T493" s="60">
        <f>IF(C493="","",IFERROR(INDEX('Saisie'!$S$5:$S$2004,_xlfn.MAXIFS('Saisie'!$AS$5:$AS$2004,'Saisie'!$C$5:$C$2004,C493,'Saisie'!$S$5:$S$2004,"&lt;&gt;")-4),""))</f>
        <v/>
      </c>
      <c r="U493" s="60">
        <f>IF(C493="","",IFERROR(INDEX('Saisie'!$T$5:$T$2004,_xlfn.MAXIFS('Saisie'!$AS$5:$AS$2004,'Saisie'!$C$5:$C$2004,C493,'Saisie'!$T$5:$T$2004,"&lt;&gt;")-4),""))</f>
        <v/>
      </c>
      <c r="V493" s="60">
        <f>IF(C493="","",IFERROR(INDEX('Saisie'!$V$5:$V$2004,_xlfn.MAXIFS('Saisie'!$AS$5:$AS$2004,'Saisie'!$C$5:$C$2004,C493,'Saisie'!$V$5:$V$2004,"&lt;&gt;")-4),""))</f>
        <v/>
      </c>
      <c r="W493" s="60">
        <f>IF(C493="","",IFERROR(INDEX('Saisie'!$Z$5:$Z$2004,_xlfn.MAXIFS('Saisie'!$AS$5:$AS$2004,'Saisie'!$C$5:$C$2004,C493,'Saisie'!$Z$5:$Z$2004,"&lt;&gt;")-4),""))</f>
        <v/>
      </c>
      <c r="X493" s="60">
        <f>IF(C493="","",IFERROR(INDEX('Saisie'!$AA$5:$AA$2004,_xlfn.MAXIFS('Saisie'!$AS$5:$AS$2004,'Saisie'!$C$5:$C$2004,C493,'Saisie'!$AA$5:$AA$2004,"&lt;&gt;")-4),""))</f>
        <v/>
      </c>
      <c r="Y493" s="60">
        <f>IF(C493="","",IFERROR(INDEX('Saisie'!$AB$5:$AB$2004,_xlfn.MAXIFS('Saisie'!$AS$5:$AS$2004,'Saisie'!$C$5:$C$2004,C493,'Saisie'!$AB$5:$AB$2004,"&lt;&gt;")-4),""))</f>
        <v/>
      </c>
      <c r="Z493" s="60">
        <f>IF(C493="","",IFERROR(INDEX('Saisie'!$AC$5:$AC$2004,_xlfn.MAXIFS('Saisie'!$AS$5:$AS$2004,'Saisie'!$C$5:$C$2004,C493,'Saisie'!$AC$5:$AC$2004,"&lt;&gt;")-4),""))</f>
        <v/>
      </c>
      <c r="AA493" s="106">
        <f>IF(C493="","",IFERROR(INDEX('Saisie'!$AD$5:$AD$2004,_xlfn.MAXIFS('Saisie'!$AS$5:$AS$2004,'Saisie'!$C$5:$C$2004,C493,'Saisie'!$AD$5:$AD$2004,"&lt;&gt;")-4),""))</f>
        <v/>
      </c>
      <c r="AB493" s="60">
        <f>IF(C493="","",IFERROR(INDEX('Saisie'!$AE$5:$AE$2004,_xlfn.MAXIFS('Saisie'!$AS$5:$AS$2004,'Saisie'!$C$5:$C$2004,C493,'Saisie'!$AE$5:$AE$2004,"&lt;&gt;")-4),""))</f>
        <v/>
      </c>
      <c r="AC493" s="60">
        <f>IF(C493="","",IFERROR(INDEX('Saisie'!$AF$5:$AF$2004,_xlfn.MAXIFS('Saisie'!$AS$5:$AS$2004,'Saisie'!$C$5:$C$2004,C493,'Saisie'!$AF$5:$AF$2004,"&lt;&gt;")-4),""))</f>
        <v/>
      </c>
      <c r="AD493" s="108">
        <f>IF(C493="","",IFERROR(INDEX('Saisie'!$AG$5:$AG$2004,_xlfn.MAXIFS('Saisie'!$AS$5:$AS$2004,'Saisie'!$C$5:$C$2004,C493,'Saisie'!$AG$5:$AG$2004,"&lt;&gt;")-4),""))</f>
        <v/>
      </c>
      <c r="AE493" s="60">
        <f>IF(C493="","",IFERROR(INDEX('Saisie'!$AH$5:$AH$2004,_xlfn.MAXIFS('Saisie'!$AS$5:$AS$2004,'Saisie'!$C$5:$C$2004,C493,'Saisie'!$AH$5:$AH$2004,"&lt;&gt;")-4),""))</f>
        <v/>
      </c>
      <c r="AF493" s="60">
        <f>IF(C493="","",IFERROR(INDEX('Saisie'!$AI$5:$AI$2004,_xlfn.MAXIFS('Saisie'!$AS$5:$AS$2004,'Saisie'!$C$5:$C$2004,C493,'Saisie'!$AI$5:$AI$2004,"&lt;&gt;")-4),""))</f>
        <v/>
      </c>
      <c r="AG493" s="60">
        <f>IF(C493="","",IFERROR(INDEX('Saisie'!$AJ$5:$AJ$2004,_xlfn.MAXIFS('Saisie'!$AS$5:$AS$2004,'Saisie'!$C$5:$C$2004,C493,'Saisie'!$AJ$5:$AJ$2004,"&lt;&gt;")-4),""))</f>
        <v/>
      </c>
      <c r="AH493" s="60">
        <f>IF(C493="","",IFERROR(INDEX('Saisie'!$AK$5:$AK$2004,_xlfn.MAXIFS('Saisie'!$AS$5:$AS$2004,'Saisie'!$C$5:$C$2004,C493,'Saisie'!$AK$5:$AK$2004,"&lt;&gt;")-4),""))</f>
        <v/>
      </c>
      <c r="AI493" s="60">
        <f>IF(C493="","",IFERROR(INDEX('Saisie'!$AN$5:$AN$2004,_xlfn.MAXIFS('Saisie'!$AS$5:$AS$2004,'Saisie'!$C$5:$C$2004,C493,'Saisie'!$AN$5:$AN$2004,"&lt;&gt;")-4),""))</f>
        <v/>
      </c>
      <c r="AJ493" s="60">
        <f>IF(C493="","",IFERROR(INDEX('Saisie'!$AO$5:$AO$2004,_xlfn.MAXIFS('Saisie'!$AS$5:$AS$2004,'Saisie'!$C$5:$C$2004,C493,'Saisie'!$AO$5:$AO$2004,"&lt;&gt;")-4),""))</f>
        <v/>
      </c>
      <c r="AK493" s="60">
        <f>IF(C493="","",IFERROR(INDEX('Saisie'!$AP$5:$AP$2004,_xlfn.MAXIFS('Saisie'!$AS$5:$AS$2004,'Saisie'!$C$5:$C$2004,C493,'Saisie'!$AP$5:$AP$2004,"&lt;&gt;")-4),""))</f>
        <v/>
      </c>
      <c r="AL493" s="60">
        <f>IF(C493="","",IFERROR(INDEX('Saisie'!$AQ$5:$AQ$2004,_xlfn.MAXIFS('Saisie'!$AS$5:$AS$2004,'Saisie'!$C$5:$C$2004,C493,'Saisie'!$AQ$5:$AQ$2004,"&lt;&gt;")-4),""))</f>
        <v/>
      </c>
      <c r="AM493" s="60">
        <f>IF(C493="","",((AI493="Oui")+(AJ493="Oui")+(AK493="Oui")+OR(AL493="Immédiat",AL493="&lt; 1 mois"))&amp;"/4")</f>
        <v/>
      </c>
      <c r="AN493" s="60">
        <f>IF(C493="","",IFERROR(INDEX('Saisie'!$AL$5:$AL$2004,_xlfn.MAXIFS('Saisie'!$AS$5:$AS$2004,'Saisie'!$C$5:$C$2004,C493,'Saisie'!$AL$5:$AL$2004,"&lt;&gt;")-4),""))</f>
        <v/>
      </c>
      <c r="AO493" s="62">
        <f>IF(C493="","",IF(IFERROR(INDEX('Saisie'!$AM$5:$AM$2004,_xlfn.MAXIFS('Saisie'!$AS$5:$AS$2004,'Saisie'!$C$5:$C$2004,C493,'Saisie'!$AM$5:$AM$2004,"&lt;&gt;")-4),"")&lt;&gt;"",IFERROR(INDEX('Saisie'!$AM$5:$AM$2004,_xlfn.MAXIFS('Saisie'!$AS$5:$AS$2004,'Saisie'!$C$5:$C$2004,C493,'Saisie'!$AM$5:$AM$2004,"&lt;&gt;")-4),""),IFERROR(INDEX('Paramètres'!$S$6:$S$15,MATCH(AN493,'Paramètres'!$Q$6:$Q$15,0)),"")))</f>
        <v/>
      </c>
      <c r="AP493" s="62">
        <f>IF(C493="","",IFERROR(INDEX('Saisie'!$AW$5:$AW$2004,_xlfn.MAXIFS('Saisie'!$AS$5:$AS$2004,'Saisie'!$C$5:$C$2004,C493,'Saisie'!$E$5:$E$2004,"Proposition envoyée")-4),""))</f>
        <v/>
      </c>
      <c r="AQ493" s="106">
        <f>IF(C493="","",IFERROR(1/(1/_xlfn.MAXIFS('Saisie'!$A$5:$A$2004,'Saisie'!$C$5:$C$2004,C493,'Saisie'!$E$5:$E$2004,"Proposition envoyée")),""))</f>
        <v/>
      </c>
      <c r="AR493" s="106">
        <f>IF(C493="","",IF(AQ493="","",AQ493+'Paramètres'!$B$26))</f>
        <v/>
      </c>
      <c r="AS493" s="62">
        <f>IF(OR(C493="",D493="Gagné",D493="Perdu"),0,N(AP493)*IFERROR(INDEX('Paramètres'!$G$6:$G$13,MATCH(D493,'Paramètres'!$F$6:$F$13,0)),0))</f>
        <v/>
      </c>
      <c r="AT493" s="106">
        <f>IF(C493="","",IFERROR(1/(1/_xlfn.MINIFS('Saisie'!$A$5:$A$2004,'Saisie'!$C$5:$C$2004,C493,'Saisie'!$E$5:$E$2004,"Signature")),""))</f>
        <v/>
      </c>
      <c r="AU493" s="60">
        <f>IF(C493="","",IF(OR(AT493="",B493=""),"",AT493-B493))</f>
        <v/>
      </c>
      <c r="AV493" s="60">
        <f>IF(C493="","",IFERROR(INDEX('Saisie'!$L$5:$L$2004,_xlfn.MAXIFS('Saisie'!$AS$5:$AS$2004,'Saisie'!$C$5:$C$2004,C493,'Saisie'!$L$5:$L$2004,"&lt;&gt;")-4),""))</f>
        <v/>
      </c>
      <c r="AW493" s="106">
        <f>IF(C493="","",IF(D493&lt;&gt;"Perdu","",IFERROR(1/(1/_xlfn.MAXIFS('Saisie'!$A$5:$A$2004,'Saisie'!$C$5:$C$2004,C493,'Saisie'!$E$5:$E$2004,"Perdu")),"")))</f>
        <v/>
      </c>
      <c r="AX493" s="106">
        <f>IF(C493="","",IF(AW493="","",AW493+'Paramètres'!$B$28))</f>
        <v/>
      </c>
      <c r="AY493" s="60">
        <f>IF(C493="","",SUMIFS('Saisie'!$H$5:$H$2004,'Saisie'!$C$5:$C$2004,C493))</f>
        <v/>
      </c>
      <c r="AZ493" s="60">
        <f>IF(C493="","",IFERROR(INDEX('Paramètres'!$W$6:$W$20,MATCH(S493,'Paramètres'!$V$6:$V$20,0))&amp;"",""))</f>
        <v/>
      </c>
      <c r="BA493" s="60">
        <f>IF(C493="","",MAX(1,_xlfn.MAXIFS('Saisie'!$AT$5:$AT$2004,'Saisie'!$C$5:$C$2004,C493)))</f>
        <v/>
      </c>
      <c r="BB493" s="60">
        <f>IF(C493="","",IFERROR(INDEX('Saisie'!$X$5:$X$2004,_xlfn.MAXIFS('Saisie'!$AS$5:$AS$2004,'Saisie'!$C$5:$C$2004,C493,'Saisie'!$X$5:$X$2004,"&lt;&gt;")-4),""))</f>
        <v/>
      </c>
      <c r="BC493" s="60">
        <f>IF(C493="","",IFERROR(INDEX('Saisie'!$Y$5:$Y$2004,_xlfn.MAXIFS('Saisie'!$AS$5:$AS$2004,'Saisie'!$C$5:$C$2004,C493,'Saisie'!$Y$5:$Y$2004,"&lt;&gt;")-4),""))</f>
        <v/>
      </c>
      <c r="BD493" s="106">
        <f>IF(C493="","",IFERROR(1/(1/_xlfn.MINIFS('Saisie'!$A$5:$A$2004,'Saisie'!$C$5:$C$2004,C493,'Saisie'!$AT$5:$AT$2004,"&gt;=2")),""))</f>
        <v/>
      </c>
      <c r="BE493" s="106">
        <f>IF(C493="","",IFERROR(1/(1/_xlfn.MINIFS('Saisie'!$A$5:$A$2004,'Saisie'!$C$5:$C$2004,C493,'Saisie'!$AT$5:$AT$2004,"&gt;=3")),""))</f>
        <v/>
      </c>
      <c r="BF493" s="106">
        <f>IF(C493="","",IFERROR(1/(1/_xlfn.MINIFS('Saisie'!$A$5:$A$2004,'Saisie'!$C$5:$C$2004,C493,'Saisie'!$AT$5:$AT$2004,"&gt;=4")),""))</f>
        <v/>
      </c>
      <c r="BG493" s="106">
        <f>IF(C493="","",IFERROR(1/(1/_xlfn.MINIFS('Saisie'!$A$5:$A$2004,'Saisie'!$C$5:$C$2004,C493,'Saisie'!$AT$5:$AT$2004,"&gt;=5")),""))</f>
        <v/>
      </c>
      <c r="BH493" s="106">
        <f>IF(C493="","",IFERROR(1/(1/_xlfn.MINIFS('Saisie'!$A$5:$A$2004,'Saisie'!$C$5:$C$2004,C493,'Saisie'!$AT$5:$AT$2004,"&gt;=6")),""))</f>
        <v/>
      </c>
      <c r="BI493" s="106">
        <f>IF(C493="","",IFERROR(1/(1/_xlfn.MINIFS('Saisie'!$A$5:$A$2004,'Saisie'!$C$5:$C$2004,C493,'Saisie'!$AT$5:$AT$2004,"&gt;=7")),""))</f>
        <v/>
      </c>
      <c r="BJ493" s="60">
        <f>IF(OR(BD493="",B493=""),"",BD493-B493)</f>
        <v/>
      </c>
      <c r="BK493" s="60">
        <f>IF(OR(BE493="",BD493=""),"",BE493-BD493)</f>
        <v/>
      </c>
      <c r="BL493" s="60">
        <f>IF(OR(BF493="",BE493=""),"",BF493-BE493)</f>
        <v/>
      </c>
      <c r="BM493" s="60">
        <f>IF(OR(BG493="",BF493=""),"",BG493-BF493)</f>
        <v/>
      </c>
      <c r="BN493" s="60">
        <f>IF(OR(BH493="",BG493=""),"",BH493-BG493)</f>
        <v/>
      </c>
      <c r="BO493" s="60">
        <f>IF(OR(BI493="",BH493=""),"",BI493-BH493)</f>
        <v/>
      </c>
      <c r="BP493" s="60">
        <f>IF(C493="","",_xlfn.MAXIFS('Saisie'!$AS$5:$AS$2004,'Saisie'!$C$5:$C$2004,C493,'Saisie'!$J$5:$J$2004,"&lt;&gt;"))</f>
        <v/>
      </c>
      <c r="BQ493" s="60">
        <f>IF(C493="","",_xlfn.MAXIFS('Saisie'!$AS$5:$AS$2004,'Saisie'!$C$5:$C$2004,C493))</f>
        <v/>
      </c>
      <c r="BR493" s="60">
        <f>IF(C493="","",_xlfn.MAXIFS('Saisie'!$AS$5:$AS$2004,'Saisie'!$C$5:$C$2004,C493,'Saisie'!$E$5:$E$2004,"Perdu"))</f>
        <v/>
      </c>
      <c r="BS493" s="60">
        <f>IF(C493="","",_xlfn.MAXIFS('Saisie'!$AS$5:$AS$2004,'Saisie'!$C$5:$C$2004,C493,'Saisie'!$AT$5:$AT$2004,"&gt;0"))</f>
        <v/>
      </c>
      <c r="BT493" s="109">
        <f>IF(AND(C493&lt;&gt;"",OR(D493="Nouveau",D493="Contacté",D493="Qualifié"),OR(G493="",N(G493)&lt;=TODAY()),NOT(AND(O493&gt;='Paramètres'!$B$21,P493=0))),E493+489/10000,"")</f>
        <v/>
      </c>
      <c r="BU493" s="60">
        <f>IF(AND(G493&lt;&gt;"",N(G493)&lt;=TODAY()),MAX($BU$4:BU492)+1,"")</f>
        <v/>
      </c>
      <c r="BV493" s="60">
        <f>IF(AND(F493&lt;&gt;"",F493&lt;&gt;"Relance en retard"),MAX($BV$4:BV492)+1,"")</f>
        <v/>
      </c>
      <c r="BW493" s="60">
        <f>IF(C493="","",IF(AND(B493&gt;='Tableau de bord'!$R$4,B493&lt;='Tableau de bord'!$S$4,OR('Tableau de bord'!$G$4="Tous",N493='Tableau de bord'!$G$4)),1,0))</f>
        <v/>
      </c>
      <c r="BX493" s="60">
        <f>IF(AND(C493&lt;&gt;"",N(BA493)=7),MAX($BX$4:BX492)+1,"")</f>
        <v/>
      </c>
    </row>
    <row r="494">
      <c r="A494" s="60">
        <f>IF(C494="","","P-"&amp;TEXT(490,"000"))</f>
        <v/>
      </c>
      <c r="B494" s="106">
        <f>IF(C494="","",IFERROR(1/(1/_xlfn.MINIFS('Saisie'!$A$5:$A$2004,'Saisie'!$C$5:$C$2004,C494)),""))</f>
        <v/>
      </c>
      <c r="C494" s="60">
        <f>IFERROR(INDEX('Saisie'!$C$5:$C$2004,MATCH(490,'Saisie'!$AX$5:$AX$2004,0)),"")</f>
        <v/>
      </c>
      <c r="D494" s="60">
        <f>IF(C494="","",IF(AND(BR494&gt;0,BR494&gt;BS494,BA494&lt;7),"Perdu",INDEX('Paramètres'!$F$6:$F$13,BA494)))</f>
        <v/>
      </c>
      <c r="E494" s="61">
        <f>IF(C494="","",MIN(100,(Z494="Oui")*'Paramètres'!$B$38+(AB494="Régulière")*'Paramètres'!$B$39+IF(AND(N(AA494)&gt;0,TODAY()-N(AA494)&lt;=30),'Paramètres'!$B$40,0)+(W494="")*'Paramètres'!$B$41+(AC494="Absente")*'Paramètres'!$B$42+(AC494="Faible")*'Paramètres'!$B$43+IF(AND(N(AD494)&gt;0,N(AD494)&lt;4),'Paramètres'!$B$44,0)+(AF494="Moyenne")*'Paramètres'!$B$45+(AF494="Grande")*'Paramètres'!$B$46+(Y494&lt;&gt;"")*'Paramètres'!$B$47))</f>
        <v/>
      </c>
      <c r="F494" s="60">
        <f>IF(C494="","",IF(D494="Gagné","",IF(D494="Perdu",IF(AND(AX494&lt;&gt;"",AX494&lt;=TODAY()),"À recontacter (perdu)",""),IF(AND(O494&gt;='Paramètres'!$B$21,P494=0),"Stop : "&amp;'Paramètres'!$B$21&amp;" tentatives sans réponse",IF(AND(D494="Proposition",AR494&lt;&gt;"",TODAY()&gt;N(AR494)),"Proposition expirée",IF(AND(D494="Proposition",N(R494)&gt;='Paramètres'!$B$25),"Proposition sans réponse",IF(AND(G494&lt;&gt;"",N(G494)&lt;TODAY()),"Relance en retard",IF(N(R494)&gt;='Paramètres'!$B$24,"Sans action depuis "&amp;R494&amp;" j",""))))))))</f>
        <v/>
      </c>
      <c r="G494" s="106">
        <f>IF(OR(C494="",D494="Gagné",D494="Perdu"),"",IF(AND(BP494&gt;0,BP494=BQ494),INDEX('Saisie'!$J$5:$J$2004,BP494-4),IF(OR(O494=0,AND(O494&gt;='Paramètres'!$B$21,P494=0)),"",Q494+IF(O494&lt;=1,'Paramètres'!$B$18,IF(O494=2,'Paramètres'!$B$19,'Paramètres'!$B$20)))))</f>
        <v/>
      </c>
      <c r="H494" s="107">
        <f>IF(OR(G494="",BP494&lt;&gt;BQ494),"",IF(INDEX('Saisie'!$K$5:$K$2004,BP494-4)="","",INDEX('Saisie'!$K$5:$K$2004,BP494-4)))</f>
        <v/>
      </c>
      <c r="I494" s="60">
        <f>IF(C494="","",IF(OR(D494="Gagné",D494="Perdu"),"",IFERROR(INDEX('Saisie'!$I$5:$I$2004,_xlfn.MAXIFS('Saisie'!$AS$5:$AS$2004,'Saisie'!$C$5:$C$2004,C494,'Saisie'!$I$5:$I$2004,"&lt;&gt;")-4),"")))</f>
        <v/>
      </c>
      <c r="J494" s="60">
        <f>IF(C494="","",IFERROR(INDEX('Saisie'!$U$5:$U$2004,_xlfn.MAXIFS('Saisie'!$AS$5:$AS$2004,'Saisie'!$C$5:$C$2004,C494,'Saisie'!$U$5:$U$2004,"&lt;&gt;")-4),""))</f>
        <v/>
      </c>
      <c r="K494" s="60">
        <f>IF(C494="","",IFERROR(INDEX('Saisie'!$W$5:$W$2004,_xlfn.MAXIFS('Saisie'!$AS$5:$AS$2004,'Saisie'!$C$5:$C$2004,C494,'Saisie'!$W$5:$W$2004,"&lt;&gt;")-4),""))</f>
        <v/>
      </c>
      <c r="L494" s="60">
        <f>IF(IF(BB494&lt;&gt;"",BB494,K494)="","",HYPERLINK("https://wa.me/"&amp;IF(LEFT(SUBSTITUTE(SUBSTITUTE(SUBSTITUTE(IF(BB494&lt;&gt;"",BB494,K494)," ",""),".",""),"+",""),1)="0",'Paramètres'!$B$35&amp;MID(SUBSTITUTE(SUBSTITUTE(SUBSTITUTE(IF(BB494&lt;&gt;"",BB494,K494)," ",""),".",""),"+",""),2,20),SUBSTITUTE(SUBSTITUTE(SUBSTITUTE(IF(BB494&lt;&gt;"",BB494,K494)," ",""),".",""),"+","")),"WhatsApp"))</f>
        <v/>
      </c>
      <c r="M494" s="60">
        <f>IF(BC494="","",HYPERLINK(IF(LEFT(BC494,4)="http",BC494,"https://www.instagram.com/"&amp;SUBSTITUTE(SUBSTITUTE(BC494,"@","")," ","")),BC494))</f>
        <v/>
      </c>
      <c r="N494" s="60">
        <f>IF(C494="","",IFERROR(INDEX('Saisie'!$D$5:$D$2004,_xlfn.MINIFS('Saisie'!$AS$5:$AS$2004,'Saisie'!$C$5:$C$2004,C494,'Saisie'!$AU$5:$AU$2004,1)-4),IFERROR(INDEX('Saisie'!$D$5:$D$2004,_xlfn.MINIFS('Saisie'!$AS$5:$AS$2004,'Saisie'!$C$5:$C$2004,C494,'Saisie'!$D$5:$D$2004,"&lt;&gt;")-4),"")))</f>
        <v/>
      </c>
      <c r="O494" s="60">
        <f>IF(C494="","",COUNTIFS('Saisie'!$C$5:$C$2004,C494,'Saisie'!$AU$5:$AU$2004,1))</f>
        <v/>
      </c>
      <c r="P494" s="60">
        <f>IF(C494="","",COUNTIFS('Saisie'!$C$5:$C$2004,C494,'Saisie'!$AV$5:$AV$2004,1))</f>
        <v/>
      </c>
      <c r="Q494" s="106">
        <f>IF(C494="","",IFERROR(1/(1/_xlfn.MAXIFS('Saisie'!$A$5:$A$2004,'Saisie'!$C$5:$C$2004,C494)),""))</f>
        <v/>
      </c>
      <c r="R494" s="61">
        <f>IF(C494="","",IF(Q494="","",TODAY()-Q494))</f>
        <v/>
      </c>
      <c r="S494" s="60">
        <f>IF(C494="","",IFERROR(INDEX('Saisie'!$R$5:$R$2004,_xlfn.MAXIFS('Saisie'!$AS$5:$AS$2004,'Saisie'!$C$5:$C$2004,C494,'Saisie'!$R$5:$R$2004,"&lt;&gt;")-4),""))</f>
        <v/>
      </c>
      <c r="T494" s="60">
        <f>IF(C494="","",IFERROR(INDEX('Saisie'!$S$5:$S$2004,_xlfn.MAXIFS('Saisie'!$AS$5:$AS$2004,'Saisie'!$C$5:$C$2004,C494,'Saisie'!$S$5:$S$2004,"&lt;&gt;")-4),""))</f>
        <v/>
      </c>
      <c r="U494" s="60">
        <f>IF(C494="","",IFERROR(INDEX('Saisie'!$T$5:$T$2004,_xlfn.MAXIFS('Saisie'!$AS$5:$AS$2004,'Saisie'!$C$5:$C$2004,C494,'Saisie'!$T$5:$T$2004,"&lt;&gt;")-4),""))</f>
        <v/>
      </c>
      <c r="V494" s="60">
        <f>IF(C494="","",IFERROR(INDEX('Saisie'!$V$5:$V$2004,_xlfn.MAXIFS('Saisie'!$AS$5:$AS$2004,'Saisie'!$C$5:$C$2004,C494,'Saisie'!$V$5:$V$2004,"&lt;&gt;")-4),""))</f>
        <v/>
      </c>
      <c r="W494" s="60">
        <f>IF(C494="","",IFERROR(INDEX('Saisie'!$Z$5:$Z$2004,_xlfn.MAXIFS('Saisie'!$AS$5:$AS$2004,'Saisie'!$C$5:$C$2004,C494,'Saisie'!$Z$5:$Z$2004,"&lt;&gt;")-4),""))</f>
        <v/>
      </c>
      <c r="X494" s="60">
        <f>IF(C494="","",IFERROR(INDEX('Saisie'!$AA$5:$AA$2004,_xlfn.MAXIFS('Saisie'!$AS$5:$AS$2004,'Saisie'!$C$5:$C$2004,C494,'Saisie'!$AA$5:$AA$2004,"&lt;&gt;")-4),""))</f>
        <v/>
      </c>
      <c r="Y494" s="60">
        <f>IF(C494="","",IFERROR(INDEX('Saisie'!$AB$5:$AB$2004,_xlfn.MAXIFS('Saisie'!$AS$5:$AS$2004,'Saisie'!$C$5:$C$2004,C494,'Saisie'!$AB$5:$AB$2004,"&lt;&gt;")-4),""))</f>
        <v/>
      </c>
      <c r="Z494" s="60">
        <f>IF(C494="","",IFERROR(INDEX('Saisie'!$AC$5:$AC$2004,_xlfn.MAXIFS('Saisie'!$AS$5:$AS$2004,'Saisie'!$C$5:$C$2004,C494,'Saisie'!$AC$5:$AC$2004,"&lt;&gt;")-4),""))</f>
        <v/>
      </c>
      <c r="AA494" s="106">
        <f>IF(C494="","",IFERROR(INDEX('Saisie'!$AD$5:$AD$2004,_xlfn.MAXIFS('Saisie'!$AS$5:$AS$2004,'Saisie'!$C$5:$C$2004,C494,'Saisie'!$AD$5:$AD$2004,"&lt;&gt;")-4),""))</f>
        <v/>
      </c>
      <c r="AB494" s="60">
        <f>IF(C494="","",IFERROR(INDEX('Saisie'!$AE$5:$AE$2004,_xlfn.MAXIFS('Saisie'!$AS$5:$AS$2004,'Saisie'!$C$5:$C$2004,C494,'Saisie'!$AE$5:$AE$2004,"&lt;&gt;")-4),""))</f>
        <v/>
      </c>
      <c r="AC494" s="60">
        <f>IF(C494="","",IFERROR(INDEX('Saisie'!$AF$5:$AF$2004,_xlfn.MAXIFS('Saisie'!$AS$5:$AS$2004,'Saisie'!$C$5:$C$2004,C494,'Saisie'!$AF$5:$AF$2004,"&lt;&gt;")-4),""))</f>
        <v/>
      </c>
      <c r="AD494" s="108">
        <f>IF(C494="","",IFERROR(INDEX('Saisie'!$AG$5:$AG$2004,_xlfn.MAXIFS('Saisie'!$AS$5:$AS$2004,'Saisie'!$C$5:$C$2004,C494,'Saisie'!$AG$5:$AG$2004,"&lt;&gt;")-4),""))</f>
        <v/>
      </c>
      <c r="AE494" s="60">
        <f>IF(C494="","",IFERROR(INDEX('Saisie'!$AH$5:$AH$2004,_xlfn.MAXIFS('Saisie'!$AS$5:$AS$2004,'Saisie'!$C$5:$C$2004,C494,'Saisie'!$AH$5:$AH$2004,"&lt;&gt;")-4),""))</f>
        <v/>
      </c>
      <c r="AF494" s="60">
        <f>IF(C494="","",IFERROR(INDEX('Saisie'!$AI$5:$AI$2004,_xlfn.MAXIFS('Saisie'!$AS$5:$AS$2004,'Saisie'!$C$5:$C$2004,C494,'Saisie'!$AI$5:$AI$2004,"&lt;&gt;")-4),""))</f>
        <v/>
      </c>
      <c r="AG494" s="60">
        <f>IF(C494="","",IFERROR(INDEX('Saisie'!$AJ$5:$AJ$2004,_xlfn.MAXIFS('Saisie'!$AS$5:$AS$2004,'Saisie'!$C$5:$C$2004,C494,'Saisie'!$AJ$5:$AJ$2004,"&lt;&gt;")-4),""))</f>
        <v/>
      </c>
      <c r="AH494" s="60">
        <f>IF(C494="","",IFERROR(INDEX('Saisie'!$AK$5:$AK$2004,_xlfn.MAXIFS('Saisie'!$AS$5:$AS$2004,'Saisie'!$C$5:$C$2004,C494,'Saisie'!$AK$5:$AK$2004,"&lt;&gt;")-4),""))</f>
        <v/>
      </c>
      <c r="AI494" s="60">
        <f>IF(C494="","",IFERROR(INDEX('Saisie'!$AN$5:$AN$2004,_xlfn.MAXIFS('Saisie'!$AS$5:$AS$2004,'Saisie'!$C$5:$C$2004,C494,'Saisie'!$AN$5:$AN$2004,"&lt;&gt;")-4),""))</f>
        <v/>
      </c>
      <c r="AJ494" s="60">
        <f>IF(C494="","",IFERROR(INDEX('Saisie'!$AO$5:$AO$2004,_xlfn.MAXIFS('Saisie'!$AS$5:$AS$2004,'Saisie'!$C$5:$C$2004,C494,'Saisie'!$AO$5:$AO$2004,"&lt;&gt;")-4),""))</f>
        <v/>
      </c>
      <c r="AK494" s="60">
        <f>IF(C494="","",IFERROR(INDEX('Saisie'!$AP$5:$AP$2004,_xlfn.MAXIFS('Saisie'!$AS$5:$AS$2004,'Saisie'!$C$5:$C$2004,C494,'Saisie'!$AP$5:$AP$2004,"&lt;&gt;")-4),""))</f>
        <v/>
      </c>
      <c r="AL494" s="60">
        <f>IF(C494="","",IFERROR(INDEX('Saisie'!$AQ$5:$AQ$2004,_xlfn.MAXIFS('Saisie'!$AS$5:$AS$2004,'Saisie'!$C$5:$C$2004,C494,'Saisie'!$AQ$5:$AQ$2004,"&lt;&gt;")-4),""))</f>
        <v/>
      </c>
      <c r="AM494" s="60">
        <f>IF(C494="","",((AI494="Oui")+(AJ494="Oui")+(AK494="Oui")+OR(AL494="Immédiat",AL494="&lt; 1 mois"))&amp;"/4")</f>
        <v/>
      </c>
      <c r="AN494" s="60">
        <f>IF(C494="","",IFERROR(INDEX('Saisie'!$AL$5:$AL$2004,_xlfn.MAXIFS('Saisie'!$AS$5:$AS$2004,'Saisie'!$C$5:$C$2004,C494,'Saisie'!$AL$5:$AL$2004,"&lt;&gt;")-4),""))</f>
        <v/>
      </c>
      <c r="AO494" s="62">
        <f>IF(C494="","",IF(IFERROR(INDEX('Saisie'!$AM$5:$AM$2004,_xlfn.MAXIFS('Saisie'!$AS$5:$AS$2004,'Saisie'!$C$5:$C$2004,C494,'Saisie'!$AM$5:$AM$2004,"&lt;&gt;")-4),"")&lt;&gt;"",IFERROR(INDEX('Saisie'!$AM$5:$AM$2004,_xlfn.MAXIFS('Saisie'!$AS$5:$AS$2004,'Saisie'!$C$5:$C$2004,C494,'Saisie'!$AM$5:$AM$2004,"&lt;&gt;")-4),""),IFERROR(INDEX('Paramètres'!$S$6:$S$15,MATCH(AN494,'Paramètres'!$Q$6:$Q$15,0)),"")))</f>
        <v/>
      </c>
      <c r="AP494" s="62">
        <f>IF(C494="","",IFERROR(INDEX('Saisie'!$AW$5:$AW$2004,_xlfn.MAXIFS('Saisie'!$AS$5:$AS$2004,'Saisie'!$C$5:$C$2004,C494,'Saisie'!$E$5:$E$2004,"Proposition envoyée")-4),""))</f>
        <v/>
      </c>
      <c r="AQ494" s="106">
        <f>IF(C494="","",IFERROR(1/(1/_xlfn.MAXIFS('Saisie'!$A$5:$A$2004,'Saisie'!$C$5:$C$2004,C494,'Saisie'!$E$5:$E$2004,"Proposition envoyée")),""))</f>
        <v/>
      </c>
      <c r="AR494" s="106">
        <f>IF(C494="","",IF(AQ494="","",AQ494+'Paramètres'!$B$26))</f>
        <v/>
      </c>
      <c r="AS494" s="62">
        <f>IF(OR(C494="",D494="Gagné",D494="Perdu"),0,N(AP494)*IFERROR(INDEX('Paramètres'!$G$6:$G$13,MATCH(D494,'Paramètres'!$F$6:$F$13,0)),0))</f>
        <v/>
      </c>
      <c r="AT494" s="106">
        <f>IF(C494="","",IFERROR(1/(1/_xlfn.MINIFS('Saisie'!$A$5:$A$2004,'Saisie'!$C$5:$C$2004,C494,'Saisie'!$E$5:$E$2004,"Signature")),""))</f>
        <v/>
      </c>
      <c r="AU494" s="60">
        <f>IF(C494="","",IF(OR(AT494="",B494=""),"",AT494-B494))</f>
        <v/>
      </c>
      <c r="AV494" s="60">
        <f>IF(C494="","",IFERROR(INDEX('Saisie'!$L$5:$L$2004,_xlfn.MAXIFS('Saisie'!$AS$5:$AS$2004,'Saisie'!$C$5:$C$2004,C494,'Saisie'!$L$5:$L$2004,"&lt;&gt;")-4),""))</f>
        <v/>
      </c>
      <c r="AW494" s="106">
        <f>IF(C494="","",IF(D494&lt;&gt;"Perdu","",IFERROR(1/(1/_xlfn.MAXIFS('Saisie'!$A$5:$A$2004,'Saisie'!$C$5:$C$2004,C494,'Saisie'!$E$5:$E$2004,"Perdu")),"")))</f>
        <v/>
      </c>
      <c r="AX494" s="106">
        <f>IF(C494="","",IF(AW494="","",AW494+'Paramètres'!$B$28))</f>
        <v/>
      </c>
      <c r="AY494" s="60">
        <f>IF(C494="","",SUMIFS('Saisie'!$H$5:$H$2004,'Saisie'!$C$5:$C$2004,C494))</f>
        <v/>
      </c>
      <c r="AZ494" s="60">
        <f>IF(C494="","",IFERROR(INDEX('Paramètres'!$W$6:$W$20,MATCH(S494,'Paramètres'!$V$6:$V$20,0))&amp;"",""))</f>
        <v/>
      </c>
      <c r="BA494" s="60">
        <f>IF(C494="","",MAX(1,_xlfn.MAXIFS('Saisie'!$AT$5:$AT$2004,'Saisie'!$C$5:$C$2004,C494)))</f>
        <v/>
      </c>
      <c r="BB494" s="60">
        <f>IF(C494="","",IFERROR(INDEX('Saisie'!$X$5:$X$2004,_xlfn.MAXIFS('Saisie'!$AS$5:$AS$2004,'Saisie'!$C$5:$C$2004,C494,'Saisie'!$X$5:$X$2004,"&lt;&gt;")-4),""))</f>
        <v/>
      </c>
      <c r="BC494" s="60">
        <f>IF(C494="","",IFERROR(INDEX('Saisie'!$Y$5:$Y$2004,_xlfn.MAXIFS('Saisie'!$AS$5:$AS$2004,'Saisie'!$C$5:$C$2004,C494,'Saisie'!$Y$5:$Y$2004,"&lt;&gt;")-4),""))</f>
        <v/>
      </c>
      <c r="BD494" s="106">
        <f>IF(C494="","",IFERROR(1/(1/_xlfn.MINIFS('Saisie'!$A$5:$A$2004,'Saisie'!$C$5:$C$2004,C494,'Saisie'!$AT$5:$AT$2004,"&gt;=2")),""))</f>
        <v/>
      </c>
      <c r="BE494" s="106">
        <f>IF(C494="","",IFERROR(1/(1/_xlfn.MINIFS('Saisie'!$A$5:$A$2004,'Saisie'!$C$5:$C$2004,C494,'Saisie'!$AT$5:$AT$2004,"&gt;=3")),""))</f>
        <v/>
      </c>
      <c r="BF494" s="106">
        <f>IF(C494="","",IFERROR(1/(1/_xlfn.MINIFS('Saisie'!$A$5:$A$2004,'Saisie'!$C$5:$C$2004,C494,'Saisie'!$AT$5:$AT$2004,"&gt;=4")),""))</f>
        <v/>
      </c>
      <c r="BG494" s="106">
        <f>IF(C494="","",IFERROR(1/(1/_xlfn.MINIFS('Saisie'!$A$5:$A$2004,'Saisie'!$C$5:$C$2004,C494,'Saisie'!$AT$5:$AT$2004,"&gt;=5")),""))</f>
        <v/>
      </c>
      <c r="BH494" s="106">
        <f>IF(C494="","",IFERROR(1/(1/_xlfn.MINIFS('Saisie'!$A$5:$A$2004,'Saisie'!$C$5:$C$2004,C494,'Saisie'!$AT$5:$AT$2004,"&gt;=6")),""))</f>
        <v/>
      </c>
      <c r="BI494" s="106">
        <f>IF(C494="","",IFERROR(1/(1/_xlfn.MINIFS('Saisie'!$A$5:$A$2004,'Saisie'!$C$5:$C$2004,C494,'Saisie'!$AT$5:$AT$2004,"&gt;=7")),""))</f>
        <v/>
      </c>
      <c r="BJ494" s="60">
        <f>IF(OR(BD494="",B494=""),"",BD494-B494)</f>
        <v/>
      </c>
      <c r="BK494" s="60">
        <f>IF(OR(BE494="",BD494=""),"",BE494-BD494)</f>
        <v/>
      </c>
      <c r="BL494" s="60">
        <f>IF(OR(BF494="",BE494=""),"",BF494-BE494)</f>
        <v/>
      </c>
      <c r="BM494" s="60">
        <f>IF(OR(BG494="",BF494=""),"",BG494-BF494)</f>
        <v/>
      </c>
      <c r="BN494" s="60">
        <f>IF(OR(BH494="",BG494=""),"",BH494-BG494)</f>
        <v/>
      </c>
      <c r="BO494" s="60">
        <f>IF(OR(BI494="",BH494=""),"",BI494-BH494)</f>
        <v/>
      </c>
      <c r="BP494" s="60">
        <f>IF(C494="","",_xlfn.MAXIFS('Saisie'!$AS$5:$AS$2004,'Saisie'!$C$5:$C$2004,C494,'Saisie'!$J$5:$J$2004,"&lt;&gt;"))</f>
        <v/>
      </c>
      <c r="BQ494" s="60">
        <f>IF(C494="","",_xlfn.MAXIFS('Saisie'!$AS$5:$AS$2004,'Saisie'!$C$5:$C$2004,C494))</f>
        <v/>
      </c>
      <c r="BR494" s="60">
        <f>IF(C494="","",_xlfn.MAXIFS('Saisie'!$AS$5:$AS$2004,'Saisie'!$C$5:$C$2004,C494,'Saisie'!$E$5:$E$2004,"Perdu"))</f>
        <v/>
      </c>
      <c r="BS494" s="60">
        <f>IF(C494="","",_xlfn.MAXIFS('Saisie'!$AS$5:$AS$2004,'Saisie'!$C$5:$C$2004,C494,'Saisie'!$AT$5:$AT$2004,"&gt;0"))</f>
        <v/>
      </c>
      <c r="BT494" s="109">
        <f>IF(AND(C494&lt;&gt;"",OR(D494="Nouveau",D494="Contacté",D494="Qualifié"),OR(G494="",N(G494)&lt;=TODAY()),NOT(AND(O494&gt;='Paramètres'!$B$21,P494=0))),E494+490/10000,"")</f>
        <v/>
      </c>
      <c r="BU494" s="60">
        <f>IF(AND(G494&lt;&gt;"",N(G494)&lt;=TODAY()),MAX($BU$4:BU493)+1,"")</f>
        <v/>
      </c>
      <c r="BV494" s="60">
        <f>IF(AND(F494&lt;&gt;"",F494&lt;&gt;"Relance en retard"),MAX($BV$4:BV493)+1,"")</f>
        <v/>
      </c>
      <c r="BW494" s="60">
        <f>IF(C494="","",IF(AND(B494&gt;='Tableau de bord'!$R$4,B494&lt;='Tableau de bord'!$S$4,OR('Tableau de bord'!$G$4="Tous",N494='Tableau de bord'!$G$4)),1,0))</f>
        <v/>
      </c>
      <c r="BX494" s="60">
        <f>IF(AND(C494&lt;&gt;"",N(BA494)=7),MAX($BX$4:BX493)+1,"")</f>
        <v/>
      </c>
    </row>
    <row r="495">
      <c r="A495" s="60">
        <f>IF(C495="","","P-"&amp;TEXT(491,"000"))</f>
        <v/>
      </c>
      <c r="B495" s="106">
        <f>IF(C495="","",IFERROR(1/(1/_xlfn.MINIFS('Saisie'!$A$5:$A$2004,'Saisie'!$C$5:$C$2004,C495)),""))</f>
        <v/>
      </c>
      <c r="C495" s="60">
        <f>IFERROR(INDEX('Saisie'!$C$5:$C$2004,MATCH(491,'Saisie'!$AX$5:$AX$2004,0)),"")</f>
        <v/>
      </c>
      <c r="D495" s="60">
        <f>IF(C495="","",IF(AND(BR495&gt;0,BR495&gt;BS495,BA495&lt;7),"Perdu",INDEX('Paramètres'!$F$6:$F$13,BA495)))</f>
        <v/>
      </c>
      <c r="E495" s="61">
        <f>IF(C495="","",MIN(100,(Z495="Oui")*'Paramètres'!$B$38+(AB495="Régulière")*'Paramètres'!$B$39+IF(AND(N(AA495)&gt;0,TODAY()-N(AA495)&lt;=30),'Paramètres'!$B$40,0)+(W495="")*'Paramètres'!$B$41+(AC495="Absente")*'Paramètres'!$B$42+(AC495="Faible")*'Paramètres'!$B$43+IF(AND(N(AD495)&gt;0,N(AD495)&lt;4),'Paramètres'!$B$44,0)+(AF495="Moyenne")*'Paramètres'!$B$45+(AF495="Grande")*'Paramètres'!$B$46+(Y495&lt;&gt;"")*'Paramètres'!$B$47))</f>
        <v/>
      </c>
      <c r="F495" s="60">
        <f>IF(C495="","",IF(D495="Gagné","",IF(D495="Perdu",IF(AND(AX495&lt;&gt;"",AX495&lt;=TODAY()),"À recontacter (perdu)",""),IF(AND(O495&gt;='Paramètres'!$B$21,P495=0),"Stop : "&amp;'Paramètres'!$B$21&amp;" tentatives sans réponse",IF(AND(D495="Proposition",AR495&lt;&gt;"",TODAY()&gt;N(AR495)),"Proposition expirée",IF(AND(D495="Proposition",N(R495)&gt;='Paramètres'!$B$25),"Proposition sans réponse",IF(AND(G495&lt;&gt;"",N(G495)&lt;TODAY()),"Relance en retard",IF(N(R495)&gt;='Paramètres'!$B$24,"Sans action depuis "&amp;R495&amp;" j",""))))))))</f>
        <v/>
      </c>
      <c r="G495" s="106">
        <f>IF(OR(C495="",D495="Gagné",D495="Perdu"),"",IF(AND(BP495&gt;0,BP495=BQ495),INDEX('Saisie'!$J$5:$J$2004,BP495-4),IF(OR(O495=0,AND(O495&gt;='Paramètres'!$B$21,P495=0)),"",Q495+IF(O495&lt;=1,'Paramètres'!$B$18,IF(O495=2,'Paramètres'!$B$19,'Paramètres'!$B$20)))))</f>
        <v/>
      </c>
      <c r="H495" s="107">
        <f>IF(OR(G495="",BP495&lt;&gt;BQ495),"",IF(INDEX('Saisie'!$K$5:$K$2004,BP495-4)="","",INDEX('Saisie'!$K$5:$K$2004,BP495-4)))</f>
        <v/>
      </c>
      <c r="I495" s="60">
        <f>IF(C495="","",IF(OR(D495="Gagné",D495="Perdu"),"",IFERROR(INDEX('Saisie'!$I$5:$I$2004,_xlfn.MAXIFS('Saisie'!$AS$5:$AS$2004,'Saisie'!$C$5:$C$2004,C495,'Saisie'!$I$5:$I$2004,"&lt;&gt;")-4),"")))</f>
        <v/>
      </c>
      <c r="J495" s="60">
        <f>IF(C495="","",IFERROR(INDEX('Saisie'!$U$5:$U$2004,_xlfn.MAXIFS('Saisie'!$AS$5:$AS$2004,'Saisie'!$C$5:$C$2004,C495,'Saisie'!$U$5:$U$2004,"&lt;&gt;")-4),""))</f>
        <v/>
      </c>
      <c r="K495" s="60">
        <f>IF(C495="","",IFERROR(INDEX('Saisie'!$W$5:$W$2004,_xlfn.MAXIFS('Saisie'!$AS$5:$AS$2004,'Saisie'!$C$5:$C$2004,C495,'Saisie'!$W$5:$W$2004,"&lt;&gt;")-4),""))</f>
        <v/>
      </c>
      <c r="L495" s="60">
        <f>IF(IF(BB495&lt;&gt;"",BB495,K495)="","",HYPERLINK("https://wa.me/"&amp;IF(LEFT(SUBSTITUTE(SUBSTITUTE(SUBSTITUTE(IF(BB495&lt;&gt;"",BB495,K495)," ",""),".",""),"+",""),1)="0",'Paramètres'!$B$35&amp;MID(SUBSTITUTE(SUBSTITUTE(SUBSTITUTE(IF(BB495&lt;&gt;"",BB495,K495)," ",""),".",""),"+",""),2,20),SUBSTITUTE(SUBSTITUTE(SUBSTITUTE(IF(BB495&lt;&gt;"",BB495,K495)," ",""),".",""),"+","")),"WhatsApp"))</f>
        <v/>
      </c>
      <c r="M495" s="60">
        <f>IF(BC495="","",HYPERLINK(IF(LEFT(BC495,4)="http",BC495,"https://www.instagram.com/"&amp;SUBSTITUTE(SUBSTITUTE(BC495,"@","")," ","")),BC495))</f>
        <v/>
      </c>
      <c r="N495" s="60">
        <f>IF(C495="","",IFERROR(INDEX('Saisie'!$D$5:$D$2004,_xlfn.MINIFS('Saisie'!$AS$5:$AS$2004,'Saisie'!$C$5:$C$2004,C495,'Saisie'!$AU$5:$AU$2004,1)-4),IFERROR(INDEX('Saisie'!$D$5:$D$2004,_xlfn.MINIFS('Saisie'!$AS$5:$AS$2004,'Saisie'!$C$5:$C$2004,C495,'Saisie'!$D$5:$D$2004,"&lt;&gt;")-4),"")))</f>
        <v/>
      </c>
      <c r="O495" s="60">
        <f>IF(C495="","",COUNTIFS('Saisie'!$C$5:$C$2004,C495,'Saisie'!$AU$5:$AU$2004,1))</f>
        <v/>
      </c>
      <c r="P495" s="60">
        <f>IF(C495="","",COUNTIFS('Saisie'!$C$5:$C$2004,C495,'Saisie'!$AV$5:$AV$2004,1))</f>
        <v/>
      </c>
      <c r="Q495" s="106">
        <f>IF(C495="","",IFERROR(1/(1/_xlfn.MAXIFS('Saisie'!$A$5:$A$2004,'Saisie'!$C$5:$C$2004,C495)),""))</f>
        <v/>
      </c>
      <c r="R495" s="61">
        <f>IF(C495="","",IF(Q495="","",TODAY()-Q495))</f>
        <v/>
      </c>
      <c r="S495" s="60">
        <f>IF(C495="","",IFERROR(INDEX('Saisie'!$R$5:$R$2004,_xlfn.MAXIFS('Saisie'!$AS$5:$AS$2004,'Saisie'!$C$5:$C$2004,C495,'Saisie'!$R$5:$R$2004,"&lt;&gt;")-4),""))</f>
        <v/>
      </c>
      <c r="T495" s="60">
        <f>IF(C495="","",IFERROR(INDEX('Saisie'!$S$5:$S$2004,_xlfn.MAXIFS('Saisie'!$AS$5:$AS$2004,'Saisie'!$C$5:$C$2004,C495,'Saisie'!$S$5:$S$2004,"&lt;&gt;")-4),""))</f>
        <v/>
      </c>
      <c r="U495" s="60">
        <f>IF(C495="","",IFERROR(INDEX('Saisie'!$T$5:$T$2004,_xlfn.MAXIFS('Saisie'!$AS$5:$AS$2004,'Saisie'!$C$5:$C$2004,C495,'Saisie'!$T$5:$T$2004,"&lt;&gt;")-4),""))</f>
        <v/>
      </c>
      <c r="V495" s="60">
        <f>IF(C495="","",IFERROR(INDEX('Saisie'!$V$5:$V$2004,_xlfn.MAXIFS('Saisie'!$AS$5:$AS$2004,'Saisie'!$C$5:$C$2004,C495,'Saisie'!$V$5:$V$2004,"&lt;&gt;")-4),""))</f>
        <v/>
      </c>
      <c r="W495" s="60">
        <f>IF(C495="","",IFERROR(INDEX('Saisie'!$Z$5:$Z$2004,_xlfn.MAXIFS('Saisie'!$AS$5:$AS$2004,'Saisie'!$C$5:$C$2004,C495,'Saisie'!$Z$5:$Z$2004,"&lt;&gt;")-4),""))</f>
        <v/>
      </c>
      <c r="X495" s="60">
        <f>IF(C495="","",IFERROR(INDEX('Saisie'!$AA$5:$AA$2004,_xlfn.MAXIFS('Saisie'!$AS$5:$AS$2004,'Saisie'!$C$5:$C$2004,C495,'Saisie'!$AA$5:$AA$2004,"&lt;&gt;")-4),""))</f>
        <v/>
      </c>
      <c r="Y495" s="60">
        <f>IF(C495="","",IFERROR(INDEX('Saisie'!$AB$5:$AB$2004,_xlfn.MAXIFS('Saisie'!$AS$5:$AS$2004,'Saisie'!$C$5:$C$2004,C495,'Saisie'!$AB$5:$AB$2004,"&lt;&gt;")-4),""))</f>
        <v/>
      </c>
      <c r="Z495" s="60">
        <f>IF(C495="","",IFERROR(INDEX('Saisie'!$AC$5:$AC$2004,_xlfn.MAXIFS('Saisie'!$AS$5:$AS$2004,'Saisie'!$C$5:$C$2004,C495,'Saisie'!$AC$5:$AC$2004,"&lt;&gt;")-4),""))</f>
        <v/>
      </c>
      <c r="AA495" s="106">
        <f>IF(C495="","",IFERROR(INDEX('Saisie'!$AD$5:$AD$2004,_xlfn.MAXIFS('Saisie'!$AS$5:$AS$2004,'Saisie'!$C$5:$C$2004,C495,'Saisie'!$AD$5:$AD$2004,"&lt;&gt;")-4),""))</f>
        <v/>
      </c>
      <c r="AB495" s="60">
        <f>IF(C495="","",IFERROR(INDEX('Saisie'!$AE$5:$AE$2004,_xlfn.MAXIFS('Saisie'!$AS$5:$AS$2004,'Saisie'!$C$5:$C$2004,C495,'Saisie'!$AE$5:$AE$2004,"&lt;&gt;")-4),""))</f>
        <v/>
      </c>
      <c r="AC495" s="60">
        <f>IF(C495="","",IFERROR(INDEX('Saisie'!$AF$5:$AF$2004,_xlfn.MAXIFS('Saisie'!$AS$5:$AS$2004,'Saisie'!$C$5:$C$2004,C495,'Saisie'!$AF$5:$AF$2004,"&lt;&gt;")-4),""))</f>
        <v/>
      </c>
      <c r="AD495" s="108">
        <f>IF(C495="","",IFERROR(INDEX('Saisie'!$AG$5:$AG$2004,_xlfn.MAXIFS('Saisie'!$AS$5:$AS$2004,'Saisie'!$C$5:$C$2004,C495,'Saisie'!$AG$5:$AG$2004,"&lt;&gt;")-4),""))</f>
        <v/>
      </c>
      <c r="AE495" s="60">
        <f>IF(C495="","",IFERROR(INDEX('Saisie'!$AH$5:$AH$2004,_xlfn.MAXIFS('Saisie'!$AS$5:$AS$2004,'Saisie'!$C$5:$C$2004,C495,'Saisie'!$AH$5:$AH$2004,"&lt;&gt;")-4),""))</f>
        <v/>
      </c>
      <c r="AF495" s="60">
        <f>IF(C495="","",IFERROR(INDEX('Saisie'!$AI$5:$AI$2004,_xlfn.MAXIFS('Saisie'!$AS$5:$AS$2004,'Saisie'!$C$5:$C$2004,C495,'Saisie'!$AI$5:$AI$2004,"&lt;&gt;")-4),""))</f>
        <v/>
      </c>
      <c r="AG495" s="60">
        <f>IF(C495="","",IFERROR(INDEX('Saisie'!$AJ$5:$AJ$2004,_xlfn.MAXIFS('Saisie'!$AS$5:$AS$2004,'Saisie'!$C$5:$C$2004,C495,'Saisie'!$AJ$5:$AJ$2004,"&lt;&gt;")-4),""))</f>
        <v/>
      </c>
      <c r="AH495" s="60">
        <f>IF(C495="","",IFERROR(INDEX('Saisie'!$AK$5:$AK$2004,_xlfn.MAXIFS('Saisie'!$AS$5:$AS$2004,'Saisie'!$C$5:$C$2004,C495,'Saisie'!$AK$5:$AK$2004,"&lt;&gt;")-4),""))</f>
        <v/>
      </c>
      <c r="AI495" s="60">
        <f>IF(C495="","",IFERROR(INDEX('Saisie'!$AN$5:$AN$2004,_xlfn.MAXIFS('Saisie'!$AS$5:$AS$2004,'Saisie'!$C$5:$C$2004,C495,'Saisie'!$AN$5:$AN$2004,"&lt;&gt;")-4),""))</f>
        <v/>
      </c>
      <c r="AJ495" s="60">
        <f>IF(C495="","",IFERROR(INDEX('Saisie'!$AO$5:$AO$2004,_xlfn.MAXIFS('Saisie'!$AS$5:$AS$2004,'Saisie'!$C$5:$C$2004,C495,'Saisie'!$AO$5:$AO$2004,"&lt;&gt;")-4),""))</f>
        <v/>
      </c>
      <c r="AK495" s="60">
        <f>IF(C495="","",IFERROR(INDEX('Saisie'!$AP$5:$AP$2004,_xlfn.MAXIFS('Saisie'!$AS$5:$AS$2004,'Saisie'!$C$5:$C$2004,C495,'Saisie'!$AP$5:$AP$2004,"&lt;&gt;")-4),""))</f>
        <v/>
      </c>
      <c r="AL495" s="60">
        <f>IF(C495="","",IFERROR(INDEX('Saisie'!$AQ$5:$AQ$2004,_xlfn.MAXIFS('Saisie'!$AS$5:$AS$2004,'Saisie'!$C$5:$C$2004,C495,'Saisie'!$AQ$5:$AQ$2004,"&lt;&gt;")-4),""))</f>
        <v/>
      </c>
      <c r="AM495" s="60">
        <f>IF(C495="","",((AI495="Oui")+(AJ495="Oui")+(AK495="Oui")+OR(AL495="Immédiat",AL495="&lt; 1 mois"))&amp;"/4")</f>
        <v/>
      </c>
      <c r="AN495" s="60">
        <f>IF(C495="","",IFERROR(INDEX('Saisie'!$AL$5:$AL$2004,_xlfn.MAXIFS('Saisie'!$AS$5:$AS$2004,'Saisie'!$C$5:$C$2004,C495,'Saisie'!$AL$5:$AL$2004,"&lt;&gt;")-4),""))</f>
        <v/>
      </c>
      <c r="AO495" s="62">
        <f>IF(C495="","",IF(IFERROR(INDEX('Saisie'!$AM$5:$AM$2004,_xlfn.MAXIFS('Saisie'!$AS$5:$AS$2004,'Saisie'!$C$5:$C$2004,C495,'Saisie'!$AM$5:$AM$2004,"&lt;&gt;")-4),"")&lt;&gt;"",IFERROR(INDEX('Saisie'!$AM$5:$AM$2004,_xlfn.MAXIFS('Saisie'!$AS$5:$AS$2004,'Saisie'!$C$5:$C$2004,C495,'Saisie'!$AM$5:$AM$2004,"&lt;&gt;")-4),""),IFERROR(INDEX('Paramètres'!$S$6:$S$15,MATCH(AN495,'Paramètres'!$Q$6:$Q$15,0)),"")))</f>
        <v/>
      </c>
      <c r="AP495" s="62">
        <f>IF(C495="","",IFERROR(INDEX('Saisie'!$AW$5:$AW$2004,_xlfn.MAXIFS('Saisie'!$AS$5:$AS$2004,'Saisie'!$C$5:$C$2004,C495,'Saisie'!$E$5:$E$2004,"Proposition envoyée")-4),""))</f>
        <v/>
      </c>
      <c r="AQ495" s="106">
        <f>IF(C495="","",IFERROR(1/(1/_xlfn.MAXIFS('Saisie'!$A$5:$A$2004,'Saisie'!$C$5:$C$2004,C495,'Saisie'!$E$5:$E$2004,"Proposition envoyée")),""))</f>
        <v/>
      </c>
      <c r="AR495" s="106">
        <f>IF(C495="","",IF(AQ495="","",AQ495+'Paramètres'!$B$26))</f>
        <v/>
      </c>
      <c r="AS495" s="62">
        <f>IF(OR(C495="",D495="Gagné",D495="Perdu"),0,N(AP495)*IFERROR(INDEX('Paramètres'!$G$6:$G$13,MATCH(D495,'Paramètres'!$F$6:$F$13,0)),0))</f>
        <v/>
      </c>
      <c r="AT495" s="106">
        <f>IF(C495="","",IFERROR(1/(1/_xlfn.MINIFS('Saisie'!$A$5:$A$2004,'Saisie'!$C$5:$C$2004,C495,'Saisie'!$E$5:$E$2004,"Signature")),""))</f>
        <v/>
      </c>
      <c r="AU495" s="60">
        <f>IF(C495="","",IF(OR(AT495="",B495=""),"",AT495-B495))</f>
        <v/>
      </c>
      <c r="AV495" s="60">
        <f>IF(C495="","",IFERROR(INDEX('Saisie'!$L$5:$L$2004,_xlfn.MAXIFS('Saisie'!$AS$5:$AS$2004,'Saisie'!$C$5:$C$2004,C495,'Saisie'!$L$5:$L$2004,"&lt;&gt;")-4),""))</f>
        <v/>
      </c>
      <c r="AW495" s="106">
        <f>IF(C495="","",IF(D495&lt;&gt;"Perdu","",IFERROR(1/(1/_xlfn.MAXIFS('Saisie'!$A$5:$A$2004,'Saisie'!$C$5:$C$2004,C495,'Saisie'!$E$5:$E$2004,"Perdu")),"")))</f>
        <v/>
      </c>
      <c r="AX495" s="106">
        <f>IF(C495="","",IF(AW495="","",AW495+'Paramètres'!$B$28))</f>
        <v/>
      </c>
      <c r="AY495" s="60">
        <f>IF(C495="","",SUMIFS('Saisie'!$H$5:$H$2004,'Saisie'!$C$5:$C$2004,C495))</f>
        <v/>
      </c>
      <c r="AZ495" s="60">
        <f>IF(C495="","",IFERROR(INDEX('Paramètres'!$W$6:$W$20,MATCH(S495,'Paramètres'!$V$6:$V$20,0))&amp;"",""))</f>
        <v/>
      </c>
      <c r="BA495" s="60">
        <f>IF(C495="","",MAX(1,_xlfn.MAXIFS('Saisie'!$AT$5:$AT$2004,'Saisie'!$C$5:$C$2004,C495)))</f>
        <v/>
      </c>
      <c r="BB495" s="60">
        <f>IF(C495="","",IFERROR(INDEX('Saisie'!$X$5:$X$2004,_xlfn.MAXIFS('Saisie'!$AS$5:$AS$2004,'Saisie'!$C$5:$C$2004,C495,'Saisie'!$X$5:$X$2004,"&lt;&gt;")-4),""))</f>
        <v/>
      </c>
      <c r="BC495" s="60">
        <f>IF(C495="","",IFERROR(INDEX('Saisie'!$Y$5:$Y$2004,_xlfn.MAXIFS('Saisie'!$AS$5:$AS$2004,'Saisie'!$C$5:$C$2004,C495,'Saisie'!$Y$5:$Y$2004,"&lt;&gt;")-4),""))</f>
        <v/>
      </c>
      <c r="BD495" s="106">
        <f>IF(C495="","",IFERROR(1/(1/_xlfn.MINIFS('Saisie'!$A$5:$A$2004,'Saisie'!$C$5:$C$2004,C495,'Saisie'!$AT$5:$AT$2004,"&gt;=2")),""))</f>
        <v/>
      </c>
      <c r="BE495" s="106">
        <f>IF(C495="","",IFERROR(1/(1/_xlfn.MINIFS('Saisie'!$A$5:$A$2004,'Saisie'!$C$5:$C$2004,C495,'Saisie'!$AT$5:$AT$2004,"&gt;=3")),""))</f>
        <v/>
      </c>
      <c r="BF495" s="106">
        <f>IF(C495="","",IFERROR(1/(1/_xlfn.MINIFS('Saisie'!$A$5:$A$2004,'Saisie'!$C$5:$C$2004,C495,'Saisie'!$AT$5:$AT$2004,"&gt;=4")),""))</f>
        <v/>
      </c>
      <c r="BG495" s="106">
        <f>IF(C495="","",IFERROR(1/(1/_xlfn.MINIFS('Saisie'!$A$5:$A$2004,'Saisie'!$C$5:$C$2004,C495,'Saisie'!$AT$5:$AT$2004,"&gt;=5")),""))</f>
        <v/>
      </c>
      <c r="BH495" s="106">
        <f>IF(C495="","",IFERROR(1/(1/_xlfn.MINIFS('Saisie'!$A$5:$A$2004,'Saisie'!$C$5:$C$2004,C495,'Saisie'!$AT$5:$AT$2004,"&gt;=6")),""))</f>
        <v/>
      </c>
      <c r="BI495" s="106">
        <f>IF(C495="","",IFERROR(1/(1/_xlfn.MINIFS('Saisie'!$A$5:$A$2004,'Saisie'!$C$5:$C$2004,C495,'Saisie'!$AT$5:$AT$2004,"&gt;=7")),""))</f>
        <v/>
      </c>
      <c r="BJ495" s="60">
        <f>IF(OR(BD495="",B495=""),"",BD495-B495)</f>
        <v/>
      </c>
      <c r="BK495" s="60">
        <f>IF(OR(BE495="",BD495=""),"",BE495-BD495)</f>
        <v/>
      </c>
      <c r="BL495" s="60">
        <f>IF(OR(BF495="",BE495=""),"",BF495-BE495)</f>
        <v/>
      </c>
      <c r="BM495" s="60">
        <f>IF(OR(BG495="",BF495=""),"",BG495-BF495)</f>
        <v/>
      </c>
      <c r="BN495" s="60">
        <f>IF(OR(BH495="",BG495=""),"",BH495-BG495)</f>
        <v/>
      </c>
      <c r="BO495" s="60">
        <f>IF(OR(BI495="",BH495=""),"",BI495-BH495)</f>
        <v/>
      </c>
      <c r="BP495" s="60">
        <f>IF(C495="","",_xlfn.MAXIFS('Saisie'!$AS$5:$AS$2004,'Saisie'!$C$5:$C$2004,C495,'Saisie'!$J$5:$J$2004,"&lt;&gt;"))</f>
        <v/>
      </c>
      <c r="BQ495" s="60">
        <f>IF(C495="","",_xlfn.MAXIFS('Saisie'!$AS$5:$AS$2004,'Saisie'!$C$5:$C$2004,C495))</f>
        <v/>
      </c>
      <c r="BR495" s="60">
        <f>IF(C495="","",_xlfn.MAXIFS('Saisie'!$AS$5:$AS$2004,'Saisie'!$C$5:$C$2004,C495,'Saisie'!$E$5:$E$2004,"Perdu"))</f>
        <v/>
      </c>
      <c r="BS495" s="60">
        <f>IF(C495="","",_xlfn.MAXIFS('Saisie'!$AS$5:$AS$2004,'Saisie'!$C$5:$C$2004,C495,'Saisie'!$AT$5:$AT$2004,"&gt;0"))</f>
        <v/>
      </c>
      <c r="BT495" s="109">
        <f>IF(AND(C495&lt;&gt;"",OR(D495="Nouveau",D495="Contacté",D495="Qualifié"),OR(G495="",N(G495)&lt;=TODAY()),NOT(AND(O495&gt;='Paramètres'!$B$21,P495=0))),E495+491/10000,"")</f>
        <v/>
      </c>
      <c r="BU495" s="60">
        <f>IF(AND(G495&lt;&gt;"",N(G495)&lt;=TODAY()),MAX($BU$4:BU494)+1,"")</f>
        <v/>
      </c>
      <c r="BV495" s="60">
        <f>IF(AND(F495&lt;&gt;"",F495&lt;&gt;"Relance en retard"),MAX($BV$4:BV494)+1,"")</f>
        <v/>
      </c>
      <c r="BW495" s="60">
        <f>IF(C495="","",IF(AND(B495&gt;='Tableau de bord'!$R$4,B495&lt;='Tableau de bord'!$S$4,OR('Tableau de bord'!$G$4="Tous",N495='Tableau de bord'!$G$4)),1,0))</f>
        <v/>
      </c>
      <c r="BX495" s="60">
        <f>IF(AND(C495&lt;&gt;"",N(BA495)=7),MAX($BX$4:BX494)+1,"")</f>
        <v/>
      </c>
    </row>
    <row r="496">
      <c r="A496" s="60">
        <f>IF(C496="","","P-"&amp;TEXT(492,"000"))</f>
        <v/>
      </c>
      <c r="B496" s="106">
        <f>IF(C496="","",IFERROR(1/(1/_xlfn.MINIFS('Saisie'!$A$5:$A$2004,'Saisie'!$C$5:$C$2004,C496)),""))</f>
        <v/>
      </c>
      <c r="C496" s="60">
        <f>IFERROR(INDEX('Saisie'!$C$5:$C$2004,MATCH(492,'Saisie'!$AX$5:$AX$2004,0)),"")</f>
        <v/>
      </c>
      <c r="D496" s="60">
        <f>IF(C496="","",IF(AND(BR496&gt;0,BR496&gt;BS496,BA496&lt;7),"Perdu",INDEX('Paramètres'!$F$6:$F$13,BA496)))</f>
        <v/>
      </c>
      <c r="E496" s="61">
        <f>IF(C496="","",MIN(100,(Z496="Oui")*'Paramètres'!$B$38+(AB496="Régulière")*'Paramètres'!$B$39+IF(AND(N(AA496)&gt;0,TODAY()-N(AA496)&lt;=30),'Paramètres'!$B$40,0)+(W496="")*'Paramètres'!$B$41+(AC496="Absente")*'Paramètres'!$B$42+(AC496="Faible")*'Paramètres'!$B$43+IF(AND(N(AD496)&gt;0,N(AD496)&lt;4),'Paramètres'!$B$44,0)+(AF496="Moyenne")*'Paramètres'!$B$45+(AF496="Grande")*'Paramètres'!$B$46+(Y496&lt;&gt;"")*'Paramètres'!$B$47))</f>
        <v/>
      </c>
      <c r="F496" s="60">
        <f>IF(C496="","",IF(D496="Gagné","",IF(D496="Perdu",IF(AND(AX496&lt;&gt;"",AX496&lt;=TODAY()),"À recontacter (perdu)",""),IF(AND(O496&gt;='Paramètres'!$B$21,P496=0),"Stop : "&amp;'Paramètres'!$B$21&amp;" tentatives sans réponse",IF(AND(D496="Proposition",AR496&lt;&gt;"",TODAY()&gt;N(AR496)),"Proposition expirée",IF(AND(D496="Proposition",N(R496)&gt;='Paramètres'!$B$25),"Proposition sans réponse",IF(AND(G496&lt;&gt;"",N(G496)&lt;TODAY()),"Relance en retard",IF(N(R496)&gt;='Paramètres'!$B$24,"Sans action depuis "&amp;R496&amp;" j",""))))))))</f>
        <v/>
      </c>
      <c r="G496" s="106">
        <f>IF(OR(C496="",D496="Gagné",D496="Perdu"),"",IF(AND(BP496&gt;0,BP496=BQ496),INDEX('Saisie'!$J$5:$J$2004,BP496-4),IF(OR(O496=0,AND(O496&gt;='Paramètres'!$B$21,P496=0)),"",Q496+IF(O496&lt;=1,'Paramètres'!$B$18,IF(O496=2,'Paramètres'!$B$19,'Paramètres'!$B$20)))))</f>
        <v/>
      </c>
      <c r="H496" s="107">
        <f>IF(OR(G496="",BP496&lt;&gt;BQ496),"",IF(INDEX('Saisie'!$K$5:$K$2004,BP496-4)="","",INDEX('Saisie'!$K$5:$K$2004,BP496-4)))</f>
        <v/>
      </c>
      <c r="I496" s="60">
        <f>IF(C496="","",IF(OR(D496="Gagné",D496="Perdu"),"",IFERROR(INDEX('Saisie'!$I$5:$I$2004,_xlfn.MAXIFS('Saisie'!$AS$5:$AS$2004,'Saisie'!$C$5:$C$2004,C496,'Saisie'!$I$5:$I$2004,"&lt;&gt;")-4),"")))</f>
        <v/>
      </c>
      <c r="J496" s="60">
        <f>IF(C496="","",IFERROR(INDEX('Saisie'!$U$5:$U$2004,_xlfn.MAXIFS('Saisie'!$AS$5:$AS$2004,'Saisie'!$C$5:$C$2004,C496,'Saisie'!$U$5:$U$2004,"&lt;&gt;")-4),""))</f>
        <v/>
      </c>
      <c r="K496" s="60">
        <f>IF(C496="","",IFERROR(INDEX('Saisie'!$W$5:$W$2004,_xlfn.MAXIFS('Saisie'!$AS$5:$AS$2004,'Saisie'!$C$5:$C$2004,C496,'Saisie'!$W$5:$W$2004,"&lt;&gt;")-4),""))</f>
        <v/>
      </c>
      <c r="L496" s="60">
        <f>IF(IF(BB496&lt;&gt;"",BB496,K496)="","",HYPERLINK("https://wa.me/"&amp;IF(LEFT(SUBSTITUTE(SUBSTITUTE(SUBSTITUTE(IF(BB496&lt;&gt;"",BB496,K496)," ",""),".",""),"+",""),1)="0",'Paramètres'!$B$35&amp;MID(SUBSTITUTE(SUBSTITUTE(SUBSTITUTE(IF(BB496&lt;&gt;"",BB496,K496)," ",""),".",""),"+",""),2,20),SUBSTITUTE(SUBSTITUTE(SUBSTITUTE(IF(BB496&lt;&gt;"",BB496,K496)," ",""),".",""),"+","")),"WhatsApp"))</f>
        <v/>
      </c>
      <c r="M496" s="60">
        <f>IF(BC496="","",HYPERLINK(IF(LEFT(BC496,4)="http",BC496,"https://www.instagram.com/"&amp;SUBSTITUTE(SUBSTITUTE(BC496,"@","")," ","")),BC496))</f>
        <v/>
      </c>
      <c r="N496" s="60">
        <f>IF(C496="","",IFERROR(INDEX('Saisie'!$D$5:$D$2004,_xlfn.MINIFS('Saisie'!$AS$5:$AS$2004,'Saisie'!$C$5:$C$2004,C496,'Saisie'!$AU$5:$AU$2004,1)-4),IFERROR(INDEX('Saisie'!$D$5:$D$2004,_xlfn.MINIFS('Saisie'!$AS$5:$AS$2004,'Saisie'!$C$5:$C$2004,C496,'Saisie'!$D$5:$D$2004,"&lt;&gt;")-4),"")))</f>
        <v/>
      </c>
      <c r="O496" s="60">
        <f>IF(C496="","",COUNTIFS('Saisie'!$C$5:$C$2004,C496,'Saisie'!$AU$5:$AU$2004,1))</f>
        <v/>
      </c>
      <c r="P496" s="60">
        <f>IF(C496="","",COUNTIFS('Saisie'!$C$5:$C$2004,C496,'Saisie'!$AV$5:$AV$2004,1))</f>
        <v/>
      </c>
      <c r="Q496" s="106">
        <f>IF(C496="","",IFERROR(1/(1/_xlfn.MAXIFS('Saisie'!$A$5:$A$2004,'Saisie'!$C$5:$C$2004,C496)),""))</f>
        <v/>
      </c>
      <c r="R496" s="61">
        <f>IF(C496="","",IF(Q496="","",TODAY()-Q496))</f>
        <v/>
      </c>
      <c r="S496" s="60">
        <f>IF(C496="","",IFERROR(INDEX('Saisie'!$R$5:$R$2004,_xlfn.MAXIFS('Saisie'!$AS$5:$AS$2004,'Saisie'!$C$5:$C$2004,C496,'Saisie'!$R$5:$R$2004,"&lt;&gt;")-4),""))</f>
        <v/>
      </c>
      <c r="T496" s="60">
        <f>IF(C496="","",IFERROR(INDEX('Saisie'!$S$5:$S$2004,_xlfn.MAXIFS('Saisie'!$AS$5:$AS$2004,'Saisie'!$C$5:$C$2004,C496,'Saisie'!$S$5:$S$2004,"&lt;&gt;")-4),""))</f>
        <v/>
      </c>
      <c r="U496" s="60">
        <f>IF(C496="","",IFERROR(INDEX('Saisie'!$T$5:$T$2004,_xlfn.MAXIFS('Saisie'!$AS$5:$AS$2004,'Saisie'!$C$5:$C$2004,C496,'Saisie'!$T$5:$T$2004,"&lt;&gt;")-4),""))</f>
        <v/>
      </c>
      <c r="V496" s="60">
        <f>IF(C496="","",IFERROR(INDEX('Saisie'!$V$5:$V$2004,_xlfn.MAXIFS('Saisie'!$AS$5:$AS$2004,'Saisie'!$C$5:$C$2004,C496,'Saisie'!$V$5:$V$2004,"&lt;&gt;")-4),""))</f>
        <v/>
      </c>
      <c r="W496" s="60">
        <f>IF(C496="","",IFERROR(INDEX('Saisie'!$Z$5:$Z$2004,_xlfn.MAXIFS('Saisie'!$AS$5:$AS$2004,'Saisie'!$C$5:$C$2004,C496,'Saisie'!$Z$5:$Z$2004,"&lt;&gt;")-4),""))</f>
        <v/>
      </c>
      <c r="X496" s="60">
        <f>IF(C496="","",IFERROR(INDEX('Saisie'!$AA$5:$AA$2004,_xlfn.MAXIFS('Saisie'!$AS$5:$AS$2004,'Saisie'!$C$5:$C$2004,C496,'Saisie'!$AA$5:$AA$2004,"&lt;&gt;")-4),""))</f>
        <v/>
      </c>
      <c r="Y496" s="60">
        <f>IF(C496="","",IFERROR(INDEX('Saisie'!$AB$5:$AB$2004,_xlfn.MAXIFS('Saisie'!$AS$5:$AS$2004,'Saisie'!$C$5:$C$2004,C496,'Saisie'!$AB$5:$AB$2004,"&lt;&gt;")-4),""))</f>
        <v/>
      </c>
      <c r="Z496" s="60">
        <f>IF(C496="","",IFERROR(INDEX('Saisie'!$AC$5:$AC$2004,_xlfn.MAXIFS('Saisie'!$AS$5:$AS$2004,'Saisie'!$C$5:$C$2004,C496,'Saisie'!$AC$5:$AC$2004,"&lt;&gt;")-4),""))</f>
        <v/>
      </c>
      <c r="AA496" s="106">
        <f>IF(C496="","",IFERROR(INDEX('Saisie'!$AD$5:$AD$2004,_xlfn.MAXIFS('Saisie'!$AS$5:$AS$2004,'Saisie'!$C$5:$C$2004,C496,'Saisie'!$AD$5:$AD$2004,"&lt;&gt;")-4),""))</f>
        <v/>
      </c>
      <c r="AB496" s="60">
        <f>IF(C496="","",IFERROR(INDEX('Saisie'!$AE$5:$AE$2004,_xlfn.MAXIFS('Saisie'!$AS$5:$AS$2004,'Saisie'!$C$5:$C$2004,C496,'Saisie'!$AE$5:$AE$2004,"&lt;&gt;")-4),""))</f>
        <v/>
      </c>
      <c r="AC496" s="60">
        <f>IF(C496="","",IFERROR(INDEX('Saisie'!$AF$5:$AF$2004,_xlfn.MAXIFS('Saisie'!$AS$5:$AS$2004,'Saisie'!$C$5:$C$2004,C496,'Saisie'!$AF$5:$AF$2004,"&lt;&gt;")-4),""))</f>
        <v/>
      </c>
      <c r="AD496" s="108">
        <f>IF(C496="","",IFERROR(INDEX('Saisie'!$AG$5:$AG$2004,_xlfn.MAXIFS('Saisie'!$AS$5:$AS$2004,'Saisie'!$C$5:$C$2004,C496,'Saisie'!$AG$5:$AG$2004,"&lt;&gt;")-4),""))</f>
        <v/>
      </c>
      <c r="AE496" s="60">
        <f>IF(C496="","",IFERROR(INDEX('Saisie'!$AH$5:$AH$2004,_xlfn.MAXIFS('Saisie'!$AS$5:$AS$2004,'Saisie'!$C$5:$C$2004,C496,'Saisie'!$AH$5:$AH$2004,"&lt;&gt;")-4),""))</f>
        <v/>
      </c>
      <c r="AF496" s="60">
        <f>IF(C496="","",IFERROR(INDEX('Saisie'!$AI$5:$AI$2004,_xlfn.MAXIFS('Saisie'!$AS$5:$AS$2004,'Saisie'!$C$5:$C$2004,C496,'Saisie'!$AI$5:$AI$2004,"&lt;&gt;")-4),""))</f>
        <v/>
      </c>
      <c r="AG496" s="60">
        <f>IF(C496="","",IFERROR(INDEX('Saisie'!$AJ$5:$AJ$2004,_xlfn.MAXIFS('Saisie'!$AS$5:$AS$2004,'Saisie'!$C$5:$C$2004,C496,'Saisie'!$AJ$5:$AJ$2004,"&lt;&gt;")-4),""))</f>
        <v/>
      </c>
      <c r="AH496" s="60">
        <f>IF(C496="","",IFERROR(INDEX('Saisie'!$AK$5:$AK$2004,_xlfn.MAXIFS('Saisie'!$AS$5:$AS$2004,'Saisie'!$C$5:$C$2004,C496,'Saisie'!$AK$5:$AK$2004,"&lt;&gt;")-4),""))</f>
        <v/>
      </c>
      <c r="AI496" s="60">
        <f>IF(C496="","",IFERROR(INDEX('Saisie'!$AN$5:$AN$2004,_xlfn.MAXIFS('Saisie'!$AS$5:$AS$2004,'Saisie'!$C$5:$C$2004,C496,'Saisie'!$AN$5:$AN$2004,"&lt;&gt;")-4),""))</f>
        <v/>
      </c>
      <c r="AJ496" s="60">
        <f>IF(C496="","",IFERROR(INDEX('Saisie'!$AO$5:$AO$2004,_xlfn.MAXIFS('Saisie'!$AS$5:$AS$2004,'Saisie'!$C$5:$C$2004,C496,'Saisie'!$AO$5:$AO$2004,"&lt;&gt;")-4),""))</f>
        <v/>
      </c>
      <c r="AK496" s="60">
        <f>IF(C496="","",IFERROR(INDEX('Saisie'!$AP$5:$AP$2004,_xlfn.MAXIFS('Saisie'!$AS$5:$AS$2004,'Saisie'!$C$5:$C$2004,C496,'Saisie'!$AP$5:$AP$2004,"&lt;&gt;")-4),""))</f>
        <v/>
      </c>
      <c r="AL496" s="60">
        <f>IF(C496="","",IFERROR(INDEX('Saisie'!$AQ$5:$AQ$2004,_xlfn.MAXIFS('Saisie'!$AS$5:$AS$2004,'Saisie'!$C$5:$C$2004,C496,'Saisie'!$AQ$5:$AQ$2004,"&lt;&gt;")-4),""))</f>
        <v/>
      </c>
      <c r="AM496" s="60">
        <f>IF(C496="","",((AI496="Oui")+(AJ496="Oui")+(AK496="Oui")+OR(AL496="Immédiat",AL496="&lt; 1 mois"))&amp;"/4")</f>
        <v/>
      </c>
      <c r="AN496" s="60">
        <f>IF(C496="","",IFERROR(INDEX('Saisie'!$AL$5:$AL$2004,_xlfn.MAXIFS('Saisie'!$AS$5:$AS$2004,'Saisie'!$C$5:$C$2004,C496,'Saisie'!$AL$5:$AL$2004,"&lt;&gt;")-4),""))</f>
        <v/>
      </c>
      <c r="AO496" s="62">
        <f>IF(C496="","",IF(IFERROR(INDEX('Saisie'!$AM$5:$AM$2004,_xlfn.MAXIFS('Saisie'!$AS$5:$AS$2004,'Saisie'!$C$5:$C$2004,C496,'Saisie'!$AM$5:$AM$2004,"&lt;&gt;")-4),"")&lt;&gt;"",IFERROR(INDEX('Saisie'!$AM$5:$AM$2004,_xlfn.MAXIFS('Saisie'!$AS$5:$AS$2004,'Saisie'!$C$5:$C$2004,C496,'Saisie'!$AM$5:$AM$2004,"&lt;&gt;")-4),""),IFERROR(INDEX('Paramètres'!$S$6:$S$15,MATCH(AN496,'Paramètres'!$Q$6:$Q$15,0)),"")))</f>
        <v/>
      </c>
      <c r="AP496" s="62">
        <f>IF(C496="","",IFERROR(INDEX('Saisie'!$AW$5:$AW$2004,_xlfn.MAXIFS('Saisie'!$AS$5:$AS$2004,'Saisie'!$C$5:$C$2004,C496,'Saisie'!$E$5:$E$2004,"Proposition envoyée")-4),""))</f>
        <v/>
      </c>
      <c r="AQ496" s="106">
        <f>IF(C496="","",IFERROR(1/(1/_xlfn.MAXIFS('Saisie'!$A$5:$A$2004,'Saisie'!$C$5:$C$2004,C496,'Saisie'!$E$5:$E$2004,"Proposition envoyée")),""))</f>
        <v/>
      </c>
      <c r="AR496" s="106">
        <f>IF(C496="","",IF(AQ496="","",AQ496+'Paramètres'!$B$26))</f>
        <v/>
      </c>
      <c r="AS496" s="62">
        <f>IF(OR(C496="",D496="Gagné",D496="Perdu"),0,N(AP496)*IFERROR(INDEX('Paramètres'!$G$6:$G$13,MATCH(D496,'Paramètres'!$F$6:$F$13,0)),0))</f>
        <v/>
      </c>
      <c r="AT496" s="106">
        <f>IF(C496="","",IFERROR(1/(1/_xlfn.MINIFS('Saisie'!$A$5:$A$2004,'Saisie'!$C$5:$C$2004,C496,'Saisie'!$E$5:$E$2004,"Signature")),""))</f>
        <v/>
      </c>
      <c r="AU496" s="60">
        <f>IF(C496="","",IF(OR(AT496="",B496=""),"",AT496-B496))</f>
        <v/>
      </c>
      <c r="AV496" s="60">
        <f>IF(C496="","",IFERROR(INDEX('Saisie'!$L$5:$L$2004,_xlfn.MAXIFS('Saisie'!$AS$5:$AS$2004,'Saisie'!$C$5:$C$2004,C496,'Saisie'!$L$5:$L$2004,"&lt;&gt;")-4),""))</f>
        <v/>
      </c>
      <c r="AW496" s="106">
        <f>IF(C496="","",IF(D496&lt;&gt;"Perdu","",IFERROR(1/(1/_xlfn.MAXIFS('Saisie'!$A$5:$A$2004,'Saisie'!$C$5:$C$2004,C496,'Saisie'!$E$5:$E$2004,"Perdu")),"")))</f>
        <v/>
      </c>
      <c r="AX496" s="106">
        <f>IF(C496="","",IF(AW496="","",AW496+'Paramètres'!$B$28))</f>
        <v/>
      </c>
      <c r="AY496" s="60">
        <f>IF(C496="","",SUMIFS('Saisie'!$H$5:$H$2004,'Saisie'!$C$5:$C$2004,C496))</f>
        <v/>
      </c>
      <c r="AZ496" s="60">
        <f>IF(C496="","",IFERROR(INDEX('Paramètres'!$W$6:$W$20,MATCH(S496,'Paramètres'!$V$6:$V$20,0))&amp;"",""))</f>
        <v/>
      </c>
      <c r="BA496" s="60">
        <f>IF(C496="","",MAX(1,_xlfn.MAXIFS('Saisie'!$AT$5:$AT$2004,'Saisie'!$C$5:$C$2004,C496)))</f>
        <v/>
      </c>
      <c r="BB496" s="60">
        <f>IF(C496="","",IFERROR(INDEX('Saisie'!$X$5:$X$2004,_xlfn.MAXIFS('Saisie'!$AS$5:$AS$2004,'Saisie'!$C$5:$C$2004,C496,'Saisie'!$X$5:$X$2004,"&lt;&gt;")-4),""))</f>
        <v/>
      </c>
      <c r="BC496" s="60">
        <f>IF(C496="","",IFERROR(INDEX('Saisie'!$Y$5:$Y$2004,_xlfn.MAXIFS('Saisie'!$AS$5:$AS$2004,'Saisie'!$C$5:$C$2004,C496,'Saisie'!$Y$5:$Y$2004,"&lt;&gt;")-4),""))</f>
        <v/>
      </c>
      <c r="BD496" s="106">
        <f>IF(C496="","",IFERROR(1/(1/_xlfn.MINIFS('Saisie'!$A$5:$A$2004,'Saisie'!$C$5:$C$2004,C496,'Saisie'!$AT$5:$AT$2004,"&gt;=2")),""))</f>
        <v/>
      </c>
      <c r="BE496" s="106">
        <f>IF(C496="","",IFERROR(1/(1/_xlfn.MINIFS('Saisie'!$A$5:$A$2004,'Saisie'!$C$5:$C$2004,C496,'Saisie'!$AT$5:$AT$2004,"&gt;=3")),""))</f>
        <v/>
      </c>
      <c r="BF496" s="106">
        <f>IF(C496="","",IFERROR(1/(1/_xlfn.MINIFS('Saisie'!$A$5:$A$2004,'Saisie'!$C$5:$C$2004,C496,'Saisie'!$AT$5:$AT$2004,"&gt;=4")),""))</f>
        <v/>
      </c>
      <c r="BG496" s="106">
        <f>IF(C496="","",IFERROR(1/(1/_xlfn.MINIFS('Saisie'!$A$5:$A$2004,'Saisie'!$C$5:$C$2004,C496,'Saisie'!$AT$5:$AT$2004,"&gt;=5")),""))</f>
        <v/>
      </c>
      <c r="BH496" s="106">
        <f>IF(C496="","",IFERROR(1/(1/_xlfn.MINIFS('Saisie'!$A$5:$A$2004,'Saisie'!$C$5:$C$2004,C496,'Saisie'!$AT$5:$AT$2004,"&gt;=6")),""))</f>
        <v/>
      </c>
      <c r="BI496" s="106">
        <f>IF(C496="","",IFERROR(1/(1/_xlfn.MINIFS('Saisie'!$A$5:$A$2004,'Saisie'!$C$5:$C$2004,C496,'Saisie'!$AT$5:$AT$2004,"&gt;=7")),""))</f>
        <v/>
      </c>
      <c r="BJ496" s="60">
        <f>IF(OR(BD496="",B496=""),"",BD496-B496)</f>
        <v/>
      </c>
      <c r="BK496" s="60">
        <f>IF(OR(BE496="",BD496=""),"",BE496-BD496)</f>
        <v/>
      </c>
      <c r="BL496" s="60">
        <f>IF(OR(BF496="",BE496=""),"",BF496-BE496)</f>
        <v/>
      </c>
      <c r="BM496" s="60">
        <f>IF(OR(BG496="",BF496=""),"",BG496-BF496)</f>
        <v/>
      </c>
      <c r="BN496" s="60">
        <f>IF(OR(BH496="",BG496=""),"",BH496-BG496)</f>
        <v/>
      </c>
      <c r="BO496" s="60">
        <f>IF(OR(BI496="",BH496=""),"",BI496-BH496)</f>
        <v/>
      </c>
      <c r="BP496" s="60">
        <f>IF(C496="","",_xlfn.MAXIFS('Saisie'!$AS$5:$AS$2004,'Saisie'!$C$5:$C$2004,C496,'Saisie'!$J$5:$J$2004,"&lt;&gt;"))</f>
        <v/>
      </c>
      <c r="BQ496" s="60">
        <f>IF(C496="","",_xlfn.MAXIFS('Saisie'!$AS$5:$AS$2004,'Saisie'!$C$5:$C$2004,C496))</f>
        <v/>
      </c>
      <c r="BR496" s="60">
        <f>IF(C496="","",_xlfn.MAXIFS('Saisie'!$AS$5:$AS$2004,'Saisie'!$C$5:$C$2004,C496,'Saisie'!$E$5:$E$2004,"Perdu"))</f>
        <v/>
      </c>
      <c r="BS496" s="60">
        <f>IF(C496="","",_xlfn.MAXIFS('Saisie'!$AS$5:$AS$2004,'Saisie'!$C$5:$C$2004,C496,'Saisie'!$AT$5:$AT$2004,"&gt;0"))</f>
        <v/>
      </c>
      <c r="BT496" s="109">
        <f>IF(AND(C496&lt;&gt;"",OR(D496="Nouveau",D496="Contacté",D496="Qualifié"),OR(G496="",N(G496)&lt;=TODAY()),NOT(AND(O496&gt;='Paramètres'!$B$21,P496=0))),E496+492/10000,"")</f>
        <v/>
      </c>
      <c r="BU496" s="60">
        <f>IF(AND(G496&lt;&gt;"",N(G496)&lt;=TODAY()),MAX($BU$4:BU495)+1,"")</f>
        <v/>
      </c>
      <c r="BV496" s="60">
        <f>IF(AND(F496&lt;&gt;"",F496&lt;&gt;"Relance en retard"),MAX($BV$4:BV495)+1,"")</f>
        <v/>
      </c>
      <c r="BW496" s="60">
        <f>IF(C496="","",IF(AND(B496&gt;='Tableau de bord'!$R$4,B496&lt;='Tableau de bord'!$S$4,OR('Tableau de bord'!$G$4="Tous",N496='Tableau de bord'!$G$4)),1,0))</f>
        <v/>
      </c>
      <c r="BX496" s="60">
        <f>IF(AND(C496&lt;&gt;"",N(BA496)=7),MAX($BX$4:BX495)+1,"")</f>
        <v/>
      </c>
    </row>
    <row r="497">
      <c r="A497" s="60">
        <f>IF(C497="","","P-"&amp;TEXT(493,"000"))</f>
        <v/>
      </c>
      <c r="B497" s="106">
        <f>IF(C497="","",IFERROR(1/(1/_xlfn.MINIFS('Saisie'!$A$5:$A$2004,'Saisie'!$C$5:$C$2004,C497)),""))</f>
        <v/>
      </c>
      <c r="C497" s="60">
        <f>IFERROR(INDEX('Saisie'!$C$5:$C$2004,MATCH(493,'Saisie'!$AX$5:$AX$2004,0)),"")</f>
        <v/>
      </c>
      <c r="D497" s="60">
        <f>IF(C497="","",IF(AND(BR497&gt;0,BR497&gt;BS497,BA497&lt;7),"Perdu",INDEX('Paramètres'!$F$6:$F$13,BA497)))</f>
        <v/>
      </c>
      <c r="E497" s="61">
        <f>IF(C497="","",MIN(100,(Z497="Oui")*'Paramètres'!$B$38+(AB497="Régulière")*'Paramètres'!$B$39+IF(AND(N(AA497)&gt;0,TODAY()-N(AA497)&lt;=30),'Paramètres'!$B$40,0)+(W497="")*'Paramètres'!$B$41+(AC497="Absente")*'Paramètres'!$B$42+(AC497="Faible")*'Paramètres'!$B$43+IF(AND(N(AD497)&gt;0,N(AD497)&lt;4),'Paramètres'!$B$44,0)+(AF497="Moyenne")*'Paramètres'!$B$45+(AF497="Grande")*'Paramètres'!$B$46+(Y497&lt;&gt;"")*'Paramètres'!$B$47))</f>
        <v/>
      </c>
      <c r="F497" s="60">
        <f>IF(C497="","",IF(D497="Gagné","",IF(D497="Perdu",IF(AND(AX497&lt;&gt;"",AX497&lt;=TODAY()),"À recontacter (perdu)",""),IF(AND(O497&gt;='Paramètres'!$B$21,P497=0),"Stop : "&amp;'Paramètres'!$B$21&amp;" tentatives sans réponse",IF(AND(D497="Proposition",AR497&lt;&gt;"",TODAY()&gt;N(AR497)),"Proposition expirée",IF(AND(D497="Proposition",N(R497)&gt;='Paramètres'!$B$25),"Proposition sans réponse",IF(AND(G497&lt;&gt;"",N(G497)&lt;TODAY()),"Relance en retard",IF(N(R497)&gt;='Paramètres'!$B$24,"Sans action depuis "&amp;R497&amp;" j",""))))))))</f>
        <v/>
      </c>
      <c r="G497" s="106">
        <f>IF(OR(C497="",D497="Gagné",D497="Perdu"),"",IF(AND(BP497&gt;0,BP497=BQ497),INDEX('Saisie'!$J$5:$J$2004,BP497-4),IF(OR(O497=0,AND(O497&gt;='Paramètres'!$B$21,P497=0)),"",Q497+IF(O497&lt;=1,'Paramètres'!$B$18,IF(O497=2,'Paramètres'!$B$19,'Paramètres'!$B$20)))))</f>
        <v/>
      </c>
      <c r="H497" s="107">
        <f>IF(OR(G497="",BP497&lt;&gt;BQ497),"",IF(INDEX('Saisie'!$K$5:$K$2004,BP497-4)="","",INDEX('Saisie'!$K$5:$K$2004,BP497-4)))</f>
        <v/>
      </c>
      <c r="I497" s="60">
        <f>IF(C497="","",IF(OR(D497="Gagné",D497="Perdu"),"",IFERROR(INDEX('Saisie'!$I$5:$I$2004,_xlfn.MAXIFS('Saisie'!$AS$5:$AS$2004,'Saisie'!$C$5:$C$2004,C497,'Saisie'!$I$5:$I$2004,"&lt;&gt;")-4),"")))</f>
        <v/>
      </c>
      <c r="J497" s="60">
        <f>IF(C497="","",IFERROR(INDEX('Saisie'!$U$5:$U$2004,_xlfn.MAXIFS('Saisie'!$AS$5:$AS$2004,'Saisie'!$C$5:$C$2004,C497,'Saisie'!$U$5:$U$2004,"&lt;&gt;")-4),""))</f>
        <v/>
      </c>
      <c r="K497" s="60">
        <f>IF(C497="","",IFERROR(INDEX('Saisie'!$W$5:$W$2004,_xlfn.MAXIFS('Saisie'!$AS$5:$AS$2004,'Saisie'!$C$5:$C$2004,C497,'Saisie'!$W$5:$W$2004,"&lt;&gt;")-4),""))</f>
        <v/>
      </c>
      <c r="L497" s="60">
        <f>IF(IF(BB497&lt;&gt;"",BB497,K497)="","",HYPERLINK("https://wa.me/"&amp;IF(LEFT(SUBSTITUTE(SUBSTITUTE(SUBSTITUTE(IF(BB497&lt;&gt;"",BB497,K497)," ",""),".",""),"+",""),1)="0",'Paramètres'!$B$35&amp;MID(SUBSTITUTE(SUBSTITUTE(SUBSTITUTE(IF(BB497&lt;&gt;"",BB497,K497)," ",""),".",""),"+",""),2,20),SUBSTITUTE(SUBSTITUTE(SUBSTITUTE(IF(BB497&lt;&gt;"",BB497,K497)," ",""),".",""),"+","")),"WhatsApp"))</f>
        <v/>
      </c>
      <c r="M497" s="60">
        <f>IF(BC497="","",HYPERLINK(IF(LEFT(BC497,4)="http",BC497,"https://www.instagram.com/"&amp;SUBSTITUTE(SUBSTITUTE(BC497,"@","")," ","")),BC497))</f>
        <v/>
      </c>
      <c r="N497" s="60">
        <f>IF(C497="","",IFERROR(INDEX('Saisie'!$D$5:$D$2004,_xlfn.MINIFS('Saisie'!$AS$5:$AS$2004,'Saisie'!$C$5:$C$2004,C497,'Saisie'!$AU$5:$AU$2004,1)-4),IFERROR(INDEX('Saisie'!$D$5:$D$2004,_xlfn.MINIFS('Saisie'!$AS$5:$AS$2004,'Saisie'!$C$5:$C$2004,C497,'Saisie'!$D$5:$D$2004,"&lt;&gt;")-4),"")))</f>
        <v/>
      </c>
      <c r="O497" s="60">
        <f>IF(C497="","",COUNTIFS('Saisie'!$C$5:$C$2004,C497,'Saisie'!$AU$5:$AU$2004,1))</f>
        <v/>
      </c>
      <c r="P497" s="60">
        <f>IF(C497="","",COUNTIFS('Saisie'!$C$5:$C$2004,C497,'Saisie'!$AV$5:$AV$2004,1))</f>
        <v/>
      </c>
      <c r="Q497" s="106">
        <f>IF(C497="","",IFERROR(1/(1/_xlfn.MAXIFS('Saisie'!$A$5:$A$2004,'Saisie'!$C$5:$C$2004,C497)),""))</f>
        <v/>
      </c>
      <c r="R497" s="61">
        <f>IF(C497="","",IF(Q497="","",TODAY()-Q497))</f>
        <v/>
      </c>
      <c r="S497" s="60">
        <f>IF(C497="","",IFERROR(INDEX('Saisie'!$R$5:$R$2004,_xlfn.MAXIFS('Saisie'!$AS$5:$AS$2004,'Saisie'!$C$5:$C$2004,C497,'Saisie'!$R$5:$R$2004,"&lt;&gt;")-4),""))</f>
        <v/>
      </c>
      <c r="T497" s="60">
        <f>IF(C497="","",IFERROR(INDEX('Saisie'!$S$5:$S$2004,_xlfn.MAXIFS('Saisie'!$AS$5:$AS$2004,'Saisie'!$C$5:$C$2004,C497,'Saisie'!$S$5:$S$2004,"&lt;&gt;")-4),""))</f>
        <v/>
      </c>
      <c r="U497" s="60">
        <f>IF(C497="","",IFERROR(INDEX('Saisie'!$T$5:$T$2004,_xlfn.MAXIFS('Saisie'!$AS$5:$AS$2004,'Saisie'!$C$5:$C$2004,C497,'Saisie'!$T$5:$T$2004,"&lt;&gt;")-4),""))</f>
        <v/>
      </c>
      <c r="V497" s="60">
        <f>IF(C497="","",IFERROR(INDEX('Saisie'!$V$5:$V$2004,_xlfn.MAXIFS('Saisie'!$AS$5:$AS$2004,'Saisie'!$C$5:$C$2004,C497,'Saisie'!$V$5:$V$2004,"&lt;&gt;")-4),""))</f>
        <v/>
      </c>
      <c r="W497" s="60">
        <f>IF(C497="","",IFERROR(INDEX('Saisie'!$Z$5:$Z$2004,_xlfn.MAXIFS('Saisie'!$AS$5:$AS$2004,'Saisie'!$C$5:$C$2004,C497,'Saisie'!$Z$5:$Z$2004,"&lt;&gt;")-4),""))</f>
        <v/>
      </c>
      <c r="X497" s="60">
        <f>IF(C497="","",IFERROR(INDEX('Saisie'!$AA$5:$AA$2004,_xlfn.MAXIFS('Saisie'!$AS$5:$AS$2004,'Saisie'!$C$5:$C$2004,C497,'Saisie'!$AA$5:$AA$2004,"&lt;&gt;")-4),""))</f>
        <v/>
      </c>
      <c r="Y497" s="60">
        <f>IF(C497="","",IFERROR(INDEX('Saisie'!$AB$5:$AB$2004,_xlfn.MAXIFS('Saisie'!$AS$5:$AS$2004,'Saisie'!$C$5:$C$2004,C497,'Saisie'!$AB$5:$AB$2004,"&lt;&gt;")-4),""))</f>
        <v/>
      </c>
      <c r="Z497" s="60">
        <f>IF(C497="","",IFERROR(INDEX('Saisie'!$AC$5:$AC$2004,_xlfn.MAXIFS('Saisie'!$AS$5:$AS$2004,'Saisie'!$C$5:$C$2004,C497,'Saisie'!$AC$5:$AC$2004,"&lt;&gt;")-4),""))</f>
        <v/>
      </c>
      <c r="AA497" s="106">
        <f>IF(C497="","",IFERROR(INDEX('Saisie'!$AD$5:$AD$2004,_xlfn.MAXIFS('Saisie'!$AS$5:$AS$2004,'Saisie'!$C$5:$C$2004,C497,'Saisie'!$AD$5:$AD$2004,"&lt;&gt;")-4),""))</f>
        <v/>
      </c>
      <c r="AB497" s="60">
        <f>IF(C497="","",IFERROR(INDEX('Saisie'!$AE$5:$AE$2004,_xlfn.MAXIFS('Saisie'!$AS$5:$AS$2004,'Saisie'!$C$5:$C$2004,C497,'Saisie'!$AE$5:$AE$2004,"&lt;&gt;")-4),""))</f>
        <v/>
      </c>
      <c r="AC497" s="60">
        <f>IF(C497="","",IFERROR(INDEX('Saisie'!$AF$5:$AF$2004,_xlfn.MAXIFS('Saisie'!$AS$5:$AS$2004,'Saisie'!$C$5:$C$2004,C497,'Saisie'!$AF$5:$AF$2004,"&lt;&gt;")-4),""))</f>
        <v/>
      </c>
      <c r="AD497" s="108">
        <f>IF(C497="","",IFERROR(INDEX('Saisie'!$AG$5:$AG$2004,_xlfn.MAXIFS('Saisie'!$AS$5:$AS$2004,'Saisie'!$C$5:$C$2004,C497,'Saisie'!$AG$5:$AG$2004,"&lt;&gt;")-4),""))</f>
        <v/>
      </c>
      <c r="AE497" s="60">
        <f>IF(C497="","",IFERROR(INDEX('Saisie'!$AH$5:$AH$2004,_xlfn.MAXIFS('Saisie'!$AS$5:$AS$2004,'Saisie'!$C$5:$C$2004,C497,'Saisie'!$AH$5:$AH$2004,"&lt;&gt;")-4),""))</f>
        <v/>
      </c>
      <c r="AF497" s="60">
        <f>IF(C497="","",IFERROR(INDEX('Saisie'!$AI$5:$AI$2004,_xlfn.MAXIFS('Saisie'!$AS$5:$AS$2004,'Saisie'!$C$5:$C$2004,C497,'Saisie'!$AI$5:$AI$2004,"&lt;&gt;")-4),""))</f>
        <v/>
      </c>
      <c r="AG497" s="60">
        <f>IF(C497="","",IFERROR(INDEX('Saisie'!$AJ$5:$AJ$2004,_xlfn.MAXIFS('Saisie'!$AS$5:$AS$2004,'Saisie'!$C$5:$C$2004,C497,'Saisie'!$AJ$5:$AJ$2004,"&lt;&gt;")-4),""))</f>
        <v/>
      </c>
      <c r="AH497" s="60">
        <f>IF(C497="","",IFERROR(INDEX('Saisie'!$AK$5:$AK$2004,_xlfn.MAXIFS('Saisie'!$AS$5:$AS$2004,'Saisie'!$C$5:$C$2004,C497,'Saisie'!$AK$5:$AK$2004,"&lt;&gt;")-4),""))</f>
        <v/>
      </c>
      <c r="AI497" s="60">
        <f>IF(C497="","",IFERROR(INDEX('Saisie'!$AN$5:$AN$2004,_xlfn.MAXIFS('Saisie'!$AS$5:$AS$2004,'Saisie'!$C$5:$C$2004,C497,'Saisie'!$AN$5:$AN$2004,"&lt;&gt;")-4),""))</f>
        <v/>
      </c>
      <c r="AJ497" s="60">
        <f>IF(C497="","",IFERROR(INDEX('Saisie'!$AO$5:$AO$2004,_xlfn.MAXIFS('Saisie'!$AS$5:$AS$2004,'Saisie'!$C$5:$C$2004,C497,'Saisie'!$AO$5:$AO$2004,"&lt;&gt;")-4),""))</f>
        <v/>
      </c>
      <c r="AK497" s="60">
        <f>IF(C497="","",IFERROR(INDEX('Saisie'!$AP$5:$AP$2004,_xlfn.MAXIFS('Saisie'!$AS$5:$AS$2004,'Saisie'!$C$5:$C$2004,C497,'Saisie'!$AP$5:$AP$2004,"&lt;&gt;")-4),""))</f>
        <v/>
      </c>
      <c r="AL497" s="60">
        <f>IF(C497="","",IFERROR(INDEX('Saisie'!$AQ$5:$AQ$2004,_xlfn.MAXIFS('Saisie'!$AS$5:$AS$2004,'Saisie'!$C$5:$C$2004,C497,'Saisie'!$AQ$5:$AQ$2004,"&lt;&gt;")-4),""))</f>
        <v/>
      </c>
      <c r="AM497" s="60">
        <f>IF(C497="","",((AI497="Oui")+(AJ497="Oui")+(AK497="Oui")+OR(AL497="Immédiat",AL497="&lt; 1 mois"))&amp;"/4")</f>
        <v/>
      </c>
      <c r="AN497" s="60">
        <f>IF(C497="","",IFERROR(INDEX('Saisie'!$AL$5:$AL$2004,_xlfn.MAXIFS('Saisie'!$AS$5:$AS$2004,'Saisie'!$C$5:$C$2004,C497,'Saisie'!$AL$5:$AL$2004,"&lt;&gt;")-4),""))</f>
        <v/>
      </c>
      <c r="AO497" s="62">
        <f>IF(C497="","",IF(IFERROR(INDEX('Saisie'!$AM$5:$AM$2004,_xlfn.MAXIFS('Saisie'!$AS$5:$AS$2004,'Saisie'!$C$5:$C$2004,C497,'Saisie'!$AM$5:$AM$2004,"&lt;&gt;")-4),"")&lt;&gt;"",IFERROR(INDEX('Saisie'!$AM$5:$AM$2004,_xlfn.MAXIFS('Saisie'!$AS$5:$AS$2004,'Saisie'!$C$5:$C$2004,C497,'Saisie'!$AM$5:$AM$2004,"&lt;&gt;")-4),""),IFERROR(INDEX('Paramètres'!$S$6:$S$15,MATCH(AN497,'Paramètres'!$Q$6:$Q$15,0)),"")))</f>
        <v/>
      </c>
      <c r="AP497" s="62">
        <f>IF(C497="","",IFERROR(INDEX('Saisie'!$AW$5:$AW$2004,_xlfn.MAXIFS('Saisie'!$AS$5:$AS$2004,'Saisie'!$C$5:$C$2004,C497,'Saisie'!$E$5:$E$2004,"Proposition envoyée")-4),""))</f>
        <v/>
      </c>
      <c r="AQ497" s="106">
        <f>IF(C497="","",IFERROR(1/(1/_xlfn.MAXIFS('Saisie'!$A$5:$A$2004,'Saisie'!$C$5:$C$2004,C497,'Saisie'!$E$5:$E$2004,"Proposition envoyée")),""))</f>
        <v/>
      </c>
      <c r="AR497" s="106">
        <f>IF(C497="","",IF(AQ497="","",AQ497+'Paramètres'!$B$26))</f>
        <v/>
      </c>
      <c r="AS497" s="62">
        <f>IF(OR(C497="",D497="Gagné",D497="Perdu"),0,N(AP497)*IFERROR(INDEX('Paramètres'!$G$6:$G$13,MATCH(D497,'Paramètres'!$F$6:$F$13,0)),0))</f>
        <v/>
      </c>
      <c r="AT497" s="106">
        <f>IF(C497="","",IFERROR(1/(1/_xlfn.MINIFS('Saisie'!$A$5:$A$2004,'Saisie'!$C$5:$C$2004,C497,'Saisie'!$E$5:$E$2004,"Signature")),""))</f>
        <v/>
      </c>
      <c r="AU497" s="60">
        <f>IF(C497="","",IF(OR(AT497="",B497=""),"",AT497-B497))</f>
        <v/>
      </c>
      <c r="AV497" s="60">
        <f>IF(C497="","",IFERROR(INDEX('Saisie'!$L$5:$L$2004,_xlfn.MAXIFS('Saisie'!$AS$5:$AS$2004,'Saisie'!$C$5:$C$2004,C497,'Saisie'!$L$5:$L$2004,"&lt;&gt;")-4),""))</f>
        <v/>
      </c>
      <c r="AW497" s="106">
        <f>IF(C497="","",IF(D497&lt;&gt;"Perdu","",IFERROR(1/(1/_xlfn.MAXIFS('Saisie'!$A$5:$A$2004,'Saisie'!$C$5:$C$2004,C497,'Saisie'!$E$5:$E$2004,"Perdu")),"")))</f>
        <v/>
      </c>
      <c r="AX497" s="106">
        <f>IF(C497="","",IF(AW497="","",AW497+'Paramètres'!$B$28))</f>
        <v/>
      </c>
      <c r="AY497" s="60">
        <f>IF(C497="","",SUMIFS('Saisie'!$H$5:$H$2004,'Saisie'!$C$5:$C$2004,C497))</f>
        <v/>
      </c>
      <c r="AZ497" s="60">
        <f>IF(C497="","",IFERROR(INDEX('Paramètres'!$W$6:$W$20,MATCH(S497,'Paramètres'!$V$6:$V$20,0))&amp;"",""))</f>
        <v/>
      </c>
      <c r="BA497" s="60">
        <f>IF(C497="","",MAX(1,_xlfn.MAXIFS('Saisie'!$AT$5:$AT$2004,'Saisie'!$C$5:$C$2004,C497)))</f>
        <v/>
      </c>
      <c r="BB497" s="60">
        <f>IF(C497="","",IFERROR(INDEX('Saisie'!$X$5:$X$2004,_xlfn.MAXIFS('Saisie'!$AS$5:$AS$2004,'Saisie'!$C$5:$C$2004,C497,'Saisie'!$X$5:$X$2004,"&lt;&gt;")-4),""))</f>
        <v/>
      </c>
      <c r="BC497" s="60">
        <f>IF(C497="","",IFERROR(INDEX('Saisie'!$Y$5:$Y$2004,_xlfn.MAXIFS('Saisie'!$AS$5:$AS$2004,'Saisie'!$C$5:$C$2004,C497,'Saisie'!$Y$5:$Y$2004,"&lt;&gt;")-4),""))</f>
        <v/>
      </c>
      <c r="BD497" s="106">
        <f>IF(C497="","",IFERROR(1/(1/_xlfn.MINIFS('Saisie'!$A$5:$A$2004,'Saisie'!$C$5:$C$2004,C497,'Saisie'!$AT$5:$AT$2004,"&gt;=2")),""))</f>
        <v/>
      </c>
      <c r="BE497" s="106">
        <f>IF(C497="","",IFERROR(1/(1/_xlfn.MINIFS('Saisie'!$A$5:$A$2004,'Saisie'!$C$5:$C$2004,C497,'Saisie'!$AT$5:$AT$2004,"&gt;=3")),""))</f>
        <v/>
      </c>
      <c r="BF497" s="106">
        <f>IF(C497="","",IFERROR(1/(1/_xlfn.MINIFS('Saisie'!$A$5:$A$2004,'Saisie'!$C$5:$C$2004,C497,'Saisie'!$AT$5:$AT$2004,"&gt;=4")),""))</f>
        <v/>
      </c>
      <c r="BG497" s="106">
        <f>IF(C497="","",IFERROR(1/(1/_xlfn.MINIFS('Saisie'!$A$5:$A$2004,'Saisie'!$C$5:$C$2004,C497,'Saisie'!$AT$5:$AT$2004,"&gt;=5")),""))</f>
        <v/>
      </c>
      <c r="BH497" s="106">
        <f>IF(C497="","",IFERROR(1/(1/_xlfn.MINIFS('Saisie'!$A$5:$A$2004,'Saisie'!$C$5:$C$2004,C497,'Saisie'!$AT$5:$AT$2004,"&gt;=6")),""))</f>
        <v/>
      </c>
      <c r="BI497" s="106">
        <f>IF(C497="","",IFERROR(1/(1/_xlfn.MINIFS('Saisie'!$A$5:$A$2004,'Saisie'!$C$5:$C$2004,C497,'Saisie'!$AT$5:$AT$2004,"&gt;=7")),""))</f>
        <v/>
      </c>
      <c r="BJ497" s="60">
        <f>IF(OR(BD497="",B497=""),"",BD497-B497)</f>
        <v/>
      </c>
      <c r="BK497" s="60">
        <f>IF(OR(BE497="",BD497=""),"",BE497-BD497)</f>
        <v/>
      </c>
      <c r="BL497" s="60">
        <f>IF(OR(BF497="",BE497=""),"",BF497-BE497)</f>
        <v/>
      </c>
      <c r="BM497" s="60">
        <f>IF(OR(BG497="",BF497=""),"",BG497-BF497)</f>
        <v/>
      </c>
      <c r="BN497" s="60">
        <f>IF(OR(BH497="",BG497=""),"",BH497-BG497)</f>
        <v/>
      </c>
      <c r="BO497" s="60">
        <f>IF(OR(BI497="",BH497=""),"",BI497-BH497)</f>
        <v/>
      </c>
      <c r="BP497" s="60">
        <f>IF(C497="","",_xlfn.MAXIFS('Saisie'!$AS$5:$AS$2004,'Saisie'!$C$5:$C$2004,C497,'Saisie'!$J$5:$J$2004,"&lt;&gt;"))</f>
        <v/>
      </c>
      <c r="BQ497" s="60">
        <f>IF(C497="","",_xlfn.MAXIFS('Saisie'!$AS$5:$AS$2004,'Saisie'!$C$5:$C$2004,C497))</f>
        <v/>
      </c>
      <c r="BR497" s="60">
        <f>IF(C497="","",_xlfn.MAXIFS('Saisie'!$AS$5:$AS$2004,'Saisie'!$C$5:$C$2004,C497,'Saisie'!$E$5:$E$2004,"Perdu"))</f>
        <v/>
      </c>
      <c r="BS497" s="60">
        <f>IF(C497="","",_xlfn.MAXIFS('Saisie'!$AS$5:$AS$2004,'Saisie'!$C$5:$C$2004,C497,'Saisie'!$AT$5:$AT$2004,"&gt;0"))</f>
        <v/>
      </c>
      <c r="BT497" s="109">
        <f>IF(AND(C497&lt;&gt;"",OR(D497="Nouveau",D497="Contacté",D497="Qualifié"),OR(G497="",N(G497)&lt;=TODAY()),NOT(AND(O497&gt;='Paramètres'!$B$21,P497=0))),E497+493/10000,"")</f>
        <v/>
      </c>
      <c r="BU497" s="60">
        <f>IF(AND(G497&lt;&gt;"",N(G497)&lt;=TODAY()),MAX($BU$4:BU496)+1,"")</f>
        <v/>
      </c>
      <c r="BV497" s="60">
        <f>IF(AND(F497&lt;&gt;"",F497&lt;&gt;"Relance en retard"),MAX($BV$4:BV496)+1,"")</f>
        <v/>
      </c>
      <c r="BW497" s="60">
        <f>IF(C497="","",IF(AND(B497&gt;='Tableau de bord'!$R$4,B497&lt;='Tableau de bord'!$S$4,OR('Tableau de bord'!$G$4="Tous",N497='Tableau de bord'!$G$4)),1,0))</f>
        <v/>
      </c>
      <c r="BX497" s="60">
        <f>IF(AND(C497&lt;&gt;"",N(BA497)=7),MAX($BX$4:BX496)+1,"")</f>
        <v/>
      </c>
    </row>
    <row r="498">
      <c r="A498" s="60">
        <f>IF(C498="","","P-"&amp;TEXT(494,"000"))</f>
        <v/>
      </c>
      <c r="B498" s="106">
        <f>IF(C498="","",IFERROR(1/(1/_xlfn.MINIFS('Saisie'!$A$5:$A$2004,'Saisie'!$C$5:$C$2004,C498)),""))</f>
        <v/>
      </c>
      <c r="C498" s="60">
        <f>IFERROR(INDEX('Saisie'!$C$5:$C$2004,MATCH(494,'Saisie'!$AX$5:$AX$2004,0)),"")</f>
        <v/>
      </c>
      <c r="D498" s="60">
        <f>IF(C498="","",IF(AND(BR498&gt;0,BR498&gt;BS498,BA498&lt;7),"Perdu",INDEX('Paramètres'!$F$6:$F$13,BA498)))</f>
        <v/>
      </c>
      <c r="E498" s="61">
        <f>IF(C498="","",MIN(100,(Z498="Oui")*'Paramètres'!$B$38+(AB498="Régulière")*'Paramètres'!$B$39+IF(AND(N(AA498)&gt;0,TODAY()-N(AA498)&lt;=30),'Paramètres'!$B$40,0)+(W498="")*'Paramètres'!$B$41+(AC498="Absente")*'Paramètres'!$B$42+(AC498="Faible")*'Paramètres'!$B$43+IF(AND(N(AD498)&gt;0,N(AD498)&lt;4),'Paramètres'!$B$44,0)+(AF498="Moyenne")*'Paramètres'!$B$45+(AF498="Grande")*'Paramètres'!$B$46+(Y498&lt;&gt;"")*'Paramètres'!$B$47))</f>
        <v/>
      </c>
      <c r="F498" s="60">
        <f>IF(C498="","",IF(D498="Gagné","",IF(D498="Perdu",IF(AND(AX498&lt;&gt;"",AX498&lt;=TODAY()),"À recontacter (perdu)",""),IF(AND(O498&gt;='Paramètres'!$B$21,P498=0),"Stop : "&amp;'Paramètres'!$B$21&amp;" tentatives sans réponse",IF(AND(D498="Proposition",AR498&lt;&gt;"",TODAY()&gt;N(AR498)),"Proposition expirée",IF(AND(D498="Proposition",N(R498)&gt;='Paramètres'!$B$25),"Proposition sans réponse",IF(AND(G498&lt;&gt;"",N(G498)&lt;TODAY()),"Relance en retard",IF(N(R498)&gt;='Paramètres'!$B$24,"Sans action depuis "&amp;R498&amp;" j",""))))))))</f>
        <v/>
      </c>
      <c r="G498" s="106">
        <f>IF(OR(C498="",D498="Gagné",D498="Perdu"),"",IF(AND(BP498&gt;0,BP498=BQ498),INDEX('Saisie'!$J$5:$J$2004,BP498-4),IF(OR(O498=0,AND(O498&gt;='Paramètres'!$B$21,P498=0)),"",Q498+IF(O498&lt;=1,'Paramètres'!$B$18,IF(O498=2,'Paramètres'!$B$19,'Paramètres'!$B$20)))))</f>
        <v/>
      </c>
      <c r="H498" s="107">
        <f>IF(OR(G498="",BP498&lt;&gt;BQ498),"",IF(INDEX('Saisie'!$K$5:$K$2004,BP498-4)="","",INDEX('Saisie'!$K$5:$K$2004,BP498-4)))</f>
        <v/>
      </c>
      <c r="I498" s="60">
        <f>IF(C498="","",IF(OR(D498="Gagné",D498="Perdu"),"",IFERROR(INDEX('Saisie'!$I$5:$I$2004,_xlfn.MAXIFS('Saisie'!$AS$5:$AS$2004,'Saisie'!$C$5:$C$2004,C498,'Saisie'!$I$5:$I$2004,"&lt;&gt;")-4),"")))</f>
        <v/>
      </c>
      <c r="J498" s="60">
        <f>IF(C498="","",IFERROR(INDEX('Saisie'!$U$5:$U$2004,_xlfn.MAXIFS('Saisie'!$AS$5:$AS$2004,'Saisie'!$C$5:$C$2004,C498,'Saisie'!$U$5:$U$2004,"&lt;&gt;")-4),""))</f>
        <v/>
      </c>
      <c r="K498" s="60">
        <f>IF(C498="","",IFERROR(INDEX('Saisie'!$W$5:$W$2004,_xlfn.MAXIFS('Saisie'!$AS$5:$AS$2004,'Saisie'!$C$5:$C$2004,C498,'Saisie'!$W$5:$W$2004,"&lt;&gt;")-4),""))</f>
        <v/>
      </c>
      <c r="L498" s="60">
        <f>IF(IF(BB498&lt;&gt;"",BB498,K498)="","",HYPERLINK("https://wa.me/"&amp;IF(LEFT(SUBSTITUTE(SUBSTITUTE(SUBSTITUTE(IF(BB498&lt;&gt;"",BB498,K498)," ",""),".",""),"+",""),1)="0",'Paramètres'!$B$35&amp;MID(SUBSTITUTE(SUBSTITUTE(SUBSTITUTE(IF(BB498&lt;&gt;"",BB498,K498)," ",""),".",""),"+",""),2,20),SUBSTITUTE(SUBSTITUTE(SUBSTITUTE(IF(BB498&lt;&gt;"",BB498,K498)," ",""),".",""),"+","")),"WhatsApp"))</f>
        <v/>
      </c>
      <c r="M498" s="60">
        <f>IF(BC498="","",HYPERLINK(IF(LEFT(BC498,4)="http",BC498,"https://www.instagram.com/"&amp;SUBSTITUTE(SUBSTITUTE(BC498,"@","")," ","")),BC498))</f>
        <v/>
      </c>
      <c r="N498" s="60">
        <f>IF(C498="","",IFERROR(INDEX('Saisie'!$D$5:$D$2004,_xlfn.MINIFS('Saisie'!$AS$5:$AS$2004,'Saisie'!$C$5:$C$2004,C498,'Saisie'!$AU$5:$AU$2004,1)-4),IFERROR(INDEX('Saisie'!$D$5:$D$2004,_xlfn.MINIFS('Saisie'!$AS$5:$AS$2004,'Saisie'!$C$5:$C$2004,C498,'Saisie'!$D$5:$D$2004,"&lt;&gt;")-4),"")))</f>
        <v/>
      </c>
      <c r="O498" s="60">
        <f>IF(C498="","",COUNTIFS('Saisie'!$C$5:$C$2004,C498,'Saisie'!$AU$5:$AU$2004,1))</f>
        <v/>
      </c>
      <c r="P498" s="60">
        <f>IF(C498="","",COUNTIFS('Saisie'!$C$5:$C$2004,C498,'Saisie'!$AV$5:$AV$2004,1))</f>
        <v/>
      </c>
      <c r="Q498" s="106">
        <f>IF(C498="","",IFERROR(1/(1/_xlfn.MAXIFS('Saisie'!$A$5:$A$2004,'Saisie'!$C$5:$C$2004,C498)),""))</f>
        <v/>
      </c>
      <c r="R498" s="61">
        <f>IF(C498="","",IF(Q498="","",TODAY()-Q498))</f>
        <v/>
      </c>
      <c r="S498" s="60">
        <f>IF(C498="","",IFERROR(INDEX('Saisie'!$R$5:$R$2004,_xlfn.MAXIFS('Saisie'!$AS$5:$AS$2004,'Saisie'!$C$5:$C$2004,C498,'Saisie'!$R$5:$R$2004,"&lt;&gt;")-4),""))</f>
        <v/>
      </c>
      <c r="T498" s="60">
        <f>IF(C498="","",IFERROR(INDEX('Saisie'!$S$5:$S$2004,_xlfn.MAXIFS('Saisie'!$AS$5:$AS$2004,'Saisie'!$C$5:$C$2004,C498,'Saisie'!$S$5:$S$2004,"&lt;&gt;")-4),""))</f>
        <v/>
      </c>
      <c r="U498" s="60">
        <f>IF(C498="","",IFERROR(INDEX('Saisie'!$T$5:$T$2004,_xlfn.MAXIFS('Saisie'!$AS$5:$AS$2004,'Saisie'!$C$5:$C$2004,C498,'Saisie'!$T$5:$T$2004,"&lt;&gt;")-4),""))</f>
        <v/>
      </c>
      <c r="V498" s="60">
        <f>IF(C498="","",IFERROR(INDEX('Saisie'!$V$5:$V$2004,_xlfn.MAXIFS('Saisie'!$AS$5:$AS$2004,'Saisie'!$C$5:$C$2004,C498,'Saisie'!$V$5:$V$2004,"&lt;&gt;")-4),""))</f>
        <v/>
      </c>
      <c r="W498" s="60">
        <f>IF(C498="","",IFERROR(INDEX('Saisie'!$Z$5:$Z$2004,_xlfn.MAXIFS('Saisie'!$AS$5:$AS$2004,'Saisie'!$C$5:$C$2004,C498,'Saisie'!$Z$5:$Z$2004,"&lt;&gt;")-4),""))</f>
        <v/>
      </c>
      <c r="X498" s="60">
        <f>IF(C498="","",IFERROR(INDEX('Saisie'!$AA$5:$AA$2004,_xlfn.MAXIFS('Saisie'!$AS$5:$AS$2004,'Saisie'!$C$5:$C$2004,C498,'Saisie'!$AA$5:$AA$2004,"&lt;&gt;")-4),""))</f>
        <v/>
      </c>
      <c r="Y498" s="60">
        <f>IF(C498="","",IFERROR(INDEX('Saisie'!$AB$5:$AB$2004,_xlfn.MAXIFS('Saisie'!$AS$5:$AS$2004,'Saisie'!$C$5:$C$2004,C498,'Saisie'!$AB$5:$AB$2004,"&lt;&gt;")-4),""))</f>
        <v/>
      </c>
      <c r="Z498" s="60">
        <f>IF(C498="","",IFERROR(INDEX('Saisie'!$AC$5:$AC$2004,_xlfn.MAXIFS('Saisie'!$AS$5:$AS$2004,'Saisie'!$C$5:$C$2004,C498,'Saisie'!$AC$5:$AC$2004,"&lt;&gt;")-4),""))</f>
        <v/>
      </c>
      <c r="AA498" s="106">
        <f>IF(C498="","",IFERROR(INDEX('Saisie'!$AD$5:$AD$2004,_xlfn.MAXIFS('Saisie'!$AS$5:$AS$2004,'Saisie'!$C$5:$C$2004,C498,'Saisie'!$AD$5:$AD$2004,"&lt;&gt;")-4),""))</f>
        <v/>
      </c>
      <c r="AB498" s="60">
        <f>IF(C498="","",IFERROR(INDEX('Saisie'!$AE$5:$AE$2004,_xlfn.MAXIFS('Saisie'!$AS$5:$AS$2004,'Saisie'!$C$5:$C$2004,C498,'Saisie'!$AE$5:$AE$2004,"&lt;&gt;")-4),""))</f>
        <v/>
      </c>
      <c r="AC498" s="60">
        <f>IF(C498="","",IFERROR(INDEX('Saisie'!$AF$5:$AF$2004,_xlfn.MAXIFS('Saisie'!$AS$5:$AS$2004,'Saisie'!$C$5:$C$2004,C498,'Saisie'!$AF$5:$AF$2004,"&lt;&gt;")-4),""))</f>
        <v/>
      </c>
      <c r="AD498" s="108">
        <f>IF(C498="","",IFERROR(INDEX('Saisie'!$AG$5:$AG$2004,_xlfn.MAXIFS('Saisie'!$AS$5:$AS$2004,'Saisie'!$C$5:$C$2004,C498,'Saisie'!$AG$5:$AG$2004,"&lt;&gt;")-4),""))</f>
        <v/>
      </c>
      <c r="AE498" s="60">
        <f>IF(C498="","",IFERROR(INDEX('Saisie'!$AH$5:$AH$2004,_xlfn.MAXIFS('Saisie'!$AS$5:$AS$2004,'Saisie'!$C$5:$C$2004,C498,'Saisie'!$AH$5:$AH$2004,"&lt;&gt;")-4),""))</f>
        <v/>
      </c>
      <c r="AF498" s="60">
        <f>IF(C498="","",IFERROR(INDEX('Saisie'!$AI$5:$AI$2004,_xlfn.MAXIFS('Saisie'!$AS$5:$AS$2004,'Saisie'!$C$5:$C$2004,C498,'Saisie'!$AI$5:$AI$2004,"&lt;&gt;")-4),""))</f>
        <v/>
      </c>
      <c r="AG498" s="60">
        <f>IF(C498="","",IFERROR(INDEX('Saisie'!$AJ$5:$AJ$2004,_xlfn.MAXIFS('Saisie'!$AS$5:$AS$2004,'Saisie'!$C$5:$C$2004,C498,'Saisie'!$AJ$5:$AJ$2004,"&lt;&gt;")-4),""))</f>
        <v/>
      </c>
      <c r="AH498" s="60">
        <f>IF(C498="","",IFERROR(INDEX('Saisie'!$AK$5:$AK$2004,_xlfn.MAXIFS('Saisie'!$AS$5:$AS$2004,'Saisie'!$C$5:$C$2004,C498,'Saisie'!$AK$5:$AK$2004,"&lt;&gt;")-4),""))</f>
        <v/>
      </c>
      <c r="AI498" s="60">
        <f>IF(C498="","",IFERROR(INDEX('Saisie'!$AN$5:$AN$2004,_xlfn.MAXIFS('Saisie'!$AS$5:$AS$2004,'Saisie'!$C$5:$C$2004,C498,'Saisie'!$AN$5:$AN$2004,"&lt;&gt;")-4),""))</f>
        <v/>
      </c>
      <c r="AJ498" s="60">
        <f>IF(C498="","",IFERROR(INDEX('Saisie'!$AO$5:$AO$2004,_xlfn.MAXIFS('Saisie'!$AS$5:$AS$2004,'Saisie'!$C$5:$C$2004,C498,'Saisie'!$AO$5:$AO$2004,"&lt;&gt;")-4),""))</f>
        <v/>
      </c>
      <c r="AK498" s="60">
        <f>IF(C498="","",IFERROR(INDEX('Saisie'!$AP$5:$AP$2004,_xlfn.MAXIFS('Saisie'!$AS$5:$AS$2004,'Saisie'!$C$5:$C$2004,C498,'Saisie'!$AP$5:$AP$2004,"&lt;&gt;")-4),""))</f>
        <v/>
      </c>
      <c r="AL498" s="60">
        <f>IF(C498="","",IFERROR(INDEX('Saisie'!$AQ$5:$AQ$2004,_xlfn.MAXIFS('Saisie'!$AS$5:$AS$2004,'Saisie'!$C$5:$C$2004,C498,'Saisie'!$AQ$5:$AQ$2004,"&lt;&gt;")-4),""))</f>
        <v/>
      </c>
      <c r="AM498" s="60">
        <f>IF(C498="","",((AI498="Oui")+(AJ498="Oui")+(AK498="Oui")+OR(AL498="Immédiat",AL498="&lt; 1 mois"))&amp;"/4")</f>
        <v/>
      </c>
      <c r="AN498" s="60">
        <f>IF(C498="","",IFERROR(INDEX('Saisie'!$AL$5:$AL$2004,_xlfn.MAXIFS('Saisie'!$AS$5:$AS$2004,'Saisie'!$C$5:$C$2004,C498,'Saisie'!$AL$5:$AL$2004,"&lt;&gt;")-4),""))</f>
        <v/>
      </c>
      <c r="AO498" s="62">
        <f>IF(C498="","",IF(IFERROR(INDEX('Saisie'!$AM$5:$AM$2004,_xlfn.MAXIFS('Saisie'!$AS$5:$AS$2004,'Saisie'!$C$5:$C$2004,C498,'Saisie'!$AM$5:$AM$2004,"&lt;&gt;")-4),"")&lt;&gt;"",IFERROR(INDEX('Saisie'!$AM$5:$AM$2004,_xlfn.MAXIFS('Saisie'!$AS$5:$AS$2004,'Saisie'!$C$5:$C$2004,C498,'Saisie'!$AM$5:$AM$2004,"&lt;&gt;")-4),""),IFERROR(INDEX('Paramètres'!$S$6:$S$15,MATCH(AN498,'Paramètres'!$Q$6:$Q$15,0)),"")))</f>
        <v/>
      </c>
      <c r="AP498" s="62">
        <f>IF(C498="","",IFERROR(INDEX('Saisie'!$AW$5:$AW$2004,_xlfn.MAXIFS('Saisie'!$AS$5:$AS$2004,'Saisie'!$C$5:$C$2004,C498,'Saisie'!$E$5:$E$2004,"Proposition envoyée")-4),""))</f>
        <v/>
      </c>
      <c r="AQ498" s="106">
        <f>IF(C498="","",IFERROR(1/(1/_xlfn.MAXIFS('Saisie'!$A$5:$A$2004,'Saisie'!$C$5:$C$2004,C498,'Saisie'!$E$5:$E$2004,"Proposition envoyée")),""))</f>
        <v/>
      </c>
      <c r="AR498" s="106">
        <f>IF(C498="","",IF(AQ498="","",AQ498+'Paramètres'!$B$26))</f>
        <v/>
      </c>
      <c r="AS498" s="62">
        <f>IF(OR(C498="",D498="Gagné",D498="Perdu"),0,N(AP498)*IFERROR(INDEX('Paramètres'!$G$6:$G$13,MATCH(D498,'Paramètres'!$F$6:$F$13,0)),0))</f>
        <v/>
      </c>
      <c r="AT498" s="106">
        <f>IF(C498="","",IFERROR(1/(1/_xlfn.MINIFS('Saisie'!$A$5:$A$2004,'Saisie'!$C$5:$C$2004,C498,'Saisie'!$E$5:$E$2004,"Signature")),""))</f>
        <v/>
      </c>
      <c r="AU498" s="60">
        <f>IF(C498="","",IF(OR(AT498="",B498=""),"",AT498-B498))</f>
        <v/>
      </c>
      <c r="AV498" s="60">
        <f>IF(C498="","",IFERROR(INDEX('Saisie'!$L$5:$L$2004,_xlfn.MAXIFS('Saisie'!$AS$5:$AS$2004,'Saisie'!$C$5:$C$2004,C498,'Saisie'!$L$5:$L$2004,"&lt;&gt;")-4),""))</f>
        <v/>
      </c>
      <c r="AW498" s="106">
        <f>IF(C498="","",IF(D498&lt;&gt;"Perdu","",IFERROR(1/(1/_xlfn.MAXIFS('Saisie'!$A$5:$A$2004,'Saisie'!$C$5:$C$2004,C498,'Saisie'!$E$5:$E$2004,"Perdu")),"")))</f>
        <v/>
      </c>
      <c r="AX498" s="106">
        <f>IF(C498="","",IF(AW498="","",AW498+'Paramètres'!$B$28))</f>
        <v/>
      </c>
      <c r="AY498" s="60">
        <f>IF(C498="","",SUMIFS('Saisie'!$H$5:$H$2004,'Saisie'!$C$5:$C$2004,C498))</f>
        <v/>
      </c>
      <c r="AZ498" s="60">
        <f>IF(C498="","",IFERROR(INDEX('Paramètres'!$W$6:$W$20,MATCH(S498,'Paramètres'!$V$6:$V$20,0))&amp;"",""))</f>
        <v/>
      </c>
      <c r="BA498" s="60">
        <f>IF(C498="","",MAX(1,_xlfn.MAXIFS('Saisie'!$AT$5:$AT$2004,'Saisie'!$C$5:$C$2004,C498)))</f>
        <v/>
      </c>
      <c r="BB498" s="60">
        <f>IF(C498="","",IFERROR(INDEX('Saisie'!$X$5:$X$2004,_xlfn.MAXIFS('Saisie'!$AS$5:$AS$2004,'Saisie'!$C$5:$C$2004,C498,'Saisie'!$X$5:$X$2004,"&lt;&gt;")-4),""))</f>
        <v/>
      </c>
      <c r="BC498" s="60">
        <f>IF(C498="","",IFERROR(INDEX('Saisie'!$Y$5:$Y$2004,_xlfn.MAXIFS('Saisie'!$AS$5:$AS$2004,'Saisie'!$C$5:$C$2004,C498,'Saisie'!$Y$5:$Y$2004,"&lt;&gt;")-4),""))</f>
        <v/>
      </c>
      <c r="BD498" s="106">
        <f>IF(C498="","",IFERROR(1/(1/_xlfn.MINIFS('Saisie'!$A$5:$A$2004,'Saisie'!$C$5:$C$2004,C498,'Saisie'!$AT$5:$AT$2004,"&gt;=2")),""))</f>
        <v/>
      </c>
      <c r="BE498" s="106">
        <f>IF(C498="","",IFERROR(1/(1/_xlfn.MINIFS('Saisie'!$A$5:$A$2004,'Saisie'!$C$5:$C$2004,C498,'Saisie'!$AT$5:$AT$2004,"&gt;=3")),""))</f>
        <v/>
      </c>
      <c r="BF498" s="106">
        <f>IF(C498="","",IFERROR(1/(1/_xlfn.MINIFS('Saisie'!$A$5:$A$2004,'Saisie'!$C$5:$C$2004,C498,'Saisie'!$AT$5:$AT$2004,"&gt;=4")),""))</f>
        <v/>
      </c>
      <c r="BG498" s="106">
        <f>IF(C498="","",IFERROR(1/(1/_xlfn.MINIFS('Saisie'!$A$5:$A$2004,'Saisie'!$C$5:$C$2004,C498,'Saisie'!$AT$5:$AT$2004,"&gt;=5")),""))</f>
        <v/>
      </c>
      <c r="BH498" s="106">
        <f>IF(C498="","",IFERROR(1/(1/_xlfn.MINIFS('Saisie'!$A$5:$A$2004,'Saisie'!$C$5:$C$2004,C498,'Saisie'!$AT$5:$AT$2004,"&gt;=6")),""))</f>
        <v/>
      </c>
      <c r="BI498" s="106">
        <f>IF(C498="","",IFERROR(1/(1/_xlfn.MINIFS('Saisie'!$A$5:$A$2004,'Saisie'!$C$5:$C$2004,C498,'Saisie'!$AT$5:$AT$2004,"&gt;=7")),""))</f>
        <v/>
      </c>
      <c r="BJ498" s="60">
        <f>IF(OR(BD498="",B498=""),"",BD498-B498)</f>
        <v/>
      </c>
      <c r="BK498" s="60">
        <f>IF(OR(BE498="",BD498=""),"",BE498-BD498)</f>
        <v/>
      </c>
      <c r="BL498" s="60">
        <f>IF(OR(BF498="",BE498=""),"",BF498-BE498)</f>
        <v/>
      </c>
      <c r="BM498" s="60">
        <f>IF(OR(BG498="",BF498=""),"",BG498-BF498)</f>
        <v/>
      </c>
      <c r="BN498" s="60">
        <f>IF(OR(BH498="",BG498=""),"",BH498-BG498)</f>
        <v/>
      </c>
      <c r="BO498" s="60">
        <f>IF(OR(BI498="",BH498=""),"",BI498-BH498)</f>
        <v/>
      </c>
      <c r="BP498" s="60">
        <f>IF(C498="","",_xlfn.MAXIFS('Saisie'!$AS$5:$AS$2004,'Saisie'!$C$5:$C$2004,C498,'Saisie'!$J$5:$J$2004,"&lt;&gt;"))</f>
        <v/>
      </c>
      <c r="BQ498" s="60">
        <f>IF(C498="","",_xlfn.MAXIFS('Saisie'!$AS$5:$AS$2004,'Saisie'!$C$5:$C$2004,C498))</f>
        <v/>
      </c>
      <c r="BR498" s="60">
        <f>IF(C498="","",_xlfn.MAXIFS('Saisie'!$AS$5:$AS$2004,'Saisie'!$C$5:$C$2004,C498,'Saisie'!$E$5:$E$2004,"Perdu"))</f>
        <v/>
      </c>
      <c r="BS498" s="60">
        <f>IF(C498="","",_xlfn.MAXIFS('Saisie'!$AS$5:$AS$2004,'Saisie'!$C$5:$C$2004,C498,'Saisie'!$AT$5:$AT$2004,"&gt;0"))</f>
        <v/>
      </c>
      <c r="BT498" s="109">
        <f>IF(AND(C498&lt;&gt;"",OR(D498="Nouveau",D498="Contacté",D498="Qualifié"),OR(G498="",N(G498)&lt;=TODAY()),NOT(AND(O498&gt;='Paramètres'!$B$21,P498=0))),E498+494/10000,"")</f>
        <v/>
      </c>
      <c r="BU498" s="60">
        <f>IF(AND(G498&lt;&gt;"",N(G498)&lt;=TODAY()),MAX($BU$4:BU497)+1,"")</f>
        <v/>
      </c>
      <c r="BV498" s="60">
        <f>IF(AND(F498&lt;&gt;"",F498&lt;&gt;"Relance en retard"),MAX($BV$4:BV497)+1,"")</f>
        <v/>
      </c>
      <c r="BW498" s="60">
        <f>IF(C498="","",IF(AND(B498&gt;='Tableau de bord'!$R$4,B498&lt;='Tableau de bord'!$S$4,OR('Tableau de bord'!$G$4="Tous",N498='Tableau de bord'!$G$4)),1,0))</f>
        <v/>
      </c>
      <c r="BX498" s="60">
        <f>IF(AND(C498&lt;&gt;"",N(BA498)=7),MAX($BX$4:BX497)+1,"")</f>
        <v/>
      </c>
    </row>
    <row r="499">
      <c r="A499" s="60">
        <f>IF(C499="","","P-"&amp;TEXT(495,"000"))</f>
        <v/>
      </c>
      <c r="B499" s="106">
        <f>IF(C499="","",IFERROR(1/(1/_xlfn.MINIFS('Saisie'!$A$5:$A$2004,'Saisie'!$C$5:$C$2004,C499)),""))</f>
        <v/>
      </c>
      <c r="C499" s="60">
        <f>IFERROR(INDEX('Saisie'!$C$5:$C$2004,MATCH(495,'Saisie'!$AX$5:$AX$2004,0)),"")</f>
        <v/>
      </c>
      <c r="D499" s="60">
        <f>IF(C499="","",IF(AND(BR499&gt;0,BR499&gt;BS499,BA499&lt;7),"Perdu",INDEX('Paramètres'!$F$6:$F$13,BA499)))</f>
        <v/>
      </c>
      <c r="E499" s="61">
        <f>IF(C499="","",MIN(100,(Z499="Oui")*'Paramètres'!$B$38+(AB499="Régulière")*'Paramètres'!$B$39+IF(AND(N(AA499)&gt;0,TODAY()-N(AA499)&lt;=30),'Paramètres'!$B$40,0)+(W499="")*'Paramètres'!$B$41+(AC499="Absente")*'Paramètres'!$B$42+(AC499="Faible")*'Paramètres'!$B$43+IF(AND(N(AD499)&gt;0,N(AD499)&lt;4),'Paramètres'!$B$44,0)+(AF499="Moyenne")*'Paramètres'!$B$45+(AF499="Grande")*'Paramètres'!$B$46+(Y499&lt;&gt;"")*'Paramètres'!$B$47))</f>
        <v/>
      </c>
      <c r="F499" s="60">
        <f>IF(C499="","",IF(D499="Gagné","",IF(D499="Perdu",IF(AND(AX499&lt;&gt;"",AX499&lt;=TODAY()),"À recontacter (perdu)",""),IF(AND(O499&gt;='Paramètres'!$B$21,P499=0),"Stop : "&amp;'Paramètres'!$B$21&amp;" tentatives sans réponse",IF(AND(D499="Proposition",AR499&lt;&gt;"",TODAY()&gt;N(AR499)),"Proposition expirée",IF(AND(D499="Proposition",N(R499)&gt;='Paramètres'!$B$25),"Proposition sans réponse",IF(AND(G499&lt;&gt;"",N(G499)&lt;TODAY()),"Relance en retard",IF(N(R499)&gt;='Paramètres'!$B$24,"Sans action depuis "&amp;R499&amp;" j",""))))))))</f>
        <v/>
      </c>
      <c r="G499" s="106">
        <f>IF(OR(C499="",D499="Gagné",D499="Perdu"),"",IF(AND(BP499&gt;0,BP499=BQ499),INDEX('Saisie'!$J$5:$J$2004,BP499-4),IF(OR(O499=0,AND(O499&gt;='Paramètres'!$B$21,P499=0)),"",Q499+IF(O499&lt;=1,'Paramètres'!$B$18,IF(O499=2,'Paramètres'!$B$19,'Paramètres'!$B$20)))))</f>
        <v/>
      </c>
      <c r="H499" s="107">
        <f>IF(OR(G499="",BP499&lt;&gt;BQ499),"",IF(INDEX('Saisie'!$K$5:$K$2004,BP499-4)="","",INDEX('Saisie'!$K$5:$K$2004,BP499-4)))</f>
        <v/>
      </c>
      <c r="I499" s="60">
        <f>IF(C499="","",IF(OR(D499="Gagné",D499="Perdu"),"",IFERROR(INDEX('Saisie'!$I$5:$I$2004,_xlfn.MAXIFS('Saisie'!$AS$5:$AS$2004,'Saisie'!$C$5:$C$2004,C499,'Saisie'!$I$5:$I$2004,"&lt;&gt;")-4),"")))</f>
        <v/>
      </c>
      <c r="J499" s="60">
        <f>IF(C499="","",IFERROR(INDEX('Saisie'!$U$5:$U$2004,_xlfn.MAXIFS('Saisie'!$AS$5:$AS$2004,'Saisie'!$C$5:$C$2004,C499,'Saisie'!$U$5:$U$2004,"&lt;&gt;")-4),""))</f>
        <v/>
      </c>
      <c r="K499" s="60">
        <f>IF(C499="","",IFERROR(INDEX('Saisie'!$W$5:$W$2004,_xlfn.MAXIFS('Saisie'!$AS$5:$AS$2004,'Saisie'!$C$5:$C$2004,C499,'Saisie'!$W$5:$W$2004,"&lt;&gt;")-4),""))</f>
        <v/>
      </c>
      <c r="L499" s="60">
        <f>IF(IF(BB499&lt;&gt;"",BB499,K499)="","",HYPERLINK("https://wa.me/"&amp;IF(LEFT(SUBSTITUTE(SUBSTITUTE(SUBSTITUTE(IF(BB499&lt;&gt;"",BB499,K499)," ",""),".",""),"+",""),1)="0",'Paramètres'!$B$35&amp;MID(SUBSTITUTE(SUBSTITUTE(SUBSTITUTE(IF(BB499&lt;&gt;"",BB499,K499)," ",""),".",""),"+",""),2,20),SUBSTITUTE(SUBSTITUTE(SUBSTITUTE(IF(BB499&lt;&gt;"",BB499,K499)," ",""),".",""),"+","")),"WhatsApp"))</f>
        <v/>
      </c>
      <c r="M499" s="60">
        <f>IF(BC499="","",HYPERLINK(IF(LEFT(BC499,4)="http",BC499,"https://www.instagram.com/"&amp;SUBSTITUTE(SUBSTITUTE(BC499,"@","")," ","")),BC499))</f>
        <v/>
      </c>
      <c r="N499" s="60">
        <f>IF(C499="","",IFERROR(INDEX('Saisie'!$D$5:$D$2004,_xlfn.MINIFS('Saisie'!$AS$5:$AS$2004,'Saisie'!$C$5:$C$2004,C499,'Saisie'!$AU$5:$AU$2004,1)-4),IFERROR(INDEX('Saisie'!$D$5:$D$2004,_xlfn.MINIFS('Saisie'!$AS$5:$AS$2004,'Saisie'!$C$5:$C$2004,C499,'Saisie'!$D$5:$D$2004,"&lt;&gt;")-4),"")))</f>
        <v/>
      </c>
      <c r="O499" s="60">
        <f>IF(C499="","",COUNTIFS('Saisie'!$C$5:$C$2004,C499,'Saisie'!$AU$5:$AU$2004,1))</f>
        <v/>
      </c>
      <c r="P499" s="60">
        <f>IF(C499="","",COUNTIFS('Saisie'!$C$5:$C$2004,C499,'Saisie'!$AV$5:$AV$2004,1))</f>
        <v/>
      </c>
      <c r="Q499" s="106">
        <f>IF(C499="","",IFERROR(1/(1/_xlfn.MAXIFS('Saisie'!$A$5:$A$2004,'Saisie'!$C$5:$C$2004,C499)),""))</f>
        <v/>
      </c>
      <c r="R499" s="61">
        <f>IF(C499="","",IF(Q499="","",TODAY()-Q499))</f>
        <v/>
      </c>
      <c r="S499" s="60">
        <f>IF(C499="","",IFERROR(INDEX('Saisie'!$R$5:$R$2004,_xlfn.MAXIFS('Saisie'!$AS$5:$AS$2004,'Saisie'!$C$5:$C$2004,C499,'Saisie'!$R$5:$R$2004,"&lt;&gt;")-4),""))</f>
        <v/>
      </c>
      <c r="T499" s="60">
        <f>IF(C499="","",IFERROR(INDEX('Saisie'!$S$5:$S$2004,_xlfn.MAXIFS('Saisie'!$AS$5:$AS$2004,'Saisie'!$C$5:$C$2004,C499,'Saisie'!$S$5:$S$2004,"&lt;&gt;")-4),""))</f>
        <v/>
      </c>
      <c r="U499" s="60">
        <f>IF(C499="","",IFERROR(INDEX('Saisie'!$T$5:$T$2004,_xlfn.MAXIFS('Saisie'!$AS$5:$AS$2004,'Saisie'!$C$5:$C$2004,C499,'Saisie'!$T$5:$T$2004,"&lt;&gt;")-4),""))</f>
        <v/>
      </c>
      <c r="V499" s="60">
        <f>IF(C499="","",IFERROR(INDEX('Saisie'!$V$5:$V$2004,_xlfn.MAXIFS('Saisie'!$AS$5:$AS$2004,'Saisie'!$C$5:$C$2004,C499,'Saisie'!$V$5:$V$2004,"&lt;&gt;")-4),""))</f>
        <v/>
      </c>
      <c r="W499" s="60">
        <f>IF(C499="","",IFERROR(INDEX('Saisie'!$Z$5:$Z$2004,_xlfn.MAXIFS('Saisie'!$AS$5:$AS$2004,'Saisie'!$C$5:$C$2004,C499,'Saisie'!$Z$5:$Z$2004,"&lt;&gt;")-4),""))</f>
        <v/>
      </c>
      <c r="X499" s="60">
        <f>IF(C499="","",IFERROR(INDEX('Saisie'!$AA$5:$AA$2004,_xlfn.MAXIFS('Saisie'!$AS$5:$AS$2004,'Saisie'!$C$5:$C$2004,C499,'Saisie'!$AA$5:$AA$2004,"&lt;&gt;")-4),""))</f>
        <v/>
      </c>
      <c r="Y499" s="60">
        <f>IF(C499="","",IFERROR(INDEX('Saisie'!$AB$5:$AB$2004,_xlfn.MAXIFS('Saisie'!$AS$5:$AS$2004,'Saisie'!$C$5:$C$2004,C499,'Saisie'!$AB$5:$AB$2004,"&lt;&gt;")-4),""))</f>
        <v/>
      </c>
      <c r="Z499" s="60">
        <f>IF(C499="","",IFERROR(INDEX('Saisie'!$AC$5:$AC$2004,_xlfn.MAXIFS('Saisie'!$AS$5:$AS$2004,'Saisie'!$C$5:$C$2004,C499,'Saisie'!$AC$5:$AC$2004,"&lt;&gt;")-4),""))</f>
        <v/>
      </c>
      <c r="AA499" s="106">
        <f>IF(C499="","",IFERROR(INDEX('Saisie'!$AD$5:$AD$2004,_xlfn.MAXIFS('Saisie'!$AS$5:$AS$2004,'Saisie'!$C$5:$C$2004,C499,'Saisie'!$AD$5:$AD$2004,"&lt;&gt;")-4),""))</f>
        <v/>
      </c>
      <c r="AB499" s="60">
        <f>IF(C499="","",IFERROR(INDEX('Saisie'!$AE$5:$AE$2004,_xlfn.MAXIFS('Saisie'!$AS$5:$AS$2004,'Saisie'!$C$5:$C$2004,C499,'Saisie'!$AE$5:$AE$2004,"&lt;&gt;")-4),""))</f>
        <v/>
      </c>
      <c r="AC499" s="60">
        <f>IF(C499="","",IFERROR(INDEX('Saisie'!$AF$5:$AF$2004,_xlfn.MAXIFS('Saisie'!$AS$5:$AS$2004,'Saisie'!$C$5:$C$2004,C499,'Saisie'!$AF$5:$AF$2004,"&lt;&gt;")-4),""))</f>
        <v/>
      </c>
      <c r="AD499" s="108">
        <f>IF(C499="","",IFERROR(INDEX('Saisie'!$AG$5:$AG$2004,_xlfn.MAXIFS('Saisie'!$AS$5:$AS$2004,'Saisie'!$C$5:$C$2004,C499,'Saisie'!$AG$5:$AG$2004,"&lt;&gt;")-4),""))</f>
        <v/>
      </c>
      <c r="AE499" s="60">
        <f>IF(C499="","",IFERROR(INDEX('Saisie'!$AH$5:$AH$2004,_xlfn.MAXIFS('Saisie'!$AS$5:$AS$2004,'Saisie'!$C$5:$C$2004,C499,'Saisie'!$AH$5:$AH$2004,"&lt;&gt;")-4),""))</f>
        <v/>
      </c>
      <c r="AF499" s="60">
        <f>IF(C499="","",IFERROR(INDEX('Saisie'!$AI$5:$AI$2004,_xlfn.MAXIFS('Saisie'!$AS$5:$AS$2004,'Saisie'!$C$5:$C$2004,C499,'Saisie'!$AI$5:$AI$2004,"&lt;&gt;")-4),""))</f>
        <v/>
      </c>
      <c r="AG499" s="60">
        <f>IF(C499="","",IFERROR(INDEX('Saisie'!$AJ$5:$AJ$2004,_xlfn.MAXIFS('Saisie'!$AS$5:$AS$2004,'Saisie'!$C$5:$C$2004,C499,'Saisie'!$AJ$5:$AJ$2004,"&lt;&gt;")-4),""))</f>
        <v/>
      </c>
      <c r="AH499" s="60">
        <f>IF(C499="","",IFERROR(INDEX('Saisie'!$AK$5:$AK$2004,_xlfn.MAXIFS('Saisie'!$AS$5:$AS$2004,'Saisie'!$C$5:$C$2004,C499,'Saisie'!$AK$5:$AK$2004,"&lt;&gt;")-4),""))</f>
        <v/>
      </c>
      <c r="AI499" s="60">
        <f>IF(C499="","",IFERROR(INDEX('Saisie'!$AN$5:$AN$2004,_xlfn.MAXIFS('Saisie'!$AS$5:$AS$2004,'Saisie'!$C$5:$C$2004,C499,'Saisie'!$AN$5:$AN$2004,"&lt;&gt;")-4),""))</f>
        <v/>
      </c>
      <c r="AJ499" s="60">
        <f>IF(C499="","",IFERROR(INDEX('Saisie'!$AO$5:$AO$2004,_xlfn.MAXIFS('Saisie'!$AS$5:$AS$2004,'Saisie'!$C$5:$C$2004,C499,'Saisie'!$AO$5:$AO$2004,"&lt;&gt;")-4),""))</f>
        <v/>
      </c>
      <c r="AK499" s="60">
        <f>IF(C499="","",IFERROR(INDEX('Saisie'!$AP$5:$AP$2004,_xlfn.MAXIFS('Saisie'!$AS$5:$AS$2004,'Saisie'!$C$5:$C$2004,C499,'Saisie'!$AP$5:$AP$2004,"&lt;&gt;")-4),""))</f>
        <v/>
      </c>
      <c r="AL499" s="60">
        <f>IF(C499="","",IFERROR(INDEX('Saisie'!$AQ$5:$AQ$2004,_xlfn.MAXIFS('Saisie'!$AS$5:$AS$2004,'Saisie'!$C$5:$C$2004,C499,'Saisie'!$AQ$5:$AQ$2004,"&lt;&gt;")-4),""))</f>
        <v/>
      </c>
      <c r="AM499" s="60">
        <f>IF(C499="","",((AI499="Oui")+(AJ499="Oui")+(AK499="Oui")+OR(AL499="Immédiat",AL499="&lt; 1 mois"))&amp;"/4")</f>
        <v/>
      </c>
      <c r="AN499" s="60">
        <f>IF(C499="","",IFERROR(INDEX('Saisie'!$AL$5:$AL$2004,_xlfn.MAXIFS('Saisie'!$AS$5:$AS$2004,'Saisie'!$C$5:$C$2004,C499,'Saisie'!$AL$5:$AL$2004,"&lt;&gt;")-4),""))</f>
        <v/>
      </c>
      <c r="AO499" s="62">
        <f>IF(C499="","",IF(IFERROR(INDEX('Saisie'!$AM$5:$AM$2004,_xlfn.MAXIFS('Saisie'!$AS$5:$AS$2004,'Saisie'!$C$5:$C$2004,C499,'Saisie'!$AM$5:$AM$2004,"&lt;&gt;")-4),"")&lt;&gt;"",IFERROR(INDEX('Saisie'!$AM$5:$AM$2004,_xlfn.MAXIFS('Saisie'!$AS$5:$AS$2004,'Saisie'!$C$5:$C$2004,C499,'Saisie'!$AM$5:$AM$2004,"&lt;&gt;")-4),""),IFERROR(INDEX('Paramètres'!$S$6:$S$15,MATCH(AN499,'Paramètres'!$Q$6:$Q$15,0)),"")))</f>
        <v/>
      </c>
      <c r="AP499" s="62">
        <f>IF(C499="","",IFERROR(INDEX('Saisie'!$AW$5:$AW$2004,_xlfn.MAXIFS('Saisie'!$AS$5:$AS$2004,'Saisie'!$C$5:$C$2004,C499,'Saisie'!$E$5:$E$2004,"Proposition envoyée")-4),""))</f>
        <v/>
      </c>
      <c r="AQ499" s="106">
        <f>IF(C499="","",IFERROR(1/(1/_xlfn.MAXIFS('Saisie'!$A$5:$A$2004,'Saisie'!$C$5:$C$2004,C499,'Saisie'!$E$5:$E$2004,"Proposition envoyée")),""))</f>
        <v/>
      </c>
      <c r="AR499" s="106">
        <f>IF(C499="","",IF(AQ499="","",AQ499+'Paramètres'!$B$26))</f>
        <v/>
      </c>
      <c r="AS499" s="62">
        <f>IF(OR(C499="",D499="Gagné",D499="Perdu"),0,N(AP499)*IFERROR(INDEX('Paramètres'!$G$6:$G$13,MATCH(D499,'Paramètres'!$F$6:$F$13,0)),0))</f>
        <v/>
      </c>
      <c r="AT499" s="106">
        <f>IF(C499="","",IFERROR(1/(1/_xlfn.MINIFS('Saisie'!$A$5:$A$2004,'Saisie'!$C$5:$C$2004,C499,'Saisie'!$E$5:$E$2004,"Signature")),""))</f>
        <v/>
      </c>
      <c r="AU499" s="60">
        <f>IF(C499="","",IF(OR(AT499="",B499=""),"",AT499-B499))</f>
        <v/>
      </c>
      <c r="AV499" s="60">
        <f>IF(C499="","",IFERROR(INDEX('Saisie'!$L$5:$L$2004,_xlfn.MAXIFS('Saisie'!$AS$5:$AS$2004,'Saisie'!$C$5:$C$2004,C499,'Saisie'!$L$5:$L$2004,"&lt;&gt;")-4),""))</f>
        <v/>
      </c>
      <c r="AW499" s="106">
        <f>IF(C499="","",IF(D499&lt;&gt;"Perdu","",IFERROR(1/(1/_xlfn.MAXIFS('Saisie'!$A$5:$A$2004,'Saisie'!$C$5:$C$2004,C499,'Saisie'!$E$5:$E$2004,"Perdu")),"")))</f>
        <v/>
      </c>
      <c r="AX499" s="106">
        <f>IF(C499="","",IF(AW499="","",AW499+'Paramètres'!$B$28))</f>
        <v/>
      </c>
      <c r="AY499" s="60">
        <f>IF(C499="","",SUMIFS('Saisie'!$H$5:$H$2004,'Saisie'!$C$5:$C$2004,C499))</f>
        <v/>
      </c>
      <c r="AZ499" s="60">
        <f>IF(C499="","",IFERROR(INDEX('Paramètres'!$W$6:$W$20,MATCH(S499,'Paramètres'!$V$6:$V$20,0))&amp;"",""))</f>
        <v/>
      </c>
      <c r="BA499" s="60">
        <f>IF(C499="","",MAX(1,_xlfn.MAXIFS('Saisie'!$AT$5:$AT$2004,'Saisie'!$C$5:$C$2004,C499)))</f>
        <v/>
      </c>
      <c r="BB499" s="60">
        <f>IF(C499="","",IFERROR(INDEX('Saisie'!$X$5:$X$2004,_xlfn.MAXIFS('Saisie'!$AS$5:$AS$2004,'Saisie'!$C$5:$C$2004,C499,'Saisie'!$X$5:$X$2004,"&lt;&gt;")-4),""))</f>
        <v/>
      </c>
      <c r="BC499" s="60">
        <f>IF(C499="","",IFERROR(INDEX('Saisie'!$Y$5:$Y$2004,_xlfn.MAXIFS('Saisie'!$AS$5:$AS$2004,'Saisie'!$C$5:$C$2004,C499,'Saisie'!$Y$5:$Y$2004,"&lt;&gt;")-4),""))</f>
        <v/>
      </c>
      <c r="BD499" s="106">
        <f>IF(C499="","",IFERROR(1/(1/_xlfn.MINIFS('Saisie'!$A$5:$A$2004,'Saisie'!$C$5:$C$2004,C499,'Saisie'!$AT$5:$AT$2004,"&gt;=2")),""))</f>
        <v/>
      </c>
      <c r="BE499" s="106">
        <f>IF(C499="","",IFERROR(1/(1/_xlfn.MINIFS('Saisie'!$A$5:$A$2004,'Saisie'!$C$5:$C$2004,C499,'Saisie'!$AT$5:$AT$2004,"&gt;=3")),""))</f>
        <v/>
      </c>
      <c r="BF499" s="106">
        <f>IF(C499="","",IFERROR(1/(1/_xlfn.MINIFS('Saisie'!$A$5:$A$2004,'Saisie'!$C$5:$C$2004,C499,'Saisie'!$AT$5:$AT$2004,"&gt;=4")),""))</f>
        <v/>
      </c>
      <c r="BG499" s="106">
        <f>IF(C499="","",IFERROR(1/(1/_xlfn.MINIFS('Saisie'!$A$5:$A$2004,'Saisie'!$C$5:$C$2004,C499,'Saisie'!$AT$5:$AT$2004,"&gt;=5")),""))</f>
        <v/>
      </c>
      <c r="BH499" s="106">
        <f>IF(C499="","",IFERROR(1/(1/_xlfn.MINIFS('Saisie'!$A$5:$A$2004,'Saisie'!$C$5:$C$2004,C499,'Saisie'!$AT$5:$AT$2004,"&gt;=6")),""))</f>
        <v/>
      </c>
      <c r="BI499" s="106">
        <f>IF(C499="","",IFERROR(1/(1/_xlfn.MINIFS('Saisie'!$A$5:$A$2004,'Saisie'!$C$5:$C$2004,C499,'Saisie'!$AT$5:$AT$2004,"&gt;=7")),""))</f>
        <v/>
      </c>
      <c r="BJ499" s="60">
        <f>IF(OR(BD499="",B499=""),"",BD499-B499)</f>
        <v/>
      </c>
      <c r="BK499" s="60">
        <f>IF(OR(BE499="",BD499=""),"",BE499-BD499)</f>
        <v/>
      </c>
      <c r="BL499" s="60">
        <f>IF(OR(BF499="",BE499=""),"",BF499-BE499)</f>
        <v/>
      </c>
      <c r="BM499" s="60">
        <f>IF(OR(BG499="",BF499=""),"",BG499-BF499)</f>
        <v/>
      </c>
      <c r="BN499" s="60">
        <f>IF(OR(BH499="",BG499=""),"",BH499-BG499)</f>
        <v/>
      </c>
      <c r="BO499" s="60">
        <f>IF(OR(BI499="",BH499=""),"",BI499-BH499)</f>
        <v/>
      </c>
      <c r="BP499" s="60">
        <f>IF(C499="","",_xlfn.MAXIFS('Saisie'!$AS$5:$AS$2004,'Saisie'!$C$5:$C$2004,C499,'Saisie'!$J$5:$J$2004,"&lt;&gt;"))</f>
        <v/>
      </c>
      <c r="BQ499" s="60">
        <f>IF(C499="","",_xlfn.MAXIFS('Saisie'!$AS$5:$AS$2004,'Saisie'!$C$5:$C$2004,C499))</f>
        <v/>
      </c>
      <c r="BR499" s="60">
        <f>IF(C499="","",_xlfn.MAXIFS('Saisie'!$AS$5:$AS$2004,'Saisie'!$C$5:$C$2004,C499,'Saisie'!$E$5:$E$2004,"Perdu"))</f>
        <v/>
      </c>
      <c r="BS499" s="60">
        <f>IF(C499="","",_xlfn.MAXIFS('Saisie'!$AS$5:$AS$2004,'Saisie'!$C$5:$C$2004,C499,'Saisie'!$AT$5:$AT$2004,"&gt;0"))</f>
        <v/>
      </c>
      <c r="BT499" s="109">
        <f>IF(AND(C499&lt;&gt;"",OR(D499="Nouveau",D499="Contacté",D499="Qualifié"),OR(G499="",N(G499)&lt;=TODAY()),NOT(AND(O499&gt;='Paramètres'!$B$21,P499=0))),E499+495/10000,"")</f>
        <v/>
      </c>
      <c r="BU499" s="60">
        <f>IF(AND(G499&lt;&gt;"",N(G499)&lt;=TODAY()),MAX($BU$4:BU498)+1,"")</f>
        <v/>
      </c>
      <c r="BV499" s="60">
        <f>IF(AND(F499&lt;&gt;"",F499&lt;&gt;"Relance en retard"),MAX($BV$4:BV498)+1,"")</f>
        <v/>
      </c>
      <c r="BW499" s="60">
        <f>IF(C499="","",IF(AND(B499&gt;='Tableau de bord'!$R$4,B499&lt;='Tableau de bord'!$S$4,OR('Tableau de bord'!$G$4="Tous",N499='Tableau de bord'!$G$4)),1,0))</f>
        <v/>
      </c>
      <c r="BX499" s="60">
        <f>IF(AND(C499&lt;&gt;"",N(BA499)=7),MAX($BX$4:BX498)+1,"")</f>
        <v/>
      </c>
    </row>
    <row r="500">
      <c r="A500" s="60">
        <f>IF(C500="","","P-"&amp;TEXT(496,"000"))</f>
        <v/>
      </c>
      <c r="B500" s="106">
        <f>IF(C500="","",IFERROR(1/(1/_xlfn.MINIFS('Saisie'!$A$5:$A$2004,'Saisie'!$C$5:$C$2004,C500)),""))</f>
        <v/>
      </c>
      <c r="C500" s="60">
        <f>IFERROR(INDEX('Saisie'!$C$5:$C$2004,MATCH(496,'Saisie'!$AX$5:$AX$2004,0)),"")</f>
        <v/>
      </c>
      <c r="D500" s="60">
        <f>IF(C500="","",IF(AND(BR500&gt;0,BR500&gt;BS500,BA500&lt;7),"Perdu",INDEX('Paramètres'!$F$6:$F$13,BA500)))</f>
        <v/>
      </c>
      <c r="E500" s="61">
        <f>IF(C500="","",MIN(100,(Z500="Oui")*'Paramètres'!$B$38+(AB500="Régulière")*'Paramètres'!$B$39+IF(AND(N(AA500)&gt;0,TODAY()-N(AA500)&lt;=30),'Paramètres'!$B$40,0)+(W500="")*'Paramètres'!$B$41+(AC500="Absente")*'Paramètres'!$B$42+(AC500="Faible")*'Paramètres'!$B$43+IF(AND(N(AD500)&gt;0,N(AD500)&lt;4),'Paramètres'!$B$44,0)+(AF500="Moyenne")*'Paramètres'!$B$45+(AF500="Grande")*'Paramètres'!$B$46+(Y500&lt;&gt;"")*'Paramètres'!$B$47))</f>
        <v/>
      </c>
      <c r="F500" s="60">
        <f>IF(C500="","",IF(D500="Gagné","",IF(D500="Perdu",IF(AND(AX500&lt;&gt;"",AX500&lt;=TODAY()),"À recontacter (perdu)",""),IF(AND(O500&gt;='Paramètres'!$B$21,P500=0),"Stop : "&amp;'Paramètres'!$B$21&amp;" tentatives sans réponse",IF(AND(D500="Proposition",AR500&lt;&gt;"",TODAY()&gt;N(AR500)),"Proposition expirée",IF(AND(D500="Proposition",N(R500)&gt;='Paramètres'!$B$25),"Proposition sans réponse",IF(AND(G500&lt;&gt;"",N(G500)&lt;TODAY()),"Relance en retard",IF(N(R500)&gt;='Paramètres'!$B$24,"Sans action depuis "&amp;R500&amp;" j",""))))))))</f>
        <v/>
      </c>
      <c r="G500" s="106">
        <f>IF(OR(C500="",D500="Gagné",D500="Perdu"),"",IF(AND(BP500&gt;0,BP500=BQ500),INDEX('Saisie'!$J$5:$J$2004,BP500-4),IF(OR(O500=0,AND(O500&gt;='Paramètres'!$B$21,P500=0)),"",Q500+IF(O500&lt;=1,'Paramètres'!$B$18,IF(O500=2,'Paramètres'!$B$19,'Paramètres'!$B$20)))))</f>
        <v/>
      </c>
      <c r="H500" s="107">
        <f>IF(OR(G500="",BP500&lt;&gt;BQ500),"",IF(INDEX('Saisie'!$K$5:$K$2004,BP500-4)="","",INDEX('Saisie'!$K$5:$K$2004,BP500-4)))</f>
        <v/>
      </c>
      <c r="I500" s="60">
        <f>IF(C500="","",IF(OR(D500="Gagné",D500="Perdu"),"",IFERROR(INDEX('Saisie'!$I$5:$I$2004,_xlfn.MAXIFS('Saisie'!$AS$5:$AS$2004,'Saisie'!$C$5:$C$2004,C500,'Saisie'!$I$5:$I$2004,"&lt;&gt;")-4),"")))</f>
        <v/>
      </c>
      <c r="J500" s="60">
        <f>IF(C500="","",IFERROR(INDEX('Saisie'!$U$5:$U$2004,_xlfn.MAXIFS('Saisie'!$AS$5:$AS$2004,'Saisie'!$C$5:$C$2004,C500,'Saisie'!$U$5:$U$2004,"&lt;&gt;")-4),""))</f>
        <v/>
      </c>
      <c r="K500" s="60">
        <f>IF(C500="","",IFERROR(INDEX('Saisie'!$W$5:$W$2004,_xlfn.MAXIFS('Saisie'!$AS$5:$AS$2004,'Saisie'!$C$5:$C$2004,C500,'Saisie'!$W$5:$W$2004,"&lt;&gt;")-4),""))</f>
        <v/>
      </c>
      <c r="L500" s="60">
        <f>IF(IF(BB500&lt;&gt;"",BB500,K500)="","",HYPERLINK("https://wa.me/"&amp;IF(LEFT(SUBSTITUTE(SUBSTITUTE(SUBSTITUTE(IF(BB500&lt;&gt;"",BB500,K500)," ",""),".",""),"+",""),1)="0",'Paramètres'!$B$35&amp;MID(SUBSTITUTE(SUBSTITUTE(SUBSTITUTE(IF(BB500&lt;&gt;"",BB500,K500)," ",""),".",""),"+",""),2,20),SUBSTITUTE(SUBSTITUTE(SUBSTITUTE(IF(BB500&lt;&gt;"",BB500,K500)," ",""),".",""),"+","")),"WhatsApp"))</f>
        <v/>
      </c>
      <c r="M500" s="60">
        <f>IF(BC500="","",HYPERLINK(IF(LEFT(BC500,4)="http",BC500,"https://www.instagram.com/"&amp;SUBSTITUTE(SUBSTITUTE(BC500,"@","")," ","")),BC500))</f>
        <v/>
      </c>
      <c r="N500" s="60">
        <f>IF(C500="","",IFERROR(INDEX('Saisie'!$D$5:$D$2004,_xlfn.MINIFS('Saisie'!$AS$5:$AS$2004,'Saisie'!$C$5:$C$2004,C500,'Saisie'!$AU$5:$AU$2004,1)-4),IFERROR(INDEX('Saisie'!$D$5:$D$2004,_xlfn.MINIFS('Saisie'!$AS$5:$AS$2004,'Saisie'!$C$5:$C$2004,C500,'Saisie'!$D$5:$D$2004,"&lt;&gt;")-4),"")))</f>
        <v/>
      </c>
      <c r="O500" s="60">
        <f>IF(C500="","",COUNTIFS('Saisie'!$C$5:$C$2004,C500,'Saisie'!$AU$5:$AU$2004,1))</f>
        <v/>
      </c>
      <c r="P500" s="60">
        <f>IF(C500="","",COUNTIFS('Saisie'!$C$5:$C$2004,C500,'Saisie'!$AV$5:$AV$2004,1))</f>
        <v/>
      </c>
      <c r="Q500" s="106">
        <f>IF(C500="","",IFERROR(1/(1/_xlfn.MAXIFS('Saisie'!$A$5:$A$2004,'Saisie'!$C$5:$C$2004,C500)),""))</f>
        <v/>
      </c>
      <c r="R500" s="61">
        <f>IF(C500="","",IF(Q500="","",TODAY()-Q500))</f>
        <v/>
      </c>
      <c r="S500" s="60">
        <f>IF(C500="","",IFERROR(INDEX('Saisie'!$R$5:$R$2004,_xlfn.MAXIFS('Saisie'!$AS$5:$AS$2004,'Saisie'!$C$5:$C$2004,C500,'Saisie'!$R$5:$R$2004,"&lt;&gt;")-4),""))</f>
        <v/>
      </c>
      <c r="T500" s="60">
        <f>IF(C500="","",IFERROR(INDEX('Saisie'!$S$5:$S$2004,_xlfn.MAXIFS('Saisie'!$AS$5:$AS$2004,'Saisie'!$C$5:$C$2004,C500,'Saisie'!$S$5:$S$2004,"&lt;&gt;")-4),""))</f>
        <v/>
      </c>
      <c r="U500" s="60">
        <f>IF(C500="","",IFERROR(INDEX('Saisie'!$T$5:$T$2004,_xlfn.MAXIFS('Saisie'!$AS$5:$AS$2004,'Saisie'!$C$5:$C$2004,C500,'Saisie'!$T$5:$T$2004,"&lt;&gt;")-4),""))</f>
        <v/>
      </c>
      <c r="V500" s="60">
        <f>IF(C500="","",IFERROR(INDEX('Saisie'!$V$5:$V$2004,_xlfn.MAXIFS('Saisie'!$AS$5:$AS$2004,'Saisie'!$C$5:$C$2004,C500,'Saisie'!$V$5:$V$2004,"&lt;&gt;")-4),""))</f>
        <v/>
      </c>
      <c r="W500" s="60">
        <f>IF(C500="","",IFERROR(INDEX('Saisie'!$Z$5:$Z$2004,_xlfn.MAXIFS('Saisie'!$AS$5:$AS$2004,'Saisie'!$C$5:$C$2004,C500,'Saisie'!$Z$5:$Z$2004,"&lt;&gt;")-4),""))</f>
        <v/>
      </c>
      <c r="X500" s="60">
        <f>IF(C500="","",IFERROR(INDEX('Saisie'!$AA$5:$AA$2004,_xlfn.MAXIFS('Saisie'!$AS$5:$AS$2004,'Saisie'!$C$5:$C$2004,C500,'Saisie'!$AA$5:$AA$2004,"&lt;&gt;")-4),""))</f>
        <v/>
      </c>
      <c r="Y500" s="60">
        <f>IF(C500="","",IFERROR(INDEX('Saisie'!$AB$5:$AB$2004,_xlfn.MAXIFS('Saisie'!$AS$5:$AS$2004,'Saisie'!$C$5:$C$2004,C500,'Saisie'!$AB$5:$AB$2004,"&lt;&gt;")-4),""))</f>
        <v/>
      </c>
      <c r="Z500" s="60">
        <f>IF(C500="","",IFERROR(INDEX('Saisie'!$AC$5:$AC$2004,_xlfn.MAXIFS('Saisie'!$AS$5:$AS$2004,'Saisie'!$C$5:$C$2004,C500,'Saisie'!$AC$5:$AC$2004,"&lt;&gt;")-4),""))</f>
        <v/>
      </c>
      <c r="AA500" s="106">
        <f>IF(C500="","",IFERROR(INDEX('Saisie'!$AD$5:$AD$2004,_xlfn.MAXIFS('Saisie'!$AS$5:$AS$2004,'Saisie'!$C$5:$C$2004,C500,'Saisie'!$AD$5:$AD$2004,"&lt;&gt;")-4),""))</f>
        <v/>
      </c>
      <c r="AB500" s="60">
        <f>IF(C500="","",IFERROR(INDEX('Saisie'!$AE$5:$AE$2004,_xlfn.MAXIFS('Saisie'!$AS$5:$AS$2004,'Saisie'!$C$5:$C$2004,C500,'Saisie'!$AE$5:$AE$2004,"&lt;&gt;")-4),""))</f>
        <v/>
      </c>
      <c r="AC500" s="60">
        <f>IF(C500="","",IFERROR(INDEX('Saisie'!$AF$5:$AF$2004,_xlfn.MAXIFS('Saisie'!$AS$5:$AS$2004,'Saisie'!$C$5:$C$2004,C500,'Saisie'!$AF$5:$AF$2004,"&lt;&gt;")-4),""))</f>
        <v/>
      </c>
      <c r="AD500" s="108">
        <f>IF(C500="","",IFERROR(INDEX('Saisie'!$AG$5:$AG$2004,_xlfn.MAXIFS('Saisie'!$AS$5:$AS$2004,'Saisie'!$C$5:$C$2004,C500,'Saisie'!$AG$5:$AG$2004,"&lt;&gt;")-4),""))</f>
        <v/>
      </c>
      <c r="AE500" s="60">
        <f>IF(C500="","",IFERROR(INDEX('Saisie'!$AH$5:$AH$2004,_xlfn.MAXIFS('Saisie'!$AS$5:$AS$2004,'Saisie'!$C$5:$C$2004,C500,'Saisie'!$AH$5:$AH$2004,"&lt;&gt;")-4),""))</f>
        <v/>
      </c>
      <c r="AF500" s="60">
        <f>IF(C500="","",IFERROR(INDEX('Saisie'!$AI$5:$AI$2004,_xlfn.MAXIFS('Saisie'!$AS$5:$AS$2004,'Saisie'!$C$5:$C$2004,C500,'Saisie'!$AI$5:$AI$2004,"&lt;&gt;")-4),""))</f>
        <v/>
      </c>
      <c r="AG500" s="60">
        <f>IF(C500="","",IFERROR(INDEX('Saisie'!$AJ$5:$AJ$2004,_xlfn.MAXIFS('Saisie'!$AS$5:$AS$2004,'Saisie'!$C$5:$C$2004,C500,'Saisie'!$AJ$5:$AJ$2004,"&lt;&gt;")-4),""))</f>
        <v/>
      </c>
      <c r="AH500" s="60">
        <f>IF(C500="","",IFERROR(INDEX('Saisie'!$AK$5:$AK$2004,_xlfn.MAXIFS('Saisie'!$AS$5:$AS$2004,'Saisie'!$C$5:$C$2004,C500,'Saisie'!$AK$5:$AK$2004,"&lt;&gt;")-4),""))</f>
        <v/>
      </c>
      <c r="AI500" s="60">
        <f>IF(C500="","",IFERROR(INDEX('Saisie'!$AN$5:$AN$2004,_xlfn.MAXIFS('Saisie'!$AS$5:$AS$2004,'Saisie'!$C$5:$C$2004,C500,'Saisie'!$AN$5:$AN$2004,"&lt;&gt;")-4),""))</f>
        <v/>
      </c>
      <c r="AJ500" s="60">
        <f>IF(C500="","",IFERROR(INDEX('Saisie'!$AO$5:$AO$2004,_xlfn.MAXIFS('Saisie'!$AS$5:$AS$2004,'Saisie'!$C$5:$C$2004,C500,'Saisie'!$AO$5:$AO$2004,"&lt;&gt;")-4),""))</f>
        <v/>
      </c>
      <c r="AK500" s="60">
        <f>IF(C500="","",IFERROR(INDEX('Saisie'!$AP$5:$AP$2004,_xlfn.MAXIFS('Saisie'!$AS$5:$AS$2004,'Saisie'!$C$5:$C$2004,C500,'Saisie'!$AP$5:$AP$2004,"&lt;&gt;")-4),""))</f>
        <v/>
      </c>
      <c r="AL500" s="60">
        <f>IF(C500="","",IFERROR(INDEX('Saisie'!$AQ$5:$AQ$2004,_xlfn.MAXIFS('Saisie'!$AS$5:$AS$2004,'Saisie'!$C$5:$C$2004,C500,'Saisie'!$AQ$5:$AQ$2004,"&lt;&gt;")-4),""))</f>
        <v/>
      </c>
      <c r="AM500" s="60">
        <f>IF(C500="","",((AI500="Oui")+(AJ500="Oui")+(AK500="Oui")+OR(AL500="Immédiat",AL500="&lt; 1 mois"))&amp;"/4")</f>
        <v/>
      </c>
      <c r="AN500" s="60">
        <f>IF(C500="","",IFERROR(INDEX('Saisie'!$AL$5:$AL$2004,_xlfn.MAXIFS('Saisie'!$AS$5:$AS$2004,'Saisie'!$C$5:$C$2004,C500,'Saisie'!$AL$5:$AL$2004,"&lt;&gt;")-4),""))</f>
        <v/>
      </c>
      <c r="AO500" s="62">
        <f>IF(C500="","",IF(IFERROR(INDEX('Saisie'!$AM$5:$AM$2004,_xlfn.MAXIFS('Saisie'!$AS$5:$AS$2004,'Saisie'!$C$5:$C$2004,C500,'Saisie'!$AM$5:$AM$2004,"&lt;&gt;")-4),"")&lt;&gt;"",IFERROR(INDEX('Saisie'!$AM$5:$AM$2004,_xlfn.MAXIFS('Saisie'!$AS$5:$AS$2004,'Saisie'!$C$5:$C$2004,C500,'Saisie'!$AM$5:$AM$2004,"&lt;&gt;")-4),""),IFERROR(INDEX('Paramètres'!$S$6:$S$15,MATCH(AN500,'Paramètres'!$Q$6:$Q$15,0)),"")))</f>
        <v/>
      </c>
      <c r="AP500" s="62">
        <f>IF(C500="","",IFERROR(INDEX('Saisie'!$AW$5:$AW$2004,_xlfn.MAXIFS('Saisie'!$AS$5:$AS$2004,'Saisie'!$C$5:$C$2004,C500,'Saisie'!$E$5:$E$2004,"Proposition envoyée")-4),""))</f>
        <v/>
      </c>
      <c r="AQ500" s="106">
        <f>IF(C500="","",IFERROR(1/(1/_xlfn.MAXIFS('Saisie'!$A$5:$A$2004,'Saisie'!$C$5:$C$2004,C500,'Saisie'!$E$5:$E$2004,"Proposition envoyée")),""))</f>
        <v/>
      </c>
      <c r="AR500" s="106">
        <f>IF(C500="","",IF(AQ500="","",AQ500+'Paramètres'!$B$26))</f>
        <v/>
      </c>
      <c r="AS500" s="62">
        <f>IF(OR(C500="",D500="Gagné",D500="Perdu"),0,N(AP500)*IFERROR(INDEX('Paramètres'!$G$6:$G$13,MATCH(D500,'Paramètres'!$F$6:$F$13,0)),0))</f>
        <v/>
      </c>
      <c r="AT500" s="106">
        <f>IF(C500="","",IFERROR(1/(1/_xlfn.MINIFS('Saisie'!$A$5:$A$2004,'Saisie'!$C$5:$C$2004,C500,'Saisie'!$E$5:$E$2004,"Signature")),""))</f>
        <v/>
      </c>
      <c r="AU500" s="60">
        <f>IF(C500="","",IF(OR(AT500="",B500=""),"",AT500-B500))</f>
        <v/>
      </c>
      <c r="AV500" s="60">
        <f>IF(C500="","",IFERROR(INDEX('Saisie'!$L$5:$L$2004,_xlfn.MAXIFS('Saisie'!$AS$5:$AS$2004,'Saisie'!$C$5:$C$2004,C500,'Saisie'!$L$5:$L$2004,"&lt;&gt;")-4),""))</f>
        <v/>
      </c>
      <c r="AW500" s="106">
        <f>IF(C500="","",IF(D500&lt;&gt;"Perdu","",IFERROR(1/(1/_xlfn.MAXIFS('Saisie'!$A$5:$A$2004,'Saisie'!$C$5:$C$2004,C500,'Saisie'!$E$5:$E$2004,"Perdu")),"")))</f>
        <v/>
      </c>
      <c r="AX500" s="106">
        <f>IF(C500="","",IF(AW500="","",AW500+'Paramètres'!$B$28))</f>
        <v/>
      </c>
      <c r="AY500" s="60">
        <f>IF(C500="","",SUMIFS('Saisie'!$H$5:$H$2004,'Saisie'!$C$5:$C$2004,C500))</f>
        <v/>
      </c>
      <c r="AZ500" s="60">
        <f>IF(C500="","",IFERROR(INDEX('Paramètres'!$W$6:$W$20,MATCH(S500,'Paramètres'!$V$6:$V$20,0))&amp;"",""))</f>
        <v/>
      </c>
      <c r="BA500" s="60">
        <f>IF(C500="","",MAX(1,_xlfn.MAXIFS('Saisie'!$AT$5:$AT$2004,'Saisie'!$C$5:$C$2004,C500)))</f>
        <v/>
      </c>
      <c r="BB500" s="60">
        <f>IF(C500="","",IFERROR(INDEX('Saisie'!$X$5:$X$2004,_xlfn.MAXIFS('Saisie'!$AS$5:$AS$2004,'Saisie'!$C$5:$C$2004,C500,'Saisie'!$X$5:$X$2004,"&lt;&gt;")-4),""))</f>
        <v/>
      </c>
      <c r="BC500" s="60">
        <f>IF(C500="","",IFERROR(INDEX('Saisie'!$Y$5:$Y$2004,_xlfn.MAXIFS('Saisie'!$AS$5:$AS$2004,'Saisie'!$C$5:$C$2004,C500,'Saisie'!$Y$5:$Y$2004,"&lt;&gt;")-4),""))</f>
        <v/>
      </c>
      <c r="BD500" s="106">
        <f>IF(C500="","",IFERROR(1/(1/_xlfn.MINIFS('Saisie'!$A$5:$A$2004,'Saisie'!$C$5:$C$2004,C500,'Saisie'!$AT$5:$AT$2004,"&gt;=2")),""))</f>
        <v/>
      </c>
      <c r="BE500" s="106">
        <f>IF(C500="","",IFERROR(1/(1/_xlfn.MINIFS('Saisie'!$A$5:$A$2004,'Saisie'!$C$5:$C$2004,C500,'Saisie'!$AT$5:$AT$2004,"&gt;=3")),""))</f>
        <v/>
      </c>
      <c r="BF500" s="106">
        <f>IF(C500="","",IFERROR(1/(1/_xlfn.MINIFS('Saisie'!$A$5:$A$2004,'Saisie'!$C$5:$C$2004,C500,'Saisie'!$AT$5:$AT$2004,"&gt;=4")),""))</f>
        <v/>
      </c>
      <c r="BG500" s="106">
        <f>IF(C500="","",IFERROR(1/(1/_xlfn.MINIFS('Saisie'!$A$5:$A$2004,'Saisie'!$C$5:$C$2004,C500,'Saisie'!$AT$5:$AT$2004,"&gt;=5")),""))</f>
        <v/>
      </c>
      <c r="BH500" s="106">
        <f>IF(C500="","",IFERROR(1/(1/_xlfn.MINIFS('Saisie'!$A$5:$A$2004,'Saisie'!$C$5:$C$2004,C500,'Saisie'!$AT$5:$AT$2004,"&gt;=6")),""))</f>
        <v/>
      </c>
      <c r="BI500" s="106">
        <f>IF(C500="","",IFERROR(1/(1/_xlfn.MINIFS('Saisie'!$A$5:$A$2004,'Saisie'!$C$5:$C$2004,C500,'Saisie'!$AT$5:$AT$2004,"&gt;=7")),""))</f>
        <v/>
      </c>
      <c r="BJ500" s="60">
        <f>IF(OR(BD500="",B500=""),"",BD500-B500)</f>
        <v/>
      </c>
      <c r="BK500" s="60">
        <f>IF(OR(BE500="",BD500=""),"",BE500-BD500)</f>
        <v/>
      </c>
      <c r="BL500" s="60">
        <f>IF(OR(BF500="",BE500=""),"",BF500-BE500)</f>
        <v/>
      </c>
      <c r="BM500" s="60">
        <f>IF(OR(BG500="",BF500=""),"",BG500-BF500)</f>
        <v/>
      </c>
      <c r="BN500" s="60">
        <f>IF(OR(BH500="",BG500=""),"",BH500-BG500)</f>
        <v/>
      </c>
      <c r="BO500" s="60">
        <f>IF(OR(BI500="",BH500=""),"",BI500-BH500)</f>
        <v/>
      </c>
      <c r="BP500" s="60">
        <f>IF(C500="","",_xlfn.MAXIFS('Saisie'!$AS$5:$AS$2004,'Saisie'!$C$5:$C$2004,C500,'Saisie'!$J$5:$J$2004,"&lt;&gt;"))</f>
        <v/>
      </c>
      <c r="BQ500" s="60">
        <f>IF(C500="","",_xlfn.MAXIFS('Saisie'!$AS$5:$AS$2004,'Saisie'!$C$5:$C$2004,C500))</f>
        <v/>
      </c>
      <c r="BR500" s="60">
        <f>IF(C500="","",_xlfn.MAXIFS('Saisie'!$AS$5:$AS$2004,'Saisie'!$C$5:$C$2004,C500,'Saisie'!$E$5:$E$2004,"Perdu"))</f>
        <v/>
      </c>
      <c r="BS500" s="60">
        <f>IF(C500="","",_xlfn.MAXIFS('Saisie'!$AS$5:$AS$2004,'Saisie'!$C$5:$C$2004,C500,'Saisie'!$AT$5:$AT$2004,"&gt;0"))</f>
        <v/>
      </c>
      <c r="BT500" s="109">
        <f>IF(AND(C500&lt;&gt;"",OR(D500="Nouveau",D500="Contacté",D500="Qualifié"),OR(G500="",N(G500)&lt;=TODAY()),NOT(AND(O500&gt;='Paramètres'!$B$21,P500=0))),E500+496/10000,"")</f>
        <v/>
      </c>
      <c r="BU500" s="60">
        <f>IF(AND(G500&lt;&gt;"",N(G500)&lt;=TODAY()),MAX($BU$4:BU499)+1,"")</f>
        <v/>
      </c>
      <c r="BV500" s="60">
        <f>IF(AND(F500&lt;&gt;"",F500&lt;&gt;"Relance en retard"),MAX($BV$4:BV499)+1,"")</f>
        <v/>
      </c>
      <c r="BW500" s="60">
        <f>IF(C500="","",IF(AND(B500&gt;='Tableau de bord'!$R$4,B500&lt;='Tableau de bord'!$S$4,OR('Tableau de bord'!$G$4="Tous",N500='Tableau de bord'!$G$4)),1,0))</f>
        <v/>
      </c>
      <c r="BX500" s="60">
        <f>IF(AND(C500&lt;&gt;"",N(BA500)=7),MAX($BX$4:BX499)+1,"")</f>
        <v/>
      </c>
    </row>
    <row r="501">
      <c r="A501" s="60">
        <f>IF(C501="","","P-"&amp;TEXT(497,"000"))</f>
        <v/>
      </c>
      <c r="B501" s="106">
        <f>IF(C501="","",IFERROR(1/(1/_xlfn.MINIFS('Saisie'!$A$5:$A$2004,'Saisie'!$C$5:$C$2004,C501)),""))</f>
        <v/>
      </c>
      <c r="C501" s="60">
        <f>IFERROR(INDEX('Saisie'!$C$5:$C$2004,MATCH(497,'Saisie'!$AX$5:$AX$2004,0)),"")</f>
        <v/>
      </c>
      <c r="D501" s="60">
        <f>IF(C501="","",IF(AND(BR501&gt;0,BR501&gt;BS501,BA501&lt;7),"Perdu",INDEX('Paramètres'!$F$6:$F$13,BA501)))</f>
        <v/>
      </c>
      <c r="E501" s="61">
        <f>IF(C501="","",MIN(100,(Z501="Oui")*'Paramètres'!$B$38+(AB501="Régulière")*'Paramètres'!$B$39+IF(AND(N(AA501)&gt;0,TODAY()-N(AA501)&lt;=30),'Paramètres'!$B$40,0)+(W501="")*'Paramètres'!$B$41+(AC501="Absente")*'Paramètres'!$B$42+(AC501="Faible")*'Paramètres'!$B$43+IF(AND(N(AD501)&gt;0,N(AD501)&lt;4),'Paramètres'!$B$44,0)+(AF501="Moyenne")*'Paramètres'!$B$45+(AF501="Grande")*'Paramètres'!$B$46+(Y501&lt;&gt;"")*'Paramètres'!$B$47))</f>
        <v/>
      </c>
      <c r="F501" s="60">
        <f>IF(C501="","",IF(D501="Gagné","",IF(D501="Perdu",IF(AND(AX501&lt;&gt;"",AX501&lt;=TODAY()),"À recontacter (perdu)",""),IF(AND(O501&gt;='Paramètres'!$B$21,P501=0),"Stop : "&amp;'Paramètres'!$B$21&amp;" tentatives sans réponse",IF(AND(D501="Proposition",AR501&lt;&gt;"",TODAY()&gt;N(AR501)),"Proposition expirée",IF(AND(D501="Proposition",N(R501)&gt;='Paramètres'!$B$25),"Proposition sans réponse",IF(AND(G501&lt;&gt;"",N(G501)&lt;TODAY()),"Relance en retard",IF(N(R501)&gt;='Paramètres'!$B$24,"Sans action depuis "&amp;R501&amp;" j",""))))))))</f>
        <v/>
      </c>
      <c r="G501" s="106">
        <f>IF(OR(C501="",D501="Gagné",D501="Perdu"),"",IF(AND(BP501&gt;0,BP501=BQ501),INDEX('Saisie'!$J$5:$J$2004,BP501-4),IF(OR(O501=0,AND(O501&gt;='Paramètres'!$B$21,P501=0)),"",Q501+IF(O501&lt;=1,'Paramètres'!$B$18,IF(O501=2,'Paramètres'!$B$19,'Paramètres'!$B$20)))))</f>
        <v/>
      </c>
      <c r="H501" s="107">
        <f>IF(OR(G501="",BP501&lt;&gt;BQ501),"",IF(INDEX('Saisie'!$K$5:$K$2004,BP501-4)="","",INDEX('Saisie'!$K$5:$K$2004,BP501-4)))</f>
        <v/>
      </c>
      <c r="I501" s="60">
        <f>IF(C501="","",IF(OR(D501="Gagné",D501="Perdu"),"",IFERROR(INDEX('Saisie'!$I$5:$I$2004,_xlfn.MAXIFS('Saisie'!$AS$5:$AS$2004,'Saisie'!$C$5:$C$2004,C501,'Saisie'!$I$5:$I$2004,"&lt;&gt;")-4),"")))</f>
        <v/>
      </c>
      <c r="J501" s="60">
        <f>IF(C501="","",IFERROR(INDEX('Saisie'!$U$5:$U$2004,_xlfn.MAXIFS('Saisie'!$AS$5:$AS$2004,'Saisie'!$C$5:$C$2004,C501,'Saisie'!$U$5:$U$2004,"&lt;&gt;")-4),""))</f>
        <v/>
      </c>
      <c r="K501" s="60">
        <f>IF(C501="","",IFERROR(INDEX('Saisie'!$W$5:$W$2004,_xlfn.MAXIFS('Saisie'!$AS$5:$AS$2004,'Saisie'!$C$5:$C$2004,C501,'Saisie'!$W$5:$W$2004,"&lt;&gt;")-4),""))</f>
        <v/>
      </c>
      <c r="L501" s="60">
        <f>IF(IF(BB501&lt;&gt;"",BB501,K501)="","",HYPERLINK("https://wa.me/"&amp;IF(LEFT(SUBSTITUTE(SUBSTITUTE(SUBSTITUTE(IF(BB501&lt;&gt;"",BB501,K501)," ",""),".",""),"+",""),1)="0",'Paramètres'!$B$35&amp;MID(SUBSTITUTE(SUBSTITUTE(SUBSTITUTE(IF(BB501&lt;&gt;"",BB501,K501)," ",""),".",""),"+",""),2,20),SUBSTITUTE(SUBSTITUTE(SUBSTITUTE(IF(BB501&lt;&gt;"",BB501,K501)," ",""),".",""),"+","")),"WhatsApp"))</f>
        <v/>
      </c>
      <c r="M501" s="60">
        <f>IF(BC501="","",HYPERLINK(IF(LEFT(BC501,4)="http",BC501,"https://www.instagram.com/"&amp;SUBSTITUTE(SUBSTITUTE(BC501,"@","")," ","")),BC501))</f>
        <v/>
      </c>
      <c r="N501" s="60">
        <f>IF(C501="","",IFERROR(INDEX('Saisie'!$D$5:$D$2004,_xlfn.MINIFS('Saisie'!$AS$5:$AS$2004,'Saisie'!$C$5:$C$2004,C501,'Saisie'!$AU$5:$AU$2004,1)-4),IFERROR(INDEX('Saisie'!$D$5:$D$2004,_xlfn.MINIFS('Saisie'!$AS$5:$AS$2004,'Saisie'!$C$5:$C$2004,C501,'Saisie'!$D$5:$D$2004,"&lt;&gt;")-4),"")))</f>
        <v/>
      </c>
      <c r="O501" s="60">
        <f>IF(C501="","",COUNTIFS('Saisie'!$C$5:$C$2004,C501,'Saisie'!$AU$5:$AU$2004,1))</f>
        <v/>
      </c>
      <c r="P501" s="60">
        <f>IF(C501="","",COUNTIFS('Saisie'!$C$5:$C$2004,C501,'Saisie'!$AV$5:$AV$2004,1))</f>
        <v/>
      </c>
      <c r="Q501" s="106">
        <f>IF(C501="","",IFERROR(1/(1/_xlfn.MAXIFS('Saisie'!$A$5:$A$2004,'Saisie'!$C$5:$C$2004,C501)),""))</f>
        <v/>
      </c>
      <c r="R501" s="61">
        <f>IF(C501="","",IF(Q501="","",TODAY()-Q501))</f>
        <v/>
      </c>
      <c r="S501" s="60">
        <f>IF(C501="","",IFERROR(INDEX('Saisie'!$R$5:$R$2004,_xlfn.MAXIFS('Saisie'!$AS$5:$AS$2004,'Saisie'!$C$5:$C$2004,C501,'Saisie'!$R$5:$R$2004,"&lt;&gt;")-4),""))</f>
        <v/>
      </c>
      <c r="T501" s="60">
        <f>IF(C501="","",IFERROR(INDEX('Saisie'!$S$5:$S$2004,_xlfn.MAXIFS('Saisie'!$AS$5:$AS$2004,'Saisie'!$C$5:$C$2004,C501,'Saisie'!$S$5:$S$2004,"&lt;&gt;")-4),""))</f>
        <v/>
      </c>
      <c r="U501" s="60">
        <f>IF(C501="","",IFERROR(INDEX('Saisie'!$T$5:$T$2004,_xlfn.MAXIFS('Saisie'!$AS$5:$AS$2004,'Saisie'!$C$5:$C$2004,C501,'Saisie'!$T$5:$T$2004,"&lt;&gt;")-4),""))</f>
        <v/>
      </c>
      <c r="V501" s="60">
        <f>IF(C501="","",IFERROR(INDEX('Saisie'!$V$5:$V$2004,_xlfn.MAXIFS('Saisie'!$AS$5:$AS$2004,'Saisie'!$C$5:$C$2004,C501,'Saisie'!$V$5:$V$2004,"&lt;&gt;")-4),""))</f>
        <v/>
      </c>
      <c r="W501" s="60">
        <f>IF(C501="","",IFERROR(INDEX('Saisie'!$Z$5:$Z$2004,_xlfn.MAXIFS('Saisie'!$AS$5:$AS$2004,'Saisie'!$C$5:$C$2004,C501,'Saisie'!$Z$5:$Z$2004,"&lt;&gt;")-4),""))</f>
        <v/>
      </c>
      <c r="X501" s="60">
        <f>IF(C501="","",IFERROR(INDEX('Saisie'!$AA$5:$AA$2004,_xlfn.MAXIFS('Saisie'!$AS$5:$AS$2004,'Saisie'!$C$5:$C$2004,C501,'Saisie'!$AA$5:$AA$2004,"&lt;&gt;")-4),""))</f>
        <v/>
      </c>
      <c r="Y501" s="60">
        <f>IF(C501="","",IFERROR(INDEX('Saisie'!$AB$5:$AB$2004,_xlfn.MAXIFS('Saisie'!$AS$5:$AS$2004,'Saisie'!$C$5:$C$2004,C501,'Saisie'!$AB$5:$AB$2004,"&lt;&gt;")-4),""))</f>
        <v/>
      </c>
      <c r="Z501" s="60">
        <f>IF(C501="","",IFERROR(INDEX('Saisie'!$AC$5:$AC$2004,_xlfn.MAXIFS('Saisie'!$AS$5:$AS$2004,'Saisie'!$C$5:$C$2004,C501,'Saisie'!$AC$5:$AC$2004,"&lt;&gt;")-4),""))</f>
        <v/>
      </c>
      <c r="AA501" s="106">
        <f>IF(C501="","",IFERROR(INDEX('Saisie'!$AD$5:$AD$2004,_xlfn.MAXIFS('Saisie'!$AS$5:$AS$2004,'Saisie'!$C$5:$C$2004,C501,'Saisie'!$AD$5:$AD$2004,"&lt;&gt;")-4),""))</f>
        <v/>
      </c>
      <c r="AB501" s="60">
        <f>IF(C501="","",IFERROR(INDEX('Saisie'!$AE$5:$AE$2004,_xlfn.MAXIFS('Saisie'!$AS$5:$AS$2004,'Saisie'!$C$5:$C$2004,C501,'Saisie'!$AE$5:$AE$2004,"&lt;&gt;")-4),""))</f>
        <v/>
      </c>
      <c r="AC501" s="60">
        <f>IF(C501="","",IFERROR(INDEX('Saisie'!$AF$5:$AF$2004,_xlfn.MAXIFS('Saisie'!$AS$5:$AS$2004,'Saisie'!$C$5:$C$2004,C501,'Saisie'!$AF$5:$AF$2004,"&lt;&gt;")-4),""))</f>
        <v/>
      </c>
      <c r="AD501" s="108">
        <f>IF(C501="","",IFERROR(INDEX('Saisie'!$AG$5:$AG$2004,_xlfn.MAXIFS('Saisie'!$AS$5:$AS$2004,'Saisie'!$C$5:$C$2004,C501,'Saisie'!$AG$5:$AG$2004,"&lt;&gt;")-4),""))</f>
        <v/>
      </c>
      <c r="AE501" s="60">
        <f>IF(C501="","",IFERROR(INDEX('Saisie'!$AH$5:$AH$2004,_xlfn.MAXIFS('Saisie'!$AS$5:$AS$2004,'Saisie'!$C$5:$C$2004,C501,'Saisie'!$AH$5:$AH$2004,"&lt;&gt;")-4),""))</f>
        <v/>
      </c>
      <c r="AF501" s="60">
        <f>IF(C501="","",IFERROR(INDEX('Saisie'!$AI$5:$AI$2004,_xlfn.MAXIFS('Saisie'!$AS$5:$AS$2004,'Saisie'!$C$5:$C$2004,C501,'Saisie'!$AI$5:$AI$2004,"&lt;&gt;")-4),""))</f>
        <v/>
      </c>
      <c r="AG501" s="60">
        <f>IF(C501="","",IFERROR(INDEX('Saisie'!$AJ$5:$AJ$2004,_xlfn.MAXIFS('Saisie'!$AS$5:$AS$2004,'Saisie'!$C$5:$C$2004,C501,'Saisie'!$AJ$5:$AJ$2004,"&lt;&gt;")-4),""))</f>
        <v/>
      </c>
      <c r="AH501" s="60">
        <f>IF(C501="","",IFERROR(INDEX('Saisie'!$AK$5:$AK$2004,_xlfn.MAXIFS('Saisie'!$AS$5:$AS$2004,'Saisie'!$C$5:$C$2004,C501,'Saisie'!$AK$5:$AK$2004,"&lt;&gt;")-4),""))</f>
        <v/>
      </c>
      <c r="AI501" s="60">
        <f>IF(C501="","",IFERROR(INDEX('Saisie'!$AN$5:$AN$2004,_xlfn.MAXIFS('Saisie'!$AS$5:$AS$2004,'Saisie'!$C$5:$C$2004,C501,'Saisie'!$AN$5:$AN$2004,"&lt;&gt;")-4),""))</f>
        <v/>
      </c>
      <c r="AJ501" s="60">
        <f>IF(C501="","",IFERROR(INDEX('Saisie'!$AO$5:$AO$2004,_xlfn.MAXIFS('Saisie'!$AS$5:$AS$2004,'Saisie'!$C$5:$C$2004,C501,'Saisie'!$AO$5:$AO$2004,"&lt;&gt;")-4),""))</f>
        <v/>
      </c>
      <c r="AK501" s="60">
        <f>IF(C501="","",IFERROR(INDEX('Saisie'!$AP$5:$AP$2004,_xlfn.MAXIFS('Saisie'!$AS$5:$AS$2004,'Saisie'!$C$5:$C$2004,C501,'Saisie'!$AP$5:$AP$2004,"&lt;&gt;")-4),""))</f>
        <v/>
      </c>
      <c r="AL501" s="60">
        <f>IF(C501="","",IFERROR(INDEX('Saisie'!$AQ$5:$AQ$2004,_xlfn.MAXIFS('Saisie'!$AS$5:$AS$2004,'Saisie'!$C$5:$C$2004,C501,'Saisie'!$AQ$5:$AQ$2004,"&lt;&gt;")-4),""))</f>
        <v/>
      </c>
      <c r="AM501" s="60">
        <f>IF(C501="","",((AI501="Oui")+(AJ501="Oui")+(AK501="Oui")+OR(AL501="Immédiat",AL501="&lt; 1 mois"))&amp;"/4")</f>
        <v/>
      </c>
      <c r="AN501" s="60">
        <f>IF(C501="","",IFERROR(INDEX('Saisie'!$AL$5:$AL$2004,_xlfn.MAXIFS('Saisie'!$AS$5:$AS$2004,'Saisie'!$C$5:$C$2004,C501,'Saisie'!$AL$5:$AL$2004,"&lt;&gt;")-4),""))</f>
        <v/>
      </c>
      <c r="AO501" s="62">
        <f>IF(C501="","",IF(IFERROR(INDEX('Saisie'!$AM$5:$AM$2004,_xlfn.MAXIFS('Saisie'!$AS$5:$AS$2004,'Saisie'!$C$5:$C$2004,C501,'Saisie'!$AM$5:$AM$2004,"&lt;&gt;")-4),"")&lt;&gt;"",IFERROR(INDEX('Saisie'!$AM$5:$AM$2004,_xlfn.MAXIFS('Saisie'!$AS$5:$AS$2004,'Saisie'!$C$5:$C$2004,C501,'Saisie'!$AM$5:$AM$2004,"&lt;&gt;")-4),""),IFERROR(INDEX('Paramètres'!$S$6:$S$15,MATCH(AN501,'Paramètres'!$Q$6:$Q$15,0)),"")))</f>
        <v/>
      </c>
      <c r="AP501" s="62">
        <f>IF(C501="","",IFERROR(INDEX('Saisie'!$AW$5:$AW$2004,_xlfn.MAXIFS('Saisie'!$AS$5:$AS$2004,'Saisie'!$C$5:$C$2004,C501,'Saisie'!$E$5:$E$2004,"Proposition envoyée")-4),""))</f>
        <v/>
      </c>
      <c r="AQ501" s="106">
        <f>IF(C501="","",IFERROR(1/(1/_xlfn.MAXIFS('Saisie'!$A$5:$A$2004,'Saisie'!$C$5:$C$2004,C501,'Saisie'!$E$5:$E$2004,"Proposition envoyée")),""))</f>
        <v/>
      </c>
      <c r="AR501" s="106">
        <f>IF(C501="","",IF(AQ501="","",AQ501+'Paramètres'!$B$26))</f>
        <v/>
      </c>
      <c r="AS501" s="62">
        <f>IF(OR(C501="",D501="Gagné",D501="Perdu"),0,N(AP501)*IFERROR(INDEX('Paramètres'!$G$6:$G$13,MATCH(D501,'Paramètres'!$F$6:$F$13,0)),0))</f>
        <v/>
      </c>
      <c r="AT501" s="106">
        <f>IF(C501="","",IFERROR(1/(1/_xlfn.MINIFS('Saisie'!$A$5:$A$2004,'Saisie'!$C$5:$C$2004,C501,'Saisie'!$E$5:$E$2004,"Signature")),""))</f>
        <v/>
      </c>
      <c r="AU501" s="60">
        <f>IF(C501="","",IF(OR(AT501="",B501=""),"",AT501-B501))</f>
        <v/>
      </c>
      <c r="AV501" s="60">
        <f>IF(C501="","",IFERROR(INDEX('Saisie'!$L$5:$L$2004,_xlfn.MAXIFS('Saisie'!$AS$5:$AS$2004,'Saisie'!$C$5:$C$2004,C501,'Saisie'!$L$5:$L$2004,"&lt;&gt;")-4),""))</f>
        <v/>
      </c>
      <c r="AW501" s="106">
        <f>IF(C501="","",IF(D501&lt;&gt;"Perdu","",IFERROR(1/(1/_xlfn.MAXIFS('Saisie'!$A$5:$A$2004,'Saisie'!$C$5:$C$2004,C501,'Saisie'!$E$5:$E$2004,"Perdu")),"")))</f>
        <v/>
      </c>
      <c r="AX501" s="106">
        <f>IF(C501="","",IF(AW501="","",AW501+'Paramètres'!$B$28))</f>
        <v/>
      </c>
      <c r="AY501" s="60">
        <f>IF(C501="","",SUMIFS('Saisie'!$H$5:$H$2004,'Saisie'!$C$5:$C$2004,C501))</f>
        <v/>
      </c>
      <c r="AZ501" s="60">
        <f>IF(C501="","",IFERROR(INDEX('Paramètres'!$W$6:$W$20,MATCH(S501,'Paramètres'!$V$6:$V$20,0))&amp;"",""))</f>
        <v/>
      </c>
      <c r="BA501" s="60">
        <f>IF(C501="","",MAX(1,_xlfn.MAXIFS('Saisie'!$AT$5:$AT$2004,'Saisie'!$C$5:$C$2004,C501)))</f>
        <v/>
      </c>
      <c r="BB501" s="60">
        <f>IF(C501="","",IFERROR(INDEX('Saisie'!$X$5:$X$2004,_xlfn.MAXIFS('Saisie'!$AS$5:$AS$2004,'Saisie'!$C$5:$C$2004,C501,'Saisie'!$X$5:$X$2004,"&lt;&gt;")-4),""))</f>
        <v/>
      </c>
      <c r="BC501" s="60">
        <f>IF(C501="","",IFERROR(INDEX('Saisie'!$Y$5:$Y$2004,_xlfn.MAXIFS('Saisie'!$AS$5:$AS$2004,'Saisie'!$C$5:$C$2004,C501,'Saisie'!$Y$5:$Y$2004,"&lt;&gt;")-4),""))</f>
        <v/>
      </c>
      <c r="BD501" s="106">
        <f>IF(C501="","",IFERROR(1/(1/_xlfn.MINIFS('Saisie'!$A$5:$A$2004,'Saisie'!$C$5:$C$2004,C501,'Saisie'!$AT$5:$AT$2004,"&gt;=2")),""))</f>
        <v/>
      </c>
      <c r="BE501" s="106">
        <f>IF(C501="","",IFERROR(1/(1/_xlfn.MINIFS('Saisie'!$A$5:$A$2004,'Saisie'!$C$5:$C$2004,C501,'Saisie'!$AT$5:$AT$2004,"&gt;=3")),""))</f>
        <v/>
      </c>
      <c r="BF501" s="106">
        <f>IF(C501="","",IFERROR(1/(1/_xlfn.MINIFS('Saisie'!$A$5:$A$2004,'Saisie'!$C$5:$C$2004,C501,'Saisie'!$AT$5:$AT$2004,"&gt;=4")),""))</f>
        <v/>
      </c>
      <c r="BG501" s="106">
        <f>IF(C501="","",IFERROR(1/(1/_xlfn.MINIFS('Saisie'!$A$5:$A$2004,'Saisie'!$C$5:$C$2004,C501,'Saisie'!$AT$5:$AT$2004,"&gt;=5")),""))</f>
        <v/>
      </c>
      <c r="BH501" s="106">
        <f>IF(C501="","",IFERROR(1/(1/_xlfn.MINIFS('Saisie'!$A$5:$A$2004,'Saisie'!$C$5:$C$2004,C501,'Saisie'!$AT$5:$AT$2004,"&gt;=6")),""))</f>
        <v/>
      </c>
      <c r="BI501" s="106">
        <f>IF(C501="","",IFERROR(1/(1/_xlfn.MINIFS('Saisie'!$A$5:$A$2004,'Saisie'!$C$5:$C$2004,C501,'Saisie'!$AT$5:$AT$2004,"&gt;=7")),""))</f>
        <v/>
      </c>
      <c r="BJ501" s="60">
        <f>IF(OR(BD501="",B501=""),"",BD501-B501)</f>
        <v/>
      </c>
      <c r="BK501" s="60">
        <f>IF(OR(BE501="",BD501=""),"",BE501-BD501)</f>
        <v/>
      </c>
      <c r="BL501" s="60">
        <f>IF(OR(BF501="",BE501=""),"",BF501-BE501)</f>
        <v/>
      </c>
      <c r="BM501" s="60">
        <f>IF(OR(BG501="",BF501=""),"",BG501-BF501)</f>
        <v/>
      </c>
      <c r="BN501" s="60">
        <f>IF(OR(BH501="",BG501=""),"",BH501-BG501)</f>
        <v/>
      </c>
      <c r="BO501" s="60">
        <f>IF(OR(BI501="",BH501=""),"",BI501-BH501)</f>
        <v/>
      </c>
      <c r="BP501" s="60">
        <f>IF(C501="","",_xlfn.MAXIFS('Saisie'!$AS$5:$AS$2004,'Saisie'!$C$5:$C$2004,C501,'Saisie'!$J$5:$J$2004,"&lt;&gt;"))</f>
        <v/>
      </c>
      <c r="BQ501" s="60">
        <f>IF(C501="","",_xlfn.MAXIFS('Saisie'!$AS$5:$AS$2004,'Saisie'!$C$5:$C$2004,C501))</f>
        <v/>
      </c>
      <c r="BR501" s="60">
        <f>IF(C501="","",_xlfn.MAXIFS('Saisie'!$AS$5:$AS$2004,'Saisie'!$C$5:$C$2004,C501,'Saisie'!$E$5:$E$2004,"Perdu"))</f>
        <v/>
      </c>
      <c r="BS501" s="60">
        <f>IF(C501="","",_xlfn.MAXIFS('Saisie'!$AS$5:$AS$2004,'Saisie'!$C$5:$C$2004,C501,'Saisie'!$AT$5:$AT$2004,"&gt;0"))</f>
        <v/>
      </c>
      <c r="BT501" s="109">
        <f>IF(AND(C501&lt;&gt;"",OR(D501="Nouveau",D501="Contacté",D501="Qualifié"),OR(G501="",N(G501)&lt;=TODAY()),NOT(AND(O501&gt;='Paramètres'!$B$21,P501=0))),E501+497/10000,"")</f>
        <v/>
      </c>
      <c r="BU501" s="60">
        <f>IF(AND(G501&lt;&gt;"",N(G501)&lt;=TODAY()),MAX($BU$4:BU500)+1,"")</f>
        <v/>
      </c>
      <c r="BV501" s="60">
        <f>IF(AND(F501&lt;&gt;"",F501&lt;&gt;"Relance en retard"),MAX($BV$4:BV500)+1,"")</f>
        <v/>
      </c>
      <c r="BW501" s="60">
        <f>IF(C501="","",IF(AND(B501&gt;='Tableau de bord'!$R$4,B501&lt;='Tableau de bord'!$S$4,OR('Tableau de bord'!$G$4="Tous",N501='Tableau de bord'!$G$4)),1,0))</f>
        <v/>
      </c>
      <c r="BX501" s="60">
        <f>IF(AND(C501&lt;&gt;"",N(BA501)=7),MAX($BX$4:BX500)+1,"")</f>
        <v/>
      </c>
    </row>
    <row r="502">
      <c r="A502" s="60">
        <f>IF(C502="","","P-"&amp;TEXT(498,"000"))</f>
        <v/>
      </c>
      <c r="B502" s="106">
        <f>IF(C502="","",IFERROR(1/(1/_xlfn.MINIFS('Saisie'!$A$5:$A$2004,'Saisie'!$C$5:$C$2004,C502)),""))</f>
        <v/>
      </c>
      <c r="C502" s="60">
        <f>IFERROR(INDEX('Saisie'!$C$5:$C$2004,MATCH(498,'Saisie'!$AX$5:$AX$2004,0)),"")</f>
        <v/>
      </c>
      <c r="D502" s="60">
        <f>IF(C502="","",IF(AND(BR502&gt;0,BR502&gt;BS502,BA502&lt;7),"Perdu",INDEX('Paramètres'!$F$6:$F$13,BA502)))</f>
        <v/>
      </c>
      <c r="E502" s="61">
        <f>IF(C502="","",MIN(100,(Z502="Oui")*'Paramètres'!$B$38+(AB502="Régulière")*'Paramètres'!$B$39+IF(AND(N(AA502)&gt;0,TODAY()-N(AA502)&lt;=30),'Paramètres'!$B$40,0)+(W502="")*'Paramètres'!$B$41+(AC502="Absente")*'Paramètres'!$B$42+(AC502="Faible")*'Paramètres'!$B$43+IF(AND(N(AD502)&gt;0,N(AD502)&lt;4),'Paramètres'!$B$44,0)+(AF502="Moyenne")*'Paramètres'!$B$45+(AF502="Grande")*'Paramètres'!$B$46+(Y502&lt;&gt;"")*'Paramètres'!$B$47))</f>
        <v/>
      </c>
      <c r="F502" s="60">
        <f>IF(C502="","",IF(D502="Gagné","",IF(D502="Perdu",IF(AND(AX502&lt;&gt;"",AX502&lt;=TODAY()),"À recontacter (perdu)",""),IF(AND(O502&gt;='Paramètres'!$B$21,P502=0),"Stop : "&amp;'Paramètres'!$B$21&amp;" tentatives sans réponse",IF(AND(D502="Proposition",AR502&lt;&gt;"",TODAY()&gt;N(AR502)),"Proposition expirée",IF(AND(D502="Proposition",N(R502)&gt;='Paramètres'!$B$25),"Proposition sans réponse",IF(AND(G502&lt;&gt;"",N(G502)&lt;TODAY()),"Relance en retard",IF(N(R502)&gt;='Paramètres'!$B$24,"Sans action depuis "&amp;R502&amp;" j",""))))))))</f>
        <v/>
      </c>
      <c r="G502" s="106">
        <f>IF(OR(C502="",D502="Gagné",D502="Perdu"),"",IF(AND(BP502&gt;0,BP502=BQ502),INDEX('Saisie'!$J$5:$J$2004,BP502-4),IF(OR(O502=0,AND(O502&gt;='Paramètres'!$B$21,P502=0)),"",Q502+IF(O502&lt;=1,'Paramètres'!$B$18,IF(O502=2,'Paramètres'!$B$19,'Paramètres'!$B$20)))))</f>
        <v/>
      </c>
      <c r="H502" s="107">
        <f>IF(OR(G502="",BP502&lt;&gt;BQ502),"",IF(INDEX('Saisie'!$K$5:$K$2004,BP502-4)="","",INDEX('Saisie'!$K$5:$K$2004,BP502-4)))</f>
        <v/>
      </c>
      <c r="I502" s="60">
        <f>IF(C502="","",IF(OR(D502="Gagné",D502="Perdu"),"",IFERROR(INDEX('Saisie'!$I$5:$I$2004,_xlfn.MAXIFS('Saisie'!$AS$5:$AS$2004,'Saisie'!$C$5:$C$2004,C502,'Saisie'!$I$5:$I$2004,"&lt;&gt;")-4),"")))</f>
        <v/>
      </c>
      <c r="J502" s="60">
        <f>IF(C502="","",IFERROR(INDEX('Saisie'!$U$5:$U$2004,_xlfn.MAXIFS('Saisie'!$AS$5:$AS$2004,'Saisie'!$C$5:$C$2004,C502,'Saisie'!$U$5:$U$2004,"&lt;&gt;")-4),""))</f>
        <v/>
      </c>
      <c r="K502" s="60">
        <f>IF(C502="","",IFERROR(INDEX('Saisie'!$W$5:$W$2004,_xlfn.MAXIFS('Saisie'!$AS$5:$AS$2004,'Saisie'!$C$5:$C$2004,C502,'Saisie'!$W$5:$W$2004,"&lt;&gt;")-4),""))</f>
        <v/>
      </c>
      <c r="L502" s="60">
        <f>IF(IF(BB502&lt;&gt;"",BB502,K502)="","",HYPERLINK("https://wa.me/"&amp;IF(LEFT(SUBSTITUTE(SUBSTITUTE(SUBSTITUTE(IF(BB502&lt;&gt;"",BB502,K502)," ",""),".",""),"+",""),1)="0",'Paramètres'!$B$35&amp;MID(SUBSTITUTE(SUBSTITUTE(SUBSTITUTE(IF(BB502&lt;&gt;"",BB502,K502)," ",""),".",""),"+",""),2,20),SUBSTITUTE(SUBSTITUTE(SUBSTITUTE(IF(BB502&lt;&gt;"",BB502,K502)," ",""),".",""),"+","")),"WhatsApp"))</f>
        <v/>
      </c>
      <c r="M502" s="60">
        <f>IF(BC502="","",HYPERLINK(IF(LEFT(BC502,4)="http",BC502,"https://www.instagram.com/"&amp;SUBSTITUTE(SUBSTITUTE(BC502,"@","")," ","")),BC502))</f>
        <v/>
      </c>
      <c r="N502" s="60">
        <f>IF(C502="","",IFERROR(INDEX('Saisie'!$D$5:$D$2004,_xlfn.MINIFS('Saisie'!$AS$5:$AS$2004,'Saisie'!$C$5:$C$2004,C502,'Saisie'!$AU$5:$AU$2004,1)-4),IFERROR(INDEX('Saisie'!$D$5:$D$2004,_xlfn.MINIFS('Saisie'!$AS$5:$AS$2004,'Saisie'!$C$5:$C$2004,C502,'Saisie'!$D$5:$D$2004,"&lt;&gt;")-4),"")))</f>
        <v/>
      </c>
      <c r="O502" s="60">
        <f>IF(C502="","",COUNTIFS('Saisie'!$C$5:$C$2004,C502,'Saisie'!$AU$5:$AU$2004,1))</f>
        <v/>
      </c>
      <c r="P502" s="60">
        <f>IF(C502="","",COUNTIFS('Saisie'!$C$5:$C$2004,C502,'Saisie'!$AV$5:$AV$2004,1))</f>
        <v/>
      </c>
      <c r="Q502" s="106">
        <f>IF(C502="","",IFERROR(1/(1/_xlfn.MAXIFS('Saisie'!$A$5:$A$2004,'Saisie'!$C$5:$C$2004,C502)),""))</f>
        <v/>
      </c>
      <c r="R502" s="61">
        <f>IF(C502="","",IF(Q502="","",TODAY()-Q502))</f>
        <v/>
      </c>
      <c r="S502" s="60">
        <f>IF(C502="","",IFERROR(INDEX('Saisie'!$R$5:$R$2004,_xlfn.MAXIFS('Saisie'!$AS$5:$AS$2004,'Saisie'!$C$5:$C$2004,C502,'Saisie'!$R$5:$R$2004,"&lt;&gt;")-4),""))</f>
        <v/>
      </c>
      <c r="T502" s="60">
        <f>IF(C502="","",IFERROR(INDEX('Saisie'!$S$5:$S$2004,_xlfn.MAXIFS('Saisie'!$AS$5:$AS$2004,'Saisie'!$C$5:$C$2004,C502,'Saisie'!$S$5:$S$2004,"&lt;&gt;")-4),""))</f>
        <v/>
      </c>
      <c r="U502" s="60">
        <f>IF(C502="","",IFERROR(INDEX('Saisie'!$T$5:$T$2004,_xlfn.MAXIFS('Saisie'!$AS$5:$AS$2004,'Saisie'!$C$5:$C$2004,C502,'Saisie'!$T$5:$T$2004,"&lt;&gt;")-4),""))</f>
        <v/>
      </c>
      <c r="V502" s="60">
        <f>IF(C502="","",IFERROR(INDEX('Saisie'!$V$5:$V$2004,_xlfn.MAXIFS('Saisie'!$AS$5:$AS$2004,'Saisie'!$C$5:$C$2004,C502,'Saisie'!$V$5:$V$2004,"&lt;&gt;")-4),""))</f>
        <v/>
      </c>
      <c r="W502" s="60">
        <f>IF(C502="","",IFERROR(INDEX('Saisie'!$Z$5:$Z$2004,_xlfn.MAXIFS('Saisie'!$AS$5:$AS$2004,'Saisie'!$C$5:$C$2004,C502,'Saisie'!$Z$5:$Z$2004,"&lt;&gt;")-4),""))</f>
        <v/>
      </c>
      <c r="X502" s="60">
        <f>IF(C502="","",IFERROR(INDEX('Saisie'!$AA$5:$AA$2004,_xlfn.MAXIFS('Saisie'!$AS$5:$AS$2004,'Saisie'!$C$5:$C$2004,C502,'Saisie'!$AA$5:$AA$2004,"&lt;&gt;")-4),""))</f>
        <v/>
      </c>
      <c r="Y502" s="60">
        <f>IF(C502="","",IFERROR(INDEX('Saisie'!$AB$5:$AB$2004,_xlfn.MAXIFS('Saisie'!$AS$5:$AS$2004,'Saisie'!$C$5:$C$2004,C502,'Saisie'!$AB$5:$AB$2004,"&lt;&gt;")-4),""))</f>
        <v/>
      </c>
      <c r="Z502" s="60">
        <f>IF(C502="","",IFERROR(INDEX('Saisie'!$AC$5:$AC$2004,_xlfn.MAXIFS('Saisie'!$AS$5:$AS$2004,'Saisie'!$C$5:$C$2004,C502,'Saisie'!$AC$5:$AC$2004,"&lt;&gt;")-4),""))</f>
        <v/>
      </c>
      <c r="AA502" s="106">
        <f>IF(C502="","",IFERROR(INDEX('Saisie'!$AD$5:$AD$2004,_xlfn.MAXIFS('Saisie'!$AS$5:$AS$2004,'Saisie'!$C$5:$C$2004,C502,'Saisie'!$AD$5:$AD$2004,"&lt;&gt;")-4),""))</f>
        <v/>
      </c>
      <c r="AB502" s="60">
        <f>IF(C502="","",IFERROR(INDEX('Saisie'!$AE$5:$AE$2004,_xlfn.MAXIFS('Saisie'!$AS$5:$AS$2004,'Saisie'!$C$5:$C$2004,C502,'Saisie'!$AE$5:$AE$2004,"&lt;&gt;")-4),""))</f>
        <v/>
      </c>
      <c r="AC502" s="60">
        <f>IF(C502="","",IFERROR(INDEX('Saisie'!$AF$5:$AF$2004,_xlfn.MAXIFS('Saisie'!$AS$5:$AS$2004,'Saisie'!$C$5:$C$2004,C502,'Saisie'!$AF$5:$AF$2004,"&lt;&gt;")-4),""))</f>
        <v/>
      </c>
      <c r="AD502" s="108">
        <f>IF(C502="","",IFERROR(INDEX('Saisie'!$AG$5:$AG$2004,_xlfn.MAXIFS('Saisie'!$AS$5:$AS$2004,'Saisie'!$C$5:$C$2004,C502,'Saisie'!$AG$5:$AG$2004,"&lt;&gt;")-4),""))</f>
        <v/>
      </c>
      <c r="AE502" s="60">
        <f>IF(C502="","",IFERROR(INDEX('Saisie'!$AH$5:$AH$2004,_xlfn.MAXIFS('Saisie'!$AS$5:$AS$2004,'Saisie'!$C$5:$C$2004,C502,'Saisie'!$AH$5:$AH$2004,"&lt;&gt;")-4),""))</f>
        <v/>
      </c>
      <c r="AF502" s="60">
        <f>IF(C502="","",IFERROR(INDEX('Saisie'!$AI$5:$AI$2004,_xlfn.MAXIFS('Saisie'!$AS$5:$AS$2004,'Saisie'!$C$5:$C$2004,C502,'Saisie'!$AI$5:$AI$2004,"&lt;&gt;")-4),""))</f>
        <v/>
      </c>
      <c r="AG502" s="60">
        <f>IF(C502="","",IFERROR(INDEX('Saisie'!$AJ$5:$AJ$2004,_xlfn.MAXIFS('Saisie'!$AS$5:$AS$2004,'Saisie'!$C$5:$C$2004,C502,'Saisie'!$AJ$5:$AJ$2004,"&lt;&gt;")-4),""))</f>
        <v/>
      </c>
      <c r="AH502" s="60">
        <f>IF(C502="","",IFERROR(INDEX('Saisie'!$AK$5:$AK$2004,_xlfn.MAXIFS('Saisie'!$AS$5:$AS$2004,'Saisie'!$C$5:$C$2004,C502,'Saisie'!$AK$5:$AK$2004,"&lt;&gt;")-4),""))</f>
        <v/>
      </c>
      <c r="AI502" s="60">
        <f>IF(C502="","",IFERROR(INDEX('Saisie'!$AN$5:$AN$2004,_xlfn.MAXIFS('Saisie'!$AS$5:$AS$2004,'Saisie'!$C$5:$C$2004,C502,'Saisie'!$AN$5:$AN$2004,"&lt;&gt;")-4),""))</f>
        <v/>
      </c>
      <c r="AJ502" s="60">
        <f>IF(C502="","",IFERROR(INDEX('Saisie'!$AO$5:$AO$2004,_xlfn.MAXIFS('Saisie'!$AS$5:$AS$2004,'Saisie'!$C$5:$C$2004,C502,'Saisie'!$AO$5:$AO$2004,"&lt;&gt;")-4),""))</f>
        <v/>
      </c>
      <c r="AK502" s="60">
        <f>IF(C502="","",IFERROR(INDEX('Saisie'!$AP$5:$AP$2004,_xlfn.MAXIFS('Saisie'!$AS$5:$AS$2004,'Saisie'!$C$5:$C$2004,C502,'Saisie'!$AP$5:$AP$2004,"&lt;&gt;")-4),""))</f>
        <v/>
      </c>
      <c r="AL502" s="60">
        <f>IF(C502="","",IFERROR(INDEX('Saisie'!$AQ$5:$AQ$2004,_xlfn.MAXIFS('Saisie'!$AS$5:$AS$2004,'Saisie'!$C$5:$C$2004,C502,'Saisie'!$AQ$5:$AQ$2004,"&lt;&gt;")-4),""))</f>
        <v/>
      </c>
      <c r="AM502" s="60">
        <f>IF(C502="","",((AI502="Oui")+(AJ502="Oui")+(AK502="Oui")+OR(AL502="Immédiat",AL502="&lt; 1 mois"))&amp;"/4")</f>
        <v/>
      </c>
      <c r="AN502" s="60">
        <f>IF(C502="","",IFERROR(INDEX('Saisie'!$AL$5:$AL$2004,_xlfn.MAXIFS('Saisie'!$AS$5:$AS$2004,'Saisie'!$C$5:$C$2004,C502,'Saisie'!$AL$5:$AL$2004,"&lt;&gt;")-4),""))</f>
        <v/>
      </c>
      <c r="AO502" s="62">
        <f>IF(C502="","",IF(IFERROR(INDEX('Saisie'!$AM$5:$AM$2004,_xlfn.MAXIFS('Saisie'!$AS$5:$AS$2004,'Saisie'!$C$5:$C$2004,C502,'Saisie'!$AM$5:$AM$2004,"&lt;&gt;")-4),"")&lt;&gt;"",IFERROR(INDEX('Saisie'!$AM$5:$AM$2004,_xlfn.MAXIFS('Saisie'!$AS$5:$AS$2004,'Saisie'!$C$5:$C$2004,C502,'Saisie'!$AM$5:$AM$2004,"&lt;&gt;")-4),""),IFERROR(INDEX('Paramètres'!$S$6:$S$15,MATCH(AN502,'Paramètres'!$Q$6:$Q$15,0)),"")))</f>
        <v/>
      </c>
      <c r="AP502" s="62">
        <f>IF(C502="","",IFERROR(INDEX('Saisie'!$AW$5:$AW$2004,_xlfn.MAXIFS('Saisie'!$AS$5:$AS$2004,'Saisie'!$C$5:$C$2004,C502,'Saisie'!$E$5:$E$2004,"Proposition envoyée")-4),""))</f>
        <v/>
      </c>
      <c r="AQ502" s="106">
        <f>IF(C502="","",IFERROR(1/(1/_xlfn.MAXIFS('Saisie'!$A$5:$A$2004,'Saisie'!$C$5:$C$2004,C502,'Saisie'!$E$5:$E$2004,"Proposition envoyée")),""))</f>
        <v/>
      </c>
      <c r="AR502" s="106">
        <f>IF(C502="","",IF(AQ502="","",AQ502+'Paramètres'!$B$26))</f>
        <v/>
      </c>
      <c r="AS502" s="62">
        <f>IF(OR(C502="",D502="Gagné",D502="Perdu"),0,N(AP502)*IFERROR(INDEX('Paramètres'!$G$6:$G$13,MATCH(D502,'Paramètres'!$F$6:$F$13,0)),0))</f>
        <v/>
      </c>
      <c r="AT502" s="106">
        <f>IF(C502="","",IFERROR(1/(1/_xlfn.MINIFS('Saisie'!$A$5:$A$2004,'Saisie'!$C$5:$C$2004,C502,'Saisie'!$E$5:$E$2004,"Signature")),""))</f>
        <v/>
      </c>
      <c r="AU502" s="60">
        <f>IF(C502="","",IF(OR(AT502="",B502=""),"",AT502-B502))</f>
        <v/>
      </c>
      <c r="AV502" s="60">
        <f>IF(C502="","",IFERROR(INDEX('Saisie'!$L$5:$L$2004,_xlfn.MAXIFS('Saisie'!$AS$5:$AS$2004,'Saisie'!$C$5:$C$2004,C502,'Saisie'!$L$5:$L$2004,"&lt;&gt;")-4),""))</f>
        <v/>
      </c>
      <c r="AW502" s="106">
        <f>IF(C502="","",IF(D502&lt;&gt;"Perdu","",IFERROR(1/(1/_xlfn.MAXIFS('Saisie'!$A$5:$A$2004,'Saisie'!$C$5:$C$2004,C502,'Saisie'!$E$5:$E$2004,"Perdu")),"")))</f>
        <v/>
      </c>
      <c r="AX502" s="106">
        <f>IF(C502="","",IF(AW502="","",AW502+'Paramètres'!$B$28))</f>
        <v/>
      </c>
      <c r="AY502" s="60">
        <f>IF(C502="","",SUMIFS('Saisie'!$H$5:$H$2004,'Saisie'!$C$5:$C$2004,C502))</f>
        <v/>
      </c>
      <c r="AZ502" s="60">
        <f>IF(C502="","",IFERROR(INDEX('Paramètres'!$W$6:$W$20,MATCH(S502,'Paramètres'!$V$6:$V$20,0))&amp;"",""))</f>
        <v/>
      </c>
      <c r="BA502" s="60">
        <f>IF(C502="","",MAX(1,_xlfn.MAXIFS('Saisie'!$AT$5:$AT$2004,'Saisie'!$C$5:$C$2004,C502)))</f>
        <v/>
      </c>
      <c r="BB502" s="60">
        <f>IF(C502="","",IFERROR(INDEX('Saisie'!$X$5:$X$2004,_xlfn.MAXIFS('Saisie'!$AS$5:$AS$2004,'Saisie'!$C$5:$C$2004,C502,'Saisie'!$X$5:$X$2004,"&lt;&gt;")-4),""))</f>
        <v/>
      </c>
      <c r="BC502" s="60">
        <f>IF(C502="","",IFERROR(INDEX('Saisie'!$Y$5:$Y$2004,_xlfn.MAXIFS('Saisie'!$AS$5:$AS$2004,'Saisie'!$C$5:$C$2004,C502,'Saisie'!$Y$5:$Y$2004,"&lt;&gt;")-4),""))</f>
        <v/>
      </c>
      <c r="BD502" s="106">
        <f>IF(C502="","",IFERROR(1/(1/_xlfn.MINIFS('Saisie'!$A$5:$A$2004,'Saisie'!$C$5:$C$2004,C502,'Saisie'!$AT$5:$AT$2004,"&gt;=2")),""))</f>
        <v/>
      </c>
      <c r="BE502" s="106">
        <f>IF(C502="","",IFERROR(1/(1/_xlfn.MINIFS('Saisie'!$A$5:$A$2004,'Saisie'!$C$5:$C$2004,C502,'Saisie'!$AT$5:$AT$2004,"&gt;=3")),""))</f>
        <v/>
      </c>
      <c r="BF502" s="106">
        <f>IF(C502="","",IFERROR(1/(1/_xlfn.MINIFS('Saisie'!$A$5:$A$2004,'Saisie'!$C$5:$C$2004,C502,'Saisie'!$AT$5:$AT$2004,"&gt;=4")),""))</f>
        <v/>
      </c>
      <c r="BG502" s="106">
        <f>IF(C502="","",IFERROR(1/(1/_xlfn.MINIFS('Saisie'!$A$5:$A$2004,'Saisie'!$C$5:$C$2004,C502,'Saisie'!$AT$5:$AT$2004,"&gt;=5")),""))</f>
        <v/>
      </c>
      <c r="BH502" s="106">
        <f>IF(C502="","",IFERROR(1/(1/_xlfn.MINIFS('Saisie'!$A$5:$A$2004,'Saisie'!$C$5:$C$2004,C502,'Saisie'!$AT$5:$AT$2004,"&gt;=6")),""))</f>
        <v/>
      </c>
      <c r="BI502" s="106">
        <f>IF(C502="","",IFERROR(1/(1/_xlfn.MINIFS('Saisie'!$A$5:$A$2004,'Saisie'!$C$5:$C$2004,C502,'Saisie'!$AT$5:$AT$2004,"&gt;=7")),""))</f>
        <v/>
      </c>
      <c r="BJ502" s="60">
        <f>IF(OR(BD502="",B502=""),"",BD502-B502)</f>
        <v/>
      </c>
      <c r="BK502" s="60">
        <f>IF(OR(BE502="",BD502=""),"",BE502-BD502)</f>
        <v/>
      </c>
      <c r="BL502" s="60">
        <f>IF(OR(BF502="",BE502=""),"",BF502-BE502)</f>
        <v/>
      </c>
      <c r="BM502" s="60">
        <f>IF(OR(BG502="",BF502=""),"",BG502-BF502)</f>
        <v/>
      </c>
      <c r="BN502" s="60">
        <f>IF(OR(BH502="",BG502=""),"",BH502-BG502)</f>
        <v/>
      </c>
      <c r="BO502" s="60">
        <f>IF(OR(BI502="",BH502=""),"",BI502-BH502)</f>
        <v/>
      </c>
      <c r="BP502" s="60">
        <f>IF(C502="","",_xlfn.MAXIFS('Saisie'!$AS$5:$AS$2004,'Saisie'!$C$5:$C$2004,C502,'Saisie'!$J$5:$J$2004,"&lt;&gt;"))</f>
        <v/>
      </c>
      <c r="BQ502" s="60">
        <f>IF(C502="","",_xlfn.MAXIFS('Saisie'!$AS$5:$AS$2004,'Saisie'!$C$5:$C$2004,C502))</f>
        <v/>
      </c>
      <c r="BR502" s="60">
        <f>IF(C502="","",_xlfn.MAXIFS('Saisie'!$AS$5:$AS$2004,'Saisie'!$C$5:$C$2004,C502,'Saisie'!$E$5:$E$2004,"Perdu"))</f>
        <v/>
      </c>
      <c r="BS502" s="60">
        <f>IF(C502="","",_xlfn.MAXIFS('Saisie'!$AS$5:$AS$2004,'Saisie'!$C$5:$C$2004,C502,'Saisie'!$AT$5:$AT$2004,"&gt;0"))</f>
        <v/>
      </c>
      <c r="BT502" s="109">
        <f>IF(AND(C502&lt;&gt;"",OR(D502="Nouveau",D502="Contacté",D502="Qualifié"),OR(G502="",N(G502)&lt;=TODAY()),NOT(AND(O502&gt;='Paramètres'!$B$21,P502=0))),E502+498/10000,"")</f>
        <v/>
      </c>
      <c r="BU502" s="60">
        <f>IF(AND(G502&lt;&gt;"",N(G502)&lt;=TODAY()),MAX($BU$4:BU501)+1,"")</f>
        <v/>
      </c>
      <c r="BV502" s="60">
        <f>IF(AND(F502&lt;&gt;"",F502&lt;&gt;"Relance en retard"),MAX($BV$4:BV501)+1,"")</f>
        <v/>
      </c>
      <c r="BW502" s="60">
        <f>IF(C502="","",IF(AND(B502&gt;='Tableau de bord'!$R$4,B502&lt;='Tableau de bord'!$S$4,OR('Tableau de bord'!$G$4="Tous",N502='Tableau de bord'!$G$4)),1,0))</f>
        <v/>
      </c>
      <c r="BX502" s="60">
        <f>IF(AND(C502&lt;&gt;"",N(BA502)=7),MAX($BX$4:BX501)+1,"")</f>
        <v/>
      </c>
    </row>
    <row r="503">
      <c r="A503" s="60">
        <f>IF(C503="","","P-"&amp;TEXT(499,"000"))</f>
        <v/>
      </c>
      <c r="B503" s="106">
        <f>IF(C503="","",IFERROR(1/(1/_xlfn.MINIFS('Saisie'!$A$5:$A$2004,'Saisie'!$C$5:$C$2004,C503)),""))</f>
        <v/>
      </c>
      <c r="C503" s="60">
        <f>IFERROR(INDEX('Saisie'!$C$5:$C$2004,MATCH(499,'Saisie'!$AX$5:$AX$2004,0)),"")</f>
        <v/>
      </c>
      <c r="D503" s="60">
        <f>IF(C503="","",IF(AND(BR503&gt;0,BR503&gt;BS503,BA503&lt;7),"Perdu",INDEX('Paramètres'!$F$6:$F$13,BA503)))</f>
        <v/>
      </c>
      <c r="E503" s="61">
        <f>IF(C503="","",MIN(100,(Z503="Oui")*'Paramètres'!$B$38+(AB503="Régulière")*'Paramètres'!$B$39+IF(AND(N(AA503)&gt;0,TODAY()-N(AA503)&lt;=30),'Paramètres'!$B$40,0)+(W503="")*'Paramètres'!$B$41+(AC503="Absente")*'Paramètres'!$B$42+(AC503="Faible")*'Paramètres'!$B$43+IF(AND(N(AD503)&gt;0,N(AD503)&lt;4),'Paramètres'!$B$44,0)+(AF503="Moyenne")*'Paramètres'!$B$45+(AF503="Grande")*'Paramètres'!$B$46+(Y503&lt;&gt;"")*'Paramètres'!$B$47))</f>
        <v/>
      </c>
      <c r="F503" s="60">
        <f>IF(C503="","",IF(D503="Gagné","",IF(D503="Perdu",IF(AND(AX503&lt;&gt;"",AX503&lt;=TODAY()),"À recontacter (perdu)",""),IF(AND(O503&gt;='Paramètres'!$B$21,P503=0),"Stop : "&amp;'Paramètres'!$B$21&amp;" tentatives sans réponse",IF(AND(D503="Proposition",AR503&lt;&gt;"",TODAY()&gt;N(AR503)),"Proposition expirée",IF(AND(D503="Proposition",N(R503)&gt;='Paramètres'!$B$25),"Proposition sans réponse",IF(AND(G503&lt;&gt;"",N(G503)&lt;TODAY()),"Relance en retard",IF(N(R503)&gt;='Paramètres'!$B$24,"Sans action depuis "&amp;R503&amp;" j",""))))))))</f>
        <v/>
      </c>
      <c r="G503" s="106">
        <f>IF(OR(C503="",D503="Gagné",D503="Perdu"),"",IF(AND(BP503&gt;0,BP503=BQ503),INDEX('Saisie'!$J$5:$J$2004,BP503-4),IF(OR(O503=0,AND(O503&gt;='Paramètres'!$B$21,P503=0)),"",Q503+IF(O503&lt;=1,'Paramètres'!$B$18,IF(O503=2,'Paramètres'!$B$19,'Paramètres'!$B$20)))))</f>
        <v/>
      </c>
      <c r="H503" s="107">
        <f>IF(OR(G503="",BP503&lt;&gt;BQ503),"",IF(INDEX('Saisie'!$K$5:$K$2004,BP503-4)="","",INDEX('Saisie'!$K$5:$K$2004,BP503-4)))</f>
        <v/>
      </c>
      <c r="I503" s="60">
        <f>IF(C503="","",IF(OR(D503="Gagné",D503="Perdu"),"",IFERROR(INDEX('Saisie'!$I$5:$I$2004,_xlfn.MAXIFS('Saisie'!$AS$5:$AS$2004,'Saisie'!$C$5:$C$2004,C503,'Saisie'!$I$5:$I$2004,"&lt;&gt;")-4),"")))</f>
        <v/>
      </c>
      <c r="J503" s="60">
        <f>IF(C503="","",IFERROR(INDEX('Saisie'!$U$5:$U$2004,_xlfn.MAXIFS('Saisie'!$AS$5:$AS$2004,'Saisie'!$C$5:$C$2004,C503,'Saisie'!$U$5:$U$2004,"&lt;&gt;")-4),""))</f>
        <v/>
      </c>
      <c r="K503" s="60">
        <f>IF(C503="","",IFERROR(INDEX('Saisie'!$W$5:$W$2004,_xlfn.MAXIFS('Saisie'!$AS$5:$AS$2004,'Saisie'!$C$5:$C$2004,C503,'Saisie'!$W$5:$W$2004,"&lt;&gt;")-4),""))</f>
        <v/>
      </c>
      <c r="L503" s="60">
        <f>IF(IF(BB503&lt;&gt;"",BB503,K503)="","",HYPERLINK("https://wa.me/"&amp;IF(LEFT(SUBSTITUTE(SUBSTITUTE(SUBSTITUTE(IF(BB503&lt;&gt;"",BB503,K503)," ",""),".",""),"+",""),1)="0",'Paramètres'!$B$35&amp;MID(SUBSTITUTE(SUBSTITUTE(SUBSTITUTE(IF(BB503&lt;&gt;"",BB503,K503)," ",""),".",""),"+",""),2,20),SUBSTITUTE(SUBSTITUTE(SUBSTITUTE(IF(BB503&lt;&gt;"",BB503,K503)," ",""),".",""),"+","")),"WhatsApp"))</f>
        <v/>
      </c>
      <c r="M503" s="60">
        <f>IF(BC503="","",HYPERLINK(IF(LEFT(BC503,4)="http",BC503,"https://www.instagram.com/"&amp;SUBSTITUTE(SUBSTITUTE(BC503,"@","")," ","")),BC503))</f>
        <v/>
      </c>
      <c r="N503" s="60">
        <f>IF(C503="","",IFERROR(INDEX('Saisie'!$D$5:$D$2004,_xlfn.MINIFS('Saisie'!$AS$5:$AS$2004,'Saisie'!$C$5:$C$2004,C503,'Saisie'!$AU$5:$AU$2004,1)-4),IFERROR(INDEX('Saisie'!$D$5:$D$2004,_xlfn.MINIFS('Saisie'!$AS$5:$AS$2004,'Saisie'!$C$5:$C$2004,C503,'Saisie'!$D$5:$D$2004,"&lt;&gt;")-4),"")))</f>
        <v/>
      </c>
      <c r="O503" s="60">
        <f>IF(C503="","",COUNTIFS('Saisie'!$C$5:$C$2004,C503,'Saisie'!$AU$5:$AU$2004,1))</f>
        <v/>
      </c>
      <c r="P503" s="60">
        <f>IF(C503="","",COUNTIFS('Saisie'!$C$5:$C$2004,C503,'Saisie'!$AV$5:$AV$2004,1))</f>
        <v/>
      </c>
      <c r="Q503" s="106">
        <f>IF(C503="","",IFERROR(1/(1/_xlfn.MAXIFS('Saisie'!$A$5:$A$2004,'Saisie'!$C$5:$C$2004,C503)),""))</f>
        <v/>
      </c>
      <c r="R503" s="61">
        <f>IF(C503="","",IF(Q503="","",TODAY()-Q503))</f>
        <v/>
      </c>
      <c r="S503" s="60">
        <f>IF(C503="","",IFERROR(INDEX('Saisie'!$R$5:$R$2004,_xlfn.MAXIFS('Saisie'!$AS$5:$AS$2004,'Saisie'!$C$5:$C$2004,C503,'Saisie'!$R$5:$R$2004,"&lt;&gt;")-4),""))</f>
        <v/>
      </c>
      <c r="T503" s="60">
        <f>IF(C503="","",IFERROR(INDEX('Saisie'!$S$5:$S$2004,_xlfn.MAXIFS('Saisie'!$AS$5:$AS$2004,'Saisie'!$C$5:$C$2004,C503,'Saisie'!$S$5:$S$2004,"&lt;&gt;")-4),""))</f>
        <v/>
      </c>
      <c r="U503" s="60">
        <f>IF(C503="","",IFERROR(INDEX('Saisie'!$T$5:$T$2004,_xlfn.MAXIFS('Saisie'!$AS$5:$AS$2004,'Saisie'!$C$5:$C$2004,C503,'Saisie'!$T$5:$T$2004,"&lt;&gt;")-4),""))</f>
        <v/>
      </c>
      <c r="V503" s="60">
        <f>IF(C503="","",IFERROR(INDEX('Saisie'!$V$5:$V$2004,_xlfn.MAXIFS('Saisie'!$AS$5:$AS$2004,'Saisie'!$C$5:$C$2004,C503,'Saisie'!$V$5:$V$2004,"&lt;&gt;")-4),""))</f>
        <v/>
      </c>
      <c r="W503" s="60">
        <f>IF(C503="","",IFERROR(INDEX('Saisie'!$Z$5:$Z$2004,_xlfn.MAXIFS('Saisie'!$AS$5:$AS$2004,'Saisie'!$C$5:$C$2004,C503,'Saisie'!$Z$5:$Z$2004,"&lt;&gt;")-4),""))</f>
        <v/>
      </c>
      <c r="X503" s="60">
        <f>IF(C503="","",IFERROR(INDEX('Saisie'!$AA$5:$AA$2004,_xlfn.MAXIFS('Saisie'!$AS$5:$AS$2004,'Saisie'!$C$5:$C$2004,C503,'Saisie'!$AA$5:$AA$2004,"&lt;&gt;")-4),""))</f>
        <v/>
      </c>
      <c r="Y503" s="60">
        <f>IF(C503="","",IFERROR(INDEX('Saisie'!$AB$5:$AB$2004,_xlfn.MAXIFS('Saisie'!$AS$5:$AS$2004,'Saisie'!$C$5:$C$2004,C503,'Saisie'!$AB$5:$AB$2004,"&lt;&gt;")-4),""))</f>
        <v/>
      </c>
      <c r="Z503" s="60">
        <f>IF(C503="","",IFERROR(INDEX('Saisie'!$AC$5:$AC$2004,_xlfn.MAXIFS('Saisie'!$AS$5:$AS$2004,'Saisie'!$C$5:$C$2004,C503,'Saisie'!$AC$5:$AC$2004,"&lt;&gt;")-4),""))</f>
        <v/>
      </c>
      <c r="AA503" s="106">
        <f>IF(C503="","",IFERROR(INDEX('Saisie'!$AD$5:$AD$2004,_xlfn.MAXIFS('Saisie'!$AS$5:$AS$2004,'Saisie'!$C$5:$C$2004,C503,'Saisie'!$AD$5:$AD$2004,"&lt;&gt;")-4),""))</f>
        <v/>
      </c>
      <c r="AB503" s="60">
        <f>IF(C503="","",IFERROR(INDEX('Saisie'!$AE$5:$AE$2004,_xlfn.MAXIFS('Saisie'!$AS$5:$AS$2004,'Saisie'!$C$5:$C$2004,C503,'Saisie'!$AE$5:$AE$2004,"&lt;&gt;")-4),""))</f>
        <v/>
      </c>
      <c r="AC503" s="60">
        <f>IF(C503="","",IFERROR(INDEX('Saisie'!$AF$5:$AF$2004,_xlfn.MAXIFS('Saisie'!$AS$5:$AS$2004,'Saisie'!$C$5:$C$2004,C503,'Saisie'!$AF$5:$AF$2004,"&lt;&gt;")-4),""))</f>
        <v/>
      </c>
      <c r="AD503" s="108">
        <f>IF(C503="","",IFERROR(INDEX('Saisie'!$AG$5:$AG$2004,_xlfn.MAXIFS('Saisie'!$AS$5:$AS$2004,'Saisie'!$C$5:$C$2004,C503,'Saisie'!$AG$5:$AG$2004,"&lt;&gt;")-4),""))</f>
        <v/>
      </c>
      <c r="AE503" s="60">
        <f>IF(C503="","",IFERROR(INDEX('Saisie'!$AH$5:$AH$2004,_xlfn.MAXIFS('Saisie'!$AS$5:$AS$2004,'Saisie'!$C$5:$C$2004,C503,'Saisie'!$AH$5:$AH$2004,"&lt;&gt;")-4),""))</f>
        <v/>
      </c>
      <c r="AF503" s="60">
        <f>IF(C503="","",IFERROR(INDEX('Saisie'!$AI$5:$AI$2004,_xlfn.MAXIFS('Saisie'!$AS$5:$AS$2004,'Saisie'!$C$5:$C$2004,C503,'Saisie'!$AI$5:$AI$2004,"&lt;&gt;")-4),""))</f>
        <v/>
      </c>
      <c r="AG503" s="60">
        <f>IF(C503="","",IFERROR(INDEX('Saisie'!$AJ$5:$AJ$2004,_xlfn.MAXIFS('Saisie'!$AS$5:$AS$2004,'Saisie'!$C$5:$C$2004,C503,'Saisie'!$AJ$5:$AJ$2004,"&lt;&gt;")-4),""))</f>
        <v/>
      </c>
      <c r="AH503" s="60">
        <f>IF(C503="","",IFERROR(INDEX('Saisie'!$AK$5:$AK$2004,_xlfn.MAXIFS('Saisie'!$AS$5:$AS$2004,'Saisie'!$C$5:$C$2004,C503,'Saisie'!$AK$5:$AK$2004,"&lt;&gt;")-4),""))</f>
        <v/>
      </c>
      <c r="AI503" s="60">
        <f>IF(C503="","",IFERROR(INDEX('Saisie'!$AN$5:$AN$2004,_xlfn.MAXIFS('Saisie'!$AS$5:$AS$2004,'Saisie'!$C$5:$C$2004,C503,'Saisie'!$AN$5:$AN$2004,"&lt;&gt;")-4),""))</f>
        <v/>
      </c>
      <c r="AJ503" s="60">
        <f>IF(C503="","",IFERROR(INDEX('Saisie'!$AO$5:$AO$2004,_xlfn.MAXIFS('Saisie'!$AS$5:$AS$2004,'Saisie'!$C$5:$C$2004,C503,'Saisie'!$AO$5:$AO$2004,"&lt;&gt;")-4),""))</f>
        <v/>
      </c>
      <c r="AK503" s="60">
        <f>IF(C503="","",IFERROR(INDEX('Saisie'!$AP$5:$AP$2004,_xlfn.MAXIFS('Saisie'!$AS$5:$AS$2004,'Saisie'!$C$5:$C$2004,C503,'Saisie'!$AP$5:$AP$2004,"&lt;&gt;")-4),""))</f>
        <v/>
      </c>
      <c r="AL503" s="60">
        <f>IF(C503="","",IFERROR(INDEX('Saisie'!$AQ$5:$AQ$2004,_xlfn.MAXIFS('Saisie'!$AS$5:$AS$2004,'Saisie'!$C$5:$C$2004,C503,'Saisie'!$AQ$5:$AQ$2004,"&lt;&gt;")-4),""))</f>
        <v/>
      </c>
      <c r="AM503" s="60">
        <f>IF(C503="","",((AI503="Oui")+(AJ503="Oui")+(AK503="Oui")+OR(AL503="Immédiat",AL503="&lt; 1 mois"))&amp;"/4")</f>
        <v/>
      </c>
      <c r="AN503" s="60">
        <f>IF(C503="","",IFERROR(INDEX('Saisie'!$AL$5:$AL$2004,_xlfn.MAXIFS('Saisie'!$AS$5:$AS$2004,'Saisie'!$C$5:$C$2004,C503,'Saisie'!$AL$5:$AL$2004,"&lt;&gt;")-4),""))</f>
        <v/>
      </c>
      <c r="AO503" s="62">
        <f>IF(C503="","",IF(IFERROR(INDEX('Saisie'!$AM$5:$AM$2004,_xlfn.MAXIFS('Saisie'!$AS$5:$AS$2004,'Saisie'!$C$5:$C$2004,C503,'Saisie'!$AM$5:$AM$2004,"&lt;&gt;")-4),"")&lt;&gt;"",IFERROR(INDEX('Saisie'!$AM$5:$AM$2004,_xlfn.MAXIFS('Saisie'!$AS$5:$AS$2004,'Saisie'!$C$5:$C$2004,C503,'Saisie'!$AM$5:$AM$2004,"&lt;&gt;")-4),""),IFERROR(INDEX('Paramètres'!$S$6:$S$15,MATCH(AN503,'Paramètres'!$Q$6:$Q$15,0)),"")))</f>
        <v/>
      </c>
      <c r="AP503" s="62">
        <f>IF(C503="","",IFERROR(INDEX('Saisie'!$AW$5:$AW$2004,_xlfn.MAXIFS('Saisie'!$AS$5:$AS$2004,'Saisie'!$C$5:$C$2004,C503,'Saisie'!$E$5:$E$2004,"Proposition envoyée")-4),""))</f>
        <v/>
      </c>
      <c r="AQ503" s="106">
        <f>IF(C503="","",IFERROR(1/(1/_xlfn.MAXIFS('Saisie'!$A$5:$A$2004,'Saisie'!$C$5:$C$2004,C503,'Saisie'!$E$5:$E$2004,"Proposition envoyée")),""))</f>
        <v/>
      </c>
      <c r="AR503" s="106">
        <f>IF(C503="","",IF(AQ503="","",AQ503+'Paramètres'!$B$26))</f>
        <v/>
      </c>
      <c r="AS503" s="62">
        <f>IF(OR(C503="",D503="Gagné",D503="Perdu"),0,N(AP503)*IFERROR(INDEX('Paramètres'!$G$6:$G$13,MATCH(D503,'Paramètres'!$F$6:$F$13,0)),0))</f>
        <v/>
      </c>
      <c r="AT503" s="106">
        <f>IF(C503="","",IFERROR(1/(1/_xlfn.MINIFS('Saisie'!$A$5:$A$2004,'Saisie'!$C$5:$C$2004,C503,'Saisie'!$E$5:$E$2004,"Signature")),""))</f>
        <v/>
      </c>
      <c r="AU503" s="60">
        <f>IF(C503="","",IF(OR(AT503="",B503=""),"",AT503-B503))</f>
        <v/>
      </c>
      <c r="AV503" s="60">
        <f>IF(C503="","",IFERROR(INDEX('Saisie'!$L$5:$L$2004,_xlfn.MAXIFS('Saisie'!$AS$5:$AS$2004,'Saisie'!$C$5:$C$2004,C503,'Saisie'!$L$5:$L$2004,"&lt;&gt;")-4),""))</f>
        <v/>
      </c>
      <c r="AW503" s="106">
        <f>IF(C503="","",IF(D503&lt;&gt;"Perdu","",IFERROR(1/(1/_xlfn.MAXIFS('Saisie'!$A$5:$A$2004,'Saisie'!$C$5:$C$2004,C503,'Saisie'!$E$5:$E$2004,"Perdu")),"")))</f>
        <v/>
      </c>
      <c r="AX503" s="106">
        <f>IF(C503="","",IF(AW503="","",AW503+'Paramètres'!$B$28))</f>
        <v/>
      </c>
      <c r="AY503" s="60">
        <f>IF(C503="","",SUMIFS('Saisie'!$H$5:$H$2004,'Saisie'!$C$5:$C$2004,C503))</f>
        <v/>
      </c>
      <c r="AZ503" s="60">
        <f>IF(C503="","",IFERROR(INDEX('Paramètres'!$W$6:$W$20,MATCH(S503,'Paramètres'!$V$6:$V$20,0))&amp;"",""))</f>
        <v/>
      </c>
      <c r="BA503" s="60">
        <f>IF(C503="","",MAX(1,_xlfn.MAXIFS('Saisie'!$AT$5:$AT$2004,'Saisie'!$C$5:$C$2004,C503)))</f>
        <v/>
      </c>
      <c r="BB503" s="60">
        <f>IF(C503="","",IFERROR(INDEX('Saisie'!$X$5:$X$2004,_xlfn.MAXIFS('Saisie'!$AS$5:$AS$2004,'Saisie'!$C$5:$C$2004,C503,'Saisie'!$X$5:$X$2004,"&lt;&gt;")-4),""))</f>
        <v/>
      </c>
      <c r="BC503" s="60">
        <f>IF(C503="","",IFERROR(INDEX('Saisie'!$Y$5:$Y$2004,_xlfn.MAXIFS('Saisie'!$AS$5:$AS$2004,'Saisie'!$C$5:$C$2004,C503,'Saisie'!$Y$5:$Y$2004,"&lt;&gt;")-4),""))</f>
        <v/>
      </c>
      <c r="BD503" s="106">
        <f>IF(C503="","",IFERROR(1/(1/_xlfn.MINIFS('Saisie'!$A$5:$A$2004,'Saisie'!$C$5:$C$2004,C503,'Saisie'!$AT$5:$AT$2004,"&gt;=2")),""))</f>
        <v/>
      </c>
      <c r="BE503" s="106">
        <f>IF(C503="","",IFERROR(1/(1/_xlfn.MINIFS('Saisie'!$A$5:$A$2004,'Saisie'!$C$5:$C$2004,C503,'Saisie'!$AT$5:$AT$2004,"&gt;=3")),""))</f>
        <v/>
      </c>
      <c r="BF503" s="106">
        <f>IF(C503="","",IFERROR(1/(1/_xlfn.MINIFS('Saisie'!$A$5:$A$2004,'Saisie'!$C$5:$C$2004,C503,'Saisie'!$AT$5:$AT$2004,"&gt;=4")),""))</f>
        <v/>
      </c>
      <c r="BG503" s="106">
        <f>IF(C503="","",IFERROR(1/(1/_xlfn.MINIFS('Saisie'!$A$5:$A$2004,'Saisie'!$C$5:$C$2004,C503,'Saisie'!$AT$5:$AT$2004,"&gt;=5")),""))</f>
        <v/>
      </c>
      <c r="BH503" s="106">
        <f>IF(C503="","",IFERROR(1/(1/_xlfn.MINIFS('Saisie'!$A$5:$A$2004,'Saisie'!$C$5:$C$2004,C503,'Saisie'!$AT$5:$AT$2004,"&gt;=6")),""))</f>
        <v/>
      </c>
      <c r="BI503" s="106">
        <f>IF(C503="","",IFERROR(1/(1/_xlfn.MINIFS('Saisie'!$A$5:$A$2004,'Saisie'!$C$5:$C$2004,C503,'Saisie'!$AT$5:$AT$2004,"&gt;=7")),""))</f>
        <v/>
      </c>
      <c r="BJ503" s="60">
        <f>IF(OR(BD503="",B503=""),"",BD503-B503)</f>
        <v/>
      </c>
      <c r="BK503" s="60">
        <f>IF(OR(BE503="",BD503=""),"",BE503-BD503)</f>
        <v/>
      </c>
      <c r="BL503" s="60">
        <f>IF(OR(BF503="",BE503=""),"",BF503-BE503)</f>
        <v/>
      </c>
      <c r="BM503" s="60">
        <f>IF(OR(BG503="",BF503=""),"",BG503-BF503)</f>
        <v/>
      </c>
      <c r="BN503" s="60">
        <f>IF(OR(BH503="",BG503=""),"",BH503-BG503)</f>
        <v/>
      </c>
      <c r="BO503" s="60">
        <f>IF(OR(BI503="",BH503=""),"",BI503-BH503)</f>
        <v/>
      </c>
      <c r="BP503" s="60">
        <f>IF(C503="","",_xlfn.MAXIFS('Saisie'!$AS$5:$AS$2004,'Saisie'!$C$5:$C$2004,C503,'Saisie'!$J$5:$J$2004,"&lt;&gt;"))</f>
        <v/>
      </c>
      <c r="BQ503" s="60">
        <f>IF(C503="","",_xlfn.MAXIFS('Saisie'!$AS$5:$AS$2004,'Saisie'!$C$5:$C$2004,C503))</f>
        <v/>
      </c>
      <c r="BR503" s="60">
        <f>IF(C503="","",_xlfn.MAXIFS('Saisie'!$AS$5:$AS$2004,'Saisie'!$C$5:$C$2004,C503,'Saisie'!$E$5:$E$2004,"Perdu"))</f>
        <v/>
      </c>
      <c r="BS503" s="60">
        <f>IF(C503="","",_xlfn.MAXIFS('Saisie'!$AS$5:$AS$2004,'Saisie'!$C$5:$C$2004,C503,'Saisie'!$AT$5:$AT$2004,"&gt;0"))</f>
        <v/>
      </c>
      <c r="BT503" s="109">
        <f>IF(AND(C503&lt;&gt;"",OR(D503="Nouveau",D503="Contacté",D503="Qualifié"),OR(G503="",N(G503)&lt;=TODAY()),NOT(AND(O503&gt;='Paramètres'!$B$21,P503=0))),E503+499/10000,"")</f>
        <v/>
      </c>
      <c r="BU503" s="60">
        <f>IF(AND(G503&lt;&gt;"",N(G503)&lt;=TODAY()),MAX($BU$4:BU502)+1,"")</f>
        <v/>
      </c>
      <c r="BV503" s="60">
        <f>IF(AND(F503&lt;&gt;"",F503&lt;&gt;"Relance en retard"),MAX($BV$4:BV502)+1,"")</f>
        <v/>
      </c>
      <c r="BW503" s="60">
        <f>IF(C503="","",IF(AND(B503&gt;='Tableau de bord'!$R$4,B503&lt;='Tableau de bord'!$S$4,OR('Tableau de bord'!$G$4="Tous",N503='Tableau de bord'!$G$4)),1,0))</f>
        <v/>
      </c>
      <c r="BX503" s="60">
        <f>IF(AND(C503&lt;&gt;"",N(BA503)=7),MAX($BX$4:BX502)+1,"")</f>
        <v/>
      </c>
    </row>
    <row r="504">
      <c r="A504" s="60">
        <f>IF(C504="","","P-"&amp;TEXT(500,"000"))</f>
        <v/>
      </c>
      <c r="B504" s="106">
        <f>IF(C504="","",IFERROR(1/(1/_xlfn.MINIFS('Saisie'!$A$5:$A$2004,'Saisie'!$C$5:$C$2004,C504)),""))</f>
        <v/>
      </c>
      <c r="C504" s="60">
        <f>IFERROR(INDEX('Saisie'!$C$5:$C$2004,MATCH(500,'Saisie'!$AX$5:$AX$2004,0)),"")</f>
        <v/>
      </c>
      <c r="D504" s="60">
        <f>IF(C504="","",IF(AND(BR504&gt;0,BR504&gt;BS504,BA504&lt;7),"Perdu",INDEX('Paramètres'!$F$6:$F$13,BA504)))</f>
        <v/>
      </c>
      <c r="E504" s="61">
        <f>IF(C504="","",MIN(100,(Z504="Oui")*'Paramètres'!$B$38+(AB504="Régulière")*'Paramètres'!$B$39+IF(AND(N(AA504)&gt;0,TODAY()-N(AA504)&lt;=30),'Paramètres'!$B$40,0)+(W504="")*'Paramètres'!$B$41+(AC504="Absente")*'Paramètres'!$B$42+(AC504="Faible")*'Paramètres'!$B$43+IF(AND(N(AD504)&gt;0,N(AD504)&lt;4),'Paramètres'!$B$44,0)+(AF504="Moyenne")*'Paramètres'!$B$45+(AF504="Grande")*'Paramètres'!$B$46+(Y504&lt;&gt;"")*'Paramètres'!$B$47))</f>
        <v/>
      </c>
      <c r="F504" s="60">
        <f>IF(C504="","",IF(D504="Gagné","",IF(D504="Perdu",IF(AND(AX504&lt;&gt;"",AX504&lt;=TODAY()),"À recontacter (perdu)",""),IF(AND(O504&gt;='Paramètres'!$B$21,P504=0),"Stop : "&amp;'Paramètres'!$B$21&amp;" tentatives sans réponse",IF(AND(D504="Proposition",AR504&lt;&gt;"",TODAY()&gt;N(AR504)),"Proposition expirée",IF(AND(D504="Proposition",N(R504)&gt;='Paramètres'!$B$25),"Proposition sans réponse",IF(AND(G504&lt;&gt;"",N(G504)&lt;TODAY()),"Relance en retard",IF(N(R504)&gt;='Paramètres'!$B$24,"Sans action depuis "&amp;R504&amp;" j",""))))))))</f>
        <v/>
      </c>
      <c r="G504" s="106">
        <f>IF(OR(C504="",D504="Gagné",D504="Perdu"),"",IF(AND(BP504&gt;0,BP504=BQ504),INDEX('Saisie'!$J$5:$J$2004,BP504-4),IF(OR(O504=0,AND(O504&gt;='Paramètres'!$B$21,P504=0)),"",Q504+IF(O504&lt;=1,'Paramètres'!$B$18,IF(O504=2,'Paramètres'!$B$19,'Paramètres'!$B$20)))))</f>
        <v/>
      </c>
      <c r="H504" s="107">
        <f>IF(OR(G504="",BP504&lt;&gt;BQ504),"",IF(INDEX('Saisie'!$K$5:$K$2004,BP504-4)="","",INDEX('Saisie'!$K$5:$K$2004,BP504-4)))</f>
        <v/>
      </c>
      <c r="I504" s="60">
        <f>IF(C504="","",IF(OR(D504="Gagné",D504="Perdu"),"",IFERROR(INDEX('Saisie'!$I$5:$I$2004,_xlfn.MAXIFS('Saisie'!$AS$5:$AS$2004,'Saisie'!$C$5:$C$2004,C504,'Saisie'!$I$5:$I$2004,"&lt;&gt;")-4),"")))</f>
        <v/>
      </c>
      <c r="J504" s="60">
        <f>IF(C504="","",IFERROR(INDEX('Saisie'!$U$5:$U$2004,_xlfn.MAXIFS('Saisie'!$AS$5:$AS$2004,'Saisie'!$C$5:$C$2004,C504,'Saisie'!$U$5:$U$2004,"&lt;&gt;")-4),""))</f>
        <v/>
      </c>
      <c r="K504" s="60">
        <f>IF(C504="","",IFERROR(INDEX('Saisie'!$W$5:$W$2004,_xlfn.MAXIFS('Saisie'!$AS$5:$AS$2004,'Saisie'!$C$5:$C$2004,C504,'Saisie'!$W$5:$W$2004,"&lt;&gt;")-4),""))</f>
        <v/>
      </c>
      <c r="L504" s="60">
        <f>IF(IF(BB504&lt;&gt;"",BB504,K504)="","",HYPERLINK("https://wa.me/"&amp;IF(LEFT(SUBSTITUTE(SUBSTITUTE(SUBSTITUTE(IF(BB504&lt;&gt;"",BB504,K504)," ",""),".",""),"+",""),1)="0",'Paramètres'!$B$35&amp;MID(SUBSTITUTE(SUBSTITUTE(SUBSTITUTE(IF(BB504&lt;&gt;"",BB504,K504)," ",""),".",""),"+",""),2,20),SUBSTITUTE(SUBSTITUTE(SUBSTITUTE(IF(BB504&lt;&gt;"",BB504,K504)," ",""),".",""),"+","")),"WhatsApp"))</f>
        <v/>
      </c>
      <c r="M504" s="60">
        <f>IF(BC504="","",HYPERLINK(IF(LEFT(BC504,4)="http",BC504,"https://www.instagram.com/"&amp;SUBSTITUTE(SUBSTITUTE(BC504,"@","")," ","")),BC504))</f>
        <v/>
      </c>
      <c r="N504" s="60">
        <f>IF(C504="","",IFERROR(INDEX('Saisie'!$D$5:$D$2004,_xlfn.MINIFS('Saisie'!$AS$5:$AS$2004,'Saisie'!$C$5:$C$2004,C504,'Saisie'!$AU$5:$AU$2004,1)-4),IFERROR(INDEX('Saisie'!$D$5:$D$2004,_xlfn.MINIFS('Saisie'!$AS$5:$AS$2004,'Saisie'!$C$5:$C$2004,C504,'Saisie'!$D$5:$D$2004,"&lt;&gt;")-4),"")))</f>
        <v/>
      </c>
      <c r="O504" s="60">
        <f>IF(C504="","",COUNTIFS('Saisie'!$C$5:$C$2004,C504,'Saisie'!$AU$5:$AU$2004,1))</f>
        <v/>
      </c>
      <c r="P504" s="60">
        <f>IF(C504="","",COUNTIFS('Saisie'!$C$5:$C$2004,C504,'Saisie'!$AV$5:$AV$2004,1))</f>
        <v/>
      </c>
      <c r="Q504" s="106">
        <f>IF(C504="","",IFERROR(1/(1/_xlfn.MAXIFS('Saisie'!$A$5:$A$2004,'Saisie'!$C$5:$C$2004,C504)),""))</f>
        <v/>
      </c>
      <c r="R504" s="61">
        <f>IF(C504="","",IF(Q504="","",TODAY()-Q504))</f>
        <v/>
      </c>
      <c r="S504" s="60">
        <f>IF(C504="","",IFERROR(INDEX('Saisie'!$R$5:$R$2004,_xlfn.MAXIFS('Saisie'!$AS$5:$AS$2004,'Saisie'!$C$5:$C$2004,C504,'Saisie'!$R$5:$R$2004,"&lt;&gt;")-4),""))</f>
        <v/>
      </c>
      <c r="T504" s="60">
        <f>IF(C504="","",IFERROR(INDEX('Saisie'!$S$5:$S$2004,_xlfn.MAXIFS('Saisie'!$AS$5:$AS$2004,'Saisie'!$C$5:$C$2004,C504,'Saisie'!$S$5:$S$2004,"&lt;&gt;")-4),""))</f>
        <v/>
      </c>
      <c r="U504" s="60">
        <f>IF(C504="","",IFERROR(INDEX('Saisie'!$T$5:$T$2004,_xlfn.MAXIFS('Saisie'!$AS$5:$AS$2004,'Saisie'!$C$5:$C$2004,C504,'Saisie'!$T$5:$T$2004,"&lt;&gt;")-4),""))</f>
        <v/>
      </c>
      <c r="V504" s="60">
        <f>IF(C504="","",IFERROR(INDEX('Saisie'!$V$5:$V$2004,_xlfn.MAXIFS('Saisie'!$AS$5:$AS$2004,'Saisie'!$C$5:$C$2004,C504,'Saisie'!$V$5:$V$2004,"&lt;&gt;")-4),""))</f>
        <v/>
      </c>
      <c r="W504" s="60">
        <f>IF(C504="","",IFERROR(INDEX('Saisie'!$Z$5:$Z$2004,_xlfn.MAXIFS('Saisie'!$AS$5:$AS$2004,'Saisie'!$C$5:$C$2004,C504,'Saisie'!$Z$5:$Z$2004,"&lt;&gt;")-4),""))</f>
        <v/>
      </c>
      <c r="X504" s="60">
        <f>IF(C504="","",IFERROR(INDEX('Saisie'!$AA$5:$AA$2004,_xlfn.MAXIFS('Saisie'!$AS$5:$AS$2004,'Saisie'!$C$5:$C$2004,C504,'Saisie'!$AA$5:$AA$2004,"&lt;&gt;")-4),""))</f>
        <v/>
      </c>
      <c r="Y504" s="60">
        <f>IF(C504="","",IFERROR(INDEX('Saisie'!$AB$5:$AB$2004,_xlfn.MAXIFS('Saisie'!$AS$5:$AS$2004,'Saisie'!$C$5:$C$2004,C504,'Saisie'!$AB$5:$AB$2004,"&lt;&gt;")-4),""))</f>
        <v/>
      </c>
      <c r="Z504" s="60">
        <f>IF(C504="","",IFERROR(INDEX('Saisie'!$AC$5:$AC$2004,_xlfn.MAXIFS('Saisie'!$AS$5:$AS$2004,'Saisie'!$C$5:$C$2004,C504,'Saisie'!$AC$5:$AC$2004,"&lt;&gt;")-4),""))</f>
        <v/>
      </c>
      <c r="AA504" s="106">
        <f>IF(C504="","",IFERROR(INDEX('Saisie'!$AD$5:$AD$2004,_xlfn.MAXIFS('Saisie'!$AS$5:$AS$2004,'Saisie'!$C$5:$C$2004,C504,'Saisie'!$AD$5:$AD$2004,"&lt;&gt;")-4),""))</f>
        <v/>
      </c>
      <c r="AB504" s="60">
        <f>IF(C504="","",IFERROR(INDEX('Saisie'!$AE$5:$AE$2004,_xlfn.MAXIFS('Saisie'!$AS$5:$AS$2004,'Saisie'!$C$5:$C$2004,C504,'Saisie'!$AE$5:$AE$2004,"&lt;&gt;")-4),""))</f>
        <v/>
      </c>
      <c r="AC504" s="60">
        <f>IF(C504="","",IFERROR(INDEX('Saisie'!$AF$5:$AF$2004,_xlfn.MAXIFS('Saisie'!$AS$5:$AS$2004,'Saisie'!$C$5:$C$2004,C504,'Saisie'!$AF$5:$AF$2004,"&lt;&gt;")-4),""))</f>
        <v/>
      </c>
      <c r="AD504" s="108">
        <f>IF(C504="","",IFERROR(INDEX('Saisie'!$AG$5:$AG$2004,_xlfn.MAXIFS('Saisie'!$AS$5:$AS$2004,'Saisie'!$C$5:$C$2004,C504,'Saisie'!$AG$5:$AG$2004,"&lt;&gt;")-4),""))</f>
        <v/>
      </c>
      <c r="AE504" s="60">
        <f>IF(C504="","",IFERROR(INDEX('Saisie'!$AH$5:$AH$2004,_xlfn.MAXIFS('Saisie'!$AS$5:$AS$2004,'Saisie'!$C$5:$C$2004,C504,'Saisie'!$AH$5:$AH$2004,"&lt;&gt;")-4),""))</f>
        <v/>
      </c>
      <c r="AF504" s="60">
        <f>IF(C504="","",IFERROR(INDEX('Saisie'!$AI$5:$AI$2004,_xlfn.MAXIFS('Saisie'!$AS$5:$AS$2004,'Saisie'!$C$5:$C$2004,C504,'Saisie'!$AI$5:$AI$2004,"&lt;&gt;")-4),""))</f>
        <v/>
      </c>
      <c r="AG504" s="60">
        <f>IF(C504="","",IFERROR(INDEX('Saisie'!$AJ$5:$AJ$2004,_xlfn.MAXIFS('Saisie'!$AS$5:$AS$2004,'Saisie'!$C$5:$C$2004,C504,'Saisie'!$AJ$5:$AJ$2004,"&lt;&gt;")-4),""))</f>
        <v/>
      </c>
      <c r="AH504" s="60">
        <f>IF(C504="","",IFERROR(INDEX('Saisie'!$AK$5:$AK$2004,_xlfn.MAXIFS('Saisie'!$AS$5:$AS$2004,'Saisie'!$C$5:$C$2004,C504,'Saisie'!$AK$5:$AK$2004,"&lt;&gt;")-4),""))</f>
        <v/>
      </c>
      <c r="AI504" s="60">
        <f>IF(C504="","",IFERROR(INDEX('Saisie'!$AN$5:$AN$2004,_xlfn.MAXIFS('Saisie'!$AS$5:$AS$2004,'Saisie'!$C$5:$C$2004,C504,'Saisie'!$AN$5:$AN$2004,"&lt;&gt;")-4),""))</f>
        <v/>
      </c>
      <c r="AJ504" s="60">
        <f>IF(C504="","",IFERROR(INDEX('Saisie'!$AO$5:$AO$2004,_xlfn.MAXIFS('Saisie'!$AS$5:$AS$2004,'Saisie'!$C$5:$C$2004,C504,'Saisie'!$AO$5:$AO$2004,"&lt;&gt;")-4),""))</f>
        <v/>
      </c>
      <c r="AK504" s="60">
        <f>IF(C504="","",IFERROR(INDEX('Saisie'!$AP$5:$AP$2004,_xlfn.MAXIFS('Saisie'!$AS$5:$AS$2004,'Saisie'!$C$5:$C$2004,C504,'Saisie'!$AP$5:$AP$2004,"&lt;&gt;")-4),""))</f>
        <v/>
      </c>
      <c r="AL504" s="60">
        <f>IF(C504="","",IFERROR(INDEX('Saisie'!$AQ$5:$AQ$2004,_xlfn.MAXIFS('Saisie'!$AS$5:$AS$2004,'Saisie'!$C$5:$C$2004,C504,'Saisie'!$AQ$5:$AQ$2004,"&lt;&gt;")-4),""))</f>
        <v/>
      </c>
      <c r="AM504" s="60">
        <f>IF(C504="","",((AI504="Oui")+(AJ504="Oui")+(AK504="Oui")+OR(AL504="Immédiat",AL504="&lt; 1 mois"))&amp;"/4")</f>
        <v/>
      </c>
      <c r="AN504" s="60">
        <f>IF(C504="","",IFERROR(INDEX('Saisie'!$AL$5:$AL$2004,_xlfn.MAXIFS('Saisie'!$AS$5:$AS$2004,'Saisie'!$C$5:$C$2004,C504,'Saisie'!$AL$5:$AL$2004,"&lt;&gt;")-4),""))</f>
        <v/>
      </c>
      <c r="AO504" s="62">
        <f>IF(C504="","",IF(IFERROR(INDEX('Saisie'!$AM$5:$AM$2004,_xlfn.MAXIFS('Saisie'!$AS$5:$AS$2004,'Saisie'!$C$5:$C$2004,C504,'Saisie'!$AM$5:$AM$2004,"&lt;&gt;")-4),"")&lt;&gt;"",IFERROR(INDEX('Saisie'!$AM$5:$AM$2004,_xlfn.MAXIFS('Saisie'!$AS$5:$AS$2004,'Saisie'!$C$5:$C$2004,C504,'Saisie'!$AM$5:$AM$2004,"&lt;&gt;")-4),""),IFERROR(INDEX('Paramètres'!$S$6:$S$15,MATCH(AN504,'Paramètres'!$Q$6:$Q$15,0)),"")))</f>
        <v/>
      </c>
      <c r="AP504" s="62">
        <f>IF(C504="","",IFERROR(INDEX('Saisie'!$AW$5:$AW$2004,_xlfn.MAXIFS('Saisie'!$AS$5:$AS$2004,'Saisie'!$C$5:$C$2004,C504,'Saisie'!$E$5:$E$2004,"Proposition envoyée")-4),""))</f>
        <v/>
      </c>
      <c r="AQ504" s="106">
        <f>IF(C504="","",IFERROR(1/(1/_xlfn.MAXIFS('Saisie'!$A$5:$A$2004,'Saisie'!$C$5:$C$2004,C504,'Saisie'!$E$5:$E$2004,"Proposition envoyée")),""))</f>
        <v/>
      </c>
      <c r="AR504" s="106">
        <f>IF(C504="","",IF(AQ504="","",AQ504+'Paramètres'!$B$26))</f>
        <v/>
      </c>
      <c r="AS504" s="62">
        <f>IF(OR(C504="",D504="Gagné",D504="Perdu"),0,N(AP504)*IFERROR(INDEX('Paramètres'!$G$6:$G$13,MATCH(D504,'Paramètres'!$F$6:$F$13,0)),0))</f>
        <v/>
      </c>
      <c r="AT504" s="106">
        <f>IF(C504="","",IFERROR(1/(1/_xlfn.MINIFS('Saisie'!$A$5:$A$2004,'Saisie'!$C$5:$C$2004,C504,'Saisie'!$E$5:$E$2004,"Signature")),""))</f>
        <v/>
      </c>
      <c r="AU504" s="60">
        <f>IF(C504="","",IF(OR(AT504="",B504=""),"",AT504-B504))</f>
        <v/>
      </c>
      <c r="AV504" s="60">
        <f>IF(C504="","",IFERROR(INDEX('Saisie'!$L$5:$L$2004,_xlfn.MAXIFS('Saisie'!$AS$5:$AS$2004,'Saisie'!$C$5:$C$2004,C504,'Saisie'!$L$5:$L$2004,"&lt;&gt;")-4),""))</f>
        <v/>
      </c>
      <c r="AW504" s="106">
        <f>IF(C504="","",IF(D504&lt;&gt;"Perdu","",IFERROR(1/(1/_xlfn.MAXIFS('Saisie'!$A$5:$A$2004,'Saisie'!$C$5:$C$2004,C504,'Saisie'!$E$5:$E$2004,"Perdu")),"")))</f>
        <v/>
      </c>
      <c r="AX504" s="106">
        <f>IF(C504="","",IF(AW504="","",AW504+'Paramètres'!$B$28))</f>
        <v/>
      </c>
      <c r="AY504" s="60">
        <f>IF(C504="","",SUMIFS('Saisie'!$H$5:$H$2004,'Saisie'!$C$5:$C$2004,C504))</f>
        <v/>
      </c>
      <c r="AZ504" s="60">
        <f>IF(C504="","",IFERROR(INDEX('Paramètres'!$W$6:$W$20,MATCH(S504,'Paramètres'!$V$6:$V$20,0))&amp;"",""))</f>
        <v/>
      </c>
      <c r="BA504" s="60">
        <f>IF(C504="","",MAX(1,_xlfn.MAXIFS('Saisie'!$AT$5:$AT$2004,'Saisie'!$C$5:$C$2004,C504)))</f>
        <v/>
      </c>
      <c r="BB504" s="60">
        <f>IF(C504="","",IFERROR(INDEX('Saisie'!$X$5:$X$2004,_xlfn.MAXIFS('Saisie'!$AS$5:$AS$2004,'Saisie'!$C$5:$C$2004,C504,'Saisie'!$X$5:$X$2004,"&lt;&gt;")-4),""))</f>
        <v/>
      </c>
      <c r="BC504" s="60">
        <f>IF(C504="","",IFERROR(INDEX('Saisie'!$Y$5:$Y$2004,_xlfn.MAXIFS('Saisie'!$AS$5:$AS$2004,'Saisie'!$C$5:$C$2004,C504,'Saisie'!$Y$5:$Y$2004,"&lt;&gt;")-4),""))</f>
        <v/>
      </c>
      <c r="BD504" s="106">
        <f>IF(C504="","",IFERROR(1/(1/_xlfn.MINIFS('Saisie'!$A$5:$A$2004,'Saisie'!$C$5:$C$2004,C504,'Saisie'!$AT$5:$AT$2004,"&gt;=2")),""))</f>
        <v/>
      </c>
      <c r="BE504" s="106">
        <f>IF(C504="","",IFERROR(1/(1/_xlfn.MINIFS('Saisie'!$A$5:$A$2004,'Saisie'!$C$5:$C$2004,C504,'Saisie'!$AT$5:$AT$2004,"&gt;=3")),""))</f>
        <v/>
      </c>
      <c r="BF504" s="106">
        <f>IF(C504="","",IFERROR(1/(1/_xlfn.MINIFS('Saisie'!$A$5:$A$2004,'Saisie'!$C$5:$C$2004,C504,'Saisie'!$AT$5:$AT$2004,"&gt;=4")),""))</f>
        <v/>
      </c>
      <c r="BG504" s="106">
        <f>IF(C504="","",IFERROR(1/(1/_xlfn.MINIFS('Saisie'!$A$5:$A$2004,'Saisie'!$C$5:$C$2004,C504,'Saisie'!$AT$5:$AT$2004,"&gt;=5")),""))</f>
        <v/>
      </c>
      <c r="BH504" s="106">
        <f>IF(C504="","",IFERROR(1/(1/_xlfn.MINIFS('Saisie'!$A$5:$A$2004,'Saisie'!$C$5:$C$2004,C504,'Saisie'!$AT$5:$AT$2004,"&gt;=6")),""))</f>
        <v/>
      </c>
      <c r="BI504" s="106">
        <f>IF(C504="","",IFERROR(1/(1/_xlfn.MINIFS('Saisie'!$A$5:$A$2004,'Saisie'!$C$5:$C$2004,C504,'Saisie'!$AT$5:$AT$2004,"&gt;=7")),""))</f>
        <v/>
      </c>
      <c r="BJ504" s="60">
        <f>IF(OR(BD504="",B504=""),"",BD504-B504)</f>
        <v/>
      </c>
      <c r="BK504" s="60">
        <f>IF(OR(BE504="",BD504=""),"",BE504-BD504)</f>
        <v/>
      </c>
      <c r="BL504" s="60">
        <f>IF(OR(BF504="",BE504=""),"",BF504-BE504)</f>
        <v/>
      </c>
      <c r="BM504" s="60">
        <f>IF(OR(BG504="",BF504=""),"",BG504-BF504)</f>
        <v/>
      </c>
      <c r="BN504" s="60">
        <f>IF(OR(BH504="",BG504=""),"",BH504-BG504)</f>
        <v/>
      </c>
      <c r="BO504" s="60">
        <f>IF(OR(BI504="",BH504=""),"",BI504-BH504)</f>
        <v/>
      </c>
      <c r="BP504" s="60">
        <f>IF(C504="","",_xlfn.MAXIFS('Saisie'!$AS$5:$AS$2004,'Saisie'!$C$5:$C$2004,C504,'Saisie'!$J$5:$J$2004,"&lt;&gt;"))</f>
        <v/>
      </c>
      <c r="BQ504" s="60">
        <f>IF(C504="","",_xlfn.MAXIFS('Saisie'!$AS$5:$AS$2004,'Saisie'!$C$5:$C$2004,C504))</f>
        <v/>
      </c>
      <c r="BR504" s="60">
        <f>IF(C504="","",_xlfn.MAXIFS('Saisie'!$AS$5:$AS$2004,'Saisie'!$C$5:$C$2004,C504,'Saisie'!$E$5:$E$2004,"Perdu"))</f>
        <v/>
      </c>
      <c r="BS504" s="60">
        <f>IF(C504="","",_xlfn.MAXIFS('Saisie'!$AS$5:$AS$2004,'Saisie'!$C$5:$C$2004,C504,'Saisie'!$AT$5:$AT$2004,"&gt;0"))</f>
        <v/>
      </c>
      <c r="BT504" s="109">
        <f>IF(AND(C504&lt;&gt;"",OR(D504="Nouveau",D504="Contacté",D504="Qualifié"),OR(G504="",N(G504)&lt;=TODAY()),NOT(AND(O504&gt;='Paramètres'!$B$21,P504=0))),E504+500/10000,"")</f>
        <v/>
      </c>
      <c r="BU504" s="60">
        <f>IF(AND(G504&lt;&gt;"",N(G504)&lt;=TODAY()),MAX($BU$4:BU503)+1,"")</f>
        <v/>
      </c>
      <c r="BV504" s="60">
        <f>IF(AND(F504&lt;&gt;"",F504&lt;&gt;"Relance en retard"),MAX($BV$4:BV503)+1,"")</f>
        <v/>
      </c>
      <c r="BW504" s="60">
        <f>IF(C504="","",IF(AND(B504&gt;='Tableau de bord'!$R$4,B504&lt;='Tableau de bord'!$S$4,OR('Tableau de bord'!$G$4="Tous",N504='Tableau de bord'!$G$4)),1,0))</f>
        <v/>
      </c>
      <c r="BX504" s="60">
        <f>IF(AND(C504&lt;&gt;"",N(BA504)=7),MAX($BX$4:BX503)+1,"")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4:BX504"/>
  <mergeCells count="8">
    <mergeCell ref="B1:BX1"/>
    <mergeCell ref="AI3:AM3"/>
    <mergeCell ref="A2:BX2"/>
    <mergeCell ref="BA3:BX3"/>
    <mergeCell ref="S3:AH3"/>
    <mergeCell ref="A3:I3"/>
    <mergeCell ref="AN3:AZ3"/>
    <mergeCell ref="J3:R3"/>
  </mergeCells>
  <conditionalFormatting sqref="D5:D504">
    <cfRule type="expression" priority="1" dxfId="6">
      <formula>$D5="Gagné"</formula>
    </cfRule>
    <cfRule type="expression" priority="2" dxfId="7">
      <formula>$D5="Perdu"</formula>
    </cfRule>
    <cfRule type="expression" priority="3" dxfId="8">
      <formula>$D5="Nouveau"</formula>
    </cfRule>
    <cfRule type="expression" priority="4" dxfId="9">
      <formula>$D5="Contacté"</formula>
    </cfRule>
    <cfRule type="expression" priority="5" dxfId="10">
      <formula>$D5="Qualifié"</formula>
    </cfRule>
    <cfRule type="expression" priority="6" dxfId="11">
      <formula>$D5="Audit/Démo"</formula>
    </cfRule>
    <cfRule type="expression" priority="7" dxfId="12">
      <formula>$D5="RDV"</formula>
    </cfRule>
    <cfRule type="expression" priority="8" dxfId="13">
      <formula>$D5="Proposition"</formula>
    </cfRule>
  </conditionalFormatting>
  <conditionalFormatting sqref="F5:F504">
    <cfRule type="expression" priority="9" dxfId="0">
      <formula>OR($F5="Relance en retard",LEFT($F5,4)="Stop")</formula>
    </cfRule>
    <cfRule type="expression" priority="10" dxfId="14">
      <formula>$F5&lt;&gt;""</formula>
    </cfRule>
  </conditionalFormatting>
  <conditionalFormatting sqref="E5:E504">
    <cfRule type="dataBar" priority="11">
      <dataBar>
        <cfvo type="num" val="0"/>
        <cfvo type="num" val="100"/>
        <color rgb="00C9A227"/>
      </dataBar>
    </cfRule>
  </conditionalFormatting>
  <conditionalFormatting sqref="G5:G504">
    <cfRule type="expression" priority="12" dxfId="4">
      <formula>AND($G5&lt;&gt;"",$G5&lt;=TODAY())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4" customHeight="1">
      <c r="A1" s="1" t="inlineStr">
        <is>
          <t>🔎 FICHE PROSPECT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40" customHeight="1">
      <c r="A2" s="3" t="inlineStr">
        <is>
          <t>Choisis un prospect dans la case jaune : tu vois toute sa fiche et tout son historique. Rien à saisir d'autre ici.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>
        <f>HYPERLINK("#'Saisie'!A1","↩ Saisie")</f>
        <v/>
      </c>
      <c r="C3" s="5">
        <f>HYPERLINK("#'Ma journée'!A1","☀ Ma journée")</f>
        <v/>
      </c>
      <c r="E3" s="5">
        <f>HYPERLINK("#'Tableau de bord'!A1","📊 Tableau de bord")</f>
        <v/>
      </c>
    </row>
    <row r="4">
      <c r="B4" s="110" t="inlineStr">
        <is>
          <t>Prospect :</t>
        </is>
      </c>
      <c r="C4" s="111" t="inlineStr">
        <is>
          <t>Institut Belle Peau (EXEMPLE)</t>
        </is>
      </c>
    </row>
    <row r="6" ht="22" customHeight="1">
      <c r="B6" s="8" t="inlineStr">
        <is>
          <t>FICHE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B7" s="112" t="inlineStr">
        <is>
          <t>ID</t>
        </is>
      </c>
      <c r="C7" s="113">
        <f>IFERROR(INDEX('Prospects'!$A$5:$A$504,MATCH($C$4,'Prospects'!$C$5:$C$504,0)),"")</f>
        <v/>
      </c>
      <c r="D7" s="114" t="n"/>
      <c r="F7" s="112" t="inlineStr">
        <is>
          <t>Source</t>
        </is>
      </c>
      <c r="G7" s="113">
        <f>IFERROR(INDEX('Prospects'!$X$5:$X$504,MATCH($C$4,'Prospects'!$C$5:$C$504,0)),"")</f>
        <v/>
      </c>
      <c r="H7" s="114" t="n"/>
      <c r="I7" s="114" t="n"/>
    </row>
    <row r="8">
      <c r="B8" s="112" t="inlineStr">
        <is>
          <t>Étape</t>
        </is>
      </c>
      <c r="C8" s="113">
        <f>IFERROR(INDEX('Prospects'!$D$5:$D$504,MATCH($C$4,'Prospects'!$C$5:$C$504,0)),"")</f>
        <v/>
      </c>
      <c r="D8" s="114" t="n"/>
      <c r="F8" s="112" t="inlineStr">
        <is>
          <t>Recommandé par</t>
        </is>
      </c>
      <c r="G8" s="113">
        <f>IFERROR(INDEX('Prospects'!$Y$5:$Y$504,MATCH($C$4,'Prospects'!$C$5:$C$504,0)),"")</f>
        <v/>
      </c>
      <c r="H8" s="114" t="n"/>
      <c r="I8" s="114" t="n"/>
    </row>
    <row r="9">
      <c r="B9" s="112" t="inlineStr">
        <is>
          <t>Score priorité</t>
        </is>
      </c>
      <c r="C9" s="113">
        <f>IFERROR(INDEX('Prospects'!$E$5:$E$504,MATCH($C$4,'Prospects'!$C$5:$C$504,0)),"")</f>
        <v/>
      </c>
      <c r="D9" s="114" t="n"/>
      <c r="F9" s="112" t="inlineStr">
        <is>
          <t>Pub active</t>
        </is>
      </c>
      <c r="G9" s="113">
        <f>IFERROR(INDEX('Prospects'!$Z$5:$Z$504,MATCH($C$4,'Prospects'!$C$5:$C$504,0)),"")</f>
        <v/>
      </c>
      <c r="H9" s="114" t="n"/>
      <c r="I9" s="114" t="n"/>
    </row>
    <row r="10">
      <c r="B10" s="112" t="inlineStr">
        <is>
          <t>Alerte</t>
        </is>
      </c>
      <c r="C10" s="113">
        <f>IFERROR(INDEX('Prospects'!$F$5:$F$504,MATCH($C$4,'Prospects'!$C$5:$C$504,0)),"")</f>
        <v/>
      </c>
      <c r="D10" s="114" t="n"/>
      <c r="F10" s="112" t="inlineStr">
        <is>
          <t>Présence Google</t>
        </is>
      </c>
      <c r="G10" s="113">
        <f>IFERROR(INDEX('Prospects'!$AC$5:$AC$504,MATCH($C$4,'Prospects'!$C$5:$C$504,0)),"")</f>
        <v/>
      </c>
      <c r="H10" s="114" t="n"/>
      <c r="I10" s="114" t="n"/>
    </row>
    <row r="11">
      <c r="B11" s="112" t="inlineStr">
        <is>
          <t>Prochaine action</t>
        </is>
      </c>
      <c r="C11" s="113">
        <f>IFERROR(INDEX('Prospects'!$I$5:$I$504,MATCH($C$4,'Prospects'!$C$5:$C$504,0)),"")</f>
        <v/>
      </c>
      <c r="D11" s="114" t="n"/>
      <c r="F11" s="112" t="inlineStr">
        <is>
          <t>Note Google</t>
        </is>
      </c>
      <c r="G11" s="113">
        <f>IFERROR(INDEX('Prospects'!$AD$5:$AD$504,MATCH($C$4,'Prospects'!$C$5:$C$504,0)),"")</f>
        <v/>
      </c>
      <c r="H11" s="114" t="n"/>
      <c r="I11" s="114" t="n"/>
    </row>
    <row r="12">
      <c r="B12" s="112" t="inlineStr">
        <is>
          <t>Prochaine relance</t>
        </is>
      </c>
      <c r="C12" s="115">
        <f>IFERROR(INDEX('Prospects'!$G$5:$G$504,MATCH($C$4,'Prospects'!$C$5:$C$504,0)),"")</f>
        <v/>
      </c>
      <c r="D12" s="114" t="n"/>
      <c r="F12" s="112" t="inlineStr">
        <is>
          <t>Taille</t>
        </is>
      </c>
      <c r="G12" s="113">
        <f>IFERROR(INDEX('Prospects'!$AF$5:$AF$504,MATCH($C$4,'Prospects'!$C$5:$C$504,0)),"")</f>
        <v/>
      </c>
      <c r="H12" s="114" t="n"/>
      <c r="I12" s="114" t="n"/>
    </row>
    <row r="13">
      <c r="B13" s="112" t="inlineStr">
        <is>
          <t>Contact</t>
        </is>
      </c>
      <c r="C13" s="113">
        <f>IFERROR(INDEX('Prospects'!$J$5:$J$504,MATCH($C$4,'Prospects'!$C$5:$C$504,0)),"")</f>
        <v/>
      </c>
      <c r="D13" s="114" t="n"/>
      <c r="F13" s="112" t="inlineStr">
        <is>
          <t>Concurrent</t>
        </is>
      </c>
      <c r="G13" s="113">
        <f>IFERROR(INDEX('Prospects'!$AG$5:$AG$504,MATCH($C$4,'Prospects'!$C$5:$C$504,0)),"")</f>
        <v/>
      </c>
      <c r="H13" s="114" t="n"/>
      <c r="I13" s="114" t="n"/>
    </row>
    <row r="14">
      <c r="B14" s="112" t="inlineStr">
        <is>
          <t>Fonction</t>
        </is>
      </c>
      <c r="C14" s="113">
        <f>IFERROR(INDEX('Prospects'!$V$5:$V$504,MATCH($C$4,'Prospects'!$C$5:$C$504,0)),"")</f>
        <v/>
      </c>
      <c r="D14" s="114" t="n"/>
      <c r="F14" s="112" t="inlineStr">
        <is>
          <t>Qualification (/4)</t>
        </is>
      </c>
      <c r="G14" s="113">
        <f>IFERROR(INDEX('Prospects'!$AM$5:$AM$504,MATCH($C$4,'Prospects'!$C$5:$C$504,0)),"")</f>
        <v/>
      </c>
      <c r="H14" s="114" t="n"/>
      <c r="I14" s="114" t="n"/>
    </row>
    <row r="15">
      <c r="B15" s="112" t="inlineStr">
        <is>
          <t>Téléphone</t>
        </is>
      </c>
      <c r="C15" s="113">
        <f>IFERROR(INDEX('Prospects'!$K$5:$K$504,MATCH($C$4,'Prospects'!$C$5:$C$504,0)),"")</f>
        <v/>
      </c>
      <c r="D15" s="114" t="n"/>
      <c r="F15" s="112" t="inlineStr">
        <is>
          <t>Tentatives</t>
        </is>
      </c>
      <c r="G15" s="113">
        <f>IFERROR(INDEX('Prospects'!$O$5:$O$504,MATCH($C$4,'Prospects'!$C$5:$C$504,0)),"")</f>
        <v/>
      </c>
      <c r="H15" s="114" t="n"/>
      <c r="I15" s="114" t="n"/>
    </row>
    <row r="16">
      <c r="B16" s="112" t="inlineStr">
        <is>
          <t>Instagram</t>
        </is>
      </c>
      <c r="C16" s="113">
        <f>IFERROR(INDEX('Prospects'!$BC$5:$BC$504,MATCH($C$4,'Prospects'!$C$5:$C$504,0)),"")</f>
        <v/>
      </c>
      <c r="D16" s="114" t="n"/>
      <c r="F16" s="112" t="inlineStr">
        <is>
          <t>Réponses</t>
        </is>
      </c>
      <c r="G16" s="113">
        <f>IFERROR(INDEX('Prospects'!$P$5:$P$504,MATCH($C$4,'Prospects'!$C$5:$C$504,0)),"")</f>
        <v/>
      </c>
      <c r="H16" s="114" t="n"/>
      <c r="I16" s="114" t="n"/>
    </row>
    <row r="17">
      <c r="B17" s="112" t="inlineStr">
        <is>
          <t>Site internet</t>
        </is>
      </c>
      <c r="C17" s="113">
        <f>IFERROR(INDEX('Prospects'!$W$5:$W$504,MATCH($C$4,'Prospects'!$C$5:$C$504,0)),"")</f>
        <v/>
      </c>
      <c r="D17" s="114" t="n"/>
      <c r="F17" s="112" t="inlineStr">
        <is>
          <t>Jours sans action</t>
        </is>
      </c>
      <c r="G17" s="113">
        <f>IFERROR(INDEX('Prospects'!$R$5:$R$504,MATCH($C$4,'Prospects'!$C$5:$C$504,0)),"")</f>
        <v/>
      </c>
      <c r="H17" s="114" t="n"/>
      <c r="I17" s="114" t="n"/>
    </row>
    <row r="18">
      <c r="B18" s="112" t="inlineStr">
        <is>
          <t>Canal principal</t>
        </is>
      </c>
      <c r="C18" s="113">
        <f>IFERROR(INDEX('Prospects'!$N$5:$N$504,MATCH($C$4,'Prospects'!$C$5:$C$504,0)),"")</f>
        <v/>
      </c>
      <c r="D18" s="114" t="n"/>
      <c r="F18" s="112" t="inlineStr">
        <is>
          <t>Offre</t>
        </is>
      </c>
      <c r="G18" s="113">
        <f>IFERROR(INDEX('Prospects'!$AN$5:$AN$504,MATCH($C$4,'Prospects'!$C$5:$C$504,0)),"")</f>
        <v/>
      </c>
      <c r="H18" s="114" t="n"/>
      <c r="I18" s="114" t="n"/>
    </row>
    <row r="19">
      <c r="B19" s="112" t="inlineStr">
        <is>
          <t>Secteur</t>
        </is>
      </c>
      <c r="C19" s="113">
        <f>IFERROR(INDEX('Prospects'!$S$5:$S$504,MATCH($C$4,'Prospects'!$C$5:$C$504,0)),"")</f>
        <v/>
      </c>
      <c r="D19" s="114" t="n"/>
      <c r="F19" s="112" t="inlineStr">
        <is>
          <t>Montant proposé</t>
        </is>
      </c>
      <c r="G19" s="116">
        <f>IFERROR(INDEX('Prospects'!$AP$5:$AP$504,MATCH($C$4,'Prospects'!$C$5:$C$504,0)),"")</f>
        <v/>
      </c>
      <c r="H19" s="114" t="n"/>
      <c r="I19" s="114" t="n"/>
    </row>
    <row r="20">
      <c r="B20" s="112" t="inlineStr">
        <is>
          <t>Ville</t>
        </is>
      </c>
      <c r="C20" s="113">
        <f>IFERROR(INDEX('Prospects'!$T$5:$T$504,MATCH($C$4,'Prospects'!$C$5:$C$504,0)),"")</f>
        <v/>
      </c>
      <c r="D20" s="114" t="n"/>
      <c r="F20" s="112" t="inlineStr">
        <is>
          <t>Date signature</t>
        </is>
      </c>
      <c r="G20" s="115">
        <f>IFERROR(INDEX('Prospects'!$AT$5:$AT$504,MATCH($C$4,'Prospects'!$C$5:$C$504,0)),"")</f>
        <v/>
      </c>
      <c r="H20" s="114" t="n"/>
      <c r="I20" s="114" t="n"/>
    </row>
    <row r="21">
      <c r="B21" s="112" t="inlineStr">
        <is>
          <t>Zone</t>
        </is>
      </c>
      <c r="C21" s="113">
        <f>IFERROR(INDEX('Prospects'!$U$5:$U$504,MATCH($C$4,'Prospects'!$C$5:$C$504,0)),"")</f>
        <v/>
      </c>
      <c r="D21" s="114" t="n"/>
      <c r="F21" s="112" t="inlineStr">
        <is>
          <t>Démo type</t>
        </is>
      </c>
      <c r="G21" s="113">
        <f>IFERROR(INDEX('Prospects'!$AZ$5:$AZ$504,MATCH($C$4,'Prospects'!$C$5:$C$504,0)),"")</f>
        <v/>
      </c>
      <c r="H21" s="114" t="n"/>
      <c r="I21" s="114" t="n"/>
    </row>
    <row r="23" ht="22" customHeight="1">
      <c r="B23" s="8" t="inlineStr">
        <is>
          <t>HISTORIQUE DES ACTIONS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B24" s="9" t="inlineStr">
        <is>
          <t>Date</t>
        </is>
      </c>
      <c r="C24" s="9" t="inlineStr">
        <is>
          <t>Heure</t>
        </is>
      </c>
      <c r="D24" s="9" t="inlineStr">
        <is>
          <t>Canal</t>
        </is>
      </c>
      <c r="E24" s="9" t="inlineStr">
        <is>
          <t>Action</t>
        </is>
      </c>
      <c r="F24" s="9" t="inlineStr">
        <is>
          <t>Résultat</t>
        </is>
      </c>
      <c r="G24" s="9" t="inlineStr">
        <is>
          <t>Montant</t>
        </is>
      </c>
      <c r="H24" s="9" t="inlineStr">
        <is>
          <t>Durée (min)</t>
        </is>
      </c>
      <c r="I24" s="9" t="inlineStr">
        <is>
          <t>Objection</t>
        </is>
      </c>
      <c r="J24" s="9" t="inlineStr">
        <is>
          <t>Notes</t>
        </is>
      </c>
    </row>
    <row r="25">
      <c r="B25" s="117">
        <f>IFERROR(IF(INDEX('Saisie'!$A$5:$A$2004,MATCH(1,'Saisie'!$BB$5:$BB$2004,0))="","",INDEX('Saisie'!$A$5:$A$2004,MATCH(1,'Saisie'!$BB$5:$BB$2004,0))),"")</f>
        <v/>
      </c>
      <c r="C25" s="118">
        <f>IFERROR(IF(INDEX('Saisie'!$B$5:$B$2004,MATCH(1,'Saisie'!$BB$5:$BB$2004,0))="","",INDEX('Saisie'!$B$5:$B$2004,MATCH(1,'Saisie'!$BB$5:$BB$2004,0))),"")</f>
        <v/>
      </c>
      <c r="D25" s="100">
        <f>IFERROR(IF(INDEX('Saisie'!$D$5:$D$2004,MATCH(1,'Saisie'!$BB$5:$BB$2004,0))="","",INDEX('Saisie'!$D$5:$D$2004,MATCH(1,'Saisie'!$BB$5:$BB$2004,0))),"")</f>
        <v/>
      </c>
      <c r="E25" s="100">
        <f>IFERROR(IF(INDEX('Saisie'!$E$5:$E$2004,MATCH(1,'Saisie'!$BB$5:$BB$2004,0))="","",INDEX('Saisie'!$E$5:$E$2004,MATCH(1,'Saisie'!$BB$5:$BB$2004,0))),"")</f>
        <v/>
      </c>
      <c r="F25" s="100">
        <f>IFERROR(IF(INDEX('Saisie'!$F$5:$F$2004,MATCH(1,'Saisie'!$BB$5:$BB$2004,0))="","",INDEX('Saisie'!$F$5:$F$2004,MATCH(1,'Saisie'!$BB$5:$BB$2004,0))),"")</f>
        <v/>
      </c>
      <c r="G25" s="119">
        <f>IFERROR(IF(INDEX('Saisie'!$AW$5:$AW$2004,MATCH(1,'Saisie'!$BB$5:$BB$2004,0))="","",INDEX('Saisie'!$AW$5:$AW$2004,MATCH(1,'Saisie'!$BB$5:$BB$2004,0))),"")</f>
        <v/>
      </c>
      <c r="H25" s="100">
        <f>IFERROR(IF(INDEX('Saisie'!$H$5:$H$2004,MATCH(1,'Saisie'!$BB$5:$BB$2004,0))="","",INDEX('Saisie'!$H$5:$H$2004,MATCH(1,'Saisie'!$BB$5:$BB$2004,0))),"")</f>
        <v/>
      </c>
      <c r="I25" s="100">
        <f>IFERROR(IF(INDEX('Saisie'!$L$5:$L$2004,MATCH(1,'Saisie'!$BB$5:$BB$2004,0))="","",INDEX('Saisie'!$L$5:$L$2004,MATCH(1,'Saisie'!$BB$5:$BB$2004,0))),"")</f>
        <v/>
      </c>
      <c r="J25" s="100">
        <f>IFERROR(IF(INDEX('Saisie'!$Q$5:$Q$2004,MATCH(1,'Saisie'!$BB$5:$BB$2004,0))="","",INDEX('Saisie'!$Q$5:$Q$2004,MATCH(1,'Saisie'!$BB$5:$BB$2004,0))),"")</f>
        <v/>
      </c>
    </row>
    <row r="26">
      <c r="B26" s="120">
        <f>IFERROR(IF(INDEX('Saisie'!$A$5:$A$2004,MATCH(2,'Saisie'!$BB$5:$BB$2004,0))="","",INDEX('Saisie'!$A$5:$A$2004,MATCH(2,'Saisie'!$BB$5:$BB$2004,0))),"")</f>
        <v/>
      </c>
      <c r="C26" s="121">
        <f>IFERROR(IF(INDEX('Saisie'!$B$5:$B$2004,MATCH(2,'Saisie'!$BB$5:$BB$2004,0))="","",INDEX('Saisie'!$B$5:$B$2004,MATCH(2,'Saisie'!$BB$5:$BB$2004,0))),"")</f>
        <v/>
      </c>
      <c r="D26" s="77">
        <f>IFERROR(IF(INDEX('Saisie'!$D$5:$D$2004,MATCH(2,'Saisie'!$BB$5:$BB$2004,0))="","",INDEX('Saisie'!$D$5:$D$2004,MATCH(2,'Saisie'!$BB$5:$BB$2004,0))),"")</f>
        <v/>
      </c>
      <c r="E26" s="77">
        <f>IFERROR(IF(INDEX('Saisie'!$E$5:$E$2004,MATCH(2,'Saisie'!$BB$5:$BB$2004,0))="","",INDEX('Saisie'!$E$5:$E$2004,MATCH(2,'Saisie'!$BB$5:$BB$2004,0))),"")</f>
        <v/>
      </c>
      <c r="F26" s="77">
        <f>IFERROR(IF(INDEX('Saisie'!$F$5:$F$2004,MATCH(2,'Saisie'!$BB$5:$BB$2004,0))="","",INDEX('Saisie'!$F$5:$F$2004,MATCH(2,'Saisie'!$BB$5:$BB$2004,0))),"")</f>
        <v/>
      </c>
      <c r="G26" s="122">
        <f>IFERROR(IF(INDEX('Saisie'!$AW$5:$AW$2004,MATCH(2,'Saisie'!$BB$5:$BB$2004,0))="","",INDEX('Saisie'!$AW$5:$AW$2004,MATCH(2,'Saisie'!$BB$5:$BB$2004,0))),"")</f>
        <v/>
      </c>
      <c r="H26" s="77">
        <f>IFERROR(IF(INDEX('Saisie'!$H$5:$H$2004,MATCH(2,'Saisie'!$BB$5:$BB$2004,0))="","",INDEX('Saisie'!$H$5:$H$2004,MATCH(2,'Saisie'!$BB$5:$BB$2004,0))),"")</f>
        <v/>
      </c>
      <c r="I26" s="77">
        <f>IFERROR(IF(INDEX('Saisie'!$L$5:$L$2004,MATCH(2,'Saisie'!$BB$5:$BB$2004,0))="","",INDEX('Saisie'!$L$5:$L$2004,MATCH(2,'Saisie'!$BB$5:$BB$2004,0))),"")</f>
        <v/>
      </c>
      <c r="J26" s="77">
        <f>IFERROR(IF(INDEX('Saisie'!$Q$5:$Q$2004,MATCH(2,'Saisie'!$BB$5:$BB$2004,0))="","",INDEX('Saisie'!$Q$5:$Q$2004,MATCH(2,'Saisie'!$BB$5:$BB$2004,0))),"")</f>
        <v/>
      </c>
    </row>
    <row r="27">
      <c r="B27" s="117">
        <f>IFERROR(IF(INDEX('Saisie'!$A$5:$A$2004,MATCH(3,'Saisie'!$BB$5:$BB$2004,0))="","",INDEX('Saisie'!$A$5:$A$2004,MATCH(3,'Saisie'!$BB$5:$BB$2004,0))),"")</f>
        <v/>
      </c>
      <c r="C27" s="118">
        <f>IFERROR(IF(INDEX('Saisie'!$B$5:$B$2004,MATCH(3,'Saisie'!$BB$5:$BB$2004,0))="","",INDEX('Saisie'!$B$5:$B$2004,MATCH(3,'Saisie'!$BB$5:$BB$2004,0))),"")</f>
        <v/>
      </c>
      <c r="D27" s="100">
        <f>IFERROR(IF(INDEX('Saisie'!$D$5:$D$2004,MATCH(3,'Saisie'!$BB$5:$BB$2004,0))="","",INDEX('Saisie'!$D$5:$D$2004,MATCH(3,'Saisie'!$BB$5:$BB$2004,0))),"")</f>
        <v/>
      </c>
      <c r="E27" s="100">
        <f>IFERROR(IF(INDEX('Saisie'!$E$5:$E$2004,MATCH(3,'Saisie'!$BB$5:$BB$2004,0))="","",INDEX('Saisie'!$E$5:$E$2004,MATCH(3,'Saisie'!$BB$5:$BB$2004,0))),"")</f>
        <v/>
      </c>
      <c r="F27" s="100">
        <f>IFERROR(IF(INDEX('Saisie'!$F$5:$F$2004,MATCH(3,'Saisie'!$BB$5:$BB$2004,0))="","",INDEX('Saisie'!$F$5:$F$2004,MATCH(3,'Saisie'!$BB$5:$BB$2004,0))),"")</f>
        <v/>
      </c>
      <c r="G27" s="119">
        <f>IFERROR(IF(INDEX('Saisie'!$AW$5:$AW$2004,MATCH(3,'Saisie'!$BB$5:$BB$2004,0))="","",INDEX('Saisie'!$AW$5:$AW$2004,MATCH(3,'Saisie'!$BB$5:$BB$2004,0))),"")</f>
        <v/>
      </c>
      <c r="H27" s="100">
        <f>IFERROR(IF(INDEX('Saisie'!$H$5:$H$2004,MATCH(3,'Saisie'!$BB$5:$BB$2004,0))="","",INDEX('Saisie'!$H$5:$H$2004,MATCH(3,'Saisie'!$BB$5:$BB$2004,0))),"")</f>
        <v/>
      </c>
      <c r="I27" s="100">
        <f>IFERROR(IF(INDEX('Saisie'!$L$5:$L$2004,MATCH(3,'Saisie'!$BB$5:$BB$2004,0))="","",INDEX('Saisie'!$L$5:$L$2004,MATCH(3,'Saisie'!$BB$5:$BB$2004,0))),"")</f>
        <v/>
      </c>
      <c r="J27" s="100">
        <f>IFERROR(IF(INDEX('Saisie'!$Q$5:$Q$2004,MATCH(3,'Saisie'!$BB$5:$BB$2004,0))="","",INDEX('Saisie'!$Q$5:$Q$2004,MATCH(3,'Saisie'!$BB$5:$BB$2004,0))),"")</f>
        <v/>
      </c>
    </row>
    <row r="28">
      <c r="B28" s="120">
        <f>IFERROR(IF(INDEX('Saisie'!$A$5:$A$2004,MATCH(4,'Saisie'!$BB$5:$BB$2004,0))="","",INDEX('Saisie'!$A$5:$A$2004,MATCH(4,'Saisie'!$BB$5:$BB$2004,0))),"")</f>
        <v/>
      </c>
      <c r="C28" s="121">
        <f>IFERROR(IF(INDEX('Saisie'!$B$5:$B$2004,MATCH(4,'Saisie'!$BB$5:$BB$2004,0))="","",INDEX('Saisie'!$B$5:$B$2004,MATCH(4,'Saisie'!$BB$5:$BB$2004,0))),"")</f>
        <v/>
      </c>
      <c r="D28" s="77">
        <f>IFERROR(IF(INDEX('Saisie'!$D$5:$D$2004,MATCH(4,'Saisie'!$BB$5:$BB$2004,0))="","",INDEX('Saisie'!$D$5:$D$2004,MATCH(4,'Saisie'!$BB$5:$BB$2004,0))),"")</f>
        <v/>
      </c>
      <c r="E28" s="77">
        <f>IFERROR(IF(INDEX('Saisie'!$E$5:$E$2004,MATCH(4,'Saisie'!$BB$5:$BB$2004,0))="","",INDEX('Saisie'!$E$5:$E$2004,MATCH(4,'Saisie'!$BB$5:$BB$2004,0))),"")</f>
        <v/>
      </c>
      <c r="F28" s="77">
        <f>IFERROR(IF(INDEX('Saisie'!$F$5:$F$2004,MATCH(4,'Saisie'!$BB$5:$BB$2004,0))="","",INDEX('Saisie'!$F$5:$F$2004,MATCH(4,'Saisie'!$BB$5:$BB$2004,0))),"")</f>
        <v/>
      </c>
      <c r="G28" s="122">
        <f>IFERROR(IF(INDEX('Saisie'!$AW$5:$AW$2004,MATCH(4,'Saisie'!$BB$5:$BB$2004,0))="","",INDEX('Saisie'!$AW$5:$AW$2004,MATCH(4,'Saisie'!$BB$5:$BB$2004,0))),"")</f>
        <v/>
      </c>
      <c r="H28" s="77">
        <f>IFERROR(IF(INDEX('Saisie'!$H$5:$H$2004,MATCH(4,'Saisie'!$BB$5:$BB$2004,0))="","",INDEX('Saisie'!$H$5:$H$2004,MATCH(4,'Saisie'!$BB$5:$BB$2004,0))),"")</f>
        <v/>
      </c>
      <c r="I28" s="77">
        <f>IFERROR(IF(INDEX('Saisie'!$L$5:$L$2004,MATCH(4,'Saisie'!$BB$5:$BB$2004,0))="","",INDEX('Saisie'!$L$5:$L$2004,MATCH(4,'Saisie'!$BB$5:$BB$2004,0))),"")</f>
        <v/>
      </c>
      <c r="J28" s="77">
        <f>IFERROR(IF(INDEX('Saisie'!$Q$5:$Q$2004,MATCH(4,'Saisie'!$BB$5:$BB$2004,0))="","",INDEX('Saisie'!$Q$5:$Q$2004,MATCH(4,'Saisie'!$BB$5:$BB$2004,0))),"")</f>
        <v/>
      </c>
    </row>
    <row r="29">
      <c r="B29" s="117">
        <f>IFERROR(IF(INDEX('Saisie'!$A$5:$A$2004,MATCH(5,'Saisie'!$BB$5:$BB$2004,0))="","",INDEX('Saisie'!$A$5:$A$2004,MATCH(5,'Saisie'!$BB$5:$BB$2004,0))),"")</f>
        <v/>
      </c>
      <c r="C29" s="118">
        <f>IFERROR(IF(INDEX('Saisie'!$B$5:$B$2004,MATCH(5,'Saisie'!$BB$5:$BB$2004,0))="","",INDEX('Saisie'!$B$5:$B$2004,MATCH(5,'Saisie'!$BB$5:$BB$2004,0))),"")</f>
        <v/>
      </c>
      <c r="D29" s="100">
        <f>IFERROR(IF(INDEX('Saisie'!$D$5:$D$2004,MATCH(5,'Saisie'!$BB$5:$BB$2004,0))="","",INDEX('Saisie'!$D$5:$D$2004,MATCH(5,'Saisie'!$BB$5:$BB$2004,0))),"")</f>
        <v/>
      </c>
      <c r="E29" s="100">
        <f>IFERROR(IF(INDEX('Saisie'!$E$5:$E$2004,MATCH(5,'Saisie'!$BB$5:$BB$2004,0))="","",INDEX('Saisie'!$E$5:$E$2004,MATCH(5,'Saisie'!$BB$5:$BB$2004,0))),"")</f>
        <v/>
      </c>
      <c r="F29" s="100">
        <f>IFERROR(IF(INDEX('Saisie'!$F$5:$F$2004,MATCH(5,'Saisie'!$BB$5:$BB$2004,0))="","",INDEX('Saisie'!$F$5:$F$2004,MATCH(5,'Saisie'!$BB$5:$BB$2004,0))),"")</f>
        <v/>
      </c>
      <c r="G29" s="119">
        <f>IFERROR(IF(INDEX('Saisie'!$AW$5:$AW$2004,MATCH(5,'Saisie'!$BB$5:$BB$2004,0))="","",INDEX('Saisie'!$AW$5:$AW$2004,MATCH(5,'Saisie'!$BB$5:$BB$2004,0))),"")</f>
        <v/>
      </c>
      <c r="H29" s="100">
        <f>IFERROR(IF(INDEX('Saisie'!$H$5:$H$2004,MATCH(5,'Saisie'!$BB$5:$BB$2004,0))="","",INDEX('Saisie'!$H$5:$H$2004,MATCH(5,'Saisie'!$BB$5:$BB$2004,0))),"")</f>
        <v/>
      </c>
      <c r="I29" s="100">
        <f>IFERROR(IF(INDEX('Saisie'!$L$5:$L$2004,MATCH(5,'Saisie'!$BB$5:$BB$2004,0))="","",INDEX('Saisie'!$L$5:$L$2004,MATCH(5,'Saisie'!$BB$5:$BB$2004,0))),"")</f>
        <v/>
      </c>
      <c r="J29" s="100">
        <f>IFERROR(IF(INDEX('Saisie'!$Q$5:$Q$2004,MATCH(5,'Saisie'!$BB$5:$BB$2004,0))="","",INDEX('Saisie'!$Q$5:$Q$2004,MATCH(5,'Saisie'!$BB$5:$BB$2004,0))),"")</f>
        <v/>
      </c>
    </row>
    <row r="30">
      <c r="B30" s="120">
        <f>IFERROR(IF(INDEX('Saisie'!$A$5:$A$2004,MATCH(6,'Saisie'!$BB$5:$BB$2004,0))="","",INDEX('Saisie'!$A$5:$A$2004,MATCH(6,'Saisie'!$BB$5:$BB$2004,0))),"")</f>
        <v/>
      </c>
      <c r="C30" s="121">
        <f>IFERROR(IF(INDEX('Saisie'!$B$5:$B$2004,MATCH(6,'Saisie'!$BB$5:$BB$2004,0))="","",INDEX('Saisie'!$B$5:$B$2004,MATCH(6,'Saisie'!$BB$5:$BB$2004,0))),"")</f>
        <v/>
      </c>
      <c r="D30" s="77">
        <f>IFERROR(IF(INDEX('Saisie'!$D$5:$D$2004,MATCH(6,'Saisie'!$BB$5:$BB$2004,0))="","",INDEX('Saisie'!$D$5:$D$2004,MATCH(6,'Saisie'!$BB$5:$BB$2004,0))),"")</f>
        <v/>
      </c>
      <c r="E30" s="77">
        <f>IFERROR(IF(INDEX('Saisie'!$E$5:$E$2004,MATCH(6,'Saisie'!$BB$5:$BB$2004,0))="","",INDEX('Saisie'!$E$5:$E$2004,MATCH(6,'Saisie'!$BB$5:$BB$2004,0))),"")</f>
        <v/>
      </c>
      <c r="F30" s="77">
        <f>IFERROR(IF(INDEX('Saisie'!$F$5:$F$2004,MATCH(6,'Saisie'!$BB$5:$BB$2004,0))="","",INDEX('Saisie'!$F$5:$F$2004,MATCH(6,'Saisie'!$BB$5:$BB$2004,0))),"")</f>
        <v/>
      </c>
      <c r="G30" s="122">
        <f>IFERROR(IF(INDEX('Saisie'!$AW$5:$AW$2004,MATCH(6,'Saisie'!$BB$5:$BB$2004,0))="","",INDEX('Saisie'!$AW$5:$AW$2004,MATCH(6,'Saisie'!$BB$5:$BB$2004,0))),"")</f>
        <v/>
      </c>
      <c r="H30" s="77">
        <f>IFERROR(IF(INDEX('Saisie'!$H$5:$H$2004,MATCH(6,'Saisie'!$BB$5:$BB$2004,0))="","",INDEX('Saisie'!$H$5:$H$2004,MATCH(6,'Saisie'!$BB$5:$BB$2004,0))),"")</f>
        <v/>
      </c>
      <c r="I30" s="77">
        <f>IFERROR(IF(INDEX('Saisie'!$L$5:$L$2004,MATCH(6,'Saisie'!$BB$5:$BB$2004,0))="","",INDEX('Saisie'!$L$5:$L$2004,MATCH(6,'Saisie'!$BB$5:$BB$2004,0))),"")</f>
        <v/>
      </c>
      <c r="J30" s="77">
        <f>IFERROR(IF(INDEX('Saisie'!$Q$5:$Q$2004,MATCH(6,'Saisie'!$BB$5:$BB$2004,0))="","",INDEX('Saisie'!$Q$5:$Q$2004,MATCH(6,'Saisie'!$BB$5:$BB$2004,0))),"")</f>
        <v/>
      </c>
    </row>
    <row r="31">
      <c r="B31" s="117">
        <f>IFERROR(IF(INDEX('Saisie'!$A$5:$A$2004,MATCH(7,'Saisie'!$BB$5:$BB$2004,0))="","",INDEX('Saisie'!$A$5:$A$2004,MATCH(7,'Saisie'!$BB$5:$BB$2004,0))),"")</f>
        <v/>
      </c>
      <c r="C31" s="118">
        <f>IFERROR(IF(INDEX('Saisie'!$B$5:$B$2004,MATCH(7,'Saisie'!$BB$5:$BB$2004,0))="","",INDEX('Saisie'!$B$5:$B$2004,MATCH(7,'Saisie'!$BB$5:$BB$2004,0))),"")</f>
        <v/>
      </c>
      <c r="D31" s="100">
        <f>IFERROR(IF(INDEX('Saisie'!$D$5:$D$2004,MATCH(7,'Saisie'!$BB$5:$BB$2004,0))="","",INDEX('Saisie'!$D$5:$D$2004,MATCH(7,'Saisie'!$BB$5:$BB$2004,0))),"")</f>
        <v/>
      </c>
      <c r="E31" s="100">
        <f>IFERROR(IF(INDEX('Saisie'!$E$5:$E$2004,MATCH(7,'Saisie'!$BB$5:$BB$2004,0))="","",INDEX('Saisie'!$E$5:$E$2004,MATCH(7,'Saisie'!$BB$5:$BB$2004,0))),"")</f>
        <v/>
      </c>
      <c r="F31" s="100">
        <f>IFERROR(IF(INDEX('Saisie'!$F$5:$F$2004,MATCH(7,'Saisie'!$BB$5:$BB$2004,0))="","",INDEX('Saisie'!$F$5:$F$2004,MATCH(7,'Saisie'!$BB$5:$BB$2004,0))),"")</f>
        <v/>
      </c>
      <c r="G31" s="119">
        <f>IFERROR(IF(INDEX('Saisie'!$AW$5:$AW$2004,MATCH(7,'Saisie'!$BB$5:$BB$2004,0))="","",INDEX('Saisie'!$AW$5:$AW$2004,MATCH(7,'Saisie'!$BB$5:$BB$2004,0))),"")</f>
        <v/>
      </c>
      <c r="H31" s="100">
        <f>IFERROR(IF(INDEX('Saisie'!$H$5:$H$2004,MATCH(7,'Saisie'!$BB$5:$BB$2004,0))="","",INDEX('Saisie'!$H$5:$H$2004,MATCH(7,'Saisie'!$BB$5:$BB$2004,0))),"")</f>
        <v/>
      </c>
      <c r="I31" s="100">
        <f>IFERROR(IF(INDEX('Saisie'!$L$5:$L$2004,MATCH(7,'Saisie'!$BB$5:$BB$2004,0))="","",INDEX('Saisie'!$L$5:$L$2004,MATCH(7,'Saisie'!$BB$5:$BB$2004,0))),"")</f>
        <v/>
      </c>
      <c r="J31" s="100">
        <f>IFERROR(IF(INDEX('Saisie'!$Q$5:$Q$2004,MATCH(7,'Saisie'!$BB$5:$BB$2004,0))="","",INDEX('Saisie'!$Q$5:$Q$2004,MATCH(7,'Saisie'!$BB$5:$BB$2004,0))),"")</f>
        <v/>
      </c>
    </row>
    <row r="32">
      <c r="B32" s="120">
        <f>IFERROR(IF(INDEX('Saisie'!$A$5:$A$2004,MATCH(8,'Saisie'!$BB$5:$BB$2004,0))="","",INDEX('Saisie'!$A$5:$A$2004,MATCH(8,'Saisie'!$BB$5:$BB$2004,0))),"")</f>
        <v/>
      </c>
      <c r="C32" s="121">
        <f>IFERROR(IF(INDEX('Saisie'!$B$5:$B$2004,MATCH(8,'Saisie'!$BB$5:$BB$2004,0))="","",INDEX('Saisie'!$B$5:$B$2004,MATCH(8,'Saisie'!$BB$5:$BB$2004,0))),"")</f>
        <v/>
      </c>
      <c r="D32" s="77">
        <f>IFERROR(IF(INDEX('Saisie'!$D$5:$D$2004,MATCH(8,'Saisie'!$BB$5:$BB$2004,0))="","",INDEX('Saisie'!$D$5:$D$2004,MATCH(8,'Saisie'!$BB$5:$BB$2004,0))),"")</f>
        <v/>
      </c>
      <c r="E32" s="77">
        <f>IFERROR(IF(INDEX('Saisie'!$E$5:$E$2004,MATCH(8,'Saisie'!$BB$5:$BB$2004,0))="","",INDEX('Saisie'!$E$5:$E$2004,MATCH(8,'Saisie'!$BB$5:$BB$2004,0))),"")</f>
        <v/>
      </c>
      <c r="F32" s="77">
        <f>IFERROR(IF(INDEX('Saisie'!$F$5:$F$2004,MATCH(8,'Saisie'!$BB$5:$BB$2004,0))="","",INDEX('Saisie'!$F$5:$F$2004,MATCH(8,'Saisie'!$BB$5:$BB$2004,0))),"")</f>
        <v/>
      </c>
      <c r="G32" s="122">
        <f>IFERROR(IF(INDEX('Saisie'!$AW$5:$AW$2004,MATCH(8,'Saisie'!$BB$5:$BB$2004,0))="","",INDEX('Saisie'!$AW$5:$AW$2004,MATCH(8,'Saisie'!$BB$5:$BB$2004,0))),"")</f>
        <v/>
      </c>
      <c r="H32" s="77">
        <f>IFERROR(IF(INDEX('Saisie'!$H$5:$H$2004,MATCH(8,'Saisie'!$BB$5:$BB$2004,0))="","",INDEX('Saisie'!$H$5:$H$2004,MATCH(8,'Saisie'!$BB$5:$BB$2004,0))),"")</f>
        <v/>
      </c>
      <c r="I32" s="77">
        <f>IFERROR(IF(INDEX('Saisie'!$L$5:$L$2004,MATCH(8,'Saisie'!$BB$5:$BB$2004,0))="","",INDEX('Saisie'!$L$5:$L$2004,MATCH(8,'Saisie'!$BB$5:$BB$2004,0))),"")</f>
        <v/>
      </c>
      <c r="J32" s="77">
        <f>IFERROR(IF(INDEX('Saisie'!$Q$5:$Q$2004,MATCH(8,'Saisie'!$BB$5:$BB$2004,0))="","",INDEX('Saisie'!$Q$5:$Q$2004,MATCH(8,'Saisie'!$BB$5:$BB$2004,0))),"")</f>
        <v/>
      </c>
    </row>
    <row r="33">
      <c r="B33" s="117">
        <f>IFERROR(IF(INDEX('Saisie'!$A$5:$A$2004,MATCH(9,'Saisie'!$BB$5:$BB$2004,0))="","",INDEX('Saisie'!$A$5:$A$2004,MATCH(9,'Saisie'!$BB$5:$BB$2004,0))),"")</f>
        <v/>
      </c>
      <c r="C33" s="118">
        <f>IFERROR(IF(INDEX('Saisie'!$B$5:$B$2004,MATCH(9,'Saisie'!$BB$5:$BB$2004,0))="","",INDEX('Saisie'!$B$5:$B$2004,MATCH(9,'Saisie'!$BB$5:$BB$2004,0))),"")</f>
        <v/>
      </c>
      <c r="D33" s="100">
        <f>IFERROR(IF(INDEX('Saisie'!$D$5:$D$2004,MATCH(9,'Saisie'!$BB$5:$BB$2004,0))="","",INDEX('Saisie'!$D$5:$D$2004,MATCH(9,'Saisie'!$BB$5:$BB$2004,0))),"")</f>
        <v/>
      </c>
      <c r="E33" s="100">
        <f>IFERROR(IF(INDEX('Saisie'!$E$5:$E$2004,MATCH(9,'Saisie'!$BB$5:$BB$2004,0))="","",INDEX('Saisie'!$E$5:$E$2004,MATCH(9,'Saisie'!$BB$5:$BB$2004,0))),"")</f>
        <v/>
      </c>
      <c r="F33" s="100">
        <f>IFERROR(IF(INDEX('Saisie'!$F$5:$F$2004,MATCH(9,'Saisie'!$BB$5:$BB$2004,0))="","",INDEX('Saisie'!$F$5:$F$2004,MATCH(9,'Saisie'!$BB$5:$BB$2004,0))),"")</f>
        <v/>
      </c>
      <c r="G33" s="119">
        <f>IFERROR(IF(INDEX('Saisie'!$AW$5:$AW$2004,MATCH(9,'Saisie'!$BB$5:$BB$2004,0))="","",INDEX('Saisie'!$AW$5:$AW$2004,MATCH(9,'Saisie'!$BB$5:$BB$2004,0))),"")</f>
        <v/>
      </c>
      <c r="H33" s="100">
        <f>IFERROR(IF(INDEX('Saisie'!$H$5:$H$2004,MATCH(9,'Saisie'!$BB$5:$BB$2004,0))="","",INDEX('Saisie'!$H$5:$H$2004,MATCH(9,'Saisie'!$BB$5:$BB$2004,0))),"")</f>
        <v/>
      </c>
      <c r="I33" s="100">
        <f>IFERROR(IF(INDEX('Saisie'!$L$5:$L$2004,MATCH(9,'Saisie'!$BB$5:$BB$2004,0))="","",INDEX('Saisie'!$L$5:$L$2004,MATCH(9,'Saisie'!$BB$5:$BB$2004,0))),"")</f>
        <v/>
      </c>
      <c r="J33" s="100">
        <f>IFERROR(IF(INDEX('Saisie'!$Q$5:$Q$2004,MATCH(9,'Saisie'!$BB$5:$BB$2004,0))="","",INDEX('Saisie'!$Q$5:$Q$2004,MATCH(9,'Saisie'!$BB$5:$BB$2004,0))),"")</f>
        <v/>
      </c>
    </row>
    <row r="34">
      <c r="B34" s="120">
        <f>IFERROR(IF(INDEX('Saisie'!$A$5:$A$2004,MATCH(10,'Saisie'!$BB$5:$BB$2004,0))="","",INDEX('Saisie'!$A$5:$A$2004,MATCH(10,'Saisie'!$BB$5:$BB$2004,0))),"")</f>
        <v/>
      </c>
      <c r="C34" s="121">
        <f>IFERROR(IF(INDEX('Saisie'!$B$5:$B$2004,MATCH(10,'Saisie'!$BB$5:$BB$2004,0))="","",INDEX('Saisie'!$B$5:$B$2004,MATCH(10,'Saisie'!$BB$5:$BB$2004,0))),"")</f>
        <v/>
      </c>
      <c r="D34" s="77">
        <f>IFERROR(IF(INDEX('Saisie'!$D$5:$D$2004,MATCH(10,'Saisie'!$BB$5:$BB$2004,0))="","",INDEX('Saisie'!$D$5:$D$2004,MATCH(10,'Saisie'!$BB$5:$BB$2004,0))),"")</f>
        <v/>
      </c>
      <c r="E34" s="77">
        <f>IFERROR(IF(INDEX('Saisie'!$E$5:$E$2004,MATCH(10,'Saisie'!$BB$5:$BB$2004,0))="","",INDEX('Saisie'!$E$5:$E$2004,MATCH(10,'Saisie'!$BB$5:$BB$2004,0))),"")</f>
        <v/>
      </c>
      <c r="F34" s="77">
        <f>IFERROR(IF(INDEX('Saisie'!$F$5:$F$2004,MATCH(10,'Saisie'!$BB$5:$BB$2004,0))="","",INDEX('Saisie'!$F$5:$F$2004,MATCH(10,'Saisie'!$BB$5:$BB$2004,0))),"")</f>
        <v/>
      </c>
      <c r="G34" s="122">
        <f>IFERROR(IF(INDEX('Saisie'!$AW$5:$AW$2004,MATCH(10,'Saisie'!$BB$5:$BB$2004,0))="","",INDEX('Saisie'!$AW$5:$AW$2004,MATCH(10,'Saisie'!$BB$5:$BB$2004,0))),"")</f>
        <v/>
      </c>
      <c r="H34" s="77">
        <f>IFERROR(IF(INDEX('Saisie'!$H$5:$H$2004,MATCH(10,'Saisie'!$BB$5:$BB$2004,0))="","",INDEX('Saisie'!$H$5:$H$2004,MATCH(10,'Saisie'!$BB$5:$BB$2004,0))),"")</f>
        <v/>
      </c>
      <c r="I34" s="77">
        <f>IFERROR(IF(INDEX('Saisie'!$L$5:$L$2004,MATCH(10,'Saisie'!$BB$5:$BB$2004,0))="","",INDEX('Saisie'!$L$5:$L$2004,MATCH(10,'Saisie'!$BB$5:$BB$2004,0))),"")</f>
        <v/>
      </c>
      <c r="J34" s="77">
        <f>IFERROR(IF(INDEX('Saisie'!$Q$5:$Q$2004,MATCH(10,'Saisie'!$BB$5:$BB$2004,0))="","",INDEX('Saisie'!$Q$5:$Q$2004,MATCH(10,'Saisie'!$BB$5:$BB$2004,0))),"")</f>
        <v/>
      </c>
    </row>
    <row r="35">
      <c r="B35" s="117">
        <f>IFERROR(IF(INDEX('Saisie'!$A$5:$A$2004,MATCH(11,'Saisie'!$BB$5:$BB$2004,0))="","",INDEX('Saisie'!$A$5:$A$2004,MATCH(11,'Saisie'!$BB$5:$BB$2004,0))),"")</f>
        <v/>
      </c>
      <c r="C35" s="118">
        <f>IFERROR(IF(INDEX('Saisie'!$B$5:$B$2004,MATCH(11,'Saisie'!$BB$5:$BB$2004,0))="","",INDEX('Saisie'!$B$5:$B$2004,MATCH(11,'Saisie'!$BB$5:$BB$2004,0))),"")</f>
        <v/>
      </c>
      <c r="D35" s="100">
        <f>IFERROR(IF(INDEX('Saisie'!$D$5:$D$2004,MATCH(11,'Saisie'!$BB$5:$BB$2004,0))="","",INDEX('Saisie'!$D$5:$D$2004,MATCH(11,'Saisie'!$BB$5:$BB$2004,0))),"")</f>
        <v/>
      </c>
      <c r="E35" s="100">
        <f>IFERROR(IF(INDEX('Saisie'!$E$5:$E$2004,MATCH(11,'Saisie'!$BB$5:$BB$2004,0))="","",INDEX('Saisie'!$E$5:$E$2004,MATCH(11,'Saisie'!$BB$5:$BB$2004,0))),"")</f>
        <v/>
      </c>
      <c r="F35" s="100">
        <f>IFERROR(IF(INDEX('Saisie'!$F$5:$F$2004,MATCH(11,'Saisie'!$BB$5:$BB$2004,0))="","",INDEX('Saisie'!$F$5:$F$2004,MATCH(11,'Saisie'!$BB$5:$BB$2004,0))),"")</f>
        <v/>
      </c>
      <c r="G35" s="119">
        <f>IFERROR(IF(INDEX('Saisie'!$AW$5:$AW$2004,MATCH(11,'Saisie'!$BB$5:$BB$2004,0))="","",INDEX('Saisie'!$AW$5:$AW$2004,MATCH(11,'Saisie'!$BB$5:$BB$2004,0))),"")</f>
        <v/>
      </c>
      <c r="H35" s="100">
        <f>IFERROR(IF(INDEX('Saisie'!$H$5:$H$2004,MATCH(11,'Saisie'!$BB$5:$BB$2004,0))="","",INDEX('Saisie'!$H$5:$H$2004,MATCH(11,'Saisie'!$BB$5:$BB$2004,0))),"")</f>
        <v/>
      </c>
      <c r="I35" s="100">
        <f>IFERROR(IF(INDEX('Saisie'!$L$5:$L$2004,MATCH(11,'Saisie'!$BB$5:$BB$2004,0))="","",INDEX('Saisie'!$L$5:$L$2004,MATCH(11,'Saisie'!$BB$5:$BB$2004,0))),"")</f>
        <v/>
      </c>
      <c r="J35" s="100">
        <f>IFERROR(IF(INDEX('Saisie'!$Q$5:$Q$2004,MATCH(11,'Saisie'!$BB$5:$BB$2004,0))="","",INDEX('Saisie'!$Q$5:$Q$2004,MATCH(11,'Saisie'!$BB$5:$BB$2004,0))),"")</f>
        <v/>
      </c>
    </row>
    <row r="36">
      <c r="B36" s="120">
        <f>IFERROR(IF(INDEX('Saisie'!$A$5:$A$2004,MATCH(12,'Saisie'!$BB$5:$BB$2004,0))="","",INDEX('Saisie'!$A$5:$A$2004,MATCH(12,'Saisie'!$BB$5:$BB$2004,0))),"")</f>
        <v/>
      </c>
      <c r="C36" s="121">
        <f>IFERROR(IF(INDEX('Saisie'!$B$5:$B$2004,MATCH(12,'Saisie'!$BB$5:$BB$2004,0))="","",INDEX('Saisie'!$B$5:$B$2004,MATCH(12,'Saisie'!$BB$5:$BB$2004,0))),"")</f>
        <v/>
      </c>
      <c r="D36" s="77">
        <f>IFERROR(IF(INDEX('Saisie'!$D$5:$D$2004,MATCH(12,'Saisie'!$BB$5:$BB$2004,0))="","",INDEX('Saisie'!$D$5:$D$2004,MATCH(12,'Saisie'!$BB$5:$BB$2004,0))),"")</f>
        <v/>
      </c>
      <c r="E36" s="77">
        <f>IFERROR(IF(INDEX('Saisie'!$E$5:$E$2004,MATCH(12,'Saisie'!$BB$5:$BB$2004,0))="","",INDEX('Saisie'!$E$5:$E$2004,MATCH(12,'Saisie'!$BB$5:$BB$2004,0))),"")</f>
        <v/>
      </c>
      <c r="F36" s="77">
        <f>IFERROR(IF(INDEX('Saisie'!$F$5:$F$2004,MATCH(12,'Saisie'!$BB$5:$BB$2004,0))="","",INDEX('Saisie'!$F$5:$F$2004,MATCH(12,'Saisie'!$BB$5:$BB$2004,0))),"")</f>
        <v/>
      </c>
      <c r="G36" s="122">
        <f>IFERROR(IF(INDEX('Saisie'!$AW$5:$AW$2004,MATCH(12,'Saisie'!$BB$5:$BB$2004,0))="","",INDEX('Saisie'!$AW$5:$AW$2004,MATCH(12,'Saisie'!$BB$5:$BB$2004,0))),"")</f>
        <v/>
      </c>
      <c r="H36" s="77">
        <f>IFERROR(IF(INDEX('Saisie'!$H$5:$H$2004,MATCH(12,'Saisie'!$BB$5:$BB$2004,0))="","",INDEX('Saisie'!$H$5:$H$2004,MATCH(12,'Saisie'!$BB$5:$BB$2004,0))),"")</f>
        <v/>
      </c>
      <c r="I36" s="77">
        <f>IFERROR(IF(INDEX('Saisie'!$L$5:$L$2004,MATCH(12,'Saisie'!$BB$5:$BB$2004,0))="","",INDEX('Saisie'!$L$5:$L$2004,MATCH(12,'Saisie'!$BB$5:$BB$2004,0))),"")</f>
        <v/>
      </c>
      <c r="J36" s="77">
        <f>IFERROR(IF(INDEX('Saisie'!$Q$5:$Q$2004,MATCH(12,'Saisie'!$BB$5:$BB$2004,0))="","",INDEX('Saisie'!$Q$5:$Q$2004,MATCH(12,'Saisie'!$BB$5:$BB$2004,0))),"")</f>
        <v/>
      </c>
    </row>
    <row r="37">
      <c r="B37" s="117">
        <f>IFERROR(IF(INDEX('Saisie'!$A$5:$A$2004,MATCH(13,'Saisie'!$BB$5:$BB$2004,0))="","",INDEX('Saisie'!$A$5:$A$2004,MATCH(13,'Saisie'!$BB$5:$BB$2004,0))),"")</f>
        <v/>
      </c>
      <c r="C37" s="118">
        <f>IFERROR(IF(INDEX('Saisie'!$B$5:$B$2004,MATCH(13,'Saisie'!$BB$5:$BB$2004,0))="","",INDEX('Saisie'!$B$5:$B$2004,MATCH(13,'Saisie'!$BB$5:$BB$2004,0))),"")</f>
        <v/>
      </c>
      <c r="D37" s="100">
        <f>IFERROR(IF(INDEX('Saisie'!$D$5:$D$2004,MATCH(13,'Saisie'!$BB$5:$BB$2004,0))="","",INDEX('Saisie'!$D$5:$D$2004,MATCH(13,'Saisie'!$BB$5:$BB$2004,0))),"")</f>
        <v/>
      </c>
      <c r="E37" s="100">
        <f>IFERROR(IF(INDEX('Saisie'!$E$5:$E$2004,MATCH(13,'Saisie'!$BB$5:$BB$2004,0))="","",INDEX('Saisie'!$E$5:$E$2004,MATCH(13,'Saisie'!$BB$5:$BB$2004,0))),"")</f>
        <v/>
      </c>
      <c r="F37" s="100">
        <f>IFERROR(IF(INDEX('Saisie'!$F$5:$F$2004,MATCH(13,'Saisie'!$BB$5:$BB$2004,0))="","",INDEX('Saisie'!$F$5:$F$2004,MATCH(13,'Saisie'!$BB$5:$BB$2004,0))),"")</f>
        <v/>
      </c>
      <c r="G37" s="119">
        <f>IFERROR(IF(INDEX('Saisie'!$AW$5:$AW$2004,MATCH(13,'Saisie'!$BB$5:$BB$2004,0))="","",INDEX('Saisie'!$AW$5:$AW$2004,MATCH(13,'Saisie'!$BB$5:$BB$2004,0))),"")</f>
        <v/>
      </c>
      <c r="H37" s="100">
        <f>IFERROR(IF(INDEX('Saisie'!$H$5:$H$2004,MATCH(13,'Saisie'!$BB$5:$BB$2004,0))="","",INDEX('Saisie'!$H$5:$H$2004,MATCH(13,'Saisie'!$BB$5:$BB$2004,0))),"")</f>
        <v/>
      </c>
      <c r="I37" s="100">
        <f>IFERROR(IF(INDEX('Saisie'!$L$5:$L$2004,MATCH(13,'Saisie'!$BB$5:$BB$2004,0))="","",INDEX('Saisie'!$L$5:$L$2004,MATCH(13,'Saisie'!$BB$5:$BB$2004,0))),"")</f>
        <v/>
      </c>
      <c r="J37" s="100">
        <f>IFERROR(IF(INDEX('Saisie'!$Q$5:$Q$2004,MATCH(13,'Saisie'!$BB$5:$BB$2004,0))="","",INDEX('Saisie'!$Q$5:$Q$2004,MATCH(13,'Saisie'!$BB$5:$BB$2004,0))),"")</f>
        <v/>
      </c>
    </row>
    <row r="38">
      <c r="B38" s="120">
        <f>IFERROR(IF(INDEX('Saisie'!$A$5:$A$2004,MATCH(14,'Saisie'!$BB$5:$BB$2004,0))="","",INDEX('Saisie'!$A$5:$A$2004,MATCH(14,'Saisie'!$BB$5:$BB$2004,0))),"")</f>
        <v/>
      </c>
      <c r="C38" s="121">
        <f>IFERROR(IF(INDEX('Saisie'!$B$5:$B$2004,MATCH(14,'Saisie'!$BB$5:$BB$2004,0))="","",INDEX('Saisie'!$B$5:$B$2004,MATCH(14,'Saisie'!$BB$5:$BB$2004,0))),"")</f>
        <v/>
      </c>
      <c r="D38" s="77">
        <f>IFERROR(IF(INDEX('Saisie'!$D$5:$D$2004,MATCH(14,'Saisie'!$BB$5:$BB$2004,0))="","",INDEX('Saisie'!$D$5:$D$2004,MATCH(14,'Saisie'!$BB$5:$BB$2004,0))),"")</f>
        <v/>
      </c>
      <c r="E38" s="77">
        <f>IFERROR(IF(INDEX('Saisie'!$E$5:$E$2004,MATCH(14,'Saisie'!$BB$5:$BB$2004,0))="","",INDEX('Saisie'!$E$5:$E$2004,MATCH(14,'Saisie'!$BB$5:$BB$2004,0))),"")</f>
        <v/>
      </c>
      <c r="F38" s="77">
        <f>IFERROR(IF(INDEX('Saisie'!$F$5:$F$2004,MATCH(14,'Saisie'!$BB$5:$BB$2004,0))="","",INDEX('Saisie'!$F$5:$F$2004,MATCH(14,'Saisie'!$BB$5:$BB$2004,0))),"")</f>
        <v/>
      </c>
      <c r="G38" s="122">
        <f>IFERROR(IF(INDEX('Saisie'!$AW$5:$AW$2004,MATCH(14,'Saisie'!$BB$5:$BB$2004,0))="","",INDEX('Saisie'!$AW$5:$AW$2004,MATCH(14,'Saisie'!$BB$5:$BB$2004,0))),"")</f>
        <v/>
      </c>
      <c r="H38" s="77">
        <f>IFERROR(IF(INDEX('Saisie'!$H$5:$H$2004,MATCH(14,'Saisie'!$BB$5:$BB$2004,0))="","",INDEX('Saisie'!$H$5:$H$2004,MATCH(14,'Saisie'!$BB$5:$BB$2004,0))),"")</f>
        <v/>
      </c>
      <c r="I38" s="77">
        <f>IFERROR(IF(INDEX('Saisie'!$L$5:$L$2004,MATCH(14,'Saisie'!$BB$5:$BB$2004,0))="","",INDEX('Saisie'!$L$5:$L$2004,MATCH(14,'Saisie'!$BB$5:$BB$2004,0))),"")</f>
        <v/>
      </c>
      <c r="J38" s="77">
        <f>IFERROR(IF(INDEX('Saisie'!$Q$5:$Q$2004,MATCH(14,'Saisie'!$BB$5:$BB$2004,0))="","",INDEX('Saisie'!$Q$5:$Q$2004,MATCH(14,'Saisie'!$BB$5:$BB$2004,0))),"")</f>
        <v/>
      </c>
    </row>
    <row r="39">
      <c r="B39" s="117">
        <f>IFERROR(IF(INDEX('Saisie'!$A$5:$A$2004,MATCH(15,'Saisie'!$BB$5:$BB$2004,0))="","",INDEX('Saisie'!$A$5:$A$2004,MATCH(15,'Saisie'!$BB$5:$BB$2004,0))),"")</f>
        <v/>
      </c>
      <c r="C39" s="118">
        <f>IFERROR(IF(INDEX('Saisie'!$B$5:$B$2004,MATCH(15,'Saisie'!$BB$5:$BB$2004,0))="","",INDEX('Saisie'!$B$5:$B$2004,MATCH(15,'Saisie'!$BB$5:$BB$2004,0))),"")</f>
        <v/>
      </c>
      <c r="D39" s="100">
        <f>IFERROR(IF(INDEX('Saisie'!$D$5:$D$2004,MATCH(15,'Saisie'!$BB$5:$BB$2004,0))="","",INDEX('Saisie'!$D$5:$D$2004,MATCH(15,'Saisie'!$BB$5:$BB$2004,0))),"")</f>
        <v/>
      </c>
      <c r="E39" s="100">
        <f>IFERROR(IF(INDEX('Saisie'!$E$5:$E$2004,MATCH(15,'Saisie'!$BB$5:$BB$2004,0))="","",INDEX('Saisie'!$E$5:$E$2004,MATCH(15,'Saisie'!$BB$5:$BB$2004,0))),"")</f>
        <v/>
      </c>
      <c r="F39" s="100">
        <f>IFERROR(IF(INDEX('Saisie'!$F$5:$F$2004,MATCH(15,'Saisie'!$BB$5:$BB$2004,0))="","",INDEX('Saisie'!$F$5:$F$2004,MATCH(15,'Saisie'!$BB$5:$BB$2004,0))),"")</f>
        <v/>
      </c>
      <c r="G39" s="119">
        <f>IFERROR(IF(INDEX('Saisie'!$AW$5:$AW$2004,MATCH(15,'Saisie'!$BB$5:$BB$2004,0))="","",INDEX('Saisie'!$AW$5:$AW$2004,MATCH(15,'Saisie'!$BB$5:$BB$2004,0))),"")</f>
        <v/>
      </c>
      <c r="H39" s="100">
        <f>IFERROR(IF(INDEX('Saisie'!$H$5:$H$2004,MATCH(15,'Saisie'!$BB$5:$BB$2004,0))="","",INDEX('Saisie'!$H$5:$H$2004,MATCH(15,'Saisie'!$BB$5:$BB$2004,0))),"")</f>
        <v/>
      </c>
      <c r="I39" s="100">
        <f>IFERROR(IF(INDEX('Saisie'!$L$5:$L$2004,MATCH(15,'Saisie'!$BB$5:$BB$2004,0))="","",INDEX('Saisie'!$L$5:$L$2004,MATCH(15,'Saisie'!$BB$5:$BB$2004,0))),"")</f>
        <v/>
      </c>
      <c r="J39" s="100">
        <f>IFERROR(IF(INDEX('Saisie'!$Q$5:$Q$2004,MATCH(15,'Saisie'!$BB$5:$BB$2004,0))="","",INDEX('Saisie'!$Q$5:$Q$2004,MATCH(15,'Saisie'!$BB$5:$BB$2004,0))),"")</f>
        <v/>
      </c>
    </row>
    <row r="40">
      <c r="B40" s="120">
        <f>IFERROR(IF(INDEX('Saisie'!$A$5:$A$2004,MATCH(16,'Saisie'!$BB$5:$BB$2004,0))="","",INDEX('Saisie'!$A$5:$A$2004,MATCH(16,'Saisie'!$BB$5:$BB$2004,0))),"")</f>
        <v/>
      </c>
      <c r="C40" s="121">
        <f>IFERROR(IF(INDEX('Saisie'!$B$5:$B$2004,MATCH(16,'Saisie'!$BB$5:$BB$2004,0))="","",INDEX('Saisie'!$B$5:$B$2004,MATCH(16,'Saisie'!$BB$5:$BB$2004,0))),"")</f>
        <v/>
      </c>
      <c r="D40" s="77">
        <f>IFERROR(IF(INDEX('Saisie'!$D$5:$D$2004,MATCH(16,'Saisie'!$BB$5:$BB$2004,0))="","",INDEX('Saisie'!$D$5:$D$2004,MATCH(16,'Saisie'!$BB$5:$BB$2004,0))),"")</f>
        <v/>
      </c>
      <c r="E40" s="77">
        <f>IFERROR(IF(INDEX('Saisie'!$E$5:$E$2004,MATCH(16,'Saisie'!$BB$5:$BB$2004,0))="","",INDEX('Saisie'!$E$5:$E$2004,MATCH(16,'Saisie'!$BB$5:$BB$2004,0))),"")</f>
        <v/>
      </c>
      <c r="F40" s="77">
        <f>IFERROR(IF(INDEX('Saisie'!$F$5:$F$2004,MATCH(16,'Saisie'!$BB$5:$BB$2004,0))="","",INDEX('Saisie'!$F$5:$F$2004,MATCH(16,'Saisie'!$BB$5:$BB$2004,0))),"")</f>
        <v/>
      </c>
      <c r="G40" s="122">
        <f>IFERROR(IF(INDEX('Saisie'!$AW$5:$AW$2004,MATCH(16,'Saisie'!$BB$5:$BB$2004,0))="","",INDEX('Saisie'!$AW$5:$AW$2004,MATCH(16,'Saisie'!$BB$5:$BB$2004,0))),"")</f>
        <v/>
      </c>
      <c r="H40" s="77">
        <f>IFERROR(IF(INDEX('Saisie'!$H$5:$H$2004,MATCH(16,'Saisie'!$BB$5:$BB$2004,0))="","",INDEX('Saisie'!$H$5:$H$2004,MATCH(16,'Saisie'!$BB$5:$BB$2004,0))),"")</f>
        <v/>
      </c>
      <c r="I40" s="77">
        <f>IFERROR(IF(INDEX('Saisie'!$L$5:$L$2004,MATCH(16,'Saisie'!$BB$5:$BB$2004,0))="","",INDEX('Saisie'!$L$5:$L$2004,MATCH(16,'Saisie'!$BB$5:$BB$2004,0))),"")</f>
        <v/>
      </c>
      <c r="J40" s="77">
        <f>IFERROR(IF(INDEX('Saisie'!$Q$5:$Q$2004,MATCH(16,'Saisie'!$BB$5:$BB$2004,0))="","",INDEX('Saisie'!$Q$5:$Q$2004,MATCH(16,'Saisie'!$BB$5:$BB$2004,0))),"")</f>
        <v/>
      </c>
    </row>
    <row r="41">
      <c r="B41" s="117">
        <f>IFERROR(IF(INDEX('Saisie'!$A$5:$A$2004,MATCH(17,'Saisie'!$BB$5:$BB$2004,0))="","",INDEX('Saisie'!$A$5:$A$2004,MATCH(17,'Saisie'!$BB$5:$BB$2004,0))),"")</f>
        <v/>
      </c>
      <c r="C41" s="118">
        <f>IFERROR(IF(INDEX('Saisie'!$B$5:$B$2004,MATCH(17,'Saisie'!$BB$5:$BB$2004,0))="","",INDEX('Saisie'!$B$5:$B$2004,MATCH(17,'Saisie'!$BB$5:$BB$2004,0))),"")</f>
        <v/>
      </c>
      <c r="D41" s="100">
        <f>IFERROR(IF(INDEX('Saisie'!$D$5:$D$2004,MATCH(17,'Saisie'!$BB$5:$BB$2004,0))="","",INDEX('Saisie'!$D$5:$D$2004,MATCH(17,'Saisie'!$BB$5:$BB$2004,0))),"")</f>
        <v/>
      </c>
      <c r="E41" s="100">
        <f>IFERROR(IF(INDEX('Saisie'!$E$5:$E$2004,MATCH(17,'Saisie'!$BB$5:$BB$2004,0))="","",INDEX('Saisie'!$E$5:$E$2004,MATCH(17,'Saisie'!$BB$5:$BB$2004,0))),"")</f>
        <v/>
      </c>
      <c r="F41" s="100">
        <f>IFERROR(IF(INDEX('Saisie'!$F$5:$F$2004,MATCH(17,'Saisie'!$BB$5:$BB$2004,0))="","",INDEX('Saisie'!$F$5:$F$2004,MATCH(17,'Saisie'!$BB$5:$BB$2004,0))),"")</f>
        <v/>
      </c>
      <c r="G41" s="119">
        <f>IFERROR(IF(INDEX('Saisie'!$AW$5:$AW$2004,MATCH(17,'Saisie'!$BB$5:$BB$2004,0))="","",INDEX('Saisie'!$AW$5:$AW$2004,MATCH(17,'Saisie'!$BB$5:$BB$2004,0))),"")</f>
        <v/>
      </c>
      <c r="H41" s="100">
        <f>IFERROR(IF(INDEX('Saisie'!$H$5:$H$2004,MATCH(17,'Saisie'!$BB$5:$BB$2004,0))="","",INDEX('Saisie'!$H$5:$H$2004,MATCH(17,'Saisie'!$BB$5:$BB$2004,0))),"")</f>
        <v/>
      </c>
      <c r="I41" s="100">
        <f>IFERROR(IF(INDEX('Saisie'!$L$5:$L$2004,MATCH(17,'Saisie'!$BB$5:$BB$2004,0))="","",INDEX('Saisie'!$L$5:$L$2004,MATCH(17,'Saisie'!$BB$5:$BB$2004,0))),"")</f>
        <v/>
      </c>
      <c r="J41" s="100">
        <f>IFERROR(IF(INDEX('Saisie'!$Q$5:$Q$2004,MATCH(17,'Saisie'!$BB$5:$BB$2004,0))="","",INDEX('Saisie'!$Q$5:$Q$2004,MATCH(17,'Saisie'!$BB$5:$BB$2004,0))),"")</f>
        <v/>
      </c>
    </row>
    <row r="42">
      <c r="B42" s="120">
        <f>IFERROR(IF(INDEX('Saisie'!$A$5:$A$2004,MATCH(18,'Saisie'!$BB$5:$BB$2004,0))="","",INDEX('Saisie'!$A$5:$A$2004,MATCH(18,'Saisie'!$BB$5:$BB$2004,0))),"")</f>
        <v/>
      </c>
      <c r="C42" s="121">
        <f>IFERROR(IF(INDEX('Saisie'!$B$5:$B$2004,MATCH(18,'Saisie'!$BB$5:$BB$2004,0))="","",INDEX('Saisie'!$B$5:$B$2004,MATCH(18,'Saisie'!$BB$5:$BB$2004,0))),"")</f>
        <v/>
      </c>
      <c r="D42" s="77">
        <f>IFERROR(IF(INDEX('Saisie'!$D$5:$D$2004,MATCH(18,'Saisie'!$BB$5:$BB$2004,0))="","",INDEX('Saisie'!$D$5:$D$2004,MATCH(18,'Saisie'!$BB$5:$BB$2004,0))),"")</f>
        <v/>
      </c>
      <c r="E42" s="77">
        <f>IFERROR(IF(INDEX('Saisie'!$E$5:$E$2004,MATCH(18,'Saisie'!$BB$5:$BB$2004,0))="","",INDEX('Saisie'!$E$5:$E$2004,MATCH(18,'Saisie'!$BB$5:$BB$2004,0))),"")</f>
        <v/>
      </c>
      <c r="F42" s="77">
        <f>IFERROR(IF(INDEX('Saisie'!$F$5:$F$2004,MATCH(18,'Saisie'!$BB$5:$BB$2004,0))="","",INDEX('Saisie'!$F$5:$F$2004,MATCH(18,'Saisie'!$BB$5:$BB$2004,0))),"")</f>
        <v/>
      </c>
      <c r="G42" s="122">
        <f>IFERROR(IF(INDEX('Saisie'!$AW$5:$AW$2004,MATCH(18,'Saisie'!$BB$5:$BB$2004,0))="","",INDEX('Saisie'!$AW$5:$AW$2004,MATCH(18,'Saisie'!$BB$5:$BB$2004,0))),"")</f>
        <v/>
      </c>
      <c r="H42" s="77">
        <f>IFERROR(IF(INDEX('Saisie'!$H$5:$H$2004,MATCH(18,'Saisie'!$BB$5:$BB$2004,0))="","",INDEX('Saisie'!$H$5:$H$2004,MATCH(18,'Saisie'!$BB$5:$BB$2004,0))),"")</f>
        <v/>
      </c>
      <c r="I42" s="77">
        <f>IFERROR(IF(INDEX('Saisie'!$L$5:$L$2004,MATCH(18,'Saisie'!$BB$5:$BB$2004,0))="","",INDEX('Saisie'!$L$5:$L$2004,MATCH(18,'Saisie'!$BB$5:$BB$2004,0))),"")</f>
        <v/>
      </c>
      <c r="J42" s="77">
        <f>IFERROR(IF(INDEX('Saisie'!$Q$5:$Q$2004,MATCH(18,'Saisie'!$BB$5:$BB$2004,0))="","",INDEX('Saisie'!$Q$5:$Q$2004,MATCH(18,'Saisie'!$BB$5:$BB$2004,0))),"")</f>
        <v/>
      </c>
    </row>
    <row r="43">
      <c r="B43" s="117">
        <f>IFERROR(IF(INDEX('Saisie'!$A$5:$A$2004,MATCH(19,'Saisie'!$BB$5:$BB$2004,0))="","",INDEX('Saisie'!$A$5:$A$2004,MATCH(19,'Saisie'!$BB$5:$BB$2004,0))),"")</f>
        <v/>
      </c>
      <c r="C43" s="118">
        <f>IFERROR(IF(INDEX('Saisie'!$B$5:$B$2004,MATCH(19,'Saisie'!$BB$5:$BB$2004,0))="","",INDEX('Saisie'!$B$5:$B$2004,MATCH(19,'Saisie'!$BB$5:$BB$2004,0))),"")</f>
        <v/>
      </c>
      <c r="D43" s="100">
        <f>IFERROR(IF(INDEX('Saisie'!$D$5:$D$2004,MATCH(19,'Saisie'!$BB$5:$BB$2004,0))="","",INDEX('Saisie'!$D$5:$D$2004,MATCH(19,'Saisie'!$BB$5:$BB$2004,0))),"")</f>
        <v/>
      </c>
      <c r="E43" s="100">
        <f>IFERROR(IF(INDEX('Saisie'!$E$5:$E$2004,MATCH(19,'Saisie'!$BB$5:$BB$2004,0))="","",INDEX('Saisie'!$E$5:$E$2004,MATCH(19,'Saisie'!$BB$5:$BB$2004,0))),"")</f>
        <v/>
      </c>
      <c r="F43" s="100">
        <f>IFERROR(IF(INDEX('Saisie'!$F$5:$F$2004,MATCH(19,'Saisie'!$BB$5:$BB$2004,0))="","",INDEX('Saisie'!$F$5:$F$2004,MATCH(19,'Saisie'!$BB$5:$BB$2004,0))),"")</f>
        <v/>
      </c>
      <c r="G43" s="119">
        <f>IFERROR(IF(INDEX('Saisie'!$AW$5:$AW$2004,MATCH(19,'Saisie'!$BB$5:$BB$2004,0))="","",INDEX('Saisie'!$AW$5:$AW$2004,MATCH(19,'Saisie'!$BB$5:$BB$2004,0))),"")</f>
        <v/>
      </c>
      <c r="H43" s="100">
        <f>IFERROR(IF(INDEX('Saisie'!$H$5:$H$2004,MATCH(19,'Saisie'!$BB$5:$BB$2004,0))="","",INDEX('Saisie'!$H$5:$H$2004,MATCH(19,'Saisie'!$BB$5:$BB$2004,0))),"")</f>
        <v/>
      </c>
      <c r="I43" s="100">
        <f>IFERROR(IF(INDEX('Saisie'!$L$5:$L$2004,MATCH(19,'Saisie'!$BB$5:$BB$2004,0))="","",INDEX('Saisie'!$L$5:$L$2004,MATCH(19,'Saisie'!$BB$5:$BB$2004,0))),"")</f>
        <v/>
      </c>
      <c r="J43" s="100">
        <f>IFERROR(IF(INDEX('Saisie'!$Q$5:$Q$2004,MATCH(19,'Saisie'!$BB$5:$BB$2004,0))="","",INDEX('Saisie'!$Q$5:$Q$2004,MATCH(19,'Saisie'!$BB$5:$BB$2004,0))),"")</f>
        <v/>
      </c>
    </row>
    <row r="44">
      <c r="B44" s="120">
        <f>IFERROR(IF(INDEX('Saisie'!$A$5:$A$2004,MATCH(20,'Saisie'!$BB$5:$BB$2004,0))="","",INDEX('Saisie'!$A$5:$A$2004,MATCH(20,'Saisie'!$BB$5:$BB$2004,0))),"")</f>
        <v/>
      </c>
      <c r="C44" s="121">
        <f>IFERROR(IF(INDEX('Saisie'!$B$5:$B$2004,MATCH(20,'Saisie'!$BB$5:$BB$2004,0))="","",INDEX('Saisie'!$B$5:$B$2004,MATCH(20,'Saisie'!$BB$5:$BB$2004,0))),"")</f>
        <v/>
      </c>
      <c r="D44" s="77">
        <f>IFERROR(IF(INDEX('Saisie'!$D$5:$D$2004,MATCH(20,'Saisie'!$BB$5:$BB$2004,0))="","",INDEX('Saisie'!$D$5:$D$2004,MATCH(20,'Saisie'!$BB$5:$BB$2004,0))),"")</f>
        <v/>
      </c>
      <c r="E44" s="77">
        <f>IFERROR(IF(INDEX('Saisie'!$E$5:$E$2004,MATCH(20,'Saisie'!$BB$5:$BB$2004,0))="","",INDEX('Saisie'!$E$5:$E$2004,MATCH(20,'Saisie'!$BB$5:$BB$2004,0))),"")</f>
        <v/>
      </c>
      <c r="F44" s="77">
        <f>IFERROR(IF(INDEX('Saisie'!$F$5:$F$2004,MATCH(20,'Saisie'!$BB$5:$BB$2004,0))="","",INDEX('Saisie'!$F$5:$F$2004,MATCH(20,'Saisie'!$BB$5:$BB$2004,0))),"")</f>
        <v/>
      </c>
      <c r="G44" s="122">
        <f>IFERROR(IF(INDEX('Saisie'!$AW$5:$AW$2004,MATCH(20,'Saisie'!$BB$5:$BB$2004,0))="","",INDEX('Saisie'!$AW$5:$AW$2004,MATCH(20,'Saisie'!$BB$5:$BB$2004,0))),"")</f>
        <v/>
      </c>
      <c r="H44" s="77">
        <f>IFERROR(IF(INDEX('Saisie'!$H$5:$H$2004,MATCH(20,'Saisie'!$BB$5:$BB$2004,0))="","",INDEX('Saisie'!$H$5:$H$2004,MATCH(20,'Saisie'!$BB$5:$BB$2004,0))),"")</f>
        <v/>
      </c>
      <c r="I44" s="77">
        <f>IFERROR(IF(INDEX('Saisie'!$L$5:$L$2004,MATCH(20,'Saisie'!$BB$5:$BB$2004,0))="","",INDEX('Saisie'!$L$5:$L$2004,MATCH(20,'Saisie'!$BB$5:$BB$2004,0))),"")</f>
        <v/>
      </c>
      <c r="J44" s="77">
        <f>IFERROR(IF(INDEX('Saisie'!$Q$5:$Q$2004,MATCH(20,'Saisie'!$BB$5:$BB$2004,0))="","",INDEX('Saisie'!$Q$5:$Q$2004,MATCH(20,'Saisie'!$BB$5:$BB$2004,0))),"")</f>
        <v/>
      </c>
    </row>
    <row r="45">
      <c r="B45" s="117">
        <f>IFERROR(IF(INDEX('Saisie'!$A$5:$A$2004,MATCH(21,'Saisie'!$BB$5:$BB$2004,0))="","",INDEX('Saisie'!$A$5:$A$2004,MATCH(21,'Saisie'!$BB$5:$BB$2004,0))),"")</f>
        <v/>
      </c>
      <c r="C45" s="118">
        <f>IFERROR(IF(INDEX('Saisie'!$B$5:$B$2004,MATCH(21,'Saisie'!$BB$5:$BB$2004,0))="","",INDEX('Saisie'!$B$5:$B$2004,MATCH(21,'Saisie'!$BB$5:$BB$2004,0))),"")</f>
        <v/>
      </c>
      <c r="D45" s="100">
        <f>IFERROR(IF(INDEX('Saisie'!$D$5:$D$2004,MATCH(21,'Saisie'!$BB$5:$BB$2004,0))="","",INDEX('Saisie'!$D$5:$D$2004,MATCH(21,'Saisie'!$BB$5:$BB$2004,0))),"")</f>
        <v/>
      </c>
      <c r="E45" s="100">
        <f>IFERROR(IF(INDEX('Saisie'!$E$5:$E$2004,MATCH(21,'Saisie'!$BB$5:$BB$2004,0))="","",INDEX('Saisie'!$E$5:$E$2004,MATCH(21,'Saisie'!$BB$5:$BB$2004,0))),"")</f>
        <v/>
      </c>
      <c r="F45" s="100">
        <f>IFERROR(IF(INDEX('Saisie'!$F$5:$F$2004,MATCH(21,'Saisie'!$BB$5:$BB$2004,0))="","",INDEX('Saisie'!$F$5:$F$2004,MATCH(21,'Saisie'!$BB$5:$BB$2004,0))),"")</f>
        <v/>
      </c>
      <c r="G45" s="119">
        <f>IFERROR(IF(INDEX('Saisie'!$AW$5:$AW$2004,MATCH(21,'Saisie'!$BB$5:$BB$2004,0))="","",INDEX('Saisie'!$AW$5:$AW$2004,MATCH(21,'Saisie'!$BB$5:$BB$2004,0))),"")</f>
        <v/>
      </c>
      <c r="H45" s="100">
        <f>IFERROR(IF(INDEX('Saisie'!$H$5:$H$2004,MATCH(21,'Saisie'!$BB$5:$BB$2004,0))="","",INDEX('Saisie'!$H$5:$H$2004,MATCH(21,'Saisie'!$BB$5:$BB$2004,0))),"")</f>
        <v/>
      </c>
      <c r="I45" s="100">
        <f>IFERROR(IF(INDEX('Saisie'!$L$5:$L$2004,MATCH(21,'Saisie'!$BB$5:$BB$2004,0))="","",INDEX('Saisie'!$L$5:$L$2004,MATCH(21,'Saisie'!$BB$5:$BB$2004,0))),"")</f>
        <v/>
      </c>
      <c r="J45" s="100">
        <f>IFERROR(IF(INDEX('Saisie'!$Q$5:$Q$2004,MATCH(21,'Saisie'!$BB$5:$BB$2004,0))="","",INDEX('Saisie'!$Q$5:$Q$2004,MATCH(21,'Saisie'!$BB$5:$BB$2004,0))),"")</f>
        <v/>
      </c>
    </row>
    <row r="46">
      <c r="B46" s="120">
        <f>IFERROR(IF(INDEX('Saisie'!$A$5:$A$2004,MATCH(22,'Saisie'!$BB$5:$BB$2004,0))="","",INDEX('Saisie'!$A$5:$A$2004,MATCH(22,'Saisie'!$BB$5:$BB$2004,0))),"")</f>
        <v/>
      </c>
      <c r="C46" s="121">
        <f>IFERROR(IF(INDEX('Saisie'!$B$5:$B$2004,MATCH(22,'Saisie'!$BB$5:$BB$2004,0))="","",INDEX('Saisie'!$B$5:$B$2004,MATCH(22,'Saisie'!$BB$5:$BB$2004,0))),"")</f>
        <v/>
      </c>
      <c r="D46" s="77">
        <f>IFERROR(IF(INDEX('Saisie'!$D$5:$D$2004,MATCH(22,'Saisie'!$BB$5:$BB$2004,0))="","",INDEX('Saisie'!$D$5:$D$2004,MATCH(22,'Saisie'!$BB$5:$BB$2004,0))),"")</f>
        <v/>
      </c>
      <c r="E46" s="77">
        <f>IFERROR(IF(INDEX('Saisie'!$E$5:$E$2004,MATCH(22,'Saisie'!$BB$5:$BB$2004,0))="","",INDEX('Saisie'!$E$5:$E$2004,MATCH(22,'Saisie'!$BB$5:$BB$2004,0))),"")</f>
        <v/>
      </c>
      <c r="F46" s="77">
        <f>IFERROR(IF(INDEX('Saisie'!$F$5:$F$2004,MATCH(22,'Saisie'!$BB$5:$BB$2004,0))="","",INDEX('Saisie'!$F$5:$F$2004,MATCH(22,'Saisie'!$BB$5:$BB$2004,0))),"")</f>
        <v/>
      </c>
      <c r="G46" s="122">
        <f>IFERROR(IF(INDEX('Saisie'!$AW$5:$AW$2004,MATCH(22,'Saisie'!$BB$5:$BB$2004,0))="","",INDEX('Saisie'!$AW$5:$AW$2004,MATCH(22,'Saisie'!$BB$5:$BB$2004,0))),"")</f>
        <v/>
      </c>
      <c r="H46" s="77">
        <f>IFERROR(IF(INDEX('Saisie'!$H$5:$H$2004,MATCH(22,'Saisie'!$BB$5:$BB$2004,0))="","",INDEX('Saisie'!$H$5:$H$2004,MATCH(22,'Saisie'!$BB$5:$BB$2004,0))),"")</f>
        <v/>
      </c>
      <c r="I46" s="77">
        <f>IFERROR(IF(INDEX('Saisie'!$L$5:$L$2004,MATCH(22,'Saisie'!$BB$5:$BB$2004,0))="","",INDEX('Saisie'!$L$5:$L$2004,MATCH(22,'Saisie'!$BB$5:$BB$2004,0))),"")</f>
        <v/>
      </c>
      <c r="J46" s="77">
        <f>IFERROR(IF(INDEX('Saisie'!$Q$5:$Q$2004,MATCH(22,'Saisie'!$BB$5:$BB$2004,0))="","",INDEX('Saisie'!$Q$5:$Q$2004,MATCH(22,'Saisie'!$BB$5:$BB$2004,0))),"")</f>
        <v/>
      </c>
    </row>
    <row r="47">
      <c r="B47" s="117">
        <f>IFERROR(IF(INDEX('Saisie'!$A$5:$A$2004,MATCH(23,'Saisie'!$BB$5:$BB$2004,0))="","",INDEX('Saisie'!$A$5:$A$2004,MATCH(23,'Saisie'!$BB$5:$BB$2004,0))),"")</f>
        <v/>
      </c>
      <c r="C47" s="118">
        <f>IFERROR(IF(INDEX('Saisie'!$B$5:$B$2004,MATCH(23,'Saisie'!$BB$5:$BB$2004,0))="","",INDEX('Saisie'!$B$5:$B$2004,MATCH(23,'Saisie'!$BB$5:$BB$2004,0))),"")</f>
        <v/>
      </c>
      <c r="D47" s="100">
        <f>IFERROR(IF(INDEX('Saisie'!$D$5:$D$2004,MATCH(23,'Saisie'!$BB$5:$BB$2004,0))="","",INDEX('Saisie'!$D$5:$D$2004,MATCH(23,'Saisie'!$BB$5:$BB$2004,0))),"")</f>
        <v/>
      </c>
      <c r="E47" s="100">
        <f>IFERROR(IF(INDEX('Saisie'!$E$5:$E$2004,MATCH(23,'Saisie'!$BB$5:$BB$2004,0))="","",INDEX('Saisie'!$E$5:$E$2004,MATCH(23,'Saisie'!$BB$5:$BB$2004,0))),"")</f>
        <v/>
      </c>
      <c r="F47" s="100">
        <f>IFERROR(IF(INDEX('Saisie'!$F$5:$F$2004,MATCH(23,'Saisie'!$BB$5:$BB$2004,0))="","",INDEX('Saisie'!$F$5:$F$2004,MATCH(23,'Saisie'!$BB$5:$BB$2004,0))),"")</f>
        <v/>
      </c>
      <c r="G47" s="119">
        <f>IFERROR(IF(INDEX('Saisie'!$AW$5:$AW$2004,MATCH(23,'Saisie'!$BB$5:$BB$2004,0))="","",INDEX('Saisie'!$AW$5:$AW$2004,MATCH(23,'Saisie'!$BB$5:$BB$2004,0))),"")</f>
        <v/>
      </c>
      <c r="H47" s="100">
        <f>IFERROR(IF(INDEX('Saisie'!$H$5:$H$2004,MATCH(23,'Saisie'!$BB$5:$BB$2004,0))="","",INDEX('Saisie'!$H$5:$H$2004,MATCH(23,'Saisie'!$BB$5:$BB$2004,0))),"")</f>
        <v/>
      </c>
      <c r="I47" s="100">
        <f>IFERROR(IF(INDEX('Saisie'!$L$5:$L$2004,MATCH(23,'Saisie'!$BB$5:$BB$2004,0))="","",INDEX('Saisie'!$L$5:$L$2004,MATCH(23,'Saisie'!$BB$5:$BB$2004,0))),"")</f>
        <v/>
      </c>
      <c r="J47" s="100">
        <f>IFERROR(IF(INDEX('Saisie'!$Q$5:$Q$2004,MATCH(23,'Saisie'!$BB$5:$BB$2004,0))="","",INDEX('Saisie'!$Q$5:$Q$2004,MATCH(23,'Saisie'!$BB$5:$BB$2004,0))),"")</f>
        <v/>
      </c>
    </row>
    <row r="48">
      <c r="B48" s="120">
        <f>IFERROR(IF(INDEX('Saisie'!$A$5:$A$2004,MATCH(24,'Saisie'!$BB$5:$BB$2004,0))="","",INDEX('Saisie'!$A$5:$A$2004,MATCH(24,'Saisie'!$BB$5:$BB$2004,0))),"")</f>
        <v/>
      </c>
      <c r="C48" s="121">
        <f>IFERROR(IF(INDEX('Saisie'!$B$5:$B$2004,MATCH(24,'Saisie'!$BB$5:$BB$2004,0))="","",INDEX('Saisie'!$B$5:$B$2004,MATCH(24,'Saisie'!$BB$5:$BB$2004,0))),"")</f>
        <v/>
      </c>
      <c r="D48" s="77">
        <f>IFERROR(IF(INDEX('Saisie'!$D$5:$D$2004,MATCH(24,'Saisie'!$BB$5:$BB$2004,0))="","",INDEX('Saisie'!$D$5:$D$2004,MATCH(24,'Saisie'!$BB$5:$BB$2004,0))),"")</f>
        <v/>
      </c>
      <c r="E48" s="77">
        <f>IFERROR(IF(INDEX('Saisie'!$E$5:$E$2004,MATCH(24,'Saisie'!$BB$5:$BB$2004,0))="","",INDEX('Saisie'!$E$5:$E$2004,MATCH(24,'Saisie'!$BB$5:$BB$2004,0))),"")</f>
        <v/>
      </c>
      <c r="F48" s="77">
        <f>IFERROR(IF(INDEX('Saisie'!$F$5:$F$2004,MATCH(24,'Saisie'!$BB$5:$BB$2004,0))="","",INDEX('Saisie'!$F$5:$F$2004,MATCH(24,'Saisie'!$BB$5:$BB$2004,0))),"")</f>
        <v/>
      </c>
      <c r="G48" s="122">
        <f>IFERROR(IF(INDEX('Saisie'!$AW$5:$AW$2004,MATCH(24,'Saisie'!$BB$5:$BB$2004,0))="","",INDEX('Saisie'!$AW$5:$AW$2004,MATCH(24,'Saisie'!$BB$5:$BB$2004,0))),"")</f>
        <v/>
      </c>
      <c r="H48" s="77">
        <f>IFERROR(IF(INDEX('Saisie'!$H$5:$H$2004,MATCH(24,'Saisie'!$BB$5:$BB$2004,0))="","",INDEX('Saisie'!$H$5:$H$2004,MATCH(24,'Saisie'!$BB$5:$BB$2004,0))),"")</f>
        <v/>
      </c>
      <c r="I48" s="77">
        <f>IFERROR(IF(INDEX('Saisie'!$L$5:$L$2004,MATCH(24,'Saisie'!$BB$5:$BB$2004,0))="","",INDEX('Saisie'!$L$5:$L$2004,MATCH(24,'Saisie'!$BB$5:$BB$2004,0))),"")</f>
        <v/>
      </c>
      <c r="J48" s="77">
        <f>IFERROR(IF(INDEX('Saisie'!$Q$5:$Q$2004,MATCH(24,'Saisie'!$BB$5:$BB$2004,0))="","",INDEX('Saisie'!$Q$5:$Q$2004,MATCH(24,'Saisie'!$BB$5:$BB$2004,0))),"")</f>
        <v/>
      </c>
    </row>
    <row r="49">
      <c r="B49" s="117">
        <f>IFERROR(IF(INDEX('Saisie'!$A$5:$A$2004,MATCH(25,'Saisie'!$BB$5:$BB$2004,0))="","",INDEX('Saisie'!$A$5:$A$2004,MATCH(25,'Saisie'!$BB$5:$BB$2004,0))),"")</f>
        <v/>
      </c>
      <c r="C49" s="118">
        <f>IFERROR(IF(INDEX('Saisie'!$B$5:$B$2004,MATCH(25,'Saisie'!$BB$5:$BB$2004,0))="","",INDEX('Saisie'!$B$5:$B$2004,MATCH(25,'Saisie'!$BB$5:$BB$2004,0))),"")</f>
        <v/>
      </c>
      <c r="D49" s="100">
        <f>IFERROR(IF(INDEX('Saisie'!$D$5:$D$2004,MATCH(25,'Saisie'!$BB$5:$BB$2004,0))="","",INDEX('Saisie'!$D$5:$D$2004,MATCH(25,'Saisie'!$BB$5:$BB$2004,0))),"")</f>
        <v/>
      </c>
      <c r="E49" s="100">
        <f>IFERROR(IF(INDEX('Saisie'!$E$5:$E$2004,MATCH(25,'Saisie'!$BB$5:$BB$2004,0))="","",INDEX('Saisie'!$E$5:$E$2004,MATCH(25,'Saisie'!$BB$5:$BB$2004,0))),"")</f>
        <v/>
      </c>
      <c r="F49" s="100">
        <f>IFERROR(IF(INDEX('Saisie'!$F$5:$F$2004,MATCH(25,'Saisie'!$BB$5:$BB$2004,0))="","",INDEX('Saisie'!$F$5:$F$2004,MATCH(25,'Saisie'!$BB$5:$BB$2004,0))),"")</f>
        <v/>
      </c>
      <c r="G49" s="119">
        <f>IFERROR(IF(INDEX('Saisie'!$AW$5:$AW$2004,MATCH(25,'Saisie'!$BB$5:$BB$2004,0))="","",INDEX('Saisie'!$AW$5:$AW$2004,MATCH(25,'Saisie'!$BB$5:$BB$2004,0))),"")</f>
        <v/>
      </c>
      <c r="H49" s="100">
        <f>IFERROR(IF(INDEX('Saisie'!$H$5:$H$2004,MATCH(25,'Saisie'!$BB$5:$BB$2004,0))="","",INDEX('Saisie'!$H$5:$H$2004,MATCH(25,'Saisie'!$BB$5:$BB$2004,0))),"")</f>
        <v/>
      </c>
      <c r="I49" s="100">
        <f>IFERROR(IF(INDEX('Saisie'!$L$5:$L$2004,MATCH(25,'Saisie'!$BB$5:$BB$2004,0))="","",INDEX('Saisie'!$L$5:$L$2004,MATCH(25,'Saisie'!$BB$5:$BB$2004,0))),"")</f>
        <v/>
      </c>
      <c r="J49" s="100">
        <f>IFERROR(IF(INDEX('Saisie'!$Q$5:$Q$2004,MATCH(25,'Saisie'!$BB$5:$BB$2004,0))="","",INDEX('Saisie'!$Q$5:$Q$2004,MATCH(25,'Saisie'!$BB$5:$BB$2004,0))),"")</f>
        <v/>
      </c>
    </row>
    <row r="50">
      <c r="B50" s="120">
        <f>IFERROR(IF(INDEX('Saisie'!$A$5:$A$2004,MATCH(26,'Saisie'!$BB$5:$BB$2004,0))="","",INDEX('Saisie'!$A$5:$A$2004,MATCH(26,'Saisie'!$BB$5:$BB$2004,0))),"")</f>
        <v/>
      </c>
      <c r="C50" s="121">
        <f>IFERROR(IF(INDEX('Saisie'!$B$5:$B$2004,MATCH(26,'Saisie'!$BB$5:$BB$2004,0))="","",INDEX('Saisie'!$B$5:$B$2004,MATCH(26,'Saisie'!$BB$5:$BB$2004,0))),"")</f>
        <v/>
      </c>
      <c r="D50" s="77">
        <f>IFERROR(IF(INDEX('Saisie'!$D$5:$D$2004,MATCH(26,'Saisie'!$BB$5:$BB$2004,0))="","",INDEX('Saisie'!$D$5:$D$2004,MATCH(26,'Saisie'!$BB$5:$BB$2004,0))),"")</f>
        <v/>
      </c>
      <c r="E50" s="77">
        <f>IFERROR(IF(INDEX('Saisie'!$E$5:$E$2004,MATCH(26,'Saisie'!$BB$5:$BB$2004,0))="","",INDEX('Saisie'!$E$5:$E$2004,MATCH(26,'Saisie'!$BB$5:$BB$2004,0))),"")</f>
        <v/>
      </c>
      <c r="F50" s="77">
        <f>IFERROR(IF(INDEX('Saisie'!$F$5:$F$2004,MATCH(26,'Saisie'!$BB$5:$BB$2004,0))="","",INDEX('Saisie'!$F$5:$F$2004,MATCH(26,'Saisie'!$BB$5:$BB$2004,0))),"")</f>
        <v/>
      </c>
      <c r="G50" s="122">
        <f>IFERROR(IF(INDEX('Saisie'!$AW$5:$AW$2004,MATCH(26,'Saisie'!$BB$5:$BB$2004,0))="","",INDEX('Saisie'!$AW$5:$AW$2004,MATCH(26,'Saisie'!$BB$5:$BB$2004,0))),"")</f>
        <v/>
      </c>
      <c r="H50" s="77">
        <f>IFERROR(IF(INDEX('Saisie'!$H$5:$H$2004,MATCH(26,'Saisie'!$BB$5:$BB$2004,0))="","",INDEX('Saisie'!$H$5:$H$2004,MATCH(26,'Saisie'!$BB$5:$BB$2004,0))),"")</f>
        <v/>
      </c>
      <c r="I50" s="77">
        <f>IFERROR(IF(INDEX('Saisie'!$L$5:$L$2004,MATCH(26,'Saisie'!$BB$5:$BB$2004,0))="","",INDEX('Saisie'!$L$5:$L$2004,MATCH(26,'Saisie'!$BB$5:$BB$2004,0))),"")</f>
        <v/>
      </c>
      <c r="J50" s="77">
        <f>IFERROR(IF(INDEX('Saisie'!$Q$5:$Q$2004,MATCH(26,'Saisie'!$BB$5:$BB$2004,0))="","",INDEX('Saisie'!$Q$5:$Q$2004,MATCH(26,'Saisie'!$BB$5:$BB$2004,0))),"")</f>
        <v/>
      </c>
    </row>
    <row r="51">
      <c r="B51" s="117">
        <f>IFERROR(IF(INDEX('Saisie'!$A$5:$A$2004,MATCH(27,'Saisie'!$BB$5:$BB$2004,0))="","",INDEX('Saisie'!$A$5:$A$2004,MATCH(27,'Saisie'!$BB$5:$BB$2004,0))),"")</f>
        <v/>
      </c>
      <c r="C51" s="118">
        <f>IFERROR(IF(INDEX('Saisie'!$B$5:$B$2004,MATCH(27,'Saisie'!$BB$5:$BB$2004,0))="","",INDEX('Saisie'!$B$5:$B$2004,MATCH(27,'Saisie'!$BB$5:$BB$2004,0))),"")</f>
        <v/>
      </c>
      <c r="D51" s="100">
        <f>IFERROR(IF(INDEX('Saisie'!$D$5:$D$2004,MATCH(27,'Saisie'!$BB$5:$BB$2004,0))="","",INDEX('Saisie'!$D$5:$D$2004,MATCH(27,'Saisie'!$BB$5:$BB$2004,0))),"")</f>
        <v/>
      </c>
      <c r="E51" s="100">
        <f>IFERROR(IF(INDEX('Saisie'!$E$5:$E$2004,MATCH(27,'Saisie'!$BB$5:$BB$2004,0))="","",INDEX('Saisie'!$E$5:$E$2004,MATCH(27,'Saisie'!$BB$5:$BB$2004,0))),"")</f>
        <v/>
      </c>
      <c r="F51" s="100">
        <f>IFERROR(IF(INDEX('Saisie'!$F$5:$F$2004,MATCH(27,'Saisie'!$BB$5:$BB$2004,0))="","",INDEX('Saisie'!$F$5:$F$2004,MATCH(27,'Saisie'!$BB$5:$BB$2004,0))),"")</f>
        <v/>
      </c>
      <c r="G51" s="119">
        <f>IFERROR(IF(INDEX('Saisie'!$AW$5:$AW$2004,MATCH(27,'Saisie'!$BB$5:$BB$2004,0))="","",INDEX('Saisie'!$AW$5:$AW$2004,MATCH(27,'Saisie'!$BB$5:$BB$2004,0))),"")</f>
        <v/>
      </c>
      <c r="H51" s="100">
        <f>IFERROR(IF(INDEX('Saisie'!$H$5:$H$2004,MATCH(27,'Saisie'!$BB$5:$BB$2004,0))="","",INDEX('Saisie'!$H$5:$H$2004,MATCH(27,'Saisie'!$BB$5:$BB$2004,0))),"")</f>
        <v/>
      </c>
      <c r="I51" s="100">
        <f>IFERROR(IF(INDEX('Saisie'!$L$5:$L$2004,MATCH(27,'Saisie'!$BB$5:$BB$2004,0))="","",INDEX('Saisie'!$L$5:$L$2004,MATCH(27,'Saisie'!$BB$5:$BB$2004,0))),"")</f>
        <v/>
      </c>
      <c r="J51" s="100">
        <f>IFERROR(IF(INDEX('Saisie'!$Q$5:$Q$2004,MATCH(27,'Saisie'!$BB$5:$BB$2004,0))="","",INDEX('Saisie'!$Q$5:$Q$2004,MATCH(27,'Saisie'!$BB$5:$BB$2004,0))),"")</f>
        <v/>
      </c>
    </row>
    <row r="52">
      <c r="B52" s="120">
        <f>IFERROR(IF(INDEX('Saisie'!$A$5:$A$2004,MATCH(28,'Saisie'!$BB$5:$BB$2004,0))="","",INDEX('Saisie'!$A$5:$A$2004,MATCH(28,'Saisie'!$BB$5:$BB$2004,0))),"")</f>
        <v/>
      </c>
      <c r="C52" s="121">
        <f>IFERROR(IF(INDEX('Saisie'!$B$5:$B$2004,MATCH(28,'Saisie'!$BB$5:$BB$2004,0))="","",INDEX('Saisie'!$B$5:$B$2004,MATCH(28,'Saisie'!$BB$5:$BB$2004,0))),"")</f>
        <v/>
      </c>
      <c r="D52" s="77">
        <f>IFERROR(IF(INDEX('Saisie'!$D$5:$D$2004,MATCH(28,'Saisie'!$BB$5:$BB$2004,0))="","",INDEX('Saisie'!$D$5:$D$2004,MATCH(28,'Saisie'!$BB$5:$BB$2004,0))),"")</f>
        <v/>
      </c>
      <c r="E52" s="77">
        <f>IFERROR(IF(INDEX('Saisie'!$E$5:$E$2004,MATCH(28,'Saisie'!$BB$5:$BB$2004,0))="","",INDEX('Saisie'!$E$5:$E$2004,MATCH(28,'Saisie'!$BB$5:$BB$2004,0))),"")</f>
        <v/>
      </c>
      <c r="F52" s="77">
        <f>IFERROR(IF(INDEX('Saisie'!$F$5:$F$2004,MATCH(28,'Saisie'!$BB$5:$BB$2004,0))="","",INDEX('Saisie'!$F$5:$F$2004,MATCH(28,'Saisie'!$BB$5:$BB$2004,0))),"")</f>
        <v/>
      </c>
      <c r="G52" s="122">
        <f>IFERROR(IF(INDEX('Saisie'!$AW$5:$AW$2004,MATCH(28,'Saisie'!$BB$5:$BB$2004,0))="","",INDEX('Saisie'!$AW$5:$AW$2004,MATCH(28,'Saisie'!$BB$5:$BB$2004,0))),"")</f>
        <v/>
      </c>
      <c r="H52" s="77">
        <f>IFERROR(IF(INDEX('Saisie'!$H$5:$H$2004,MATCH(28,'Saisie'!$BB$5:$BB$2004,0))="","",INDEX('Saisie'!$H$5:$H$2004,MATCH(28,'Saisie'!$BB$5:$BB$2004,0))),"")</f>
        <v/>
      </c>
      <c r="I52" s="77">
        <f>IFERROR(IF(INDEX('Saisie'!$L$5:$L$2004,MATCH(28,'Saisie'!$BB$5:$BB$2004,0))="","",INDEX('Saisie'!$L$5:$L$2004,MATCH(28,'Saisie'!$BB$5:$BB$2004,0))),"")</f>
        <v/>
      </c>
      <c r="J52" s="77">
        <f>IFERROR(IF(INDEX('Saisie'!$Q$5:$Q$2004,MATCH(28,'Saisie'!$BB$5:$BB$2004,0))="","",INDEX('Saisie'!$Q$5:$Q$2004,MATCH(28,'Saisie'!$BB$5:$BB$2004,0))),"")</f>
        <v/>
      </c>
    </row>
    <row r="53">
      <c r="B53" s="117">
        <f>IFERROR(IF(INDEX('Saisie'!$A$5:$A$2004,MATCH(29,'Saisie'!$BB$5:$BB$2004,0))="","",INDEX('Saisie'!$A$5:$A$2004,MATCH(29,'Saisie'!$BB$5:$BB$2004,0))),"")</f>
        <v/>
      </c>
      <c r="C53" s="118">
        <f>IFERROR(IF(INDEX('Saisie'!$B$5:$B$2004,MATCH(29,'Saisie'!$BB$5:$BB$2004,0))="","",INDEX('Saisie'!$B$5:$B$2004,MATCH(29,'Saisie'!$BB$5:$BB$2004,0))),"")</f>
        <v/>
      </c>
      <c r="D53" s="100">
        <f>IFERROR(IF(INDEX('Saisie'!$D$5:$D$2004,MATCH(29,'Saisie'!$BB$5:$BB$2004,0))="","",INDEX('Saisie'!$D$5:$D$2004,MATCH(29,'Saisie'!$BB$5:$BB$2004,0))),"")</f>
        <v/>
      </c>
      <c r="E53" s="100">
        <f>IFERROR(IF(INDEX('Saisie'!$E$5:$E$2004,MATCH(29,'Saisie'!$BB$5:$BB$2004,0))="","",INDEX('Saisie'!$E$5:$E$2004,MATCH(29,'Saisie'!$BB$5:$BB$2004,0))),"")</f>
        <v/>
      </c>
      <c r="F53" s="100">
        <f>IFERROR(IF(INDEX('Saisie'!$F$5:$F$2004,MATCH(29,'Saisie'!$BB$5:$BB$2004,0))="","",INDEX('Saisie'!$F$5:$F$2004,MATCH(29,'Saisie'!$BB$5:$BB$2004,0))),"")</f>
        <v/>
      </c>
      <c r="G53" s="119">
        <f>IFERROR(IF(INDEX('Saisie'!$AW$5:$AW$2004,MATCH(29,'Saisie'!$BB$5:$BB$2004,0))="","",INDEX('Saisie'!$AW$5:$AW$2004,MATCH(29,'Saisie'!$BB$5:$BB$2004,0))),"")</f>
        <v/>
      </c>
      <c r="H53" s="100">
        <f>IFERROR(IF(INDEX('Saisie'!$H$5:$H$2004,MATCH(29,'Saisie'!$BB$5:$BB$2004,0))="","",INDEX('Saisie'!$H$5:$H$2004,MATCH(29,'Saisie'!$BB$5:$BB$2004,0))),"")</f>
        <v/>
      </c>
      <c r="I53" s="100">
        <f>IFERROR(IF(INDEX('Saisie'!$L$5:$L$2004,MATCH(29,'Saisie'!$BB$5:$BB$2004,0))="","",INDEX('Saisie'!$L$5:$L$2004,MATCH(29,'Saisie'!$BB$5:$BB$2004,0))),"")</f>
        <v/>
      </c>
      <c r="J53" s="100">
        <f>IFERROR(IF(INDEX('Saisie'!$Q$5:$Q$2004,MATCH(29,'Saisie'!$BB$5:$BB$2004,0))="","",INDEX('Saisie'!$Q$5:$Q$2004,MATCH(29,'Saisie'!$BB$5:$BB$2004,0))),"")</f>
        <v/>
      </c>
    </row>
    <row r="54">
      <c r="B54" s="120">
        <f>IFERROR(IF(INDEX('Saisie'!$A$5:$A$2004,MATCH(30,'Saisie'!$BB$5:$BB$2004,0))="","",INDEX('Saisie'!$A$5:$A$2004,MATCH(30,'Saisie'!$BB$5:$BB$2004,0))),"")</f>
        <v/>
      </c>
      <c r="C54" s="121">
        <f>IFERROR(IF(INDEX('Saisie'!$B$5:$B$2004,MATCH(30,'Saisie'!$BB$5:$BB$2004,0))="","",INDEX('Saisie'!$B$5:$B$2004,MATCH(30,'Saisie'!$BB$5:$BB$2004,0))),"")</f>
        <v/>
      </c>
      <c r="D54" s="77">
        <f>IFERROR(IF(INDEX('Saisie'!$D$5:$D$2004,MATCH(30,'Saisie'!$BB$5:$BB$2004,0))="","",INDEX('Saisie'!$D$5:$D$2004,MATCH(30,'Saisie'!$BB$5:$BB$2004,0))),"")</f>
        <v/>
      </c>
      <c r="E54" s="77">
        <f>IFERROR(IF(INDEX('Saisie'!$E$5:$E$2004,MATCH(30,'Saisie'!$BB$5:$BB$2004,0))="","",INDEX('Saisie'!$E$5:$E$2004,MATCH(30,'Saisie'!$BB$5:$BB$2004,0))),"")</f>
        <v/>
      </c>
      <c r="F54" s="77">
        <f>IFERROR(IF(INDEX('Saisie'!$F$5:$F$2004,MATCH(30,'Saisie'!$BB$5:$BB$2004,0))="","",INDEX('Saisie'!$F$5:$F$2004,MATCH(30,'Saisie'!$BB$5:$BB$2004,0))),"")</f>
        <v/>
      </c>
      <c r="G54" s="122">
        <f>IFERROR(IF(INDEX('Saisie'!$AW$5:$AW$2004,MATCH(30,'Saisie'!$BB$5:$BB$2004,0))="","",INDEX('Saisie'!$AW$5:$AW$2004,MATCH(30,'Saisie'!$BB$5:$BB$2004,0))),"")</f>
        <v/>
      </c>
      <c r="H54" s="77">
        <f>IFERROR(IF(INDEX('Saisie'!$H$5:$H$2004,MATCH(30,'Saisie'!$BB$5:$BB$2004,0))="","",INDEX('Saisie'!$H$5:$H$2004,MATCH(30,'Saisie'!$BB$5:$BB$2004,0))),"")</f>
        <v/>
      </c>
      <c r="I54" s="77">
        <f>IFERROR(IF(INDEX('Saisie'!$L$5:$L$2004,MATCH(30,'Saisie'!$BB$5:$BB$2004,0))="","",INDEX('Saisie'!$L$5:$L$2004,MATCH(30,'Saisie'!$BB$5:$BB$2004,0))),"")</f>
        <v/>
      </c>
      <c r="J54" s="77">
        <f>IFERROR(IF(INDEX('Saisie'!$Q$5:$Q$2004,MATCH(30,'Saisie'!$BB$5:$BB$2004,0))="","",INDEX('Saisie'!$Q$5:$Q$2004,MATCH(30,'Saisie'!$BB$5:$BB$2004,0))),"")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mergeCells count="35">
    <mergeCell ref="G10:I10"/>
    <mergeCell ref="C15:D15"/>
    <mergeCell ref="G13:I13"/>
    <mergeCell ref="G19:I19"/>
    <mergeCell ref="B23:J23"/>
    <mergeCell ref="C14:D14"/>
    <mergeCell ref="G18:I18"/>
    <mergeCell ref="C18:D18"/>
    <mergeCell ref="G15:I15"/>
    <mergeCell ref="C4:D4"/>
    <mergeCell ref="C20:D20"/>
    <mergeCell ref="C10:D10"/>
    <mergeCell ref="C16:D16"/>
    <mergeCell ref="G14:I14"/>
    <mergeCell ref="G20:I20"/>
    <mergeCell ref="C9:D9"/>
    <mergeCell ref="A1:J1"/>
    <mergeCell ref="C12:D12"/>
    <mergeCell ref="G16:I16"/>
    <mergeCell ref="C21:D21"/>
    <mergeCell ref="C11:D11"/>
    <mergeCell ref="G9:I9"/>
    <mergeCell ref="G12:I12"/>
    <mergeCell ref="C17:D17"/>
    <mergeCell ref="G21:I21"/>
    <mergeCell ref="C8:D8"/>
    <mergeCell ref="G11:I11"/>
    <mergeCell ref="C7:D7"/>
    <mergeCell ref="B6:I6"/>
    <mergeCell ref="C19:D19"/>
    <mergeCell ref="G8:I8"/>
    <mergeCell ref="C13:D13"/>
    <mergeCell ref="G17:I17"/>
    <mergeCell ref="A2:J2"/>
    <mergeCell ref="G7:I7"/>
  </mergeCells>
  <dataValidations count="1">
    <dataValidation sqref="C4" showDropDown="0" showInputMessage="0" showErrorMessage="1" allowBlank="1" errorTitle="Valeur non valide" error="Choisis une valeur dans la liste (modifiable dans Paramètres)." type="list">
      <formula1>'Prospects'!$C$5:$C$504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AD1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26" customWidth="1" min="4" max="4"/>
    <col width="16" customWidth="1" min="5" max="5"/>
    <col width="15" customWidth="1" min="6" max="6"/>
    <col width="10" customWidth="1" min="7" max="7"/>
    <col width="16" customWidth="1" min="8" max="8"/>
    <col width="15" customWidth="1" min="9" max="9"/>
    <col width="15" customWidth="1" min="10" max="10"/>
    <col width="16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0" customWidth="1" min="20" max="20"/>
    <col width="11" customWidth="1" min="21" max="21"/>
    <col width="9" customWidth="1" min="22" max="22"/>
    <col width="8" customWidth="1" min="23" max="23"/>
    <col width="11" customWidth="1" min="24" max="24"/>
    <col width="11" customWidth="1" min="25" max="25"/>
    <col width="9" customWidth="1" min="26" max="26"/>
    <col width="8" customWidth="1" min="27" max="27"/>
    <col width="8" customWidth="1" min="28" max="28"/>
    <col width="11" customWidth="1" min="29" max="29"/>
    <col width="6" customWidth="1" min="30" max="30"/>
  </cols>
  <sheetData>
    <row r="1" ht="34" customHeight="1">
      <c r="A1" s="43">
        <f>HYPERLINK("#'Saisie'!A1","↩ Saisie")</f>
        <v/>
      </c>
      <c r="B1" s="1" t="inlineStr">
        <is>
          <t>🤝 CLIENTS — automatique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40" customHeight="1">
      <c r="A2" s="3" t="inlineStr">
        <is>
          <t>100 % automatique : un prospect devient client dès que tu saisis l'action « Signature ». Paiements (action « Paiement reçu »), ventes additionnelles, onboarding (actions « Onboarding - … »), avis Google, satisfaction et résiliation se saisissent aussi dans Saisie.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 ht="16" customHeight="1">
      <c r="A3" s="44" t="inlineStr">
        <is>
          <t>CLIENT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45" t="inlineStr">
        <is>
          <t>FINANCES</t>
        </is>
      </c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9" t="inlineStr">
        <is>
          <t>SUIVI CLIENT</t>
        </is>
      </c>
      <c r="AA3" s="50" t="n"/>
      <c r="AB3" s="50" t="n"/>
      <c r="AC3" s="50" t="n"/>
      <c r="AD3" s="50" t="n"/>
    </row>
    <row r="4" ht="40" customHeight="1">
      <c r="A4" s="52" t="inlineStr">
        <is>
          <t>N° client</t>
        </is>
      </c>
      <c r="B4" s="52" t="inlineStr">
        <is>
          <t>Entreprise</t>
        </is>
      </c>
      <c r="C4" s="52" t="inlineStr">
        <is>
          <t>Statut</t>
        </is>
      </c>
      <c r="D4" s="52" t="inlineStr">
        <is>
          <t>Alerte</t>
        </is>
      </c>
      <c r="E4" s="52" t="inlineStr">
        <is>
          <t>Contact</t>
        </is>
      </c>
      <c r="F4" s="52" t="inlineStr">
        <is>
          <t>Téléphone</t>
        </is>
      </c>
      <c r="G4" s="52" t="inlineStr">
        <is>
          <t>Canal d'origine</t>
        </is>
      </c>
      <c r="H4" s="52" t="inlineStr">
        <is>
          <t>Secteur</t>
        </is>
      </c>
      <c r="I4" s="52" t="inlineStr">
        <is>
          <t>Source</t>
        </is>
      </c>
      <c r="J4" s="52" t="inlineStr">
        <is>
          <t>Recommandé par</t>
        </is>
      </c>
      <c r="K4" s="52" t="inlineStr">
        <is>
          <t>Offre</t>
        </is>
      </c>
      <c r="L4" s="52" t="inlineStr">
        <is>
          <t>Date signature</t>
        </is>
      </c>
      <c r="M4" s="52" t="inlineStr">
        <is>
          <t>Montant signé</t>
        </is>
      </c>
      <c r="N4" s="52" t="inlineStr">
        <is>
          <t>Ventes additionnelles</t>
        </is>
      </c>
      <c r="O4" s="52" t="inlineStr">
        <is>
          <t>Total signé</t>
        </is>
      </c>
      <c r="P4" s="52" t="inlineStr">
        <is>
          <t>Encaissé</t>
        </is>
      </c>
      <c r="Q4" s="52" t="inlineStr">
        <is>
          <t>Reste à encaisser</t>
        </is>
      </c>
      <c r="R4" s="52" t="inlineStr">
        <is>
          <t>Statut paiement</t>
        </is>
      </c>
      <c r="S4" s="52" t="inlineStr">
        <is>
          <t>Dernière facture</t>
        </is>
      </c>
      <c r="T4" s="52" t="inlineStr">
        <is>
          <t>Abonnement (€/mois)</t>
        </is>
      </c>
      <c r="U4" s="52" t="inlineStr">
        <is>
          <t>Renouvellement</t>
        </is>
      </c>
      <c r="V4" s="52" t="inlineStr">
        <is>
          <t>Jours avant renouvellement</t>
        </is>
      </c>
      <c r="W4" s="52" t="inlineStr">
        <is>
          <t>Ancienneté (mois)</t>
        </is>
      </c>
      <c r="X4" s="52" t="inlineStr">
        <is>
          <t>Valeur vie client</t>
        </is>
      </c>
      <c r="Y4" s="52" t="inlineStr">
        <is>
          <t>Marge</t>
        </is>
      </c>
      <c r="Z4" s="52" t="inlineStr">
        <is>
          <t>Onboarding</t>
        </is>
      </c>
      <c r="AA4" s="52" t="inlineStr">
        <is>
          <t>Avis Google demandé</t>
        </is>
      </c>
      <c r="AB4" s="52" t="inlineStr">
        <is>
          <t>Satisfaction (/10)</t>
        </is>
      </c>
      <c r="AC4" s="52" t="inlineStr">
        <is>
          <t>Date résiliation</t>
        </is>
      </c>
      <c r="AD4" s="52" t="inlineStr">
        <is>
          <t>Rang alerte</t>
        </is>
      </c>
    </row>
    <row r="5">
      <c r="A5" s="60">
        <f>IF(B5="","","C-"&amp;TEXT(1,"000"))</f>
        <v/>
      </c>
      <c r="B5" s="60">
        <f>IFERROR(INDEX('Prospects'!$C$5:$C$504,MATCH(1,'Prospects'!$BX$5:$BX$504,0)),"")</f>
        <v/>
      </c>
      <c r="C5" s="60">
        <f>IF(B5="","",IF(AC5&lt;&gt;"","Résilié","Actif"))</f>
        <v/>
      </c>
      <c r="D5" s="60">
        <f>IF(B5="","",IF(C5="Résilié","",IF(R5="En retard","Paiement en retard",IF(AND(V5&lt;&gt;"",N(V5)&lt;='Paramètres'!$B$30,N(V5)&gt;=0),"Renouvellement dans "&amp;V5&amp;" j",IF(AND(AA5="Non",TODAY()-N(L5)&gt;='Paramètres'!$B$29),"Demander un avis Google",IF(Z5&lt;1,"Onboarding à terminer",""))))))</f>
        <v/>
      </c>
      <c r="E5" s="60">
        <f>IF(B5="","",INDEX('Prospects'!$J$5:$J$504,MATCH(B5,'Prospects'!$C$5:$C$504,0))&amp;"")</f>
        <v/>
      </c>
      <c r="F5" s="60">
        <f>IF(B5="","",INDEX('Prospects'!$K$5:$K$504,MATCH(B5,'Prospects'!$C$5:$C$504,0))&amp;"")</f>
        <v/>
      </c>
      <c r="G5" s="60">
        <f>IF(B5="","",INDEX('Prospects'!$N$5:$N$504,MATCH(B5,'Prospects'!$C$5:$C$504,0))&amp;"")</f>
        <v/>
      </c>
      <c r="H5" s="60">
        <f>IF(B5="","",INDEX('Prospects'!$S$5:$S$504,MATCH(B5,'Prospects'!$C$5:$C$504,0))&amp;"")</f>
        <v/>
      </c>
      <c r="I5" s="60">
        <f>IF(B5="","",INDEX('Prospects'!$X$5:$X$504,MATCH(B5,'Prospects'!$C$5:$C$504,0))&amp;"")</f>
        <v/>
      </c>
      <c r="J5" s="60">
        <f>IF(B5="","",INDEX('Prospects'!$Y$5:$Y$504,MATCH(B5,'Prospects'!$C$5:$C$504,0))&amp;"")</f>
        <v/>
      </c>
      <c r="K5" s="60">
        <f>IF(B5="","",INDEX('Prospects'!$AN$5:$AN$504,MATCH(B5,'Prospects'!$C$5:$C$504,0))&amp;"")</f>
        <v/>
      </c>
      <c r="L5" s="106">
        <f>IF(B5="","",INDEX('Prospects'!$AT$5:$AT$504,MATCH(B5,'Prospects'!$C$5:$C$504,0)))</f>
        <v/>
      </c>
      <c r="M5" s="62">
        <f>IF(B5="","",SUMIFS('Saisie'!$AW$5:$AW$2004,'Saisie'!$C$5:$C$2004,B5,'Saisie'!$E$5:$E$2004,"Signature"))</f>
        <v/>
      </c>
      <c r="N5" s="62">
        <f>IF(B5="","",SUMIFS('Saisie'!$AW$5:$AW$2004,'Saisie'!$C$5:$C$2004,B5,'Saisie'!$E$5:$E$2004,"Vente additionnelle"))</f>
        <v/>
      </c>
      <c r="O5" s="62">
        <f>IF(B5="","",M5+N5)</f>
        <v/>
      </c>
      <c r="P5" s="62">
        <f>IF(B5="","",SUMIFS('Saisie'!$AW$5:$AW$2004,'Saisie'!$C$5:$C$2004,B5,'Saisie'!$E$5:$E$2004,"Paiement reçu"))</f>
        <v/>
      </c>
      <c r="Q5" s="62">
        <f>IF(B5="","",MAX(0,O5-P5))</f>
        <v/>
      </c>
      <c r="R5" s="60">
        <f>IF(B5="","",IF(O5=0,"",IF(Q5&lt;=0,"Payé",IF(TODAY()-N(L5)&gt;'Paramètres'!$B$27,"En retard",IF(P5&gt;0,"Partiel","En attente")))))</f>
        <v/>
      </c>
      <c r="S5" s="60">
        <f>IF(B5="","",IFERROR(INDEX('Saisie'!$O$5:$O$2004,_xlfn.MAXIFS('Saisie'!$AS$5:$AS$2004,'Saisie'!$C$5:$C$2004,B5,'Saisie'!$O$5:$O$2004,"&lt;&gt;")-4),""))</f>
        <v/>
      </c>
      <c r="T5" s="62">
        <f>IF(B5="","",N(INDEX('Prospects'!$AO$5:$AO$504,MATCH(B5,'Prospects'!$C$5:$C$504,0))))</f>
        <v/>
      </c>
      <c r="U5" s="106">
        <f>IF(B5="","",IF(L5="","",EDATE(L5,'Paramètres'!$B$33)))</f>
        <v/>
      </c>
      <c r="V5" s="61">
        <f>IF(B5="","",IF(U5="","",U5-TODAY()))</f>
        <v/>
      </c>
      <c r="W5" s="61">
        <f>IF(B5="","",IF(L5="","",INT((TODAY()-L5)/30.44)))</f>
        <v/>
      </c>
      <c r="X5" s="62">
        <f>IF(B5="","",O5+T5*'Paramètres'!$B$34)</f>
        <v/>
      </c>
      <c r="Y5" s="62">
        <f>IF(B5="","",O5-N(IFERROR(INDEX('Paramètres'!$T$6:$T$15,MATCH(K5,'Paramètres'!$Q$6:$Q$15,0)),0)))</f>
        <v/>
      </c>
      <c r="Z5" s="123">
        <f>IF(B5="","",((COUNTIFS('Saisie'!$C$5:$C$2004,B5,'Saisie'!$E$5:$E$2004,"Onboarding - Contrat")&gt;0)+(COUNTIFS('Saisie'!$C$5:$C$2004,B5,'Saisie'!$E$5:$E$2004,"Onboarding - Accès")&gt;0)+(COUNTIFS('Saisie'!$C$5:$C$2004,B5,'Saisie'!$E$5:$E$2004,"Onboarding - Contenus")&gt;0)+(COUNTIFS('Saisie'!$C$5:$C$2004,B5,'Saisie'!$E$5:$E$2004,"Onboarding - Lancement")&gt;0))/4)</f>
        <v/>
      </c>
      <c r="AA5" s="60">
        <f>IF(B5="","",IF(COUNTIFS('Saisie'!$C$5:$C$2004,B5,'Saisie'!$E$5:$E$2004,"Demande d'avis Google")&gt;0,"Oui","Non"))</f>
        <v/>
      </c>
      <c r="AB5" s="61">
        <f>IF(B5="","",IFERROR(INDEX('Saisie'!$N$5:$N$2004,_xlfn.MAXIFS('Saisie'!$AS$5:$AS$2004,'Saisie'!$C$5:$C$2004,B5,'Saisie'!$E$5:$E$2004,"Satisfaction client")-4)&amp;"",""))</f>
        <v/>
      </c>
      <c r="AC5" s="106">
        <f>IF(B5="","",IFERROR(1/(1/_xlfn.MAXIFS('Saisie'!$A$5:$A$2004,'Saisie'!$C$5:$C$2004,B5,'Saisie'!$E$5:$E$2004,"Résiliation")),""))</f>
        <v/>
      </c>
      <c r="AD5" s="60">
        <f>IF(D5&lt;&gt;"",MAX($AD$4:AD4)+1,"")</f>
        <v/>
      </c>
    </row>
    <row r="6">
      <c r="A6" s="60">
        <f>IF(B6="","","C-"&amp;TEXT(2,"000"))</f>
        <v/>
      </c>
      <c r="B6" s="60">
        <f>IFERROR(INDEX('Prospects'!$C$5:$C$504,MATCH(2,'Prospects'!$BX$5:$BX$504,0)),"")</f>
        <v/>
      </c>
      <c r="C6" s="60">
        <f>IF(B6="","",IF(AC6&lt;&gt;"","Résilié","Actif"))</f>
        <v/>
      </c>
      <c r="D6" s="60">
        <f>IF(B6="","",IF(C6="Résilié","",IF(R6="En retard","Paiement en retard",IF(AND(V6&lt;&gt;"",N(V6)&lt;='Paramètres'!$B$30,N(V6)&gt;=0),"Renouvellement dans "&amp;V6&amp;" j",IF(AND(AA6="Non",TODAY()-N(L6)&gt;='Paramètres'!$B$29),"Demander un avis Google",IF(Z6&lt;1,"Onboarding à terminer",""))))))</f>
        <v/>
      </c>
      <c r="E6" s="60">
        <f>IF(B6="","",INDEX('Prospects'!$J$5:$J$504,MATCH(B6,'Prospects'!$C$5:$C$504,0))&amp;"")</f>
        <v/>
      </c>
      <c r="F6" s="60">
        <f>IF(B6="","",INDEX('Prospects'!$K$5:$K$504,MATCH(B6,'Prospects'!$C$5:$C$504,0))&amp;"")</f>
        <v/>
      </c>
      <c r="G6" s="60">
        <f>IF(B6="","",INDEX('Prospects'!$N$5:$N$504,MATCH(B6,'Prospects'!$C$5:$C$504,0))&amp;"")</f>
        <v/>
      </c>
      <c r="H6" s="60">
        <f>IF(B6="","",INDEX('Prospects'!$S$5:$S$504,MATCH(B6,'Prospects'!$C$5:$C$504,0))&amp;"")</f>
        <v/>
      </c>
      <c r="I6" s="60">
        <f>IF(B6="","",INDEX('Prospects'!$X$5:$X$504,MATCH(B6,'Prospects'!$C$5:$C$504,0))&amp;"")</f>
        <v/>
      </c>
      <c r="J6" s="60">
        <f>IF(B6="","",INDEX('Prospects'!$Y$5:$Y$504,MATCH(B6,'Prospects'!$C$5:$C$504,0))&amp;"")</f>
        <v/>
      </c>
      <c r="K6" s="60">
        <f>IF(B6="","",INDEX('Prospects'!$AN$5:$AN$504,MATCH(B6,'Prospects'!$C$5:$C$504,0))&amp;"")</f>
        <v/>
      </c>
      <c r="L6" s="106">
        <f>IF(B6="","",INDEX('Prospects'!$AT$5:$AT$504,MATCH(B6,'Prospects'!$C$5:$C$504,0)))</f>
        <v/>
      </c>
      <c r="M6" s="62">
        <f>IF(B6="","",SUMIFS('Saisie'!$AW$5:$AW$2004,'Saisie'!$C$5:$C$2004,B6,'Saisie'!$E$5:$E$2004,"Signature"))</f>
        <v/>
      </c>
      <c r="N6" s="62">
        <f>IF(B6="","",SUMIFS('Saisie'!$AW$5:$AW$2004,'Saisie'!$C$5:$C$2004,B6,'Saisie'!$E$5:$E$2004,"Vente additionnelle"))</f>
        <v/>
      </c>
      <c r="O6" s="62">
        <f>IF(B6="","",M6+N6)</f>
        <v/>
      </c>
      <c r="P6" s="62">
        <f>IF(B6="","",SUMIFS('Saisie'!$AW$5:$AW$2004,'Saisie'!$C$5:$C$2004,B6,'Saisie'!$E$5:$E$2004,"Paiement reçu"))</f>
        <v/>
      </c>
      <c r="Q6" s="62">
        <f>IF(B6="","",MAX(0,O6-P6))</f>
        <v/>
      </c>
      <c r="R6" s="60">
        <f>IF(B6="","",IF(O6=0,"",IF(Q6&lt;=0,"Payé",IF(TODAY()-N(L6)&gt;'Paramètres'!$B$27,"En retard",IF(P6&gt;0,"Partiel","En attente")))))</f>
        <v/>
      </c>
      <c r="S6" s="60">
        <f>IF(B6="","",IFERROR(INDEX('Saisie'!$O$5:$O$2004,_xlfn.MAXIFS('Saisie'!$AS$5:$AS$2004,'Saisie'!$C$5:$C$2004,B6,'Saisie'!$O$5:$O$2004,"&lt;&gt;")-4),""))</f>
        <v/>
      </c>
      <c r="T6" s="62">
        <f>IF(B6="","",N(INDEX('Prospects'!$AO$5:$AO$504,MATCH(B6,'Prospects'!$C$5:$C$504,0))))</f>
        <v/>
      </c>
      <c r="U6" s="106">
        <f>IF(B6="","",IF(L6="","",EDATE(L6,'Paramètres'!$B$33)))</f>
        <v/>
      </c>
      <c r="V6" s="61">
        <f>IF(B6="","",IF(U6="","",U6-TODAY()))</f>
        <v/>
      </c>
      <c r="W6" s="61">
        <f>IF(B6="","",IF(L6="","",INT((TODAY()-L6)/30.44)))</f>
        <v/>
      </c>
      <c r="X6" s="62">
        <f>IF(B6="","",O6+T6*'Paramètres'!$B$34)</f>
        <v/>
      </c>
      <c r="Y6" s="62">
        <f>IF(B6="","",O6-N(IFERROR(INDEX('Paramètres'!$T$6:$T$15,MATCH(K6,'Paramètres'!$Q$6:$Q$15,0)),0)))</f>
        <v/>
      </c>
      <c r="Z6" s="123">
        <f>IF(B6="","",((COUNTIFS('Saisie'!$C$5:$C$2004,B6,'Saisie'!$E$5:$E$2004,"Onboarding - Contrat")&gt;0)+(COUNTIFS('Saisie'!$C$5:$C$2004,B6,'Saisie'!$E$5:$E$2004,"Onboarding - Accès")&gt;0)+(COUNTIFS('Saisie'!$C$5:$C$2004,B6,'Saisie'!$E$5:$E$2004,"Onboarding - Contenus")&gt;0)+(COUNTIFS('Saisie'!$C$5:$C$2004,B6,'Saisie'!$E$5:$E$2004,"Onboarding - Lancement")&gt;0))/4)</f>
        <v/>
      </c>
      <c r="AA6" s="60">
        <f>IF(B6="","",IF(COUNTIFS('Saisie'!$C$5:$C$2004,B6,'Saisie'!$E$5:$E$2004,"Demande d'avis Google")&gt;0,"Oui","Non"))</f>
        <v/>
      </c>
      <c r="AB6" s="61">
        <f>IF(B6="","",IFERROR(INDEX('Saisie'!$N$5:$N$2004,_xlfn.MAXIFS('Saisie'!$AS$5:$AS$2004,'Saisie'!$C$5:$C$2004,B6,'Saisie'!$E$5:$E$2004,"Satisfaction client")-4)&amp;"",""))</f>
        <v/>
      </c>
      <c r="AC6" s="106">
        <f>IF(B6="","",IFERROR(1/(1/_xlfn.MAXIFS('Saisie'!$A$5:$A$2004,'Saisie'!$C$5:$C$2004,B6,'Saisie'!$E$5:$E$2004,"Résiliation")),""))</f>
        <v/>
      </c>
      <c r="AD6" s="60">
        <f>IF(D6&lt;&gt;"",MAX($AD$4:AD5)+1,"")</f>
        <v/>
      </c>
    </row>
    <row r="7">
      <c r="A7" s="60">
        <f>IF(B7="","","C-"&amp;TEXT(3,"000"))</f>
        <v/>
      </c>
      <c r="B7" s="60">
        <f>IFERROR(INDEX('Prospects'!$C$5:$C$504,MATCH(3,'Prospects'!$BX$5:$BX$504,0)),"")</f>
        <v/>
      </c>
      <c r="C7" s="60">
        <f>IF(B7="","",IF(AC7&lt;&gt;"","Résilié","Actif"))</f>
        <v/>
      </c>
      <c r="D7" s="60">
        <f>IF(B7="","",IF(C7="Résilié","",IF(R7="En retard","Paiement en retard",IF(AND(V7&lt;&gt;"",N(V7)&lt;='Paramètres'!$B$30,N(V7)&gt;=0),"Renouvellement dans "&amp;V7&amp;" j",IF(AND(AA7="Non",TODAY()-N(L7)&gt;='Paramètres'!$B$29),"Demander un avis Google",IF(Z7&lt;1,"Onboarding à terminer",""))))))</f>
        <v/>
      </c>
      <c r="E7" s="60">
        <f>IF(B7="","",INDEX('Prospects'!$J$5:$J$504,MATCH(B7,'Prospects'!$C$5:$C$504,0))&amp;"")</f>
        <v/>
      </c>
      <c r="F7" s="60">
        <f>IF(B7="","",INDEX('Prospects'!$K$5:$K$504,MATCH(B7,'Prospects'!$C$5:$C$504,0))&amp;"")</f>
        <v/>
      </c>
      <c r="G7" s="60">
        <f>IF(B7="","",INDEX('Prospects'!$N$5:$N$504,MATCH(B7,'Prospects'!$C$5:$C$504,0))&amp;"")</f>
        <v/>
      </c>
      <c r="H7" s="60">
        <f>IF(B7="","",INDEX('Prospects'!$S$5:$S$504,MATCH(B7,'Prospects'!$C$5:$C$504,0))&amp;"")</f>
        <v/>
      </c>
      <c r="I7" s="60">
        <f>IF(B7="","",INDEX('Prospects'!$X$5:$X$504,MATCH(B7,'Prospects'!$C$5:$C$504,0))&amp;"")</f>
        <v/>
      </c>
      <c r="J7" s="60">
        <f>IF(B7="","",INDEX('Prospects'!$Y$5:$Y$504,MATCH(B7,'Prospects'!$C$5:$C$504,0))&amp;"")</f>
        <v/>
      </c>
      <c r="K7" s="60">
        <f>IF(B7="","",INDEX('Prospects'!$AN$5:$AN$504,MATCH(B7,'Prospects'!$C$5:$C$504,0))&amp;"")</f>
        <v/>
      </c>
      <c r="L7" s="106">
        <f>IF(B7="","",INDEX('Prospects'!$AT$5:$AT$504,MATCH(B7,'Prospects'!$C$5:$C$504,0)))</f>
        <v/>
      </c>
      <c r="M7" s="62">
        <f>IF(B7="","",SUMIFS('Saisie'!$AW$5:$AW$2004,'Saisie'!$C$5:$C$2004,B7,'Saisie'!$E$5:$E$2004,"Signature"))</f>
        <v/>
      </c>
      <c r="N7" s="62">
        <f>IF(B7="","",SUMIFS('Saisie'!$AW$5:$AW$2004,'Saisie'!$C$5:$C$2004,B7,'Saisie'!$E$5:$E$2004,"Vente additionnelle"))</f>
        <v/>
      </c>
      <c r="O7" s="62">
        <f>IF(B7="","",M7+N7)</f>
        <v/>
      </c>
      <c r="P7" s="62">
        <f>IF(B7="","",SUMIFS('Saisie'!$AW$5:$AW$2004,'Saisie'!$C$5:$C$2004,B7,'Saisie'!$E$5:$E$2004,"Paiement reçu"))</f>
        <v/>
      </c>
      <c r="Q7" s="62">
        <f>IF(B7="","",MAX(0,O7-P7))</f>
        <v/>
      </c>
      <c r="R7" s="60">
        <f>IF(B7="","",IF(O7=0,"",IF(Q7&lt;=0,"Payé",IF(TODAY()-N(L7)&gt;'Paramètres'!$B$27,"En retard",IF(P7&gt;0,"Partiel","En attente")))))</f>
        <v/>
      </c>
      <c r="S7" s="60">
        <f>IF(B7="","",IFERROR(INDEX('Saisie'!$O$5:$O$2004,_xlfn.MAXIFS('Saisie'!$AS$5:$AS$2004,'Saisie'!$C$5:$C$2004,B7,'Saisie'!$O$5:$O$2004,"&lt;&gt;")-4),""))</f>
        <v/>
      </c>
      <c r="T7" s="62">
        <f>IF(B7="","",N(INDEX('Prospects'!$AO$5:$AO$504,MATCH(B7,'Prospects'!$C$5:$C$504,0))))</f>
        <v/>
      </c>
      <c r="U7" s="106">
        <f>IF(B7="","",IF(L7="","",EDATE(L7,'Paramètres'!$B$33)))</f>
        <v/>
      </c>
      <c r="V7" s="61">
        <f>IF(B7="","",IF(U7="","",U7-TODAY()))</f>
        <v/>
      </c>
      <c r="W7" s="61">
        <f>IF(B7="","",IF(L7="","",INT((TODAY()-L7)/30.44)))</f>
        <v/>
      </c>
      <c r="X7" s="62">
        <f>IF(B7="","",O7+T7*'Paramètres'!$B$34)</f>
        <v/>
      </c>
      <c r="Y7" s="62">
        <f>IF(B7="","",O7-N(IFERROR(INDEX('Paramètres'!$T$6:$T$15,MATCH(K7,'Paramètres'!$Q$6:$Q$15,0)),0)))</f>
        <v/>
      </c>
      <c r="Z7" s="123">
        <f>IF(B7="","",((COUNTIFS('Saisie'!$C$5:$C$2004,B7,'Saisie'!$E$5:$E$2004,"Onboarding - Contrat")&gt;0)+(COUNTIFS('Saisie'!$C$5:$C$2004,B7,'Saisie'!$E$5:$E$2004,"Onboarding - Accès")&gt;0)+(COUNTIFS('Saisie'!$C$5:$C$2004,B7,'Saisie'!$E$5:$E$2004,"Onboarding - Contenus")&gt;0)+(COUNTIFS('Saisie'!$C$5:$C$2004,B7,'Saisie'!$E$5:$E$2004,"Onboarding - Lancement")&gt;0))/4)</f>
        <v/>
      </c>
      <c r="AA7" s="60">
        <f>IF(B7="","",IF(COUNTIFS('Saisie'!$C$5:$C$2004,B7,'Saisie'!$E$5:$E$2004,"Demande d'avis Google")&gt;0,"Oui","Non"))</f>
        <v/>
      </c>
      <c r="AB7" s="61">
        <f>IF(B7="","",IFERROR(INDEX('Saisie'!$N$5:$N$2004,_xlfn.MAXIFS('Saisie'!$AS$5:$AS$2004,'Saisie'!$C$5:$C$2004,B7,'Saisie'!$E$5:$E$2004,"Satisfaction client")-4)&amp;"",""))</f>
        <v/>
      </c>
      <c r="AC7" s="106">
        <f>IF(B7="","",IFERROR(1/(1/_xlfn.MAXIFS('Saisie'!$A$5:$A$2004,'Saisie'!$C$5:$C$2004,B7,'Saisie'!$E$5:$E$2004,"Résiliation")),""))</f>
        <v/>
      </c>
      <c r="AD7" s="60">
        <f>IF(D7&lt;&gt;"",MAX($AD$4:AD6)+1,"")</f>
        <v/>
      </c>
    </row>
    <row r="8">
      <c r="A8" s="60">
        <f>IF(B8="","","C-"&amp;TEXT(4,"000"))</f>
        <v/>
      </c>
      <c r="B8" s="60">
        <f>IFERROR(INDEX('Prospects'!$C$5:$C$504,MATCH(4,'Prospects'!$BX$5:$BX$504,0)),"")</f>
        <v/>
      </c>
      <c r="C8" s="60">
        <f>IF(B8="","",IF(AC8&lt;&gt;"","Résilié","Actif"))</f>
        <v/>
      </c>
      <c r="D8" s="60">
        <f>IF(B8="","",IF(C8="Résilié","",IF(R8="En retard","Paiement en retard",IF(AND(V8&lt;&gt;"",N(V8)&lt;='Paramètres'!$B$30,N(V8)&gt;=0),"Renouvellement dans "&amp;V8&amp;" j",IF(AND(AA8="Non",TODAY()-N(L8)&gt;='Paramètres'!$B$29),"Demander un avis Google",IF(Z8&lt;1,"Onboarding à terminer",""))))))</f>
        <v/>
      </c>
      <c r="E8" s="60">
        <f>IF(B8="","",INDEX('Prospects'!$J$5:$J$504,MATCH(B8,'Prospects'!$C$5:$C$504,0))&amp;"")</f>
        <v/>
      </c>
      <c r="F8" s="60">
        <f>IF(B8="","",INDEX('Prospects'!$K$5:$K$504,MATCH(B8,'Prospects'!$C$5:$C$504,0))&amp;"")</f>
        <v/>
      </c>
      <c r="G8" s="60">
        <f>IF(B8="","",INDEX('Prospects'!$N$5:$N$504,MATCH(B8,'Prospects'!$C$5:$C$504,0))&amp;"")</f>
        <v/>
      </c>
      <c r="H8" s="60">
        <f>IF(B8="","",INDEX('Prospects'!$S$5:$S$504,MATCH(B8,'Prospects'!$C$5:$C$504,0))&amp;"")</f>
        <v/>
      </c>
      <c r="I8" s="60">
        <f>IF(B8="","",INDEX('Prospects'!$X$5:$X$504,MATCH(B8,'Prospects'!$C$5:$C$504,0))&amp;"")</f>
        <v/>
      </c>
      <c r="J8" s="60">
        <f>IF(B8="","",INDEX('Prospects'!$Y$5:$Y$504,MATCH(B8,'Prospects'!$C$5:$C$504,0))&amp;"")</f>
        <v/>
      </c>
      <c r="K8" s="60">
        <f>IF(B8="","",INDEX('Prospects'!$AN$5:$AN$504,MATCH(B8,'Prospects'!$C$5:$C$504,0))&amp;"")</f>
        <v/>
      </c>
      <c r="L8" s="106">
        <f>IF(B8="","",INDEX('Prospects'!$AT$5:$AT$504,MATCH(B8,'Prospects'!$C$5:$C$504,0)))</f>
        <v/>
      </c>
      <c r="M8" s="62">
        <f>IF(B8="","",SUMIFS('Saisie'!$AW$5:$AW$2004,'Saisie'!$C$5:$C$2004,B8,'Saisie'!$E$5:$E$2004,"Signature"))</f>
        <v/>
      </c>
      <c r="N8" s="62">
        <f>IF(B8="","",SUMIFS('Saisie'!$AW$5:$AW$2004,'Saisie'!$C$5:$C$2004,B8,'Saisie'!$E$5:$E$2004,"Vente additionnelle"))</f>
        <v/>
      </c>
      <c r="O8" s="62">
        <f>IF(B8="","",M8+N8)</f>
        <v/>
      </c>
      <c r="P8" s="62">
        <f>IF(B8="","",SUMIFS('Saisie'!$AW$5:$AW$2004,'Saisie'!$C$5:$C$2004,B8,'Saisie'!$E$5:$E$2004,"Paiement reçu"))</f>
        <v/>
      </c>
      <c r="Q8" s="62">
        <f>IF(B8="","",MAX(0,O8-P8))</f>
        <v/>
      </c>
      <c r="R8" s="60">
        <f>IF(B8="","",IF(O8=0,"",IF(Q8&lt;=0,"Payé",IF(TODAY()-N(L8)&gt;'Paramètres'!$B$27,"En retard",IF(P8&gt;0,"Partiel","En attente")))))</f>
        <v/>
      </c>
      <c r="S8" s="60">
        <f>IF(B8="","",IFERROR(INDEX('Saisie'!$O$5:$O$2004,_xlfn.MAXIFS('Saisie'!$AS$5:$AS$2004,'Saisie'!$C$5:$C$2004,B8,'Saisie'!$O$5:$O$2004,"&lt;&gt;")-4),""))</f>
        <v/>
      </c>
      <c r="T8" s="62">
        <f>IF(B8="","",N(INDEX('Prospects'!$AO$5:$AO$504,MATCH(B8,'Prospects'!$C$5:$C$504,0))))</f>
        <v/>
      </c>
      <c r="U8" s="106">
        <f>IF(B8="","",IF(L8="","",EDATE(L8,'Paramètres'!$B$33)))</f>
        <v/>
      </c>
      <c r="V8" s="61">
        <f>IF(B8="","",IF(U8="","",U8-TODAY()))</f>
        <v/>
      </c>
      <c r="W8" s="61">
        <f>IF(B8="","",IF(L8="","",INT((TODAY()-L8)/30.44)))</f>
        <v/>
      </c>
      <c r="X8" s="62">
        <f>IF(B8="","",O8+T8*'Paramètres'!$B$34)</f>
        <v/>
      </c>
      <c r="Y8" s="62">
        <f>IF(B8="","",O8-N(IFERROR(INDEX('Paramètres'!$T$6:$T$15,MATCH(K8,'Paramètres'!$Q$6:$Q$15,0)),0)))</f>
        <v/>
      </c>
      <c r="Z8" s="123">
        <f>IF(B8="","",((COUNTIFS('Saisie'!$C$5:$C$2004,B8,'Saisie'!$E$5:$E$2004,"Onboarding - Contrat")&gt;0)+(COUNTIFS('Saisie'!$C$5:$C$2004,B8,'Saisie'!$E$5:$E$2004,"Onboarding - Accès")&gt;0)+(COUNTIFS('Saisie'!$C$5:$C$2004,B8,'Saisie'!$E$5:$E$2004,"Onboarding - Contenus")&gt;0)+(COUNTIFS('Saisie'!$C$5:$C$2004,B8,'Saisie'!$E$5:$E$2004,"Onboarding - Lancement")&gt;0))/4)</f>
        <v/>
      </c>
      <c r="AA8" s="60">
        <f>IF(B8="","",IF(COUNTIFS('Saisie'!$C$5:$C$2004,B8,'Saisie'!$E$5:$E$2004,"Demande d'avis Google")&gt;0,"Oui","Non"))</f>
        <v/>
      </c>
      <c r="AB8" s="61">
        <f>IF(B8="","",IFERROR(INDEX('Saisie'!$N$5:$N$2004,_xlfn.MAXIFS('Saisie'!$AS$5:$AS$2004,'Saisie'!$C$5:$C$2004,B8,'Saisie'!$E$5:$E$2004,"Satisfaction client")-4)&amp;"",""))</f>
        <v/>
      </c>
      <c r="AC8" s="106">
        <f>IF(B8="","",IFERROR(1/(1/_xlfn.MAXIFS('Saisie'!$A$5:$A$2004,'Saisie'!$C$5:$C$2004,B8,'Saisie'!$E$5:$E$2004,"Résiliation")),""))</f>
        <v/>
      </c>
      <c r="AD8" s="60">
        <f>IF(D8&lt;&gt;"",MAX($AD$4:AD7)+1,"")</f>
        <v/>
      </c>
    </row>
    <row r="9">
      <c r="A9" s="60">
        <f>IF(B9="","","C-"&amp;TEXT(5,"000"))</f>
        <v/>
      </c>
      <c r="B9" s="60">
        <f>IFERROR(INDEX('Prospects'!$C$5:$C$504,MATCH(5,'Prospects'!$BX$5:$BX$504,0)),"")</f>
        <v/>
      </c>
      <c r="C9" s="60">
        <f>IF(B9="","",IF(AC9&lt;&gt;"","Résilié","Actif"))</f>
        <v/>
      </c>
      <c r="D9" s="60">
        <f>IF(B9="","",IF(C9="Résilié","",IF(R9="En retard","Paiement en retard",IF(AND(V9&lt;&gt;"",N(V9)&lt;='Paramètres'!$B$30,N(V9)&gt;=0),"Renouvellement dans "&amp;V9&amp;" j",IF(AND(AA9="Non",TODAY()-N(L9)&gt;='Paramètres'!$B$29),"Demander un avis Google",IF(Z9&lt;1,"Onboarding à terminer",""))))))</f>
        <v/>
      </c>
      <c r="E9" s="60">
        <f>IF(B9="","",INDEX('Prospects'!$J$5:$J$504,MATCH(B9,'Prospects'!$C$5:$C$504,0))&amp;"")</f>
        <v/>
      </c>
      <c r="F9" s="60">
        <f>IF(B9="","",INDEX('Prospects'!$K$5:$K$504,MATCH(B9,'Prospects'!$C$5:$C$504,0))&amp;"")</f>
        <v/>
      </c>
      <c r="G9" s="60">
        <f>IF(B9="","",INDEX('Prospects'!$N$5:$N$504,MATCH(B9,'Prospects'!$C$5:$C$504,0))&amp;"")</f>
        <v/>
      </c>
      <c r="H9" s="60">
        <f>IF(B9="","",INDEX('Prospects'!$S$5:$S$504,MATCH(B9,'Prospects'!$C$5:$C$504,0))&amp;"")</f>
        <v/>
      </c>
      <c r="I9" s="60">
        <f>IF(B9="","",INDEX('Prospects'!$X$5:$X$504,MATCH(B9,'Prospects'!$C$5:$C$504,0))&amp;"")</f>
        <v/>
      </c>
      <c r="J9" s="60">
        <f>IF(B9="","",INDEX('Prospects'!$Y$5:$Y$504,MATCH(B9,'Prospects'!$C$5:$C$504,0))&amp;"")</f>
        <v/>
      </c>
      <c r="K9" s="60">
        <f>IF(B9="","",INDEX('Prospects'!$AN$5:$AN$504,MATCH(B9,'Prospects'!$C$5:$C$504,0))&amp;"")</f>
        <v/>
      </c>
      <c r="L9" s="106">
        <f>IF(B9="","",INDEX('Prospects'!$AT$5:$AT$504,MATCH(B9,'Prospects'!$C$5:$C$504,0)))</f>
        <v/>
      </c>
      <c r="M9" s="62">
        <f>IF(B9="","",SUMIFS('Saisie'!$AW$5:$AW$2004,'Saisie'!$C$5:$C$2004,B9,'Saisie'!$E$5:$E$2004,"Signature"))</f>
        <v/>
      </c>
      <c r="N9" s="62">
        <f>IF(B9="","",SUMIFS('Saisie'!$AW$5:$AW$2004,'Saisie'!$C$5:$C$2004,B9,'Saisie'!$E$5:$E$2004,"Vente additionnelle"))</f>
        <v/>
      </c>
      <c r="O9" s="62">
        <f>IF(B9="","",M9+N9)</f>
        <v/>
      </c>
      <c r="P9" s="62">
        <f>IF(B9="","",SUMIFS('Saisie'!$AW$5:$AW$2004,'Saisie'!$C$5:$C$2004,B9,'Saisie'!$E$5:$E$2004,"Paiement reçu"))</f>
        <v/>
      </c>
      <c r="Q9" s="62">
        <f>IF(B9="","",MAX(0,O9-P9))</f>
        <v/>
      </c>
      <c r="R9" s="60">
        <f>IF(B9="","",IF(O9=0,"",IF(Q9&lt;=0,"Payé",IF(TODAY()-N(L9)&gt;'Paramètres'!$B$27,"En retard",IF(P9&gt;0,"Partiel","En attente")))))</f>
        <v/>
      </c>
      <c r="S9" s="60">
        <f>IF(B9="","",IFERROR(INDEX('Saisie'!$O$5:$O$2004,_xlfn.MAXIFS('Saisie'!$AS$5:$AS$2004,'Saisie'!$C$5:$C$2004,B9,'Saisie'!$O$5:$O$2004,"&lt;&gt;")-4),""))</f>
        <v/>
      </c>
      <c r="T9" s="62">
        <f>IF(B9="","",N(INDEX('Prospects'!$AO$5:$AO$504,MATCH(B9,'Prospects'!$C$5:$C$504,0))))</f>
        <v/>
      </c>
      <c r="U9" s="106">
        <f>IF(B9="","",IF(L9="","",EDATE(L9,'Paramètres'!$B$33)))</f>
        <v/>
      </c>
      <c r="V9" s="61">
        <f>IF(B9="","",IF(U9="","",U9-TODAY()))</f>
        <v/>
      </c>
      <c r="W9" s="61">
        <f>IF(B9="","",IF(L9="","",INT((TODAY()-L9)/30.44)))</f>
        <v/>
      </c>
      <c r="X9" s="62">
        <f>IF(B9="","",O9+T9*'Paramètres'!$B$34)</f>
        <v/>
      </c>
      <c r="Y9" s="62">
        <f>IF(B9="","",O9-N(IFERROR(INDEX('Paramètres'!$T$6:$T$15,MATCH(K9,'Paramètres'!$Q$6:$Q$15,0)),0)))</f>
        <v/>
      </c>
      <c r="Z9" s="123">
        <f>IF(B9="","",((COUNTIFS('Saisie'!$C$5:$C$2004,B9,'Saisie'!$E$5:$E$2004,"Onboarding - Contrat")&gt;0)+(COUNTIFS('Saisie'!$C$5:$C$2004,B9,'Saisie'!$E$5:$E$2004,"Onboarding - Accès")&gt;0)+(COUNTIFS('Saisie'!$C$5:$C$2004,B9,'Saisie'!$E$5:$E$2004,"Onboarding - Contenus")&gt;0)+(COUNTIFS('Saisie'!$C$5:$C$2004,B9,'Saisie'!$E$5:$E$2004,"Onboarding - Lancement")&gt;0))/4)</f>
        <v/>
      </c>
      <c r="AA9" s="60">
        <f>IF(B9="","",IF(COUNTIFS('Saisie'!$C$5:$C$2004,B9,'Saisie'!$E$5:$E$2004,"Demande d'avis Google")&gt;0,"Oui","Non"))</f>
        <v/>
      </c>
      <c r="AB9" s="61">
        <f>IF(B9="","",IFERROR(INDEX('Saisie'!$N$5:$N$2004,_xlfn.MAXIFS('Saisie'!$AS$5:$AS$2004,'Saisie'!$C$5:$C$2004,B9,'Saisie'!$E$5:$E$2004,"Satisfaction client")-4)&amp;"",""))</f>
        <v/>
      </c>
      <c r="AC9" s="106">
        <f>IF(B9="","",IFERROR(1/(1/_xlfn.MAXIFS('Saisie'!$A$5:$A$2004,'Saisie'!$C$5:$C$2004,B9,'Saisie'!$E$5:$E$2004,"Résiliation")),""))</f>
        <v/>
      </c>
      <c r="AD9" s="60">
        <f>IF(D9&lt;&gt;"",MAX($AD$4:AD8)+1,"")</f>
        <v/>
      </c>
    </row>
    <row r="10">
      <c r="A10" s="60">
        <f>IF(B10="","","C-"&amp;TEXT(6,"000"))</f>
        <v/>
      </c>
      <c r="B10" s="60">
        <f>IFERROR(INDEX('Prospects'!$C$5:$C$504,MATCH(6,'Prospects'!$BX$5:$BX$504,0)),"")</f>
        <v/>
      </c>
      <c r="C10" s="60">
        <f>IF(B10="","",IF(AC10&lt;&gt;"","Résilié","Actif"))</f>
        <v/>
      </c>
      <c r="D10" s="60">
        <f>IF(B10="","",IF(C10="Résilié","",IF(R10="En retard","Paiement en retard",IF(AND(V10&lt;&gt;"",N(V10)&lt;='Paramètres'!$B$30,N(V10)&gt;=0),"Renouvellement dans "&amp;V10&amp;" j",IF(AND(AA10="Non",TODAY()-N(L10)&gt;='Paramètres'!$B$29),"Demander un avis Google",IF(Z10&lt;1,"Onboarding à terminer",""))))))</f>
        <v/>
      </c>
      <c r="E10" s="60">
        <f>IF(B10="","",INDEX('Prospects'!$J$5:$J$504,MATCH(B10,'Prospects'!$C$5:$C$504,0))&amp;"")</f>
        <v/>
      </c>
      <c r="F10" s="60">
        <f>IF(B10="","",INDEX('Prospects'!$K$5:$K$504,MATCH(B10,'Prospects'!$C$5:$C$504,0))&amp;"")</f>
        <v/>
      </c>
      <c r="G10" s="60">
        <f>IF(B10="","",INDEX('Prospects'!$N$5:$N$504,MATCH(B10,'Prospects'!$C$5:$C$504,0))&amp;"")</f>
        <v/>
      </c>
      <c r="H10" s="60">
        <f>IF(B10="","",INDEX('Prospects'!$S$5:$S$504,MATCH(B10,'Prospects'!$C$5:$C$504,0))&amp;"")</f>
        <v/>
      </c>
      <c r="I10" s="60">
        <f>IF(B10="","",INDEX('Prospects'!$X$5:$X$504,MATCH(B10,'Prospects'!$C$5:$C$504,0))&amp;"")</f>
        <v/>
      </c>
      <c r="J10" s="60">
        <f>IF(B10="","",INDEX('Prospects'!$Y$5:$Y$504,MATCH(B10,'Prospects'!$C$5:$C$504,0))&amp;"")</f>
        <v/>
      </c>
      <c r="K10" s="60">
        <f>IF(B10="","",INDEX('Prospects'!$AN$5:$AN$504,MATCH(B10,'Prospects'!$C$5:$C$504,0))&amp;"")</f>
        <v/>
      </c>
      <c r="L10" s="106">
        <f>IF(B10="","",INDEX('Prospects'!$AT$5:$AT$504,MATCH(B10,'Prospects'!$C$5:$C$504,0)))</f>
        <v/>
      </c>
      <c r="M10" s="62">
        <f>IF(B10="","",SUMIFS('Saisie'!$AW$5:$AW$2004,'Saisie'!$C$5:$C$2004,B10,'Saisie'!$E$5:$E$2004,"Signature"))</f>
        <v/>
      </c>
      <c r="N10" s="62">
        <f>IF(B10="","",SUMIFS('Saisie'!$AW$5:$AW$2004,'Saisie'!$C$5:$C$2004,B10,'Saisie'!$E$5:$E$2004,"Vente additionnelle"))</f>
        <v/>
      </c>
      <c r="O10" s="62">
        <f>IF(B10="","",M10+N10)</f>
        <v/>
      </c>
      <c r="P10" s="62">
        <f>IF(B10="","",SUMIFS('Saisie'!$AW$5:$AW$2004,'Saisie'!$C$5:$C$2004,B10,'Saisie'!$E$5:$E$2004,"Paiement reçu"))</f>
        <v/>
      </c>
      <c r="Q10" s="62">
        <f>IF(B10="","",MAX(0,O10-P10))</f>
        <v/>
      </c>
      <c r="R10" s="60">
        <f>IF(B10="","",IF(O10=0,"",IF(Q10&lt;=0,"Payé",IF(TODAY()-N(L10)&gt;'Paramètres'!$B$27,"En retard",IF(P10&gt;0,"Partiel","En attente")))))</f>
        <v/>
      </c>
      <c r="S10" s="60">
        <f>IF(B10="","",IFERROR(INDEX('Saisie'!$O$5:$O$2004,_xlfn.MAXIFS('Saisie'!$AS$5:$AS$2004,'Saisie'!$C$5:$C$2004,B10,'Saisie'!$O$5:$O$2004,"&lt;&gt;")-4),""))</f>
        <v/>
      </c>
      <c r="T10" s="62">
        <f>IF(B10="","",N(INDEX('Prospects'!$AO$5:$AO$504,MATCH(B10,'Prospects'!$C$5:$C$504,0))))</f>
        <v/>
      </c>
      <c r="U10" s="106">
        <f>IF(B10="","",IF(L10="","",EDATE(L10,'Paramètres'!$B$33)))</f>
        <v/>
      </c>
      <c r="V10" s="61">
        <f>IF(B10="","",IF(U10="","",U10-TODAY()))</f>
        <v/>
      </c>
      <c r="W10" s="61">
        <f>IF(B10="","",IF(L10="","",INT((TODAY()-L10)/30.44)))</f>
        <v/>
      </c>
      <c r="X10" s="62">
        <f>IF(B10="","",O10+T10*'Paramètres'!$B$34)</f>
        <v/>
      </c>
      <c r="Y10" s="62">
        <f>IF(B10="","",O10-N(IFERROR(INDEX('Paramètres'!$T$6:$T$15,MATCH(K10,'Paramètres'!$Q$6:$Q$15,0)),0)))</f>
        <v/>
      </c>
      <c r="Z10" s="123">
        <f>IF(B10="","",((COUNTIFS('Saisie'!$C$5:$C$2004,B10,'Saisie'!$E$5:$E$2004,"Onboarding - Contrat")&gt;0)+(COUNTIFS('Saisie'!$C$5:$C$2004,B10,'Saisie'!$E$5:$E$2004,"Onboarding - Accès")&gt;0)+(COUNTIFS('Saisie'!$C$5:$C$2004,B10,'Saisie'!$E$5:$E$2004,"Onboarding - Contenus")&gt;0)+(COUNTIFS('Saisie'!$C$5:$C$2004,B10,'Saisie'!$E$5:$E$2004,"Onboarding - Lancement")&gt;0))/4)</f>
        <v/>
      </c>
      <c r="AA10" s="60">
        <f>IF(B10="","",IF(COUNTIFS('Saisie'!$C$5:$C$2004,B10,'Saisie'!$E$5:$E$2004,"Demande d'avis Google")&gt;0,"Oui","Non"))</f>
        <v/>
      </c>
      <c r="AB10" s="61">
        <f>IF(B10="","",IFERROR(INDEX('Saisie'!$N$5:$N$2004,_xlfn.MAXIFS('Saisie'!$AS$5:$AS$2004,'Saisie'!$C$5:$C$2004,B10,'Saisie'!$E$5:$E$2004,"Satisfaction client")-4)&amp;"",""))</f>
        <v/>
      </c>
      <c r="AC10" s="106">
        <f>IF(B10="","",IFERROR(1/(1/_xlfn.MAXIFS('Saisie'!$A$5:$A$2004,'Saisie'!$C$5:$C$2004,B10,'Saisie'!$E$5:$E$2004,"Résiliation")),""))</f>
        <v/>
      </c>
      <c r="AD10" s="60">
        <f>IF(D10&lt;&gt;"",MAX($AD$4:AD9)+1,"")</f>
        <v/>
      </c>
    </row>
    <row r="11">
      <c r="A11" s="60">
        <f>IF(B11="","","C-"&amp;TEXT(7,"000"))</f>
        <v/>
      </c>
      <c r="B11" s="60">
        <f>IFERROR(INDEX('Prospects'!$C$5:$C$504,MATCH(7,'Prospects'!$BX$5:$BX$504,0)),"")</f>
        <v/>
      </c>
      <c r="C11" s="60">
        <f>IF(B11="","",IF(AC11&lt;&gt;"","Résilié","Actif"))</f>
        <v/>
      </c>
      <c r="D11" s="60">
        <f>IF(B11="","",IF(C11="Résilié","",IF(R11="En retard","Paiement en retard",IF(AND(V11&lt;&gt;"",N(V11)&lt;='Paramètres'!$B$30,N(V11)&gt;=0),"Renouvellement dans "&amp;V11&amp;" j",IF(AND(AA11="Non",TODAY()-N(L11)&gt;='Paramètres'!$B$29),"Demander un avis Google",IF(Z11&lt;1,"Onboarding à terminer",""))))))</f>
        <v/>
      </c>
      <c r="E11" s="60">
        <f>IF(B11="","",INDEX('Prospects'!$J$5:$J$504,MATCH(B11,'Prospects'!$C$5:$C$504,0))&amp;"")</f>
        <v/>
      </c>
      <c r="F11" s="60">
        <f>IF(B11="","",INDEX('Prospects'!$K$5:$K$504,MATCH(B11,'Prospects'!$C$5:$C$504,0))&amp;"")</f>
        <v/>
      </c>
      <c r="G11" s="60">
        <f>IF(B11="","",INDEX('Prospects'!$N$5:$N$504,MATCH(B11,'Prospects'!$C$5:$C$504,0))&amp;"")</f>
        <v/>
      </c>
      <c r="H11" s="60">
        <f>IF(B11="","",INDEX('Prospects'!$S$5:$S$504,MATCH(B11,'Prospects'!$C$5:$C$504,0))&amp;"")</f>
        <v/>
      </c>
      <c r="I11" s="60">
        <f>IF(B11="","",INDEX('Prospects'!$X$5:$X$504,MATCH(B11,'Prospects'!$C$5:$C$504,0))&amp;"")</f>
        <v/>
      </c>
      <c r="J11" s="60">
        <f>IF(B11="","",INDEX('Prospects'!$Y$5:$Y$504,MATCH(B11,'Prospects'!$C$5:$C$504,0))&amp;"")</f>
        <v/>
      </c>
      <c r="K11" s="60">
        <f>IF(B11="","",INDEX('Prospects'!$AN$5:$AN$504,MATCH(B11,'Prospects'!$C$5:$C$504,0))&amp;"")</f>
        <v/>
      </c>
      <c r="L11" s="106">
        <f>IF(B11="","",INDEX('Prospects'!$AT$5:$AT$504,MATCH(B11,'Prospects'!$C$5:$C$504,0)))</f>
        <v/>
      </c>
      <c r="M11" s="62">
        <f>IF(B11="","",SUMIFS('Saisie'!$AW$5:$AW$2004,'Saisie'!$C$5:$C$2004,B11,'Saisie'!$E$5:$E$2004,"Signature"))</f>
        <v/>
      </c>
      <c r="N11" s="62">
        <f>IF(B11="","",SUMIFS('Saisie'!$AW$5:$AW$2004,'Saisie'!$C$5:$C$2004,B11,'Saisie'!$E$5:$E$2004,"Vente additionnelle"))</f>
        <v/>
      </c>
      <c r="O11" s="62">
        <f>IF(B11="","",M11+N11)</f>
        <v/>
      </c>
      <c r="P11" s="62">
        <f>IF(B11="","",SUMIFS('Saisie'!$AW$5:$AW$2004,'Saisie'!$C$5:$C$2004,B11,'Saisie'!$E$5:$E$2004,"Paiement reçu"))</f>
        <v/>
      </c>
      <c r="Q11" s="62">
        <f>IF(B11="","",MAX(0,O11-P11))</f>
        <v/>
      </c>
      <c r="R11" s="60">
        <f>IF(B11="","",IF(O11=0,"",IF(Q11&lt;=0,"Payé",IF(TODAY()-N(L11)&gt;'Paramètres'!$B$27,"En retard",IF(P11&gt;0,"Partiel","En attente")))))</f>
        <v/>
      </c>
      <c r="S11" s="60">
        <f>IF(B11="","",IFERROR(INDEX('Saisie'!$O$5:$O$2004,_xlfn.MAXIFS('Saisie'!$AS$5:$AS$2004,'Saisie'!$C$5:$C$2004,B11,'Saisie'!$O$5:$O$2004,"&lt;&gt;")-4),""))</f>
        <v/>
      </c>
      <c r="T11" s="62">
        <f>IF(B11="","",N(INDEX('Prospects'!$AO$5:$AO$504,MATCH(B11,'Prospects'!$C$5:$C$504,0))))</f>
        <v/>
      </c>
      <c r="U11" s="106">
        <f>IF(B11="","",IF(L11="","",EDATE(L11,'Paramètres'!$B$33)))</f>
        <v/>
      </c>
      <c r="V11" s="61">
        <f>IF(B11="","",IF(U11="","",U11-TODAY()))</f>
        <v/>
      </c>
      <c r="W11" s="61">
        <f>IF(B11="","",IF(L11="","",INT((TODAY()-L11)/30.44)))</f>
        <v/>
      </c>
      <c r="X11" s="62">
        <f>IF(B11="","",O11+T11*'Paramètres'!$B$34)</f>
        <v/>
      </c>
      <c r="Y11" s="62">
        <f>IF(B11="","",O11-N(IFERROR(INDEX('Paramètres'!$T$6:$T$15,MATCH(K11,'Paramètres'!$Q$6:$Q$15,0)),0)))</f>
        <v/>
      </c>
      <c r="Z11" s="123">
        <f>IF(B11="","",((COUNTIFS('Saisie'!$C$5:$C$2004,B11,'Saisie'!$E$5:$E$2004,"Onboarding - Contrat")&gt;0)+(COUNTIFS('Saisie'!$C$5:$C$2004,B11,'Saisie'!$E$5:$E$2004,"Onboarding - Accès")&gt;0)+(COUNTIFS('Saisie'!$C$5:$C$2004,B11,'Saisie'!$E$5:$E$2004,"Onboarding - Contenus")&gt;0)+(COUNTIFS('Saisie'!$C$5:$C$2004,B11,'Saisie'!$E$5:$E$2004,"Onboarding - Lancement")&gt;0))/4)</f>
        <v/>
      </c>
      <c r="AA11" s="60">
        <f>IF(B11="","",IF(COUNTIFS('Saisie'!$C$5:$C$2004,B11,'Saisie'!$E$5:$E$2004,"Demande d'avis Google")&gt;0,"Oui","Non"))</f>
        <v/>
      </c>
      <c r="AB11" s="61">
        <f>IF(B11="","",IFERROR(INDEX('Saisie'!$N$5:$N$2004,_xlfn.MAXIFS('Saisie'!$AS$5:$AS$2004,'Saisie'!$C$5:$C$2004,B11,'Saisie'!$E$5:$E$2004,"Satisfaction client")-4)&amp;"",""))</f>
        <v/>
      </c>
      <c r="AC11" s="106">
        <f>IF(B11="","",IFERROR(1/(1/_xlfn.MAXIFS('Saisie'!$A$5:$A$2004,'Saisie'!$C$5:$C$2004,B11,'Saisie'!$E$5:$E$2004,"Résiliation")),""))</f>
        <v/>
      </c>
      <c r="AD11" s="60">
        <f>IF(D11&lt;&gt;"",MAX($AD$4:AD10)+1,"")</f>
        <v/>
      </c>
    </row>
    <row r="12">
      <c r="A12" s="60">
        <f>IF(B12="","","C-"&amp;TEXT(8,"000"))</f>
        <v/>
      </c>
      <c r="B12" s="60">
        <f>IFERROR(INDEX('Prospects'!$C$5:$C$504,MATCH(8,'Prospects'!$BX$5:$BX$504,0)),"")</f>
        <v/>
      </c>
      <c r="C12" s="60">
        <f>IF(B12="","",IF(AC12&lt;&gt;"","Résilié","Actif"))</f>
        <v/>
      </c>
      <c r="D12" s="60">
        <f>IF(B12="","",IF(C12="Résilié","",IF(R12="En retard","Paiement en retard",IF(AND(V12&lt;&gt;"",N(V12)&lt;='Paramètres'!$B$30,N(V12)&gt;=0),"Renouvellement dans "&amp;V12&amp;" j",IF(AND(AA12="Non",TODAY()-N(L12)&gt;='Paramètres'!$B$29),"Demander un avis Google",IF(Z12&lt;1,"Onboarding à terminer",""))))))</f>
        <v/>
      </c>
      <c r="E12" s="60">
        <f>IF(B12="","",INDEX('Prospects'!$J$5:$J$504,MATCH(B12,'Prospects'!$C$5:$C$504,0))&amp;"")</f>
        <v/>
      </c>
      <c r="F12" s="60">
        <f>IF(B12="","",INDEX('Prospects'!$K$5:$K$504,MATCH(B12,'Prospects'!$C$5:$C$504,0))&amp;"")</f>
        <v/>
      </c>
      <c r="G12" s="60">
        <f>IF(B12="","",INDEX('Prospects'!$N$5:$N$504,MATCH(B12,'Prospects'!$C$5:$C$504,0))&amp;"")</f>
        <v/>
      </c>
      <c r="H12" s="60">
        <f>IF(B12="","",INDEX('Prospects'!$S$5:$S$504,MATCH(B12,'Prospects'!$C$5:$C$504,0))&amp;"")</f>
        <v/>
      </c>
      <c r="I12" s="60">
        <f>IF(B12="","",INDEX('Prospects'!$X$5:$X$504,MATCH(B12,'Prospects'!$C$5:$C$504,0))&amp;"")</f>
        <v/>
      </c>
      <c r="J12" s="60">
        <f>IF(B12="","",INDEX('Prospects'!$Y$5:$Y$504,MATCH(B12,'Prospects'!$C$5:$C$504,0))&amp;"")</f>
        <v/>
      </c>
      <c r="K12" s="60">
        <f>IF(B12="","",INDEX('Prospects'!$AN$5:$AN$504,MATCH(B12,'Prospects'!$C$5:$C$504,0))&amp;"")</f>
        <v/>
      </c>
      <c r="L12" s="106">
        <f>IF(B12="","",INDEX('Prospects'!$AT$5:$AT$504,MATCH(B12,'Prospects'!$C$5:$C$504,0)))</f>
        <v/>
      </c>
      <c r="M12" s="62">
        <f>IF(B12="","",SUMIFS('Saisie'!$AW$5:$AW$2004,'Saisie'!$C$5:$C$2004,B12,'Saisie'!$E$5:$E$2004,"Signature"))</f>
        <v/>
      </c>
      <c r="N12" s="62">
        <f>IF(B12="","",SUMIFS('Saisie'!$AW$5:$AW$2004,'Saisie'!$C$5:$C$2004,B12,'Saisie'!$E$5:$E$2004,"Vente additionnelle"))</f>
        <v/>
      </c>
      <c r="O12" s="62">
        <f>IF(B12="","",M12+N12)</f>
        <v/>
      </c>
      <c r="P12" s="62">
        <f>IF(B12="","",SUMIFS('Saisie'!$AW$5:$AW$2004,'Saisie'!$C$5:$C$2004,B12,'Saisie'!$E$5:$E$2004,"Paiement reçu"))</f>
        <v/>
      </c>
      <c r="Q12" s="62">
        <f>IF(B12="","",MAX(0,O12-P12))</f>
        <v/>
      </c>
      <c r="R12" s="60">
        <f>IF(B12="","",IF(O12=0,"",IF(Q12&lt;=0,"Payé",IF(TODAY()-N(L12)&gt;'Paramètres'!$B$27,"En retard",IF(P12&gt;0,"Partiel","En attente")))))</f>
        <v/>
      </c>
      <c r="S12" s="60">
        <f>IF(B12="","",IFERROR(INDEX('Saisie'!$O$5:$O$2004,_xlfn.MAXIFS('Saisie'!$AS$5:$AS$2004,'Saisie'!$C$5:$C$2004,B12,'Saisie'!$O$5:$O$2004,"&lt;&gt;")-4),""))</f>
        <v/>
      </c>
      <c r="T12" s="62">
        <f>IF(B12="","",N(INDEX('Prospects'!$AO$5:$AO$504,MATCH(B12,'Prospects'!$C$5:$C$504,0))))</f>
        <v/>
      </c>
      <c r="U12" s="106">
        <f>IF(B12="","",IF(L12="","",EDATE(L12,'Paramètres'!$B$33)))</f>
        <v/>
      </c>
      <c r="V12" s="61">
        <f>IF(B12="","",IF(U12="","",U12-TODAY()))</f>
        <v/>
      </c>
      <c r="W12" s="61">
        <f>IF(B12="","",IF(L12="","",INT((TODAY()-L12)/30.44)))</f>
        <v/>
      </c>
      <c r="X12" s="62">
        <f>IF(B12="","",O12+T12*'Paramètres'!$B$34)</f>
        <v/>
      </c>
      <c r="Y12" s="62">
        <f>IF(B12="","",O12-N(IFERROR(INDEX('Paramètres'!$T$6:$T$15,MATCH(K12,'Paramètres'!$Q$6:$Q$15,0)),0)))</f>
        <v/>
      </c>
      <c r="Z12" s="123">
        <f>IF(B12="","",((COUNTIFS('Saisie'!$C$5:$C$2004,B12,'Saisie'!$E$5:$E$2004,"Onboarding - Contrat")&gt;0)+(COUNTIFS('Saisie'!$C$5:$C$2004,B12,'Saisie'!$E$5:$E$2004,"Onboarding - Accès")&gt;0)+(COUNTIFS('Saisie'!$C$5:$C$2004,B12,'Saisie'!$E$5:$E$2004,"Onboarding - Contenus")&gt;0)+(COUNTIFS('Saisie'!$C$5:$C$2004,B12,'Saisie'!$E$5:$E$2004,"Onboarding - Lancement")&gt;0))/4)</f>
        <v/>
      </c>
      <c r="AA12" s="60">
        <f>IF(B12="","",IF(COUNTIFS('Saisie'!$C$5:$C$2004,B12,'Saisie'!$E$5:$E$2004,"Demande d'avis Google")&gt;0,"Oui","Non"))</f>
        <v/>
      </c>
      <c r="AB12" s="61">
        <f>IF(B12="","",IFERROR(INDEX('Saisie'!$N$5:$N$2004,_xlfn.MAXIFS('Saisie'!$AS$5:$AS$2004,'Saisie'!$C$5:$C$2004,B12,'Saisie'!$E$5:$E$2004,"Satisfaction client")-4)&amp;"",""))</f>
        <v/>
      </c>
      <c r="AC12" s="106">
        <f>IF(B12="","",IFERROR(1/(1/_xlfn.MAXIFS('Saisie'!$A$5:$A$2004,'Saisie'!$C$5:$C$2004,B12,'Saisie'!$E$5:$E$2004,"Résiliation")),""))</f>
        <v/>
      </c>
      <c r="AD12" s="60">
        <f>IF(D12&lt;&gt;"",MAX($AD$4:AD11)+1,"")</f>
        <v/>
      </c>
    </row>
    <row r="13">
      <c r="A13" s="60">
        <f>IF(B13="","","C-"&amp;TEXT(9,"000"))</f>
        <v/>
      </c>
      <c r="B13" s="60">
        <f>IFERROR(INDEX('Prospects'!$C$5:$C$504,MATCH(9,'Prospects'!$BX$5:$BX$504,0)),"")</f>
        <v/>
      </c>
      <c r="C13" s="60">
        <f>IF(B13="","",IF(AC13&lt;&gt;"","Résilié","Actif"))</f>
        <v/>
      </c>
      <c r="D13" s="60">
        <f>IF(B13="","",IF(C13="Résilié","",IF(R13="En retard","Paiement en retard",IF(AND(V13&lt;&gt;"",N(V13)&lt;='Paramètres'!$B$30,N(V13)&gt;=0),"Renouvellement dans "&amp;V13&amp;" j",IF(AND(AA13="Non",TODAY()-N(L13)&gt;='Paramètres'!$B$29),"Demander un avis Google",IF(Z13&lt;1,"Onboarding à terminer",""))))))</f>
        <v/>
      </c>
      <c r="E13" s="60">
        <f>IF(B13="","",INDEX('Prospects'!$J$5:$J$504,MATCH(B13,'Prospects'!$C$5:$C$504,0))&amp;"")</f>
        <v/>
      </c>
      <c r="F13" s="60">
        <f>IF(B13="","",INDEX('Prospects'!$K$5:$K$504,MATCH(B13,'Prospects'!$C$5:$C$504,0))&amp;"")</f>
        <v/>
      </c>
      <c r="G13" s="60">
        <f>IF(B13="","",INDEX('Prospects'!$N$5:$N$504,MATCH(B13,'Prospects'!$C$5:$C$504,0))&amp;"")</f>
        <v/>
      </c>
      <c r="H13" s="60">
        <f>IF(B13="","",INDEX('Prospects'!$S$5:$S$504,MATCH(B13,'Prospects'!$C$5:$C$504,0))&amp;"")</f>
        <v/>
      </c>
      <c r="I13" s="60">
        <f>IF(B13="","",INDEX('Prospects'!$X$5:$X$504,MATCH(B13,'Prospects'!$C$5:$C$504,0))&amp;"")</f>
        <v/>
      </c>
      <c r="J13" s="60">
        <f>IF(B13="","",INDEX('Prospects'!$Y$5:$Y$504,MATCH(B13,'Prospects'!$C$5:$C$504,0))&amp;"")</f>
        <v/>
      </c>
      <c r="K13" s="60">
        <f>IF(B13="","",INDEX('Prospects'!$AN$5:$AN$504,MATCH(B13,'Prospects'!$C$5:$C$504,0))&amp;"")</f>
        <v/>
      </c>
      <c r="L13" s="106">
        <f>IF(B13="","",INDEX('Prospects'!$AT$5:$AT$504,MATCH(B13,'Prospects'!$C$5:$C$504,0)))</f>
        <v/>
      </c>
      <c r="M13" s="62">
        <f>IF(B13="","",SUMIFS('Saisie'!$AW$5:$AW$2004,'Saisie'!$C$5:$C$2004,B13,'Saisie'!$E$5:$E$2004,"Signature"))</f>
        <v/>
      </c>
      <c r="N13" s="62">
        <f>IF(B13="","",SUMIFS('Saisie'!$AW$5:$AW$2004,'Saisie'!$C$5:$C$2004,B13,'Saisie'!$E$5:$E$2004,"Vente additionnelle"))</f>
        <v/>
      </c>
      <c r="O13" s="62">
        <f>IF(B13="","",M13+N13)</f>
        <v/>
      </c>
      <c r="P13" s="62">
        <f>IF(B13="","",SUMIFS('Saisie'!$AW$5:$AW$2004,'Saisie'!$C$5:$C$2004,B13,'Saisie'!$E$5:$E$2004,"Paiement reçu"))</f>
        <v/>
      </c>
      <c r="Q13" s="62">
        <f>IF(B13="","",MAX(0,O13-P13))</f>
        <v/>
      </c>
      <c r="R13" s="60">
        <f>IF(B13="","",IF(O13=0,"",IF(Q13&lt;=0,"Payé",IF(TODAY()-N(L13)&gt;'Paramètres'!$B$27,"En retard",IF(P13&gt;0,"Partiel","En attente")))))</f>
        <v/>
      </c>
      <c r="S13" s="60">
        <f>IF(B13="","",IFERROR(INDEX('Saisie'!$O$5:$O$2004,_xlfn.MAXIFS('Saisie'!$AS$5:$AS$2004,'Saisie'!$C$5:$C$2004,B13,'Saisie'!$O$5:$O$2004,"&lt;&gt;")-4),""))</f>
        <v/>
      </c>
      <c r="T13" s="62">
        <f>IF(B13="","",N(INDEX('Prospects'!$AO$5:$AO$504,MATCH(B13,'Prospects'!$C$5:$C$504,0))))</f>
        <v/>
      </c>
      <c r="U13" s="106">
        <f>IF(B13="","",IF(L13="","",EDATE(L13,'Paramètres'!$B$33)))</f>
        <v/>
      </c>
      <c r="V13" s="61">
        <f>IF(B13="","",IF(U13="","",U13-TODAY()))</f>
        <v/>
      </c>
      <c r="W13" s="61">
        <f>IF(B13="","",IF(L13="","",INT((TODAY()-L13)/30.44)))</f>
        <v/>
      </c>
      <c r="X13" s="62">
        <f>IF(B13="","",O13+T13*'Paramètres'!$B$34)</f>
        <v/>
      </c>
      <c r="Y13" s="62">
        <f>IF(B13="","",O13-N(IFERROR(INDEX('Paramètres'!$T$6:$T$15,MATCH(K13,'Paramètres'!$Q$6:$Q$15,0)),0)))</f>
        <v/>
      </c>
      <c r="Z13" s="123">
        <f>IF(B13="","",((COUNTIFS('Saisie'!$C$5:$C$2004,B13,'Saisie'!$E$5:$E$2004,"Onboarding - Contrat")&gt;0)+(COUNTIFS('Saisie'!$C$5:$C$2004,B13,'Saisie'!$E$5:$E$2004,"Onboarding - Accès")&gt;0)+(COUNTIFS('Saisie'!$C$5:$C$2004,B13,'Saisie'!$E$5:$E$2004,"Onboarding - Contenus")&gt;0)+(COUNTIFS('Saisie'!$C$5:$C$2004,B13,'Saisie'!$E$5:$E$2004,"Onboarding - Lancement")&gt;0))/4)</f>
        <v/>
      </c>
      <c r="AA13" s="60">
        <f>IF(B13="","",IF(COUNTIFS('Saisie'!$C$5:$C$2004,B13,'Saisie'!$E$5:$E$2004,"Demande d'avis Google")&gt;0,"Oui","Non"))</f>
        <v/>
      </c>
      <c r="AB13" s="61">
        <f>IF(B13="","",IFERROR(INDEX('Saisie'!$N$5:$N$2004,_xlfn.MAXIFS('Saisie'!$AS$5:$AS$2004,'Saisie'!$C$5:$C$2004,B13,'Saisie'!$E$5:$E$2004,"Satisfaction client")-4)&amp;"",""))</f>
        <v/>
      </c>
      <c r="AC13" s="106">
        <f>IF(B13="","",IFERROR(1/(1/_xlfn.MAXIFS('Saisie'!$A$5:$A$2004,'Saisie'!$C$5:$C$2004,B13,'Saisie'!$E$5:$E$2004,"Résiliation")),""))</f>
        <v/>
      </c>
      <c r="AD13" s="60">
        <f>IF(D13&lt;&gt;"",MAX($AD$4:AD12)+1,"")</f>
        <v/>
      </c>
    </row>
    <row r="14">
      <c r="A14" s="60">
        <f>IF(B14="","","C-"&amp;TEXT(10,"000"))</f>
        <v/>
      </c>
      <c r="B14" s="60">
        <f>IFERROR(INDEX('Prospects'!$C$5:$C$504,MATCH(10,'Prospects'!$BX$5:$BX$504,0)),"")</f>
        <v/>
      </c>
      <c r="C14" s="60">
        <f>IF(B14="","",IF(AC14&lt;&gt;"","Résilié","Actif"))</f>
        <v/>
      </c>
      <c r="D14" s="60">
        <f>IF(B14="","",IF(C14="Résilié","",IF(R14="En retard","Paiement en retard",IF(AND(V14&lt;&gt;"",N(V14)&lt;='Paramètres'!$B$30,N(V14)&gt;=0),"Renouvellement dans "&amp;V14&amp;" j",IF(AND(AA14="Non",TODAY()-N(L14)&gt;='Paramètres'!$B$29),"Demander un avis Google",IF(Z14&lt;1,"Onboarding à terminer",""))))))</f>
        <v/>
      </c>
      <c r="E14" s="60">
        <f>IF(B14="","",INDEX('Prospects'!$J$5:$J$504,MATCH(B14,'Prospects'!$C$5:$C$504,0))&amp;"")</f>
        <v/>
      </c>
      <c r="F14" s="60">
        <f>IF(B14="","",INDEX('Prospects'!$K$5:$K$504,MATCH(B14,'Prospects'!$C$5:$C$504,0))&amp;"")</f>
        <v/>
      </c>
      <c r="G14" s="60">
        <f>IF(B14="","",INDEX('Prospects'!$N$5:$N$504,MATCH(B14,'Prospects'!$C$5:$C$504,0))&amp;"")</f>
        <v/>
      </c>
      <c r="H14" s="60">
        <f>IF(B14="","",INDEX('Prospects'!$S$5:$S$504,MATCH(B14,'Prospects'!$C$5:$C$504,0))&amp;"")</f>
        <v/>
      </c>
      <c r="I14" s="60">
        <f>IF(B14="","",INDEX('Prospects'!$X$5:$X$504,MATCH(B14,'Prospects'!$C$5:$C$504,0))&amp;"")</f>
        <v/>
      </c>
      <c r="J14" s="60">
        <f>IF(B14="","",INDEX('Prospects'!$Y$5:$Y$504,MATCH(B14,'Prospects'!$C$5:$C$504,0))&amp;"")</f>
        <v/>
      </c>
      <c r="K14" s="60">
        <f>IF(B14="","",INDEX('Prospects'!$AN$5:$AN$504,MATCH(B14,'Prospects'!$C$5:$C$504,0))&amp;"")</f>
        <v/>
      </c>
      <c r="L14" s="106">
        <f>IF(B14="","",INDEX('Prospects'!$AT$5:$AT$504,MATCH(B14,'Prospects'!$C$5:$C$504,0)))</f>
        <v/>
      </c>
      <c r="M14" s="62">
        <f>IF(B14="","",SUMIFS('Saisie'!$AW$5:$AW$2004,'Saisie'!$C$5:$C$2004,B14,'Saisie'!$E$5:$E$2004,"Signature"))</f>
        <v/>
      </c>
      <c r="N14" s="62">
        <f>IF(B14="","",SUMIFS('Saisie'!$AW$5:$AW$2004,'Saisie'!$C$5:$C$2004,B14,'Saisie'!$E$5:$E$2004,"Vente additionnelle"))</f>
        <v/>
      </c>
      <c r="O14" s="62">
        <f>IF(B14="","",M14+N14)</f>
        <v/>
      </c>
      <c r="P14" s="62">
        <f>IF(B14="","",SUMIFS('Saisie'!$AW$5:$AW$2004,'Saisie'!$C$5:$C$2004,B14,'Saisie'!$E$5:$E$2004,"Paiement reçu"))</f>
        <v/>
      </c>
      <c r="Q14" s="62">
        <f>IF(B14="","",MAX(0,O14-P14))</f>
        <v/>
      </c>
      <c r="R14" s="60">
        <f>IF(B14="","",IF(O14=0,"",IF(Q14&lt;=0,"Payé",IF(TODAY()-N(L14)&gt;'Paramètres'!$B$27,"En retard",IF(P14&gt;0,"Partiel","En attente")))))</f>
        <v/>
      </c>
      <c r="S14" s="60">
        <f>IF(B14="","",IFERROR(INDEX('Saisie'!$O$5:$O$2004,_xlfn.MAXIFS('Saisie'!$AS$5:$AS$2004,'Saisie'!$C$5:$C$2004,B14,'Saisie'!$O$5:$O$2004,"&lt;&gt;")-4),""))</f>
        <v/>
      </c>
      <c r="T14" s="62">
        <f>IF(B14="","",N(INDEX('Prospects'!$AO$5:$AO$504,MATCH(B14,'Prospects'!$C$5:$C$504,0))))</f>
        <v/>
      </c>
      <c r="U14" s="106">
        <f>IF(B14="","",IF(L14="","",EDATE(L14,'Paramètres'!$B$33)))</f>
        <v/>
      </c>
      <c r="V14" s="61">
        <f>IF(B14="","",IF(U14="","",U14-TODAY()))</f>
        <v/>
      </c>
      <c r="W14" s="61">
        <f>IF(B14="","",IF(L14="","",INT((TODAY()-L14)/30.44)))</f>
        <v/>
      </c>
      <c r="X14" s="62">
        <f>IF(B14="","",O14+T14*'Paramètres'!$B$34)</f>
        <v/>
      </c>
      <c r="Y14" s="62">
        <f>IF(B14="","",O14-N(IFERROR(INDEX('Paramètres'!$T$6:$T$15,MATCH(K14,'Paramètres'!$Q$6:$Q$15,0)),0)))</f>
        <v/>
      </c>
      <c r="Z14" s="123">
        <f>IF(B14="","",((COUNTIFS('Saisie'!$C$5:$C$2004,B14,'Saisie'!$E$5:$E$2004,"Onboarding - Contrat")&gt;0)+(COUNTIFS('Saisie'!$C$5:$C$2004,B14,'Saisie'!$E$5:$E$2004,"Onboarding - Accès")&gt;0)+(COUNTIFS('Saisie'!$C$5:$C$2004,B14,'Saisie'!$E$5:$E$2004,"Onboarding - Contenus")&gt;0)+(COUNTIFS('Saisie'!$C$5:$C$2004,B14,'Saisie'!$E$5:$E$2004,"Onboarding - Lancement")&gt;0))/4)</f>
        <v/>
      </c>
      <c r="AA14" s="60">
        <f>IF(B14="","",IF(COUNTIFS('Saisie'!$C$5:$C$2004,B14,'Saisie'!$E$5:$E$2004,"Demande d'avis Google")&gt;0,"Oui","Non"))</f>
        <v/>
      </c>
      <c r="AB14" s="61">
        <f>IF(B14="","",IFERROR(INDEX('Saisie'!$N$5:$N$2004,_xlfn.MAXIFS('Saisie'!$AS$5:$AS$2004,'Saisie'!$C$5:$C$2004,B14,'Saisie'!$E$5:$E$2004,"Satisfaction client")-4)&amp;"",""))</f>
        <v/>
      </c>
      <c r="AC14" s="106">
        <f>IF(B14="","",IFERROR(1/(1/_xlfn.MAXIFS('Saisie'!$A$5:$A$2004,'Saisie'!$C$5:$C$2004,B14,'Saisie'!$E$5:$E$2004,"Résiliation")),""))</f>
        <v/>
      </c>
      <c r="AD14" s="60">
        <f>IF(D14&lt;&gt;"",MAX($AD$4:AD13)+1,"")</f>
        <v/>
      </c>
    </row>
    <row r="15">
      <c r="A15" s="60">
        <f>IF(B15="","","C-"&amp;TEXT(11,"000"))</f>
        <v/>
      </c>
      <c r="B15" s="60">
        <f>IFERROR(INDEX('Prospects'!$C$5:$C$504,MATCH(11,'Prospects'!$BX$5:$BX$504,0)),"")</f>
        <v/>
      </c>
      <c r="C15" s="60">
        <f>IF(B15="","",IF(AC15&lt;&gt;"","Résilié","Actif"))</f>
        <v/>
      </c>
      <c r="D15" s="60">
        <f>IF(B15="","",IF(C15="Résilié","",IF(R15="En retard","Paiement en retard",IF(AND(V15&lt;&gt;"",N(V15)&lt;='Paramètres'!$B$30,N(V15)&gt;=0),"Renouvellement dans "&amp;V15&amp;" j",IF(AND(AA15="Non",TODAY()-N(L15)&gt;='Paramètres'!$B$29),"Demander un avis Google",IF(Z15&lt;1,"Onboarding à terminer",""))))))</f>
        <v/>
      </c>
      <c r="E15" s="60">
        <f>IF(B15="","",INDEX('Prospects'!$J$5:$J$504,MATCH(B15,'Prospects'!$C$5:$C$504,0))&amp;"")</f>
        <v/>
      </c>
      <c r="F15" s="60">
        <f>IF(B15="","",INDEX('Prospects'!$K$5:$K$504,MATCH(B15,'Prospects'!$C$5:$C$504,0))&amp;"")</f>
        <v/>
      </c>
      <c r="G15" s="60">
        <f>IF(B15="","",INDEX('Prospects'!$N$5:$N$504,MATCH(B15,'Prospects'!$C$5:$C$504,0))&amp;"")</f>
        <v/>
      </c>
      <c r="H15" s="60">
        <f>IF(B15="","",INDEX('Prospects'!$S$5:$S$504,MATCH(B15,'Prospects'!$C$5:$C$504,0))&amp;"")</f>
        <v/>
      </c>
      <c r="I15" s="60">
        <f>IF(B15="","",INDEX('Prospects'!$X$5:$X$504,MATCH(B15,'Prospects'!$C$5:$C$504,0))&amp;"")</f>
        <v/>
      </c>
      <c r="J15" s="60">
        <f>IF(B15="","",INDEX('Prospects'!$Y$5:$Y$504,MATCH(B15,'Prospects'!$C$5:$C$504,0))&amp;"")</f>
        <v/>
      </c>
      <c r="K15" s="60">
        <f>IF(B15="","",INDEX('Prospects'!$AN$5:$AN$504,MATCH(B15,'Prospects'!$C$5:$C$504,0))&amp;"")</f>
        <v/>
      </c>
      <c r="L15" s="106">
        <f>IF(B15="","",INDEX('Prospects'!$AT$5:$AT$504,MATCH(B15,'Prospects'!$C$5:$C$504,0)))</f>
        <v/>
      </c>
      <c r="M15" s="62">
        <f>IF(B15="","",SUMIFS('Saisie'!$AW$5:$AW$2004,'Saisie'!$C$5:$C$2004,B15,'Saisie'!$E$5:$E$2004,"Signature"))</f>
        <v/>
      </c>
      <c r="N15" s="62">
        <f>IF(B15="","",SUMIFS('Saisie'!$AW$5:$AW$2004,'Saisie'!$C$5:$C$2004,B15,'Saisie'!$E$5:$E$2004,"Vente additionnelle"))</f>
        <v/>
      </c>
      <c r="O15" s="62">
        <f>IF(B15="","",M15+N15)</f>
        <v/>
      </c>
      <c r="P15" s="62">
        <f>IF(B15="","",SUMIFS('Saisie'!$AW$5:$AW$2004,'Saisie'!$C$5:$C$2004,B15,'Saisie'!$E$5:$E$2004,"Paiement reçu"))</f>
        <v/>
      </c>
      <c r="Q15" s="62">
        <f>IF(B15="","",MAX(0,O15-P15))</f>
        <v/>
      </c>
      <c r="R15" s="60">
        <f>IF(B15="","",IF(O15=0,"",IF(Q15&lt;=0,"Payé",IF(TODAY()-N(L15)&gt;'Paramètres'!$B$27,"En retard",IF(P15&gt;0,"Partiel","En attente")))))</f>
        <v/>
      </c>
      <c r="S15" s="60">
        <f>IF(B15="","",IFERROR(INDEX('Saisie'!$O$5:$O$2004,_xlfn.MAXIFS('Saisie'!$AS$5:$AS$2004,'Saisie'!$C$5:$C$2004,B15,'Saisie'!$O$5:$O$2004,"&lt;&gt;")-4),""))</f>
        <v/>
      </c>
      <c r="T15" s="62">
        <f>IF(B15="","",N(INDEX('Prospects'!$AO$5:$AO$504,MATCH(B15,'Prospects'!$C$5:$C$504,0))))</f>
        <v/>
      </c>
      <c r="U15" s="106">
        <f>IF(B15="","",IF(L15="","",EDATE(L15,'Paramètres'!$B$33)))</f>
        <v/>
      </c>
      <c r="V15" s="61">
        <f>IF(B15="","",IF(U15="","",U15-TODAY()))</f>
        <v/>
      </c>
      <c r="W15" s="61">
        <f>IF(B15="","",IF(L15="","",INT((TODAY()-L15)/30.44)))</f>
        <v/>
      </c>
      <c r="X15" s="62">
        <f>IF(B15="","",O15+T15*'Paramètres'!$B$34)</f>
        <v/>
      </c>
      <c r="Y15" s="62">
        <f>IF(B15="","",O15-N(IFERROR(INDEX('Paramètres'!$T$6:$T$15,MATCH(K15,'Paramètres'!$Q$6:$Q$15,0)),0)))</f>
        <v/>
      </c>
      <c r="Z15" s="123">
        <f>IF(B15="","",((COUNTIFS('Saisie'!$C$5:$C$2004,B15,'Saisie'!$E$5:$E$2004,"Onboarding - Contrat")&gt;0)+(COUNTIFS('Saisie'!$C$5:$C$2004,B15,'Saisie'!$E$5:$E$2004,"Onboarding - Accès")&gt;0)+(COUNTIFS('Saisie'!$C$5:$C$2004,B15,'Saisie'!$E$5:$E$2004,"Onboarding - Contenus")&gt;0)+(COUNTIFS('Saisie'!$C$5:$C$2004,B15,'Saisie'!$E$5:$E$2004,"Onboarding - Lancement")&gt;0))/4)</f>
        <v/>
      </c>
      <c r="AA15" s="60">
        <f>IF(B15="","",IF(COUNTIFS('Saisie'!$C$5:$C$2004,B15,'Saisie'!$E$5:$E$2004,"Demande d'avis Google")&gt;0,"Oui","Non"))</f>
        <v/>
      </c>
      <c r="AB15" s="61">
        <f>IF(B15="","",IFERROR(INDEX('Saisie'!$N$5:$N$2004,_xlfn.MAXIFS('Saisie'!$AS$5:$AS$2004,'Saisie'!$C$5:$C$2004,B15,'Saisie'!$E$5:$E$2004,"Satisfaction client")-4)&amp;"",""))</f>
        <v/>
      </c>
      <c r="AC15" s="106">
        <f>IF(B15="","",IFERROR(1/(1/_xlfn.MAXIFS('Saisie'!$A$5:$A$2004,'Saisie'!$C$5:$C$2004,B15,'Saisie'!$E$5:$E$2004,"Résiliation")),""))</f>
        <v/>
      </c>
      <c r="AD15" s="60">
        <f>IF(D15&lt;&gt;"",MAX($AD$4:AD14)+1,"")</f>
        <v/>
      </c>
    </row>
    <row r="16">
      <c r="A16" s="60">
        <f>IF(B16="","","C-"&amp;TEXT(12,"000"))</f>
        <v/>
      </c>
      <c r="B16" s="60">
        <f>IFERROR(INDEX('Prospects'!$C$5:$C$504,MATCH(12,'Prospects'!$BX$5:$BX$504,0)),"")</f>
        <v/>
      </c>
      <c r="C16" s="60">
        <f>IF(B16="","",IF(AC16&lt;&gt;"","Résilié","Actif"))</f>
        <v/>
      </c>
      <c r="D16" s="60">
        <f>IF(B16="","",IF(C16="Résilié","",IF(R16="En retard","Paiement en retard",IF(AND(V16&lt;&gt;"",N(V16)&lt;='Paramètres'!$B$30,N(V16)&gt;=0),"Renouvellement dans "&amp;V16&amp;" j",IF(AND(AA16="Non",TODAY()-N(L16)&gt;='Paramètres'!$B$29),"Demander un avis Google",IF(Z16&lt;1,"Onboarding à terminer",""))))))</f>
        <v/>
      </c>
      <c r="E16" s="60">
        <f>IF(B16="","",INDEX('Prospects'!$J$5:$J$504,MATCH(B16,'Prospects'!$C$5:$C$504,0))&amp;"")</f>
        <v/>
      </c>
      <c r="F16" s="60">
        <f>IF(B16="","",INDEX('Prospects'!$K$5:$K$504,MATCH(B16,'Prospects'!$C$5:$C$504,0))&amp;"")</f>
        <v/>
      </c>
      <c r="G16" s="60">
        <f>IF(B16="","",INDEX('Prospects'!$N$5:$N$504,MATCH(B16,'Prospects'!$C$5:$C$504,0))&amp;"")</f>
        <v/>
      </c>
      <c r="H16" s="60">
        <f>IF(B16="","",INDEX('Prospects'!$S$5:$S$504,MATCH(B16,'Prospects'!$C$5:$C$504,0))&amp;"")</f>
        <v/>
      </c>
      <c r="I16" s="60">
        <f>IF(B16="","",INDEX('Prospects'!$X$5:$X$504,MATCH(B16,'Prospects'!$C$5:$C$504,0))&amp;"")</f>
        <v/>
      </c>
      <c r="J16" s="60">
        <f>IF(B16="","",INDEX('Prospects'!$Y$5:$Y$504,MATCH(B16,'Prospects'!$C$5:$C$504,0))&amp;"")</f>
        <v/>
      </c>
      <c r="K16" s="60">
        <f>IF(B16="","",INDEX('Prospects'!$AN$5:$AN$504,MATCH(B16,'Prospects'!$C$5:$C$504,0))&amp;"")</f>
        <v/>
      </c>
      <c r="L16" s="106">
        <f>IF(B16="","",INDEX('Prospects'!$AT$5:$AT$504,MATCH(B16,'Prospects'!$C$5:$C$504,0)))</f>
        <v/>
      </c>
      <c r="M16" s="62">
        <f>IF(B16="","",SUMIFS('Saisie'!$AW$5:$AW$2004,'Saisie'!$C$5:$C$2004,B16,'Saisie'!$E$5:$E$2004,"Signature"))</f>
        <v/>
      </c>
      <c r="N16" s="62">
        <f>IF(B16="","",SUMIFS('Saisie'!$AW$5:$AW$2004,'Saisie'!$C$5:$C$2004,B16,'Saisie'!$E$5:$E$2004,"Vente additionnelle"))</f>
        <v/>
      </c>
      <c r="O16" s="62">
        <f>IF(B16="","",M16+N16)</f>
        <v/>
      </c>
      <c r="P16" s="62">
        <f>IF(B16="","",SUMIFS('Saisie'!$AW$5:$AW$2004,'Saisie'!$C$5:$C$2004,B16,'Saisie'!$E$5:$E$2004,"Paiement reçu"))</f>
        <v/>
      </c>
      <c r="Q16" s="62">
        <f>IF(B16="","",MAX(0,O16-P16))</f>
        <v/>
      </c>
      <c r="R16" s="60">
        <f>IF(B16="","",IF(O16=0,"",IF(Q16&lt;=0,"Payé",IF(TODAY()-N(L16)&gt;'Paramètres'!$B$27,"En retard",IF(P16&gt;0,"Partiel","En attente")))))</f>
        <v/>
      </c>
      <c r="S16" s="60">
        <f>IF(B16="","",IFERROR(INDEX('Saisie'!$O$5:$O$2004,_xlfn.MAXIFS('Saisie'!$AS$5:$AS$2004,'Saisie'!$C$5:$C$2004,B16,'Saisie'!$O$5:$O$2004,"&lt;&gt;")-4),""))</f>
        <v/>
      </c>
      <c r="T16" s="62">
        <f>IF(B16="","",N(INDEX('Prospects'!$AO$5:$AO$504,MATCH(B16,'Prospects'!$C$5:$C$504,0))))</f>
        <v/>
      </c>
      <c r="U16" s="106">
        <f>IF(B16="","",IF(L16="","",EDATE(L16,'Paramètres'!$B$33)))</f>
        <v/>
      </c>
      <c r="V16" s="61">
        <f>IF(B16="","",IF(U16="","",U16-TODAY()))</f>
        <v/>
      </c>
      <c r="W16" s="61">
        <f>IF(B16="","",IF(L16="","",INT((TODAY()-L16)/30.44)))</f>
        <v/>
      </c>
      <c r="X16" s="62">
        <f>IF(B16="","",O16+T16*'Paramètres'!$B$34)</f>
        <v/>
      </c>
      <c r="Y16" s="62">
        <f>IF(B16="","",O16-N(IFERROR(INDEX('Paramètres'!$T$6:$T$15,MATCH(K16,'Paramètres'!$Q$6:$Q$15,0)),0)))</f>
        <v/>
      </c>
      <c r="Z16" s="123">
        <f>IF(B16="","",((COUNTIFS('Saisie'!$C$5:$C$2004,B16,'Saisie'!$E$5:$E$2004,"Onboarding - Contrat")&gt;0)+(COUNTIFS('Saisie'!$C$5:$C$2004,B16,'Saisie'!$E$5:$E$2004,"Onboarding - Accès")&gt;0)+(COUNTIFS('Saisie'!$C$5:$C$2004,B16,'Saisie'!$E$5:$E$2004,"Onboarding - Contenus")&gt;0)+(COUNTIFS('Saisie'!$C$5:$C$2004,B16,'Saisie'!$E$5:$E$2004,"Onboarding - Lancement")&gt;0))/4)</f>
        <v/>
      </c>
      <c r="AA16" s="60">
        <f>IF(B16="","",IF(COUNTIFS('Saisie'!$C$5:$C$2004,B16,'Saisie'!$E$5:$E$2004,"Demande d'avis Google")&gt;0,"Oui","Non"))</f>
        <v/>
      </c>
      <c r="AB16" s="61">
        <f>IF(B16="","",IFERROR(INDEX('Saisie'!$N$5:$N$2004,_xlfn.MAXIFS('Saisie'!$AS$5:$AS$2004,'Saisie'!$C$5:$C$2004,B16,'Saisie'!$E$5:$E$2004,"Satisfaction client")-4)&amp;"",""))</f>
        <v/>
      </c>
      <c r="AC16" s="106">
        <f>IF(B16="","",IFERROR(1/(1/_xlfn.MAXIFS('Saisie'!$A$5:$A$2004,'Saisie'!$C$5:$C$2004,B16,'Saisie'!$E$5:$E$2004,"Résiliation")),""))</f>
        <v/>
      </c>
      <c r="AD16" s="60">
        <f>IF(D16&lt;&gt;"",MAX($AD$4:AD15)+1,"")</f>
        <v/>
      </c>
    </row>
    <row r="17">
      <c r="A17" s="60">
        <f>IF(B17="","","C-"&amp;TEXT(13,"000"))</f>
        <v/>
      </c>
      <c r="B17" s="60">
        <f>IFERROR(INDEX('Prospects'!$C$5:$C$504,MATCH(13,'Prospects'!$BX$5:$BX$504,0)),"")</f>
        <v/>
      </c>
      <c r="C17" s="60">
        <f>IF(B17="","",IF(AC17&lt;&gt;"","Résilié","Actif"))</f>
        <v/>
      </c>
      <c r="D17" s="60">
        <f>IF(B17="","",IF(C17="Résilié","",IF(R17="En retard","Paiement en retard",IF(AND(V17&lt;&gt;"",N(V17)&lt;='Paramètres'!$B$30,N(V17)&gt;=0),"Renouvellement dans "&amp;V17&amp;" j",IF(AND(AA17="Non",TODAY()-N(L17)&gt;='Paramètres'!$B$29),"Demander un avis Google",IF(Z17&lt;1,"Onboarding à terminer",""))))))</f>
        <v/>
      </c>
      <c r="E17" s="60">
        <f>IF(B17="","",INDEX('Prospects'!$J$5:$J$504,MATCH(B17,'Prospects'!$C$5:$C$504,0))&amp;"")</f>
        <v/>
      </c>
      <c r="F17" s="60">
        <f>IF(B17="","",INDEX('Prospects'!$K$5:$K$504,MATCH(B17,'Prospects'!$C$5:$C$504,0))&amp;"")</f>
        <v/>
      </c>
      <c r="G17" s="60">
        <f>IF(B17="","",INDEX('Prospects'!$N$5:$N$504,MATCH(B17,'Prospects'!$C$5:$C$504,0))&amp;"")</f>
        <v/>
      </c>
      <c r="H17" s="60">
        <f>IF(B17="","",INDEX('Prospects'!$S$5:$S$504,MATCH(B17,'Prospects'!$C$5:$C$504,0))&amp;"")</f>
        <v/>
      </c>
      <c r="I17" s="60">
        <f>IF(B17="","",INDEX('Prospects'!$X$5:$X$504,MATCH(B17,'Prospects'!$C$5:$C$504,0))&amp;"")</f>
        <v/>
      </c>
      <c r="J17" s="60">
        <f>IF(B17="","",INDEX('Prospects'!$Y$5:$Y$504,MATCH(B17,'Prospects'!$C$5:$C$504,0))&amp;"")</f>
        <v/>
      </c>
      <c r="K17" s="60">
        <f>IF(B17="","",INDEX('Prospects'!$AN$5:$AN$504,MATCH(B17,'Prospects'!$C$5:$C$504,0))&amp;"")</f>
        <v/>
      </c>
      <c r="L17" s="106">
        <f>IF(B17="","",INDEX('Prospects'!$AT$5:$AT$504,MATCH(B17,'Prospects'!$C$5:$C$504,0)))</f>
        <v/>
      </c>
      <c r="M17" s="62">
        <f>IF(B17="","",SUMIFS('Saisie'!$AW$5:$AW$2004,'Saisie'!$C$5:$C$2004,B17,'Saisie'!$E$5:$E$2004,"Signature"))</f>
        <v/>
      </c>
      <c r="N17" s="62">
        <f>IF(B17="","",SUMIFS('Saisie'!$AW$5:$AW$2004,'Saisie'!$C$5:$C$2004,B17,'Saisie'!$E$5:$E$2004,"Vente additionnelle"))</f>
        <v/>
      </c>
      <c r="O17" s="62">
        <f>IF(B17="","",M17+N17)</f>
        <v/>
      </c>
      <c r="P17" s="62">
        <f>IF(B17="","",SUMIFS('Saisie'!$AW$5:$AW$2004,'Saisie'!$C$5:$C$2004,B17,'Saisie'!$E$5:$E$2004,"Paiement reçu"))</f>
        <v/>
      </c>
      <c r="Q17" s="62">
        <f>IF(B17="","",MAX(0,O17-P17))</f>
        <v/>
      </c>
      <c r="R17" s="60">
        <f>IF(B17="","",IF(O17=0,"",IF(Q17&lt;=0,"Payé",IF(TODAY()-N(L17)&gt;'Paramètres'!$B$27,"En retard",IF(P17&gt;0,"Partiel","En attente")))))</f>
        <v/>
      </c>
      <c r="S17" s="60">
        <f>IF(B17="","",IFERROR(INDEX('Saisie'!$O$5:$O$2004,_xlfn.MAXIFS('Saisie'!$AS$5:$AS$2004,'Saisie'!$C$5:$C$2004,B17,'Saisie'!$O$5:$O$2004,"&lt;&gt;")-4),""))</f>
        <v/>
      </c>
      <c r="T17" s="62">
        <f>IF(B17="","",N(INDEX('Prospects'!$AO$5:$AO$504,MATCH(B17,'Prospects'!$C$5:$C$504,0))))</f>
        <v/>
      </c>
      <c r="U17" s="106">
        <f>IF(B17="","",IF(L17="","",EDATE(L17,'Paramètres'!$B$33)))</f>
        <v/>
      </c>
      <c r="V17" s="61">
        <f>IF(B17="","",IF(U17="","",U17-TODAY()))</f>
        <v/>
      </c>
      <c r="W17" s="61">
        <f>IF(B17="","",IF(L17="","",INT((TODAY()-L17)/30.44)))</f>
        <v/>
      </c>
      <c r="X17" s="62">
        <f>IF(B17="","",O17+T17*'Paramètres'!$B$34)</f>
        <v/>
      </c>
      <c r="Y17" s="62">
        <f>IF(B17="","",O17-N(IFERROR(INDEX('Paramètres'!$T$6:$T$15,MATCH(K17,'Paramètres'!$Q$6:$Q$15,0)),0)))</f>
        <v/>
      </c>
      <c r="Z17" s="123">
        <f>IF(B17="","",((COUNTIFS('Saisie'!$C$5:$C$2004,B17,'Saisie'!$E$5:$E$2004,"Onboarding - Contrat")&gt;0)+(COUNTIFS('Saisie'!$C$5:$C$2004,B17,'Saisie'!$E$5:$E$2004,"Onboarding - Accès")&gt;0)+(COUNTIFS('Saisie'!$C$5:$C$2004,B17,'Saisie'!$E$5:$E$2004,"Onboarding - Contenus")&gt;0)+(COUNTIFS('Saisie'!$C$5:$C$2004,B17,'Saisie'!$E$5:$E$2004,"Onboarding - Lancement")&gt;0))/4)</f>
        <v/>
      </c>
      <c r="AA17" s="60">
        <f>IF(B17="","",IF(COUNTIFS('Saisie'!$C$5:$C$2004,B17,'Saisie'!$E$5:$E$2004,"Demande d'avis Google")&gt;0,"Oui","Non"))</f>
        <v/>
      </c>
      <c r="AB17" s="61">
        <f>IF(B17="","",IFERROR(INDEX('Saisie'!$N$5:$N$2004,_xlfn.MAXIFS('Saisie'!$AS$5:$AS$2004,'Saisie'!$C$5:$C$2004,B17,'Saisie'!$E$5:$E$2004,"Satisfaction client")-4)&amp;"",""))</f>
        <v/>
      </c>
      <c r="AC17" s="106">
        <f>IF(B17="","",IFERROR(1/(1/_xlfn.MAXIFS('Saisie'!$A$5:$A$2004,'Saisie'!$C$5:$C$2004,B17,'Saisie'!$E$5:$E$2004,"Résiliation")),""))</f>
        <v/>
      </c>
      <c r="AD17" s="60">
        <f>IF(D17&lt;&gt;"",MAX($AD$4:AD16)+1,"")</f>
        <v/>
      </c>
    </row>
    <row r="18">
      <c r="A18" s="60">
        <f>IF(B18="","","C-"&amp;TEXT(14,"000"))</f>
        <v/>
      </c>
      <c r="B18" s="60">
        <f>IFERROR(INDEX('Prospects'!$C$5:$C$504,MATCH(14,'Prospects'!$BX$5:$BX$504,0)),"")</f>
        <v/>
      </c>
      <c r="C18" s="60">
        <f>IF(B18="","",IF(AC18&lt;&gt;"","Résilié","Actif"))</f>
        <v/>
      </c>
      <c r="D18" s="60">
        <f>IF(B18="","",IF(C18="Résilié","",IF(R18="En retard","Paiement en retard",IF(AND(V18&lt;&gt;"",N(V18)&lt;='Paramètres'!$B$30,N(V18)&gt;=0),"Renouvellement dans "&amp;V18&amp;" j",IF(AND(AA18="Non",TODAY()-N(L18)&gt;='Paramètres'!$B$29),"Demander un avis Google",IF(Z18&lt;1,"Onboarding à terminer",""))))))</f>
        <v/>
      </c>
      <c r="E18" s="60">
        <f>IF(B18="","",INDEX('Prospects'!$J$5:$J$504,MATCH(B18,'Prospects'!$C$5:$C$504,0))&amp;"")</f>
        <v/>
      </c>
      <c r="F18" s="60">
        <f>IF(B18="","",INDEX('Prospects'!$K$5:$K$504,MATCH(B18,'Prospects'!$C$5:$C$504,0))&amp;"")</f>
        <v/>
      </c>
      <c r="G18" s="60">
        <f>IF(B18="","",INDEX('Prospects'!$N$5:$N$504,MATCH(B18,'Prospects'!$C$5:$C$504,0))&amp;"")</f>
        <v/>
      </c>
      <c r="H18" s="60">
        <f>IF(B18="","",INDEX('Prospects'!$S$5:$S$504,MATCH(B18,'Prospects'!$C$5:$C$504,0))&amp;"")</f>
        <v/>
      </c>
      <c r="I18" s="60">
        <f>IF(B18="","",INDEX('Prospects'!$X$5:$X$504,MATCH(B18,'Prospects'!$C$5:$C$504,0))&amp;"")</f>
        <v/>
      </c>
      <c r="J18" s="60">
        <f>IF(B18="","",INDEX('Prospects'!$Y$5:$Y$504,MATCH(B18,'Prospects'!$C$5:$C$504,0))&amp;"")</f>
        <v/>
      </c>
      <c r="K18" s="60">
        <f>IF(B18="","",INDEX('Prospects'!$AN$5:$AN$504,MATCH(B18,'Prospects'!$C$5:$C$504,0))&amp;"")</f>
        <v/>
      </c>
      <c r="L18" s="106">
        <f>IF(B18="","",INDEX('Prospects'!$AT$5:$AT$504,MATCH(B18,'Prospects'!$C$5:$C$504,0)))</f>
        <v/>
      </c>
      <c r="M18" s="62">
        <f>IF(B18="","",SUMIFS('Saisie'!$AW$5:$AW$2004,'Saisie'!$C$5:$C$2004,B18,'Saisie'!$E$5:$E$2004,"Signature"))</f>
        <v/>
      </c>
      <c r="N18" s="62">
        <f>IF(B18="","",SUMIFS('Saisie'!$AW$5:$AW$2004,'Saisie'!$C$5:$C$2004,B18,'Saisie'!$E$5:$E$2004,"Vente additionnelle"))</f>
        <v/>
      </c>
      <c r="O18" s="62">
        <f>IF(B18="","",M18+N18)</f>
        <v/>
      </c>
      <c r="P18" s="62">
        <f>IF(B18="","",SUMIFS('Saisie'!$AW$5:$AW$2004,'Saisie'!$C$5:$C$2004,B18,'Saisie'!$E$5:$E$2004,"Paiement reçu"))</f>
        <v/>
      </c>
      <c r="Q18" s="62">
        <f>IF(B18="","",MAX(0,O18-P18))</f>
        <v/>
      </c>
      <c r="R18" s="60">
        <f>IF(B18="","",IF(O18=0,"",IF(Q18&lt;=0,"Payé",IF(TODAY()-N(L18)&gt;'Paramètres'!$B$27,"En retard",IF(P18&gt;0,"Partiel","En attente")))))</f>
        <v/>
      </c>
      <c r="S18" s="60">
        <f>IF(B18="","",IFERROR(INDEX('Saisie'!$O$5:$O$2004,_xlfn.MAXIFS('Saisie'!$AS$5:$AS$2004,'Saisie'!$C$5:$C$2004,B18,'Saisie'!$O$5:$O$2004,"&lt;&gt;")-4),""))</f>
        <v/>
      </c>
      <c r="T18" s="62">
        <f>IF(B18="","",N(INDEX('Prospects'!$AO$5:$AO$504,MATCH(B18,'Prospects'!$C$5:$C$504,0))))</f>
        <v/>
      </c>
      <c r="U18" s="106">
        <f>IF(B18="","",IF(L18="","",EDATE(L18,'Paramètres'!$B$33)))</f>
        <v/>
      </c>
      <c r="V18" s="61">
        <f>IF(B18="","",IF(U18="","",U18-TODAY()))</f>
        <v/>
      </c>
      <c r="W18" s="61">
        <f>IF(B18="","",IF(L18="","",INT((TODAY()-L18)/30.44)))</f>
        <v/>
      </c>
      <c r="X18" s="62">
        <f>IF(B18="","",O18+T18*'Paramètres'!$B$34)</f>
        <v/>
      </c>
      <c r="Y18" s="62">
        <f>IF(B18="","",O18-N(IFERROR(INDEX('Paramètres'!$T$6:$T$15,MATCH(K18,'Paramètres'!$Q$6:$Q$15,0)),0)))</f>
        <v/>
      </c>
      <c r="Z18" s="123">
        <f>IF(B18="","",((COUNTIFS('Saisie'!$C$5:$C$2004,B18,'Saisie'!$E$5:$E$2004,"Onboarding - Contrat")&gt;0)+(COUNTIFS('Saisie'!$C$5:$C$2004,B18,'Saisie'!$E$5:$E$2004,"Onboarding - Accès")&gt;0)+(COUNTIFS('Saisie'!$C$5:$C$2004,B18,'Saisie'!$E$5:$E$2004,"Onboarding - Contenus")&gt;0)+(COUNTIFS('Saisie'!$C$5:$C$2004,B18,'Saisie'!$E$5:$E$2004,"Onboarding - Lancement")&gt;0))/4)</f>
        <v/>
      </c>
      <c r="AA18" s="60">
        <f>IF(B18="","",IF(COUNTIFS('Saisie'!$C$5:$C$2004,B18,'Saisie'!$E$5:$E$2004,"Demande d'avis Google")&gt;0,"Oui","Non"))</f>
        <v/>
      </c>
      <c r="AB18" s="61">
        <f>IF(B18="","",IFERROR(INDEX('Saisie'!$N$5:$N$2004,_xlfn.MAXIFS('Saisie'!$AS$5:$AS$2004,'Saisie'!$C$5:$C$2004,B18,'Saisie'!$E$5:$E$2004,"Satisfaction client")-4)&amp;"",""))</f>
        <v/>
      </c>
      <c r="AC18" s="106">
        <f>IF(B18="","",IFERROR(1/(1/_xlfn.MAXIFS('Saisie'!$A$5:$A$2004,'Saisie'!$C$5:$C$2004,B18,'Saisie'!$E$5:$E$2004,"Résiliation")),""))</f>
        <v/>
      </c>
      <c r="AD18" s="60">
        <f>IF(D18&lt;&gt;"",MAX($AD$4:AD17)+1,"")</f>
        <v/>
      </c>
    </row>
    <row r="19">
      <c r="A19" s="60">
        <f>IF(B19="","","C-"&amp;TEXT(15,"000"))</f>
        <v/>
      </c>
      <c r="B19" s="60">
        <f>IFERROR(INDEX('Prospects'!$C$5:$C$504,MATCH(15,'Prospects'!$BX$5:$BX$504,0)),"")</f>
        <v/>
      </c>
      <c r="C19" s="60">
        <f>IF(B19="","",IF(AC19&lt;&gt;"","Résilié","Actif"))</f>
        <v/>
      </c>
      <c r="D19" s="60">
        <f>IF(B19="","",IF(C19="Résilié","",IF(R19="En retard","Paiement en retard",IF(AND(V19&lt;&gt;"",N(V19)&lt;='Paramètres'!$B$30,N(V19)&gt;=0),"Renouvellement dans "&amp;V19&amp;" j",IF(AND(AA19="Non",TODAY()-N(L19)&gt;='Paramètres'!$B$29),"Demander un avis Google",IF(Z19&lt;1,"Onboarding à terminer",""))))))</f>
        <v/>
      </c>
      <c r="E19" s="60">
        <f>IF(B19="","",INDEX('Prospects'!$J$5:$J$504,MATCH(B19,'Prospects'!$C$5:$C$504,0))&amp;"")</f>
        <v/>
      </c>
      <c r="F19" s="60">
        <f>IF(B19="","",INDEX('Prospects'!$K$5:$K$504,MATCH(B19,'Prospects'!$C$5:$C$504,0))&amp;"")</f>
        <v/>
      </c>
      <c r="G19" s="60">
        <f>IF(B19="","",INDEX('Prospects'!$N$5:$N$504,MATCH(B19,'Prospects'!$C$5:$C$504,0))&amp;"")</f>
        <v/>
      </c>
      <c r="H19" s="60">
        <f>IF(B19="","",INDEX('Prospects'!$S$5:$S$504,MATCH(B19,'Prospects'!$C$5:$C$504,0))&amp;"")</f>
        <v/>
      </c>
      <c r="I19" s="60">
        <f>IF(B19="","",INDEX('Prospects'!$X$5:$X$504,MATCH(B19,'Prospects'!$C$5:$C$504,0))&amp;"")</f>
        <v/>
      </c>
      <c r="J19" s="60">
        <f>IF(B19="","",INDEX('Prospects'!$Y$5:$Y$504,MATCH(B19,'Prospects'!$C$5:$C$504,0))&amp;"")</f>
        <v/>
      </c>
      <c r="K19" s="60">
        <f>IF(B19="","",INDEX('Prospects'!$AN$5:$AN$504,MATCH(B19,'Prospects'!$C$5:$C$504,0))&amp;"")</f>
        <v/>
      </c>
      <c r="L19" s="106">
        <f>IF(B19="","",INDEX('Prospects'!$AT$5:$AT$504,MATCH(B19,'Prospects'!$C$5:$C$504,0)))</f>
        <v/>
      </c>
      <c r="M19" s="62">
        <f>IF(B19="","",SUMIFS('Saisie'!$AW$5:$AW$2004,'Saisie'!$C$5:$C$2004,B19,'Saisie'!$E$5:$E$2004,"Signature"))</f>
        <v/>
      </c>
      <c r="N19" s="62">
        <f>IF(B19="","",SUMIFS('Saisie'!$AW$5:$AW$2004,'Saisie'!$C$5:$C$2004,B19,'Saisie'!$E$5:$E$2004,"Vente additionnelle"))</f>
        <v/>
      </c>
      <c r="O19" s="62">
        <f>IF(B19="","",M19+N19)</f>
        <v/>
      </c>
      <c r="P19" s="62">
        <f>IF(B19="","",SUMIFS('Saisie'!$AW$5:$AW$2004,'Saisie'!$C$5:$C$2004,B19,'Saisie'!$E$5:$E$2004,"Paiement reçu"))</f>
        <v/>
      </c>
      <c r="Q19" s="62">
        <f>IF(B19="","",MAX(0,O19-P19))</f>
        <v/>
      </c>
      <c r="R19" s="60">
        <f>IF(B19="","",IF(O19=0,"",IF(Q19&lt;=0,"Payé",IF(TODAY()-N(L19)&gt;'Paramètres'!$B$27,"En retard",IF(P19&gt;0,"Partiel","En attente")))))</f>
        <v/>
      </c>
      <c r="S19" s="60">
        <f>IF(B19="","",IFERROR(INDEX('Saisie'!$O$5:$O$2004,_xlfn.MAXIFS('Saisie'!$AS$5:$AS$2004,'Saisie'!$C$5:$C$2004,B19,'Saisie'!$O$5:$O$2004,"&lt;&gt;")-4),""))</f>
        <v/>
      </c>
      <c r="T19" s="62">
        <f>IF(B19="","",N(INDEX('Prospects'!$AO$5:$AO$504,MATCH(B19,'Prospects'!$C$5:$C$504,0))))</f>
        <v/>
      </c>
      <c r="U19" s="106">
        <f>IF(B19="","",IF(L19="","",EDATE(L19,'Paramètres'!$B$33)))</f>
        <v/>
      </c>
      <c r="V19" s="61">
        <f>IF(B19="","",IF(U19="","",U19-TODAY()))</f>
        <v/>
      </c>
      <c r="W19" s="61">
        <f>IF(B19="","",IF(L19="","",INT((TODAY()-L19)/30.44)))</f>
        <v/>
      </c>
      <c r="X19" s="62">
        <f>IF(B19="","",O19+T19*'Paramètres'!$B$34)</f>
        <v/>
      </c>
      <c r="Y19" s="62">
        <f>IF(B19="","",O19-N(IFERROR(INDEX('Paramètres'!$T$6:$T$15,MATCH(K19,'Paramètres'!$Q$6:$Q$15,0)),0)))</f>
        <v/>
      </c>
      <c r="Z19" s="123">
        <f>IF(B19="","",((COUNTIFS('Saisie'!$C$5:$C$2004,B19,'Saisie'!$E$5:$E$2004,"Onboarding - Contrat")&gt;0)+(COUNTIFS('Saisie'!$C$5:$C$2004,B19,'Saisie'!$E$5:$E$2004,"Onboarding - Accès")&gt;0)+(COUNTIFS('Saisie'!$C$5:$C$2004,B19,'Saisie'!$E$5:$E$2004,"Onboarding - Contenus")&gt;0)+(COUNTIFS('Saisie'!$C$5:$C$2004,B19,'Saisie'!$E$5:$E$2004,"Onboarding - Lancement")&gt;0))/4)</f>
        <v/>
      </c>
      <c r="AA19" s="60">
        <f>IF(B19="","",IF(COUNTIFS('Saisie'!$C$5:$C$2004,B19,'Saisie'!$E$5:$E$2004,"Demande d'avis Google")&gt;0,"Oui","Non"))</f>
        <v/>
      </c>
      <c r="AB19" s="61">
        <f>IF(B19="","",IFERROR(INDEX('Saisie'!$N$5:$N$2004,_xlfn.MAXIFS('Saisie'!$AS$5:$AS$2004,'Saisie'!$C$5:$C$2004,B19,'Saisie'!$E$5:$E$2004,"Satisfaction client")-4)&amp;"",""))</f>
        <v/>
      </c>
      <c r="AC19" s="106">
        <f>IF(B19="","",IFERROR(1/(1/_xlfn.MAXIFS('Saisie'!$A$5:$A$2004,'Saisie'!$C$5:$C$2004,B19,'Saisie'!$E$5:$E$2004,"Résiliation")),""))</f>
        <v/>
      </c>
      <c r="AD19" s="60">
        <f>IF(D19&lt;&gt;"",MAX($AD$4:AD18)+1,"")</f>
        <v/>
      </c>
    </row>
    <row r="20">
      <c r="A20" s="60">
        <f>IF(B20="","","C-"&amp;TEXT(16,"000"))</f>
        <v/>
      </c>
      <c r="B20" s="60">
        <f>IFERROR(INDEX('Prospects'!$C$5:$C$504,MATCH(16,'Prospects'!$BX$5:$BX$504,0)),"")</f>
        <v/>
      </c>
      <c r="C20" s="60">
        <f>IF(B20="","",IF(AC20&lt;&gt;"","Résilié","Actif"))</f>
        <v/>
      </c>
      <c r="D20" s="60">
        <f>IF(B20="","",IF(C20="Résilié","",IF(R20="En retard","Paiement en retard",IF(AND(V20&lt;&gt;"",N(V20)&lt;='Paramètres'!$B$30,N(V20)&gt;=0),"Renouvellement dans "&amp;V20&amp;" j",IF(AND(AA20="Non",TODAY()-N(L20)&gt;='Paramètres'!$B$29),"Demander un avis Google",IF(Z20&lt;1,"Onboarding à terminer",""))))))</f>
        <v/>
      </c>
      <c r="E20" s="60">
        <f>IF(B20="","",INDEX('Prospects'!$J$5:$J$504,MATCH(B20,'Prospects'!$C$5:$C$504,0))&amp;"")</f>
        <v/>
      </c>
      <c r="F20" s="60">
        <f>IF(B20="","",INDEX('Prospects'!$K$5:$K$504,MATCH(B20,'Prospects'!$C$5:$C$504,0))&amp;"")</f>
        <v/>
      </c>
      <c r="G20" s="60">
        <f>IF(B20="","",INDEX('Prospects'!$N$5:$N$504,MATCH(B20,'Prospects'!$C$5:$C$504,0))&amp;"")</f>
        <v/>
      </c>
      <c r="H20" s="60">
        <f>IF(B20="","",INDEX('Prospects'!$S$5:$S$504,MATCH(B20,'Prospects'!$C$5:$C$504,0))&amp;"")</f>
        <v/>
      </c>
      <c r="I20" s="60">
        <f>IF(B20="","",INDEX('Prospects'!$X$5:$X$504,MATCH(B20,'Prospects'!$C$5:$C$504,0))&amp;"")</f>
        <v/>
      </c>
      <c r="J20" s="60">
        <f>IF(B20="","",INDEX('Prospects'!$Y$5:$Y$504,MATCH(B20,'Prospects'!$C$5:$C$504,0))&amp;"")</f>
        <v/>
      </c>
      <c r="K20" s="60">
        <f>IF(B20="","",INDEX('Prospects'!$AN$5:$AN$504,MATCH(B20,'Prospects'!$C$5:$C$504,0))&amp;"")</f>
        <v/>
      </c>
      <c r="L20" s="106">
        <f>IF(B20="","",INDEX('Prospects'!$AT$5:$AT$504,MATCH(B20,'Prospects'!$C$5:$C$504,0)))</f>
        <v/>
      </c>
      <c r="M20" s="62">
        <f>IF(B20="","",SUMIFS('Saisie'!$AW$5:$AW$2004,'Saisie'!$C$5:$C$2004,B20,'Saisie'!$E$5:$E$2004,"Signature"))</f>
        <v/>
      </c>
      <c r="N20" s="62">
        <f>IF(B20="","",SUMIFS('Saisie'!$AW$5:$AW$2004,'Saisie'!$C$5:$C$2004,B20,'Saisie'!$E$5:$E$2004,"Vente additionnelle"))</f>
        <v/>
      </c>
      <c r="O20" s="62">
        <f>IF(B20="","",M20+N20)</f>
        <v/>
      </c>
      <c r="P20" s="62">
        <f>IF(B20="","",SUMIFS('Saisie'!$AW$5:$AW$2004,'Saisie'!$C$5:$C$2004,B20,'Saisie'!$E$5:$E$2004,"Paiement reçu"))</f>
        <v/>
      </c>
      <c r="Q20" s="62">
        <f>IF(B20="","",MAX(0,O20-P20))</f>
        <v/>
      </c>
      <c r="R20" s="60">
        <f>IF(B20="","",IF(O20=0,"",IF(Q20&lt;=0,"Payé",IF(TODAY()-N(L20)&gt;'Paramètres'!$B$27,"En retard",IF(P20&gt;0,"Partiel","En attente")))))</f>
        <v/>
      </c>
      <c r="S20" s="60">
        <f>IF(B20="","",IFERROR(INDEX('Saisie'!$O$5:$O$2004,_xlfn.MAXIFS('Saisie'!$AS$5:$AS$2004,'Saisie'!$C$5:$C$2004,B20,'Saisie'!$O$5:$O$2004,"&lt;&gt;")-4),""))</f>
        <v/>
      </c>
      <c r="T20" s="62">
        <f>IF(B20="","",N(INDEX('Prospects'!$AO$5:$AO$504,MATCH(B20,'Prospects'!$C$5:$C$504,0))))</f>
        <v/>
      </c>
      <c r="U20" s="106">
        <f>IF(B20="","",IF(L20="","",EDATE(L20,'Paramètres'!$B$33)))</f>
        <v/>
      </c>
      <c r="V20" s="61">
        <f>IF(B20="","",IF(U20="","",U20-TODAY()))</f>
        <v/>
      </c>
      <c r="W20" s="61">
        <f>IF(B20="","",IF(L20="","",INT((TODAY()-L20)/30.44)))</f>
        <v/>
      </c>
      <c r="X20" s="62">
        <f>IF(B20="","",O20+T20*'Paramètres'!$B$34)</f>
        <v/>
      </c>
      <c r="Y20" s="62">
        <f>IF(B20="","",O20-N(IFERROR(INDEX('Paramètres'!$T$6:$T$15,MATCH(K20,'Paramètres'!$Q$6:$Q$15,0)),0)))</f>
        <v/>
      </c>
      <c r="Z20" s="123">
        <f>IF(B20="","",((COUNTIFS('Saisie'!$C$5:$C$2004,B20,'Saisie'!$E$5:$E$2004,"Onboarding - Contrat")&gt;0)+(COUNTIFS('Saisie'!$C$5:$C$2004,B20,'Saisie'!$E$5:$E$2004,"Onboarding - Accès")&gt;0)+(COUNTIFS('Saisie'!$C$5:$C$2004,B20,'Saisie'!$E$5:$E$2004,"Onboarding - Contenus")&gt;0)+(COUNTIFS('Saisie'!$C$5:$C$2004,B20,'Saisie'!$E$5:$E$2004,"Onboarding - Lancement")&gt;0))/4)</f>
        <v/>
      </c>
      <c r="AA20" s="60">
        <f>IF(B20="","",IF(COUNTIFS('Saisie'!$C$5:$C$2004,B20,'Saisie'!$E$5:$E$2004,"Demande d'avis Google")&gt;0,"Oui","Non"))</f>
        <v/>
      </c>
      <c r="AB20" s="61">
        <f>IF(B20="","",IFERROR(INDEX('Saisie'!$N$5:$N$2004,_xlfn.MAXIFS('Saisie'!$AS$5:$AS$2004,'Saisie'!$C$5:$C$2004,B20,'Saisie'!$E$5:$E$2004,"Satisfaction client")-4)&amp;"",""))</f>
        <v/>
      </c>
      <c r="AC20" s="106">
        <f>IF(B20="","",IFERROR(1/(1/_xlfn.MAXIFS('Saisie'!$A$5:$A$2004,'Saisie'!$C$5:$C$2004,B20,'Saisie'!$E$5:$E$2004,"Résiliation")),""))</f>
        <v/>
      </c>
      <c r="AD20" s="60">
        <f>IF(D20&lt;&gt;"",MAX($AD$4:AD19)+1,"")</f>
        <v/>
      </c>
    </row>
    <row r="21">
      <c r="A21" s="60">
        <f>IF(B21="","","C-"&amp;TEXT(17,"000"))</f>
        <v/>
      </c>
      <c r="B21" s="60">
        <f>IFERROR(INDEX('Prospects'!$C$5:$C$504,MATCH(17,'Prospects'!$BX$5:$BX$504,0)),"")</f>
        <v/>
      </c>
      <c r="C21" s="60">
        <f>IF(B21="","",IF(AC21&lt;&gt;"","Résilié","Actif"))</f>
        <v/>
      </c>
      <c r="D21" s="60">
        <f>IF(B21="","",IF(C21="Résilié","",IF(R21="En retard","Paiement en retard",IF(AND(V21&lt;&gt;"",N(V21)&lt;='Paramètres'!$B$30,N(V21)&gt;=0),"Renouvellement dans "&amp;V21&amp;" j",IF(AND(AA21="Non",TODAY()-N(L21)&gt;='Paramètres'!$B$29),"Demander un avis Google",IF(Z21&lt;1,"Onboarding à terminer",""))))))</f>
        <v/>
      </c>
      <c r="E21" s="60">
        <f>IF(B21="","",INDEX('Prospects'!$J$5:$J$504,MATCH(B21,'Prospects'!$C$5:$C$504,0))&amp;"")</f>
        <v/>
      </c>
      <c r="F21" s="60">
        <f>IF(B21="","",INDEX('Prospects'!$K$5:$K$504,MATCH(B21,'Prospects'!$C$5:$C$504,0))&amp;"")</f>
        <v/>
      </c>
      <c r="G21" s="60">
        <f>IF(B21="","",INDEX('Prospects'!$N$5:$N$504,MATCH(B21,'Prospects'!$C$5:$C$504,0))&amp;"")</f>
        <v/>
      </c>
      <c r="H21" s="60">
        <f>IF(B21="","",INDEX('Prospects'!$S$5:$S$504,MATCH(B21,'Prospects'!$C$5:$C$504,0))&amp;"")</f>
        <v/>
      </c>
      <c r="I21" s="60">
        <f>IF(B21="","",INDEX('Prospects'!$X$5:$X$504,MATCH(B21,'Prospects'!$C$5:$C$504,0))&amp;"")</f>
        <v/>
      </c>
      <c r="J21" s="60">
        <f>IF(B21="","",INDEX('Prospects'!$Y$5:$Y$504,MATCH(B21,'Prospects'!$C$5:$C$504,0))&amp;"")</f>
        <v/>
      </c>
      <c r="K21" s="60">
        <f>IF(B21="","",INDEX('Prospects'!$AN$5:$AN$504,MATCH(B21,'Prospects'!$C$5:$C$504,0))&amp;"")</f>
        <v/>
      </c>
      <c r="L21" s="106">
        <f>IF(B21="","",INDEX('Prospects'!$AT$5:$AT$504,MATCH(B21,'Prospects'!$C$5:$C$504,0)))</f>
        <v/>
      </c>
      <c r="M21" s="62">
        <f>IF(B21="","",SUMIFS('Saisie'!$AW$5:$AW$2004,'Saisie'!$C$5:$C$2004,B21,'Saisie'!$E$5:$E$2004,"Signature"))</f>
        <v/>
      </c>
      <c r="N21" s="62">
        <f>IF(B21="","",SUMIFS('Saisie'!$AW$5:$AW$2004,'Saisie'!$C$5:$C$2004,B21,'Saisie'!$E$5:$E$2004,"Vente additionnelle"))</f>
        <v/>
      </c>
      <c r="O21" s="62">
        <f>IF(B21="","",M21+N21)</f>
        <v/>
      </c>
      <c r="P21" s="62">
        <f>IF(B21="","",SUMIFS('Saisie'!$AW$5:$AW$2004,'Saisie'!$C$5:$C$2004,B21,'Saisie'!$E$5:$E$2004,"Paiement reçu"))</f>
        <v/>
      </c>
      <c r="Q21" s="62">
        <f>IF(B21="","",MAX(0,O21-P21))</f>
        <v/>
      </c>
      <c r="R21" s="60">
        <f>IF(B21="","",IF(O21=0,"",IF(Q21&lt;=0,"Payé",IF(TODAY()-N(L21)&gt;'Paramètres'!$B$27,"En retard",IF(P21&gt;0,"Partiel","En attente")))))</f>
        <v/>
      </c>
      <c r="S21" s="60">
        <f>IF(B21="","",IFERROR(INDEX('Saisie'!$O$5:$O$2004,_xlfn.MAXIFS('Saisie'!$AS$5:$AS$2004,'Saisie'!$C$5:$C$2004,B21,'Saisie'!$O$5:$O$2004,"&lt;&gt;")-4),""))</f>
        <v/>
      </c>
      <c r="T21" s="62">
        <f>IF(B21="","",N(INDEX('Prospects'!$AO$5:$AO$504,MATCH(B21,'Prospects'!$C$5:$C$504,0))))</f>
        <v/>
      </c>
      <c r="U21" s="106">
        <f>IF(B21="","",IF(L21="","",EDATE(L21,'Paramètres'!$B$33)))</f>
        <v/>
      </c>
      <c r="V21" s="61">
        <f>IF(B21="","",IF(U21="","",U21-TODAY()))</f>
        <v/>
      </c>
      <c r="W21" s="61">
        <f>IF(B21="","",IF(L21="","",INT((TODAY()-L21)/30.44)))</f>
        <v/>
      </c>
      <c r="X21" s="62">
        <f>IF(B21="","",O21+T21*'Paramètres'!$B$34)</f>
        <v/>
      </c>
      <c r="Y21" s="62">
        <f>IF(B21="","",O21-N(IFERROR(INDEX('Paramètres'!$T$6:$T$15,MATCH(K21,'Paramètres'!$Q$6:$Q$15,0)),0)))</f>
        <v/>
      </c>
      <c r="Z21" s="123">
        <f>IF(B21="","",((COUNTIFS('Saisie'!$C$5:$C$2004,B21,'Saisie'!$E$5:$E$2004,"Onboarding - Contrat")&gt;0)+(COUNTIFS('Saisie'!$C$5:$C$2004,B21,'Saisie'!$E$5:$E$2004,"Onboarding - Accès")&gt;0)+(COUNTIFS('Saisie'!$C$5:$C$2004,B21,'Saisie'!$E$5:$E$2004,"Onboarding - Contenus")&gt;0)+(COUNTIFS('Saisie'!$C$5:$C$2004,B21,'Saisie'!$E$5:$E$2004,"Onboarding - Lancement")&gt;0))/4)</f>
        <v/>
      </c>
      <c r="AA21" s="60">
        <f>IF(B21="","",IF(COUNTIFS('Saisie'!$C$5:$C$2004,B21,'Saisie'!$E$5:$E$2004,"Demande d'avis Google")&gt;0,"Oui","Non"))</f>
        <v/>
      </c>
      <c r="AB21" s="61">
        <f>IF(B21="","",IFERROR(INDEX('Saisie'!$N$5:$N$2004,_xlfn.MAXIFS('Saisie'!$AS$5:$AS$2004,'Saisie'!$C$5:$C$2004,B21,'Saisie'!$E$5:$E$2004,"Satisfaction client")-4)&amp;"",""))</f>
        <v/>
      </c>
      <c r="AC21" s="106">
        <f>IF(B21="","",IFERROR(1/(1/_xlfn.MAXIFS('Saisie'!$A$5:$A$2004,'Saisie'!$C$5:$C$2004,B21,'Saisie'!$E$5:$E$2004,"Résiliation")),""))</f>
        <v/>
      </c>
      <c r="AD21" s="60">
        <f>IF(D21&lt;&gt;"",MAX($AD$4:AD20)+1,"")</f>
        <v/>
      </c>
    </row>
    <row r="22">
      <c r="A22" s="60">
        <f>IF(B22="","","C-"&amp;TEXT(18,"000"))</f>
        <v/>
      </c>
      <c r="B22" s="60">
        <f>IFERROR(INDEX('Prospects'!$C$5:$C$504,MATCH(18,'Prospects'!$BX$5:$BX$504,0)),"")</f>
        <v/>
      </c>
      <c r="C22" s="60">
        <f>IF(B22="","",IF(AC22&lt;&gt;"","Résilié","Actif"))</f>
        <v/>
      </c>
      <c r="D22" s="60">
        <f>IF(B22="","",IF(C22="Résilié","",IF(R22="En retard","Paiement en retard",IF(AND(V22&lt;&gt;"",N(V22)&lt;='Paramètres'!$B$30,N(V22)&gt;=0),"Renouvellement dans "&amp;V22&amp;" j",IF(AND(AA22="Non",TODAY()-N(L22)&gt;='Paramètres'!$B$29),"Demander un avis Google",IF(Z22&lt;1,"Onboarding à terminer",""))))))</f>
        <v/>
      </c>
      <c r="E22" s="60">
        <f>IF(B22="","",INDEX('Prospects'!$J$5:$J$504,MATCH(B22,'Prospects'!$C$5:$C$504,0))&amp;"")</f>
        <v/>
      </c>
      <c r="F22" s="60">
        <f>IF(B22="","",INDEX('Prospects'!$K$5:$K$504,MATCH(B22,'Prospects'!$C$5:$C$504,0))&amp;"")</f>
        <v/>
      </c>
      <c r="G22" s="60">
        <f>IF(B22="","",INDEX('Prospects'!$N$5:$N$504,MATCH(B22,'Prospects'!$C$5:$C$504,0))&amp;"")</f>
        <v/>
      </c>
      <c r="H22" s="60">
        <f>IF(B22="","",INDEX('Prospects'!$S$5:$S$504,MATCH(B22,'Prospects'!$C$5:$C$504,0))&amp;"")</f>
        <v/>
      </c>
      <c r="I22" s="60">
        <f>IF(B22="","",INDEX('Prospects'!$X$5:$X$504,MATCH(B22,'Prospects'!$C$5:$C$504,0))&amp;"")</f>
        <v/>
      </c>
      <c r="J22" s="60">
        <f>IF(B22="","",INDEX('Prospects'!$Y$5:$Y$504,MATCH(B22,'Prospects'!$C$5:$C$504,0))&amp;"")</f>
        <v/>
      </c>
      <c r="K22" s="60">
        <f>IF(B22="","",INDEX('Prospects'!$AN$5:$AN$504,MATCH(B22,'Prospects'!$C$5:$C$504,0))&amp;"")</f>
        <v/>
      </c>
      <c r="L22" s="106">
        <f>IF(B22="","",INDEX('Prospects'!$AT$5:$AT$504,MATCH(B22,'Prospects'!$C$5:$C$504,0)))</f>
        <v/>
      </c>
      <c r="M22" s="62">
        <f>IF(B22="","",SUMIFS('Saisie'!$AW$5:$AW$2004,'Saisie'!$C$5:$C$2004,B22,'Saisie'!$E$5:$E$2004,"Signature"))</f>
        <v/>
      </c>
      <c r="N22" s="62">
        <f>IF(B22="","",SUMIFS('Saisie'!$AW$5:$AW$2004,'Saisie'!$C$5:$C$2004,B22,'Saisie'!$E$5:$E$2004,"Vente additionnelle"))</f>
        <v/>
      </c>
      <c r="O22" s="62">
        <f>IF(B22="","",M22+N22)</f>
        <v/>
      </c>
      <c r="P22" s="62">
        <f>IF(B22="","",SUMIFS('Saisie'!$AW$5:$AW$2004,'Saisie'!$C$5:$C$2004,B22,'Saisie'!$E$5:$E$2004,"Paiement reçu"))</f>
        <v/>
      </c>
      <c r="Q22" s="62">
        <f>IF(B22="","",MAX(0,O22-P22))</f>
        <v/>
      </c>
      <c r="R22" s="60">
        <f>IF(B22="","",IF(O22=0,"",IF(Q22&lt;=0,"Payé",IF(TODAY()-N(L22)&gt;'Paramètres'!$B$27,"En retard",IF(P22&gt;0,"Partiel","En attente")))))</f>
        <v/>
      </c>
      <c r="S22" s="60">
        <f>IF(B22="","",IFERROR(INDEX('Saisie'!$O$5:$O$2004,_xlfn.MAXIFS('Saisie'!$AS$5:$AS$2004,'Saisie'!$C$5:$C$2004,B22,'Saisie'!$O$5:$O$2004,"&lt;&gt;")-4),""))</f>
        <v/>
      </c>
      <c r="T22" s="62">
        <f>IF(B22="","",N(INDEX('Prospects'!$AO$5:$AO$504,MATCH(B22,'Prospects'!$C$5:$C$504,0))))</f>
        <v/>
      </c>
      <c r="U22" s="106">
        <f>IF(B22="","",IF(L22="","",EDATE(L22,'Paramètres'!$B$33)))</f>
        <v/>
      </c>
      <c r="V22" s="61">
        <f>IF(B22="","",IF(U22="","",U22-TODAY()))</f>
        <v/>
      </c>
      <c r="W22" s="61">
        <f>IF(B22="","",IF(L22="","",INT((TODAY()-L22)/30.44)))</f>
        <v/>
      </c>
      <c r="X22" s="62">
        <f>IF(B22="","",O22+T22*'Paramètres'!$B$34)</f>
        <v/>
      </c>
      <c r="Y22" s="62">
        <f>IF(B22="","",O22-N(IFERROR(INDEX('Paramètres'!$T$6:$T$15,MATCH(K22,'Paramètres'!$Q$6:$Q$15,0)),0)))</f>
        <v/>
      </c>
      <c r="Z22" s="123">
        <f>IF(B22="","",((COUNTIFS('Saisie'!$C$5:$C$2004,B22,'Saisie'!$E$5:$E$2004,"Onboarding - Contrat")&gt;0)+(COUNTIFS('Saisie'!$C$5:$C$2004,B22,'Saisie'!$E$5:$E$2004,"Onboarding - Accès")&gt;0)+(COUNTIFS('Saisie'!$C$5:$C$2004,B22,'Saisie'!$E$5:$E$2004,"Onboarding - Contenus")&gt;0)+(COUNTIFS('Saisie'!$C$5:$C$2004,B22,'Saisie'!$E$5:$E$2004,"Onboarding - Lancement")&gt;0))/4)</f>
        <v/>
      </c>
      <c r="AA22" s="60">
        <f>IF(B22="","",IF(COUNTIFS('Saisie'!$C$5:$C$2004,B22,'Saisie'!$E$5:$E$2004,"Demande d'avis Google")&gt;0,"Oui","Non"))</f>
        <v/>
      </c>
      <c r="AB22" s="61">
        <f>IF(B22="","",IFERROR(INDEX('Saisie'!$N$5:$N$2004,_xlfn.MAXIFS('Saisie'!$AS$5:$AS$2004,'Saisie'!$C$5:$C$2004,B22,'Saisie'!$E$5:$E$2004,"Satisfaction client")-4)&amp;"",""))</f>
        <v/>
      </c>
      <c r="AC22" s="106">
        <f>IF(B22="","",IFERROR(1/(1/_xlfn.MAXIFS('Saisie'!$A$5:$A$2004,'Saisie'!$C$5:$C$2004,B22,'Saisie'!$E$5:$E$2004,"Résiliation")),""))</f>
        <v/>
      </c>
      <c r="AD22" s="60">
        <f>IF(D22&lt;&gt;"",MAX($AD$4:AD21)+1,"")</f>
        <v/>
      </c>
    </row>
    <row r="23">
      <c r="A23" s="60">
        <f>IF(B23="","","C-"&amp;TEXT(19,"000"))</f>
        <v/>
      </c>
      <c r="B23" s="60">
        <f>IFERROR(INDEX('Prospects'!$C$5:$C$504,MATCH(19,'Prospects'!$BX$5:$BX$504,0)),"")</f>
        <v/>
      </c>
      <c r="C23" s="60">
        <f>IF(B23="","",IF(AC23&lt;&gt;"","Résilié","Actif"))</f>
        <v/>
      </c>
      <c r="D23" s="60">
        <f>IF(B23="","",IF(C23="Résilié","",IF(R23="En retard","Paiement en retard",IF(AND(V23&lt;&gt;"",N(V23)&lt;='Paramètres'!$B$30,N(V23)&gt;=0),"Renouvellement dans "&amp;V23&amp;" j",IF(AND(AA23="Non",TODAY()-N(L23)&gt;='Paramètres'!$B$29),"Demander un avis Google",IF(Z23&lt;1,"Onboarding à terminer",""))))))</f>
        <v/>
      </c>
      <c r="E23" s="60">
        <f>IF(B23="","",INDEX('Prospects'!$J$5:$J$504,MATCH(B23,'Prospects'!$C$5:$C$504,0))&amp;"")</f>
        <v/>
      </c>
      <c r="F23" s="60">
        <f>IF(B23="","",INDEX('Prospects'!$K$5:$K$504,MATCH(B23,'Prospects'!$C$5:$C$504,0))&amp;"")</f>
        <v/>
      </c>
      <c r="G23" s="60">
        <f>IF(B23="","",INDEX('Prospects'!$N$5:$N$504,MATCH(B23,'Prospects'!$C$5:$C$504,0))&amp;"")</f>
        <v/>
      </c>
      <c r="H23" s="60">
        <f>IF(B23="","",INDEX('Prospects'!$S$5:$S$504,MATCH(B23,'Prospects'!$C$5:$C$504,0))&amp;"")</f>
        <v/>
      </c>
      <c r="I23" s="60">
        <f>IF(B23="","",INDEX('Prospects'!$X$5:$X$504,MATCH(B23,'Prospects'!$C$5:$C$504,0))&amp;"")</f>
        <v/>
      </c>
      <c r="J23" s="60">
        <f>IF(B23="","",INDEX('Prospects'!$Y$5:$Y$504,MATCH(B23,'Prospects'!$C$5:$C$504,0))&amp;"")</f>
        <v/>
      </c>
      <c r="K23" s="60">
        <f>IF(B23="","",INDEX('Prospects'!$AN$5:$AN$504,MATCH(B23,'Prospects'!$C$5:$C$504,0))&amp;"")</f>
        <v/>
      </c>
      <c r="L23" s="106">
        <f>IF(B23="","",INDEX('Prospects'!$AT$5:$AT$504,MATCH(B23,'Prospects'!$C$5:$C$504,0)))</f>
        <v/>
      </c>
      <c r="M23" s="62">
        <f>IF(B23="","",SUMIFS('Saisie'!$AW$5:$AW$2004,'Saisie'!$C$5:$C$2004,B23,'Saisie'!$E$5:$E$2004,"Signature"))</f>
        <v/>
      </c>
      <c r="N23" s="62">
        <f>IF(B23="","",SUMIFS('Saisie'!$AW$5:$AW$2004,'Saisie'!$C$5:$C$2004,B23,'Saisie'!$E$5:$E$2004,"Vente additionnelle"))</f>
        <v/>
      </c>
      <c r="O23" s="62">
        <f>IF(B23="","",M23+N23)</f>
        <v/>
      </c>
      <c r="P23" s="62">
        <f>IF(B23="","",SUMIFS('Saisie'!$AW$5:$AW$2004,'Saisie'!$C$5:$C$2004,B23,'Saisie'!$E$5:$E$2004,"Paiement reçu"))</f>
        <v/>
      </c>
      <c r="Q23" s="62">
        <f>IF(B23="","",MAX(0,O23-P23))</f>
        <v/>
      </c>
      <c r="R23" s="60">
        <f>IF(B23="","",IF(O23=0,"",IF(Q23&lt;=0,"Payé",IF(TODAY()-N(L23)&gt;'Paramètres'!$B$27,"En retard",IF(P23&gt;0,"Partiel","En attente")))))</f>
        <v/>
      </c>
      <c r="S23" s="60">
        <f>IF(B23="","",IFERROR(INDEX('Saisie'!$O$5:$O$2004,_xlfn.MAXIFS('Saisie'!$AS$5:$AS$2004,'Saisie'!$C$5:$C$2004,B23,'Saisie'!$O$5:$O$2004,"&lt;&gt;")-4),""))</f>
        <v/>
      </c>
      <c r="T23" s="62">
        <f>IF(B23="","",N(INDEX('Prospects'!$AO$5:$AO$504,MATCH(B23,'Prospects'!$C$5:$C$504,0))))</f>
        <v/>
      </c>
      <c r="U23" s="106">
        <f>IF(B23="","",IF(L23="","",EDATE(L23,'Paramètres'!$B$33)))</f>
        <v/>
      </c>
      <c r="V23" s="61">
        <f>IF(B23="","",IF(U23="","",U23-TODAY()))</f>
        <v/>
      </c>
      <c r="W23" s="61">
        <f>IF(B23="","",IF(L23="","",INT((TODAY()-L23)/30.44)))</f>
        <v/>
      </c>
      <c r="X23" s="62">
        <f>IF(B23="","",O23+T23*'Paramètres'!$B$34)</f>
        <v/>
      </c>
      <c r="Y23" s="62">
        <f>IF(B23="","",O23-N(IFERROR(INDEX('Paramètres'!$T$6:$T$15,MATCH(K23,'Paramètres'!$Q$6:$Q$15,0)),0)))</f>
        <v/>
      </c>
      <c r="Z23" s="123">
        <f>IF(B23="","",((COUNTIFS('Saisie'!$C$5:$C$2004,B23,'Saisie'!$E$5:$E$2004,"Onboarding - Contrat")&gt;0)+(COUNTIFS('Saisie'!$C$5:$C$2004,B23,'Saisie'!$E$5:$E$2004,"Onboarding - Accès")&gt;0)+(COUNTIFS('Saisie'!$C$5:$C$2004,B23,'Saisie'!$E$5:$E$2004,"Onboarding - Contenus")&gt;0)+(COUNTIFS('Saisie'!$C$5:$C$2004,B23,'Saisie'!$E$5:$E$2004,"Onboarding - Lancement")&gt;0))/4)</f>
        <v/>
      </c>
      <c r="AA23" s="60">
        <f>IF(B23="","",IF(COUNTIFS('Saisie'!$C$5:$C$2004,B23,'Saisie'!$E$5:$E$2004,"Demande d'avis Google")&gt;0,"Oui","Non"))</f>
        <v/>
      </c>
      <c r="AB23" s="61">
        <f>IF(B23="","",IFERROR(INDEX('Saisie'!$N$5:$N$2004,_xlfn.MAXIFS('Saisie'!$AS$5:$AS$2004,'Saisie'!$C$5:$C$2004,B23,'Saisie'!$E$5:$E$2004,"Satisfaction client")-4)&amp;"",""))</f>
        <v/>
      </c>
      <c r="AC23" s="106">
        <f>IF(B23="","",IFERROR(1/(1/_xlfn.MAXIFS('Saisie'!$A$5:$A$2004,'Saisie'!$C$5:$C$2004,B23,'Saisie'!$E$5:$E$2004,"Résiliation")),""))</f>
        <v/>
      </c>
      <c r="AD23" s="60">
        <f>IF(D23&lt;&gt;"",MAX($AD$4:AD22)+1,"")</f>
        <v/>
      </c>
    </row>
    <row r="24">
      <c r="A24" s="60">
        <f>IF(B24="","","C-"&amp;TEXT(20,"000"))</f>
        <v/>
      </c>
      <c r="B24" s="60">
        <f>IFERROR(INDEX('Prospects'!$C$5:$C$504,MATCH(20,'Prospects'!$BX$5:$BX$504,0)),"")</f>
        <v/>
      </c>
      <c r="C24" s="60">
        <f>IF(B24="","",IF(AC24&lt;&gt;"","Résilié","Actif"))</f>
        <v/>
      </c>
      <c r="D24" s="60">
        <f>IF(B24="","",IF(C24="Résilié","",IF(R24="En retard","Paiement en retard",IF(AND(V24&lt;&gt;"",N(V24)&lt;='Paramètres'!$B$30,N(V24)&gt;=0),"Renouvellement dans "&amp;V24&amp;" j",IF(AND(AA24="Non",TODAY()-N(L24)&gt;='Paramètres'!$B$29),"Demander un avis Google",IF(Z24&lt;1,"Onboarding à terminer",""))))))</f>
        <v/>
      </c>
      <c r="E24" s="60">
        <f>IF(B24="","",INDEX('Prospects'!$J$5:$J$504,MATCH(B24,'Prospects'!$C$5:$C$504,0))&amp;"")</f>
        <v/>
      </c>
      <c r="F24" s="60">
        <f>IF(B24="","",INDEX('Prospects'!$K$5:$K$504,MATCH(B24,'Prospects'!$C$5:$C$504,0))&amp;"")</f>
        <v/>
      </c>
      <c r="G24" s="60">
        <f>IF(B24="","",INDEX('Prospects'!$N$5:$N$504,MATCH(B24,'Prospects'!$C$5:$C$504,0))&amp;"")</f>
        <v/>
      </c>
      <c r="H24" s="60">
        <f>IF(B24="","",INDEX('Prospects'!$S$5:$S$504,MATCH(B24,'Prospects'!$C$5:$C$504,0))&amp;"")</f>
        <v/>
      </c>
      <c r="I24" s="60">
        <f>IF(B24="","",INDEX('Prospects'!$X$5:$X$504,MATCH(B24,'Prospects'!$C$5:$C$504,0))&amp;"")</f>
        <v/>
      </c>
      <c r="J24" s="60">
        <f>IF(B24="","",INDEX('Prospects'!$Y$5:$Y$504,MATCH(B24,'Prospects'!$C$5:$C$504,0))&amp;"")</f>
        <v/>
      </c>
      <c r="K24" s="60">
        <f>IF(B24="","",INDEX('Prospects'!$AN$5:$AN$504,MATCH(B24,'Prospects'!$C$5:$C$504,0))&amp;"")</f>
        <v/>
      </c>
      <c r="L24" s="106">
        <f>IF(B24="","",INDEX('Prospects'!$AT$5:$AT$504,MATCH(B24,'Prospects'!$C$5:$C$504,0)))</f>
        <v/>
      </c>
      <c r="M24" s="62">
        <f>IF(B24="","",SUMIFS('Saisie'!$AW$5:$AW$2004,'Saisie'!$C$5:$C$2004,B24,'Saisie'!$E$5:$E$2004,"Signature"))</f>
        <v/>
      </c>
      <c r="N24" s="62">
        <f>IF(B24="","",SUMIFS('Saisie'!$AW$5:$AW$2004,'Saisie'!$C$5:$C$2004,B24,'Saisie'!$E$5:$E$2004,"Vente additionnelle"))</f>
        <v/>
      </c>
      <c r="O24" s="62">
        <f>IF(B24="","",M24+N24)</f>
        <v/>
      </c>
      <c r="P24" s="62">
        <f>IF(B24="","",SUMIFS('Saisie'!$AW$5:$AW$2004,'Saisie'!$C$5:$C$2004,B24,'Saisie'!$E$5:$E$2004,"Paiement reçu"))</f>
        <v/>
      </c>
      <c r="Q24" s="62">
        <f>IF(B24="","",MAX(0,O24-P24))</f>
        <v/>
      </c>
      <c r="R24" s="60">
        <f>IF(B24="","",IF(O24=0,"",IF(Q24&lt;=0,"Payé",IF(TODAY()-N(L24)&gt;'Paramètres'!$B$27,"En retard",IF(P24&gt;0,"Partiel","En attente")))))</f>
        <v/>
      </c>
      <c r="S24" s="60">
        <f>IF(B24="","",IFERROR(INDEX('Saisie'!$O$5:$O$2004,_xlfn.MAXIFS('Saisie'!$AS$5:$AS$2004,'Saisie'!$C$5:$C$2004,B24,'Saisie'!$O$5:$O$2004,"&lt;&gt;")-4),""))</f>
        <v/>
      </c>
      <c r="T24" s="62">
        <f>IF(B24="","",N(INDEX('Prospects'!$AO$5:$AO$504,MATCH(B24,'Prospects'!$C$5:$C$504,0))))</f>
        <v/>
      </c>
      <c r="U24" s="106">
        <f>IF(B24="","",IF(L24="","",EDATE(L24,'Paramètres'!$B$33)))</f>
        <v/>
      </c>
      <c r="V24" s="61">
        <f>IF(B24="","",IF(U24="","",U24-TODAY()))</f>
        <v/>
      </c>
      <c r="W24" s="61">
        <f>IF(B24="","",IF(L24="","",INT((TODAY()-L24)/30.44)))</f>
        <v/>
      </c>
      <c r="X24" s="62">
        <f>IF(B24="","",O24+T24*'Paramètres'!$B$34)</f>
        <v/>
      </c>
      <c r="Y24" s="62">
        <f>IF(B24="","",O24-N(IFERROR(INDEX('Paramètres'!$T$6:$T$15,MATCH(K24,'Paramètres'!$Q$6:$Q$15,0)),0)))</f>
        <v/>
      </c>
      <c r="Z24" s="123">
        <f>IF(B24="","",((COUNTIFS('Saisie'!$C$5:$C$2004,B24,'Saisie'!$E$5:$E$2004,"Onboarding - Contrat")&gt;0)+(COUNTIFS('Saisie'!$C$5:$C$2004,B24,'Saisie'!$E$5:$E$2004,"Onboarding - Accès")&gt;0)+(COUNTIFS('Saisie'!$C$5:$C$2004,B24,'Saisie'!$E$5:$E$2004,"Onboarding - Contenus")&gt;0)+(COUNTIFS('Saisie'!$C$5:$C$2004,B24,'Saisie'!$E$5:$E$2004,"Onboarding - Lancement")&gt;0))/4)</f>
        <v/>
      </c>
      <c r="AA24" s="60">
        <f>IF(B24="","",IF(COUNTIFS('Saisie'!$C$5:$C$2004,B24,'Saisie'!$E$5:$E$2004,"Demande d'avis Google")&gt;0,"Oui","Non"))</f>
        <v/>
      </c>
      <c r="AB24" s="61">
        <f>IF(B24="","",IFERROR(INDEX('Saisie'!$N$5:$N$2004,_xlfn.MAXIFS('Saisie'!$AS$5:$AS$2004,'Saisie'!$C$5:$C$2004,B24,'Saisie'!$E$5:$E$2004,"Satisfaction client")-4)&amp;"",""))</f>
        <v/>
      </c>
      <c r="AC24" s="106">
        <f>IF(B24="","",IFERROR(1/(1/_xlfn.MAXIFS('Saisie'!$A$5:$A$2004,'Saisie'!$C$5:$C$2004,B24,'Saisie'!$E$5:$E$2004,"Résiliation")),""))</f>
        <v/>
      </c>
      <c r="AD24" s="60">
        <f>IF(D24&lt;&gt;"",MAX($AD$4:AD23)+1,"")</f>
        <v/>
      </c>
    </row>
    <row r="25">
      <c r="A25" s="60">
        <f>IF(B25="","","C-"&amp;TEXT(21,"000"))</f>
        <v/>
      </c>
      <c r="B25" s="60">
        <f>IFERROR(INDEX('Prospects'!$C$5:$C$504,MATCH(21,'Prospects'!$BX$5:$BX$504,0)),"")</f>
        <v/>
      </c>
      <c r="C25" s="60">
        <f>IF(B25="","",IF(AC25&lt;&gt;"","Résilié","Actif"))</f>
        <v/>
      </c>
      <c r="D25" s="60">
        <f>IF(B25="","",IF(C25="Résilié","",IF(R25="En retard","Paiement en retard",IF(AND(V25&lt;&gt;"",N(V25)&lt;='Paramètres'!$B$30,N(V25)&gt;=0),"Renouvellement dans "&amp;V25&amp;" j",IF(AND(AA25="Non",TODAY()-N(L25)&gt;='Paramètres'!$B$29),"Demander un avis Google",IF(Z25&lt;1,"Onboarding à terminer",""))))))</f>
        <v/>
      </c>
      <c r="E25" s="60">
        <f>IF(B25="","",INDEX('Prospects'!$J$5:$J$504,MATCH(B25,'Prospects'!$C$5:$C$504,0))&amp;"")</f>
        <v/>
      </c>
      <c r="F25" s="60">
        <f>IF(B25="","",INDEX('Prospects'!$K$5:$K$504,MATCH(B25,'Prospects'!$C$5:$C$504,0))&amp;"")</f>
        <v/>
      </c>
      <c r="G25" s="60">
        <f>IF(B25="","",INDEX('Prospects'!$N$5:$N$504,MATCH(B25,'Prospects'!$C$5:$C$504,0))&amp;"")</f>
        <v/>
      </c>
      <c r="H25" s="60">
        <f>IF(B25="","",INDEX('Prospects'!$S$5:$S$504,MATCH(B25,'Prospects'!$C$5:$C$504,0))&amp;"")</f>
        <v/>
      </c>
      <c r="I25" s="60">
        <f>IF(B25="","",INDEX('Prospects'!$X$5:$X$504,MATCH(B25,'Prospects'!$C$5:$C$504,0))&amp;"")</f>
        <v/>
      </c>
      <c r="J25" s="60">
        <f>IF(B25="","",INDEX('Prospects'!$Y$5:$Y$504,MATCH(B25,'Prospects'!$C$5:$C$504,0))&amp;"")</f>
        <v/>
      </c>
      <c r="K25" s="60">
        <f>IF(B25="","",INDEX('Prospects'!$AN$5:$AN$504,MATCH(B25,'Prospects'!$C$5:$C$504,0))&amp;"")</f>
        <v/>
      </c>
      <c r="L25" s="106">
        <f>IF(B25="","",INDEX('Prospects'!$AT$5:$AT$504,MATCH(B25,'Prospects'!$C$5:$C$504,0)))</f>
        <v/>
      </c>
      <c r="M25" s="62">
        <f>IF(B25="","",SUMIFS('Saisie'!$AW$5:$AW$2004,'Saisie'!$C$5:$C$2004,B25,'Saisie'!$E$5:$E$2004,"Signature"))</f>
        <v/>
      </c>
      <c r="N25" s="62">
        <f>IF(B25="","",SUMIFS('Saisie'!$AW$5:$AW$2004,'Saisie'!$C$5:$C$2004,B25,'Saisie'!$E$5:$E$2004,"Vente additionnelle"))</f>
        <v/>
      </c>
      <c r="O25" s="62">
        <f>IF(B25="","",M25+N25)</f>
        <v/>
      </c>
      <c r="P25" s="62">
        <f>IF(B25="","",SUMIFS('Saisie'!$AW$5:$AW$2004,'Saisie'!$C$5:$C$2004,B25,'Saisie'!$E$5:$E$2004,"Paiement reçu"))</f>
        <v/>
      </c>
      <c r="Q25" s="62">
        <f>IF(B25="","",MAX(0,O25-P25))</f>
        <v/>
      </c>
      <c r="R25" s="60">
        <f>IF(B25="","",IF(O25=0,"",IF(Q25&lt;=0,"Payé",IF(TODAY()-N(L25)&gt;'Paramètres'!$B$27,"En retard",IF(P25&gt;0,"Partiel","En attente")))))</f>
        <v/>
      </c>
      <c r="S25" s="60">
        <f>IF(B25="","",IFERROR(INDEX('Saisie'!$O$5:$O$2004,_xlfn.MAXIFS('Saisie'!$AS$5:$AS$2004,'Saisie'!$C$5:$C$2004,B25,'Saisie'!$O$5:$O$2004,"&lt;&gt;")-4),""))</f>
        <v/>
      </c>
      <c r="T25" s="62">
        <f>IF(B25="","",N(INDEX('Prospects'!$AO$5:$AO$504,MATCH(B25,'Prospects'!$C$5:$C$504,0))))</f>
        <v/>
      </c>
      <c r="U25" s="106">
        <f>IF(B25="","",IF(L25="","",EDATE(L25,'Paramètres'!$B$33)))</f>
        <v/>
      </c>
      <c r="V25" s="61">
        <f>IF(B25="","",IF(U25="","",U25-TODAY()))</f>
        <v/>
      </c>
      <c r="W25" s="61">
        <f>IF(B25="","",IF(L25="","",INT((TODAY()-L25)/30.44)))</f>
        <v/>
      </c>
      <c r="X25" s="62">
        <f>IF(B25="","",O25+T25*'Paramètres'!$B$34)</f>
        <v/>
      </c>
      <c r="Y25" s="62">
        <f>IF(B25="","",O25-N(IFERROR(INDEX('Paramètres'!$T$6:$T$15,MATCH(K25,'Paramètres'!$Q$6:$Q$15,0)),0)))</f>
        <v/>
      </c>
      <c r="Z25" s="123">
        <f>IF(B25="","",((COUNTIFS('Saisie'!$C$5:$C$2004,B25,'Saisie'!$E$5:$E$2004,"Onboarding - Contrat")&gt;0)+(COUNTIFS('Saisie'!$C$5:$C$2004,B25,'Saisie'!$E$5:$E$2004,"Onboarding - Accès")&gt;0)+(COUNTIFS('Saisie'!$C$5:$C$2004,B25,'Saisie'!$E$5:$E$2004,"Onboarding - Contenus")&gt;0)+(COUNTIFS('Saisie'!$C$5:$C$2004,B25,'Saisie'!$E$5:$E$2004,"Onboarding - Lancement")&gt;0))/4)</f>
        <v/>
      </c>
      <c r="AA25" s="60">
        <f>IF(B25="","",IF(COUNTIFS('Saisie'!$C$5:$C$2004,B25,'Saisie'!$E$5:$E$2004,"Demande d'avis Google")&gt;0,"Oui","Non"))</f>
        <v/>
      </c>
      <c r="AB25" s="61">
        <f>IF(B25="","",IFERROR(INDEX('Saisie'!$N$5:$N$2004,_xlfn.MAXIFS('Saisie'!$AS$5:$AS$2004,'Saisie'!$C$5:$C$2004,B25,'Saisie'!$E$5:$E$2004,"Satisfaction client")-4)&amp;"",""))</f>
        <v/>
      </c>
      <c r="AC25" s="106">
        <f>IF(B25="","",IFERROR(1/(1/_xlfn.MAXIFS('Saisie'!$A$5:$A$2004,'Saisie'!$C$5:$C$2004,B25,'Saisie'!$E$5:$E$2004,"Résiliation")),""))</f>
        <v/>
      </c>
      <c r="AD25" s="60">
        <f>IF(D25&lt;&gt;"",MAX($AD$4:AD24)+1,"")</f>
        <v/>
      </c>
    </row>
    <row r="26">
      <c r="A26" s="60">
        <f>IF(B26="","","C-"&amp;TEXT(22,"000"))</f>
        <v/>
      </c>
      <c r="B26" s="60">
        <f>IFERROR(INDEX('Prospects'!$C$5:$C$504,MATCH(22,'Prospects'!$BX$5:$BX$504,0)),"")</f>
        <v/>
      </c>
      <c r="C26" s="60">
        <f>IF(B26="","",IF(AC26&lt;&gt;"","Résilié","Actif"))</f>
        <v/>
      </c>
      <c r="D26" s="60">
        <f>IF(B26="","",IF(C26="Résilié","",IF(R26="En retard","Paiement en retard",IF(AND(V26&lt;&gt;"",N(V26)&lt;='Paramètres'!$B$30,N(V26)&gt;=0),"Renouvellement dans "&amp;V26&amp;" j",IF(AND(AA26="Non",TODAY()-N(L26)&gt;='Paramètres'!$B$29),"Demander un avis Google",IF(Z26&lt;1,"Onboarding à terminer",""))))))</f>
        <v/>
      </c>
      <c r="E26" s="60">
        <f>IF(B26="","",INDEX('Prospects'!$J$5:$J$504,MATCH(B26,'Prospects'!$C$5:$C$504,0))&amp;"")</f>
        <v/>
      </c>
      <c r="F26" s="60">
        <f>IF(B26="","",INDEX('Prospects'!$K$5:$K$504,MATCH(B26,'Prospects'!$C$5:$C$504,0))&amp;"")</f>
        <v/>
      </c>
      <c r="G26" s="60">
        <f>IF(B26="","",INDEX('Prospects'!$N$5:$N$504,MATCH(B26,'Prospects'!$C$5:$C$504,0))&amp;"")</f>
        <v/>
      </c>
      <c r="H26" s="60">
        <f>IF(B26="","",INDEX('Prospects'!$S$5:$S$504,MATCH(B26,'Prospects'!$C$5:$C$504,0))&amp;"")</f>
        <v/>
      </c>
      <c r="I26" s="60">
        <f>IF(B26="","",INDEX('Prospects'!$X$5:$X$504,MATCH(B26,'Prospects'!$C$5:$C$504,0))&amp;"")</f>
        <v/>
      </c>
      <c r="J26" s="60">
        <f>IF(B26="","",INDEX('Prospects'!$Y$5:$Y$504,MATCH(B26,'Prospects'!$C$5:$C$504,0))&amp;"")</f>
        <v/>
      </c>
      <c r="K26" s="60">
        <f>IF(B26="","",INDEX('Prospects'!$AN$5:$AN$504,MATCH(B26,'Prospects'!$C$5:$C$504,0))&amp;"")</f>
        <v/>
      </c>
      <c r="L26" s="106">
        <f>IF(B26="","",INDEX('Prospects'!$AT$5:$AT$504,MATCH(B26,'Prospects'!$C$5:$C$504,0)))</f>
        <v/>
      </c>
      <c r="M26" s="62">
        <f>IF(B26="","",SUMIFS('Saisie'!$AW$5:$AW$2004,'Saisie'!$C$5:$C$2004,B26,'Saisie'!$E$5:$E$2004,"Signature"))</f>
        <v/>
      </c>
      <c r="N26" s="62">
        <f>IF(B26="","",SUMIFS('Saisie'!$AW$5:$AW$2004,'Saisie'!$C$5:$C$2004,B26,'Saisie'!$E$5:$E$2004,"Vente additionnelle"))</f>
        <v/>
      </c>
      <c r="O26" s="62">
        <f>IF(B26="","",M26+N26)</f>
        <v/>
      </c>
      <c r="P26" s="62">
        <f>IF(B26="","",SUMIFS('Saisie'!$AW$5:$AW$2004,'Saisie'!$C$5:$C$2004,B26,'Saisie'!$E$5:$E$2004,"Paiement reçu"))</f>
        <v/>
      </c>
      <c r="Q26" s="62">
        <f>IF(B26="","",MAX(0,O26-P26))</f>
        <v/>
      </c>
      <c r="R26" s="60">
        <f>IF(B26="","",IF(O26=0,"",IF(Q26&lt;=0,"Payé",IF(TODAY()-N(L26)&gt;'Paramètres'!$B$27,"En retard",IF(P26&gt;0,"Partiel","En attente")))))</f>
        <v/>
      </c>
      <c r="S26" s="60">
        <f>IF(B26="","",IFERROR(INDEX('Saisie'!$O$5:$O$2004,_xlfn.MAXIFS('Saisie'!$AS$5:$AS$2004,'Saisie'!$C$5:$C$2004,B26,'Saisie'!$O$5:$O$2004,"&lt;&gt;")-4),""))</f>
        <v/>
      </c>
      <c r="T26" s="62">
        <f>IF(B26="","",N(INDEX('Prospects'!$AO$5:$AO$504,MATCH(B26,'Prospects'!$C$5:$C$504,0))))</f>
        <v/>
      </c>
      <c r="U26" s="106">
        <f>IF(B26="","",IF(L26="","",EDATE(L26,'Paramètres'!$B$33)))</f>
        <v/>
      </c>
      <c r="V26" s="61">
        <f>IF(B26="","",IF(U26="","",U26-TODAY()))</f>
        <v/>
      </c>
      <c r="W26" s="61">
        <f>IF(B26="","",IF(L26="","",INT((TODAY()-L26)/30.44)))</f>
        <v/>
      </c>
      <c r="X26" s="62">
        <f>IF(B26="","",O26+T26*'Paramètres'!$B$34)</f>
        <v/>
      </c>
      <c r="Y26" s="62">
        <f>IF(B26="","",O26-N(IFERROR(INDEX('Paramètres'!$T$6:$T$15,MATCH(K26,'Paramètres'!$Q$6:$Q$15,0)),0)))</f>
        <v/>
      </c>
      <c r="Z26" s="123">
        <f>IF(B26="","",((COUNTIFS('Saisie'!$C$5:$C$2004,B26,'Saisie'!$E$5:$E$2004,"Onboarding - Contrat")&gt;0)+(COUNTIFS('Saisie'!$C$5:$C$2004,B26,'Saisie'!$E$5:$E$2004,"Onboarding - Accès")&gt;0)+(COUNTIFS('Saisie'!$C$5:$C$2004,B26,'Saisie'!$E$5:$E$2004,"Onboarding - Contenus")&gt;0)+(COUNTIFS('Saisie'!$C$5:$C$2004,B26,'Saisie'!$E$5:$E$2004,"Onboarding - Lancement")&gt;0))/4)</f>
        <v/>
      </c>
      <c r="AA26" s="60">
        <f>IF(B26="","",IF(COUNTIFS('Saisie'!$C$5:$C$2004,B26,'Saisie'!$E$5:$E$2004,"Demande d'avis Google")&gt;0,"Oui","Non"))</f>
        <v/>
      </c>
      <c r="AB26" s="61">
        <f>IF(B26="","",IFERROR(INDEX('Saisie'!$N$5:$N$2004,_xlfn.MAXIFS('Saisie'!$AS$5:$AS$2004,'Saisie'!$C$5:$C$2004,B26,'Saisie'!$E$5:$E$2004,"Satisfaction client")-4)&amp;"",""))</f>
        <v/>
      </c>
      <c r="AC26" s="106">
        <f>IF(B26="","",IFERROR(1/(1/_xlfn.MAXIFS('Saisie'!$A$5:$A$2004,'Saisie'!$C$5:$C$2004,B26,'Saisie'!$E$5:$E$2004,"Résiliation")),""))</f>
        <v/>
      </c>
      <c r="AD26" s="60">
        <f>IF(D26&lt;&gt;"",MAX($AD$4:AD25)+1,"")</f>
        <v/>
      </c>
    </row>
    <row r="27">
      <c r="A27" s="60">
        <f>IF(B27="","","C-"&amp;TEXT(23,"000"))</f>
        <v/>
      </c>
      <c r="B27" s="60">
        <f>IFERROR(INDEX('Prospects'!$C$5:$C$504,MATCH(23,'Prospects'!$BX$5:$BX$504,0)),"")</f>
        <v/>
      </c>
      <c r="C27" s="60">
        <f>IF(B27="","",IF(AC27&lt;&gt;"","Résilié","Actif"))</f>
        <v/>
      </c>
      <c r="D27" s="60">
        <f>IF(B27="","",IF(C27="Résilié","",IF(R27="En retard","Paiement en retard",IF(AND(V27&lt;&gt;"",N(V27)&lt;='Paramètres'!$B$30,N(V27)&gt;=0),"Renouvellement dans "&amp;V27&amp;" j",IF(AND(AA27="Non",TODAY()-N(L27)&gt;='Paramètres'!$B$29),"Demander un avis Google",IF(Z27&lt;1,"Onboarding à terminer",""))))))</f>
        <v/>
      </c>
      <c r="E27" s="60">
        <f>IF(B27="","",INDEX('Prospects'!$J$5:$J$504,MATCH(B27,'Prospects'!$C$5:$C$504,0))&amp;"")</f>
        <v/>
      </c>
      <c r="F27" s="60">
        <f>IF(B27="","",INDEX('Prospects'!$K$5:$K$504,MATCH(B27,'Prospects'!$C$5:$C$504,0))&amp;"")</f>
        <v/>
      </c>
      <c r="G27" s="60">
        <f>IF(B27="","",INDEX('Prospects'!$N$5:$N$504,MATCH(B27,'Prospects'!$C$5:$C$504,0))&amp;"")</f>
        <v/>
      </c>
      <c r="H27" s="60">
        <f>IF(B27="","",INDEX('Prospects'!$S$5:$S$504,MATCH(B27,'Prospects'!$C$5:$C$504,0))&amp;"")</f>
        <v/>
      </c>
      <c r="I27" s="60">
        <f>IF(B27="","",INDEX('Prospects'!$X$5:$X$504,MATCH(B27,'Prospects'!$C$5:$C$504,0))&amp;"")</f>
        <v/>
      </c>
      <c r="J27" s="60">
        <f>IF(B27="","",INDEX('Prospects'!$Y$5:$Y$504,MATCH(B27,'Prospects'!$C$5:$C$504,0))&amp;"")</f>
        <v/>
      </c>
      <c r="K27" s="60">
        <f>IF(B27="","",INDEX('Prospects'!$AN$5:$AN$504,MATCH(B27,'Prospects'!$C$5:$C$504,0))&amp;"")</f>
        <v/>
      </c>
      <c r="L27" s="106">
        <f>IF(B27="","",INDEX('Prospects'!$AT$5:$AT$504,MATCH(B27,'Prospects'!$C$5:$C$504,0)))</f>
        <v/>
      </c>
      <c r="M27" s="62">
        <f>IF(B27="","",SUMIFS('Saisie'!$AW$5:$AW$2004,'Saisie'!$C$5:$C$2004,B27,'Saisie'!$E$5:$E$2004,"Signature"))</f>
        <v/>
      </c>
      <c r="N27" s="62">
        <f>IF(B27="","",SUMIFS('Saisie'!$AW$5:$AW$2004,'Saisie'!$C$5:$C$2004,B27,'Saisie'!$E$5:$E$2004,"Vente additionnelle"))</f>
        <v/>
      </c>
      <c r="O27" s="62">
        <f>IF(B27="","",M27+N27)</f>
        <v/>
      </c>
      <c r="P27" s="62">
        <f>IF(B27="","",SUMIFS('Saisie'!$AW$5:$AW$2004,'Saisie'!$C$5:$C$2004,B27,'Saisie'!$E$5:$E$2004,"Paiement reçu"))</f>
        <v/>
      </c>
      <c r="Q27" s="62">
        <f>IF(B27="","",MAX(0,O27-P27))</f>
        <v/>
      </c>
      <c r="R27" s="60">
        <f>IF(B27="","",IF(O27=0,"",IF(Q27&lt;=0,"Payé",IF(TODAY()-N(L27)&gt;'Paramètres'!$B$27,"En retard",IF(P27&gt;0,"Partiel","En attente")))))</f>
        <v/>
      </c>
      <c r="S27" s="60">
        <f>IF(B27="","",IFERROR(INDEX('Saisie'!$O$5:$O$2004,_xlfn.MAXIFS('Saisie'!$AS$5:$AS$2004,'Saisie'!$C$5:$C$2004,B27,'Saisie'!$O$5:$O$2004,"&lt;&gt;")-4),""))</f>
        <v/>
      </c>
      <c r="T27" s="62">
        <f>IF(B27="","",N(INDEX('Prospects'!$AO$5:$AO$504,MATCH(B27,'Prospects'!$C$5:$C$504,0))))</f>
        <v/>
      </c>
      <c r="U27" s="106">
        <f>IF(B27="","",IF(L27="","",EDATE(L27,'Paramètres'!$B$33)))</f>
        <v/>
      </c>
      <c r="V27" s="61">
        <f>IF(B27="","",IF(U27="","",U27-TODAY()))</f>
        <v/>
      </c>
      <c r="W27" s="61">
        <f>IF(B27="","",IF(L27="","",INT((TODAY()-L27)/30.44)))</f>
        <v/>
      </c>
      <c r="X27" s="62">
        <f>IF(B27="","",O27+T27*'Paramètres'!$B$34)</f>
        <v/>
      </c>
      <c r="Y27" s="62">
        <f>IF(B27="","",O27-N(IFERROR(INDEX('Paramètres'!$T$6:$T$15,MATCH(K27,'Paramètres'!$Q$6:$Q$15,0)),0)))</f>
        <v/>
      </c>
      <c r="Z27" s="123">
        <f>IF(B27="","",((COUNTIFS('Saisie'!$C$5:$C$2004,B27,'Saisie'!$E$5:$E$2004,"Onboarding - Contrat")&gt;0)+(COUNTIFS('Saisie'!$C$5:$C$2004,B27,'Saisie'!$E$5:$E$2004,"Onboarding - Accès")&gt;0)+(COUNTIFS('Saisie'!$C$5:$C$2004,B27,'Saisie'!$E$5:$E$2004,"Onboarding - Contenus")&gt;0)+(COUNTIFS('Saisie'!$C$5:$C$2004,B27,'Saisie'!$E$5:$E$2004,"Onboarding - Lancement")&gt;0))/4)</f>
        <v/>
      </c>
      <c r="AA27" s="60">
        <f>IF(B27="","",IF(COUNTIFS('Saisie'!$C$5:$C$2004,B27,'Saisie'!$E$5:$E$2004,"Demande d'avis Google")&gt;0,"Oui","Non"))</f>
        <v/>
      </c>
      <c r="AB27" s="61">
        <f>IF(B27="","",IFERROR(INDEX('Saisie'!$N$5:$N$2004,_xlfn.MAXIFS('Saisie'!$AS$5:$AS$2004,'Saisie'!$C$5:$C$2004,B27,'Saisie'!$E$5:$E$2004,"Satisfaction client")-4)&amp;"",""))</f>
        <v/>
      </c>
      <c r="AC27" s="106">
        <f>IF(B27="","",IFERROR(1/(1/_xlfn.MAXIFS('Saisie'!$A$5:$A$2004,'Saisie'!$C$5:$C$2004,B27,'Saisie'!$E$5:$E$2004,"Résiliation")),""))</f>
        <v/>
      </c>
      <c r="AD27" s="60">
        <f>IF(D27&lt;&gt;"",MAX($AD$4:AD26)+1,"")</f>
        <v/>
      </c>
    </row>
    <row r="28">
      <c r="A28" s="60">
        <f>IF(B28="","","C-"&amp;TEXT(24,"000"))</f>
        <v/>
      </c>
      <c r="B28" s="60">
        <f>IFERROR(INDEX('Prospects'!$C$5:$C$504,MATCH(24,'Prospects'!$BX$5:$BX$504,0)),"")</f>
        <v/>
      </c>
      <c r="C28" s="60">
        <f>IF(B28="","",IF(AC28&lt;&gt;"","Résilié","Actif"))</f>
        <v/>
      </c>
      <c r="D28" s="60">
        <f>IF(B28="","",IF(C28="Résilié","",IF(R28="En retard","Paiement en retard",IF(AND(V28&lt;&gt;"",N(V28)&lt;='Paramètres'!$B$30,N(V28)&gt;=0),"Renouvellement dans "&amp;V28&amp;" j",IF(AND(AA28="Non",TODAY()-N(L28)&gt;='Paramètres'!$B$29),"Demander un avis Google",IF(Z28&lt;1,"Onboarding à terminer",""))))))</f>
        <v/>
      </c>
      <c r="E28" s="60">
        <f>IF(B28="","",INDEX('Prospects'!$J$5:$J$504,MATCH(B28,'Prospects'!$C$5:$C$504,0))&amp;"")</f>
        <v/>
      </c>
      <c r="F28" s="60">
        <f>IF(B28="","",INDEX('Prospects'!$K$5:$K$504,MATCH(B28,'Prospects'!$C$5:$C$504,0))&amp;"")</f>
        <v/>
      </c>
      <c r="G28" s="60">
        <f>IF(B28="","",INDEX('Prospects'!$N$5:$N$504,MATCH(B28,'Prospects'!$C$5:$C$504,0))&amp;"")</f>
        <v/>
      </c>
      <c r="H28" s="60">
        <f>IF(B28="","",INDEX('Prospects'!$S$5:$S$504,MATCH(B28,'Prospects'!$C$5:$C$504,0))&amp;"")</f>
        <v/>
      </c>
      <c r="I28" s="60">
        <f>IF(B28="","",INDEX('Prospects'!$X$5:$X$504,MATCH(B28,'Prospects'!$C$5:$C$504,0))&amp;"")</f>
        <v/>
      </c>
      <c r="J28" s="60">
        <f>IF(B28="","",INDEX('Prospects'!$Y$5:$Y$504,MATCH(B28,'Prospects'!$C$5:$C$504,0))&amp;"")</f>
        <v/>
      </c>
      <c r="K28" s="60">
        <f>IF(B28="","",INDEX('Prospects'!$AN$5:$AN$504,MATCH(B28,'Prospects'!$C$5:$C$504,0))&amp;"")</f>
        <v/>
      </c>
      <c r="L28" s="106">
        <f>IF(B28="","",INDEX('Prospects'!$AT$5:$AT$504,MATCH(B28,'Prospects'!$C$5:$C$504,0)))</f>
        <v/>
      </c>
      <c r="M28" s="62">
        <f>IF(B28="","",SUMIFS('Saisie'!$AW$5:$AW$2004,'Saisie'!$C$5:$C$2004,B28,'Saisie'!$E$5:$E$2004,"Signature"))</f>
        <v/>
      </c>
      <c r="N28" s="62">
        <f>IF(B28="","",SUMIFS('Saisie'!$AW$5:$AW$2004,'Saisie'!$C$5:$C$2004,B28,'Saisie'!$E$5:$E$2004,"Vente additionnelle"))</f>
        <v/>
      </c>
      <c r="O28" s="62">
        <f>IF(B28="","",M28+N28)</f>
        <v/>
      </c>
      <c r="P28" s="62">
        <f>IF(B28="","",SUMIFS('Saisie'!$AW$5:$AW$2004,'Saisie'!$C$5:$C$2004,B28,'Saisie'!$E$5:$E$2004,"Paiement reçu"))</f>
        <v/>
      </c>
      <c r="Q28" s="62">
        <f>IF(B28="","",MAX(0,O28-P28))</f>
        <v/>
      </c>
      <c r="R28" s="60">
        <f>IF(B28="","",IF(O28=0,"",IF(Q28&lt;=0,"Payé",IF(TODAY()-N(L28)&gt;'Paramètres'!$B$27,"En retard",IF(P28&gt;0,"Partiel","En attente")))))</f>
        <v/>
      </c>
      <c r="S28" s="60">
        <f>IF(B28="","",IFERROR(INDEX('Saisie'!$O$5:$O$2004,_xlfn.MAXIFS('Saisie'!$AS$5:$AS$2004,'Saisie'!$C$5:$C$2004,B28,'Saisie'!$O$5:$O$2004,"&lt;&gt;")-4),""))</f>
        <v/>
      </c>
      <c r="T28" s="62">
        <f>IF(B28="","",N(INDEX('Prospects'!$AO$5:$AO$504,MATCH(B28,'Prospects'!$C$5:$C$504,0))))</f>
        <v/>
      </c>
      <c r="U28" s="106">
        <f>IF(B28="","",IF(L28="","",EDATE(L28,'Paramètres'!$B$33)))</f>
        <v/>
      </c>
      <c r="V28" s="61">
        <f>IF(B28="","",IF(U28="","",U28-TODAY()))</f>
        <v/>
      </c>
      <c r="W28" s="61">
        <f>IF(B28="","",IF(L28="","",INT((TODAY()-L28)/30.44)))</f>
        <v/>
      </c>
      <c r="X28" s="62">
        <f>IF(B28="","",O28+T28*'Paramètres'!$B$34)</f>
        <v/>
      </c>
      <c r="Y28" s="62">
        <f>IF(B28="","",O28-N(IFERROR(INDEX('Paramètres'!$T$6:$T$15,MATCH(K28,'Paramètres'!$Q$6:$Q$15,0)),0)))</f>
        <v/>
      </c>
      <c r="Z28" s="123">
        <f>IF(B28="","",((COUNTIFS('Saisie'!$C$5:$C$2004,B28,'Saisie'!$E$5:$E$2004,"Onboarding - Contrat")&gt;0)+(COUNTIFS('Saisie'!$C$5:$C$2004,B28,'Saisie'!$E$5:$E$2004,"Onboarding - Accès")&gt;0)+(COUNTIFS('Saisie'!$C$5:$C$2004,B28,'Saisie'!$E$5:$E$2004,"Onboarding - Contenus")&gt;0)+(COUNTIFS('Saisie'!$C$5:$C$2004,B28,'Saisie'!$E$5:$E$2004,"Onboarding - Lancement")&gt;0))/4)</f>
        <v/>
      </c>
      <c r="AA28" s="60">
        <f>IF(B28="","",IF(COUNTIFS('Saisie'!$C$5:$C$2004,B28,'Saisie'!$E$5:$E$2004,"Demande d'avis Google")&gt;0,"Oui","Non"))</f>
        <v/>
      </c>
      <c r="AB28" s="61">
        <f>IF(B28="","",IFERROR(INDEX('Saisie'!$N$5:$N$2004,_xlfn.MAXIFS('Saisie'!$AS$5:$AS$2004,'Saisie'!$C$5:$C$2004,B28,'Saisie'!$E$5:$E$2004,"Satisfaction client")-4)&amp;"",""))</f>
        <v/>
      </c>
      <c r="AC28" s="106">
        <f>IF(B28="","",IFERROR(1/(1/_xlfn.MAXIFS('Saisie'!$A$5:$A$2004,'Saisie'!$C$5:$C$2004,B28,'Saisie'!$E$5:$E$2004,"Résiliation")),""))</f>
        <v/>
      </c>
      <c r="AD28" s="60">
        <f>IF(D28&lt;&gt;"",MAX($AD$4:AD27)+1,"")</f>
        <v/>
      </c>
    </row>
    <row r="29">
      <c r="A29" s="60">
        <f>IF(B29="","","C-"&amp;TEXT(25,"000"))</f>
        <v/>
      </c>
      <c r="B29" s="60">
        <f>IFERROR(INDEX('Prospects'!$C$5:$C$504,MATCH(25,'Prospects'!$BX$5:$BX$504,0)),"")</f>
        <v/>
      </c>
      <c r="C29" s="60">
        <f>IF(B29="","",IF(AC29&lt;&gt;"","Résilié","Actif"))</f>
        <v/>
      </c>
      <c r="D29" s="60">
        <f>IF(B29="","",IF(C29="Résilié","",IF(R29="En retard","Paiement en retard",IF(AND(V29&lt;&gt;"",N(V29)&lt;='Paramètres'!$B$30,N(V29)&gt;=0),"Renouvellement dans "&amp;V29&amp;" j",IF(AND(AA29="Non",TODAY()-N(L29)&gt;='Paramètres'!$B$29),"Demander un avis Google",IF(Z29&lt;1,"Onboarding à terminer",""))))))</f>
        <v/>
      </c>
      <c r="E29" s="60">
        <f>IF(B29="","",INDEX('Prospects'!$J$5:$J$504,MATCH(B29,'Prospects'!$C$5:$C$504,0))&amp;"")</f>
        <v/>
      </c>
      <c r="F29" s="60">
        <f>IF(B29="","",INDEX('Prospects'!$K$5:$K$504,MATCH(B29,'Prospects'!$C$5:$C$504,0))&amp;"")</f>
        <v/>
      </c>
      <c r="G29" s="60">
        <f>IF(B29="","",INDEX('Prospects'!$N$5:$N$504,MATCH(B29,'Prospects'!$C$5:$C$504,0))&amp;"")</f>
        <v/>
      </c>
      <c r="H29" s="60">
        <f>IF(B29="","",INDEX('Prospects'!$S$5:$S$504,MATCH(B29,'Prospects'!$C$5:$C$504,0))&amp;"")</f>
        <v/>
      </c>
      <c r="I29" s="60">
        <f>IF(B29="","",INDEX('Prospects'!$X$5:$X$504,MATCH(B29,'Prospects'!$C$5:$C$504,0))&amp;"")</f>
        <v/>
      </c>
      <c r="J29" s="60">
        <f>IF(B29="","",INDEX('Prospects'!$Y$5:$Y$504,MATCH(B29,'Prospects'!$C$5:$C$504,0))&amp;"")</f>
        <v/>
      </c>
      <c r="K29" s="60">
        <f>IF(B29="","",INDEX('Prospects'!$AN$5:$AN$504,MATCH(B29,'Prospects'!$C$5:$C$504,0))&amp;"")</f>
        <v/>
      </c>
      <c r="L29" s="106">
        <f>IF(B29="","",INDEX('Prospects'!$AT$5:$AT$504,MATCH(B29,'Prospects'!$C$5:$C$504,0)))</f>
        <v/>
      </c>
      <c r="M29" s="62">
        <f>IF(B29="","",SUMIFS('Saisie'!$AW$5:$AW$2004,'Saisie'!$C$5:$C$2004,B29,'Saisie'!$E$5:$E$2004,"Signature"))</f>
        <v/>
      </c>
      <c r="N29" s="62">
        <f>IF(B29="","",SUMIFS('Saisie'!$AW$5:$AW$2004,'Saisie'!$C$5:$C$2004,B29,'Saisie'!$E$5:$E$2004,"Vente additionnelle"))</f>
        <v/>
      </c>
      <c r="O29" s="62">
        <f>IF(B29="","",M29+N29)</f>
        <v/>
      </c>
      <c r="P29" s="62">
        <f>IF(B29="","",SUMIFS('Saisie'!$AW$5:$AW$2004,'Saisie'!$C$5:$C$2004,B29,'Saisie'!$E$5:$E$2004,"Paiement reçu"))</f>
        <v/>
      </c>
      <c r="Q29" s="62">
        <f>IF(B29="","",MAX(0,O29-P29))</f>
        <v/>
      </c>
      <c r="R29" s="60">
        <f>IF(B29="","",IF(O29=0,"",IF(Q29&lt;=0,"Payé",IF(TODAY()-N(L29)&gt;'Paramètres'!$B$27,"En retard",IF(P29&gt;0,"Partiel","En attente")))))</f>
        <v/>
      </c>
      <c r="S29" s="60">
        <f>IF(B29="","",IFERROR(INDEX('Saisie'!$O$5:$O$2004,_xlfn.MAXIFS('Saisie'!$AS$5:$AS$2004,'Saisie'!$C$5:$C$2004,B29,'Saisie'!$O$5:$O$2004,"&lt;&gt;")-4),""))</f>
        <v/>
      </c>
      <c r="T29" s="62">
        <f>IF(B29="","",N(INDEX('Prospects'!$AO$5:$AO$504,MATCH(B29,'Prospects'!$C$5:$C$504,0))))</f>
        <v/>
      </c>
      <c r="U29" s="106">
        <f>IF(B29="","",IF(L29="","",EDATE(L29,'Paramètres'!$B$33)))</f>
        <v/>
      </c>
      <c r="V29" s="61">
        <f>IF(B29="","",IF(U29="","",U29-TODAY()))</f>
        <v/>
      </c>
      <c r="W29" s="61">
        <f>IF(B29="","",IF(L29="","",INT((TODAY()-L29)/30.44)))</f>
        <v/>
      </c>
      <c r="X29" s="62">
        <f>IF(B29="","",O29+T29*'Paramètres'!$B$34)</f>
        <v/>
      </c>
      <c r="Y29" s="62">
        <f>IF(B29="","",O29-N(IFERROR(INDEX('Paramètres'!$T$6:$T$15,MATCH(K29,'Paramètres'!$Q$6:$Q$15,0)),0)))</f>
        <v/>
      </c>
      <c r="Z29" s="123">
        <f>IF(B29="","",((COUNTIFS('Saisie'!$C$5:$C$2004,B29,'Saisie'!$E$5:$E$2004,"Onboarding - Contrat")&gt;0)+(COUNTIFS('Saisie'!$C$5:$C$2004,B29,'Saisie'!$E$5:$E$2004,"Onboarding - Accès")&gt;0)+(COUNTIFS('Saisie'!$C$5:$C$2004,B29,'Saisie'!$E$5:$E$2004,"Onboarding - Contenus")&gt;0)+(COUNTIFS('Saisie'!$C$5:$C$2004,B29,'Saisie'!$E$5:$E$2004,"Onboarding - Lancement")&gt;0))/4)</f>
        <v/>
      </c>
      <c r="AA29" s="60">
        <f>IF(B29="","",IF(COUNTIFS('Saisie'!$C$5:$C$2004,B29,'Saisie'!$E$5:$E$2004,"Demande d'avis Google")&gt;0,"Oui","Non"))</f>
        <v/>
      </c>
      <c r="AB29" s="61">
        <f>IF(B29="","",IFERROR(INDEX('Saisie'!$N$5:$N$2004,_xlfn.MAXIFS('Saisie'!$AS$5:$AS$2004,'Saisie'!$C$5:$C$2004,B29,'Saisie'!$E$5:$E$2004,"Satisfaction client")-4)&amp;"",""))</f>
        <v/>
      </c>
      <c r="AC29" s="106">
        <f>IF(B29="","",IFERROR(1/(1/_xlfn.MAXIFS('Saisie'!$A$5:$A$2004,'Saisie'!$C$5:$C$2004,B29,'Saisie'!$E$5:$E$2004,"Résiliation")),""))</f>
        <v/>
      </c>
      <c r="AD29" s="60">
        <f>IF(D29&lt;&gt;"",MAX($AD$4:AD28)+1,"")</f>
        <v/>
      </c>
    </row>
    <row r="30">
      <c r="A30" s="60">
        <f>IF(B30="","","C-"&amp;TEXT(26,"000"))</f>
        <v/>
      </c>
      <c r="B30" s="60">
        <f>IFERROR(INDEX('Prospects'!$C$5:$C$504,MATCH(26,'Prospects'!$BX$5:$BX$504,0)),"")</f>
        <v/>
      </c>
      <c r="C30" s="60">
        <f>IF(B30="","",IF(AC30&lt;&gt;"","Résilié","Actif"))</f>
        <v/>
      </c>
      <c r="D30" s="60">
        <f>IF(B30="","",IF(C30="Résilié","",IF(R30="En retard","Paiement en retard",IF(AND(V30&lt;&gt;"",N(V30)&lt;='Paramètres'!$B$30,N(V30)&gt;=0),"Renouvellement dans "&amp;V30&amp;" j",IF(AND(AA30="Non",TODAY()-N(L30)&gt;='Paramètres'!$B$29),"Demander un avis Google",IF(Z30&lt;1,"Onboarding à terminer",""))))))</f>
        <v/>
      </c>
      <c r="E30" s="60">
        <f>IF(B30="","",INDEX('Prospects'!$J$5:$J$504,MATCH(B30,'Prospects'!$C$5:$C$504,0))&amp;"")</f>
        <v/>
      </c>
      <c r="F30" s="60">
        <f>IF(B30="","",INDEX('Prospects'!$K$5:$K$504,MATCH(B30,'Prospects'!$C$5:$C$504,0))&amp;"")</f>
        <v/>
      </c>
      <c r="G30" s="60">
        <f>IF(B30="","",INDEX('Prospects'!$N$5:$N$504,MATCH(B30,'Prospects'!$C$5:$C$504,0))&amp;"")</f>
        <v/>
      </c>
      <c r="H30" s="60">
        <f>IF(B30="","",INDEX('Prospects'!$S$5:$S$504,MATCH(B30,'Prospects'!$C$5:$C$504,0))&amp;"")</f>
        <v/>
      </c>
      <c r="I30" s="60">
        <f>IF(B30="","",INDEX('Prospects'!$X$5:$X$504,MATCH(B30,'Prospects'!$C$5:$C$504,0))&amp;"")</f>
        <v/>
      </c>
      <c r="J30" s="60">
        <f>IF(B30="","",INDEX('Prospects'!$Y$5:$Y$504,MATCH(B30,'Prospects'!$C$5:$C$504,0))&amp;"")</f>
        <v/>
      </c>
      <c r="K30" s="60">
        <f>IF(B30="","",INDEX('Prospects'!$AN$5:$AN$504,MATCH(B30,'Prospects'!$C$5:$C$504,0))&amp;"")</f>
        <v/>
      </c>
      <c r="L30" s="106">
        <f>IF(B30="","",INDEX('Prospects'!$AT$5:$AT$504,MATCH(B30,'Prospects'!$C$5:$C$504,0)))</f>
        <v/>
      </c>
      <c r="M30" s="62">
        <f>IF(B30="","",SUMIFS('Saisie'!$AW$5:$AW$2004,'Saisie'!$C$5:$C$2004,B30,'Saisie'!$E$5:$E$2004,"Signature"))</f>
        <v/>
      </c>
      <c r="N30" s="62">
        <f>IF(B30="","",SUMIFS('Saisie'!$AW$5:$AW$2004,'Saisie'!$C$5:$C$2004,B30,'Saisie'!$E$5:$E$2004,"Vente additionnelle"))</f>
        <v/>
      </c>
      <c r="O30" s="62">
        <f>IF(B30="","",M30+N30)</f>
        <v/>
      </c>
      <c r="P30" s="62">
        <f>IF(B30="","",SUMIFS('Saisie'!$AW$5:$AW$2004,'Saisie'!$C$5:$C$2004,B30,'Saisie'!$E$5:$E$2004,"Paiement reçu"))</f>
        <v/>
      </c>
      <c r="Q30" s="62">
        <f>IF(B30="","",MAX(0,O30-P30))</f>
        <v/>
      </c>
      <c r="R30" s="60">
        <f>IF(B30="","",IF(O30=0,"",IF(Q30&lt;=0,"Payé",IF(TODAY()-N(L30)&gt;'Paramètres'!$B$27,"En retard",IF(P30&gt;0,"Partiel","En attente")))))</f>
        <v/>
      </c>
      <c r="S30" s="60">
        <f>IF(B30="","",IFERROR(INDEX('Saisie'!$O$5:$O$2004,_xlfn.MAXIFS('Saisie'!$AS$5:$AS$2004,'Saisie'!$C$5:$C$2004,B30,'Saisie'!$O$5:$O$2004,"&lt;&gt;")-4),""))</f>
        <v/>
      </c>
      <c r="T30" s="62">
        <f>IF(B30="","",N(INDEX('Prospects'!$AO$5:$AO$504,MATCH(B30,'Prospects'!$C$5:$C$504,0))))</f>
        <v/>
      </c>
      <c r="U30" s="106">
        <f>IF(B30="","",IF(L30="","",EDATE(L30,'Paramètres'!$B$33)))</f>
        <v/>
      </c>
      <c r="V30" s="61">
        <f>IF(B30="","",IF(U30="","",U30-TODAY()))</f>
        <v/>
      </c>
      <c r="W30" s="61">
        <f>IF(B30="","",IF(L30="","",INT((TODAY()-L30)/30.44)))</f>
        <v/>
      </c>
      <c r="X30" s="62">
        <f>IF(B30="","",O30+T30*'Paramètres'!$B$34)</f>
        <v/>
      </c>
      <c r="Y30" s="62">
        <f>IF(B30="","",O30-N(IFERROR(INDEX('Paramètres'!$T$6:$T$15,MATCH(K30,'Paramètres'!$Q$6:$Q$15,0)),0)))</f>
        <v/>
      </c>
      <c r="Z30" s="123">
        <f>IF(B30="","",((COUNTIFS('Saisie'!$C$5:$C$2004,B30,'Saisie'!$E$5:$E$2004,"Onboarding - Contrat")&gt;0)+(COUNTIFS('Saisie'!$C$5:$C$2004,B30,'Saisie'!$E$5:$E$2004,"Onboarding - Accès")&gt;0)+(COUNTIFS('Saisie'!$C$5:$C$2004,B30,'Saisie'!$E$5:$E$2004,"Onboarding - Contenus")&gt;0)+(COUNTIFS('Saisie'!$C$5:$C$2004,B30,'Saisie'!$E$5:$E$2004,"Onboarding - Lancement")&gt;0))/4)</f>
        <v/>
      </c>
      <c r="AA30" s="60">
        <f>IF(B30="","",IF(COUNTIFS('Saisie'!$C$5:$C$2004,B30,'Saisie'!$E$5:$E$2004,"Demande d'avis Google")&gt;0,"Oui","Non"))</f>
        <v/>
      </c>
      <c r="AB30" s="61">
        <f>IF(B30="","",IFERROR(INDEX('Saisie'!$N$5:$N$2004,_xlfn.MAXIFS('Saisie'!$AS$5:$AS$2004,'Saisie'!$C$5:$C$2004,B30,'Saisie'!$E$5:$E$2004,"Satisfaction client")-4)&amp;"",""))</f>
        <v/>
      </c>
      <c r="AC30" s="106">
        <f>IF(B30="","",IFERROR(1/(1/_xlfn.MAXIFS('Saisie'!$A$5:$A$2004,'Saisie'!$C$5:$C$2004,B30,'Saisie'!$E$5:$E$2004,"Résiliation")),""))</f>
        <v/>
      </c>
      <c r="AD30" s="60">
        <f>IF(D30&lt;&gt;"",MAX($AD$4:AD29)+1,"")</f>
        <v/>
      </c>
    </row>
    <row r="31">
      <c r="A31" s="60">
        <f>IF(B31="","","C-"&amp;TEXT(27,"000"))</f>
        <v/>
      </c>
      <c r="B31" s="60">
        <f>IFERROR(INDEX('Prospects'!$C$5:$C$504,MATCH(27,'Prospects'!$BX$5:$BX$504,0)),"")</f>
        <v/>
      </c>
      <c r="C31" s="60">
        <f>IF(B31="","",IF(AC31&lt;&gt;"","Résilié","Actif"))</f>
        <v/>
      </c>
      <c r="D31" s="60">
        <f>IF(B31="","",IF(C31="Résilié","",IF(R31="En retard","Paiement en retard",IF(AND(V31&lt;&gt;"",N(V31)&lt;='Paramètres'!$B$30,N(V31)&gt;=0),"Renouvellement dans "&amp;V31&amp;" j",IF(AND(AA31="Non",TODAY()-N(L31)&gt;='Paramètres'!$B$29),"Demander un avis Google",IF(Z31&lt;1,"Onboarding à terminer",""))))))</f>
        <v/>
      </c>
      <c r="E31" s="60">
        <f>IF(B31="","",INDEX('Prospects'!$J$5:$J$504,MATCH(B31,'Prospects'!$C$5:$C$504,0))&amp;"")</f>
        <v/>
      </c>
      <c r="F31" s="60">
        <f>IF(B31="","",INDEX('Prospects'!$K$5:$K$504,MATCH(B31,'Prospects'!$C$5:$C$504,0))&amp;"")</f>
        <v/>
      </c>
      <c r="G31" s="60">
        <f>IF(B31="","",INDEX('Prospects'!$N$5:$N$504,MATCH(B31,'Prospects'!$C$5:$C$504,0))&amp;"")</f>
        <v/>
      </c>
      <c r="H31" s="60">
        <f>IF(B31="","",INDEX('Prospects'!$S$5:$S$504,MATCH(B31,'Prospects'!$C$5:$C$504,0))&amp;"")</f>
        <v/>
      </c>
      <c r="I31" s="60">
        <f>IF(B31="","",INDEX('Prospects'!$X$5:$X$504,MATCH(B31,'Prospects'!$C$5:$C$504,0))&amp;"")</f>
        <v/>
      </c>
      <c r="J31" s="60">
        <f>IF(B31="","",INDEX('Prospects'!$Y$5:$Y$504,MATCH(B31,'Prospects'!$C$5:$C$504,0))&amp;"")</f>
        <v/>
      </c>
      <c r="K31" s="60">
        <f>IF(B31="","",INDEX('Prospects'!$AN$5:$AN$504,MATCH(B31,'Prospects'!$C$5:$C$504,0))&amp;"")</f>
        <v/>
      </c>
      <c r="L31" s="106">
        <f>IF(B31="","",INDEX('Prospects'!$AT$5:$AT$504,MATCH(B31,'Prospects'!$C$5:$C$504,0)))</f>
        <v/>
      </c>
      <c r="M31" s="62">
        <f>IF(B31="","",SUMIFS('Saisie'!$AW$5:$AW$2004,'Saisie'!$C$5:$C$2004,B31,'Saisie'!$E$5:$E$2004,"Signature"))</f>
        <v/>
      </c>
      <c r="N31" s="62">
        <f>IF(B31="","",SUMIFS('Saisie'!$AW$5:$AW$2004,'Saisie'!$C$5:$C$2004,B31,'Saisie'!$E$5:$E$2004,"Vente additionnelle"))</f>
        <v/>
      </c>
      <c r="O31" s="62">
        <f>IF(B31="","",M31+N31)</f>
        <v/>
      </c>
      <c r="P31" s="62">
        <f>IF(B31="","",SUMIFS('Saisie'!$AW$5:$AW$2004,'Saisie'!$C$5:$C$2004,B31,'Saisie'!$E$5:$E$2004,"Paiement reçu"))</f>
        <v/>
      </c>
      <c r="Q31" s="62">
        <f>IF(B31="","",MAX(0,O31-P31))</f>
        <v/>
      </c>
      <c r="R31" s="60">
        <f>IF(B31="","",IF(O31=0,"",IF(Q31&lt;=0,"Payé",IF(TODAY()-N(L31)&gt;'Paramètres'!$B$27,"En retard",IF(P31&gt;0,"Partiel","En attente")))))</f>
        <v/>
      </c>
      <c r="S31" s="60">
        <f>IF(B31="","",IFERROR(INDEX('Saisie'!$O$5:$O$2004,_xlfn.MAXIFS('Saisie'!$AS$5:$AS$2004,'Saisie'!$C$5:$C$2004,B31,'Saisie'!$O$5:$O$2004,"&lt;&gt;")-4),""))</f>
        <v/>
      </c>
      <c r="T31" s="62">
        <f>IF(B31="","",N(INDEX('Prospects'!$AO$5:$AO$504,MATCH(B31,'Prospects'!$C$5:$C$504,0))))</f>
        <v/>
      </c>
      <c r="U31" s="106">
        <f>IF(B31="","",IF(L31="","",EDATE(L31,'Paramètres'!$B$33)))</f>
        <v/>
      </c>
      <c r="V31" s="61">
        <f>IF(B31="","",IF(U31="","",U31-TODAY()))</f>
        <v/>
      </c>
      <c r="W31" s="61">
        <f>IF(B31="","",IF(L31="","",INT((TODAY()-L31)/30.44)))</f>
        <v/>
      </c>
      <c r="X31" s="62">
        <f>IF(B31="","",O31+T31*'Paramètres'!$B$34)</f>
        <v/>
      </c>
      <c r="Y31" s="62">
        <f>IF(B31="","",O31-N(IFERROR(INDEX('Paramètres'!$T$6:$T$15,MATCH(K31,'Paramètres'!$Q$6:$Q$15,0)),0)))</f>
        <v/>
      </c>
      <c r="Z31" s="123">
        <f>IF(B31="","",((COUNTIFS('Saisie'!$C$5:$C$2004,B31,'Saisie'!$E$5:$E$2004,"Onboarding - Contrat")&gt;0)+(COUNTIFS('Saisie'!$C$5:$C$2004,B31,'Saisie'!$E$5:$E$2004,"Onboarding - Accès")&gt;0)+(COUNTIFS('Saisie'!$C$5:$C$2004,B31,'Saisie'!$E$5:$E$2004,"Onboarding - Contenus")&gt;0)+(COUNTIFS('Saisie'!$C$5:$C$2004,B31,'Saisie'!$E$5:$E$2004,"Onboarding - Lancement")&gt;0))/4)</f>
        <v/>
      </c>
      <c r="AA31" s="60">
        <f>IF(B31="","",IF(COUNTIFS('Saisie'!$C$5:$C$2004,B31,'Saisie'!$E$5:$E$2004,"Demande d'avis Google")&gt;0,"Oui","Non"))</f>
        <v/>
      </c>
      <c r="AB31" s="61">
        <f>IF(B31="","",IFERROR(INDEX('Saisie'!$N$5:$N$2004,_xlfn.MAXIFS('Saisie'!$AS$5:$AS$2004,'Saisie'!$C$5:$C$2004,B31,'Saisie'!$E$5:$E$2004,"Satisfaction client")-4)&amp;"",""))</f>
        <v/>
      </c>
      <c r="AC31" s="106">
        <f>IF(B31="","",IFERROR(1/(1/_xlfn.MAXIFS('Saisie'!$A$5:$A$2004,'Saisie'!$C$5:$C$2004,B31,'Saisie'!$E$5:$E$2004,"Résiliation")),""))</f>
        <v/>
      </c>
      <c r="AD31" s="60">
        <f>IF(D31&lt;&gt;"",MAX($AD$4:AD30)+1,"")</f>
        <v/>
      </c>
    </row>
    <row r="32">
      <c r="A32" s="60">
        <f>IF(B32="","","C-"&amp;TEXT(28,"000"))</f>
        <v/>
      </c>
      <c r="B32" s="60">
        <f>IFERROR(INDEX('Prospects'!$C$5:$C$504,MATCH(28,'Prospects'!$BX$5:$BX$504,0)),"")</f>
        <v/>
      </c>
      <c r="C32" s="60">
        <f>IF(B32="","",IF(AC32&lt;&gt;"","Résilié","Actif"))</f>
        <v/>
      </c>
      <c r="D32" s="60">
        <f>IF(B32="","",IF(C32="Résilié","",IF(R32="En retard","Paiement en retard",IF(AND(V32&lt;&gt;"",N(V32)&lt;='Paramètres'!$B$30,N(V32)&gt;=0),"Renouvellement dans "&amp;V32&amp;" j",IF(AND(AA32="Non",TODAY()-N(L32)&gt;='Paramètres'!$B$29),"Demander un avis Google",IF(Z32&lt;1,"Onboarding à terminer",""))))))</f>
        <v/>
      </c>
      <c r="E32" s="60">
        <f>IF(B32="","",INDEX('Prospects'!$J$5:$J$504,MATCH(B32,'Prospects'!$C$5:$C$504,0))&amp;"")</f>
        <v/>
      </c>
      <c r="F32" s="60">
        <f>IF(B32="","",INDEX('Prospects'!$K$5:$K$504,MATCH(B32,'Prospects'!$C$5:$C$504,0))&amp;"")</f>
        <v/>
      </c>
      <c r="G32" s="60">
        <f>IF(B32="","",INDEX('Prospects'!$N$5:$N$504,MATCH(B32,'Prospects'!$C$5:$C$504,0))&amp;"")</f>
        <v/>
      </c>
      <c r="H32" s="60">
        <f>IF(B32="","",INDEX('Prospects'!$S$5:$S$504,MATCH(B32,'Prospects'!$C$5:$C$504,0))&amp;"")</f>
        <v/>
      </c>
      <c r="I32" s="60">
        <f>IF(B32="","",INDEX('Prospects'!$X$5:$X$504,MATCH(B32,'Prospects'!$C$5:$C$504,0))&amp;"")</f>
        <v/>
      </c>
      <c r="J32" s="60">
        <f>IF(B32="","",INDEX('Prospects'!$Y$5:$Y$504,MATCH(B32,'Prospects'!$C$5:$C$504,0))&amp;"")</f>
        <v/>
      </c>
      <c r="K32" s="60">
        <f>IF(B32="","",INDEX('Prospects'!$AN$5:$AN$504,MATCH(B32,'Prospects'!$C$5:$C$504,0))&amp;"")</f>
        <v/>
      </c>
      <c r="L32" s="106">
        <f>IF(B32="","",INDEX('Prospects'!$AT$5:$AT$504,MATCH(B32,'Prospects'!$C$5:$C$504,0)))</f>
        <v/>
      </c>
      <c r="M32" s="62">
        <f>IF(B32="","",SUMIFS('Saisie'!$AW$5:$AW$2004,'Saisie'!$C$5:$C$2004,B32,'Saisie'!$E$5:$E$2004,"Signature"))</f>
        <v/>
      </c>
      <c r="N32" s="62">
        <f>IF(B32="","",SUMIFS('Saisie'!$AW$5:$AW$2004,'Saisie'!$C$5:$C$2004,B32,'Saisie'!$E$5:$E$2004,"Vente additionnelle"))</f>
        <v/>
      </c>
      <c r="O32" s="62">
        <f>IF(B32="","",M32+N32)</f>
        <v/>
      </c>
      <c r="P32" s="62">
        <f>IF(B32="","",SUMIFS('Saisie'!$AW$5:$AW$2004,'Saisie'!$C$5:$C$2004,B32,'Saisie'!$E$5:$E$2004,"Paiement reçu"))</f>
        <v/>
      </c>
      <c r="Q32" s="62">
        <f>IF(B32="","",MAX(0,O32-P32))</f>
        <v/>
      </c>
      <c r="R32" s="60">
        <f>IF(B32="","",IF(O32=0,"",IF(Q32&lt;=0,"Payé",IF(TODAY()-N(L32)&gt;'Paramètres'!$B$27,"En retard",IF(P32&gt;0,"Partiel","En attente")))))</f>
        <v/>
      </c>
      <c r="S32" s="60">
        <f>IF(B32="","",IFERROR(INDEX('Saisie'!$O$5:$O$2004,_xlfn.MAXIFS('Saisie'!$AS$5:$AS$2004,'Saisie'!$C$5:$C$2004,B32,'Saisie'!$O$5:$O$2004,"&lt;&gt;")-4),""))</f>
        <v/>
      </c>
      <c r="T32" s="62">
        <f>IF(B32="","",N(INDEX('Prospects'!$AO$5:$AO$504,MATCH(B32,'Prospects'!$C$5:$C$504,0))))</f>
        <v/>
      </c>
      <c r="U32" s="106">
        <f>IF(B32="","",IF(L32="","",EDATE(L32,'Paramètres'!$B$33)))</f>
        <v/>
      </c>
      <c r="V32" s="61">
        <f>IF(B32="","",IF(U32="","",U32-TODAY()))</f>
        <v/>
      </c>
      <c r="W32" s="61">
        <f>IF(B32="","",IF(L32="","",INT((TODAY()-L32)/30.44)))</f>
        <v/>
      </c>
      <c r="X32" s="62">
        <f>IF(B32="","",O32+T32*'Paramètres'!$B$34)</f>
        <v/>
      </c>
      <c r="Y32" s="62">
        <f>IF(B32="","",O32-N(IFERROR(INDEX('Paramètres'!$T$6:$T$15,MATCH(K32,'Paramètres'!$Q$6:$Q$15,0)),0)))</f>
        <v/>
      </c>
      <c r="Z32" s="123">
        <f>IF(B32="","",((COUNTIFS('Saisie'!$C$5:$C$2004,B32,'Saisie'!$E$5:$E$2004,"Onboarding - Contrat")&gt;0)+(COUNTIFS('Saisie'!$C$5:$C$2004,B32,'Saisie'!$E$5:$E$2004,"Onboarding - Accès")&gt;0)+(COUNTIFS('Saisie'!$C$5:$C$2004,B32,'Saisie'!$E$5:$E$2004,"Onboarding - Contenus")&gt;0)+(COUNTIFS('Saisie'!$C$5:$C$2004,B32,'Saisie'!$E$5:$E$2004,"Onboarding - Lancement")&gt;0))/4)</f>
        <v/>
      </c>
      <c r="AA32" s="60">
        <f>IF(B32="","",IF(COUNTIFS('Saisie'!$C$5:$C$2004,B32,'Saisie'!$E$5:$E$2004,"Demande d'avis Google")&gt;0,"Oui","Non"))</f>
        <v/>
      </c>
      <c r="AB32" s="61">
        <f>IF(B32="","",IFERROR(INDEX('Saisie'!$N$5:$N$2004,_xlfn.MAXIFS('Saisie'!$AS$5:$AS$2004,'Saisie'!$C$5:$C$2004,B32,'Saisie'!$E$5:$E$2004,"Satisfaction client")-4)&amp;"",""))</f>
        <v/>
      </c>
      <c r="AC32" s="106">
        <f>IF(B32="","",IFERROR(1/(1/_xlfn.MAXIFS('Saisie'!$A$5:$A$2004,'Saisie'!$C$5:$C$2004,B32,'Saisie'!$E$5:$E$2004,"Résiliation")),""))</f>
        <v/>
      </c>
      <c r="AD32" s="60">
        <f>IF(D32&lt;&gt;"",MAX($AD$4:AD31)+1,"")</f>
        <v/>
      </c>
    </row>
    <row r="33">
      <c r="A33" s="60">
        <f>IF(B33="","","C-"&amp;TEXT(29,"000"))</f>
        <v/>
      </c>
      <c r="B33" s="60">
        <f>IFERROR(INDEX('Prospects'!$C$5:$C$504,MATCH(29,'Prospects'!$BX$5:$BX$504,0)),"")</f>
        <v/>
      </c>
      <c r="C33" s="60">
        <f>IF(B33="","",IF(AC33&lt;&gt;"","Résilié","Actif"))</f>
        <v/>
      </c>
      <c r="D33" s="60">
        <f>IF(B33="","",IF(C33="Résilié","",IF(R33="En retard","Paiement en retard",IF(AND(V33&lt;&gt;"",N(V33)&lt;='Paramètres'!$B$30,N(V33)&gt;=0),"Renouvellement dans "&amp;V33&amp;" j",IF(AND(AA33="Non",TODAY()-N(L33)&gt;='Paramètres'!$B$29),"Demander un avis Google",IF(Z33&lt;1,"Onboarding à terminer",""))))))</f>
        <v/>
      </c>
      <c r="E33" s="60">
        <f>IF(B33="","",INDEX('Prospects'!$J$5:$J$504,MATCH(B33,'Prospects'!$C$5:$C$504,0))&amp;"")</f>
        <v/>
      </c>
      <c r="F33" s="60">
        <f>IF(B33="","",INDEX('Prospects'!$K$5:$K$504,MATCH(B33,'Prospects'!$C$5:$C$504,0))&amp;"")</f>
        <v/>
      </c>
      <c r="G33" s="60">
        <f>IF(B33="","",INDEX('Prospects'!$N$5:$N$504,MATCH(B33,'Prospects'!$C$5:$C$504,0))&amp;"")</f>
        <v/>
      </c>
      <c r="H33" s="60">
        <f>IF(B33="","",INDEX('Prospects'!$S$5:$S$504,MATCH(B33,'Prospects'!$C$5:$C$504,0))&amp;"")</f>
        <v/>
      </c>
      <c r="I33" s="60">
        <f>IF(B33="","",INDEX('Prospects'!$X$5:$X$504,MATCH(B33,'Prospects'!$C$5:$C$504,0))&amp;"")</f>
        <v/>
      </c>
      <c r="J33" s="60">
        <f>IF(B33="","",INDEX('Prospects'!$Y$5:$Y$504,MATCH(B33,'Prospects'!$C$5:$C$504,0))&amp;"")</f>
        <v/>
      </c>
      <c r="K33" s="60">
        <f>IF(B33="","",INDEX('Prospects'!$AN$5:$AN$504,MATCH(B33,'Prospects'!$C$5:$C$504,0))&amp;"")</f>
        <v/>
      </c>
      <c r="L33" s="106">
        <f>IF(B33="","",INDEX('Prospects'!$AT$5:$AT$504,MATCH(B33,'Prospects'!$C$5:$C$504,0)))</f>
        <v/>
      </c>
      <c r="M33" s="62">
        <f>IF(B33="","",SUMIFS('Saisie'!$AW$5:$AW$2004,'Saisie'!$C$5:$C$2004,B33,'Saisie'!$E$5:$E$2004,"Signature"))</f>
        <v/>
      </c>
      <c r="N33" s="62">
        <f>IF(B33="","",SUMIFS('Saisie'!$AW$5:$AW$2004,'Saisie'!$C$5:$C$2004,B33,'Saisie'!$E$5:$E$2004,"Vente additionnelle"))</f>
        <v/>
      </c>
      <c r="O33" s="62">
        <f>IF(B33="","",M33+N33)</f>
        <v/>
      </c>
      <c r="P33" s="62">
        <f>IF(B33="","",SUMIFS('Saisie'!$AW$5:$AW$2004,'Saisie'!$C$5:$C$2004,B33,'Saisie'!$E$5:$E$2004,"Paiement reçu"))</f>
        <v/>
      </c>
      <c r="Q33" s="62">
        <f>IF(B33="","",MAX(0,O33-P33))</f>
        <v/>
      </c>
      <c r="R33" s="60">
        <f>IF(B33="","",IF(O33=0,"",IF(Q33&lt;=0,"Payé",IF(TODAY()-N(L33)&gt;'Paramètres'!$B$27,"En retard",IF(P33&gt;0,"Partiel","En attente")))))</f>
        <v/>
      </c>
      <c r="S33" s="60">
        <f>IF(B33="","",IFERROR(INDEX('Saisie'!$O$5:$O$2004,_xlfn.MAXIFS('Saisie'!$AS$5:$AS$2004,'Saisie'!$C$5:$C$2004,B33,'Saisie'!$O$5:$O$2004,"&lt;&gt;")-4),""))</f>
        <v/>
      </c>
      <c r="T33" s="62">
        <f>IF(B33="","",N(INDEX('Prospects'!$AO$5:$AO$504,MATCH(B33,'Prospects'!$C$5:$C$504,0))))</f>
        <v/>
      </c>
      <c r="U33" s="106">
        <f>IF(B33="","",IF(L33="","",EDATE(L33,'Paramètres'!$B$33)))</f>
        <v/>
      </c>
      <c r="V33" s="61">
        <f>IF(B33="","",IF(U33="","",U33-TODAY()))</f>
        <v/>
      </c>
      <c r="W33" s="61">
        <f>IF(B33="","",IF(L33="","",INT((TODAY()-L33)/30.44)))</f>
        <v/>
      </c>
      <c r="X33" s="62">
        <f>IF(B33="","",O33+T33*'Paramètres'!$B$34)</f>
        <v/>
      </c>
      <c r="Y33" s="62">
        <f>IF(B33="","",O33-N(IFERROR(INDEX('Paramètres'!$T$6:$T$15,MATCH(K33,'Paramètres'!$Q$6:$Q$15,0)),0)))</f>
        <v/>
      </c>
      <c r="Z33" s="123">
        <f>IF(B33="","",((COUNTIFS('Saisie'!$C$5:$C$2004,B33,'Saisie'!$E$5:$E$2004,"Onboarding - Contrat")&gt;0)+(COUNTIFS('Saisie'!$C$5:$C$2004,B33,'Saisie'!$E$5:$E$2004,"Onboarding - Accès")&gt;0)+(COUNTIFS('Saisie'!$C$5:$C$2004,B33,'Saisie'!$E$5:$E$2004,"Onboarding - Contenus")&gt;0)+(COUNTIFS('Saisie'!$C$5:$C$2004,B33,'Saisie'!$E$5:$E$2004,"Onboarding - Lancement")&gt;0))/4)</f>
        <v/>
      </c>
      <c r="AA33" s="60">
        <f>IF(B33="","",IF(COUNTIFS('Saisie'!$C$5:$C$2004,B33,'Saisie'!$E$5:$E$2004,"Demande d'avis Google")&gt;0,"Oui","Non"))</f>
        <v/>
      </c>
      <c r="AB33" s="61">
        <f>IF(B33="","",IFERROR(INDEX('Saisie'!$N$5:$N$2004,_xlfn.MAXIFS('Saisie'!$AS$5:$AS$2004,'Saisie'!$C$5:$C$2004,B33,'Saisie'!$E$5:$E$2004,"Satisfaction client")-4)&amp;"",""))</f>
        <v/>
      </c>
      <c r="AC33" s="106">
        <f>IF(B33="","",IFERROR(1/(1/_xlfn.MAXIFS('Saisie'!$A$5:$A$2004,'Saisie'!$C$5:$C$2004,B33,'Saisie'!$E$5:$E$2004,"Résiliation")),""))</f>
        <v/>
      </c>
      <c r="AD33" s="60">
        <f>IF(D33&lt;&gt;"",MAX($AD$4:AD32)+1,"")</f>
        <v/>
      </c>
    </row>
    <row r="34">
      <c r="A34" s="60">
        <f>IF(B34="","","C-"&amp;TEXT(30,"000"))</f>
        <v/>
      </c>
      <c r="B34" s="60">
        <f>IFERROR(INDEX('Prospects'!$C$5:$C$504,MATCH(30,'Prospects'!$BX$5:$BX$504,0)),"")</f>
        <v/>
      </c>
      <c r="C34" s="60">
        <f>IF(B34="","",IF(AC34&lt;&gt;"","Résilié","Actif"))</f>
        <v/>
      </c>
      <c r="D34" s="60">
        <f>IF(B34="","",IF(C34="Résilié","",IF(R34="En retard","Paiement en retard",IF(AND(V34&lt;&gt;"",N(V34)&lt;='Paramètres'!$B$30,N(V34)&gt;=0),"Renouvellement dans "&amp;V34&amp;" j",IF(AND(AA34="Non",TODAY()-N(L34)&gt;='Paramètres'!$B$29),"Demander un avis Google",IF(Z34&lt;1,"Onboarding à terminer",""))))))</f>
        <v/>
      </c>
      <c r="E34" s="60">
        <f>IF(B34="","",INDEX('Prospects'!$J$5:$J$504,MATCH(B34,'Prospects'!$C$5:$C$504,0))&amp;"")</f>
        <v/>
      </c>
      <c r="F34" s="60">
        <f>IF(B34="","",INDEX('Prospects'!$K$5:$K$504,MATCH(B34,'Prospects'!$C$5:$C$504,0))&amp;"")</f>
        <v/>
      </c>
      <c r="G34" s="60">
        <f>IF(B34="","",INDEX('Prospects'!$N$5:$N$504,MATCH(B34,'Prospects'!$C$5:$C$504,0))&amp;"")</f>
        <v/>
      </c>
      <c r="H34" s="60">
        <f>IF(B34="","",INDEX('Prospects'!$S$5:$S$504,MATCH(B34,'Prospects'!$C$5:$C$504,0))&amp;"")</f>
        <v/>
      </c>
      <c r="I34" s="60">
        <f>IF(B34="","",INDEX('Prospects'!$X$5:$X$504,MATCH(B34,'Prospects'!$C$5:$C$504,0))&amp;"")</f>
        <v/>
      </c>
      <c r="J34" s="60">
        <f>IF(B34="","",INDEX('Prospects'!$Y$5:$Y$504,MATCH(B34,'Prospects'!$C$5:$C$504,0))&amp;"")</f>
        <v/>
      </c>
      <c r="K34" s="60">
        <f>IF(B34="","",INDEX('Prospects'!$AN$5:$AN$504,MATCH(B34,'Prospects'!$C$5:$C$504,0))&amp;"")</f>
        <v/>
      </c>
      <c r="L34" s="106">
        <f>IF(B34="","",INDEX('Prospects'!$AT$5:$AT$504,MATCH(B34,'Prospects'!$C$5:$C$504,0)))</f>
        <v/>
      </c>
      <c r="M34" s="62">
        <f>IF(B34="","",SUMIFS('Saisie'!$AW$5:$AW$2004,'Saisie'!$C$5:$C$2004,B34,'Saisie'!$E$5:$E$2004,"Signature"))</f>
        <v/>
      </c>
      <c r="N34" s="62">
        <f>IF(B34="","",SUMIFS('Saisie'!$AW$5:$AW$2004,'Saisie'!$C$5:$C$2004,B34,'Saisie'!$E$5:$E$2004,"Vente additionnelle"))</f>
        <v/>
      </c>
      <c r="O34" s="62">
        <f>IF(B34="","",M34+N34)</f>
        <v/>
      </c>
      <c r="P34" s="62">
        <f>IF(B34="","",SUMIFS('Saisie'!$AW$5:$AW$2004,'Saisie'!$C$5:$C$2004,B34,'Saisie'!$E$5:$E$2004,"Paiement reçu"))</f>
        <v/>
      </c>
      <c r="Q34" s="62">
        <f>IF(B34="","",MAX(0,O34-P34))</f>
        <v/>
      </c>
      <c r="R34" s="60">
        <f>IF(B34="","",IF(O34=0,"",IF(Q34&lt;=0,"Payé",IF(TODAY()-N(L34)&gt;'Paramètres'!$B$27,"En retard",IF(P34&gt;0,"Partiel","En attente")))))</f>
        <v/>
      </c>
      <c r="S34" s="60">
        <f>IF(B34="","",IFERROR(INDEX('Saisie'!$O$5:$O$2004,_xlfn.MAXIFS('Saisie'!$AS$5:$AS$2004,'Saisie'!$C$5:$C$2004,B34,'Saisie'!$O$5:$O$2004,"&lt;&gt;")-4),""))</f>
        <v/>
      </c>
      <c r="T34" s="62">
        <f>IF(B34="","",N(INDEX('Prospects'!$AO$5:$AO$504,MATCH(B34,'Prospects'!$C$5:$C$504,0))))</f>
        <v/>
      </c>
      <c r="U34" s="106">
        <f>IF(B34="","",IF(L34="","",EDATE(L34,'Paramètres'!$B$33)))</f>
        <v/>
      </c>
      <c r="V34" s="61">
        <f>IF(B34="","",IF(U34="","",U34-TODAY()))</f>
        <v/>
      </c>
      <c r="W34" s="61">
        <f>IF(B34="","",IF(L34="","",INT((TODAY()-L34)/30.44)))</f>
        <v/>
      </c>
      <c r="X34" s="62">
        <f>IF(B34="","",O34+T34*'Paramètres'!$B$34)</f>
        <v/>
      </c>
      <c r="Y34" s="62">
        <f>IF(B34="","",O34-N(IFERROR(INDEX('Paramètres'!$T$6:$T$15,MATCH(K34,'Paramètres'!$Q$6:$Q$15,0)),0)))</f>
        <v/>
      </c>
      <c r="Z34" s="123">
        <f>IF(B34="","",((COUNTIFS('Saisie'!$C$5:$C$2004,B34,'Saisie'!$E$5:$E$2004,"Onboarding - Contrat")&gt;0)+(COUNTIFS('Saisie'!$C$5:$C$2004,B34,'Saisie'!$E$5:$E$2004,"Onboarding - Accès")&gt;0)+(COUNTIFS('Saisie'!$C$5:$C$2004,B34,'Saisie'!$E$5:$E$2004,"Onboarding - Contenus")&gt;0)+(COUNTIFS('Saisie'!$C$5:$C$2004,B34,'Saisie'!$E$5:$E$2004,"Onboarding - Lancement")&gt;0))/4)</f>
        <v/>
      </c>
      <c r="AA34" s="60">
        <f>IF(B34="","",IF(COUNTIFS('Saisie'!$C$5:$C$2004,B34,'Saisie'!$E$5:$E$2004,"Demande d'avis Google")&gt;0,"Oui","Non"))</f>
        <v/>
      </c>
      <c r="AB34" s="61">
        <f>IF(B34="","",IFERROR(INDEX('Saisie'!$N$5:$N$2004,_xlfn.MAXIFS('Saisie'!$AS$5:$AS$2004,'Saisie'!$C$5:$C$2004,B34,'Saisie'!$E$5:$E$2004,"Satisfaction client")-4)&amp;"",""))</f>
        <v/>
      </c>
      <c r="AC34" s="106">
        <f>IF(B34="","",IFERROR(1/(1/_xlfn.MAXIFS('Saisie'!$A$5:$A$2004,'Saisie'!$C$5:$C$2004,B34,'Saisie'!$E$5:$E$2004,"Résiliation")),""))</f>
        <v/>
      </c>
      <c r="AD34" s="60">
        <f>IF(D34&lt;&gt;"",MAX($AD$4:AD33)+1,"")</f>
        <v/>
      </c>
    </row>
    <row r="35">
      <c r="A35" s="60">
        <f>IF(B35="","","C-"&amp;TEXT(31,"000"))</f>
        <v/>
      </c>
      <c r="B35" s="60">
        <f>IFERROR(INDEX('Prospects'!$C$5:$C$504,MATCH(31,'Prospects'!$BX$5:$BX$504,0)),"")</f>
        <v/>
      </c>
      <c r="C35" s="60">
        <f>IF(B35="","",IF(AC35&lt;&gt;"","Résilié","Actif"))</f>
        <v/>
      </c>
      <c r="D35" s="60">
        <f>IF(B35="","",IF(C35="Résilié","",IF(R35="En retard","Paiement en retard",IF(AND(V35&lt;&gt;"",N(V35)&lt;='Paramètres'!$B$30,N(V35)&gt;=0),"Renouvellement dans "&amp;V35&amp;" j",IF(AND(AA35="Non",TODAY()-N(L35)&gt;='Paramètres'!$B$29),"Demander un avis Google",IF(Z35&lt;1,"Onboarding à terminer",""))))))</f>
        <v/>
      </c>
      <c r="E35" s="60">
        <f>IF(B35="","",INDEX('Prospects'!$J$5:$J$504,MATCH(B35,'Prospects'!$C$5:$C$504,0))&amp;"")</f>
        <v/>
      </c>
      <c r="F35" s="60">
        <f>IF(B35="","",INDEX('Prospects'!$K$5:$K$504,MATCH(B35,'Prospects'!$C$5:$C$504,0))&amp;"")</f>
        <v/>
      </c>
      <c r="G35" s="60">
        <f>IF(B35="","",INDEX('Prospects'!$N$5:$N$504,MATCH(B35,'Prospects'!$C$5:$C$504,0))&amp;"")</f>
        <v/>
      </c>
      <c r="H35" s="60">
        <f>IF(B35="","",INDEX('Prospects'!$S$5:$S$504,MATCH(B35,'Prospects'!$C$5:$C$504,0))&amp;"")</f>
        <v/>
      </c>
      <c r="I35" s="60">
        <f>IF(B35="","",INDEX('Prospects'!$X$5:$X$504,MATCH(B35,'Prospects'!$C$5:$C$504,0))&amp;"")</f>
        <v/>
      </c>
      <c r="J35" s="60">
        <f>IF(B35="","",INDEX('Prospects'!$Y$5:$Y$504,MATCH(B35,'Prospects'!$C$5:$C$504,0))&amp;"")</f>
        <v/>
      </c>
      <c r="K35" s="60">
        <f>IF(B35="","",INDEX('Prospects'!$AN$5:$AN$504,MATCH(B35,'Prospects'!$C$5:$C$504,0))&amp;"")</f>
        <v/>
      </c>
      <c r="L35" s="106">
        <f>IF(B35="","",INDEX('Prospects'!$AT$5:$AT$504,MATCH(B35,'Prospects'!$C$5:$C$504,0)))</f>
        <v/>
      </c>
      <c r="M35" s="62">
        <f>IF(B35="","",SUMIFS('Saisie'!$AW$5:$AW$2004,'Saisie'!$C$5:$C$2004,B35,'Saisie'!$E$5:$E$2004,"Signature"))</f>
        <v/>
      </c>
      <c r="N35" s="62">
        <f>IF(B35="","",SUMIFS('Saisie'!$AW$5:$AW$2004,'Saisie'!$C$5:$C$2004,B35,'Saisie'!$E$5:$E$2004,"Vente additionnelle"))</f>
        <v/>
      </c>
      <c r="O35" s="62">
        <f>IF(B35="","",M35+N35)</f>
        <v/>
      </c>
      <c r="P35" s="62">
        <f>IF(B35="","",SUMIFS('Saisie'!$AW$5:$AW$2004,'Saisie'!$C$5:$C$2004,B35,'Saisie'!$E$5:$E$2004,"Paiement reçu"))</f>
        <v/>
      </c>
      <c r="Q35" s="62">
        <f>IF(B35="","",MAX(0,O35-P35))</f>
        <v/>
      </c>
      <c r="R35" s="60">
        <f>IF(B35="","",IF(O35=0,"",IF(Q35&lt;=0,"Payé",IF(TODAY()-N(L35)&gt;'Paramètres'!$B$27,"En retard",IF(P35&gt;0,"Partiel","En attente")))))</f>
        <v/>
      </c>
      <c r="S35" s="60">
        <f>IF(B35="","",IFERROR(INDEX('Saisie'!$O$5:$O$2004,_xlfn.MAXIFS('Saisie'!$AS$5:$AS$2004,'Saisie'!$C$5:$C$2004,B35,'Saisie'!$O$5:$O$2004,"&lt;&gt;")-4),""))</f>
        <v/>
      </c>
      <c r="T35" s="62">
        <f>IF(B35="","",N(INDEX('Prospects'!$AO$5:$AO$504,MATCH(B35,'Prospects'!$C$5:$C$504,0))))</f>
        <v/>
      </c>
      <c r="U35" s="106">
        <f>IF(B35="","",IF(L35="","",EDATE(L35,'Paramètres'!$B$33)))</f>
        <v/>
      </c>
      <c r="V35" s="61">
        <f>IF(B35="","",IF(U35="","",U35-TODAY()))</f>
        <v/>
      </c>
      <c r="W35" s="61">
        <f>IF(B35="","",IF(L35="","",INT((TODAY()-L35)/30.44)))</f>
        <v/>
      </c>
      <c r="X35" s="62">
        <f>IF(B35="","",O35+T35*'Paramètres'!$B$34)</f>
        <v/>
      </c>
      <c r="Y35" s="62">
        <f>IF(B35="","",O35-N(IFERROR(INDEX('Paramètres'!$T$6:$T$15,MATCH(K35,'Paramètres'!$Q$6:$Q$15,0)),0)))</f>
        <v/>
      </c>
      <c r="Z35" s="123">
        <f>IF(B35="","",((COUNTIFS('Saisie'!$C$5:$C$2004,B35,'Saisie'!$E$5:$E$2004,"Onboarding - Contrat")&gt;0)+(COUNTIFS('Saisie'!$C$5:$C$2004,B35,'Saisie'!$E$5:$E$2004,"Onboarding - Accès")&gt;0)+(COUNTIFS('Saisie'!$C$5:$C$2004,B35,'Saisie'!$E$5:$E$2004,"Onboarding - Contenus")&gt;0)+(COUNTIFS('Saisie'!$C$5:$C$2004,B35,'Saisie'!$E$5:$E$2004,"Onboarding - Lancement")&gt;0))/4)</f>
        <v/>
      </c>
      <c r="AA35" s="60">
        <f>IF(B35="","",IF(COUNTIFS('Saisie'!$C$5:$C$2004,B35,'Saisie'!$E$5:$E$2004,"Demande d'avis Google")&gt;0,"Oui","Non"))</f>
        <v/>
      </c>
      <c r="AB35" s="61">
        <f>IF(B35="","",IFERROR(INDEX('Saisie'!$N$5:$N$2004,_xlfn.MAXIFS('Saisie'!$AS$5:$AS$2004,'Saisie'!$C$5:$C$2004,B35,'Saisie'!$E$5:$E$2004,"Satisfaction client")-4)&amp;"",""))</f>
        <v/>
      </c>
      <c r="AC35" s="106">
        <f>IF(B35="","",IFERROR(1/(1/_xlfn.MAXIFS('Saisie'!$A$5:$A$2004,'Saisie'!$C$5:$C$2004,B35,'Saisie'!$E$5:$E$2004,"Résiliation")),""))</f>
        <v/>
      </c>
      <c r="AD35" s="60">
        <f>IF(D35&lt;&gt;"",MAX($AD$4:AD34)+1,"")</f>
        <v/>
      </c>
    </row>
    <row r="36">
      <c r="A36" s="60">
        <f>IF(B36="","","C-"&amp;TEXT(32,"000"))</f>
        <v/>
      </c>
      <c r="B36" s="60">
        <f>IFERROR(INDEX('Prospects'!$C$5:$C$504,MATCH(32,'Prospects'!$BX$5:$BX$504,0)),"")</f>
        <v/>
      </c>
      <c r="C36" s="60">
        <f>IF(B36="","",IF(AC36&lt;&gt;"","Résilié","Actif"))</f>
        <v/>
      </c>
      <c r="D36" s="60">
        <f>IF(B36="","",IF(C36="Résilié","",IF(R36="En retard","Paiement en retard",IF(AND(V36&lt;&gt;"",N(V36)&lt;='Paramètres'!$B$30,N(V36)&gt;=0),"Renouvellement dans "&amp;V36&amp;" j",IF(AND(AA36="Non",TODAY()-N(L36)&gt;='Paramètres'!$B$29),"Demander un avis Google",IF(Z36&lt;1,"Onboarding à terminer",""))))))</f>
        <v/>
      </c>
      <c r="E36" s="60">
        <f>IF(B36="","",INDEX('Prospects'!$J$5:$J$504,MATCH(B36,'Prospects'!$C$5:$C$504,0))&amp;"")</f>
        <v/>
      </c>
      <c r="F36" s="60">
        <f>IF(B36="","",INDEX('Prospects'!$K$5:$K$504,MATCH(B36,'Prospects'!$C$5:$C$504,0))&amp;"")</f>
        <v/>
      </c>
      <c r="G36" s="60">
        <f>IF(B36="","",INDEX('Prospects'!$N$5:$N$504,MATCH(B36,'Prospects'!$C$5:$C$504,0))&amp;"")</f>
        <v/>
      </c>
      <c r="H36" s="60">
        <f>IF(B36="","",INDEX('Prospects'!$S$5:$S$504,MATCH(B36,'Prospects'!$C$5:$C$504,0))&amp;"")</f>
        <v/>
      </c>
      <c r="I36" s="60">
        <f>IF(B36="","",INDEX('Prospects'!$X$5:$X$504,MATCH(B36,'Prospects'!$C$5:$C$504,0))&amp;"")</f>
        <v/>
      </c>
      <c r="J36" s="60">
        <f>IF(B36="","",INDEX('Prospects'!$Y$5:$Y$504,MATCH(B36,'Prospects'!$C$5:$C$504,0))&amp;"")</f>
        <v/>
      </c>
      <c r="K36" s="60">
        <f>IF(B36="","",INDEX('Prospects'!$AN$5:$AN$504,MATCH(B36,'Prospects'!$C$5:$C$504,0))&amp;"")</f>
        <v/>
      </c>
      <c r="L36" s="106">
        <f>IF(B36="","",INDEX('Prospects'!$AT$5:$AT$504,MATCH(B36,'Prospects'!$C$5:$C$504,0)))</f>
        <v/>
      </c>
      <c r="M36" s="62">
        <f>IF(B36="","",SUMIFS('Saisie'!$AW$5:$AW$2004,'Saisie'!$C$5:$C$2004,B36,'Saisie'!$E$5:$E$2004,"Signature"))</f>
        <v/>
      </c>
      <c r="N36" s="62">
        <f>IF(B36="","",SUMIFS('Saisie'!$AW$5:$AW$2004,'Saisie'!$C$5:$C$2004,B36,'Saisie'!$E$5:$E$2004,"Vente additionnelle"))</f>
        <v/>
      </c>
      <c r="O36" s="62">
        <f>IF(B36="","",M36+N36)</f>
        <v/>
      </c>
      <c r="P36" s="62">
        <f>IF(B36="","",SUMIFS('Saisie'!$AW$5:$AW$2004,'Saisie'!$C$5:$C$2004,B36,'Saisie'!$E$5:$E$2004,"Paiement reçu"))</f>
        <v/>
      </c>
      <c r="Q36" s="62">
        <f>IF(B36="","",MAX(0,O36-P36))</f>
        <v/>
      </c>
      <c r="R36" s="60">
        <f>IF(B36="","",IF(O36=0,"",IF(Q36&lt;=0,"Payé",IF(TODAY()-N(L36)&gt;'Paramètres'!$B$27,"En retard",IF(P36&gt;0,"Partiel","En attente")))))</f>
        <v/>
      </c>
      <c r="S36" s="60">
        <f>IF(B36="","",IFERROR(INDEX('Saisie'!$O$5:$O$2004,_xlfn.MAXIFS('Saisie'!$AS$5:$AS$2004,'Saisie'!$C$5:$C$2004,B36,'Saisie'!$O$5:$O$2004,"&lt;&gt;")-4),""))</f>
        <v/>
      </c>
      <c r="T36" s="62">
        <f>IF(B36="","",N(INDEX('Prospects'!$AO$5:$AO$504,MATCH(B36,'Prospects'!$C$5:$C$504,0))))</f>
        <v/>
      </c>
      <c r="U36" s="106">
        <f>IF(B36="","",IF(L36="","",EDATE(L36,'Paramètres'!$B$33)))</f>
        <v/>
      </c>
      <c r="V36" s="61">
        <f>IF(B36="","",IF(U36="","",U36-TODAY()))</f>
        <v/>
      </c>
      <c r="W36" s="61">
        <f>IF(B36="","",IF(L36="","",INT((TODAY()-L36)/30.44)))</f>
        <v/>
      </c>
      <c r="X36" s="62">
        <f>IF(B36="","",O36+T36*'Paramètres'!$B$34)</f>
        <v/>
      </c>
      <c r="Y36" s="62">
        <f>IF(B36="","",O36-N(IFERROR(INDEX('Paramètres'!$T$6:$T$15,MATCH(K36,'Paramètres'!$Q$6:$Q$15,0)),0)))</f>
        <v/>
      </c>
      <c r="Z36" s="123">
        <f>IF(B36="","",((COUNTIFS('Saisie'!$C$5:$C$2004,B36,'Saisie'!$E$5:$E$2004,"Onboarding - Contrat")&gt;0)+(COUNTIFS('Saisie'!$C$5:$C$2004,B36,'Saisie'!$E$5:$E$2004,"Onboarding - Accès")&gt;0)+(COUNTIFS('Saisie'!$C$5:$C$2004,B36,'Saisie'!$E$5:$E$2004,"Onboarding - Contenus")&gt;0)+(COUNTIFS('Saisie'!$C$5:$C$2004,B36,'Saisie'!$E$5:$E$2004,"Onboarding - Lancement")&gt;0))/4)</f>
        <v/>
      </c>
      <c r="AA36" s="60">
        <f>IF(B36="","",IF(COUNTIFS('Saisie'!$C$5:$C$2004,B36,'Saisie'!$E$5:$E$2004,"Demande d'avis Google")&gt;0,"Oui","Non"))</f>
        <v/>
      </c>
      <c r="AB36" s="61">
        <f>IF(B36="","",IFERROR(INDEX('Saisie'!$N$5:$N$2004,_xlfn.MAXIFS('Saisie'!$AS$5:$AS$2004,'Saisie'!$C$5:$C$2004,B36,'Saisie'!$E$5:$E$2004,"Satisfaction client")-4)&amp;"",""))</f>
        <v/>
      </c>
      <c r="AC36" s="106">
        <f>IF(B36="","",IFERROR(1/(1/_xlfn.MAXIFS('Saisie'!$A$5:$A$2004,'Saisie'!$C$5:$C$2004,B36,'Saisie'!$E$5:$E$2004,"Résiliation")),""))</f>
        <v/>
      </c>
      <c r="AD36" s="60">
        <f>IF(D36&lt;&gt;"",MAX($AD$4:AD35)+1,"")</f>
        <v/>
      </c>
    </row>
    <row r="37">
      <c r="A37" s="60">
        <f>IF(B37="","","C-"&amp;TEXT(33,"000"))</f>
        <v/>
      </c>
      <c r="B37" s="60">
        <f>IFERROR(INDEX('Prospects'!$C$5:$C$504,MATCH(33,'Prospects'!$BX$5:$BX$504,0)),"")</f>
        <v/>
      </c>
      <c r="C37" s="60">
        <f>IF(B37="","",IF(AC37&lt;&gt;"","Résilié","Actif"))</f>
        <v/>
      </c>
      <c r="D37" s="60">
        <f>IF(B37="","",IF(C37="Résilié","",IF(R37="En retard","Paiement en retard",IF(AND(V37&lt;&gt;"",N(V37)&lt;='Paramètres'!$B$30,N(V37)&gt;=0),"Renouvellement dans "&amp;V37&amp;" j",IF(AND(AA37="Non",TODAY()-N(L37)&gt;='Paramètres'!$B$29),"Demander un avis Google",IF(Z37&lt;1,"Onboarding à terminer",""))))))</f>
        <v/>
      </c>
      <c r="E37" s="60">
        <f>IF(B37="","",INDEX('Prospects'!$J$5:$J$504,MATCH(B37,'Prospects'!$C$5:$C$504,0))&amp;"")</f>
        <v/>
      </c>
      <c r="F37" s="60">
        <f>IF(B37="","",INDEX('Prospects'!$K$5:$K$504,MATCH(B37,'Prospects'!$C$5:$C$504,0))&amp;"")</f>
        <v/>
      </c>
      <c r="G37" s="60">
        <f>IF(B37="","",INDEX('Prospects'!$N$5:$N$504,MATCH(B37,'Prospects'!$C$5:$C$504,0))&amp;"")</f>
        <v/>
      </c>
      <c r="H37" s="60">
        <f>IF(B37="","",INDEX('Prospects'!$S$5:$S$504,MATCH(B37,'Prospects'!$C$5:$C$504,0))&amp;"")</f>
        <v/>
      </c>
      <c r="I37" s="60">
        <f>IF(B37="","",INDEX('Prospects'!$X$5:$X$504,MATCH(B37,'Prospects'!$C$5:$C$504,0))&amp;"")</f>
        <v/>
      </c>
      <c r="J37" s="60">
        <f>IF(B37="","",INDEX('Prospects'!$Y$5:$Y$504,MATCH(B37,'Prospects'!$C$5:$C$504,0))&amp;"")</f>
        <v/>
      </c>
      <c r="K37" s="60">
        <f>IF(B37="","",INDEX('Prospects'!$AN$5:$AN$504,MATCH(B37,'Prospects'!$C$5:$C$504,0))&amp;"")</f>
        <v/>
      </c>
      <c r="L37" s="106">
        <f>IF(B37="","",INDEX('Prospects'!$AT$5:$AT$504,MATCH(B37,'Prospects'!$C$5:$C$504,0)))</f>
        <v/>
      </c>
      <c r="M37" s="62">
        <f>IF(B37="","",SUMIFS('Saisie'!$AW$5:$AW$2004,'Saisie'!$C$5:$C$2004,B37,'Saisie'!$E$5:$E$2004,"Signature"))</f>
        <v/>
      </c>
      <c r="N37" s="62">
        <f>IF(B37="","",SUMIFS('Saisie'!$AW$5:$AW$2004,'Saisie'!$C$5:$C$2004,B37,'Saisie'!$E$5:$E$2004,"Vente additionnelle"))</f>
        <v/>
      </c>
      <c r="O37" s="62">
        <f>IF(B37="","",M37+N37)</f>
        <v/>
      </c>
      <c r="P37" s="62">
        <f>IF(B37="","",SUMIFS('Saisie'!$AW$5:$AW$2004,'Saisie'!$C$5:$C$2004,B37,'Saisie'!$E$5:$E$2004,"Paiement reçu"))</f>
        <v/>
      </c>
      <c r="Q37" s="62">
        <f>IF(B37="","",MAX(0,O37-P37))</f>
        <v/>
      </c>
      <c r="R37" s="60">
        <f>IF(B37="","",IF(O37=0,"",IF(Q37&lt;=0,"Payé",IF(TODAY()-N(L37)&gt;'Paramètres'!$B$27,"En retard",IF(P37&gt;0,"Partiel","En attente")))))</f>
        <v/>
      </c>
      <c r="S37" s="60">
        <f>IF(B37="","",IFERROR(INDEX('Saisie'!$O$5:$O$2004,_xlfn.MAXIFS('Saisie'!$AS$5:$AS$2004,'Saisie'!$C$5:$C$2004,B37,'Saisie'!$O$5:$O$2004,"&lt;&gt;")-4),""))</f>
        <v/>
      </c>
      <c r="T37" s="62">
        <f>IF(B37="","",N(INDEX('Prospects'!$AO$5:$AO$504,MATCH(B37,'Prospects'!$C$5:$C$504,0))))</f>
        <v/>
      </c>
      <c r="U37" s="106">
        <f>IF(B37="","",IF(L37="","",EDATE(L37,'Paramètres'!$B$33)))</f>
        <v/>
      </c>
      <c r="V37" s="61">
        <f>IF(B37="","",IF(U37="","",U37-TODAY()))</f>
        <v/>
      </c>
      <c r="W37" s="61">
        <f>IF(B37="","",IF(L37="","",INT((TODAY()-L37)/30.44)))</f>
        <v/>
      </c>
      <c r="X37" s="62">
        <f>IF(B37="","",O37+T37*'Paramètres'!$B$34)</f>
        <v/>
      </c>
      <c r="Y37" s="62">
        <f>IF(B37="","",O37-N(IFERROR(INDEX('Paramètres'!$T$6:$T$15,MATCH(K37,'Paramètres'!$Q$6:$Q$15,0)),0)))</f>
        <v/>
      </c>
      <c r="Z37" s="123">
        <f>IF(B37="","",((COUNTIFS('Saisie'!$C$5:$C$2004,B37,'Saisie'!$E$5:$E$2004,"Onboarding - Contrat")&gt;0)+(COUNTIFS('Saisie'!$C$5:$C$2004,B37,'Saisie'!$E$5:$E$2004,"Onboarding - Accès")&gt;0)+(COUNTIFS('Saisie'!$C$5:$C$2004,B37,'Saisie'!$E$5:$E$2004,"Onboarding - Contenus")&gt;0)+(COUNTIFS('Saisie'!$C$5:$C$2004,B37,'Saisie'!$E$5:$E$2004,"Onboarding - Lancement")&gt;0))/4)</f>
        <v/>
      </c>
      <c r="AA37" s="60">
        <f>IF(B37="","",IF(COUNTIFS('Saisie'!$C$5:$C$2004,B37,'Saisie'!$E$5:$E$2004,"Demande d'avis Google")&gt;0,"Oui","Non"))</f>
        <v/>
      </c>
      <c r="AB37" s="61">
        <f>IF(B37="","",IFERROR(INDEX('Saisie'!$N$5:$N$2004,_xlfn.MAXIFS('Saisie'!$AS$5:$AS$2004,'Saisie'!$C$5:$C$2004,B37,'Saisie'!$E$5:$E$2004,"Satisfaction client")-4)&amp;"",""))</f>
        <v/>
      </c>
      <c r="AC37" s="106">
        <f>IF(B37="","",IFERROR(1/(1/_xlfn.MAXIFS('Saisie'!$A$5:$A$2004,'Saisie'!$C$5:$C$2004,B37,'Saisie'!$E$5:$E$2004,"Résiliation")),""))</f>
        <v/>
      </c>
      <c r="AD37" s="60">
        <f>IF(D37&lt;&gt;"",MAX($AD$4:AD36)+1,"")</f>
        <v/>
      </c>
    </row>
    <row r="38">
      <c r="A38" s="60">
        <f>IF(B38="","","C-"&amp;TEXT(34,"000"))</f>
        <v/>
      </c>
      <c r="B38" s="60">
        <f>IFERROR(INDEX('Prospects'!$C$5:$C$504,MATCH(34,'Prospects'!$BX$5:$BX$504,0)),"")</f>
        <v/>
      </c>
      <c r="C38" s="60">
        <f>IF(B38="","",IF(AC38&lt;&gt;"","Résilié","Actif"))</f>
        <v/>
      </c>
      <c r="D38" s="60">
        <f>IF(B38="","",IF(C38="Résilié","",IF(R38="En retard","Paiement en retard",IF(AND(V38&lt;&gt;"",N(V38)&lt;='Paramètres'!$B$30,N(V38)&gt;=0),"Renouvellement dans "&amp;V38&amp;" j",IF(AND(AA38="Non",TODAY()-N(L38)&gt;='Paramètres'!$B$29),"Demander un avis Google",IF(Z38&lt;1,"Onboarding à terminer",""))))))</f>
        <v/>
      </c>
      <c r="E38" s="60">
        <f>IF(B38="","",INDEX('Prospects'!$J$5:$J$504,MATCH(B38,'Prospects'!$C$5:$C$504,0))&amp;"")</f>
        <v/>
      </c>
      <c r="F38" s="60">
        <f>IF(B38="","",INDEX('Prospects'!$K$5:$K$504,MATCH(B38,'Prospects'!$C$5:$C$504,0))&amp;"")</f>
        <v/>
      </c>
      <c r="G38" s="60">
        <f>IF(B38="","",INDEX('Prospects'!$N$5:$N$504,MATCH(B38,'Prospects'!$C$5:$C$504,0))&amp;"")</f>
        <v/>
      </c>
      <c r="H38" s="60">
        <f>IF(B38="","",INDEX('Prospects'!$S$5:$S$504,MATCH(B38,'Prospects'!$C$5:$C$504,0))&amp;"")</f>
        <v/>
      </c>
      <c r="I38" s="60">
        <f>IF(B38="","",INDEX('Prospects'!$X$5:$X$504,MATCH(B38,'Prospects'!$C$5:$C$504,0))&amp;"")</f>
        <v/>
      </c>
      <c r="J38" s="60">
        <f>IF(B38="","",INDEX('Prospects'!$Y$5:$Y$504,MATCH(B38,'Prospects'!$C$5:$C$504,0))&amp;"")</f>
        <v/>
      </c>
      <c r="K38" s="60">
        <f>IF(B38="","",INDEX('Prospects'!$AN$5:$AN$504,MATCH(B38,'Prospects'!$C$5:$C$504,0))&amp;"")</f>
        <v/>
      </c>
      <c r="L38" s="106">
        <f>IF(B38="","",INDEX('Prospects'!$AT$5:$AT$504,MATCH(B38,'Prospects'!$C$5:$C$504,0)))</f>
        <v/>
      </c>
      <c r="M38" s="62">
        <f>IF(B38="","",SUMIFS('Saisie'!$AW$5:$AW$2004,'Saisie'!$C$5:$C$2004,B38,'Saisie'!$E$5:$E$2004,"Signature"))</f>
        <v/>
      </c>
      <c r="N38" s="62">
        <f>IF(B38="","",SUMIFS('Saisie'!$AW$5:$AW$2004,'Saisie'!$C$5:$C$2004,B38,'Saisie'!$E$5:$E$2004,"Vente additionnelle"))</f>
        <v/>
      </c>
      <c r="O38" s="62">
        <f>IF(B38="","",M38+N38)</f>
        <v/>
      </c>
      <c r="P38" s="62">
        <f>IF(B38="","",SUMIFS('Saisie'!$AW$5:$AW$2004,'Saisie'!$C$5:$C$2004,B38,'Saisie'!$E$5:$E$2004,"Paiement reçu"))</f>
        <v/>
      </c>
      <c r="Q38" s="62">
        <f>IF(B38="","",MAX(0,O38-P38))</f>
        <v/>
      </c>
      <c r="R38" s="60">
        <f>IF(B38="","",IF(O38=0,"",IF(Q38&lt;=0,"Payé",IF(TODAY()-N(L38)&gt;'Paramètres'!$B$27,"En retard",IF(P38&gt;0,"Partiel","En attente")))))</f>
        <v/>
      </c>
      <c r="S38" s="60">
        <f>IF(B38="","",IFERROR(INDEX('Saisie'!$O$5:$O$2004,_xlfn.MAXIFS('Saisie'!$AS$5:$AS$2004,'Saisie'!$C$5:$C$2004,B38,'Saisie'!$O$5:$O$2004,"&lt;&gt;")-4),""))</f>
        <v/>
      </c>
      <c r="T38" s="62">
        <f>IF(B38="","",N(INDEX('Prospects'!$AO$5:$AO$504,MATCH(B38,'Prospects'!$C$5:$C$504,0))))</f>
        <v/>
      </c>
      <c r="U38" s="106">
        <f>IF(B38="","",IF(L38="","",EDATE(L38,'Paramètres'!$B$33)))</f>
        <v/>
      </c>
      <c r="V38" s="61">
        <f>IF(B38="","",IF(U38="","",U38-TODAY()))</f>
        <v/>
      </c>
      <c r="W38" s="61">
        <f>IF(B38="","",IF(L38="","",INT((TODAY()-L38)/30.44)))</f>
        <v/>
      </c>
      <c r="X38" s="62">
        <f>IF(B38="","",O38+T38*'Paramètres'!$B$34)</f>
        <v/>
      </c>
      <c r="Y38" s="62">
        <f>IF(B38="","",O38-N(IFERROR(INDEX('Paramètres'!$T$6:$T$15,MATCH(K38,'Paramètres'!$Q$6:$Q$15,0)),0)))</f>
        <v/>
      </c>
      <c r="Z38" s="123">
        <f>IF(B38="","",((COUNTIFS('Saisie'!$C$5:$C$2004,B38,'Saisie'!$E$5:$E$2004,"Onboarding - Contrat")&gt;0)+(COUNTIFS('Saisie'!$C$5:$C$2004,B38,'Saisie'!$E$5:$E$2004,"Onboarding - Accès")&gt;0)+(COUNTIFS('Saisie'!$C$5:$C$2004,B38,'Saisie'!$E$5:$E$2004,"Onboarding - Contenus")&gt;0)+(COUNTIFS('Saisie'!$C$5:$C$2004,B38,'Saisie'!$E$5:$E$2004,"Onboarding - Lancement")&gt;0))/4)</f>
        <v/>
      </c>
      <c r="AA38" s="60">
        <f>IF(B38="","",IF(COUNTIFS('Saisie'!$C$5:$C$2004,B38,'Saisie'!$E$5:$E$2004,"Demande d'avis Google")&gt;0,"Oui","Non"))</f>
        <v/>
      </c>
      <c r="AB38" s="61">
        <f>IF(B38="","",IFERROR(INDEX('Saisie'!$N$5:$N$2004,_xlfn.MAXIFS('Saisie'!$AS$5:$AS$2004,'Saisie'!$C$5:$C$2004,B38,'Saisie'!$E$5:$E$2004,"Satisfaction client")-4)&amp;"",""))</f>
        <v/>
      </c>
      <c r="AC38" s="106">
        <f>IF(B38="","",IFERROR(1/(1/_xlfn.MAXIFS('Saisie'!$A$5:$A$2004,'Saisie'!$C$5:$C$2004,B38,'Saisie'!$E$5:$E$2004,"Résiliation")),""))</f>
        <v/>
      </c>
      <c r="AD38" s="60">
        <f>IF(D38&lt;&gt;"",MAX($AD$4:AD37)+1,"")</f>
        <v/>
      </c>
    </row>
    <row r="39">
      <c r="A39" s="60">
        <f>IF(B39="","","C-"&amp;TEXT(35,"000"))</f>
        <v/>
      </c>
      <c r="B39" s="60">
        <f>IFERROR(INDEX('Prospects'!$C$5:$C$504,MATCH(35,'Prospects'!$BX$5:$BX$504,0)),"")</f>
        <v/>
      </c>
      <c r="C39" s="60">
        <f>IF(B39="","",IF(AC39&lt;&gt;"","Résilié","Actif"))</f>
        <v/>
      </c>
      <c r="D39" s="60">
        <f>IF(B39="","",IF(C39="Résilié","",IF(R39="En retard","Paiement en retard",IF(AND(V39&lt;&gt;"",N(V39)&lt;='Paramètres'!$B$30,N(V39)&gt;=0),"Renouvellement dans "&amp;V39&amp;" j",IF(AND(AA39="Non",TODAY()-N(L39)&gt;='Paramètres'!$B$29),"Demander un avis Google",IF(Z39&lt;1,"Onboarding à terminer",""))))))</f>
        <v/>
      </c>
      <c r="E39" s="60">
        <f>IF(B39="","",INDEX('Prospects'!$J$5:$J$504,MATCH(B39,'Prospects'!$C$5:$C$504,0))&amp;"")</f>
        <v/>
      </c>
      <c r="F39" s="60">
        <f>IF(B39="","",INDEX('Prospects'!$K$5:$K$504,MATCH(B39,'Prospects'!$C$5:$C$504,0))&amp;"")</f>
        <v/>
      </c>
      <c r="G39" s="60">
        <f>IF(B39="","",INDEX('Prospects'!$N$5:$N$504,MATCH(B39,'Prospects'!$C$5:$C$504,0))&amp;"")</f>
        <v/>
      </c>
      <c r="H39" s="60">
        <f>IF(B39="","",INDEX('Prospects'!$S$5:$S$504,MATCH(B39,'Prospects'!$C$5:$C$504,0))&amp;"")</f>
        <v/>
      </c>
      <c r="I39" s="60">
        <f>IF(B39="","",INDEX('Prospects'!$X$5:$X$504,MATCH(B39,'Prospects'!$C$5:$C$504,0))&amp;"")</f>
        <v/>
      </c>
      <c r="J39" s="60">
        <f>IF(B39="","",INDEX('Prospects'!$Y$5:$Y$504,MATCH(B39,'Prospects'!$C$5:$C$504,0))&amp;"")</f>
        <v/>
      </c>
      <c r="K39" s="60">
        <f>IF(B39="","",INDEX('Prospects'!$AN$5:$AN$504,MATCH(B39,'Prospects'!$C$5:$C$504,0))&amp;"")</f>
        <v/>
      </c>
      <c r="L39" s="106">
        <f>IF(B39="","",INDEX('Prospects'!$AT$5:$AT$504,MATCH(B39,'Prospects'!$C$5:$C$504,0)))</f>
        <v/>
      </c>
      <c r="M39" s="62">
        <f>IF(B39="","",SUMIFS('Saisie'!$AW$5:$AW$2004,'Saisie'!$C$5:$C$2004,B39,'Saisie'!$E$5:$E$2004,"Signature"))</f>
        <v/>
      </c>
      <c r="N39" s="62">
        <f>IF(B39="","",SUMIFS('Saisie'!$AW$5:$AW$2004,'Saisie'!$C$5:$C$2004,B39,'Saisie'!$E$5:$E$2004,"Vente additionnelle"))</f>
        <v/>
      </c>
      <c r="O39" s="62">
        <f>IF(B39="","",M39+N39)</f>
        <v/>
      </c>
      <c r="P39" s="62">
        <f>IF(B39="","",SUMIFS('Saisie'!$AW$5:$AW$2004,'Saisie'!$C$5:$C$2004,B39,'Saisie'!$E$5:$E$2004,"Paiement reçu"))</f>
        <v/>
      </c>
      <c r="Q39" s="62">
        <f>IF(B39="","",MAX(0,O39-P39))</f>
        <v/>
      </c>
      <c r="R39" s="60">
        <f>IF(B39="","",IF(O39=0,"",IF(Q39&lt;=0,"Payé",IF(TODAY()-N(L39)&gt;'Paramètres'!$B$27,"En retard",IF(P39&gt;0,"Partiel","En attente")))))</f>
        <v/>
      </c>
      <c r="S39" s="60">
        <f>IF(B39="","",IFERROR(INDEX('Saisie'!$O$5:$O$2004,_xlfn.MAXIFS('Saisie'!$AS$5:$AS$2004,'Saisie'!$C$5:$C$2004,B39,'Saisie'!$O$5:$O$2004,"&lt;&gt;")-4),""))</f>
        <v/>
      </c>
      <c r="T39" s="62">
        <f>IF(B39="","",N(INDEX('Prospects'!$AO$5:$AO$504,MATCH(B39,'Prospects'!$C$5:$C$504,0))))</f>
        <v/>
      </c>
      <c r="U39" s="106">
        <f>IF(B39="","",IF(L39="","",EDATE(L39,'Paramètres'!$B$33)))</f>
        <v/>
      </c>
      <c r="V39" s="61">
        <f>IF(B39="","",IF(U39="","",U39-TODAY()))</f>
        <v/>
      </c>
      <c r="W39" s="61">
        <f>IF(B39="","",IF(L39="","",INT((TODAY()-L39)/30.44)))</f>
        <v/>
      </c>
      <c r="X39" s="62">
        <f>IF(B39="","",O39+T39*'Paramètres'!$B$34)</f>
        <v/>
      </c>
      <c r="Y39" s="62">
        <f>IF(B39="","",O39-N(IFERROR(INDEX('Paramètres'!$T$6:$T$15,MATCH(K39,'Paramètres'!$Q$6:$Q$15,0)),0)))</f>
        <v/>
      </c>
      <c r="Z39" s="123">
        <f>IF(B39="","",((COUNTIFS('Saisie'!$C$5:$C$2004,B39,'Saisie'!$E$5:$E$2004,"Onboarding - Contrat")&gt;0)+(COUNTIFS('Saisie'!$C$5:$C$2004,B39,'Saisie'!$E$5:$E$2004,"Onboarding - Accès")&gt;0)+(COUNTIFS('Saisie'!$C$5:$C$2004,B39,'Saisie'!$E$5:$E$2004,"Onboarding - Contenus")&gt;0)+(COUNTIFS('Saisie'!$C$5:$C$2004,B39,'Saisie'!$E$5:$E$2004,"Onboarding - Lancement")&gt;0))/4)</f>
        <v/>
      </c>
      <c r="AA39" s="60">
        <f>IF(B39="","",IF(COUNTIFS('Saisie'!$C$5:$C$2004,B39,'Saisie'!$E$5:$E$2004,"Demande d'avis Google")&gt;0,"Oui","Non"))</f>
        <v/>
      </c>
      <c r="AB39" s="61">
        <f>IF(B39="","",IFERROR(INDEX('Saisie'!$N$5:$N$2004,_xlfn.MAXIFS('Saisie'!$AS$5:$AS$2004,'Saisie'!$C$5:$C$2004,B39,'Saisie'!$E$5:$E$2004,"Satisfaction client")-4)&amp;"",""))</f>
        <v/>
      </c>
      <c r="AC39" s="106">
        <f>IF(B39="","",IFERROR(1/(1/_xlfn.MAXIFS('Saisie'!$A$5:$A$2004,'Saisie'!$C$5:$C$2004,B39,'Saisie'!$E$5:$E$2004,"Résiliation")),""))</f>
        <v/>
      </c>
      <c r="AD39" s="60">
        <f>IF(D39&lt;&gt;"",MAX($AD$4:AD38)+1,"")</f>
        <v/>
      </c>
    </row>
    <row r="40">
      <c r="A40" s="60">
        <f>IF(B40="","","C-"&amp;TEXT(36,"000"))</f>
        <v/>
      </c>
      <c r="B40" s="60">
        <f>IFERROR(INDEX('Prospects'!$C$5:$C$504,MATCH(36,'Prospects'!$BX$5:$BX$504,0)),"")</f>
        <v/>
      </c>
      <c r="C40" s="60">
        <f>IF(B40="","",IF(AC40&lt;&gt;"","Résilié","Actif"))</f>
        <v/>
      </c>
      <c r="D40" s="60">
        <f>IF(B40="","",IF(C40="Résilié","",IF(R40="En retard","Paiement en retard",IF(AND(V40&lt;&gt;"",N(V40)&lt;='Paramètres'!$B$30,N(V40)&gt;=0),"Renouvellement dans "&amp;V40&amp;" j",IF(AND(AA40="Non",TODAY()-N(L40)&gt;='Paramètres'!$B$29),"Demander un avis Google",IF(Z40&lt;1,"Onboarding à terminer",""))))))</f>
        <v/>
      </c>
      <c r="E40" s="60">
        <f>IF(B40="","",INDEX('Prospects'!$J$5:$J$504,MATCH(B40,'Prospects'!$C$5:$C$504,0))&amp;"")</f>
        <v/>
      </c>
      <c r="F40" s="60">
        <f>IF(B40="","",INDEX('Prospects'!$K$5:$K$504,MATCH(B40,'Prospects'!$C$5:$C$504,0))&amp;"")</f>
        <v/>
      </c>
      <c r="G40" s="60">
        <f>IF(B40="","",INDEX('Prospects'!$N$5:$N$504,MATCH(B40,'Prospects'!$C$5:$C$504,0))&amp;"")</f>
        <v/>
      </c>
      <c r="H40" s="60">
        <f>IF(B40="","",INDEX('Prospects'!$S$5:$S$504,MATCH(B40,'Prospects'!$C$5:$C$504,0))&amp;"")</f>
        <v/>
      </c>
      <c r="I40" s="60">
        <f>IF(B40="","",INDEX('Prospects'!$X$5:$X$504,MATCH(B40,'Prospects'!$C$5:$C$504,0))&amp;"")</f>
        <v/>
      </c>
      <c r="J40" s="60">
        <f>IF(B40="","",INDEX('Prospects'!$Y$5:$Y$504,MATCH(B40,'Prospects'!$C$5:$C$504,0))&amp;"")</f>
        <v/>
      </c>
      <c r="K40" s="60">
        <f>IF(B40="","",INDEX('Prospects'!$AN$5:$AN$504,MATCH(B40,'Prospects'!$C$5:$C$504,0))&amp;"")</f>
        <v/>
      </c>
      <c r="L40" s="106">
        <f>IF(B40="","",INDEX('Prospects'!$AT$5:$AT$504,MATCH(B40,'Prospects'!$C$5:$C$504,0)))</f>
        <v/>
      </c>
      <c r="M40" s="62">
        <f>IF(B40="","",SUMIFS('Saisie'!$AW$5:$AW$2004,'Saisie'!$C$5:$C$2004,B40,'Saisie'!$E$5:$E$2004,"Signature"))</f>
        <v/>
      </c>
      <c r="N40" s="62">
        <f>IF(B40="","",SUMIFS('Saisie'!$AW$5:$AW$2004,'Saisie'!$C$5:$C$2004,B40,'Saisie'!$E$5:$E$2004,"Vente additionnelle"))</f>
        <v/>
      </c>
      <c r="O40" s="62">
        <f>IF(B40="","",M40+N40)</f>
        <v/>
      </c>
      <c r="P40" s="62">
        <f>IF(B40="","",SUMIFS('Saisie'!$AW$5:$AW$2004,'Saisie'!$C$5:$C$2004,B40,'Saisie'!$E$5:$E$2004,"Paiement reçu"))</f>
        <v/>
      </c>
      <c r="Q40" s="62">
        <f>IF(B40="","",MAX(0,O40-P40))</f>
        <v/>
      </c>
      <c r="R40" s="60">
        <f>IF(B40="","",IF(O40=0,"",IF(Q40&lt;=0,"Payé",IF(TODAY()-N(L40)&gt;'Paramètres'!$B$27,"En retard",IF(P40&gt;0,"Partiel","En attente")))))</f>
        <v/>
      </c>
      <c r="S40" s="60">
        <f>IF(B40="","",IFERROR(INDEX('Saisie'!$O$5:$O$2004,_xlfn.MAXIFS('Saisie'!$AS$5:$AS$2004,'Saisie'!$C$5:$C$2004,B40,'Saisie'!$O$5:$O$2004,"&lt;&gt;")-4),""))</f>
        <v/>
      </c>
      <c r="T40" s="62">
        <f>IF(B40="","",N(INDEX('Prospects'!$AO$5:$AO$504,MATCH(B40,'Prospects'!$C$5:$C$504,0))))</f>
        <v/>
      </c>
      <c r="U40" s="106">
        <f>IF(B40="","",IF(L40="","",EDATE(L40,'Paramètres'!$B$33)))</f>
        <v/>
      </c>
      <c r="V40" s="61">
        <f>IF(B40="","",IF(U40="","",U40-TODAY()))</f>
        <v/>
      </c>
      <c r="W40" s="61">
        <f>IF(B40="","",IF(L40="","",INT((TODAY()-L40)/30.44)))</f>
        <v/>
      </c>
      <c r="X40" s="62">
        <f>IF(B40="","",O40+T40*'Paramètres'!$B$34)</f>
        <v/>
      </c>
      <c r="Y40" s="62">
        <f>IF(B40="","",O40-N(IFERROR(INDEX('Paramètres'!$T$6:$T$15,MATCH(K40,'Paramètres'!$Q$6:$Q$15,0)),0)))</f>
        <v/>
      </c>
      <c r="Z40" s="123">
        <f>IF(B40="","",((COUNTIFS('Saisie'!$C$5:$C$2004,B40,'Saisie'!$E$5:$E$2004,"Onboarding - Contrat")&gt;0)+(COUNTIFS('Saisie'!$C$5:$C$2004,B40,'Saisie'!$E$5:$E$2004,"Onboarding - Accès")&gt;0)+(COUNTIFS('Saisie'!$C$5:$C$2004,B40,'Saisie'!$E$5:$E$2004,"Onboarding - Contenus")&gt;0)+(COUNTIFS('Saisie'!$C$5:$C$2004,B40,'Saisie'!$E$5:$E$2004,"Onboarding - Lancement")&gt;0))/4)</f>
        <v/>
      </c>
      <c r="AA40" s="60">
        <f>IF(B40="","",IF(COUNTIFS('Saisie'!$C$5:$C$2004,B40,'Saisie'!$E$5:$E$2004,"Demande d'avis Google")&gt;0,"Oui","Non"))</f>
        <v/>
      </c>
      <c r="AB40" s="61">
        <f>IF(B40="","",IFERROR(INDEX('Saisie'!$N$5:$N$2004,_xlfn.MAXIFS('Saisie'!$AS$5:$AS$2004,'Saisie'!$C$5:$C$2004,B40,'Saisie'!$E$5:$E$2004,"Satisfaction client")-4)&amp;"",""))</f>
        <v/>
      </c>
      <c r="AC40" s="106">
        <f>IF(B40="","",IFERROR(1/(1/_xlfn.MAXIFS('Saisie'!$A$5:$A$2004,'Saisie'!$C$5:$C$2004,B40,'Saisie'!$E$5:$E$2004,"Résiliation")),""))</f>
        <v/>
      </c>
      <c r="AD40" s="60">
        <f>IF(D40&lt;&gt;"",MAX($AD$4:AD39)+1,"")</f>
        <v/>
      </c>
    </row>
    <row r="41">
      <c r="A41" s="60">
        <f>IF(B41="","","C-"&amp;TEXT(37,"000"))</f>
        <v/>
      </c>
      <c r="B41" s="60">
        <f>IFERROR(INDEX('Prospects'!$C$5:$C$504,MATCH(37,'Prospects'!$BX$5:$BX$504,0)),"")</f>
        <v/>
      </c>
      <c r="C41" s="60">
        <f>IF(B41="","",IF(AC41&lt;&gt;"","Résilié","Actif"))</f>
        <v/>
      </c>
      <c r="D41" s="60">
        <f>IF(B41="","",IF(C41="Résilié","",IF(R41="En retard","Paiement en retard",IF(AND(V41&lt;&gt;"",N(V41)&lt;='Paramètres'!$B$30,N(V41)&gt;=0),"Renouvellement dans "&amp;V41&amp;" j",IF(AND(AA41="Non",TODAY()-N(L41)&gt;='Paramètres'!$B$29),"Demander un avis Google",IF(Z41&lt;1,"Onboarding à terminer",""))))))</f>
        <v/>
      </c>
      <c r="E41" s="60">
        <f>IF(B41="","",INDEX('Prospects'!$J$5:$J$504,MATCH(B41,'Prospects'!$C$5:$C$504,0))&amp;"")</f>
        <v/>
      </c>
      <c r="F41" s="60">
        <f>IF(B41="","",INDEX('Prospects'!$K$5:$K$504,MATCH(B41,'Prospects'!$C$5:$C$504,0))&amp;"")</f>
        <v/>
      </c>
      <c r="G41" s="60">
        <f>IF(B41="","",INDEX('Prospects'!$N$5:$N$504,MATCH(B41,'Prospects'!$C$5:$C$504,0))&amp;"")</f>
        <v/>
      </c>
      <c r="H41" s="60">
        <f>IF(B41="","",INDEX('Prospects'!$S$5:$S$504,MATCH(B41,'Prospects'!$C$5:$C$504,0))&amp;"")</f>
        <v/>
      </c>
      <c r="I41" s="60">
        <f>IF(B41="","",INDEX('Prospects'!$X$5:$X$504,MATCH(B41,'Prospects'!$C$5:$C$504,0))&amp;"")</f>
        <v/>
      </c>
      <c r="J41" s="60">
        <f>IF(B41="","",INDEX('Prospects'!$Y$5:$Y$504,MATCH(B41,'Prospects'!$C$5:$C$504,0))&amp;"")</f>
        <v/>
      </c>
      <c r="K41" s="60">
        <f>IF(B41="","",INDEX('Prospects'!$AN$5:$AN$504,MATCH(B41,'Prospects'!$C$5:$C$504,0))&amp;"")</f>
        <v/>
      </c>
      <c r="L41" s="106">
        <f>IF(B41="","",INDEX('Prospects'!$AT$5:$AT$504,MATCH(B41,'Prospects'!$C$5:$C$504,0)))</f>
        <v/>
      </c>
      <c r="M41" s="62">
        <f>IF(B41="","",SUMIFS('Saisie'!$AW$5:$AW$2004,'Saisie'!$C$5:$C$2004,B41,'Saisie'!$E$5:$E$2004,"Signature"))</f>
        <v/>
      </c>
      <c r="N41" s="62">
        <f>IF(B41="","",SUMIFS('Saisie'!$AW$5:$AW$2004,'Saisie'!$C$5:$C$2004,B41,'Saisie'!$E$5:$E$2004,"Vente additionnelle"))</f>
        <v/>
      </c>
      <c r="O41" s="62">
        <f>IF(B41="","",M41+N41)</f>
        <v/>
      </c>
      <c r="P41" s="62">
        <f>IF(B41="","",SUMIFS('Saisie'!$AW$5:$AW$2004,'Saisie'!$C$5:$C$2004,B41,'Saisie'!$E$5:$E$2004,"Paiement reçu"))</f>
        <v/>
      </c>
      <c r="Q41" s="62">
        <f>IF(B41="","",MAX(0,O41-P41))</f>
        <v/>
      </c>
      <c r="R41" s="60">
        <f>IF(B41="","",IF(O41=0,"",IF(Q41&lt;=0,"Payé",IF(TODAY()-N(L41)&gt;'Paramètres'!$B$27,"En retard",IF(P41&gt;0,"Partiel","En attente")))))</f>
        <v/>
      </c>
      <c r="S41" s="60">
        <f>IF(B41="","",IFERROR(INDEX('Saisie'!$O$5:$O$2004,_xlfn.MAXIFS('Saisie'!$AS$5:$AS$2004,'Saisie'!$C$5:$C$2004,B41,'Saisie'!$O$5:$O$2004,"&lt;&gt;")-4),""))</f>
        <v/>
      </c>
      <c r="T41" s="62">
        <f>IF(B41="","",N(INDEX('Prospects'!$AO$5:$AO$504,MATCH(B41,'Prospects'!$C$5:$C$504,0))))</f>
        <v/>
      </c>
      <c r="U41" s="106">
        <f>IF(B41="","",IF(L41="","",EDATE(L41,'Paramètres'!$B$33)))</f>
        <v/>
      </c>
      <c r="V41" s="61">
        <f>IF(B41="","",IF(U41="","",U41-TODAY()))</f>
        <v/>
      </c>
      <c r="W41" s="61">
        <f>IF(B41="","",IF(L41="","",INT((TODAY()-L41)/30.44)))</f>
        <v/>
      </c>
      <c r="X41" s="62">
        <f>IF(B41="","",O41+T41*'Paramètres'!$B$34)</f>
        <v/>
      </c>
      <c r="Y41" s="62">
        <f>IF(B41="","",O41-N(IFERROR(INDEX('Paramètres'!$T$6:$T$15,MATCH(K41,'Paramètres'!$Q$6:$Q$15,0)),0)))</f>
        <v/>
      </c>
      <c r="Z41" s="123">
        <f>IF(B41="","",((COUNTIFS('Saisie'!$C$5:$C$2004,B41,'Saisie'!$E$5:$E$2004,"Onboarding - Contrat")&gt;0)+(COUNTIFS('Saisie'!$C$5:$C$2004,B41,'Saisie'!$E$5:$E$2004,"Onboarding - Accès")&gt;0)+(COUNTIFS('Saisie'!$C$5:$C$2004,B41,'Saisie'!$E$5:$E$2004,"Onboarding - Contenus")&gt;0)+(COUNTIFS('Saisie'!$C$5:$C$2004,B41,'Saisie'!$E$5:$E$2004,"Onboarding - Lancement")&gt;0))/4)</f>
        <v/>
      </c>
      <c r="AA41" s="60">
        <f>IF(B41="","",IF(COUNTIFS('Saisie'!$C$5:$C$2004,B41,'Saisie'!$E$5:$E$2004,"Demande d'avis Google")&gt;0,"Oui","Non"))</f>
        <v/>
      </c>
      <c r="AB41" s="61">
        <f>IF(B41="","",IFERROR(INDEX('Saisie'!$N$5:$N$2004,_xlfn.MAXIFS('Saisie'!$AS$5:$AS$2004,'Saisie'!$C$5:$C$2004,B41,'Saisie'!$E$5:$E$2004,"Satisfaction client")-4)&amp;"",""))</f>
        <v/>
      </c>
      <c r="AC41" s="106">
        <f>IF(B41="","",IFERROR(1/(1/_xlfn.MAXIFS('Saisie'!$A$5:$A$2004,'Saisie'!$C$5:$C$2004,B41,'Saisie'!$E$5:$E$2004,"Résiliation")),""))</f>
        <v/>
      </c>
      <c r="AD41" s="60">
        <f>IF(D41&lt;&gt;"",MAX($AD$4:AD40)+1,"")</f>
        <v/>
      </c>
    </row>
    <row r="42">
      <c r="A42" s="60">
        <f>IF(B42="","","C-"&amp;TEXT(38,"000"))</f>
        <v/>
      </c>
      <c r="B42" s="60">
        <f>IFERROR(INDEX('Prospects'!$C$5:$C$504,MATCH(38,'Prospects'!$BX$5:$BX$504,0)),"")</f>
        <v/>
      </c>
      <c r="C42" s="60">
        <f>IF(B42="","",IF(AC42&lt;&gt;"","Résilié","Actif"))</f>
        <v/>
      </c>
      <c r="D42" s="60">
        <f>IF(B42="","",IF(C42="Résilié","",IF(R42="En retard","Paiement en retard",IF(AND(V42&lt;&gt;"",N(V42)&lt;='Paramètres'!$B$30,N(V42)&gt;=0),"Renouvellement dans "&amp;V42&amp;" j",IF(AND(AA42="Non",TODAY()-N(L42)&gt;='Paramètres'!$B$29),"Demander un avis Google",IF(Z42&lt;1,"Onboarding à terminer",""))))))</f>
        <v/>
      </c>
      <c r="E42" s="60">
        <f>IF(B42="","",INDEX('Prospects'!$J$5:$J$504,MATCH(B42,'Prospects'!$C$5:$C$504,0))&amp;"")</f>
        <v/>
      </c>
      <c r="F42" s="60">
        <f>IF(B42="","",INDEX('Prospects'!$K$5:$K$504,MATCH(B42,'Prospects'!$C$5:$C$504,0))&amp;"")</f>
        <v/>
      </c>
      <c r="G42" s="60">
        <f>IF(B42="","",INDEX('Prospects'!$N$5:$N$504,MATCH(B42,'Prospects'!$C$5:$C$504,0))&amp;"")</f>
        <v/>
      </c>
      <c r="H42" s="60">
        <f>IF(B42="","",INDEX('Prospects'!$S$5:$S$504,MATCH(B42,'Prospects'!$C$5:$C$504,0))&amp;"")</f>
        <v/>
      </c>
      <c r="I42" s="60">
        <f>IF(B42="","",INDEX('Prospects'!$X$5:$X$504,MATCH(B42,'Prospects'!$C$5:$C$504,0))&amp;"")</f>
        <v/>
      </c>
      <c r="J42" s="60">
        <f>IF(B42="","",INDEX('Prospects'!$Y$5:$Y$504,MATCH(B42,'Prospects'!$C$5:$C$504,0))&amp;"")</f>
        <v/>
      </c>
      <c r="K42" s="60">
        <f>IF(B42="","",INDEX('Prospects'!$AN$5:$AN$504,MATCH(B42,'Prospects'!$C$5:$C$504,0))&amp;"")</f>
        <v/>
      </c>
      <c r="L42" s="106">
        <f>IF(B42="","",INDEX('Prospects'!$AT$5:$AT$504,MATCH(B42,'Prospects'!$C$5:$C$504,0)))</f>
        <v/>
      </c>
      <c r="M42" s="62">
        <f>IF(B42="","",SUMIFS('Saisie'!$AW$5:$AW$2004,'Saisie'!$C$5:$C$2004,B42,'Saisie'!$E$5:$E$2004,"Signature"))</f>
        <v/>
      </c>
      <c r="N42" s="62">
        <f>IF(B42="","",SUMIFS('Saisie'!$AW$5:$AW$2004,'Saisie'!$C$5:$C$2004,B42,'Saisie'!$E$5:$E$2004,"Vente additionnelle"))</f>
        <v/>
      </c>
      <c r="O42" s="62">
        <f>IF(B42="","",M42+N42)</f>
        <v/>
      </c>
      <c r="P42" s="62">
        <f>IF(B42="","",SUMIFS('Saisie'!$AW$5:$AW$2004,'Saisie'!$C$5:$C$2004,B42,'Saisie'!$E$5:$E$2004,"Paiement reçu"))</f>
        <v/>
      </c>
      <c r="Q42" s="62">
        <f>IF(B42="","",MAX(0,O42-P42))</f>
        <v/>
      </c>
      <c r="R42" s="60">
        <f>IF(B42="","",IF(O42=0,"",IF(Q42&lt;=0,"Payé",IF(TODAY()-N(L42)&gt;'Paramètres'!$B$27,"En retard",IF(P42&gt;0,"Partiel","En attente")))))</f>
        <v/>
      </c>
      <c r="S42" s="60">
        <f>IF(B42="","",IFERROR(INDEX('Saisie'!$O$5:$O$2004,_xlfn.MAXIFS('Saisie'!$AS$5:$AS$2004,'Saisie'!$C$5:$C$2004,B42,'Saisie'!$O$5:$O$2004,"&lt;&gt;")-4),""))</f>
        <v/>
      </c>
      <c r="T42" s="62">
        <f>IF(B42="","",N(INDEX('Prospects'!$AO$5:$AO$504,MATCH(B42,'Prospects'!$C$5:$C$504,0))))</f>
        <v/>
      </c>
      <c r="U42" s="106">
        <f>IF(B42="","",IF(L42="","",EDATE(L42,'Paramètres'!$B$33)))</f>
        <v/>
      </c>
      <c r="V42" s="61">
        <f>IF(B42="","",IF(U42="","",U42-TODAY()))</f>
        <v/>
      </c>
      <c r="W42" s="61">
        <f>IF(B42="","",IF(L42="","",INT((TODAY()-L42)/30.44)))</f>
        <v/>
      </c>
      <c r="X42" s="62">
        <f>IF(B42="","",O42+T42*'Paramètres'!$B$34)</f>
        <v/>
      </c>
      <c r="Y42" s="62">
        <f>IF(B42="","",O42-N(IFERROR(INDEX('Paramètres'!$T$6:$T$15,MATCH(K42,'Paramètres'!$Q$6:$Q$15,0)),0)))</f>
        <v/>
      </c>
      <c r="Z42" s="123">
        <f>IF(B42="","",((COUNTIFS('Saisie'!$C$5:$C$2004,B42,'Saisie'!$E$5:$E$2004,"Onboarding - Contrat")&gt;0)+(COUNTIFS('Saisie'!$C$5:$C$2004,B42,'Saisie'!$E$5:$E$2004,"Onboarding - Accès")&gt;0)+(COUNTIFS('Saisie'!$C$5:$C$2004,B42,'Saisie'!$E$5:$E$2004,"Onboarding - Contenus")&gt;0)+(COUNTIFS('Saisie'!$C$5:$C$2004,B42,'Saisie'!$E$5:$E$2004,"Onboarding - Lancement")&gt;0))/4)</f>
        <v/>
      </c>
      <c r="AA42" s="60">
        <f>IF(B42="","",IF(COUNTIFS('Saisie'!$C$5:$C$2004,B42,'Saisie'!$E$5:$E$2004,"Demande d'avis Google")&gt;0,"Oui","Non"))</f>
        <v/>
      </c>
      <c r="AB42" s="61">
        <f>IF(B42="","",IFERROR(INDEX('Saisie'!$N$5:$N$2004,_xlfn.MAXIFS('Saisie'!$AS$5:$AS$2004,'Saisie'!$C$5:$C$2004,B42,'Saisie'!$E$5:$E$2004,"Satisfaction client")-4)&amp;"",""))</f>
        <v/>
      </c>
      <c r="AC42" s="106">
        <f>IF(B42="","",IFERROR(1/(1/_xlfn.MAXIFS('Saisie'!$A$5:$A$2004,'Saisie'!$C$5:$C$2004,B42,'Saisie'!$E$5:$E$2004,"Résiliation")),""))</f>
        <v/>
      </c>
      <c r="AD42" s="60">
        <f>IF(D42&lt;&gt;"",MAX($AD$4:AD41)+1,"")</f>
        <v/>
      </c>
    </row>
    <row r="43">
      <c r="A43" s="60">
        <f>IF(B43="","","C-"&amp;TEXT(39,"000"))</f>
        <v/>
      </c>
      <c r="B43" s="60">
        <f>IFERROR(INDEX('Prospects'!$C$5:$C$504,MATCH(39,'Prospects'!$BX$5:$BX$504,0)),"")</f>
        <v/>
      </c>
      <c r="C43" s="60">
        <f>IF(B43="","",IF(AC43&lt;&gt;"","Résilié","Actif"))</f>
        <v/>
      </c>
      <c r="D43" s="60">
        <f>IF(B43="","",IF(C43="Résilié","",IF(R43="En retard","Paiement en retard",IF(AND(V43&lt;&gt;"",N(V43)&lt;='Paramètres'!$B$30,N(V43)&gt;=0),"Renouvellement dans "&amp;V43&amp;" j",IF(AND(AA43="Non",TODAY()-N(L43)&gt;='Paramètres'!$B$29),"Demander un avis Google",IF(Z43&lt;1,"Onboarding à terminer",""))))))</f>
        <v/>
      </c>
      <c r="E43" s="60">
        <f>IF(B43="","",INDEX('Prospects'!$J$5:$J$504,MATCH(B43,'Prospects'!$C$5:$C$504,0))&amp;"")</f>
        <v/>
      </c>
      <c r="F43" s="60">
        <f>IF(B43="","",INDEX('Prospects'!$K$5:$K$504,MATCH(B43,'Prospects'!$C$5:$C$504,0))&amp;"")</f>
        <v/>
      </c>
      <c r="G43" s="60">
        <f>IF(B43="","",INDEX('Prospects'!$N$5:$N$504,MATCH(B43,'Prospects'!$C$5:$C$504,0))&amp;"")</f>
        <v/>
      </c>
      <c r="H43" s="60">
        <f>IF(B43="","",INDEX('Prospects'!$S$5:$S$504,MATCH(B43,'Prospects'!$C$5:$C$504,0))&amp;"")</f>
        <v/>
      </c>
      <c r="I43" s="60">
        <f>IF(B43="","",INDEX('Prospects'!$X$5:$X$504,MATCH(B43,'Prospects'!$C$5:$C$504,0))&amp;"")</f>
        <v/>
      </c>
      <c r="J43" s="60">
        <f>IF(B43="","",INDEX('Prospects'!$Y$5:$Y$504,MATCH(B43,'Prospects'!$C$5:$C$504,0))&amp;"")</f>
        <v/>
      </c>
      <c r="K43" s="60">
        <f>IF(B43="","",INDEX('Prospects'!$AN$5:$AN$504,MATCH(B43,'Prospects'!$C$5:$C$504,0))&amp;"")</f>
        <v/>
      </c>
      <c r="L43" s="106">
        <f>IF(B43="","",INDEX('Prospects'!$AT$5:$AT$504,MATCH(B43,'Prospects'!$C$5:$C$504,0)))</f>
        <v/>
      </c>
      <c r="M43" s="62">
        <f>IF(B43="","",SUMIFS('Saisie'!$AW$5:$AW$2004,'Saisie'!$C$5:$C$2004,B43,'Saisie'!$E$5:$E$2004,"Signature"))</f>
        <v/>
      </c>
      <c r="N43" s="62">
        <f>IF(B43="","",SUMIFS('Saisie'!$AW$5:$AW$2004,'Saisie'!$C$5:$C$2004,B43,'Saisie'!$E$5:$E$2004,"Vente additionnelle"))</f>
        <v/>
      </c>
      <c r="O43" s="62">
        <f>IF(B43="","",M43+N43)</f>
        <v/>
      </c>
      <c r="P43" s="62">
        <f>IF(B43="","",SUMIFS('Saisie'!$AW$5:$AW$2004,'Saisie'!$C$5:$C$2004,B43,'Saisie'!$E$5:$E$2004,"Paiement reçu"))</f>
        <v/>
      </c>
      <c r="Q43" s="62">
        <f>IF(B43="","",MAX(0,O43-P43))</f>
        <v/>
      </c>
      <c r="R43" s="60">
        <f>IF(B43="","",IF(O43=0,"",IF(Q43&lt;=0,"Payé",IF(TODAY()-N(L43)&gt;'Paramètres'!$B$27,"En retard",IF(P43&gt;0,"Partiel","En attente")))))</f>
        <v/>
      </c>
      <c r="S43" s="60">
        <f>IF(B43="","",IFERROR(INDEX('Saisie'!$O$5:$O$2004,_xlfn.MAXIFS('Saisie'!$AS$5:$AS$2004,'Saisie'!$C$5:$C$2004,B43,'Saisie'!$O$5:$O$2004,"&lt;&gt;")-4),""))</f>
        <v/>
      </c>
      <c r="T43" s="62">
        <f>IF(B43="","",N(INDEX('Prospects'!$AO$5:$AO$504,MATCH(B43,'Prospects'!$C$5:$C$504,0))))</f>
        <v/>
      </c>
      <c r="U43" s="106">
        <f>IF(B43="","",IF(L43="","",EDATE(L43,'Paramètres'!$B$33)))</f>
        <v/>
      </c>
      <c r="V43" s="61">
        <f>IF(B43="","",IF(U43="","",U43-TODAY()))</f>
        <v/>
      </c>
      <c r="W43" s="61">
        <f>IF(B43="","",IF(L43="","",INT((TODAY()-L43)/30.44)))</f>
        <v/>
      </c>
      <c r="X43" s="62">
        <f>IF(B43="","",O43+T43*'Paramètres'!$B$34)</f>
        <v/>
      </c>
      <c r="Y43" s="62">
        <f>IF(B43="","",O43-N(IFERROR(INDEX('Paramètres'!$T$6:$T$15,MATCH(K43,'Paramètres'!$Q$6:$Q$15,0)),0)))</f>
        <v/>
      </c>
      <c r="Z43" s="123">
        <f>IF(B43="","",((COUNTIFS('Saisie'!$C$5:$C$2004,B43,'Saisie'!$E$5:$E$2004,"Onboarding - Contrat")&gt;0)+(COUNTIFS('Saisie'!$C$5:$C$2004,B43,'Saisie'!$E$5:$E$2004,"Onboarding - Accès")&gt;0)+(COUNTIFS('Saisie'!$C$5:$C$2004,B43,'Saisie'!$E$5:$E$2004,"Onboarding - Contenus")&gt;0)+(COUNTIFS('Saisie'!$C$5:$C$2004,B43,'Saisie'!$E$5:$E$2004,"Onboarding - Lancement")&gt;0))/4)</f>
        <v/>
      </c>
      <c r="AA43" s="60">
        <f>IF(B43="","",IF(COUNTIFS('Saisie'!$C$5:$C$2004,B43,'Saisie'!$E$5:$E$2004,"Demande d'avis Google")&gt;0,"Oui","Non"))</f>
        <v/>
      </c>
      <c r="AB43" s="61">
        <f>IF(B43="","",IFERROR(INDEX('Saisie'!$N$5:$N$2004,_xlfn.MAXIFS('Saisie'!$AS$5:$AS$2004,'Saisie'!$C$5:$C$2004,B43,'Saisie'!$E$5:$E$2004,"Satisfaction client")-4)&amp;"",""))</f>
        <v/>
      </c>
      <c r="AC43" s="106">
        <f>IF(B43="","",IFERROR(1/(1/_xlfn.MAXIFS('Saisie'!$A$5:$A$2004,'Saisie'!$C$5:$C$2004,B43,'Saisie'!$E$5:$E$2004,"Résiliation")),""))</f>
        <v/>
      </c>
      <c r="AD43" s="60">
        <f>IF(D43&lt;&gt;"",MAX($AD$4:AD42)+1,"")</f>
        <v/>
      </c>
    </row>
    <row r="44">
      <c r="A44" s="60">
        <f>IF(B44="","","C-"&amp;TEXT(40,"000"))</f>
        <v/>
      </c>
      <c r="B44" s="60">
        <f>IFERROR(INDEX('Prospects'!$C$5:$C$504,MATCH(40,'Prospects'!$BX$5:$BX$504,0)),"")</f>
        <v/>
      </c>
      <c r="C44" s="60">
        <f>IF(B44="","",IF(AC44&lt;&gt;"","Résilié","Actif"))</f>
        <v/>
      </c>
      <c r="D44" s="60">
        <f>IF(B44="","",IF(C44="Résilié","",IF(R44="En retard","Paiement en retard",IF(AND(V44&lt;&gt;"",N(V44)&lt;='Paramètres'!$B$30,N(V44)&gt;=0),"Renouvellement dans "&amp;V44&amp;" j",IF(AND(AA44="Non",TODAY()-N(L44)&gt;='Paramètres'!$B$29),"Demander un avis Google",IF(Z44&lt;1,"Onboarding à terminer",""))))))</f>
        <v/>
      </c>
      <c r="E44" s="60">
        <f>IF(B44="","",INDEX('Prospects'!$J$5:$J$504,MATCH(B44,'Prospects'!$C$5:$C$504,0))&amp;"")</f>
        <v/>
      </c>
      <c r="F44" s="60">
        <f>IF(B44="","",INDEX('Prospects'!$K$5:$K$504,MATCH(B44,'Prospects'!$C$5:$C$504,0))&amp;"")</f>
        <v/>
      </c>
      <c r="G44" s="60">
        <f>IF(B44="","",INDEX('Prospects'!$N$5:$N$504,MATCH(B44,'Prospects'!$C$5:$C$504,0))&amp;"")</f>
        <v/>
      </c>
      <c r="H44" s="60">
        <f>IF(B44="","",INDEX('Prospects'!$S$5:$S$504,MATCH(B44,'Prospects'!$C$5:$C$504,0))&amp;"")</f>
        <v/>
      </c>
      <c r="I44" s="60">
        <f>IF(B44="","",INDEX('Prospects'!$X$5:$X$504,MATCH(B44,'Prospects'!$C$5:$C$504,0))&amp;"")</f>
        <v/>
      </c>
      <c r="J44" s="60">
        <f>IF(B44="","",INDEX('Prospects'!$Y$5:$Y$504,MATCH(B44,'Prospects'!$C$5:$C$504,0))&amp;"")</f>
        <v/>
      </c>
      <c r="K44" s="60">
        <f>IF(B44="","",INDEX('Prospects'!$AN$5:$AN$504,MATCH(B44,'Prospects'!$C$5:$C$504,0))&amp;"")</f>
        <v/>
      </c>
      <c r="L44" s="106">
        <f>IF(B44="","",INDEX('Prospects'!$AT$5:$AT$504,MATCH(B44,'Prospects'!$C$5:$C$504,0)))</f>
        <v/>
      </c>
      <c r="M44" s="62">
        <f>IF(B44="","",SUMIFS('Saisie'!$AW$5:$AW$2004,'Saisie'!$C$5:$C$2004,B44,'Saisie'!$E$5:$E$2004,"Signature"))</f>
        <v/>
      </c>
      <c r="N44" s="62">
        <f>IF(B44="","",SUMIFS('Saisie'!$AW$5:$AW$2004,'Saisie'!$C$5:$C$2004,B44,'Saisie'!$E$5:$E$2004,"Vente additionnelle"))</f>
        <v/>
      </c>
      <c r="O44" s="62">
        <f>IF(B44="","",M44+N44)</f>
        <v/>
      </c>
      <c r="P44" s="62">
        <f>IF(B44="","",SUMIFS('Saisie'!$AW$5:$AW$2004,'Saisie'!$C$5:$C$2004,B44,'Saisie'!$E$5:$E$2004,"Paiement reçu"))</f>
        <v/>
      </c>
      <c r="Q44" s="62">
        <f>IF(B44="","",MAX(0,O44-P44))</f>
        <v/>
      </c>
      <c r="R44" s="60">
        <f>IF(B44="","",IF(O44=0,"",IF(Q44&lt;=0,"Payé",IF(TODAY()-N(L44)&gt;'Paramètres'!$B$27,"En retard",IF(P44&gt;0,"Partiel","En attente")))))</f>
        <v/>
      </c>
      <c r="S44" s="60">
        <f>IF(B44="","",IFERROR(INDEX('Saisie'!$O$5:$O$2004,_xlfn.MAXIFS('Saisie'!$AS$5:$AS$2004,'Saisie'!$C$5:$C$2004,B44,'Saisie'!$O$5:$O$2004,"&lt;&gt;")-4),""))</f>
        <v/>
      </c>
      <c r="T44" s="62">
        <f>IF(B44="","",N(INDEX('Prospects'!$AO$5:$AO$504,MATCH(B44,'Prospects'!$C$5:$C$504,0))))</f>
        <v/>
      </c>
      <c r="U44" s="106">
        <f>IF(B44="","",IF(L44="","",EDATE(L44,'Paramètres'!$B$33)))</f>
        <v/>
      </c>
      <c r="V44" s="61">
        <f>IF(B44="","",IF(U44="","",U44-TODAY()))</f>
        <v/>
      </c>
      <c r="W44" s="61">
        <f>IF(B44="","",IF(L44="","",INT((TODAY()-L44)/30.44)))</f>
        <v/>
      </c>
      <c r="X44" s="62">
        <f>IF(B44="","",O44+T44*'Paramètres'!$B$34)</f>
        <v/>
      </c>
      <c r="Y44" s="62">
        <f>IF(B44="","",O44-N(IFERROR(INDEX('Paramètres'!$T$6:$T$15,MATCH(K44,'Paramètres'!$Q$6:$Q$15,0)),0)))</f>
        <v/>
      </c>
      <c r="Z44" s="123">
        <f>IF(B44="","",((COUNTIFS('Saisie'!$C$5:$C$2004,B44,'Saisie'!$E$5:$E$2004,"Onboarding - Contrat")&gt;0)+(COUNTIFS('Saisie'!$C$5:$C$2004,B44,'Saisie'!$E$5:$E$2004,"Onboarding - Accès")&gt;0)+(COUNTIFS('Saisie'!$C$5:$C$2004,B44,'Saisie'!$E$5:$E$2004,"Onboarding - Contenus")&gt;0)+(COUNTIFS('Saisie'!$C$5:$C$2004,B44,'Saisie'!$E$5:$E$2004,"Onboarding - Lancement")&gt;0))/4)</f>
        <v/>
      </c>
      <c r="AA44" s="60">
        <f>IF(B44="","",IF(COUNTIFS('Saisie'!$C$5:$C$2004,B44,'Saisie'!$E$5:$E$2004,"Demande d'avis Google")&gt;0,"Oui","Non"))</f>
        <v/>
      </c>
      <c r="AB44" s="61">
        <f>IF(B44="","",IFERROR(INDEX('Saisie'!$N$5:$N$2004,_xlfn.MAXIFS('Saisie'!$AS$5:$AS$2004,'Saisie'!$C$5:$C$2004,B44,'Saisie'!$E$5:$E$2004,"Satisfaction client")-4)&amp;"",""))</f>
        <v/>
      </c>
      <c r="AC44" s="106">
        <f>IF(B44="","",IFERROR(1/(1/_xlfn.MAXIFS('Saisie'!$A$5:$A$2004,'Saisie'!$C$5:$C$2004,B44,'Saisie'!$E$5:$E$2004,"Résiliation")),""))</f>
        <v/>
      </c>
      <c r="AD44" s="60">
        <f>IF(D44&lt;&gt;"",MAX($AD$4:AD43)+1,"")</f>
        <v/>
      </c>
    </row>
    <row r="45">
      <c r="A45" s="60">
        <f>IF(B45="","","C-"&amp;TEXT(41,"000"))</f>
        <v/>
      </c>
      <c r="B45" s="60">
        <f>IFERROR(INDEX('Prospects'!$C$5:$C$504,MATCH(41,'Prospects'!$BX$5:$BX$504,0)),"")</f>
        <v/>
      </c>
      <c r="C45" s="60">
        <f>IF(B45="","",IF(AC45&lt;&gt;"","Résilié","Actif"))</f>
        <v/>
      </c>
      <c r="D45" s="60">
        <f>IF(B45="","",IF(C45="Résilié","",IF(R45="En retard","Paiement en retard",IF(AND(V45&lt;&gt;"",N(V45)&lt;='Paramètres'!$B$30,N(V45)&gt;=0),"Renouvellement dans "&amp;V45&amp;" j",IF(AND(AA45="Non",TODAY()-N(L45)&gt;='Paramètres'!$B$29),"Demander un avis Google",IF(Z45&lt;1,"Onboarding à terminer",""))))))</f>
        <v/>
      </c>
      <c r="E45" s="60">
        <f>IF(B45="","",INDEX('Prospects'!$J$5:$J$504,MATCH(B45,'Prospects'!$C$5:$C$504,0))&amp;"")</f>
        <v/>
      </c>
      <c r="F45" s="60">
        <f>IF(B45="","",INDEX('Prospects'!$K$5:$K$504,MATCH(B45,'Prospects'!$C$5:$C$504,0))&amp;"")</f>
        <v/>
      </c>
      <c r="G45" s="60">
        <f>IF(B45="","",INDEX('Prospects'!$N$5:$N$504,MATCH(B45,'Prospects'!$C$5:$C$504,0))&amp;"")</f>
        <v/>
      </c>
      <c r="H45" s="60">
        <f>IF(B45="","",INDEX('Prospects'!$S$5:$S$504,MATCH(B45,'Prospects'!$C$5:$C$504,0))&amp;"")</f>
        <v/>
      </c>
      <c r="I45" s="60">
        <f>IF(B45="","",INDEX('Prospects'!$X$5:$X$504,MATCH(B45,'Prospects'!$C$5:$C$504,0))&amp;"")</f>
        <v/>
      </c>
      <c r="J45" s="60">
        <f>IF(B45="","",INDEX('Prospects'!$Y$5:$Y$504,MATCH(B45,'Prospects'!$C$5:$C$504,0))&amp;"")</f>
        <v/>
      </c>
      <c r="K45" s="60">
        <f>IF(B45="","",INDEX('Prospects'!$AN$5:$AN$504,MATCH(B45,'Prospects'!$C$5:$C$504,0))&amp;"")</f>
        <v/>
      </c>
      <c r="L45" s="106">
        <f>IF(B45="","",INDEX('Prospects'!$AT$5:$AT$504,MATCH(B45,'Prospects'!$C$5:$C$504,0)))</f>
        <v/>
      </c>
      <c r="M45" s="62">
        <f>IF(B45="","",SUMIFS('Saisie'!$AW$5:$AW$2004,'Saisie'!$C$5:$C$2004,B45,'Saisie'!$E$5:$E$2004,"Signature"))</f>
        <v/>
      </c>
      <c r="N45" s="62">
        <f>IF(B45="","",SUMIFS('Saisie'!$AW$5:$AW$2004,'Saisie'!$C$5:$C$2004,B45,'Saisie'!$E$5:$E$2004,"Vente additionnelle"))</f>
        <v/>
      </c>
      <c r="O45" s="62">
        <f>IF(B45="","",M45+N45)</f>
        <v/>
      </c>
      <c r="P45" s="62">
        <f>IF(B45="","",SUMIFS('Saisie'!$AW$5:$AW$2004,'Saisie'!$C$5:$C$2004,B45,'Saisie'!$E$5:$E$2004,"Paiement reçu"))</f>
        <v/>
      </c>
      <c r="Q45" s="62">
        <f>IF(B45="","",MAX(0,O45-P45))</f>
        <v/>
      </c>
      <c r="R45" s="60">
        <f>IF(B45="","",IF(O45=0,"",IF(Q45&lt;=0,"Payé",IF(TODAY()-N(L45)&gt;'Paramètres'!$B$27,"En retard",IF(P45&gt;0,"Partiel","En attente")))))</f>
        <v/>
      </c>
      <c r="S45" s="60">
        <f>IF(B45="","",IFERROR(INDEX('Saisie'!$O$5:$O$2004,_xlfn.MAXIFS('Saisie'!$AS$5:$AS$2004,'Saisie'!$C$5:$C$2004,B45,'Saisie'!$O$5:$O$2004,"&lt;&gt;")-4),""))</f>
        <v/>
      </c>
      <c r="T45" s="62">
        <f>IF(B45="","",N(INDEX('Prospects'!$AO$5:$AO$504,MATCH(B45,'Prospects'!$C$5:$C$504,0))))</f>
        <v/>
      </c>
      <c r="U45" s="106">
        <f>IF(B45="","",IF(L45="","",EDATE(L45,'Paramètres'!$B$33)))</f>
        <v/>
      </c>
      <c r="V45" s="61">
        <f>IF(B45="","",IF(U45="","",U45-TODAY()))</f>
        <v/>
      </c>
      <c r="W45" s="61">
        <f>IF(B45="","",IF(L45="","",INT((TODAY()-L45)/30.44)))</f>
        <v/>
      </c>
      <c r="X45" s="62">
        <f>IF(B45="","",O45+T45*'Paramètres'!$B$34)</f>
        <v/>
      </c>
      <c r="Y45" s="62">
        <f>IF(B45="","",O45-N(IFERROR(INDEX('Paramètres'!$T$6:$T$15,MATCH(K45,'Paramètres'!$Q$6:$Q$15,0)),0)))</f>
        <v/>
      </c>
      <c r="Z45" s="123">
        <f>IF(B45="","",((COUNTIFS('Saisie'!$C$5:$C$2004,B45,'Saisie'!$E$5:$E$2004,"Onboarding - Contrat")&gt;0)+(COUNTIFS('Saisie'!$C$5:$C$2004,B45,'Saisie'!$E$5:$E$2004,"Onboarding - Accès")&gt;0)+(COUNTIFS('Saisie'!$C$5:$C$2004,B45,'Saisie'!$E$5:$E$2004,"Onboarding - Contenus")&gt;0)+(COUNTIFS('Saisie'!$C$5:$C$2004,B45,'Saisie'!$E$5:$E$2004,"Onboarding - Lancement")&gt;0))/4)</f>
        <v/>
      </c>
      <c r="AA45" s="60">
        <f>IF(B45="","",IF(COUNTIFS('Saisie'!$C$5:$C$2004,B45,'Saisie'!$E$5:$E$2004,"Demande d'avis Google")&gt;0,"Oui","Non"))</f>
        <v/>
      </c>
      <c r="AB45" s="61">
        <f>IF(B45="","",IFERROR(INDEX('Saisie'!$N$5:$N$2004,_xlfn.MAXIFS('Saisie'!$AS$5:$AS$2004,'Saisie'!$C$5:$C$2004,B45,'Saisie'!$E$5:$E$2004,"Satisfaction client")-4)&amp;"",""))</f>
        <v/>
      </c>
      <c r="AC45" s="106">
        <f>IF(B45="","",IFERROR(1/(1/_xlfn.MAXIFS('Saisie'!$A$5:$A$2004,'Saisie'!$C$5:$C$2004,B45,'Saisie'!$E$5:$E$2004,"Résiliation")),""))</f>
        <v/>
      </c>
      <c r="AD45" s="60">
        <f>IF(D45&lt;&gt;"",MAX($AD$4:AD44)+1,"")</f>
        <v/>
      </c>
    </row>
    <row r="46">
      <c r="A46" s="60">
        <f>IF(B46="","","C-"&amp;TEXT(42,"000"))</f>
        <v/>
      </c>
      <c r="B46" s="60">
        <f>IFERROR(INDEX('Prospects'!$C$5:$C$504,MATCH(42,'Prospects'!$BX$5:$BX$504,0)),"")</f>
        <v/>
      </c>
      <c r="C46" s="60">
        <f>IF(B46="","",IF(AC46&lt;&gt;"","Résilié","Actif"))</f>
        <v/>
      </c>
      <c r="D46" s="60">
        <f>IF(B46="","",IF(C46="Résilié","",IF(R46="En retard","Paiement en retard",IF(AND(V46&lt;&gt;"",N(V46)&lt;='Paramètres'!$B$30,N(V46)&gt;=0),"Renouvellement dans "&amp;V46&amp;" j",IF(AND(AA46="Non",TODAY()-N(L46)&gt;='Paramètres'!$B$29),"Demander un avis Google",IF(Z46&lt;1,"Onboarding à terminer",""))))))</f>
        <v/>
      </c>
      <c r="E46" s="60">
        <f>IF(B46="","",INDEX('Prospects'!$J$5:$J$504,MATCH(B46,'Prospects'!$C$5:$C$504,0))&amp;"")</f>
        <v/>
      </c>
      <c r="F46" s="60">
        <f>IF(B46="","",INDEX('Prospects'!$K$5:$K$504,MATCH(B46,'Prospects'!$C$5:$C$504,0))&amp;"")</f>
        <v/>
      </c>
      <c r="G46" s="60">
        <f>IF(B46="","",INDEX('Prospects'!$N$5:$N$504,MATCH(B46,'Prospects'!$C$5:$C$504,0))&amp;"")</f>
        <v/>
      </c>
      <c r="H46" s="60">
        <f>IF(B46="","",INDEX('Prospects'!$S$5:$S$504,MATCH(B46,'Prospects'!$C$5:$C$504,0))&amp;"")</f>
        <v/>
      </c>
      <c r="I46" s="60">
        <f>IF(B46="","",INDEX('Prospects'!$X$5:$X$504,MATCH(B46,'Prospects'!$C$5:$C$504,0))&amp;"")</f>
        <v/>
      </c>
      <c r="J46" s="60">
        <f>IF(B46="","",INDEX('Prospects'!$Y$5:$Y$504,MATCH(B46,'Prospects'!$C$5:$C$504,0))&amp;"")</f>
        <v/>
      </c>
      <c r="K46" s="60">
        <f>IF(B46="","",INDEX('Prospects'!$AN$5:$AN$504,MATCH(B46,'Prospects'!$C$5:$C$504,0))&amp;"")</f>
        <v/>
      </c>
      <c r="L46" s="106">
        <f>IF(B46="","",INDEX('Prospects'!$AT$5:$AT$504,MATCH(B46,'Prospects'!$C$5:$C$504,0)))</f>
        <v/>
      </c>
      <c r="M46" s="62">
        <f>IF(B46="","",SUMIFS('Saisie'!$AW$5:$AW$2004,'Saisie'!$C$5:$C$2004,B46,'Saisie'!$E$5:$E$2004,"Signature"))</f>
        <v/>
      </c>
      <c r="N46" s="62">
        <f>IF(B46="","",SUMIFS('Saisie'!$AW$5:$AW$2004,'Saisie'!$C$5:$C$2004,B46,'Saisie'!$E$5:$E$2004,"Vente additionnelle"))</f>
        <v/>
      </c>
      <c r="O46" s="62">
        <f>IF(B46="","",M46+N46)</f>
        <v/>
      </c>
      <c r="P46" s="62">
        <f>IF(B46="","",SUMIFS('Saisie'!$AW$5:$AW$2004,'Saisie'!$C$5:$C$2004,B46,'Saisie'!$E$5:$E$2004,"Paiement reçu"))</f>
        <v/>
      </c>
      <c r="Q46" s="62">
        <f>IF(B46="","",MAX(0,O46-P46))</f>
        <v/>
      </c>
      <c r="R46" s="60">
        <f>IF(B46="","",IF(O46=0,"",IF(Q46&lt;=0,"Payé",IF(TODAY()-N(L46)&gt;'Paramètres'!$B$27,"En retard",IF(P46&gt;0,"Partiel","En attente")))))</f>
        <v/>
      </c>
      <c r="S46" s="60">
        <f>IF(B46="","",IFERROR(INDEX('Saisie'!$O$5:$O$2004,_xlfn.MAXIFS('Saisie'!$AS$5:$AS$2004,'Saisie'!$C$5:$C$2004,B46,'Saisie'!$O$5:$O$2004,"&lt;&gt;")-4),""))</f>
        <v/>
      </c>
      <c r="T46" s="62">
        <f>IF(B46="","",N(INDEX('Prospects'!$AO$5:$AO$504,MATCH(B46,'Prospects'!$C$5:$C$504,0))))</f>
        <v/>
      </c>
      <c r="U46" s="106">
        <f>IF(B46="","",IF(L46="","",EDATE(L46,'Paramètres'!$B$33)))</f>
        <v/>
      </c>
      <c r="V46" s="61">
        <f>IF(B46="","",IF(U46="","",U46-TODAY()))</f>
        <v/>
      </c>
      <c r="W46" s="61">
        <f>IF(B46="","",IF(L46="","",INT((TODAY()-L46)/30.44)))</f>
        <v/>
      </c>
      <c r="X46" s="62">
        <f>IF(B46="","",O46+T46*'Paramètres'!$B$34)</f>
        <v/>
      </c>
      <c r="Y46" s="62">
        <f>IF(B46="","",O46-N(IFERROR(INDEX('Paramètres'!$T$6:$T$15,MATCH(K46,'Paramètres'!$Q$6:$Q$15,0)),0)))</f>
        <v/>
      </c>
      <c r="Z46" s="123">
        <f>IF(B46="","",((COUNTIFS('Saisie'!$C$5:$C$2004,B46,'Saisie'!$E$5:$E$2004,"Onboarding - Contrat")&gt;0)+(COUNTIFS('Saisie'!$C$5:$C$2004,B46,'Saisie'!$E$5:$E$2004,"Onboarding - Accès")&gt;0)+(COUNTIFS('Saisie'!$C$5:$C$2004,B46,'Saisie'!$E$5:$E$2004,"Onboarding - Contenus")&gt;0)+(COUNTIFS('Saisie'!$C$5:$C$2004,B46,'Saisie'!$E$5:$E$2004,"Onboarding - Lancement")&gt;0))/4)</f>
        <v/>
      </c>
      <c r="AA46" s="60">
        <f>IF(B46="","",IF(COUNTIFS('Saisie'!$C$5:$C$2004,B46,'Saisie'!$E$5:$E$2004,"Demande d'avis Google")&gt;0,"Oui","Non"))</f>
        <v/>
      </c>
      <c r="AB46" s="61">
        <f>IF(B46="","",IFERROR(INDEX('Saisie'!$N$5:$N$2004,_xlfn.MAXIFS('Saisie'!$AS$5:$AS$2004,'Saisie'!$C$5:$C$2004,B46,'Saisie'!$E$5:$E$2004,"Satisfaction client")-4)&amp;"",""))</f>
        <v/>
      </c>
      <c r="AC46" s="106">
        <f>IF(B46="","",IFERROR(1/(1/_xlfn.MAXIFS('Saisie'!$A$5:$A$2004,'Saisie'!$C$5:$C$2004,B46,'Saisie'!$E$5:$E$2004,"Résiliation")),""))</f>
        <v/>
      </c>
      <c r="AD46" s="60">
        <f>IF(D46&lt;&gt;"",MAX($AD$4:AD45)+1,"")</f>
        <v/>
      </c>
    </row>
    <row r="47">
      <c r="A47" s="60">
        <f>IF(B47="","","C-"&amp;TEXT(43,"000"))</f>
        <v/>
      </c>
      <c r="B47" s="60">
        <f>IFERROR(INDEX('Prospects'!$C$5:$C$504,MATCH(43,'Prospects'!$BX$5:$BX$504,0)),"")</f>
        <v/>
      </c>
      <c r="C47" s="60">
        <f>IF(B47="","",IF(AC47&lt;&gt;"","Résilié","Actif"))</f>
        <v/>
      </c>
      <c r="D47" s="60">
        <f>IF(B47="","",IF(C47="Résilié","",IF(R47="En retard","Paiement en retard",IF(AND(V47&lt;&gt;"",N(V47)&lt;='Paramètres'!$B$30,N(V47)&gt;=0),"Renouvellement dans "&amp;V47&amp;" j",IF(AND(AA47="Non",TODAY()-N(L47)&gt;='Paramètres'!$B$29),"Demander un avis Google",IF(Z47&lt;1,"Onboarding à terminer",""))))))</f>
        <v/>
      </c>
      <c r="E47" s="60">
        <f>IF(B47="","",INDEX('Prospects'!$J$5:$J$504,MATCH(B47,'Prospects'!$C$5:$C$504,0))&amp;"")</f>
        <v/>
      </c>
      <c r="F47" s="60">
        <f>IF(B47="","",INDEX('Prospects'!$K$5:$K$504,MATCH(B47,'Prospects'!$C$5:$C$504,0))&amp;"")</f>
        <v/>
      </c>
      <c r="G47" s="60">
        <f>IF(B47="","",INDEX('Prospects'!$N$5:$N$504,MATCH(B47,'Prospects'!$C$5:$C$504,0))&amp;"")</f>
        <v/>
      </c>
      <c r="H47" s="60">
        <f>IF(B47="","",INDEX('Prospects'!$S$5:$S$504,MATCH(B47,'Prospects'!$C$5:$C$504,0))&amp;"")</f>
        <v/>
      </c>
      <c r="I47" s="60">
        <f>IF(B47="","",INDEX('Prospects'!$X$5:$X$504,MATCH(B47,'Prospects'!$C$5:$C$504,0))&amp;"")</f>
        <v/>
      </c>
      <c r="J47" s="60">
        <f>IF(B47="","",INDEX('Prospects'!$Y$5:$Y$504,MATCH(B47,'Prospects'!$C$5:$C$504,0))&amp;"")</f>
        <v/>
      </c>
      <c r="K47" s="60">
        <f>IF(B47="","",INDEX('Prospects'!$AN$5:$AN$504,MATCH(B47,'Prospects'!$C$5:$C$504,0))&amp;"")</f>
        <v/>
      </c>
      <c r="L47" s="106">
        <f>IF(B47="","",INDEX('Prospects'!$AT$5:$AT$504,MATCH(B47,'Prospects'!$C$5:$C$504,0)))</f>
        <v/>
      </c>
      <c r="M47" s="62">
        <f>IF(B47="","",SUMIFS('Saisie'!$AW$5:$AW$2004,'Saisie'!$C$5:$C$2004,B47,'Saisie'!$E$5:$E$2004,"Signature"))</f>
        <v/>
      </c>
      <c r="N47" s="62">
        <f>IF(B47="","",SUMIFS('Saisie'!$AW$5:$AW$2004,'Saisie'!$C$5:$C$2004,B47,'Saisie'!$E$5:$E$2004,"Vente additionnelle"))</f>
        <v/>
      </c>
      <c r="O47" s="62">
        <f>IF(B47="","",M47+N47)</f>
        <v/>
      </c>
      <c r="P47" s="62">
        <f>IF(B47="","",SUMIFS('Saisie'!$AW$5:$AW$2004,'Saisie'!$C$5:$C$2004,B47,'Saisie'!$E$5:$E$2004,"Paiement reçu"))</f>
        <v/>
      </c>
      <c r="Q47" s="62">
        <f>IF(B47="","",MAX(0,O47-P47))</f>
        <v/>
      </c>
      <c r="R47" s="60">
        <f>IF(B47="","",IF(O47=0,"",IF(Q47&lt;=0,"Payé",IF(TODAY()-N(L47)&gt;'Paramètres'!$B$27,"En retard",IF(P47&gt;0,"Partiel","En attente")))))</f>
        <v/>
      </c>
      <c r="S47" s="60">
        <f>IF(B47="","",IFERROR(INDEX('Saisie'!$O$5:$O$2004,_xlfn.MAXIFS('Saisie'!$AS$5:$AS$2004,'Saisie'!$C$5:$C$2004,B47,'Saisie'!$O$5:$O$2004,"&lt;&gt;")-4),""))</f>
        <v/>
      </c>
      <c r="T47" s="62">
        <f>IF(B47="","",N(INDEX('Prospects'!$AO$5:$AO$504,MATCH(B47,'Prospects'!$C$5:$C$504,0))))</f>
        <v/>
      </c>
      <c r="U47" s="106">
        <f>IF(B47="","",IF(L47="","",EDATE(L47,'Paramètres'!$B$33)))</f>
        <v/>
      </c>
      <c r="V47" s="61">
        <f>IF(B47="","",IF(U47="","",U47-TODAY()))</f>
        <v/>
      </c>
      <c r="W47" s="61">
        <f>IF(B47="","",IF(L47="","",INT((TODAY()-L47)/30.44)))</f>
        <v/>
      </c>
      <c r="X47" s="62">
        <f>IF(B47="","",O47+T47*'Paramètres'!$B$34)</f>
        <v/>
      </c>
      <c r="Y47" s="62">
        <f>IF(B47="","",O47-N(IFERROR(INDEX('Paramètres'!$T$6:$T$15,MATCH(K47,'Paramètres'!$Q$6:$Q$15,0)),0)))</f>
        <v/>
      </c>
      <c r="Z47" s="123">
        <f>IF(B47="","",((COUNTIFS('Saisie'!$C$5:$C$2004,B47,'Saisie'!$E$5:$E$2004,"Onboarding - Contrat")&gt;0)+(COUNTIFS('Saisie'!$C$5:$C$2004,B47,'Saisie'!$E$5:$E$2004,"Onboarding - Accès")&gt;0)+(COUNTIFS('Saisie'!$C$5:$C$2004,B47,'Saisie'!$E$5:$E$2004,"Onboarding - Contenus")&gt;0)+(COUNTIFS('Saisie'!$C$5:$C$2004,B47,'Saisie'!$E$5:$E$2004,"Onboarding - Lancement")&gt;0))/4)</f>
        <v/>
      </c>
      <c r="AA47" s="60">
        <f>IF(B47="","",IF(COUNTIFS('Saisie'!$C$5:$C$2004,B47,'Saisie'!$E$5:$E$2004,"Demande d'avis Google")&gt;0,"Oui","Non"))</f>
        <v/>
      </c>
      <c r="AB47" s="61">
        <f>IF(B47="","",IFERROR(INDEX('Saisie'!$N$5:$N$2004,_xlfn.MAXIFS('Saisie'!$AS$5:$AS$2004,'Saisie'!$C$5:$C$2004,B47,'Saisie'!$E$5:$E$2004,"Satisfaction client")-4)&amp;"",""))</f>
        <v/>
      </c>
      <c r="AC47" s="106">
        <f>IF(B47="","",IFERROR(1/(1/_xlfn.MAXIFS('Saisie'!$A$5:$A$2004,'Saisie'!$C$5:$C$2004,B47,'Saisie'!$E$5:$E$2004,"Résiliation")),""))</f>
        <v/>
      </c>
      <c r="AD47" s="60">
        <f>IF(D47&lt;&gt;"",MAX($AD$4:AD46)+1,"")</f>
        <v/>
      </c>
    </row>
    <row r="48">
      <c r="A48" s="60">
        <f>IF(B48="","","C-"&amp;TEXT(44,"000"))</f>
        <v/>
      </c>
      <c r="B48" s="60">
        <f>IFERROR(INDEX('Prospects'!$C$5:$C$504,MATCH(44,'Prospects'!$BX$5:$BX$504,0)),"")</f>
        <v/>
      </c>
      <c r="C48" s="60">
        <f>IF(B48="","",IF(AC48&lt;&gt;"","Résilié","Actif"))</f>
        <v/>
      </c>
      <c r="D48" s="60">
        <f>IF(B48="","",IF(C48="Résilié","",IF(R48="En retard","Paiement en retard",IF(AND(V48&lt;&gt;"",N(V48)&lt;='Paramètres'!$B$30,N(V48)&gt;=0),"Renouvellement dans "&amp;V48&amp;" j",IF(AND(AA48="Non",TODAY()-N(L48)&gt;='Paramètres'!$B$29),"Demander un avis Google",IF(Z48&lt;1,"Onboarding à terminer",""))))))</f>
        <v/>
      </c>
      <c r="E48" s="60">
        <f>IF(B48="","",INDEX('Prospects'!$J$5:$J$504,MATCH(B48,'Prospects'!$C$5:$C$504,0))&amp;"")</f>
        <v/>
      </c>
      <c r="F48" s="60">
        <f>IF(B48="","",INDEX('Prospects'!$K$5:$K$504,MATCH(B48,'Prospects'!$C$5:$C$504,0))&amp;"")</f>
        <v/>
      </c>
      <c r="G48" s="60">
        <f>IF(B48="","",INDEX('Prospects'!$N$5:$N$504,MATCH(B48,'Prospects'!$C$5:$C$504,0))&amp;"")</f>
        <v/>
      </c>
      <c r="H48" s="60">
        <f>IF(B48="","",INDEX('Prospects'!$S$5:$S$504,MATCH(B48,'Prospects'!$C$5:$C$504,0))&amp;"")</f>
        <v/>
      </c>
      <c r="I48" s="60">
        <f>IF(B48="","",INDEX('Prospects'!$X$5:$X$504,MATCH(B48,'Prospects'!$C$5:$C$504,0))&amp;"")</f>
        <v/>
      </c>
      <c r="J48" s="60">
        <f>IF(B48="","",INDEX('Prospects'!$Y$5:$Y$504,MATCH(B48,'Prospects'!$C$5:$C$504,0))&amp;"")</f>
        <v/>
      </c>
      <c r="K48" s="60">
        <f>IF(B48="","",INDEX('Prospects'!$AN$5:$AN$504,MATCH(B48,'Prospects'!$C$5:$C$504,0))&amp;"")</f>
        <v/>
      </c>
      <c r="L48" s="106">
        <f>IF(B48="","",INDEX('Prospects'!$AT$5:$AT$504,MATCH(B48,'Prospects'!$C$5:$C$504,0)))</f>
        <v/>
      </c>
      <c r="M48" s="62">
        <f>IF(B48="","",SUMIFS('Saisie'!$AW$5:$AW$2004,'Saisie'!$C$5:$C$2004,B48,'Saisie'!$E$5:$E$2004,"Signature"))</f>
        <v/>
      </c>
      <c r="N48" s="62">
        <f>IF(B48="","",SUMIFS('Saisie'!$AW$5:$AW$2004,'Saisie'!$C$5:$C$2004,B48,'Saisie'!$E$5:$E$2004,"Vente additionnelle"))</f>
        <v/>
      </c>
      <c r="O48" s="62">
        <f>IF(B48="","",M48+N48)</f>
        <v/>
      </c>
      <c r="P48" s="62">
        <f>IF(B48="","",SUMIFS('Saisie'!$AW$5:$AW$2004,'Saisie'!$C$5:$C$2004,B48,'Saisie'!$E$5:$E$2004,"Paiement reçu"))</f>
        <v/>
      </c>
      <c r="Q48" s="62">
        <f>IF(B48="","",MAX(0,O48-P48))</f>
        <v/>
      </c>
      <c r="R48" s="60">
        <f>IF(B48="","",IF(O48=0,"",IF(Q48&lt;=0,"Payé",IF(TODAY()-N(L48)&gt;'Paramètres'!$B$27,"En retard",IF(P48&gt;0,"Partiel","En attente")))))</f>
        <v/>
      </c>
      <c r="S48" s="60">
        <f>IF(B48="","",IFERROR(INDEX('Saisie'!$O$5:$O$2004,_xlfn.MAXIFS('Saisie'!$AS$5:$AS$2004,'Saisie'!$C$5:$C$2004,B48,'Saisie'!$O$5:$O$2004,"&lt;&gt;")-4),""))</f>
        <v/>
      </c>
      <c r="T48" s="62">
        <f>IF(B48="","",N(INDEX('Prospects'!$AO$5:$AO$504,MATCH(B48,'Prospects'!$C$5:$C$504,0))))</f>
        <v/>
      </c>
      <c r="U48" s="106">
        <f>IF(B48="","",IF(L48="","",EDATE(L48,'Paramètres'!$B$33)))</f>
        <v/>
      </c>
      <c r="V48" s="61">
        <f>IF(B48="","",IF(U48="","",U48-TODAY()))</f>
        <v/>
      </c>
      <c r="W48" s="61">
        <f>IF(B48="","",IF(L48="","",INT((TODAY()-L48)/30.44)))</f>
        <v/>
      </c>
      <c r="X48" s="62">
        <f>IF(B48="","",O48+T48*'Paramètres'!$B$34)</f>
        <v/>
      </c>
      <c r="Y48" s="62">
        <f>IF(B48="","",O48-N(IFERROR(INDEX('Paramètres'!$T$6:$T$15,MATCH(K48,'Paramètres'!$Q$6:$Q$15,0)),0)))</f>
        <v/>
      </c>
      <c r="Z48" s="123">
        <f>IF(B48="","",((COUNTIFS('Saisie'!$C$5:$C$2004,B48,'Saisie'!$E$5:$E$2004,"Onboarding - Contrat")&gt;0)+(COUNTIFS('Saisie'!$C$5:$C$2004,B48,'Saisie'!$E$5:$E$2004,"Onboarding - Accès")&gt;0)+(COUNTIFS('Saisie'!$C$5:$C$2004,B48,'Saisie'!$E$5:$E$2004,"Onboarding - Contenus")&gt;0)+(COUNTIFS('Saisie'!$C$5:$C$2004,B48,'Saisie'!$E$5:$E$2004,"Onboarding - Lancement")&gt;0))/4)</f>
        <v/>
      </c>
      <c r="AA48" s="60">
        <f>IF(B48="","",IF(COUNTIFS('Saisie'!$C$5:$C$2004,B48,'Saisie'!$E$5:$E$2004,"Demande d'avis Google")&gt;0,"Oui","Non"))</f>
        <v/>
      </c>
      <c r="AB48" s="61">
        <f>IF(B48="","",IFERROR(INDEX('Saisie'!$N$5:$N$2004,_xlfn.MAXIFS('Saisie'!$AS$5:$AS$2004,'Saisie'!$C$5:$C$2004,B48,'Saisie'!$E$5:$E$2004,"Satisfaction client")-4)&amp;"",""))</f>
        <v/>
      </c>
      <c r="AC48" s="106">
        <f>IF(B48="","",IFERROR(1/(1/_xlfn.MAXIFS('Saisie'!$A$5:$A$2004,'Saisie'!$C$5:$C$2004,B48,'Saisie'!$E$5:$E$2004,"Résiliation")),""))</f>
        <v/>
      </c>
      <c r="AD48" s="60">
        <f>IF(D48&lt;&gt;"",MAX($AD$4:AD47)+1,"")</f>
        <v/>
      </c>
    </row>
    <row r="49">
      <c r="A49" s="60">
        <f>IF(B49="","","C-"&amp;TEXT(45,"000"))</f>
        <v/>
      </c>
      <c r="B49" s="60">
        <f>IFERROR(INDEX('Prospects'!$C$5:$C$504,MATCH(45,'Prospects'!$BX$5:$BX$504,0)),"")</f>
        <v/>
      </c>
      <c r="C49" s="60">
        <f>IF(B49="","",IF(AC49&lt;&gt;"","Résilié","Actif"))</f>
        <v/>
      </c>
      <c r="D49" s="60">
        <f>IF(B49="","",IF(C49="Résilié","",IF(R49="En retard","Paiement en retard",IF(AND(V49&lt;&gt;"",N(V49)&lt;='Paramètres'!$B$30,N(V49)&gt;=0),"Renouvellement dans "&amp;V49&amp;" j",IF(AND(AA49="Non",TODAY()-N(L49)&gt;='Paramètres'!$B$29),"Demander un avis Google",IF(Z49&lt;1,"Onboarding à terminer",""))))))</f>
        <v/>
      </c>
      <c r="E49" s="60">
        <f>IF(B49="","",INDEX('Prospects'!$J$5:$J$504,MATCH(B49,'Prospects'!$C$5:$C$504,0))&amp;"")</f>
        <v/>
      </c>
      <c r="F49" s="60">
        <f>IF(B49="","",INDEX('Prospects'!$K$5:$K$504,MATCH(B49,'Prospects'!$C$5:$C$504,0))&amp;"")</f>
        <v/>
      </c>
      <c r="G49" s="60">
        <f>IF(B49="","",INDEX('Prospects'!$N$5:$N$504,MATCH(B49,'Prospects'!$C$5:$C$504,0))&amp;"")</f>
        <v/>
      </c>
      <c r="H49" s="60">
        <f>IF(B49="","",INDEX('Prospects'!$S$5:$S$504,MATCH(B49,'Prospects'!$C$5:$C$504,0))&amp;"")</f>
        <v/>
      </c>
      <c r="I49" s="60">
        <f>IF(B49="","",INDEX('Prospects'!$X$5:$X$504,MATCH(B49,'Prospects'!$C$5:$C$504,0))&amp;"")</f>
        <v/>
      </c>
      <c r="J49" s="60">
        <f>IF(B49="","",INDEX('Prospects'!$Y$5:$Y$504,MATCH(B49,'Prospects'!$C$5:$C$504,0))&amp;"")</f>
        <v/>
      </c>
      <c r="K49" s="60">
        <f>IF(B49="","",INDEX('Prospects'!$AN$5:$AN$504,MATCH(B49,'Prospects'!$C$5:$C$504,0))&amp;"")</f>
        <v/>
      </c>
      <c r="L49" s="106">
        <f>IF(B49="","",INDEX('Prospects'!$AT$5:$AT$504,MATCH(B49,'Prospects'!$C$5:$C$504,0)))</f>
        <v/>
      </c>
      <c r="M49" s="62">
        <f>IF(B49="","",SUMIFS('Saisie'!$AW$5:$AW$2004,'Saisie'!$C$5:$C$2004,B49,'Saisie'!$E$5:$E$2004,"Signature"))</f>
        <v/>
      </c>
      <c r="N49" s="62">
        <f>IF(B49="","",SUMIFS('Saisie'!$AW$5:$AW$2004,'Saisie'!$C$5:$C$2004,B49,'Saisie'!$E$5:$E$2004,"Vente additionnelle"))</f>
        <v/>
      </c>
      <c r="O49" s="62">
        <f>IF(B49="","",M49+N49)</f>
        <v/>
      </c>
      <c r="P49" s="62">
        <f>IF(B49="","",SUMIFS('Saisie'!$AW$5:$AW$2004,'Saisie'!$C$5:$C$2004,B49,'Saisie'!$E$5:$E$2004,"Paiement reçu"))</f>
        <v/>
      </c>
      <c r="Q49" s="62">
        <f>IF(B49="","",MAX(0,O49-P49))</f>
        <v/>
      </c>
      <c r="R49" s="60">
        <f>IF(B49="","",IF(O49=0,"",IF(Q49&lt;=0,"Payé",IF(TODAY()-N(L49)&gt;'Paramètres'!$B$27,"En retard",IF(P49&gt;0,"Partiel","En attente")))))</f>
        <v/>
      </c>
      <c r="S49" s="60">
        <f>IF(B49="","",IFERROR(INDEX('Saisie'!$O$5:$O$2004,_xlfn.MAXIFS('Saisie'!$AS$5:$AS$2004,'Saisie'!$C$5:$C$2004,B49,'Saisie'!$O$5:$O$2004,"&lt;&gt;")-4),""))</f>
        <v/>
      </c>
      <c r="T49" s="62">
        <f>IF(B49="","",N(INDEX('Prospects'!$AO$5:$AO$504,MATCH(B49,'Prospects'!$C$5:$C$504,0))))</f>
        <v/>
      </c>
      <c r="U49" s="106">
        <f>IF(B49="","",IF(L49="","",EDATE(L49,'Paramètres'!$B$33)))</f>
        <v/>
      </c>
      <c r="V49" s="61">
        <f>IF(B49="","",IF(U49="","",U49-TODAY()))</f>
        <v/>
      </c>
      <c r="W49" s="61">
        <f>IF(B49="","",IF(L49="","",INT((TODAY()-L49)/30.44)))</f>
        <v/>
      </c>
      <c r="X49" s="62">
        <f>IF(B49="","",O49+T49*'Paramètres'!$B$34)</f>
        <v/>
      </c>
      <c r="Y49" s="62">
        <f>IF(B49="","",O49-N(IFERROR(INDEX('Paramètres'!$T$6:$T$15,MATCH(K49,'Paramètres'!$Q$6:$Q$15,0)),0)))</f>
        <v/>
      </c>
      <c r="Z49" s="123">
        <f>IF(B49="","",((COUNTIFS('Saisie'!$C$5:$C$2004,B49,'Saisie'!$E$5:$E$2004,"Onboarding - Contrat")&gt;0)+(COUNTIFS('Saisie'!$C$5:$C$2004,B49,'Saisie'!$E$5:$E$2004,"Onboarding - Accès")&gt;0)+(COUNTIFS('Saisie'!$C$5:$C$2004,B49,'Saisie'!$E$5:$E$2004,"Onboarding - Contenus")&gt;0)+(COUNTIFS('Saisie'!$C$5:$C$2004,B49,'Saisie'!$E$5:$E$2004,"Onboarding - Lancement")&gt;0))/4)</f>
        <v/>
      </c>
      <c r="AA49" s="60">
        <f>IF(B49="","",IF(COUNTIFS('Saisie'!$C$5:$C$2004,B49,'Saisie'!$E$5:$E$2004,"Demande d'avis Google")&gt;0,"Oui","Non"))</f>
        <v/>
      </c>
      <c r="AB49" s="61">
        <f>IF(B49="","",IFERROR(INDEX('Saisie'!$N$5:$N$2004,_xlfn.MAXIFS('Saisie'!$AS$5:$AS$2004,'Saisie'!$C$5:$C$2004,B49,'Saisie'!$E$5:$E$2004,"Satisfaction client")-4)&amp;"",""))</f>
        <v/>
      </c>
      <c r="AC49" s="106">
        <f>IF(B49="","",IFERROR(1/(1/_xlfn.MAXIFS('Saisie'!$A$5:$A$2004,'Saisie'!$C$5:$C$2004,B49,'Saisie'!$E$5:$E$2004,"Résiliation")),""))</f>
        <v/>
      </c>
      <c r="AD49" s="60">
        <f>IF(D49&lt;&gt;"",MAX($AD$4:AD48)+1,"")</f>
        <v/>
      </c>
    </row>
    <row r="50">
      <c r="A50" s="60">
        <f>IF(B50="","","C-"&amp;TEXT(46,"000"))</f>
        <v/>
      </c>
      <c r="B50" s="60">
        <f>IFERROR(INDEX('Prospects'!$C$5:$C$504,MATCH(46,'Prospects'!$BX$5:$BX$504,0)),"")</f>
        <v/>
      </c>
      <c r="C50" s="60">
        <f>IF(B50="","",IF(AC50&lt;&gt;"","Résilié","Actif"))</f>
        <v/>
      </c>
      <c r="D50" s="60">
        <f>IF(B50="","",IF(C50="Résilié","",IF(R50="En retard","Paiement en retard",IF(AND(V50&lt;&gt;"",N(V50)&lt;='Paramètres'!$B$30,N(V50)&gt;=0),"Renouvellement dans "&amp;V50&amp;" j",IF(AND(AA50="Non",TODAY()-N(L50)&gt;='Paramètres'!$B$29),"Demander un avis Google",IF(Z50&lt;1,"Onboarding à terminer",""))))))</f>
        <v/>
      </c>
      <c r="E50" s="60">
        <f>IF(B50="","",INDEX('Prospects'!$J$5:$J$504,MATCH(B50,'Prospects'!$C$5:$C$504,0))&amp;"")</f>
        <v/>
      </c>
      <c r="F50" s="60">
        <f>IF(B50="","",INDEX('Prospects'!$K$5:$K$504,MATCH(B50,'Prospects'!$C$5:$C$504,0))&amp;"")</f>
        <v/>
      </c>
      <c r="G50" s="60">
        <f>IF(B50="","",INDEX('Prospects'!$N$5:$N$504,MATCH(B50,'Prospects'!$C$5:$C$504,0))&amp;"")</f>
        <v/>
      </c>
      <c r="H50" s="60">
        <f>IF(B50="","",INDEX('Prospects'!$S$5:$S$504,MATCH(B50,'Prospects'!$C$5:$C$504,0))&amp;"")</f>
        <v/>
      </c>
      <c r="I50" s="60">
        <f>IF(B50="","",INDEX('Prospects'!$X$5:$X$504,MATCH(B50,'Prospects'!$C$5:$C$504,0))&amp;"")</f>
        <v/>
      </c>
      <c r="J50" s="60">
        <f>IF(B50="","",INDEX('Prospects'!$Y$5:$Y$504,MATCH(B50,'Prospects'!$C$5:$C$504,0))&amp;"")</f>
        <v/>
      </c>
      <c r="K50" s="60">
        <f>IF(B50="","",INDEX('Prospects'!$AN$5:$AN$504,MATCH(B50,'Prospects'!$C$5:$C$504,0))&amp;"")</f>
        <v/>
      </c>
      <c r="L50" s="106">
        <f>IF(B50="","",INDEX('Prospects'!$AT$5:$AT$504,MATCH(B50,'Prospects'!$C$5:$C$504,0)))</f>
        <v/>
      </c>
      <c r="M50" s="62">
        <f>IF(B50="","",SUMIFS('Saisie'!$AW$5:$AW$2004,'Saisie'!$C$5:$C$2004,B50,'Saisie'!$E$5:$E$2004,"Signature"))</f>
        <v/>
      </c>
      <c r="N50" s="62">
        <f>IF(B50="","",SUMIFS('Saisie'!$AW$5:$AW$2004,'Saisie'!$C$5:$C$2004,B50,'Saisie'!$E$5:$E$2004,"Vente additionnelle"))</f>
        <v/>
      </c>
      <c r="O50" s="62">
        <f>IF(B50="","",M50+N50)</f>
        <v/>
      </c>
      <c r="P50" s="62">
        <f>IF(B50="","",SUMIFS('Saisie'!$AW$5:$AW$2004,'Saisie'!$C$5:$C$2004,B50,'Saisie'!$E$5:$E$2004,"Paiement reçu"))</f>
        <v/>
      </c>
      <c r="Q50" s="62">
        <f>IF(B50="","",MAX(0,O50-P50))</f>
        <v/>
      </c>
      <c r="R50" s="60">
        <f>IF(B50="","",IF(O50=0,"",IF(Q50&lt;=0,"Payé",IF(TODAY()-N(L50)&gt;'Paramètres'!$B$27,"En retard",IF(P50&gt;0,"Partiel","En attente")))))</f>
        <v/>
      </c>
      <c r="S50" s="60">
        <f>IF(B50="","",IFERROR(INDEX('Saisie'!$O$5:$O$2004,_xlfn.MAXIFS('Saisie'!$AS$5:$AS$2004,'Saisie'!$C$5:$C$2004,B50,'Saisie'!$O$5:$O$2004,"&lt;&gt;")-4),""))</f>
        <v/>
      </c>
      <c r="T50" s="62">
        <f>IF(B50="","",N(INDEX('Prospects'!$AO$5:$AO$504,MATCH(B50,'Prospects'!$C$5:$C$504,0))))</f>
        <v/>
      </c>
      <c r="U50" s="106">
        <f>IF(B50="","",IF(L50="","",EDATE(L50,'Paramètres'!$B$33)))</f>
        <v/>
      </c>
      <c r="V50" s="61">
        <f>IF(B50="","",IF(U50="","",U50-TODAY()))</f>
        <v/>
      </c>
      <c r="W50" s="61">
        <f>IF(B50="","",IF(L50="","",INT((TODAY()-L50)/30.44)))</f>
        <v/>
      </c>
      <c r="X50" s="62">
        <f>IF(B50="","",O50+T50*'Paramètres'!$B$34)</f>
        <v/>
      </c>
      <c r="Y50" s="62">
        <f>IF(B50="","",O50-N(IFERROR(INDEX('Paramètres'!$T$6:$T$15,MATCH(K50,'Paramètres'!$Q$6:$Q$15,0)),0)))</f>
        <v/>
      </c>
      <c r="Z50" s="123">
        <f>IF(B50="","",((COUNTIFS('Saisie'!$C$5:$C$2004,B50,'Saisie'!$E$5:$E$2004,"Onboarding - Contrat")&gt;0)+(COUNTIFS('Saisie'!$C$5:$C$2004,B50,'Saisie'!$E$5:$E$2004,"Onboarding - Accès")&gt;0)+(COUNTIFS('Saisie'!$C$5:$C$2004,B50,'Saisie'!$E$5:$E$2004,"Onboarding - Contenus")&gt;0)+(COUNTIFS('Saisie'!$C$5:$C$2004,B50,'Saisie'!$E$5:$E$2004,"Onboarding - Lancement")&gt;0))/4)</f>
        <v/>
      </c>
      <c r="AA50" s="60">
        <f>IF(B50="","",IF(COUNTIFS('Saisie'!$C$5:$C$2004,B50,'Saisie'!$E$5:$E$2004,"Demande d'avis Google")&gt;0,"Oui","Non"))</f>
        <v/>
      </c>
      <c r="AB50" s="61">
        <f>IF(B50="","",IFERROR(INDEX('Saisie'!$N$5:$N$2004,_xlfn.MAXIFS('Saisie'!$AS$5:$AS$2004,'Saisie'!$C$5:$C$2004,B50,'Saisie'!$E$5:$E$2004,"Satisfaction client")-4)&amp;"",""))</f>
        <v/>
      </c>
      <c r="AC50" s="106">
        <f>IF(B50="","",IFERROR(1/(1/_xlfn.MAXIFS('Saisie'!$A$5:$A$2004,'Saisie'!$C$5:$C$2004,B50,'Saisie'!$E$5:$E$2004,"Résiliation")),""))</f>
        <v/>
      </c>
      <c r="AD50" s="60">
        <f>IF(D50&lt;&gt;"",MAX($AD$4:AD49)+1,"")</f>
        <v/>
      </c>
    </row>
    <row r="51">
      <c r="A51" s="60">
        <f>IF(B51="","","C-"&amp;TEXT(47,"000"))</f>
        <v/>
      </c>
      <c r="B51" s="60">
        <f>IFERROR(INDEX('Prospects'!$C$5:$C$504,MATCH(47,'Prospects'!$BX$5:$BX$504,0)),"")</f>
        <v/>
      </c>
      <c r="C51" s="60">
        <f>IF(B51="","",IF(AC51&lt;&gt;"","Résilié","Actif"))</f>
        <v/>
      </c>
      <c r="D51" s="60">
        <f>IF(B51="","",IF(C51="Résilié","",IF(R51="En retard","Paiement en retard",IF(AND(V51&lt;&gt;"",N(V51)&lt;='Paramètres'!$B$30,N(V51)&gt;=0),"Renouvellement dans "&amp;V51&amp;" j",IF(AND(AA51="Non",TODAY()-N(L51)&gt;='Paramètres'!$B$29),"Demander un avis Google",IF(Z51&lt;1,"Onboarding à terminer",""))))))</f>
        <v/>
      </c>
      <c r="E51" s="60">
        <f>IF(B51="","",INDEX('Prospects'!$J$5:$J$504,MATCH(B51,'Prospects'!$C$5:$C$504,0))&amp;"")</f>
        <v/>
      </c>
      <c r="F51" s="60">
        <f>IF(B51="","",INDEX('Prospects'!$K$5:$K$504,MATCH(B51,'Prospects'!$C$5:$C$504,0))&amp;"")</f>
        <v/>
      </c>
      <c r="G51" s="60">
        <f>IF(B51="","",INDEX('Prospects'!$N$5:$N$504,MATCH(B51,'Prospects'!$C$5:$C$504,0))&amp;"")</f>
        <v/>
      </c>
      <c r="H51" s="60">
        <f>IF(B51="","",INDEX('Prospects'!$S$5:$S$504,MATCH(B51,'Prospects'!$C$5:$C$504,0))&amp;"")</f>
        <v/>
      </c>
      <c r="I51" s="60">
        <f>IF(B51="","",INDEX('Prospects'!$X$5:$X$504,MATCH(B51,'Prospects'!$C$5:$C$504,0))&amp;"")</f>
        <v/>
      </c>
      <c r="J51" s="60">
        <f>IF(B51="","",INDEX('Prospects'!$Y$5:$Y$504,MATCH(B51,'Prospects'!$C$5:$C$504,0))&amp;"")</f>
        <v/>
      </c>
      <c r="K51" s="60">
        <f>IF(B51="","",INDEX('Prospects'!$AN$5:$AN$504,MATCH(B51,'Prospects'!$C$5:$C$504,0))&amp;"")</f>
        <v/>
      </c>
      <c r="L51" s="106">
        <f>IF(B51="","",INDEX('Prospects'!$AT$5:$AT$504,MATCH(B51,'Prospects'!$C$5:$C$504,0)))</f>
        <v/>
      </c>
      <c r="M51" s="62">
        <f>IF(B51="","",SUMIFS('Saisie'!$AW$5:$AW$2004,'Saisie'!$C$5:$C$2004,B51,'Saisie'!$E$5:$E$2004,"Signature"))</f>
        <v/>
      </c>
      <c r="N51" s="62">
        <f>IF(B51="","",SUMIFS('Saisie'!$AW$5:$AW$2004,'Saisie'!$C$5:$C$2004,B51,'Saisie'!$E$5:$E$2004,"Vente additionnelle"))</f>
        <v/>
      </c>
      <c r="O51" s="62">
        <f>IF(B51="","",M51+N51)</f>
        <v/>
      </c>
      <c r="P51" s="62">
        <f>IF(B51="","",SUMIFS('Saisie'!$AW$5:$AW$2004,'Saisie'!$C$5:$C$2004,B51,'Saisie'!$E$5:$E$2004,"Paiement reçu"))</f>
        <v/>
      </c>
      <c r="Q51" s="62">
        <f>IF(B51="","",MAX(0,O51-P51))</f>
        <v/>
      </c>
      <c r="R51" s="60">
        <f>IF(B51="","",IF(O51=0,"",IF(Q51&lt;=0,"Payé",IF(TODAY()-N(L51)&gt;'Paramètres'!$B$27,"En retard",IF(P51&gt;0,"Partiel","En attente")))))</f>
        <v/>
      </c>
      <c r="S51" s="60">
        <f>IF(B51="","",IFERROR(INDEX('Saisie'!$O$5:$O$2004,_xlfn.MAXIFS('Saisie'!$AS$5:$AS$2004,'Saisie'!$C$5:$C$2004,B51,'Saisie'!$O$5:$O$2004,"&lt;&gt;")-4),""))</f>
        <v/>
      </c>
      <c r="T51" s="62">
        <f>IF(B51="","",N(INDEX('Prospects'!$AO$5:$AO$504,MATCH(B51,'Prospects'!$C$5:$C$504,0))))</f>
        <v/>
      </c>
      <c r="U51" s="106">
        <f>IF(B51="","",IF(L51="","",EDATE(L51,'Paramètres'!$B$33)))</f>
        <v/>
      </c>
      <c r="V51" s="61">
        <f>IF(B51="","",IF(U51="","",U51-TODAY()))</f>
        <v/>
      </c>
      <c r="W51" s="61">
        <f>IF(B51="","",IF(L51="","",INT((TODAY()-L51)/30.44)))</f>
        <v/>
      </c>
      <c r="X51" s="62">
        <f>IF(B51="","",O51+T51*'Paramètres'!$B$34)</f>
        <v/>
      </c>
      <c r="Y51" s="62">
        <f>IF(B51="","",O51-N(IFERROR(INDEX('Paramètres'!$T$6:$T$15,MATCH(K51,'Paramètres'!$Q$6:$Q$15,0)),0)))</f>
        <v/>
      </c>
      <c r="Z51" s="123">
        <f>IF(B51="","",((COUNTIFS('Saisie'!$C$5:$C$2004,B51,'Saisie'!$E$5:$E$2004,"Onboarding - Contrat")&gt;0)+(COUNTIFS('Saisie'!$C$5:$C$2004,B51,'Saisie'!$E$5:$E$2004,"Onboarding - Accès")&gt;0)+(COUNTIFS('Saisie'!$C$5:$C$2004,B51,'Saisie'!$E$5:$E$2004,"Onboarding - Contenus")&gt;0)+(COUNTIFS('Saisie'!$C$5:$C$2004,B51,'Saisie'!$E$5:$E$2004,"Onboarding - Lancement")&gt;0))/4)</f>
        <v/>
      </c>
      <c r="AA51" s="60">
        <f>IF(B51="","",IF(COUNTIFS('Saisie'!$C$5:$C$2004,B51,'Saisie'!$E$5:$E$2004,"Demande d'avis Google")&gt;0,"Oui","Non"))</f>
        <v/>
      </c>
      <c r="AB51" s="61">
        <f>IF(B51="","",IFERROR(INDEX('Saisie'!$N$5:$N$2004,_xlfn.MAXIFS('Saisie'!$AS$5:$AS$2004,'Saisie'!$C$5:$C$2004,B51,'Saisie'!$E$5:$E$2004,"Satisfaction client")-4)&amp;"",""))</f>
        <v/>
      </c>
      <c r="AC51" s="106">
        <f>IF(B51="","",IFERROR(1/(1/_xlfn.MAXIFS('Saisie'!$A$5:$A$2004,'Saisie'!$C$5:$C$2004,B51,'Saisie'!$E$5:$E$2004,"Résiliation")),""))</f>
        <v/>
      </c>
      <c r="AD51" s="60">
        <f>IF(D51&lt;&gt;"",MAX($AD$4:AD50)+1,"")</f>
        <v/>
      </c>
    </row>
    <row r="52">
      <c r="A52" s="60">
        <f>IF(B52="","","C-"&amp;TEXT(48,"000"))</f>
        <v/>
      </c>
      <c r="B52" s="60">
        <f>IFERROR(INDEX('Prospects'!$C$5:$C$504,MATCH(48,'Prospects'!$BX$5:$BX$504,0)),"")</f>
        <v/>
      </c>
      <c r="C52" s="60">
        <f>IF(B52="","",IF(AC52&lt;&gt;"","Résilié","Actif"))</f>
        <v/>
      </c>
      <c r="D52" s="60">
        <f>IF(B52="","",IF(C52="Résilié","",IF(R52="En retard","Paiement en retard",IF(AND(V52&lt;&gt;"",N(V52)&lt;='Paramètres'!$B$30,N(V52)&gt;=0),"Renouvellement dans "&amp;V52&amp;" j",IF(AND(AA52="Non",TODAY()-N(L52)&gt;='Paramètres'!$B$29),"Demander un avis Google",IF(Z52&lt;1,"Onboarding à terminer",""))))))</f>
        <v/>
      </c>
      <c r="E52" s="60">
        <f>IF(B52="","",INDEX('Prospects'!$J$5:$J$504,MATCH(B52,'Prospects'!$C$5:$C$504,0))&amp;"")</f>
        <v/>
      </c>
      <c r="F52" s="60">
        <f>IF(B52="","",INDEX('Prospects'!$K$5:$K$504,MATCH(B52,'Prospects'!$C$5:$C$504,0))&amp;"")</f>
        <v/>
      </c>
      <c r="G52" s="60">
        <f>IF(B52="","",INDEX('Prospects'!$N$5:$N$504,MATCH(B52,'Prospects'!$C$5:$C$504,0))&amp;"")</f>
        <v/>
      </c>
      <c r="H52" s="60">
        <f>IF(B52="","",INDEX('Prospects'!$S$5:$S$504,MATCH(B52,'Prospects'!$C$5:$C$504,0))&amp;"")</f>
        <v/>
      </c>
      <c r="I52" s="60">
        <f>IF(B52="","",INDEX('Prospects'!$X$5:$X$504,MATCH(B52,'Prospects'!$C$5:$C$504,0))&amp;"")</f>
        <v/>
      </c>
      <c r="J52" s="60">
        <f>IF(B52="","",INDEX('Prospects'!$Y$5:$Y$504,MATCH(B52,'Prospects'!$C$5:$C$504,0))&amp;"")</f>
        <v/>
      </c>
      <c r="K52" s="60">
        <f>IF(B52="","",INDEX('Prospects'!$AN$5:$AN$504,MATCH(B52,'Prospects'!$C$5:$C$504,0))&amp;"")</f>
        <v/>
      </c>
      <c r="L52" s="106">
        <f>IF(B52="","",INDEX('Prospects'!$AT$5:$AT$504,MATCH(B52,'Prospects'!$C$5:$C$504,0)))</f>
        <v/>
      </c>
      <c r="M52" s="62">
        <f>IF(B52="","",SUMIFS('Saisie'!$AW$5:$AW$2004,'Saisie'!$C$5:$C$2004,B52,'Saisie'!$E$5:$E$2004,"Signature"))</f>
        <v/>
      </c>
      <c r="N52" s="62">
        <f>IF(B52="","",SUMIFS('Saisie'!$AW$5:$AW$2004,'Saisie'!$C$5:$C$2004,B52,'Saisie'!$E$5:$E$2004,"Vente additionnelle"))</f>
        <v/>
      </c>
      <c r="O52" s="62">
        <f>IF(B52="","",M52+N52)</f>
        <v/>
      </c>
      <c r="P52" s="62">
        <f>IF(B52="","",SUMIFS('Saisie'!$AW$5:$AW$2004,'Saisie'!$C$5:$C$2004,B52,'Saisie'!$E$5:$E$2004,"Paiement reçu"))</f>
        <v/>
      </c>
      <c r="Q52" s="62">
        <f>IF(B52="","",MAX(0,O52-P52))</f>
        <v/>
      </c>
      <c r="R52" s="60">
        <f>IF(B52="","",IF(O52=0,"",IF(Q52&lt;=0,"Payé",IF(TODAY()-N(L52)&gt;'Paramètres'!$B$27,"En retard",IF(P52&gt;0,"Partiel","En attente")))))</f>
        <v/>
      </c>
      <c r="S52" s="60">
        <f>IF(B52="","",IFERROR(INDEX('Saisie'!$O$5:$O$2004,_xlfn.MAXIFS('Saisie'!$AS$5:$AS$2004,'Saisie'!$C$5:$C$2004,B52,'Saisie'!$O$5:$O$2004,"&lt;&gt;")-4),""))</f>
        <v/>
      </c>
      <c r="T52" s="62">
        <f>IF(B52="","",N(INDEX('Prospects'!$AO$5:$AO$504,MATCH(B52,'Prospects'!$C$5:$C$504,0))))</f>
        <v/>
      </c>
      <c r="U52" s="106">
        <f>IF(B52="","",IF(L52="","",EDATE(L52,'Paramètres'!$B$33)))</f>
        <v/>
      </c>
      <c r="V52" s="61">
        <f>IF(B52="","",IF(U52="","",U52-TODAY()))</f>
        <v/>
      </c>
      <c r="W52" s="61">
        <f>IF(B52="","",IF(L52="","",INT((TODAY()-L52)/30.44)))</f>
        <v/>
      </c>
      <c r="X52" s="62">
        <f>IF(B52="","",O52+T52*'Paramètres'!$B$34)</f>
        <v/>
      </c>
      <c r="Y52" s="62">
        <f>IF(B52="","",O52-N(IFERROR(INDEX('Paramètres'!$T$6:$T$15,MATCH(K52,'Paramètres'!$Q$6:$Q$15,0)),0)))</f>
        <v/>
      </c>
      <c r="Z52" s="123">
        <f>IF(B52="","",((COUNTIFS('Saisie'!$C$5:$C$2004,B52,'Saisie'!$E$5:$E$2004,"Onboarding - Contrat")&gt;0)+(COUNTIFS('Saisie'!$C$5:$C$2004,B52,'Saisie'!$E$5:$E$2004,"Onboarding - Accès")&gt;0)+(COUNTIFS('Saisie'!$C$5:$C$2004,B52,'Saisie'!$E$5:$E$2004,"Onboarding - Contenus")&gt;0)+(COUNTIFS('Saisie'!$C$5:$C$2004,B52,'Saisie'!$E$5:$E$2004,"Onboarding - Lancement")&gt;0))/4)</f>
        <v/>
      </c>
      <c r="AA52" s="60">
        <f>IF(B52="","",IF(COUNTIFS('Saisie'!$C$5:$C$2004,B52,'Saisie'!$E$5:$E$2004,"Demande d'avis Google")&gt;0,"Oui","Non"))</f>
        <v/>
      </c>
      <c r="AB52" s="61">
        <f>IF(B52="","",IFERROR(INDEX('Saisie'!$N$5:$N$2004,_xlfn.MAXIFS('Saisie'!$AS$5:$AS$2004,'Saisie'!$C$5:$C$2004,B52,'Saisie'!$E$5:$E$2004,"Satisfaction client")-4)&amp;"",""))</f>
        <v/>
      </c>
      <c r="AC52" s="106">
        <f>IF(B52="","",IFERROR(1/(1/_xlfn.MAXIFS('Saisie'!$A$5:$A$2004,'Saisie'!$C$5:$C$2004,B52,'Saisie'!$E$5:$E$2004,"Résiliation")),""))</f>
        <v/>
      </c>
      <c r="AD52" s="60">
        <f>IF(D52&lt;&gt;"",MAX($AD$4:AD51)+1,"")</f>
        <v/>
      </c>
    </row>
    <row r="53">
      <c r="A53" s="60">
        <f>IF(B53="","","C-"&amp;TEXT(49,"000"))</f>
        <v/>
      </c>
      <c r="B53" s="60">
        <f>IFERROR(INDEX('Prospects'!$C$5:$C$504,MATCH(49,'Prospects'!$BX$5:$BX$504,0)),"")</f>
        <v/>
      </c>
      <c r="C53" s="60">
        <f>IF(B53="","",IF(AC53&lt;&gt;"","Résilié","Actif"))</f>
        <v/>
      </c>
      <c r="D53" s="60">
        <f>IF(B53="","",IF(C53="Résilié","",IF(R53="En retard","Paiement en retard",IF(AND(V53&lt;&gt;"",N(V53)&lt;='Paramètres'!$B$30,N(V53)&gt;=0),"Renouvellement dans "&amp;V53&amp;" j",IF(AND(AA53="Non",TODAY()-N(L53)&gt;='Paramètres'!$B$29),"Demander un avis Google",IF(Z53&lt;1,"Onboarding à terminer",""))))))</f>
        <v/>
      </c>
      <c r="E53" s="60">
        <f>IF(B53="","",INDEX('Prospects'!$J$5:$J$504,MATCH(B53,'Prospects'!$C$5:$C$504,0))&amp;"")</f>
        <v/>
      </c>
      <c r="F53" s="60">
        <f>IF(B53="","",INDEX('Prospects'!$K$5:$K$504,MATCH(B53,'Prospects'!$C$5:$C$504,0))&amp;"")</f>
        <v/>
      </c>
      <c r="G53" s="60">
        <f>IF(B53="","",INDEX('Prospects'!$N$5:$N$504,MATCH(B53,'Prospects'!$C$5:$C$504,0))&amp;"")</f>
        <v/>
      </c>
      <c r="H53" s="60">
        <f>IF(B53="","",INDEX('Prospects'!$S$5:$S$504,MATCH(B53,'Prospects'!$C$5:$C$504,0))&amp;"")</f>
        <v/>
      </c>
      <c r="I53" s="60">
        <f>IF(B53="","",INDEX('Prospects'!$X$5:$X$504,MATCH(B53,'Prospects'!$C$5:$C$504,0))&amp;"")</f>
        <v/>
      </c>
      <c r="J53" s="60">
        <f>IF(B53="","",INDEX('Prospects'!$Y$5:$Y$504,MATCH(B53,'Prospects'!$C$5:$C$504,0))&amp;"")</f>
        <v/>
      </c>
      <c r="K53" s="60">
        <f>IF(B53="","",INDEX('Prospects'!$AN$5:$AN$504,MATCH(B53,'Prospects'!$C$5:$C$504,0))&amp;"")</f>
        <v/>
      </c>
      <c r="L53" s="106">
        <f>IF(B53="","",INDEX('Prospects'!$AT$5:$AT$504,MATCH(B53,'Prospects'!$C$5:$C$504,0)))</f>
        <v/>
      </c>
      <c r="M53" s="62">
        <f>IF(B53="","",SUMIFS('Saisie'!$AW$5:$AW$2004,'Saisie'!$C$5:$C$2004,B53,'Saisie'!$E$5:$E$2004,"Signature"))</f>
        <v/>
      </c>
      <c r="N53" s="62">
        <f>IF(B53="","",SUMIFS('Saisie'!$AW$5:$AW$2004,'Saisie'!$C$5:$C$2004,B53,'Saisie'!$E$5:$E$2004,"Vente additionnelle"))</f>
        <v/>
      </c>
      <c r="O53" s="62">
        <f>IF(B53="","",M53+N53)</f>
        <v/>
      </c>
      <c r="P53" s="62">
        <f>IF(B53="","",SUMIFS('Saisie'!$AW$5:$AW$2004,'Saisie'!$C$5:$C$2004,B53,'Saisie'!$E$5:$E$2004,"Paiement reçu"))</f>
        <v/>
      </c>
      <c r="Q53" s="62">
        <f>IF(B53="","",MAX(0,O53-P53))</f>
        <v/>
      </c>
      <c r="R53" s="60">
        <f>IF(B53="","",IF(O53=0,"",IF(Q53&lt;=0,"Payé",IF(TODAY()-N(L53)&gt;'Paramètres'!$B$27,"En retard",IF(P53&gt;0,"Partiel","En attente")))))</f>
        <v/>
      </c>
      <c r="S53" s="60">
        <f>IF(B53="","",IFERROR(INDEX('Saisie'!$O$5:$O$2004,_xlfn.MAXIFS('Saisie'!$AS$5:$AS$2004,'Saisie'!$C$5:$C$2004,B53,'Saisie'!$O$5:$O$2004,"&lt;&gt;")-4),""))</f>
        <v/>
      </c>
      <c r="T53" s="62">
        <f>IF(B53="","",N(INDEX('Prospects'!$AO$5:$AO$504,MATCH(B53,'Prospects'!$C$5:$C$504,0))))</f>
        <v/>
      </c>
      <c r="U53" s="106">
        <f>IF(B53="","",IF(L53="","",EDATE(L53,'Paramètres'!$B$33)))</f>
        <v/>
      </c>
      <c r="V53" s="61">
        <f>IF(B53="","",IF(U53="","",U53-TODAY()))</f>
        <v/>
      </c>
      <c r="W53" s="61">
        <f>IF(B53="","",IF(L53="","",INT((TODAY()-L53)/30.44)))</f>
        <v/>
      </c>
      <c r="X53" s="62">
        <f>IF(B53="","",O53+T53*'Paramètres'!$B$34)</f>
        <v/>
      </c>
      <c r="Y53" s="62">
        <f>IF(B53="","",O53-N(IFERROR(INDEX('Paramètres'!$T$6:$T$15,MATCH(K53,'Paramètres'!$Q$6:$Q$15,0)),0)))</f>
        <v/>
      </c>
      <c r="Z53" s="123">
        <f>IF(B53="","",((COUNTIFS('Saisie'!$C$5:$C$2004,B53,'Saisie'!$E$5:$E$2004,"Onboarding - Contrat")&gt;0)+(COUNTIFS('Saisie'!$C$5:$C$2004,B53,'Saisie'!$E$5:$E$2004,"Onboarding - Accès")&gt;0)+(COUNTIFS('Saisie'!$C$5:$C$2004,B53,'Saisie'!$E$5:$E$2004,"Onboarding - Contenus")&gt;0)+(COUNTIFS('Saisie'!$C$5:$C$2004,B53,'Saisie'!$E$5:$E$2004,"Onboarding - Lancement")&gt;0))/4)</f>
        <v/>
      </c>
      <c r="AA53" s="60">
        <f>IF(B53="","",IF(COUNTIFS('Saisie'!$C$5:$C$2004,B53,'Saisie'!$E$5:$E$2004,"Demande d'avis Google")&gt;0,"Oui","Non"))</f>
        <v/>
      </c>
      <c r="AB53" s="61">
        <f>IF(B53="","",IFERROR(INDEX('Saisie'!$N$5:$N$2004,_xlfn.MAXIFS('Saisie'!$AS$5:$AS$2004,'Saisie'!$C$5:$C$2004,B53,'Saisie'!$E$5:$E$2004,"Satisfaction client")-4)&amp;"",""))</f>
        <v/>
      </c>
      <c r="AC53" s="106">
        <f>IF(B53="","",IFERROR(1/(1/_xlfn.MAXIFS('Saisie'!$A$5:$A$2004,'Saisie'!$C$5:$C$2004,B53,'Saisie'!$E$5:$E$2004,"Résiliation")),""))</f>
        <v/>
      </c>
      <c r="AD53" s="60">
        <f>IF(D53&lt;&gt;"",MAX($AD$4:AD52)+1,"")</f>
        <v/>
      </c>
    </row>
    <row r="54">
      <c r="A54" s="60">
        <f>IF(B54="","","C-"&amp;TEXT(50,"000"))</f>
        <v/>
      </c>
      <c r="B54" s="60">
        <f>IFERROR(INDEX('Prospects'!$C$5:$C$504,MATCH(50,'Prospects'!$BX$5:$BX$504,0)),"")</f>
        <v/>
      </c>
      <c r="C54" s="60">
        <f>IF(B54="","",IF(AC54&lt;&gt;"","Résilié","Actif"))</f>
        <v/>
      </c>
      <c r="D54" s="60">
        <f>IF(B54="","",IF(C54="Résilié","",IF(R54="En retard","Paiement en retard",IF(AND(V54&lt;&gt;"",N(V54)&lt;='Paramètres'!$B$30,N(V54)&gt;=0),"Renouvellement dans "&amp;V54&amp;" j",IF(AND(AA54="Non",TODAY()-N(L54)&gt;='Paramètres'!$B$29),"Demander un avis Google",IF(Z54&lt;1,"Onboarding à terminer",""))))))</f>
        <v/>
      </c>
      <c r="E54" s="60">
        <f>IF(B54="","",INDEX('Prospects'!$J$5:$J$504,MATCH(B54,'Prospects'!$C$5:$C$504,0))&amp;"")</f>
        <v/>
      </c>
      <c r="F54" s="60">
        <f>IF(B54="","",INDEX('Prospects'!$K$5:$K$504,MATCH(B54,'Prospects'!$C$5:$C$504,0))&amp;"")</f>
        <v/>
      </c>
      <c r="G54" s="60">
        <f>IF(B54="","",INDEX('Prospects'!$N$5:$N$504,MATCH(B54,'Prospects'!$C$5:$C$504,0))&amp;"")</f>
        <v/>
      </c>
      <c r="H54" s="60">
        <f>IF(B54="","",INDEX('Prospects'!$S$5:$S$504,MATCH(B54,'Prospects'!$C$5:$C$504,0))&amp;"")</f>
        <v/>
      </c>
      <c r="I54" s="60">
        <f>IF(B54="","",INDEX('Prospects'!$X$5:$X$504,MATCH(B54,'Prospects'!$C$5:$C$504,0))&amp;"")</f>
        <v/>
      </c>
      <c r="J54" s="60">
        <f>IF(B54="","",INDEX('Prospects'!$Y$5:$Y$504,MATCH(B54,'Prospects'!$C$5:$C$504,0))&amp;"")</f>
        <v/>
      </c>
      <c r="K54" s="60">
        <f>IF(B54="","",INDEX('Prospects'!$AN$5:$AN$504,MATCH(B54,'Prospects'!$C$5:$C$504,0))&amp;"")</f>
        <v/>
      </c>
      <c r="L54" s="106">
        <f>IF(B54="","",INDEX('Prospects'!$AT$5:$AT$504,MATCH(B54,'Prospects'!$C$5:$C$504,0)))</f>
        <v/>
      </c>
      <c r="M54" s="62">
        <f>IF(B54="","",SUMIFS('Saisie'!$AW$5:$AW$2004,'Saisie'!$C$5:$C$2004,B54,'Saisie'!$E$5:$E$2004,"Signature"))</f>
        <v/>
      </c>
      <c r="N54" s="62">
        <f>IF(B54="","",SUMIFS('Saisie'!$AW$5:$AW$2004,'Saisie'!$C$5:$C$2004,B54,'Saisie'!$E$5:$E$2004,"Vente additionnelle"))</f>
        <v/>
      </c>
      <c r="O54" s="62">
        <f>IF(B54="","",M54+N54)</f>
        <v/>
      </c>
      <c r="P54" s="62">
        <f>IF(B54="","",SUMIFS('Saisie'!$AW$5:$AW$2004,'Saisie'!$C$5:$C$2004,B54,'Saisie'!$E$5:$E$2004,"Paiement reçu"))</f>
        <v/>
      </c>
      <c r="Q54" s="62">
        <f>IF(B54="","",MAX(0,O54-P54))</f>
        <v/>
      </c>
      <c r="R54" s="60">
        <f>IF(B54="","",IF(O54=0,"",IF(Q54&lt;=0,"Payé",IF(TODAY()-N(L54)&gt;'Paramètres'!$B$27,"En retard",IF(P54&gt;0,"Partiel","En attente")))))</f>
        <v/>
      </c>
      <c r="S54" s="60">
        <f>IF(B54="","",IFERROR(INDEX('Saisie'!$O$5:$O$2004,_xlfn.MAXIFS('Saisie'!$AS$5:$AS$2004,'Saisie'!$C$5:$C$2004,B54,'Saisie'!$O$5:$O$2004,"&lt;&gt;")-4),""))</f>
        <v/>
      </c>
      <c r="T54" s="62">
        <f>IF(B54="","",N(INDEX('Prospects'!$AO$5:$AO$504,MATCH(B54,'Prospects'!$C$5:$C$504,0))))</f>
        <v/>
      </c>
      <c r="U54" s="106">
        <f>IF(B54="","",IF(L54="","",EDATE(L54,'Paramètres'!$B$33)))</f>
        <v/>
      </c>
      <c r="V54" s="61">
        <f>IF(B54="","",IF(U54="","",U54-TODAY()))</f>
        <v/>
      </c>
      <c r="W54" s="61">
        <f>IF(B54="","",IF(L54="","",INT((TODAY()-L54)/30.44)))</f>
        <v/>
      </c>
      <c r="X54" s="62">
        <f>IF(B54="","",O54+T54*'Paramètres'!$B$34)</f>
        <v/>
      </c>
      <c r="Y54" s="62">
        <f>IF(B54="","",O54-N(IFERROR(INDEX('Paramètres'!$T$6:$T$15,MATCH(K54,'Paramètres'!$Q$6:$Q$15,0)),0)))</f>
        <v/>
      </c>
      <c r="Z54" s="123">
        <f>IF(B54="","",((COUNTIFS('Saisie'!$C$5:$C$2004,B54,'Saisie'!$E$5:$E$2004,"Onboarding - Contrat")&gt;0)+(COUNTIFS('Saisie'!$C$5:$C$2004,B54,'Saisie'!$E$5:$E$2004,"Onboarding - Accès")&gt;0)+(COUNTIFS('Saisie'!$C$5:$C$2004,B54,'Saisie'!$E$5:$E$2004,"Onboarding - Contenus")&gt;0)+(COUNTIFS('Saisie'!$C$5:$C$2004,B54,'Saisie'!$E$5:$E$2004,"Onboarding - Lancement")&gt;0))/4)</f>
        <v/>
      </c>
      <c r="AA54" s="60">
        <f>IF(B54="","",IF(COUNTIFS('Saisie'!$C$5:$C$2004,B54,'Saisie'!$E$5:$E$2004,"Demande d'avis Google")&gt;0,"Oui","Non"))</f>
        <v/>
      </c>
      <c r="AB54" s="61">
        <f>IF(B54="","",IFERROR(INDEX('Saisie'!$N$5:$N$2004,_xlfn.MAXIFS('Saisie'!$AS$5:$AS$2004,'Saisie'!$C$5:$C$2004,B54,'Saisie'!$E$5:$E$2004,"Satisfaction client")-4)&amp;"",""))</f>
        <v/>
      </c>
      <c r="AC54" s="106">
        <f>IF(B54="","",IFERROR(1/(1/_xlfn.MAXIFS('Saisie'!$A$5:$A$2004,'Saisie'!$C$5:$C$2004,B54,'Saisie'!$E$5:$E$2004,"Résiliation")),""))</f>
        <v/>
      </c>
      <c r="AD54" s="60">
        <f>IF(D54&lt;&gt;"",MAX($AD$4:AD53)+1,"")</f>
        <v/>
      </c>
    </row>
    <row r="55">
      <c r="A55" s="60">
        <f>IF(B55="","","C-"&amp;TEXT(51,"000"))</f>
        <v/>
      </c>
      <c r="B55" s="60">
        <f>IFERROR(INDEX('Prospects'!$C$5:$C$504,MATCH(51,'Prospects'!$BX$5:$BX$504,0)),"")</f>
        <v/>
      </c>
      <c r="C55" s="60">
        <f>IF(B55="","",IF(AC55&lt;&gt;"","Résilié","Actif"))</f>
        <v/>
      </c>
      <c r="D55" s="60">
        <f>IF(B55="","",IF(C55="Résilié","",IF(R55="En retard","Paiement en retard",IF(AND(V55&lt;&gt;"",N(V55)&lt;='Paramètres'!$B$30,N(V55)&gt;=0),"Renouvellement dans "&amp;V55&amp;" j",IF(AND(AA55="Non",TODAY()-N(L55)&gt;='Paramètres'!$B$29),"Demander un avis Google",IF(Z55&lt;1,"Onboarding à terminer",""))))))</f>
        <v/>
      </c>
      <c r="E55" s="60">
        <f>IF(B55="","",INDEX('Prospects'!$J$5:$J$504,MATCH(B55,'Prospects'!$C$5:$C$504,0))&amp;"")</f>
        <v/>
      </c>
      <c r="F55" s="60">
        <f>IF(B55="","",INDEX('Prospects'!$K$5:$K$504,MATCH(B55,'Prospects'!$C$5:$C$504,0))&amp;"")</f>
        <v/>
      </c>
      <c r="G55" s="60">
        <f>IF(B55="","",INDEX('Prospects'!$N$5:$N$504,MATCH(B55,'Prospects'!$C$5:$C$504,0))&amp;"")</f>
        <v/>
      </c>
      <c r="H55" s="60">
        <f>IF(B55="","",INDEX('Prospects'!$S$5:$S$504,MATCH(B55,'Prospects'!$C$5:$C$504,0))&amp;"")</f>
        <v/>
      </c>
      <c r="I55" s="60">
        <f>IF(B55="","",INDEX('Prospects'!$X$5:$X$504,MATCH(B55,'Prospects'!$C$5:$C$504,0))&amp;"")</f>
        <v/>
      </c>
      <c r="J55" s="60">
        <f>IF(B55="","",INDEX('Prospects'!$Y$5:$Y$504,MATCH(B55,'Prospects'!$C$5:$C$504,0))&amp;"")</f>
        <v/>
      </c>
      <c r="K55" s="60">
        <f>IF(B55="","",INDEX('Prospects'!$AN$5:$AN$504,MATCH(B55,'Prospects'!$C$5:$C$504,0))&amp;"")</f>
        <v/>
      </c>
      <c r="L55" s="106">
        <f>IF(B55="","",INDEX('Prospects'!$AT$5:$AT$504,MATCH(B55,'Prospects'!$C$5:$C$504,0)))</f>
        <v/>
      </c>
      <c r="M55" s="62">
        <f>IF(B55="","",SUMIFS('Saisie'!$AW$5:$AW$2004,'Saisie'!$C$5:$C$2004,B55,'Saisie'!$E$5:$E$2004,"Signature"))</f>
        <v/>
      </c>
      <c r="N55" s="62">
        <f>IF(B55="","",SUMIFS('Saisie'!$AW$5:$AW$2004,'Saisie'!$C$5:$C$2004,B55,'Saisie'!$E$5:$E$2004,"Vente additionnelle"))</f>
        <v/>
      </c>
      <c r="O55" s="62">
        <f>IF(B55="","",M55+N55)</f>
        <v/>
      </c>
      <c r="P55" s="62">
        <f>IF(B55="","",SUMIFS('Saisie'!$AW$5:$AW$2004,'Saisie'!$C$5:$C$2004,B55,'Saisie'!$E$5:$E$2004,"Paiement reçu"))</f>
        <v/>
      </c>
      <c r="Q55" s="62">
        <f>IF(B55="","",MAX(0,O55-P55))</f>
        <v/>
      </c>
      <c r="R55" s="60">
        <f>IF(B55="","",IF(O55=0,"",IF(Q55&lt;=0,"Payé",IF(TODAY()-N(L55)&gt;'Paramètres'!$B$27,"En retard",IF(P55&gt;0,"Partiel","En attente")))))</f>
        <v/>
      </c>
      <c r="S55" s="60">
        <f>IF(B55="","",IFERROR(INDEX('Saisie'!$O$5:$O$2004,_xlfn.MAXIFS('Saisie'!$AS$5:$AS$2004,'Saisie'!$C$5:$C$2004,B55,'Saisie'!$O$5:$O$2004,"&lt;&gt;")-4),""))</f>
        <v/>
      </c>
      <c r="T55" s="62">
        <f>IF(B55="","",N(INDEX('Prospects'!$AO$5:$AO$504,MATCH(B55,'Prospects'!$C$5:$C$504,0))))</f>
        <v/>
      </c>
      <c r="U55" s="106">
        <f>IF(B55="","",IF(L55="","",EDATE(L55,'Paramètres'!$B$33)))</f>
        <v/>
      </c>
      <c r="V55" s="61">
        <f>IF(B55="","",IF(U55="","",U55-TODAY()))</f>
        <v/>
      </c>
      <c r="W55" s="61">
        <f>IF(B55="","",IF(L55="","",INT((TODAY()-L55)/30.44)))</f>
        <v/>
      </c>
      <c r="X55" s="62">
        <f>IF(B55="","",O55+T55*'Paramètres'!$B$34)</f>
        <v/>
      </c>
      <c r="Y55" s="62">
        <f>IF(B55="","",O55-N(IFERROR(INDEX('Paramètres'!$T$6:$T$15,MATCH(K55,'Paramètres'!$Q$6:$Q$15,0)),0)))</f>
        <v/>
      </c>
      <c r="Z55" s="123">
        <f>IF(B55="","",((COUNTIFS('Saisie'!$C$5:$C$2004,B55,'Saisie'!$E$5:$E$2004,"Onboarding - Contrat")&gt;0)+(COUNTIFS('Saisie'!$C$5:$C$2004,B55,'Saisie'!$E$5:$E$2004,"Onboarding - Accès")&gt;0)+(COUNTIFS('Saisie'!$C$5:$C$2004,B55,'Saisie'!$E$5:$E$2004,"Onboarding - Contenus")&gt;0)+(COUNTIFS('Saisie'!$C$5:$C$2004,B55,'Saisie'!$E$5:$E$2004,"Onboarding - Lancement")&gt;0))/4)</f>
        <v/>
      </c>
      <c r="AA55" s="60">
        <f>IF(B55="","",IF(COUNTIFS('Saisie'!$C$5:$C$2004,B55,'Saisie'!$E$5:$E$2004,"Demande d'avis Google")&gt;0,"Oui","Non"))</f>
        <v/>
      </c>
      <c r="AB55" s="61">
        <f>IF(B55="","",IFERROR(INDEX('Saisie'!$N$5:$N$2004,_xlfn.MAXIFS('Saisie'!$AS$5:$AS$2004,'Saisie'!$C$5:$C$2004,B55,'Saisie'!$E$5:$E$2004,"Satisfaction client")-4)&amp;"",""))</f>
        <v/>
      </c>
      <c r="AC55" s="106">
        <f>IF(B55="","",IFERROR(1/(1/_xlfn.MAXIFS('Saisie'!$A$5:$A$2004,'Saisie'!$C$5:$C$2004,B55,'Saisie'!$E$5:$E$2004,"Résiliation")),""))</f>
        <v/>
      </c>
      <c r="AD55" s="60">
        <f>IF(D55&lt;&gt;"",MAX($AD$4:AD54)+1,"")</f>
        <v/>
      </c>
    </row>
    <row r="56">
      <c r="A56" s="60">
        <f>IF(B56="","","C-"&amp;TEXT(52,"000"))</f>
        <v/>
      </c>
      <c r="B56" s="60">
        <f>IFERROR(INDEX('Prospects'!$C$5:$C$504,MATCH(52,'Prospects'!$BX$5:$BX$504,0)),"")</f>
        <v/>
      </c>
      <c r="C56" s="60">
        <f>IF(B56="","",IF(AC56&lt;&gt;"","Résilié","Actif"))</f>
        <v/>
      </c>
      <c r="D56" s="60">
        <f>IF(B56="","",IF(C56="Résilié","",IF(R56="En retard","Paiement en retard",IF(AND(V56&lt;&gt;"",N(V56)&lt;='Paramètres'!$B$30,N(V56)&gt;=0),"Renouvellement dans "&amp;V56&amp;" j",IF(AND(AA56="Non",TODAY()-N(L56)&gt;='Paramètres'!$B$29),"Demander un avis Google",IF(Z56&lt;1,"Onboarding à terminer",""))))))</f>
        <v/>
      </c>
      <c r="E56" s="60">
        <f>IF(B56="","",INDEX('Prospects'!$J$5:$J$504,MATCH(B56,'Prospects'!$C$5:$C$504,0))&amp;"")</f>
        <v/>
      </c>
      <c r="F56" s="60">
        <f>IF(B56="","",INDEX('Prospects'!$K$5:$K$504,MATCH(B56,'Prospects'!$C$5:$C$504,0))&amp;"")</f>
        <v/>
      </c>
      <c r="G56" s="60">
        <f>IF(B56="","",INDEX('Prospects'!$N$5:$N$504,MATCH(B56,'Prospects'!$C$5:$C$504,0))&amp;"")</f>
        <v/>
      </c>
      <c r="H56" s="60">
        <f>IF(B56="","",INDEX('Prospects'!$S$5:$S$504,MATCH(B56,'Prospects'!$C$5:$C$504,0))&amp;"")</f>
        <v/>
      </c>
      <c r="I56" s="60">
        <f>IF(B56="","",INDEX('Prospects'!$X$5:$X$504,MATCH(B56,'Prospects'!$C$5:$C$504,0))&amp;"")</f>
        <v/>
      </c>
      <c r="J56" s="60">
        <f>IF(B56="","",INDEX('Prospects'!$Y$5:$Y$504,MATCH(B56,'Prospects'!$C$5:$C$504,0))&amp;"")</f>
        <v/>
      </c>
      <c r="K56" s="60">
        <f>IF(B56="","",INDEX('Prospects'!$AN$5:$AN$504,MATCH(B56,'Prospects'!$C$5:$C$504,0))&amp;"")</f>
        <v/>
      </c>
      <c r="L56" s="106">
        <f>IF(B56="","",INDEX('Prospects'!$AT$5:$AT$504,MATCH(B56,'Prospects'!$C$5:$C$504,0)))</f>
        <v/>
      </c>
      <c r="M56" s="62">
        <f>IF(B56="","",SUMIFS('Saisie'!$AW$5:$AW$2004,'Saisie'!$C$5:$C$2004,B56,'Saisie'!$E$5:$E$2004,"Signature"))</f>
        <v/>
      </c>
      <c r="N56" s="62">
        <f>IF(B56="","",SUMIFS('Saisie'!$AW$5:$AW$2004,'Saisie'!$C$5:$C$2004,B56,'Saisie'!$E$5:$E$2004,"Vente additionnelle"))</f>
        <v/>
      </c>
      <c r="O56" s="62">
        <f>IF(B56="","",M56+N56)</f>
        <v/>
      </c>
      <c r="P56" s="62">
        <f>IF(B56="","",SUMIFS('Saisie'!$AW$5:$AW$2004,'Saisie'!$C$5:$C$2004,B56,'Saisie'!$E$5:$E$2004,"Paiement reçu"))</f>
        <v/>
      </c>
      <c r="Q56" s="62">
        <f>IF(B56="","",MAX(0,O56-P56))</f>
        <v/>
      </c>
      <c r="R56" s="60">
        <f>IF(B56="","",IF(O56=0,"",IF(Q56&lt;=0,"Payé",IF(TODAY()-N(L56)&gt;'Paramètres'!$B$27,"En retard",IF(P56&gt;0,"Partiel","En attente")))))</f>
        <v/>
      </c>
      <c r="S56" s="60">
        <f>IF(B56="","",IFERROR(INDEX('Saisie'!$O$5:$O$2004,_xlfn.MAXIFS('Saisie'!$AS$5:$AS$2004,'Saisie'!$C$5:$C$2004,B56,'Saisie'!$O$5:$O$2004,"&lt;&gt;")-4),""))</f>
        <v/>
      </c>
      <c r="T56" s="62">
        <f>IF(B56="","",N(INDEX('Prospects'!$AO$5:$AO$504,MATCH(B56,'Prospects'!$C$5:$C$504,0))))</f>
        <v/>
      </c>
      <c r="U56" s="106">
        <f>IF(B56="","",IF(L56="","",EDATE(L56,'Paramètres'!$B$33)))</f>
        <v/>
      </c>
      <c r="V56" s="61">
        <f>IF(B56="","",IF(U56="","",U56-TODAY()))</f>
        <v/>
      </c>
      <c r="W56" s="61">
        <f>IF(B56="","",IF(L56="","",INT((TODAY()-L56)/30.44)))</f>
        <v/>
      </c>
      <c r="X56" s="62">
        <f>IF(B56="","",O56+T56*'Paramètres'!$B$34)</f>
        <v/>
      </c>
      <c r="Y56" s="62">
        <f>IF(B56="","",O56-N(IFERROR(INDEX('Paramètres'!$T$6:$T$15,MATCH(K56,'Paramètres'!$Q$6:$Q$15,0)),0)))</f>
        <v/>
      </c>
      <c r="Z56" s="123">
        <f>IF(B56="","",((COUNTIFS('Saisie'!$C$5:$C$2004,B56,'Saisie'!$E$5:$E$2004,"Onboarding - Contrat")&gt;0)+(COUNTIFS('Saisie'!$C$5:$C$2004,B56,'Saisie'!$E$5:$E$2004,"Onboarding - Accès")&gt;0)+(COUNTIFS('Saisie'!$C$5:$C$2004,B56,'Saisie'!$E$5:$E$2004,"Onboarding - Contenus")&gt;0)+(COUNTIFS('Saisie'!$C$5:$C$2004,B56,'Saisie'!$E$5:$E$2004,"Onboarding - Lancement")&gt;0))/4)</f>
        <v/>
      </c>
      <c r="AA56" s="60">
        <f>IF(B56="","",IF(COUNTIFS('Saisie'!$C$5:$C$2004,B56,'Saisie'!$E$5:$E$2004,"Demande d'avis Google")&gt;0,"Oui","Non"))</f>
        <v/>
      </c>
      <c r="AB56" s="61">
        <f>IF(B56="","",IFERROR(INDEX('Saisie'!$N$5:$N$2004,_xlfn.MAXIFS('Saisie'!$AS$5:$AS$2004,'Saisie'!$C$5:$C$2004,B56,'Saisie'!$E$5:$E$2004,"Satisfaction client")-4)&amp;"",""))</f>
        <v/>
      </c>
      <c r="AC56" s="106">
        <f>IF(B56="","",IFERROR(1/(1/_xlfn.MAXIFS('Saisie'!$A$5:$A$2004,'Saisie'!$C$5:$C$2004,B56,'Saisie'!$E$5:$E$2004,"Résiliation")),""))</f>
        <v/>
      </c>
      <c r="AD56" s="60">
        <f>IF(D56&lt;&gt;"",MAX($AD$4:AD55)+1,"")</f>
        <v/>
      </c>
    </row>
    <row r="57">
      <c r="A57" s="60">
        <f>IF(B57="","","C-"&amp;TEXT(53,"000"))</f>
        <v/>
      </c>
      <c r="B57" s="60">
        <f>IFERROR(INDEX('Prospects'!$C$5:$C$504,MATCH(53,'Prospects'!$BX$5:$BX$504,0)),"")</f>
        <v/>
      </c>
      <c r="C57" s="60">
        <f>IF(B57="","",IF(AC57&lt;&gt;"","Résilié","Actif"))</f>
        <v/>
      </c>
      <c r="D57" s="60">
        <f>IF(B57="","",IF(C57="Résilié","",IF(R57="En retard","Paiement en retard",IF(AND(V57&lt;&gt;"",N(V57)&lt;='Paramètres'!$B$30,N(V57)&gt;=0),"Renouvellement dans "&amp;V57&amp;" j",IF(AND(AA57="Non",TODAY()-N(L57)&gt;='Paramètres'!$B$29),"Demander un avis Google",IF(Z57&lt;1,"Onboarding à terminer",""))))))</f>
        <v/>
      </c>
      <c r="E57" s="60">
        <f>IF(B57="","",INDEX('Prospects'!$J$5:$J$504,MATCH(B57,'Prospects'!$C$5:$C$504,0))&amp;"")</f>
        <v/>
      </c>
      <c r="F57" s="60">
        <f>IF(B57="","",INDEX('Prospects'!$K$5:$K$504,MATCH(B57,'Prospects'!$C$5:$C$504,0))&amp;"")</f>
        <v/>
      </c>
      <c r="G57" s="60">
        <f>IF(B57="","",INDEX('Prospects'!$N$5:$N$504,MATCH(B57,'Prospects'!$C$5:$C$504,0))&amp;"")</f>
        <v/>
      </c>
      <c r="H57" s="60">
        <f>IF(B57="","",INDEX('Prospects'!$S$5:$S$504,MATCH(B57,'Prospects'!$C$5:$C$504,0))&amp;"")</f>
        <v/>
      </c>
      <c r="I57" s="60">
        <f>IF(B57="","",INDEX('Prospects'!$X$5:$X$504,MATCH(B57,'Prospects'!$C$5:$C$504,0))&amp;"")</f>
        <v/>
      </c>
      <c r="J57" s="60">
        <f>IF(B57="","",INDEX('Prospects'!$Y$5:$Y$504,MATCH(B57,'Prospects'!$C$5:$C$504,0))&amp;"")</f>
        <v/>
      </c>
      <c r="K57" s="60">
        <f>IF(B57="","",INDEX('Prospects'!$AN$5:$AN$504,MATCH(B57,'Prospects'!$C$5:$C$504,0))&amp;"")</f>
        <v/>
      </c>
      <c r="L57" s="106">
        <f>IF(B57="","",INDEX('Prospects'!$AT$5:$AT$504,MATCH(B57,'Prospects'!$C$5:$C$504,0)))</f>
        <v/>
      </c>
      <c r="M57" s="62">
        <f>IF(B57="","",SUMIFS('Saisie'!$AW$5:$AW$2004,'Saisie'!$C$5:$C$2004,B57,'Saisie'!$E$5:$E$2004,"Signature"))</f>
        <v/>
      </c>
      <c r="N57" s="62">
        <f>IF(B57="","",SUMIFS('Saisie'!$AW$5:$AW$2004,'Saisie'!$C$5:$C$2004,B57,'Saisie'!$E$5:$E$2004,"Vente additionnelle"))</f>
        <v/>
      </c>
      <c r="O57" s="62">
        <f>IF(B57="","",M57+N57)</f>
        <v/>
      </c>
      <c r="P57" s="62">
        <f>IF(B57="","",SUMIFS('Saisie'!$AW$5:$AW$2004,'Saisie'!$C$5:$C$2004,B57,'Saisie'!$E$5:$E$2004,"Paiement reçu"))</f>
        <v/>
      </c>
      <c r="Q57" s="62">
        <f>IF(B57="","",MAX(0,O57-P57))</f>
        <v/>
      </c>
      <c r="R57" s="60">
        <f>IF(B57="","",IF(O57=0,"",IF(Q57&lt;=0,"Payé",IF(TODAY()-N(L57)&gt;'Paramètres'!$B$27,"En retard",IF(P57&gt;0,"Partiel","En attente")))))</f>
        <v/>
      </c>
      <c r="S57" s="60">
        <f>IF(B57="","",IFERROR(INDEX('Saisie'!$O$5:$O$2004,_xlfn.MAXIFS('Saisie'!$AS$5:$AS$2004,'Saisie'!$C$5:$C$2004,B57,'Saisie'!$O$5:$O$2004,"&lt;&gt;")-4),""))</f>
        <v/>
      </c>
      <c r="T57" s="62">
        <f>IF(B57="","",N(INDEX('Prospects'!$AO$5:$AO$504,MATCH(B57,'Prospects'!$C$5:$C$504,0))))</f>
        <v/>
      </c>
      <c r="U57" s="106">
        <f>IF(B57="","",IF(L57="","",EDATE(L57,'Paramètres'!$B$33)))</f>
        <v/>
      </c>
      <c r="V57" s="61">
        <f>IF(B57="","",IF(U57="","",U57-TODAY()))</f>
        <v/>
      </c>
      <c r="W57" s="61">
        <f>IF(B57="","",IF(L57="","",INT((TODAY()-L57)/30.44)))</f>
        <v/>
      </c>
      <c r="X57" s="62">
        <f>IF(B57="","",O57+T57*'Paramètres'!$B$34)</f>
        <v/>
      </c>
      <c r="Y57" s="62">
        <f>IF(B57="","",O57-N(IFERROR(INDEX('Paramètres'!$T$6:$T$15,MATCH(K57,'Paramètres'!$Q$6:$Q$15,0)),0)))</f>
        <v/>
      </c>
      <c r="Z57" s="123">
        <f>IF(B57="","",((COUNTIFS('Saisie'!$C$5:$C$2004,B57,'Saisie'!$E$5:$E$2004,"Onboarding - Contrat")&gt;0)+(COUNTIFS('Saisie'!$C$5:$C$2004,B57,'Saisie'!$E$5:$E$2004,"Onboarding - Accès")&gt;0)+(COUNTIFS('Saisie'!$C$5:$C$2004,B57,'Saisie'!$E$5:$E$2004,"Onboarding - Contenus")&gt;0)+(COUNTIFS('Saisie'!$C$5:$C$2004,B57,'Saisie'!$E$5:$E$2004,"Onboarding - Lancement")&gt;0))/4)</f>
        <v/>
      </c>
      <c r="AA57" s="60">
        <f>IF(B57="","",IF(COUNTIFS('Saisie'!$C$5:$C$2004,B57,'Saisie'!$E$5:$E$2004,"Demande d'avis Google")&gt;0,"Oui","Non"))</f>
        <v/>
      </c>
      <c r="AB57" s="61">
        <f>IF(B57="","",IFERROR(INDEX('Saisie'!$N$5:$N$2004,_xlfn.MAXIFS('Saisie'!$AS$5:$AS$2004,'Saisie'!$C$5:$C$2004,B57,'Saisie'!$E$5:$E$2004,"Satisfaction client")-4)&amp;"",""))</f>
        <v/>
      </c>
      <c r="AC57" s="106">
        <f>IF(B57="","",IFERROR(1/(1/_xlfn.MAXIFS('Saisie'!$A$5:$A$2004,'Saisie'!$C$5:$C$2004,B57,'Saisie'!$E$5:$E$2004,"Résiliation")),""))</f>
        <v/>
      </c>
      <c r="AD57" s="60">
        <f>IF(D57&lt;&gt;"",MAX($AD$4:AD56)+1,"")</f>
        <v/>
      </c>
    </row>
    <row r="58">
      <c r="A58" s="60">
        <f>IF(B58="","","C-"&amp;TEXT(54,"000"))</f>
        <v/>
      </c>
      <c r="B58" s="60">
        <f>IFERROR(INDEX('Prospects'!$C$5:$C$504,MATCH(54,'Prospects'!$BX$5:$BX$504,0)),"")</f>
        <v/>
      </c>
      <c r="C58" s="60">
        <f>IF(B58="","",IF(AC58&lt;&gt;"","Résilié","Actif"))</f>
        <v/>
      </c>
      <c r="D58" s="60">
        <f>IF(B58="","",IF(C58="Résilié","",IF(R58="En retard","Paiement en retard",IF(AND(V58&lt;&gt;"",N(V58)&lt;='Paramètres'!$B$30,N(V58)&gt;=0),"Renouvellement dans "&amp;V58&amp;" j",IF(AND(AA58="Non",TODAY()-N(L58)&gt;='Paramètres'!$B$29),"Demander un avis Google",IF(Z58&lt;1,"Onboarding à terminer",""))))))</f>
        <v/>
      </c>
      <c r="E58" s="60">
        <f>IF(B58="","",INDEX('Prospects'!$J$5:$J$504,MATCH(B58,'Prospects'!$C$5:$C$504,0))&amp;"")</f>
        <v/>
      </c>
      <c r="F58" s="60">
        <f>IF(B58="","",INDEX('Prospects'!$K$5:$K$504,MATCH(B58,'Prospects'!$C$5:$C$504,0))&amp;"")</f>
        <v/>
      </c>
      <c r="G58" s="60">
        <f>IF(B58="","",INDEX('Prospects'!$N$5:$N$504,MATCH(B58,'Prospects'!$C$5:$C$504,0))&amp;"")</f>
        <v/>
      </c>
      <c r="H58" s="60">
        <f>IF(B58="","",INDEX('Prospects'!$S$5:$S$504,MATCH(B58,'Prospects'!$C$5:$C$504,0))&amp;"")</f>
        <v/>
      </c>
      <c r="I58" s="60">
        <f>IF(B58="","",INDEX('Prospects'!$X$5:$X$504,MATCH(B58,'Prospects'!$C$5:$C$504,0))&amp;"")</f>
        <v/>
      </c>
      <c r="J58" s="60">
        <f>IF(B58="","",INDEX('Prospects'!$Y$5:$Y$504,MATCH(B58,'Prospects'!$C$5:$C$504,0))&amp;"")</f>
        <v/>
      </c>
      <c r="K58" s="60">
        <f>IF(B58="","",INDEX('Prospects'!$AN$5:$AN$504,MATCH(B58,'Prospects'!$C$5:$C$504,0))&amp;"")</f>
        <v/>
      </c>
      <c r="L58" s="106">
        <f>IF(B58="","",INDEX('Prospects'!$AT$5:$AT$504,MATCH(B58,'Prospects'!$C$5:$C$504,0)))</f>
        <v/>
      </c>
      <c r="M58" s="62">
        <f>IF(B58="","",SUMIFS('Saisie'!$AW$5:$AW$2004,'Saisie'!$C$5:$C$2004,B58,'Saisie'!$E$5:$E$2004,"Signature"))</f>
        <v/>
      </c>
      <c r="N58" s="62">
        <f>IF(B58="","",SUMIFS('Saisie'!$AW$5:$AW$2004,'Saisie'!$C$5:$C$2004,B58,'Saisie'!$E$5:$E$2004,"Vente additionnelle"))</f>
        <v/>
      </c>
      <c r="O58" s="62">
        <f>IF(B58="","",M58+N58)</f>
        <v/>
      </c>
      <c r="P58" s="62">
        <f>IF(B58="","",SUMIFS('Saisie'!$AW$5:$AW$2004,'Saisie'!$C$5:$C$2004,B58,'Saisie'!$E$5:$E$2004,"Paiement reçu"))</f>
        <v/>
      </c>
      <c r="Q58" s="62">
        <f>IF(B58="","",MAX(0,O58-P58))</f>
        <v/>
      </c>
      <c r="R58" s="60">
        <f>IF(B58="","",IF(O58=0,"",IF(Q58&lt;=0,"Payé",IF(TODAY()-N(L58)&gt;'Paramètres'!$B$27,"En retard",IF(P58&gt;0,"Partiel","En attente")))))</f>
        <v/>
      </c>
      <c r="S58" s="60">
        <f>IF(B58="","",IFERROR(INDEX('Saisie'!$O$5:$O$2004,_xlfn.MAXIFS('Saisie'!$AS$5:$AS$2004,'Saisie'!$C$5:$C$2004,B58,'Saisie'!$O$5:$O$2004,"&lt;&gt;")-4),""))</f>
        <v/>
      </c>
      <c r="T58" s="62">
        <f>IF(B58="","",N(INDEX('Prospects'!$AO$5:$AO$504,MATCH(B58,'Prospects'!$C$5:$C$504,0))))</f>
        <v/>
      </c>
      <c r="U58" s="106">
        <f>IF(B58="","",IF(L58="","",EDATE(L58,'Paramètres'!$B$33)))</f>
        <v/>
      </c>
      <c r="V58" s="61">
        <f>IF(B58="","",IF(U58="","",U58-TODAY()))</f>
        <v/>
      </c>
      <c r="W58" s="61">
        <f>IF(B58="","",IF(L58="","",INT((TODAY()-L58)/30.44)))</f>
        <v/>
      </c>
      <c r="X58" s="62">
        <f>IF(B58="","",O58+T58*'Paramètres'!$B$34)</f>
        <v/>
      </c>
      <c r="Y58" s="62">
        <f>IF(B58="","",O58-N(IFERROR(INDEX('Paramètres'!$T$6:$T$15,MATCH(K58,'Paramètres'!$Q$6:$Q$15,0)),0)))</f>
        <v/>
      </c>
      <c r="Z58" s="123">
        <f>IF(B58="","",((COUNTIFS('Saisie'!$C$5:$C$2004,B58,'Saisie'!$E$5:$E$2004,"Onboarding - Contrat")&gt;0)+(COUNTIFS('Saisie'!$C$5:$C$2004,B58,'Saisie'!$E$5:$E$2004,"Onboarding - Accès")&gt;0)+(COUNTIFS('Saisie'!$C$5:$C$2004,B58,'Saisie'!$E$5:$E$2004,"Onboarding - Contenus")&gt;0)+(COUNTIFS('Saisie'!$C$5:$C$2004,B58,'Saisie'!$E$5:$E$2004,"Onboarding - Lancement")&gt;0))/4)</f>
        <v/>
      </c>
      <c r="AA58" s="60">
        <f>IF(B58="","",IF(COUNTIFS('Saisie'!$C$5:$C$2004,B58,'Saisie'!$E$5:$E$2004,"Demande d'avis Google")&gt;0,"Oui","Non"))</f>
        <v/>
      </c>
      <c r="AB58" s="61">
        <f>IF(B58="","",IFERROR(INDEX('Saisie'!$N$5:$N$2004,_xlfn.MAXIFS('Saisie'!$AS$5:$AS$2004,'Saisie'!$C$5:$C$2004,B58,'Saisie'!$E$5:$E$2004,"Satisfaction client")-4)&amp;"",""))</f>
        <v/>
      </c>
      <c r="AC58" s="106">
        <f>IF(B58="","",IFERROR(1/(1/_xlfn.MAXIFS('Saisie'!$A$5:$A$2004,'Saisie'!$C$5:$C$2004,B58,'Saisie'!$E$5:$E$2004,"Résiliation")),""))</f>
        <v/>
      </c>
      <c r="AD58" s="60">
        <f>IF(D58&lt;&gt;"",MAX($AD$4:AD57)+1,"")</f>
        <v/>
      </c>
    </row>
    <row r="59">
      <c r="A59" s="60">
        <f>IF(B59="","","C-"&amp;TEXT(55,"000"))</f>
        <v/>
      </c>
      <c r="B59" s="60">
        <f>IFERROR(INDEX('Prospects'!$C$5:$C$504,MATCH(55,'Prospects'!$BX$5:$BX$504,0)),"")</f>
        <v/>
      </c>
      <c r="C59" s="60">
        <f>IF(B59="","",IF(AC59&lt;&gt;"","Résilié","Actif"))</f>
        <v/>
      </c>
      <c r="D59" s="60">
        <f>IF(B59="","",IF(C59="Résilié","",IF(R59="En retard","Paiement en retard",IF(AND(V59&lt;&gt;"",N(V59)&lt;='Paramètres'!$B$30,N(V59)&gt;=0),"Renouvellement dans "&amp;V59&amp;" j",IF(AND(AA59="Non",TODAY()-N(L59)&gt;='Paramètres'!$B$29),"Demander un avis Google",IF(Z59&lt;1,"Onboarding à terminer",""))))))</f>
        <v/>
      </c>
      <c r="E59" s="60">
        <f>IF(B59="","",INDEX('Prospects'!$J$5:$J$504,MATCH(B59,'Prospects'!$C$5:$C$504,0))&amp;"")</f>
        <v/>
      </c>
      <c r="F59" s="60">
        <f>IF(B59="","",INDEX('Prospects'!$K$5:$K$504,MATCH(B59,'Prospects'!$C$5:$C$504,0))&amp;"")</f>
        <v/>
      </c>
      <c r="G59" s="60">
        <f>IF(B59="","",INDEX('Prospects'!$N$5:$N$504,MATCH(B59,'Prospects'!$C$5:$C$504,0))&amp;"")</f>
        <v/>
      </c>
      <c r="H59" s="60">
        <f>IF(B59="","",INDEX('Prospects'!$S$5:$S$504,MATCH(B59,'Prospects'!$C$5:$C$504,0))&amp;"")</f>
        <v/>
      </c>
      <c r="I59" s="60">
        <f>IF(B59="","",INDEX('Prospects'!$X$5:$X$504,MATCH(B59,'Prospects'!$C$5:$C$504,0))&amp;"")</f>
        <v/>
      </c>
      <c r="J59" s="60">
        <f>IF(B59="","",INDEX('Prospects'!$Y$5:$Y$504,MATCH(B59,'Prospects'!$C$5:$C$504,0))&amp;"")</f>
        <v/>
      </c>
      <c r="K59" s="60">
        <f>IF(B59="","",INDEX('Prospects'!$AN$5:$AN$504,MATCH(B59,'Prospects'!$C$5:$C$504,0))&amp;"")</f>
        <v/>
      </c>
      <c r="L59" s="106">
        <f>IF(B59="","",INDEX('Prospects'!$AT$5:$AT$504,MATCH(B59,'Prospects'!$C$5:$C$504,0)))</f>
        <v/>
      </c>
      <c r="M59" s="62">
        <f>IF(B59="","",SUMIFS('Saisie'!$AW$5:$AW$2004,'Saisie'!$C$5:$C$2004,B59,'Saisie'!$E$5:$E$2004,"Signature"))</f>
        <v/>
      </c>
      <c r="N59" s="62">
        <f>IF(B59="","",SUMIFS('Saisie'!$AW$5:$AW$2004,'Saisie'!$C$5:$C$2004,B59,'Saisie'!$E$5:$E$2004,"Vente additionnelle"))</f>
        <v/>
      </c>
      <c r="O59" s="62">
        <f>IF(B59="","",M59+N59)</f>
        <v/>
      </c>
      <c r="P59" s="62">
        <f>IF(B59="","",SUMIFS('Saisie'!$AW$5:$AW$2004,'Saisie'!$C$5:$C$2004,B59,'Saisie'!$E$5:$E$2004,"Paiement reçu"))</f>
        <v/>
      </c>
      <c r="Q59" s="62">
        <f>IF(B59="","",MAX(0,O59-P59))</f>
        <v/>
      </c>
      <c r="R59" s="60">
        <f>IF(B59="","",IF(O59=0,"",IF(Q59&lt;=0,"Payé",IF(TODAY()-N(L59)&gt;'Paramètres'!$B$27,"En retard",IF(P59&gt;0,"Partiel","En attente")))))</f>
        <v/>
      </c>
      <c r="S59" s="60">
        <f>IF(B59="","",IFERROR(INDEX('Saisie'!$O$5:$O$2004,_xlfn.MAXIFS('Saisie'!$AS$5:$AS$2004,'Saisie'!$C$5:$C$2004,B59,'Saisie'!$O$5:$O$2004,"&lt;&gt;")-4),""))</f>
        <v/>
      </c>
      <c r="T59" s="62">
        <f>IF(B59="","",N(INDEX('Prospects'!$AO$5:$AO$504,MATCH(B59,'Prospects'!$C$5:$C$504,0))))</f>
        <v/>
      </c>
      <c r="U59" s="106">
        <f>IF(B59="","",IF(L59="","",EDATE(L59,'Paramètres'!$B$33)))</f>
        <v/>
      </c>
      <c r="V59" s="61">
        <f>IF(B59="","",IF(U59="","",U59-TODAY()))</f>
        <v/>
      </c>
      <c r="W59" s="61">
        <f>IF(B59="","",IF(L59="","",INT((TODAY()-L59)/30.44)))</f>
        <v/>
      </c>
      <c r="X59" s="62">
        <f>IF(B59="","",O59+T59*'Paramètres'!$B$34)</f>
        <v/>
      </c>
      <c r="Y59" s="62">
        <f>IF(B59="","",O59-N(IFERROR(INDEX('Paramètres'!$T$6:$T$15,MATCH(K59,'Paramètres'!$Q$6:$Q$15,0)),0)))</f>
        <v/>
      </c>
      <c r="Z59" s="123">
        <f>IF(B59="","",((COUNTIFS('Saisie'!$C$5:$C$2004,B59,'Saisie'!$E$5:$E$2004,"Onboarding - Contrat")&gt;0)+(COUNTIFS('Saisie'!$C$5:$C$2004,B59,'Saisie'!$E$5:$E$2004,"Onboarding - Accès")&gt;0)+(COUNTIFS('Saisie'!$C$5:$C$2004,B59,'Saisie'!$E$5:$E$2004,"Onboarding - Contenus")&gt;0)+(COUNTIFS('Saisie'!$C$5:$C$2004,B59,'Saisie'!$E$5:$E$2004,"Onboarding - Lancement")&gt;0))/4)</f>
        <v/>
      </c>
      <c r="AA59" s="60">
        <f>IF(B59="","",IF(COUNTIFS('Saisie'!$C$5:$C$2004,B59,'Saisie'!$E$5:$E$2004,"Demande d'avis Google")&gt;0,"Oui","Non"))</f>
        <v/>
      </c>
      <c r="AB59" s="61">
        <f>IF(B59="","",IFERROR(INDEX('Saisie'!$N$5:$N$2004,_xlfn.MAXIFS('Saisie'!$AS$5:$AS$2004,'Saisie'!$C$5:$C$2004,B59,'Saisie'!$E$5:$E$2004,"Satisfaction client")-4)&amp;"",""))</f>
        <v/>
      </c>
      <c r="AC59" s="106">
        <f>IF(B59="","",IFERROR(1/(1/_xlfn.MAXIFS('Saisie'!$A$5:$A$2004,'Saisie'!$C$5:$C$2004,B59,'Saisie'!$E$5:$E$2004,"Résiliation")),""))</f>
        <v/>
      </c>
      <c r="AD59" s="60">
        <f>IF(D59&lt;&gt;"",MAX($AD$4:AD58)+1,"")</f>
        <v/>
      </c>
    </row>
    <row r="60">
      <c r="A60" s="60">
        <f>IF(B60="","","C-"&amp;TEXT(56,"000"))</f>
        <v/>
      </c>
      <c r="B60" s="60">
        <f>IFERROR(INDEX('Prospects'!$C$5:$C$504,MATCH(56,'Prospects'!$BX$5:$BX$504,0)),"")</f>
        <v/>
      </c>
      <c r="C60" s="60">
        <f>IF(B60="","",IF(AC60&lt;&gt;"","Résilié","Actif"))</f>
        <v/>
      </c>
      <c r="D60" s="60">
        <f>IF(B60="","",IF(C60="Résilié","",IF(R60="En retard","Paiement en retard",IF(AND(V60&lt;&gt;"",N(V60)&lt;='Paramètres'!$B$30,N(V60)&gt;=0),"Renouvellement dans "&amp;V60&amp;" j",IF(AND(AA60="Non",TODAY()-N(L60)&gt;='Paramètres'!$B$29),"Demander un avis Google",IF(Z60&lt;1,"Onboarding à terminer",""))))))</f>
        <v/>
      </c>
      <c r="E60" s="60">
        <f>IF(B60="","",INDEX('Prospects'!$J$5:$J$504,MATCH(B60,'Prospects'!$C$5:$C$504,0))&amp;"")</f>
        <v/>
      </c>
      <c r="F60" s="60">
        <f>IF(B60="","",INDEX('Prospects'!$K$5:$K$504,MATCH(B60,'Prospects'!$C$5:$C$504,0))&amp;"")</f>
        <v/>
      </c>
      <c r="G60" s="60">
        <f>IF(B60="","",INDEX('Prospects'!$N$5:$N$504,MATCH(B60,'Prospects'!$C$5:$C$504,0))&amp;"")</f>
        <v/>
      </c>
      <c r="H60" s="60">
        <f>IF(B60="","",INDEX('Prospects'!$S$5:$S$504,MATCH(B60,'Prospects'!$C$5:$C$504,0))&amp;"")</f>
        <v/>
      </c>
      <c r="I60" s="60">
        <f>IF(B60="","",INDEX('Prospects'!$X$5:$X$504,MATCH(B60,'Prospects'!$C$5:$C$504,0))&amp;"")</f>
        <v/>
      </c>
      <c r="J60" s="60">
        <f>IF(B60="","",INDEX('Prospects'!$Y$5:$Y$504,MATCH(B60,'Prospects'!$C$5:$C$504,0))&amp;"")</f>
        <v/>
      </c>
      <c r="K60" s="60">
        <f>IF(B60="","",INDEX('Prospects'!$AN$5:$AN$504,MATCH(B60,'Prospects'!$C$5:$C$504,0))&amp;"")</f>
        <v/>
      </c>
      <c r="L60" s="106">
        <f>IF(B60="","",INDEX('Prospects'!$AT$5:$AT$504,MATCH(B60,'Prospects'!$C$5:$C$504,0)))</f>
        <v/>
      </c>
      <c r="M60" s="62">
        <f>IF(B60="","",SUMIFS('Saisie'!$AW$5:$AW$2004,'Saisie'!$C$5:$C$2004,B60,'Saisie'!$E$5:$E$2004,"Signature"))</f>
        <v/>
      </c>
      <c r="N60" s="62">
        <f>IF(B60="","",SUMIFS('Saisie'!$AW$5:$AW$2004,'Saisie'!$C$5:$C$2004,B60,'Saisie'!$E$5:$E$2004,"Vente additionnelle"))</f>
        <v/>
      </c>
      <c r="O60" s="62">
        <f>IF(B60="","",M60+N60)</f>
        <v/>
      </c>
      <c r="P60" s="62">
        <f>IF(B60="","",SUMIFS('Saisie'!$AW$5:$AW$2004,'Saisie'!$C$5:$C$2004,B60,'Saisie'!$E$5:$E$2004,"Paiement reçu"))</f>
        <v/>
      </c>
      <c r="Q60" s="62">
        <f>IF(B60="","",MAX(0,O60-P60))</f>
        <v/>
      </c>
      <c r="R60" s="60">
        <f>IF(B60="","",IF(O60=0,"",IF(Q60&lt;=0,"Payé",IF(TODAY()-N(L60)&gt;'Paramètres'!$B$27,"En retard",IF(P60&gt;0,"Partiel","En attente")))))</f>
        <v/>
      </c>
      <c r="S60" s="60">
        <f>IF(B60="","",IFERROR(INDEX('Saisie'!$O$5:$O$2004,_xlfn.MAXIFS('Saisie'!$AS$5:$AS$2004,'Saisie'!$C$5:$C$2004,B60,'Saisie'!$O$5:$O$2004,"&lt;&gt;")-4),""))</f>
        <v/>
      </c>
      <c r="T60" s="62">
        <f>IF(B60="","",N(INDEX('Prospects'!$AO$5:$AO$504,MATCH(B60,'Prospects'!$C$5:$C$504,0))))</f>
        <v/>
      </c>
      <c r="U60" s="106">
        <f>IF(B60="","",IF(L60="","",EDATE(L60,'Paramètres'!$B$33)))</f>
        <v/>
      </c>
      <c r="V60" s="61">
        <f>IF(B60="","",IF(U60="","",U60-TODAY()))</f>
        <v/>
      </c>
      <c r="W60" s="61">
        <f>IF(B60="","",IF(L60="","",INT((TODAY()-L60)/30.44)))</f>
        <v/>
      </c>
      <c r="X60" s="62">
        <f>IF(B60="","",O60+T60*'Paramètres'!$B$34)</f>
        <v/>
      </c>
      <c r="Y60" s="62">
        <f>IF(B60="","",O60-N(IFERROR(INDEX('Paramètres'!$T$6:$T$15,MATCH(K60,'Paramètres'!$Q$6:$Q$15,0)),0)))</f>
        <v/>
      </c>
      <c r="Z60" s="123">
        <f>IF(B60="","",((COUNTIFS('Saisie'!$C$5:$C$2004,B60,'Saisie'!$E$5:$E$2004,"Onboarding - Contrat")&gt;0)+(COUNTIFS('Saisie'!$C$5:$C$2004,B60,'Saisie'!$E$5:$E$2004,"Onboarding - Accès")&gt;0)+(COUNTIFS('Saisie'!$C$5:$C$2004,B60,'Saisie'!$E$5:$E$2004,"Onboarding - Contenus")&gt;0)+(COUNTIFS('Saisie'!$C$5:$C$2004,B60,'Saisie'!$E$5:$E$2004,"Onboarding - Lancement")&gt;0))/4)</f>
        <v/>
      </c>
      <c r="AA60" s="60">
        <f>IF(B60="","",IF(COUNTIFS('Saisie'!$C$5:$C$2004,B60,'Saisie'!$E$5:$E$2004,"Demande d'avis Google")&gt;0,"Oui","Non"))</f>
        <v/>
      </c>
      <c r="AB60" s="61">
        <f>IF(B60="","",IFERROR(INDEX('Saisie'!$N$5:$N$2004,_xlfn.MAXIFS('Saisie'!$AS$5:$AS$2004,'Saisie'!$C$5:$C$2004,B60,'Saisie'!$E$5:$E$2004,"Satisfaction client")-4)&amp;"",""))</f>
        <v/>
      </c>
      <c r="AC60" s="106">
        <f>IF(B60="","",IFERROR(1/(1/_xlfn.MAXIFS('Saisie'!$A$5:$A$2004,'Saisie'!$C$5:$C$2004,B60,'Saisie'!$E$5:$E$2004,"Résiliation")),""))</f>
        <v/>
      </c>
      <c r="AD60" s="60">
        <f>IF(D60&lt;&gt;"",MAX($AD$4:AD59)+1,"")</f>
        <v/>
      </c>
    </row>
    <row r="61">
      <c r="A61" s="60">
        <f>IF(B61="","","C-"&amp;TEXT(57,"000"))</f>
        <v/>
      </c>
      <c r="B61" s="60">
        <f>IFERROR(INDEX('Prospects'!$C$5:$C$504,MATCH(57,'Prospects'!$BX$5:$BX$504,0)),"")</f>
        <v/>
      </c>
      <c r="C61" s="60">
        <f>IF(B61="","",IF(AC61&lt;&gt;"","Résilié","Actif"))</f>
        <v/>
      </c>
      <c r="D61" s="60">
        <f>IF(B61="","",IF(C61="Résilié","",IF(R61="En retard","Paiement en retard",IF(AND(V61&lt;&gt;"",N(V61)&lt;='Paramètres'!$B$30,N(V61)&gt;=0),"Renouvellement dans "&amp;V61&amp;" j",IF(AND(AA61="Non",TODAY()-N(L61)&gt;='Paramètres'!$B$29),"Demander un avis Google",IF(Z61&lt;1,"Onboarding à terminer",""))))))</f>
        <v/>
      </c>
      <c r="E61" s="60">
        <f>IF(B61="","",INDEX('Prospects'!$J$5:$J$504,MATCH(B61,'Prospects'!$C$5:$C$504,0))&amp;"")</f>
        <v/>
      </c>
      <c r="F61" s="60">
        <f>IF(B61="","",INDEX('Prospects'!$K$5:$K$504,MATCH(B61,'Prospects'!$C$5:$C$504,0))&amp;"")</f>
        <v/>
      </c>
      <c r="G61" s="60">
        <f>IF(B61="","",INDEX('Prospects'!$N$5:$N$504,MATCH(B61,'Prospects'!$C$5:$C$504,0))&amp;"")</f>
        <v/>
      </c>
      <c r="H61" s="60">
        <f>IF(B61="","",INDEX('Prospects'!$S$5:$S$504,MATCH(B61,'Prospects'!$C$5:$C$504,0))&amp;"")</f>
        <v/>
      </c>
      <c r="I61" s="60">
        <f>IF(B61="","",INDEX('Prospects'!$X$5:$X$504,MATCH(B61,'Prospects'!$C$5:$C$504,0))&amp;"")</f>
        <v/>
      </c>
      <c r="J61" s="60">
        <f>IF(B61="","",INDEX('Prospects'!$Y$5:$Y$504,MATCH(B61,'Prospects'!$C$5:$C$504,0))&amp;"")</f>
        <v/>
      </c>
      <c r="K61" s="60">
        <f>IF(B61="","",INDEX('Prospects'!$AN$5:$AN$504,MATCH(B61,'Prospects'!$C$5:$C$504,0))&amp;"")</f>
        <v/>
      </c>
      <c r="L61" s="106">
        <f>IF(B61="","",INDEX('Prospects'!$AT$5:$AT$504,MATCH(B61,'Prospects'!$C$5:$C$504,0)))</f>
        <v/>
      </c>
      <c r="M61" s="62">
        <f>IF(B61="","",SUMIFS('Saisie'!$AW$5:$AW$2004,'Saisie'!$C$5:$C$2004,B61,'Saisie'!$E$5:$E$2004,"Signature"))</f>
        <v/>
      </c>
      <c r="N61" s="62">
        <f>IF(B61="","",SUMIFS('Saisie'!$AW$5:$AW$2004,'Saisie'!$C$5:$C$2004,B61,'Saisie'!$E$5:$E$2004,"Vente additionnelle"))</f>
        <v/>
      </c>
      <c r="O61" s="62">
        <f>IF(B61="","",M61+N61)</f>
        <v/>
      </c>
      <c r="P61" s="62">
        <f>IF(B61="","",SUMIFS('Saisie'!$AW$5:$AW$2004,'Saisie'!$C$5:$C$2004,B61,'Saisie'!$E$5:$E$2004,"Paiement reçu"))</f>
        <v/>
      </c>
      <c r="Q61" s="62">
        <f>IF(B61="","",MAX(0,O61-P61))</f>
        <v/>
      </c>
      <c r="R61" s="60">
        <f>IF(B61="","",IF(O61=0,"",IF(Q61&lt;=0,"Payé",IF(TODAY()-N(L61)&gt;'Paramètres'!$B$27,"En retard",IF(P61&gt;0,"Partiel","En attente")))))</f>
        <v/>
      </c>
      <c r="S61" s="60">
        <f>IF(B61="","",IFERROR(INDEX('Saisie'!$O$5:$O$2004,_xlfn.MAXIFS('Saisie'!$AS$5:$AS$2004,'Saisie'!$C$5:$C$2004,B61,'Saisie'!$O$5:$O$2004,"&lt;&gt;")-4),""))</f>
        <v/>
      </c>
      <c r="T61" s="62">
        <f>IF(B61="","",N(INDEX('Prospects'!$AO$5:$AO$504,MATCH(B61,'Prospects'!$C$5:$C$504,0))))</f>
        <v/>
      </c>
      <c r="U61" s="106">
        <f>IF(B61="","",IF(L61="","",EDATE(L61,'Paramètres'!$B$33)))</f>
        <v/>
      </c>
      <c r="V61" s="61">
        <f>IF(B61="","",IF(U61="","",U61-TODAY()))</f>
        <v/>
      </c>
      <c r="W61" s="61">
        <f>IF(B61="","",IF(L61="","",INT((TODAY()-L61)/30.44)))</f>
        <v/>
      </c>
      <c r="X61" s="62">
        <f>IF(B61="","",O61+T61*'Paramètres'!$B$34)</f>
        <v/>
      </c>
      <c r="Y61" s="62">
        <f>IF(B61="","",O61-N(IFERROR(INDEX('Paramètres'!$T$6:$T$15,MATCH(K61,'Paramètres'!$Q$6:$Q$15,0)),0)))</f>
        <v/>
      </c>
      <c r="Z61" s="123">
        <f>IF(B61="","",((COUNTIFS('Saisie'!$C$5:$C$2004,B61,'Saisie'!$E$5:$E$2004,"Onboarding - Contrat")&gt;0)+(COUNTIFS('Saisie'!$C$5:$C$2004,B61,'Saisie'!$E$5:$E$2004,"Onboarding - Accès")&gt;0)+(COUNTIFS('Saisie'!$C$5:$C$2004,B61,'Saisie'!$E$5:$E$2004,"Onboarding - Contenus")&gt;0)+(COUNTIFS('Saisie'!$C$5:$C$2004,B61,'Saisie'!$E$5:$E$2004,"Onboarding - Lancement")&gt;0))/4)</f>
        <v/>
      </c>
      <c r="AA61" s="60">
        <f>IF(B61="","",IF(COUNTIFS('Saisie'!$C$5:$C$2004,B61,'Saisie'!$E$5:$E$2004,"Demande d'avis Google")&gt;0,"Oui","Non"))</f>
        <v/>
      </c>
      <c r="AB61" s="61">
        <f>IF(B61="","",IFERROR(INDEX('Saisie'!$N$5:$N$2004,_xlfn.MAXIFS('Saisie'!$AS$5:$AS$2004,'Saisie'!$C$5:$C$2004,B61,'Saisie'!$E$5:$E$2004,"Satisfaction client")-4)&amp;"",""))</f>
        <v/>
      </c>
      <c r="AC61" s="106">
        <f>IF(B61="","",IFERROR(1/(1/_xlfn.MAXIFS('Saisie'!$A$5:$A$2004,'Saisie'!$C$5:$C$2004,B61,'Saisie'!$E$5:$E$2004,"Résiliation")),""))</f>
        <v/>
      </c>
      <c r="AD61" s="60">
        <f>IF(D61&lt;&gt;"",MAX($AD$4:AD60)+1,"")</f>
        <v/>
      </c>
    </row>
    <row r="62">
      <c r="A62" s="60">
        <f>IF(B62="","","C-"&amp;TEXT(58,"000"))</f>
        <v/>
      </c>
      <c r="B62" s="60">
        <f>IFERROR(INDEX('Prospects'!$C$5:$C$504,MATCH(58,'Prospects'!$BX$5:$BX$504,0)),"")</f>
        <v/>
      </c>
      <c r="C62" s="60">
        <f>IF(B62="","",IF(AC62&lt;&gt;"","Résilié","Actif"))</f>
        <v/>
      </c>
      <c r="D62" s="60">
        <f>IF(B62="","",IF(C62="Résilié","",IF(R62="En retard","Paiement en retard",IF(AND(V62&lt;&gt;"",N(V62)&lt;='Paramètres'!$B$30,N(V62)&gt;=0),"Renouvellement dans "&amp;V62&amp;" j",IF(AND(AA62="Non",TODAY()-N(L62)&gt;='Paramètres'!$B$29),"Demander un avis Google",IF(Z62&lt;1,"Onboarding à terminer",""))))))</f>
        <v/>
      </c>
      <c r="E62" s="60">
        <f>IF(B62="","",INDEX('Prospects'!$J$5:$J$504,MATCH(B62,'Prospects'!$C$5:$C$504,0))&amp;"")</f>
        <v/>
      </c>
      <c r="F62" s="60">
        <f>IF(B62="","",INDEX('Prospects'!$K$5:$K$504,MATCH(B62,'Prospects'!$C$5:$C$504,0))&amp;"")</f>
        <v/>
      </c>
      <c r="G62" s="60">
        <f>IF(B62="","",INDEX('Prospects'!$N$5:$N$504,MATCH(B62,'Prospects'!$C$5:$C$504,0))&amp;"")</f>
        <v/>
      </c>
      <c r="H62" s="60">
        <f>IF(B62="","",INDEX('Prospects'!$S$5:$S$504,MATCH(B62,'Prospects'!$C$5:$C$504,0))&amp;"")</f>
        <v/>
      </c>
      <c r="I62" s="60">
        <f>IF(B62="","",INDEX('Prospects'!$X$5:$X$504,MATCH(B62,'Prospects'!$C$5:$C$504,0))&amp;"")</f>
        <v/>
      </c>
      <c r="J62" s="60">
        <f>IF(B62="","",INDEX('Prospects'!$Y$5:$Y$504,MATCH(B62,'Prospects'!$C$5:$C$504,0))&amp;"")</f>
        <v/>
      </c>
      <c r="K62" s="60">
        <f>IF(B62="","",INDEX('Prospects'!$AN$5:$AN$504,MATCH(B62,'Prospects'!$C$5:$C$504,0))&amp;"")</f>
        <v/>
      </c>
      <c r="L62" s="106">
        <f>IF(B62="","",INDEX('Prospects'!$AT$5:$AT$504,MATCH(B62,'Prospects'!$C$5:$C$504,0)))</f>
        <v/>
      </c>
      <c r="M62" s="62">
        <f>IF(B62="","",SUMIFS('Saisie'!$AW$5:$AW$2004,'Saisie'!$C$5:$C$2004,B62,'Saisie'!$E$5:$E$2004,"Signature"))</f>
        <v/>
      </c>
      <c r="N62" s="62">
        <f>IF(B62="","",SUMIFS('Saisie'!$AW$5:$AW$2004,'Saisie'!$C$5:$C$2004,B62,'Saisie'!$E$5:$E$2004,"Vente additionnelle"))</f>
        <v/>
      </c>
      <c r="O62" s="62">
        <f>IF(B62="","",M62+N62)</f>
        <v/>
      </c>
      <c r="P62" s="62">
        <f>IF(B62="","",SUMIFS('Saisie'!$AW$5:$AW$2004,'Saisie'!$C$5:$C$2004,B62,'Saisie'!$E$5:$E$2004,"Paiement reçu"))</f>
        <v/>
      </c>
      <c r="Q62" s="62">
        <f>IF(B62="","",MAX(0,O62-P62))</f>
        <v/>
      </c>
      <c r="R62" s="60">
        <f>IF(B62="","",IF(O62=0,"",IF(Q62&lt;=0,"Payé",IF(TODAY()-N(L62)&gt;'Paramètres'!$B$27,"En retard",IF(P62&gt;0,"Partiel","En attente")))))</f>
        <v/>
      </c>
      <c r="S62" s="60">
        <f>IF(B62="","",IFERROR(INDEX('Saisie'!$O$5:$O$2004,_xlfn.MAXIFS('Saisie'!$AS$5:$AS$2004,'Saisie'!$C$5:$C$2004,B62,'Saisie'!$O$5:$O$2004,"&lt;&gt;")-4),""))</f>
        <v/>
      </c>
      <c r="T62" s="62">
        <f>IF(B62="","",N(INDEX('Prospects'!$AO$5:$AO$504,MATCH(B62,'Prospects'!$C$5:$C$504,0))))</f>
        <v/>
      </c>
      <c r="U62" s="106">
        <f>IF(B62="","",IF(L62="","",EDATE(L62,'Paramètres'!$B$33)))</f>
        <v/>
      </c>
      <c r="V62" s="61">
        <f>IF(B62="","",IF(U62="","",U62-TODAY()))</f>
        <v/>
      </c>
      <c r="W62" s="61">
        <f>IF(B62="","",IF(L62="","",INT((TODAY()-L62)/30.44)))</f>
        <v/>
      </c>
      <c r="X62" s="62">
        <f>IF(B62="","",O62+T62*'Paramètres'!$B$34)</f>
        <v/>
      </c>
      <c r="Y62" s="62">
        <f>IF(B62="","",O62-N(IFERROR(INDEX('Paramètres'!$T$6:$T$15,MATCH(K62,'Paramètres'!$Q$6:$Q$15,0)),0)))</f>
        <v/>
      </c>
      <c r="Z62" s="123">
        <f>IF(B62="","",((COUNTIFS('Saisie'!$C$5:$C$2004,B62,'Saisie'!$E$5:$E$2004,"Onboarding - Contrat")&gt;0)+(COUNTIFS('Saisie'!$C$5:$C$2004,B62,'Saisie'!$E$5:$E$2004,"Onboarding - Accès")&gt;0)+(COUNTIFS('Saisie'!$C$5:$C$2004,B62,'Saisie'!$E$5:$E$2004,"Onboarding - Contenus")&gt;0)+(COUNTIFS('Saisie'!$C$5:$C$2004,B62,'Saisie'!$E$5:$E$2004,"Onboarding - Lancement")&gt;0))/4)</f>
        <v/>
      </c>
      <c r="AA62" s="60">
        <f>IF(B62="","",IF(COUNTIFS('Saisie'!$C$5:$C$2004,B62,'Saisie'!$E$5:$E$2004,"Demande d'avis Google")&gt;0,"Oui","Non"))</f>
        <v/>
      </c>
      <c r="AB62" s="61">
        <f>IF(B62="","",IFERROR(INDEX('Saisie'!$N$5:$N$2004,_xlfn.MAXIFS('Saisie'!$AS$5:$AS$2004,'Saisie'!$C$5:$C$2004,B62,'Saisie'!$E$5:$E$2004,"Satisfaction client")-4)&amp;"",""))</f>
        <v/>
      </c>
      <c r="AC62" s="106">
        <f>IF(B62="","",IFERROR(1/(1/_xlfn.MAXIFS('Saisie'!$A$5:$A$2004,'Saisie'!$C$5:$C$2004,B62,'Saisie'!$E$5:$E$2004,"Résiliation")),""))</f>
        <v/>
      </c>
      <c r="AD62" s="60">
        <f>IF(D62&lt;&gt;"",MAX($AD$4:AD61)+1,"")</f>
        <v/>
      </c>
    </row>
    <row r="63">
      <c r="A63" s="60">
        <f>IF(B63="","","C-"&amp;TEXT(59,"000"))</f>
        <v/>
      </c>
      <c r="B63" s="60">
        <f>IFERROR(INDEX('Prospects'!$C$5:$C$504,MATCH(59,'Prospects'!$BX$5:$BX$504,0)),"")</f>
        <v/>
      </c>
      <c r="C63" s="60">
        <f>IF(B63="","",IF(AC63&lt;&gt;"","Résilié","Actif"))</f>
        <v/>
      </c>
      <c r="D63" s="60">
        <f>IF(B63="","",IF(C63="Résilié","",IF(R63="En retard","Paiement en retard",IF(AND(V63&lt;&gt;"",N(V63)&lt;='Paramètres'!$B$30,N(V63)&gt;=0),"Renouvellement dans "&amp;V63&amp;" j",IF(AND(AA63="Non",TODAY()-N(L63)&gt;='Paramètres'!$B$29),"Demander un avis Google",IF(Z63&lt;1,"Onboarding à terminer",""))))))</f>
        <v/>
      </c>
      <c r="E63" s="60">
        <f>IF(B63="","",INDEX('Prospects'!$J$5:$J$504,MATCH(B63,'Prospects'!$C$5:$C$504,0))&amp;"")</f>
        <v/>
      </c>
      <c r="F63" s="60">
        <f>IF(B63="","",INDEX('Prospects'!$K$5:$K$504,MATCH(B63,'Prospects'!$C$5:$C$504,0))&amp;"")</f>
        <v/>
      </c>
      <c r="G63" s="60">
        <f>IF(B63="","",INDEX('Prospects'!$N$5:$N$504,MATCH(B63,'Prospects'!$C$5:$C$504,0))&amp;"")</f>
        <v/>
      </c>
      <c r="H63" s="60">
        <f>IF(B63="","",INDEX('Prospects'!$S$5:$S$504,MATCH(B63,'Prospects'!$C$5:$C$504,0))&amp;"")</f>
        <v/>
      </c>
      <c r="I63" s="60">
        <f>IF(B63="","",INDEX('Prospects'!$X$5:$X$504,MATCH(B63,'Prospects'!$C$5:$C$504,0))&amp;"")</f>
        <v/>
      </c>
      <c r="J63" s="60">
        <f>IF(B63="","",INDEX('Prospects'!$Y$5:$Y$504,MATCH(B63,'Prospects'!$C$5:$C$504,0))&amp;"")</f>
        <v/>
      </c>
      <c r="K63" s="60">
        <f>IF(B63="","",INDEX('Prospects'!$AN$5:$AN$504,MATCH(B63,'Prospects'!$C$5:$C$504,0))&amp;"")</f>
        <v/>
      </c>
      <c r="L63" s="106">
        <f>IF(B63="","",INDEX('Prospects'!$AT$5:$AT$504,MATCH(B63,'Prospects'!$C$5:$C$504,0)))</f>
        <v/>
      </c>
      <c r="M63" s="62">
        <f>IF(B63="","",SUMIFS('Saisie'!$AW$5:$AW$2004,'Saisie'!$C$5:$C$2004,B63,'Saisie'!$E$5:$E$2004,"Signature"))</f>
        <v/>
      </c>
      <c r="N63" s="62">
        <f>IF(B63="","",SUMIFS('Saisie'!$AW$5:$AW$2004,'Saisie'!$C$5:$C$2004,B63,'Saisie'!$E$5:$E$2004,"Vente additionnelle"))</f>
        <v/>
      </c>
      <c r="O63" s="62">
        <f>IF(B63="","",M63+N63)</f>
        <v/>
      </c>
      <c r="P63" s="62">
        <f>IF(B63="","",SUMIFS('Saisie'!$AW$5:$AW$2004,'Saisie'!$C$5:$C$2004,B63,'Saisie'!$E$5:$E$2004,"Paiement reçu"))</f>
        <v/>
      </c>
      <c r="Q63" s="62">
        <f>IF(B63="","",MAX(0,O63-P63))</f>
        <v/>
      </c>
      <c r="R63" s="60">
        <f>IF(B63="","",IF(O63=0,"",IF(Q63&lt;=0,"Payé",IF(TODAY()-N(L63)&gt;'Paramètres'!$B$27,"En retard",IF(P63&gt;0,"Partiel","En attente")))))</f>
        <v/>
      </c>
      <c r="S63" s="60">
        <f>IF(B63="","",IFERROR(INDEX('Saisie'!$O$5:$O$2004,_xlfn.MAXIFS('Saisie'!$AS$5:$AS$2004,'Saisie'!$C$5:$C$2004,B63,'Saisie'!$O$5:$O$2004,"&lt;&gt;")-4),""))</f>
        <v/>
      </c>
      <c r="T63" s="62">
        <f>IF(B63="","",N(INDEX('Prospects'!$AO$5:$AO$504,MATCH(B63,'Prospects'!$C$5:$C$504,0))))</f>
        <v/>
      </c>
      <c r="U63" s="106">
        <f>IF(B63="","",IF(L63="","",EDATE(L63,'Paramètres'!$B$33)))</f>
        <v/>
      </c>
      <c r="V63" s="61">
        <f>IF(B63="","",IF(U63="","",U63-TODAY()))</f>
        <v/>
      </c>
      <c r="W63" s="61">
        <f>IF(B63="","",IF(L63="","",INT((TODAY()-L63)/30.44)))</f>
        <v/>
      </c>
      <c r="X63" s="62">
        <f>IF(B63="","",O63+T63*'Paramètres'!$B$34)</f>
        <v/>
      </c>
      <c r="Y63" s="62">
        <f>IF(B63="","",O63-N(IFERROR(INDEX('Paramètres'!$T$6:$T$15,MATCH(K63,'Paramètres'!$Q$6:$Q$15,0)),0)))</f>
        <v/>
      </c>
      <c r="Z63" s="123">
        <f>IF(B63="","",((COUNTIFS('Saisie'!$C$5:$C$2004,B63,'Saisie'!$E$5:$E$2004,"Onboarding - Contrat")&gt;0)+(COUNTIFS('Saisie'!$C$5:$C$2004,B63,'Saisie'!$E$5:$E$2004,"Onboarding - Accès")&gt;0)+(COUNTIFS('Saisie'!$C$5:$C$2004,B63,'Saisie'!$E$5:$E$2004,"Onboarding - Contenus")&gt;0)+(COUNTIFS('Saisie'!$C$5:$C$2004,B63,'Saisie'!$E$5:$E$2004,"Onboarding - Lancement")&gt;0))/4)</f>
        <v/>
      </c>
      <c r="AA63" s="60">
        <f>IF(B63="","",IF(COUNTIFS('Saisie'!$C$5:$C$2004,B63,'Saisie'!$E$5:$E$2004,"Demande d'avis Google")&gt;0,"Oui","Non"))</f>
        <v/>
      </c>
      <c r="AB63" s="61">
        <f>IF(B63="","",IFERROR(INDEX('Saisie'!$N$5:$N$2004,_xlfn.MAXIFS('Saisie'!$AS$5:$AS$2004,'Saisie'!$C$5:$C$2004,B63,'Saisie'!$E$5:$E$2004,"Satisfaction client")-4)&amp;"",""))</f>
        <v/>
      </c>
      <c r="AC63" s="106">
        <f>IF(B63="","",IFERROR(1/(1/_xlfn.MAXIFS('Saisie'!$A$5:$A$2004,'Saisie'!$C$5:$C$2004,B63,'Saisie'!$E$5:$E$2004,"Résiliation")),""))</f>
        <v/>
      </c>
      <c r="AD63" s="60">
        <f>IF(D63&lt;&gt;"",MAX($AD$4:AD62)+1,"")</f>
        <v/>
      </c>
    </row>
    <row r="64">
      <c r="A64" s="60">
        <f>IF(B64="","","C-"&amp;TEXT(60,"000"))</f>
        <v/>
      </c>
      <c r="B64" s="60">
        <f>IFERROR(INDEX('Prospects'!$C$5:$C$504,MATCH(60,'Prospects'!$BX$5:$BX$504,0)),"")</f>
        <v/>
      </c>
      <c r="C64" s="60">
        <f>IF(B64="","",IF(AC64&lt;&gt;"","Résilié","Actif"))</f>
        <v/>
      </c>
      <c r="D64" s="60">
        <f>IF(B64="","",IF(C64="Résilié","",IF(R64="En retard","Paiement en retard",IF(AND(V64&lt;&gt;"",N(V64)&lt;='Paramètres'!$B$30,N(V64)&gt;=0),"Renouvellement dans "&amp;V64&amp;" j",IF(AND(AA64="Non",TODAY()-N(L64)&gt;='Paramètres'!$B$29),"Demander un avis Google",IF(Z64&lt;1,"Onboarding à terminer",""))))))</f>
        <v/>
      </c>
      <c r="E64" s="60">
        <f>IF(B64="","",INDEX('Prospects'!$J$5:$J$504,MATCH(B64,'Prospects'!$C$5:$C$504,0))&amp;"")</f>
        <v/>
      </c>
      <c r="F64" s="60">
        <f>IF(B64="","",INDEX('Prospects'!$K$5:$K$504,MATCH(B64,'Prospects'!$C$5:$C$504,0))&amp;"")</f>
        <v/>
      </c>
      <c r="G64" s="60">
        <f>IF(B64="","",INDEX('Prospects'!$N$5:$N$504,MATCH(B64,'Prospects'!$C$5:$C$504,0))&amp;"")</f>
        <v/>
      </c>
      <c r="H64" s="60">
        <f>IF(B64="","",INDEX('Prospects'!$S$5:$S$504,MATCH(B64,'Prospects'!$C$5:$C$504,0))&amp;"")</f>
        <v/>
      </c>
      <c r="I64" s="60">
        <f>IF(B64="","",INDEX('Prospects'!$X$5:$X$504,MATCH(B64,'Prospects'!$C$5:$C$504,0))&amp;"")</f>
        <v/>
      </c>
      <c r="J64" s="60">
        <f>IF(B64="","",INDEX('Prospects'!$Y$5:$Y$504,MATCH(B64,'Prospects'!$C$5:$C$504,0))&amp;"")</f>
        <v/>
      </c>
      <c r="K64" s="60">
        <f>IF(B64="","",INDEX('Prospects'!$AN$5:$AN$504,MATCH(B64,'Prospects'!$C$5:$C$504,0))&amp;"")</f>
        <v/>
      </c>
      <c r="L64" s="106">
        <f>IF(B64="","",INDEX('Prospects'!$AT$5:$AT$504,MATCH(B64,'Prospects'!$C$5:$C$504,0)))</f>
        <v/>
      </c>
      <c r="M64" s="62">
        <f>IF(B64="","",SUMIFS('Saisie'!$AW$5:$AW$2004,'Saisie'!$C$5:$C$2004,B64,'Saisie'!$E$5:$E$2004,"Signature"))</f>
        <v/>
      </c>
      <c r="N64" s="62">
        <f>IF(B64="","",SUMIFS('Saisie'!$AW$5:$AW$2004,'Saisie'!$C$5:$C$2004,B64,'Saisie'!$E$5:$E$2004,"Vente additionnelle"))</f>
        <v/>
      </c>
      <c r="O64" s="62">
        <f>IF(B64="","",M64+N64)</f>
        <v/>
      </c>
      <c r="P64" s="62">
        <f>IF(B64="","",SUMIFS('Saisie'!$AW$5:$AW$2004,'Saisie'!$C$5:$C$2004,B64,'Saisie'!$E$5:$E$2004,"Paiement reçu"))</f>
        <v/>
      </c>
      <c r="Q64" s="62">
        <f>IF(B64="","",MAX(0,O64-P64))</f>
        <v/>
      </c>
      <c r="R64" s="60">
        <f>IF(B64="","",IF(O64=0,"",IF(Q64&lt;=0,"Payé",IF(TODAY()-N(L64)&gt;'Paramètres'!$B$27,"En retard",IF(P64&gt;0,"Partiel","En attente")))))</f>
        <v/>
      </c>
      <c r="S64" s="60">
        <f>IF(B64="","",IFERROR(INDEX('Saisie'!$O$5:$O$2004,_xlfn.MAXIFS('Saisie'!$AS$5:$AS$2004,'Saisie'!$C$5:$C$2004,B64,'Saisie'!$O$5:$O$2004,"&lt;&gt;")-4),""))</f>
        <v/>
      </c>
      <c r="T64" s="62">
        <f>IF(B64="","",N(INDEX('Prospects'!$AO$5:$AO$504,MATCH(B64,'Prospects'!$C$5:$C$504,0))))</f>
        <v/>
      </c>
      <c r="U64" s="106">
        <f>IF(B64="","",IF(L64="","",EDATE(L64,'Paramètres'!$B$33)))</f>
        <v/>
      </c>
      <c r="V64" s="61">
        <f>IF(B64="","",IF(U64="","",U64-TODAY()))</f>
        <v/>
      </c>
      <c r="W64" s="61">
        <f>IF(B64="","",IF(L64="","",INT((TODAY()-L64)/30.44)))</f>
        <v/>
      </c>
      <c r="X64" s="62">
        <f>IF(B64="","",O64+T64*'Paramètres'!$B$34)</f>
        <v/>
      </c>
      <c r="Y64" s="62">
        <f>IF(B64="","",O64-N(IFERROR(INDEX('Paramètres'!$T$6:$T$15,MATCH(K64,'Paramètres'!$Q$6:$Q$15,0)),0)))</f>
        <v/>
      </c>
      <c r="Z64" s="123">
        <f>IF(B64="","",((COUNTIFS('Saisie'!$C$5:$C$2004,B64,'Saisie'!$E$5:$E$2004,"Onboarding - Contrat")&gt;0)+(COUNTIFS('Saisie'!$C$5:$C$2004,B64,'Saisie'!$E$5:$E$2004,"Onboarding - Accès")&gt;0)+(COUNTIFS('Saisie'!$C$5:$C$2004,B64,'Saisie'!$E$5:$E$2004,"Onboarding - Contenus")&gt;0)+(COUNTIFS('Saisie'!$C$5:$C$2004,B64,'Saisie'!$E$5:$E$2004,"Onboarding - Lancement")&gt;0))/4)</f>
        <v/>
      </c>
      <c r="AA64" s="60">
        <f>IF(B64="","",IF(COUNTIFS('Saisie'!$C$5:$C$2004,B64,'Saisie'!$E$5:$E$2004,"Demande d'avis Google")&gt;0,"Oui","Non"))</f>
        <v/>
      </c>
      <c r="AB64" s="61">
        <f>IF(B64="","",IFERROR(INDEX('Saisie'!$N$5:$N$2004,_xlfn.MAXIFS('Saisie'!$AS$5:$AS$2004,'Saisie'!$C$5:$C$2004,B64,'Saisie'!$E$5:$E$2004,"Satisfaction client")-4)&amp;"",""))</f>
        <v/>
      </c>
      <c r="AC64" s="106">
        <f>IF(B64="","",IFERROR(1/(1/_xlfn.MAXIFS('Saisie'!$A$5:$A$2004,'Saisie'!$C$5:$C$2004,B64,'Saisie'!$E$5:$E$2004,"Résiliation")),""))</f>
        <v/>
      </c>
      <c r="AD64" s="60">
        <f>IF(D64&lt;&gt;"",MAX($AD$4:AD63)+1,"")</f>
        <v/>
      </c>
    </row>
    <row r="65">
      <c r="A65" s="60">
        <f>IF(B65="","","C-"&amp;TEXT(61,"000"))</f>
        <v/>
      </c>
      <c r="B65" s="60">
        <f>IFERROR(INDEX('Prospects'!$C$5:$C$504,MATCH(61,'Prospects'!$BX$5:$BX$504,0)),"")</f>
        <v/>
      </c>
      <c r="C65" s="60">
        <f>IF(B65="","",IF(AC65&lt;&gt;"","Résilié","Actif"))</f>
        <v/>
      </c>
      <c r="D65" s="60">
        <f>IF(B65="","",IF(C65="Résilié","",IF(R65="En retard","Paiement en retard",IF(AND(V65&lt;&gt;"",N(V65)&lt;='Paramètres'!$B$30,N(V65)&gt;=0),"Renouvellement dans "&amp;V65&amp;" j",IF(AND(AA65="Non",TODAY()-N(L65)&gt;='Paramètres'!$B$29),"Demander un avis Google",IF(Z65&lt;1,"Onboarding à terminer",""))))))</f>
        <v/>
      </c>
      <c r="E65" s="60">
        <f>IF(B65="","",INDEX('Prospects'!$J$5:$J$504,MATCH(B65,'Prospects'!$C$5:$C$504,0))&amp;"")</f>
        <v/>
      </c>
      <c r="F65" s="60">
        <f>IF(B65="","",INDEX('Prospects'!$K$5:$K$504,MATCH(B65,'Prospects'!$C$5:$C$504,0))&amp;"")</f>
        <v/>
      </c>
      <c r="G65" s="60">
        <f>IF(B65="","",INDEX('Prospects'!$N$5:$N$504,MATCH(B65,'Prospects'!$C$5:$C$504,0))&amp;"")</f>
        <v/>
      </c>
      <c r="H65" s="60">
        <f>IF(B65="","",INDEX('Prospects'!$S$5:$S$504,MATCH(B65,'Prospects'!$C$5:$C$504,0))&amp;"")</f>
        <v/>
      </c>
      <c r="I65" s="60">
        <f>IF(B65="","",INDEX('Prospects'!$X$5:$X$504,MATCH(B65,'Prospects'!$C$5:$C$504,0))&amp;"")</f>
        <v/>
      </c>
      <c r="J65" s="60">
        <f>IF(B65="","",INDEX('Prospects'!$Y$5:$Y$504,MATCH(B65,'Prospects'!$C$5:$C$504,0))&amp;"")</f>
        <v/>
      </c>
      <c r="K65" s="60">
        <f>IF(B65="","",INDEX('Prospects'!$AN$5:$AN$504,MATCH(B65,'Prospects'!$C$5:$C$504,0))&amp;"")</f>
        <v/>
      </c>
      <c r="L65" s="106">
        <f>IF(B65="","",INDEX('Prospects'!$AT$5:$AT$504,MATCH(B65,'Prospects'!$C$5:$C$504,0)))</f>
        <v/>
      </c>
      <c r="M65" s="62">
        <f>IF(B65="","",SUMIFS('Saisie'!$AW$5:$AW$2004,'Saisie'!$C$5:$C$2004,B65,'Saisie'!$E$5:$E$2004,"Signature"))</f>
        <v/>
      </c>
      <c r="N65" s="62">
        <f>IF(B65="","",SUMIFS('Saisie'!$AW$5:$AW$2004,'Saisie'!$C$5:$C$2004,B65,'Saisie'!$E$5:$E$2004,"Vente additionnelle"))</f>
        <v/>
      </c>
      <c r="O65" s="62">
        <f>IF(B65="","",M65+N65)</f>
        <v/>
      </c>
      <c r="P65" s="62">
        <f>IF(B65="","",SUMIFS('Saisie'!$AW$5:$AW$2004,'Saisie'!$C$5:$C$2004,B65,'Saisie'!$E$5:$E$2004,"Paiement reçu"))</f>
        <v/>
      </c>
      <c r="Q65" s="62">
        <f>IF(B65="","",MAX(0,O65-P65))</f>
        <v/>
      </c>
      <c r="R65" s="60">
        <f>IF(B65="","",IF(O65=0,"",IF(Q65&lt;=0,"Payé",IF(TODAY()-N(L65)&gt;'Paramètres'!$B$27,"En retard",IF(P65&gt;0,"Partiel","En attente")))))</f>
        <v/>
      </c>
      <c r="S65" s="60">
        <f>IF(B65="","",IFERROR(INDEX('Saisie'!$O$5:$O$2004,_xlfn.MAXIFS('Saisie'!$AS$5:$AS$2004,'Saisie'!$C$5:$C$2004,B65,'Saisie'!$O$5:$O$2004,"&lt;&gt;")-4),""))</f>
        <v/>
      </c>
      <c r="T65" s="62">
        <f>IF(B65="","",N(INDEX('Prospects'!$AO$5:$AO$504,MATCH(B65,'Prospects'!$C$5:$C$504,0))))</f>
        <v/>
      </c>
      <c r="U65" s="106">
        <f>IF(B65="","",IF(L65="","",EDATE(L65,'Paramètres'!$B$33)))</f>
        <v/>
      </c>
      <c r="V65" s="61">
        <f>IF(B65="","",IF(U65="","",U65-TODAY()))</f>
        <v/>
      </c>
      <c r="W65" s="61">
        <f>IF(B65="","",IF(L65="","",INT((TODAY()-L65)/30.44)))</f>
        <v/>
      </c>
      <c r="X65" s="62">
        <f>IF(B65="","",O65+T65*'Paramètres'!$B$34)</f>
        <v/>
      </c>
      <c r="Y65" s="62">
        <f>IF(B65="","",O65-N(IFERROR(INDEX('Paramètres'!$T$6:$T$15,MATCH(K65,'Paramètres'!$Q$6:$Q$15,0)),0)))</f>
        <v/>
      </c>
      <c r="Z65" s="123">
        <f>IF(B65="","",((COUNTIFS('Saisie'!$C$5:$C$2004,B65,'Saisie'!$E$5:$E$2004,"Onboarding - Contrat")&gt;0)+(COUNTIFS('Saisie'!$C$5:$C$2004,B65,'Saisie'!$E$5:$E$2004,"Onboarding - Accès")&gt;0)+(COUNTIFS('Saisie'!$C$5:$C$2004,B65,'Saisie'!$E$5:$E$2004,"Onboarding - Contenus")&gt;0)+(COUNTIFS('Saisie'!$C$5:$C$2004,B65,'Saisie'!$E$5:$E$2004,"Onboarding - Lancement")&gt;0))/4)</f>
        <v/>
      </c>
      <c r="AA65" s="60">
        <f>IF(B65="","",IF(COUNTIFS('Saisie'!$C$5:$C$2004,B65,'Saisie'!$E$5:$E$2004,"Demande d'avis Google")&gt;0,"Oui","Non"))</f>
        <v/>
      </c>
      <c r="AB65" s="61">
        <f>IF(B65="","",IFERROR(INDEX('Saisie'!$N$5:$N$2004,_xlfn.MAXIFS('Saisie'!$AS$5:$AS$2004,'Saisie'!$C$5:$C$2004,B65,'Saisie'!$E$5:$E$2004,"Satisfaction client")-4)&amp;"",""))</f>
        <v/>
      </c>
      <c r="AC65" s="106">
        <f>IF(B65="","",IFERROR(1/(1/_xlfn.MAXIFS('Saisie'!$A$5:$A$2004,'Saisie'!$C$5:$C$2004,B65,'Saisie'!$E$5:$E$2004,"Résiliation")),""))</f>
        <v/>
      </c>
      <c r="AD65" s="60">
        <f>IF(D65&lt;&gt;"",MAX($AD$4:AD64)+1,"")</f>
        <v/>
      </c>
    </row>
    <row r="66">
      <c r="A66" s="60">
        <f>IF(B66="","","C-"&amp;TEXT(62,"000"))</f>
        <v/>
      </c>
      <c r="B66" s="60">
        <f>IFERROR(INDEX('Prospects'!$C$5:$C$504,MATCH(62,'Prospects'!$BX$5:$BX$504,0)),"")</f>
        <v/>
      </c>
      <c r="C66" s="60">
        <f>IF(B66="","",IF(AC66&lt;&gt;"","Résilié","Actif"))</f>
        <v/>
      </c>
      <c r="D66" s="60">
        <f>IF(B66="","",IF(C66="Résilié","",IF(R66="En retard","Paiement en retard",IF(AND(V66&lt;&gt;"",N(V66)&lt;='Paramètres'!$B$30,N(V66)&gt;=0),"Renouvellement dans "&amp;V66&amp;" j",IF(AND(AA66="Non",TODAY()-N(L66)&gt;='Paramètres'!$B$29),"Demander un avis Google",IF(Z66&lt;1,"Onboarding à terminer",""))))))</f>
        <v/>
      </c>
      <c r="E66" s="60">
        <f>IF(B66="","",INDEX('Prospects'!$J$5:$J$504,MATCH(B66,'Prospects'!$C$5:$C$504,0))&amp;"")</f>
        <v/>
      </c>
      <c r="F66" s="60">
        <f>IF(B66="","",INDEX('Prospects'!$K$5:$K$504,MATCH(B66,'Prospects'!$C$5:$C$504,0))&amp;"")</f>
        <v/>
      </c>
      <c r="G66" s="60">
        <f>IF(B66="","",INDEX('Prospects'!$N$5:$N$504,MATCH(B66,'Prospects'!$C$5:$C$504,0))&amp;"")</f>
        <v/>
      </c>
      <c r="H66" s="60">
        <f>IF(B66="","",INDEX('Prospects'!$S$5:$S$504,MATCH(B66,'Prospects'!$C$5:$C$504,0))&amp;"")</f>
        <v/>
      </c>
      <c r="I66" s="60">
        <f>IF(B66="","",INDEX('Prospects'!$X$5:$X$504,MATCH(B66,'Prospects'!$C$5:$C$504,0))&amp;"")</f>
        <v/>
      </c>
      <c r="J66" s="60">
        <f>IF(B66="","",INDEX('Prospects'!$Y$5:$Y$504,MATCH(B66,'Prospects'!$C$5:$C$504,0))&amp;"")</f>
        <v/>
      </c>
      <c r="K66" s="60">
        <f>IF(B66="","",INDEX('Prospects'!$AN$5:$AN$504,MATCH(B66,'Prospects'!$C$5:$C$504,0))&amp;"")</f>
        <v/>
      </c>
      <c r="L66" s="106">
        <f>IF(B66="","",INDEX('Prospects'!$AT$5:$AT$504,MATCH(B66,'Prospects'!$C$5:$C$504,0)))</f>
        <v/>
      </c>
      <c r="M66" s="62">
        <f>IF(B66="","",SUMIFS('Saisie'!$AW$5:$AW$2004,'Saisie'!$C$5:$C$2004,B66,'Saisie'!$E$5:$E$2004,"Signature"))</f>
        <v/>
      </c>
      <c r="N66" s="62">
        <f>IF(B66="","",SUMIFS('Saisie'!$AW$5:$AW$2004,'Saisie'!$C$5:$C$2004,B66,'Saisie'!$E$5:$E$2004,"Vente additionnelle"))</f>
        <v/>
      </c>
      <c r="O66" s="62">
        <f>IF(B66="","",M66+N66)</f>
        <v/>
      </c>
      <c r="P66" s="62">
        <f>IF(B66="","",SUMIFS('Saisie'!$AW$5:$AW$2004,'Saisie'!$C$5:$C$2004,B66,'Saisie'!$E$5:$E$2004,"Paiement reçu"))</f>
        <v/>
      </c>
      <c r="Q66" s="62">
        <f>IF(B66="","",MAX(0,O66-P66))</f>
        <v/>
      </c>
      <c r="R66" s="60">
        <f>IF(B66="","",IF(O66=0,"",IF(Q66&lt;=0,"Payé",IF(TODAY()-N(L66)&gt;'Paramètres'!$B$27,"En retard",IF(P66&gt;0,"Partiel","En attente")))))</f>
        <v/>
      </c>
      <c r="S66" s="60">
        <f>IF(B66="","",IFERROR(INDEX('Saisie'!$O$5:$O$2004,_xlfn.MAXIFS('Saisie'!$AS$5:$AS$2004,'Saisie'!$C$5:$C$2004,B66,'Saisie'!$O$5:$O$2004,"&lt;&gt;")-4),""))</f>
        <v/>
      </c>
      <c r="T66" s="62">
        <f>IF(B66="","",N(INDEX('Prospects'!$AO$5:$AO$504,MATCH(B66,'Prospects'!$C$5:$C$504,0))))</f>
        <v/>
      </c>
      <c r="U66" s="106">
        <f>IF(B66="","",IF(L66="","",EDATE(L66,'Paramètres'!$B$33)))</f>
        <v/>
      </c>
      <c r="V66" s="61">
        <f>IF(B66="","",IF(U66="","",U66-TODAY()))</f>
        <v/>
      </c>
      <c r="W66" s="61">
        <f>IF(B66="","",IF(L66="","",INT((TODAY()-L66)/30.44)))</f>
        <v/>
      </c>
      <c r="X66" s="62">
        <f>IF(B66="","",O66+T66*'Paramètres'!$B$34)</f>
        <v/>
      </c>
      <c r="Y66" s="62">
        <f>IF(B66="","",O66-N(IFERROR(INDEX('Paramètres'!$T$6:$T$15,MATCH(K66,'Paramètres'!$Q$6:$Q$15,0)),0)))</f>
        <v/>
      </c>
      <c r="Z66" s="123">
        <f>IF(B66="","",((COUNTIFS('Saisie'!$C$5:$C$2004,B66,'Saisie'!$E$5:$E$2004,"Onboarding - Contrat")&gt;0)+(COUNTIFS('Saisie'!$C$5:$C$2004,B66,'Saisie'!$E$5:$E$2004,"Onboarding - Accès")&gt;0)+(COUNTIFS('Saisie'!$C$5:$C$2004,B66,'Saisie'!$E$5:$E$2004,"Onboarding - Contenus")&gt;0)+(COUNTIFS('Saisie'!$C$5:$C$2004,B66,'Saisie'!$E$5:$E$2004,"Onboarding - Lancement")&gt;0))/4)</f>
        <v/>
      </c>
      <c r="AA66" s="60">
        <f>IF(B66="","",IF(COUNTIFS('Saisie'!$C$5:$C$2004,B66,'Saisie'!$E$5:$E$2004,"Demande d'avis Google")&gt;0,"Oui","Non"))</f>
        <v/>
      </c>
      <c r="AB66" s="61">
        <f>IF(B66="","",IFERROR(INDEX('Saisie'!$N$5:$N$2004,_xlfn.MAXIFS('Saisie'!$AS$5:$AS$2004,'Saisie'!$C$5:$C$2004,B66,'Saisie'!$E$5:$E$2004,"Satisfaction client")-4)&amp;"",""))</f>
        <v/>
      </c>
      <c r="AC66" s="106">
        <f>IF(B66="","",IFERROR(1/(1/_xlfn.MAXIFS('Saisie'!$A$5:$A$2004,'Saisie'!$C$5:$C$2004,B66,'Saisie'!$E$5:$E$2004,"Résiliation")),""))</f>
        <v/>
      </c>
      <c r="AD66" s="60">
        <f>IF(D66&lt;&gt;"",MAX($AD$4:AD65)+1,"")</f>
        <v/>
      </c>
    </row>
    <row r="67">
      <c r="A67" s="60">
        <f>IF(B67="","","C-"&amp;TEXT(63,"000"))</f>
        <v/>
      </c>
      <c r="B67" s="60">
        <f>IFERROR(INDEX('Prospects'!$C$5:$C$504,MATCH(63,'Prospects'!$BX$5:$BX$504,0)),"")</f>
        <v/>
      </c>
      <c r="C67" s="60">
        <f>IF(B67="","",IF(AC67&lt;&gt;"","Résilié","Actif"))</f>
        <v/>
      </c>
      <c r="D67" s="60">
        <f>IF(B67="","",IF(C67="Résilié","",IF(R67="En retard","Paiement en retard",IF(AND(V67&lt;&gt;"",N(V67)&lt;='Paramètres'!$B$30,N(V67)&gt;=0),"Renouvellement dans "&amp;V67&amp;" j",IF(AND(AA67="Non",TODAY()-N(L67)&gt;='Paramètres'!$B$29),"Demander un avis Google",IF(Z67&lt;1,"Onboarding à terminer",""))))))</f>
        <v/>
      </c>
      <c r="E67" s="60">
        <f>IF(B67="","",INDEX('Prospects'!$J$5:$J$504,MATCH(B67,'Prospects'!$C$5:$C$504,0))&amp;"")</f>
        <v/>
      </c>
      <c r="F67" s="60">
        <f>IF(B67="","",INDEX('Prospects'!$K$5:$K$504,MATCH(B67,'Prospects'!$C$5:$C$504,0))&amp;"")</f>
        <v/>
      </c>
      <c r="G67" s="60">
        <f>IF(B67="","",INDEX('Prospects'!$N$5:$N$504,MATCH(B67,'Prospects'!$C$5:$C$504,0))&amp;"")</f>
        <v/>
      </c>
      <c r="H67" s="60">
        <f>IF(B67="","",INDEX('Prospects'!$S$5:$S$504,MATCH(B67,'Prospects'!$C$5:$C$504,0))&amp;"")</f>
        <v/>
      </c>
      <c r="I67" s="60">
        <f>IF(B67="","",INDEX('Prospects'!$X$5:$X$504,MATCH(B67,'Prospects'!$C$5:$C$504,0))&amp;"")</f>
        <v/>
      </c>
      <c r="J67" s="60">
        <f>IF(B67="","",INDEX('Prospects'!$Y$5:$Y$504,MATCH(B67,'Prospects'!$C$5:$C$504,0))&amp;"")</f>
        <v/>
      </c>
      <c r="K67" s="60">
        <f>IF(B67="","",INDEX('Prospects'!$AN$5:$AN$504,MATCH(B67,'Prospects'!$C$5:$C$504,0))&amp;"")</f>
        <v/>
      </c>
      <c r="L67" s="106">
        <f>IF(B67="","",INDEX('Prospects'!$AT$5:$AT$504,MATCH(B67,'Prospects'!$C$5:$C$504,0)))</f>
        <v/>
      </c>
      <c r="M67" s="62">
        <f>IF(B67="","",SUMIFS('Saisie'!$AW$5:$AW$2004,'Saisie'!$C$5:$C$2004,B67,'Saisie'!$E$5:$E$2004,"Signature"))</f>
        <v/>
      </c>
      <c r="N67" s="62">
        <f>IF(B67="","",SUMIFS('Saisie'!$AW$5:$AW$2004,'Saisie'!$C$5:$C$2004,B67,'Saisie'!$E$5:$E$2004,"Vente additionnelle"))</f>
        <v/>
      </c>
      <c r="O67" s="62">
        <f>IF(B67="","",M67+N67)</f>
        <v/>
      </c>
      <c r="P67" s="62">
        <f>IF(B67="","",SUMIFS('Saisie'!$AW$5:$AW$2004,'Saisie'!$C$5:$C$2004,B67,'Saisie'!$E$5:$E$2004,"Paiement reçu"))</f>
        <v/>
      </c>
      <c r="Q67" s="62">
        <f>IF(B67="","",MAX(0,O67-P67))</f>
        <v/>
      </c>
      <c r="R67" s="60">
        <f>IF(B67="","",IF(O67=0,"",IF(Q67&lt;=0,"Payé",IF(TODAY()-N(L67)&gt;'Paramètres'!$B$27,"En retard",IF(P67&gt;0,"Partiel","En attente")))))</f>
        <v/>
      </c>
      <c r="S67" s="60">
        <f>IF(B67="","",IFERROR(INDEX('Saisie'!$O$5:$O$2004,_xlfn.MAXIFS('Saisie'!$AS$5:$AS$2004,'Saisie'!$C$5:$C$2004,B67,'Saisie'!$O$5:$O$2004,"&lt;&gt;")-4),""))</f>
        <v/>
      </c>
      <c r="T67" s="62">
        <f>IF(B67="","",N(INDEX('Prospects'!$AO$5:$AO$504,MATCH(B67,'Prospects'!$C$5:$C$504,0))))</f>
        <v/>
      </c>
      <c r="U67" s="106">
        <f>IF(B67="","",IF(L67="","",EDATE(L67,'Paramètres'!$B$33)))</f>
        <v/>
      </c>
      <c r="V67" s="61">
        <f>IF(B67="","",IF(U67="","",U67-TODAY()))</f>
        <v/>
      </c>
      <c r="W67" s="61">
        <f>IF(B67="","",IF(L67="","",INT((TODAY()-L67)/30.44)))</f>
        <v/>
      </c>
      <c r="X67" s="62">
        <f>IF(B67="","",O67+T67*'Paramètres'!$B$34)</f>
        <v/>
      </c>
      <c r="Y67" s="62">
        <f>IF(B67="","",O67-N(IFERROR(INDEX('Paramètres'!$T$6:$T$15,MATCH(K67,'Paramètres'!$Q$6:$Q$15,0)),0)))</f>
        <v/>
      </c>
      <c r="Z67" s="123">
        <f>IF(B67="","",((COUNTIFS('Saisie'!$C$5:$C$2004,B67,'Saisie'!$E$5:$E$2004,"Onboarding - Contrat")&gt;0)+(COUNTIFS('Saisie'!$C$5:$C$2004,B67,'Saisie'!$E$5:$E$2004,"Onboarding - Accès")&gt;0)+(COUNTIFS('Saisie'!$C$5:$C$2004,B67,'Saisie'!$E$5:$E$2004,"Onboarding - Contenus")&gt;0)+(COUNTIFS('Saisie'!$C$5:$C$2004,B67,'Saisie'!$E$5:$E$2004,"Onboarding - Lancement")&gt;0))/4)</f>
        <v/>
      </c>
      <c r="AA67" s="60">
        <f>IF(B67="","",IF(COUNTIFS('Saisie'!$C$5:$C$2004,B67,'Saisie'!$E$5:$E$2004,"Demande d'avis Google")&gt;0,"Oui","Non"))</f>
        <v/>
      </c>
      <c r="AB67" s="61">
        <f>IF(B67="","",IFERROR(INDEX('Saisie'!$N$5:$N$2004,_xlfn.MAXIFS('Saisie'!$AS$5:$AS$2004,'Saisie'!$C$5:$C$2004,B67,'Saisie'!$E$5:$E$2004,"Satisfaction client")-4)&amp;"",""))</f>
        <v/>
      </c>
      <c r="AC67" s="106">
        <f>IF(B67="","",IFERROR(1/(1/_xlfn.MAXIFS('Saisie'!$A$5:$A$2004,'Saisie'!$C$5:$C$2004,B67,'Saisie'!$E$5:$E$2004,"Résiliation")),""))</f>
        <v/>
      </c>
      <c r="AD67" s="60">
        <f>IF(D67&lt;&gt;"",MAX($AD$4:AD66)+1,"")</f>
        <v/>
      </c>
    </row>
    <row r="68">
      <c r="A68" s="60">
        <f>IF(B68="","","C-"&amp;TEXT(64,"000"))</f>
        <v/>
      </c>
      <c r="B68" s="60">
        <f>IFERROR(INDEX('Prospects'!$C$5:$C$504,MATCH(64,'Prospects'!$BX$5:$BX$504,0)),"")</f>
        <v/>
      </c>
      <c r="C68" s="60">
        <f>IF(B68="","",IF(AC68&lt;&gt;"","Résilié","Actif"))</f>
        <v/>
      </c>
      <c r="D68" s="60">
        <f>IF(B68="","",IF(C68="Résilié","",IF(R68="En retard","Paiement en retard",IF(AND(V68&lt;&gt;"",N(V68)&lt;='Paramètres'!$B$30,N(V68)&gt;=0),"Renouvellement dans "&amp;V68&amp;" j",IF(AND(AA68="Non",TODAY()-N(L68)&gt;='Paramètres'!$B$29),"Demander un avis Google",IF(Z68&lt;1,"Onboarding à terminer",""))))))</f>
        <v/>
      </c>
      <c r="E68" s="60">
        <f>IF(B68="","",INDEX('Prospects'!$J$5:$J$504,MATCH(B68,'Prospects'!$C$5:$C$504,0))&amp;"")</f>
        <v/>
      </c>
      <c r="F68" s="60">
        <f>IF(B68="","",INDEX('Prospects'!$K$5:$K$504,MATCH(B68,'Prospects'!$C$5:$C$504,0))&amp;"")</f>
        <v/>
      </c>
      <c r="G68" s="60">
        <f>IF(B68="","",INDEX('Prospects'!$N$5:$N$504,MATCH(B68,'Prospects'!$C$5:$C$504,0))&amp;"")</f>
        <v/>
      </c>
      <c r="H68" s="60">
        <f>IF(B68="","",INDEX('Prospects'!$S$5:$S$504,MATCH(B68,'Prospects'!$C$5:$C$504,0))&amp;"")</f>
        <v/>
      </c>
      <c r="I68" s="60">
        <f>IF(B68="","",INDEX('Prospects'!$X$5:$X$504,MATCH(B68,'Prospects'!$C$5:$C$504,0))&amp;"")</f>
        <v/>
      </c>
      <c r="J68" s="60">
        <f>IF(B68="","",INDEX('Prospects'!$Y$5:$Y$504,MATCH(B68,'Prospects'!$C$5:$C$504,0))&amp;"")</f>
        <v/>
      </c>
      <c r="K68" s="60">
        <f>IF(B68="","",INDEX('Prospects'!$AN$5:$AN$504,MATCH(B68,'Prospects'!$C$5:$C$504,0))&amp;"")</f>
        <v/>
      </c>
      <c r="L68" s="106">
        <f>IF(B68="","",INDEX('Prospects'!$AT$5:$AT$504,MATCH(B68,'Prospects'!$C$5:$C$504,0)))</f>
        <v/>
      </c>
      <c r="M68" s="62">
        <f>IF(B68="","",SUMIFS('Saisie'!$AW$5:$AW$2004,'Saisie'!$C$5:$C$2004,B68,'Saisie'!$E$5:$E$2004,"Signature"))</f>
        <v/>
      </c>
      <c r="N68" s="62">
        <f>IF(B68="","",SUMIFS('Saisie'!$AW$5:$AW$2004,'Saisie'!$C$5:$C$2004,B68,'Saisie'!$E$5:$E$2004,"Vente additionnelle"))</f>
        <v/>
      </c>
      <c r="O68" s="62">
        <f>IF(B68="","",M68+N68)</f>
        <v/>
      </c>
      <c r="P68" s="62">
        <f>IF(B68="","",SUMIFS('Saisie'!$AW$5:$AW$2004,'Saisie'!$C$5:$C$2004,B68,'Saisie'!$E$5:$E$2004,"Paiement reçu"))</f>
        <v/>
      </c>
      <c r="Q68" s="62">
        <f>IF(B68="","",MAX(0,O68-P68))</f>
        <v/>
      </c>
      <c r="R68" s="60">
        <f>IF(B68="","",IF(O68=0,"",IF(Q68&lt;=0,"Payé",IF(TODAY()-N(L68)&gt;'Paramètres'!$B$27,"En retard",IF(P68&gt;0,"Partiel","En attente")))))</f>
        <v/>
      </c>
      <c r="S68" s="60">
        <f>IF(B68="","",IFERROR(INDEX('Saisie'!$O$5:$O$2004,_xlfn.MAXIFS('Saisie'!$AS$5:$AS$2004,'Saisie'!$C$5:$C$2004,B68,'Saisie'!$O$5:$O$2004,"&lt;&gt;")-4),""))</f>
        <v/>
      </c>
      <c r="T68" s="62">
        <f>IF(B68="","",N(INDEX('Prospects'!$AO$5:$AO$504,MATCH(B68,'Prospects'!$C$5:$C$504,0))))</f>
        <v/>
      </c>
      <c r="U68" s="106">
        <f>IF(B68="","",IF(L68="","",EDATE(L68,'Paramètres'!$B$33)))</f>
        <v/>
      </c>
      <c r="V68" s="61">
        <f>IF(B68="","",IF(U68="","",U68-TODAY()))</f>
        <v/>
      </c>
      <c r="W68" s="61">
        <f>IF(B68="","",IF(L68="","",INT((TODAY()-L68)/30.44)))</f>
        <v/>
      </c>
      <c r="X68" s="62">
        <f>IF(B68="","",O68+T68*'Paramètres'!$B$34)</f>
        <v/>
      </c>
      <c r="Y68" s="62">
        <f>IF(B68="","",O68-N(IFERROR(INDEX('Paramètres'!$T$6:$T$15,MATCH(K68,'Paramètres'!$Q$6:$Q$15,0)),0)))</f>
        <v/>
      </c>
      <c r="Z68" s="123">
        <f>IF(B68="","",((COUNTIFS('Saisie'!$C$5:$C$2004,B68,'Saisie'!$E$5:$E$2004,"Onboarding - Contrat")&gt;0)+(COUNTIFS('Saisie'!$C$5:$C$2004,B68,'Saisie'!$E$5:$E$2004,"Onboarding - Accès")&gt;0)+(COUNTIFS('Saisie'!$C$5:$C$2004,B68,'Saisie'!$E$5:$E$2004,"Onboarding - Contenus")&gt;0)+(COUNTIFS('Saisie'!$C$5:$C$2004,B68,'Saisie'!$E$5:$E$2004,"Onboarding - Lancement")&gt;0))/4)</f>
        <v/>
      </c>
      <c r="AA68" s="60">
        <f>IF(B68="","",IF(COUNTIFS('Saisie'!$C$5:$C$2004,B68,'Saisie'!$E$5:$E$2004,"Demande d'avis Google")&gt;0,"Oui","Non"))</f>
        <v/>
      </c>
      <c r="AB68" s="61">
        <f>IF(B68="","",IFERROR(INDEX('Saisie'!$N$5:$N$2004,_xlfn.MAXIFS('Saisie'!$AS$5:$AS$2004,'Saisie'!$C$5:$C$2004,B68,'Saisie'!$E$5:$E$2004,"Satisfaction client")-4)&amp;"",""))</f>
        <v/>
      </c>
      <c r="AC68" s="106">
        <f>IF(B68="","",IFERROR(1/(1/_xlfn.MAXIFS('Saisie'!$A$5:$A$2004,'Saisie'!$C$5:$C$2004,B68,'Saisie'!$E$5:$E$2004,"Résiliation")),""))</f>
        <v/>
      </c>
      <c r="AD68" s="60">
        <f>IF(D68&lt;&gt;"",MAX($AD$4:AD67)+1,"")</f>
        <v/>
      </c>
    </row>
    <row r="69">
      <c r="A69" s="60">
        <f>IF(B69="","","C-"&amp;TEXT(65,"000"))</f>
        <v/>
      </c>
      <c r="B69" s="60">
        <f>IFERROR(INDEX('Prospects'!$C$5:$C$504,MATCH(65,'Prospects'!$BX$5:$BX$504,0)),"")</f>
        <v/>
      </c>
      <c r="C69" s="60">
        <f>IF(B69="","",IF(AC69&lt;&gt;"","Résilié","Actif"))</f>
        <v/>
      </c>
      <c r="D69" s="60">
        <f>IF(B69="","",IF(C69="Résilié","",IF(R69="En retard","Paiement en retard",IF(AND(V69&lt;&gt;"",N(V69)&lt;='Paramètres'!$B$30,N(V69)&gt;=0),"Renouvellement dans "&amp;V69&amp;" j",IF(AND(AA69="Non",TODAY()-N(L69)&gt;='Paramètres'!$B$29),"Demander un avis Google",IF(Z69&lt;1,"Onboarding à terminer",""))))))</f>
        <v/>
      </c>
      <c r="E69" s="60">
        <f>IF(B69="","",INDEX('Prospects'!$J$5:$J$504,MATCH(B69,'Prospects'!$C$5:$C$504,0))&amp;"")</f>
        <v/>
      </c>
      <c r="F69" s="60">
        <f>IF(B69="","",INDEX('Prospects'!$K$5:$K$504,MATCH(B69,'Prospects'!$C$5:$C$504,0))&amp;"")</f>
        <v/>
      </c>
      <c r="G69" s="60">
        <f>IF(B69="","",INDEX('Prospects'!$N$5:$N$504,MATCH(B69,'Prospects'!$C$5:$C$504,0))&amp;"")</f>
        <v/>
      </c>
      <c r="H69" s="60">
        <f>IF(B69="","",INDEX('Prospects'!$S$5:$S$504,MATCH(B69,'Prospects'!$C$5:$C$504,0))&amp;"")</f>
        <v/>
      </c>
      <c r="I69" s="60">
        <f>IF(B69="","",INDEX('Prospects'!$X$5:$X$504,MATCH(B69,'Prospects'!$C$5:$C$504,0))&amp;"")</f>
        <v/>
      </c>
      <c r="J69" s="60">
        <f>IF(B69="","",INDEX('Prospects'!$Y$5:$Y$504,MATCH(B69,'Prospects'!$C$5:$C$504,0))&amp;"")</f>
        <v/>
      </c>
      <c r="K69" s="60">
        <f>IF(B69="","",INDEX('Prospects'!$AN$5:$AN$504,MATCH(B69,'Prospects'!$C$5:$C$504,0))&amp;"")</f>
        <v/>
      </c>
      <c r="L69" s="106">
        <f>IF(B69="","",INDEX('Prospects'!$AT$5:$AT$504,MATCH(B69,'Prospects'!$C$5:$C$504,0)))</f>
        <v/>
      </c>
      <c r="M69" s="62">
        <f>IF(B69="","",SUMIFS('Saisie'!$AW$5:$AW$2004,'Saisie'!$C$5:$C$2004,B69,'Saisie'!$E$5:$E$2004,"Signature"))</f>
        <v/>
      </c>
      <c r="N69" s="62">
        <f>IF(B69="","",SUMIFS('Saisie'!$AW$5:$AW$2004,'Saisie'!$C$5:$C$2004,B69,'Saisie'!$E$5:$E$2004,"Vente additionnelle"))</f>
        <v/>
      </c>
      <c r="O69" s="62">
        <f>IF(B69="","",M69+N69)</f>
        <v/>
      </c>
      <c r="P69" s="62">
        <f>IF(B69="","",SUMIFS('Saisie'!$AW$5:$AW$2004,'Saisie'!$C$5:$C$2004,B69,'Saisie'!$E$5:$E$2004,"Paiement reçu"))</f>
        <v/>
      </c>
      <c r="Q69" s="62">
        <f>IF(B69="","",MAX(0,O69-P69))</f>
        <v/>
      </c>
      <c r="R69" s="60">
        <f>IF(B69="","",IF(O69=0,"",IF(Q69&lt;=0,"Payé",IF(TODAY()-N(L69)&gt;'Paramètres'!$B$27,"En retard",IF(P69&gt;0,"Partiel","En attente")))))</f>
        <v/>
      </c>
      <c r="S69" s="60">
        <f>IF(B69="","",IFERROR(INDEX('Saisie'!$O$5:$O$2004,_xlfn.MAXIFS('Saisie'!$AS$5:$AS$2004,'Saisie'!$C$5:$C$2004,B69,'Saisie'!$O$5:$O$2004,"&lt;&gt;")-4),""))</f>
        <v/>
      </c>
      <c r="T69" s="62">
        <f>IF(B69="","",N(INDEX('Prospects'!$AO$5:$AO$504,MATCH(B69,'Prospects'!$C$5:$C$504,0))))</f>
        <v/>
      </c>
      <c r="U69" s="106">
        <f>IF(B69="","",IF(L69="","",EDATE(L69,'Paramètres'!$B$33)))</f>
        <v/>
      </c>
      <c r="V69" s="61">
        <f>IF(B69="","",IF(U69="","",U69-TODAY()))</f>
        <v/>
      </c>
      <c r="W69" s="61">
        <f>IF(B69="","",IF(L69="","",INT((TODAY()-L69)/30.44)))</f>
        <v/>
      </c>
      <c r="X69" s="62">
        <f>IF(B69="","",O69+T69*'Paramètres'!$B$34)</f>
        <v/>
      </c>
      <c r="Y69" s="62">
        <f>IF(B69="","",O69-N(IFERROR(INDEX('Paramètres'!$T$6:$T$15,MATCH(K69,'Paramètres'!$Q$6:$Q$15,0)),0)))</f>
        <v/>
      </c>
      <c r="Z69" s="123">
        <f>IF(B69="","",((COUNTIFS('Saisie'!$C$5:$C$2004,B69,'Saisie'!$E$5:$E$2004,"Onboarding - Contrat")&gt;0)+(COUNTIFS('Saisie'!$C$5:$C$2004,B69,'Saisie'!$E$5:$E$2004,"Onboarding - Accès")&gt;0)+(COUNTIFS('Saisie'!$C$5:$C$2004,B69,'Saisie'!$E$5:$E$2004,"Onboarding - Contenus")&gt;0)+(COUNTIFS('Saisie'!$C$5:$C$2004,B69,'Saisie'!$E$5:$E$2004,"Onboarding - Lancement")&gt;0))/4)</f>
        <v/>
      </c>
      <c r="AA69" s="60">
        <f>IF(B69="","",IF(COUNTIFS('Saisie'!$C$5:$C$2004,B69,'Saisie'!$E$5:$E$2004,"Demande d'avis Google")&gt;0,"Oui","Non"))</f>
        <v/>
      </c>
      <c r="AB69" s="61">
        <f>IF(B69="","",IFERROR(INDEX('Saisie'!$N$5:$N$2004,_xlfn.MAXIFS('Saisie'!$AS$5:$AS$2004,'Saisie'!$C$5:$C$2004,B69,'Saisie'!$E$5:$E$2004,"Satisfaction client")-4)&amp;"",""))</f>
        <v/>
      </c>
      <c r="AC69" s="106">
        <f>IF(B69="","",IFERROR(1/(1/_xlfn.MAXIFS('Saisie'!$A$5:$A$2004,'Saisie'!$C$5:$C$2004,B69,'Saisie'!$E$5:$E$2004,"Résiliation")),""))</f>
        <v/>
      </c>
      <c r="AD69" s="60">
        <f>IF(D69&lt;&gt;"",MAX($AD$4:AD68)+1,"")</f>
        <v/>
      </c>
    </row>
    <row r="70">
      <c r="A70" s="60">
        <f>IF(B70="","","C-"&amp;TEXT(66,"000"))</f>
        <v/>
      </c>
      <c r="B70" s="60">
        <f>IFERROR(INDEX('Prospects'!$C$5:$C$504,MATCH(66,'Prospects'!$BX$5:$BX$504,0)),"")</f>
        <v/>
      </c>
      <c r="C70" s="60">
        <f>IF(B70="","",IF(AC70&lt;&gt;"","Résilié","Actif"))</f>
        <v/>
      </c>
      <c r="D70" s="60">
        <f>IF(B70="","",IF(C70="Résilié","",IF(R70="En retard","Paiement en retard",IF(AND(V70&lt;&gt;"",N(V70)&lt;='Paramètres'!$B$30,N(V70)&gt;=0),"Renouvellement dans "&amp;V70&amp;" j",IF(AND(AA70="Non",TODAY()-N(L70)&gt;='Paramètres'!$B$29),"Demander un avis Google",IF(Z70&lt;1,"Onboarding à terminer",""))))))</f>
        <v/>
      </c>
      <c r="E70" s="60">
        <f>IF(B70="","",INDEX('Prospects'!$J$5:$J$504,MATCH(B70,'Prospects'!$C$5:$C$504,0))&amp;"")</f>
        <v/>
      </c>
      <c r="F70" s="60">
        <f>IF(B70="","",INDEX('Prospects'!$K$5:$K$504,MATCH(B70,'Prospects'!$C$5:$C$504,0))&amp;"")</f>
        <v/>
      </c>
      <c r="G70" s="60">
        <f>IF(B70="","",INDEX('Prospects'!$N$5:$N$504,MATCH(B70,'Prospects'!$C$5:$C$504,0))&amp;"")</f>
        <v/>
      </c>
      <c r="H70" s="60">
        <f>IF(B70="","",INDEX('Prospects'!$S$5:$S$504,MATCH(B70,'Prospects'!$C$5:$C$504,0))&amp;"")</f>
        <v/>
      </c>
      <c r="I70" s="60">
        <f>IF(B70="","",INDEX('Prospects'!$X$5:$X$504,MATCH(B70,'Prospects'!$C$5:$C$504,0))&amp;"")</f>
        <v/>
      </c>
      <c r="J70" s="60">
        <f>IF(B70="","",INDEX('Prospects'!$Y$5:$Y$504,MATCH(B70,'Prospects'!$C$5:$C$504,0))&amp;"")</f>
        <v/>
      </c>
      <c r="K70" s="60">
        <f>IF(B70="","",INDEX('Prospects'!$AN$5:$AN$504,MATCH(B70,'Prospects'!$C$5:$C$504,0))&amp;"")</f>
        <v/>
      </c>
      <c r="L70" s="106">
        <f>IF(B70="","",INDEX('Prospects'!$AT$5:$AT$504,MATCH(B70,'Prospects'!$C$5:$C$504,0)))</f>
        <v/>
      </c>
      <c r="M70" s="62">
        <f>IF(B70="","",SUMIFS('Saisie'!$AW$5:$AW$2004,'Saisie'!$C$5:$C$2004,B70,'Saisie'!$E$5:$E$2004,"Signature"))</f>
        <v/>
      </c>
      <c r="N70" s="62">
        <f>IF(B70="","",SUMIFS('Saisie'!$AW$5:$AW$2004,'Saisie'!$C$5:$C$2004,B70,'Saisie'!$E$5:$E$2004,"Vente additionnelle"))</f>
        <v/>
      </c>
      <c r="O70" s="62">
        <f>IF(B70="","",M70+N70)</f>
        <v/>
      </c>
      <c r="P70" s="62">
        <f>IF(B70="","",SUMIFS('Saisie'!$AW$5:$AW$2004,'Saisie'!$C$5:$C$2004,B70,'Saisie'!$E$5:$E$2004,"Paiement reçu"))</f>
        <v/>
      </c>
      <c r="Q70" s="62">
        <f>IF(B70="","",MAX(0,O70-P70))</f>
        <v/>
      </c>
      <c r="R70" s="60">
        <f>IF(B70="","",IF(O70=0,"",IF(Q70&lt;=0,"Payé",IF(TODAY()-N(L70)&gt;'Paramètres'!$B$27,"En retard",IF(P70&gt;0,"Partiel","En attente")))))</f>
        <v/>
      </c>
      <c r="S70" s="60">
        <f>IF(B70="","",IFERROR(INDEX('Saisie'!$O$5:$O$2004,_xlfn.MAXIFS('Saisie'!$AS$5:$AS$2004,'Saisie'!$C$5:$C$2004,B70,'Saisie'!$O$5:$O$2004,"&lt;&gt;")-4),""))</f>
        <v/>
      </c>
      <c r="T70" s="62">
        <f>IF(B70="","",N(INDEX('Prospects'!$AO$5:$AO$504,MATCH(B70,'Prospects'!$C$5:$C$504,0))))</f>
        <v/>
      </c>
      <c r="U70" s="106">
        <f>IF(B70="","",IF(L70="","",EDATE(L70,'Paramètres'!$B$33)))</f>
        <v/>
      </c>
      <c r="V70" s="61">
        <f>IF(B70="","",IF(U70="","",U70-TODAY()))</f>
        <v/>
      </c>
      <c r="W70" s="61">
        <f>IF(B70="","",IF(L70="","",INT((TODAY()-L70)/30.44)))</f>
        <v/>
      </c>
      <c r="X70" s="62">
        <f>IF(B70="","",O70+T70*'Paramètres'!$B$34)</f>
        <v/>
      </c>
      <c r="Y70" s="62">
        <f>IF(B70="","",O70-N(IFERROR(INDEX('Paramètres'!$T$6:$T$15,MATCH(K70,'Paramètres'!$Q$6:$Q$15,0)),0)))</f>
        <v/>
      </c>
      <c r="Z70" s="123">
        <f>IF(B70="","",((COUNTIFS('Saisie'!$C$5:$C$2004,B70,'Saisie'!$E$5:$E$2004,"Onboarding - Contrat")&gt;0)+(COUNTIFS('Saisie'!$C$5:$C$2004,B70,'Saisie'!$E$5:$E$2004,"Onboarding - Accès")&gt;0)+(COUNTIFS('Saisie'!$C$5:$C$2004,B70,'Saisie'!$E$5:$E$2004,"Onboarding - Contenus")&gt;0)+(COUNTIFS('Saisie'!$C$5:$C$2004,B70,'Saisie'!$E$5:$E$2004,"Onboarding - Lancement")&gt;0))/4)</f>
        <v/>
      </c>
      <c r="AA70" s="60">
        <f>IF(B70="","",IF(COUNTIFS('Saisie'!$C$5:$C$2004,B70,'Saisie'!$E$5:$E$2004,"Demande d'avis Google")&gt;0,"Oui","Non"))</f>
        <v/>
      </c>
      <c r="AB70" s="61">
        <f>IF(B70="","",IFERROR(INDEX('Saisie'!$N$5:$N$2004,_xlfn.MAXIFS('Saisie'!$AS$5:$AS$2004,'Saisie'!$C$5:$C$2004,B70,'Saisie'!$E$5:$E$2004,"Satisfaction client")-4)&amp;"",""))</f>
        <v/>
      </c>
      <c r="AC70" s="106">
        <f>IF(B70="","",IFERROR(1/(1/_xlfn.MAXIFS('Saisie'!$A$5:$A$2004,'Saisie'!$C$5:$C$2004,B70,'Saisie'!$E$5:$E$2004,"Résiliation")),""))</f>
        <v/>
      </c>
      <c r="AD70" s="60">
        <f>IF(D70&lt;&gt;"",MAX($AD$4:AD69)+1,"")</f>
        <v/>
      </c>
    </row>
    <row r="71">
      <c r="A71" s="60">
        <f>IF(B71="","","C-"&amp;TEXT(67,"000"))</f>
        <v/>
      </c>
      <c r="B71" s="60">
        <f>IFERROR(INDEX('Prospects'!$C$5:$C$504,MATCH(67,'Prospects'!$BX$5:$BX$504,0)),"")</f>
        <v/>
      </c>
      <c r="C71" s="60">
        <f>IF(B71="","",IF(AC71&lt;&gt;"","Résilié","Actif"))</f>
        <v/>
      </c>
      <c r="D71" s="60">
        <f>IF(B71="","",IF(C71="Résilié","",IF(R71="En retard","Paiement en retard",IF(AND(V71&lt;&gt;"",N(V71)&lt;='Paramètres'!$B$30,N(V71)&gt;=0),"Renouvellement dans "&amp;V71&amp;" j",IF(AND(AA71="Non",TODAY()-N(L71)&gt;='Paramètres'!$B$29),"Demander un avis Google",IF(Z71&lt;1,"Onboarding à terminer",""))))))</f>
        <v/>
      </c>
      <c r="E71" s="60">
        <f>IF(B71="","",INDEX('Prospects'!$J$5:$J$504,MATCH(B71,'Prospects'!$C$5:$C$504,0))&amp;"")</f>
        <v/>
      </c>
      <c r="F71" s="60">
        <f>IF(B71="","",INDEX('Prospects'!$K$5:$K$504,MATCH(B71,'Prospects'!$C$5:$C$504,0))&amp;"")</f>
        <v/>
      </c>
      <c r="G71" s="60">
        <f>IF(B71="","",INDEX('Prospects'!$N$5:$N$504,MATCH(B71,'Prospects'!$C$5:$C$504,0))&amp;"")</f>
        <v/>
      </c>
      <c r="H71" s="60">
        <f>IF(B71="","",INDEX('Prospects'!$S$5:$S$504,MATCH(B71,'Prospects'!$C$5:$C$504,0))&amp;"")</f>
        <v/>
      </c>
      <c r="I71" s="60">
        <f>IF(B71="","",INDEX('Prospects'!$X$5:$X$504,MATCH(B71,'Prospects'!$C$5:$C$504,0))&amp;"")</f>
        <v/>
      </c>
      <c r="J71" s="60">
        <f>IF(B71="","",INDEX('Prospects'!$Y$5:$Y$504,MATCH(B71,'Prospects'!$C$5:$C$504,0))&amp;"")</f>
        <v/>
      </c>
      <c r="K71" s="60">
        <f>IF(B71="","",INDEX('Prospects'!$AN$5:$AN$504,MATCH(B71,'Prospects'!$C$5:$C$504,0))&amp;"")</f>
        <v/>
      </c>
      <c r="L71" s="106">
        <f>IF(B71="","",INDEX('Prospects'!$AT$5:$AT$504,MATCH(B71,'Prospects'!$C$5:$C$504,0)))</f>
        <v/>
      </c>
      <c r="M71" s="62">
        <f>IF(B71="","",SUMIFS('Saisie'!$AW$5:$AW$2004,'Saisie'!$C$5:$C$2004,B71,'Saisie'!$E$5:$E$2004,"Signature"))</f>
        <v/>
      </c>
      <c r="N71" s="62">
        <f>IF(B71="","",SUMIFS('Saisie'!$AW$5:$AW$2004,'Saisie'!$C$5:$C$2004,B71,'Saisie'!$E$5:$E$2004,"Vente additionnelle"))</f>
        <v/>
      </c>
      <c r="O71" s="62">
        <f>IF(B71="","",M71+N71)</f>
        <v/>
      </c>
      <c r="P71" s="62">
        <f>IF(B71="","",SUMIFS('Saisie'!$AW$5:$AW$2004,'Saisie'!$C$5:$C$2004,B71,'Saisie'!$E$5:$E$2004,"Paiement reçu"))</f>
        <v/>
      </c>
      <c r="Q71" s="62">
        <f>IF(B71="","",MAX(0,O71-P71))</f>
        <v/>
      </c>
      <c r="R71" s="60">
        <f>IF(B71="","",IF(O71=0,"",IF(Q71&lt;=0,"Payé",IF(TODAY()-N(L71)&gt;'Paramètres'!$B$27,"En retard",IF(P71&gt;0,"Partiel","En attente")))))</f>
        <v/>
      </c>
      <c r="S71" s="60">
        <f>IF(B71="","",IFERROR(INDEX('Saisie'!$O$5:$O$2004,_xlfn.MAXIFS('Saisie'!$AS$5:$AS$2004,'Saisie'!$C$5:$C$2004,B71,'Saisie'!$O$5:$O$2004,"&lt;&gt;")-4),""))</f>
        <v/>
      </c>
      <c r="T71" s="62">
        <f>IF(B71="","",N(INDEX('Prospects'!$AO$5:$AO$504,MATCH(B71,'Prospects'!$C$5:$C$504,0))))</f>
        <v/>
      </c>
      <c r="U71" s="106">
        <f>IF(B71="","",IF(L71="","",EDATE(L71,'Paramètres'!$B$33)))</f>
        <v/>
      </c>
      <c r="V71" s="61">
        <f>IF(B71="","",IF(U71="","",U71-TODAY()))</f>
        <v/>
      </c>
      <c r="W71" s="61">
        <f>IF(B71="","",IF(L71="","",INT((TODAY()-L71)/30.44)))</f>
        <v/>
      </c>
      <c r="X71" s="62">
        <f>IF(B71="","",O71+T71*'Paramètres'!$B$34)</f>
        <v/>
      </c>
      <c r="Y71" s="62">
        <f>IF(B71="","",O71-N(IFERROR(INDEX('Paramètres'!$T$6:$T$15,MATCH(K71,'Paramètres'!$Q$6:$Q$15,0)),0)))</f>
        <v/>
      </c>
      <c r="Z71" s="123">
        <f>IF(B71="","",((COUNTIFS('Saisie'!$C$5:$C$2004,B71,'Saisie'!$E$5:$E$2004,"Onboarding - Contrat")&gt;0)+(COUNTIFS('Saisie'!$C$5:$C$2004,B71,'Saisie'!$E$5:$E$2004,"Onboarding - Accès")&gt;0)+(COUNTIFS('Saisie'!$C$5:$C$2004,B71,'Saisie'!$E$5:$E$2004,"Onboarding - Contenus")&gt;0)+(COUNTIFS('Saisie'!$C$5:$C$2004,B71,'Saisie'!$E$5:$E$2004,"Onboarding - Lancement")&gt;0))/4)</f>
        <v/>
      </c>
      <c r="AA71" s="60">
        <f>IF(B71="","",IF(COUNTIFS('Saisie'!$C$5:$C$2004,B71,'Saisie'!$E$5:$E$2004,"Demande d'avis Google")&gt;0,"Oui","Non"))</f>
        <v/>
      </c>
      <c r="AB71" s="61">
        <f>IF(B71="","",IFERROR(INDEX('Saisie'!$N$5:$N$2004,_xlfn.MAXIFS('Saisie'!$AS$5:$AS$2004,'Saisie'!$C$5:$C$2004,B71,'Saisie'!$E$5:$E$2004,"Satisfaction client")-4)&amp;"",""))</f>
        <v/>
      </c>
      <c r="AC71" s="106">
        <f>IF(B71="","",IFERROR(1/(1/_xlfn.MAXIFS('Saisie'!$A$5:$A$2004,'Saisie'!$C$5:$C$2004,B71,'Saisie'!$E$5:$E$2004,"Résiliation")),""))</f>
        <v/>
      </c>
      <c r="AD71" s="60">
        <f>IF(D71&lt;&gt;"",MAX($AD$4:AD70)+1,"")</f>
        <v/>
      </c>
    </row>
    <row r="72">
      <c r="A72" s="60">
        <f>IF(B72="","","C-"&amp;TEXT(68,"000"))</f>
        <v/>
      </c>
      <c r="B72" s="60">
        <f>IFERROR(INDEX('Prospects'!$C$5:$C$504,MATCH(68,'Prospects'!$BX$5:$BX$504,0)),"")</f>
        <v/>
      </c>
      <c r="C72" s="60">
        <f>IF(B72="","",IF(AC72&lt;&gt;"","Résilié","Actif"))</f>
        <v/>
      </c>
      <c r="D72" s="60">
        <f>IF(B72="","",IF(C72="Résilié","",IF(R72="En retard","Paiement en retard",IF(AND(V72&lt;&gt;"",N(V72)&lt;='Paramètres'!$B$30,N(V72)&gt;=0),"Renouvellement dans "&amp;V72&amp;" j",IF(AND(AA72="Non",TODAY()-N(L72)&gt;='Paramètres'!$B$29),"Demander un avis Google",IF(Z72&lt;1,"Onboarding à terminer",""))))))</f>
        <v/>
      </c>
      <c r="E72" s="60">
        <f>IF(B72="","",INDEX('Prospects'!$J$5:$J$504,MATCH(B72,'Prospects'!$C$5:$C$504,0))&amp;"")</f>
        <v/>
      </c>
      <c r="F72" s="60">
        <f>IF(B72="","",INDEX('Prospects'!$K$5:$K$504,MATCH(B72,'Prospects'!$C$5:$C$504,0))&amp;"")</f>
        <v/>
      </c>
      <c r="G72" s="60">
        <f>IF(B72="","",INDEX('Prospects'!$N$5:$N$504,MATCH(B72,'Prospects'!$C$5:$C$504,0))&amp;"")</f>
        <v/>
      </c>
      <c r="H72" s="60">
        <f>IF(B72="","",INDEX('Prospects'!$S$5:$S$504,MATCH(B72,'Prospects'!$C$5:$C$504,0))&amp;"")</f>
        <v/>
      </c>
      <c r="I72" s="60">
        <f>IF(B72="","",INDEX('Prospects'!$X$5:$X$504,MATCH(B72,'Prospects'!$C$5:$C$504,0))&amp;"")</f>
        <v/>
      </c>
      <c r="J72" s="60">
        <f>IF(B72="","",INDEX('Prospects'!$Y$5:$Y$504,MATCH(B72,'Prospects'!$C$5:$C$504,0))&amp;"")</f>
        <v/>
      </c>
      <c r="K72" s="60">
        <f>IF(B72="","",INDEX('Prospects'!$AN$5:$AN$504,MATCH(B72,'Prospects'!$C$5:$C$504,0))&amp;"")</f>
        <v/>
      </c>
      <c r="L72" s="106">
        <f>IF(B72="","",INDEX('Prospects'!$AT$5:$AT$504,MATCH(B72,'Prospects'!$C$5:$C$504,0)))</f>
        <v/>
      </c>
      <c r="M72" s="62">
        <f>IF(B72="","",SUMIFS('Saisie'!$AW$5:$AW$2004,'Saisie'!$C$5:$C$2004,B72,'Saisie'!$E$5:$E$2004,"Signature"))</f>
        <v/>
      </c>
      <c r="N72" s="62">
        <f>IF(B72="","",SUMIFS('Saisie'!$AW$5:$AW$2004,'Saisie'!$C$5:$C$2004,B72,'Saisie'!$E$5:$E$2004,"Vente additionnelle"))</f>
        <v/>
      </c>
      <c r="O72" s="62">
        <f>IF(B72="","",M72+N72)</f>
        <v/>
      </c>
      <c r="P72" s="62">
        <f>IF(B72="","",SUMIFS('Saisie'!$AW$5:$AW$2004,'Saisie'!$C$5:$C$2004,B72,'Saisie'!$E$5:$E$2004,"Paiement reçu"))</f>
        <v/>
      </c>
      <c r="Q72" s="62">
        <f>IF(B72="","",MAX(0,O72-P72))</f>
        <v/>
      </c>
      <c r="R72" s="60">
        <f>IF(B72="","",IF(O72=0,"",IF(Q72&lt;=0,"Payé",IF(TODAY()-N(L72)&gt;'Paramètres'!$B$27,"En retard",IF(P72&gt;0,"Partiel","En attente")))))</f>
        <v/>
      </c>
      <c r="S72" s="60">
        <f>IF(B72="","",IFERROR(INDEX('Saisie'!$O$5:$O$2004,_xlfn.MAXIFS('Saisie'!$AS$5:$AS$2004,'Saisie'!$C$5:$C$2004,B72,'Saisie'!$O$5:$O$2004,"&lt;&gt;")-4),""))</f>
        <v/>
      </c>
      <c r="T72" s="62">
        <f>IF(B72="","",N(INDEX('Prospects'!$AO$5:$AO$504,MATCH(B72,'Prospects'!$C$5:$C$504,0))))</f>
        <v/>
      </c>
      <c r="U72" s="106">
        <f>IF(B72="","",IF(L72="","",EDATE(L72,'Paramètres'!$B$33)))</f>
        <v/>
      </c>
      <c r="V72" s="61">
        <f>IF(B72="","",IF(U72="","",U72-TODAY()))</f>
        <v/>
      </c>
      <c r="W72" s="61">
        <f>IF(B72="","",IF(L72="","",INT((TODAY()-L72)/30.44)))</f>
        <v/>
      </c>
      <c r="X72" s="62">
        <f>IF(B72="","",O72+T72*'Paramètres'!$B$34)</f>
        <v/>
      </c>
      <c r="Y72" s="62">
        <f>IF(B72="","",O72-N(IFERROR(INDEX('Paramètres'!$T$6:$T$15,MATCH(K72,'Paramètres'!$Q$6:$Q$15,0)),0)))</f>
        <v/>
      </c>
      <c r="Z72" s="123">
        <f>IF(B72="","",((COUNTIFS('Saisie'!$C$5:$C$2004,B72,'Saisie'!$E$5:$E$2004,"Onboarding - Contrat")&gt;0)+(COUNTIFS('Saisie'!$C$5:$C$2004,B72,'Saisie'!$E$5:$E$2004,"Onboarding - Accès")&gt;0)+(COUNTIFS('Saisie'!$C$5:$C$2004,B72,'Saisie'!$E$5:$E$2004,"Onboarding - Contenus")&gt;0)+(COUNTIFS('Saisie'!$C$5:$C$2004,B72,'Saisie'!$E$5:$E$2004,"Onboarding - Lancement")&gt;0))/4)</f>
        <v/>
      </c>
      <c r="AA72" s="60">
        <f>IF(B72="","",IF(COUNTIFS('Saisie'!$C$5:$C$2004,B72,'Saisie'!$E$5:$E$2004,"Demande d'avis Google")&gt;0,"Oui","Non"))</f>
        <v/>
      </c>
      <c r="AB72" s="61">
        <f>IF(B72="","",IFERROR(INDEX('Saisie'!$N$5:$N$2004,_xlfn.MAXIFS('Saisie'!$AS$5:$AS$2004,'Saisie'!$C$5:$C$2004,B72,'Saisie'!$E$5:$E$2004,"Satisfaction client")-4)&amp;"",""))</f>
        <v/>
      </c>
      <c r="AC72" s="106">
        <f>IF(B72="","",IFERROR(1/(1/_xlfn.MAXIFS('Saisie'!$A$5:$A$2004,'Saisie'!$C$5:$C$2004,B72,'Saisie'!$E$5:$E$2004,"Résiliation")),""))</f>
        <v/>
      </c>
      <c r="AD72" s="60">
        <f>IF(D72&lt;&gt;"",MAX($AD$4:AD71)+1,"")</f>
        <v/>
      </c>
    </row>
    <row r="73">
      <c r="A73" s="60">
        <f>IF(B73="","","C-"&amp;TEXT(69,"000"))</f>
        <v/>
      </c>
      <c r="B73" s="60">
        <f>IFERROR(INDEX('Prospects'!$C$5:$C$504,MATCH(69,'Prospects'!$BX$5:$BX$504,0)),"")</f>
        <v/>
      </c>
      <c r="C73" s="60">
        <f>IF(B73="","",IF(AC73&lt;&gt;"","Résilié","Actif"))</f>
        <v/>
      </c>
      <c r="D73" s="60">
        <f>IF(B73="","",IF(C73="Résilié","",IF(R73="En retard","Paiement en retard",IF(AND(V73&lt;&gt;"",N(V73)&lt;='Paramètres'!$B$30,N(V73)&gt;=0),"Renouvellement dans "&amp;V73&amp;" j",IF(AND(AA73="Non",TODAY()-N(L73)&gt;='Paramètres'!$B$29),"Demander un avis Google",IF(Z73&lt;1,"Onboarding à terminer",""))))))</f>
        <v/>
      </c>
      <c r="E73" s="60">
        <f>IF(B73="","",INDEX('Prospects'!$J$5:$J$504,MATCH(B73,'Prospects'!$C$5:$C$504,0))&amp;"")</f>
        <v/>
      </c>
      <c r="F73" s="60">
        <f>IF(B73="","",INDEX('Prospects'!$K$5:$K$504,MATCH(B73,'Prospects'!$C$5:$C$504,0))&amp;"")</f>
        <v/>
      </c>
      <c r="G73" s="60">
        <f>IF(B73="","",INDEX('Prospects'!$N$5:$N$504,MATCH(B73,'Prospects'!$C$5:$C$504,0))&amp;"")</f>
        <v/>
      </c>
      <c r="H73" s="60">
        <f>IF(B73="","",INDEX('Prospects'!$S$5:$S$504,MATCH(B73,'Prospects'!$C$5:$C$504,0))&amp;"")</f>
        <v/>
      </c>
      <c r="I73" s="60">
        <f>IF(B73="","",INDEX('Prospects'!$X$5:$X$504,MATCH(B73,'Prospects'!$C$5:$C$504,0))&amp;"")</f>
        <v/>
      </c>
      <c r="J73" s="60">
        <f>IF(B73="","",INDEX('Prospects'!$Y$5:$Y$504,MATCH(B73,'Prospects'!$C$5:$C$504,0))&amp;"")</f>
        <v/>
      </c>
      <c r="K73" s="60">
        <f>IF(B73="","",INDEX('Prospects'!$AN$5:$AN$504,MATCH(B73,'Prospects'!$C$5:$C$504,0))&amp;"")</f>
        <v/>
      </c>
      <c r="L73" s="106">
        <f>IF(B73="","",INDEX('Prospects'!$AT$5:$AT$504,MATCH(B73,'Prospects'!$C$5:$C$504,0)))</f>
        <v/>
      </c>
      <c r="M73" s="62">
        <f>IF(B73="","",SUMIFS('Saisie'!$AW$5:$AW$2004,'Saisie'!$C$5:$C$2004,B73,'Saisie'!$E$5:$E$2004,"Signature"))</f>
        <v/>
      </c>
      <c r="N73" s="62">
        <f>IF(B73="","",SUMIFS('Saisie'!$AW$5:$AW$2004,'Saisie'!$C$5:$C$2004,B73,'Saisie'!$E$5:$E$2004,"Vente additionnelle"))</f>
        <v/>
      </c>
      <c r="O73" s="62">
        <f>IF(B73="","",M73+N73)</f>
        <v/>
      </c>
      <c r="P73" s="62">
        <f>IF(B73="","",SUMIFS('Saisie'!$AW$5:$AW$2004,'Saisie'!$C$5:$C$2004,B73,'Saisie'!$E$5:$E$2004,"Paiement reçu"))</f>
        <v/>
      </c>
      <c r="Q73" s="62">
        <f>IF(B73="","",MAX(0,O73-P73))</f>
        <v/>
      </c>
      <c r="R73" s="60">
        <f>IF(B73="","",IF(O73=0,"",IF(Q73&lt;=0,"Payé",IF(TODAY()-N(L73)&gt;'Paramètres'!$B$27,"En retard",IF(P73&gt;0,"Partiel","En attente")))))</f>
        <v/>
      </c>
      <c r="S73" s="60">
        <f>IF(B73="","",IFERROR(INDEX('Saisie'!$O$5:$O$2004,_xlfn.MAXIFS('Saisie'!$AS$5:$AS$2004,'Saisie'!$C$5:$C$2004,B73,'Saisie'!$O$5:$O$2004,"&lt;&gt;")-4),""))</f>
        <v/>
      </c>
      <c r="T73" s="62">
        <f>IF(B73="","",N(INDEX('Prospects'!$AO$5:$AO$504,MATCH(B73,'Prospects'!$C$5:$C$504,0))))</f>
        <v/>
      </c>
      <c r="U73" s="106">
        <f>IF(B73="","",IF(L73="","",EDATE(L73,'Paramètres'!$B$33)))</f>
        <v/>
      </c>
      <c r="V73" s="61">
        <f>IF(B73="","",IF(U73="","",U73-TODAY()))</f>
        <v/>
      </c>
      <c r="W73" s="61">
        <f>IF(B73="","",IF(L73="","",INT((TODAY()-L73)/30.44)))</f>
        <v/>
      </c>
      <c r="X73" s="62">
        <f>IF(B73="","",O73+T73*'Paramètres'!$B$34)</f>
        <v/>
      </c>
      <c r="Y73" s="62">
        <f>IF(B73="","",O73-N(IFERROR(INDEX('Paramètres'!$T$6:$T$15,MATCH(K73,'Paramètres'!$Q$6:$Q$15,0)),0)))</f>
        <v/>
      </c>
      <c r="Z73" s="123">
        <f>IF(B73="","",((COUNTIFS('Saisie'!$C$5:$C$2004,B73,'Saisie'!$E$5:$E$2004,"Onboarding - Contrat")&gt;0)+(COUNTIFS('Saisie'!$C$5:$C$2004,B73,'Saisie'!$E$5:$E$2004,"Onboarding - Accès")&gt;0)+(COUNTIFS('Saisie'!$C$5:$C$2004,B73,'Saisie'!$E$5:$E$2004,"Onboarding - Contenus")&gt;0)+(COUNTIFS('Saisie'!$C$5:$C$2004,B73,'Saisie'!$E$5:$E$2004,"Onboarding - Lancement")&gt;0))/4)</f>
        <v/>
      </c>
      <c r="AA73" s="60">
        <f>IF(B73="","",IF(COUNTIFS('Saisie'!$C$5:$C$2004,B73,'Saisie'!$E$5:$E$2004,"Demande d'avis Google")&gt;0,"Oui","Non"))</f>
        <v/>
      </c>
      <c r="AB73" s="61">
        <f>IF(B73="","",IFERROR(INDEX('Saisie'!$N$5:$N$2004,_xlfn.MAXIFS('Saisie'!$AS$5:$AS$2004,'Saisie'!$C$5:$C$2004,B73,'Saisie'!$E$5:$E$2004,"Satisfaction client")-4)&amp;"",""))</f>
        <v/>
      </c>
      <c r="AC73" s="106">
        <f>IF(B73="","",IFERROR(1/(1/_xlfn.MAXIFS('Saisie'!$A$5:$A$2004,'Saisie'!$C$5:$C$2004,B73,'Saisie'!$E$5:$E$2004,"Résiliation")),""))</f>
        <v/>
      </c>
      <c r="AD73" s="60">
        <f>IF(D73&lt;&gt;"",MAX($AD$4:AD72)+1,"")</f>
        <v/>
      </c>
    </row>
    <row r="74">
      <c r="A74" s="60">
        <f>IF(B74="","","C-"&amp;TEXT(70,"000"))</f>
        <v/>
      </c>
      <c r="B74" s="60">
        <f>IFERROR(INDEX('Prospects'!$C$5:$C$504,MATCH(70,'Prospects'!$BX$5:$BX$504,0)),"")</f>
        <v/>
      </c>
      <c r="C74" s="60">
        <f>IF(B74="","",IF(AC74&lt;&gt;"","Résilié","Actif"))</f>
        <v/>
      </c>
      <c r="D74" s="60">
        <f>IF(B74="","",IF(C74="Résilié","",IF(R74="En retard","Paiement en retard",IF(AND(V74&lt;&gt;"",N(V74)&lt;='Paramètres'!$B$30,N(V74)&gt;=0),"Renouvellement dans "&amp;V74&amp;" j",IF(AND(AA74="Non",TODAY()-N(L74)&gt;='Paramètres'!$B$29),"Demander un avis Google",IF(Z74&lt;1,"Onboarding à terminer",""))))))</f>
        <v/>
      </c>
      <c r="E74" s="60">
        <f>IF(B74="","",INDEX('Prospects'!$J$5:$J$504,MATCH(B74,'Prospects'!$C$5:$C$504,0))&amp;"")</f>
        <v/>
      </c>
      <c r="F74" s="60">
        <f>IF(B74="","",INDEX('Prospects'!$K$5:$K$504,MATCH(B74,'Prospects'!$C$5:$C$504,0))&amp;"")</f>
        <v/>
      </c>
      <c r="G74" s="60">
        <f>IF(B74="","",INDEX('Prospects'!$N$5:$N$504,MATCH(B74,'Prospects'!$C$5:$C$504,0))&amp;"")</f>
        <v/>
      </c>
      <c r="H74" s="60">
        <f>IF(B74="","",INDEX('Prospects'!$S$5:$S$504,MATCH(B74,'Prospects'!$C$5:$C$504,0))&amp;"")</f>
        <v/>
      </c>
      <c r="I74" s="60">
        <f>IF(B74="","",INDEX('Prospects'!$X$5:$X$504,MATCH(B74,'Prospects'!$C$5:$C$504,0))&amp;"")</f>
        <v/>
      </c>
      <c r="J74" s="60">
        <f>IF(B74="","",INDEX('Prospects'!$Y$5:$Y$504,MATCH(B74,'Prospects'!$C$5:$C$504,0))&amp;"")</f>
        <v/>
      </c>
      <c r="K74" s="60">
        <f>IF(B74="","",INDEX('Prospects'!$AN$5:$AN$504,MATCH(B74,'Prospects'!$C$5:$C$504,0))&amp;"")</f>
        <v/>
      </c>
      <c r="L74" s="106">
        <f>IF(B74="","",INDEX('Prospects'!$AT$5:$AT$504,MATCH(B74,'Prospects'!$C$5:$C$504,0)))</f>
        <v/>
      </c>
      <c r="M74" s="62">
        <f>IF(B74="","",SUMIFS('Saisie'!$AW$5:$AW$2004,'Saisie'!$C$5:$C$2004,B74,'Saisie'!$E$5:$E$2004,"Signature"))</f>
        <v/>
      </c>
      <c r="N74" s="62">
        <f>IF(B74="","",SUMIFS('Saisie'!$AW$5:$AW$2004,'Saisie'!$C$5:$C$2004,B74,'Saisie'!$E$5:$E$2004,"Vente additionnelle"))</f>
        <v/>
      </c>
      <c r="O74" s="62">
        <f>IF(B74="","",M74+N74)</f>
        <v/>
      </c>
      <c r="P74" s="62">
        <f>IF(B74="","",SUMIFS('Saisie'!$AW$5:$AW$2004,'Saisie'!$C$5:$C$2004,B74,'Saisie'!$E$5:$E$2004,"Paiement reçu"))</f>
        <v/>
      </c>
      <c r="Q74" s="62">
        <f>IF(B74="","",MAX(0,O74-P74))</f>
        <v/>
      </c>
      <c r="R74" s="60">
        <f>IF(B74="","",IF(O74=0,"",IF(Q74&lt;=0,"Payé",IF(TODAY()-N(L74)&gt;'Paramètres'!$B$27,"En retard",IF(P74&gt;0,"Partiel","En attente")))))</f>
        <v/>
      </c>
      <c r="S74" s="60">
        <f>IF(B74="","",IFERROR(INDEX('Saisie'!$O$5:$O$2004,_xlfn.MAXIFS('Saisie'!$AS$5:$AS$2004,'Saisie'!$C$5:$C$2004,B74,'Saisie'!$O$5:$O$2004,"&lt;&gt;")-4),""))</f>
        <v/>
      </c>
      <c r="T74" s="62">
        <f>IF(B74="","",N(INDEX('Prospects'!$AO$5:$AO$504,MATCH(B74,'Prospects'!$C$5:$C$504,0))))</f>
        <v/>
      </c>
      <c r="U74" s="106">
        <f>IF(B74="","",IF(L74="","",EDATE(L74,'Paramètres'!$B$33)))</f>
        <v/>
      </c>
      <c r="V74" s="61">
        <f>IF(B74="","",IF(U74="","",U74-TODAY()))</f>
        <v/>
      </c>
      <c r="W74" s="61">
        <f>IF(B74="","",IF(L74="","",INT((TODAY()-L74)/30.44)))</f>
        <v/>
      </c>
      <c r="X74" s="62">
        <f>IF(B74="","",O74+T74*'Paramètres'!$B$34)</f>
        <v/>
      </c>
      <c r="Y74" s="62">
        <f>IF(B74="","",O74-N(IFERROR(INDEX('Paramètres'!$T$6:$T$15,MATCH(K74,'Paramètres'!$Q$6:$Q$15,0)),0)))</f>
        <v/>
      </c>
      <c r="Z74" s="123">
        <f>IF(B74="","",((COUNTIFS('Saisie'!$C$5:$C$2004,B74,'Saisie'!$E$5:$E$2004,"Onboarding - Contrat")&gt;0)+(COUNTIFS('Saisie'!$C$5:$C$2004,B74,'Saisie'!$E$5:$E$2004,"Onboarding - Accès")&gt;0)+(COUNTIFS('Saisie'!$C$5:$C$2004,B74,'Saisie'!$E$5:$E$2004,"Onboarding - Contenus")&gt;0)+(COUNTIFS('Saisie'!$C$5:$C$2004,B74,'Saisie'!$E$5:$E$2004,"Onboarding - Lancement")&gt;0))/4)</f>
        <v/>
      </c>
      <c r="AA74" s="60">
        <f>IF(B74="","",IF(COUNTIFS('Saisie'!$C$5:$C$2004,B74,'Saisie'!$E$5:$E$2004,"Demande d'avis Google")&gt;0,"Oui","Non"))</f>
        <v/>
      </c>
      <c r="AB74" s="61">
        <f>IF(B74="","",IFERROR(INDEX('Saisie'!$N$5:$N$2004,_xlfn.MAXIFS('Saisie'!$AS$5:$AS$2004,'Saisie'!$C$5:$C$2004,B74,'Saisie'!$E$5:$E$2004,"Satisfaction client")-4)&amp;"",""))</f>
        <v/>
      </c>
      <c r="AC74" s="106">
        <f>IF(B74="","",IFERROR(1/(1/_xlfn.MAXIFS('Saisie'!$A$5:$A$2004,'Saisie'!$C$5:$C$2004,B74,'Saisie'!$E$5:$E$2004,"Résiliation")),""))</f>
        <v/>
      </c>
      <c r="AD74" s="60">
        <f>IF(D74&lt;&gt;"",MAX($AD$4:AD73)+1,"")</f>
        <v/>
      </c>
    </row>
    <row r="75">
      <c r="A75" s="60">
        <f>IF(B75="","","C-"&amp;TEXT(71,"000"))</f>
        <v/>
      </c>
      <c r="B75" s="60">
        <f>IFERROR(INDEX('Prospects'!$C$5:$C$504,MATCH(71,'Prospects'!$BX$5:$BX$504,0)),"")</f>
        <v/>
      </c>
      <c r="C75" s="60">
        <f>IF(B75="","",IF(AC75&lt;&gt;"","Résilié","Actif"))</f>
        <v/>
      </c>
      <c r="D75" s="60">
        <f>IF(B75="","",IF(C75="Résilié","",IF(R75="En retard","Paiement en retard",IF(AND(V75&lt;&gt;"",N(V75)&lt;='Paramètres'!$B$30,N(V75)&gt;=0),"Renouvellement dans "&amp;V75&amp;" j",IF(AND(AA75="Non",TODAY()-N(L75)&gt;='Paramètres'!$B$29),"Demander un avis Google",IF(Z75&lt;1,"Onboarding à terminer",""))))))</f>
        <v/>
      </c>
      <c r="E75" s="60">
        <f>IF(B75="","",INDEX('Prospects'!$J$5:$J$504,MATCH(B75,'Prospects'!$C$5:$C$504,0))&amp;"")</f>
        <v/>
      </c>
      <c r="F75" s="60">
        <f>IF(B75="","",INDEX('Prospects'!$K$5:$K$504,MATCH(B75,'Prospects'!$C$5:$C$504,0))&amp;"")</f>
        <v/>
      </c>
      <c r="G75" s="60">
        <f>IF(B75="","",INDEX('Prospects'!$N$5:$N$504,MATCH(B75,'Prospects'!$C$5:$C$504,0))&amp;"")</f>
        <v/>
      </c>
      <c r="H75" s="60">
        <f>IF(B75="","",INDEX('Prospects'!$S$5:$S$504,MATCH(B75,'Prospects'!$C$5:$C$504,0))&amp;"")</f>
        <v/>
      </c>
      <c r="I75" s="60">
        <f>IF(B75="","",INDEX('Prospects'!$X$5:$X$504,MATCH(B75,'Prospects'!$C$5:$C$504,0))&amp;"")</f>
        <v/>
      </c>
      <c r="J75" s="60">
        <f>IF(B75="","",INDEX('Prospects'!$Y$5:$Y$504,MATCH(B75,'Prospects'!$C$5:$C$504,0))&amp;"")</f>
        <v/>
      </c>
      <c r="K75" s="60">
        <f>IF(B75="","",INDEX('Prospects'!$AN$5:$AN$504,MATCH(B75,'Prospects'!$C$5:$C$504,0))&amp;"")</f>
        <v/>
      </c>
      <c r="L75" s="106">
        <f>IF(B75="","",INDEX('Prospects'!$AT$5:$AT$504,MATCH(B75,'Prospects'!$C$5:$C$504,0)))</f>
        <v/>
      </c>
      <c r="M75" s="62">
        <f>IF(B75="","",SUMIFS('Saisie'!$AW$5:$AW$2004,'Saisie'!$C$5:$C$2004,B75,'Saisie'!$E$5:$E$2004,"Signature"))</f>
        <v/>
      </c>
      <c r="N75" s="62">
        <f>IF(B75="","",SUMIFS('Saisie'!$AW$5:$AW$2004,'Saisie'!$C$5:$C$2004,B75,'Saisie'!$E$5:$E$2004,"Vente additionnelle"))</f>
        <v/>
      </c>
      <c r="O75" s="62">
        <f>IF(B75="","",M75+N75)</f>
        <v/>
      </c>
      <c r="P75" s="62">
        <f>IF(B75="","",SUMIFS('Saisie'!$AW$5:$AW$2004,'Saisie'!$C$5:$C$2004,B75,'Saisie'!$E$5:$E$2004,"Paiement reçu"))</f>
        <v/>
      </c>
      <c r="Q75" s="62">
        <f>IF(B75="","",MAX(0,O75-P75))</f>
        <v/>
      </c>
      <c r="R75" s="60">
        <f>IF(B75="","",IF(O75=0,"",IF(Q75&lt;=0,"Payé",IF(TODAY()-N(L75)&gt;'Paramètres'!$B$27,"En retard",IF(P75&gt;0,"Partiel","En attente")))))</f>
        <v/>
      </c>
      <c r="S75" s="60">
        <f>IF(B75="","",IFERROR(INDEX('Saisie'!$O$5:$O$2004,_xlfn.MAXIFS('Saisie'!$AS$5:$AS$2004,'Saisie'!$C$5:$C$2004,B75,'Saisie'!$O$5:$O$2004,"&lt;&gt;")-4),""))</f>
        <v/>
      </c>
      <c r="T75" s="62">
        <f>IF(B75="","",N(INDEX('Prospects'!$AO$5:$AO$504,MATCH(B75,'Prospects'!$C$5:$C$504,0))))</f>
        <v/>
      </c>
      <c r="U75" s="106">
        <f>IF(B75="","",IF(L75="","",EDATE(L75,'Paramètres'!$B$33)))</f>
        <v/>
      </c>
      <c r="V75" s="61">
        <f>IF(B75="","",IF(U75="","",U75-TODAY()))</f>
        <v/>
      </c>
      <c r="W75" s="61">
        <f>IF(B75="","",IF(L75="","",INT((TODAY()-L75)/30.44)))</f>
        <v/>
      </c>
      <c r="X75" s="62">
        <f>IF(B75="","",O75+T75*'Paramètres'!$B$34)</f>
        <v/>
      </c>
      <c r="Y75" s="62">
        <f>IF(B75="","",O75-N(IFERROR(INDEX('Paramètres'!$T$6:$T$15,MATCH(K75,'Paramètres'!$Q$6:$Q$15,0)),0)))</f>
        <v/>
      </c>
      <c r="Z75" s="123">
        <f>IF(B75="","",((COUNTIFS('Saisie'!$C$5:$C$2004,B75,'Saisie'!$E$5:$E$2004,"Onboarding - Contrat")&gt;0)+(COUNTIFS('Saisie'!$C$5:$C$2004,B75,'Saisie'!$E$5:$E$2004,"Onboarding - Accès")&gt;0)+(COUNTIFS('Saisie'!$C$5:$C$2004,B75,'Saisie'!$E$5:$E$2004,"Onboarding - Contenus")&gt;0)+(COUNTIFS('Saisie'!$C$5:$C$2004,B75,'Saisie'!$E$5:$E$2004,"Onboarding - Lancement")&gt;0))/4)</f>
        <v/>
      </c>
      <c r="AA75" s="60">
        <f>IF(B75="","",IF(COUNTIFS('Saisie'!$C$5:$C$2004,B75,'Saisie'!$E$5:$E$2004,"Demande d'avis Google")&gt;0,"Oui","Non"))</f>
        <v/>
      </c>
      <c r="AB75" s="61">
        <f>IF(B75="","",IFERROR(INDEX('Saisie'!$N$5:$N$2004,_xlfn.MAXIFS('Saisie'!$AS$5:$AS$2004,'Saisie'!$C$5:$C$2004,B75,'Saisie'!$E$5:$E$2004,"Satisfaction client")-4)&amp;"",""))</f>
        <v/>
      </c>
      <c r="AC75" s="106">
        <f>IF(B75="","",IFERROR(1/(1/_xlfn.MAXIFS('Saisie'!$A$5:$A$2004,'Saisie'!$C$5:$C$2004,B75,'Saisie'!$E$5:$E$2004,"Résiliation")),""))</f>
        <v/>
      </c>
      <c r="AD75" s="60">
        <f>IF(D75&lt;&gt;"",MAX($AD$4:AD74)+1,"")</f>
        <v/>
      </c>
    </row>
    <row r="76">
      <c r="A76" s="60">
        <f>IF(B76="","","C-"&amp;TEXT(72,"000"))</f>
        <v/>
      </c>
      <c r="B76" s="60">
        <f>IFERROR(INDEX('Prospects'!$C$5:$C$504,MATCH(72,'Prospects'!$BX$5:$BX$504,0)),"")</f>
        <v/>
      </c>
      <c r="C76" s="60">
        <f>IF(B76="","",IF(AC76&lt;&gt;"","Résilié","Actif"))</f>
        <v/>
      </c>
      <c r="D76" s="60">
        <f>IF(B76="","",IF(C76="Résilié","",IF(R76="En retard","Paiement en retard",IF(AND(V76&lt;&gt;"",N(V76)&lt;='Paramètres'!$B$30,N(V76)&gt;=0),"Renouvellement dans "&amp;V76&amp;" j",IF(AND(AA76="Non",TODAY()-N(L76)&gt;='Paramètres'!$B$29),"Demander un avis Google",IF(Z76&lt;1,"Onboarding à terminer",""))))))</f>
        <v/>
      </c>
      <c r="E76" s="60">
        <f>IF(B76="","",INDEX('Prospects'!$J$5:$J$504,MATCH(B76,'Prospects'!$C$5:$C$504,0))&amp;"")</f>
        <v/>
      </c>
      <c r="F76" s="60">
        <f>IF(B76="","",INDEX('Prospects'!$K$5:$K$504,MATCH(B76,'Prospects'!$C$5:$C$504,0))&amp;"")</f>
        <v/>
      </c>
      <c r="G76" s="60">
        <f>IF(B76="","",INDEX('Prospects'!$N$5:$N$504,MATCH(B76,'Prospects'!$C$5:$C$504,0))&amp;"")</f>
        <v/>
      </c>
      <c r="H76" s="60">
        <f>IF(B76="","",INDEX('Prospects'!$S$5:$S$504,MATCH(B76,'Prospects'!$C$5:$C$504,0))&amp;"")</f>
        <v/>
      </c>
      <c r="I76" s="60">
        <f>IF(B76="","",INDEX('Prospects'!$X$5:$X$504,MATCH(B76,'Prospects'!$C$5:$C$504,0))&amp;"")</f>
        <v/>
      </c>
      <c r="J76" s="60">
        <f>IF(B76="","",INDEX('Prospects'!$Y$5:$Y$504,MATCH(B76,'Prospects'!$C$5:$C$504,0))&amp;"")</f>
        <v/>
      </c>
      <c r="K76" s="60">
        <f>IF(B76="","",INDEX('Prospects'!$AN$5:$AN$504,MATCH(B76,'Prospects'!$C$5:$C$504,0))&amp;"")</f>
        <v/>
      </c>
      <c r="L76" s="106">
        <f>IF(B76="","",INDEX('Prospects'!$AT$5:$AT$504,MATCH(B76,'Prospects'!$C$5:$C$504,0)))</f>
        <v/>
      </c>
      <c r="M76" s="62">
        <f>IF(B76="","",SUMIFS('Saisie'!$AW$5:$AW$2004,'Saisie'!$C$5:$C$2004,B76,'Saisie'!$E$5:$E$2004,"Signature"))</f>
        <v/>
      </c>
      <c r="N76" s="62">
        <f>IF(B76="","",SUMIFS('Saisie'!$AW$5:$AW$2004,'Saisie'!$C$5:$C$2004,B76,'Saisie'!$E$5:$E$2004,"Vente additionnelle"))</f>
        <v/>
      </c>
      <c r="O76" s="62">
        <f>IF(B76="","",M76+N76)</f>
        <v/>
      </c>
      <c r="P76" s="62">
        <f>IF(B76="","",SUMIFS('Saisie'!$AW$5:$AW$2004,'Saisie'!$C$5:$C$2004,B76,'Saisie'!$E$5:$E$2004,"Paiement reçu"))</f>
        <v/>
      </c>
      <c r="Q76" s="62">
        <f>IF(B76="","",MAX(0,O76-P76))</f>
        <v/>
      </c>
      <c r="R76" s="60">
        <f>IF(B76="","",IF(O76=0,"",IF(Q76&lt;=0,"Payé",IF(TODAY()-N(L76)&gt;'Paramètres'!$B$27,"En retard",IF(P76&gt;0,"Partiel","En attente")))))</f>
        <v/>
      </c>
      <c r="S76" s="60">
        <f>IF(B76="","",IFERROR(INDEX('Saisie'!$O$5:$O$2004,_xlfn.MAXIFS('Saisie'!$AS$5:$AS$2004,'Saisie'!$C$5:$C$2004,B76,'Saisie'!$O$5:$O$2004,"&lt;&gt;")-4),""))</f>
        <v/>
      </c>
      <c r="T76" s="62">
        <f>IF(B76="","",N(INDEX('Prospects'!$AO$5:$AO$504,MATCH(B76,'Prospects'!$C$5:$C$504,0))))</f>
        <v/>
      </c>
      <c r="U76" s="106">
        <f>IF(B76="","",IF(L76="","",EDATE(L76,'Paramètres'!$B$33)))</f>
        <v/>
      </c>
      <c r="V76" s="61">
        <f>IF(B76="","",IF(U76="","",U76-TODAY()))</f>
        <v/>
      </c>
      <c r="W76" s="61">
        <f>IF(B76="","",IF(L76="","",INT((TODAY()-L76)/30.44)))</f>
        <v/>
      </c>
      <c r="X76" s="62">
        <f>IF(B76="","",O76+T76*'Paramètres'!$B$34)</f>
        <v/>
      </c>
      <c r="Y76" s="62">
        <f>IF(B76="","",O76-N(IFERROR(INDEX('Paramètres'!$T$6:$T$15,MATCH(K76,'Paramètres'!$Q$6:$Q$15,0)),0)))</f>
        <v/>
      </c>
      <c r="Z76" s="123">
        <f>IF(B76="","",((COUNTIFS('Saisie'!$C$5:$C$2004,B76,'Saisie'!$E$5:$E$2004,"Onboarding - Contrat")&gt;0)+(COUNTIFS('Saisie'!$C$5:$C$2004,B76,'Saisie'!$E$5:$E$2004,"Onboarding - Accès")&gt;0)+(COUNTIFS('Saisie'!$C$5:$C$2004,B76,'Saisie'!$E$5:$E$2004,"Onboarding - Contenus")&gt;0)+(COUNTIFS('Saisie'!$C$5:$C$2004,B76,'Saisie'!$E$5:$E$2004,"Onboarding - Lancement")&gt;0))/4)</f>
        <v/>
      </c>
      <c r="AA76" s="60">
        <f>IF(B76="","",IF(COUNTIFS('Saisie'!$C$5:$C$2004,B76,'Saisie'!$E$5:$E$2004,"Demande d'avis Google")&gt;0,"Oui","Non"))</f>
        <v/>
      </c>
      <c r="AB76" s="61">
        <f>IF(B76="","",IFERROR(INDEX('Saisie'!$N$5:$N$2004,_xlfn.MAXIFS('Saisie'!$AS$5:$AS$2004,'Saisie'!$C$5:$C$2004,B76,'Saisie'!$E$5:$E$2004,"Satisfaction client")-4)&amp;"",""))</f>
        <v/>
      </c>
      <c r="AC76" s="106">
        <f>IF(B76="","",IFERROR(1/(1/_xlfn.MAXIFS('Saisie'!$A$5:$A$2004,'Saisie'!$C$5:$C$2004,B76,'Saisie'!$E$5:$E$2004,"Résiliation")),""))</f>
        <v/>
      </c>
      <c r="AD76" s="60">
        <f>IF(D76&lt;&gt;"",MAX($AD$4:AD75)+1,"")</f>
        <v/>
      </c>
    </row>
    <row r="77">
      <c r="A77" s="60">
        <f>IF(B77="","","C-"&amp;TEXT(73,"000"))</f>
        <v/>
      </c>
      <c r="B77" s="60">
        <f>IFERROR(INDEX('Prospects'!$C$5:$C$504,MATCH(73,'Prospects'!$BX$5:$BX$504,0)),"")</f>
        <v/>
      </c>
      <c r="C77" s="60">
        <f>IF(B77="","",IF(AC77&lt;&gt;"","Résilié","Actif"))</f>
        <v/>
      </c>
      <c r="D77" s="60">
        <f>IF(B77="","",IF(C77="Résilié","",IF(R77="En retard","Paiement en retard",IF(AND(V77&lt;&gt;"",N(V77)&lt;='Paramètres'!$B$30,N(V77)&gt;=0),"Renouvellement dans "&amp;V77&amp;" j",IF(AND(AA77="Non",TODAY()-N(L77)&gt;='Paramètres'!$B$29),"Demander un avis Google",IF(Z77&lt;1,"Onboarding à terminer",""))))))</f>
        <v/>
      </c>
      <c r="E77" s="60">
        <f>IF(B77="","",INDEX('Prospects'!$J$5:$J$504,MATCH(B77,'Prospects'!$C$5:$C$504,0))&amp;"")</f>
        <v/>
      </c>
      <c r="F77" s="60">
        <f>IF(B77="","",INDEX('Prospects'!$K$5:$K$504,MATCH(B77,'Prospects'!$C$5:$C$504,0))&amp;"")</f>
        <v/>
      </c>
      <c r="G77" s="60">
        <f>IF(B77="","",INDEX('Prospects'!$N$5:$N$504,MATCH(B77,'Prospects'!$C$5:$C$504,0))&amp;"")</f>
        <v/>
      </c>
      <c r="H77" s="60">
        <f>IF(B77="","",INDEX('Prospects'!$S$5:$S$504,MATCH(B77,'Prospects'!$C$5:$C$504,0))&amp;"")</f>
        <v/>
      </c>
      <c r="I77" s="60">
        <f>IF(B77="","",INDEX('Prospects'!$X$5:$X$504,MATCH(B77,'Prospects'!$C$5:$C$504,0))&amp;"")</f>
        <v/>
      </c>
      <c r="J77" s="60">
        <f>IF(B77="","",INDEX('Prospects'!$Y$5:$Y$504,MATCH(B77,'Prospects'!$C$5:$C$504,0))&amp;"")</f>
        <v/>
      </c>
      <c r="K77" s="60">
        <f>IF(B77="","",INDEX('Prospects'!$AN$5:$AN$504,MATCH(B77,'Prospects'!$C$5:$C$504,0))&amp;"")</f>
        <v/>
      </c>
      <c r="L77" s="106">
        <f>IF(B77="","",INDEX('Prospects'!$AT$5:$AT$504,MATCH(B77,'Prospects'!$C$5:$C$504,0)))</f>
        <v/>
      </c>
      <c r="M77" s="62">
        <f>IF(B77="","",SUMIFS('Saisie'!$AW$5:$AW$2004,'Saisie'!$C$5:$C$2004,B77,'Saisie'!$E$5:$E$2004,"Signature"))</f>
        <v/>
      </c>
      <c r="N77" s="62">
        <f>IF(B77="","",SUMIFS('Saisie'!$AW$5:$AW$2004,'Saisie'!$C$5:$C$2004,B77,'Saisie'!$E$5:$E$2004,"Vente additionnelle"))</f>
        <v/>
      </c>
      <c r="O77" s="62">
        <f>IF(B77="","",M77+N77)</f>
        <v/>
      </c>
      <c r="P77" s="62">
        <f>IF(B77="","",SUMIFS('Saisie'!$AW$5:$AW$2004,'Saisie'!$C$5:$C$2004,B77,'Saisie'!$E$5:$E$2004,"Paiement reçu"))</f>
        <v/>
      </c>
      <c r="Q77" s="62">
        <f>IF(B77="","",MAX(0,O77-P77))</f>
        <v/>
      </c>
      <c r="R77" s="60">
        <f>IF(B77="","",IF(O77=0,"",IF(Q77&lt;=0,"Payé",IF(TODAY()-N(L77)&gt;'Paramètres'!$B$27,"En retard",IF(P77&gt;0,"Partiel","En attente")))))</f>
        <v/>
      </c>
      <c r="S77" s="60">
        <f>IF(B77="","",IFERROR(INDEX('Saisie'!$O$5:$O$2004,_xlfn.MAXIFS('Saisie'!$AS$5:$AS$2004,'Saisie'!$C$5:$C$2004,B77,'Saisie'!$O$5:$O$2004,"&lt;&gt;")-4),""))</f>
        <v/>
      </c>
      <c r="T77" s="62">
        <f>IF(B77="","",N(INDEX('Prospects'!$AO$5:$AO$504,MATCH(B77,'Prospects'!$C$5:$C$504,0))))</f>
        <v/>
      </c>
      <c r="U77" s="106">
        <f>IF(B77="","",IF(L77="","",EDATE(L77,'Paramètres'!$B$33)))</f>
        <v/>
      </c>
      <c r="V77" s="61">
        <f>IF(B77="","",IF(U77="","",U77-TODAY()))</f>
        <v/>
      </c>
      <c r="W77" s="61">
        <f>IF(B77="","",IF(L77="","",INT((TODAY()-L77)/30.44)))</f>
        <v/>
      </c>
      <c r="X77" s="62">
        <f>IF(B77="","",O77+T77*'Paramètres'!$B$34)</f>
        <v/>
      </c>
      <c r="Y77" s="62">
        <f>IF(B77="","",O77-N(IFERROR(INDEX('Paramètres'!$T$6:$T$15,MATCH(K77,'Paramètres'!$Q$6:$Q$15,0)),0)))</f>
        <v/>
      </c>
      <c r="Z77" s="123">
        <f>IF(B77="","",((COUNTIFS('Saisie'!$C$5:$C$2004,B77,'Saisie'!$E$5:$E$2004,"Onboarding - Contrat")&gt;0)+(COUNTIFS('Saisie'!$C$5:$C$2004,B77,'Saisie'!$E$5:$E$2004,"Onboarding - Accès")&gt;0)+(COUNTIFS('Saisie'!$C$5:$C$2004,B77,'Saisie'!$E$5:$E$2004,"Onboarding - Contenus")&gt;0)+(COUNTIFS('Saisie'!$C$5:$C$2004,B77,'Saisie'!$E$5:$E$2004,"Onboarding - Lancement")&gt;0))/4)</f>
        <v/>
      </c>
      <c r="AA77" s="60">
        <f>IF(B77="","",IF(COUNTIFS('Saisie'!$C$5:$C$2004,B77,'Saisie'!$E$5:$E$2004,"Demande d'avis Google")&gt;0,"Oui","Non"))</f>
        <v/>
      </c>
      <c r="AB77" s="61">
        <f>IF(B77="","",IFERROR(INDEX('Saisie'!$N$5:$N$2004,_xlfn.MAXIFS('Saisie'!$AS$5:$AS$2004,'Saisie'!$C$5:$C$2004,B77,'Saisie'!$E$5:$E$2004,"Satisfaction client")-4)&amp;"",""))</f>
        <v/>
      </c>
      <c r="AC77" s="106">
        <f>IF(B77="","",IFERROR(1/(1/_xlfn.MAXIFS('Saisie'!$A$5:$A$2004,'Saisie'!$C$5:$C$2004,B77,'Saisie'!$E$5:$E$2004,"Résiliation")),""))</f>
        <v/>
      </c>
      <c r="AD77" s="60">
        <f>IF(D77&lt;&gt;"",MAX($AD$4:AD76)+1,"")</f>
        <v/>
      </c>
    </row>
    <row r="78">
      <c r="A78" s="60">
        <f>IF(B78="","","C-"&amp;TEXT(74,"000"))</f>
        <v/>
      </c>
      <c r="B78" s="60">
        <f>IFERROR(INDEX('Prospects'!$C$5:$C$504,MATCH(74,'Prospects'!$BX$5:$BX$504,0)),"")</f>
        <v/>
      </c>
      <c r="C78" s="60">
        <f>IF(B78="","",IF(AC78&lt;&gt;"","Résilié","Actif"))</f>
        <v/>
      </c>
      <c r="D78" s="60">
        <f>IF(B78="","",IF(C78="Résilié","",IF(R78="En retard","Paiement en retard",IF(AND(V78&lt;&gt;"",N(V78)&lt;='Paramètres'!$B$30,N(V78)&gt;=0),"Renouvellement dans "&amp;V78&amp;" j",IF(AND(AA78="Non",TODAY()-N(L78)&gt;='Paramètres'!$B$29),"Demander un avis Google",IF(Z78&lt;1,"Onboarding à terminer",""))))))</f>
        <v/>
      </c>
      <c r="E78" s="60">
        <f>IF(B78="","",INDEX('Prospects'!$J$5:$J$504,MATCH(B78,'Prospects'!$C$5:$C$504,0))&amp;"")</f>
        <v/>
      </c>
      <c r="F78" s="60">
        <f>IF(B78="","",INDEX('Prospects'!$K$5:$K$504,MATCH(B78,'Prospects'!$C$5:$C$504,0))&amp;"")</f>
        <v/>
      </c>
      <c r="G78" s="60">
        <f>IF(B78="","",INDEX('Prospects'!$N$5:$N$504,MATCH(B78,'Prospects'!$C$5:$C$504,0))&amp;"")</f>
        <v/>
      </c>
      <c r="H78" s="60">
        <f>IF(B78="","",INDEX('Prospects'!$S$5:$S$504,MATCH(B78,'Prospects'!$C$5:$C$504,0))&amp;"")</f>
        <v/>
      </c>
      <c r="I78" s="60">
        <f>IF(B78="","",INDEX('Prospects'!$X$5:$X$504,MATCH(B78,'Prospects'!$C$5:$C$504,0))&amp;"")</f>
        <v/>
      </c>
      <c r="J78" s="60">
        <f>IF(B78="","",INDEX('Prospects'!$Y$5:$Y$504,MATCH(B78,'Prospects'!$C$5:$C$504,0))&amp;"")</f>
        <v/>
      </c>
      <c r="K78" s="60">
        <f>IF(B78="","",INDEX('Prospects'!$AN$5:$AN$504,MATCH(B78,'Prospects'!$C$5:$C$504,0))&amp;"")</f>
        <v/>
      </c>
      <c r="L78" s="106">
        <f>IF(B78="","",INDEX('Prospects'!$AT$5:$AT$504,MATCH(B78,'Prospects'!$C$5:$C$504,0)))</f>
        <v/>
      </c>
      <c r="M78" s="62">
        <f>IF(B78="","",SUMIFS('Saisie'!$AW$5:$AW$2004,'Saisie'!$C$5:$C$2004,B78,'Saisie'!$E$5:$E$2004,"Signature"))</f>
        <v/>
      </c>
      <c r="N78" s="62">
        <f>IF(B78="","",SUMIFS('Saisie'!$AW$5:$AW$2004,'Saisie'!$C$5:$C$2004,B78,'Saisie'!$E$5:$E$2004,"Vente additionnelle"))</f>
        <v/>
      </c>
      <c r="O78" s="62">
        <f>IF(B78="","",M78+N78)</f>
        <v/>
      </c>
      <c r="P78" s="62">
        <f>IF(B78="","",SUMIFS('Saisie'!$AW$5:$AW$2004,'Saisie'!$C$5:$C$2004,B78,'Saisie'!$E$5:$E$2004,"Paiement reçu"))</f>
        <v/>
      </c>
      <c r="Q78" s="62">
        <f>IF(B78="","",MAX(0,O78-P78))</f>
        <v/>
      </c>
      <c r="R78" s="60">
        <f>IF(B78="","",IF(O78=0,"",IF(Q78&lt;=0,"Payé",IF(TODAY()-N(L78)&gt;'Paramètres'!$B$27,"En retard",IF(P78&gt;0,"Partiel","En attente")))))</f>
        <v/>
      </c>
      <c r="S78" s="60">
        <f>IF(B78="","",IFERROR(INDEX('Saisie'!$O$5:$O$2004,_xlfn.MAXIFS('Saisie'!$AS$5:$AS$2004,'Saisie'!$C$5:$C$2004,B78,'Saisie'!$O$5:$O$2004,"&lt;&gt;")-4),""))</f>
        <v/>
      </c>
      <c r="T78" s="62">
        <f>IF(B78="","",N(INDEX('Prospects'!$AO$5:$AO$504,MATCH(B78,'Prospects'!$C$5:$C$504,0))))</f>
        <v/>
      </c>
      <c r="U78" s="106">
        <f>IF(B78="","",IF(L78="","",EDATE(L78,'Paramètres'!$B$33)))</f>
        <v/>
      </c>
      <c r="V78" s="61">
        <f>IF(B78="","",IF(U78="","",U78-TODAY()))</f>
        <v/>
      </c>
      <c r="W78" s="61">
        <f>IF(B78="","",IF(L78="","",INT((TODAY()-L78)/30.44)))</f>
        <v/>
      </c>
      <c r="X78" s="62">
        <f>IF(B78="","",O78+T78*'Paramètres'!$B$34)</f>
        <v/>
      </c>
      <c r="Y78" s="62">
        <f>IF(B78="","",O78-N(IFERROR(INDEX('Paramètres'!$T$6:$T$15,MATCH(K78,'Paramètres'!$Q$6:$Q$15,0)),0)))</f>
        <v/>
      </c>
      <c r="Z78" s="123">
        <f>IF(B78="","",((COUNTIFS('Saisie'!$C$5:$C$2004,B78,'Saisie'!$E$5:$E$2004,"Onboarding - Contrat")&gt;0)+(COUNTIFS('Saisie'!$C$5:$C$2004,B78,'Saisie'!$E$5:$E$2004,"Onboarding - Accès")&gt;0)+(COUNTIFS('Saisie'!$C$5:$C$2004,B78,'Saisie'!$E$5:$E$2004,"Onboarding - Contenus")&gt;0)+(COUNTIFS('Saisie'!$C$5:$C$2004,B78,'Saisie'!$E$5:$E$2004,"Onboarding - Lancement")&gt;0))/4)</f>
        <v/>
      </c>
      <c r="AA78" s="60">
        <f>IF(B78="","",IF(COUNTIFS('Saisie'!$C$5:$C$2004,B78,'Saisie'!$E$5:$E$2004,"Demande d'avis Google")&gt;0,"Oui","Non"))</f>
        <v/>
      </c>
      <c r="AB78" s="61">
        <f>IF(B78="","",IFERROR(INDEX('Saisie'!$N$5:$N$2004,_xlfn.MAXIFS('Saisie'!$AS$5:$AS$2004,'Saisie'!$C$5:$C$2004,B78,'Saisie'!$E$5:$E$2004,"Satisfaction client")-4)&amp;"",""))</f>
        <v/>
      </c>
      <c r="AC78" s="106">
        <f>IF(B78="","",IFERROR(1/(1/_xlfn.MAXIFS('Saisie'!$A$5:$A$2004,'Saisie'!$C$5:$C$2004,B78,'Saisie'!$E$5:$E$2004,"Résiliation")),""))</f>
        <v/>
      </c>
      <c r="AD78" s="60">
        <f>IF(D78&lt;&gt;"",MAX($AD$4:AD77)+1,"")</f>
        <v/>
      </c>
    </row>
    <row r="79">
      <c r="A79" s="60">
        <f>IF(B79="","","C-"&amp;TEXT(75,"000"))</f>
        <v/>
      </c>
      <c r="B79" s="60">
        <f>IFERROR(INDEX('Prospects'!$C$5:$C$504,MATCH(75,'Prospects'!$BX$5:$BX$504,0)),"")</f>
        <v/>
      </c>
      <c r="C79" s="60">
        <f>IF(B79="","",IF(AC79&lt;&gt;"","Résilié","Actif"))</f>
        <v/>
      </c>
      <c r="D79" s="60">
        <f>IF(B79="","",IF(C79="Résilié","",IF(R79="En retard","Paiement en retard",IF(AND(V79&lt;&gt;"",N(V79)&lt;='Paramètres'!$B$30,N(V79)&gt;=0),"Renouvellement dans "&amp;V79&amp;" j",IF(AND(AA79="Non",TODAY()-N(L79)&gt;='Paramètres'!$B$29),"Demander un avis Google",IF(Z79&lt;1,"Onboarding à terminer",""))))))</f>
        <v/>
      </c>
      <c r="E79" s="60">
        <f>IF(B79="","",INDEX('Prospects'!$J$5:$J$504,MATCH(B79,'Prospects'!$C$5:$C$504,0))&amp;"")</f>
        <v/>
      </c>
      <c r="F79" s="60">
        <f>IF(B79="","",INDEX('Prospects'!$K$5:$K$504,MATCH(B79,'Prospects'!$C$5:$C$504,0))&amp;"")</f>
        <v/>
      </c>
      <c r="G79" s="60">
        <f>IF(B79="","",INDEX('Prospects'!$N$5:$N$504,MATCH(B79,'Prospects'!$C$5:$C$504,0))&amp;"")</f>
        <v/>
      </c>
      <c r="H79" s="60">
        <f>IF(B79="","",INDEX('Prospects'!$S$5:$S$504,MATCH(B79,'Prospects'!$C$5:$C$504,0))&amp;"")</f>
        <v/>
      </c>
      <c r="I79" s="60">
        <f>IF(B79="","",INDEX('Prospects'!$X$5:$X$504,MATCH(B79,'Prospects'!$C$5:$C$504,0))&amp;"")</f>
        <v/>
      </c>
      <c r="J79" s="60">
        <f>IF(B79="","",INDEX('Prospects'!$Y$5:$Y$504,MATCH(B79,'Prospects'!$C$5:$C$504,0))&amp;"")</f>
        <v/>
      </c>
      <c r="K79" s="60">
        <f>IF(B79="","",INDEX('Prospects'!$AN$5:$AN$504,MATCH(B79,'Prospects'!$C$5:$C$504,0))&amp;"")</f>
        <v/>
      </c>
      <c r="L79" s="106">
        <f>IF(B79="","",INDEX('Prospects'!$AT$5:$AT$504,MATCH(B79,'Prospects'!$C$5:$C$504,0)))</f>
        <v/>
      </c>
      <c r="M79" s="62">
        <f>IF(B79="","",SUMIFS('Saisie'!$AW$5:$AW$2004,'Saisie'!$C$5:$C$2004,B79,'Saisie'!$E$5:$E$2004,"Signature"))</f>
        <v/>
      </c>
      <c r="N79" s="62">
        <f>IF(B79="","",SUMIFS('Saisie'!$AW$5:$AW$2004,'Saisie'!$C$5:$C$2004,B79,'Saisie'!$E$5:$E$2004,"Vente additionnelle"))</f>
        <v/>
      </c>
      <c r="O79" s="62">
        <f>IF(B79="","",M79+N79)</f>
        <v/>
      </c>
      <c r="P79" s="62">
        <f>IF(B79="","",SUMIFS('Saisie'!$AW$5:$AW$2004,'Saisie'!$C$5:$C$2004,B79,'Saisie'!$E$5:$E$2004,"Paiement reçu"))</f>
        <v/>
      </c>
      <c r="Q79" s="62">
        <f>IF(B79="","",MAX(0,O79-P79))</f>
        <v/>
      </c>
      <c r="R79" s="60">
        <f>IF(B79="","",IF(O79=0,"",IF(Q79&lt;=0,"Payé",IF(TODAY()-N(L79)&gt;'Paramètres'!$B$27,"En retard",IF(P79&gt;0,"Partiel","En attente")))))</f>
        <v/>
      </c>
      <c r="S79" s="60">
        <f>IF(B79="","",IFERROR(INDEX('Saisie'!$O$5:$O$2004,_xlfn.MAXIFS('Saisie'!$AS$5:$AS$2004,'Saisie'!$C$5:$C$2004,B79,'Saisie'!$O$5:$O$2004,"&lt;&gt;")-4),""))</f>
        <v/>
      </c>
      <c r="T79" s="62">
        <f>IF(B79="","",N(INDEX('Prospects'!$AO$5:$AO$504,MATCH(B79,'Prospects'!$C$5:$C$504,0))))</f>
        <v/>
      </c>
      <c r="U79" s="106">
        <f>IF(B79="","",IF(L79="","",EDATE(L79,'Paramètres'!$B$33)))</f>
        <v/>
      </c>
      <c r="V79" s="61">
        <f>IF(B79="","",IF(U79="","",U79-TODAY()))</f>
        <v/>
      </c>
      <c r="W79" s="61">
        <f>IF(B79="","",IF(L79="","",INT((TODAY()-L79)/30.44)))</f>
        <v/>
      </c>
      <c r="X79" s="62">
        <f>IF(B79="","",O79+T79*'Paramètres'!$B$34)</f>
        <v/>
      </c>
      <c r="Y79" s="62">
        <f>IF(B79="","",O79-N(IFERROR(INDEX('Paramètres'!$T$6:$T$15,MATCH(K79,'Paramètres'!$Q$6:$Q$15,0)),0)))</f>
        <v/>
      </c>
      <c r="Z79" s="123">
        <f>IF(B79="","",((COUNTIFS('Saisie'!$C$5:$C$2004,B79,'Saisie'!$E$5:$E$2004,"Onboarding - Contrat")&gt;0)+(COUNTIFS('Saisie'!$C$5:$C$2004,B79,'Saisie'!$E$5:$E$2004,"Onboarding - Accès")&gt;0)+(COUNTIFS('Saisie'!$C$5:$C$2004,B79,'Saisie'!$E$5:$E$2004,"Onboarding - Contenus")&gt;0)+(COUNTIFS('Saisie'!$C$5:$C$2004,B79,'Saisie'!$E$5:$E$2004,"Onboarding - Lancement")&gt;0))/4)</f>
        <v/>
      </c>
      <c r="AA79" s="60">
        <f>IF(B79="","",IF(COUNTIFS('Saisie'!$C$5:$C$2004,B79,'Saisie'!$E$5:$E$2004,"Demande d'avis Google")&gt;0,"Oui","Non"))</f>
        <v/>
      </c>
      <c r="AB79" s="61">
        <f>IF(B79="","",IFERROR(INDEX('Saisie'!$N$5:$N$2004,_xlfn.MAXIFS('Saisie'!$AS$5:$AS$2004,'Saisie'!$C$5:$C$2004,B79,'Saisie'!$E$5:$E$2004,"Satisfaction client")-4)&amp;"",""))</f>
        <v/>
      </c>
      <c r="AC79" s="106">
        <f>IF(B79="","",IFERROR(1/(1/_xlfn.MAXIFS('Saisie'!$A$5:$A$2004,'Saisie'!$C$5:$C$2004,B79,'Saisie'!$E$5:$E$2004,"Résiliation")),""))</f>
        <v/>
      </c>
      <c r="AD79" s="60">
        <f>IF(D79&lt;&gt;"",MAX($AD$4:AD78)+1,"")</f>
        <v/>
      </c>
    </row>
    <row r="80">
      <c r="A80" s="60">
        <f>IF(B80="","","C-"&amp;TEXT(76,"000"))</f>
        <v/>
      </c>
      <c r="B80" s="60">
        <f>IFERROR(INDEX('Prospects'!$C$5:$C$504,MATCH(76,'Prospects'!$BX$5:$BX$504,0)),"")</f>
        <v/>
      </c>
      <c r="C80" s="60">
        <f>IF(B80="","",IF(AC80&lt;&gt;"","Résilié","Actif"))</f>
        <v/>
      </c>
      <c r="D80" s="60">
        <f>IF(B80="","",IF(C80="Résilié","",IF(R80="En retard","Paiement en retard",IF(AND(V80&lt;&gt;"",N(V80)&lt;='Paramètres'!$B$30,N(V80)&gt;=0),"Renouvellement dans "&amp;V80&amp;" j",IF(AND(AA80="Non",TODAY()-N(L80)&gt;='Paramètres'!$B$29),"Demander un avis Google",IF(Z80&lt;1,"Onboarding à terminer",""))))))</f>
        <v/>
      </c>
      <c r="E80" s="60">
        <f>IF(B80="","",INDEX('Prospects'!$J$5:$J$504,MATCH(B80,'Prospects'!$C$5:$C$504,0))&amp;"")</f>
        <v/>
      </c>
      <c r="F80" s="60">
        <f>IF(B80="","",INDEX('Prospects'!$K$5:$K$504,MATCH(B80,'Prospects'!$C$5:$C$504,0))&amp;"")</f>
        <v/>
      </c>
      <c r="G80" s="60">
        <f>IF(B80="","",INDEX('Prospects'!$N$5:$N$504,MATCH(B80,'Prospects'!$C$5:$C$504,0))&amp;"")</f>
        <v/>
      </c>
      <c r="H80" s="60">
        <f>IF(B80="","",INDEX('Prospects'!$S$5:$S$504,MATCH(B80,'Prospects'!$C$5:$C$504,0))&amp;"")</f>
        <v/>
      </c>
      <c r="I80" s="60">
        <f>IF(B80="","",INDEX('Prospects'!$X$5:$X$504,MATCH(B80,'Prospects'!$C$5:$C$504,0))&amp;"")</f>
        <v/>
      </c>
      <c r="J80" s="60">
        <f>IF(B80="","",INDEX('Prospects'!$Y$5:$Y$504,MATCH(B80,'Prospects'!$C$5:$C$504,0))&amp;"")</f>
        <v/>
      </c>
      <c r="K80" s="60">
        <f>IF(B80="","",INDEX('Prospects'!$AN$5:$AN$504,MATCH(B80,'Prospects'!$C$5:$C$504,0))&amp;"")</f>
        <v/>
      </c>
      <c r="L80" s="106">
        <f>IF(B80="","",INDEX('Prospects'!$AT$5:$AT$504,MATCH(B80,'Prospects'!$C$5:$C$504,0)))</f>
        <v/>
      </c>
      <c r="M80" s="62">
        <f>IF(B80="","",SUMIFS('Saisie'!$AW$5:$AW$2004,'Saisie'!$C$5:$C$2004,B80,'Saisie'!$E$5:$E$2004,"Signature"))</f>
        <v/>
      </c>
      <c r="N80" s="62">
        <f>IF(B80="","",SUMIFS('Saisie'!$AW$5:$AW$2004,'Saisie'!$C$5:$C$2004,B80,'Saisie'!$E$5:$E$2004,"Vente additionnelle"))</f>
        <v/>
      </c>
      <c r="O80" s="62">
        <f>IF(B80="","",M80+N80)</f>
        <v/>
      </c>
      <c r="P80" s="62">
        <f>IF(B80="","",SUMIFS('Saisie'!$AW$5:$AW$2004,'Saisie'!$C$5:$C$2004,B80,'Saisie'!$E$5:$E$2004,"Paiement reçu"))</f>
        <v/>
      </c>
      <c r="Q80" s="62">
        <f>IF(B80="","",MAX(0,O80-P80))</f>
        <v/>
      </c>
      <c r="R80" s="60">
        <f>IF(B80="","",IF(O80=0,"",IF(Q80&lt;=0,"Payé",IF(TODAY()-N(L80)&gt;'Paramètres'!$B$27,"En retard",IF(P80&gt;0,"Partiel","En attente")))))</f>
        <v/>
      </c>
      <c r="S80" s="60">
        <f>IF(B80="","",IFERROR(INDEX('Saisie'!$O$5:$O$2004,_xlfn.MAXIFS('Saisie'!$AS$5:$AS$2004,'Saisie'!$C$5:$C$2004,B80,'Saisie'!$O$5:$O$2004,"&lt;&gt;")-4),""))</f>
        <v/>
      </c>
      <c r="T80" s="62">
        <f>IF(B80="","",N(INDEX('Prospects'!$AO$5:$AO$504,MATCH(B80,'Prospects'!$C$5:$C$504,0))))</f>
        <v/>
      </c>
      <c r="U80" s="106">
        <f>IF(B80="","",IF(L80="","",EDATE(L80,'Paramètres'!$B$33)))</f>
        <v/>
      </c>
      <c r="V80" s="61">
        <f>IF(B80="","",IF(U80="","",U80-TODAY()))</f>
        <v/>
      </c>
      <c r="W80" s="61">
        <f>IF(B80="","",IF(L80="","",INT((TODAY()-L80)/30.44)))</f>
        <v/>
      </c>
      <c r="X80" s="62">
        <f>IF(B80="","",O80+T80*'Paramètres'!$B$34)</f>
        <v/>
      </c>
      <c r="Y80" s="62">
        <f>IF(B80="","",O80-N(IFERROR(INDEX('Paramètres'!$T$6:$T$15,MATCH(K80,'Paramètres'!$Q$6:$Q$15,0)),0)))</f>
        <v/>
      </c>
      <c r="Z80" s="123">
        <f>IF(B80="","",((COUNTIFS('Saisie'!$C$5:$C$2004,B80,'Saisie'!$E$5:$E$2004,"Onboarding - Contrat")&gt;0)+(COUNTIFS('Saisie'!$C$5:$C$2004,B80,'Saisie'!$E$5:$E$2004,"Onboarding - Accès")&gt;0)+(COUNTIFS('Saisie'!$C$5:$C$2004,B80,'Saisie'!$E$5:$E$2004,"Onboarding - Contenus")&gt;0)+(COUNTIFS('Saisie'!$C$5:$C$2004,B80,'Saisie'!$E$5:$E$2004,"Onboarding - Lancement")&gt;0))/4)</f>
        <v/>
      </c>
      <c r="AA80" s="60">
        <f>IF(B80="","",IF(COUNTIFS('Saisie'!$C$5:$C$2004,B80,'Saisie'!$E$5:$E$2004,"Demande d'avis Google")&gt;0,"Oui","Non"))</f>
        <v/>
      </c>
      <c r="AB80" s="61">
        <f>IF(B80="","",IFERROR(INDEX('Saisie'!$N$5:$N$2004,_xlfn.MAXIFS('Saisie'!$AS$5:$AS$2004,'Saisie'!$C$5:$C$2004,B80,'Saisie'!$E$5:$E$2004,"Satisfaction client")-4)&amp;"",""))</f>
        <v/>
      </c>
      <c r="AC80" s="106">
        <f>IF(B80="","",IFERROR(1/(1/_xlfn.MAXIFS('Saisie'!$A$5:$A$2004,'Saisie'!$C$5:$C$2004,B80,'Saisie'!$E$5:$E$2004,"Résiliation")),""))</f>
        <v/>
      </c>
      <c r="AD80" s="60">
        <f>IF(D80&lt;&gt;"",MAX($AD$4:AD79)+1,"")</f>
        <v/>
      </c>
    </row>
    <row r="81">
      <c r="A81" s="60">
        <f>IF(B81="","","C-"&amp;TEXT(77,"000"))</f>
        <v/>
      </c>
      <c r="B81" s="60">
        <f>IFERROR(INDEX('Prospects'!$C$5:$C$504,MATCH(77,'Prospects'!$BX$5:$BX$504,0)),"")</f>
        <v/>
      </c>
      <c r="C81" s="60">
        <f>IF(B81="","",IF(AC81&lt;&gt;"","Résilié","Actif"))</f>
        <v/>
      </c>
      <c r="D81" s="60">
        <f>IF(B81="","",IF(C81="Résilié","",IF(R81="En retard","Paiement en retard",IF(AND(V81&lt;&gt;"",N(V81)&lt;='Paramètres'!$B$30,N(V81)&gt;=0),"Renouvellement dans "&amp;V81&amp;" j",IF(AND(AA81="Non",TODAY()-N(L81)&gt;='Paramètres'!$B$29),"Demander un avis Google",IF(Z81&lt;1,"Onboarding à terminer",""))))))</f>
        <v/>
      </c>
      <c r="E81" s="60">
        <f>IF(B81="","",INDEX('Prospects'!$J$5:$J$504,MATCH(B81,'Prospects'!$C$5:$C$504,0))&amp;"")</f>
        <v/>
      </c>
      <c r="F81" s="60">
        <f>IF(B81="","",INDEX('Prospects'!$K$5:$K$504,MATCH(B81,'Prospects'!$C$5:$C$504,0))&amp;"")</f>
        <v/>
      </c>
      <c r="G81" s="60">
        <f>IF(B81="","",INDEX('Prospects'!$N$5:$N$504,MATCH(B81,'Prospects'!$C$5:$C$504,0))&amp;"")</f>
        <v/>
      </c>
      <c r="H81" s="60">
        <f>IF(B81="","",INDEX('Prospects'!$S$5:$S$504,MATCH(B81,'Prospects'!$C$5:$C$504,0))&amp;"")</f>
        <v/>
      </c>
      <c r="I81" s="60">
        <f>IF(B81="","",INDEX('Prospects'!$X$5:$X$504,MATCH(B81,'Prospects'!$C$5:$C$504,0))&amp;"")</f>
        <v/>
      </c>
      <c r="J81" s="60">
        <f>IF(B81="","",INDEX('Prospects'!$Y$5:$Y$504,MATCH(B81,'Prospects'!$C$5:$C$504,0))&amp;"")</f>
        <v/>
      </c>
      <c r="K81" s="60">
        <f>IF(B81="","",INDEX('Prospects'!$AN$5:$AN$504,MATCH(B81,'Prospects'!$C$5:$C$504,0))&amp;"")</f>
        <v/>
      </c>
      <c r="L81" s="106">
        <f>IF(B81="","",INDEX('Prospects'!$AT$5:$AT$504,MATCH(B81,'Prospects'!$C$5:$C$504,0)))</f>
        <v/>
      </c>
      <c r="M81" s="62">
        <f>IF(B81="","",SUMIFS('Saisie'!$AW$5:$AW$2004,'Saisie'!$C$5:$C$2004,B81,'Saisie'!$E$5:$E$2004,"Signature"))</f>
        <v/>
      </c>
      <c r="N81" s="62">
        <f>IF(B81="","",SUMIFS('Saisie'!$AW$5:$AW$2004,'Saisie'!$C$5:$C$2004,B81,'Saisie'!$E$5:$E$2004,"Vente additionnelle"))</f>
        <v/>
      </c>
      <c r="O81" s="62">
        <f>IF(B81="","",M81+N81)</f>
        <v/>
      </c>
      <c r="P81" s="62">
        <f>IF(B81="","",SUMIFS('Saisie'!$AW$5:$AW$2004,'Saisie'!$C$5:$C$2004,B81,'Saisie'!$E$5:$E$2004,"Paiement reçu"))</f>
        <v/>
      </c>
      <c r="Q81" s="62">
        <f>IF(B81="","",MAX(0,O81-P81))</f>
        <v/>
      </c>
      <c r="R81" s="60">
        <f>IF(B81="","",IF(O81=0,"",IF(Q81&lt;=0,"Payé",IF(TODAY()-N(L81)&gt;'Paramètres'!$B$27,"En retard",IF(P81&gt;0,"Partiel","En attente")))))</f>
        <v/>
      </c>
      <c r="S81" s="60">
        <f>IF(B81="","",IFERROR(INDEX('Saisie'!$O$5:$O$2004,_xlfn.MAXIFS('Saisie'!$AS$5:$AS$2004,'Saisie'!$C$5:$C$2004,B81,'Saisie'!$O$5:$O$2004,"&lt;&gt;")-4),""))</f>
        <v/>
      </c>
      <c r="T81" s="62">
        <f>IF(B81="","",N(INDEX('Prospects'!$AO$5:$AO$504,MATCH(B81,'Prospects'!$C$5:$C$504,0))))</f>
        <v/>
      </c>
      <c r="U81" s="106">
        <f>IF(B81="","",IF(L81="","",EDATE(L81,'Paramètres'!$B$33)))</f>
        <v/>
      </c>
      <c r="V81" s="61">
        <f>IF(B81="","",IF(U81="","",U81-TODAY()))</f>
        <v/>
      </c>
      <c r="W81" s="61">
        <f>IF(B81="","",IF(L81="","",INT((TODAY()-L81)/30.44)))</f>
        <v/>
      </c>
      <c r="X81" s="62">
        <f>IF(B81="","",O81+T81*'Paramètres'!$B$34)</f>
        <v/>
      </c>
      <c r="Y81" s="62">
        <f>IF(B81="","",O81-N(IFERROR(INDEX('Paramètres'!$T$6:$T$15,MATCH(K81,'Paramètres'!$Q$6:$Q$15,0)),0)))</f>
        <v/>
      </c>
      <c r="Z81" s="123">
        <f>IF(B81="","",((COUNTIFS('Saisie'!$C$5:$C$2004,B81,'Saisie'!$E$5:$E$2004,"Onboarding - Contrat")&gt;0)+(COUNTIFS('Saisie'!$C$5:$C$2004,B81,'Saisie'!$E$5:$E$2004,"Onboarding - Accès")&gt;0)+(COUNTIFS('Saisie'!$C$5:$C$2004,B81,'Saisie'!$E$5:$E$2004,"Onboarding - Contenus")&gt;0)+(COUNTIFS('Saisie'!$C$5:$C$2004,B81,'Saisie'!$E$5:$E$2004,"Onboarding - Lancement")&gt;0))/4)</f>
        <v/>
      </c>
      <c r="AA81" s="60">
        <f>IF(B81="","",IF(COUNTIFS('Saisie'!$C$5:$C$2004,B81,'Saisie'!$E$5:$E$2004,"Demande d'avis Google")&gt;0,"Oui","Non"))</f>
        <v/>
      </c>
      <c r="AB81" s="61">
        <f>IF(B81="","",IFERROR(INDEX('Saisie'!$N$5:$N$2004,_xlfn.MAXIFS('Saisie'!$AS$5:$AS$2004,'Saisie'!$C$5:$C$2004,B81,'Saisie'!$E$5:$E$2004,"Satisfaction client")-4)&amp;"",""))</f>
        <v/>
      </c>
      <c r="AC81" s="106">
        <f>IF(B81="","",IFERROR(1/(1/_xlfn.MAXIFS('Saisie'!$A$5:$A$2004,'Saisie'!$C$5:$C$2004,B81,'Saisie'!$E$5:$E$2004,"Résiliation")),""))</f>
        <v/>
      </c>
      <c r="AD81" s="60">
        <f>IF(D81&lt;&gt;"",MAX($AD$4:AD80)+1,"")</f>
        <v/>
      </c>
    </row>
    <row r="82">
      <c r="A82" s="60">
        <f>IF(B82="","","C-"&amp;TEXT(78,"000"))</f>
        <v/>
      </c>
      <c r="B82" s="60">
        <f>IFERROR(INDEX('Prospects'!$C$5:$C$504,MATCH(78,'Prospects'!$BX$5:$BX$504,0)),"")</f>
        <v/>
      </c>
      <c r="C82" s="60">
        <f>IF(B82="","",IF(AC82&lt;&gt;"","Résilié","Actif"))</f>
        <v/>
      </c>
      <c r="D82" s="60">
        <f>IF(B82="","",IF(C82="Résilié","",IF(R82="En retard","Paiement en retard",IF(AND(V82&lt;&gt;"",N(V82)&lt;='Paramètres'!$B$30,N(V82)&gt;=0),"Renouvellement dans "&amp;V82&amp;" j",IF(AND(AA82="Non",TODAY()-N(L82)&gt;='Paramètres'!$B$29),"Demander un avis Google",IF(Z82&lt;1,"Onboarding à terminer",""))))))</f>
        <v/>
      </c>
      <c r="E82" s="60">
        <f>IF(B82="","",INDEX('Prospects'!$J$5:$J$504,MATCH(B82,'Prospects'!$C$5:$C$504,0))&amp;"")</f>
        <v/>
      </c>
      <c r="F82" s="60">
        <f>IF(B82="","",INDEX('Prospects'!$K$5:$K$504,MATCH(B82,'Prospects'!$C$5:$C$504,0))&amp;"")</f>
        <v/>
      </c>
      <c r="G82" s="60">
        <f>IF(B82="","",INDEX('Prospects'!$N$5:$N$504,MATCH(B82,'Prospects'!$C$5:$C$504,0))&amp;"")</f>
        <v/>
      </c>
      <c r="H82" s="60">
        <f>IF(B82="","",INDEX('Prospects'!$S$5:$S$504,MATCH(B82,'Prospects'!$C$5:$C$504,0))&amp;"")</f>
        <v/>
      </c>
      <c r="I82" s="60">
        <f>IF(B82="","",INDEX('Prospects'!$X$5:$X$504,MATCH(B82,'Prospects'!$C$5:$C$504,0))&amp;"")</f>
        <v/>
      </c>
      <c r="J82" s="60">
        <f>IF(B82="","",INDEX('Prospects'!$Y$5:$Y$504,MATCH(B82,'Prospects'!$C$5:$C$504,0))&amp;"")</f>
        <v/>
      </c>
      <c r="K82" s="60">
        <f>IF(B82="","",INDEX('Prospects'!$AN$5:$AN$504,MATCH(B82,'Prospects'!$C$5:$C$504,0))&amp;"")</f>
        <v/>
      </c>
      <c r="L82" s="106">
        <f>IF(B82="","",INDEX('Prospects'!$AT$5:$AT$504,MATCH(B82,'Prospects'!$C$5:$C$504,0)))</f>
        <v/>
      </c>
      <c r="M82" s="62">
        <f>IF(B82="","",SUMIFS('Saisie'!$AW$5:$AW$2004,'Saisie'!$C$5:$C$2004,B82,'Saisie'!$E$5:$E$2004,"Signature"))</f>
        <v/>
      </c>
      <c r="N82" s="62">
        <f>IF(B82="","",SUMIFS('Saisie'!$AW$5:$AW$2004,'Saisie'!$C$5:$C$2004,B82,'Saisie'!$E$5:$E$2004,"Vente additionnelle"))</f>
        <v/>
      </c>
      <c r="O82" s="62">
        <f>IF(B82="","",M82+N82)</f>
        <v/>
      </c>
      <c r="P82" s="62">
        <f>IF(B82="","",SUMIFS('Saisie'!$AW$5:$AW$2004,'Saisie'!$C$5:$C$2004,B82,'Saisie'!$E$5:$E$2004,"Paiement reçu"))</f>
        <v/>
      </c>
      <c r="Q82" s="62">
        <f>IF(B82="","",MAX(0,O82-P82))</f>
        <v/>
      </c>
      <c r="R82" s="60">
        <f>IF(B82="","",IF(O82=0,"",IF(Q82&lt;=0,"Payé",IF(TODAY()-N(L82)&gt;'Paramètres'!$B$27,"En retard",IF(P82&gt;0,"Partiel","En attente")))))</f>
        <v/>
      </c>
      <c r="S82" s="60">
        <f>IF(B82="","",IFERROR(INDEX('Saisie'!$O$5:$O$2004,_xlfn.MAXIFS('Saisie'!$AS$5:$AS$2004,'Saisie'!$C$5:$C$2004,B82,'Saisie'!$O$5:$O$2004,"&lt;&gt;")-4),""))</f>
        <v/>
      </c>
      <c r="T82" s="62">
        <f>IF(B82="","",N(INDEX('Prospects'!$AO$5:$AO$504,MATCH(B82,'Prospects'!$C$5:$C$504,0))))</f>
        <v/>
      </c>
      <c r="U82" s="106">
        <f>IF(B82="","",IF(L82="","",EDATE(L82,'Paramètres'!$B$33)))</f>
        <v/>
      </c>
      <c r="V82" s="61">
        <f>IF(B82="","",IF(U82="","",U82-TODAY()))</f>
        <v/>
      </c>
      <c r="W82" s="61">
        <f>IF(B82="","",IF(L82="","",INT((TODAY()-L82)/30.44)))</f>
        <v/>
      </c>
      <c r="X82" s="62">
        <f>IF(B82="","",O82+T82*'Paramètres'!$B$34)</f>
        <v/>
      </c>
      <c r="Y82" s="62">
        <f>IF(B82="","",O82-N(IFERROR(INDEX('Paramètres'!$T$6:$T$15,MATCH(K82,'Paramètres'!$Q$6:$Q$15,0)),0)))</f>
        <v/>
      </c>
      <c r="Z82" s="123">
        <f>IF(B82="","",((COUNTIFS('Saisie'!$C$5:$C$2004,B82,'Saisie'!$E$5:$E$2004,"Onboarding - Contrat")&gt;0)+(COUNTIFS('Saisie'!$C$5:$C$2004,B82,'Saisie'!$E$5:$E$2004,"Onboarding - Accès")&gt;0)+(COUNTIFS('Saisie'!$C$5:$C$2004,B82,'Saisie'!$E$5:$E$2004,"Onboarding - Contenus")&gt;0)+(COUNTIFS('Saisie'!$C$5:$C$2004,B82,'Saisie'!$E$5:$E$2004,"Onboarding - Lancement")&gt;0))/4)</f>
        <v/>
      </c>
      <c r="AA82" s="60">
        <f>IF(B82="","",IF(COUNTIFS('Saisie'!$C$5:$C$2004,B82,'Saisie'!$E$5:$E$2004,"Demande d'avis Google")&gt;0,"Oui","Non"))</f>
        <v/>
      </c>
      <c r="AB82" s="61">
        <f>IF(B82="","",IFERROR(INDEX('Saisie'!$N$5:$N$2004,_xlfn.MAXIFS('Saisie'!$AS$5:$AS$2004,'Saisie'!$C$5:$C$2004,B82,'Saisie'!$E$5:$E$2004,"Satisfaction client")-4)&amp;"",""))</f>
        <v/>
      </c>
      <c r="AC82" s="106">
        <f>IF(B82="","",IFERROR(1/(1/_xlfn.MAXIFS('Saisie'!$A$5:$A$2004,'Saisie'!$C$5:$C$2004,B82,'Saisie'!$E$5:$E$2004,"Résiliation")),""))</f>
        <v/>
      </c>
      <c r="AD82" s="60">
        <f>IF(D82&lt;&gt;"",MAX($AD$4:AD81)+1,"")</f>
        <v/>
      </c>
    </row>
    <row r="83">
      <c r="A83" s="60">
        <f>IF(B83="","","C-"&amp;TEXT(79,"000"))</f>
        <v/>
      </c>
      <c r="B83" s="60">
        <f>IFERROR(INDEX('Prospects'!$C$5:$C$504,MATCH(79,'Prospects'!$BX$5:$BX$504,0)),"")</f>
        <v/>
      </c>
      <c r="C83" s="60">
        <f>IF(B83="","",IF(AC83&lt;&gt;"","Résilié","Actif"))</f>
        <v/>
      </c>
      <c r="D83" s="60">
        <f>IF(B83="","",IF(C83="Résilié","",IF(R83="En retard","Paiement en retard",IF(AND(V83&lt;&gt;"",N(V83)&lt;='Paramètres'!$B$30,N(V83)&gt;=0),"Renouvellement dans "&amp;V83&amp;" j",IF(AND(AA83="Non",TODAY()-N(L83)&gt;='Paramètres'!$B$29),"Demander un avis Google",IF(Z83&lt;1,"Onboarding à terminer",""))))))</f>
        <v/>
      </c>
      <c r="E83" s="60">
        <f>IF(B83="","",INDEX('Prospects'!$J$5:$J$504,MATCH(B83,'Prospects'!$C$5:$C$504,0))&amp;"")</f>
        <v/>
      </c>
      <c r="F83" s="60">
        <f>IF(B83="","",INDEX('Prospects'!$K$5:$K$504,MATCH(B83,'Prospects'!$C$5:$C$504,0))&amp;"")</f>
        <v/>
      </c>
      <c r="G83" s="60">
        <f>IF(B83="","",INDEX('Prospects'!$N$5:$N$504,MATCH(B83,'Prospects'!$C$5:$C$504,0))&amp;"")</f>
        <v/>
      </c>
      <c r="H83" s="60">
        <f>IF(B83="","",INDEX('Prospects'!$S$5:$S$504,MATCH(B83,'Prospects'!$C$5:$C$504,0))&amp;"")</f>
        <v/>
      </c>
      <c r="I83" s="60">
        <f>IF(B83="","",INDEX('Prospects'!$X$5:$X$504,MATCH(B83,'Prospects'!$C$5:$C$504,0))&amp;"")</f>
        <v/>
      </c>
      <c r="J83" s="60">
        <f>IF(B83="","",INDEX('Prospects'!$Y$5:$Y$504,MATCH(B83,'Prospects'!$C$5:$C$504,0))&amp;"")</f>
        <v/>
      </c>
      <c r="K83" s="60">
        <f>IF(B83="","",INDEX('Prospects'!$AN$5:$AN$504,MATCH(B83,'Prospects'!$C$5:$C$504,0))&amp;"")</f>
        <v/>
      </c>
      <c r="L83" s="106">
        <f>IF(B83="","",INDEX('Prospects'!$AT$5:$AT$504,MATCH(B83,'Prospects'!$C$5:$C$504,0)))</f>
        <v/>
      </c>
      <c r="M83" s="62">
        <f>IF(B83="","",SUMIFS('Saisie'!$AW$5:$AW$2004,'Saisie'!$C$5:$C$2004,B83,'Saisie'!$E$5:$E$2004,"Signature"))</f>
        <v/>
      </c>
      <c r="N83" s="62">
        <f>IF(B83="","",SUMIFS('Saisie'!$AW$5:$AW$2004,'Saisie'!$C$5:$C$2004,B83,'Saisie'!$E$5:$E$2004,"Vente additionnelle"))</f>
        <v/>
      </c>
      <c r="O83" s="62">
        <f>IF(B83="","",M83+N83)</f>
        <v/>
      </c>
      <c r="P83" s="62">
        <f>IF(B83="","",SUMIFS('Saisie'!$AW$5:$AW$2004,'Saisie'!$C$5:$C$2004,B83,'Saisie'!$E$5:$E$2004,"Paiement reçu"))</f>
        <v/>
      </c>
      <c r="Q83" s="62">
        <f>IF(B83="","",MAX(0,O83-P83))</f>
        <v/>
      </c>
      <c r="R83" s="60">
        <f>IF(B83="","",IF(O83=0,"",IF(Q83&lt;=0,"Payé",IF(TODAY()-N(L83)&gt;'Paramètres'!$B$27,"En retard",IF(P83&gt;0,"Partiel","En attente")))))</f>
        <v/>
      </c>
      <c r="S83" s="60">
        <f>IF(B83="","",IFERROR(INDEX('Saisie'!$O$5:$O$2004,_xlfn.MAXIFS('Saisie'!$AS$5:$AS$2004,'Saisie'!$C$5:$C$2004,B83,'Saisie'!$O$5:$O$2004,"&lt;&gt;")-4),""))</f>
        <v/>
      </c>
      <c r="T83" s="62">
        <f>IF(B83="","",N(INDEX('Prospects'!$AO$5:$AO$504,MATCH(B83,'Prospects'!$C$5:$C$504,0))))</f>
        <v/>
      </c>
      <c r="U83" s="106">
        <f>IF(B83="","",IF(L83="","",EDATE(L83,'Paramètres'!$B$33)))</f>
        <v/>
      </c>
      <c r="V83" s="61">
        <f>IF(B83="","",IF(U83="","",U83-TODAY()))</f>
        <v/>
      </c>
      <c r="W83" s="61">
        <f>IF(B83="","",IF(L83="","",INT((TODAY()-L83)/30.44)))</f>
        <v/>
      </c>
      <c r="X83" s="62">
        <f>IF(B83="","",O83+T83*'Paramètres'!$B$34)</f>
        <v/>
      </c>
      <c r="Y83" s="62">
        <f>IF(B83="","",O83-N(IFERROR(INDEX('Paramètres'!$T$6:$T$15,MATCH(K83,'Paramètres'!$Q$6:$Q$15,0)),0)))</f>
        <v/>
      </c>
      <c r="Z83" s="123">
        <f>IF(B83="","",((COUNTIFS('Saisie'!$C$5:$C$2004,B83,'Saisie'!$E$5:$E$2004,"Onboarding - Contrat")&gt;0)+(COUNTIFS('Saisie'!$C$5:$C$2004,B83,'Saisie'!$E$5:$E$2004,"Onboarding - Accès")&gt;0)+(COUNTIFS('Saisie'!$C$5:$C$2004,B83,'Saisie'!$E$5:$E$2004,"Onboarding - Contenus")&gt;0)+(COUNTIFS('Saisie'!$C$5:$C$2004,B83,'Saisie'!$E$5:$E$2004,"Onboarding - Lancement")&gt;0))/4)</f>
        <v/>
      </c>
      <c r="AA83" s="60">
        <f>IF(B83="","",IF(COUNTIFS('Saisie'!$C$5:$C$2004,B83,'Saisie'!$E$5:$E$2004,"Demande d'avis Google")&gt;0,"Oui","Non"))</f>
        <v/>
      </c>
      <c r="AB83" s="61">
        <f>IF(B83="","",IFERROR(INDEX('Saisie'!$N$5:$N$2004,_xlfn.MAXIFS('Saisie'!$AS$5:$AS$2004,'Saisie'!$C$5:$C$2004,B83,'Saisie'!$E$5:$E$2004,"Satisfaction client")-4)&amp;"",""))</f>
        <v/>
      </c>
      <c r="AC83" s="106">
        <f>IF(B83="","",IFERROR(1/(1/_xlfn.MAXIFS('Saisie'!$A$5:$A$2004,'Saisie'!$C$5:$C$2004,B83,'Saisie'!$E$5:$E$2004,"Résiliation")),""))</f>
        <v/>
      </c>
      <c r="AD83" s="60">
        <f>IF(D83&lt;&gt;"",MAX($AD$4:AD82)+1,"")</f>
        <v/>
      </c>
    </row>
    <row r="84">
      <c r="A84" s="60">
        <f>IF(B84="","","C-"&amp;TEXT(80,"000"))</f>
        <v/>
      </c>
      <c r="B84" s="60">
        <f>IFERROR(INDEX('Prospects'!$C$5:$C$504,MATCH(80,'Prospects'!$BX$5:$BX$504,0)),"")</f>
        <v/>
      </c>
      <c r="C84" s="60">
        <f>IF(B84="","",IF(AC84&lt;&gt;"","Résilié","Actif"))</f>
        <v/>
      </c>
      <c r="D84" s="60">
        <f>IF(B84="","",IF(C84="Résilié","",IF(R84="En retard","Paiement en retard",IF(AND(V84&lt;&gt;"",N(V84)&lt;='Paramètres'!$B$30,N(V84)&gt;=0),"Renouvellement dans "&amp;V84&amp;" j",IF(AND(AA84="Non",TODAY()-N(L84)&gt;='Paramètres'!$B$29),"Demander un avis Google",IF(Z84&lt;1,"Onboarding à terminer",""))))))</f>
        <v/>
      </c>
      <c r="E84" s="60">
        <f>IF(B84="","",INDEX('Prospects'!$J$5:$J$504,MATCH(B84,'Prospects'!$C$5:$C$504,0))&amp;"")</f>
        <v/>
      </c>
      <c r="F84" s="60">
        <f>IF(B84="","",INDEX('Prospects'!$K$5:$K$504,MATCH(B84,'Prospects'!$C$5:$C$504,0))&amp;"")</f>
        <v/>
      </c>
      <c r="G84" s="60">
        <f>IF(B84="","",INDEX('Prospects'!$N$5:$N$504,MATCH(B84,'Prospects'!$C$5:$C$504,0))&amp;"")</f>
        <v/>
      </c>
      <c r="H84" s="60">
        <f>IF(B84="","",INDEX('Prospects'!$S$5:$S$504,MATCH(B84,'Prospects'!$C$5:$C$504,0))&amp;"")</f>
        <v/>
      </c>
      <c r="I84" s="60">
        <f>IF(B84="","",INDEX('Prospects'!$X$5:$X$504,MATCH(B84,'Prospects'!$C$5:$C$504,0))&amp;"")</f>
        <v/>
      </c>
      <c r="J84" s="60">
        <f>IF(B84="","",INDEX('Prospects'!$Y$5:$Y$504,MATCH(B84,'Prospects'!$C$5:$C$504,0))&amp;"")</f>
        <v/>
      </c>
      <c r="K84" s="60">
        <f>IF(B84="","",INDEX('Prospects'!$AN$5:$AN$504,MATCH(B84,'Prospects'!$C$5:$C$504,0))&amp;"")</f>
        <v/>
      </c>
      <c r="L84" s="106">
        <f>IF(B84="","",INDEX('Prospects'!$AT$5:$AT$504,MATCH(B84,'Prospects'!$C$5:$C$504,0)))</f>
        <v/>
      </c>
      <c r="M84" s="62">
        <f>IF(B84="","",SUMIFS('Saisie'!$AW$5:$AW$2004,'Saisie'!$C$5:$C$2004,B84,'Saisie'!$E$5:$E$2004,"Signature"))</f>
        <v/>
      </c>
      <c r="N84" s="62">
        <f>IF(B84="","",SUMIFS('Saisie'!$AW$5:$AW$2004,'Saisie'!$C$5:$C$2004,B84,'Saisie'!$E$5:$E$2004,"Vente additionnelle"))</f>
        <v/>
      </c>
      <c r="O84" s="62">
        <f>IF(B84="","",M84+N84)</f>
        <v/>
      </c>
      <c r="P84" s="62">
        <f>IF(B84="","",SUMIFS('Saisie'!$AW$5:$AW$2004,'Saisie'!$C$5:$C$2004,B84,'Saisie'!$E$5:$E$2004,"Paiement reçu"))</f>
        <v/>
      </c>
      <c r="Q84" s="62">
        <f>IF(B84="","",MAX(0,O84-P84))</f>
        <v/>
      </c>
      <c r="R84" s="60">
        <f>IF(B84="","",IF(O84=0,"",IF(Q84&lt;=0,"Payé",IF(TODAY()-N(L84)&gt;'Paramètres'!$B$27,"En retard",IF(P84&gt;0,"Partiel","En attente")))))</f>
        <v/>
      </c>
      <c r="S84" s="60">
        <f>IF(B84="","",IFERROR(INDEX('Saisie'!$O$5:$O$2004,_xlfn.MAXIFS('Saisie'!$AS$5:$AS$2004,'Saisie'!$C$5:$C$2004,B84,'Saisie'!$O$5:$O$2004,"&lt;&gt;")-4),""))</f>
        <v/>
      </c>
      <c r="T84" s="62">
        <f>IF(B84="","",N(INDEX('Prospects'!$AO$5:$AO$504,MATCH(B84,'Prospects'!$C$5:$C$504,0))))</f>
        <v/>
      </c>
      <c r="U84" s="106">
        <f>IF(B84="","",IF(L84="","",EDATE(L84,'Paramètres'!$B$33)))</f>
        <v/>
      </c>
      <c r="V84" s="61">
        <f>IF(B84="","",IF(U84="","",U84-TODAY()))</f>
        <v/>
      </c>
      <c r="W84" s="61">
        <f>IF(B84="","",IF(L84="","",INT((TODAY()-L84)/30.44)))</f>
        <v/>
      </c>
      <c r="X84" s="62">
        <f>IF(B84="","",O84+T84*'Paramètres'!$B$34)</f>
        <v/>
      </c>
      <c r="Y84" s="62">
        <f>IF(B84="","",O84-N(IFERROR(INDEX('Paramètres'!$T$6:$T$15,MATCH(K84,'Paramètres'!$Q$6:$Q$15,0)),0)))</f>
        <v/>
      </c>
      <c r="Z84" s="123">
        <f>IF(B84="","",((COUNTIFS('Saisie'!$C$5:$C$2004,B84,'Saisie'!$E$5:$E$2004,"Onboarding - Contrat")&gt;0)+(COUNTIFS('Saisie'!$C$5:$C$2004,B84,'Saisie'!$E$5:$E$2004,"Onboarding - Accès")&gt;0)+(COUNTIFS('Saisie'!$C$5:$C$2004,B84,'Saisie'!$E$5:$E$2004,"Onboarding - Contenus")&gt;0)+(COUNTIFS('Saisie'!$C$5:$C$2004,B84,'Saisie'!$E$5:$E$2004,"Onboarding - Lancement")&gt;0))/4)</f>
        <v/>
      </c>
      <c r="AA84" s="60">
        <f>IF(B84="","",IF(COUNTIFS('Saisie'!$C$5:$C$2004,B84,'Saisie'!$E$5:$E$2004,"Demande d'avis Google")&gt;0,"Oui","Non"))</f>
        <v/>
      </c>
      <c r="AB84" s="61">
        <f>IF(B84="","",IFERROR(INDEX('Saisie'!$N$5:$N$2004,_xlfn.MAXIFS('Saisie'!$AS$5:$AS$2004,'Saisie'!$C$5:$C$2004,B84,'Saisie'!$E$5:$E$2004,"Satisfaction client")-4)&amp;"",""))</f>
        <v/>
      </c>
      <c r="AC84" s="106">
        <f>IF(B84="","",IFERROR(1/(1/_xlfn.MAXIFS('Saisie'!$A$5:$A$2004,'Saisie'!$C$5:$C$2004,B84,'Saisie'!$E$5:$E$2004,"Résiliation")),""))</f>
        <v/>
      </c>
      <c r="AD84" s="60">
        <f>IF(D84&lt;&gt;"",MAX($AD$4:AD83)+1,"")</f>
        <v/>
      </c>
    </row>
    <row r="85">
      <c r="A85" s="60">
        <f>IF(B85="","","C-"&amp;TEXT(81,"000"))</f>
        <v/>
      </c>
      <c r="B85" s="60">
        <f>IFERROR(INDEX('Prospects'!$C$5:$C$504,MATCH(81,'Prospects'!$BX$5:$BX$504,0)),"")</f>
        <v/>
      </c>
      <c r="C85" s="60">
        <f>IF(B85="","",IF(AC85&lt;&gt;"","Résilié","Actif"))</f>
        <v/>
      </c>
      <c r="D85" s="60">
        <f>IF(B85="","",IF(C85="Résilié","",IF(R85="En retard","Paiement en retard",IF(AND(V85&lt;&gt;"",N(V85)&lt;='Paramètres'!$B$30,N(V85)&gt;=0),"Renouvellement dans "&amp;V85&amp;" j",IF(AND(AA85="Non",TODAY()-N(L85)&gt;='Paramètres'!$B$29),"Demander un avis Google",IF(Z85&lt;1,"Onboarding à terminer",""))))))</f>
        <v/>
      </c>
      <c r="E85" s="60">
        <f>IF(B85="","",INDEX('Prospects'!$J$5:$J$504,MATCH(B85,'Prospects'!$C$5:$C$504,0))&amp;"")</f>
        <v/>
      </c>
      <c r="F85" s="60">
        <f>IF(B85="","",INDEX('Prospects'!$K$5:$K$504,MATCH(B85,'Prospects'!$C$5:$C$504,0))&amp;"")</f>
        <v/>
      </c>
      <c r="G85" s="60">
        <f>IF(B85="","",INDEX('Prospects'!$N$5:$N$504,MATCH(B85,'Prospects'!$C$5:$C$504,0))&amp;"")</f>
        <v/>
      </c>
      <c r="H85" s="60">
        <f>IF(B85="","",INDEX('Prospects'!$S$5:$S$504,MATCH(B85,'Prospects'!$C$5:$C$504,0))&amp;"")</f>
        <v/>
      </c>
      <c r="I85" s="60">
        <f>IF(B85="","",INDEX('Prospects'!$X$5:$X$504,MATCH(B85,'Prospects'!$C$5:$C$504,0))&amp;"")</f>
        <v/>
      </c>
      <c r="J85" s="60">
        <f>IF(B85="","",INDEX('Prospects'!$Y$5:$Y$504,MATCH(B85,'Prospects'!$C$5:$C$504,0))&amp;"")</f>
        <v/>
      </c>
      <c r="K85" s="60">
        <f>IF(B85="","",INDEX('Prospects'!$AN$5:$AN$504,MATCH(B85,'Prospects'!$C$5:$C$504,0))&amp;"")</f>
        <v/>
      </c>
      <c r="L85" s="106">
        <f>IF(B85="","",INDEX('Prospects'!$AT$5:$AT$504,MATCH(B85,'Prospects'!$C$5:$C$504,0)))</f>
        <v/>
      </c>
      <c r="M85" s="62">
        <f>IF(B85="","",SUMIFS('Saisie'!$AW$5:$AW$2004,'Saisie'!$C$5:$C$2004,B85,'Saisie'!$E$5:$E$2004,"Signature"))</f>
        <v/>
      </c>
      <c r="N85" s="62">
        <f>IF(B85="","",SUMIFS('Saisie'!$AW$5:$AW$2004,'Saisie'!$C$5:$C$2004,B85,'Saisie'!$E$5:$E$2004,"Vente additionnelle"))</f>
        <v/>
      </c>
      <c r="O85" s="62">
        <f>IF(B85="","",M85+N85)</f>
        <v/>
      </c>
      <c r="P85" s="62">
        <f>IF(B85="","",SUMIFS('Saisie'!$AW$5:$AW$2004,'Saisie'!$C$5:$C$2004,B85,'Saisie'!$E$5:$E$2004,"Paiement reçu"))</f>
        <v/>
      </c>
      <c r="Q85" s="62">
        <f>IF(B85="","",MAX(0,O85-P85))</f>
        <v/>
      </c>
      <c r="R85" s="60">
        <f>IF(B85="","",IF(O85=0,"",IF(Q85&lt;=0,"Payé",IF(TODAY()-N(L85)&gt;'Paramètres'!$B$27,"En retard",IF(P85&gt;0,"Partiel","En attente")))))</f>
        <v/>
      </c>
      <c r="S85" s="60">
        <f>IF(B85="","",IFERROR(INDEX('Saisie'!$O$5:$O$2004,_xlfn.MAXIFS('Saisie'!$AS$5:$AS$2004,'Saisie'!$C$5:$C$2004,B85,'Saisie'!$O$5:$O$2004,"&lt;&gt;")-4),""))</f>
        <v/>
      </c>
      <c r="T85" s="62">
        <f>IF(B85="","",N(INDEX('Prospects'!$AO$5:$AO$504,MATCH(B85,'Prospects'!$C$5:$C$504,0))))</f>
        <v/>
      </c>
      <c r="U85" s="106">
        <f>IF(B85="","",IF(L85="","",EDATE(L85,'Paramètres'!$B$33)))</f>
        <v/>
      </c>
      <c r="V85" s="61">
        <f>IF(B85="","",IF(U85="","",U85-TODAY()))</f>
        <v/>
      </c>
      <c r="W85" s="61">
        <f>IF(B85="","",IF(L85="","",INT((TODAY()-L85)/30.44)))</f>
        <v/>
      </c>
      <c r="X85" s="62">
        <f>IF(B85="","",O85+T85*'Paramètres'!$B$34)</f>
        <v/>
      </c>
      <c r="Y85" s="62">
        <f>IF(B85="","",O85-N(IFERROR(INDEX('Paramètres'!$T$6:$T$15,MATCH(K85,'Paramètres'!$Q$6:$Q$15,0)),0)))</f>
        <v/>
      </c>
      <c r="Z85" s="123">
        <f>IF(B85="","",((COUNTIFS('Saisie'!$C$5:$C$2004,B85,'Saisie'!$E$5:$E$2004,"Onboarding - Contrat")&gt;0)+(COUNTIFS('Saisie'!$C$5:$C$2004,B85,'Saisie'!$E$5:$E$2004,"Onboarding - Accès")&gt;0)+(COUNTIFS('Saisie'!$C$5:$C$2004,B85,'Saisie'!$E$5:$E$2004,"Onboarding - Contenus")&gt;0)+(COUNTIFS('Saisie'!$C$5:$C$2004,B85,'Saisie'!$E$5:$E$2004,"Onboarding - Lancement")&gt;0))/4)</f>
        <v/>
      </c>
      <c r="AA85" s="60">
        <f>IF(B85="","",IF(COUNTIFS('Saisie'!$C$5:$C$2004,B85,'Saisie'!$E$5:$E$2004,"Demande d'avis Google")&gt;0,"Oui","Non"))</f>
        <v/>
      </c>
      <c r="AB85" s="61">
        <f>IF(B85="","",IFERROR(INDEX('Saisie'!$N$5:$N$2004,_xlfn.MAXIFS('Saisie'!$AS$5:$AS$2004,'Saisie'!$C$5:$C$2004,B85,'Saisie'!$E$5:$E$2004,"Satisfaction client")-4)&amp;"",""))</f>
        <v/>
      </c>
      <c r="AC85" s="106">
        <f>IF(B85="","",IFERROR(1/(1/_xlfn.MAXIFS('Saisie'!$A$5:$A$2004,'Saisie'!$C$5:$C$2004,B85,'Saisie'!$E$5:$E$2004,"Résiliation")),""))</f>
        <v/>
      </c>
      <c r="AD85" s="60">
        <f>IF(D85&lt;&gt;"",MAX($AD$4:AD84)+1,"")</f>
        <v/>
      </c>
    </row>
    <row r="86">
      <c r="A86" s="60">
        <f>IF(B86="","","C-"&amp;TEXT(82,"000"))</f>
        <v/>
      </c>
      <c r="B86" s="60">
        <f>IFERROR(INDEX('Prospects'!$C$5:$C$504,MATCH(82,'Prospects'!$BX$5:$BX$504,0)),"")</f>
        <v/>
      </c>
      <c r="C86" s="60">
        <f>IF(B86="","",IF(AC86&lt;&gt;"","Résilié","Actif"))</f>
        <v/>
      </c>
      <c r="D86" s="60">
        <f>IF(B86="","",IF(C86="Résilié","",IF(R86="En retard","Paiement en retard",IF(AND(V86&lt;&gt;"",N(V86)&lt;='Paramètres'!$B$30,N(V86)&gt;=0),"Renouvellement dans "&amp;V86&amp;" j",IF(AND(AA86="Non",TODAY()-N(L86)&gt;='Paramètres'!$B$29),"Demander un avis Google",IF(Z86&lt;1,"Onboarding à terminer",""))))))</f>
        <v/>
      </c>
      <c r="E86" s="60">
        <f>IF(B86="","",INDEX('Prospects'!$J$5:$J$504,MATCH(B86,'Prospects'!$C$5:$C$504,0))&amp;"")</f>
        <v/>
      </c>
      <c r="F86" s="60">
        <f>IF(B86="","",INDEX('Prospects'!$K$5:$K$504,MATCH(B86,'Prospects'!$C$5:$C$504,0))&amp;"")</f>
        <v/>
      </c>
      <c r="G86" s="60">
        <f>IF(B86="","",INDEX('Prospects'!$N$5:$N$504,MATCH(B86,'Prospects'!$C$5:$C$504,0))&amp;"")</f>
        <v/>
      </c>
      <c r="H86" s="60">
        <f>IF(B86="","",INDEX('Prospects'!$S$5:$S$504,MATCH(B86,'Prospects'!$C$5:$C$504,0))&amp;"")</f>
        <v/>
      </c>
      <c r="I86" s="60">
        <f>IF(B86="","",INDEX('Prospects'!$X$5:$X$504,MATCH(B86,'Prospects'!$C$5:$C$504,0))&amp;"")</f>
        <v/>
      </c>
      <c r="J86" s="60">
        <f>IF(B86="","",INDEX('Prospects'!$Y$5:$Y$504,MATCH(B86,'Prospects'!$C$5:$C$504,0))&amp;"")</f>
        <v/>
      </c>
      <c r="K86" s="60">
        <f>IF(B86="","",INDEX('Prospects'!$AN$5:$AN$504,MATCH(B86,'Prospects'!$C$5:$C$504,0))&amp;"")</f>
        <v/>
      </c>
      <c r="L86" s="106">
        <f>IF(B86="","",INDEX('Prospects'!$AT$5:$AT$504,MATCH(B86,'Prospects'!$C$5:$C$504,0)))</f>
        <v/>
      </c>
      <c r="M86" s="62">
        <f>IF(B86="","",SUMIFS('Saisie'!$AW$5:$AW$2004,'Saisie'!$C$5:$C$2004,B86,'Saisie'!$E$5:$E$2004,"Signature"))</f>
        <v/>
      </c>
      <c r="N86" s="62">
        <f>IF(B86="","",SUMIFS('Saisie'!$AW$5:$AW$2004,'Saisie'!$C$5:$C$2004,B86,'Saisie'!$E$5:$E$2004,"Vente additionnelle"))</f>
        <v/>
      </c>
      <c r="O86" s="62">
        <f>IF(B86="","",M86+N86)</f>
        <v/>
      </c>
      <c r="P86" s="62">
        <f>IF(B86="","",SUMIFS('Saisie'!$AW$5:$AW$2004,'Saisie'!$C$5:$C$2004,B86,'Saisie'!$E$5:$E$2004,"Paiement reçu"))</f>
        <v/>
      </c>
      <c r="Q86" s="62">
        <f>IF(B86="","",MAX(0,O86-P86))</f>
        <v/>
      </c>
      <c r="R86" s="60">
        <f>IF(B86="","",IF(O86=0,"",IF(Q86&lt;=0,"Payé",IF(TODAY()-N(L86)&gt;'Paramètres'!$B$27,"En retard",IF(P86&gt;0,"Partiel","En attente")))))</f>
        <v/>
      </c>
      <c r="S86" s="60">
        <f>IF(B86="","",IFERROR(INDEX('Saisie'!$O$5:$O$2004,_xlfn.MAXIFS('Saisie'!$AS$5:$AS$2004,'Saisie'!$C$5:$C$2004,B86,'Saisie'!$O$5:$O$2004,"&lt;&gt;")-4),""))</f>
        <v/>
      </c>
      <c r="T86" s="62">
        <f>IF(B86="","",N(INDEX('Prospects'!$AO$5:$AO$504,MATCH(B86,'Prospects'!$C$5:$C$504,0))))</f>
        <v/>
      </c>
      <c r="U86" s="106">
        <f>IF(B86="","",IF(L86="","",EDATE(L86,'Paramètres'!$B$33)))</f>
        <v/>
      </c>
      <c r="V86" s="61">
        <f>IF(B86="","",IF(U86="","",U86-TODAY()))</f>
        <v/>
      </c>
      <c r="W86" s="61">
        <f>IF(B86="","",IF(L86="","",INT((TODAY()-L86)/30.44)))</f>
        <v/>
      </c>
      <c r="X86" s="62">
        <f>IF(B86="","",O86+T86*'Paramètres'!$B$34)</f>
        <v/>
      </c>
      <c r="Y86" s="62">
        <f>IF(B86="","",O86-N(IFERROR(INDEX('Paramètres'!$T$6:$T$15,MATCH(K86,'Paramètres'!$Q$6:$Q$15,0)),0)))</f>
        <v/>
      </c>
      <c r="Z86" s="123">
        <f>IF(B86="","",((COUNTIFS('Saisie'!$C$5:$C$2004,B86,'Saisie'!$E$5:$E$2004,"Onboarding - Contrat")&gt;0)+(COUNTIFS('Saisie'!$C$5:$C$2004,B86,'Saisie'!$E$5:$E$2004,"Onboarding - Accès")&gt;0)+(COUNTIFS('Saisie'!$C$5:$C$2004,B86,'Saisie'!$E$5:$E$2004,"Onboarding - Contenus")&gt;0)+(COUNTIFS('Saisie'!$C$5:$C$2004,B86,'Saisie'!$E$5:$E$2004,"Onboarding - Lancement")&gt;0))/4)</f>
        <v/>
      </c>
      <c r="AA86" s="60">
        <f>IF(B86="","",IF(COUNTIFS('Saisie'!$C$5:$C$2004,B86,'Saisie'!$E$5:$E$2004,"Demande d'avis Google")&gt;0,"Oui","Non"))</f>
        <v/>
      </c>
      <c r="AB86" s="61">
        <f>IF(B86="","",IFERROR(INDEX('Saisie'!$N$5:$N$2004,_xlfn.MAXIFS('Saisie'!$AS$5:$AS$2004,'Saisie'!$C$5:$C$2004,B86,'Saisie'!$E$5:$E$2004,"Satisfaction client")-4)&amp;"",""))</f>
        <v/>
      </c>
      <c r="AC86" s="106">
        <f>IF(B86="","",IFERROR(1/(1/_xlfn.MAXIFS('Saisie'!$A$5:$A$2004,'Saisie'!$C$5:$C$2004,B86,'Saisie'!$E$5:$E$2004,"Résiliation")),""))</f>
        <v/>
      </c>
      <c r="AD86" s="60">
        <f>IF(D86&lt;&gt;"",MAX($AD$4:AD85)+1,"")</f>
        <v/>
      </c>
    </row>
    <row r="87">
      <c r="A87" s="60">
        <f>IF(B87="","","C-"&amp;TEXT(83,"000"))</f>
        <v/>
      </c>
      <c r="B87" s="60">
        <f>IFERROR(INDEX('Prospects'!$C$5:$C$504,MATCH(83,'Prospects'!$BX$5:$BX$504,0)),"")</f>
        <v/>
      </c>
      <c r="C87" s="60">
        <f>IF(B87="","",IF(AC87&lt;&gt;"","Résilié","Actif"))</f>
        <v/>
      </c>
      <c r="D87" s="60">
        <f>IF(B87="","",IF(C87="Résilié","",IF(R87="En retard","Paiement en retard",IF(AND(V87&lt;&gt;"",N(V87)&lt;='Paramètres'!$B$30,N(V87)&gt;=0),"Renouvellement dans "&amp;V87&amp;" j",IF(AND(AA87="Non",TODAY()-N(L87)&gt;='Paramètres'!$B$29),"Demander un avis Google",IF(Z87&lt;1,"Onboarding à terminer",""))))))</f>
        <v/>
      </c>
      <c r="E87" s="60">
        <f>IF(B87="","",INDEX('Prospects'!$J$5:$J$504,MATCH(B87,'Prospects'!$C$5:$C$504,0))&amp;"")</f>
        <v/>
      </c>
      <c r="F87" s="60">
        <f>IF(B87="","",INDEX('Prospects'!$K$5:$K$504,MATCH(B87,'Prospects'!$C$5:$C$504,0))&amp;"")</f>
        <v/>
      </c>
      <c r="G87" s="60">
        <f>IF(B87="","",INDEX('Prospects'!$N$5:$N$504,MATCH(B87,'Prospects'!$C$5:$C$504,0))&amp;"")</f>
        <v/>
      </c>
      <c r="H87" s="60">
        <f>IF(B87="","",INDEX('Prospects'!$S$5:$S$504,MATCH(B87,'Prospects'!$C$5:$C$504,0))&amp;"")</f>
        <v/>
      </c>
      <c r="I87" s="60">
        <f>IF(B87="","",INDEX('Prospects'!$X$5:$X$504,MATCH(B87,'Prospects'!$C$5:$C$504,0))&amp;"")</f>
        <v/>
      </c>
      <c r="J87" s="60">
        <f>IF(B87="","",INDEX('Prospects'!$Y$5:$Y$504,MATCH(B87,'Prospects'!$C$5:$C$504,0))&amp;"")</f>
        <v/>
      </c>
      <c r="K87" s="60">
        <f>IF(B87="","",INDEX('Prospects'!$AN$5:$AN$504,MATCH(B87,'Prospects'!$C$5:$C$504,0))&amp;"")</f>
        <v/>
      </c>
      <c r="L87" s="106">
        <f>IF(B87="","",INDEX('Prospects'!$AT$5:$AT$504,MATCH(B87,'Prospects'!$C$5:$C$504,0)))</f>
        <v/>
      </c>
      <c r="M87" s="62">
        <f>IF(B87="","",SUMIFS('Saisie'!$AW$5:$AW$2004,'Saisie'!$C$5:$C$2004,B87,'Saisie'!$E$5:$E$2004,"Signature"))</f>
        <v/>
      </c>
      <c r="N87" s="62">
        <f>IF(B87="","",SUMIFS('Saisie'!$AW$5:$AW$2004,'Saisie'!$C$5:$C$2004,B87,'Saisie'!$E$5:$E$2004,"Vente additionnelle"))</f>
        <v/>
      </c>
      <c r="O87" s="62">
        <f>IF(B87="","",M87+N87)</f>
        <v/>
      </c>
      <c r="P87" s="62">
        <f>IF(B87="","",SUMIFS('Saisie'!$AW$5:$AW$2004,'Saisie'!$C$5:$C$2004,B87,'Saisie'!$E$5:$E$2004,"Paiement reçu"))</f>
        <v/>
      </c>
      <c r="Q87" s="62">
        <f>IF(B87="","",MAX(0,O87-P87))</f>
        <v/>
      </c>
      <c r="R87" s="60">
        <f>IF(B87="","",IF(O87=0,"",IF(Q87&lt;=0,"Payé",IF(TODAY()-N(L87)&gt;'Paramètres'!$B$27,"En retard",IF(P87&gt;0,"Partiel","En attente")))))</f>
        <v/>
      </c>
      <c r="S87" s="60">
        <f>IF(B87="","",IFERROR(INDEX('Saisie'!$O$5:$O$2004,_xlfn.MAXIFS('Saisie'!$AS$5:$AS$2004,'Saisie'!$C$5:$C$2004,B87,'Saisie'!$O$5:$O$2004,"&lt;&gt;")-4),""))</f>
        <v/>
      </c>
      <c r="T87" s="62">
        <f>IF(B87="","",N(INDEX('Prospects'!$AO$5:$AO$504,MATCH(B87,'Prospects'!$C$5:$C$504,0))))</f>
        <v/>
      </c>
      <c r="U87" s="106">
        <f>IF(B87="","",IF(L87="","",EDATE(L87,'Paramètres'!$B$33)))</f>
        <v/>
      </c>
      <c r="V87" s="61">
        <f>IF(B87="","",IF(U87="","",U87-TODAY()))</f>
        <v/>
      </c>
      <c r="W87" s="61">
        <f>IF(B87="","",IF(L87="","",INT((TODAY()-L87)/30.44)))</f>
        <v/>
      </c>
      <c r="X87" s="62">
        <f>IF(B87="","",O87+T87*'Paramètres'!$B$34)</f>
        <v/>
      </c>
      <c r="Y87" s="62">
        <f>IF(B87="","",O87-N(IFERROR(INDEX('Paramètres'!$T$6:$T$15,MATCH(K87,'Paramètres'!$Q$6:$Q$15,0)),0)))</f>
        <v/>
      </c>
      <c r="Z87" s="123">
        <f>IF(B87="","",((COUNTIFS('Saisie'!$C$5:$C$2004,B87,'Saisie'!$E$5:$E$2004,"Onboarding - Contrat")&gt;0)+(COUNTIFS('Saisie'!$C$5:$C$2004,B87,'Saisie'!$E$5:$E$2004,"Onboarding - Accès")&gt;0)+(COUNTIFS('Saisie'!$C$5:$C$2004,B87,'Saisie'!$E$5:$E$2004,"Onboarding - Contenus")&gt;0)+(COUNTIFS('Saisie'!$C$5:$C$2004,B87,'Saisie'!$E$5:$E$2004,"Onboarding - Lancement")&gt;0))/4)</f>
        <v/>
      </c>
      <c r="AA87" s="60">
        <f>IF(B87="","",IF(COUNTIFS('Saisie'!$C$5:$C$2004,B87,'Saisie'!$E$5:$E$2004,"Demande d'avis Google")&gt;0,"Oui","Non"))</f>
        <v/>
      </c>
      <c r="AB87" s="61">
        <f>IF(B87="","",IFERROR(INDEX('Saisie'!$N$5:$N$2004,_xlfn.MAXIFS('Saisie'!$AS$5:$AS$2004,'Saisie'!$C$5:$C$2004,B87,'Saisie'!$E$5:$E$2004,"Satisfaction client")-4)&amp;"",""))</f>
        <v/>
      </c>
      <c r="AC87" s="106">
        <f>IF(B87="","",IFERROR(1/(1/_xlfn.MAXIFS('Saisie'!$A$5:$A$2004,'Saisie'!$C$5:$C$2004,B87,'Saisie'!$E$5:$E$2004,"Résiliation")),""))</f>
        <v/>
      </c>
      <c r="AD87" s="60">
        <f>IF(D87&lt;&gt;"",MAX($AD$4:AD86)+1,"")</f>
        <v/>
      </c>
    </row>
    <row r="88">
      <c r="A88" s="60">
        <f>IF(B88="","","C-"&amp;TEXT(84,"000"))</f>
        <v/>
      </c>
      <c r="B88" s="60">
        <f>IFERROR(INDEX('Prospects'!$C$5:$C$504,MATCH(84,'Prospects'!$BX$5:$BX$504,0)),"")</f>
        <v/>
      </c>
      <c r="C88" s="60">
        <f>IF(B88="","",IF(AC88&lt;&gt;"","Résilié","Actif"))</f>
        <v/>
      </c>
      <c r="D88" s="60">
        <f>IF(B88="","",IF(C88="Résilié","",IF(R88="En retard","Paiement en retard",IF(AND(V88&lt;&gt;"",N(V88)&lt;='Paramètres'!$B$30,N(V88)&gt;=0),"Renouvellement dans "&amp;V88&amp;" j",IF(AND(AA88="Non",TODAY()-N(L88)&gt;='Paramètres'!$B$29),"Demander un avis Google",IF(Z88&lt;1,"Onboarding à terminer",""))))))</f>
        <v/>
      </c>
      <c r="E88" s="60">
        <f>IF(B88="","",INDEX('Prospects'!$J$5:$J$504,MATCH(B88,'Prospects'!$C$5:$C$504,0))&amp;"")</f>
        <v/>
      </c>
      <c r="F88" s="60">
        <f>IF(B88="","",INDEX('Prospects'!$K$5:$K$504,MATCH(B88,'Prospects'!$C$5:$C$504,0))&amp;"")</f>
        <v/>
      </c>
      <c r="G88" s="60">
        <f>IF(B88="","",INDEX('Prospects'!$N$5:$N$504,MATCH(B88,'Prospects'!$C$5:$C$504,0))&amp;"")</f>
        <v/>
      </c>
      <c r="H88" s="60">
        <f>IF(B88="","",INDEX('Prospects'!$S$5:$S$504,MATCH(B88,'Prospects'!$C$5:$C$504,0))&amp;"")</f>
        <v/>
      </c>
      <c r="I88" s="60">
        <f>IF(B88="","",INDEX('Prospects'!$X$5:$X$504,MATCH(B88,'Prospects'!$C$5:$C$504,0))&amp;"")</f>
        <v/>
      </c>
      <c r="J88" s="60">
        <f>IF(B88="","",INDEX('Prospects'!$Y$5:$Y$504,MATCH(B88,'Prospects'!$C$5:$C$504,0))&amp;"")</f>
        <v/>
      </c>
      <c r="K88" s="60">
        <f>IF(B88="","",INDEX('Prospects'!$AN$5:$AN$504,MATCH(B88,'Prospects'!$C$5:$C$504,0))&amp;"")</f>
        <v/>
      </c>
      <c r="L88" s="106">
        <f>IF(B88="","",INDEX('Prospects'!$AT$5:$AT$504,MATCH(B88,'Prospects'!$C$5:$C$504,0)))</f>
        <v/>
      </c>
      <c r="M88" s="62">
        <f>IF(B88="","",SUMIFS('Saisie'!$AW$5:$AW$2004,'Saisie'!$C$5:$C$2004,B88,'Saisie'!$E$5:$E$2004,"Signature"))</f>
        <v/>
      </c>
      <c r="N88" s="62">
        <f>IF(B88="","",SUMIFS('Saisie'!$AW$5:$AW$2004,'Saisie'!$C$5:$C$2004,B88,'Saisie'!$E$5:$E$2004,"Vente additionnelle"))</f>
        <v/>
      </c>
      <c r="O88" s="62">
        <f>IF(B88="","",M88+N88)</f>
        <v/>
      </c>
      <c r="P88" s="62">
        <f>IF(B88="","",SUMIFS('Saisie'!$AW$5:$AW$2004,'Saisie'!$C$5:$C$2004,B88,'Saisie'!$E$5:$E$2004,"Paiement reçu"))</f>
        <v/>
      </c>
      <c r="Q88" s="62">
        <f>IF(B88="","",MAX(0,O88-P88))</f>
        <v/>
      </c>
      <c r="R88" s="60">
        <f>IF(B88="","",IF(O88=0,"",IF(Q88&lt;=0,"Payé",IF(TODAY()-N(L88)&gt;'Paramètres'!$B$27,"En retard",IF(P88&gt;0,"Partiel","En attente")))))</f>
        <v/>
      </c>
      <c r="S88" s="60">
        <f>IF(B88="","",IFERROR(INDEX('Saisie'!$O$5:$O$2004,_xlfn.MAXIFS('Saisie'!$AS$5:$AS$2004,'Saisie'!$C$5:$C$2004,B88,'Saisie'!$O$5:$O$2004,"&lt;&gt;")-4),""))</f>
        <v/>
      </c>
      <c r="T88" s="62">
        <f>IF(B88="","",N(INDEX('Prospects'!$AO$5:$AO$504,MATCH(B88,'Prospects'!$C$5:$C$504,0))))</f>
        <v/>
      </c>
      <c r="U88" s="106">
        <f>IF(B88="","",IF(L88="","",EDATE(L88,'Paramètres'!$B$33)))</f>
        <v/>
      </c>
      <c r="V88" s="61">
        <f>IF(B88="","",IF(U88="","",U88-TODAY()))</f>
        <v/>
      </c>
      <c r="W88" s="61">
        <f>IF(B88="","",IF(L88="","",INT((TODAY()-L88)/30.44)))</f>
        <v/>
      </c>
      <c r="X88" s="62">
        <f>IF(B88="","",O88+T88*'Paramètres'!$B$34)</f>
        <v/>
      </c>
      <c r="Y88" s="62">
        <f>IF(B88="","",O88-N(IFERROR(INDEX('Paramètres'!$T$6:$T$15,MATCH(K88,'Paramètres'!$Q$6:$Q$15,0)),0)))</f>
        <v/>
      </c>
      <c r="Z88" s="123">
        <f>IF(B88="","",((COUNTIFS('Saisie'!$C$5:$C$2004,B88,'Saisie'!$E$5:$E$2004,"Onboarding - Contrat")&gt;0)+(COUNTIFS('Saisie'!$C$5:$C$2004,B88,'Saisie'!$E$5:$E$2004,"Onboarding - Accès")&gt;0)+(COUNTIFS('Saisie'!$C$5:$C$2004,B88,'Saisie'!$E$5:$E$2004,"Onboarding - Contenus")&gt;0)+(COUNTIFS('Saisie'!$C$5:$C$2004,B88,'Saisie'!$E$5:$E$2004,"Onboarding - Lancement")&gt;0))/4)</f>
        <v/>
      </c>
      <c r="AA88" s="60">
        <f>IF(B88="","",IF(COUNTIFS('Saisie'!$C$5:$C$2004,B88,'Saisie'!$E$5:$E$2004,"Demande d'avis Google")&gt;0,"Oui","Non"))</f>
        <v/>
      </c>
      <c r="AB88" s="61">
        <f>IF(B88="","",IFERROR(INDEX('Saisie'!$N$5:$N$2004,_xlfn.MAXIFS('Saisie'!$AS$5:$AS$2004,'Saisie'!$C$5:$C$2004,B88,'Saisie'!$E$5:$E$2004,"Satisfaction client")-4)&amp;"",""))</f>
        <v/>
      </c>
      <c r="AC88" s="106">
        <f>IF(B88="","",IFERROR(1/(1/_xlfn.MAXIFS('Saisie'!$A$5:$A$2004,'Saisie'!$C$5:$C$2004,B88,'Saisie'!$E$5:$E$2004,"Résiliation")),""))</f>
        <v/>
      </c>
      <c r="AD88" s="60">
        <f>IF(D88&lt;&gt;"",MAX($AD$4:AD87)+1,"")</f>
        <v/>
      </c>
    </row>
    <row r="89">
      <c r="A89" s="60">
        <f>IF(B89="","","C-"&amp;TEXT(85,"000"))</f>
        <v/>
      </c>
      <c r="B89" s="60">
        <f>IFERROR(INDEX('Prospects'!$C$5:$C$504,MATCH(85,'Prospects'!$BX$5:$BX$504,0)),"")</f>
        <v/>
      </c>
      <c r="C89" s="60">
        <f>IF(B89="","",IF(AC89&lt;&gt;"","Résilié","Actif"))</f>
        <v/>
      </c>
      <c r="D89" s="60">
        <f>IF(B89="","",IF(C89="Résilié","",IF(R89="En retard","Paiement en retard",IF(AND(V89&lt;&gt;"",N(V89)&lt;='Paramètres'!$B$30,N(V89)&gt;=0),"Renouvellement dans "&amp;V89&amp;" j",IF(AND(AA89="Non",TODAY()-N(L89)&gt;='Paramètres'!$B$29),"Demander un avis Google",IF(Z89&lt;1,"Onboarding à terminer",""))))))</f>
        <v/>
      </c>
      <c r="E89" s="60">
        <f>IF(B89="","",INDEX('Prospects'!$J$5:$J$504,MATCH(B89,'Prospects'!$C$5:$C$504,0))&amp;"")</f>
        <v/>
      </c>
      <c r="F89" s="60">
        <f>IF(B89="","",INDEX('Prospects'!$K$5:$K$504,MATCH(B89,'Prospects'!$C$5:$C$504,0))&amp;"")</f>
        <v/>
      </c>
      <c r="G89" s="60">
        <f>IF(B89="","",INDEX('Prospects'!$N$5:$N$504,MATCH(B89,'Prospects'!$C$5:$C$504,0))&amp;"")</f>
        <v/>
      </c>
      <c r="H89" s="60">
        <f>IF(B89="","",INDEX('Prospects'!$S$5:$S$504,MATCH(B89,'Prospects'!$C$5:$C$504,0))&amp;"")</f>
        <v/>
      </c>
      <c r="I89" s="60">
        <f>IF(B89="","",INDEX('Prospects'!$X$5:$X$504,MATCH(B89,'Prospects'!$C$5:$C$504,0))&amp;"")</f>
        <v/>
      </c>
      <c r="J89" s="60">
        <f>IF(B89="","",INDEX('Prospects'!$Y$5:$Y$504,MATCH(B89,'Prospects'!$C$5:$C$504,0))&amp;"")</f>
        <v/>
      </c>
      <c r="K89" s="60">
        <f>IF(B89="","",INDEX('Prospects'!$AN$5:$AN$504,MATCH(B89,'Prospects'!$C$5:$C$504,0))&amp;"")</f>
        <v/>
      </c>
      <c r="L89" s="106">
        <f>IF(B89="","",INDEX('Prospects'!$AT$5:$AT$504,MATCH(B89,'Prospects'!$C$5:$C$504,0)))</f>
        <v/>
      </c>
      <c r="M89" s="62">
        <f>IF(B89="","",SUMIFS('Saisie'!$AW$5:$AW$2004,'Saisie'!$C$5:$C$2004,B89,'Saisie'!$E$5:$E$2004,"Signature"))</f>
        <v/>
      </c>
      <c r="N89" s="62">
        <f>IF(B89="","",SUMIFS('Saisie'!$AW$5:$AW$2004,'Saisie'!$C$5:$C$2004,B89,'Saisie'!$E$5:$E$2004,"Vente additionnelle"))</f>
        <v/>
      </c>
      <c r="O89" s="62">
        <f>IF(B89="","",M89+N89)</f>
        <v/>
      </c>
      <c r="P89" s="62">
        <f>IF(B89="","",SUMIFS('Saisie'!$AW$5:$AW$2004,'Saisie'!$C$5:$C$2004,B89,'Saisie'!$E$5:$E$2004,"Paiement reçu"))</f>
        <v/>
      </c>
      <c r="Q89" s="62">
        <f>IF(B89="","",MAX(0,O89-P89))</f>
        <v/>
      </c>
      <c r="R89" s="60">
        <f>IF(B89="","",IF(O89=0,"",IF(Q89&lt;=0,"Payé",IF(TODAY()-N(L89)&gt;'Paramètres'!$B$27,"En retard",IF(P89&gt;0,"Partiel","En attente")))))</f>
        <v/>
      </c>
      <c r="S89" s="60">
        <f>IF(B89="","",IFERROR(INDEX('Saisie'!$O$5:$O$2004,_xlfn.MAXIFS('Saisie'!$AS$5:$AS$2004,'Saisie'!$C$5:$C$2004,B89,'Saisie'!$O$5:$O$2004,"&lt;&gt;")-4),""))</f>
        <v/>
      </c>
      <c r="T89" s="62">
        <f>IF(B89="","",N(INDEX('Prospects'!$AO$5:$AO$504,MATCH(B89,'Prospects'!$C$5:$C$504,0))))</f>
        <v/>
      </c>
      <c r="U89" s="106">
        <f>IF(B89="","",IF(L89="","",EDATE(L89,'Paramètres'!$B$33)))</f>
        <v/>
      </c>
      <c r="V89" s="61">
        <f>IF(B89="","",IF(U89="","",U89-TODAY()))</f>
        <v/>
      </c>
      <c r="W89" s="61">
        <f>IF(B89="","",IF(L89="","",INT((TODAY()-L89)/30.44)))</f>
        <v/>
      </c>
      <c r="X89" s="62">
        <f>IF(B89="","",O89+T89*'Paramètres'!$B$34)</f>
        <v/>
      </c>
      <c r="Y89" s="62">
        <f>IF(B89="","",O89-N(IFERROR(INDEX('Paramètres'!$T$6:$T$15,MATCH(K89,'Paramètres'!$Q$6:$Q$15,0)),0)))</f>
        <v/>
      </c>
      <c r="Z89" s="123">
        <f>IF(B89="","",((COUNTIFS('Saisie'!$C$5:$C$2004,B89,'Saisie'!$E$5:$E$2004,"Onboarding - Contrat")&gt;0)+(COUNTIFS('Saisie'!$C$5:$C$2004,B89,'Saisie'!$E$5:$E$2004,"Onboarding - Accès")&gt;0)+(COUNTIFS('Saisie'!$C$5:$C$2004,B89,'Saisie'!$E$5:$E$2004,"Onboarding - Contenus")&gt;0)+(COUNTIFS('Saisie'!$C$5:$C$2004,B89,'Saisie'!$E$5:$E$2004,"Onboarding - Lancement")&gt;0))/4)</f>
        <v/>
      </c>
      <c r="AA89" s="60">
        <f>IF(B89="","",IF(COUNTIFS('Saisie'!$C$5:$C$2004,B89,'Saisie'!$E$5:$E$2004,"Demande d'avis Google")&gt;0,"Oui","Non"))</f>
        <v/>
      </c>
      <c r="AB89" s="61">
        <f>IF(B89="","",IFERROR(INDEX('Saisie'!$N$5:$N$2004,_xlfn.MAXIFS('Saisie'!$AS$5:$AS$2004,'Saisie'!$C$5:$C$2004,B89,'Saisie'!$E$5:$E$2004,"Satisfaction client")-4)&amp;"",""))</f>
        <v/>
      </c>
      <c r="AC89" s="106">
        <f>IF(B89="","",IFERROR(1/(1/_xlfn.MAXIFS('Saisie'!$A$5:$A$2004,'Saisie'!$C$5:$C$2004,B89,'Saisie'!$E$5:$E$2004,"Résiliation")),""))</f>
        <v/>
      </c>
      <c r="AD89" s="60">
        <f>IF(D89&lt;&gt;"",MAX($AD$4:AD88)+1,"")</f>
        <v/>
      </c>
    </row>
    <row r="90">
      <c r="A90" s="60">
        <f>IF(B90="","","C-"&amp;TEXT(86,"000"))</f>
        <v/>
      </c>
      <c r="B90" s="60">
        <f>IFERROR(INDEX('Prospects'!$C$5:$C$504,MATCH(86,'Prospects'!$BX$5:$BX$504,0)),"")</f>
        <v/>
      </c>
      <c r="C90" s="60">
        <f>IF(B90="","",IF(AC90&lt;&gt;"","Résilié","Actif"))</f>
        <v/>
      </c>
      <c r="D90" s="60">
        <f>IF(B90="","",IF(C90="Résilié","",IF(R90="En retard","Paiement en retard",IF(AND(V90&lt;&gt;"",N(V90)&lt;='Paramètres'!$B$30,N(V90)&gt;=0),"Renouvellement dans "&amp;V90&amp;" j",IF(AND(AA90="Non",TODAY()-N(L90)&gt;='Paramètres'!$B$29),"Demander un avis Google",IF(Z90&lt;1,"Onboarding à terminer",""))))))</f>
        <v/>
      </c>
      <c r="E90" s="60">
        <f>IF(B90="","",INDEX('Prospects'!$J$5:$J$504,MATCH(B90,'Prospects'!$C$5:$C$504,0))&amp;"")</f>
        <v/>
      </c>
      <c r="F90" s="60">
        <f>IF(B90="","",INDEX('Prospects'!$K$5:$K$504,MATCH(B90,'Prospects'!$C$5:$C$504,0))&amp;"")</f>
        <v/>
      </c>
      <c r="G90" s="60">
        <f>IF(B90="","",INDEX('Prospects'!$N$5:$N$504,MATCH(B90,'Prospects'!$C$5:$C$504,0))&amp;"")</f>
        <v/>
      </c>
      <c r="H90" s="60">
        <f>IF(B90="","",INDEX('Prospects'!$S$5:$S$504,MATCH(B90,'Prospects'!$C$5:$C$504,0))&amp;"")</f>
        <v/>
      </c>
      <c r="I90" s="60">
        <f>IF(B90="","",INDEX('Prospects'!$X$5:$X$504,MATCH(B90,'Prospects'!$C$5:$C$504,0))&amp;"")</f>
        <v/>
      </c>
      <c r="J90" s="60">
        <f>IF(B90="","",INDEX('Prospects'!$Y$5:$Y$504,MATCH(B90,'Prospects'!$C$5:$C$504,0))&amp;"")</f>
        <v/>
      </c>
      <c r="K90" s="60">
        <f>IF(B90="","",INDEX('Prospects'!$AN$5:$AN$504,MATCH(B90,'Prospects'!$C$5:$C$504,0))&amp;"")</f>
        <v/>
      </c>
      <c r="L90" s="106">
        <f>IF(B90="","",INDEX('Prospects'!$AT$5:$AT$504,MATCH(B90,'Prospects'!$C$5:$C$504,0)))</f>
        <v/>
      </c>
      <c r="M90" s="62">
        <f>IF(B90="","",SUMIFS('Saisie'!$AW$5:$AW$2004,'Saisie'!$C$5:$C$2004,B90,'Saisie'!$E$5:$E$2004,"Signature"))</f>
        <v/>
      </c>
      <c r="N90" s="62">
        <f>IF(B90="","",SUMIFS('Saisie'!$AW$5:$AW$2004,'Saisie'!$C$5:$C$2004,B90,'Saisie'!$E$5:$E$2004,"Vente additionnelle"))</f>
        <v/>
      </c>
      <c r="O90" s="62">
        <f>IF(B90="","",M90+N90)</f>
        <v/>
      </c>
      <c r="P90" s="62">
        <f>IF(B90="","",SUMIFS('Saisie'!$AW$5:$AW$2004,'Saisie'!$C$5:$C$2004,B90,'Saisie'!$E$5:$E$2004,"Paiement reçu"))</f>
        <v/>
      </c>
      <c r="Q90" s="62">
        <f>IF(B90="","",MAX(0,O90-P90))</f>
        <v/>
      </c>
      <c r="R90" s="60">
        <f>IF(B90="","",IF(O90=0,"",IF(Q90&lt;=0,"Payé",IF(TODAY()-N(L90)&gt;'Paramètres'!$B$27,"En retard",IF(P90&gt;0,"Partiel","En attente")))))</f>
        <v/>
      </c>
      <c r="S90" s="60">
        <f>IF(B90="","",IFERROR(INDEX('Saisie'!$O$5:$O$2004,_xlfn.MAXIFS('Saisie'!$AS$5:$AS$2004,'Saisie'!$C$5:$C$2004,B90,'Saisie'!$O$5:$O$2004,"&lt;&gt;")-4),""))</f>
        <v/>
      </c>
      <c r="T90" s="62">
        <f>IF(B90="","",N(INDEX('Prospects'!$AO$5:$AO$504,MATCH(B90,'Prospects'!$C$5:$C$504,0))))</f>
        <v/>
      </c>
      <c r="U90" s="106">
        <f>IF(B90="","",IF(L90="","",EDATE(L90,'Paramètres'!$B$33)))</f>
        <v/>
      </c>
      <c r="V90" s="61">
        <f>IF(B90="","",IF(U90="","",U90-TODAY()))</f>
        <v/>
      </c>
      <c r="W90" s="61">
        <f>IF(B90="","",IF(L90="","",INT((TODAY()-L90)/30.44)))</f>
        <v/>
      </c>
      <c r="X90" s="62">
        <f>IF(B90="","",O90+T90*'Paramètres'!$B$34)</f>
        <v/>
      </c>
      <c r="Y90" s="62">
        <f>IF(B90="","",O90-N(IFERROR(INDEX('Paramètres'!$T$6:$T$15,MATCH(K90,'Paramètres'!$Q$6:$Q$15,0)),0)))</f>
        <v/>
      </c>
      <c r="Z90" s="123">
        <f>IF(B90="","",((COUNTIFS('Saisie'!$C$5:$C$2004,B90,'Saisie'!$E$5:$E$2004,"Onboarding - Contrat")&gt;0)+(COUNTIFS('Saisie'!$C$5:$C$2004,B90,'Saisie'!$E$5:$E$2004,"Onboarding - Accès")&gt;0)+(COUNTIFS('Saisie'!$C$5:$C$2004,B90,'Saisie'!$E$5:$E$2004,"Onboarding - Contenus")&gt;0)+(COUNTIFS('Saisie'!$C$5:$C$2004,B90,'Saisie'!$E$5:$E$2004,"Onboarding - Lancement")&gt;0))/4)</f>
        <v/>
      </c>
      <c r="AA90" s="60">
        <f>IF(B90="","",IF(COUNTIFS('Saisie'!$C$5:$C$2004,B90,'Saisie'!$E$5:$E$2004,"Demande d'avis Google")&gt;0,"Oui","Non"))</f>
        <v/>
      </c>
      <c r="AB90" s="61">
        <f>IF(B90="","",IFERROR(INDEX('Saisie'!$N$5:$N$2004,_xlfn.MAXIFS('Saisie'!$AS$5:$AS$2004,'Saisie'!$C$5:$C$2004,B90,'Saisie'!$E$5:$E$2004,"Satisfaction client")-4)&amp;"",""))</f>
        <v/>
      </c>
      <c r="AC90" s="106">
        <f>IF(B90="","",IFERROR(1/(1/_xlfn.MAXIFS('Saisie'!$A$5:$A$2004,'Saisie'!$C$5:$C$2004,B90,'Saisie'!$E$5:$E$2004,"Résiliation")),""))</f>
        <v/>
      </c>
      <c r="AD90" s="60">
        <f>IF(D90&lt;&gt;"",MAX($AD$4:AD89)+1,"")</f>
        <v/>
      </c>
    </row>
    <row r="91">
      <c r="A91" s="60">
        <f>IF(B91="","","C-"&amp;TEXT(87,"000"))</f>
        <v/>
      </c>
      <c r="B91" s="60">
        <f>IFERROR(INDEX('Prospects'!$C$5:$C$504,MATCH(87,'Prospects'!$BX$5:$BX$504,0)),"")</f>
        <v/>
      </c>
      <c r="C91" s="60">
        <f>IF(B91="","",IF(AC91&lt;&gt;"","Résilié","Actif"))</f>
        <v/>
      </c>
      <c r="D91" s="60">
        <f>IF(B91="","",IF(C91="Résilié","",IF(R91="En retard","Paiement en retard",IF(AND(V91&lt;&gt;"",N(V91)&lt;='Paramètres'!$B$30,N(V91)&gt;=0),"Renouvellement dans "&amp;V91&amp;" j",IF(AND(AA91="Non",TODAY()-N(L91)&gt;='Paramètres'!$B$29),"Demander un avis Google",IF(Z91&lt;1,"Onboarding à terminer",""))))))</f>
        <v/>
      </c>
      <c r="E91" s="60">
        <f>IF(B91="","",INDEX('Prospects'!$J$5:$J$504,MATCH(B91,'Prospects'!$C$5:$C$504,0))&amp;"")</f>
        <v/>
      </c>
      <c r="F91" s="60">
        <f>IF(B91="","",INDEX('Prospects'!$K$5:$K$504,MATCH(B91,'Prospects'!$C$5:$C$504,0))&amp;"")</f>
        <v/>
      </c>
      <c r="G91" s="60">
        <f>IF(B91="","",INDEX('Prospects'!$N$5:$N$504,MATCH(B91,'Prospects'!$C$5:$C$504,0))&amp;"")</f>
        <v/>
      </c>
      <c r="H91" s="60">
        <f>IF(B91="","",INDEX('Prospects'!$S$5:$S$504,MATCH(B91,'Prospects'!$C$5:$C$504,0))&amp;"")</f>
        <v/>
      </c>
      <c r="I91" s="60">
        <f>IF(B91="","",INDEX('Prospects'!$X$5:$X$504,MATCH(B91,'Prospects'!$C$5:$C$504,0))&amp;"")</f>
        <v/>
      </c>
      <c r="J91" s="60">
        <f>IF(B91="","",INDEX('Prospects'!$Y$5:$Y$504,MATCH(B91,'Prospects'!$C$5:$C$504,0))&amp;"")</f>
        <v/>
      </c>
      <c r="K91" s="60">
        <f>IF(B91="","",INDEX('Prospects'!$AN$5:$AN$504,MATCH(B91,'Prospects'!$C$5:$C$504,0))&amp;"")</f>
        <v/>
      </c>
      <c r="L91" s="106">
        <f>IF(B91="","",INDEX('Prospects'!$AT$5:$AT$504,MATCH(B91,'Prospects'!$C$5:$C$504,0)))</f>
        <v/>
      </c>
      <c r="M91" s="62">
        <f>IF(B91="","",SUMIFS('Saisie'!$AW$5:$AW$2004,'Saisie'!$C$5:$C$2004,B91,'Saisie'!$E$5:$E$2004,"Signature"))</f>
        <v/>
      </c>
      <c r="N91" s="62">
        <f>IF(B91="","",SUMIFS('Saisie'!$AW$5:$AW$2004,'Saisie'!$C$5:$C$2004,B91,'Saisie'!$E$5:$E$2004,"Vente additionnelle"))</f>
        <v/>
      </c>
      <c r="O91" s="62">
        <f>IF(B91="","",M91+N91)</f>
        <v/>
      </c>
      <c r="P91" s="62">
        <f>IF(B91="","",SUMIFS('Saisie'!$AW$5:$AW$2004,'Saisie'!$C$5:$C$2004,B91,'Saisie'!$E$5:$E$2004,"Paiement reçu"))</f>
        <v/>
      </c>
      <c r="Q91" s="62">
        <f>IF(B91="","",MAX(0,O91-P91))</f>
        <v/>
      </c>
      <c r="R91" s="60">
        <f>IF(B91="","",IF(O91=0,"",IF(Q91&lt;=0,"Payé",IF(TODAY()-N(L91)&gt;'Paramètres'!$B$27,"En retard",IF(P91&gt;0,"Partiel","En attente")))))</f>
        <v/>
      </c>
      <c r="S91" s="60">
        <f>IF(B91="","",IFERROR(INDEX('Saisie'!$O$5:$O$2004,_xlfn.MAXIFS('Saisie'!$AS$5:$AS$2004,'Saisie'!$C$5:$C$2004,B91,'Saisie'!$O$5:$O$2004,"&lt;&gt;")-4),""))</f>
        <v/>
      </c>
      <c r="T91" s="62">
        <f>IF(B91="","",N(INDEX('Prospects'!$AO$5:$AO$504,MATCH(B91,'Prospects'!$C$5:$C$504,0))))</f>
        <v/>
      </c>
      <c r="U91" s="106">
        <f>IF(B91="","",IF(L91="","",EDATE(L91,'Paramètres'!$B$33)))</f>
        <v/>
      </c>
      <c r="V91" s="61">
        <f>IF(B91="","",IF(U91="","",U91-TODAY()))</f>
        <v/>
      </c>
      <c r="W91" s="61">
        <f>IF(B91="","",IF(L91="","",INT((TODAY()-L91)/30.44)))</f>
        <v/>
      </c>
      <c r="X91" s="62">
        <f>IF(B91="","",O91+T91*'Paramètres'!$B$34)</f>
        <v/>
      </c>
      <c r="Y91" s="62">
        <f>IF(B91="","",O91-N(IFERROR(INDEX('Paramètres'!$T$6:$T$15,MATCH(K91,'Paramètres'!$Q$6:$Q$15,0)),0)))</f>
        <v/>
      </c>
      <c r="Z91" s="123">
        <f>IF(B91="","",((COUNTIFS('Saisie'!$C$5:$C$2004,B91,'Saisie'!$E$5:$E$2004,"Onboarding - Contrat")&gt;0)+(COUNTIFS('Saisie'!$C$5:$C$2004,B91,'Saisie'!$E$5:$E$2004,"Onboarding - Accès")&gt;0)+(COUNTIFS('Saisie'!$C$5:$C$2004,B91,'Saisie'!$E$5:$E$2004,"Onboarding - Contenus")&gt;0)+(COUNTIFS('Saisie'!$C$5:$C$2004,B91,'Saisie'!$E$5:$E$2004,"Onboarding - Lancement")&gt;0))/4)</f>
        <v/>
      </c>
      <c r="AA91" s="60">
        <f>IF(B91="","",IF(COUNTIFS('Saisie'!$C$5:$C$2004,B91,'Saisie'!$E$5:$E$2004,"Demande d'avis Google")&gt;0,"Oui","Non"))</f>
        <v/>
      </c>
      <c r="AB91" s="61">
        <f>IF(B91="","",IFERROR(INDEX('Saisie'!$N$5:$N$2004,_xlfn.MAXIFS('Saisie'!$AS$5:$AS$2004,'Saisie'!$C$5:$C$2004,B91,'Saisie'!$E$5:$E$2004,"Satisfaction client")-4)&amp;"",""))</f>
        <v/>
      </c>
      <c r="AC91" s="106">
        <f>IF(B91="","",IFERROR(1/(1/_xlfn.MAXIFS('Saisie'!$A$5:$A$2004,'Saisie'!$C$5:$C$2004,B91,'Saisie'!$E$5:$E$2004,"Résiliation")),""))</f>
        <v/>
      </c>
      <c r="AD91" s="60">
        <f>IF(D91&lt;&gt;"",MAX($AD$4:AD90)+1,"")</f>
        <v/>
      </c>
    </row>
    <row r="92">
      <c r="A92" s="60">
        <f>IF(B92="","","C-"&amp;TEXT(88,"000"))</f>
        <v/>
      </c>
      <c r="B92" s="60">
        <f>IFERROR(INDEX('Prospects'!$C$5:$C$504,MATCH(88,'Prospects'!$BX$5:$BX$504,0)),"")</f>
        <v/>
      </c>
      <c r="C92" s="60">
        <f>IF(B92="","",IF(AC92&lt;&gt;"","Résilié","Actif"))</f>
        <v/>
      </c>
      <c r="D92" s="60">
        <f>IF(B92="","",IF(C92="Résilié","",IF(R92="En retard","Paiement en retard",IF(AND(V92&lt;&gt;"",N(V92)&lt;='Paramètres'!$B$30,N(V92)&gt;=0),"Renouvellement dans "&amp;V92&amp;" j",IF(AND(AA92="Non",TODAY()-N(L92)&gt;='Paramètres'!$B$29),"Demander un avis Google",IF(Z92&lt;1,"Onboarding à terminer",""))))))</f>
        <v/>
      </c>
      <c r="E92" s="60">
        <f>IF(B92="","",INDEX('Prospects'!$J$5:$J$504,MATCH(B92,'Prospects'!$C$5:$C$504,0))&amp;"")</f>
        <v/>
      </c>
      <c r="F92" s="60">
        <f>IF(B92="","",INDEX('Prospects'!$K$5:$K$504,MATCH(B92,'Prospects'!$C$5:$C$504,0))&amp;"")</f>
        <v/>
      </c>
      <c r="G92" s="60">
        <f>IF(B92="","",INDEX('Prospects'!$N$5:$N$504,MATCH(B92,'Prospects'!$C$5:$C$504,0))&amp;"")</f>
        <v/>
      </c>
      <c r="H92" s="60">
        <f>IF(B92="","",INDEX('Prospects'!$S$5:$S$504,MATCH(B92,'Prospects'!$C$5:$C$504,0))&amp;"")</f>
        <v/>
      </c>
      <c r="I92" s="60">
        <f>IF(B92="","",INDEX('Prospects'!$X$5:$X$504,MATCH(B92,'Prospects'!$C$5:$C$504,0))&amp;"")</f>
        <v/>
      </c>
      <c r="J92" s="60">
        <f>IF(B92="","",INDEX('Prospects'!$Y$5:$Y$504,MATCH(B92,'Prospects'!$C$5:$C$504,0))&amp;"")</f>
        <v/>
      </c>
      <c r="K92" s="60">
        <f>IF(B92="","",INDEX('Prospects'!$AN$5:$AN$504,MATCH(B92,'Prospects'!$C$5:$C$504,0))&amp;"")</f>
        <v/>
      </c>
      <c r="L92" s="106">
        <f>IF(B92="","",INDEX('Prospects'!$AT$5:$AT$504,MATCH(B92,'Prospects'!$C$5:$C$504,0)))</f>
        <v/>
      </c>
      <c r="M92" s="62">
        <f>IF(B92="","",SUMIFS('Saisie'!$AW$5:$AW$2004,'Saisie'!$C$5:$C$2004,B92,'Saisie'!$E$5:$E$2004,"Signature"))</f>
        <v/>
      </c>
      <c r="N92" s="62">
        <f>IF(B92="","",SUMIFS('Saisie'!$AW$5:$AW$2004,'Saisie'!$C$5:$C$2004,B92,'Saisie'!$E$5:$E$2004,"Vente additionnelle"))</f>
        <v/>
      </c>
      <c r="O92" s="62">
        <f>IF(B92="","",M92+N92)</f>
        <v/>
      </c>
      <c r="P92" s="62">
        <f>IF(B92="","",SUMIFS('Saisie'!$AW$5:$AW$2004,'Saisie'!$C$5:$C$2004,B92,'Saisie'!$E$5:$E$2004,"Paiement reçu"))</f>
        <v/>
      </c>
      <c r="Q92" s="62">
        <f>IF(B92="","",MAX(0,O92-P92))</f>
        <v/>
      </c>
      <c r="R92" s="60">
        <f>IF(B92="","",IF(O92=0,"",IF(Q92&lt;=0,"Payé",IF(TODAY()-N(L92)&gt;'Paramètres'!$B$27,"En retard",IF(P92&gt;0,"Partiel","En attente")))))</f>
        <v/>
      </c>
      <c r="S92" s="60">
        <f>IF(B92="","",IFERROR(INDEX('Saisie'!$O$5:$O$2004,_xlfn.MAXIFS('Saisie'!$AS$5:$AS$2004,'Saisie'!$C$5:$C$2004,B92,'Saisie'!$O$5:$O$2004,"&lt;&gt;")-4),""))</f>
        <v/>
      </c>
      <c r="T92" s="62">
        <f>IF(B92="","",N(INDEX('Prospects'!$AO$5:$AO$504,MATCH(B92,'Prospects'!$C$5:$C$504,0))))</f>
        <v/>
      </c>
      <c r="U92" s="106">
        <f>IF(B92="","",IF(L92="","",EDATE(L92,'Paramètres'!$B$33)))</f>
        <v/>
      </c>
      <c r="V92" s="61">
        <f>IF(B92="","",IF(U92="","",U92-TODAY()))</f>
        <v/>
      </c>
      <c r="W92" s="61">
        <f>IF(B92="","",IF(L92="","",INT((TODAY()-L92)/30.44)))</f>
        <v/>
      </c>
      <c r="X92" s="62">
        <f>IF(B92="","",O92+T92*'Paramètres'!$B$34)</f>
        <v/>
      </c>
      <c r="Y92" s="62">
        <f>IF(B92="","",O92-N(IFERROR(INDEX('Paramètres'!$T$6:$T$15,MATCH(K92,'Paramètres'!$Q$6:$Q$15,0)),0)))</f>
        <v/>
      </c>
      <c r="Z92" s="123">
        <f>IF(B92="","",((COUNTIFS('Saisie'!$C$5:$C$2004,B92,'Saisie'!$E$5:$E$2004,"Onboarding - Contrat")&gt;0)+(COUNTIFS('Saisie'!$C$5:$C$2004,B92,'Saisie'!$E$5:$E$2004,"Onboarding - Accès")&gt;0)+(COUNTIFS('Saisie'!$C$5:$C$2004,B92,'Saisie'!$E$5:$E$2004,"Onboarding - Contenus")&gt;0)+(COUNTIFS('Saisie'!$C$5:$C$2004,B92,'Saisie'!$E$5:$E$2004,"Onboarding - Lancement")&gt;0))/4)</f>
        <v/>
      </c>
      <c r="AA92" s="60">
        <f>IF(B92="","",IF(COUNTIFS('Saisie'!$C$5:$C$2004,B92,'Saisie'!$E$5:$E$2004,"Demande d'avis Google")&gt;0,"Oui","Non"))</f>
        <v/>
      </c>
      <c r="AB92" s="61">
        <f>IF(B92="","",IFERROR(INDEX('Saisie'!$N$5:$N$2004,_xlfn.MAXIFS('Saisie'!$AS$5:$AS$2004,'Saisie'!$C$5:$C$2004,B92,'Saisie'!$E$5:$E$2004,"Satisfaction client")-4)&amp;"",""))</f>
        <v/>
      </c>
      <c r="AC92" s="106">
        <f>IF(B92="","",IFERROR(1/(1/_xlfn.MAXIFS('Saisie'!$A$5:$A$2004,'Saisie'!$C$5:$C$2004,B92,'Saisie'!$E$5:$E$2004,"Résiliation")),""))</f>
        <v/>
      </c>
      <c r="AD92" s="60">
        <f>IF(D92&lt;&gt;"",MAX($AD$4:AD91)+1,"")</f>
        <v/>
      </c>
    </row>
    <row r="93">
      <c r="A93" s="60">
        <f>IF(B93="","","C-"&amp;TEXT(89,"000"))</f>
        <v/>
      </c>
      <c r="B93" s="60">
        <f>IFERROR(INDEX('Prospects'!$C$5:$C$504,MATCH(89,'Prospects'!$BX$5:$BX$504,0)),"")</f>
        <v/>
      </c>
      <c r="C93" s="60">
        <f>IF(B93="","",IF(AC93&lt;&gt;"","Résilié","Actif"))</f>
        <v/>
      </c>
      <c r="D93" s="60">
        <f>IF(B93="","",IF(C93="Résilié","",IF(R93="En retard","Paiement en retard",IF(AND(V93&lt;&gt;"",N(V93)&lt;='Paramètres'!$B$30,N(V93)&gt;=0),"Renouvellement dans "&amp;V93&amp;" j",IF(AND(AA93="Non",TODAY()-N(L93)&gt;='Paramètres'!$B$29),"Demander un avis Google",IF(Z93&lt;1,"Onboarding à terminer",""))))))</f>
        <v/>
      </c>
      <c r="E93" s="60">
        <f>IF(B93="","",INDEX('Prospects'!$J$5:$J$504,MATCH(B93,'Prospects'!$C$5:$C$504,0))&amp;"")</f>
        <v/>
      </c>
      <c r="F93" s="60">
        <f>IF(B93="","",INDEX('Prospects'!$K$5:$K$504,MATCH(B93,'Prospects'!$C$5:$C$504,0))&amp;"")</f>
        <v/>
      </c>
      <c r="G93" s="60">
        <f>IF(B93="","",INDEX('Prospects'!$N$5:$N$504,MATCH(B93,'Prospects'!$C$5:$C$504,0))&amp;"")</f>
        <v/>
      </c>
      <c r="H93" s="60">
        <f>IF(B93="","",INDEX('Prospects'!$S$5:$S$504,MATCH(B93,'Prospects'!$C$5:$C$504,0))&amp;"")</f>
        <v/>
      </c>
      <c r="I93" s="60">
        <f>IF(B93="","",INDEX('Prospects'!$X$5:$X$504,MATCH(B93,'Prospects'!$C$5:$C$504,0))&amp;"")</f>
        <v/>
      </c>
      <c r="J93" s="60">
        <f>IF(B93="","",INDEX('Prospects'!$Y$5:$Y$504,MATCH(B93,'Prospects'!$C$5:$C$504,0))&amp;"")</f>
        <v/>
      </c>
      <c r="K93" s="60">
        <f>IF(B93="","",INDEX('Prospects'!$AN$5:$AN$504,MATCH(B93,'Prospects'!$C$5:$C$504,0))&amp;"")</f>
        <v/>
      </c>
      <c r="L93" s="106">
        <f>IF(B93="","",INDEX('Prospects'!$AT$5:$AT$504,MATCH(B93,'Prospects'!$C$5:$C$504,0)))</f>
        <v/>
      </c>
      <c r="M93" s="62">
        <f>IF(B93="","",SUMIFS('Saisie'!$AW$5:$AW$2004,'Saisie'!$C$5:$C$2004,B93,'Saisie'!$E$5:$E$2004,"Signature"))</f>
        <v/>
      </c>
      <c r="N93" s="62">
        <f>IF(B93="","",SUMIFS('Saisie'!$AW$5:$AW$2004,'Saisie'!$C$5:$C$2004,B93,'Saisie'!$E$5:$E$2004,"Vente additionnelle"))</f>
        <v/>
      </c>
      <c r="O93" s="62">
        <f>IF(B93="","",M93+N93)</f>
        <v/>
      </c>
      <c r="P93" s="62">
        <f>IF(B93="","",SUMIFS('Saisie'!$AW$5:$AW$2004,'Saisie'!$C$5:$C$2004,B93,'Saisie'!$E$5:$E$2004,"Paiement reçu"))</f>
        <v/>
      </c>
      <c r="Q93" s="62">
        <f>IF(B93="","",MAX(0,O93-P93))</f>
        <v/>
      </c>
      <c r="R93" s="60">
        <f>IF(B93="","",IF(O93=0,"",IF(Q93&lt;=0,"Payé",IF(TODAY()-N(L93)&gt;'Paramètres'!$B$27,"En retard",IF(P93&gt;0,"Partiel","En attente")))))</f>
        <v/>
      </c>
      <c r="S93" s="60">
        <f>IF(B93="","",IFERROR(INDEX('Saisie'!$O$5:$O$2004,_xlfn.MAXIFS('Saisie'!$AS$5:$AS$2004,'Saisie'!$C$5:$C$2004,B93,'Saisie'!$O$5:$O$2004,"&lt;&gt;")-4),""))</f>
        <v/>
      </c>
      <c r="T93" s="62">
        <f>IF(B93="","",N(INDEX('Prospects'!$AO$5:$AO$504,MATCH(B93,'Prospects'!$C$5:$C$504,0))))</f>
        <v/>
      </c>
      <c r="U93" s="106">
        <f>IF(B93="","",IF(L93="","",EDATE(L93,'Paramètres'!$B$33)))</f>
        <v/>
      </c>
      <c r="V93" s="61">
        <f>IF(B93="","",IF(U93="","",U93-TODAY()))</f>
        <v/>
      </c>
      <c r="W93" s="61">
        <f>IF(B93="","",IF(L93="","",INT((TODAY()-L93)/30.44)))</f>
        <v/>
      </c>
      <c r="X93" s="62">
        <f>IF(B93="","",O93+T93*'Paramètres'!$B$34)</f>
        <v/>
      </c>
      <c r="Y93" s="62">
        <f>IF(B93="","",O93-N(IFERROR(INDEX('Paramètres'!$T$6:$T$15,MATCH(K93,'Paramètres'!$Q$6:$Q$15,0)),0)))</f>
        <v/>
      </c>
      <c r="Z93" s="123">
        <f>IF(B93="","",((COUNTIFS('Saisie'!$C$5:$C$2004,B93,'Saisie'!$E$5:$E$2004,"Onboarding - Contrat")&gt;0)+(COUNTIFS('Saisie'!$C$5:$C$2004,B93,'Saisie'!$E$5:$E$2004,"Onboarding - Accès")&gt;0)+(COUNTIFS('Saisie'!$C$5:$C$2004,B93,'Saisie'!$E$5:$E$2004,"Onboarding - Contenus")&gt;0)+(COUNTIFS('Saisie'!$C$5:$C$2004,B93,'Saisie'!$E$5:$E$2004,"Onboarding - Lancement")&gt;0))/4)</f>
        <v/>
      </c>
      <c r="AA93" s="60">
        <f>IF(B93="","",IF(COUNTIFS('Saisie'!$C$5:$C$2004,B93,'Saisie'!$E$5:$E$2004,"Demande d'avis Google")&gt;0,"Oui","Non"))</f>
        <v/>
      </c>
      <c r="AB93" s="61">
        <f>IF(B93="","",IFERROR(INDEX('Saisie'!$N$5:$N$2004,_xlfn.MAXIFS('Saisie'!$AS$5:$AS$2004,'Saisie'!$C$5:$C$2004,B93,'Saisie'!$E$5:$E$2004,"Satisfaction client")-4)&amp;"",""))</f>
        <v/>
      </c>
      <c r="AC93" s="106">
        <f>IF(B93="","",IFERROR(1/(1/_xlfn.MAXIFS('Saisie'!$A$5:$A$2004,'Saisie'!$C$5:$C$2004,B93,'Saisie'!$E$5:$E$2004,"Résiliation")),""))</f>
        <v/>
      </c>
      <c r="AD93" s="60">
        <f>IF(D93&lt;&gt;"",MAX($AD$4:AD92)+1,"")</f>
        <v/>
      </c>
    </row>
    <row r="94">
      <c r="A94" s="60">
        <f>IF(B94="","","C-"&amp;TEXT(90,"000"))</f>
        <v/>
      </c>
      <c r="B94" s="60">
        <f>IFERROR(INDEX('Prospects'!$C$5:$C$504,MATCH(90,'Prospects'!$BX$5:$BX$504,0)),"")</f>
        <v/>
      </c>
      <c r="C94" s="60">
        <f>IF(B94="","",IF(AC94&lt;&gt;"","Résilié","Actif"))</f>
        <v/>
      </c>
      <c r="D94" s="60">
        <f>IF(B94="","",IF(C94="Résilié","",IF(R94="En retard","Paiement en retard",IF(AND(V94&lt;&gt;"",N(V94)&lt;='Paramètres'!$B$30,N(V94)&gt;=0),"Renouvellement dans "&amp;V94&amp;" j",IF(AND(AA94="Non",TODAY()-N(L94)&gt;='Paramètres'!$B$29),"Demander un avis Google",IF(Z94&lt;1,"Onboarding à terminer",""))))))</f>
        <v/>
      </c>
      <c r="E94" s="60">
        <f>IF(B94="","",INDEX('Prospects'!$J$5:$J$504,MATCH(B94,'Prospects'!$C$5:$C$504,0))&amp;"")</f>
        <v/>
      </c>
      <c r="F94" s="60">
        <f>IF(B94="","",INDEX('Prospects'!$K$5:$K$504,MATCH(B94,'Prospects'!$C$5:$C$504,0))&amp;"")</f>
        <v/>
      </c>
      <c r="G94" s="60">
        <f>IF(B94="","",INDEX('Prospects'!$N$5:$N$504,MATCH(B94,'Prospects'!$C$5:$C$504,0))&amp;"")</f>
        <v/>
      </c>
      <c r="H94" s="60">
        <f>IF(B94="","",INDEX('Prospects'!$S$5:$S$504,MATCH(B94,'Prospects'!$C$5:$C$504,0))&amp;"")</f>
        <v/>
      </c>
      <c r="I94" s="60">
        <f>IF(B94="","",INDEX('Prospects'!$X$5:$X$504,MATCH(B94,'Prospects'!$C$5:$C$504,0))&amp;"")</f>
        <v/>
      </c>
      <c r="J94" s="60">
        <f>IF(B94="","",INDEX('Prospects'!$Y$5:$Y$504,MATCH(B94,'Prospects'!$C$5:$C$504,0))&amp;"")</f>
        <v/>
      </c>
      <c r="K94" s="60">
        <f>IF(B94="","",INDEX('Prospects'!$AN$5:$AN$504,MATCH(B94,'Prospects'!$C$5:$C$504,0))&amp;"")</f>
        <v/>
      </c>
      <c r="L94" s="106">
        <f>IF(B94="","",INDEX('Prospects'!$AT$5:$AT$504,MATCH(B94,'Prospects'!$C$5:$C$504,0)))</f>
        <v/>
      </c>
      <c r="M94" s="62">
        <f>IF(B94="","",SUMIFS('Saisie'!$AW$5:$AW$2004,'Saisie'!$C$5:$C$2004,B94,'Saisie'!$E$5:$E$2004,"Signature"))</f>
        <v/>
      </c>
      <c r="N94" s="62">
        <f>IF(B94="","",SUMIFS('Saisie'!$AW$5:$AW$2004,'Saisie'!$C$5:$C$2004,B94,'Saisie'!$E$5:$E$2004,"Vente additionnelle"))</f>
        <v/>
      </c>
      <c r="O94" s="62">
        <f>IF(B94="","",M94+N94)</f>
        <v/>
      </c>
      <c r="P94" s="62">
        <f>IF(B94="","",SUMIFS('Saisie'!$AW$5:$AW$2004,'Saisie'!$C$5:$C$2004,B94,'Saisie'!$E$5:$E$2004,"Paiement reçu"))</f>
        <v/>
      </c>
      <c r="Q94" s="62">
        <f>IF(B94="","",MAX(0,O94-P94))</f>
        <v/>
      </c>
      <c r="R94" s="60">
        <f>IF(B94="","",IF(O94=0,"",IF(Q94&lt;=0,"Payé",IF(TODAY()-N(L94)&gt;'Paramètres'!$B$27,"En retard",IF(P94&gt;0,"Partiel","En attente")))))</f>
        <v/>
      </c>
      <c r="S94" s="60">
        <f>IF(B94="","",IFERROR(INDEX('Saisie'!$O$5:$O$2004,_xlfn.MAXIFS('Saisie'!$AS$5:$AS$2004,'Saisie'!$C$5:$C$2004,B94,'Saisie'!$O$5:$O$2004,"&lt;&gt;")-4),""))</f>
        <v/>
      </c>
      <c r="T94" s="62">
        <f>IF(B94="","",N(INDEX('Prospects'!$AO$5:$AO$504,MATCH(B94,'Prospects'!$C$5:$C$504,0))))</f>
        <v/>
      </c>
      <c r="U94" s="106">
        <f>IF(B94="","",IF(L94="","",EDATE(L94,'Paramètres'!$B$33)))</f>
        <v/>
      </c>
      <c r="V94" s="61">
        <f>IF(B94="","",IF(U94="","",U94-TODAY()))</f>
        <v/>
      </c>
      <c r="W94" s="61">
        <f>IF(B94="","",IF(L94="","",INT((TODAY()-L94)/30.44)))</f>
        <v/>
      </c>
      <c r="X94" s="62">
        <f>IF(B94="","",O94+T94*'Paramètres'!$B$34)</f>
        <v/>
      </c>
      <c r="Y94" s="62">
        <f>IF(B94="","",O94-N(IFERROR(INDEX('Paramètres'!$T$6:$T$15,MATCH(K94,'Paramètres'!$Q$6:$Q$15,0)),0)))</f>
        <v/>
      </c>
      <c r="Z94" s="123">
        <f>IF(B94="","",((COUNTIFS('Saisie'!$C$5:$C$2004,B94,'Saisie'!$E$5:$E$2004,"Onboarding - Contrat")&gt;0)+(COUNTIFS('Saisie'!$C$5:$C$2004,B94,'Saisie'!$E$5:$E$2004,"Onboarding - Accès")&gt;0)+(COUNTIFS('Saisie'!$C$5:$C$2004,B94,'Saisie'!$E$5:$E$2004,"Onboarding - Contenus")&gt;0)+(COUNTIFS('Saisie'!$C$5:$C$2004,B94,'Saisie'!$E$5:$E$2004,"Onboarding - Lancement")&gt;0))/4)</f>
        <v/>
      </c>
      <c r="AA94" s="60">
        <f>IF(B94="","",IF(COUNTIFS('Saisie'!$C$5:$C$2004,B94,'Saisie'!$E$5:$E$2004,"Demande d'avis Google")&gt;0,"Oui","Non"))</f>
        <v/>
      </c>
      <c r="AB94" s="61">
        <f>IF(B94="","",IFERROR(INDEX('Saisie'!$N$5:$N$2004,_xlfn.MAXIFS('Saisie'!$AS$5:$AS$2004,'Saisie'!$C$5:$C$2004,B94,'Saisie'!$E$5:$E$2004,"Satisfaction client")-4)&amp;"",""))</f>
        <v/>
      </c>
      <c r="AC94" s="106">
        <f>IF(B94="","",IFERROR(1/(1/_xlfn.MAXIFS('Saisie'!$A$5:$A$2004,'Saisie'!$C$5:$C$2004,B94,'Saisie'!$E$5:$E$2004,"Résiliation")),""))</f>
        <v/>
      </c>
      <c r="AD94" s="60">
        <f>IF(D94&lt;&gt;"",MAX($AD$4:AD93)+1,"")</f>
        <v/>
      </c>
    </row>
    <row r="95">
      <c r="A95" s="60">
        <f>IF(B95="","","C-"&amp;TEXT(91,"000"))</f>
        <v/>
      </c>
      <c r="B95" s="60">
        <f>IFERROR(INDEX('Prospects'!$C$5:$C$504,MATCH(91,'Prospects'!$BX$5:$BX$504,0)),"")</f>
        <v/>
      </c>
      <c r="C95" s="60">
        <f>IF(B95="","",IF(AC95&lt;&gt;"","Résilié","Actif"))</f>
        <v/>
      </c>
      <c r="D95" s="60">
        <f>IF(B95="","",IF(C95="Résilié","",IF(R95="En retard","Paiement en retard",IF(AND(V95&lt;&gt;"",N(V95)&lt;='Paramètres'!$B$30,N(V95)&gt;=0),"Renouvellement dans "&amp;V95&amp;" j",IF(AND(AA95="Non",TODAY()-N(L95)&gt;='Paramètres'!$B$29),"Demander un avis Google",IF(Z95&lt;1,"Onboarding à terminer",""))))))</f>
        <v/>
      </c>
      <c r="E95" s="60">
        <f>IF(B95="","",INDEX('Prospects'!$J$5:$J$504,MATCH(B95,'Prospects'!$C$5:$C$504,0))&amp;"")</f>
        <v/>
      </c>
      <c r="F95" s="60">
        <f>IF(B95="","",INDEX('Prospects'!$K$5:$K$504,MATCH(B95,'Prospects'!$C$5:$C$504,0))&amp;"")</f>
        <v/>
      </c>
      <c r="G95" s="60">
        <f>IF(B95="","",INDEX('Prospects'!$N$5:$N$504,MATCH(B95,'Prospects'!$C$5:$C$504,0))&amp;"")</f>
        <v/>
      </c>
      <c r="H95" s="60">
        <f>IF(B95="","",INDEX('Prospects'!$S$5:$S$504,MATCH(B95,'Prospects'!$C$5:$C$504,0))&amp;"")</f>
        <v/>
      </c>
      <c r="I95" s="60">
        <f>IF(B95="","",INDEX('Prospects'!$X$5:$X$504,MATCH(B95,'Prospects'!$C$5:$C$504,0))&amp;"")</f>
        <v/>
      </c>
      <c r="J95" s="60">
        <f>IF(B95="","",INDEX('Prospects'!$Y$5:$Y$504,MATCH(B95,'Prospects'!$C$5:$C$504,0))&amp;"")</f>
        <v/>
      </c>
      <c r="K95" s="60">
        <f>IF(B95="","",INDEX('Prospects'!$AN$5:$AN$504,MATCH(B95,'Prospects'!$C$5:$C$504,0))&amp;"")</f>
        <v/>
      </c>
      <c r="L95" s="106">
        <f>IF(B95="","",INDEX('Prospects'!$AT$5:$AT$504,MATCH(B95,'Prospects'!$C$5:$C$504,0)))</f>
        <v/>
      </c>
      <c r="M95" s="62">
        <f>IF(B95="","",SUMIFS('Saisie'!$AW$5:$AW$2004,'Saisie'!$C$5:$C$2004,B95,'Saisie'!$E$5:$E$2004,"Signature"))</f>
        <v/>
      </c>
      <c r="N95" s="62">
        <f>IF(B95="","",SUMIFS('Saisie'!$AW$5:$AW$2004,'Saisie'!$C$5:$C$2004,B95,'Saisie'!$E$5:$E$2004,"Vente additionnelle"))</f>
        <v/>
      </c>
      <c r="O95" s="62">
        <f>IF(B95="","",M95+N95)</f>
        <v/>
      </c>
      <c r="P95" s="62">
        <f>IF(B95="","",SUMIFS('Saisie'!$AW$5:$AW$2004,'Saisie'!$C$5:$C$2004,B95,'Saisie'!$E$5:$E$2004,"Paiement reçu"))</f>
        <v/>
      </c>
      <c r="Q95" s="62">
        <f>IF(B95="","",MAX(0,O95-P95))</f>
        <v/>
      </c>
      <c r="R95" s="60">
        <f>IF(B95="","",IF(O95=0,"",IF(Q95&lt;=0,"Payé",IF(TODAY()-N(L95)&gt;'Paramètres'!$B$27,"En retard",IF(P95&gt;0,"Partiel","En attente")))))</f>
        <v/>
      </c>
      <c r="S95" s="60">
        <f>IF(B95="","",IFERROR(INDEX('Saisie'!$O$5:$O$2004,_xlfn.MAXIFS('Saisie'!$AS$5:$AS$2004,'Saisie'!$C$5:$C$2004,B95,'Saisie'!$O$5:$O$2004,"&lt;&gt;")-4),""))</f>
        <v/>
      </c>
      <c r="T95" s="62">
        <f>IF(B95="","",N(INDEX('Prospects'!$AO$5:$AO$504,MATCH(B95,'Prospects'!$C$5:$C$504,0))))</f>
        <v/>
      </c>
      <c r="U95" s="106">
        <f>IF(B95="","",IF(L95="","",EDATE(L95,'Paramètres'!$B$33)))</f>
        <v/>
      </c>
      <c r="V95" s="61">
        <f>IF(B95="","",IF(U95="","",U95-TODAY()))</f>
        <v/>
      </c>
      <c r="W95" s="61">
        <f>IF(B95="","",IF(L95="","",INT((TODAY()-L95)/30.44)))</f>
        <v/>
      </c>
      <c r="X95" s="62">
        <f>IF(B95="","",O95+T95*'Paramètres'!$B$34)</f>
        <v/>
      </c>
      <c r="Y95" s="62">
        <f>IF(B95="","",O95-N(IFERROR(INDEX('Paramètres'!$T$6:$T$15,MATCH(K95,'Paramètres'!$Q$6:$Q$15,0)),0)))</f>
        <v/>
      </c>
      <c r="Z95" s="123">
        <f>IF(B95="","",((COUNTIFS('Saisie'!$C$5:$C$2004,B95,'Saisie'!$E$5:$E$2004,"Onboarding - Contrat")&gt;0)+(COUNTIFS('Saisie'!$C$5:$C$2004,B95,'Saisie'!$E$5:$E$2004,"Onboarding - Accès")&gt;0)+(COUNTIFS('Saisie'!$C$5:$C$2004,B95,'Saisie'!$E$5:$E$2004,"Onboarding - Contenus")&gt;0)+(COUNTIFS('Saisie'!$C$5:$C$2004,B95,'Saisie'!$E$5:$E$2004,"Onboarding - Lancement")&gt;0))/4)</f>
        <v/>
      </c>
      <c r="AA95" s="60">
        <f>IF(B95="","",IF(COUNTIFS('Saisie'!$C$5:$C$2004,B95,'Saisie'!$E$5:$E$2004,"Demande d'avis Google")&gt;0,"Oui","Non"))</f>
        <v/>
      </c>
      <c r="AB95" s="61">
        <f>IF(B95="","",IFERROR(INDEX('Saisie'!$N$5:$N$2004,_xlfn.MAXIFS('Saisie'!$AS$5:$AS$2004,'Saisie'!$C$5:$C$2004,B95,'Saisie'!$E$5:$E$2004,"Satisfaction client")-4)&amp;"",""))</f>
        <v/>
      </c>
      <c r="AC95" s="106">
        <f>IF(B95="","",IFERROR(1/(1/_xlfn.MAXIFS('Saisie'!$A$5:$A$2004,'Saisie'!$C$5:$C$2004,B95,'Saisie'!$E$5:$E$2004,"Résiliation")),""))</f>
        <v/>
      </c>
      <c r="AD95" s="60">
        <f>IF(D95&lt;&gt;"",MAX($AD$4:AD94)+1,"")</f>
        <v/>
      </c>
    </row>
    <row r="96">
      <c r="A96" s="60">
        <f>IF(B96="","","C-"&amp;TEXT(92,"000"))</f>
        <v/>
      </c>
      <c r="B96" s="60">
        <f>IFERROR(INDEX('Prospects'!$C$5:$C$504,MATCH(92,'Prospects'!$BX$5:$BX$504,0)),"")</f>
        <v/>
      </c>
      <c r="C96" s="60">
        <f>IF(B96="","",IF(AC96&lt;&gt;"","Résilié","Actif"))</f>
        <v/>
      </c>
      <c r="D96" s="60">
        <f>IF(B96="","",IF(C96="Résilié","",IF(R96="En retard","Paiement en retard",IF(AND(V96&lt;&gt;"",N(V96)&lt;='Paramètres'!$B$30,N(V96)&gt;=0),"Renouvellement dans "&amp;V96&amp;" j",IF(AND(AA96="Non",TODAY()-N(L96)&gt;='Paramètres'!$B$29),"Demander un avis Google",IF(Z96&lt;1,"Onboarding à terminer",""))))))</f>
        <v/>
      </c>
      <c r="E96" s="60">
        <f>IF(B96="","",INDEX('Prospects'!$J$5:$J$504,MATCH(B96,'Prospects'!$C$5:$C$504,0))&amp;"")</f>
        <v/>
      </c>
      <c r="F96" s="60">
        <f>IF(B96="","",INDEX('Prospects'!$K$5:$K$504,MATCH(B96,'Prospects'!$C$5:$C$504,0))&amp;"")</f>
        <v/>
      </c>
      <c r="G96" s="60">
        <f>IF(B96="","",INDEX('Prospects'!$N$5:$N$504,MATCH(B96,'Prospects'!$C$5:$C$504,0))&amp;"")</f>
        <v/>
      </c>
      <c r="H96" s="60">
        <f>IF(B96="","",INDEX('Prospects'!$S$5:$S$504,MATCH(B96,'Prospects'!$C$5:$C$504,0))&amp;"")</f>
        <v/>
      </c>
      <c r="I96" s="60">
        <f>IF(B96="","",INDEX('Prospects'!$X$5:$X$504,MATCH(B96,'Prospects'!$C$5:$C$504,0))&amp;"")</f>
        <v/>
      </c>
      <c r="J96" s="60">
        <f>IF(B96="","",INDEX('Prospects'!$Y$5:$Y$504,MATCH(B96,'Prospects'!$C$5:$C$504,0))&amp;"")</f>
        <v/>
      </c>
      <c r="K96" s="60">
        <f>IF(B96="","",INDEX('Prospects'!$AN$5:$AN$504,MATCH(B96,'Prospects'!$C$5:$C$504,0))&amp;"")</f>
        <v/>
      </c>
      <c r="L96" s="106">
        <f>IF(B96="","",INDEX('Prospects'!$AT$5:$AT$504,MATCH(B96,'Prospects'!$C$5:$C$504,0)))</f>
        <v/>
      </c>
      <c r="M96" s="62">
        <f>IF(B96="","",SUMIFS('Saisie'!$AW$5:$AW$2004,'Saisie'!$C$5:$C$2004,B96,'Saisie'!$E$5:$E$2004,"Signature"))</f>
        <v/>
      </c>
      <c r="N96" s="62">
        <f>IF(B96="","",SUMIFS('Saisie'!$AW$5:$AW$2004,'Saisie'!$C$5:$C$2004,B96,'Saisie'!$E$5:$E$2004,"Vente additionnelle"))</f>
        <v/>
      </c>
      <c r="O96" s="62">
        <f>IF(B96="","",M96+N96)</f>
        <v/>
      </c>
      <c r="P96" s="62">
        <f>IF(B96="","",SUMIFS('Saisie'!$AW$5:$AW$2004,'Saisie'!$C$5:$C$2004,B96,'Saisie'!$E$5:$E$2004,"Paiement reçu"))</f>
        <v/>
      </c>
      <c r="Q96" s="62">
        <f>IF(B96="","",MAX(0,O96-P96))</f>
        <v/>
      </c>
      <c r="R96" s="60">
        <f>IF(B96="","",IF(O96=0,"",IF(Q96&lt;=0,"Payé",IF(TODAY()-N(L96)&gt;'Paramètres'!$B$27,"En retard",IF(P96&gt;0,"Partiel","En attente")))))</f>
        <v/>
      </c>
      <c r="S96" s="60">
        <f>IF(B96="","",IFERROR(INDEX('Saisie'!$O$5:$O$2004,_xlfn.MAXIFS('Saisie'!$AS$5:$AS$2004,'Saisie'!$C$5:$C$2004,B96,'Saisie'!$O$5:$O$2004,"&lt;&gt;")-4),""))</f>
        <v/>
      </c>
      <c r="T96" s="62">
        <f>IF(B96="","",N(INDEX('Prospects'!$AO$5:$AO$504,MATCH(B96,'Prospects'!$C$5:$C$504,0))))</f>
        <v/>
      </c>
      <c r="U96" s="106">
        <f>IF(B96="","",IF(L96="","",EDATE(L96,'Paramètres'!$B$33)))</f>
        <v/>
      </c>
      <c r="V96" s="61">
        <f>IF(B96="","",IF(U96="","",U96-TODAY()))</f>
        <v/>
      </c>
      <c r="W96" s="61">
        <f>IF(B96="","",IF(L96="","",INT((TODAY()-L96)/30.44)))</f>
        <v/>
      </c>
      <c r="X96" s="62">
        <f>IF(B96="","",O96+T96*'Paramètres'!$B$34)</f>
        <v/>
      </c>
      <c r="Y96" s="62">
        <f>IF(B96="","",O96-N(IFERROR(INDEX('Paramètres'!$T$6:$T$15,MATCH(K96,'Paramètres'!$Q$6:$Q$15,0)),0)))</f>
        <v/>
      </c>
      <c r="Z96" s="123">
        <f>IF(B96="","",((COUNTIFS('Saisie'!$C$5:$C$2004,B96,'Saisie'!$E$5:$E$2004,"Onboarding - Contrat")&gt;0)+(COUNTIFS('Saisie'!$C$5:$C$2004,B96,'Saisie'!$E$5:$E$2004,"Onboarding - Accès")&gt;0)+(COUNTIFS('Saisie'!$C$5:$C$2004,B96,'Saisie'!$E$5:$E$2004,"Onboarding - Contenus")&gt;0)+(COUNTIFS('Saisie'!$C$5:$C$2004,B96,'Saisie'!$E$5:$E$2004,"Onboarding - Lancement")&gt;0))/4)</f>
        <v/>
      </c>
      <c r="AA96" s="60">
        <f>IF(B96="","",IF(COUNTIFS('Saisie'!$C$5:$C$2004,B96,'Saisie'!$E$5:$E$2004,"Demande d'avis Google")&gt;0,"Oui","Non"))</f>
        <v/>
      </c>
      <c r="AB96" s="61">
        <f>IF(B96="","",IFERROR(INDEX('Saisie'!$N$5:$N$2004,_xlfn.MAXIFS('Saisie'!$AS$5:$AS$2004,'Saisie'!$C$5:$C$2004,B96,'Saisie'!$E$5:$E$2004,"Satisfaction client")-4)&amp;"",""))</f>
        <v/>
      </c>
      <c r="AC96" s="106">
        <f>IF(B96="","",IFERROR(1/(1/_xlfn.MAXIFS('Saisie'!$A$5:$A$2004,'Saisie'!$C$5:$C$2004,B96,'Saisie'!$E$5:$E$2004,"Résiliation")),""))</f>
        <v/>
      </c>
      <c r="AD96" s="60">
        <f>IF(D96&lt;&gt;"",MAX($AD$4:AD95)+1,"")</f>
        <v/>
      </c>
    </row>
    <row r="97">
      <c r="A97" s="60">
        <f>IF(B97="","","C-"&amp;TEXT(93,"000"))</f>
        <v/>
      </c>
      <c r="B97" s="60">
        <f>IFERROR(INDEX('Prospects'!$C$5:$C$504,MATCH(93,'Prospects'!$BX$5:$BX$504,0)),"")</f>
        <v/>
      </c>
      <c r="C97" s="60">
        <f>IF(B97="","",IF(AC97&lt;&gt;"","Résilié","Actif"))</f>
        <v/>
      </c>
      <c r="D97" s="60">
        <f>IF(B97="","",IF(C97="Résilié","",IF(R97="En retard","Paiement en retard",IF(AND(V97&lt;&gt;"",N(V97)&lt;='Paramètres'!$B$30,N(V97)&gt;=0),"Renouvellement dans "&amp;V97&amp;" j",IF(AND(AA97="Non",TODAY()-N(L97)&gt;='Paramètres'!$B$29),"Demander un avis Google",IF(Z97&lt;1,"Onboarding à terminer",""))))))</f>
        <v/>
      </c>
      <c r="E97" s="60">
        <f>IF(B97="","",INDEX('Prospects'!$J$5:$J$504,MATCH(B97,'Prospects'!$C$5:$C$504,0))&amp;"")</f>
        <v/>
      </c>
      <c r="F97" s="60">
        <f>IF(B97="","",INDEX('Prospects'!$K$5:$K$504,MATCH(B97,'Prospects'!$C$5:$C$504,0))&amp;"")</f>
        <v/>
      </c>
      <c r="G97" s="60">
        <f>IF(B97="","",INDEX('Prospects'!$N$5:$N$504,MATCH(B97,'Prospects'!$C$5:$C$504,0))&amp;"")</f>
        <v/>
      </c>
      <c r="H97" s="60">
        <f>IF(B97="","",INDEX('Prospects'!$S$5:$S$504,MATCH(B97,'Prospects'!$C$5:$C$504,0))&amp;"")</f>
        <v/>
      </c>
      <c r="I97" s="60">
        <f>IF(B97="","",INDEX('Prospects'!$X$5:$X$504,MATCH(B97,'Prospects'!$C$5:$C$504,0))&amp;"")</f>
        <v/>
      </c>
      <c r="J97" s="60">
        <f>IF(B97="","",INDEX('Prospects'!$Y$5:$Y$504,MATCH(B97,'Prospects'!$C$5:$C$504,0))&amp;"")</f>
        <v/>
      </c>
      <c r="K97" s="60">
        <f>IF(B97="","",INDEX('Prospects'!$AN$5:$AN$504,MATCH(B97,'Prospects'!$C$5:$C$504,0))&amp;"")</f>
        <v/>
      </c>
      <c r="L97" s="106">
        <f>IF(B97="","",INDEX('Prospects'!$AT$5:$AT$504,MATCH(B97,'Prospects'!$C$5:$C$504,0)))</f>
        <v/>
      </c>
      <c r="M97" s="62">
        <f>IF(B97="","",SUMIFS('Saisie'!$AW$5:$AW$2004,'Saisie'!$C$5:$C$2004,B97,'Saisie'!$E$5:$E$2004,"Signature"))</f>
        <v/>
      </c>
      <c r="N97" s="62">
        <f>IF(B97="","",SUMIFS('Saisie'!$AW$5:$AW$2004,'Saisie'!$C$5:$C$2004,B97,'Saisie'!$E$5:$E$2004,"Vente additionnelle"))</f>
        <v/>
      </c>
      <c r="O97" s="62">
        <f>IF(B97="","",M97+N97)</f>
        <v/>
      </c>
      <c r="P97" s="62">
        <f>IF(B97="","",SUMIFS('Saisie'!$AW$5:$AW$2004,'Saisie'!$C$5:$C$2004,B97,'Saisie'!$E$5:$E$2004,"Paiement reçu"))</f>
        <v/>
      </c>
      <c r="Q97" s="62">
        <f>IF(B97="","",MAX(0,O97-P97))</f>
        <v/>
      </c>
      <c r="R97" s="60">
        <f>IF(B97="","",IF(O97=0,"",IF(Q97&lt;=0,"Payé",IF(TODAY()-N(L97)&gt;'Paramètres'!$B$27,"En retard",IF(P97&gt;0,"Partiel","En attente")))))</f>
        <v/>
      </c>
      <c r="S97" s="60">
        <f>IF(B97="","",IFERROR(INDEX('Saisie'!$O$5:$O$2004,_xlfn.MAXIFS('Saisie'!$AS$5:$AS$2004,'Saisie'!$C$5:$C$2004,B97,'Saisie'!$O$5:$O$2004,"&lt;&gt;")-4),""))</f>
        <v/>
      </c>
      <c r="T97" s="62">
        <f>IF(B97="","",N(INDEX('Prospects'!$AO$5:$AO$504,MATCH(B97,'Prospects'!$C$5:$C$504,0))))</f>
        <v/>
      </c>
      <c r="U97" s="106">
        <f>IF(B97="","",IF(L97="","",EDATE(L97,'Paramètres'!$B$33)))</f>
        <v/>
      </c>
      <c r="V97" s="61">
        <f>IF(B97="","",IF(U97="","",U97-TODAY()))</f>
        <v/>
      </c>
      <c r="W97" s="61">
        <f>IF(B97="","",IF(L97="","",INT((TODAY()-L97)/30.44)))</f>
        <v/>
      </c>
      <c r="X97" s="62">
        <f>IF(B97="","",O97+T97*'Paramètres'!$B$34)</f>
        <v/>
      </c>
      <c r="Y97" s="62">
        <f>IF(B97="","",O97-N(IFERROR(INDEX('Paramètres'!$T$6:$T$15,MATCH(K97,'Paramètres'!$Q$6:$Q$15,0)),0)))</f>
        <v/>
      </c>
      <c r="Z97" s="123">
        <f>IF(B97="","",((COUNTIFS('Saisie'!$C$5:$C$2004,B97,'Saisie'!$E$5:$E$2004,"Onboarding - Contrat")&gt;0)+(COUNTIFS('Saisie'!$C$5:$C$2004,B97,'Saisie'!$E$5:$E$2004,"Onboarding - Accès")&gt;0)+(COUNTIFS('Saisie'!$C$5:$C$2004,B97,'Saisie'!$E$5:$E$2004,"Onboarding - Contenus")&gt;0)+(COUNTIFS('Saisie'!$C$5:$C$2004,B97,'Saisie'!$E$5:$E$2004,"Onboarding - Lancement")&gt;0))/4)</f>
        <v/>
      </c>
      <c r="AA97" s="60">
        <f>IF(B97="","",IF(COUNTIFS('Saisie'!$C$5:$C$2004,B97,'Saisie'!$E$5:$E$2004,"Demande d'avis Google")&gt;0,"Oui","Non"))</f>
        <v/>
      </c>
      <c r="AB97" s="61">
        <f>IF(B97="","",IFERROR(INDEX('Saisie'!$N$5:$N$2004,_xlfn.MAXIFS('Saisie'!$AS$5:$AS$2004,'Saisie'!$C$5:$C$2004,B97,'Saisie'!$E$5:$E$2004,"Satisfaction client")-4)&amp;"",""))</f>
        <v/>
      </c>
      <c r="AC97" s="106">
        <f>IF(B97="","",IFERROR(1/(1/_xlfn.MAXIFS('Saisie'!$A$5:$A$2004,'Saisie'!$C$5:$C$2004,B97,'Saisie'!$E$5:$E$2004,"Résiliation")),""))</f>
        <v/>
      </c>
      <c r="AD97" s="60">
        <f>IF(D97&lt;&gt;"",MAX($AD$4:AD96)+1,"")</f>
        <v/>
      </c>
    </row>
    <row r="98">
      <c r="A98" s="60">
        <f>IF(B98="","","C-"&amp;TEXT(94,"000"))</f>
        <v/>
      </c>
      <c r="B98" s="60">
        <f>IFERROR(INDEX('Prospects'!$C$5:$C$504,MATCH(94,'Prospects'!$BX$5:$BX$504,0)),"")</f>
        <v/>
      </c>
      <c r="C98" s="60">
        <f>IF(B98="","",IF(AC98&lt;&gt;"","Résilié","Actif"))</f>
        <v/>
      </c>
      <c r="D98" s="60">
        <f>IF(B98="","",IF(C98="Résilié","",IF(R98="En retard","Paiement en retard",IF(AND(V98&lt;&gt;"",N(V98)&lt;='Paramètres'!$B$30,N(V98)&gt;=0),"Renouvellement dans "&amp;V98&amp;" j",IF(AND(AA98="Non",TODAY()-N(L98)&gt;='Paramètres'!$B$29),"Demander un avis Google",IF(Z98&lt;1,"Onboarding à terminer",""))))))</f>
        <v/>
      </c>
      <c r="E98" s="60">
        <f>IF(B98="","",INDEX('Prospects'!$J$5:$J$504,MATCH(B98,'Prospects'!$C$5:$C$504,0))&amp;"")</f>
        <v/>
      </c>
      <c r="F98" s="60">
        <f>IF(B98="","",INDEX('Prospects'!$K$5:$K$504,MATCH(B98,'Prospects'!$C$5:$C$504,0))&amp;"")</f>
        <v/>
      </c>
      <c r="G98" s="60">
        <f>IF(B98="","",INDEX('Prospects'!$N$5:$N$504,MATCH(B98,'Prospects'!$C$5:$C$504,0))&amp;"")</f>
        <v/>
      </c>
      <c r="H98" s="60">
        <f>IF(B98="","",INDEX('Prospects'!$S$5:$S$504,MATCH(B98,'Prospects'!$C$5:$C$504,0))&amp;"")</f>
        <v/>
      </c>
      <c r="I98" s="60">
        <f>IF(B98="","",INDEX('Prospects'!$X$5:$X$504,MATCH(B98,'Prospects'!$C$5:$C$504,0))&amp;"")</f>
        <v/>
      </c>
      <c r="J98" s="60">
        <f>IF(B98="","",INDEX('Prospects'!$Y$5:$Y$504,MATCH(B98,'Prospects'!$C$5:$C$504,0))&amp;"")</f>
        <v/>
      </c>
      <c r="K98" s="60">
        <f>IF(B98="","",INDEX('Prospects'!$AN$5:$AN$504,MATCH(B98,'Prospects'!$C$5:$C$504,0))&amp;"")</f>
        <v/>
      </c>
      <c r="L98" s="106">
        <f>IF(B98="","",INDEX('Prospects'!$AT$5:$AT$504,MATCH(B98,'Prospects'!$C$5:$C$504,0)))</f>
        <v/>
      </c>
      <c r="M98" s="62">
        <f>IF(B98="","",SUMIFS('Saisie'!$AW$5:$AW$2004,'Saisie'!$C$5:$C$2004,B98,'Saisie'!$E$5:$E$2004,"Signature"))</f>
        <v/>
      </c>
      <c r="N98" s="62">
        <f>IF(B98="","",SUMIFS('Saisie'!$AW$5:$AW$2004,'Saisie'!$C$5:$C$2004,B98,'Saisie'!$E$5:$E$2004,"Vente additionnelle"))</f>
        <v/>
      </c>
      <c r="O98" s="62">
        <f>IF(B98="","",M98+N98)</f>
        <v/>
      </c>
      <c r="P98" s="62">
        <f>IF(B98="","",SUMIFS('Saisie'!$AW$5:$AW$2004,'Saisie'!$C$5:$C$2004,B98,'Saisie'!$E$5:$E$2004,"Paiement reçu"))</f>
        <v/>
      </c>
      <c r="Q98" s="62">
        <f>IF(B98="","",MAX(0,O98-P98))</f>
        <v/>
      </c>
      <c r="R98" s="60">
        <f>IF(B98="","",IF(O98=0,"",IF(Q98&lt;=0,"Payé",IF(TODAY()-N(L98)&gt;'Paramètres'!$B$27,"En retard",IF(P98&gt;0,"Partiel","En attente")))))</f>
        <v/>
      </c>
      <c r="S98" s="60">
        <f>IF(B98="","",IFERROR(INDEX('Saisie'!$O$5:$O$2004,_xlfn.MAXIFS('Saisie'!$AS$5:$AS$2004,'Saisie'!$C$5:$C$2004,B98,'Saisie'!$O$5:$O$2004,"&lt;&gt;")-4),""))</f>
        <v/>
      </c>
      <c r="T98" s="62">
        <f>IF(B98="","",N(INDEX('Prospects'!$AO$5:$AO$504,MATCH(B98,'Prospects'!$C$5:$C$504,0))))</f>
        <v/>
      </c>
      <c r="U98" s="106">
        <f>IF(B98="","",IF(L98="","",EDATE(L98,'Paramètres'!$B$33)))</f>
        <v/>
      </c>
      <c r="V98" s="61">
        <f>IF(B98="","",IF(U98="","",U98-TODAY()))</f>
        <v/>
      </c>
      <c r="W98" s="61">
        <f>IF(B98="","",IF(L98="","",INT((TODAY()-L98)/30.44)))</f>
        <v/>
      </c>
      <c r="X98" s="62">
        <f>IF(B98="","",O98+T98*'Paramètres'!$B$34)</f>
        <v/>
      </c>
      <c r="Y98" s="62">
        <f>IF(B98="","",O98-N(IFERROR(INDEX('Paramètres'!$T$6:$T$15,MATCH(K98,'Paramètres'!$Q$6:$Q$15,0)),0)))</f>
        <v/>
      </c>
      <c r="Z98" s="123">
        <f>IF(B98="","",((COUNTIFS('Saisie'!$C$5:$C$2004,B98,'Saisie'!$E$5:$E$2004,"Onboarding - Contrat")&gt;0)+(COUNTIFS('Saisie'!$C$5:$C$2004,B98,'Saisie'!$E$5:$E$2004,"Onboarding - Accès")&gt;0)+(COUNTIFS('Saisie'!$C$5:$C$2004,B98,'Saisie'!$E$5:$E$2004,"Onboarding - Contenus")&gt;0)+(COUNTIFS('Saisie'!$C$5:$C$2004,B98,'Saisie'!$E$5:$E$2004,"Onboarding - Lancement")&gt;0))/4)</f>
        <v/>
      </c>
      <c r="AA98" s="60">
        <f>IF(B98="","",IF(COUNTIFS('Saisie'!$C$5:$C$2004,B98,'Saisie'!$E$5:$E$2004,"Demande d'avis Google")&gt;0,"Oui","Non"))</f>
        <v/>
      </c>
      <c r="AB98" s="61">
        <f>IF(B98="","",IFERROR(INDEX('Saisie'!$N$5:$N$2004,_xlfn.MAXIFS('Saisie'!$AS$5:$AS$2004,'Saisie'!$C$5:$C$2004,B98,'Saisie'!$E$5:$E$2004,"Satisfaction client")-4)&amp;"",""))</f>
        <v/>
      </c>
      <c r="AC98" s="106">
        <f>IF(B98="","",IFERROR(1/(1/_xlfn.MAXIFS('Saisie'!$A$5:$A$2004,'Saisie'!$C$5:$C$2004,B98,'Saisie'!$E$5:$E$2004,"Résiliation")),""))</f>
        <v/>
      </c>
      <c r="AD98" s="60">
        <f>IF(D98&lt;&gt;"",MAX($AD$4:AD97)+1,"")</f>
        <v/>
      </c>
    </row>
    <row r="99">
      <c r="A99" s="60">
        <f>IF(B99="","","C-"&amp;TEXT(95,"000"))</f>
        <v/>
      </c>
      <c r="B99" s="60">
        <f>IFERROR(INDEX('Prospects'!$C$5:$C$504,MATCH(95,'Prospects'!$BX$5:$BX$504,0)),"")</f>
        <v/>
      </c>
      <c r="C99" s="60">
        <f>IF(B99="","",IF(AC99&lt;&gt;"","Résilié","Actif"))</f>
        <v/>
      </c>
      <c r="D99" s="60">
        <f>IF(B99="","",IF(C99="Résilié","",IF(R99="En retard","Paiement en retard",IF(AND(V99&lt;&gt;"",N(V99)&lt;='Paramètres'!$B$30,N(V99)&gt;=0),"Renouvellement dans "&amp;V99&amp;" j",IF(AND(AA99="Non",TODAY()-N(L99)&gt;='Paramètres'!$B$29),"Demander un avis Google",IF(Z99&lt;1,"Onboarding à terminer",""))))))</f>
        <v/>
      </c>
      <c r="E99" s="60">
        <f>IF(B99="","",INDEX('Prospects'!$J$5:$J$504,MATCH(B99,'Prospects'!$C$5:$C$504,0))&amp;"")</f>
        <v/>
      </c>
      <c r="F99" s="60">
        <f>IF(B99="","",INDEX('Prospects'!$K$5:$K$504,MATCH(B99,'Prospects'!$C$5:$C$504,0))&amp;"")</f>
        <v/>
      </c>
      <c r="G99" s="60">
        <f>IF(B99="","",INDEX('Prospects'!$N$5:$N$504,MATCH(B99,'Prospects'!$C$5:$C$504,0))&amp;"")</f>
        <v/>
      </c>
      <c r="H99" s="60">
        <f>IF(B99="","",INDEX('Prospects'!$S$5:$S$504,MATCH(B99,'Prospects'!$C$5:$C$504,0))&amp;"")</f>
        <v/>
      </c>
      <c r="I99" s="60">
        <f>IF(B99="","",INDEX('Prospects'!$X$5:$X$504,MATCH(B99,'Prospects'!$C$5:$C$504,0))&amp;"")</f>
        <v/>
      </c>
      <c r="J99" s="60">
        <f>IF(B99="","",INDEX('Prospects'!$Y$5:$Y$504,MATCH(B99,'Prospects'!$C$5:$C$504,0))&amp;"")</f>
        <v/>
      </c>
      <c r="K99" s="60">
        <f>IF(B99="","",INDEX('Prospects'!$AN$5:$AN$504,MATCH(B99,'Prospects'!$C$5:$C$504,0))&amp;"")</f>
        <v/>
      </c>
      <c r="L99" s="106">
        <f>IF(B99="","",INDEX('Prospects'!$AT$5:$AT$504,MATCH(B99,'Prospects'!$C$5:$C$504,0)))</f>
        <v/>
      </c>
      <c r="M99" s="62">
        <f>IF(B99="","",SUMIFS('Saisie'!$AW$5:$AW$2004,'Saisie'!$C$5:$C$2004,B99,'Saisie'!$E$5:$E$2004,"Signature"))</f>
        <v/>
      </c>
      <c r="N99" s="62">
        <f>IF(B99="","",SUMIFS('Saisie'!$AW$5:$AW$2004,'Saisie'!$C$5:$C$2004,B99,'Saisie'!$E$5:$E$2004,"Vente additionnelle"))</f>
        <v/>
      </c>
      <c r="O99" s="62">
        <f>IF(B99="","",M99+N99)</f>
        <v/>
      </c>
      <c r="P99" s="62">
        <f>IF(B99="","",SUMIFS('Saisie'!$AW$5:$AW$2004,'Saisie'!$C$5:$C$2004,B99,'Saisie'!$E$5:$E$2004,"Paiement reçu"))</f>
        <v/>
      </c>
      <c r="Q99" s="62">
        <f>IF(B99="","",MAX(0,O99-P99))</f>
        <v/>
      </c>
      <c r="R99" s="60">
        <f>IF(B99="","",IF(O99=0,"",IF(Q99&lt;=0,"Payé",IF(TODAY()-N(L99)&gt;'Paramètres'!$B$27,"En retard",IF(P99&gt;0,"Partiel","En attente")))))</f>
        <v/>
      </c>
      <c r="S99" s="60">
        <f>IF(B99="","",IFERROR(INDEX('Saisie'!$O$5:$O$2004,_xlfn.MAXIFS('Saisie'!$AS$5:$AS$2004,'Saisie'!$C$5:$C$2004,B99,'Saisie'!$O$5:$O$2004,"&lt;&gt;")-4),""))</f>
        <v/>
      </c>
      <c r="T99" s="62">
        <f>IF(B99="","",N(INDEX('Prospects'!$AO$5:$AO$504,MATCH(B99,'Prospects'!$C$5:$C$504,0))))</f>
        <v/>
      </c>
      <c r="U99" s="106">
        <f>IF(B99="","",IF(L99="","",EDATE(L99,'Paramètres'!$B$33)))</f>
        <v/>
      </c>
      <c r="V99" s="61">
        <f>IF(B99="","",IF(U99="","",U99-TODAY()))</f>
        <v/>
      </c>
      <c r="W99" s="61">
        <f>IF(B99="","",IF(L99="","",INT((TODAY()-L99)/30.44)))</f>
        <v/>
      </c>
      <c r="X99" s="62">
        <f>IF(B99="","",O99+T99*'Paramètres'!$B$34)</f>
        <v/>
      </c>
      <c r="Y99" s="62">
        <f>IF(B99="","",O99-N(IFERROR(INDEX('Paramètres'!$T$6:$T$15,MATCH(K99,'Paramètres'!$Q$6:$Q$15,0)),0)))</f>
        <v/>
      </c>
      <c r="Z99" s="123">
        <f>IF(B99="","",((COUNTIFS('Saisie'!$C$5:$C$2004,B99,'Saisie'!$E$5:$E$2004,"Onboarding - Contrat")&gt;0)+(COUNTIFS('Saisie'!$C$5:$C$2004,B99,'Saisie'!$E$5:$E$2004,"Onboarding - Accès")&gt;0)+(COUNTIFS('Saisie'!$C$5:$C$2004,B99,'Saisie'!$E$5:$E$2004,"Onboarding - Contenus")&gt;0)+(COUNTIFS('Saisie'!$C$5:$C$2004,B99,'Saisie'!$E$5:$E$2004,"Onboarding - Lancement")&gt;0))/4)</f>
        <v/>
      </c>
      <c r="AA99" s="60">
        <f>IF(B99="","",IF(COUNTIFS('Saisie'!$C$5:$C$2004,B99,'Saisie'!$E$5:$E$2004,"Demande d'avis Google")&gt;0,"Oui","Non"))</f>
        <v/>
      </c>
      <c r="AB99" s="61">
        <f>IF(B99="","",IFERROR(INDEX('Saisie'!$N$5:$N$2004,_xlfn.MAXIFS('Saisie'!$AS$5:$AS$2004,'Saisie'!$C$5:$C$2004,B99,'Saisie'!$E$5:$E$2004,"Satisfaction client")-4)&amp;"",""))</f>
        <v/>
      </c>
      <c r="AC99" s="106">
        <f>IF(B99="","",IFERROR(1/(1/_xlfn.MAXIFS('Saisie'!$A$5:$A$2004,'Saisie'!$C$5:$C$2004,B99,'Saisie'!$E$5:$E$2004,"Résiliation")),""))</f>
        <v/>
      </c>
      <c r="AD99" s="60">
        <f>IF(D99&lt;&gt;"",MAX($AD$4:AD98)+1,"")</f>
        <v/>
      </c>
    </row>
    <row r="100">
      <c r="A100" s="60">
        <f>IF(B100="","","C-"&amp;TEXT(96,"000"))</f>
        <v/>
      </c>
      <c r="B100" s="60">
        <f>IFERROR(INDEX('Prospects'!$C$5:$C$504,MATCH(96,'Prospects'!$BX$5:$BX$504,0)),"")</f>
        <v/>
      </c>
      <c r="C100" s="60">
        <f>IF(B100="","",IF(AC100&lt;&gt;"","Résilié","Actif"))</f>
        <v/>
      </c>
      <c r="D100" s="60">
        <f>IF(B100="","",IF(C100="Résilié","",IF(R100="En retard","Paiement en retard",IF(AND(V100&lt;&gt;"",N(V100)&lt;='Paramètres'!$B$30,N(V100)&gt;=0),"Renouvellement dans "&amp;V100&amp;" j",IF(AND(AA100="Non",TODAY()-N(L100)&gt;='Paramètres'!$B$29),"Demander un avis Google",IF(Z100&lt;1,"Onboarding à terminer",""))))))</f>
        <v/>
      </c>
      <c r="E100" s="60">
        <f>IF(B100="","",INDEX('Prospects'!$J$5:$J$504,MATCH(B100,'Prospects'!$C$5:$C$504,0))&amp;"")</f>
        <v/>
      </c>
      <c r="F100" s="60">
        <f>IF(B100="","",INDEX('Prospects'!$K$5:$K$504,MATCH(B100,'Prospects'!$C$5:$C$504,0))&amp;"")</f>
        <v/>
      </c>
      <c r="G100" s="60">
        <f>IF(B100="","",INDEX('Prospects'!$N$5:$N$504,MATCH(B100,'Prospects'!$C$5:$C$504,0))&amp;"")</f>
        <v/>
      </c>
      <c r="H100" s="60">
        <f>IF(B100="","",INDEX('Prospects'!$S$5:$S$504,MATCH(B100,'Prospects'!$C$5:$C$504,0))&amp;"")</f>
        <v/>
      </c>
      <c r="I100" s="60">
        <f>IF(B100="","",INDEX('Prospects'!$X$5:$X$504,MATCH(B100,'Prospects'!$C$5:$C$504,0))&amp;"")</f>
        <v/>
      </c>
      <c r="J100" s="60">
        <f>IF(B100="","",INDEX('Prospects'!$Y$5:$Y$504,MATCH(B100,'Prospects'!$C$5:$C$504,0))&amp;"")</f>
        <v/>
      </c>
      <c r="K100" s="60">
        <f>IF(B100="","",INDEX('Prospects'!$AN$5:$AN$504,MATCH(B100,'Prospects'!$C$5:$C$504,0))&amp;"")</f>
        <v/>
      </c>
      <c r="L100" s="106">
        <f>IF(B100="","",INDEX('Prospects'!$AT$5:$AT$504,MATCH(B100,'Prospects'!$C$5:$C$504,0)))</f>
        <v/>
      </c>
      <c r="M100" s="62">
        <f>IF(B100="","",SUMIFS('Saisie'!$AW$5:$AW$2004,'Saisie'!$C$5:$C$2004,B100,'Saisie'!$E$5:$E$2004,"Signature"))</f>
        <v/>
      </c>
      <c r="N100" s="62">
        <f>IF(B100="","",SUMIFS('Saisie'!$AW$5:$AW$2004,'Saisie'!$C$5:$C$2004,B100,'Saisie'!$E$5:$E$2004,"Vente additionnelle"))</f>
        <v/>
      </c>
      <c r="O100" s="62">
        <f>IF(B100="","",M100+N100)</f>
        <v/>
      </c>
      <c r="P100" s="62">
        <f>IF(B100="","",SUMIFS('Saisie'!$AW$5:$AW$2004,'Saisie'!$C$5:$C$2004,B100,'Saisie'!$E$5:$E$2004,"Paiement reçu"))</f>
        <v/>
      </c>
      <c r="Q100" s="62">
        <f>IF(B100="","",MAX(0,O100-P100))</f>
        <v/>
      </c>
      <c r="R100" s="60">
        <f>IF(B100="","",IF(O100=0,"",IF(Q100&lt;=0,"Payé",IF(TODAY()-N(L100)&gt;'Paramètres'!$B$27,"En retard",IF(P100&gt;0,"Partiel","En attente")))))</f>
        <v/>
      </c>
      <c r="S100" s="60">
        <f>IF(B100="","",IFERROR(INDEX('Saisie'!$O$5:$O$2004,_xlfn.MAXIFS('Saisie'!$AS$5:$AS$2004,'Saisie'!$C$5:$C$2004,B100,'Saisie'!$O$5:$O$2004,"&lt;&gt;")-4),""))</f>
        <v/>
      </c>
      <c r="T100" s="62">
        <f>IF(B100="","",N(INDEX('Prospects'!$AO$5:$AO$504,MATCH(B100,'Prospects'!$C$5:$C$504,0))))</f>
        <v/>
      </c>
      <c r="U100" s="106">
        <f>IF(B100="","",IF(L100="","",EDATE(L100,'Paramètres'!$B$33)))</f>
        <v/>
      </c>
      <c r="V100" s="61">
        <f>IF(B100="","",IF(U100="","",U100-TODAY()))</f>
        <v/>
      </c>
      <c r="W100" s="61">
        <f>IF(B100="","",IF(L100="","",INT((TODAY()-L100)/30.44)))</f>
        <v/>
      </c>
      <c r="X100" s="62">
        <f>IF(B100="","",O100+T100*'Paramètres'!$B$34)</f>
        <v/>
      </c>
      <c r="Y100" s="62">
        <f>IF(B100="","",O100-N(IFERROR(INDEX('Paramètres'!$T$6:$T$15,MATCH(K100,'Paramètres'!$Q$6:$Q$15,0)),0)))</f>
        <v/>
      </c>
      <c r="Z100" s="123">
        <f>IF(B100="","",((COUNTIFS('Saisie'!$C$5:$C$2004,B100,'Saisie'!$E$5:$E$2004,"Onboarding - Contrat")&gt;0)+(COUNTIFS('Saisie'!$C$5:$C$2004,B100,'Saisie'!$E$5:$E$2004,"Onboarding - Accès")&gt;0)+(COUNTIFS('Saisie'!$C$5:$C$2004,B100,'Saisie'!$E$5:$E$2004,"Onboarding - Contenus")&gt;0)+(COUNTIFS('Saisie'!$C$5:$C$2004,B100,'Saisie'!$E$5:$E$2004,"Onboarding - Lancement")&gt;0))/4)</f>
        <v/>
      </c>
      <c r="AA100" s="60">
        <f>IF(B100="","",IF(COUNTIFS('Saisie'!$C$5:$C$2004,B100,'Saisie'!$E$5:$E$2004,"Demande d'avis Google")&gt;0,"Oui","Non"))</f>
        <v/>
      </c>
      <c r="AB100" s="61">
        <f>IF(B100="","",IFERROR(INDEX('Saisie'!$N$5:$N$2004,_xlfn.MAXIFS('Saisie'!$AS$5:$AS$2004,'Saisie'!$C$5:$C$2004,B100,'Saisie'!$E$5:$E$2004,"Satisfaction client")-4)&amp;"",""))</f>
        <v/>
      </c>
      <c r="AC100" s="106">
        <f>IF(B100="","",IFERROR(1/(1/_xlfn.MAXIFS('Saisie'!$A$5:$A$2004,'Saisie'!$C$5:$C$2004,B100,'Saisie'!$E$5:$E$2004,"Résiliation")),""))</f>
        <v/>
      </c>
      <c r="AD100" s="60">
        <f>IF(D100&lt;&gt;"",MAX($AD$4:AD99)+1,"")</f>
        <v/>
      </c>
    </row>
    <row r="101">
      <c r="A101" s="60">
        <f>IF(B101="","","C-"&amp;TEXT(97,"000"))</f>
        <v/>
      </c>
      <c r="B101" s="60">
        <f>IFERROR(INDEX('Prospects'!$C$5:$C$504,MATCH(97,'Prospects'!$BX$5:$BX$504,0)),"")</f>
        <v/>
      </c>
      <c r="C101" s="60">
        <f>IF(B101="","",IF(AC101&lt;&gt;"","Résilié","Actif"))</f>
        <v/>
      </c>
      <c r="D101" s="60">
        <f>IF(B101="","",IF(C101="Résilié","",IF(R101="En retard","Paiement en retard",IF(AND(V101&lt;&gt;"",N(V101)&lt;='Paramètres'!$B$30,N(V101)&gt;=0),"Renouvellement dans "&amp;V101&amp;" j",IF(AND(AA101="Non",TODAY()-N(L101)&gt;='Paramètres'!$B$29),"Demander un avis Google",IF(Z101&lt;1,"Onboarding à terminer",""))))))</f>
        <v/>
      </c>
      <c r="E101" s="60">
        <f>IF(B101="","",INDEX('Prospects'!$J$5:$J$504,MATCH(B101,'Prospects'!$C$5:$C$504,0))&amp;"")</f>
        <v/>
      </c>
      <c r="F101" s="60">
        <f>IF(B101="","",INDEX('Prospects'!$K$5:$K$504,MATCH(B101,'Prospects'!$C$5:$C$504,0))&amp;"")</f>
        <v/>
      </c>
      <c r="G101" s="60">
        <f>IF(B101="","",INDEX('Prospects'!$N$5:$N$504,MATCH(B101,'Prospects'!$C$5:$C$504,0))&amp;"")</f>
        <v/>
      </c>
      <c r="H101" s="60">
        <f>IF(B101="","",INDEX('Prospects'!$S$5:$S$504,MATCH(B101,'Prospects'!$C$5:$C$504,0))&amp;"")</f>
        <v/>
      </c>
      <c r="I101" s="60">
        <f>IF(B101="","",INDEX('Prospects'!$X$5:$X$504,MATCH(B101,'Prospects'!$C$5:$C$504,0))&amp;"")</f>
        <v/>
      </c>
      <c r="J101" s="60">
        <f>IF(B101="","",INDEX('Prospects'!$Y$5:$Y$504,MATCH(B101,'Prospects'!$C$5:$C$504,0))&amp;"")</f>
        <v/>
      </c>
      <c r="K101" s="60">
        <f>IF(B101="","",INDEX('Prospects'!$AN$5:$AN$504,MATCH(B101,'Prospects'!$C$5:$C$504,0))&amp;"")</f>
        <v/>
      </c>
      <c r="L101" s="106">
        <f>IF(B101="","",INDEX('Prospects'!$AT$5:$AT$504,MATCH(B101,'Prospects'!$C$5:$C$504,0)))</f>
        <v/>
      </c>
      <c r="M101" s="62">
        <f>IF(B101="","",SUMIFS('Saisie'!$AW$5:$AW$2004,'Saisie'!$C$5:$C$2004,B101,'Saisie'!$E$5:$E$2004,"Signature"))</f>
        <v/>
      </c>
      <c r="N101" s="62">
        <f>IF(B101="","",SUMIFS('Saisie'!$AW$5:$AW$2004,'Saisie'!$C$5:$C$2004,B101,'Saisie'!$E$5:$E$2004,"Vente additionnelle"))</f>
        <v/>
      </c>
      <c r="O101" s="62">
        <f>IF(B101="","",M101+N101)</f>
        <v/>
      </c>
      <c r="P101" s="62">
        <f>IF(B101="","",SUMIFS('Saisie'!$AW$5:$AW$2004,'Saisie'!$C$5:$C$2004,B101,'Saisie'!$E$5:$E$2004,"Paiement reçu"))</f>
        <v/>
      </c>
      <c r="Q101" s="62">
        <f>IF(B101="","",MAX(0,O101-P101))</f>
        <v/>
      </c>
      <c r="R101" s="60">
        <f>IF(B101="","",IF(O101=0,"",IF(Q101&lt;=0,"Payé",IF(TODAY()-N(L101)&gt;'Paramètres'!$B$27,"En retard",IF(P101&gt;0,"Partiel","En attente")))))</f>
        <v/>
      </c>
      <c r="S101" s="60">
        <f>IF(B101="","",IFERROR(INDEX('Saisie'!$O$5:$O$2004,_xlfn.MAXIFS('Saisie'!$AS$5:$AS$2004,'Saisie'!$C$5:$C$2004,B101,'Saisie'!$O$5:$O$2004,"&lt;&gt;")-4),""))</f>
        <v/>
      </c>
      <c r="T101" s="62">
        <f>IF(B101="","",N(INDEX('Prospects'!$AO$5:$AO$504,MATCH(B101,'Prospects'!$C$5:$C$504,0))))</f>
        <v/>
      </c>
      <c r="U101" s="106">
        <f>IF(B101="","",IF(L101="","",EDATE(L101,'Paramètres'!$B$33)))</f>
        <v/>
      </c>
      <c r="V101" s="61">
        <f>IF(B101="","",IF(U101="","",U101-TODAY()))</f>
        <v/>
      </c>
      <c r="W101" s="61">
        <f>IF(B101="","",IF(L101="","",INT((TODAY()-L101)/30.44)))</f>
        <v/>
      </c>
      <c r="X101" s="62">
        <f>IF(B101="","",O101+T101*'Paramètres'!$B$34)</f>
        <v/>
      </c>
      <c r="Y101" s="62">
        <f>IF(B101="","",O101-N(IFERROR(INDEX('Paramètres'!$T$6:$T$15,MATCH(K101,'Paramètres'!$Q$6:$Q$15,0)),0)))</f>
        <v/>
      </c>
      <c r="Z101" s="123">
        <f>IF(B101="","",((COUNTIFS('Saisie'!$C$5:$C$2004,B101,'Saisie'!$E$5:$E$2004,"Onboarding - Contrat")&gt;0)+(COUNTIFS('Saisie'!$C$5:$C$2004,B101,'Saisie'!$E$5:$E$2004,"Onboarding - Accès")&gt;0)+(COUNTIFS('Saisie'!$C$5:$C$2004,B101,'Saisie'!$E$5:$E$2004,"Onboarding - Contenus")&gt;0)+(COUNTIFS('Saisie'!$C$5:$C$2004,B101,'Saisie'!$E$5:$E$2004,"Onboarding - Lancement")&gt;0))/4)</f>
        <v/>
      </c>
      <c r="AA101" s="60">
        <f>IF(B101="","",IF(COUNTIFS('Saisie'!$C$5:$C$2004,B101,'Saisie'!$E$5:$E$2004,"Demande d'avis Google")&gt;0,"Oui","Non"))</f>
        <v/>
      </c>
      <c r="AB101" s="61">
        <f>IF(B101="","",IFERROR(INDEX('Saisie'!$N$5:$N$2004,_xlfn.MAXIFS('Saisie'!$AS$5:$AS$2004,'Saisie'!$C$5:$C$2004,B101,'Saisie'!$E$5:$E$2004,"Satisfaction client")-4)&amp;"",""))</f>
        <v/>
      </c>
      <c r="AC101" s="106">
        <f>IF(B101="","",IFERROR(1/(1/_xlfn.MAXIFS('Saisie'!$A$5:$A$2004,'Saisie'!$C$5:$C$2004,B101,'Saisie'!$E$5:$E$2004,"Résiliation")),""))</f>
        <v/>
      </c>
      <c r="AD101" s="60">
        <f>IF(D101&lt;&gt;"",MAX($AD$4:AD100)+1,"")</f>
        <v/>
      </c>
    </row>
    <row r="102">
      <c r="A102" s="60">
        <f>IF(B102="","","C-"&amp;TEXT(98,"000"))</f>
        <v/>
      </c>
      <c r="B102" s="60">
        <f>IFERROR(INDEX('Prospects'!$C$5:$C$504,MATCH(98,'Prospects'!$BX$5:$BX$504,0)),"")</f>
        <v/>
      </c>
      <c r="C102" s="60">
        <f>IF(B102="","",IF(AC102&lt;&gt;"","Résilié","Actif"))</f>
        <v/>
      </c>
      <c r="D102" s="60">
        <f>IF(B102="","",IF(C102="Résilié","",IF(R102="En retard","Paiement en retard",IF(AND(V102&lt;&gt;"",N(V102)&lt;='Paramètres'!$B$30,N(V102)&gt;=0),"Renouvellement dans "&amp;V102&amp;" j",IF(AND(AA102="Non",TODAY()-N(L102)&gt;='Paramètres'!$B$29),"Demander un avis Google",IF(Z102&lt;1,"Onboarding à terminer",""))))))</f>
        <v/>
      </c>
      <c r="E102" s="60">
        <f>IF(B102="","",INDEX('Prospects'!$J$5:$J$504,MATCH(B102,'Prospects'!$C$5:$C$504,0))&amp;"")</f>
        <v/>
      </c>
      <c r="F102" s="60">
        <f>IF(B102="","",INDEX('Prospects'!$K$5:$K$504,MATCH(B102,'Prospects'!$C$5:$C$504,0))&amp;"")</f>
        <v/>
      </c>
      <c r="G102" s="60">
        <f>IF(B102="","",INDEX('Prospects'!$N$5:$N$504,MATCH(B102,'Prospects'!$C$5:$C$504,0))&amp;"")</f>
        <v/>
      </c>
      <c r="H102" s="60">
        <f>IF(B102="","",INDEX('Prospects'!$S$5:$S$504,MATCH(B102,'Prospects'!$C$5:$C$504,0))&amp;"")</f>
        <v/>
      </c>
      <c r="I102" s="60">
        <f>IF(B102="","",INDEX('Prospects'!$X$5:$X$504,MATCH(B102,'Prospects'!$C$5:$C$504,0))&amp;"")</f>
        <v/>
      </c>
      <c r="J102" s="60">
        <f>IF(B102="","",INDEX('Prospects'!$Y$5:$Y$504,MATCH(B102,'Prospects'!$C$5:$C$504,0))&amp;"")</f>
        <v/>
      </c>
      <c r="K102" s="60">
        <f>IF(B102="","",INDEX('Prospects'!$AN$5:$AN$504,MATCH(B102,'Prospects'!$C$5:$C$504,0))&amp;"")</f>
        <v/>
      </c>
      <c r="L102" s="106">
        <f>IF(B102="","",INDEX('Prospects'!$AT$5:$AT$504,MATCH(B102,'Prospects'!$C$5:$C$504,0)))</f>
        <v/>
      </c>
      <c r="M102" s="62">
        <f>IF(B102="","",SUMIFS('Saisie'!$AW$5:$AW$2004,'Saisie'!$C$5:$C$2004,B102,'Saisie'!$E$5:$E$2004,"Signature"))</f>
        <v/>
      </c>
      <c r="N102" s="62">
        <f>IF(B102="","",SUMIFS('Saisie'!$AW$5:$AW$2004,'Saisie'!$C$5:$C$2004,B102,'Saisie'!$E$5:$E$2004,"Vente additionnelle"))</f>
        <v/>
      </c>
      <c r="O102" s="62">
        <f>IF(B102="","",M102+N102)</f>
        <v/>
      </c>
      <c r="P102" s="62">
        <f>IF(B102="","",SUMIFS('Saisie'!$AW$5:$AW$2004,'Saisie'!$C$5:$C$2004,B102,'Saisie'!$E$5:$E$2004,"Paiement reçu"))</f>
        <v/>
      </c>
      <c r="Q102" s="62">
        <f>IF(B102="","",MAX(0,O102-P102))</f>
        <v/>
      </c>
      <c r="R102" s="60">
        <f>IF(B102="","",IF(O102=0,"",IF(Q102&lt;=0,"Payé",IF(TODAY()-N(L102)&gt;'Paramètres'!$B$27,"En retard",IF(P102&gt;0,"Partiel","En attente")))))</f>
        <v/>
      </c>
      <c r="S102" s="60">
        <f>IF(B102="","",IFERROR(INDEX('Saisie'!$O$5:$O$2004,_xlfn.MAXIFS('Saisie'!$AS$5:$AS$2004,'Saisie'!$C$5:$C$2004,B102,'Saisie'!$O$5:$O$2004,"&lt;&gt;")-4),""))</f>
        <v/>
      </c>
      <c r="T102" s="62">
        <f>IF(B102="","",N(INDEX('Prospects'!$AO$5:$AO$504,MATCH(B102,'Prospects'!$C$5:$C$504,0))))</f>
        <v/>
      </c>
      <c r="U102" s="106">
        <f>IF(B102="","",IF(L102="","",EDATE(L102,'Paramètres'!$B$33)))</f>
        <v/>
      </c>
      <c r="V102" s="61">
        <f>IF(B102="","",IF(U102="","",U102-TODAY()))</f>
        <v/>
      </c>
      <c r="W102" s="61">
        <f>IF(B102="","",IF(L102="","",INT((TODAY()-L102)/30.44)))</f>
        <v/>
      </c>
      <c r="X102" s="62">
        <f>IF(B102="","",O102+T102*'Paramètres'!$B$34)</f>
        <v/>
      </c>
      <c r="Y102" s="62">
        <f>IF(B102="","",O102-N(IFERROR(INDEX('Paramètres'!$T$6:$T$15,MATCH(K102,'Paramètres'!$Q$6:$Q$15,0)),0)))</f>
        <v/>
      </c>
      <c r="Z102" s="123">
        <f>IF(B102="","",((COUNTIFS('Saisie'!$C$5:$C$2004,B102,'Saisie'!$E$5:$E$2004,"Onboarding - Contrat")&gt;0)+(COUNTIFS('Saisie'!$C$5:$C$2004,B102,'Saisie'!$E$5:$E$2004,"Onboarding - Accès")&gt;0)+(COUNTIFS('Saisie'!$C$5:$C$2004,B102,'Saisie'!$E$5:$E$2004,"Onboarding - Contenus")&gt;0)+(COUNTIFS('Saisie'!$C$5:$C$2004,B102,'Saisie'!$E$5:$E$2004,"Onboarding - Lancement")&gt;0))/4)</f>
        <v/>
      </c>
      <c r="AA102" s="60">
        <f>IF(B102="","",IF(COUNTIFS('Saisie'!$C$5:$C$2004,B102,'Saisie'!$E$5:$E$2004,"Demande d'avis Google")&gt;0,"Oui","Non"))</f>
        <v/>
      </c>
      <c r="AB102" s="61">
        <f>IF(B102="","",IFERROR(INDEX('Saisie'!$N$5:$N$2004,_xlfn.MAXIFS('Saisie'!$AS$5:$AS$2004,'Saisie'!$C$5:$C$2004,B102,'Saisie'!$E$5:$E$2004,"Satisfaction client")-4)&amp;"",""))</f>
        <v/>
      </c>
      <c r="AC102" s="106">
        <f>IF(B102="","",IFERROR(1/(1/_xlfn.MAXIFS('Saisie'!$A$5:$A$2004,'Saisie'!$C$5:$C$2004,B102,'Saisie'!$E$5:$E$2004,"Résiliation")),""))</f>
        <v/>
      </c>
      <c r="AD102" s="60">
        <f>IF(D102&lt;&gt;"",MAX($AD$4:AD101)+1,"")</f>
        <v/>
      </c>
    </row>
    <row r="103">
      <c r="A103" s="60">
        <f>IF(B103="","","C-"&amp;TEXT(99,"000"))</f>
        <v/>
      </c>
      <c r="B103" s="60">
        <f>IFERROR(INDEX('Prospects'!$C$5:$C$504,MATCH(99,'Prospects'!$BX$5:$BX$504,0)),"")</f>
        <v/>
      </c>
      <c r="C103" s="60">
        <f>IF(B103="","",IF(AC103&lt;&gt;"","Résilié","Actif"))</f>
        <v/>
      </c>
      <c r="D103" s="60">
        <f>IF(B103="","",IF(C103="Résilié","",IF(R103="En retard","Paiement en retard",IF(AND(V103&lt;&gt;"",N(V103)&lt;='Paramètres'!$B$30,N(V103)&gt;=0),"Renouvellement dans "&amp;V103&amp;" j",IF(AND(AA103="Non",TODAY()-N(L103)&gt;='Paramètres'!$B$29),"Demander un avis Google",IF(Z103&lt;1,"Onboarding à terminer",""))))))</f>
        <v/>
      </c>
      <c r="E103" s="60">
        <f>IF(B103="","",INDEX('Prospects'!$J$5:$J$504,MATCH(B103,'Prospects'!$C$5:$C$504,0))&amp;"")</f>
        <v/>
      </c>
      <c r="F103" s="60">
        <f>IF(B103="","",INDEX('Prospects'!$K$5:$K$504,MATCH(B103,'Prospects'!$C$5:$C$504,0))&amp;"")</f>
        <v/>
      </c>
      <c r="G103" s="60">
        <f>IF(B103="","",INDEX('Prospects'!$N$5:$N$504,MATCH(B103,'Prospects'!$C$5:$C$504,0))&amp;"")</f>
        <v/>
      </c>
      <c r="H103" s="60">
        <f>IF(B103="","",INDEX('Prospects'!$S$5:$S$504,MATCH(B103,'Prospects'!$C$5:$C$504,0))&amp;"")</f>
        <v/>
      </c>
      <c r="I103" s="60">
        <f>IF(B103="","",INDEX('Prospects'!$X$5:$X$504,MATCH(B103,'Prospects'!$C$5:$C$504,0))&amp;"")</f>
        <v/>
      </c>
      <c r="J103" s="60">
        <f>IF(B103="","",INDEX('Prospects'!$Y$5:$Y$504,MATCH(B103,'Prospects'!$C$5:$C$504,0))&amp;"")</f>
        <v/>
      </c>
      <c r="K103" s="60">
        <f>IF(B103="","",INDEX('Prospects'!$AN$5:$AN$504,MATCH(B103,'Prospects'!$C$5:$C$504,0))&amp;"")</f>
        <v/>
      </c>
      <c r="L103" s="106">
        <f>IF(B103="","",INDEX('Prospects'!$AT$5:$AT$504,MATCH(B103,'Prospects'!$C$5:$C$504,0)))</f>
        <v/>
      </c>
      <c r="M103" s="62">
        <f>IF(B103="","",SUMIFS('Saisie'!$AW$5:$AW$2004,'Saisie'!$C$5:$C$2004,B103,'Saisie'!$E$5:$E$2004,"Signature"))</f>
        <v/>
      </c>
      <c r="N103" s="62">
        <f>IF(B103="","",SUMIFS('Saisie'!$AW$5:$AW$2004,'Saisie'!$C$5:$C$2004,B103,'Saisie'!$E$5:$E$2004,"Vente additionnelle"))</f>
        <v/>
      </c>
      <c r="O103" s="62">
        <f>IF(B103="","",M103+N103)</f>
        <v/>
      </c>
      <c r="P103" s="62">
        <f>IF(B103="","",SUMIFS('Saisie'!$AW$5:$AW$2004,'Saisie'!$C$5:$C$2004,B103,'Saisie'!$E$5:$E$2004,"Paiement reçu"))</f>
        <v/>
      </c>
      <c r="Q103" s="62">
        <f>IF(B103="","",MAX(0,O103-P103))</f>
        <v/>
      </c>
      <c r="R103" s="60">
        <f>IF(B103="","",IF(O103=0,"",IF(Q103&lt;=0,"Payé",IF(TODAY()-N(L103)&gt;'Paramètres'!$B$27,"En retard",IF(P103&gt;0,"Partiel","En attente")))))</f>
        <v/>
      </c>
      <c r="S103" s="60">
        <f>IF(B103="","",IFERROR(INDEX('Saisie'!$O$5:$O$2004,_xlfn.MAXIFS('Saisie'!$AS$5:$AS$2004,'Saisie'!$C$5:$C$2004,B103,'Saisie'!$O$5:$O$2004,"&lt;&gt;")-4),""))</f>
        <v/>
      </c>
      <c r="T103" s="62">
        <f>IF(B103="","",N(INDEX('Prospects'!$AO$5:$AO$504,MATCH(B103,'Prospects'!$C$5:$C$504,0))))</f>
        <v/>
      </c>
      <c r="U103" s="106">
        <f>IF(B103="","",IF(L103="","",EDATE(L103,'Paramètres'!$B$33)))</f>
        <v/>
      </c>
      <c r="V103" s="61">
        <f>IF(B103="","",IF(U103="","",U103-TODAY()))</f>
        <v/>
      </c>
      <c r="W103" s="61">
        <f>IF(B103="","",IF(L103="","",INT((TODAY()-L103)/30.44)))</f>
        <v/>
      </c>
      <c r="X103" s="62">
        <f>IF(B103="","",O103+T103*'Paramètres'!$B$34)</f>
        <v/>
      </c>
      <c r="Y103" s="62">
        <f>IF(B103="","",O103-N(IFERROR(INDEX('Paramètres'!$T$6:$T$15,MATCH(K103,'Paramètres'!$Q$6:$Q$15,0)),0)))</f>
        <v/>
      </c>
      <c r="Z103" s="123">
        <f>IF(B103="","",((COUNTIFS('Saisie'!$C$5:$C$2004,B103,'Saisie'!$E$5:$E$2004,"Onboarding - Contrat")&gt;0)+(COUNTIFS('Saisie'!$C$5:$C$2004,B103,'Saisie'!$E$5:$E$2004,"Onboarding - Accès")&gt;0)+(COUNTIFS('Saisie'!$C$5:$C$2004,B103,'Saisie'!$E$5:$E$2004,"Onboarding - Contenus")&gt;0)+(COUNTIFS('Saisie'!$C$5:$C$2004,B103,'Saisie'!$E$5:$E$2004,"Onboarding - Lancement")&gt;0))/4)</f>
        <v/>
      </c>
      <c r="AA103" s="60">
        <f>IF(B103="","",IF(COUNTIFS('Saisie'!$C$5:$C$2004,B103,'Saisie'!$E$5:$E$2004,"Demande d'avis Google")&gt;0,"Oui","Non"))</f>
        <v/>
      </c>
      <c r="AB103" s="61">
        <f>IF(B103="","",IFERROR(INDEX('Saisie'!$N$5:$N$2004,_xlfn.MAXIFS('Saisie'!$AS$5:$AS$2004,'Saisie'!$C$5:$C$2004,B103,'Saisie'!$E$5:$E$2004,"Satisfaction client")-4)&amp;"",""))</f>
        <v/>
      </c>
      <c r="AC103" s="106">
        <f>IF(B103="","",IFERROR(1/(1/_xlfn.MAXIFS('Saisie'!$A$5:$A$2004,'Saisie'!$C$5:$C$2004,B103,'Saisie'!$E$5:$E$2004,"Résiliation")),""))</f>
        <v/>
      </c>
      <c r="AD103" s="60">
        <f>IF(D103&lt;&gt;"",MAX($AD$4:AD102)+1,"")</f>
        <v/>
      </c>
    </row>
    <row r="104">
      <c r="A104" s="60">
        <f>IF(B104="","","C-"&amp;TEXT(100,"000"))</f>
        <v/>
      </c>
      <c r="B104" s="60">
        <f>IFERROR(INDEX('Prospects'!$C$5:$C$504,MATCH(100,'Prospects'!$BX$5:$BX$504,0)),"")</f>
        <v/>
      </c>
      <c r="C104" s="60">
        <f>IF(B104="","",IF(AC104&lt;&gt;"","Résilié","Actif"))</f>
        <v/>
      </c>
      <c r="D104" s="60">
        <f>IF(B104="","",IF(C104="Résilié","",IF(R104="En retard","Paiement en retard",IF(AND(V104&lt;&gt;"",N(V104)&lt;='Paramètres'!$B$30,N(V104)&gt;=0),"Renouvellement dans "&amp;V104&amp;" j",IF(AND(AA104="Non",TODAY()-N(L104)&gt;='Paramètres'!$B$29),"Demander un avis Google",IF(Z104&lt;1,"Onboarding à terminer",""))))))</f>
        <v/>
      </c>
      <c r="E104" s="60">
        <f>IF(B104="","",INDEX('Prospects'!$J$5:$J$504,MATCH(B104,'Prospects'!$C$5:$C$504,0))&amp;"")</f>
        <v/>
      </c>
      <c r="F104" s="60">
        <f>IF(B104="","",INDEX('Prospects'!$K$5:$K$504,MATCH(B104,'Prospects'!$C$5:$C$504,0))&amp;"")</f>
        <v/>
      </c>
      <c r="G104" s="60">
        <f>IF(B104="","",INDEX('Prospects'!$N$5:$N$504,MATCH(B104,'Prospects'!$C$5:$C$504,0))&amp;"")</f>
        <v/>
      </c>
      <c r="H104" s="60">
        <f>IF(B104="","",INDEX('Prospects'!$S$5:$S$504,MATCH(B104,'Prospects'!$C$5:$C$504,0))&amp;"")</f>
        <v/>
      </c>
      <c r="I104" s="60">
        <f>IF(B104="","",INDEX('Prospects'!$X$5:$X$504,MATCH(B104,'Prospects'!$C$5:$C$504,0))&amp;"")</f>
        <v/>
      </c>
      <c r="J104" s="60">
        <f>IF(B104="","",INDEX('Prospects'!$Y$5:$Y$504,MATCH(B104,'Prospects'!$C$5:$C$504,0))&amp;"")</f>
        <v/>
      </c>
      <c r="K104" s="60">
        <f>IF(B104="","",INDEX('Prospects'!$AN$5:$AN$504,MATCH(B104,'Prospects'!$C$5:$C$504,0))&amp;"")</f>
        <v/>
      </c>
      <c r="L104" s="106">
        <f>IF(B104="","",INDEX('Prospects'!$AT$5:$AT$504,MATCH(B104,'Prospects'!$C$5:$C$504,0)))</f>
        <v/>
      </c>
      <c r="M104" s="62">
        <f>IF(B104="","",SUMIFS('Saisie'!$AW$5:$AW$2004,'Saisie'!$C$5:$C$2004,B104,'Saisie'!$E$5:$E$2004,"Signature"))</f>
        <v/>
      </c>
      <c r="N104" s="62">
        <f>IF(B104="","",SUMIFS('Saisie'!$AW$5:$AW$2004,'Saisie'!$C$5:$C$2004,B104,'Saisie'!$E$5:$E$2004,"Vente additionnelle"))</f>
        <v/>
      </c>
      <c r="O104" s="62">
        <f>IF(B104="","",M104+N104)</f>
        <v/>
      </c>
      <c r="P104" s="62">
        <f>IF(B104="","",SUMIFS('Saisie'!$AW$5:$AW$2004,'Saisie'!$C$5:$C$2004,B104,'Saisie'!$E$5:$E$2004,"Paiement reçu"))</f>
        <v/>
      </c>
      <c r="Q104" s="62">
        <f>IF(B104="","",MAX(0,O104-P104))</f>
        <v/>
      </c>
      <c r="R104" s="60">
        <f>IF(B104="","",IF(O104=0,"",IF(Q104&lt;=0,"Payé",IF(TODAY()-N(L104)&gt;'Paramètres'!$B$27,"En retard",IF(P104&gt;0,"Partiel","En attente")))))</f>
        <v/>
      </c>
      <c r="S104" s="60">
        <f>IF(B104="","",IFERROR(INDEX('Saisie'!$O$5:$O$2004,_xlfn.MAXIFS('Saisie'!$AS$5:$AS$2004,'Saisie'!$C$5:$C$2004,B104,'Saisie'!$O$5:$O$2004,"&lt;&gt;")-4),""))</f>
        <v/>
      </c>
      <c r="T104" s="62">
        <f>IF(B104="","",N(INDEX('Prospects'!$AO$5:$AO$504,MATCH(B104,'Prospects'!$C$5:$C$504,0))))</f>
        <v/>
      </c>
      <c r="U104" s="106">
        <f>IF(B104="","",IF(L104="","",EDATE(L104,'Paramètres'!$B$33)))</f>
        <v/>
      </c>
      <c r="V104" s="61">
        <f>IF(B104="","",IF(U104="","",U104-TODAY()))</f>
        <v/>
      </c>
      <c r="W104" s="61">
        <f>IF(B104="","",IF(L104="","",INT((TODAY()-L104)/30.44)))</f>
        <v/>
      </c>
      <c r="X104" s="62">
        <f>IF(B104="","",O104+T104*'Paramètres'!$B$34)</f>
        <v/>
      </c>
      <c r="Y104" s="62">
        <f>IF(B104="","",O104-N(IFERROR(INDEX('Paramètres'!$T$6:$T$15,MATCH(K104,'Paramètres'!$Q$6:$Q$15,0)),0)))</f>
        <v/>
      </c>
      <c r="Z104" s="123">
        <f>IF(B104="","",((COUNTIFS('Saisie'!$C$5:$C$2004,B104,'Saisie'!$E$5:$E$2004,"Onboarding - Contrat")&gt;0)+(COUNTIFS('Saisie'!$C$5:$C$2004,B104,'Saisie'!$E$5:$E$2004,"Onboarding - Accès")&gt;0)+(COUNTIFS('Saisie'!$C$5:$C$2004,B104,'Saisie'!$E$5:$E$2004,"Onboarding - Contenus")&gt;0)+(COUNTIFS('Saisie'!$C$5:$C$2004,B104,'Saisie'!$E$5:$E$2004,"Onboarding - Lancement")&gt;0))/4)</f>
        <v/>
      </c>
      <c r="AA104" s="60">
        <f>IF(B104="","",IF(COUNTIFS('Saisie'!$C$5:$C$2004,B104,'Saisie'!$E$5:$E$2004,"Demande d'avis Google")&gt;0,"Oui","Non"))</f>
        <v/>
      </c>
      <c r="AB104" s="61">
        <f>IF(B104="","",IFERROR(INDEX('Saisie'!$N$5:$N$2004,_xlfn.MAXIFS('Saisie'!$AS$5:$AS$2004,'Saisie'!$C$5:$C$2004,B104,'Saisie'!$E$5:$E$2004,"Satisfaction client")-4)&amp;"",""))</f>
        <v/>
      </c>
      <c r="AC104" s="106">
        <f>IF(B104="","",IFERROR(1/(1/_xlfn.MAXIFS('Saisie'!$A$5:$A$2004,'Saisie'!$C$5:$C$2004,B104,'Saisie'!$E$5:$E$2004,"Résiliation")),""))</f>
        <v/>
      </c>
      <c r="AD104" s="60">
        <f>IF(D104&lt;&gt;"",MAX($AD$4:AD103)+1,"")</f>
        <v/>
      </c>
    </row>
    <row r="105">
      <c r="A105" s="60">
        <f>IF(B105="","","C-"&amp;TEXT(101,"000"))</f>
        <v/>
      </c>
      <c r="B105" s="60">
        <f>IFERROR(INDEX('Prospects'!$C$5:$C$504,MATCH(101,'Prospects'!$BX$5:$BX$504,0)),"")</f>
        <v/>
      </c>
      <c r="C105" s="60">
        <f>IF(B105="","",IF(AC105&lt;&gt;"","Résilié","Actif"))</f>
        <v/>
      </c>
      <c r="D105" s="60">
        <f>IF(B105="","",IF(C105="Résilié","",IF(R105="En retard","Paiement en retard",IF(AND(V105&lt;&gt;"",N(V105)&lt;='Paramètres'!$B$30,N(V105)&gt;=0),"Renouvellement dans "&amp;V105&amp;" j",IF(AND(AA105="Non",TODAY()-N(L105)&gt;='Paramètres'!$B$29),"Demander un avis Google",IF(Z105&lt;1,"Onboarding à terminer",""))))))</f>
        <v/>
      </c>
      <c r="E105" s="60">
        <f>IF(B105="","",INDEX('Prospects'!$J$5:$J$504,MATCH(B105,'Prospects'!$C$5:$C$504,0))&amp;"")</f>
        <v/>
      </c>
      <c r="F105" s="60">
        <f>IF(B105="","",INDEX('Prospects'!$K$5:$K$504,MATCH(B105,'Prospects'!$C$5:$C$504,0))&amp;"")</f>
        <v/>
      </c>
      <c r="G105" s="60">
        <f>IF(B105="","",INDEX('Prospects'!$N$5:$N$504,MATCH(B105,'Prospects'!$C$5:$C$504,0))&amp;"")</f>
        <v/>
      </c>
      <c r="H105" s="60">
        <f>IF(B105="","",INDEX('Prospects'!$S$5:$S$504,MATCH(B105,'Prospects'!$C$5:$C$504,0))&amp;"")</f>
        <v/>
      </c>
      <c r="I105" s="60">
        <f>IF(B105="","",INDEX('Prospects'!$X$5:$X$504,MATCH(B105,'Prospects'!$C$5:$C$504,0))&amp;"")</f>
        <v/>
      </c>
      <c r="J105" s="60">
        <f>IF(B105="","",INDEX('Prospects'!$Y$5:$Y$504,MATCH(B105,'Prospects'!$C$5:$C$504,0))&amp;"")</f>
        <v/>
      </c>
      <c r="K105" s="60">
        <f>IF(B105="","",INDEX('Prospects'!$AN$5:$AN$504,MATCH(B105,'Prospects'!$C$5:$C$504,0))&amp;"")</f>
        <v/>
      </c>
      <c r="L105" s="106">
        <f>IF(B105="","",INDEX('Prospects'!$AT$5:$AT$504,MATCH(B105,'Prospects'!$C$5:$C$504,0)))</f>
        <v/>
      </c>
      <c r="M105" s="62">
        <f>IF(B105="","",SUMIFS('Saisie'!$AW$5:$AW$2004,'Saisie'!$C$5:$C$2004,B105,'Saisie'!$E$5:$E$2004,"Signature"))</f>
        <v/>
      </c>
      <c r="N105" s="62">
        <f>IF(B105="","",SUMIFS('Saisie'!$AW$5:$AW$2004,'Saisie'!$C$5:$C$2004,B105,'Saisie'!$E$5:$E$2004,"Vente additionnelle"))</f>
        <v/>
      </c>
      <c r="O105" s="62">
        <f>IF(B105="","",M105+N105)</f>
        <v/>
      </c>
      <c r="P105" s="62">
        <f>IF(B105="","",SUMIFS('Saisie'!$AW$5:$AW$2004,'Saisie'!$C$5:$C$2004,B105,'Saisie'!$E$5:$E$2004,"Paiement reçu"))</f>
        <v/>
      </c>
      <c r="Q105" s="62">
        <f>IF(B105="","",MAX(0,O105-P105))</f>
        <v/>
      </c>
      <c r="R105" s="60">
        <f>IF(B105="","",IF(O105=0,"",IF(Q105&lt;=0,"Payé",IF(TODAY()-N(L105)&gt;'Paramètres'!$B$27,"En retard",IF(P105&gt;0,"Partiel","En attente")))))</f>
        <v/>
      </c>
      <c r="S105" s="60">
        <f>IF(B105="","",IFERROR(INDEX('Saisie'!$O$5:$O$2004,_xlfn.MAXIFS('Saisie'!$AS$5:$AS$2004,'Saisie'!$C$5:$C$2004,B105,'Saisie'!$O$5:$O$2004,"&lt;&gt;")-4),""))</f>
        <v/>
      </c>
      <c r="T105" s="62">
        <f>IF(B105="","",N(INDEX('Prospects'!$AO$5:$AO$504,MATCH(B105,'Prospects'!$C$5:$C$504,0))))</f>
        <v/>
      </c>
      <c r="U105" s="106">
        <f>IF(B105="","",IF(L105="","",EDATE(L105,'Paramètres'!$B$33)))</f>
        <v/>
      </c>
      <c r="V105" s="61">
        <f>IF(B105="","",IF(U105="","",U105-TODAY()))</f>
        <v/>
      </c>
      <c r="W105" s="61">
        <f>IF(B105="","",IF(L105="","",INT((TODAY()-L105)/30.44)))</f>
        <v/>
      </c>
      <c r="X105" s="62">
        <f>IF(B105="","",O105+T105*'Paramètres'!$B$34)</f>
        <v/>
      </c>
      <c r="Y105" s="62">
        <f>IF(B105="","",O105-N(IFERROR(INDEX('Paramètres'!$T$6:$T$15,MATCH(K105,'Paramètres'!$Q$6:$Q$15,0)),0)))</f>
        <v/>
      </c>
      <c r="Z105" s="123">
        <f>IF(B105="","",((COUNTIFS('Saisie'!$C$5:$C$2004,B105,'Saisie'!$E$5:$E$2004,"Onboarding - Contrat")&gt;0)+(COUNTIFS('Saisie'!$C$5:$C$2004,B105,'Saisie'!$E$5:$E$2004,"Onboarding - Accès")&gt;0)+(COUNTIFS('Saisie'!$C$5:$C$2004,B105,'Saisie'!$E$5:$E$2004,"Onboarding - Contenus")&gt;0)+(COUNTIFS('Saisie'!$C$5:$C$2004,B105,'Saisie'!$E$5:$E$2004,"Onboarding - Lancement")&gt;0))/4)</f>
        <v/>
      </c>
      <c r="AA105" s="60">
        <f>IF(B105="","",IF(COUNTIFS('Saisie'!$C$5:$C$2004,B105,'Saisie'!$E$5:$E$2004,"Demande d'avis Google")&gt;0,"Oui","Non"))</f>
        <v/>
      </c>
      <c r="AB105" s="61">
        <f>IF(B105="","",IFERROR(INDEX('Saisie'!$N$5:$N$2004,_xlfn.MAXIFS('Saisie'!$AS$5:$AS$2004,'Saisie'!$C$5:$C$2004,B105,'Saisie'!$E$5:$E$2004,"Satisfaction client")-4)&amp;"",""))</f>
        <v/>
      </c>
      <c r="AC105" s="106">
        <f>IF(B105="","",IFERROR(1/(1/_xlfn.MAXIFS('Saisie'!$A$5:$A$2004,'Saisie'!$C$5:$C$2004,B105,'Saisie'!$E$5:$E$2004,"Résiliation")),""))</f>
        <v/>
      </c>
      <c r="AD105" s="60">
        <f>IF(D105&lt;&gt;"",MAX($AD$4:AD104)+1,"")</f>
        <v/>
      </c>
    </row>
    <row r="106">
      <c r="A106" s="60">
        <f>IF(B106="","","C-"&amp;TEXT(102,"000"))</f>
        <v/>
      </c>
      <c r="B106" s="60">
        <f>IFERROR(INDEX('Prospects'!$C$5:$C$504,MATCH(102,'Prospects'!$BX$5:$BX$504,0)),"")</f>
        <v/>
      </c>
      <c r="C106" s="60">
        <f>IF(B106="","",IF(AC106&lt;&gt;"","Résilié","Actif"))</f>
        <v/>
      </c>
      <c r="D106" s="60">
        <f>IF(B106="","",IF(C106="Résilié","",IF(R106="En retard","Paiement en retard",IF(AND(V106&lt;&gt;"",N(V106)&lt;='Paramètres'!$B$30,N(V106)&gt;=0),"Renouvellement dans "&amp;V106&amp;" j",IF(AND(AA106="Non",TODAY()-N(L106)&gt;='Paramètres'!$B$29),"Demander un avis Google",IF(Z106&lt;1,"Onboarding à terminer",""))))))</f>
        <v/>
      </c>
      <c r="E106" s="60">
        <f>IF(B106="","",INDEX('Prospects'!$J$5:$J$504,MATCH(B106,'Prospects'!$C$5:$C$504,0))&amp;"")</f>
        <v/>
      </c>
      <c r="F106" s="60">
        <f>IF(B106="","",INDEX('Prospects'!$K$5:$K$504,MATCH(B106,'Prospects'!$C$5:$C$504,0))&amp;"")</f>
        <v/>
      </c>
      <c r="G106" s="60">
        <f>IF(B106="","",INDEX('Prospects'!$N$5:$N$504,MATCH(B106,'Prospects'!$C$5:$C$504,0))&amp;"")</f>
        <v/>
      </c>
      <c r="H106" s="60">
        <f>IF(B106="","",INDEX('Prospects'!$S$5:$S$504,MATCH(B106,'Prospects'!$C$5:$C$504,0))&amp;"")</f>
        <v/>
      </c>
      <c r="I106" s="60">
        <f>IF(B106="","",INDEX('Prospects'!$X$5:$X$504,MATCH(B106,'Prospects'!$C$5:$C$504,0))&amp;"")</f>
        <v/>
      </c>
      <c r="J106" s="60">
        <f>IF(B106="","",INDEX('Prospects'!$Y$5:$Y$504,MATCH(B106,'Prospects'!$C$5:$C$504,0))&amp;"")</f>
        <v/>
      </c>
      <c r="K106" s="60">
        <f>IF(B106="","",INDEX('Prospects'!$AN$5:$AN$504,MATCH(B106,'Prospects'!$C$5:$C$504,0))&amp;"")</f>
        <v/>
      </c>
      <c r="L106" s="106">
        <f>IF(B106="","",INDEX('Prospects'!$AT$5:$AT$504,MATCH(B106,'Prospects'!$C$5:$C$504,0)))</f>
        <v/>
      </c>
      <c r="M106" s="62">
        <f>IF(B106="","",SUMIFS('Saisie'!$AW$5:$AW$2004,'Saisie'!$C$5:$C$2004,B106,'Saisie'!$E$5:$E$2004,"Signature"))</f>
        <v/>
      </c>
      <c r="N106" s="62">
        <f>IF(B106="","",SUMIFS('Saisie'!$AW$5:$AW$2004,'Saisie'!$C$5:$C$2004,B106,'Saisie'!$E$5:$E$2004,"Vente additionnelle"))</f>
        <v/>
      </c>
      <c r="O106" s="62">
        <f>IF(B106="","",M106+N106)</f>
        <v/>
      </c>
      <c r="P106" s="62">
        <f>IF(B106="","",SUMIFS('Saisie'!$AW$5:$AW$2004,'Saisie'!$C$5:$C$2004,B106,'Saisie'!$E$5:$E$2004,"Paiement reçu"))</f>
        <v/>
      </c>
      <c r="Q106" s="62">
        <f>IF(B106="","",MAX(0,O106-P106))</f>
        <v/>
      </c>
      <c r="R106" s="60">
        <f>IF(B106="","",IF(O106=0,"",IF(Q106&lt;=0,"Payé",IF(TODAY()-N(L106)&gt;'Paramètres'!$B$27,"En retard",IF(P106&gt;0,"Partiel","En attente")))))</f>
        <v/>
      </c>
      <c r="S106" s="60">
        <f>IF(B106="","",IFERROR(INDEX('Saisie'!$O$5:$O$2004,_xlfn.MAXIFS('Saisie'!$AS$5:$AS$2004,'Saisie'!$C$5:$C$2004,B106,'Saisie'!$O$5:$O$2004,"&lt;&gt;")-4),""))</f>
        <v/>
      </c>
      <c r="T106" s="62">
        <f>IF(B106="","",N(INDEX('Prospects'!$AO$5:$AO$504,MATCH(B106,'Prospects'!$C$5:$C$504,0))))</f>
        <v/>
      </c>
      <c r="U106" s="106">
        <f>IF(B106="","",IF(L106="","",EDATE(L106,'Paramètres'!$B$33)))</f>
        <v/>
      </c>
      <c r="V106" s="61">
        <f>IF(B106="","",IF(U106="","",U106-TODAY()))</f>
        <v/>
      </c>
      <c r="W106" s="61">
        <f>IF(B106="","",IF(L106="","",INT((TODAY()-L106)/30.44)))</f>
        <v/>
      </c>
      <c r="X106" s="62">
        <f>IF(B106="","",O106+T106*'Paramètres'!$B$34)</f>
        <v/>
      </c>
      <c r="Y106" s="62">
        <f>IF(B106="","",O106-N(IFERROR(INDEX('Paramètres'!$T$6:$T$15,MATCH(K106,'Paramètres'!$Q$6:$Q$15,0)),0)))</f>
        <v/>
      </c>
      <c r="Z106" s="123">
        <f>IF(B106="","",((COUNTIFS('Saisie'!$C$5:$C$2004,B106,'Saisie'!$E$5:$E$2004,"Onboarding - Contrat")&gt;0)+(COUNTIFS('Saisie'!$C$5:$C$2004,B106,'Saisie'!$E$5:$E$2004,"Onboarding - Accès")&gt;0)+(COUNTIFS('Saisie'!$C$5:$C$2004,B106,'Saisie'!$E$5:$E$2004,"Onboarding - Contenus")&gt;0)+(COUNTIFS('Saisie'!$C$5:$C$2004,B106,'Saisie'!$E$5:$E$2004,"Onboarding - Lancement")&gt;0))/4)</f>
        <v/>
      </c>
      <c r="AA106" s="60">
        <f>IF(B106="","",IF(COUNTIFS('Saisie'!$C$5:$C$2004,B106,'Saisie'!$E$5:$E$2004,"Demande d'avis Google")&gt;0,"Oui","Non"))</f>
        <v/>
      </c>
      <c r="AB106" s="61">
        <f>IF(B106="","",IFERROR(INDEX('Saisie'!$N$5:$N$2004,_xlfn.MAXIFS('Saisie'!$AS$5:$AS$2004,'Saisie'!$C$5:$C$2004,B106,'Saisie'!$E$5:$E$2004,"Satisfaction client")-4)&amp;"",""))</f>
        <v/>
      </c>
      <c r="AC106" s="106">
        <f>IF(B106="","",IFERROR(1/(1/_xlfn.MAXIFS('Saisie'!$A$5:$A$2004,'Saisie'!$C$5:$C$2004,B106,'Saisie'!$E$5:$E$2004,"Résiliation")),""))</f>
        <v/>
      </c>
      <c r="AD106" s="60">
        <f>IF(D106&lt;&gt;"",MAX($AD$4:AD105)+1,"")</f>
        <v/>
      </c>
    </row>
    <row r="107">
      <c r="A107" s="60">
        <f>IF(B107="","","C-"&amp;TEXT(103,"000"))</f>
        <v/>
      </c>
      <c r="B107" s="60">
        <f>IFERROR(INDEX('Prospects'!$C$5:$C$504,MATCH(103,'Prospects'!$BX$5:$BX$504,0)),"")</f>
        <v/>
      </c>
      <c r="C107" s="60">
        <f>IF(B107="","",IF(AC107&lt;&gt;"","Résilié","Actif"))</f>
        <v/>
      </c>
      <c r="D107" s="60">
        <f>IF(B107="","",IF(C107="Résilié","",IF(R107="En retard","Paiement en retard",IF(AND(V107&lt;&gt;"",N(V107)&lt;='Paramètres'!$B$30,N(V107)&gt;=0),"Renouvellement dans "&amp;V107&amp;" j",IF(AND(AA107="Non",TODAY()-N(L107)&gt;='Paramètres'!$B$29),"Demander un avis Google",IF(Z107&lt;1,"Onboarding à terminer",""))))))</f>
        <v/>
      </c>
      <c r="E107" s="60">
        <f>IF(B107="","",INDEX('Prospects'!$J$5:$J$504,MATCH(B107,'Prospects'!$C$5:$C$504,0))&amp;"")</f>
        <v/>
      </c>
      <c r="F107" s="60">
        <f>IF(B107="","",INDEX('Prospects'!$K$5:$K$504,MATCH(B107,'Prospects'!$C$5:$C$504,0))&amp;"")</f>
        <v/>
      </c>
      <c r="G107" s="60">
        <f>IF(B107="","",INDEX('Prospects'!$N$5:$N$504,MATCH(B107,'Prospects'!$C$5:$C$504,0))&amp;"")</f>
        <v/>
      </c>
      <c r="H107" s="60">
        <f>IF(B107="","",INDEX('Prospects'!$S$5:$S$504,MATCH(B107,'Prospects'!$C$5:$C$504,0))&amp;"")</f>
        <v/>
      </c>
      <c r="I107" s="60">
        <f>IF(B107="","",INDEX('Prospects'!$X$5:$X$504,MATCH(B107,'Prospects'!$C$5:$C$504,0))&amp;"")</f>
        <v/>
      </c>
      <c r="J107" s="60">
        <f>IF(B107="","",INDEX('Prospects'!$Y$5:$Y$504,MATCH(B107,'Prospects'!$C$5:$C$504,0))&amp;"")</f>
        <v/>
      </c>
      <c r="K107" s="60">
        <f>IF(B107="","",INDEX('Prospects'!$AN$5:$AN$504,MATCH(B107,'Prospects'!$C$5:$C$504,0))&amp;"")</f>
        <v/>
      </c>
      <c r="L107" s="106">
        <f>IF(B107="","",INDEX('Prospects'!$AT$5:$AT$504,MATCH(B107,'Prospects'!$C$5:$C$504,0)))</f>
        <v/>
      </c>
      <c r="M107" s="62">
        <f>IF(B107="","",SUMIFS('Saisie'!$AW$5:$AW$2004,'Saisie'!$C$5:$C$2004,B107,'Saisie'!$E$5:$E$2004,"Signature"))</f>
        <v/>
      </c>
      <c r="N107" s="62">
        <f>IF(B107="","",SUMIFS('Saisie'!$AW$5:$AW$2004,'Saisie'!$C$5:$C$2004,B107,'Saisie'!$E$5:$E$2004,"Vente additionnelle"))</f>
        <v/>
      </c>
      <c r="O107" s="62">
        <f>IF(B107="","",M107+N107)</f>
        <v/>
      </c>
      <c r="P107" s="62">
        <f>IF(B107="","",SUMIFS('Saisie'!$AW$5:$AW$2004,'Saisie'!$C$5:$C$2004,B107,'Saisie'!$E$5:$E$2004,"Paiement reçu"))</f>
        <v/>
      </c>
      <c r="Q107" s="62">
        <f>IF(B107="","",MAX(0,O107-P107))</f>
        <v/>
      </c>
      <c r="R107" s="60">
        <f>IF(B107="","",IF(O107=0,"",IF(Q107&lt;=0,"Payé",IF(TODAY()-N(L107)&gt;'Paramètres'!$B$27,"En retard",IF(P107&gt;0,"Partiel","En attente")))))</f>
        <v/>
      </c>
      <c r="S107" s="60">
        <f>IF(B107="","",IFERROR(INDEX('Saisie'!$O$5:$O$2004,_xlfn.MAXIFS('Saisie'!$AS$5:$AS$2004,'Saisie'!$C$5:$C$2004,B107,'Saisie'!$O$5:$O$2004,"&lt;&gt;")-4),""))</f>
        <v/>
      </c>
      <c r="T107" s="62">
        <f>IF(B107="","",N(INDEX('Prospects'!$AO$5:$AO$504,MATCH(B107,'Prospects'!$C$5:$C$504,0))))</f>
        <v/>
      </c>
      <c r="U107" s="106">
        <f>IF(B107="","",IF(L107="","",EDATE(L107,'Paramètres'!$B$33)))</f>
        <v/>
      </c>
      <c r="V107" s="61">
        <f>IF(B107="","",IF(U107="","",U107-TODAY()))</f>
        <v/>
      </c>
      <c r="W107" s="61">
        <f>IF(B107="","",IF(L107="","",INT((TODAY()-L107)/30.44)))</f>
        <v/>
      </c>
      <c r="X107" s="62">
        <f>IF(B107="","",O107+T107*'Paramètres'!$B$34)</f>
        <v/>
      </c>
      <c r="Y107" s="62">
        <f>IF(B107="","",O107-N(IFERROR(INDEX('Paramètres'!$T$6:$T$15,MATCH(K107,'Paramètres'!$Q$6:$Q$15,0)),0)))</f>
        <v/>
      </c>
      <c r="Z107" s="123">
        <f>IF(B107="","",((COUNTIFS('Saisie'!$C$5:$C$2004,B107,'Saisie'!$E$5:$E$2004,"Onboarding - Contrat")&gt;0)+(COUNTIFS('Saisie'!$C$5:$C$2004,B107,'Saisie'!$E$5:$E$2004,"Onboarding - Accès")&gt;0)+(COUNTIFS('Saisie'!$C$5:$C$2004,B107,'Saisie'!$E$5:$E$2004,"Onboarding - Contenus")&gt;0)+(COUNTIFS('Saisie'!$C$5:$C$2004,B107,'Saisie'!$E$5:$E$2004,"Onboarding - Lancement")&gt;0))/4)</f>
        <v/>
      </c>
      <c r="AA107" s="60">
        <f>IF(B107="","",IF(COUNTIFS('Saisie'!$C$5:$C$2004,B107,'Saisie'!$E$5:$E$2004,"Demande d'avis Google")&gt;0,"Oui","Non"))</f>
        <v/>
      </c>
      <c r="AB107" s="61">
        <f>IF(B107="","",IFERROR(INDEX('Saisie'!$N$5:$N$2004,_xlfn.MAXIFS('Saisie'!$AS$5:$AS$2004,'Saisie'!$C$5:$C$2004,B107,'Saisie'!$E$5:$E$2004,"Satisfaction client")-4)&amp;"",""))</f>
        <v/>
      </c>
      <c r="AC107" s="106">
        <f>IF(B107="","",IFERROR(1/(1/_xlfn.MAXIFS('Saisie'!$A$5:$A$2004,'Saisie'!$C$5:$C$2004,B107,'Saisie'!$E$5:$E$2004,"Résiliation")),""))</f>
        <v/>
      </c>
      <c r="AD107" s="60">
        <f>IF(D107&lt;&gt;"",MAX($AD$4:AD106)+1,"")</f>
        <v/>
      </c>
    </row>
    <row r="108">
      <c r="A108" s="60">
        <f>IF(B108="","","C-"&amp;TEXT(104,"000"))</f>
        <v/>
      </c>
      <c r="B108" s="60">
        <f>IFERROR(INDEX('Prospects'!$C$5:$C$504,MATCH(104,'Prospects'!$BX$5:$BX$504,0)),"")</f>
        <v/>
      </c>
      <c r="C108" s="60">
        <f>IF(B108="","",IF(AC108&lt;&gt;"","Résilié","Actif"))</f>
        <v/>
      </c>
      <c r="D108" s="60">
        <f>IF(B108="","",IF(C108="Résilié","",IF(R108="En retard","Paiement en retard",IF(AND(V108&lt;&gt;"",N(V108)&lt;='Paramètres'!$B$30,N(V108)&gt;=0),"Renouvellement dans "&amp;V108&amp;" j",IF(AND(AA108="Non",TODAY()-N(L108)&gt;='Paramètres'!$B$29),"Demander un avis Google",IF(Z108&lt;1,"Onboarding à terminer",""))))))</f>
        <v/>
      </c>
      <c r="E108" s="60">
        <f>IF(B108="","",INDEX('Prospects'!$J$5:$J$504,MATCH(B108,'Prospects'!$C$5:$C$504,0))&amp;"")</f>
        <v/>
      </c>
      <c r="F108" s="60">
        <f>IF(B108="","",INDEX('Prospects'!$K$5:$K$504,MATCH(B108,'Prospects'!$C$5:$C$504,0))&amp;"")</f>
        <v/>
      </c>
      <c r="G108" s="60">
        <f>IF(B108="","",INDEX('Prospects'!$N$5:$N$504,MATCH(B108,'Prospects'!$C$5:$C$504,0))&amp;"")</f>
        <v/>
      </c>
      <c r="H108" s="60">
        <f>IF(B108="","",INDEX('Prospects'!$S$5:$S$504,MATCH(B108,'Prospects'!$C$5:$C$504,0))&amp;"")</f>
        <v/>
      </c>
      <c r="I108" s="60">
        <f>IF(B108="","",INDEX('Prospects'!$X$5:$X$504,MATCH(B108,'Prospects'!$C$5:$C$504,0))&amp;"")</f>
        <v/>
      </c>
      <c r="J108" s="60">
        <f>IF(B108="","",INDEX('Prospects'!$Y$5:$Y$504,MATCH(B108,'Prospects'!$C$5:$C$504,0))&amp;"")</f>
        <v/>
      </c>
      <c r="K108" s="60">
        <f>IF(B108="","",INDEX('Prospects'!$AN$5:$AN$504,MATCH(B108,'Prospects'!$C$5:$C$504,0))&amp;"")</f>
        <v/>
      </c>
      <c r="L108" s="106">
        <f>IF(B108="","",INDEX('Prospects'!$AT$5:$AT$504,MATCH(B108,'Prospects'!$C$5:$C$504,0)))</f>
        <v/>
      </c>
      <c r="M108" s="62">
        <f>IF(B108="","",SUMIFS('Saisie'!$AW$5:$AW$2004,'Saisie'!$C$5:$C$2004,B108,'Saisie'!$E$5:$E$2004,"Signature"))</f>
        <v/>
      </c>
      <c r="N108" s="62">
        <f>IF(B108="","",SUMIFS('Saisie'!$AW$5:$AW$2004,'Saisie'!$C$5:$C$2004,B108,'Saisie'!$E$5:$E$2004,"Vente additionnelle"))</f>
        <v/>
      </c>
      <c r="O108" s="62">
        <f>IF(B108="","",M108+N108)</f>
        <v/>
      </c>
      <c r="P108" s="62">
        <f>IF(B108="","",SUMIFS('Saisie'!$AW$5:$AW$2004,'Saisie'!$C$5:$C$2004,B108,'Saisie'!$E$5:$E$2004,"Paiement reçu"))</f>
        <v/>
      </c>
      <c r="Q108" s="62">
        <f>IF(B108="","",MAX(0,O108-P108))</f>
        <v/>
      </c>
      <c r="R108" s="60">
        <f>IF(B108="","",IF(O108=0,"",IF(Q108&lt;=0,"Payé",IF(TODAY()-N(L108)&gt;'Paramètres'!$B$27,"En retard",IF(P108&gt;0,"Partiel","En attente")))))</f>
        <v/>
      </c>
      <c r="S108" s="60">
        <f>IF(B108="","",IFERROR(INDEX('Saisie'!$O$5:$O$2004,_xlfn.MAXIFS('Saisie'!$AS$5:$AS$2004,'Saisie'!$C$5:$C$2004,B108,'Saisie'!$O$5:$O$2004,"&lt;&gt;")-4),""))</f>
        <v/>
      </c>
      <c r="T108" s="62">
        <f>IF(B108="","",N(INDEX('Prospects'!$AO$5:$AO$504,MATCH(B108,'Prospects'!$C$5:$C$504,0))))</f>
        <v/>
      </c>
      <c r="U108" s="106">
        <f>IF(B108="","",IF(L108="","",EDATE(L108,'Paramètres'!$B$33)))</f>
        <v/>
      </c>
      <c r="V108" s="61">
        <f>IF(B108="","",IF(U108="","",U108-TODAY()))</f>
        <v/>
      </c>
      <c r="W108" s="61">
        <f>IF(B108="","",IF(L108="","",INT((TODAY()-L108)/30.44)))</f>
        <v/>
      </c>
      <c r="X108" s="62">
        <f>IF(B108="","",O108+T108*'Paramètres'!$B$34)</f>
        <v/>
      </c>
      <c r="Y108" s="62">
        <f>IF(B108="","",O108-N(IFERROR(INDEX('Paramètres'!$T$6:$T$15,MATCH(K108,'Paramètres'!$Q$6:$Q$15,0)),0)))</f>
        <v/>
      </c>
      <c r="Z108" s="123">
        <f>IF(B108="","",((COUNTIFS('Saisie'!$C$5:$C$2004,B108,'Saisie'!$E$5:$E$2004,"Onboarding - Contrat")&gt;0)+(COUNTIFS('Saisie'!$C$5:$C$2004,B108,'Saisie'!$E$5:$E$2004,"Onboarding - Accès")&gt;0)+(COUNTIFS('Saisie'!$C$5:$C$2004,B108,'Saisie'!$E$5:$E$2004,"Onboarding - Contenus")&gt;0)+(COUNTIFS('Saisie'!$C$5:$C$2004,B108,'Saisie'!$E$5:$E$2004,"Onboarding - Lancement")&gt;0))/4)</f>
        <v/>
      </c>
      <c r="AA108" s="60">
        <f>IF(B108="","",IF(COUNTIFS('Saisie'!$C$5:$C$2004,B108,'Saisie'!$E$5:$E$2004,"Demande d'avis Google")&gt;0,"Oui","Non"))</f>
        <v/>
      </c>
      <c r="AB108" s="61">
        <f>IF(B108="","",IFERROR(INDEX('Saisie'!$N$5:$N$2004,_xlfn.MAXIFS('Saisie'!$AS$5:$AS$2004,'Saisie'!$C$5:$C$2004,B108,'Saisie'!$E$5:$E$2004,"Satisfaction client")-4)&amp;"",""))</f>
        <v/>
      </c>
      <c r="AC108" s="106">
        <f>IF(B108="","",IFERROR(1/(1/_xlfn.MAXIFS('Saisie'!$A$5:$A$2004,'Saisie'!$C$5:$C$2004,B108,'Saisie'!$E$5:$E$2004,"Résiliation")),""))</f>
        <v/>
      </c>
      <c r="AD108" s="60">
        <f>IF(D108&lt;&gt;"",MAX($AD$4:AD107)+1,"")</f>
        <v/>
      </c>
    </row>
    <row r="109">
      <c r="A109" s="60">
        <f>IF(B109="","","C-"&amp;TEXT(105,"000"))</f>
        <v/>
      </c>
      <c r="B109" s="60">
        <f>IFERROR(INDEX('Prospects'!$C$5:$C$504,MATCH(105,'Prospects'!$BX$5:$BX$504,0)),"")</f>
        <v/>
      </c>
      <c r="C109" s="60">
        <f>IF(B109="","",IF(AC109&lt;&gt;"","Résilié","Actif"))</f>
        <v/>
      </c>
      <c r="D109" s="60">
        <f>IF(B109="","",IF(C109="Résilié","",IF(R109="En retard","Paiement en retard",IF(AND(V109&lt;&gt;"",N(V109)&lt;='Paramètres'!$B$30,N(V109)&gt;=0),"Renouvellement dans "&amp;V109&amp;" j",IF(AND(AA109="Non",TODAY()-N(L109)&gt;='Paramètres'!$B$29),"Demander un avis Google",IF(Z109&lt;1,"Onboarding à terminer",""))))))</f>
        <v/>
      </c>
      <c r="E109" s="60">
        <f>IF(B109="","",INDEX('Prospects'!$J$5:$J$504,MATCH(B109,'Prospects'!$C$5:$C$504,0))&amp;"")</f>
        <v/>
      </c>
      <c r="F109" s="60">
        <f>IF(B109="","",INDEX('Prospects'!$K$5:$K$504,MATCH(B109,'Prospects'!$C$5:$C$504,0))&amp;"")</f>
        <v/>
      </c>
      <c r="G109" s="60">
        <f>IF(B109="","",INDEX('Prospects'!$N$5:$N$504,MATCH(B109,'Prospects'!$C$5:$C$504,0))&amp;"")</f>
        <v/>
      </c>
      <c r="H109" s="60">
        <f>IF(B109="","",INDEX('Prospects'!$S$5:$S$504,MATCH(B109,'Prospects'!$C$5:$C$504,0))&amp;"")</f>
        <v/>
      </c>
      <c r="I109" s="60">
        <f>IF(B109="","",INDEX('Prospects'!$X$5:$X$504,MATCH(B109,'Prospects'!$C$5:$C$504,0))&amp;"")</f>
        <v/>
      </c>
      <c r="J109" s="60">
        <f>IF(B109="","",INDEX('Prospects'!$Y$5:$Y$504,MATCH(B109,'Prospects'!$C$5:$C$504,0))&amp;"")</f>
        <v/>
      </c>
      <c r="K109" s="60">
        <f>IF(B109="","",INDEX('Prospects'!$AN$5:$AN$504,MATCH(B109,'Prospects'!$C$5:$C$504,0))&amp;"")</f>
        <v/>
      </c>
      <c r="L109" s="106">
        <f>IF(B109="","",INDEX('Prospects'!$AT$5:$AT$504,MATCH(B109,'Prospects'!$C$5:$C$504,0)))</f>
        <v/>
      </c>
      <c r="M109" s="62">
        <f>IF(B109="","",SUMIFS('Saisie'!$AW$5:$AW$2004,'Saisie'!$C$5:$C$2004,B109,'Saisie'!$E$5:$E$2004,"Signature"))</f>
        <v/>
      </c>
      <c r="N109" s="62">
        <f>IF(B109="","",SUMIFS('Saisie'!$AW$5:$AW$2004,'Saisie'!$C$5:$C$2004,B109,'Saisie'!$E$5:$E$2004,"Vente additionnelle"))</f>
        <v/>
      </c>
      <c r="O109" s="62">
        <f>IF(B109="","",M109+N109)</f>
        <v/>
      </c>
      <c r="P109" s="62">
        <f>IF(B109="","",SUMIFS('Saisie'!$AW$5:$AW$2004,'Saisie'!$C$5:$C$2004,B109,'Saisie'!$E$5:$E$2004,"Paiement reçu"))</f>
        <v/>
      </c>
      <c r="Q109" s="62">
        <f>IF(B109="","",MAX(0,O109-P109))</f>
        <v/>
      </c>
      <c r="R109" s="60">
        <f>IF(B109="","",IF(O109=0,"",IF(Q109&lt;=0,"Payé",IF(TODAY()-N(L109)&gt;'Paramètres'!$B$27,"En retard",IF(P109&gt;0,"Partiel","En attente")))))</f>
        <v/>
      </c>
      <c r="S109" s="60">
        <f>IF(B109="","",IFERROR(INDEX('Saisie'!$O$5:$O$2004,_xlfn.MAXIFS('Saisie'!$AS$5:$AS$2004,'Saisie'!$C$5:$C$2004,B109,'Saisie'!$O$5:$O$2004,"&lt;&gt;")-4),""))</f>
        <v/>
      </c>
      <c r="T109" s="62">
        <f>IF(B109="","",N(INDEX('Prospects'!$AO$5:$AO$504,MATCH(B109,'Prospects'!$C$5:$C$504,0))))</f>
        <v/>
      </c>
      <c r="U109" s="106">
        <f>IF(B109="","",IF(L109="","",EDATE(L109,'Paramètres'!$B$33)))</f>
        <v/>
      </c>
      <c r="V109" s="61">
        <f>IF(B109="","",IF(U109="","",U109-TODAY()))</f>
        <v/>
      </c>
      <c r="W109" s="61">
        <f>IF(B109="","",IF(L109="","",INT((TODAY()-L109)/30.44)))</f>
        <v/>
      </c>
      <c r="X109" s="62">
        <f>IF(B109="","",O109+T109*'Paramètres'!$B$34)</f>
        <v/>
      </c>
      <c r="Y109" s="62">
        <f>IF(B109="","",O109-N(IFERROR(INDEX('Paramètres'!$T$6:$T$15,MATCH(K109,'Paramètres'!$Q$6:$Q$15,0)),0)))</f>
        <v/>
      </c>
      <c r="Z109" s="123">
        <f>IF(B109="","",((COUNTIFS('Saisie'!$C$5:$C$2004,B109,'Saisie'!$E$5:$E$2004,"Onboarding - Contrat")&gt;0)+(COUNTIFS('Saisie'!$C$5:$C$2004,B109,'Saisie'!$E$5:$E$2004,"Onboarding - Accès")&gt;0)+(COUNTIFS('Saisie'!$C$5:$C$2004,B109,'Saisie'!$E$5:$E$2004,"Onboarding - Contenus")&gt;0)+(COUNTIFS('Saisie'!$C$5:$C$2004,B109,'Saisie'!$E$5:$E$2004,"Onboarding - Lancement")&gt;0))/4)</f>
        <v/>
      </c>
      <c r="AA109" s="60">
        <f>IF(B109="","",IF(COUNTIFS('Saisie'!$C$5:$C$2004,B109,'Saisie'!$E$5:$E$2004,"Demande d'avis Google")&gt;0,"Oui","Non"))</f>
        <v/>
      </c>
      <c r="AB109" s="61">
        <f>IF(B109="","",IFERROR(INDEX('Saisie'!$N$5:$N$2004,_xlfn.MAXIFS('Saisie'!$AS$5:$AS$2004,'Saisie'!$C$5:$C$2004,B109,'Saisie'!$E$5:$E$2004,"Satisfaction client")-4)&amp;"",""))</f>
        <v/>
      </c>
      <c r="AC109" s="106">
        <f>IF(B109="","",IFERROR(1/(1/_xlfn.MAXIFS('Saisie'!$A$5:$A$2004,'Saisie'!$C$5:$C$2004,B109,'Saisie'!$E$5:$E$2004,"Résiliation")),""))</f>
        <v/>
      </c>
      <c r="AD109" s="60">
        <f>IF(D109&lt;&gt;"",MAX($AD$4:AD108)+1,"")</f>
        <v/>
      </c>
    </row>
    <row r="110">
      <c r="A110" s="60">
        <f>IF(B110="","","C-"&amp;TEXT(106,"000"))</f>
        <v/>
      </c>
      <c r="B110" s="60">
        <f>IFERROR(INDEX('Prospects'!$C$5:$C$504,MATCH(106,'Prospects'!$BX$5:$BX$504,0)),"")</f>
        <v/>
      </c>
      <c r="C110" s="60">
        <f>IF(B110="","",IF(AC110&lt;&gt;"","Résilié","Actif"))</f>
        <v/>
      </c>
      <c r="D110" s="60">
        <f>IF(B110="","",IF(C110="Résilié","",IF(R110="En retard","Paiement en retard",IF(AND(V110&lt;&gt;"",N(V110)&lt;='Paramètres'!$B$30,N(V110)&gt;=0),"Renouvellement dans "&amp;V110&amp;" j",IF(AND(AA110="Non",TODAY()-N(L110)&gt;='Paramètres'!$B$29),"Demander un avis Google",IF(Z110&lt;1,"Onboarding à terminer",""))))))</f>
        <v/>
      </c>
      <c r="E110" s="60">
        <f>IF(B110="","",INDEX('Prospects'!$J$5:$J$504,MATCH(B110,'Prospects'!$C$5:$C$504,0))&amp;"")</f>
        <v/>
      </c>
      <c r="F110" s="60">
        <f>IF(B110="","",INDEX('Prospects'!$K$5:$K$504,MATCH(B110,'Prospects'!$C$5:$C$504,0))&amp;"")</f>
        <v/>
      </c>
      <c r="G110" s="60">
        <f>IF(B110="","",INDEX('Prospects'!$N$5:$N$504,MATCH(B110,'Prospects'!$C$5:$C$504,0))&amp;"")</f>
        <v/>
      </c>
      <c r="H110" s="60">
        <f>IF(B110="","",INDEX('Prospects'!$S$5:$S$504,MATCH(B110,'Prospects'!$C$5:$C$504,0))&amp;"")</f>
        <v/>
      </c>
      <c r="I110" s="60">
        <f>IF(B110="","",INDEX('Prospects'!$X$5:$X$504,MATCH(B110,'Prospects'!$C$5:$C$504,0))&amp;"")</f>
        <v/>
      </c>
      <c r="J110" s="60">
        <f>IF(B110="","",INDEX('Prospects'!$Y$5:$Y$504,MATCH(B110,'Prospects'!$C$5:$C$504,0))&amp;"")</f>
        <v/>
      </c>
      <c r="K110" s="60">
        <f>IF(B110="","",INDEX('Prospects'!$AN$5:$AN$504,MATCH(B110,'Prospects'!$C$5:$C$504,0))&amp;"")</f>
        <v/>
      </c>
      <c r="L110" s="106">
        <f>IF(B110="","",INDEX('Prospects'!$AT$5:$AT$504,MATCH(B110,'Prospects'!$C$5:$C$504,0)))</f>
        <v/>
      </c>
      <c r="M110" s="62">
        <f>IF(B110="","",SUMIFS('Saisie'!$AW$5:$AW$2004,'Saisie'!$C$5:$C$2004,B110,'Saisie'!$E$5:$E$2004,"Signature"))</f>
        <v/>
      </c>
      <c r="N110" s="62">
        <f>IF(B110="","",SUMIFS('Saisie'!$AW$5:$AW$2004,'Saisie'!$C$5:$C$2004,B110,'Saisie'!$E$5:$E$2004,"Vente additionnelle"))</f>
        <v/>
      </c>
      <c r="O110" s="62">
        <f>IF(B110="","",M110+N110)</f>
        <v/>
      </c>
      <c r="P110" s="62">
        <f>IF(B110="","",SUMIFS('Saisie'!$AW$5:$AW$2004,'Saisie'!$C$5:$C$2004,B110,'Saisie'!$E$5:$E$2004,"Paiement reçu"))</f>
        <v/>
      </c>
      <c r="Q110" s="62">
        <f>IF(B110="","",MAX(0,O110-P110))</f>
        <v/>
      </c>
      <c r="R110" s="60">
        <f>IF(B110="","",IF(O110=0,"",IF(Q110&lt;=0,"Payé",IF(TODAY()-N(L110)&gt;'Paramètres'!$B$27,"En retard",IF(P110&gt;0,"Partiel","En attente")))))</f>
        <v/>
      </c>
      <c r="S110" s="60">
        <f>IF(B110="","",IFERROR(INDEX('Saisie'!$O$5:$O$2004,_xlfn.MAXIFS('Saisie'!$AS$5:$AS$2004,'Saisie'!$C$5:$C$2004,B110,'Saisie'!$O$5:$O$2004,"&lt;&gt;")-4),""))</f>
        <v/>
      </c>
      <c r="T110" s="62">
        <f>IF(B110="","",N(INDEX('Prospects'!$AO$5:$AO$504,MATCH(B110,'Prospects'!$C$5:$C$504,0))))</f>
        <v/>
      </c>
      <c r="U110" s="106">
        <f>IF(B110="","",IF(L110="","",EDATE(L110,'Paramètres'!$B$33)))</f>
        <v/>
      </c>
      <c r="V110" s="61">
        <f>IF(B110="","",IF(U110="","",U110-TODAY()))</f>
        <v/>
      </c>
      <c r="W110" s="61">
        <f>IF(B110="","",IF(L110="","",INT((TODAY()-L110)/30.44)))</f>
        <v/>
      </c>
      <c r="X110" s="62">
        <f>IF(B110="","",O110+T110*'Paramètres'!$B$34)</f>
        <v/>
      </c>
      <c r="Y110" s="62">
        <f>IF(B110="","",O110-N(IFERROR(INDEX('Paramètres'!$T$6:$T$15,MATCH(K110,'Paramètres'!$Q$6:$Q$15,0)),0)))</f>
        <v/>
      </c>
      <c r="Z110" s="123">
        <f>IF(B110="","",((COUNTIFS('Saisie'!$C$5:$C$2004,B110,'Saisie'!$E$5:$E$2004,"Onboarding - Contrat")&gt;0)+(COUNTIFS('Saisie'!$C$5:$C$2004,B110,'Saisie'!$E$5:$E$2004,"Onboarding - Accès")&gt;0)+(COUNTIFS('Saisie'!$C$5:$C$2004,B110,'Saisie'!$E$5:$E$2004,"Onboarding - Contenus")&gt;0)+(COUNTIFS('Saisie'!$C$5:$C$2004,B110,'Saisie'!$E$5:$E$2004,"Onboarding - Lancement")&gt;0))/4)</f>
        <v/>
      </c>
      <c r="AA110" s="60">
        <f>IF(B110="","",IF(COUNTIFS('Saisie'!$C$5:$C$2004,B110,'Saisie'!$E$5:$E$2004,"Demande d'avis Google")&gt;0,"Oui","Non"))</f>
        <v/>
      </c>
      <c r="AB110" s="61">
        <f>IF(B110="","",IFERROR(INDEX('Saisie'!$N$5:$N$2004,_xlfn.MAXIFS('Saisie'!$AS$5:$AS$2004,'Saisie'!$C$5:$C$2004,B110,'Saisie'!$E$5:$E$2004,"Satisfaction client")-4)&amp;"",""))</f>
        <v/>
      </c>
      <c r="AC110" s="106">
        <f>IF(B110="","",IFERROR(1/(1/_xlfn.MAXIFS('Saisie'!$A$5:$A$2004,'Saisie'!$C$5:$C$2004,B110,'Saisie'!$E$5:$E$2004,"Résiliation")),""))</f>
        <v/>
      </c>
      <c r="AD110" s="60">
        <f>IF(D110&lt;&gt;"",MAX($AD$4:AD109)+1,"")</f>
        <v/>
      </c>
    </row>
    <row r="111">
      <c r="A111" s="60">
        <f>IF(B111="","","C-"&amp;TEXT(107,"000"))</f>
        <v/>
      </c>
      <c r="B111" s="60">
        <f>IFERROR(INDEX('Prospects'!$C$5:$C$504,MATCH(107,'Prospects'!$BX$5:$BX$504,0)),"")</f>
        <v/>
      </c>
      <c r="C111" s="60">
        <f>IF(B111="","",IF(AC111&lt;&gt;"","Résilié","Actif"))</f>
        <v/>
      </c>
      <c r="D111" s="60">
        <f>IF(B111="","",IF(C111="Résilié","",IF(R111="En retard","Paiement en retard",IF(AND(V111&lt;&gt;"",N(V111)&lt;='Paramètres'!$B$30,N(V111)&gt;=0),"Renouvellement dans "&amp;V111&amp;" j",IF(AND(AA111="Non",TODAY()-N(L111)&gt;='Paramètres'!$B$29),"Demander un avis Google",IF(Z111&lt;1,"Onboarding à terminer",""))))))</f>
        <v/>
      </c>
      <c r="E111" s="60">
        <f>IF(B111="","",INDEX('Prospects'!$J$5:$J$504,MATCH(B111,'Prospects'!$C$5:$C$504,0))&amp;"")</f>
        <v/>
      </c>
      <c r="F111" s="60">
        <f>IF(B111="","",INDEX('Prospects'!$K$5:$K$504,MATCH(B111,'Prospects'!$C$5:$C$504,0))&amp;"")</f>
        <v/>
      </c>
      <c r="G111" s="60">
        <f>IF(B111="","",INDEX('Prospects'!$N$5:$N$504,MATCH(B111,'Prospects'!$C$5:$C$504,0))&amp;"")</f>
        <v/>
      </c>
      <c r="H111" s="60">
        <f>IF(B111="","",INDEX('Prospects'!$S$5:$S$504,MATCH(B111,'Prospects'!$C$5:$C$504,0))&amp;"")</f>
        <v/>
      </c>
      <c r="I111" s="60">
        <f>IF(B111="","",INDEX('Prospects'!$X$5:$X$504,MATCH(B111,'Prospects'!$C$5:$C$504,0))&amp;"")</f>
        <v/>
      </c>
      <c r="J111" s="60">
        <f>IF(B111="","",INDEX('Prospects'!$Y$5:$Y$504,MATCH(B111,'Prospects'!$C$5:$C$504,0))&amp;"")</f>
        <v/>
      </c>
      <c r="K111" s="60">
        <f>IF(B111="","",INDEX('Prospects'!$AN$5:$AN$504,MATCH(B111,'Prospects'!$C$5:$C$504,0))&amp;"")</f>
        <v/>
      </c>
      <c r="L111" s="106">
        <f>IF(B111="","",INDEX('Prospects'!$AT$5:$AT$504,MATCH(B111,'Prospects'!$C$5:$C$504,0)))</f>
        <v/>
      </c>
      <c r="M111" s="62">
        <f>IF(B111="","",SUMIFS('Saisie'!$AW$5:$AW$2004,'Saisie'!$C$5:$C$2004,B111,'Saisie'!$E$5:$E$2004,"Signature"))</f>
        <v/>
      </c>
      <c r="N111" s="62">
        <f>IF(B111="","",SUMIFS('Saisie'!$AW$5:$AW$2004,'Saisie'!$C$5:$C$2004,B111,'Saisie'!$E$5:$E$2004,"Vente additionnelle"))</f>
        <v/>
      </c>
      <c r="O111" s="62">
        <f>IF(B111="","",M111+N111)</f>
        <v/>
      </c>
      <c r="P111" s="62">
        <f>IF(B111="","",SUMIFS('Saisie'!$AW$5:$AW$2004,'Saisie'!$C$5:$C$2004,B111,'Saisie'!$E$5:$E$2004,"Paiement reçu"))</f>
        <v/>
      </c>
      <c r="Q111" s="62">
        <f>IF(B111="","",MAX(0,O111-P111))</f>
        <v/>
      </c>
      <c r="R111" s="60">
        <f>IF(B111="","",IF(O111=0,"",IF(Q111&lt;=0,"Payé",IF(TODAY()-N(L111)&gt;'Paramètres'!$B$27,"En retard",IF(P111&gt;0,"Partiel","En attente")))))</f>
        <v/>
      </c>
      <c r="S111" s="60">
        <f>IF(B111="","",IFERROR(INDEX('Saisie'!$O$5:$O$2004,_xlfn.MAXIFS('Saisie'!$AS$5:$AS$2004,'Saisie'!$C$5:$C$2004,B111,'Saisie'!$O$5:$O$2004,"&lt;&gt;")-4),""))</f>
        <v/>
      </c>
      <c r="T111" s="62">
        <f>IF(B111="","",N(INDEX('Prospects'!$AO$5:$AO$504,MATCH(B111,'Prospects'!$C$5:$C$504,0))))</f>
        <v/>
      </c>
      <c r="U111" s="106">
        <f>IF(B111="","",IF(L111="","",EDATE(L111,'Paramètres'!$B$33)))</f>
        <v/>
      </c>
      <c r="V111" s="61">
        <f>IF(B111="","",IF(U111="","",U111-TODAY()))</f>
        <v/>
      </c>
      <c r="W111" s="61">
        <f>IF(B111="","",IF(L111="","",INT((TODAY()-L111)/30.44)))</f>
        <v/>
      </c>
      <c r="X111" s="62">
        <f>IF(B111="","",O111+T111*'Paramètres'!$B$34)</f>
        <v/>
      </c>
      <c r="Y111" s="62">
        <f>IF(B111="","",O111-N(IFERROR(INDEX('Paramètres'!$T$6:$T$15,MATCH(K111,'Paramètres'!$Q$6:$Q$15,0)),0)))</f>
        <v/>
      </c>
      <c r="Z111" s="123">
        <f>IF(B111="","",((COUNTIFS('Saisie'!$C$5:$C$2004,B111,'Saisie'!$E$5:$E$2004,"Onboarding - Contrat")&gt;0)+(COUNTIFS('Saisie'!$C$5:$C$2004,B111,'Saisie'!$E$5:$E$2004,"Onboarding - Accès")&gt;0)+(COUNTIFS('Saisie'!$C$5:$C$2004,B111,'Saisie'!$E$5:$E$2004,"Onboarding - Contenus")&gt;0)+(COUNTIFS('Saisie'!$C$5:$C$2004,B111,'Saisie'!$E$5:$E$2004,"Onboarding - Lancement")&gt;0))/4)</f>
        <v/>
      </c>
      <c r="AA111" s="60">
        <f>IF(B111="","",IF(COUNTIFS('Saisie'!$C$5:$C$2004,B111,'Saisie'!$E$5:$E$2004,"Demande d'avis Google")&gt;0,"Oui","Non"))</f>
        <v/>
      </c>
      <c r="AB111" s="61">
        <f>IF(B111="","",IFERROR(INDEX('Saisie'!$N$5:$N$2004,_xlfn.MAXIFS('Saisie'!$AS$5:$AS$2004,'Saisie'!$C$5:$C$2004,B111,'Saisie'!$E$5:$E$2004,"Satisfaction client")-4)&amp;"",""))</f>
        <v/>
      </c>
      <c r="AC111" s="106">
        <f>IF(B111="","",IFERROR(1/(1/_xlfn.MAXIFS('Saisie'!$A$5:$A$2004,'Saisie'!$C$5:$C$2004,B111,'Saisie'!$E$5:$E$2004,"Résiliation")),""))</f>
        <v/>
      </c>
      <c r="AD111" s="60">
        <f>IF(D111&lt;&gt;"",MAX($AD$4:AD110)+1,"")</f>
        <v/>
      </c>
    </row>
    <row r="112">
      <c r="A112" s="60">
        <f>IF(B112="","","C-"&amp;TEXT(108,"000"))</f>
        <v/>
      </c>
      <c r="B112" s="60">
        <f>IFERROR(INDEX('Prospects'!$C$5:$C$504,MATCH(108,'Prospects'!$BX$5:$BX$504,0)),"")</f>
        <v/>
      </c>
      <c r="C112" s="60">
        <f>IF(B112="","",IF(AC112&lt;&gt;"","Résilié","Actif"))</f>
        <v/>
      </c>
      <c r="D112" s="60">
        <f>IF(B112="","",IF(C112="Résilié","",IF(R112="En retard","Paiement en retard",IF(AND(V112&lt;&gt;"",N(V112)&lt;='Paramètres'!$B$30,N(V112)&gt;=0),"Renouvellement dans "&amp;V112&amp;" j",IF(AND(AA112="Non",TODAY()-N(L112)&gt;='Paramètres'!$B$29),"Demander un avis Google",IF(Z112&lt;1,"Onboarding à terminer",""))))))</f>
        <v/>
      </c>
      <c r="E112" s="60">
        <f>IF(B112="","",INDEX('Prospects'!$J$5:$J$504,MATCH(B112,'Prospects'!$C$5:$C$504,0))&amp;"")</f>
        <v/>
      </c>
      <c r="F112" s="60">
        <f>IF(B112="","",INDEX('Prospects'!$K$5:$K$504,MATCH(B112,'Prospects'!$C$5:$C$504,0))&amp;"")</f>
        <v/>
      </c>
      <c r="G112" s="60">
        <f>IF(B112="","",INDEX('Prospects'!$N$5:$N$504,MATCH(B112,'Prospects'!$C$5:$C$504,0))&amp;"")</f>
        <v/>
      </c>
      <c r="H112" s="60">
        <f>IF(B112="","",INDEX('Prospects'!$S$5:$S$504,MATCH(B112,'Prospects'!$C$5:$C$504,0))&amp;"")</f>
        <v/>
      </c>
      <c r="I112" s="60">
        <f>IF(B112="","",INDEX('Prospects'!$X$5:$X$504,MATCH(B112,'Prospects'!$C$5:$C$504,0))&amp;"")</f>
        <v/>
      </c>
      <c r="J112" s="60">
        <f>IF(B112="","",INDEX('Prospects'!$Y$5:$Y$504,MATCH(B112,'Prospects'!$C$5:$C$504,0))&amp;"")</f>
        <v/>
      </c>
      <c r="K112" s="60">
        <f>IF(B112="","",INDEX('Prospects'!$AN$5:$AN$504,MATCH(B112,'Prospects'!$C$5:$C$504,0))&amp;"")</f>
        <v/>
      </c>
      <c r="L112" s="106">
        <f>IF(B112="","",INDEX('Prospects'!$AT$5:$AT$504,MATCH(B112,'Prospects'!$C$5:$C$504,0)))</f>
        <v/>
      </c>
      <c r="M112" s="62">
        <f>IF(B112="","",SUMIFS('Saisie'!$AW$5:$AW$2004,'Saisie'!$C$5:$C$2004,B112,'Saisie'!$E$5:$E$2004,"Signature"))</f>
        <v/>
      </c>
      <c r="N112" s="62">
        <f>IF(B112="","",SUMIFS('Saisie'!$AW$5:$AW$2004,'Saisie'!$C$5:$C$2004,B112,'Saisie'!$E$5:$E$2004,"Vente additionnelle"))</f>
        <v/>
      </c>
      <c r="O112" s="62">
        <f>IF(B112="","",M112+N112)</f>
        <v/>
      </c>
      <c r="P112" s="62">
        <f>IF(B112="","",SUMIFS('Saisie'!$AW$5:$AW$2004,'Saisie'!$C$5:$C$2004,B112,'Saisie'!$E$5:$E$2004,"Paiement reçu"))</f>
        <v/>
      </c>
      <c r="Q112" s="62">
        <f>IF(B112="","",MAX(0,O112-P112))</f>
        <v/>
      </c>
      <c r="R112" s="60">
        <f>IF(B112="","",IF(O112=0,"",IF(Q112&lt;=0,"Payé",IF(TODAY()-N(L112)&gt;'Paramètres'!$B$27,"En retard",IF(P112&gt;0,"Partiel","En attente")))))</f>
        <v/>
      </c>
      <c r="S112" s="60">
        <f>IF(B112="","",IFERROR(INDEX('Saisie'!$O$5:$O$2004,_xlfn.MAXIFS('Saisie'!$AS$5:$AS$2004,'Saisie'!$C$5:$C$2004,B112,'Saisie'!$O$5:$O$2004,"&lt;&gt;")-4),""))</f>
        <v/>
      </c>
      <c r="T112" s="62">
        <f>IF(B112="","",N(INDEX('Prospects'!$AO$5:$AO$504,MATCH(B112,'Prospects'!$C$5:$C$504,0))))</f>
        <v/>
      </c>
      <c r="U112" s="106">
        <f>IF(B112="","",IF(L112="","",EDATE(L112,'Paramètres'!$B$33)))</f>
        <v/>
      </c>
      <c r="V112" s="61">
        <f>IF(B112="","",IF(U112="","",U112-TODAY()))</f>
        <v/>
      </c>
      <c r="W112" s="61">
        <f>IF(B112="","",IF(L112="","",INT((TODAY()-L112)/30.44)))</f>
        <v/>
      </c>
      <c r="X112" s="62">
        <f>IF(B112="","",O112+T112*'Paramètres'!$B$34)</f>
        <v/>
      </c>
      <c r="Y112" s="62">
        <f>IF(B112="","",O112-N(IFERROR(INDEX('Paramètres'!$T$6:$T$15,MATCH(K112,'Paramètres'!$Q$6:$Q$15,0)),0)))</f>
        <v/>
      </c>
      <c r="Z112" s="123">
        <f>IF(B112="","",((COUNTIFS('Saisie'!$C$5:$C$2004,B112,'Saisie'!$E$5:$E$2004,"Onboarding - Contrat")&gt;0)+(COUNTIFS('Saisie'!$C$5:$C$2004,B112,'Saisie'!$E$5:$E$2004,"Onboarding - Accès")&gt;0)+(COUNTIFS('Saisie'!$C$5:$C$2004,B112,'Saisie'!$E$5:$E$2004,"Onboarding - Contenus")&gt;0)+(COUNTIFS('Saisie'!$C$5:$C$2004,B112,'Saisie'!$E$5:$E$2004,"Onboarding - Lancement")&gt;0))/4)</f>
        <v/>
      </c>
      <c r="AA112" s="60">
        <f>IF(B112="","",IF(COUNTIFS('Saisie'!$C$5:$C$2004,B112,'Saisie'!$E$5:$E$2004,"Demande d'avis Google")&gt;0,"Oui","Non"))</f>
        <v/>
      </c>
      <c r="AB112" s="61">
        <f>IF(B112="","",IFERROR(INDEX('Saisie'!$N$5:$N$2004,_xlfn.MAXIFS('Saisie'!$AS$5:$AS$2004,'Saisie'!$C$5:$C$2004,B112,'Saisie'!$E$5:$E$2004,"Satisfaction client")-4)&amp;"",""))</f>
        <v/>
      </c>
      <c r="AC112" s="106">
        <f>IF(B112="","",IFERROR(1/(1/_xlfn.MAXIFS('Saisie'!$A$5:$A$2004,'Saisie'!$C$5:$C$2004,B112,'Saisie'!$E$5:$E$2004,"Résiliation")),""))</f>
        <v/>
      </c>
      <c r="AD112" s="60">
        <f>IF(D112&lt;&gt;"",MAX($AD$4:AD111)+1,"")</f>
        <v/>
      </c>
    </row>
    <row r="113">
      <c r="A113" s="60">
        <f>IF(B113="","","C-"&amp;TEXT(109,"000"))</f>
        <v/>
      </c>
      <c r="B113" s="60">
        <f>IFERROR(INDEX('Prospects'!$C$5:$C$504,MATCH(109,'Prospects'!$BX$5:$BX$504,0)),"")</f>
        <v/>
      </c>
      <c r="C113" s="60">
        <f>IF(B113="","",IF(AC113&lt;&gt;"","Résilié","Actif"))</f>
        <v/>
      </c>
      <c r="D113" s="60">
        <f>IF(B113="","",IF(C113="Résilié","",IF(R113="En retard","Paiement en retard",IF(AND(V113&lt;&gt;"",N(V113)&lt;='Paramètres'!$B$30,N(V113)&gt;=0),"Renouvellement dans "&amp;V113&amp;" j",IF(AND(AA113="Non",TODAY()-N(L113)&gt;='Paramètres'!$B$29),"Demander un avis Google",IF(Z113&lt;1,"Onboarding à terminer",""))))))</f>
        <v/>
      </c>
      <c r="E113" s="60">
        <f>IF(B113="","",INDEX('Prospects'!$J$5:$J$504,MATCH(B113,'Prospects'!$C$5:$C$504,0))&amp;"")</f>
        <v/>
      </c>
      <c r="F113" s="60">
        <f>IF(B113="","",INDEX('Prospects'!$K$5:$K$504,MATCH(B113,'Prospects'!$C$5:$C$504,0))&amp;"")</f>
        <v/>
      </c>
      <c r="G113" s="60">
        <f>IF(B113="","",INDEX('Prospects'!$N$5:$N$504,MATCH(B113,'Prospects'!$C$5:$C$504,0))&amp;"")</f>
        <v/>
      </c>
      <c r="H113" s="60">
        <f>IF(B113="","",INDEX('Prospects'!$S$5:$S$504,MATCH(B113,'Prospects'!$C$5:$C$504,0))&amp;"")</f>
        <v/>
      </c>
      <c r="I113" s="60">
        <f>IF(B113="","",INDEX('Prospects'!$X$5:$X$504,MATCH(B113,'Prospects'!$C$5:$C$504,0))&amp;"")</f>
        <v/>
      </c>
      <c r="J113" s="60">
        <f>IF(B113="","",INDEX('Prospects'!$Y$5:$Y$504,MATCH(B113,'Prospects'!$C$5:$C$504,0))&amp;"")</f>
        <v/>
      </c>
      <c r="K113" s="60">
        <f>IF(B113="","",INDEX('Prospects'!$AN$5:$AN$504,MATCH(B113,'Prospects'!$C$5:$C$504,0))&amp;"")</f>
        <v/>
      </c>
      <c r="L113" s="106">
        <f>IF(B113="","",INDEX('Prospects'!$AT$5:$AT$504,MATCH(B113,'Prospects'!$C$5:$C$504,0)))</f>
        <v/>
      </c>
      <c r="M113" s="62">
        <f>IF(B113="","",SUMIFS('Saisie'!$AW$5:$AW$2004,'Saisie'!$C$5:$C$2004,B113,'Saisie'!$E$5:$E$2004,"Signature"))</f>
        <v/>
      </c>
      <c r="N113" s="62">
        <f>IF(B113="","",SUMIFS('Saisie'!$AW$5:$AW$2004,'Saisie'!$C$5:$C$2004,B113,'Saisie'!$E$5:$E$2004,"Vente additionnelle"))</f>
        <v/>
      </c>
      <c r="O113" s="62">
        <f>IF(B113="","",M113+N113)</f>
        <v/>
      </c>
      <c r="P113" s="62">
        <f>IF(B113="","",SUMIFS('Saisie'!$AW$5:$AW$2004,'Saisie'!$C$5:$C$2004,B113,'Saisie'!$E$5:$E$2004,"Paiement reçu"))</f>
        <v/>
      </c>
      <c r="Q113" s="62">
        <f>IF(B113="","",MAX(0,O113-P113))</f>
        <v/>
      </c>
      <c r="R113" s="60">
        <f>IF(B113="","",IF(O113=0,"",IF(Q113&lt;=0,"Payé",IF(TODAY()-N(L113)&gt;'Paramètres'!$B$27,"En retard",IF(P113&gt;0,"Partiel","En attente")))))</f>
        <v/>
      </c>
      <c r="S113" s="60">
        <f>IF(B113="","",IFERROR(INDEX('Saisie'!$O$5:$O$2004,_xlfn.MAXIFS('Saisie'!$AS$5:$AS$2004,'Saisie'!$C$5:$C$2004,B113,'Saisie'!$O$5:$O$2004,"&lt;&gt;")-4),""))</f>
        <v/>
      </c>
      <c r="T113" s="62">
        <f>IF(B113="","",N(INDEX('Prospects'!$AO$5:$AO$504,MATCH(B113,'Prospects'!$C$5:$C$504,0))))</f>
        <v/>
      </c>
      <c r="U113" s="106">
        <f>IF(B113="","",IF(L113="","",EDATE(L113,'Paramètres'!$B$33)))</f>
        <v/>
      </c>
      <c r="V113" s="61">
        <f>IF(B113="","",IF(U113="","",U113-TODAY()))</f>
        <v/>
      </c>
      <c r="W113" s="61">
        <f>IF(B113="","",IF(L113="","",INT((TODAY()-L113)/30.44)))</f>
        <v/>
      </c>
      <c r="X113" s="62">
        <f>IF(B113="","",O113+T113*'Paramètres'!$B$34)</f>
        <v/>
      </c>
      <c r="Y113" s="62">
        <f>IF(B113="","",O113-N(IFERROR(INDEX('Paramètres'!$T$6:$T$15,MATCH(K113,'Paramètres'!$Q$6:$Q$15,0)),0)))</f>
        <v/>
      </c>
      <c r="Z113" s="123">
        <f>IF(B113="","",((COUNTIFS('Saisie'!$C$5:$C$2004,B113,'Saisie'!$E$5:$E$2004,"Onboarding - Contrat")&gt;0)+(COUNTIFS('Saisie'!$C$5:$C$2004,B113,'Saisie'!$E$5:$E$2004,"Onboarding - Accès")&gt;0)+(COUNTIFS('Saisie'!$C$5:$C$2004,B113,'Saisie'!$E$5:$E$2004,"Onboarding - Contenus")&gt;0)+(COUNTIFS('Saisie'!$C$5:$C$2004,B113,'Saisie'!$E$5:$E$2004,"Onboarding - Lancement")&gt;0))/4)</f>
        <v/>
      </c>
      <c r="AA113" s="60">
        <f>IF(B113="","",IF(COUNTIFS('Saisie'!$C$5:$C$2004,B113,'Saisie'!$E$5:$E$2004,"Demande d'avis Google")&gt;0,"Oui","Non"))</f>
        <v/>
      </c>
      <c r="AB113" s="61">
        <f>IF(B113="","",IFERROR(INDEX('Saisie'!$N$5:$N$2004,_xlfn.MAXIFS('Saisie'!$AS$5:$AS$2004,'Saisie'!$C$5:$C$2004,B113,'Saisie'!$E$5:$E$2004,"Satisfaction client")-4)&amp;"",""))</f>
        <v/>
      </c>
      <c r="AC113" s="106">
        <f>IF(B113="","",IFERROR(1/(1/_xlfn.MAXIFS('Saisie'!$A$5:$A$2004,'Saisie'!$C$5:$C$2004,B113,'Saisie'!$E$5:$E$2004,"Résiliation")),""))</f>
        <v/>
      </c>
      <c r="AD113" s="60">
        <f>IF(D113&lt;&gt;"",MAX($AD$4:AD112)+1,"")</f>
        <v/>
      </c>
    </row>
    <row r="114">
      <c r="A114" s="60">
        <f>IF(B114="","","C-"&amp;TEXT(110,"000"))</f>
        <v/>
      </c>
      <c r="B114" s="60">
        <f>IFERROR(INDEX('Prospects'!$C$5:$C$504,MATCH(110,'Prospects'!$BX$5:$BX$504,0)),"")</f>
        <v/>
      </c>
      <c r="C114" s="60">
        <f>IF(B114="","",IF(AC114&lt;&gt;"","Résilié","Actif"))</f>
        <v/>
      </c>
      <c r="D114" s="60">
        <f>IF(B114="","",IF(C114="Résilié","",IF(R114="En retard","Paiement en retard",IF(AND(V114&lt;&gt;"",N(V114)&lt;='Paramètres'!$B$30,N(V114)&gt;=0),"Renouvellement dans "&amp;V114&amp;" j",IF(AND(AA114="Non",TODAY()-N(L114)&gt;='Paramètres'!$B$29),"Demander un avis Google",IF(Z114&lt;1,"Onboarding à terminer",""))))))</f>
        <v/>
      </c>
      <c r="E114" s="60">
        <f>IF(B114="","",INDEX('Prospects'!$J$5:$J$504,MATCH(B114,'Prospects'!$C$5:$C$504,0))&amp;"")</f>
        <v/>
      </c>
      <c r="F114" s="60">
        <f>IF(B114="","",INDEX('Prospects'!$K$5:$K$504,MATCH(B114,'Prospects'!$C$5:$C$504,0))&amp;"")</f>
        <v/>
      </c>
      <c r="G114" s="60">
        <f>IF(B114="","",INDEX('Prospects'!$N$5:$N$504,MATCH(B114,'Prospects'!$C$5:$C$504,0))&amp;"")</f>
        <v/>
      </c>
      <c r="H114" s="60">
        <f>IF(B114="","",INDEX('Prospects'!$S$5:$S$504,MATCH(B114,'Prospects'!$C$5:$C$504,0))&amp;"")</f>
        <v/>
      </c>
      <c r="I114" s="60">
        <f>IF(B114="","",INDEX('Prospects'!$X$5:$X$504,MATCH(B114,'Prospects'!$C$5:$C$504,0))&amp;"")</f>
        <v/>
      </c>
      <c r="J114" s="60">
        <f>IF(B114="","",INDEX('Prospects'!$Y$5:$Y$504,MATCH(B114,'Prospects'!$C$5:$C$504,0))&amp;"")</f>
        <v/>
      </c>
      <c r="K114" s="60">
        <f>IF(B114="","",INDEX('Prospects'!$AN$5:$AN$504,MATCH(B114,'Prospects'!$C$5:$C$504,0))&amp;"")</f>
        <v/>
      </c>
      <c r="L114" s="106">
        <f>IF(B114="","",INDEX('Prospects'!$AT$5:$AT$504,MATCH(B114,'Prospects'!$C$5:$C$504,0)))</f>
        <v/>
      </c>
      <c r="M114" s="62">
        <f>IF(B114="","",SUMIFS('Saisie'!$AW$5:$AW$2004,'Saisie'!$C$5:$C$2004,B114,'Saisie'!$E$5:$E$2004,"Signature"))</f>
        <v/>
      </c>
      <c r="N114" s="62">
        <f>IF(B114="","",SUMIFS('Saisie'!$AW$5:$AW$2004,'Saisie'!$C$5:$C$2004,B114,'Saisie'!$E$5:$E$2004,"Vente additionnelle"))</f>
        <v/>
      </c>
      <c r="O114" s="62">
        <f>IF(B114="","",M114+N114)</f>
        <v/>
      </c>
      <c r="P114" s="62">
        <f>IF(B114="","",SUMIFS('Saisie'!$AW$5:$AW$2004,'Saisie'!$C$5:$C$2004,B114,'Saisie'!$E$5:$E$2004,"Paiement reçu"))</f>
        <v/>
      </c>
      <c r="Q114" s="62">
        <f>IF(B114="","",MAX(0,O114-P114))</f>
        <v/>
      </c>
      <c r="R114" s="60">
        <f>IF(B114="","",IF(O114=0,"",IF(Q114&lt;=0,"Payé",IF(TODAY()-N(L114)&gt;'Paramètres'!$B$27,"En retard",IF(P114&gt;0,"Partiel","En attente")))))</f>
        <v/>
      </c>
      <c r="S114" s="60">
        <f>IF(B114="","",IFERROR(INDEX('Saisie'!$O$5:$O$2004,_xlfn.MAXIFS('Saisie'!$AS$5:$AS$2004,'Saisie'!$C$5:$C$2004,B114,'Saisie'!$O$5:$O$2004,"&lt;&gt;")-4),""))</f>
        <v/>
      </c>
      <c r="T114" s="62">
        <f>IF(B114="","",N(INDEX('Prospects'!$AO$5:$AO$504,MATCH(B114,'Prospects'!$C$5:$C$504,0))))</f>
        <v/>
      </c>
      <c r="U114" s="106">
        <f>IF(B114="","",IF(L114="","",EDATE(L114,'Paramètres'!$B$33)))</f>
        <v/>
      </c>
      <c r="V114" s="61">
        <f>IF(B114="","",IF(U114="","",U114-TODAY()))</f>
        <v/>
      </c>
      <c r="W114" s="61">
        <f>IF(B114="","",IF(L114="","",INT((TODAY()-L114)/30.44)))</f>
        <v/>
      </c>
      <c r="X114" s="62">
        <f>IF(B114="","",O114+T114*'Paramètres'!$B$34)</f>
        <v/>
      </c>
      <c r="Y114" s="62">
        <f>IF(B114="","",O114-N(IFERROR(INDEX('Paramètres'!$T$6:$T$15,MATCH(K114,'Paramètres'!$Q$6:$Q$15,0)),0)))</f>
        <v/>
      </c>
      <c r="Z114" s="123">
        <f>IF(B114="","",((COUNTIFS('Saisie'!$C$5:$C$2004,B114,'Saisie'!$E$5:$E$2004,"Onboarding - Contrat")&gt;0)+(COUNTIFS('Saisie'!$C$5:$C$2004,B114,'Saisie'!$E$5:$E$2004,"Onboarding - Accès")&gt;0)+(COUNTIFS('Saisie'!$C$5:$C$2004,B114,'Saisie'!$E$5:$E$2004,"Onboarding - Contenus")&gt;0)+(COUNTIFS('Saisie'!$C$5:$C$2004,B114,'Saisie'!$E$5:$E$2004,"Onboarding - Lancement")&gt;0))/4)</f>
        <v/>
      </c>
      <c r="AA114" s="60">
        <f>IF(B114="","",IF(COUNTIFS('Saisie'!$C$5:$C$2004,B114,'Saisie'!$E$5:$E$2004,"Demande d'avis Google")&gt;0,"Oui","Non"))</f>
        <v/>
      </c>
      <c r="AB114" s="61">
        <f>IF(B114="","",IFERROR(INDEX('Saisie'!$N$5:$N$2004,_xlfn.MAXIFS('Saisie'!$AS$5:$AS$2004,'Saisie'!$C$5:$C$2004,B114,'Saisie'!$E$5:$E$2004,"Satisfaction client")-4)&amp;"",""))</f>
        <v/>
      </c>
      <c r="AC114" s="106">
        <f>IF(B114="","",IFERROR(1/(1/_xlfn.MAXIFS('Saisie'!$A$5:$A$2004,'Saisie'!$C$5:$C$2004,B114,'Saisie'!$E$5:$E$2004,"Résiliation")),""))</f>
        <v/>
      </c>
      <c r="AD114" s="60">
        <f>IF(D114&lt;&gt;"",MAX($AD$4:AD113)+1,"")</f>
        <v/>
      </c>
    </row>
    <row r="115">
      <c r="A115" s="60">
        <f>IF(B115="","","C-"&amp;TEXT(111,"000"))</f>
        <v/>
      </c>
      <c r="B115" s="60">
        <f>IFERROR(INDEX('Prospects'!$C$5:$C$504,MATCH(111,'Prospects'!$BX$5:$BX$504,0)),"")</f>
        <v/>
      </c>
      <c r="C115" s="60">
        <f>IF(B115="","",IF(AC115&lt;&gt;"","Résilié","Actif"))</f>
        <v/>
      </c>
      <c r="D115" s="60">
        <f>IF(B115="","",IF(C115="Résilié","",IF(R115="En retard","Paiement en retard",IF(AND(V115&lt;&gt;"",N(V115)&lt;='Paramètres'!$B$30,N(V115)&gt;=0),"Renouvellement dans "&amp;V115&amp;" j",IF(AND(AA115="Non",TODAY()-N(L115)&gt;='Paramètres'!$B$29),"Demander un avis Google",IF(Z115&lt;1,"Onboarding à terminer",""))))))</f>
        <v/>
      </c>
      <c r="E115" s="60">
        <f>IF(B115="","",INDEX('Prospects'!$J$5:$J$504,MATCH(B115,'Prospects'!$C$5:$C$504,0))&amp;"")</f>
        <v/>
      </c>
      <c r="F115" s="60">
        <f>IF(B115="","",INDEX('Prospects'!$K$5:$K$504,MATCH(B115,'Prospects'!$C$5:$C$504,0))&amp;"")</f>
        <v/>
      </c>
      <c r="G115" s="60">
        <f>IF(B115="","",INDEX('Prospects'!$N$5:$N$504,MATCH(B115,'Prospects'!$C$5:$C$504,0))&amp;"")</f>
        <v/>
      </c>
      <c r="H115" s="60">
        <f>IF(B115="","",INDEX('Prospects'!$S$5:$S$504,MATCH(B115,'Prospects'!$C$5:$C$504,0))&amp;"")</f>
        <v/>
      </c>
      <c r="I115" s="60">
        <f>IF(B115="","",INDEX('Prospects'!$X$5:$X$504,MATCH(B115,'Prospects'!$C$5:$C$504,0))&amp;"")</f>
        <v/>
      </c>
      <c r="J115" s="60">
        <f>IF(B115="","",INDEX('Prospects'!$Y$5:$Y$504,MATCH(B115,'Prospects'!$C$5:$C$504,0))&amp;"")</f>
        <v/>
      </c>
      <c r="K115" s="60">
        <f>IF(B115="","",INDEX('Prospects'!$AN$5:$AN$504,MATCH(B115,'Prospects'!$C$5:$C$504,0))&amp;"")</f>
        <v/>
      </c>
      <c r="L115" s="106">
        <f>IF(B115="","",INDEX('Prospects'!$AT$5:$AT$504,MATCH(B115,'Prospects'!$C$5:$C$504,0)))</f>
        <v/>
      </c>
      <c r="M115" s="62">
        <f>IF(B115="","",SUMIFS('Saisie'!$AW$5:$AW$2004,'Saisie'!$C$5:$C$2004,B115,'Saisie'!$E$5:$E$2004,"Signature"))</f>
        <v/>
      </c>
      <c r="N115" s="62">
        <f>IF(B115="","",SUMIFS('Saisie'!$AW$5:$AW$2004,'Saisie'!$C$5:$C$2004,B115,'Saisie'!$E$5:$E$2004,"Vente additionnelle"))</f>
        <v/>
      </c>
      <c r="O115" s="62">
        <f>IF(B115="","",M115+N115)</f>
        <v/>
      </c>
      <c r="P115" s="62">
        <f>IF(B115="","",SUMIFS('Saisie'!$AW$5:$AW$2004,'Saisie'!$C$5:$C$2004,B115,'Saisie'!$E$5:$E$2004,"Paiement reçu"))</f>
        <v/>
      </c>
      <c r="Q115" s="62">
        <f>IF(B115="","",MAX(0,O115-P115))</f>
        <v/>
      </c>
      <c r="R115" s="60">
        <f>IF(B115="","",IF(O115=0,"",IF(Q115&lt;=0,"Payé",IF(TODAY()-N(L115)&gt;'Paramètres'!$B$27,"En retard",IF(P115&gt;0,"Partiel","En attente")))))</f>
        <v/>
      </c>
      <c r="S115" s="60">
        <f>IF(B115="","",IFERROR(INDEX('Saisie'!$O$5:$O$2004,_xlfn.MAXIFS('Saisie'!$AS$5:$AS$2004,'Saisie'!$C$5:$C$2004,B115,'Saisie'!$O$5:$O$2004,"&lt;&gt;")-4),""))</f>
        <v/>
      </c>
      <c r="T115" s="62">
        <f>IF(B115="","",N(INDEX('Prospects'!$AO$5:$AO$504,MATCH(B115,'Prospects'!$C$5:$C$504,0))))</f>
        <v/>
      </c>
      <c r="U115" s="106">
        <f>IF(B115="","",IF(L115="","",EDATE(L115,'Paramètres'!$B$33)))</f>
        <v/>
      </c>
      <c r="V115" s="61">
        <f>IF(B115="","",IF(U115="","",U115-TODAY()))</f>
        <v/>
      </c>
      <c r="W115" s="61">
        <f>IF(B115="","",IF(L115="","",INT((TODAY()-L115)/30.44)))</f>
        <v/>
      </c>
      <c r="X115" s="62">
        <f>IF(B115="","",O115+T115*'Paramètres'!$B$34)</f>
        <v/>
      </c>
      <c r="Y115" s="62">
        <f>IF(B115="","",O115-N(IFERROR(INDEX('Paramètres'!$T$6:$T$15,MATCH(K115,'Paramètres'!$Q$6:$Q$15,0)),0)))</f>
        <v/>
      </c>
      <c r="Z115" s="123">
        <f>IF(B115="","",((COUNTIFS('Saisie'!$C$5:$C$2004,B115,'Saisie'!$E$5:$E$2004,"Onboarding - Contrat")&gt;0)+(COUNTIFS('Saisie'!$C$5:$C$2004,B115,'Saisie'!$E$5:$E$2004,"Onboarding - Accès")&gt;0)+(COUNTIFS('Saisie'!$C$5:$C$2004,B115,'Saisie'!$E$5:$E$2004,"Onboarding - Contenus")&gt;0)+(COUNTIFS('Saisie'!$C$5:$C$2004,B115,'Saisie'!$E$5:$E$2004,"Onboarding - Lancement")&gt;0))/4)</f>
        <v/>
      </c>
      <c r="AA115" s="60">
        <f>IF(B115="","",IF(COUNTIFS('Saisie'!$C$5:$C$2004,B115,'Saisie'!$E$5:$E$2004,"Demande d'avis Google")&gt;0,"Oui","Non"))</f>
        <v/>
      </c>
      <c r="AB115" s="61">
        <f>IF(B115="","",IFERROR(INDEX('Saisie'!$N$5:$N$2004,_xlfn.MAXIFS('Saisie'!$AS$5:$AS$2004,'Saisie'!$C$5:$C$2004,B115,'Saisie'!$E$5:$E$2004,"Satisfaction client")-4)&amp;"",""))</f>
        <v/>
      </c>
      <c r="AC115" s="106">
        <f>IF(B115="","",IFERROR(1/(1/_xlfn.MAXIFS('Saisie'!$A$5:$A$2004,'Saisie'!$C$5:$C$2004,B115,'Saisie'!$E$5:$E$2004,"Résiliation")),""))</f>
        <v/>
      </c>
      <c r="AD115" s="60">
        <f>IF(D115&lt;&gt;"",MAX($AD$4:AD114)+1,"")</f>
        <v/>
      </c>
    </row>
    <row r="116">
      <c r="A116" s="60">
        <f>IF(B116="","","C-"&amp;TEXT(112,"000"))</f>
        <v/>
      </c>
      <c r="B116" s="60">
        <f>IFERROR(INDEX('Prospects'!$C$5:$C$504,MATCH(112,'Prospects'!$BX$5:$BX$504,0)),"")</f>
        <v/>
      </c>
      <c r="C116" s="60">
        <f>IF(B116="","",IF(AC116&lt;&gt;"","Résilié","Actif"))</f>
        <v/>
      </c>
      <c r="D116" s="60">
        <f>IF(B116="","",IF(C116="Résilié","",IF(R116="En retard","Paiement en retard",IF(AND(V116&lt;&gt;"",N(V116)&lt;='Paramètres'!$B$30,N(V116)&gt;=0),"Renouvellement dans "&amp;V116&amp;" j",IF(AND(AA116="Non",TODAY()-N(L116)&gt;='Paramètres'!$B$29),"Demander un avis Google",IF(Z116&lt;1,"Onboarding à terminer",""))))))</f>
        <v/>
      </c>
      <c r="E116" s="60">
        <f>IF(B116="","",INDEX('Prospects'!$J$5:$J$504,MATCH(B116,'Prospects'!$C$5:$C$504,0))&amp;"")</f>
        <v/>
      </c>
      <c r="F116" s="60">
        <f>IF(B116="","",INDEX('Prospects'!$K$5:$K$504,MATCH(B116,'Prospects'!$C$5:$C$504,0))&amp;"")</f>
        <v/>
      </c>
      <c r="G116" s="60">
        <f>IF(B116="","",INDEX('Prospects'!$N$5:$N$504,MATCH(B116,'Prospects'!$C$5:$C$504,0))&amp;"")</f>
        <v/>
      </c>
      <c r="H116" s="60">
        <f>IF(B116="","",INDEX('Prospects'!$S$5:$S$504,MATCH(B116,'Prospects'!$C$5:$C$504,0))&amp;"")</f>
        <v/>
      </c>
      <c r="I116" s="60">
        <f>IF(B116="","",INDEX('Prospects'!$X$5:$X$504,MATCH(B116,'Prospects'!$C$5:$C$504,0))&amp;"")</f>
        <v/>
      </c>
      <c r="J116" s="60">
        <f>IF(B116="","",INDEX('Prospects'!$Y$5:$Y$504,MATCH(B116,'Prospects'!$C$5:$C$504,0))&amp;"")</f>
        <v/>
      </c>
      <c r="K116" s="60">
        <f>IF(B116="","",INDEX('Prospects'!$AN$5:$AN$504,MATCH(B116,'Prospects'!$C$5:$C$504,0))&amp;"")</f>
        <v/>
      </c>
      <c r="L116" s="106">
        <f>IF(B116="","",INDEX('Prospects'!$AT$5:$AT$504,MATCH(B116,'Prospects'!$C$5:$C$504,0)))</f>
        <v/>
      </c>
      <c r="M116" s="62">
        <f>IF(B116="","",SUMIFS('Saisie'!$AW$5:$AW$2004,'Saisie'!$C$5:$C$2004,B116,'Saisie'!$E$5:$E$2004,"Signature"))</f>
        <v/>
      </c>
      <c r="N116" s="62">
        <f>IF(B116="","",SUMIFS('Saisie'!$AW$5:$AW$2004,'Saisie'!$C$5:$C$2004,B116,'Saisie'!$E$5:$E$2004,"Vente additionnelle"))</f>
        <v/>
      </c>
      <c r="O116" s="62">
        <f>IF(B116="","",M116+N116)</f>
        <v/>
      </c>
      <c r="P116" s="62">
        <f>IF(B116="","",SUMIFS('Saisie'!$AW$5:$AW$2004,'Saisie'!$C$5:$C$2004,B116,'Saisie'!$E$5:$E$2004,"Paiement reçu"))</f>
        <v/>
      </c>
      <c r="Q116" s="62">
        <f>IF(B116="","",MAX(0,O116-P116))</f>
        <v/>
      </c>
      <c r="R116" s="60">
        <f>IF(B116="","",IF(O116=0,"",IF(Q116&lt;=0,"Payé",IF(TODAY()-N(L116)&gt;'Paramètres'!$B$27,"En retard",IF(P116&gt;0,"Partiel","En attente")))))</f>
        <v/>
      </c>
      <c r="S116" s="60">
        <f>IF(B116="","",IFERROR(INDEX('Saisie'!$O$5:$O$2004,_xlfn.MAXIFS('Saisie'!$AS$5:$AS$2004,'Saisie'!$C$5:$C$2004,B116,'Saisie'!$O$5:$O$2004,"&lt;&gt;")-4),""))</f>
        <v/>
      </c>
      <c r="T116" s="62">
        <f>IF(B116="","",N(INDEX('Prospects'!$AO$5:$AO$504,MATCH(B116,'Prospects'!$C$5:$C$504,0))))</f>
        <v/>
      </c>
      <c r="U116" s="106">
        <f>IF(B116="","",IF(L116="","",EDATE(L116,'Paramètres'!$B$33)))</f>
        <v/>
      </c>
      <c r="V116" s="61">
        <f>IF(B116="","",IF(U116="","",U116-TODAY()))</f>
        <v/>
      </c>
      <c r="W116" s="61">
        <f>IF(B116="","",IF(L116="","",INT((TODAY()-L116)/30.44)))</f>
        <v/>
      </c>
      <c r="X116" s="62">
        <f>IF(B116="","",O116+T116*'Paramètres'!$B$34)</f>
        <v/>
      </c>
      <c r="Y116" s="62">
        <f>IF(B116="","",O116-N(IFERROR(INDEX('Paramètres'!$T$6:$T$15,MATCH(K116,'Paramètres'!$Q$6:$Q$15,0)),0)))</f>
        <v/>
      </c>
      <c r="Z116" s="123">
        <f>IF(B116="","",((COUNTIFS('Saisie'!$C$5:$C$2004,B116,'Saisie'!$E$5:$E$2004,"Onboarding - Contrat")&gt;0)+(COUNTIFS('Saisie'!$C$5:$C$2004,B116,'Saisie'!$E$5:$E$2004,"Onboarding - Accès")&gt;0)+(COUNTIFS('Saisie'!$C$5:$C$2004,B116,'Saisie'!$E$5:$E$2004,"Onboarding - Contenus")&gt;0)+(COUNTIFS('Saisie'!$C$5:$C$2004,B116,'Saisie'!$E$5:$E$2004,"Onboarding - Lancement")&gt;0))/4)</f>
        <v/>
      </c>
      <c r="AA116" s="60">
        <f>IF(B116="","",IF(COUNTIFS('Saisie'!$C$5:$C$2004,B116,'Saisie'!$E$5:$E$2004,"Demande d'avis Google")&gt;0,"Oui","Non"))</f>
        <v/>
      </c>
      <c r="AB116" s="61">
        <f>IF(B116="","",IFERROR(INDEX('Saisie'!$N$5:$N$2004,_xlfn.MAXIFS('Saisie'!$AS$5:$AS$2004,'Saisie'!$C$5:$C$2004,B116,'Saisie'!$E$5:$E$2004,"Satisfaction client")-4)&amp;"",""))</f>
        <v/>
      </c>
      <c r="AC116" s="106">
        <f>IF(B116="","",IFERROR(1/(1/_xlfn.MAXIFS('Saisie'!$A$5:$A$2004,'Saisie'!$C$5:$C$2004,B116,'Saisie'!$E$5:$E$2004,"Résiliation")),""))</f>
        <v/>
      </c>
      <c r="AD116" s="60">
        <f>IF(D116&lt;&gt;"",MAX($AD$4:AD115)+1,"")</f>
        <v/>
      </c>
    </row>
    <row r="117">
      <c r="A117" s="60">
        <f>IF(B117="","","C-"&amp;TEXT(113,"000"))</f>
        <v/>
      </c>
      <c r="B117" s="60">
        <f>IFERROR(INDEX('Prospects'!$C$5:$C$504,MATCH(113,'Prospects'!$BX$5:$BX$504,0)),"")</f>
        <v/>
      </c>
      <c r="C117" s="60">
        <f>IF(B117="","",IF(AC117&lt;&gt;"","Résilié","Actif"))</f>
        <v/>
      </c>
      <c r="D117" s="60">
        <f>IF(B117="","",IF(C117="Résilié","",IF(R117="En retard","Paiement en retard",IF(AND(V117&lt;&gt;"",N(V117)&lt;='Paramètres'!$B$30,N(V117)&gt;=0),"Renouvellement dans "&amp;V117&amp;" j",IF(AND(AA117="Non",TODAY()-N(L117)&gt;='Paramètres'!$B$29),"Demander un avis Google",IF(Z117&lt;1,"Onboarding à terminer",""))))))</f>
        <v/>
      </c>
      <c r="E117" s="60">
        <f>IF(B117="","",INDEX('Prospects'!$J$5:$J$504,MATCH(B117,'Prospects'!$C$5:$C$504,0))&amp;"")</f>
        <v/>
      </c>
      <c r="F117" s="60">
        <f>IF(B117="","",INDEX('Prospects'!$K$5:$K$504,MATCH(B117,'Prospects'!$C$5:$C$504,0))&amp;"")</f>
        <v/>
      </c>
      <c r="G117" s="60">
        <f>IF(B117="","",INDEX('Prospects'!$N$5:$N$504,MATCH(B117,'Prospects'!$C$5:$C$504,0))&amp;"")</f>
        <v/>
      </c>
      <c r="H117" s="60">
        <f>IF(B117="","",INDEX('Prospects'!$S$5:$S$504,MATCH(B117,'Prospects'!$C$5:$C$504,0))&amp;"")</f>
        <v/>
      </c>
      <c r="I117" s="60">
        <f>IF(B117="","",INDEX('Prospects'!$X$5:$X$504,MATCH(B117,'Prospects'!$C$5:$C$504,0))&amp;"")</f>
        <v/>
      </c>
      <c r="J117" s="60">
        <f>IF(B117="","",INDEX('Prospects'!$Y$5:$Y$504,MATCH(B117,'Prospects'!$C$5:$C$504,0))&amp;"")</f>
        <v/>
      </c>
      <c r="K117" s="60">
        <f>IF(B117="","",INDEX('Prospects'!$AN$5:$AN$504,MATCH(B117,'Prospects'!$C$5:$C$504,0))&amp;"")</f>
        <v/>
      </c>
      <c r="L117" s="106">
        <f>IF(B117="","",INDEX('Prospects'!$AT$5:$AT$504,MATCH(B117,'Prospects'!$C$5:$C$504,0)))</f>
        <v/>
      </c>
      <c r="M117" s="62">
        <f>IF(B117="","",SUMIFS('Saisie'!$AW$5:$AW$2004,'Saisie'!$C$5:$C$2004,B117,'Saisie'!$E$5:$E$2004,"Signature"))</f>
        <v/>
      </c>
      <c r="N117" s="62">
        <f>IF(B117="","",SUMIFS('Saisie'!$AW$5:$AW$2004,'Saisie'!$C$5:$C$2004,B117,'Saisie'!$E$5:$E$2004,"Vente additionnelle"))</f>
        <v/>
      </c>
      <c r="O117" s="62">
        <f>IF(B117="","",M117+N117)</f>
        <v/>
      </c>
      <c r="P117" s="62">
        <f>IF(B117="","",SUMIFS('Saisie'!$AW$5:$AW$2004,'Saisie'!$C$5:$C$2004,B117,'Saisie'!$E$5:$E$2004,"Paiement reçu"))</f>
        <v/>
      </c>
      <c r="Q117" s="62">
        <f>IF(B117="","",MAX(0,O117-P117))</f>
        <v/>
      </c>
      <c r="R117" s="60">
        <f>IF(B117="","",IF(O117=0,"",IF(Q117&lt;=0,"Payé",IF(TODAY()-N(L117)&gt;'Paramètres'!$B$27,"En retard",IF(P117&gt;0,"Partiel","En attente")))))</f>
        <v/>
      </c>
      <c r="S117" s="60">
        <f>IF(B117="","",IFERROR(INDEX('Saisie'!$O$5:$O$2004,_xlfn.MAXIFS('Saisie'!$AS$5:$AS$2004,'Saisie'!$C$5:$C$2004,B117,'Saisie'!$O$5:$O$2004,"&lt;&gt;")-4),""))</f>
        <v/>
      </c>
      <c r="T117" s="62">
        <f>IF(B117="","",N(INDEX('Prospects'!$AO$5:$AO$504,MATCH(B117,'Prospects'!$C$5:$C$504,0))))</f>
        <v/>
      </c>
      <c r="U117" s="106">
        <f>IF(B117="","",IF(L117="","",EDATE(L117,'Paramètres'!$B$33)))</f>
        <v/>
      </c>
      <c r="V117" s="61">
        <f>IF(B117="","",IF(U117="","",U117-TODAY()))</f>
        <v/>
      </c>
      <c r="W117" s="61">
        <f>IF(B117="","",IF(L117="","",INT((TODAY()-L117)/30.44)))</f>
        <v/>
      </c>
      <c r="X117" s="62">
        <f>IF(B117="","",O117+T117*'Paramètres'!$B$34)</f>
        <v/>
      </c>
      <c r="Y117" s="62">
        <f>IF(B117="","",O117-N(IFERROR(INDEX('Paramètres'!$T$6:$T$15,MATCH(K117,'Paramètres'!$Q$6:$Q$15,0)),0)))</f>
        <v/>
      </c>
      <c r="Z117" s="123">
        <f>IF(B117="","",((COUNTIFS('Saisie'!$C$5:$C$2004,B117,'Saisie'!$E$5:$E$2004,"Onboarding - Contrat")&gt;0)+(COUNTIFS('Saisie'!$C$5:$C$2004,B117,'Saisie'!$E$5:$E$2004,"Onboarding - Accès")&gt;0)+(COUNTIFS('Saisie'!$C$5:$C$2004,B117,'Saisie'!$E$5:$E$2004,"Onboarding - Contenus")&gt;0)+(COUNTIFS('Saisie'!$C$5:$C$2004,B117,'Saisie'!$E$5:$E$2004,"Onboarding - Lancement")&gt;0))/4)</f>
        <v/>
      </c>
      <c r="AA117" s="60">
        <f>IF(B117="","",IF(COUNTIFS('Saisie'!$C$5:$C$2004,B117,'Saisie'!$E$5:$E$2004,"Demande d'avis Google")&gt;0,"Oui","Non"))</f>
        <v/>
      </c>
      <c r="AB117" s="61">
        <f>IF(B117="","",IFERROR(INDEX('Saisie'!$N$5:$N$2004,_xlfn.MAXIFS('Saisie'!$AS$5:$AS$2004,'Saisie'!$C$5:$C$2004,B117,'Saisie'!$E$5:$E$2004,"Satisfaction client")-4)&amp;"",""))</f>
        <v/>
      </c>
      <c r="AC117" s="106">
        <f>IF(B117="","",IFERROR(1/(1/_xlfn.MAXIFS('Saisie'!$A$5:$A$2004,'Saisie'!$C$5:$C$2004,B117,'Saisie'!$E$5:$E$2004,"Résiliation")),""))</f>
        <v/>
      </c>
      <c r="AD117" s="60">
        <f>IF(D117&lt;&gt;"",MAX($AD$4:AD116)+1,"")</f>
        <v/>
      </c>
    </row>
    <row r="118">
      <c r="A118" s="60">
        <f>IF(B118="","","C-"&amp;TEXT(114,"000"))</f>
        <v/>
      </c>
      <c r="B118" s="60">
        <f>IFERROR(INDEX('Prospects'!$C$5:$C$504,MATCH(114,'Prospects'!$BX$5:$BX$504,0)),"")</f>
        <v/>
      </c>
      <c r="C118" s="60">
        <f>IF(B118="","",IF(AC118&lt;&gt;"","Résilié","Actif"))</f>
        <v/>
      </c>
      <c r="D118" s="60">
        <f>IF(B118="","",IF(C118="Résilié","",IF(R118="En retard","Paiement en retard",IF(AND(V118&lt;&gt;"",N(V118)&lt;='Paramètres'!$B$30,N(V118)&gt;=0),"Renouvellement dans "&amp;V118&amp;" j",IF(AND(AA118="Non",TODAY()-N(L118)&gt;='Paramètres'!$B$29),"Demander un avis Google",IF(Z118&lt;1,"Onboarding à terminer",""))))))</f>
        <v/>
      </c>
      <c r="E118" s="60">
        <f>IF(B118="","",INDEX('Prospects'!$J$5:$J$504,MATCH(B118,'Prospects'!$C$5:$C$504,0))&amp;"")</f>
        <v/>
      </c>
      <c r="F118" s="60">
        <f>IF(B118="","",INDEX('Prospects'!$K$5:$K$504,MATCH(B118,'Prospects'!$C$5:$C$504,0))&amp;"")</f>
        <v/>
      </c>
      <c r="G118" s="60">
        <f>IF(B118="","",INDEX('Prospects'!$N$5:$N$504,MATCH(B118,'Prospects'!$C$5:$C$504,0))&amp;"")</f>
        <v/>
      </c>
      <c r="H118" s="60">
        <f>IF(B118="","",INDEX('Prospects'!$S$5:$S$504,MATCH(B118,'Prospects'!$C$5:$C$504,0))&amp;"")</f>
        <v/>
      </c>
      <c r="I118" s="60">
        <f>IF(B118="","",INDEX('Prospects'!$X$5:$X$504,MATCH(B118,'Prospects'!$C$5:$C$504,0))&amp;"")</f>
        <v/>
      </c>
      <c r="J118" s="60">
        <f>IF(B118="","",INDEX('Prospects'!$Y$5:$Y$504,MATCH(B118,'Prospects'!$C$5:$C$504,0))&amp;"")</f>
        <v/>
      </c>
      <c r="K118" s="60">
        <f>IF(B118="","",INDEX('Prospects'!$AN$5:$AN$504,MATCH(B118,'Prospects'!$C$5:$C$504,0))&amp;"")</f>
        <v/>
      </c>
      <c r="L118" s="106">
        <f>IF(B118="","",INDEX('Prospects'!$AT$5:$AT$504,MATCH(B118,'Prospects'!$C$5:$C$504,0)))</f>
        <v/>
      </c>
      <c r="M118" s="62">
        <f>IF(B118="","",SUMIFS('Saisie'!$AW$5:$AW$2004,'Saisie'!$C$5:$C$2004,B118,'Saisie'!$E$5:$E$2004,"Signature"))</f>
        <v/>
      </c>
      <c r="N118" s="62">
        <f>IF(B118="","",SUMIFS('Saisie'!$AW$5:$AW$2004,'Saisie'!$C$5:$C$2004,B118,'Saisie'!$E$5:$E$2004,"Vente additionnelle"))</f>
        <v/>
      </c>
      <c r="O118" s="62">
        <f>IF(B118="","",M118+N118)</f>
        <v/>
      </c>
      <c r="P118" s="62">
        <f>IF(B118="","",SUMIFS('Saisie'!$AW$5:$AW$2004,'Saisie'!$C$5:$C$2004,B118,'Saisie'!$E$5:$E$2004,"Paiement reçu"))</f>
        <v/>
      </c>
      <c r="Q118" s="62">
        <f>IF(B118="","",MAX(0,O118-P118))</f>
        <v/>
      </c>
      <c r="R118" s="60">
        <f>IF(B118="","",IF(O118=0,"",IF(Q118&lt;=0,"Payé",IF(TODAY()-N(L118)&gt;'Paramètres'!$B$27,"En retard",IF(P118&gt;0,"Partiel","En attente")))))</f>
        <v/>
      </c>
      <c r="S118" s="60">
        <f>IF(B118="","",IFERROR(INDEX('Saisie'!$O$5:$O$2004,_xlfn.MAXIFS('Saisie'!$AS$5:$AS$2004,'Saisie'!$C$5:$C$2004,B118,'Saisie'!$O$5:$O$2004,"&lt;&gt;")-4),""))</f>
        <v/>
      </c>
      <c r="T118" s="62">
        <f>IF(B118="","",N(INDEX('Prospects'!$AO$5:$AO$504,MATCH(B118,'Prospects'!$C$5:$C$504,0))))</f>
        <v/>
      </c>
      <c r="U118" s="106">
        <f>IF(B118="","",IF(L118="","",EDATE(L118,'Paramètres'!$B$33)))</f>
        <v/>
      </c>
      <c r="V118" s="61">
        <f>IF(B118="","",IF(U118="","",U118-TODAY()))</f>
        <v/>
      </c>
      <c r="W118" s="61">
        <f>IF(B118="","",IF(L118="","",INT((TODAY()-L118)/30.44)))</f>
        <v/>
      </c>
      <c r="X118" s="62">
        <f>IF(B118="","",O118+T118*'Paramètres'!$B$34)</f>
        <v/>
      </c>
      <c r="Y118" s="62">
        <f>IF(B118="","",O118-N(IFERROR(INDEX('Paramètres'!$T$6:$T$15,MATCH(K118,'Paramètres'!$Q$6:$Q$15,0)),0)))</f>
        <v/>
      </c>
      <c r="Z118" s="123">
        <f>IF(B118="","",((COUNTIFS('Saisie'!$C$5:$C$2004,B118,'Saisie'!$E$5:$E$2004,"Onboarding - Contrat")&gt;0)+(COUNTIFS('Saisie'!$C$5:$C$2004,B118,'Saisie'!$E$5:$E$2004,"Onboarding - Accès")&gt;0)+(COUNTIFS('Saisie'!$C$5:$C$2004,B118,'Saisie'!$E$5:$E$2004,"Onboarding - Contenus")&gt;0)+(COUNTIFS('Saisie'!$C$5:$C$2004,B118,'Saisie'!$E$5:$E$2004,"Onboarding - Lancement")&gt;0))/4)</f>
        <v/>
      </c>
      <c r="AA118" s="60">
        <f>IF(B118="","",IF(COUNTIFS('Saisie'!$C$5:$C$2004,B118,'Saisie'!$E$5:$E$2004,"Demande d'avis Google")&gt;0,"Oui","Non"))</f>
        <v/>
      </c>
      <c r="AB118" s="61">
        <f>IF(B118="","",IFERROR(INDEX('Saisie'!$N$5:$N$2004,_xlfn.MAXIFS('Saisie'!$AS$5:$AS$2004,'Saisie'!$C$5:$C$2004,B118,'Saisie'!$E$5:$E$2004,"Satisfaction client")-4)&amp;"",""))</f>
        <v/>
      </c>
      <c r="AC118" s="106">
        <f>IF(B118="","",IFERROR(1/(1/_xlfn.MAXIFS('Saisie'!$A$5:$A$2004,'Saisie'!$C$5:$C$2004,B118,'Saisie'!$E$5:$E$2004,"Résiliation")),""))</f>
        <v/>
      </c>
      <c r="AD118" s="60">
        <f>IF(D118&lt;&gt;"",MAX($AD$4:AD117)+1,"")</f>
        <v/>
      </c>
    </row>
    <row r="119">
      <c r="A119" s="60">
        <f>IF(B119="","","C-"&amp;TEXT(115,"000"))</f>
        <v/>
      </c>
      <c r="B119" s="60">
        <f>IFERROR(INDEX('Prospects'!$C$5:$C$504,MATCH(115,'Prospects'!$BX$5:$BX$504,0)),"")</f>
        <v/>
      </c>
      <c r="C119" s="60">
        <f>IF(B119="","",IF(AC119&lt;&gt;"","Résilié","Actif"))</f>
        <v/>
      </c>
      <c r="D119" s="60">
        <f>IF(B119="","",IF(C119="Résilié","",IF(R119="En retard","Paiement en retard",IF(AND(V119&lt;&gt;"",N(V119)&lt;='Paramètres'!$B$30,N(V119)&gt;=0),"Renouvellement dans "&amp;V119&amp;" j",IF(AND(AA119="Non",TODAY()-N(L119)&gt;='Paramètres'!$B$29),"Demander un avis Google",IF(Z119&lt;1,"Onboarding à terminer",""))))))</f>
        <v/>
      </c>
      <c r="E119" s="60">
        <f>IF(B119="","",INDEX('Prospects'!$J$5:$J$504,MATCH(B119,'Prospects'!$C$5:$C$504,0))&amp;"")</f>
        <v/>
      </c>
      <c r="F119" s="60">
        <f>IF(B119="","",INDEX('Prospects'!$K$5:$K$504,MATCH(B119,'Prospects'!$C$5:$C$504,0))&amp;"")</f>
        <v/>
      </c>
      <c r="G119" s="60">
        <f>IF(B119="","",INDEX('Prospects'!$N$5:$N$504,MATCH(B119,'Prospects'!$C$5:$C$504,0))&amp;"")</f>
        <v/>
      </c>
      <c r="H119" s="60">
        <f>IF(B119="","",INDEX('Prospects'!$S$5:$S$504,MATCH(B119,'Prospects'!$C$5:$C$504,0))&amp;"")</f>
        <v/>
      </c>
      <c r="I119" s="60">
        <f>IF(B119="","",INDEX('Prospects'!$X$5:$X$504,MATCH(B119,'Prospects'!$C$5:$C$504,0))&amp;"")</f>
        <v/>
      </c>
      <c r="J119" s="60">
        <f>IF(B119="","",INDEX('Prospects'!$Y$5:$Y$504,MATCH(B119,'Prospects'!$C$5:$C$504,0))&amp;"")</f>
        <v/>
      </c>
      <c r="K119" s="60">
        <f>IF(B119="","",INDEX('Prospects'!$AN$5:$AN$504,MATCH(B119,'Prospects'!$C$5:$C$504,0))&amp;"")</f>
        <v/>
      </c>
      <c r="L119" s="106">
        <f>IF(B119="","",INDEX('Prospects'!$AT$5:$AT$504,MATCH(B119,'Prospects'!$C$5:$C$504,0)))</f>
        <v/>
      </c>
      <c r="M119" s="62">
        <f>IF(B119="","",SUMIFS('Saisie'!$AW$5:$AW$2004,'Saisie'!$C$5:$C$2004,B119,'Saisie'!$E$5:$E$2004,"Signature"))</f>
        <v/>
      </c>
      <c r="N119" s="62">
        <f>IF(B119="","",SUMIFS('Saisie'!$AW$5:$AW$2004,'Saisie'!$C$5:$C$2004,B119,'Saisie'!$E$5:$E$2004,"Vente additionnelle"))</f>
        <v/>
      </c>
      <c r="O119" s="62">
        <f>IF(B119="","",M119+N119)</f>
        <v/>
      </c>
      <c r="P119" s="62">
        <f>IF(B119="","",SUMIFS('Saisie'!$AW$5:$AW$2004,'Saisie'!$C$5:$C$2004,B119,'Saisie'!$E$5:$E$2004,"Paiement reçu"))</f>
        <v/>
      </c>
      <c r="Q119" s="62">
        <f>IF(B119="","",MAX(0,O119-P119))</f>
        <v/>
      </c>
      <c r="R119" s="60">
        <f>IF(B119="","",IF(O119=0,"",IF(Q119&lt;=0,"Payé",IF(TODAY()-N(L119)&gt;'Paramètres'!$B$27,"En retard",IF(P119&gt;0,"Partiel","En attente")))))</f>
        <v/>
      </c>
      <c r="S119" s="60">
        <f>IF(B119="","",IFERROR(INDEX('Saisie'!$O$5:$O$2004,_xlfn.MAXIFS('Saisie'!$AS$5:$AS$2004,'Saisie'!$C$5:$C$2004,B119,'Saisie'!$O$5:$O$2004,"&lt;&gt;")-4),""))</f>
        <v/>
      </c>
      <c r="T119" s="62">
        <f>IF(B119="","",N(INDEX('Prospects'!$AO$5:$AO$504,MATCH(B119,'Prospects'!$C$5:$C$504,0))))</f>
        <v/>
      </c>
      <c r="U119" s="106">
        <f>IF(B119="","",IF(L119="","",EDATE(L119,'Paramètres'!$B$33)))</f>
        <v/>
      </c>
      <c r="V119" s="61">
        <f>IF(B119="","",IF(U119="","",U119-TODAY()))</f>
        <v/>
      </c>
      <c r="W119" s="61">
        <f>IF(B119="","",IF(L119="","",INT((TODAY()-L119)/30.44)))</f>
        <v/>
      </c>
      <c r="X119" s="62">
        <f>IF(B119="","",O119+T119*'Paramètres'!$B$34)</f>
        <v/>
      </c>
      <c r="Y119" s="62">
        <f>IF(B119="","",O119-N(IFERROR(INDEX('Paramètres'!$T$6:$T$15,MATCH(K119,'Paramètres'!$Q$6:$Q$15,0)),0)))</f>
        <v/>
      </c>
      <c r="Z119" s="123">
        <f>IF(B119="","",((COUNTIFS('Saisie'!$C$5:$C$2004,B119,'Saisie'!$E$5:$E$2004,"Onboarding - Contrat")&gt;0)+(COUNTIFS('Saisie'!$C$5:$C$2004,B119,'Saisie'!$E$5:$E$2004,"Onboarding - Accès")&gt;0)+(COUNTIFS('Saisie'!$C$5:$C$2004,B119,'Saisie'!$E$5:$E$2004,"Onboarding - Contenus")&gt;0)+(COUNTIFS('Saisie'!$C$5:$C$2004,B119,'Saisie'!$E$5:$E$2004,"Onboarding - Lancement")&gt;0))/4)</f>
        <v/>
      </c>
      <c r="AA119" s="60">
        <f>IF(B119="","",IF(COUNTIFS('Saisie'!$C$5:$C$2004,B119,'Saisie'!$E$5:$E$2004,"Demande d'avis Google")&gt;0,"Oui","Non"))</f>
        <v/>
      </c>
      <c r="AB119" s="61">
        <f>IF(B119="","",IFERROR(INDEX('Saisie'!$N$5:$N$2004,_xlfn.MAXIFS('Saisie'!$AS$5:$AS$2004,'Saisie'!$C$5:$C$2004,B119,'Saisie'!$E$5:$E$2004,"Satisfaction client")-4)&amp;"",""))</f>
        <v/>
      </c>
      <c r="AC119" s="106">
        <f>IF(B119="","",IFERROR(1/(1/_xlfn.MAXIFS('Saisie'!$A$5:$A$2004,'Saisie'!$C$5:$C$2004,B119,'Saisie'!$E$5:$E$2004,"Résiliation")),""))</f>
        <v/>
      </c>
      <c r="AD119" s="60">
        <f>IF(D119&lt;&gt;"",MAX($AD$4:AD118)+1,"")</f>
        <v/>
      </c>
    </row>
    <row r="120">
      <c r="A120" s="60">
        <f>IF(B120="","","C-"&amp;TEXT(116,"000"))</f>
        <v/>
      </c>
      <c r="B120" s="60">
        <f>IFERROR(INDEX('Prospects'!$C$5:$C$504,MATCH(116,'Prospects'!$BX$5:$BX$504,0)),"")</f>
        <v/>
      </c>
      <c r="C120" s="60">
        <f>IF(B120="","",IF(AC120&lt;&gt;"","Résilié","Actif"))</f>
        <v/>
      </c>
      <c r="D120" s="60">
        <f>IF(B120="","",IF(C120="Résilié","",IF(R120="En retard","Paiement en retard",IF(AND(V120&lt;&gt;"",N(V120)&lt;='Paramètres'!$B$30,N(V120)&gt;=0),"Renouvellement dans "&amp;V120&amp;" j",IF(AND(AA120="Non",TODAY()-N(L120)&gt;='Paramètres'!$B$29),"Demander un avis Google",IF(Z120&lt;1,"Onboarding à terminer",""))))))</f>
        <v/>
      </c>
      <c r="E120" s="60">
        <f>IF(B120="","",INDEX('Prospects'!$J$5:$J$504,MATCH(B120,'Prospects'!$C$5:$C$504,0))&amp;"")</f>
        <v/>
      </c>
      <c r="F120" s="60">
        <f>IF(B120="","",INDEX('Prospects'!$K$5:$K$504,MATCH(B120,'Prospects'!$C$5:$C$504,0))&amp;"")</f>
        <v/>
      </c>
      <c r="G120" s="60">
        <f>IF(B120="","",INDEX('Prospects'!$N$5:$N$504,MATCH(B120,'Prospects'!$C$5:$C$504,0))&amp;"")</f>
        <v/>
      </c>
      <c r="H120" s="60">
        <f>IF(B120="","",INDEX('Prospects'!$S$5:$S$504,MATCH(B120,'Prospects'!$C$5:$C$504,0))&amp;"")</f>
        <v/>
      </c>
      <c r="I120" s="60">
        <f>IF(B120="","",INDEX('Prospects'!$X$5:$X$504,MATCH(B120,'Prospects'!$C$5:$C$504,0))&amp;"")</f>
        <v/>
      </c>
      <c r="J120" s="60">
        <f>IF(B120="","",INDEX('Prospects'!$Y$5:$Y$504,MATCH(B120,'Prospects'!$C$5:$C$504,0))&amp;"")</f>
        <v/>
      </c>
      <c r="K120" s="60">
        <f>IF(B120="","",INDEX('Prospects'!$AN$5:$AN$504,MATCH(B120,'Prospects'!$C$5:$C$504,0))&amp;"")</f>
        <v/>
      </c>
      <c r="L120" s="106">
        <f>IF(B120="","",INDEX('Prospects'!$AT$5:$AT$504,MATCH(B120,'Prospects'!$C$5:$C$504,0)))</f>
        <v/>
      </c>
      <c r="M120" s="62">
        <f>IF(B120="","",SUMIFS('Saisie'!$AW$5:$AW$2004,'Saisie'!$C$5:$C$2004,B120,'Saisie'!$E$5:$E$2004,"Signature"))</f>
        <v/>
      </c>
      <c r="N120" s="62">
        <f>IF(B120="","",SUMIFS('Saisie'!$AW$5:$AW$2004,'Saisie'!$C$5:$C$2004,B120,'Saisie'!$E$5:$E$2004,"Vente additionnelle"))</f>
        <v/>
      </c>
      <c r="O120" s="62">
        <f>IF(B120="","",M120+N120)</f>
        <v/>
      </c>
      <c r="P120" s="62">
        <f>IF(B120="","",SUMIFS('Saisie'!$AW$5:$AW$2004,'Saisie'!$C$5:$C$2004,B120,'Saisie'!$E$5:$E$2004,"Paiement reçu"))</f>
        <v/>
      </c>
      <c r="Q120" s="62">
        <f>IF(B120="","",MAX(0,O120-P120))</f>
        <v/>
      </c>
      <c r="R120" s="60">
        <f>IF(B120="","",IF(O120=0,"",IF(Q120&lt;=0,"Payé",IF(TODAY()-N(L120)&gt;'Paramètres'!$B$27,"En retard",IF(P120&gt;0,"Partiel","En attente")))))</f>
        <v/>
      </c>
      <c r="S120" s="60">
        <f>IF(B120="","",IFERROR(INDEX('Saisie'!$O$5:$O$2004,_xlfn.MAXIFS('Saisie'!$AS$5:$AS$2004,'Saisie'!$C$5:$C$2004,B120,'Saisie'!$O$5:$O$2004,"&lt;&gt;")-4),""))</f>
        <v/>
      </c>
      <c r="T120" s="62">
        <f>IF(B120="","",N(INDEX('Prospects'!$AO$5:$AO$504,MATCH(B120,'Prospects'!$C$5:$C$504,0))))</f>
        <v/>
      </c>
      <c r="U120" s="106">
        <f>IF(B120="","",IF(L120="","",EDATE(L120,'Paramètres'!$B$33)))</f>
        <v/>
      </c>
      <c r="V120" s="61">
        <f>IF(B120="","",IF(U120="","",U120-TODAY()))</f>
        <v/>
      </c>
      <c r="W120" s="61">
        <f>IF(B120="","",IF(L120="","",INT((TODAY()-L120)/30.44)))</f>
        <v/>
      </c>
      <c r="X120" s="62">
        <f>IF(B120="","",O120+T120*'Paramètres'!$B$34)</f>
        <v/>
      </c>
      <c r="Y120" s="62">
        <f>IF(B120="","",O120-N(IFERROR(INDEX('Paramètres'!$T$6:$T$15,MATCH(K120,'Paramètres'!$Q$6:$Q$15,0)),0)))</f>
        <v/>
      </c>
      <c r="Z120" s="123">
        <f>IF(B120="","",((COUNTIFS('Saisie'!$C$5:$C$2004,B120,'Saisie'!$E$5:$E$2004,"Onboarding - Contrat")&gt;0)+(COUNTIFS('Saisie'!$C$5:$C$2004,B120,'Saisie'!$E$5:$E$2004,"Onboarding - Accès")&gt;0)+(COUNTIFS('Saisie'!$C$5:$C$2004,B120,'Saisie'!$E$5:$E$2004,"Onboarding - Contenus")&gt;0)+(COUNTIFS('Saisie'!$C$5:$C$2004,B120,'Saisie'!$E$5:$E$2004,"Onboarding - Lancement")&gt;0))/4)</f>
        <v/>
      </c>
      <c r="AA120" s="60">
        <f>IF(B120="","",IF(COUNTIFS('Saisie'!$C$5:$C$2004,B120,'Saisie'!$E$5:$E$2004,"Demande d'avis Google")&gt;0,"Oui","Non"))</f>
        <v/>
      </c>
      <c r="AB120" s="61">
        <f>IF(B120="","",IFERROR(INDEX('Saisie'!$N$5:$N$2004,_xlfn.MAXIFS('Saisie'!$AS$5:$AS$2004,'Saisie'!$C$5:$C$2004,B120,'Saisie'!$E$5:$E$2004,"Satisfaction client")-4)&amp;"",""))</f>
        <v/>
      </c>
      <c r="AC120" s="106">
        <f>IF(B120="","",IFERROR(1/(1/_xlfn.MAXIFS('Saisie'!$A$5:$A$2004,'Saisie'!$C$5:$C$2004,B120,'Saisie'!$E$5:$E$2004,"Résiliation")),""))</f>
        <v/>
      </c>
      <c r="AD120" s="60">
        <f>IF(D120&lt;&gt;"",MAX($AD$4:AD119)+1,"")</f>
        <v/>
      </c>
    </row>
    <row r="121">
      <c r="A121" s="60">
        <f>IF(B121="","","C-"&amp;TEXT(117,"000"))</f>
        <v/>
      </c>
      <c r="B121" s="60">
        <f>IFERROR(INDEX('Prospects'!$C$5:$C$504,MATCH(117,'Prospects'!$BX$5:$BX$504,0)),"")</f>
        <v/>
      </c>
      <c r="C121" s="60">
        <f>IF(B121="","",IF(AC121&lt;&gt;"","Résilié","Actif"))</f>
        <v/>
      </c>
      <c r="D121" s="60">
        <f>IF(B121="","",IF(C121="Résilié","",IF(R121="En retard","Paiement en retard",IF(AND(V121&lt;&gt;"",N(V121)&lt;='Paramètres'!$B$30,N(V121)&gt;=0),"Renouvellement dans "&amp;V121&amp;" j",IF(AND(AA121="Non",TODAY()-N(L121)&gt;='Paramètres'!$B$29),"Demander un avis Google",IF(Z121&lt;1,"Onboarding à terminer",""))))))</f>
        <v/>
      </c>
      <c r="E121" s="60">
        <f>IF(B121="","",INDEX('Prospects'!$J$5:$J$504,MATCH(B121,'Prospects'!$C$5:$C$504,0))&amp;"")</f>
        <v/>
      </c>
      <c r="F121" s="60">
        <f>IF(B121="","",INDEX('Prospects'!$K$5:$K$504,MATCH(B121,'Prospects'!$C$5:$C$504,0))&amp;"")</f>
        <v/>
      </c>
      <c r="G121" s="60">
        <f>IF(B121="","",INDEX('Prospects'!$N$5:$N$504,MATCH(B121,'Prospects'!$C$5:$C$504,0))&amp;"")</f>
        <v/>
      </c>
      <c r="H121" s="60">
        <f>IF(B121="","",INDEX('Prospects'!$S$5:$S$504,MATCH(B121,'Prospects'!$C$5:$C$504,0))&amp;"")</f>
        <v/>
      </c>
      <c r="I121" s="60">
        <f>IF(B121="","",INDEX('Prospects'!$X$5:$X$504,MATCH(B121,'Prospects'!$C$5:$C$504,0))&amp;"")</f>
        <v/>
      </c>
      <c r="J121" s="60">
        <f>IF(B121="","",INDEX('Prospects'!$Y$5:$Y$504,MATCH(B121,'Prospects'!$C$5:$C$504,0))&amp;"")</f>
        <v/>
      </c>
      <c r="K121" s="60">
        <f>IF(B121="","",INDEX('Prospects'!$AN$5:$AN$504,MATCH(B121,'Prospects'!$C$5:$C$504,0))&amp;"")</f>
        <v/>
      </c>
      <c r="L121" s="106">
        <f>IF(B121="","",INDEX('Prospects'!$AT$5:$AT$504,MATCH(B121,'Prospects'!$C$5:$C$504,0)))</f>
        <v/>
      </c>
      <c r="M121" s="62">
        <f>IF(B121="","",SUMIFS('Saisie'!$AW$5:$AW$2004,'Saisie'!$C$5:$C$2004,B121,'Saisie'!$E$5:$E$2004,"Signature"))</f>
        <v/>
      </c>
      <c r="N121" s="62">
        <f>IF(B121="","",SUMIFS('Saisie'!$AW$5:$AW$2004,'Saisie'!$C$5:$C$2004,B121,'Saisie'!$E$5:$E$2004,"Vente additionnelle"))</f>
        <v/>
      </c>
      <c r="O121" s="62">
        <f>IF(B121="","",M121+N121)</f>
        <v/>
      </c>
      <c r="P121" s="62">
        <f>IF(B121="","",SUMIFS('Saisie'!$AW$5:$AW$2004,'Saisie'!$C$5:$C$2004,B121,'Saisie'!$E$5:$E$2004,"Paiement reçu"))</f>
        <v/>
      </c>
      <c r="Q121" s="62">
        <f>IF(B121="","",MAX(0,O121-P121))</f>
        <v/>
      </c>
      <c r="R121" s="60">
        <f>IF(B121="","",IF(O121=0,"",IF(Q121&lt;=0,"Payé",IF(TODAY()-N(L121)&gt;'Paramètres'!$B$27,"En retard",IF(P121&gt;0,"Partiel","En attente")))))</f>
        <v/>
      </c>
      <c r="S121" s="60">
        <f>IF(B121="","",IFERROR(INDEX('Saisie'!$O$5:$O$2004,_xlfn.MAXIFS('Saisie'!$AS$5:$AS$2004,'Saisie'!$C$5:$C$2004,B121,'Saisie'!$O$5:$O$2004,"&lt;&gt;")-4),""))</f>
        <v/>
      </c>
      <c r="T121" s="62">
        <f>IF(B121="","",N(INDEX('Prospects'!$AO$5:$AO$504,MATCH(B121,'Prospects'!$C$5:$C$504,0))))</f>
        <v/>
      </c>
      <c r="U121" s="106">
        <f>IF(B121="","",IF(L121="","",EDATE(L121,'Paramètres'!$B$33)))</f>
        <v/>
      </c>
      <c r="V121" s="61">
        <f>IF(B121="","",IF(U121="","",U121-TODAY()))</f>
        <v/>
      </c>
      <c r="W121" s="61">
        <f>IF(B121="","",IF(L121="","",INT((TODAY()-L121)/30.44)))</f>
        <v/>
      </c>
      <c r="X121" s="62">
        <f>IF(B121="","",O121+T121*'Paramètres'!$B$34)</f>
        <v/>
      </c>
      <c r="Y121" s="62">
        <f>IF(B121="","",O121-N(IFERROR(INDEX('Paramètres'!$T$6:$T$15,MATCH(K121,'Paramètres'!$Q$6:$Q$15,0)),0)))</f>
        <v/>
      </c>
      <c r="Z121" s="123">
        <f>IF(B121="","",((COUNTIFS('Saisie'!$C$5:$C$2004,B121,'Saisie'!$E$5:$E$2004,"Onboarding - Contrat")&gt;0)+(COUNTIFS('Saisie'!$C$5:$C$2004,B121,'Saisie'!$E$5:$E$2004,"Onboarding - Accès")&gt;0)+(COUNTIFS('Saisie'!$C$5:$C$2004,B121,'Saisie'!$E$5:$E$2004,"Onboarding - Contenus")&gt;0)+(COUNTIFS('Saisie'!$C$5:$C$2004,B121,'Saisie'!$E$5:$E$2004,"Onboarding - Lancement")&gt;0))/4)</f>
        <v/>
      </c>
      <c r="AA121" s="60">
        <f>IF(B121="","",IF(COUNTIFS('Saisie'!$C$5:$C$2004,B121,'Saisie'!$E$5:$E$2004,"Demande d'avis Google")&gt;0,"Oui","Non"))</f>
        <v/>
      </c>
      <c r="AB121" s="61">
        <f>IF(B121="","",IFERROR(INDEX('Saisie'!$N$5:$N$2004,_xlfn.MAXIFS('Saisie'!$AS$5:$AS$2004,'Saisie'!$C$5:$C$2004,B121,'Saisie'!$E$5:$E$2004,"Satisfaction client")-4)&amp;"",""))</f>
        <v/>
      </c>
      <c r="AC121" s="106">
        <f>IF(B121="","",IFERROR(1/(1/_xlfn.MAXIFS('Saisie'!$A$5:$A$2004,'Saisie'!$C$5:$C$2004,B121,'Saisie'!$E$5:$E$2004,"Résiliation")),""))</f>
        <v/>
      </c>
      <c r="AD121" s="60">
        <f>IF(D121&lt;&gt;"",MAX($AD$4:AD120)+1,"")</f>
        <v/>
      </c>
    </row>
    <row r="122">
      <c r="A122" s="60">
        <f>IF(B122="","","C-"&amp;TEXT(118,"000"))</f>
        <v/>
      </c>
      <c r="B122" s="60">
        <f>IFERROR(INDEX('Prospects'!$C$5:$C$504,MATCH(118,'Prospects'!$BX$5:$BX$504,0)),"")</f>
        <v/>
      </c>
      <c r="C122" s="60">
        <f>IF(B122="","",IF(AC122&lt;&gt;"","Résilié","Actif"))</f>
        <v/>
      </c>
      <c r="D122" s="60">
        <f>IF(B122="","",IF(C122="Résilié","",IF(R122="En retard","Paiement en retard",IF(AND(V122&lt;&gt;"",N(V122)&lt;='Paramètres'!$B$30,N(V122)&gt;=0),"Renouvellement dans "&amp;V122&amp;" j",IF(AND(AA122="Non",TODAY()-N(L122)&gt;='Paramètres'!$B$29),"Demander un avis Google",IF(Z122&lt;1,"Onboarding à terminer",""))))))</f>
        <v/>
      </c>
      <c r="E122" s="60">
        <f>IF(B122="","",INDEX('Prospects'!$J$5:$J$504,MATCH(B122,'Prospects'!$C$5:$C$504,0))&amp;"")</f>
        <v/>
      </c>
      <c r="F122" s="60">
        <f>IF(B122="","",INDEX('Prospects'!$K$5:$K$504,MATCH(B122,'Prospects'!$C$5:$C$504,0))&amp;"")</f>
        <v/>
      </c>
      <c r="G122" s="60">
        <f>IF(B122="","",INDEX('Prospects'!$N$5:$N$504,MATCH(B122,'Prospects'!$C$5:$C$504,0))&amp;"")</f>
        <v/>
      </c>
      <c r="H122" s="60">
        <f>IF(B122="","",INDEX('Prospects'!$S$5:$S$504,MATCH(B122,'Prospects'!$C$5:$C$504,0))&amp;"")</f>
        <v/>
      </c>
      <c r="I122" s="60">
        <f>IF(B122="","",INDEX('Prospects'!$X$5:$X$504,MATCH(B122,'Prospects'!$C$5:$C$504,0))&amp;"")</f>
        <v/>
      </c>
      <c r="J122" s="60">
        <f>IF(B122="","",INDEX('Prospects'!$Y$5:$Y$504,MATCH(B122,'Prospects'!$C$5:$C$504,0))&amp;"")</f>
        <v/>
      </c>
      <c r="K122" s="60">
        <f>IF(B122="","",INDEX('Prospects'!$AN$5:$AN$504,MATCH(B122,'Prospects'!$C$5:$C$504,0))&amp;"")</f>
        <v/>
      </c>
      <c r="L122" s="106">
        <f>IF(B122="","",INDEX('Prospects'!$AT$5:$AT$504,MATCH(B122,'Prospects'!$C$5:$C$504,0)))</f>
        <v/>
      </c>
      <c r="M122" s="62">
        <f>IF(B122="","",SUMIFS('Saisie'!$AW$5:$AW$2004,'Saisie'!$C$5:$C$2004,B122,'Saisie'!$E$5:$E$2004,"Signature"))</f>
        <v/>
      </c>
      <c r="N122" s="62">
        <f>IF(B122="","",SUMIFS('Saisie'!$AW$5:$AW$2004,'Saisie'!$C$5:$C$2004,B122,'Saisie'!$E$5:$E$2004,"Vente additionnelle"))</f>
        <v/>
      </c>
      <c r="O122" s="62">
        <f>IF(B122="","",M122+N122)</f>
        <v/>
      </c>
      <c r="P122" s="62">
        <f>IF(B122="","",SUMIFS('Saisie'!$AW$5:$AW$2004,'Saisie'!$C$5:$C$2004,B122,'Saisie'!$E$5:$E$2004,"Paiement reçu"))</f>
        <v/>
      </c>
      <c r="Q122" s="62">
        <f>IF(B122="","",MAX(0,O122-P122))</f>
        <v/>
      </c>
      <c r="R122" s="60">
        <f>IF(B122="","",IF(O122=0,"",IF(Q122&lt;=0,"Payé",IF(TODAY()-N(L122)&gt;'Paramètres'!$B$27,"En retard",IF(P122&gt;0,"Partiel","En attente")))))</f>
        <v/>
      </c>
      <c r="S122" s="60">
        <f>IF(B122="","",IFERROR(INDEX('Saisie'!$O$5:$O$2004,_xlfn.MAXIFS('Saisie'!$AS$5:$AS$2004,'Saisie'!$C$5:$C$2004,B122,'Saisie'!$O$5:$O$2004,"&lt;&gt;")-4),""))</f>
        <v/>
      </c>
      <c r="T122" s="62">
        <f>IF(B122="","",N(INDEX('Prospects'!$AO$5:$AO$504,MATCH(B122,'Prospects'!$C$5:$C$504,0))))</f>
        <v/>
      </c>
      <c r="U122" s="106">
        <f>IF(B122="","",IF(L122="","",EDATE(L122,'Paramètres'!$B$33)))</f>
        <v/>
      </c>
      <c r="V122" s="61">
        <f>IF(B122="","",IF(U122="","",U122-TODAY()))</f>
        <v/>
      </c>
      <c r="W122" s="61">
        <f>IF(B122="","",IF(L122="","",INT((TODAY()-L122)/30.44)))</f>
        <v/>
      </c>
      <c r="X122" s="62">
        <f>IF(B122="","",O122+T122*'Paramètres'!$B$34)</f>
        <v/>
      </c>
      <c r="Y122" s="62">
        <f>IF(B122="","",O122-N(IFERROR(INDEX('Paramètres'!$T$6:$T$15,MATCH(K122,'Paramètres'!$Q$6:$Q$15,0)),0)))</f>
        <v/>
      </c>
      <c r="Z122" s="123">
        <f>IF(B122="","",((COUNTIFS('Saisie'!$C$5:$C$2004,B122,'Saisie'!$E$5:$E$2004,"Onboarding - Contrat")&gt;0)+(COUNTIFS('Saisie'!$C$5:$C$2004,B122,'Saisie'!$E$5:$E$2004,"Onboarding - Accès")&gt;0)+(COUNTIFS('Saisie'!$C$5:$C$2004,B122,'Saisie'!$E$5:$E$2004,"Onboarding - Contenus")&gt;0)+(COUNTIFS('Saisie'!$C$5:$C$2004,B122,'Saisie'!$E$5:$E$2004,"Onboarding - Lancement")&gt;0))/4)</f>
        <v/>
      </c>
      <c r="AA122" s="60">
        <f>IF(B122="","",IF(COUNTIFS('Saisie'!$C$5:$C$2004,B122,'Saisie'!$E$5:$E$2004,"Demande d'avis Google")&gt;0,"Oui","Non"))</f>
        <v/>
      </c>
      <c r="AB122" s="61">
        <f>IF(B122="","",IFERROR(INDEX('Saisie'!$N$5:$N$2004,_xlfn.MAXIFS('Saisie'!$AS$5:$AS$2004,'Saisie'!$C$5:$C$2004,B122,'Saisie'!$E$5:$E$2004,"Satisfaction client")-4)&amp;"",""))</f>
        <v/>
      </c>
      <c r="AC122" s="106">
        <f>IF(B122="","",IFERROR(1/(1/_xlfn.MAXIFS('Saisie'!$A$5:$A$2004,'Saisie'!$C$5:$C$2004,B122,'Saisie'!$E$5:$E$2004,"Résiliation")),""))</f>
        <v/>
      </c>
      <c r="AD122" s="60">
        <f>IF(D122&lt;&gt;"",MAX($AD$4:AD121)+1,"")</f>
        <v/>
      </c>
    </row>
    <row r="123">
      <c r="A123" s="60">
        <f>IF(B123="","","C-"&amp;TEXT(119,"000"))</f>
        <v/>
      </c>
      <c r="B123" s="60">
        <f>IFERROR(INDEX('Prospects'!$C$5:$C$504,MATCH(119,'Prospects'!$BX$5:$BX$504,0)),"")</f>
        <v/>
      </c>
      <c r="C123" s="60">
        <f>IF(B123="","",IF(AC123&lt;&gt;"","Résilié","Actif"))</f>
        <v/>
      </c>
      <c r="D123" s="60">
        <f>IF(B123="","",IF(C123="Résilié","",IF(R123="En retard","Paiement en retard",IF(AND(V123&lt;&gt;"",N(V123)&lt;='Paramètres'!$B$30,N(V123)&gt;=0),"Renouvellement dans "&amp;V123&amp;" j",IF(AND(AA123="Non",TODAY()-N(L123)&gt;='Paramètres'!$B$29),"Demander un avis Google",IF(Z123&lt;1,"Onboarding à terminer",""))))))</f>
        <v/>
      </c>
      <c r="E123" s="60">
        <f>IF(B123="","",INDEX('Prospects'!$J$5:$J$504,MATCH(B123,'Prospects'!$C$5:$C$504,0))&amp;"")</f>
        <v/>
      </c>
      <c r="F123" s="60">
        <f>IF(B123="","",INDEX('Prospects'!$K$5:$K$504,MATCH(B123,'Prospects'!$C$5:$C$504,0))&amp;"")</f>
        <v/>
      </c>
      <c r="G123" s="60">
        <f>IF(B123="","",INDEX('Prospects'!$N$5:$N$504,MATCH(B123,'Prospects'!$C$5:$C$504,0))&amp;"")</f>
        <v/>
      </c>
      <c r="H123" s="60">
        <f>IF(B123="","",INDEX('Prospects'!$S$5:$S$504,MATCH(B123,'Prospects'!$C$5:$C$504,0))&amp;"")</f>
        <v/>
      </c>
      <c r="I123" s="60">
        <f>IF(B123="","",INDEX('Prospects'!$X$5:$X$504,MATCH(B123,'Prospects'!$C$5:$C$504,0))&amp;"")</f>
        <v/>
      </c>
      <c r="J123" s="60">
        <f>IF(B123="","",INDEX('Prospects'!$Y$5:$Y$504,MATCH(B123,'Prospects'!$C$5:$C$504,0))&amp;"")</f>
        <v/>
      </c>
      <c r="K123" s="60">
        <f>IF(B123="","",INDEX('Prospects'!$AN$5:$AN$504,MATCH(B123,'Prospects'!$C$5:$C$504,0))&amp;"")</f>
        <v/>
      </c>
      <c r="L123" s="106">
        <f>IF(B123="","",INDEX('Prospects'!$AT$5:$AT$504,MATCH(B123,'Prospects'!$C$5:$C$504,0)))</f>
        <v/>
      </c>
      <c r="M123" s="62">
        <f>IF(B123="","",SUMIFS('Saisie'!$AW$5:$AW$2004,'Saisie'!$C$5:$C$2004,B123,'Saisie'!$E$5:$E$2004,"Signature"))</f>
        <v/>
      </c>
      <c r="N123" s="62">
        <f>IF(B123="","",SUMIFS('Saisie'!$AW$5:$AW$2004,'Saisie'!$C$5:$C$2004,B123,'Saisie'!$E$5:$E$2004,"Vente additionnelle"))</f>
        <v/>
      </c>
      <c r="O123" s="62">
        <f>IF(B123="","",M123+N123)</f>
        <v/>
      </c>
      <c r="P123" s="62">
        <f>IF(B123="","",SUMIFS('Saisie'!$AW$5:$AW$2004,'Saisie'!$C$5:$C$2004,B123,'Saisie'!$E$5:$E$2004,"Paiement reçu"))</f>
        <v/>
      </c>
      <c r="Q123" s="62">
        <f>IF(B123="","",MAX(0,O123-P123))</f>
        <v/>
      </c>
      <c r="R123" s="60">
        <f>IF(B123="","",IF(O123=0,"",IF(Q123&lt;=0,"Payé",IF(TODAY()-N(L123)&gt;'Paramètres'!$B$27,"En retard",IF(P123&gt;0,"Partiel","En attente")))))</f>
        <v/>
      </c>
      <c r="S123" s="60">
        <f>IF(B123="","",IFERROR(INDEX('Saisie'!$O$5:$O$2004,_xlfn.MAXIFS('Saisie'!$AS$5:$AS$2004,'Saisie'!$C$5:$C$2004,B123,'Saisie'!$O$5:$O$2004,"&lt;&gt;")-4),""))</f>
        <v/>
      </c>
      <c r="T123" s="62">
        <f>IF(B123="","",N(INDEX('Prospects'!$AO$5:$AO$504,MATCH(B123,'Prospects'!$C$5:$C$504,0))))</f>
        <v/>
      </c>
      <c r="U123" s="106">
        <f>IF(B123="","",IF(L123="","",EDATE(L123,'Paramètres'!$B$33)))</f>
        <v/>
      </c>
      <c r="V123" s="61">
        <f>IF(B123="","",IF(U123="","",U123-TODAY()))</f>
        <v/>
      </c>
      <c r="W123" s="61">
        <f>IF(B123="","",IF(L123="","",INT((TODAY()-L123)/30.44)))</f>
        <v/>
      </c>
      <c r="X123" s="62">
        <f>IF(B123="","",O123+T123*'Paramètres'!$B$34)</f>
        <v/>
      </c>
      <c r="Y123" s="62">
        <f>IF(B123="","",O123-N(IFERROR(INDEX('Paramètres'!$T$6:$T$15,MATCH(K123,'Paramètres'!$Q$6:$Q$15,0)),0)))</f>
        <v/>
      </c>
      <c r="Z123" s="123">
        <f>IF(B123="","",((COUNTIFS('Saisie'!$C$5:$C$2004,B123,'Saisie'!$E$5:$E$2004,"Onboarding - Contrat")&gt;0)+(COUNTIFS('Saisie'!$C$5:$C$2004,B123,'Saisie'!$E$5:$E$2004,"Onboarding - Accès")&gt;0)+(COUNTIFS('Saisie'!$C$5:$C$2004,B123,'Saisie'!$E$5:$E$2004,"Onboarding - Contenus")&gt;0)+(COUNTIFS('Saisie'!$C$5:$C$2004,B123,'Saisie'!$E$5:$E$2004,"Onboarding - Lancement")&gt;0))/4)</f>
        <v/>
      </c>
      <c r="AA123" s="60">
        <f>IF(B123="","",IF(COUNTIFS('Saisie'!$C$5:$C$2004,B123,'Saisie'!$E$5:$E$2004,"Demande d'avis Google")&gt;0,"Oui","Non"))</f>
        <v/>
      </c>
      <c r="AB123" s="61">
        <f>IF(B123="","",IFERROR(INDEX('Saisie'!$N$5:$N$2004,_xlfn.MAXIFS('Saisie'!$AS$5:$AS$2004,'Saisie'!$C$5:$C$2004,B123,'Saisie'!$E$5:$E$2004,"Satisfaction client")-4)&amp;"",""))</f>
        <v/>
      </c>
      <c r="AC123" s="106">
        <f>IF(B123="","",IFERROR(1/(1/_xlfn.MAXIFS('Saisie'!$A$5:$A$2004,'Saisie'!$C$5:$C$2004,B123,'Saisie'!$E$5:$E$2004,"Résiliation")),""))</f>
        <v/>
      </c>
      <c r="AD123" s="60">
        <f>IF(D123&lt;&gt;"",MAX($AD$4:AD122)+1,"")</f>
        <v/>
      </c>
    </row>
    <row r="124">
      <c r="A124" s="60">
        <f>IF(B124="","","C-"&amp;TEXT(120,"000"))</f>
        <v/>
      </c>
      <c r="B124" s="60">
        <f>IFERROR(INDEX('Prospects'!$C$5:$C$504,MATCH(120,'Prospects'!$BX$5:$BX$504,0)),"")</f>
        <v/>
      </c>
      <c r="C124" s="60">
        <f>IF(B124="","",IF(AC124&lt;&gt;"","Résilié","Actif"))</f>
        <v/>
      </c>
      <c r="D124" s="60">
        <f>IF(B124="","",IF(C124="Résilié","",IF(R124="En retard","Paiement en retard",IF(AND(V124&lt;&gt;"",N(V124)&lt;='Paramètres'!$B$30,N(V124)&gt;=0),"Renouvellement dans "&amp;V124&amp;" j",IF(AND(AA124="Non",TODAY()-N(L124)&gt;='Paramètres'!$B$29),"Demander un avis Google",IF(Z124&lt;1,"Onboarding à terminer",""))))))</f>
        <v/>
      </c>
      <c r="E124" s="60">
        <f>IF(B124="","",INDEX('Prospects'!$J$5:$J$504,MATCH(B124,'Prospects'!$C$5:$C$504,0))&amp;"")</f>
        <v/>
      </c>
      <c r="F124" s="60">
        <f>IF(B124="","",INDEX('Prospects'!$K$5:$K$504,MATCH(B124,'Prospects'!$C$5:$C$504,0))&amp;"")</f>
        <v/>
      </c>
      <c r="G124" s="60">
        <f>IF(B124="","",INDEX('Prospects'!$N$5:$N$504,MATCH(B124,'Prospects'!$C$5:$C$504,0))&amp;"")</f>
        <v/>
      </c>
      <c r="H124" s="60">
        <f>IF(B124="","",INDEX('Prospects'!$S$5:$S$504,MATCH(B124,'Prospects'!$C$5:$C$504,0))&amp;"")</f>
        <v/>
      </c>
      <c r="I124" s="60">
        <f>IF(B124="","",INDEX('Prospects'!$X$5:$X$504,MATCH(B124,'Prospects'!$C$5:$C$504,0))&amp;"")</f>
        <v/>
      </c>
      <c r="J124" s="60">
        <f>IF(B124="","",INDEX('Prospects'!$Y$5:$Y$504,MATCH(B124,'Prospects'!$C$5:$C$504,0))&amp;"")</f>
        <v/>
      </c>
      <c r="K124" s="60">
        <f>IF(B124="","",INDEX('Prospects'!$AN$5:$AN$504,MATCH(B124,'Prospects'!$C$5:$C$504,0))&amp;"")</f>
        <v/>
      </c>
      <c r="L124" s="106">
        <f>IF(B124="","",INDEX('Prospects'!$AT$5:$AT$504,MATCH(B124,'Prospects'!$C$5:$C$504,0)))</f>
        <v/>
      </c>
      <c r="M124" s="62">
        <f>IF(B124="","",SUMIFS('Saisie'!$AW$5:$AW$2004,'Saisie'!$C$5:$C$2004,B124,'Saisie'!$E$5:$E$2004,"Signature"))</f>
        <v/>
      </c>
      <c r="N124" s="62">
        <f>IF(B124="","",SUMIFS('Saisie'!$AW$5:$AW$2004,'Saisie'!$C$5:$C$2004,B124,'Saisie'!$E$5:$E$2004,"Vente additionnelle"))</f>
        <v/>
      </c>
      <c r="O124" s="62">
        <f>IF(B124="","",M124+N124)</f>
        <v/>
      </c>
      <c r="P124" s="62">
        <f>IF(B124="","",SUMIFS('Saisie'!$AW$5:$AW$2004,'Saisie'!$C$5:$C$2004,B124,'Saisie'!$E$5:$E$2004,"Paiement reçu"))</f>
        <v/>
      </c>
      <c r="Q124" s="62">
        <f>IF(B124="","",MAX(0,O124-P124))</f>
        <v/>
      </c>
      <c r="R124" s="60">
        <f>IF(B124="","",IF(O124=0,"",IF(Q124&lt;=0,"Payé",IF(TODAY()-N(L124)&gt;'Paramètres'!$B$27,"En retard",IF(P124&gt;0,"Partiel","En attente")))))</f>
        <v/>
      </c>
      <c r="S124" s="60">
        <f>IF(B124="","",IFERROR(INDEX('Saisie'!$O$5:$O$2004,_xlfn.MAXIFS('Saisie'!$AS$5:$AS$2004,'Saisie'!$C$5:$C$2004,B124,'Saisie'!$O$5:$O$2004,"&lt;&gt;")-4),""))</f>
        <v/>
      </c>
      <c r="T124" s="62">
        <f>IF(B124="","",N(INDEX('Prospects'!$AO$5:$AO$504,MATCH(B124,'Prospects'!$C$5:$C$504,0))))</f>
        <v/>
      </c>
      <c r="U124" s="106">
        <f>IF(B124="","",IF(L124="","",EDATE(L124,'Paramètres'!$B$33)))</f>
        <v/>
      </c>
      <c r="V124" s="61">
        <f>IF(B124="","",IF(U124="","",U124-TODAY()))</f>
        <v/>
      </c>
      <c r="W124" s="61">
        <f>IF(B124="","",IF(L124="","",INT((TODAY()-L124)/30.44)))</f>
        <v/>
      </c>
      <c r="X124" s="62">
        <f>IF(B124="","",O124+T124*'Paramètres'!$B$34)</f>
        <v/>
      </c>
      <c r="Y124" s="62">
        <f>IF(B124="","",O124-N(IFERROR(INDEX('Paramètres'!$T$6:$T$15,MATCH(K124,'Paramètres'!$Q$6:$Q$15,0)),0)))</f>
        <v/>
      </c>
      <c r="Z124" s="123">
        <f>IF(B124="","",((COUNTIFS('Saisie'!$C$5:$C$2004,B124,'Saisie'!$E$5:$E$2004,"Onboarding - Contrat")&gt;0)+(COUNTIFS('Saisie'!$C$5:$C$2004,B124,'Saisie'!$E$5:$E$2004,"Onboarding - Accès")&gt;0)+(COUNTIFS('Saisie'!$C$5:$C$2004,B124,'Saisie'!$E$5:$E$2004,"Onboarding - Contenus")&gt;0)+(COUNTIFS('Saisie'!$C$5:$C$2004,B124,'Saisie'!$E$5:$E$2004,"Onboarding - Lancement")&gt;0))/4)</f>
        <v/>
      </c>
      <c r="AA124" s="60">
        <f>IF(B124="","",IF(COUNTIFS('Saisie'!$C$5:$C$2004,B124,'Saisie'!$E$5:$E$2004,"Demande d'avis Google")&gt;0,"Oui","Non"))</f>
        <v/>
      </c>
      <c r="AB124" s="61">
        <f>IF(B124="","",IFERROR(INDEX('Saisie'!$N$5:$N$2004,_xlfn.MAXIFS('Saisie'!$AS$5:$AS$2004,'Saisie'!$C$5:$C$2004,B124,'Saisie'!$E$5:$E$2004,"Satisfaction client")-4)&amp;"",""))</f>
        <v/>
      </c>
      <c r="AC124" s="106">
        <f>IF(B124="","",IFERROR(1/(1/_xlfn.MAXIFS('Saisie'!$A$5:$A$2004,'Saisie'!$C$5:$C$2004,B124,'Saisie'!$E$5:$E$2004,"Résiliation")),""))</f>
        <v/>
      </c>
      <c r="AD124" s="60">
        <f>IF(D124&lt;&gt;"",MAX($AD$4:AD123)+1,"")</f>
        <v/>
      </c>
    </row>
    <row r="125">
      <c r="A125" s="60">
        <f>IF(B125="","","C-"&amp;TEXT(121,"000"))</f>
        <v/>
      </c>
      <c r="B125" s="60">
        <f>IFERROR(INDEX('Prospects'!$C$5:$C$504,MATCH(121,'Prospects'!$BX$5:$BX$504,0)),"")</f>
        <v/>
      </c>
      <c r="C125" s="60">
        <f>IF(B125="","",IF(AC125&lt;&gt;"","Résilié","Actif"))</f>
        <v/>
      </c>
      <c r="D125" s="60">
        <f>IF(B125="","",IF(C125="Résilié","",IF(R125="En retard","Paiement en retard",IF(AND(V125&lt;&gt;"",N(V125)&lt;='Paramètres'!$B$30,N(V125)&gt;=0),"Renouvellement dans "&amp;V125&amp;" j",IF(AND(AA125="Non",TODAY()-N(L125)&gt;='Paramètres'!$B$29),"Demander un avis Google",IF(Z125&lt;1,"Onboarding à terminer",""))))))</f>
        <v/>
      </c>
      <c r="E125" s="60">
        <f>IF(B125="","",INDEX('Prospects'!$J$5:$J$504,MATCH(B125,'Prospects'!$C$5:$C$504,0))&amp;"")</f>
        <v/>
      </c>
      <c r="F125" s="60">
        <f>IF(B125="","",INDEX('Prospects'!$K$5:$K$504,MATCH(B125,'Prospects'!$C$5:$C$504,0))&amp;"")</f>
        <v/>
      </c>
      <c r="G125" s="60">
        <f>IF(B125="","",INDEX('Prospects'!$N$5:$N$504,MATCH(B125,'Prospects'!$C$5:$C$504,0))&amp;"")</f>
        <v/>
      </c>
      <c r="H125" s="60">
        <f>IF(B125="","",INDEX('Prospects'!$S$5:$S$504,MATCH(B125,'Prospects'!$C$5:$C$504,0))&amp;"")</f>
        <v/>
      </c>
      <c r="I125" s="60">
        <f>IF(B125="","",INDEX('Prospects'!$X$5:$X$504,MATCH(B125,'Prospects'!$C$5:$C$504,0))&amp;"")</f>
        <v/>
      </c>
      <c r="J125" s="60">
        <f>IF(B125="","",INDEX('Prospects'!$Y$5:$Y$504,MATCH(B125,'Prospects'!$C$5:$C$504,0))&amp;"")</f>
        <v/>
      </c>
      <c r="K125" s="60">
        <f>IF(B125="","",INDEX('Prospects'!$AN$5:$AN$504,MATCH(B125,'Prospects'!$C$5:$C$504,0))&amp;"")</f>
        <v/>
      </c>
      <c r="L125" s="106">
        <f>IF(B125="","",INDEX('Prospects'!$AT$5:$AT$504,MATCH(B125,'Prospects'!$C$5:$C$504,0)))</f>
        <v/>
      </c>
      <c r="M125" s="62">
        <f>IF(B125="","",SUMIFS('Saisie'!$AW$5:$AW$2004,'Saisie'!$C$5:$C$2004,B125,'Saisie'!$E$5:$E$2004,"Signature"))</f>
        <v/>
      </c>
      <c r="N125" s="62">
        <f>IF(B125="","",SUMIFS('Saisie'!$AW$5:$AW$2004,'Saisie'!$C$5:$C$2004,B125,'Saisie'!$E$5:$E$2004,"Vente additionnelle"))</f>
        <v/>
      </c>
      <c r="O125" s="62">
        <f>IF(B125="","",M125+N125)</f>
        <v/>
      </c>
      <c r="P125" s="62">
        <f>IF(B125="","",SUMIFS('Saisie'!$AW$5:$AW$2004,'Saisie'!$C$5:$C$2004,B125,'Saisie'!$E$5:$E$2004,"Paiement reçu"))</f>
        <v/>
      </c>
      <c r="Q125" s="62">
        <f>IF(B125="","",MAX(0,O125-P125))</f>
        <v/>
      </c>
      <c r="R125" s="60">
        <f>IF(B125="","",IF(O125=0,"",IF(Q125&lt;=0,"Payé",IF(TODAY()-N(L125)&gt;'Paramètres'!$B$27,"En retard",IF(P125&gt;0,"Partiel","En attente")))))</f>
        <v/>
      </c>
      <c r="S125" s="60">
        <f>IF(B125="","",IFERROR(INDEX('Saisie'!$O$5:$O$2004,_xlfn.MAXIFS('Saisie'!$AS$5:$AS$2004,'Saisie'!$C$5:$C$2004,B125,'Saisie'!$O$5:$O$2004,"&lt;&gt;")-4),""))</f>
        <v/>
      </c>
      <c r="T125" s="62">
        <f>IF(B125="","",N(INDEX('Prospects'!$AO$5:$AO$504,MATCH(B125,'Prospects'!$C$5:$C$504,0))))</f>
        <v/>
      </c>
      <c r="U125" s="106">
        <f>IF(B125="","",IF(L125="","",EDATE(L125,'Paramètres'!$B$33)))</f>
        <v/>
      </c>
      <c r="V125" s="61">
        <f>IF(B125="","",IF(U125="","",U125-TODAY()))</f>
        <v/>
      </c>
      <c r="W125" s="61">
        <f>IF(B125="","",IF(L125="","",INT((TODAY()-L125)/30.44)))</f>
        <v/>
      </c>
      <c r="X125" s="62">
        <f>IF(B125="","",O125+T125*'Paramètres'!$B$34)</f>
        <v/>
      </c>
      <c r="Y125" s="62">
        <f>IF(B125="","",O125-N(IFERROR(INDEX('Paramètres'!$T$6:$T$15,MATCH(K125,'Paramètres'!$Q$6:$Q$15,0)),0)))</f>
        <v/>
      </c>
      <c r="Z125" s="123">
        <f>IF(B125="","",((COUNTIFS('Saisie'!$C$5:$C$2004,B125,'Saisie'!$E$5:$E$2004,"Onboarding - Contrat")&gt;0)+(COUNTIFS('Saisie'!$C$5:$C$2004,B125,'Saisie'!$E$5:$E$2004,"Onboarding - Accès")&gt;0)+(COUNTIFS('Saisie'!$C$5:$C$2004,B125,'Saisie'!$E$5:$E$2004,"Onboarding - Contenus")&gt;0)+(COUNTIFS('Saisie'!$C$5:$C$2004,B125,'Saisie'!$E$5:$E$2004,"Onboarding - Lancement")&gt;0))/4)</f>
        <v/>
      </c>
      <c r="AA125" s="60">
        <f>IF(B125="","",IF(COUNTIFS('Saisie'!$C$5:$C$2004,B125,'Saisie'!$E$5:$E$2004,"Demande d'avis Google")&gt;0,"Oui","Non"))</f>
        <v/>
      </c>
      <c r="AB125" s="61">
        <f>IF(B125="","",IFERROR(INDEX('Saisie'!$N$5:$N$2004,_xlfn.MAXIFS('Saisie'!$AS$5:$AS$2004,'Saisie'!$C$5:$C$2004,B125,'Saisie'!$E$5:$E$2004,"Satisfaction client")-4)&amp;"",""))</f>
        <v/>
      </c>
      <c r="AC125" s="106">
        <f>IF(B125="","",IFERROR(1/(1/_xlfn.MAXIFS('Saisie'!$A$5:$A$2004,'Saisie'!$C$5:$C$2004,B125,'Saisie'!$E$5:$E$2004,"Résiliation")),""))</f>
        <v/>
      </c>
      <c r="AD125" s="60">
        <f>IF(D125&lt;&gt;"",MAX($AD$4:AD124)+1,"")</f>
        <v/>
      </c>
    </row>
    <row r="126">
      <c r="A126" s="60">
        <f>IF(B126="","","C-"&amp;TEXT(122,"000"))</f>
        <v/>
      </c>
      <c r="B126" s="60">
        <f>IFERROR(INDEX('Prospects'!$C$5:$C$504,MATCH(122,'Prospects'!$BX$5:$BX$504,0)),"")</f>
        <v/>
      </c>
      <c r="C126" s="60">
        <f>IF(B126="","",IF(AC126&lt;&gt;"","Résilié","Actif"))</f>
        <v/>
      </c>
      <c r="D126" s="60">
        <f>IF(B126="","",IF(C126="Résilié","",IF(R126="En retard","Paiement en retard",IF(AND(V126&lt;&gt;"",N(V126)&lt;='Paramètres'!$B$30,N(V126)&gt;=0),"Renouvellement dans "&amp;V126&amp;" j",IF(AND(AA126="Non",TODAY()-N(L126)&gt;='Paramètres'!$B$29),"Demander un avis Google",IF(Z126&lt;1,"Onboarding à terminer",""))))))</f>
        <v/>
      </c>
      <c r="E126" s="60">
        <f>IF(B126="","",INDEX('Prospects'!$J$5:$J$504,MATCH(B126,'Prospects'!$C$5:$C$504,0))&amp;"")</f>
        <v/>
      </c>
      <c r="F126" s="60">
        <f>IF(B126="","",INDEX('Prospects'!$K$5:$K$504,MATCH(B126,'Prospects'!$C$5:$C$504,0))&amp;"")</f>
        <v/>
      </c>
      <c r="G126" s="60">
        <f>IF(B126="","",INDEX('Prospects'!$N$5:$N$504,MATCH(B126,'Prospects'!$C$5:$C$504,0))&amp;"")</f>
        <v/>
      </c>
      <c r="H126" s="60">
        <f>IF(B126="","",INDEX('Prospects'!$S$5:$S$504,MATCH(B126,'Prospects'!$C$5:$C$504,0))&amp;"")</f>
        <v/>
      </c>
      <c r="I126" s="60">
        <f>IF(B126="","",INDEX('Prospects'!$X$5:$X$504,MATCH(B126,'Prospects'!$C$5:$C$504,0))&amp;"")</f>
        <v/>
      </c>
      <c r="J126" s="60">
        <f>IF(B126="","",INDEX('Prospects'!$Y$5:$Y$504,MATCH(B126,'Prospects'!$C$5:$C$504,0))&amp;"")</f>
        <v/>
      </c>
      <c r="K126" s="60">
        <f>IF(B126="","",INDEX('Prospects'!$AN$5:$AN$504,MATCH(B126,'Prospects'!$C$5:$C$504,0))&amp;"")</f>
        <v/>
      </c>
      <c r="L126" s="106">
        <f>IF(B126="","",INDEX('Prospects'!$AT$5:$AT$504,MATCH(B126,'Prospects'!$C$5:$C$504,0)))</f>
        <v/>
      </c>
      <c r="M126" s="62">
        <f>IF(B126="","",SUMIFS('Saisie'!$AW$5:$AW$2004,'Saisie'!$C$5:$C$2004,B126,'Saisie'!$E$5:$E$2004,"Signature"))</f>
        <v/>
      </c>
      <c r="N126" s="62">
        <f>IF(B126="","",SUMIFS('Saisie'!$AW$5:$AW$2004,'Saisie'!$C$5:$C$2004,B126,'Saisie'!$E$5:$E$2004,"Vente additionnelle"))</f>
        <v/>
      </c>
      <c r="O126" s="62">
        <f>IF(B126="","",M126+N126)</f>
        <v/>
      </c>
      <c r="P126" s="62">
        <f>IF(B126="","",SUMIFS('Saisie'!$AW$5:$AW$2004,'Saisie'!$C$5:$C$2004,B126,'Saisie'!$E$5:$E$2004,"Paiement reçu"))</f>
        <v/>
      </c>
      <c r="Q126" s="62">
        <f>IF(B126="","",MAX(0,O126-P126))</f>
        <v/>
      </c>
      <c r="R126" s="60">
        <f>IF(B126="","",IF(O126=0,"",IF(Q126&lt;=0,"Payé",IF(TODAY()-N(L126)&gt;'Paramètres'!$B$27,"En retard",IF(P126&gt;0,"Partiel","En attente")))))</f>
        <v/>
      </c>
      <c r="S126" s="60">
        <f>IF(B126="","",IFERROR(INDEX('Saisie'!$O$5:$O$2004,_xlfn.MAXIFS('Saisie'!$AS$5:$AS$2004,'Saisie'!$C$5:$C$2004,B126,'Saisie'!$O$5:$O$2004,"&lt;&gt;")-4),""))</f>
        <v/>
      </c>
      <c r="T126" s="62">
        <f>IF(B126="","",N(INDEX('Prospects'!$AO$5:$AO$504,MATCH(B126,'Prospects'!$C$5:$C$504,0))))</f>
        <v/>
      </c>
      <c r="U126" s="106">
        <f>IF(B126="","",IF(L126="","",EDATE(L126,'Paramètres'!$B$33)))</f>
        <v/>
      </c>
      <c r="V126" s="61">
        <f>IF(B126="","",IF(U126="","",U126-TODAY()))</f>
        <v/>
      </c>
      <c r="W126" s="61">
        <f>IF(B126="","",IF(L126="","",INT((TODAY()-L126)/30.44)))</f>
        <v/>
      </c>
      <c r="X126" s="62">
        <f>IF(B126="","",O126+T126*'Paramètres'!$B$34)</f>
        <v/>
      </c>
      <c r="Y126" s="62">
        <f>IF(B126="","",O126-N(IFERROR(INDEX('Paramètres'!$T$6:$T$15,MATCH(K126,'Paramètres'!$Q$6:$Q$15,0)),0)))</f>
        <v/>
      </c>
      <c r="Z126" s="123">
        <f>IF(B126="","",((COUNTIFS('Saisie'!$C$5:$C$2004,B126,'Saisie'!$E$5:$E$2004,"Onboarding - Contrat")&gt;0)+(COUNTIFS('Saisie'!$C$5:$C$2004,B126,'Saisie'!$E$5:$E$2004,"Onboarding - Accès")&gt;0)+(COUNTIFS('Saisie'!$C$5:$C$2004,B126,'Saisie'!$E$5:$E$2004,"Onboarding - Contenus")&gt;0)+(COUNTIFS('Saisie'!$C$5:$C$2004,B126,'Saisie'!$E$5:$E$2004,"Onboarding - Lancement")&gt;0))/4)</f>
        <v/>
      </c>
      <c r="AA126" s="60">
        <f>IF(B126="","",IF(COUNTIFS('Saisie'!$C$5:$C$2004,B126,'Saisie'!$E$5:$E$2004,"Demande d'avis Google")&gt;0,"Oui","Non"))</f>
        <v/>
      </c>
      <c r="AB126" s="61">
        <f>IF(B126="","",IFERROR(INDEX('Saisie'!$N$5:$N$2004,_xlfn.MAXIFS('Saisie'!$AS$5:$AS$2004,'Saisie'!$C$5:$C$2004,B126,'Saisie'!$E$5:$E$2004,"Satisfaction client")-4)&amp;"",""))</f>
        <v/>
      </c>
      <c r="AC126" s="106">
        <f>IF(B126="","",IFERROR(1/(1/_xlfn.MAXIFS('Saisie'!$A$5:$A$2004,'Saisie'!$C$5:$C$2004,B126,'Saisie'!$E$5:$E$2004,"Résiliation")),""))</f>
        <v/>
      </c>
      <c r="AD126" s="60">
        <f>IF(D126&lt;&gt;"",MAX($AD$4:AD125)+1,"")</f>
        <v/>
      </c>
    </row>
    <row r="127">
      <c r="A127" s="60">
        <f>IF(B127="","","C-"&amp;TEXT(123,"000"))</f>
        <v/>
      </c>
      <c r="B127" s="60">
        <f>IFERROR(INDEX('Prospects'!$C$5:$C$504,MATCH(123,'Prospects'!$BX$5:$BX$504,0)),"")</f>
        <v/>
      </c>
      <c r="C127" s="60">
        <f>IF(B127="","",IF(AC127&lt;&gt;"","Résilié","Actif"))</f>
        <v/>
      </c>
      <c r="D127" s="60">
        <f>IF(B127="","",IF(C127="Résilié","",IF(R127="En retard","Paiement en retard",IF(AND(V127&lt;&gt;"",N(V127)&lt;='Paramètres'!$B$30,N(V127)&gt;=0),"Renouvellement dans "&amp;V127&amp;" j",IF(AND(AA127="Non",TODAY()-N(L127)&gt;='Paramètres'!$B$29),"Demander un avis Google",IF(Z127&lt;1,"Onboarding à terminer",""))))))</f>
        <v/>
      </c>
      <c r="E127" s="60">
        <f>IF(B127="","",INDEX('Prospects'!$J$5:$J$504,MATCH(B127,'Prospects'!$C$5:$C$504,0))&amp;"")</f>
        <v/>
      </c>
      <c r="F127" s="60">
        <f>IF(B127="","",INDEX('Prospects'!$K$5:$K$504,MATCH(B127,'Prospects'!$C$5:$C$504,0))&amp;"")</f>
        <v/>
      </c>
      <c r="G127" s="60">
        <f>IF(B127="","",INDEX('Prospects'!$N$5:$N$504,MATCH(B127,'Prospects'!$C$5:$C$504,0))&amp;"")</f>
        <v/>
      </c>
      <c r="H127" s="60">
        <f>IF(B127="","",INDEX('Prospects'!$S$5:$S$504,MATCH(B127,'Prospects'!$C$5:$C$504,0))&amp;"")</f>
        <v/>
      </c>
      <c r="I127" s="60">
        <f>IF(B127="","",INDEX('Prospects'!$X$5:$X$504,MATCH(B127,'Prospects'!$C$5:$C$504,0))&amp;"")</f>
        <v/>
      </c>
      <c r="J127" s="60">
        <f>IF(B127="","",INDEX('Prospects'!$Y$5:$Y$504,MATCH(B127,'Prospects'!$C$5:$C$504,0))&amp;"")</f>
        <v/>
      </c>
      <c r="K127" s="60">
        <f>IF(B127="","",INDEX('Prospects'!$AN$5:$AN$504,MATCH(B127,'Prospects'!$C$5:$C$504,0))&amp;"")</f>
        <v/>
      </c>
      <c r="L127" s="106">
        <f>IF(B127="","",INDEX('Prospects'!$AT$5:$AT$504,MATCH(B127,'Prospects'!$C$5:$C$504,0)))</f>
        <v/>
      </c>
      <c r="M127" s="62">
        <f>IF(B127="","",SUMIFS('Saisie'!$AW$5:$AW$2004,'Saisie'!$C$5:$C$2004,B127,'Saisie'!$E$5:$E$2004,"Signature"))</f>
        <v/>
      </c>
      <c r="N127" s="62">
        <f>IF(B127="","",SUMIFS('Saisie'!$AW$5:$AW$2004,'Saisie'!$C$5:$C$2004,B127,'Saisie'!$E$5:$E$2004,"Vente additionnelle"))</f>
        <v/>
      </c>
      <c r="O127" s="62">
        <f>IF(B127="","",M127+N127)</f>
        <v/>
      </c>
      <c r="P127" s="62">
        <f>IF(B127="","",SUMIFS('Saisie'!$AW$5:$AW$2004,'Saisie'!$C$5:$C$2004,B127,'Saisie'!$E$5:$E$2004,"Paiement reçu"))</f>
        <v/>
      </c>
      <c r="Q127" s="62">
        <f>IF(B127="","",MAX(0,O127-P127))</f>
        <v/>
      </c>
      <c r="R127" s="60">
        <f>IF(B127="","",IF(O127=0,"",IF(Q127&lt;=0,"Payé",IF(TODAY()-N(L127)&gt;'Paramètres'!$B$27,"En retard",IF(P127&gt;0,"Partiel","En attente")))))</f>
        <v/>
      </c>
      <c r="S127" s="60">
        <f>IF(B127="","",IFERROR(INDEX('Saisie'!$O$5:$O$2004,_xlfn.MAXIFS('Saisie'!$AS$5:$AS$2004,'Saisie'!$C$5:$C$2004,B127,'Saisie'!$O$5:$O$2004,"&lt;&gt;")-4),""))</f>
        <v/>
      </c>
      <c r="T127" s="62">
        <f>IF(B127="","",N(INDEX('Prospects'!$AO$5:$AO$504,MATCH(B127,'Prospects'!$C$5:$C$504,0))))</f>
        <v/>
      </c>
      <c r="U127" s="106">
        <f>IF(B127="","",IF(L127="","",EDATE(L127,'Paramètres'!$B$33)))</f>
        <v/>
      </c>
      <c r="V127" s="61">
        <f>IF(B127="","",IF(U127="","",U127-TODAY()))</f>
        <v/>
      </c>
      <c r="W127" s="61">
        <f>IF(B127="","",IF(L127="","",INT((TODAY()-L127)/30.44)))</f>
        <v/>
      </c>
      <c r="X127" s="62">
        <f>IF(B127="","",O127+T127*'Paramètres'!$B$34)</f>
        <v/>
      </c>
      <c r="Y127" s="62">
        <f>IF(B127="","",O127-N(IFERROR(INDEX('Paramètres'!$T$6:$T$15,MATCH(K127,'Paramètres'!$Q$6:$Q$15,0)),0)))</f>
        <v/>
      </c>
      <c r="Z127" s="123">
        <f>IF(B127="","",((COUNTIFS('Saisie'!$C$5:$C$2004,B127,'Saisie'!$E$5:$E$2004,"Onboarding - Contrat")&gt;0)+(COUNTIFS('Saisie'!$C$5:$C$2004,B127,'Saisie'!$E$5:$E$2004,"Onboarding - Accès")&gt;0)+(COUNTIFS('Saisie'!$C$5:$C$2004,B127,'Saisie'!$E$5:$E$2004,"Onboarding - Contenus")&gt;0)+(COUNTIFS('Saisie'!$C$5:$C$2004,B127,'Saisie'!$E$5:$E$2004,"Onboarding - Lancement")&gt;0))/4)</f>
        <v/>
      </c>
      <c r="AA127" s="60">
        <f>IF(B127="","",IF(COUNTIFS('Saisie'!$C$5:$C$2004,B127,'Saisie'!$E$5:$E$2004,"Demande d'avis Google")&gt;0,"Oui","Non"))</f>
        <v/>
      </c>
      <c r="AB127" s="61">
        <f>IF(B127="","",IFERROR(INDEX('Saisie'!$N$5:$N$2004,_xlfn.MAXIFS('Saisie'!$AS$5:$AS$2004,'Saisie'!$C$5:$C$2004,B127,'Saisie'!$E$5:$E$2004,"Satisfaction client")-4)&amp;"",""))</f>
        <v/>
      </c>
      <c r="AC127" s="106">
        <f>IF(B127="","",IFERROR(1/(1/_xlfn.MAXIFS('Saisie'!$A$5:$A$2004,'Saisie'!$C$5:$C$2004,B127,'Saisie'!$E$5:$E$2004,"Résiliation")),""))</f>
        <v/>
      </c>
      <c r="AD127" s="60">
        <f>IF(D127&lt;&gt;"",MAX($AD$4:AD126)+1,"")</f>
        <v/>
      </c>
    </row>
    <row r="128">
      <c r="A128" s="60">
        <f>IF(B128="","","C-"&amp;TEXT(124,"000"))</f>
        <v/>
      </c>
      <c r="B128" s="60">
        <f>IFERROR(INDEX('Prospects'!$C$5:$C$504,MATCH(124,'Prospects'!$BX$5:$BX$504,0)),"")</f>
        <v/>
      </c>
      <c r="C128" s="60">
        <f>IF(B128="","",IF(AC128&lt;&gt;"","Résilié","Actif"))</f>
        <v/>
      </c>
      <c r="D128" s="60">
        <f>IF(B128="","",IF(C128="Résilié","",IF(R128="En retard","Paiement en retard",IF(AND(V128&lt;&gt;"",N(V128)&lt;='Paramètres'!$B$30,N(V128)&gt;=0),"Renouvellement dans "&amp;V128&amp;" j",IF(AND(AA128="Non",TODAY()-N(L128)&gt;='Paramètres'!$B$29),"Demander un avis Google",IF(Z128&lt;1,"Onboarding à terminer",""))))))</f>
        <v/>
      </c>
      <c r="E128" s="60">
        <f>IF(B128="","",INDEX('Prospects'!$J$5:$J$504,MATCH(B128,'Prospects'!$C$5:$C$504,0))&amp;"")</f>
        <v/>
      </c>
      <c r="F128" s="60">
        <f>IF(B128="","",INDEX('Prospects'!$K$5:$K$504,MATCH(B128,'Prospects'!$C$5:$C$504,0))&amp;"")</f>
        <v/>
      </c>
      <c r="G128" s="60">
        <f>IF(B128="","",INDEX('Prospects'!$N$5:$N$504,MATCH(B128,'Prospects'!$C$5:$C$504,0))&amp;"")</f>
        <v/>
      </c>
      <c r="H128" s="60">
        <f>IF(B128="","",INDEX('Prospects'!$S$5:$S$504,MATCH(B128,'Prospects'!$C$5:$C$504,0))&amp;"")</f>
        <v/>
      </c>
      <c r="I128" s="60">
        <f>IF(B128="","",INDEX('Prospects'!$X$5:$X$504,MATCH(B128,'Prospects'!$C$5:$C$504,0))&amp;"")</f>
        <v/>
      </c>
      <c r="J128" s="60">
        <f>IF(B128="","",INDEX('Prospects'!$Y$5:$Y$504,MATCH(B128,'Prospects'!$C$5:$C$504,0))&amp;"")</f>
        <v/>
      </c>
      <c r="K128" s="60">
        <f>IF(B128="","",INDEX('Prospects'!$AN$5:$AN$504,MATCH(B128,'Prospects'!$C$5:$C$504,0))&amp;"")</f>
        <v/>
      </c>
      <c r="L128" s="106">
        <f>IF(B128="","",INDEX('Prospects'!$AT$5:$AT$504,MATCH(B128,'Prospects'!$C$5:$C$504,0)))</f>
        <v/>
      </c>
      <c r="M128" s="62">
        <f>IF(B128="","",SUMIFS('Saisie'!$AW$5:$AW$2004,'Saisie'!$C$5:$C$2004,B128,'Saisie'!$E$5:$E$2004,"Signature"))</f>
        <v/>
      </c>
      <c r="N128" s="62">
        <f>IF(B128="","",SUMIFS('Saisie'!$AW$5:$AW$2004,'Saisie'!$C$5:$C$2004,B128,'Saisie'!$E$5:$E$2004,"Vente additionnelle"))</f>
        <v/>
      </c>
      <c r="O128" s="62">
        <f>IF(B128="","",M128+N128)</f>
        <v/>
      </c>
      <c r="P128" s="62">
        <f>IF(B128="","",SUMIFS('Saisie'!$AW$5:$AW$2004,'Saisie'!$C$5:$C$2004,B128,'Saisie'!$E$5:$E$2004,"Paiement reçu"))</f>
        <v/>
      </c>
      <c r="Q128" s="62">
        <f>IF(B128="","",MAX(0,O128-P128))</f>
        <v/>
      </c>
      <c r="R128" s="60">
        <f>IF(B128="","",IF(O128=0,"",IF(Q128&lt;=0,"Payé",IF(TODAY()-N(L128)&gt;'Paramètres'!$B$27,"En retard",IF(P128&gt;0,"Partiel","En attente")))))</f>
        <v/>
      </c>
      <c r="S128" s="60">
        <f>IF(B128="","",IFERROR(INDEX('Saisie'!$O$5:$O$2004,_xlfn.MAXIFS('Saisie'!$AS$5:$AS$2004,'Saisie'!$C$5:$C$2004,B128,'Saisie'!$O$5:$O$2004,"&lt;&gt;")-4),""))</f>
        <v/>
      </c>
      <c r="T128" s="62">
        <f>IF(B128="","",N(INDEX('Prospects'!$AO$5:$AO$504,MATCH(B128,'Prospects'!$C$5:$C$504,0))))</f>
        <v/>
      </c>
      <c r="U128" s="106">
        <f>IF(B128="","",IF(L128="","",EDATE(L128,'Paramètres'!$B$33)))</f>
        <v/>
      </c>
      <c r="V128" s="61">
        <f>IF(B128="","",IF(U128="","",U128-TODAY()))</f>
        <v/>
      </c>
      <c r="W128" s="61">
        <f>IF(B128="","",IF(L128="","",INT((TODAY()-L128)/30.44)))</f>
        <v/>
      </c>
      <c r="X128" s="62">
        <f>IF(B128="","",O128+T128*'Paramètres'!$B$34)</f>
        <v/>
      </c>
      <c r="Y128" s="62">
        <f>IF(B128="","",O128-N(IFERROR(INDEX('Paramètres'!$T$6:$T$15,MATCH(K128,'Paramètres'!$Q$6:$Q$15,0)),0)))</f>
        <v/>
      </c>
      <c r="Z128" s="123">
        <f>IF(B128="","",((COUNTIFS('Saisie'!$C$5:$C$2004,B128,'Saisie'!$E$5:$E$2004,"Onboarding - Contrat")&gt;0)+(COUNTIFS('Saisie'!$C$5:$C$2004,B128,'Saisie'!$E$5:$E$2004,"Onboarding - Accès")&gt;0)+(COUNTIFS('Saisie'!$C$5:$C$2004,B128,'Saisie'!$E$5:$E$2004,"Onboarding - Contenus")&gt;0)+(COUNTIFS('Saisie'!$C$5:$C$2004,B128,'Saisie'!$E$5:$E$2004,"Onboarding - Lancement")&gt;0))/4)</f>
        <v/>
      </c>
      <c r="AA128" s="60">
        <f>IF(B128="","",IF(COUNTIFS('Saisie'!$C$5:$C$2004,B128,'Saisie'!$E$5:$E$2004,"Demande d'avis Google")&gt;0,"Oui","Non"))</f>
        <v/>
      </c>
      <c r="AB128" s="61">
        <f>IF(B128="","",IFERROR(INDEX('Saisie'!$N$5:$N$2004,_xlfn.MAXIFS('Saisie'!$AS$5:$AS$2004,'Saisie'!$C$5:$C$2004,B128,'Saisie'!$E$5:$E$2004,"Satisfaction client")-4)&amp;"",""))</f>
        <v/>
      </c>
      <c r="AC128" s="106">
        <f>IF(B128="","",IFERROR(1/(1/_xlfn.MAXIFS('Saisie'!$A$5:$A$2004,'Saisie'!$C$5:$C$2004,B128,'Saisie'!$E$5:$E$2004,"Résiliation")),""))</f>
        <v/>
      </c>
      <c r="AD128" s="60">
        <f>IF(D128&lt;&gt;"",MAX($AD$4:AD127)+1,"")</f>
        <v/>
      </c>
    </row>
    <row r="129">
      <c r="A129" s="60">
        <f>IF(B129="","","C-"&amp;TEXT(125,"000"))</f>
        <v/>
      </c>
      <c r="B129" s="60">
        <f>IFERROR(INDEX('Prospects'!$C$5:$C$504,MATCH(125,'Prospects'!$BX$5:$BX$504,0)),"")</f>
        <v/>
      </c>
      <c r="C129" s="60">
        <f>IF(B129="","",IF(AC129&lt;&gt;"","Résilié","Actif"))</f>
        <v/>
      </c>
      <c r="D129" s="60">
        <f>IF(B129="","",IF(C129="Résilié","",IF(R129="En retard","Paiement en retard",IF(AND(V129&lt;&gt;"",N(V129)&lt;='Paramètres'!$B$30,N(V129)&gt;=0),"Renouvellement dans "&amp;V129&amp;" j",IF(AND(AA129="Non",TODAY()-N(L129)&gt;='Paramètres'!$B$29),"Demander un avis Google",IF(Z129&lt;1,"Onboarding à terminer",""))))))</f>
        <v/>
      </c>
      <c r="E129" s="60">
        <f>IF(B129="","",INDEX('Prospects'!$J$5:$J$504,MATCH(B129,'Prospects'!$C$5:$C$504,0))&amp;"")</f>
        <v/>
      </c>
      <c r="F129" s="60">
        <f>IF(B129="","",INDEX('Prospects'!$K$5:$K$504,MATCH(B129,'Prospects'!$C$5:$C$504,0))&amp;"")</f>
        <v/>
      </c>
      <c r="G129" s="60">
        <f>IF(B129="","",INDEX('Prospects'!$N$5:$N$504,MATCH(B129,'Prospects'!$C$5:$C$504,0))&amp;"")</f>
        <v/>
      </c>
      <c r="H129" s="60">
        <f>IF(B129="","",INDEX('Prospects'!$S$5:$S$504,MATCH(B129,'Prospects'!$C$5:$C$504,0))&amp;"")</f>
        <v/>
      </c>
      <c r="I129" s="60">
        <f>IF(B129="","",INDEX('Prospects'!$X$5:$X$504,MATCH(B129,'Prospects'!$C$5:$C$504,0))&amp;"")</f>
        <v/>
      </c>
      <c r="J129" s="60">
        <f>IF(B129="","",INDEX('Prospects'!$Y$5:$Y$504,MATCH(B129,'Prospects'!$C$5:$C$504,0))&amp;"")</f>
        <v/>
      </c>
      <c r="K129" s="60">
        <f>IF(B129="","",INDEX('Prospects'!$AN$5:$AN$504,MATCH(B129,'Prospects'!$C$5:$C$504,0))&amp;"")</f>
        <v/>
      </c>
      <c r="L129" s="106">
        <f>IF(B129="","",INDEX('Prospects'!$AT$5:$AT$504,MATCH(B129,'Prospects'!$C$5:$C$504,0)))</f>
        <v/>
      </c>
      <c r="M129" s="62">
        <f>IF(B129="","",SUMIFS('Saisie'!$AW$5:$AW$2004,'Saisie'!$C$5:$C$2004,B129,'Saisie'!$E$5:$E$2004,"Signature"))</f>
        <v/>
      </c>
      <c r="N129" s="62">
        <f>IF(B129="","",SUMIFS('Saisie'!$AW$5:$AW$2004,'Saisie'!$C$5:$C$2004,B129,'Saisie'!$E$5:$E$2004,"Vente additionnelle"))</f>
        <v/>
      </c>
      <c r="O129" s="62">
        <f>IF(B129="","",M129+N129)</f>
        <v/>
      </c>
      <c r="P129" s="62">
        <f>IF(B129="","",SUMIFS('Saisie'!$AW$5:$AW$2004,'Saisie'!$C$5:$C$2004,B129,'Saisie'!$E$5:$E$2004,"Paiement reçu"))</f>
        <v/>
      </c>
      <c r="Q129" s="62">
        <f>IF(B129="","",MAX(0,O129-P129))</f>
        <v/>
      </c>
      <c r="R129" s="60">
        <f>IF(B129="","",IF(O129=0,"",IF(Q129&lt;=0,"Payé",IF(TODAY()-N(L129)&gt;'Paramètres'!$B$27,"En retard",IF(P129&gt;0,"Partiel","En attente")))))</f>
        <v/>
      </c>
      <c r="S129" s="60">
        <f>IF(B129="","",IFERROR(INDEX('Saisie'!$O$5:$O$2004,_xlfn.MAXIFS('Saisie'!$AS$5:$AS$2004,'Saisie'!$C$5:$C$2004,B129,'Saisie'!$O$5:$O$2004,"&lt;&gt;")-4),""))</f>
        <v/>
      </c>
      <c r="T129" s="62">
        <f>IF(B129="","",N(INDEX('Prospects'!$AO$5:$AO$504,MATCH(B129,'Prospects'!$C$5:$C$504,0))))</f>
        <v/>
      </c>
      <c r="U129" s="106">
        <f>IF(B129="","",IF(L129="","",EDATE(L129,'Paramètres'!$B$33)))</f>
        <v/>
      </c>
      <c r="V129" s="61">
        <f>IF(B129="","",IF(U129="","",U129-TODAY()))</f>
        <v/>
      </c>
      <c r="W129" s="61">
        <f>IF(B129="","",IF(L129="","",INT((TODAY()-L129)/30.44)))</f>
        <v/>
      </c>
      <c r="X129" s="62">
        <f>IF(B129="","",O129+T129*'Paramètres'!$B$34)</f>
        <v/>
      </c>
      <c r="Y129" s="62">
        <f>IF(B129="","",O129-N(IFERROR(INDEX('Paramètres'!$T$6:$T$15,MATCH(K129,'Paramètres'!$Q$6:$Q$15,0)),0)))</f>
        <v/>
      </c>
      <c r="Z129" s="123">
        <f>IF(B129="","",((COUNTIFS('Saisie'!$C$5:$C$2004,B129,'Saisie'!$E$5:$E$2004,"Onboarding - Contrat")&gt;0)+(COUNTIFS('Saisie'!$C$5:$C$2004,B129,'Saisie'!$E$5:$E$2004,"Onboarding - Accès")&gt;0)+(COUNTIFS('Saisie'!$C$5:$C$2004,B129,'Saisie'!$E$5:$E$2004,"Onboarding - Contenus")&gt;0)+(COUNTIFS('Saisie'!$C$5:$C$2004,B129,'Saisie'!$E$5:$E$2004,"Onboarding - Lancement")&gt;0))/4)</f>
        <v/>
      </c>
      <c r="AA129" s="60">
        <f>IF(B129="","",IF(COUNTIFS('Saisie'!$C$5:$C$2004,B129,'Saisie'!$E$5:$E$2004,"Demande d'avis Google")&gt;0,"Oui","Non"))</f>
        <v/>
      </c>
      <c r="AB129" s="61">
        <f>IF(B129="","",IFERROR(INDEX('Saisie'!$N$5:$N$2004,_xlfn.MAXIFS('Saisie'!$AS$5:$AS$2004,'Saisie'!$C$5:$C$2004,B129,'Saisie'!$E$5:$E$2004,"Satisfaction client")-4)&amp;"",""))</f>
        <v/>
      </c>
      <c r="AC129" s="106">
        <f>IF(B129="","",IFERROR(1/(1/_xlfn.MAXIFS('Saisie'!$A$5:$A$2004,'Saisie'!$C$5:$C$2004,B129,'Saisie'!$E$5:$E$2004,"Résiliation")),""))</f>
        <v/>
      </c>
      <c r="AD129" s="60">
        <f>IF(D129&lt;&gt;"",MAX($AD$4:AD128)+1,"")</f>
        <v/>
      </c>
    </row>
    <row r="130">
      <c r="A130" s="60">
        <f>IF(B130="","","C-"&amp;TEXT(126,"000"))</f>
        <v/>
      </c>
      <c r="B130" s="60">
        <f>IFERROR(INDEX('Prospects'!$C$5:$C$504,MATCH(126,'Prospects'!$BX$5:$BX$504,0)),"")</f>
        <v/>
      </c>
      <c r="C130" s="60">
        <f>IF(B130="","",IF(AC130&lt;&gt;"","Résilié","Actif"))</f>
        <v/>
      </c>
      <c r="D130" s="60">
        <f>IF(B130="","",IF(C130="Résilié","",IF(R130="En retard","Paiement en retard",IF(AND(V130&lt;&gt;"",N(V130)&lt;='Paramètres'!$B$30,N(V130)&gt;=0),"Renouvellement dans "&amp;V130&amp;" j",IF(AND(AA130="Non",TODAY()-N(L130)&gt;='Paramètres'!$B$29),"Demander un avis Google",IF(Z130&lt;1,"Onboarding à terminer",""))))))</f>
        <v/>
      </c>
      <c r="E130" s="60">
        <f>IF(B130="","",INDEX('Prospects'!$J$5:$J$504,MATCH(B130,'Prospects'!$C$5:$C$504,0))&amp;"")</f>
        <v/>
      </c>
      <c r="F130" s="60">
        <f>IF(B130="","",INDEX('Prospects'!$K$5:$K$504,MATCH(B130,'Prospects'!$C$5:$C$504,0))&amp;"")</f>
        <v/>
      </c>
      <c r="G130" s="60">
        <f>IF(B130="","",INDEX('Prospects'!$N$5:$N$504,MATCH(B130,'Prospects'!$C$5:$C$504,0))&amp;"")</f>
        <v/>
      </c>
      <c r="H130" s="60">
        <f>IF(B130="","",INDEX('Prospects'!$S$5:$S$504,MATCH(B130,'Prospects'!$C$5:$C$504,0))&amp;"")</f>
        <v/>
      </c>
      <c r="I130" s="60">
        <f>IF(B130="","",INDEX('Prospects'!$X$5:$X$504,MATCH(B130,'Prospects'!$C$5:$C$504,0))&amp;"")</f>
        <v/>
      </c>
      <c r="J130" s="60">
        <f>IF(B130="","",INDEX('Prospects'!$Y$5:$Y$504,MATCH(B130,'Prospects'!$C$5:$C$504,0))&amp;"")</f>
        <v/>
      </c>
      <c r="K130" s="60">
        <f>IF(B130="","",INDEX('Prospects'!$AN$5:$AN$504,MATCH(B130,'Prospects'!$C$5:$C$504,0))&amp;"")</f>
        <v/>
      </c>
      <c r="L130" s="106">
        <f>IF(B130="","",INDEX('Prospects'!$AT$5:$AT$504,MATCH(B130,'Prospects'!$C$5:$C$504,0)))</f>
        <v/>
      </c>
      <c r="M130" s="62">
        <f>IF(B130="","",SUMIFS('Saisie'!$AW$5:$AW$2004,'Saisie'!$C$5:$C$2004,B130,'Saisie'!$E$5:$E$2004,"Signature"))</f>
        <v/>
      </c>
      <c r="N130" s="62">
        <f>IF(B130="","",SUMIFS('Saisie'!$AW$5:$AW$2004,'Saisie'!$C$5:$C$2004,B130,'Saisie'!$E$5:$E$2004,"Vente additionnelle"))</f>
        <v/>
      </c>
      <c r="O130" s="62">
        <f>IF(B130="","",M130+N130)</f>
        <v/>
      </c>
      <c r="P130" s="62">
        <f>IF(B130="","",SUMIFS('Saisie'!$AW$5:$AW$2004,'Saisie'!$C$5:$C$2004,B130,'Saisie'!$E$5:$E$2004,"Paiement reçu"))</f>
        <v/>
      </c>
      <c r="Q130" s="62">
        <f>IF(B130="","",MAX(0,O130-P130))</f>
        <v/>
      </c>
      <c r="R130" s="60">
        <f>IF(B130="","",IF(O130=0,"",IF(Q130&lt;=0,"Payé",IF(TODAY()-N(L130)&gt;'Paramètres'!$B$27,"En retard",IF(P130&gt;0,"Partiel","En attente")))))</f>
        <v/>
      </c>
      <c r="S130" s="60">
        <f>IF(B130="","",IFERROR(INDEX('Saisie'!$O$5:$O$2004,_xlfn.MAXIFS('Saisie'!$AS$5:$AS$2004,'Saisie'!$C$5:$C$2004,B130,'Saisie'!$O$5:$O$2004,"&lt;&gt;")-4),""))</f>
        <v/>
      </c>
      <c r="T130" s="62">
        <f>IF(B130="","",N(INDEX('Prospects'!$AO$5:$AO$504,MATCH(B130,'Prospects'!$C$5:$C$504,0))))</f>
        <v/>
      </c>
      <c r="U130" s="106">
        <f>IF(B130="","",IF(L130="","",EDATE(L130,'Paramètres'!$B$33)))</f>
        <v/>
      </c>
      <c r="V130" s="61">
        <f>IF(B130="","",IF(U130="","",U130-TODAY()))</f>
        <v/>
      </c>
      <c r="W130" s="61">
        <f>IF(B130="","",IF(L130="","",INT((TODAY()-L130)/30.44)))</f>
        <v/>
      </c>
      <c r="X130" s="62">
        <f>IF(B130="","",O130+T130*'Paramètres'!$B$34)</f>
        <v/>
      </c>
      <c r="Y130" s="62">
        <f>IF(B130="","",O130-N(IFERROR(INDEX('Paramètres'!$T$6:$T$15,MATCH(K130,'Paramètres'!$Q$6:$Q$15,0)),0)))</f>
        <v/>
      </c>
      <c r="Z130" s="123">
        <f>IF(B130="","",((COUNTIFS('Saisie'!$C$5:$C$2004,B130,'Saisie'!$E$5:$E$2004,"Onboarding - Contrat")&gt;0)+(COUNTIFS('Saisie'!$C$5:$C$2004,B130,'Saisie'!$E$5:$E$2004,"Onboarding - Accès")&gt;0)+(COUNTIFS('Saisie'!$C$5:$C$2004,B130,'Saisie'!$E$5:$E$2004,"Onboarding - Contenus")&gt;0)+(COUNTIFS('Saisie'!$C$5:$C$2004,B130,'Saisie'!$E$5:$E$2004,"Onboarding - Lancement")&gt;0))/4)</f>
        <v/>
      </c>
      <c r="AA130" s="60">
        <f>IF(B130="","",IF(COUNTIFS('Saisie'!$C$5:$C$2004,B130,'Saisie'!$E$5:$E$2004,"Demande d'avis Google")&gt;0,"Oui","Non"))</f>
        <v/>
      </c>
      <c r="AB130" s="61">
        <f>IF(B130="","",IFERROR(INDEX('Saisie'!$N$5:$N$2004,_xlfn.MAXIFS('Saisie'!$AS$5:$AS$2004,'Saisie'!$C$5:$C$2004,B130,'Saisie'!$E$5:$E$2004,"Satisfaction client")-4)&amp;"",""))</f>
        <v/>
      </c>
      <c r="AC130" s="106">
        <f>IF(B130="","",IFERROR(1/(1/_xlfn.MAXIFS('Saisie'!$A$5:$A$2004,'Saisie'!$C$5:$C$2004,B130,'Saisie'!$E$5:$E$2004,"Résiliation")),""))</f>
        <v/>
      </c>
      <c r="AD130" s="60">
        <f>IF(D130&lt;&gt;"",MAX($AD$4:AD129)+1,"")</f>
        <v/>
      </c>
    </row>
    <row r="131">
      <c r="A131" s="60">
        <f>IF(B131="","","C-"&amp;TEXT(127,"000"))</f>
        <v/>
      </c>
      <c r="B131" s="60">
        <f>IFERROR(INDEX('Prospects'!$C$5:$C$504,MATCH(127,'Prospects'!$BX$5:$BX$504,0)),"")</f>
        <v/>
      </c>
      <c r="C131" s="60">
        <f>IF(B131="","",IF(AC131&lt;&gt;"","Résilié","Actif"))</f>
        <v/>
      </c>
      <c r="D131" s="60">
        <f>IF(B131="","",IF(C131="Résilié","",IF(R131="En retard","Paiement en retard",IF(AND(V131&lt;&gt;"",N(V131)&lt;='Paramètres'!$B$30,N(V131)&gt;=0),"Renouvellement dans "&amp;V131&amp;" j",IF(AND(AA131="Non",TODAY()-N(L131)&gt;='Paramètres'!$B$29),"Demander un avis Google",IF(Z131&lt;1,"Onboarding à terminer",""))))))</f>
        <v/>
      </c>
      <c r="E131" s="60">
        <f>IF(B131="","",INDEX('Prospects'!$J$5:$J$504,MATCH(B131,'Prospects'!$C$5:$C$504,0))&amp;"")</f>
        <v/>
      </c>
      <c r="F131" s="60">
        <f>IF(B131="","",INDEX('Prospects'!$K$5:$K$504,MATCH(B131,'Prospects'!$C$5:$C$504,0))&amp;"")</f>
        <v/>
      </c>
      <c r="G131" s="60">
        <f>IF(B131="","",INDEX('Prospects'!$N$5:$N$504,MATCH(B131,'Prospects'!$C$5:$C$504,0))&amp;"")</f>
        <v/>
      </c>
      <c r="H131" s="60">
        <f>IF(B131="","",INDEX('Prospects'!$S$5:$S$504,MATCH(B131,'Prospects'!$C$5:$C$504,0))&amp;"")</f>
        <v/>
      </c>
      <c r="I131" s="60">
        <f>IF(B131="","",INDEX('Prospects'!$X$5:$X$504,MATCH(B131,'Prospects'!$C$5:$C$504,0))&amp;"")</f>
        <v/>
      </c>
      <c r="J131" s="60">
        <f>IF(B131="","",INDEX('Prospects'!$Y$5:$Y$504,MATCH(B131,'Prospects'!$C$5:$C$504,0))&amp;"")</f>
        <v/>
      </c>
      <c r="K131" s="60">
        <f>IF(B131="","",INDEX('Prospects'!$AN$5:$AN$504,MATCH(B131,'Prospects'!$C$5:$C$504,0))&amp;"")</f>
        <v/>
      </c>
      <c r="L131" s="106">
        <f>IF(B131="","",INDEX('Prospects'!$AT$5:$AT$504,MATCH(B131,'Prospects'!$C$5:$C$504,0)))</f>
        <v/>
      </c>
      <c r="M131" s="62">
        <f>IF(B131="","",SUMIFS('Saisie'!$AW$5:$AW$2004,'Saisie'!$C$5:$C$2004,B131,'Saisie'!$E$5:$E$2004,"Signature"))</f>
        <v/>
      </c>
      <c r="N131" s="62">
        <f>IF(B131="","",SUMIFS('Saisie'!$AW$5:$AW$2004,'Saisie'!$C$5:$C$2004,B131,'Saisie'!$E$5:$E$2004,"Vente additionnelle"))</f>
        <v/>
      </c>
      <c r="O131" s="62">
        <f>IF(B131="","",M131+N131)</f>
        <v/>
      </c>
      <c r="P131" s="62">
        <f>IF(B131="","",SUMIFS('Saisie'!$AW$5:$AW$2004,'Saisie'!$C$5:$C$2004,B131,'Saisie'!$E$5:$E$2004,"Paiement reçu"))</f>
        <v/>
      </c>
      <c r="Q131" s="62">
        <f>IF(B131="","",MAX(0,O131-P131))</f>
        <v/>
      </c>
      <c r="R131" s="60">
        <f>IF(B131="","",IF(O131=0,"",IF(Q131&lt;=0,"Payé",IF(TODAY()-N(L131)&gt;'Paramètres'!$B$27,"En retard",IF(P131&gt;0,"Partiel","En attente")))))</f>
        <v/>
      </c>
      <c r="S131" s="60">
        <f>IF(B131="","",IFERROR(INDEX('Saisie'!$O$5:$O$2004,_xlfn.MAXIFS('Saisie'!$AS$5:$AS$2004,'Saisie'!$C$5:$C$2004,B131,'Saisie'!$O$5:$O$2004,"&lt;&gt;")-4),""))</f>
        <v/>
      </c>
      <c r="T131" s="62">
        <f>IF(B131="","",N(INDEX('Prospects'!$AO$5:$AO$504,MATCH(B131,'Prospects'!$C$5:$C$504,0))))</f>
        <v/>
      </c>
      <c r="U131" s="106">
        <f>IF(B131="","",IF(L131="","",EDATE(L131,'Paramètres'!$B$33)))</f>
        <v/>
      </c>
      <c r="V131" s="61">
        <f>IF(B131="","",IF(U131="","",U131-TODAY()))</f>
        <v/>
      </c>
      <c r="W131" s="61">
        <f>IF(B131="","",IF(L131="","",INT((TODAY()-L131)/30.44)))</f>
        <v/>
      </c>
      <c r="X131" s="62">
        <f>IF(B131="","",O131+T131*'Paramètres'!$B$34)</f>
        <v/>
      </c>
      <c r="Y131" s="62">
        <f>IF(B131="","",O131-N(IFERROR(INDEX('Paramètres'!$T$6:$T$15,MATCH(K131,'Paramètres'!$Q$6:$Q$15,0)),0)))</f>
        <v/>
      </c>
      <c r="Z131" s="123">
        <f>IF(B131="","",((COUNTIFS('Saisie'!$C$5:$C$2004,B131,'Saisie'!$E$5:$E$2004,"Onboarding - Contrat")&gt;0)+(COUNTIFS('Saisie'!$C$5:$C$2004,B131,'Saisie'!$E$5:$E$2004,"Onboarding - Accès")&gt;0)+(COUNTIFS('Saisie'!$C$5:$C$2004,B131,'Saisie'!$E$5:$E$2004,"Onboarding - Contenus")&gt;0)+(COUNTIFS('Saisie'!$C$5:$C$2004,B131,'Saisie'!$E$5:$E$2004,"Onboarding - Lancement")&gt;0))/4)</f>
        <v/>
      </c>
      <c r="AA131" s="60">
        <f>IF(B131="","",IF(COUNTIFS('Saisie'!$C$5:$C$2004,B131,'Saisie'!$E$5:$E$2004,"Demande d'avis Google")&gt;0,"Oui","Non"))</f>
        <v/>
      </c>
      <c r="AB131" s="61">
        <f>IF(B131="","",IFERROR(INDEX('Saisie'!$N$5:$N$2004,_xlfn.MAXIFS('Saisie'!$AS$5:$AS$2004,'Saisie'!$C$5:$C$2004,B131,'Saisie'!$E$5:$E$2004,"Satisfaction client")-4)&amp;"",""))</f>
        <v/>
      </c>
      <c r="AC131" s="106">
        <f>IF(B131="","",IFERROR(1/(1/_xlfn.MAXIFS('Saisie'!$A$5:$A$2004,'Saisie'!$C$5:$C$2004,B131,'Saisie'!$E$5:$E$2004,"Résiliation")),""))</f>
        <v/>
      </c>
      <c r="AD131" s="60">
        <f>IF(D131&lt;&gt;"",MAX($AD$4:AD130)+1,"")</f>
        <v/>
      </c>
    </row>
    <row r="132">
      <c r="A132" s="60">
        <f>IF(B132="","","C-"&amp;TEXT(128,"000"))</f>
        <v/>
      </c>
      <c r="B132" s="60">
        <f>IFERROR(INDEX('Prospects'!$C$5:$C$504,MATCH(128,'Prospects'!$BX$5:$BX$504,0)),"")</f>
        <v/>
      </c>
      <c r="C132" s="60">
        <f>IF(B132="","",IF(AC132&lt;&gt;"","Résilié","Actif"))</f>
        <v/>
      </c>
      <c r="D132" s="60">
        <f>IF(B132="","",IF(C132="Résilié","",IF(R132="En retard","Paiement en retard",IF(AND(V132&lt;&gt;"",N(V132)&lt;='Paramètres'!$B$30,N(V132)&gt;=0),"Renouvellement dans "&amp;V132&amp;" j",IF(AND(AA132="Non",TODAY()-N(L132)&gt;='Paramètres'!$B$29),"Demander un avis Google",IF(Z132&lt;1,"Onboarding à terminer",""))))))</f>
        <v/>
      </c>
      <c r="E132" s="60">
        <f>IF(B132="","",INDEX('Prospects'!$J$5:$J$504,MATCH(B132,'Prospects'!$C$5:$C$504,0))&amp;"")</f>
        <v/>
      </c>
      <c r="F132" s="60">
        <f>IF(B132="","",INDEX('Prospects'!$K$5:$K$504,MATCH(B132,'Prospects'!$C$5:$C$504,0))&amp;"")</f>
        <v/>
      </c>
      <c r="G132" s="60">
        <f>IF(B132="","",INDEX('Prospects'!$N$5:$N$504,MATCH(B132,'Prospects'!$C$5:$C$504,0))&amp;"")</f>
        <v/>
      </c>
      <c r="H132" s="60">
        <f>IF(B132="","",INDEX('Prospects'!$S$5:$S$504,MATCH(B132,'Prospects'!$C$5:$C$504,0))&amp;"")</f>
        <v/>
      </c>
      <c r="I132" s="60">
        <f>IF(B132="","",INDEX('Prospects'!$X$5:$X$504,MATCH(B132,'Prospects'!$C$5:$C$504,0))&amp;"")</f>
        <v/>
      </c>
      <c r="J132" s="60">
        <f>IF(B132="","",INDEX('Prospects'!$Y$5:$Y$504,MATCH(B132,'Prospects'!$C$5:$C$504,0))&amp;"")</f>
        <v/>
      </c>
      <c r="K132" s="60">
        <f>IF(B132="","",INDEX('Prospects'!$AN$5:$AN$504,MATCH(B132,'Prospects'!$C$5:$C$504,0))&amp;"")</f>
        <v/>
      </c>
      <c r="L132" s="106">
        <f>IF(B132="","",INDEX('Prospects'!$AT$5:$AT$504,MATCH(B132,'Prospects'!$C$5:$C$504,0)))</f>
        <v/>
      </c>
      <c r="M132" s="62">
        <f>IF(B132="","",SUMIFS('Saisie'!$AW$5:$AW$2004,'Saisie'!$C$5:$C$2004,B132,'Saisie'!$E$5:$E$2004,"Signature"))</f>
        <v/>
      </c>
      <c r="N132" s="62">
        <f>IF(B132="","",SUMIFS('Saisie'!$AW$5:$AW$2004,'Saisie'!$C$5:$C$2004,B132,'Saisie'!$E$5:$E$2004,"Vente additionnelle"))</f>
        <v/>
      </c>
      <c r="O132" s="62">
        <f>IF(B132="","",M132+N132)</f>
        <v/>
      </c>
      <c r="P132" s="62">
        <f>IF(B132="","",SUMIFS('Saisie'!$AW$5:$AW$2004,'Saisie'!$C$5:$C$2004,B132,'Saisie'!$E$5:$E$2004,"Paiement reçu"))</f>
        <v/>
      </c>
      <c r="Q132" s="62">
        <f>IF(B132="","",MAX(0,O132-P132))</f>
        <v/>
      </c>
      <c r="R132" s="60">
        <f>IF(B132="","",IF(O132=0,"",IF(Q132&lt;=0,"Payé",IF(TODAY()-N(L132)&gt;'Paramètres'!$B$27,"En retard",IF(P132&gt;0,"Partiel","En attente")))))</f>
        <v/>
      </c>
      <c r="S132" s="60">
        <f>IF(B132="","",IFERROR(INDEX('Saisie'!$O$5:$O$2004,_xlfn.MAXIFS('Saisie'!$AS$5:$AS$2004,'Saisie'!$C$5:$C$2004,B132,'Saisie'!$O$5:$O$2004,"&lt;&gt;")-4),""))</f>
        <v/>
      </c>
      <c r="T132" s="62">
        <f>IF(B132="","",N(INDEX('Prospects'!$AO$5:$AO$504,MATCH(B132,'Prospects'!$C$5:$C$504,0))))</f>
        <v/>
      </c>
      <c r="U132" s="106">
        <f>IF(B132="","",IF(L132="","",EDATE(L132,'Paramètres'!$B$33)))</f>
        <v/>
      </c>
      <c r="V132" s="61">
        <f>IF(B132="","",IF(U132="","",U132-TODAY()))</f>
        <v/>
      </c>
      <c r="W132" s="61">
        <f>IF(B132="","",IF(L132="","",INT((TODAY()-L132)/30.44)))</f>
        <v/>
      </c>
      <c r="X132" s="62">
        <f>IF(B132="","",O132+T132*'Paramètres'!$B$34)</f>
        <v/>
      </c>
      <c r="Y132" s="62">
        <f>IF(B132="","",O132-N(IFERROR(INDEX('Paramètres'!$T$6:$T$15,MATCH(K132,'Paramètres'!$Q$6:$Q$15,0)),0)))</f>
        <v/>
      </c>
      <c r="Z132" s="123">
        <f>IF(B132="","",((COUNTIFS('Saisie'!$C$5:$C$2004,B132,'Saisie'!$E$5:$E$2004,"Onboarding - Contrat")&gt;0)+(COUNTIFS('Saisie'!$C$5:$C$2004,B132,'Saisie'!$E$5:$E$2004,"Onboarding - Accès")&gt;0)+(COUNTIFS('Saisie'!$C$5:$C$2004,B132,'Saisie'!$E$5:$E$2004,"Onboarding - Contenus")&gt;0)+(COUNTIFS('Saisie'!$C$5:$C$2004,B132,'Saisie'!$E$5:$E$2004,"Onboarding - Lancement")&gt;0))/4)</f>
        <v/>
      </c>
      <c r="AA132" s="60">
        <f>IF(B132="","",IF(COUNTIFS('Saisie'!$C$5:$C$2004,B132,'Saisie'!$E$5:$E$2004,"Demande d'avis Google")&gt;0,"Oui","Non"))</f>
        <v/>
      </c>
      <c r="AB132" s="61">
        <f>IF(B132="","",IFERROR(INDEX('Saisie'!$N$5:$N$2004,_xlfn.MAXIFS('Saisie'!$AS$5:$AS$2004,'Saisie'!$C$5:$C$2004,B132,'Saisie'!$E$5:$E$2004,"Satisfaction client")-4)&amp;"",""))</f>
        <v/>
      </c>
      <c r="AC132" s="106">
        <f>IF(B132="","",IFERROR(1/(1/_xlfn.MAXIFS('Saisie'!$A$5:$A$2004,'Saisie'!$C$5:$C$2004,B132,'Saisie'!$E$5:$E$2004,"Résiliation")),""))</f>
        <v/>
      </c>
      <c r="AD132" s="60">
        <f>IF(D132&lt;&gt;"",MAX($AD$4:AD131)+1,"")</f>
        <v/>
      </c>
    </row>
    <row r="133">
      <c r="A133" s="60">
        <f>IF(B133="","","C-"&amp;TEXT(129,"000"))</f>
        <v/>
      </c>
      <c r="B133" s="60">
        <f>IFERROR(INDEX('Prospects'!$C$5:$C$504,MATCH(129,'Prospects'!$BX$5:$BX$504,0)),"")</f>
        <v/>
      </c>
      <c r="C133" s="60">
        <f>IF(B133="","",IF(AC133&lt;&gt;"","Résilié","Actif"))</f>
        <v/>
      </c>
      <c r="D133" s="60">
        <f>IF(B133="","",IF(C133="Résilié","",IF(R133="En retard","Paiement en retard",IF(AND(V133&lt;&gt;"",N(V133)&lt;='Paramètres'!$B$30,N(V133)&gt;=0),"Renouvellement dans "&amp;V133&amp;" j",IF(AND(AA133="Non",TODAY()-N(L133)&gt;='Paramètres'!$B$29),"Demander un avis Google",IF(Z133&lt;1,"Onboarding à terminer",""))))))</f>
        <v/>
      </c>
      <c r="E133" s="60">
        <f>IF(B133="","",INDEX('Prospects'!$J$5:$J$504,MATCH(B133,'Prospects'!$C$5:$C$504,0))&amp;"")</f>
        <v/>
      </c>
      <c r="F133" s="60">
        <f>IF(B133="","",INDEX('Prospects'!$K$5:$K$504,MATCH(B133,'Prospects'!$C$5:$C$504,0))&amp;"")</f>
        <v/>
      </c>
      <c r="G133" s="60">
        <f>IF(B133="","",INDEX('Prospects'!$N$5:$N$504,MATCH(B133,'Prospects'!$C$5:$C$504,0))&amp;"")</f>
        <v/>
      </c>
      <c r="H133" s="60">
        <f>IF(B133="","",INDEX('Prospects'!$S$5:$S$504,MATCH(B133,'Prospects'!$C$5:$C$504,0))&amp;"")</f>
        <v/>
      </c>
      <c r="I133" s="60">
        <f>IF(B133="","",INDEX('Prospects'!$X$5:$X$504,MATCH(B133,'Prospects'!$C$5:$C$504,0))&amp;"")</f>
        <v/>
      </c>
      <c r="J133" s="60">
        <f>IF(B133="","",INDEX('Prospects'!$Y$5:$Y$504,MATCH(B133,'Prospects'!$C$5:$C$504,0))&amp;"")</f>
        <v/>
      </c>
      <c r="K133" s="60">
        <f>IF(B133="","",INDEX('Prospects'!$AN$5:$AN$504,MATCH(B133,'Prospects'!$C$5:$C$504,0))&amp;"")</f>
        <v/>
      </c>
      <c r="L133" s="106">
        <f>IF(B133="","",INDEX('Prospects'!$AT$5:$AT$504,MATCH(B133,'Prospects'!$C$5:$C$504,0)))</f>
        <v/>
      </c>
      <c r="M133" s="62">
        <f>IF(B133="","",SUMIFS('Saisie'!$AW$5:$AW$2004,'Saisie'!$C$5:$C$2004,B133,'Saisie'!$E$5:$E$2004,"Signature"))</f>
        <v/>
      </c>
      <c r="N133" s="62">
        <f>IF(B133="","",SUMIFS('Saisie'!$AW$5:$AW$2004,'Saisie'!$C$5:$C$2004,B133,'Saisie'!$E$5:$E$2004,"Vente additionnelle"))</f>
        <v/>
      </c>
      <c r="O133" s="62">
        <f>IF(B133="","",M133+N133)</f>
        <v/>
      </c>
      <c r="P133" s="62">
        <f>IF(B133="","",SUMIFS('Saisie'!$AW$5:$AW$2004,'Saisie'!$C$5:$C$2004,B133,'Saisie'!$E$5:$E$2004,"Paiement reçu"))</f>
        <v/>
      </c>
      <c r="Q133" s="62">
        <f>IF(B133="","",MAX(0,O133-P133))</f>
        <v/>
      </c>
      <c r="R133" s="60">
        <f>IF(B133="","",IF(O133=0,"",IF(Q133&lt;=0,"Payé",IF(TODAY()-N(L133)&gt;'Paramètres'!$B$27,"En retard",IF(P133&gt;0,"Partiel","En attente")))))</f>
        <v/>
      </c>
      <c r="S133" s="60">
        <f>IF(B133="","",IFERROR(INDEX('Saisie'!$O$5:$O$2004,_xlfn.MAXIFS('Saisie'!$AS$5:$AS$2004,'Saisie'!$C$5:$C$2004,B133,'Saisie'!$O$5:$O$2004,"&lt;&gt;")-4),""))</f>
        <v/>
      </c>
      <c r="T133" s="62">
        <f>IF(B133="","",N(INDEX('Prospects'!$AO$5:$AO$504,MATCH(B133,'Prospects'!$C$5:$C$504,0))))</f>
        <v/>
      </c>
      <c r="U133" s="106">
        <f>IF(B133="","",IF(L133="","",EDATE(L133,'Paramètres'!$B$33)))</f>
        <v/>
      </c>
      <c r="V133" s="61">
        <f>IF(B133="","",IF(U133="","",U133-TODAY()))</f>
        <v/>
      </c>
      <c r="W133" s="61">
        <f>IF(B133="","",IF(L133="","",INT((TODAY()-L133)/30.44)))</f>
        <v/>
      </c>
      <c r="X133" s="62">
        <f>IF(B133="","",O133+T133*'Paramètres'!$B$34)</f>
        <v/>
      </c>
      <c r="Y133" s="62">
        <f>IF(B133="","",O133-N(IFERROR(INDEX('Paramètres'!$T$6:$T$15,MATCH(K133,'Paramètres'!$Q$6:$Q$15,0)),0)))</f>
        <v/>
      </c>
      <c r="Z133" s="123">
        <f>IF(B133="","",((COUNTIFS('Saisie'!$C$5:$C$2004,B133,'Saisie'!$E$5:$E$2004,"Onboarding - Contrat")&gt;0)+(COUNTIFS('Saisie'!$C$5:$C$2004,B133,'Saisie'!$E$5:$E$2004,"Onboarding - Accès")&gt;0)+(COUNTIFS('Saisie'!$C$5:$C$2004,B133,'Saisie'!$E$5:$E$2004,"Onboarding - Contenus")&gt;0)+(COUNTIFS('Saisie'!$C$5:$C$2004,B133,'Saisie'!$E$5:$E$2004,"Onboarding - Lancement")&gt;0))/4)</f>
        <v/>
      </c>
      <c r="AA133" s="60">
        <f>IF(B133="","",IF(COUNTIFS('Saisie'!$C$5:$C$2004,B133,'Saisie'!$E$5:$E$2004,"Demande d'avis Google")&gt;0,"Oui","Non"))</f>
        <v/>
      </c>
      <c r="AB133" s="61">
        <f>IF(B133="","",IFERROR(INDEX('Saisie'!$N$5:$N$2004,_xlfn.MAXIFS('Saisie'!$AS$5:$AS$2004,'Saisie'!$C$5:$C$2004,B133,'Saisie'!$E$5:$E$2004,"Satisfaction client")-4)&amp;"",""))</f>
        <v/>
      </c>
      <c r="AC133" s="106">
        <f>IF(B133="","",IFERROR(1/(1/_xlfn.MAXIFS('Saisie'!$A$5:$A$2004,'Saisie'!$C$5:$C$2004,B133,'Saisie'!$E$5:$E$2004,"Résiliation")),""))</f>
        <v/>
      </c>
      <c r="AD133" s="60">
        <f>IF(D133&lt;&gt;"",MAX($AD$4:AD132)+1,"")</f>
        <v/>
      </c>
    </row>
    <row r="134">
      <c r="A134" s="60">
        <f>IF(B134="","","C-"&amp;TEXT(130,"000"))</f>
        <v/>
      </c>
      <c r="B134" s="60">
        <f>IFERROR(INDEX('Prospects'!$C$5:$C$504,MATCH(130,'Prospects'!$BX$5:$BX$504,0)),"")</f>
        <v/>
      </c>
      <c r="C134" s="60">
        <f>IF(B134="","",IF(AC134&lt;&gt;"","Résilié","Actif"))</f>
        <v/>
      </c>
      <c r="D134" s="60">
        <f>IF(B134="","",IF(C134="Résilié","",IF(R134="En retard","Paiement en retard",IF(AND(V134&lt;&gt;"",N(V134)&lt;='Paramètres'!$B$30,N(V134)&gt;=0),"Renouvellement dans "&amp;V134&amp;" j",IF(AND(AA134="Non",TODAY()-N(L134)&gt;='Paramètres'!$B$29),"Demander un avis Google",IF(Z134&lt;1,"Onboarding à terminer",""))))))</f>
        <v/>
      </c>
      <c r="E134" s="60">
        <f>IF(B134="","",INDEX('Prospects'!$J$5:$J$504,MATCH(B134,'Prospects'!$C$5:$C$504,0))&amp;"")</f>
        <v/>
      </c>
      <c r="F134" s="60">
        <f>IF(B134="","",INDEX('Prospects'!$K$5:$K$504,MATCH(B134,'Prospects'!$C$5:$C$504,0))&amp;"")</f>
        <v/>
      </c>
      <c r="G134" s="60">
        <f>IF(B134="","",INDEX('Prospects'!$N$5:$N$504,MATCH(B134,'Prospects'!$C$5:$C$504,0))&amp;"")</f>
        <v/>
      </c>
      <c r="H134" s="60">
        <f>IF(B134="","",INDEX('Prospects'!$S$5:$S$504,MATCH(B134,'Prospects'!$C$5:$C$504,0))&amp;"")</f>
        <v/>
      </c>
      <c r="I134" s="60">
        <f>IF(B134="","",INDEX('Prospects'!$X$5:$X$504,MATCH(B134,'Prospects'!$C$5:$C$504,0))&amp;"")</f>
        <v/>
      </c>
      <c r="J134" s="60">
        <f>IF(B134="","",INDEX('Prospects'!$Y$5:$Y$504,MATCH(B134,'Prospects'!$C$5:$C$504,0))&amp;"")</f>
        <v/>
      </c>
      <c r="K134" s="60">
        <f>IF(B134="","",INDEX('Prospects'!$AN$5:$AN$504,MATCH(B134,'Prospects'!$C$5:$C$504,0))&amp;"")</f>
        <v/>
      </c>
      <c r="L134" s="106">
        <f>IF(B134="","",INDEX('Prospects'!$AT$5:$AT$504,MATCH(B134,'Prospects'!$C$5:$C$504,0)))</f>
        <v/>
      </c>
      <c r="M134" s="62">
        <f>IF(B134="","",SUMIFS('Saisie'!$AW$5:$AW$2004,'Saisie'!$C$5:$C$2004,B134,'Saisie'!$E$5:$E$2004,"Signature"))</f>
        <v/>
      </c>
      <c r="N134" s="62">
        <f>IF(B134="","",SUMIFS('Saisie'!$AW$5:$AW$2004,'Saisie'!$C$5:$C$2004,B134,'Saisie'!$E$5:$E$2004,"Vente additionnelle"))</f>
        <v/>
      </c>
      <c r="O134" s="62">
        <f>IF(B134="","",M134+N134)</f>
        <v/>
      </c>
      <c r="P134" s="62">
        <f>IF(B134="","",SUMIFS('Saisie'!$AW$5:$AW$2004,'Saisie'!$C$5:$C$2004,B134,'Saisie'!$E$5:$E$2004,"Paiement reçu"))</f>
        <v/>
      </c>
      <c r="Q134" s="62">
        <f>IF(B134="","",MAX(0,O134-P134))</f>
        <v/>
      </c>
      <c r="R134" s="60">
        <f>IF(B134="","",IF(O134=0,"",IF(Q134&lt;=0,"Payé",IF(TODAY()-N(L134)&gt;'Paramètres'!$B$27,"En retard",IF(P134&gt;0,"Partiel","En attente")))))</f>
        <v/>
      </c>
      <c r="S134" s="60">
        <f>IF(B134="","",IFERROR(INDEX('Saisie'!$O$5:$O$2004,_xlfn.MAXIFS('Saisie'!$AS$5:$AS$2004,'Saisie'!$C$5:$C$2004,B134,'Saisie'!$O$5:$O$2004,"&lt;&gt;")-4),""))</f>
        <v/>
      </c>
      <c r="T134" s="62">
        <f>IF(B134="","",N(INDEX('Prospects'!$AO$5:$AO$504,MATCH(B134,'Prospects'!$C$5:$C$504,0))))</f>
        <v/>
      </c>
      <c r="U134" s="106">
        <f>IF(B134="","",IF(L134="","",EDATE(L134,'Paramètres'!$B$33)))</f>
        <v/>
      </c>
      <c r="V134" s="61">
        <f>IF(B134="","",IF(U134="","",U134-TODAY()))</f>
        <v/>
      </c>
      <c r="W134" s="61">
        <f>IF(B134="","",IF(L134="","",INT((TODAY()-L134)/30.44)))</f>
        <v/>
      </c>
      <c r="X134" s="62">
        <f>IF(B134="","",O134+T134*'Paramètres'!$B$34)</f>
        <v/>
      </c>
      <c r="Y134" s="62">
        <f>IF(B134="","",O134-N(IFERROR(INDEX('Paramètres'!$T$6:$T$15,MATCH(K134,'Paramètres'!$Q$6:$Q$15,0)),0)))</f>
        <v/>
      </c>
      <c r="Z134" s="123">
        <f>IF(B134="","",((COUNTIFS('Saisie'!$C$5:$C$2004,B134,'Saisie'!$E$5:$E$2004,"Onboarding - Contrat")&gt;0)+(COUNTIFS('Saisie'!$C$5:$C$2004,B134,'Saisie'!$E$5:$E$2004,"Onboarding - Accès")&gt;0)+(COUNTIFS('Saisie'!$C$5:$C$2004,B134,'Saisie'!$E$5:$E$2004,"Onboarding - Contenus")&gt;0)+(COUNTIFS('Saisie'!$C$5:$C$2004,B134,'Saisie'!$E$5:$E$2004,"Onboarding - Lancement")&gt;0))/4)</f>
        <v/>
      </c>
      <c r="AA134" s="60">
        <f>IF(B134="","",IF(COUNTIFS('Saisie'!$C$5:$C$2004,B134,'Saisie'!$E$5:$E$2004,"Demande d'avis Google")&gt;0,"Oui","Non"))</f>
        <v/>
      </c>
      <c r="AB134" s="61">
        <f>IF(B134="","",IFERROR(INDEX('Saisie'!$N$5:$N$2004,_xlfn.MAXIFS('Saisie'!$AS$5:$AS$2004,'Saisie'!$C$5:$C$2004,B134,'Saisie'!$E$5:$E$2004,"Satisfaction client")-4)&amp;"",""))</f>
        <v/>
      </c>
      <c r="AC134" s="106">
        <f>IF(B134="","",IFERROR(1/(1/_xlfn.MAXIFS('Saisie'!$A$5:$A$2004,'Saisie'!$C$5:$C$2004,B134,'Saisie'!$E$5:$E$2004,"Résiliation")),""))</f>
        <v/>
      </c>
      <c r="AD134" s="60">
        <f>IF(D134&lt;&gt;"",MAX($AD$4:AD133)+1,"")</f>
        <v/>
      </c>
    </row>
    <row r="135">
      <c r="A135" s="60">
        <f>IF(B135="","","C-"&amp;TEXT(131,"000"))</f>
        <v/>
      </c>
      <c r="B135" s="60">
        <f>IFERROR(INDEX('Prospects'!$C$5:$C$504,MATCH(131,'Prospects'!$BX$5:$BX$504,0)),"")</f>
        <v/>
      </c>
      <c r="C135" s="60">
        <f>IF(B135="","",IF(AC135&lt;&gt;"","Résilié","Actif"))</f>
        <v/>
      </c>
      <c r="D135" s="60">
        <f>IF(B135="","",IF(C135="Résilié","",IF(R135="En retard","Paiement en retard",IF(AND(V135&lt;&gt;"",N(V135)&lt;='Paramètres'!$B$30,N(V135)&gt;=0),"Renouvellement dans "&amp;V135&amp;" j",IF(AND(AA135="Non",TODAY()-N(L135)&gt;='Paramètres'!$B$29),"Demander un avis Google",IF(Z135&lt;1,"Onboarding à terminer",""))))))</f>
        <v/>
      </c>
      <c r="E135" s="60">
        <f>IF(B135="","",INDEX('Prospects'!$J$5:$J$504,MATCH(B135,'Prospects'!$C$5:$C$504,0))&amp;"")</f>
        <v/>
      </c>
      <c r="F135" s="60">
        <f>IF(B135="","",INDEX('Prospects'!$K$5:$K$504,MATCH(B135,'Prospects'!$C$5:$C$504,0))&amp;"")</f>
        <v/>
      </c>
      <c r="G135" s="60">
        <f>IF(B135="","",INDEX('Prospects'!$N$5:$N$504,MATCH(B135,'Prospects'!$C$5:$C$504,0))&amp;"")</f>
        <v/>
      </c>
      <c r="H135" s="60">
        <f>IF(B135="","",INDEX('Prospects'!$S$5:$S$504,MATCH(B135,'Prospects'!$C$5:$C$504,0))&amp;"")</f>
        <v/>
      </c>
      <c r="I135" s="60">
        <f>IF(B135="","",INDEX('Prospects'!$X$5:$X$504,MATCH(B135,'Prospects'!$C$5:$C$504,0))&amp;"")</f>
        <v/>
      </c>
      <c r="J135" s="60">
        <f>IF(B135="","",INDEX('Prospects'!$Y$5:$Y$504,MATCH(B135,'Prospects'!$C$5:$C$504,0))&amp;"")</f>
        <v/>
      </c>
      <c r="K135" s="60">
        <f>IF(B135="","",INDEX('Prospects'!$AN$5:$AN$504,MATCH(B135,'Prospects'!$C$5:$C$504,0))&amp;"")</f>
        <v/>
      </c>
      <c r="L135" s="106">
        <f>IF(B135="","",INDEX('Prospects'!$AT$5:$AT$504,MATCH(B135,'Prospects'!$C$5:$C$504,0)))</f>
        <v/>
      </c>
      <c r="M135" s="62">
        <f>IF(B135="","",SUMIFS('Saisie'!$AW$5:$AW$2004,'Saisie'!$C$5:$C$2004,B135,'Saisie'!$E$5:$E$2004,"Signature"))</f>
        <v/>
      </c>
      <c r="N135" s="62">
        <f>IF(B135="","",SUMIFS('Saisie'!$AW$5:$AW$2004,'Saisie'!$C$5:$C$2004,B135,'Saisie'!$E$5:$E$2004,"Vente additionnelle"))</f>
        <v/>
      </c>
      <c r="O135" s="62">
        <f>IF(B135="","",M135+N135)</f>
        <v/>
      </c>
      <c r="P135" s="62">
        <f>IF(B135="","",SUMIFS('Saisie'!$AW$5:$AW$2004,'Saisie'!$C$5:$C$2004,B135,'Saisie'!$E$5:$E$2004,"Paiement reçu"))</f>
        <v/>
      </c>
      <c r="Q135" s="62">
        <f>IF(B135="","",MAX(0,O135-P135))</f>
        <v/>
      </c>
      <c r="R135" s="60">
        <f>IF(B135="","",IF(O135=0,"",IF(Q135&lt;=0,"Payé",IF(TODAY()-N(L135)&gt;'Paramètres'!$B$27,"En retard",IF(P135&gt;0,"Partiel","En attente")))))</f>
        <v/>
      </c>
      <c r="S135" s="60">
        <f>IF(B135="","",IFERROR(INDEX('Saisie'!$O$5:$O$2004,_xlfn.MAXIFS('Saisie'!$AS$5:$AS$2004,'Saisie'!$C$5:$C$2004,B135,'Saisie'!$O$5:$O$2004,"&lt;&gt;")-4),""))</f>
        <v/>
      </c>
      <c r="T135" s="62">
        <f>IF(B135="","",N(INDEX('Prospects'!$AO$5:$AO$504,MATCH(B135,'Prospects'!$C$5:$C$504,0))))</f>
        <v/>
      </c>
      <c r="U135" s="106">
        <f>IF(B135="","",IF(L135="","",EDATE(L135,'Paramètres'!$B$33)))</f>
        <v/>
      </c>
      <c r="V135" s="61">
        <f>IF(B135="","",IF(U135="","",U135-TODAY()))</f>
        <v/>
      </c>
      <c r="W135" s="61">
        <f>IF(B135="","",IF(L135="","",INT((TODAY()-L135)/30.44)))</f>
        <v/>
      </c>
      <c r="X135" s="62">
        <f>IF(B135="","",O135+T135*'Paramètres'!$B$34)</f>
        <v/>
      </c>
      <c r="Y135" s="62">
        <f>IF(B135="","",O135-N(IFERROR(INDEX('Paramètres'!$T$6:$T$15,MATCH(K135,'Paramètres'!$Q$6:$Q$15,0)),0)))</f>
        <v/>
      </c>
      <c r="Z135" s="123">
        <f>IF(B135="","",((COUNTIFS('Saisie'!$C$5:$C$2004,B135,'Saisie'!$E$5:$E$2004,"Onboarding - Contrat")&gt;0)+(COUNTIFS('Saisie'!$C$5:$C$2004,B135,'Saisie'!$E$5:$E$2004,"Onboarding - Accès")&gt;0)+(COUNTIFS('Saisie'!$C$5:$C$2004,B135,'Saisie'!$E$5:$E$2004,"Onboarding - Contenus")&gt;0)+(COUNTIFS('Saisie'!$C$5:$C$2004,B135,'Saisie'!$E$5:$E$2004,"Onboarding - Lancement")&gt;0))/4)</f>
        <v/>
      </c>
      <c r="AA135" s="60">
        <f>IF(B135="","",IF(COUNTIFS('Saisie'!$C$5:$C$2004,B135,'Saisie'!$E$5:$E$2004,"Demande d'avis Google")&gt;0,"Oui","Non"))</f>
        <v/>
      </c>
      <c r="AB135" s="61">
        <f>IF(B135="","",IFERROR(INDEX('Saisie'!$N$5:$N$2004,_xlfn.MAXIFS('Saisie'!$AS$5:$AS$2004,'Saisie'!$C$5:$C$2004,B135,'Saisie'!$E$5:$E$2004,"Satisfaction client")-4)&amp;"",""))</f>
        <v/>
      </c>
      <c r="AC135" s="106">
        <f>IF(B135="","",IFERROR(1/(1/_xlfn.MAXIFS('Saisie'!$A$5:$A$2004,'Saisie'!$C$5:$C$2004,B135,'Saisie'!$E$5:$E$2004,"Résiliation")),""))</f>
        <v/>
      </c>
      <c r="AD135" s="60">
        <f>IF(D135&lt;&gt;"",MAX($AD$4:AD134)+1,"")</f>
        <v/>
      </c>
    </row>
    <row r="136">
      <c r="A136" s="60">
        <f>IF(B136="","","C-"&amp;TEXT(132,"000"))</f>
        <v/>
      </c>
      <c r="B136" s="60">
        <f>IFERROR(INDEX('Prospects'!$C$5:$C$504,MATCH(132,'Prospects'!$BX$5:$BX$504,0)),"")</f>
        <v/>
      </c>
      <c r="C136" s="60">
        <f>IF(B136="","",IF(AC136&lt;&gt;"","Résilié","Actif"))</f>
        <v/>
      </c>
      <c r="D136" s="60">
        <f>IF(B136="","",IF(C136="Résilié","",IF(R136="En retard","Paiement en retard",IF(AND(V136&lt;&gt;"",N(V136)&lt;='Paramètres'!$B$30,N(V136)&gt;=0),"Renouvellement dans "&amp;V136&amp;" j",IF(AND(AA136="Non",TODAY()-N(L136)&gt;='Paramètres'!$B$29),"Demander un avis Google",IF(Z136&lt;1,"Onboarding à terminer",""))))))</f>
        <v/>
      </c>
      <c r="E136" s="60">
        <f>IF(B136="","",INDEX('Prospects'!$J$5:$J$504,MATCH(B136,'Prospects'!$C$5:$C$504,0))&amp;"")</f>
        <v/>
      </c>
      <c r="F136" s="60">
        <f>IF(B136="","",INDEX('Prospects'!$K$5:$K$504,MATCH(B136,'Prospects'!$C$5:$C$504,0))&amp;"")</f>
        <v/>
      </c>
      <c r="G136" s="60">
        <f>IF(B136="","",INDEX('Prospects'!$N$5:$N$504,MATCH(B136,'Prospects'!$C$5:$C$504,0))&amp;"")</f>
        <v/>
      </c>
      <c r="H136" s="60">
        <f>IF(B136="","",INDEX('Prospects'!$S$5:$S$504,MATCH(B136,'Prospects'!$C$5:$C$504,0))&amp;"")</f>
        <v/>
      </c>
      <c r="I136" s="60">
        <f>IF(B136="","",INDEX('Prospects'!$X$5:$X$504,MATCH(B136,'Prospects'!$C$5:$C$504,0))&amp;"")</f>
        <v/>
      </c>
      <c r="J136" s="60">
        <f>IF(B136="","",INDEX('Prospects'!$Y$5:$Y$504,MATCH(B136,'Prospects'!$C$5:$C$504,0))&amp;"")</f>
        <v/>
      </c>
      <c r="K136" s="60">
        <f>IF(B136="","",INDEX('Prospects'!$AN$5:$AN$504,MATCH(B136,'Prospects'!$C$5:$C$504,0))&amp;"")</f>
        <v/>
      </c>
      <c r="L136" s="106">
        <f>IF(B136="","",INDEX('Prospects'!$AT$5:$AT$504,MATCH(B136,'Prospects'!$C$5:$C$504,0)))</f>
        <v/>
      </c>
      <c r="M136" s="62">
        <f>IF(B136="","",SUMIFS('Saisie'!$AW$5:$AW$2004,'Saisie'!$C$5:$C$2004,B136,'Saisie'!$E$5:$E$2004,"Signature"))</f>
        <v/>
      </c>
      <c r="N136" s="62">
        <f>IF(B136="","",SUMIFS('Saisie'!$AW$5:$AW$2004,'Saisie'!$C$5:$C$2004,B136,'Saisie'!$E$5:$E$2004,"Vente additionnelle"))</f>
        <v/>
      </c>
      <c r="O136" s="62">
        <f>IF(B136="","",M136+N136)</f>
        <v/>
      </c>
      <c r="P136" s="62">
        <f>IF(B136="","",SUMIFS('Saisie'!$AW$5:$AW$2004,'Saisie'!$C$5:$C$2004,B136,'Saisie'!$E$5:$E$2004,"Paiement reçu"))</f>
        <v/>
      </c>
      <c r="Q136" s="62">
        <f>IF(B136="","",MAX(0,O136-P136))</f>
        <v/>
      </c>
      <c r="R136" s="60">
        <f>IF(B136="","",IF(O136=0,"",IF(Q136&lt;=0,"Payé",IF(TODAY()-N(L136)&gt;'Paramètres'!$B$27,"En retard",IF(P136&gt;0,"Partiel","En attente")))))</f>
        <v/>
      </c>
      <c r="S136" s="60">
        <f>IF(B136="","",IFERROR(INDEX('Saisie'!$O$5:$O$2004,_xlfn.MAXIFS('Saisie'!$AS$5:$AS$2004,'Saisie'!$C$5:$C$2004,B136,'Saisie'!$O$5:$O$2004,"&lt;&gt;")-4),""))</f>
        <v/>
      </c>
      <c r="T136" s="62">
        <f>IF(B136="","",N(INDEX('Prospects'!$AO$5:$AO$504,MATCH(B136,'Prospects'!$C$5:$C$504,0))))</f>
        <v/>
      </c>
      <c r="U136" s="106">
        <f>IF(B136="","",IF(L136="","",EDATE(L136,'Paramètres'!$B$33)))</f>
        <v/>
      </c>
      <c r="V136" s="61">
        <f>IF(B136="","",IF(U136="","",U136-TODAY()))</f>
        <v/>
      </c>
      <c r="W136" s="61">
        <f>IF(B136="","",IF(L136="","",INT((TODAY()-L136)/30.44)))</f>
        <v/>
      </c>
      <c r="X136" s="62">
        <f>IF(B136="","",O136+T136*'Paramètres'!$B$34)</f>
        <v/>
      </c>
      <c r="Y136" s="62">
        <f>IF(B136="","",O136-N(IFERROR(INDEX('Paramètres'!$T$6:$T$15,MATCH(K136,'Paramètres'!$Q$6:$Q$15,0)),0)))</f>
        <v/>
      </c>
      <c r="Z136" s="123">
        <f>IF(B136="","",((COUNTIFS('Saisie'!$C$5:$C$2004,B136,'Saisie'!$E$5:$E$2004,"Onboarding - Contrat")&gt;0)+(COUNTIFS('Saisie'!$C$5:$C$2004,B136,'Saisie'!$E$5:$E$2004,"Onboarding - Accès")&gt;0)+(COUNTIFS('Saisie'!$C$5:$C$2004,B136,'Saisie'!$E$5:$E$2004,"Onboarding - Contenus")&gt;0)+(COUNTIFS('Saisie'!$C$5:$C$2004,B136,'Saisie'!$E$5:$E$2004,"Onboarding - Lancement")&gt;0))/4)</f>
        <v/>
      </c>
      <c r="AA136" s="60">
        <f>IF(B136="","",IF(COUNTIFS('Saisie'!$C$5:$C$2004,B136,'Saisie'!$E$5:$E$2004,"Demande d'avis Google")&gt;0,"Oui","Non"))</f>
        <v/>
      </c>
      <c r="AB136" s="61">
        <f>IF(B136="","",IFERROR(INDEX('Saisie'!$N$5:$N$2004,_xlfn.MAXIFS('Saisie'!$AS$5:$AS$2004,'Saisie'!$C$5:$C$2004,B136,'Saisie'!$E$5:$E$2004,"Satisfaction client")-4)&amp;"",""))</f>
        <v/>
      </c>
      <c r="AC136" s="106">
        <f>IF(B136="","",IFERROR(1/(1/_xlfn.MAXIFS('Saisie'!$A$5:$A$2004,'Saisie'!$C$5:$C$2004,B136,'Saisie'!$E$5:$E$2004,"Résiliation")),""))</f>
        <v/>
      </c>
      <c r="AD136" s="60">
        <f>IF(D136&lt;&gt;"",MAX($AD$4:AD135)+1,"")</f>
        <v/>
      </c>
    </row>
    <row r="137">
      <c r="A137" s="60">
        <f>IF(B137="","","C-"&amp;TEXT(133,"000"))</f>
        <v/>
      </c>
      <c r="B137" s="60">
        <f>IFERROR(INDEX('Prospects'!$C$5:$C$504,MATCH(133,'Prospects'!$BX$5:$BX$504,0)),"")</f>
        <v/>
      </c>
      <c r="C137" s="60">
        <f>IF(B137="","",IF(AC137&lt;&gt;"","Résilié","Actif"))</f>
        <v/>
      </c>
      <c r="D137" s="60">
        <f>IF(B137="","",IF(C137="Résilié","",IF(R137="En retard","Paiement en retard",IF(AND(V137&lt;&gt;"",N(V137)&lt;='Paramètres'!$B$30,N(V137)&gt;=0),"Renouvellement dans "&amp;V137&amp;" j",IF(AND(AA137="Non",TODAY()-N(L137)&gt;='Paramètres'!$B$29),"Demander un avis Google",IF(Z137&lt;1,"Onboarding à terminer",""))))))</f>
        <v/>
      </c>
      <c r="E137" s="60">
        <f>IF(B137="","",INDEX('Prospects'!$J$5:$J$504,MATCH(B137,'Prospects'!$C$5:$C$504,0))&amp;"")</f>
        <v/>
      </c>
      <c r="F137" s="60">
        <f>IF(B137="","",INDEX('Prospects'!$K$5:$K$504,MATCH(B137,'Prospects'!$C$5:$C$504,0))&amp;"")</f>
        <v/>
      </c>
      <c r="G137" s="60">
        <f>IF(B137="","",INDEX('Prospects'!$N$5:$N$504,MATCH(B137,'Prospects'!$C$5:$C$504,0))&amp;"")</f>
        <v/>
      </c>
      <c r="H137" s="60">
        <f>IF(B137="","",INDEX('Prospects'!$S$5:$S$504,MATCH(B137,'Prospects'!$C$5:$C$504,0))&amp;"")</f>
        <v/>
      </c>
      <c r="I137" s="60">
        <f>IF(B137="","",INDEX('Prospects'!$X$5:$X$504,MATCH(B137,'Prospects'!$C$5:$C$504,0))&amp;"")</f>
        <v/>
      </c>
      <c r="J137" s="60">
        <f>IF(B137="","",INDEX('Prospects'!$Y$5:$Y$504,MATCH(B137,'Prospects'!$C$5:$C$504,0))&amp;"")</f>
        <v/>
      </c>
      <c r="K137" s="60">
        <f>IF(B137="","",INDEX('Prospects'!$AN$5:$AN$504,MATCH(B137,'Prospects'!$C$5:$C$504,0))&amp;"")</f>
        <v/>
      </c>
      <c r="L137" s="106">
        <f>IF(B137="","",INDEX('Prospects'!$AT$5:$AT$504,MATCH(B137,'Prospects'!$C$5:$C$504,0)))</f>
        <v/>
      </c>
      <c r="M137" s="62">
        <f>IF(B137="","",SUMIFS('Saisie'!$AW$5:$AW$2004,'Saisie'!$C$5:$C$2004,B137,'Saisie'!$E$5:$E$2004,"Signature"))</f>
        <v/>
      </c>
      <c r="N137" s="62">
        <f>IF(B137="","",SUMIFS('Saisie'!$AW$5:$AW$2004,'Saisie'!$C$5:$C$2004,B137,'Saisie'!$E$5:$E$2004,"Vente additionnelle"))</f>
        <v/>
      </c>
      <c r="O137" s="62">
        <f>IF(B137="","",M137+N137)</f>
        <v/>
      </c>
      <c r="P137" s="62">
        <f>IF(B137="","",SUMIFS('Saisie'!$AW$5:$AW$2004,'Saisie'!$C$5:$C$2004,B137,'Saisie'!$E$5:$E$2004,"Paiement reçu"))</f>
        <v/>
      </c>
      <c r="Q137" s="62">
        <f>IF(B137="","",MAX(0,O137-P137))</f>
        <v/>
      </c>
      <c r="R137" s="60">
        <f>IF(B137="","",IF(O137=0,"",IF(Q137&lt;=0,"Payé",IF(TODAY()-N(L137)&gt;'Paramètres'!$B$27,"En retard",IF(P137&gt;0,"Partiel","En attente")))))</f>
        <v/>
      </c>
      <c r="S137" s="60">
        <f>IF(B137="","",IFERROR(INDEX('Saisie'!$O$5:$O$2004,_xlfn.MAXIFS('Saisie'!$AS$5:$AS$2004,'Saisie'!$C$5:$C$2004,B137,'Saisie'!$O$5:$O$2004,"&lt;&gt;")-4),""))</f>
        <v/>
      </c>
      <c r="T137" s="62">
        <f>IF(B137="","",N(INDEX('Prospects'!$AO$5:$AO$504,MATCH(B137,'Prospects'!$C$5:$C$504,0))))</f>
        <v/>
      </c>
      <c r="U137" s="106">
        <f>IF(B137="","",IF(L137="","",EDATE(L137,'Paramètres'!$B$33)))</f>
        <v/>
      </c>
      <c r="V137" s="61">
        <f>IF(B137="","",IF(U137="","",U137-TODAY()))</f>
        <v/>
      </c>
      <c r="W137" s="61">
        <f>IF(B137="","",IF(L137="","",INT((TODAY()-L137)/30.44)))</f>
        <v/>
      </c>
      <c r="X137" s="62">
        <f>IF(B137="","",O137+T137*'Paramètres'!$B$34)</f>
        <v/>
      </c>
      <c r="Y137" s="62">
        <f>IF(B137="","",O137-N(IFERROR(INDEX('Paramètres'!$T$6:$T$15,MATCH(K137,'Paramètres'!$Q$6:$Q$15,0)),0)))</f>
        <v/>
      </c>
      <c r="Z137" s="123">
        <f>IF(B137="","",((COUNTIFS('Saisie'!$C$5:$C$2004,B137,'Saisie'!$E$5:$E$2004,"Onboarding - Contrat")&gt;0)+(COUNTIFS('Saisie'!$C$5:$C$2004,B137,'Saisie'!$E$5:$E$2004,"Onboarding - Accès")&gt;0)+(COUNTIFS('Saisie'!$C$5:$C$2004,B137,'Saisie'!$E$5:$E$2004,"Onboarding - Contenus")&gt;0)+(COUNTIFS('Saisie'!$C$5:$C$2004,B137,'Saisie'!$E$5:$E$2004,"Onboarding - Lancement")&gt;0))/4)</f>
        <v/>
      </c>
      <c r="AA137" s="60">
        <f>IF(B137="","",IF(COUNTIFS('Saisie'!$C$5:$C$2004,B137,'Saisie'!$E$5:$E$2004,"Demande d'avis Google")&gt;0,"Oui","Non"))</f>
        <v/>
      </c>
      <c r="AB137" s="61">
        <f>IF(B137="","",IFERROR(INDEX('Saisie'!$N$5:$N$2004,_xlfn.MAXIFS('Saisie'!$AS$5:$AS$2004,'Saisie'!$C$5:$C$2004,B137,'Saisie'!$E$5:$E$2004,"Satisfaction client")-4)&amp;"",""))</f>
        <v/>
      </c>
      <c r="AC137" s="106">
        <f>IF(B137="","",IFERROR(1/(1/_xlfn.MAXIFS('Saisie'!$A$5:$A$2004,'Saisie'!$C$5:$C$2004,B137,'Saisie'!$E$5:$E$2004,"Résiliation")),""))</f>
        <v/>
      </c>
      <c r="AD137" s="60">
        <f>IF(D137&lt;&gt;"",MAX($AD$4:AD136)+1,"")</f>
        <v/>
      </c>
    </row>
    <row r="138">
      <c r="A138" s="60">
        <f>IF(B138="","","C-"&amp;TEXT(134,"000"))</f>
        <v/>
      </c>
      <c r="B138" s="60">
        <f>IFERROR(INDEX('Prospects'!$C$5:$C$504,MATCH(134,'Prospects'!$BX$5:$BX$504,0)),"")</f>
        <v/>
      </c>
      <c r="C138" s="60">
        <f>IF(B138="","",IF(AC138&lt;&gt;"","Résilié","Actif"))</f>
        <v/>
      </c>
      <c r="D138" s="60">
        <f>IF(B138="","",IF(C138="Résilié","",IF(R138="En retard","Paiement en retard",IF(AND(V138&lt;&gt;"",N(V138)&lt;='Paramètres'!$B$30,N(V138)&gt;=0),"Renouvellement dans "&amp;V138&amp;" j",IF(AND(AA138="Non",TODAY()-N(L138)&gt;='Paramètres'!$B$29),"Demander un avis Google",IF(Z138&lt;1,"Onboarding à terminer",""))))))</f>
        <v/>
      </c>
      <c r="E138" s="60">
        <f>IF(B138="","",INDEX('Prospects'!$J$5:$J$504,MATCH(B138,'Prospects'!$C$5:$C$504,0))&amp;"")</f>
        <v/>
      </c>
      <c r="F138" s="60">
        <f>IF(B138="","",INDEX('Prospects'!$K$5:$K$504,MATCH(B138,'Prospects'!$C$5:$C$504,0))&amp;"")</f>
        <v/>
      </c>
      <c r="G138" s="60">
        <f>IF(B138="","",INDEX('Prospects'!$N$5:$N$504,MATCH(B138,'Prospects'!$C$5:$C$504,0))&amp;"")</f>
        <v/>
      </c>
      <c r="H138" s="60">
        <f>IF(B138="","",INDEX('Prospects'!$S$5:$S$504,MATCH(B138,'Prospects'!$C$5:$C$504,0))&amp;"")</f>
        <v/>
      </c>
      <c r="I138" s="60">
        <f>IF(B138="","",INDEX('Prospects'!$X$5:$X$504,MATCH(B138,'Prospects'!$C$5:$C$504,0))&amp;"")</f>
        <v/>
      </c>
      <c r="J138" s="60">
        <f>IF(B138="","",INDEX('Prospects'!$Y$5:$Y$504,MATCH(B138,'Prospects'!$C$5:$C$504,0))&amp;"")</f>
        <v/>
      </c>
      <c r="K138" s="60">
        <f>IF(B138="","",INDEX('Prospects'!$AN$5:$AN$504,MATCH(B138,'Prospects'!$C$5:$C$504,0))&amp;"")</f>
        <v/>
      </c>
      <c r="L138" s="106">
        <f>IF(B138="","",INDEX('Prospects'!$AT$5:$AT$504,MATCH(B138,'Prospects'!$C$5:$C$504,0)))</f>
        <v/>
      </c>
      <c r="M138" s="62">
        <f>IF(B138="","",SUMIFS('Saisie'!$AW$5:$AW$2004,'Saisie'!$C$5:$C$2004,B138,'Saisie'!$E$5:$E$2004,"Signature"))</f>
        <v/>
      </c>
      <c r="N138" s="62">
        <f>IF(B138="","",SUMIFS('Saisie'!$AW$5:$AW$2004,'Saisie'!$C$5:$C$2004,B138,'Saisie'!$E$5:$E$2004,"Vente additionnelle"))</f>
        <v/>
      </c>
      <c r="O138" s="62">
        <f>IF(B138="","",M138+N138)</f>
        <v/>
      </c>
      <c r="P138" s="62">
        <f>IF(B138="","",SUMIFS('Saisie'!$AW$5:$AW$2004,'Saisie'!$C$5:$C$2004,B138,'Saisie'!$E$5:$E$2004,"Paiement reçu"))</f>
        <v/>
      </c>
      <c r="Q138" s="62">
        <f>IF(B138="","",MAX(0,O138-P138))</f>
        <v/>
      </c>
      <c r="R138" s="60">
        <f>IF(B138="","",IF(O138=0,"",IF(Q138&lt;=0,"Payé",IF(TODAY()-N(L138)&gt;'Paramètres'!$B$27,"En retard",IF(P138&gt;0,"Partiel","En attente")))))</f>
        <v/>
      </c>
      <c r="S138" s="60">
        <f>IF(B138="","",IFERROR(INDEX('Saisie'!$O$5:$O$2004,_xlfn.MAXIFS('Saisie'!$AS$5:$AS$2004,'Saisie'!$C$5:$C$2004,B138,'Saisie'!$O$5:$O$2004,"&lt;&gt;")-4),""))</f>
        <v/>
      </c>
      <c r="T138" s="62">
        <f>IF(B138="","",N(INDEX('Prospects'!$AO$5:$AO$504,MATCH(B138,'Prospects'!$C$5:$C$504,0))))</f>
        <v/>
      </c>
      <c r="U138" s="106">
        <f>IF(B138="","",IF(L138="","",EDATE(L138,'Paramètres'!$B$33)))</f>
        <v/>
      </c>
      <c r="V138" s="61">
        <f>IF(B138="","",IF(U138="","",U138-TODAY()))</f>
        <v/>
      </c>
      <c r="W138" s="61">
        <f>IF(B138="","",IF(L138="","",INT((TODAY()-L138)/30.44)))</f>
        <v/>
      </c>
      <c r="X138" s="62">
        <f>IF(B138="","",O138+T138*'Paramètres'!$B$34)</f>
        <v/>
      </c>
      <c r="Y138" s="62">
        <f>IF(B138="","",O138-N(IFERROR(INDEX('Paramètres'!$T$6:$T$15,MATCH(K138,'Paramètres'!$Q$6:$Q$15,0)),0)))</f>
        <v/>
      </c>
      <c r="Z138" s="123">
        <f>IF(B138="","",((COUNTIFS('Saisie'!$C$5:$C$2004,B138,'Saisie'!$E$5:$E$2004,"Onboarding - Contrat")&gt;0)+(COUNTIFS('Saisie'!$C$5:$C$2004,B138,'Saisie'!$E$5:$E$2004,"Onboarding - Accès")&gt;0)+(COUNTIFS('Saisie'!$C$5:$C$2004,B138,'Saisie'!$E$5:$E$2004,"Onboarding - Contenus")&gt;0)+(COUNTIFS('Saisie'!$C$5:$C$2004,B138,'Saisie'!$E$5:$E$2004,"Onboarding - Lancement")&gt;0))/4)</f>
        <v/>
      </c>
      <c r="AA138" s="60">
        <f>IF(B138="","",IF(COUNTIFS('Saisie'!$C$5:$C$2004,B138,'Saisie'!$E$5:$E$2004,"Demande d'avis Google")&gt;0,"Oui","Non"))</f>
        <v/>
      </c>
      <c r="AB138" s="61">
        <f>IF(B138="","",IFERROR(INDEX('Saisie'!$N$5:$N$2004,_xlfn.MAXIFS('Saisie'!$AS$5:$AS$2004,'Saisie'!$C$5:$C$2004,B138,'Saisie'!$E$5:$E$2004,"Satisfaction client")-4)&amp;"",""))</f>
        <v/>
      </c>
      <c r="AC138" s="106">
        <f>IF(B138="","",IFERROR(1/(1/_xlfn.MAXIFS('Saisie'!$A$5:$A$2004,'Saisie'!$C$5:$C$2004,B138,'Saisie'!$E$5:$E$2004,"Résiliation")),""))</f>
        <v/>
      </c>
      <c r="AD138" s="60">
        <f>IF(D138&lt;&gt;"",MAX($AD$4:AD137)+1,"")</f>
        <v/>
      </c>
    </row>
    <row r="139">
      <c r="A139" s="60">
        <f>IF(B139="","","C-"&amp;TEXT(135,"000"))</f>
        <v/>
      </c>
      <c r="B139" s="60">
        <f>IFERROR(INDEX('Prospects'!$C$5:$C$504,MATCH(135,'Prospects'!$BX$5:$BX$504,0)),"")</f>
        <v/>
      </c>
      <c r="C139" s="60">
        <f>IF(B139="","",IF(AC139&lt;&gt;"","Résilié","Actif"))</f>
        <v/>
      </c>
      <c r="D139" s="60">
        <f>IF(B139="","",IF(C139="Résilié","",IF(R139="En retard","Paiement en retard",IF(AND(V139&lt;&gt;"",N(V139)&lt;='Paramètres'!$B$30,N(V139)&gt;=0),"Renouvellement dans "&amp;V139&amp;" j",IF(AND(AA139="Non",TODAY()-N(L139)&gt;='Paramètres'!$B$29),"Demander un avis Google",IF(Z139&lt;1,"Onboarding à terminer",""))))))</f>
        <v/>
      </c>
      <c r="E139" s="60">
        <f>IF(B139="","",INDEX('Prospects'!$J$5:$J$504,MATCH(B139,'Prospects'!$C$5:$C$504,0))&amp;"")</f>
        <v/>
      </c>
      <c r="F139" s="60">
        <f>IF(B139="","",INDEX('Prospects'!$K$5:$K$504,MATCH(B139,'Prospects'!$C$5:$C$504,0))&amp;"")</f>
        <v/>
      </c>
      <c r="G139" s="60">
        <f>IF(B139="","",INDEX('Prospects'!$N$5:$N$504,MATCH(B139,'Prospects'!$C$5:$C$504,0))&amp;"")</f>
        <v/>
      </c>
      <c r="H139" s="60">
        <f>IF(B139="","",INDEX('Prospects'!$S$5:$S$504,MATCH(B139,'Prospects'!$C$5:$C$504,0))&amp;"")</f>
        <v/>
      </c>
      <c r="I139" s="60">
        <f>IF(B139="","",INDEX('Prospects'!$X$5:$X$504,MATCH(B139,'Prospects'!$C$5:$C$504,0))&amp;"")</f>
        <v/>
      </c>
      <c r="J139" s="60">
        <f>IF(B139="","",INDEX('Prospects'!$Y$5:$Y$504,MATCH(B139,'Prospects'!$C$5:$C$504,0))&amp;"")</f>
        <v/>
      </c>
      <c r="K139" s="60">
        <f>IF(B139="","",INDEX('Prospects'!$AN$5:$AN$504,MATCH(B139,'Prospects'!$C$5:$C$504,0))&amp;"")</f>
        <v/>
      </c>
      <c r="L139" s="106">
        <f>IF(B139="","",INDEX('Prospects'!$AT$5:$AT$504,MATCH(B139,'Prospects'!$C$5:$C$504,0)))</f>
        <v/>
      </c>
      <c r="M139" s="62">
        <f>IF(B139="","",SUMIFS('Saisie'!$AW$5:$AW$2004,'Saisie'!$C$5:$C$2004,B139,'Saisie'!$E$5:$E$2004,"Signature"))</f>
        <v/>
      </c>
      <c r="N139" s="62">
        <f>IF(B139="","",SUMIFS('Saisie'!$AW$5:$AW$2004,'Saisie'!$C$5:$C$2004,B139,'Saisie'!$E$5:$E$2004,"Vente additionnelle"))</f>
        <v/>
      </c>
      <c r="O139" s="62">
        <f>IF(B139="","",M139+N139)</f>
        <v/>
      </c>
      <c r="P139" s="62">
        <f>IF(B139="","",SUMIFS('Saisie'!$AW$5:$AW$2004,'Saisie'!$C$5:$C$2004,B139,'Saisie'!$E$5:$E$2004,"Paiement reçu"))</f>
        <v/>
      </c>
      <c r="Q139" s="62">
        <f>IF(B139="","",MAX(0,O139-P139))</f>
        <v/>
      </c>
      <c r="R139" s="60">
        <f>IF(B139="","",IF(O139=0,"",IF(Q139&lt;=0,"Payé",IF(TODAY()-N(L139)&gt;'Paramètres'!$B$27,"En retard",IF(P139&gt;0,"Partiel","En attente")))))</f>
        <v/>
      </c>
      <c r="S139" s="60">
        <f>IF(B139="","",IFERROR(INDEX('Saisie'!$O$5:$O$2004,_xlfn.MAXIFS('Saisie'!$AS$5:$AS$2004,'Saisie'!$C$5:$C$2004,B139,'Saisie'!$O$5:$O$2004,"&lt;&gt;")-4),""))</f>
        <v/>
      </c>
      <c r="T139" s="62">
        <f>IF(B139="","",N(INDEX('Prospects'!$AO$5:$AO$504,MATCH(B139,'Prospects'!$C$5:$C$504,0))))</f>
        <v/>
      </c>
      <c r="U139" s="106">
        <f>IF(B139="","",IF(L139="","",EDATE(L139,'Paramètres'!$B$33)))</f>
        <v/>
      </c>
      <c r="V139" s="61">
        <f>IF(B139="","",IF(U139="","",U139-TODAY()))</f>
        <v/>
      </c>
      <c r="W139" s="61">
        <f>IF(B139="","",IF(L139="","",INT((TODAY()-L139)/30.44)))</f>
        <v/>
      </c>
      <c r="X139" s="62">
        <f>IF(B139="","",O139+T139*'Paramètres'!$B$34)</f>
        <v/>
      </c>
      <c r="Y139" s="62">
        <f>IF(B139="","",O139-N(IFERROR(INDEX('Paramètres'!$T$6:$T$15,MATCH(K139,'Paramètres'!$Q$6:$Q$15,0)),0)))</f>
        <v/>
      </c>
      <c r="Z139" s="123">
        <f>IF(B139="","",((COUNTIFS('Saisie'!$C$5:$C$2004,B139,'Saisie'!$E$5:$E$2004,"Onboarding - Contrat")&gt;0)+(COUNTIFS('Saisie'!$C$5:$C$2004,B139,'Saisie'!$E$5:$E$2004,"Onboarding - Accès")&gt;0)+(COUNTIFS('Saisie'!$C$5:$C$2004,B139,'Saisie'!$E$5:$E$2004,"Onboarding - Contenus")&gt;0)+(COUNTIFS('Saisie'!$C$5:$C$2004,B139,'Saisie'!$E$5:$E$2004,"Onboarding - Lancement")&gt;0))/4)</f>
        <v/>
      </c>
      <c r="AA139" s="60">
        <f>IF(B139="","",IF(COUNTIFS('Saisie'!$C$5:$C$2004,B139,'Saisie'!$E$5:$E$2004,"Demande d'avis Google")&gt;0,"Oui","Non"))</f>
        <v/>
      </c>
      <c r="AB139" s="61">
        <f>IF(B139="","",IFERROR(INDEX('Saisie'!$N$5:$N$2004,_xlfn.MAXIFS('Saisie'!$AS$5:$AS$2004,'Saisie'!$C$5:$C$2004,B139,'Saisie'!$E$5:$E$2004,"Satisfaction client")-4)&amp;"",""))</f>
        <v/>
      </c>
      <c r="AC139" s="106">
        <f>IF(B139="","",IFERROR(1/(1/_xlfn.MAXIFS('Saisie'!$A$5:$A$2004,'Saisie'!$C$5:$C$2004,B139,'Saisie'!$E$5:$E$2004,"Résiliation")),""))</f>
        <v/>
      </c>
      <c r="AD139" s="60">
        <f>IF(D139&lt;&gt;"",MAX($AD$4:AD138)+1,"")</f>
        <v/>
      </c>
    </row>
    <row r="140">
      <c r="A140" s="60">
        <f>IF(B140="","","C-"&amp;TEXT(136,"000"))</f>
        <v/>
      </c>
      <c r="B140" s="60">
        <f>IFERROR(INDEX('Prospects'!$C$5:$C$504,MATCH(136,'Prospects'!$BX$5:$BX$504,0)),"")</f>
        <v/>
      </c>
      <c r="C140" s="60">
        <f>IF(B140="","",IF(AC140&lt;&gt;"","Résilié","Actif"))</f>
        <v/>
      </c>
      <c r="D140" s="60">
        <f>IF(B140="","",IF(C140="Résilié","",IF(R140="En retard","Paiement en retard",IF(AND(V140&lt;&gt;"",N(V140)&lt;='Paramètres'!$B$30,N(V140)&gt;=0),"Renouvellement dans "&amp;V140&amp;" j",IF(AND(AA140="Non",TODAY()-N(L140)&gt;='Paramètres'!$B$29),"Demander un avis Google",IF(Z140&lt;1,"Onboarding à terminer",""))))))</f>
        <v/>
      </c>
      <c r="E140" s="60">
        <f>IF(B140="","",INDEX('Prospects'!$J$5:$J$504,MATCH(B140,'Prospects'!$C$5:$C$504,0))&amp;"")</f>
        <v/>
      </c>
      <c r="F140" s="60">
        <f>IF(B140="","",INDEX('Prospects'!$K$5:$K$504,MATCH(B140,'Prospects'!$C$5:$C$504,0))&amp;"")</f>
        <v/>
      </c>
      <c r="G140" s="60">
        <f>IF(B140="","",INDEX('Prospects'!$N$5:$N$504,MATCH(B140,'Prospects'!$C$5:$C$504,0))&amp;"")</f>
        <v/>
      </c>
      <c r="H140" s="60">
        <f>IF(B140="","",INDEX('Prospects'!$S$5:$S$504,MATCH(B140,'Prospects'!$C$5:$C$504,0))&amp;"")</f>
        <v/>
      </c>
      <c r="I140" s="60">
        <f>IF(B140="","",INDEX('Prospects'!$X$5:$X$504,MATCH(B140,'Prospects'!$C$5:$C$504,0))&amp;"")</f>
        <v/>
      </c>
      <c r="J140" s="60">
        <f>IF(B140="","",INDEX('Prospects'!$Y$5:$Y$504,MATCH(B140,'Prospects'!$C$5:$C$504,0))&amp;"")</f>
        <v/>
      </c>
      <c r="K140" s="60">
        <f>IF(B140="","",INDEX('Prospects'!$AN$5:$AN$504,MATCH(B140,'Prospects'!$C$5:$C$504,0))&amp;"")</f>
        <v/>
      </c>
      <c r="L140" s="106">
        <f>IF(B140="","",INDEX('Prospects'!$AT$5:$AT$504,MATCH(B140,'Prospects'!$C$5:$C$504,0)))</f>
        <v/>
      </c>
      <c r="M140" s="62">
        <f>IF(B140="","",SUMIFS('Saisie'!$AW$5:$AW$2004,'Saisie'!$C$5:$C$2004,B140,'Saisie'!$E$5:$E$2004,"Signature"))</f>
        <v/>
      </c>
      <c r="N140" s="62">
        <f>IF(B140="","",SUMIFS('Saisie'!$AW$5:$AW$2004,'Saisie'!$C$5:$C$2004,B140,'Saisie'!$E$5:$E$2004,"Vente additionnelle"))</f>
        <v/>
      </c>
      <c r="O140" s="62">
        <f>IF(B140="","",M140+N140)</f>
        <v/>
      </c>
      <c r="P140" s="62">
        <f>IF(B140="","",SUMIFS('Saisie'!$AW$5:$AW$2004,'Saisie'!$C$5:$C$2004,B140,'Saisie'!$E$5:$E$2004,"Paiement reçu"))</f>
        <v/>
      </c>
      <c r="Q140" s="62">
        <f>IF(B140="","",MAX(0,O140-P140))</f>
        <v/>
      </c>
      <c r="R140" s="60">
        <f>IF(B140="","",IF(O140=0,"",IF(Q140&lt;=0,"Payé",IF(TODAY()-N(L140)&gt;'Paramètres'!$B$27,"En retard",IF(P140&gt;0,"Partiel","En attente")))))</f>
        <v/>
      </c>
      <c r="S140" s="60">
        <f>IF(B140="","",IFERROR(INDEX('Saisie'!$O$5:$O$2004,_xlfn.MAXIFS('Saisie'!$AS$5:$AS$2004,'Saisie'!$C$5:$C$2004,B140,'Saisie'!$O$5:$O$2004,"&lt;&gt;")-4),""))</f>
        <v/>
      </c>
      <c r="T140" s="62">
        <f>IF(B140="","",N(INDEX('Prospects'!$AO$5:$AO$504,MATCH(B140,'Prospects'!$C$5:$C$504,0))))</f>
        <v/>
      </c>
      <c r="U140" s="106">
        <f>IF(B140="","",IF(L140="","",EDATE(L140,'Paramètres'!$B$33)))</f>
        <v/>
      </c>
      <c r="V140" s="61">
        <f>IF(B140="","",IF(U140="","",U140-TODAY()))</f>
        <v/>
      </c>
      <c r="W140" s="61">
        <f>IF(B140="","",IF(L140="","",INT((TODAY()-L140)/30.44)))</f>
        <v/>
      </c>
      <c r="X140" s="62">
        <f>IF(B140="","",O140+T140*'Paramètres'!$B$34)</f>
        <v/>
      </c>
      <c r="Y140" s="62">
        <f>IF(B140="","",O140-N(IFERROR(INDEX('Paramètres'!$T$6:$T$15,MATCH(K140,'Paramètres'!$Q$6:$Q$15,0)),0)))</f>
        <v/>
      </c>
      <c r="Z140" s="123">
        <f>IF(B140="","",((COUNTIFS('Saisie'!$C$5:$C$2004,B140,'Saisie'!$E$5:$E$2004,"Onboarding - Contrat")&gt;0)+(COUNTIFS('Saisie'!$C$5:$C$2004,B140,'Saisie'!$E$5:$E$2004,"Onboarding - Accès")&gt;0)+(COUNTIFS('Saisie'!$C$5:$C$2004,B140,'Saisie'!$E$5:$E$2004,"Onboarding - Contenus")&gt;0)+(COUNTIFS('Saisie'!$C$5:$C$2004,B140,'Saisie'!$E$5:$E$2004,"Onboarding - Lancement")&gt;0))/4)</f>
        <v/>
      </c>
      <c r="AA140" s="60">
        <f>IF(B140="","",IF(COUNTIFS('Saisie'!$C$5:$C$2004,B140,'Saisie'!$E$5:$E$2004,"Demande d'avis Google")&gt;0,"Oui","Non"))</f>
        <v/>
      </c>
      <c r="AB140" s="61">
        <f>IF(B140="","",IFERROR(INDEX('Saisie'!$N$5:$N$2004,_xlfn.MAXIFS('Saisie'!$AS$5:$AS$2004,'Saisie'!$C$5:$C$2004,B140,'Saisie'!$E$5:$E$2004,"Satisfaction client")-4)&amp;"",""))</f>
        <v/>
      </c>
      <c r="AC140" s="106">
        <f>IF(B140="","",IFERROR(1/(1/_xlfn.MAXIFS('Saisie'!$A$5:$A$2004,'Saisie'!$C$5:$C$2004,B140,'Saisie'!$E$5:$E$2004,"Résiliation")),""))</f>
        <v/>
      </c>
      <c r="AD140" s="60">
        <f>IF(D140&lt;&gt;"",MAX($AD$4:AD139)+1,"")</f>
        <v/>
      </c>
    </row>
    <row r="141">
      <c r="A141" s="60">
        <f>IF(B141="","","C-"&amp;TEXT(137,"000"))</f>
        <v/>
      </c>
      <c r="B141" s="60">
        <f>IFERROR(INDEX('Prospects'!$C$5:$C$504,MATCH(137,'Prospects'!$BX$5:$BX$504,0)),"")</f>
        <v/>
      </c>
      <c r="C141" s="60">
        <f>IF(B141="","",IF(AC141&lt;&gt;"","Résilié","Actif"))</f>
        <v/>
      </c>
      <c r="D141" s="60">
        <f>IF(B141="","",IF(C141="Résilié","",IF(R141="En retard","Paiement en retard",IF(AND(V141&lt;&gt;"",N(V141)&lt;='Paramètres'!$B$30,N(V141)&gt;=0),"Renouvellement dans "&amp;V141&amp;" j",IF(AND(AA141="Non",TODAY()-N(L141)&gt;='Paramètres'!$B$29),"Demander un avis Google",IF(Z141&lt;1,"Onboarding à terminer",""))))))</f>
        <v/>
      </c>
      <c r="E141" s="60">
        <f>IF(B141="","",INDEX('Prospects'!$J$5:$J$504,MATCH(B141,'Prospects'!$C$5:$C$504,0))&amp;"")</f>
        <v/>
      </c>
      <c r="F141" s="60">
        <f>IF(B141="","",INDEX('Prospects'!$K$5:$K$504,MATCH(B141,'Prospects'!$C$5:$C$504,0))&amp;"")</f>
        <v/>
      </c>
      <c r="G141" s="60">
        <f>IF(B141="","",INDEX('Prospects'!$N$5:$N$504,MATCH(B141,'Prospects'!$C$5:$C$504,0))&amp;"")</f>
        <v/>
      </c>
      <c r="H141" s="60">
        <f>IF(B141="","",INDEX('Prospects'!$S$5:$S$504,MATCH(B141,'Prospects'!$C$5:$C$504,0))&amp;"")</f>
        <v/>
      </c>
      <c r="I141" s="60">
        <f>IF(B141="","",INDEX('Prospects'!$X$5:$X$504,MATCH(B141,'Prospects'!$C$5:$C$504,0))&amp;"")</f>
        <v/>
      </c>
      <c r="J141" s="60">
        <f>IF(B141="","",INDEX('Prospects'!$Y$5:$Y$504,MATCH(B141,'Prospects'!$C$5:$C$504,0))&amp;"")</f>
        <v/>
      </c>
      <c r="K141" s="60">
        <f>IF(B141="","",INDEX('Prospects'!$AN$5:$AN$504,MATCH(B141,'Prospects'!$C$5:$C$504,0))&amp;"")</f>
        <v/>
      </c>
      <c r="L141" s="106">
        <f>IF(B141="","",INDEX('Prospects'!$AT$5:$AT$504,MATCH(B141,'Prospects'!$C$5:$C$504,0)))</f>
        <v/>
      </c>
      <c r="M141" s="62">
        <f>IF(B141="","",SUMIFS('Saisie'!$AW$5:$AW$2004,'Saisie'!$C$5:$C$2004,B141,'Saisie'!$E$5:$E$2004,"Signature"))</f>
        <v/>
      </c>
      <c r="N141" s="62">
        <f>IF(B141="","",SUMIFS('Saisie'!$AW$5:$AW$2004,'Saisie'!$C$5:$C$2004,B141,'Saisie'!$E$5:$E$2004,"Vente additionnelle"))</f>
        <v/>
      </c>
      <c r="O141" s="62">
        <f>IF(B141="","",M141+N141)</f>
        <v/>
      </c>
      <c r="P141" s="62">
        <f>IF(B141="","",SUMIFS('Saisie'!$AW$5:$AW$2004,'Saisie'!$C$5:$C$2004,B141,'Saisie'!$E$5:$E$2004,"Paiement reçu"))</f>
        <v/>
      </c>
      <c r="Q141" s="62">
        <f>IF(B141="","",MAX(0,O141-P141))</f>
        <v/>
      </c>
      <c r="R141" s="60">
        <f>IF(B141="","",IF(O141=0,"",IF(Q141&lt;=0,"Payé",IF(TODAY()-N(L141)&gt;'Paramètres'!$B$27,"En retard",IF(P141&gt;0,"Partiel","En attente")))))</f>
        <v/>
      </c>
      <c r="S141" s="60">
        <f>IF(B141="","",IFERROR(INDEX('Saisie'!$O$5:$O$2004,_xlfn.MAXIFS('Saisie'!$AS$5:$AS$2004,'Saisie'!$C$5:$C$2004,B141,'Saisie'!$O$5:$O$2004,"&lt;&gt;")-4),""))</f>
        <v/>
      </c>
      <c r="T141" s="62">
        <f>IF(B141="","",N(INDEX('Prospects'!$AO$5:$AO$504,MATCH(B141,'Prospects'!$C$5:$C$504,0))))</f>
        <v/>
      </c>
      <c r="U141" s="106">
        <f>IF(B141="","",IF(L141="","",EDATE(L141,'Paramètres'!$B$33)))</f>
        <v/>
      </c>
      <c r="V141" s="61">
        <f>IF(B141="","",IF(U141="","",U141-TODAY()))</f>
        <v/>
      </c>
      <c r="W141" s="61">
        <f>IF(B141="","",IF(L141="","",INT((TODAY()-L141)/30.44)))</f>
        <v/>
      </c>
      <c r="X141" s="62">
        <f>IF(B141="","",O141+T141*'Paramètres'!$B$34)</f>
        <v/>
      </c>
      <c r="Y141" s="62">
        <f>IF(B141="","",O141-N(IFERROR(INDEX('Paramètres'!$T$6:$T$15,MATCH(K141,'Paramètres'!$Q$6:$Q$15,0)),0)))</f>
        <v/>
      </c>
      <c r="Z141" s="123">
        <f>IF(B141="","",((COUNTIFS('Saisie'!$C$5:$C$2004,B141,'Saisie'!$E$5:$E$2004,"Onboarding - Contrat")&gt;0)+(COUNTIFS('Saisie'!$C$5:$C$2004,B141,'Saisie'!$E$5:$E$2004,"Onboarding - Accès")&gt;0)+(COUNTIFS('Saisie'!$C$5:$C$2004,B141,'Saisie'!$E$5:$E$2004,"Onboarding - Contenus")&gt;0)+(COUNTIFS('Saisie'!$C$5:$C$2004,B141,'Saisie'!$E$5:$E$2004,"Onboarding - Lancement")&gt;0))/4)</f>
        <v/>
      </c>
      <c r="AA141" s="60">
        <f>IF(B141="","",IF(COUNTIFS('Saisie'!$C$5:$C$2004,B141,'Saisie'!$E$5:$E$2004,"Demande d'avis Google")&gt;0,"Oui","Non"))</f>
        <v/>
      </c>
      <c r="AB141" s="61">
        <f>IF(B141="","",IFERROR(INDEX('Saisie'!$N$5:$N$2004,_xlfn.MAXIFS('Saisie'!$AS$5:$AS$2004,'Saisie'!$C$5:$C$2004,B141,'Saisie'!$E$5:$E$2004,"Satisfaction client")-4)&amp;"",""))</f>
        <v/>
      </c>
      <c r="AC141" s="106">
        <f>IF(B141="","",IFERROR(1/(1/_xlfn.MAXIFS('Saisie'!$A$5:$A$2004,'Saisie'!$C$5:$C$2004,B141,'Saisie'!$E$5:$E$2004,"Résiliation")),""))</f>
        <v/>
      </c>
      <c r="AD141" s="60">
        <f>IF(D141&lt;&gt;"",MAX($AD$4:AD140)+1,"")</f>
        <v/>
      </c>
    </row>
    <row r="142">
      <c r="A142" s="60">
        <f>IF(B142="","","C-"&amp;TEXT(138,"000"))</f>
        <v/>
      </c>
      <c r="B142" s="60">
        <f>IFERROR(INDEX('Prospects'!$C$5:$C$504,MATCH(138,'Prospects'!$BX$5:$BX$504,0)),"")</f>
        <v/>
      </c>
      <c r="C142" s="60">
        <f>IF(B142="","",IF(AC142&lt;&gt;"","Résilié","Actif"))</f>
        <v/>
      </c>
      <c r="D142" s="60">
        <f>IF(B142="","",IF(C142="Résilié","",IF(R142="En retard","Paiement en retard",IF(AND(V142&lt;&gt;"",N(V142)&lt;='Paramètres'!$B$30,N(V142)&gt;=0),"Renouvellement dans "&amp;V142&amp;" j",IF(AND(AA142="Non",TODAY()-N(L142)&gt;='Paramètres'!$B$29),"Demander un avis Google",IF(Z142&lt;1,"Onboarding à terminer",""))))))</f>
        <v/>
      </c>
      <c r="E142" s="60">
        <f>IF(B142="","",INDEX('Prospects'!$J$5:$J$504,MATCH(B142,'Prospects'!$C$5:$C$504,0))&amp;"")</f>
        <v/>
      </c>
      <c r="F142" s="60">
        <f>IF(B142="","",INDEX('Prospects'!$K$5:$K$504,MATCH(B142,'Prospects'!$C$5:$C$504,0))&amp;"")</f>
        <v/>
      </c>
      <c r="G142" s="60">
        <f>IF(B142="","",INDEX('Prospects'!$N$5:$N$504,MATCH(B142,'Prospects'!$C$5:$C$504,0))&amp;"")</f>
        <v/>
      </c>
      <c r="H142" s="60">
        <f>IF(B142="","",INDEX('Prospects'!$S$5:$S$504,MATCH(B142,'Prospects'!$C$5:$C$504,0))&amp;"")</f>
        <v/>
      </c>
      <c r="I142" s="60">
        <f>IF(B142="","",INDEX('Prospects'!$X$5:$X$504,MATCH(B142,'Prospects'!$C$5:$C$504,0))&amp;"")</f>
        <v/>
      </c>
      <c r="J142" s="60">
        <f>IF(B142="","",INDEX('Prospects'!$Y$5:$Y$504,MATCH(B142,'Prospects'!$C$5:$C$504,0))&amp;"")</f>
        <v/>
      </c>
      <c r="K142" s="60">
        <f>IF(B142="","",INDEX('Prospects'!$AN$5:$AN$504,MATCH(B142,'Prospects'!$C$5:$C$504,0))&amp;"")</f>
        <v/>
      </c>
      <c r="L142" s="106">
        <f>IF(B142="","",INDEX('Prospects'!$AT$5:$AT$504,MATCH(B142,'Prospects'!$C$5:$C$504,0)))</f>
        <v/>
      </c>
      <c r="M142" s="62">
        <f>IF(B142="","",SUMIFS('Saisie'!$AW$5:$AW$2004,'Saisie'!$C$5:$C$2004,B142,'Saisie'!$E$5:$E$2004,"Signature"))</f>
        <v/>
      </c>
      <c r="N142" s="62">
        <f>IF(B142="","",SUMIFS('Saisie'!$AW$5:$AW$2004,'Saisie'!$C$5:$C$2004,B142,'Saisie'!$E$5:$E$2004,"Vente additionnelle"))</f>
        <v/>
      </c>
      <c r="O142" s="62">
        <f>IF(B142="","",M142+N142)</f>
        <v/>
      </c>
      <c r="P142" s="62">
        <f>IF(B142="","",SUMIFS('Saisie'!$AW$5:$AW$2004,'Saisie'!$C$5:$C$2004,B142,'Saisie'!$E$5:$E$2004,"Paiement reçu"))</f>
        <v/>
      </c>
      <c r="Q142" s="62">
        <f>IF(B142="","",MAX(0,O142-P142))</f>
        <v/>
      </c>
      <c r="R142" s="60">
        <f>IF(B142="","",IF(O142=0,"",IF(Q142&lt;=0,"Payé",IF(TODAY()-N(L142)&gt;'Paramètres'!$B$27,"En retard",IF(P142&gt;0,"Partiel","En attente")))))</f>
        <v/>
      </c>
      <c r="S142" s="60">
        <f>IF(B142="","",IFERROR(INDEX('Saisie'!$O$5:$O$2004,_xlfn.MAXIFS('Saisie'!$AS$5:$AS$2004,'Saisie'!$C$5:$C$2004,B142,'Saisie'!$O$5:$O$2004,"&lt;&gt;")-4),""))</f>
        <v/>
      </c>
      <c r="T142" s="62">
        <f>IF(B142="","",N(INDEX('Prospects'!$AO$5:$AO$504,MATCH(B142,'Prospects'!$C$5:$C$504,0))))</f>
        <v/>
      </c>
      <c r="U142" s="106">
        <f>IF(B142="","",IF(L142="","",EDATE(L142,'Paramètres'!$B$33)))</f>
        <v/>
      </c>
      <c r="V142" s="61">
        <f>IF(B142="","",IF(U142="","",U142-TODAY()))</f>
        <v/>
      </c>
      <c r="W142" s="61">
        <f>IF(B142="","",IF(L142="","",INT((TODAY()-L142)/30.44)))</f>
        <v/>
      </c>
      <c r="X142" s="62">
        <f>IF(B142="","",O142+T142*'Paramètres'!$B$34)</f>
        <v/>
      </c>
      <c r="Y142" s="62">
        <f>IF(B142="","",O142-N(IFERROR(INDEX('Paramètres'!$T$6:$T$15,MATCH(K142,'Paramètres'!$Q$6:$Q$15,0)),0)))</f>
        <v/>
      </c>
      <c r="Z142" s="123">
        <f>IF(B142="","",((COUNTIFS('Saisie'!$C$5:$C$2004,B142,'Saisie'!$E$5:$E$2004,"Onboarding - Contrat")&gt;0)+(COUNTIFS('Saisie'!$C$5:$C$2004,B142,'Saisie'!$E$5:$E$2004,"Onboarding - Accès")&gt;0)+(COUNTIFS('Saisie'!$C$5:$C$2004,B142,'Saisie'!$E$5:$E$2004,"Onboarding - Contenus")&gt;0)+(COUNTIFS('Saisie'!$C$5:$C$2004,B142,'Saisie'!$E$5:$E$2004,"Onboarding - Lancement")&gt;0))/4)</f>
        <v/>
      </c>
      <c r="AA142" s="60">
        <f>IF(B142="","",IF(COUNTIFS('Saisie'!$C$5:$C$2004,B142,'Saisie'!$E$5:$E$2004,"Demande d'avis Google")&gt;0,"Oui","Non"))</f>
        <v/>
      </c>
      <c r="AB142" s="61">
        <f>IF(B142="","",IFERROR(INDEX('Saisie'!$N$5:$N$2004,_xlfn.MAXIFS('Saisie'!$AS$5:$AS$2004,'Saisie'!$C$5:$C$2004,B142,'Saisie'!$E$5:$E$2004,"Satisfaction client")-4)&amp;"",""))</f>
        <v/>
      </c>
      <c r="AC142" s="106">
        <f>IF(B142="","",IFERROR(1/(1/_xlfn.MAXIFS('Saisie'!$A$5:$A$2004,'Saisie'!$C$5:$C$2004,B142,'Saisie'!$E$5:$E$2004,"Résiliation")),""))</f>
        <v/>
      </c>
      <c r="AD142" s="60">
        <f>IF(D142&lt;&gt;"",MAX($AD$4:AD141)+1,"")</f>
        <v/>
      </c>
    </row>
    <row r="143">
      <c r="A143" s="60">
        <f>IF(B143="","","C-"&amp;TEXT(139,"000"))</f>
        <v/>
      </c>
      <c r="B143" s="60">
        <f>IFERROR(INDEX('Prospects'!$C$5:$C$504,MATCH(139,'Prospects'!$BX$5:$BX$504,0)),"")</f>
        <v/>
      </c>
      <c r="C143" s="60">
        <f>IF(B143="","",IF(AC143&lt;&gt;"","Résilié","Actif"))</f>
        <v/>
      </c>
      <c r="D143" s="60">
        <f>IF(B143="","",IF(C143="Résilié","",IF(R143="En retard","Paiement en retard",IF(AND(V143&lt;&gt;"",N(V143)&lt;='Paramètres'!$B$30,N(V143)&gt;=0),"Renouvellement dans "&amp;V143&amp;" j",IF(AND(AA143="Non",TODAY()-N(L143)&gt;='Paramètres'!$B$29),"Demander un avis Google",IF(Z143&lt;1,"Onboarding à terminer",""))))))</f>
        <v/>
      </c>
      <c r="E143" s="60">
        <f>IF(B143="","",INDEX('Prospects'!$J$5:$J$504,MATCH(B143,'Prospects'!$C$5:$C$504,0))&amp;"")</f>
        <v/>
      </c>
      <c r="F143" s="60">
        <f>IF(B143="","",INDEX('Prospects'!$K$5:$K$504,MATCH(B143,'Prospects'!$C$5:$C$504,0))&amp;"")</f>
        <v/>
      </c>
      <c r="G143" s="60">
        <f>IF(B143="","",INDEX('Prospects'!$N$5:$N$504,MATCH(B143,'Prospects'!$C$5:$C$504,0))&amp;"")</f>
        <v/>
      </c>
      <c r="H143" s="60">
        <f>IF(B143="","",INDEX('Prospects'!$S$5:$S$504,MATCH(B143,'Prospects'!$C$5:$C$504,0))&amp;"")</f>
        <v/>
      </c>
      <c r="I143" s="60">
        <f>IF(B143="","",INDEX('Prospects'!$X$5:$X$504,MATCH(B143,'Prospects'!$C$5:$C$504,0))&amp;"")</f>
        <v/>
      </c>
      <c r="J143" s="60">
        <f>IF(B143="","",INDEX('Prospects'!$Y$5:$Y$504,MATCH(B143,'Prospects'!$C$5:$C$504,0))&amp;"")</f>
        <v/>
      </c>
      <c r="K143" s="60">
        <f>IF(B143="","",INDEX('Prospects'!$AN$5:$AN$504,MATCH(B143,'Prospects'!$C$5:$C$504,0))&amp;"")</f>
        <v/>
      </c>
      <c r="L143" s="106">
        <f>IF(B143="","",INDEX('Prospects'!$AT$5:$AT$504,MATCH(B143,'Prospects'!$C$5:$C$504,0)))</f>
        <v/>
      </c>
      <c r="M143" s="62">
        <f>IF(B143="","",SUMIFS('Saisie'!$AW$5:$AW$2004,'Saisie'!$C$5:$C$2004,B143,'Saisie'!$E$5:$E$2004,"Signature"))</f>
        <v/>
      </c>
      <c r="N143" s="62">
        <f>IF(B143="","",SUMIFS('Saisie'!$AW$5:$AW$2004,'Saisie'!$C$5:$C$2004,B143,'Saisie'!$E$5:$E$2004,"Vente additionnelle"))</f>
        <v/>
      </c>
      <c r="O143" s="62">
        <f>IF(B143="","",M143+N143)</f>
        <v/>
      </c>
      <c r="P143" s="62">
        <f>IF(B143="","",SUMIFS('Saisie'!$AW$5:$AW$2004,'Saisie'!$C$5:$C$2004,B143,'Saisie'!$E$5:$E$2004,"Paiement reçu"))</f>
        <v/>
      </c>
      <c r="Q143" s="62">
        <f>IF(B143="","",MAX(0,O143-P143))</f>
        <v/>
      </c>
      <c r="R143" s="60">
        <f>IF(B143="","",IF(O143=0,"",IF(Q143&lt;=0,"Payé",IF(TODAY()-N(L143)&gt;'Paramètres'!$B$27,"En retard",IF(P143&gt;0,"Partiel","En attente")))))</f>
        <v/>
      </c>
      <c r="S143" s="60">
        <f>IF(B143="","",IFERROR(INDEX('Saisie'!$O$5:$O$2004,_xlfn.MAXIFS('Saisie'!$AS$5:$AS$2004,'Saisie'!$C$5:$C$2004,B143,'Saisie'!$O$5:$O$2004,"&lt;&gt;")-4),""))</f>
        <v/>
      </c>
      <c r="T143" s="62">
        <f>IF(B143="","",N(INDEX('Prospects'!$AO$5:$AO$504,MATCH(B143,'Prospects'!$C$5:$C$504,0))))</f>
        <v/>
      </c>
      <c r="U143" s="106">
        <f>IF(B143="","",IF(L143="","",EDATE(L143,'Paramètres'!$B$33)))</f>
        <v/>
      </c>
      <c r="V143" s="61">
        <f>IF(B143="","",IF(U143="","",U143-TODAY()))</f>
        <v/>
      </c>
      <c r="W143" s="61">
        <f>IF(B143="","",IF(L143="","",INT((TODAY()-L143)/30.44)))</f>
        <v/>
      </c>
      <c r="X143" s="62">
        <f>IF(B143="","",O143+T143*'Paramètres'!$B$34)</f>
        <v/>
      </c>
      <c r="Y143" s="62">
        <f>IF(B143="","",O143-N(IFERROR(INDEX('Paramètres'!$T$6:$T$15,MATCH(K143,'Paramètres'!$Q$6:$Q$15,0)),0)))</f>
        <v/>
      </c>
      <c r="Z143" s="123">
        <f>IF(B143="","",((COUNTIFS('Saisie'!$C$5:$C$2004,B143,'Saisie'!$E$5:$E$2004,"Onboarding - Contrat")&gt;0)+(COUNTIFS('Saisie'!$C$5:$C$2004,B143,'Saisie'!$E$5:$E$2004,"Onboarding - Accès")&gt;0)+(COUNTIFS('Saisie'!$C$5:$C$2004,B143,'Saisie'!$E$5:$E$2004,"Onboarding - Contenus")&gt;0)+(COUNTIFS('Saisie'!$C$5:$C$2004,B143,'Saisie'!$E$5:$E$2004,"Onboarding - Lancement")&gt;0))/4)</f>
        <v/>
      </c>
      <c r="AA143" s="60">
        <f>IF(B143="","",IF(COUNTIFS('Saisie'!$C$5:$C$2004,B143,'Saisie'!$E$5:$E$2004,"Demande d'avis Google")&gt;0,"Oui","Non"))</f>
        <v/>
      </c>
      <c r="AB143" s="61">
        <f>IF(B143="","",IFERROR(INDEX('Saisie'!$N$5:$N$2004,_xlfn.MAXIFS('Saisie'!$AS$5:$AS$2004,'Saisie'!$C$5:$C$2004,B143,'Saisie'!$E$5:$E$2004,"Satisfaction client")-4)&amp;"",""))</f>
        <v/>
      </c>
      <c r="AC143" s="106">
        <f>IF(B143="","",IFERROR(1/(1/_xlfn.MAXIFS('Saisie'!$A$5:$A$2004,'Saisie'!$C$5:$C$2004,B143,'Saisie'!$E$5:$E$2004,"Résiliation")),""))</f>
        <v/>
      </c>
      <c r="AD143" s="60">
        <f>IF(D143&lt;&gt;"",MAX($AD$4:AD142)+1,"")</f>
        <v/>
      </c>
    </row>
    <row r="144">
      <c r="A144" s="60">
        <f>IF(B144="","","C-"&amp;TEXT(140,"000"))</f>
        <v/>
      </c>
      <c r="B144" s="60">
        <f>IFERROR(INDEX('Prospects'!$C$5:$C$504,MATCH(140,'Prospects'!$BX$5:$BX$504,0)),"")</f>
        <v/>
      </c>
      <c r="C144" s="60">
        <f>IF(B144="","",IF(AC144&lt;&gt;"","Résilié","Actif"))</f>
        <v/>
      </c>
      <c r="D144" s="60">
        <f>IF(B144="","",IF(C144="Résilié","",IF(R144="En retard","Paiement en retard",IF(AND(V144&lt;&gt;"",N(V144)&lt;='Paramètres'!$B$30,N(V144)&gt;=0),"Renouvellement dans "&amp;V144&amp;" j",IF(AND(AA144="Non",TODAY()-N(L144)&gt;='Paramètres'!$B$29),"Demander un avis Google",IF(Z144&lt;1,"Onboarding à terminer",""))))))</f>
        <v/>
      </c>
      <c r="E144" s="60">
        <f>IF(B144="","",INDEX('Prospects'!$J$5:$J$504,MATCH(B144,'Prospects'!$C$5:$C$504,0))&amp;"")</f>
        <v/>
      </c>
      <c r="F144" s="60">
        <f>IF(B144="","",INDEX('Prospects'!$K$5:$K$504,MATCH(B144,'Prospects'!$C$5:$C$504,0))&amp;"")</f>
        <v/>
      </c>
      <c r="G144" s="60">
        <f>IF(B144="","",INDEX('Prospects'!$N$5:$N$504,MATCH(B144,'Prospects'!$C$5:$C$504,0))&amp;"")</f>
        <v/>
      </c>
      <c r="H144" s="60">
        <f>IF(B144="","",INDEX('Prospects'!$S$5:$S$504,MATCH(B144,'Prospects'!$C$5:$C$504,0))&amp;"")</f>
        <v/>
      </c>
      <c r="I144" s="60">
        <f>IF(B144="","",INDEX('Prospects'!$X$5:$X$504,MATCH(B144,'Prospects'!$C$5:$C$504,0))&amp;"")</f>
        <v/>
      </c>
      <c r="J144" s="60">
        <f>IF(B144="","",INDEX('Prospects'!$Y$5:$Y$504,MATCH(B144,'Prospects'!$C$5:$C$504,0))&amp;"")</f>
        <v/>
      </c>
      <c r="K144" s="60">
        <f>IF(B144="","",INDEX('Prospects'!$AN$5:$AN$504,MATCH(B144,'Prospects'!$C$5:$C$504,0))&amp;"")</f>
        <v/>
      </c>
      <c r="L144" s="106">
        <f>IF(B144="","",INDEX('Prospects'!$AT$5:$AT$504,MATCH(B144,'Prospects'!$C$5:$C$504,0)))</f>
        <v/>
      </c>
      <c r="M144" s="62">
        <f>IF(B144="","",SUMIFS('Saisie'!$AW$5:$AW$2004,'Saisie'!$C$5:$C$2004,B144,'Saisie'!$E$5:$E$2004,"Signature"))</f>
        <v/>
      </c>
      <c r="N144" s="62">
        <f>IF(B144="","",SUMIFS('Saisie'!$AW$5:$AW$2004,'Saisie'!$C$5:$C$2004,B144,'Saisie'!$E$5:$E$2004,"Vente additionnelle"))</f>
        <v/>
      </c>
      <c r="O144" s="62">
        <f>IF(B144="","",M144+N144)</f>
        <v/>
      </c>
      <c r="P144" s="62">
        <f>IF(B144="","",SUMIFS('Saisie'!$AW$5:$AW$2004,'Saisie'!$C$5:$C$2004,B144,'Saisie'!$E$5:$E$2004,"Paiement reçu"))</f>
        <v/>
      </c>
      <c r="Q144" s="62">
        <f>IF(B144="","",MAX(0,O144-P144))</f>
        <v/>
      </c>
      <c r="R144" s="60">
        <f>IF(B144="","",IF(O144=0,"",IF(Q144&lt;=0,"Payé",IF(TODAY()-N(L144)&gt;'Paramètres'!$B$27,"En retard",IF(P144&gt;0,"Partiel","En attente")))))</f>
        <v/>
      </c>
      <c r="S144" s="60">
        <f>IF(B144="","",IFERROR(INDEX('Saisie'!$O$5:$O$2004,_xlfn.MAXIFS('Saisie'!$AS$5:$AS$2004,'Saisie'!$C$5:$C$2004,B144,'Saisie'!$O$5:$O$2004,"&lt;&gt;")-4),""))</f>
        <v/>
      </c>
      <c r="T144" s="62">
        <f>IF(B144="","",N(INDEX('Prospects'!$AO$5:$AO$504,MATCH(B144,'Prospects'!$C$5:$C$504,0))))</f>
        <v/>
      </c>
      <c r="U144" s="106">
        <f>IF(B144="","",IF(L144="","",EDATE(L144,'Paramètres'!$B$33)))</f>
        <v/>
      </c>
      <c r="V144" s="61">
        <f>IF(B144="","",IF(U144="","",U144-TODAY()))</f>
        <v/>
      </c>
      <c r="W144" s="61">
        <f>IF(B144="","",IF(L144="","",INT((TODAY()-L144)/30.44)))</f>
        <v/>
      </c>
      <c r="X144" s="62">
        <f>IF(B144="","",O144+T144*'Paramètres'!$B$34)</f>
        <v/>
      </c>
      <c r="Y144" s="62">
        <f>IF(B144="","",O144-N(IFERROR(INDEX('Paramètres'!$T$6:$T$15,MATCH(K144,'Paramètres'!$Q$6:$Q$15,0)),0)))</f>
        <v/>
      </c>
      <c r="Z144" s="123">
        <f>IF(B144="","",((COUNTIFS('Saisie'!$C$5:$C$2004,B144,'Saisie'!$E$5:$E$2004,"Onboarding - Contrat")&gt;0)+(COUNTIFS('Saisie'!$C$5:$C$2004,B144,'Saisie'!$E$5:$E$2004,"Onboarding - Accès")&gt;0)+(COUNTIFS('Saisie'!$C$5:$C$2004,B144,'Saisie'!$E$5:$E$2004,"Onboarding - Contenus")&gt;0)+(COUNTIFS('Saisie'!$C$5:$C$2004,B144,'Saisie'!$E$5:$E$2004,"Onboarding - Lancement")&gt;0))/4)</f>
        <v/>
      </c>
      <c r="AA144" s="60">
        <f>IF(B144="","",IF(COUNTIFS('Saisie'!$C$5:$C$2004,B144,'Saisie'!$E$5:$E$2004,"Demande d'avis Google")&gt;0,"Oui","Non"))</f>
        <v/>
      </c>
      <c r="AB144" s="61">
        <f>IF(B144="","",IFERROR(INDEX('Saisie'!$N$5:$N$2004,_xlfn.MAXIFS('Saisie'!$AS$5:$AS$2004,'Saisie'!$C$5:$C$2004,B144,'Saisie'!$E$5:$E$2004,"Satisfaction client")-4)&amp;"",""))</f>
        <v/>
      </c>
      <c r="AC144" s="106">
        <f>IF(B144="","",IFERROR(1/(1/_xlfn.MAXIFS('Saisie'!$A$5:$A$2004,'Saisie'!$C$5:$C$2004,B144,'Saisie'!$E$5:$E$2004,"Résiliation")),""))</f>
        <v/>
      </c>
      <c r="AD144" s="60">
        <f>IF(D144&lt;&gt;"",MAX($AD$4:AD143)+1,"")</f>
        <v/>
      </c>
    </row>
    <row r="145">
      <c r="A145" s="60">
        <f>IF(B145="","","C-"&amp;TEXT(141,"000"))</f>
        <v/>
      </c>
      <c r="B145" s="60">
        <f>IFERROR(INDEX('Prospects'!$C$5:$C$504,MATCH(141,'Prospects'!$BX$5:$BX$504,0)),"")</f>
        <v/>
      </c>
      <c r="C145" s="60">
        <f>IF(B145="","",IF(AC145&lt;&gt;"","Résilié","Actif"))</f>
        <v/>
      </c>
      <c r="D145" s="60">
        <f>IF(B145="","",IF(C145="Résilié","",IF(R145="En retard","Paiement en retard",IF(AND(V145&lt;&gt;"",N(V145)&lt;='Paramètres'!$B$30,N(V145)&gt;=0),"Renouvellement dans "&amp;V145&amp;" j",IF(AND(AA145="Non",TODAY()-N(L145)&gt;='Paramètres'!$B$29),"Demander un avis Google",IF(Z145&lt;1,"Onboarding à terminer",""))))))</f>
        <v/>
      </c>
      <c r="E145" s="60">
        <f>IF(B145="","",INDEX('Prospects'!$J$5:$J$504,MATCH(B145,'Prospects'!$C$5:$C$504,0))&amp;"")</f>
        <v/>
      </c>
      <c r="F145" s="60">
        <f>IF(B145="","",INDEX('Prospects'!$K$5:$K$504,MATCH(B145,'Prospects'!$C$5:$C$504,0))&amp;"")</f>
        <v/>
      </c>
      <c r="G145" s="60">
        <f>IF(B145="","",INDEX('Prospects'!$N$5:$N$504,MATCH(B145,'Prospects'!$C$5:$C$504,0))&amp;"")</f>
        <v/>
      </c>
      <c r="H145" s="60">
        <f>IF(B145="","",INDEX('Prospects'!$S$5:$S$504,MATCH(B145,'Prospects'!$C$5:$C$504,0))&amp;"")</f>
        <v/>
      </c>
      <c r="I145" s="60">
        <f>IF(B145="","",INDEX('Prospects'!$X$5:$X$504,MATCH(B145,'Prospects'!$C$5:$C$504,0))&amp;"")</f>
        <v/>
      </c>
      <c r="J145" s="60">
        <f>IF(B145="","",INDEX('Prospects'!$Y$5:$Y$504,MATCH(B145,'Prospects'!$C$5:$C$504,0))&amp;"")</f>
        <v/>
      </c>
      <c r="K145" s="60">
        <f>IF(B145="","",INDEX('Prospects'!$AN$5:$AN$504,MATCH(B145,'Prospects'!$C$5:$C$504,0))&amp;"")</f>
        <v/>
      </c>
      <c r="L145" s="106">
        <f>IF(B145="","",INDEX('Prospects'!$AT$5:$AT$504,MATCH(B145,'Prospects'!$C$5:$C$504,0)))</f>
        <v/>
      </c>
      <c r="M145" s="62">
        <f>IF(B145="","",SUMIFS('Saisie'!$AW$5:$AW$2004,'Saisie'!$C$5:$C$2004,B145,'Saisie'!$E$5:$E$2004,"Signature"))</f>
        <v/>
      </c>
      <c r="N145" s="62">
        <f>IF(B145="","",SUMIFS('Saisie'!$AW$5:$AW$2004,'Saisie'!$C$5:$C$2004,B145,'Saisie'!$E$5:$E$2004,"Vente additionnelle"))</f>
        <v/>
      </c>
      <c r="O145" s="62">
        <f>IF(B145="","",M145+N145)</f>
        <v/>
      </c>
      <c r="P145" s="62">
        <f>IF(B145="","",SUMIFS('Saisie'!$AW$5:$AW$2004,'Saisie'!$C$5:$C$2004,B145,'Saisie'!$E$5:$E$2004,"Paiement reçu"))</f>
        <v/>
      </c>
      <c r="Q145" s="62">
        <f>IF(B145="","",MAX(0,O145-P145))</f>
        <v/>
      </c>
      <c r="R145" s="60">
        <f>IF(B145="","",IF(O145=0,"",IF(Q145&lt;=0,"Payé",IF(TODAY()-N(L145)&gt;'Paramètres'!$B$27,"En retard",IF(P145&gt;0,"Partiel","En attente")))))</f>
        <v/>
      </c>
      <c r="S145" s="60">
        <f>IF(B145="","",IFERROR(INDEX('Saisie'!$O$5:$O$2004,_xlfn.MAXIFS('Saisie'!$AS$5:$AS$2004,'Saisie'!$C$5:$C$2004,B145,'Saisie'!$O$5:$O$2004,"&lt;&gt;")-4),""))</f>
        <v/>
      </c>
      <c r="T145" s="62">
        <f>IF(B145="","",N(INDEX('Prospects'!$AO$5:$AO$504,MATCH(B145,'Prospects'!$C$5:$C$504,0))))</f>
        <v/>
      </c>
      <c r="U145" s="106">
        <f>IF(B145="","",IF(L145="","",EDATE(L145,'Paramètres'!$B$33)))</f>
        <v/>
      </c>
      <c r="V145" s="61">
        <f>IF(B145="","",IF(U145="","",U145-TODAY()))</f>
        <v/>
      </c>
      <c r="W145" s="61">
        <f>IF(B145="","",IF(L145="","",INT((TODAY()-L145)/30.44)))</f>
        <v/>
      </c>
      <c r="X145" s="62">
        <f>IF(B145="","",O145+T145*'Paramètres'!$B$34)</f>
        <v/>
      </c>
      <c r="Y145" s="62">
        <f>IF(B145="","",O145-N(IFERROR(INDEX('Paramètres'!$T$6:$T$15,MATCH(K145,'Paramètres'!$Q$6:$Q$15,0)),0)))</f>
        <v/>
      </c>
      <c r="Z145" s="123">
        <f>IF(B145="","",((COUNTIFS('Saisie'!$C$5:$C$2004,B145,'Saisie'!$E$5:$E$2004,"Onboarding - Contrat")&gt;0)+(COUNTIFS('Saisie'!$C$5:$C$2004,B145,'Saisie'!$E$5:$E$2004,"Onboarding - Accès")&gt;0)+(COUNTIFS('Saisie'!$C$5:$C$2004,B145,'Saisie'!$E$5:$E$2004,"Onboarding - Contenus")&gt;0)+(COUNTIFS('Saisie'!$C$5:$C$2004,B145,'Saisie'!$E$5:$E$2004,"Onboarding - Lancement")&gt;0))/4)</f>
        <v/>
      </c>
      <c r="AA145" s="60">
        <f>IF(B145="","",IF(COUNTIFS('Saisie'!$C$5:$C$2004,B145,'Saisie'!$E$5:$E$2004,"Demande d'avis Google")&gt;0,"Oui","Non"))</f>
        <v/>
      </c>
      <c r="AB145" s="61">
        <f>IF(B145="","",IFERROR(INDEX('Saisie'!$N$5:$N$2004,_xlfn.MAXIFS('Saisie'!$AS$5:$AS$2004,'Saisie'!$C$5:$C$2004,B145,'Saisie'!$E$5:$E$2004,"Satisfaction client")-4)&amp;"",""))</f>
        <v/>
      </c>
      <c r="AC145" s="106">
        <f>IF(B145="","",IFERROR(1/(1/_xlfn.MAXIFS('Saisie'!$A$5:$A$2004,'Saisie'!$C$5:$C$2004,B145,'Saisie'!$E$5:$E$2004,"Résiliation")),""))</f>
        <v/>
      </c>
      <c r="AD145" s="60">
        <f>IF(D145&lt;&gt;"",MAX($AD$4:AD144)+1,"")</f>
        <v/>
      </c>
    </row>
    <row r="146">
      <c r="A146" s="60">
        <f>IF(B146="","","C-"&amp;TEXT(142,"000"))</f>
        <v/>
      </c>
      <c r="B146" s="60">
        <f>IFERROR(INDEX('Prospects'!$C$5:$C$504,MATCH(142,'Prospects'!$BX$5:$BX$504,0)),"")</f>
        <v/>
      </c>
      <c r="C146" s="60">
        <f>IF(B146="","",IF(AC146&lt;&gt;"","Résilié","Actif"))</f>
        <v/>
      </c>
      <c r="D146" s="60">
        <f>IF(B146="","",IF(C146="Résilié","",IF(R146="En retard","Paiement en retard",IF(AND(V146&lt;&gt;"",N(V146)&lt;='Paramètres'!$B$30,N(V146)&gt;=0),"Renouvellement dans "&amp;V146&amp;" j",IF(AND(AA146="Non",TODAY()-N(L146)&gt;='Paramètres'!$B$29),"Demander un avis Google",IF(Z146&lt;1,"Onboarding à terminer",""))))))</f>
        <v/>
      </c>
      <c r="E146" s="60">
        <f>IF(B146="","",INDEX('Prospects'!$J$5:$J$504,MATCH(B146,'Prospects'!$C$5:$C$504,0))&amp;"")</f>
        <v/>
      </c>
      <c r="F146" s="60">
        <f>IF(B146="","",INDEX('Prospects'!$K$5:$K$504,MATCH(B146,'Prospects'!$C$5:$C$504,0))&amp;"")</f>
        <v/>
      </c>
      <c r="G146" s="60">
        <f>IF(B146="","",INDEX('Prospects'!$N$5:$N$504,MATCH(B146,'Prospects'!$C$5:$C$504,0))&amp;"")</f>
        <v/>
      </c>
      <c r="H146" s="60">
        <f>IF(B146="","",INDEX('Prospects'!$S$5:$S$504,MATCH(B146,'Prospects'!$C$5:$C$504,0))&amp;"")</f>
        <v/>
      </c>
      <c r="I146" s="60">
        <f>IF(B146="","",INDEX('Prospects'!$X$5:$X$504,MATCH(B146,'Prospects'!$C$5:$C$504,0))&amp;"")</f>
        <v/>
      </c>
      <c r="J146" s="60">
        <f>IF(B146="","",INDEX('Prospects'!$Y$5:$Y$504,MATCH(B146,'Prospects'!$C$5:$C$504,0))&amp;"")</f>
        <v/>
      </c>
      <c r="K146" s="60">
        <f>IF(B146="","",INDEX('Prospects'!$AN$5:$AN$504,MATCH(B146,'Prospects'!$C$5:$C$504,0))&amp;"")</f>
        <v/>
      </c>
      <c r="L146" s="106">
        <f>IF(B146="","",INDEX('Prospects'!$AT$5:$AT$504,MATCH(B146,'Prospects'!$C$5:$C$504,0)))</f>
        <v/>
      </c>
      <c r="M146" s="62">
        <f>IF(B146="","",SUMIFS('Saisie'!$AW$5:$AW$2004,'Saisie'!$C$5:$C$2004,B146,'Saisie'!$E$5:$E$2004,"Signature"))</f>
        <v/>
      </c>
      <c r="N146" s="62">
        <f>IF(B146="","",SUMIFS('Saisie'!$AW$5:$AW$2004,'Saisie'!$C$5:$C$2004,B146,'Saisie'!$E$5:$E$2004,"Vente additionnelle"))</f>
        <v/>
      </c>
      <c r="O146" s="62">
        <f>IF(B146="","",M146+N146)</f>
        <v/>
      </c>
      <c r="P146" s="62">
        <f>IF(B146="","",SUMIFS('Saisie'!$AW$5:$AW$2004,'Saisie'!$C$5:$C$2004,B146,'Saisie'!$E$5:$E$2004,"Paiement reçu"))</f>
        <v/>
      </c>
      <c r="Q146" s="62">
        <f>IF(B146="","",MAX(0,O146-P146))</f>
        <v/>
      </c>
      <c r="R146" s="60">
        <f>IF(B146="","",IF(O146=0,"",IF(Q146&lt;=0,"Payé",IF(TODAY()-N(L146)&gt;'Paramètres'!$B$27,"En retard",IF(P146&gt;0,"Partiel","En attente")))))</f>
        <v/>
      </c>
      <c r="S146" s="60">
        <f>IF(B146="","",IFERROR(INDEX('Saisie'!$O$5:$O$2004,_xlfn.MAXIFS('Saisie'!$AS$5:$AS$2004,'Saisie'!$C$5:$C$2004,B146,'Saisie'!$O$5:$O$2004,"&lt;&gt;")-4),""))</f>
        <v/>
      </c>
      <c r="T146" s="62">
        <f>IF(B146="","",N(INDEX('Prospects'!$AO$5:$AO$504,MATCH(B146,'Prospects'!$C$5:$C$504,0))))</f>
        <v/>
      </c>
      <c r="U146" s="106">
        <f>IF(B146="","",IF(L146="","",EDATE(L146,'Paramètres'!$B$33)))</f>
        <v/>
      </c>
      <c r="V146" s="61">
        <f>IF(B146="","",IF(U146="","",U146-TODAY()))</f>
        <v/>
      </c>
      <c r="W146" s="61">
        <f>IF(B146="","",IF(L146="","",INT((TODAY()-L146)/30.44)))</f>
        <v/>
      </c>
      <c r="X146" s="62">
        <f>IF(B146="","",O146+T146*'Paramètres'!$B$34)</f>
        <v/>
      </c>
      <c r="Y146" s="62">
        <f>IF(B146="","",O146-N(IFERROR(INDEX('Paramètres'!$T$6:$T$15,MATCH(K146,'Paramètres'!$Q$6:$Q$15,0)),0)))</f>
        <v/>
      </c>
      <c r="Z146" s="123">
        <f>IF(B146="","",((COUNTIFS('Saisie'!$C$5:$C$2004,B146,'Saisie'!$E$5:$E$2004,"Onboarding - Contrat")&gt;0)+(COUNTIFS('Saisie'!$C$5:$C$2004,B146,'Saisie'!$E$5:$E$2004,"Onboarding - Accès")&gt;0)+(COUNTIFS('Saisie'!$C$5:$C$2004,B146,'Saisie'!$E$5:$E$2004,"Onboarding - Contenus")&gt;0)+(COUNTIFS('Saisie'!$C$5:$C$2004,B146,'Saisie'!$E$5:$E$2004,"Onboarding - Lancement")&gt;0))/4)</f>
        <v/>
      </c>
      <c r="AA146" s="60">
        <f>IF(B146="","",IF(COUNTIFS('Saisie'!$C$5:$C$2004,B146,'Saisie'!$E$5:$E$2004,"Demande d'avis Google")&gt;0,"Oui","Non"))</f>
        <v/>
      </c>
      <c r="AB146" s="61">
        <f>IF(B146="","",IFERROR(INDEX('Saisie'!$N$5:$N$2004,_xlfn.MAXIFS('Saisie'!$AS$5:$AS$2004,'Saisie'!$C$5:$C$2004,B146,'Saisie'!$E$5:$E$2004,"Satisfaction client")-4)&amp;"",""))</f>
        <v/>
      </c>
      <c r="AC146" s="106">
        <f>IF(B146="","",IFERROR(1/(1/_xlfn.MAXIFS('Saisie'!$A$5:$A$2004,'Saisie'!$C$5:$C$2004,B146,'Saisie'!$E$5:$E$2004,"Résiliation")),""))</f>
        <v/>
      </c>
      <c r="AD146" s="60">
        <f>IF(D146&lt;&gt;"",MAX($AD$4:AD145)+1,"")</f>
        <v/>
      </c>
    </row>
    <row r="147">
      <c r="A147" s="60">
        <f>IF(B147="","","C-"&amp;TEXT(143,"000"))</f>
        <v/>
      </c>
      <c r="B147" s="60">
        <f>IFERROR(INDEX('Prospects'!$C$5:$C$504,MATCH(143,'Prospects'!$BX$5:$BX$504,0)),"")</f>
        <v/>
      </c>
      <c r="C147" s="60">
        <f>IF(B147="","",IF(AC147&lt;&gt;"","Résilié","Actif"))</f>
        <v/>
      </c>
      <c r="D147" s="60">
        <f>IF(B147="","",IF(C147="Résilié","",IF(R147="En retard","Paiement en retard",IF(AND(V147&lt;&gt;"",N(V147)&lt;='Paramètres'!$B$30,N(V147)&gt;=0),"Renouvellement dans "&amp;V147&amp;" j",IF(AND(AA147="Non",TODAY()-N(L147)&gt;='Paramètres'!$B$29),"Demander un avis Google",IF(Z147&lt;1,"Onboarding à terminer",""))))))</f>
        <v/>
      </c>
      <c r="E147" s="60">
        <f>IF(B147="","",INDEX('Prospects'!$J$5:$J$504,MATCH(B147,'Prospects'!$C$5:$C$504,0))&amp;"")</f>
        <v/>
      </c>
      <c r="F147" s="60">
        <f>IF(B147="","",INDEX('Prospects'!$K$5:$K$504,MATCH(B147,'Prospects'!$C$5:$C$504,0))&amp;"")</f>
        <v/>
      </c>
      <c r="G147" s="60">
        <f>IF(B147="","",INDEX('Prospects'!$N$5:$N$504,MATCH(B147,'Prospects'!$C$5:$C$504,0))&amp;"")</f>
        <v/>
      </c>
      <c r="H147" s="60">
        <f>IF(B147="","",INDEX('Prospects'!$S$5:$S$504,MATCH(B147,'Prospects'!$C$5:$C$504,0))&amp;"")</f>
        <v/>
      </c>
      <c r="I147" s="60">
        <f>IF(B147="","",INDEX('Prospects'!$X$5:$X$504,MATCH(B147,'Prospects'!$C$5:$C$504,0))&amp;"")</f>
        <v/>
      </c>
      <c r="J147" s="60">
        <f>IF(B147="","",INDEX('Prospects'!$Y$5:$Y$504,MATCH(B147,'Prospects'!$C$5:$C$504,0))&amp;"")</f>
        <v/>
      </c>
      <c r="K147" s="60">
        <f>IF(B147="","",INDEX('Prospects'!$AN$5:$AN$504,MATCH(B147,'Prospects'!$C$5:$C$504,0))&amp;"")</f>
        <v/>
      </c>
      <c r="L147" s="106">
        <f>IF(B147="","",INDEX('Prospects'!$AT$5:$AT$504,MATCH(B147,'Prospects'!$C$5:$C$504,0)))</f>
        <v/>
      </c>
      <c r="M147" s="62">
        <f>IF(B147="","",SUMIFS('Saisie'!$AW$5:$AW$2004,'Saisie'!$C$5:$C$2004,B147,'Saisie'!$E$5:$E$2004,"Signature"))</f>
        <v/>
      </c>
      <c r="N147" s="62">
        <f>IF(B147="","",SUMIFS('Saisie'!$AW$5:$AW$2004,'Saisie'!$C$5:$C$2004,B147,'Saisie'!$E$5:$E$2004,"Vente additionnelle"))</f>
        <v/>
      </c>
      <c r="O147" s="62">
        <f>IF(B147="","",M147+N147)</f>
        <v/>
      </c>
      <c r="P147" s="62">
        <f>IF(B147="","",SUMIFS('Saisie'!$AW$5:$AW$2004,'Saisie'!$C$5:$C$2004,B147,'Saisie'!$E$5:$E$2004,"Paiement reçu"))</f>
        <v/>
      </c>
      <c r="Q147" s="62">
        <f>IF(B147="","",MAX(0,O147-P147))</f>
        <v/>
      </c>
      <c r="R147" s="60">
        <f>IF(B147="","",IF(O147=0,"",IF(Q147&lt;=0,"Payé",IF(TODAY()-N(L147)&gt;'Paramètres'!$B$27,"En retard",IF(P147&gt;0,"Partiel","En attente")))))</f>
        <v/>
      </c>
      <c r="S147" s="60">
        <f>IF(B147="","",IFERROR(INDEX('Saisie'!$O$5:$O$2004,_xlfn.MAXIFS('Saisie'!$AS$5:$AS$2004,'Saisie'!$C$5:$C$2004,B147,'Saisie'!$O$5:$O$2004,"&lt;&gt;")-4),""))</f>
        <v/>
      </c>
      <c r="T147" s="62">
        <f>IF(B147="","",N(INDEX('Prospects'!$AO$5:$AO$504,MATCH(B147,'Prospects'!$C$5:$C$504,0))))</f>
        <v/>
      </c>
      <c r="U147" s="106">
        <f>IF(B147="","",IF(L147="","",EDATE(L147,'Paramètres'!$B$33)))</f>
        <v/>
      </c>
      <c r="V147" s="61">
        <f>IF(B147="","",IF(U147="","",U147-TODAY()))</f>
        <v/>
      </c>
      <c r="W147" s="61">
        <f>IF(B147="","",IF(L147="","",INT((TODAY()-L147)/30.44)))</f>
        <v/>
      </c>
      <c r="X147" s="62">
        <f>IF(B147="","",O147+T147*'Paramètres'!$B$34)</f>
        <v/>
      </c>
      <c r="Y147" s="62">
        <f>IF(B147="","",O147-N(IFERROR(INDEX('Paramètres'!$T$6:$T$15,MATCH(K147,'Paramètres'!$Q$6:$Q$15,0)),0)))</f>
        <v/>
      </c>
      <c r="Z147" s="123">
        <f>IF(B147="","",((COUNTIFS('Saisie'!$C$5:$C$2004,B147,'Saisie'!$E$5:$E$2004,"Onboarding - Contrat")&gt;0)+(COUNTIFS('Saisie'!$C$5:$C$2004,B147,'Saisie'!$E$5:$E$2004,"Onboarding - Accès")&gt;0)+(COUNTIFS('Saisie'!$C$5:$C$2004,B147,'Saisie'!$E$5:$E$2004,"Onboarding - Contenus")&gt;0)+(COUNTIFS('Saisie'!$C$5:$C$2004,B147,'Saisie'!$E$5:$E$2004,"Onboarding - Lancement")&gt;0))/4)</f>
        <v/>
      </c>
      <c r="AA147" s="60">
        <f>IF(B147="","",IF(COUNTIFS('Saisie'!$C$5:$C$2004,B147,'Saisie'!$E$5:$E$2004,"Demande d'avis Google")&gt;0,"Oui","Non"))</f>
        <v/>
      </c>
      <c r="AB147" s="61">
        <f>IF(B147="","",IFERROR(INDEX('Saisie'!$N$5:$N$2004,_xlfn.MAXIFS('Saisie'!$AS$5:$AS$2004,'Saisie'!$C$5:$C$2004,B147,'Saisie'!$E$5:$E$2004,"Satisfaction client")-4)&amp;"",""))</f>
        <v/>
      </c>
      <c r="AC147" s="106">
        <f>IF(B147="","",IFERROR(1/(1/_xlfn.MAXIFS('Saisie'!$A$5:$A$2004,'Saisie'!$C$5:$C$2004,B147,'Saisie'!$E$5:$E$2004,"Résiliation")),""))</f>
        <v/>
      </c>
      <c r="AD147" s="60">
        <f>IF(D147&lt;&gt;"",MAX($AD$4:AD146)+1,"")</f>
        <v/>
      </c>
    </row>
    <row r="148">
      <c r="A148" s="60">
        <f>IF(B148="","","C-"&amp;TEXT(144,"000"))</f>
        <v/>
      </c>
      <c r="B148" s="60">
        <f>IFERROR(INDEX('Prospects'!$C$5:$C$504,MATCH(144,'Prospects'!$BX$5:$BX$504,0)),"")</f>
        <v/>
      </c>
      <c r="C148" s="60">
        <f>IF(B148="","",IF(AC148&lt;&gt;"","Résilié","Actif"))</f>
        <v/>
      </c>
      <c r="D148" s="60">
        <f>IF(B148="","",IF(C148="Résilié","",IF(R148="En retard","Paiement en retard",IF(AND(V148&lt;&gt;"",N(V148)&lt;='Paramètres'!$B$30,N(V148)&gt;=0),"Renouvellement dans "&amp;V148&amp;" j",IF(AND(AA148="Non",TODAY()-N(L148)&gt;='Paramètres'!$B$29),"Demander un avis Google",IF(Z148&lt;1,"Onboarding à terminer",""))))))</f>
        <v/>
      </c>
      <c r="E148" s="60">
        <f>IF(B148="","",INDEX('Prospects'!$J$5:$J$504,MATCH(B148,'Prospects'!$C$5:$C$504,0))&amp;"")</f>
        <v/>
      </c>
      <c r="F148" s="60">
        <f>IF(B148="","",INDEX('Prospects'!$K$5:$K$504,MATCH(B148,'Prospects'!$C$5:$C$504,0))&amp;"")</f>
        <v/>
      </c>
      <c r="G148" s="60">
        <f>IF(B148="","",INDEX('Prospects'!$N$5:$N$504,MATCH(B148,'Prospects'!$C$5:$C$504,0))&amp;"")</f>
        <v/>
      </c>
      <c r="H148" s="60">
        <f>IF(B148="","",INDEX('Prospects'!$S$5:$S$504,MATCH(B148,'Prospects'!$C$5:$C$504,0))&amp;"")</f>
        <v/>
      </c>
      <c r="I148" s="60">
        <f>IF(B148="","",INDEX('Prospects'!$X$5:$X$504,MATCH(B148,'Prospects'!$C$5:$C$504,0))&amp;"")</f>
        <v/>
      </c>
      <c r="J148" s="60">
        <f>IF(B148="","",INDEX('Prospects'!$Y$5:$Y$504,MATCH(B148,'Prospects'!$C$5:$C$504,0))&amp;"")</f>
        <v/>
      </c>
      <c r="K148" s="60">
        <f>IF(B148="","",INDEX('Prospects'!$AN$5:$AN$504,MATCH(B148,'Prospects'!$C$5:$C$504,0))&amp;"")</f>
        <v/>
      </c>
      <c r="L148" s="106">
        <f>IF(B148="","",INDEX('Prospects'!$AT$5:$AT$504,MATCH(B148,'Prospects'!$C$5:$C$504,0)))</f>
        <v/>
      </c>
      <c r="M148" s="62">
        <f>IF(B148="","",SUMIFS('Saisie'!$AW$5:$AW$2004,'Saisie'!$C$5:$C$2004,B148,'Saisie'!$E$5:$E$2004,"Signature"))</f>
        <v/>
      </c>
      <c r="N148" s="62">
        <f>IF(B148="","",SUMIFS('Saisie'!$AW$5:$AW$2004,'Saisie'!$C$5:$C$2004,B148,'Saisie'!$E$5:$E$2004,"Vente additionnelle"))</f>
        <v/>
      </c>
      <c r="O148" s="62">
        <f>IF(B148="","",M148+N148)</f>
        <v/>
      </c>
      <c r="P148" s="62">
        <f>IF(B148="","",SUMIFS('Saisie'!$AW$5:$AW$2004,'Saisie'!$C$5:$C$2004,B148,'Saisie'!$E$5:$E$2004,"Paiement reçu"))</f>
        <v/>
      </c>
      <c r="Q148" s="62">
        <f>IF(B148="","",MAX(0,O148-P148))</f>
        <v/>
      </c>
      <c r="R148" s="60">
        <f>IF(B148="","",IF(O148=0,"",IF(Q148&lt;=0,"Payé",IF(TODAY()-N(L148)&gt;'Paramètres'!$B$27,"En retard",IF(P148&gt;0,"Partiel","En attente")))))</f>
        <v/>
      </c>
      <c r="S148" s="60">
        <f>IF(B148="","",IFERROR(INDEX('Saisie'!$O$5:$O$2004,_xlfn.MAXIFS('Saisie'!$AS$5:$AS$2004,'Saisie'!$C$5:$C$2004,B148,'Saisie'!$O$5:$O$2004,"&lt;&gt;")-4),""))</f>
        <v/>
      </c>
      <c r="T148" s="62">
        <f>IF(B148="","",N(INDEX('Prospects'!$AO$5:$AO$504,MATCH(B148,'Prospects'!$C$5:$C$504,0))))</f>
        <v/>
      </c>
      <c r="U148" s="106">
        <f>IF(B148="","",IF(L148="","",EDATE(L148,'Paramètres'!$B$33)))</f>
        <v/>
      </c>
      <c r="V148" s="61">
        <f>IF(B148="","",IF(U148="","",U148-TODAY()))</f>
        <v/>
      </c>
      <c r="W148" s="61">
        <f>IF(B148="","",IF(L148="","",INT((TODAY()-L148)/30.44)))</f>
        <v/>
      </c>
      <c r="X148" s="62">
        <f>IF(B148="","",O148+T148*'Paramètres'!$B$34)</f>
        <v/>
      </c>
      <c r="Y148" s="62">
        <f>IF(B148="","",O148-N(IFERROR(INDEX('Paramètres'!$T$6:$T$15,MATCH(K148,'Paramètres'!$Q$6:$Q$15,0)),0)))</f>
        <v/>
      </c>
      <c r="Z148" s="123">
        <f>IF(B148="","",((COUNTIFS('Saisie'!$C$5:$C$2004,B148,'Saisie'!$E$5:$E$2004,"Onboarding - Contrat")&gt;0)+(COUNTIFS('Saisie'!$C$5:$C$2004,B148,'Saisie'!$E$5:$E$2004,"Onboarding - Accès")&gt;0)+(COUNTIFS('Saisie'!$C$5:$C$2004,B148,'Saisie'!$E$5:$E$2004,"Onboarding - Contenus")&gt;0)+(COUNTIFS('Saisie'!$C$5:$C$2004,B148,'Saisie'!$E$5:$E$2004,"Onboarding - Lancement")&gt;0))/4)</f>
        <v/>
      </c>
      <c r="AA148" s="60">
        <f>IF(B148="","",IF(COUNTIFS('Saisie'!$C$5:$C$2004,B148,'Saisie'!$E$5:$E$2004,"Demande d'avis Google")&gt;0,"Oui","Non"))</f>
        <v/>
      </c>
      <c r="AB148" s="61">
        <f>IF(B148="","",IFERROR(INDEX('Saisie'!$N$5:$N$2004,_xlfn.MAXIFS('Saisie'!$AS$5:$AS$2004,'Saisie'!$C$5:$C$2004,B148,'Saisie'!$E$5:$E$2004,"Satisfaction client")-4)&amp;"",""))</f>
        <v/>
      </c>
      <c r="AC148" s="106">
        <f>IF(B148="","",IFERROR(1/(1/_xlfn.MAXIFS('Saisie'!$A$5:$A$2004,'Saisie'!$C$5:$C$2004,B148,'Saisie'!$E$5:$E$2004,"Résiliation")),""))</f>
        <v/>
      </c>
      <c r="AD148" s="60">
        <f>IF(D148&lt;&gt;"",MAX($AD$4:AD147)+1,"")</f>
        <v/>
      </c>
    </row>
    <row r="149">
      <c r="A149" s="60">
        <f>IF(B149="","","C-"&amp;TEXT(145,"000"))</f>
        <v/>
      </c>
      <c r="B149" s="60">
        <f>IFERROR(INDEX('Prospects'!$C$5:$C$504,MATCH(145,'Prospects'!$BX$5:$BX$504,0)),"")</f>
        <v/>
      </c>
      <c r="C149" s="60">
        <f>IF(B149="","",IF(AC149&lt;&gt;"","Résilié","Actif"))</f>
        <v/>
      </c>
      <c r="D149" s="60">
        <f>IF(B149="","",IF(C149="Résilié","",IF(R149="En retard","Paiement en retard",IF(AND(V149&lt;&gt;"",N(V149)&lt;='Paramètres'!$B$30,N(V149)&gt;=0),"Renouvellement dans "&amp;V149&amp;" j",IF(AND(AA149="Non",TODAY()-N(L149)&gt;='Paramètres'!$B$29),"Demander un avis Google",IF(Z149&lt;1,"Onboarding à terminer",""))))))</f>
        <v/>
      </c>
      <c r="E149" s="60">
        <f>IF(B149="","",INDEX('Prospects'!$J$5:$J$504,MATCH(B149,'Prospects'!$C$5:$C$504,0))&amp;"")</f>
        <v/>
      </c>
      <c r="F149" s="60">
        <f>IF(B149="","",INDEX('Prospects'!$K$5:$K$504,MATCH(B149,'Prospects'!$C$5:$C$504,0))&amp;"")</f>
        <v/>
      </c>
      <c r="G149" s="60">
        <f>IF(B149="","",INDEX('Prospects'!$N$5:$N$504,MATCH(B149,'Prospects'!$C$5:$C$504,0))&amp;"")</f>
        <v/>
      </c>
      <c r="H149" s="60">
        <f>IF(B149="","",INDEX('Prospects'!$S$5:$S$504,MATCH(B149,'Prospects'!$C$5:$C$504,0))&amp;"")</f>
        <v/>
      </c>
      <c r="I149" s="60">
        <f>IF(B149="","",INDEX('Prospects'!$X$5:$X$504,MATCH(B149,'Prospects'!$C$5:$C$504,0))&amp;"")</f>
        <v/>
      </c>
      <c r="J149" s="60">
        <f>IF(B149="","",INDEX('Prospects'!$Y$5:$Y$504,MATCH(B149,'Prospects'!$C$5:$C$504,0))&amp;"")</f>
        <v/>
      </c>
      <c r="K149" s="60">
        <f>IF(B149="","",INDEX('Prospects'!$AN$5:$AN$504,MATCH(B149,'Prospects'!$C$5:$C$504,0))&amp;"")</f>
        <v/>
      </c>
      <c r="L149" s="106">
        <f>IF(B149="","",INDEX('Prospects'!$AT$5:$AT$504,MATCH(B149,'Prospects'!$C$5:$C$504,0)))</f>
        <v/>
      </c>
      <c r="M149" s="62">
        <f>IF(B149="","",SUMIFS('Saisie'!$AW$5:$AW$2004,'Saisie'!$C$5:$C$2004,B149,'Saisie'!$E$5:$E$2004,"Signature"))</f>
        <v/>
      </c>
      <c r="N149" s="62">
        <f>IF(B149="","",SUMIFS('Saisie'!$AW$5:$AW$2004,'Saisie'!$C$5:$C$2004,B149,'Saisie'!$E$5:$E$2004,"Vente additionnelle"))</f>
        <v/>
      </c>
      <c r="O149" s="62">
        <f>IF(B149="","",M149+N149)</f>
        <v/>
      </c>
      <c r="P149" s="62">
        <f>IF(B149="","",SUMIFS('Saisie'!$AW$5:$AW$2004,'Saisie'!$C$5:$C$2004,B149,'Saisie'!$E$5:$E$2004,"Paiement reçu"))</f>
        <v/>
      </c>
      <c r="Q149" s="62">
        <f>IF(B149="","",MAX(0,O149-P149))</f>
        <v/>
      </c>
      <c r="R149" s="60">
        <f>IF(B149="","",IF(O149=0,"",IF(Q149&lt;=0,"Payé",IF(TODAY()-N(L149)&gt;'Paramètres'!$B$27,"En retard",IF(P149&gt;0,"Partiel","En attente")))))</f>
        <v/>
      </c>
      <c r="S149" s="60">
        <f>IF(B149="","",IFERROR(INDEX('Saisie'!$O$5:$O$2004,_xlfn.MAXIFS('Saisie'!$AS$5:$AS$2004,'Saisie'!$C$5:$C$2004,B149,'Saisie'!$O$5:$O$2004,"&lt;&gt;")-4),""))</f>
        <v/>
      </c>
      <c r="T149" s="62">
        <f>IF(B149="","",N(INDEX('Prospects'!$AO$5:$AO$504,MATCH(B149,'Prospects'!$C$5:$C$504,0))))</f>
        <v/>
      </c>
      <c r="U149" s="106">
        <f>IF(B149="","",IF(L149="","",EDATE(L149,'Paramètres'!$B$33)))</f>
        <v/>
      </c>
      <c r="V149" s="61">
        <f>IF(B149="","",IF(U149="","",U149-TODAY()))</f>
        <v/>
      </c>
      <c r="W149" s="61">
        <f>IF(B149="","",IF(L149="","",INT((TODAY()-L149)/30.44)))</f>
        <v/>
      </c>
      <c r="X149" s="62">
        <f>IF(B149="","",O149+T149*'Paramètres'!$B$34)</f>
        <v/>
      </c>
      <c r="Y149" s="62">
        <f>IF(B149="","",O149-N(IFERROR(INDEX('Paramètres'!$T$6:$T$15,MATCH(K149,'Paramètres'!$Q$6:$Q$15,0)),0)))</f>
        <v/>
      </c>
      <c r="Z149" s="123">
        <f>IF(B149="","",((COUNTIFS('Saisie'!$C$5:$C$2004,B149,'Saisie'!$E$5:$E$2004,"Onboarding - Contrat")&gt;0)+(COUNTIFS('Saisie'!$C$5:$C$2004,B149,'Saisie'!$E$5:$E$2004,"Onboarding - Accès")&gt;0)+(COUNTIFS('Saisie'!$C$5:$C$2004,B149,'Saisie'!$E$5:$E$2004,"Onboarding - Contenus")&gt;0)+(COUNTIFS('Saisie'!$C$5:$C$2004,B149,'Saisie'!$E$5:$E$2004,"Onboarding - Lancement")&gt;0))/4)</f>
        <v/>
      </c>
      <c r="AA149" s="60">
        <f>IF(B149="","",IF(COUNTIFS('Saisie'!$C$5:$C$2004,B149,'Saisie'!$E$5:$E$2004,"Demande d'avis Google")&gt;0,"Oui","Non"))</f>
        <v/>
      </c>
      <c r="AB149" s="61">
        <f>IF(B149="","",IFERROR(INDEX('Saisie'!$N$5:$N$2004,_xlfn.MAXIFS('Saisie'!$AS$5:$AS$2004,'Saisie'!$C$5:$C$2004,B149,'Saisie'!$E$5:$E$2004,"Satisfaction client")-4)&amp;"",""))</f>
        <v/>
      </c>
      <c r="AC149" s="106">
        <f>IF(B149="","",IFERROR(1/(1/_xlfn.MAXIFS('Saisie'!$A$5:$A$2004,'Saisie'!$C$5:$C$2004,B149,'Saisie'!$E$5:$E$2004,"Résiliation")),""))</f>
        <v/>
      </c>
      <c r="AD149" s="60">
        <f>IF(D149&lt;&gt;"",MAX($AD$4:AD148)+1,"")</f>
        <v/>
      </c>
    </row>
    <row r="150">
      <c r="A150" s="60">
        <f>IF(B150="","","C-"&amp;TEXT(146,"000"))</f>
        <v/>
      </c>
      <c r="B150" s="60">
        <f>IFERROR(INDEX('Prospects'!$C$5:$C$504,MATCH(146,'Prospects'!$BX$5:$BX$504,0)),"")</f>
        <v/>
      </c>
      <c r="C150" s="60">
        <f>IF(B150="","",IF(AC150&lt;&gt;"","Résilié","Actif"))</f>
        <v/>
      </c>
      <c r="D150" s="60">
        <f>IF(B150="","",IF(C150="Résilié","",IF(R150="En retard","Paiement en retard",IF(AND(V150&lt;&gt;"",N(V150)&lt;='Paramètres'!$B$30,N(V150)&gt;=0),"Renouvellement dans "&amp;V150&amp;" j",IF(AND(AA150="Non",TODAY()-N(L150)&gt;='Paramètres'!$B$29),"Demander un avis Google",IF(Z150&lt;1,"Onboarding à terminer",""))))))</f>
        <v/>
      </c>
      <c r="E150" s="60">
        <f>IF(B150="","",INDEX('Prospects'!$J$5:$J$504,MATCH(B150,'Prospects'!$C$5:$C$504,0))&amp;"")</f>
        <v/>
      </c>
      <c r="F150" s="60">
        <f>IF(B150="","",INDEX('Prospects'!$K$5:$K$504,MATCH(B150,'Prospects'!$C$5:$C$504,0))&amp;"")</f>
        <v/>
      </c>
      <c r="G150" s="60">
        <f>IF(B150="","",INDEX('Prospects'!$N$5:$N$504,MATCH(B150,'Prospects'!$C$5:$C$504,0))&amp;"")</f>
        <v/>
      </c>
      <c r="H150" s="60">
        <f>IF(B150="","",INDEX('Prospects'!$S$5:$S$504,MATCH(B150,'Prospects'!$C$5:$C$504,0))&amp;"")</f>
        <v/>
      </c>
      <c r="I150" s="60">
        <f>IF(B150="","",INDEX('Prospects'!$X$5:$X$504,MATCH(B150,'Prospects'!$C$5:$C$504,0))&amp;"")</f>
        <v/>
      </c>
      <c r="J150" s="60">
        <f>IF(B150="","",INDEX('Prospects'!$Y$5:$Y$504,MATCH(B150,'Prospects'!$C$5:$C$504,0))&amp;"")</f>
        <v/>
      </c>
      <c r="K150" s="60">
        <f>IF(B150="","",INDEX('Prospects'!$AN$5:$AN$504,MATCH(B150,'Prospects'!$C$5:$C$504,0))&amp;"")</f>
        <v/>
      </c>
      <c r="L150" s="106">
        <f>IF(B150="","",INDEX('Prospects'!$AT$5:$AT$504,MATCH(B150,'Prospects'!$C$5:$C$504,0)))</f>
        <v/>
      </c>
      <c r="M150" s="62">
        <f>IF(B150="","",SUMIFS('Saisie'!$AW$5:$AW$2004,'Saisie'!$C$5:$C$2004,B150,'Saisie'!$E$5:$E$2004,"Signature"))</f>
        <v/>
      </c>
      <c r="N150" s="62">
        <f>IF(B150="","",SUMIFS('Saisie'!$AW$5:$AW$2004,'Saisie'!$C$5:$C$2004,B150,'Saisie'!$E$5:$E$2004,"Vente additionnelle"))</f>
        <v/>
      </c>
      <c r="O150" s="62">
        <f>IF(B150="","",M150+N150)</f>
        <v/>
      </c>
      <c r="P150" s="62">
        <f>IF(B150="","",SUMIFS('Saisie'!$AW$5:$AW$2004,'Saisie'!$C$5:$C$2004,B150,'Saisie'!$E$5:$E$2004,"Paiement reçu"))</f>
        <v/>
      </c>
      <c r="Q150" s="62">
        <f>IF(B150="","",MAX(0,O150-P150))</f>
        <v/>
      </c>
      <c r="R150" s="60">
        <f>IF(B150="","",IF(O150=0,"",IF(Q150&lt;=0,"Payé",IF(TODAY()-N(L150)&gt;'Paramètres'!$B$27,"En retard",IF(P150&gt;0,"Partiel","En attente")))))</f>
        <v/>
      </c>
      <c r="S150" s="60">
        <f>IF(B150="","",IFERROR(INDEX('Saisie'!$O$5:$O$2004,_xlfn.MAXIFS('Saisie'!$AS$5:$AS$2004,'Saisie'!$C$5:$C$2004,B150,'Saisie'!$O$5:$O$2004,"&lt;&gt;")-4),""))</f>
        <v/>
      </c>
      <c r="T150" s="62">
        <f>IF(B150="","",N(INDEX('Prospects'!$AO$5:$AO$504,MATCH(B150,'Prospects'!$C$5:$C$504,0))))</f>
        <v/>
      </c>
      <c r="U150" s="106">
        <f>IF(B150="","",IF(L150="","",EDATE(L150,'Paramètres'!$B$33)))</f>
        <v/>
      </c>
      <c r="V150" s="61">
        <f>IF(B150="","",IF(U150="","",U150-TODAY()))</f>
        <v/>
      </c>
      <c r="W150" s="61">
        <f>IF(B150="","",IF(L150="","",INT((TODAY()-L150)/30.44)))</f>
        <v/>
      </c>
      <c r="X150" s="62">
        <f>IF(B150="","",O150+T150*'Paramètres'!$B$34)</f>
        <v/>
      </c>
      <c r="Y150" s="62">
        <f>IF(B150="","",O150-N(IFERROR(INDEX('Paramètres'!$T$6:$T$15,MATCH(K150,'Paramètres'!$Q$6:$Q$15,0)),0)))</f>
        <v/>
      </c>
      <c r="Z150" s="123">
        <f>IF(B150="","",((COUNTIFS('Saisie'!$C$5:$C$2004,B150,'Saisie'!$E$5:$E$2004,"Onboarding - Contrat")&gt;0)+(COUNTIFS('Saisie'!$C$5:$C$2004,B150,'Saisie'!$E$5:$E$2004,"Onboarding - Accès")&gt;0)+(COUNTIFS('Saisie'!$C$5:$C$2004,B150,'Saisie'!$E$5:$E$2004,"Onboarding - Contenus")&gt;0)+(COUNTIFS('Saisie'!$C$5:$C$2004,B150,'Saisie'!$E$5:$E$2004,"Onboarding - Lancement")&gt;0))/4)</f>
        <v/>
      </c>
      <c r="AA150" s="60">
        <f>IF(B150="","",IF(COUNTIFS('Saisie'!$C$5:$C$2004,B150,'Saisie'!$E$5:$E$2004,"Demande d'avis Google")&gt;0,"Oui","Non"))</f>
        <v/>
      </c>
      <c r="AB150" s="61">
        <f>IF(B150="","",IFERROR(INDEX('Saisie'!$N$5:$N$2004,_xlfn.MAXIFS('Saisie'!$AS$5:$AS$2004,'Saisie'!$C$5:$C$2004,B150,'Saisie'!$E$5:$E$2004,"Satisfaction client")-4)&amp;"",""))</f>
        <v/>
      </c>
      <c r="AC150" s="106">
        <f>IF(B150="","",IFERROR(1/(1/_xlfn.MAXIFS('Saisie'!$A$5:$A$2004,'Saisie'!$C$5:$C$2004,B150,'Saisie'!$E$5:$E$2004,"Résiliation")),""))</f>
        <v/>
      </c>
      <c r="AD150" s="60">
        <f>IF(D150&lt;&gt;"",MAX($AD$4:AD149)+1,"")</f>
        <v/>
      </c>
    </row>
    <row r="151">
      <c r="A151" s="60">
        <f>IF(B151="","","C-"&amp;TEXT(147,"000"))</f>
        <v/>
      </c>
      <c r="B151" s="60">
        <f>IFERROR(INDEX('Prospects'!$C$5:$C$504,MATCH(147,'Prospects'!$BX$5:$BX$504,0)),"")</f>
        <v/>
      </c>
      <c r="C151" s="60">
        <f>IF(B151="","",IF(AC151&lt;&gt;"","Résilié","Actif"))</f>
        <v/>
      </c>
      <c r="D151" s="60">
        <f>IF(B151="","",IF(C151="Résilié","",IF(R151="En retard","Paiement en retard",IF(AND(V151&lt;&gt;"",N(V151)&lt;='Paramètres'!$B$30,N(V151)&gt;=0),"Renouvellement dans "&amp;V151&amp;" j",IF(AND(AA151="Non",TODAY()-N(L151)&gt;='Paramètres'!$B$29),"Demander un avis Google",IF(Z151&lt;1,"Onboarding à terminer",""))))))</f>
        <v/>
      </c>
      <c r="E151" s="60">
        <f>IF(B151="","",INDEX('Prospects'!$J$5:$J$504,MATCH(B151,'Prospects'!$C$5:$C$504,0))&amp;"")</f>
        <v/>
      </c>
      <c r="F151" s="60">
        <f>IF(B151="","",INDEX('Prospects'!$K$5:$K$504,MATCH(B151,'Prospects'!$C$5:$C$504,0))&amp;"")</f>
        <v/>
      </c>
      <c r="G151" s="60">
        <f>IF(B151="","",INDEX('Prospects'!$N$5:$N$504,MATCH(B151,'Prospects'!$C$5:$C$504,0))&amp;"")</f>
        <v/>
      </c>
      <c r="H151" s="60">
        <f>IF(B151="","",INDEX('Prospects'!$S$5:$S$504,MATCH(B151,'Prospects'!$C$5:$C$504,0))&amp;"")</f>
        <v/>
      </c>
      <c r="I151" s="60">
        <f>IF(B151="","",INDEX('Prospects'!$X$5:$X$504,MATCH(B151,'Prospects'!$C$5:$C$504,0))&amp;"")</f>
        <v/>
      </c>
      <c r="J151" s="60">
        <f>IF(B151="","",INDEX('Prospects'!$Y$5:$Y$504,MATCH(B151,'Prospects'!$C$5:$C$504,0))&amp;"")</f>
        <v/>
      </c>
      <c r="K151" s="60">
        <f>IF(B151="","",INDEX('Prospects'!$AN$5:$AN$504,MATCH(B151,'Prospects'!$C$5:$C$504,0))&amp;"")</f>
        <v/>
      </c>
      <c r="L151" s="106">
        <f>IF(B151="","",INDEX('Prospects'!$AT$5:$AT$504,MATCH(B151,'Prospects'!$C$5:$C$504,0)))</f>
        <v/>
      </c>
      <c r="M151" s="62">
        <f>IF(B151="","",SUMIFS('Saisie'!$AW$5:$AW$2004,'Saisie'!$C$5:$C$2004,B151,'Saisie'!$E$5:$E$2004,"Signature"))</f>
        <v/>
      </c>
      <c r="N151" s="62">
        <f>IF(B151="","",SUMIFS('Saisie'!$AW$5:$AW$2004,'Saisie'!$C$5:$C$2004,B151,'Saisie'!$E$5:$E$2004,"Vente additionnelle"))</f>
        <v/>
      </c>
      <c r="O151" s="62">
        <f>IF(B151="","",M151+N151)</f>
        <v/>
      </c>
      <c r="P151" s="62">
        <f>IF(B151="","",SUMIFS('Saisie'!$AW$5:$AW$2004,'Saisie'!$C$5:$C$2004,B151,'Saisie'!$E$5:$E$2004,"Paiement reçu"))</f>
        <v/>
      </c>
      <c r="Q151" s="62">
        <f>IF(B151="","",MAX(0,O151-P151))</f>
        <v/>
      </c>
      <c r="R151" s="60">
        <f>IF(B151="","",IF(O151=0,"",IF(Q151&lt;=0,"Payé",IF(TODAY()-N(L151)&gt;'Paramètres'!$B$27,"En retard",IF(P151&gt;0,"Partiel","En attente")))))</f>
        <v/>
      </c>
      <c r="S151" s="60">
        <f>IF(B151="","",IFERROR(INDEX('Saisie'!$O$5:$O$2004,_xlfn.MAXIFS('Saisie'!$AS$5:$AS$2004,'Saisie'!$C$5:$C$2004,B151,'Saisie'!$O$5:$O$2004,"&lt;&gt;")-4),""))</f>
        <v/>
      </c>
      <c r="T151" s="62">
        <f>IF(B151="","",N(INDEX('Prospects'!$AO$5:$AO$504,MATCH(B151,'Prospects'!$C$5:$C$504,0))))</f>
        <v/>
      </c>
      <c r="U151" s="106">
        <f>IF(B151="","",IF(L151="","",EDATE(L151,'Paramètres'!$B$33)))</f>
        <v/>
      </c>
      <c r="V151" s="61">
        <f>IF(B151="","",IF(U151="","",U151-TODAY()))</f>
        <v/>
      </c>
      <c r="W151" s="61">
        <f>IF(B151="","",IF(L151="","",INT((TODAY()-L151)/30.44)))</f>
        <v/>
      </c>
      <c r="X151" s="62">
        <f>IF(B151="","",O151+T151*'Paramètres'!$B$34)</f>
        <v/>
      </c>
      <c r="Y151" s="62">
        <f>IF(B151="","",O151-N(IFERROR(INDEX('Paramètres'!$T$6:$T$15,MATCH(K151,'Paramètres'!$Q$6:$Q$15,0)),0)))</f>
        <v/>
      </c>
      <c r="Z151" s="123">
        <f>IF(B151="","",((COUNTIFS('Saisie'!$C$5:$C$2004,B151,'Saisie'!$E$5:$E$2004,"Onboarding - Contrat")&gt;0)+(COUNTIFS('Saisie'!$C$5:$C$2004,B151,'Saisie'!$E$5:$E$2004,"Onboarding - Accès")&gt;0)+(COUNTIFS('Saisie'!$C$5:$C$2004,B151,'Saisie'!$E$5:$E$2004,"Onboarding - Contenus")&gt;0)+(COUNTIFS('Saisie'!$C$5:$C$2004,B151,'Saisie'!$E$5:$E$2004,"Onboarding - Lancement")&gt;0))/4)</f>
        <v/>
      </c>
      <c r="AA151" s="60">
        <f>IF(B151="","",IF(COUNTIFS('Saisie'!$C$5:$C$2004,B151,'Saisie'!$E$5:$E$2004,"Demande d'avis Google")&gt;0,"Oui","Non"))</f>
        <v/>
      </c>
      <c r="AB151" s="61">
        <f>IF(B151="","",IFERROR(INDEX('Saisie'!$N$5:$N$2004,_xlfn.MAXIFS('Saisie'!$AS$5:$AS$2004,'Saisie'!$C$5:$C$2004,B151,'Saisie'!$E$5:$E$2004,"Satisfaction client")-4)&amp;"",""))</f>
        <v/>
      </c>
      <c r="AC151" s="106">
        <f>IF(B151="","",IFERROR(1/(1/_xlfn.MAXIFS('Saisie'!$A$5:$A$2004,'Saisie'!$C$5:$C$2004,B151,'Saisie'!$E$5:$E$2004,"Résiliation")),""))</f>
        <v/>
      </c>
      <c r="AD151" s="60">
        <f>IF(D151&lt;&gt;"",MAX($AD$4:AD150)+1,"")</f>
        <v/>
      </c>
    </row>
    <row r="152">
      <c r="A152" s="60">
        <f>IF(B152="","","C-"&amp;TEXT(148,"000"))</f>
        <v/>
      </c>
      <c r="B152" s="60">
        <f>IFERROR(INDEX('Prospects'!$C$5:$C$504,MATCH(148,'Prospects'!$BX$5:$BX$504,0)),"")</f>
        <v/>
      </c>
      <c r="C152" s="60">
        <f>IF(B152="","",IF(AC152&lt;&gt;"","Résilié","Actif"))</f>
        <v/>
      </c>
      <c r="D152" s="60">
        <f>IF(B152="","",IF(C152="Résilié","",IF(R152="En retard","Paiement en retard",IF(AND(V152&lt;&gt;"",N(V152)&lt;='Paramètres'!$B$30,N(V152)&gt;=0),"Renouvellement dans "&amp;V152&amp;" j",IF(AND(AA152="Non",TODAY()-N(L152)&gt;='Paramètres'!$B$29),"Demander un avis Google",IF(Z152&lt;1,"Onboarding à terminer",""))))))</f>
        <v/>
      </c>
      <c r="E152" s="60">
        <f>IF(B152="","",INDEX('Prospects'!$J$5:$J$504,MATCH(B152,'Prospects'!$C$5:$C$504,0))&amp;"")</f>
        <v/>
      </c>
      <c r="F152" s="60">
        <f>IF(B152="","",INDEX('Prospects'!$K$5:$K$504,MATCH(B152,'Prospects'!$C$5:$C$504,0))&amp;"")</f>
        <v/>
      </c>
      <c r="G152" s="60">
        <f>IF(B152="","",INDEX('Prospects'!$N$5:$N$504,MATCH(B152,'Prospects'!$C$5:$C$504,0))&amp;"")</f>
        <v/>
      </c>
      <c r="H152" s="60">
        <f>IF(B152="","",INDEX('Prospects'!$S$5:$S$504,MATCH(B152,'Prospects'!$C$5:$C$504,0))&amp;"")</f>
        <v/>
      </c>
      <c r="I152" s="60">
        <f>IF(B152="","",INDEX('Prospects'!$X$5:$X$504,MATCH(B152,'Prospects'!$C$5:$C$504,0))&amp;"")</f>
        <v/>
      </c>
      <c r="J152" s="60">
        <f>IF(B152="","",INDEX('Prospects'!$Y$5:$Y$504,MATCH(B152,'Prospects'!$C$5:$C$504,0))&amp;"")</f>
        <v/>
      </c>
      <c r="K152" s="60">
        <f>IF(B152="","",INDEX('Prospects'!$AN$5:$AN$504,MATCH(B152,'Prospects'!$C$5:$C$504,0))&amp;"")</f>
        <v/>
      </c>
      <c r="L152" s="106">
        <f>IF(B152="","",INDEX('Prospects'!$AT$5:$AT$504,MATCH(B152,'Prospects'!$C$5:$C$504,0)))</f>
        <v/>
      </c>
      <c r="M152" s="62">
        <f>IF(B152="","",SUMIFS('Saisie'!$AW$5:$AW$2004,'Saisie'!$C$5:$C$2004,B152,'Saisie'!$E$5:$E$2004,"Signature"))</f>
        <v/>
      </c>
      <c r="N152" s="62">
        <f>IF(B152="","",SUMIFS('Saisie'!$AW$5:$AW$2004,'Saisie'!$C$5:$C$2004,B152,'Saisie'!$E$5:$E$2004,"Vente additionnelle"))</f>
        <v/>
      </c>
      <c r="O152" s="62">
        <f>IF(B152="","",M152+N152)</f>
        <v/>
      </c>
      <c r="P152" s="62">
        <f>IF(B152="","",SUMIFS('Saisie'!$AW$5:$AW$2004,'Saisie'!$C$5:$C$2004,B152,'Saisie'!$E$5:$E$2004,"Paiement reçu"))</f>
        <v/>
      </c>
      <c r="Q152" s="62">
        <f>IF(B152="","",MAX(0,O152-P152))</f>
        <v/>
      </c>
      <c r="R152" s="60">
        <f>IF(B152="","",IF(O152=0,"",IF(Q152&lt;=0,"Payé",IF(TODAY()-N(L152)&gt;'Paramètres'!$B$27,"En retard",IF(P152&gt;0,"Partiel","En attente")))))</f>
        <v/>
      </c>
      <c r="S152" s="60">
        <f>IF(B152="","",IFERROR(INDEX('Saisie'!$O$5:$O$2004,_xlfn.MAXIFS('Saisie'!$AS$5:$AS$2004,'Saisie'!$C$5:$C$2004,B152,'Saisie'!$O$5:$O$2004,"&lt;&gt;")-4),""))</f>
        <v/>
      </c>
      <c r="T152" s="62">
        <f>IF(B152="","",N(INDEX('Prospects'!$AO$5:$AO$504,MATCH(B152,'Prospects'!$C$5:$C$504,0))))</f>
        <v/>
      </c>
      <c r="U152" s="106">
        <f>IF(B152="","",IF(L152="","",EDATE(L152,'Paramètres'!$B$33)))</f>
        <v/>
      </c>
      <c r="V152" s="61">
        <f>IF(B152="","",IF(U152="","",U152-TODAY()))</f>
        <v/>
      </c>
      <c r="W152" s="61">
        <f>IF(B152="","",IF(L152="","",INT((TODAY()-L152)/30.44)))</f>
        <v/>
      </c>
      <c r="X152" s="62">
        <f>IF(B152="","",O152+T152*'Paramètres'!$B$34)</f>
        <v/>
      </c>
      <c r="Y152" s="62">
        <f>IF(B152="","",O152-N(IFERROR(INDEX('Paramètres'!$T$6:$T$15,MATCH(K152,'Paramètres'!$Q$6:$Q$15,0)),0)))</f>
        <v/>
      </c>
      <c r="Z152" s="123">
        <f>IF(B152="","",((COUNTIFS('Saisie'!$C$5:$C$2004,B152,'Saisie'!$E$5:$E$2004,"Onboarding - Contrat")&gt;0)+(COUNTIFS('Saisie'!$C$5:$C$2004,B152,'Saisie'!$E$5:$E$2004,"Onboarding - Accès")&gt;0)+(COUNTIFS('Saisie'!$C$5:$C$2004,B152,'Saisie'!$E$5:$E$2004,"Onboarding - Contenus")&gt;0)+(COUNTIFS('Saisie'!$C$5:$C$2004,B152,'Saisie'!$E$5:$E$2004,"Onboarding - Lancement")&gt;0))/4)</f>
        <v/>
      </c>
      <c r="AA152" s="60">
        <f>IF(B152="","",IF(COUNTIFS('Saisie'!$C$5:$C$2004,B152,'Saisie'!$E$5:$E$2004,"Demande d'avis Google")&gt;0,"Oui","Non"))</f>
        <v/>
      </c>
      <c r="AB152" s="61">
        <f>IF(B152="","",IFERROR(INDEX('Saisie'!$N$5:$N$2004,_xlfn.MAXIFS('Saisie'!$AS$5:$AS$2004,'Saisie'!$C$5:$C$2004,B152,'Saisie'!$E$5:$E$2004,"Satisfaction client")-4)&amp;"",""))</f>
        <v/>
      </c>
      <c r="AC152" s="106">
        <f>IF(B152="","",IFERROR(1/(1/_xlfn.MAXIFS('Saisie'!$A$5:$A$2004,'Saisie'!$C$5:$C$2004,B152,'Saisie'!$E$5:$E$2004,"Résiliation")),""))</f>
        <v/>
      </c>
      <c r="AD152" s="60">
        <f>IF(D152&lt;&gt;"",MAX($AD$4:AD151)+1,"")</f>
        <v/>
      </c>
    </row>
    <row r="153">
      <c r="A153" s="60">
        <f>IF(B153="","","C-"&amp;TEXT(149,"000"))</f>
        <v/>
      </c>
      <c r="B153" s="60">
        <f>IFERROR(INDEX('Prospects'!$C$5:$C$504,MATCH(149,'Prospects'!$BX$5:$BX$504,0)),"")</f>
        <v/>
      </c>
      <c r="C153" s="60">
        <f>IF(B153="","",IF(AC153&lt;&gt;"","Résilié","Actif"))</f>
        <v/>
      </c>
      <c r="D153" s="60">
        <f>IF(B153="","",IF(C153="Résilié","",IF(R153="En retard","Paiement en retard",IF(AND(V153&lt;&gt;"",N(V153)&lt;='Paramètres'!$B$30,N(V153)&gt;=0),"Renouvellement dans "&amp;V153&amp;" j",IF(AND(AA153="Non",TODAY()-N(L153)&gt;='Paramètres'!$B$29),"Demander un avis Google",IF(Z153&lt;1,"Onboarding à terminer",""))))))</f>
        <v/>
      </c>
      <c r="E153" s="60">
        <f>IF(B153="","",INDEX('Prospects'!$J$5:$J$504,MATCH(B153,'Prospects'!$C$5:$C$504,0))&amp;"")</f>
        <v/>
      </c>
      <c r="F153" s="60">
        <f>IF(B153="","",INDEX('Prospects'!$K$5:$K$504,MATCH(B153,'Prospects'!$C$5:$C$504,0))&amp;"")</f>
        <v/>
      </c>
      <c r="G153" s="60">
        <f>IF(B153="","",INDEX('Prospects'!$N$5:$N$504,MATCH(B153,'Prospects'!$C$5:$C$504,0))&amp;"")</f>
        <v/>
      </c>
      <c r="H153" s="60">
        <f>IF(B153="","",INDEX('Prospects'!$S$5:$S$504,MATCH(B153,'Prospects'!$C$5:$C$504,0))&amp;"")</f>
        <v/>
      </c>
      <c r="I153" s="60">
        <f>IF(B153="","",INDEX('Prospects'!$X$5:$X$504,MATCH(B153,'Prospects'!$C$5:$C$504,0))&amp;"")</f>
        <v/>
      </c>
      <c r="J153" s="60">
        <f>IF(B153="","",INDEX('Prospects'!$Y$5:$Y$504,MATCH(B153,'Prospects'!$C$5:$C$504,0))&amp;"")</f>
        <v/>
      </c>
      <c r="K153" s="60">
        <f>IF(B153="","",INDEX('Prospects'!$AN$5:$AN$504,MATCH(B153,'Prospects'!$C$5:$C$504,0))&amp;"")</f>
        <v/>
      </c>
      <c r="L153" s="106">
        <f>IF(B153="","",INDEX('Prospects'!$AT$5:$AT$504,MATCH(B153,'Prospects'!$C$5:$C$504,0)))</f>
        <v/>
      </c>
      <c r="M153" s="62">
        <f>IF(B153="","",SUMIFS('Saisie'!$AW$5:$AW$2004,'Saisie'!$C$5:$C$2004,B153,'Saisie'!$E$5:$E$2004,"Signature"))</f>
        <v/>
      </c>
      <c r="N153" s="62">
        <f>IF(B153="","",SUMIFS('Saisie'!$AW$5:$AW$2004,'Saisie'!$C$5:$C$2004,B153,'Saisie'!$E$5:$E$2004,"Vente additionnelle"))</f>
        <v/>
      </c>
      <c r="O153" s="62">
        <f>IF(B153="","",M153+N153)</f>
        <v/>
      </c>
      <c r="P153" s="62">
        <f>IF(B153="","",SUMIFS('Saisie'!$AW$5:$AW$2004,'Saisie'!$C$5:$C$2004,B153,'Saisie'!$E$5:$E$2004,"Paiement reçu"))</f>
        <v/>
      </c>
      <c r="Q153" s="62">
        <f>IF(B153="","",MAX(0,O153-P153))</f>
        <v/>
      </c>
      <c r="R153" s="60">
        <f>IF(B153="","",IF(O153=0,"",IF(Q153&lt;=0,"Payé",IF(TODAY()-N(L153)&gt;'Paramètres'!$B$27,"En retard",IF(P153&gt;0,"Partiel","En attente")))))</f>
        <v/>
      </c>
      <c r="S153" s="60">
        <f>IF(B153="","",IFERROR(INDEX('Saisie'!$O$5:$O$2004,_xlfn.MAXIFS('Saisie'!$AS$5:$AS$2004,'Saisie'!$C$5:$C$2004,B153,'Saisie'!$O$5:$O$2004,"&lt;&gt;")-4),""))</f>
        <v/>
      </c>
      <c r="T153" s="62">
        <f>IF(B153="","",N(INDEX('Prospects'!$AO$5:$AO$504,MATCH(B153,'Prospects'!$C$5:$C$504,0))))</f>
        <v/>
      </c>
      <c r="U153" s="106">
        <f>IF(B153="","",IF(L153="","",EDATE(L153,'Paramètres'!$B$33)))</f>
        <v/>
      </c>
      <c r="V153" s="61">
        <f>IF(B153="","",IF(U153="","",U153-TODAY()))</f>
        <v/>
      </c>
      <c r="W153" s="61">
        <f>IF(B153="","",IF(L153="","",INT((TODAY()-L153)/30.44)))</f>
        <v/>
      </c>
      <c r="X153" s="62">
        <f>IF(B153="","",O153+T153*'Paramètres'!$B$34)</f>
        <v/>
      </c>
      <c r="Y153" s="62">
        <f>IF(B153="","",O153-N(IFERROR(INDEX('Paramètres'!$T$6:$T$15,MATCH(K153,'Paramètres'!$Q$6:$Q$15,0)),0)))</f>
        <v/>
      </c>
      <c r="Z153" s="123">
        <f>IF(B153="","",((COUNTIFS('Saisie'!$C$5:$C$2004,B153,'Saisie'!$E$5:$E$2004,"Onboarding - Contrat")&gt;0)+(COUNTIFS('Saisie'!$C$5:$C$2004,B153,'Saisie'!$E$5:$E$2004,"Onboarding - Accès")&gt;0)+(COUNTIFS('Saisie'!$C$5:$C$2004,B153,'Saisie'!$E$5:$E$2004,"Onboarding - Contenus")&gt;0)+(COUNTIFS('Saisie'!$C$5:$C$2004,B153,'Saisie'!$E$5:$E$2004,"Onboarding - Lancement")&gt;0))/4)</f>
        <v/>
      </c>
      <c r="AA153" s="60">
        <f>IF(B153="","",IF(COUNTIFS('Saisie'!$C$5:$C$2004,B153,'Saisie'!$E$5:$E$2004,"Demande d'avis Google")&gt;0,"Oui","Non"))</f>
        <v/>
      </c>
      <c r="AB153" s="61">
        <f>IF(B153="","",IFERROR(INDEX('Saisie'!$N$5:$N$2004,_xlfn.MAXIFS('Saisie'!$AS$5:$AS$2004,'Saisie'!$C$5:$C$2004,B153,'Saisie'!$E$5:$E$2004,"Satisfaction client")-4)&amp;"",""))</f>
        <v/>
      </c>
      <c r="AC153" s="106">
        <f>IF(B153="","",IFERROR(1/(1/_xlfn.MAXIFS('Saisie'!$A$5:$A$2004,'Saisie'!$C$5:$C$2004,B153,'Saisie'!$E$5:$E$2004,"Résiliation")),""))</f>
        <v/>
      </c>
      <c r="AD153" s="60">
        <f>IF(D153&lt;&gt;"",MAX($AD$4:AD152)+1,"")</f>
        <v/>
      </c>
    </row>
    <row r="154">
      <c r="A154" s="60">
        <f>IF(B154="","","C-"&amp;TEXT(150,"000"))</f>
        <v/>
      </c>
      <c r="B154" s="60">
        <f>IFERROR(INDEX('Prospects'!$C$5:$C$504,MATCH(150,'Prospects'!$BX$5:$BX$504,0)),"")</f>
        <v/>
      </c>
      <c r="C154" s="60">
        <f>IF(B154="","",IF(AC154&lt;&gt;"","Résilié","Actif"))</f>
        <v/>
      </c>
      <c r="D154" s="60">
        <f>IF(B154="","",IF(C154="Résilié","",IF(R154="En retard","Paiement en retard",IF(AND(V154&lt;&gt;"",N(V154)&lt;='Paramètres'!$B$30,N(V154)&gt;=0),"Renouvellement dans "&amp;V154&amp;" j",IF(AND(AA154="Non",TODAY()-N(L154)&gt;='Paramètres'!$B$29),"Demander un avis Google",IF(Z154&lt;1,"Onboarding à terminer",""))))))</f>
        <v/>
      </c>
      <c r="E154" s="60">
        <f>IF(B154="","",INDEX('Prospects'!$J$5:$J$504,MATCH(B154,'Prospects'!$C$5:$C$504,0))&amp;"")</f>
        <v/>
      </c>
      <c r="F154" s="60">
        <f>IF(B154="","",INDEX('Prospects'!$K$5:$K$504,MATCH(B154,'Prospects'!$C$5:$C$504,0))&amp;"")</f>
        <v/>
      </c>
      <c r="G154" s="60">
        <f>IF(B154="","",INDEX('Prospects'!$N$5:$N$504,MATCH(B154,'Prospects'!$C$5:$C$504,0))&amp;"")</f>
        <v/>
      </c>
      <c r="H154" s="60">
        <f>IF(B154="","",INDEX('Prospects'!$S$5:$S$504,MATCH(B154,'Prospects'!$C$5:$C$504,0))&amp;"")</f>
        <v/>
      </c>
      <c r="I154" s="60">
        <f>IF(B154="","",INDEX('Prospects'!$X$5:$X$504,MATCH(B154,'Prospects'!$C$5:$C$504,0))&amp;"")</f>
        <v/>
      </c>
      <c r="J154" s="60">
        <f>IF(B154="","",INDEX('Prospects'!$Y$5:$Y$504,MATCH(B154,'Prospects'!$C$5:$C$504,0))&amp;"")</f>
        <v/>
      </c>
      <c r="K154" s="60">
        <f>IF(B154="","",INDEX('Prospects'!$AN$5:$AN$504,MATCH(B154,'Prospects'!$C$5:$C$504,0))&amp;"")</f>
        <v/>
      </c>
      <c r="L154" s="106">
        <f>IF(B154="","",INDEX('Prospects'!$AT$5:$AT$504,MATCH(B154,'Prospects'!$C$5:$C$504,0)))</f>
        <v/>
      </c>
      <c r="M154" s="62">
        <f>IF(B154="","",SUMIFS('Saisie'!$AW$5:$AW$2004,'Saisie'!$C$5:$C$2004,B154,'Saisie'!$E$5:$E$2004,"Signature"))</f>
        <v/>
      </c>
      <c r="N154" s="62">
        <f>IF(B154="","",SUMIFS('Saisie'!$AW$5:$AW$2004,'Saisie'!$C$5:$C$2004,B154,'Saisie'!$E$5:$E$2004,"Vente additionnelle"))</f>
        <v/>
      </c>
      <c r="O154" s="62">
        <f>IF(B154="","",M154+N154)</f>
        <v/>
      </c>
      <c r="P154" s="62">
        <f>IF(B154="","",SUMIFS('Saisie'!$AW$5:$AW$2004,'Saisie'!$C$5:$C$2004,B154,'Saisie'!$E$5:$E$2004,"Paiement reçu"))</f>
        <v/>
      </c>
      <c r="Q154" s="62">
        <f>IF(B154="","",MAX(0,O154-P154))</f>
        <v/>
      </c>
      <c r="R154" s="60">
        <f>IF(B154="","",IF(O154=0,"",IF(Q154&lt;=0,"Payé",IF(TODAY()-N(L154)&gt;'Paramètres'!$B$27,"En retard",IF(P154&gt;0,"Partiel","En attente")))))</f>
        <v/>
      </c>
      <c r="S154" s="60">
        <f>IF(B154="","",IFERROR(INDEX('Saisie'!$O$5:$O$2004,_xlfn.MAXIFS('Saisie'!$AS$5:$AS$2004,'Saisie'!$C$5:$C$2004,B154,'Saisie'!$O$5:$O$2004,"&lt;&gt;")-4),""))</f>
        <v/>
      </c>
      <c r="T154" s="62">
        <f>IF(B154="","",N(INDEX('Prospects'!$AO$5:$AO$504,MATCH(B154,'Prospects'!$C$5:$C$504,0))))</f>
        <v/>
      </c>
      <c r="U154" s="106">
        <f>IF(B154="","",IF(L154="","",EDATE(L154,'Paramètres'!$B$33)))</f>
        <v/>
      </c>
      <c r="V154" s="61">
        <f>IF(B154="","",IF(U154="","",U154-TODAY()))</f>
        <v/>
      </c>
      <c r="W154" s="61">
        <f>IF(B154="","",IF(L154="","",INT((TODAY()-L154)/30.44)))</f>
        <v/>
      </c>
      <c r="X154" s="62">
        <f>IF(B154="","",O154+T154*'Paramètres'!$B$34)</f>
        <v/>
      </c>
      <c r="Y154" s="62">
        <f>IF(B154="","",O154-N(IFERROR(INDEX('Paramètres'!$T$6:$T$15,MATCH(K154,'Paramètres'!$Q$6:$Q$15,0)),0)))</f>
        <v/>
      </c>
      <c r="Z154" s="123">
        <f>IF(B154="","",((COUNTIFS('Saisie'!$C$5:$C$2004,B154,'Saisie'!$E$5:$E$2004,"Onboarding - Contrat")&gt;0)+(COUNTIFS('Saisie'!$C$5:$C$2004,B154,'Saisie'!$E$5:$E$2004,"Onboarding - Accès")&gt;0)+(COUNTIFS('Saisie'!$C$5:$C$2004,B154,'Saisie'!$E$5:$E$2004,"Onboarding - Contenus")&gt;0)+(COUNTIFS('Saisie'!$C$5:$C$2004,B154,'Saisie'!$E$5:$E$2004,"Onboarding - Lancement")&gt;0))/4)</f>
        <v/>
      </c>
      <c r="AA154" s="60">
        <f>IF(B154="","",IF(COUNTIFS('Saisie'!$C$5:$C$2004,B154,'Saisie'!$E$5:$E$2004,"Demande d'avis Google")&gt;0,"Oui","Non"))</f>
        <v/>
      </c>
      <c r="AB154" s="61">
        <f>IF(B154="","",IFERROR(INDEX('Saisie'!$N$5:$N$2004,_xlfn.MAXIFS('Saisie'!$AS$5:$AS$2004,'Saisie'!$C$5:$C$2004,B154,'Saisie'!$E$5:$E$2004,"Satisfaction client")-4)&amp;"",""))</f>
        <v/>
      </c>
      <c r="AC154" s="106">
        <f>IF(B154="","",IFERROR(1/(1/_xlfn.MAXIFS('Saisie'!$A$5:$A$2004,'Saisie'!$C$5:$C$2004,B154,'Saisie'!$E$5:$E$2004,"Résiliation")),""))</f>
        <v/>
      </c>
      <c r="AD154" s="60">
        <f>IF(D154&lt;&gt;"",MAX($AD$4:AD153)+1,"")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4:AD154"/>
  <mergeCells count="5">
    <mergeCell ref="Z3:AD3"/>
    <mergeCell ref="A3:K3"/>
    <mergeCell ref="B1:AD1"/>
    <mergeCell ref="L3:Y3"/>
    <mergeCell ref="A2:AD2"/>
  </mergeCells>
  <conditionalFormatting sqref="D5:D154">
    <cfRule type="expression" priority="1" dxfId="0">
      <formula>$D5="Paiement en retard"</formula>
    </cfRule>
    <cfRule type="expression" priority="2" dxfId="14">
      <formula>$D5&lt;&gt;""</formula>
    </cfRule>
  </conditionalFormatting>
  <conditionalFormatting sqref="R5:R154">
    <cfRule type="expression" priority="3" dxfId="3">
      <formula>$R5="Payé"</formula>
    </cfRule>
    <cfRule type="expression" priority="4" dxfId="4">
      <formula>$R5="En retard"</formula>
    </cfRule>
  </conditionalFormatting>
  <conditionalFormatting sqref="Z5:Z154">
    <cfRule type="dataBar" priority="5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A1:AQ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26" customWidth="1" min="4" max="4"/>
    <col width="3" customWidth="1" min="5" max="5"/>
    <col width="26" customWidth="1" min="6" max="6"/>
    <col width="14" customWidth="1" min="7" max="7"/>
    <col width="3" customWidth="1" min="8" max="8"/>
    <col width="26" customWidth="1" min="9" max="9"/>
    <col width="14" customWidth="1" min="10" max="10"/>
    <col width="14" customWidth="1" min="11" max="11"/>
    <col width="3" customWidth="1" min="12" max="12"/>
    <col width="26" customWidth="1" min="13" max="13"/>
    <col width="14" customWidth="1" min="14" max="14"/>
    <col width="14" customWidth="1" min="15" max="15"/>
    <col width="3" customWidth="1" min="16" max="16"/>
    <col width="26" customWidth="1" min="17" max="17"/>
    <col width="14" customWidth="1" min="18" max="18"/>
    <col width="14" customWidth="1" min="19" max="19"/>
    <col width="14" customWidth="1" min="20" max="20"/>
    <col width="3" customWidth="1" min="21" max="21"/>
    <col width="26" customWidth="1" min="22" max="22"/>
    <col width="14" customWidth="1" min="23" max="23"/>
    <col width="3" customWidth="1" min="24" max="24"/>
    <col width="26" customWidth="1" min="25" max="25"/>
    <col width="3" customWidth="1" min="26" max="26"/>
    <col width="26" customWidth="1" min="27" max="27"/>
    <col width="3" customWidth="1" min="28" max="28"/>
    <col width="26" customWidth="1" min="29" max="29"/>
    <col width="3" customWidth="1" min="30" max="30"/>
    <col width="26" customWidth="1" min="31" max="31"/>
    <col width="3" customWidth="1" min="32" max="32"/>
    <col width="26" customWidth="1" min="33" max="33"/>
    <col width="14" customWidth="1" min="34" max="34"/>
    <col width="3" customWidth="1" min="35" max="35"/>
    <col width="26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3" customWidth="1" min="44" max="44"/>
  </cols>
  <sheetData>
    <row r="1" ht="34" customHeight="1">
      <c r="A1" s="1" t="inlineStr">
        <is>
          <t>⚙ PARAMÈTRES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40" customHeight="1">
      <c r="A2" s="3" t="inlineStr">
        <is>
          <t>Tes réglages au même endroit : listes des menus déroulants, grille tarifaire, objectifs, séquence de relance, alertes, score de priorité et dépenses fixes. Cases bleues = modifiables. Tu peux ajouter des valeurs dans les cases vides en bas de chaque liste.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>
      <c r="A3" s="5">
        <f>HYPERLINK("#'Saisie'!A1","↩ Saisie")</f>
        <v/>
      </c>
      <c r="C3" s="5">
        <f>HYPERLINK("#'Ma journée'!A1","☀ Ma journée")</f>
        <v/>
      </c>
      <c r="E3" s="5">
        <f>HYPERLINK("#'Tableau de bord'!A1","📊 Tableau de bord")</f>
        <v/>
      </c>
    </row>
    <row r="4">
      <c r="D4" s="124" t="inlineStr">
        <is>
          <t>CANAUX</t>
        </is>
      </c>
      <c r="F4" s="124" t="inlineStr">
        <is>
          <t>ÉTAPES DU PIPELINE</t>
        </is>
      </c>
      <c r="G4" s="46" t="n"/>
      <c r="I4" s="124" t="inlineStr">
        <is>
          <t>ACTIONS</t>
        </is>
      </c>
      <c r="J4" s="46" t="n"/>
      <c r="K4" s="46" t="n"/>
      <c r="M4" s="124" t="inlineStr">
        <is>
          <t>RÉSULTATS</t>
        </is>
      </c>
      <c r="N4" s="46" t="n"/>
      <c r="O4" s="46" t="n"/>
      <c r="Q4" s="124" t="inlineStr">
        <is>
          <t>GRILLE TARIFAIRE</t>
        </is>
      </c>
      <c r="R4" s="46" t="n"/>
      <c r="S4" s="46" t="n"/>
      <c r="T4" s="46" t="n"/>
      <c r="V4" s="124" t="inlineStr">
        <is>
          <t>SECTEURS</t>
        </is>
      </c>
      <c r="W4" s="46" t="n"/>
      <c r="Y4" s="124" t="inlineStr">
        <is>
          <t>OBJECTIONS / MOTIFS</t>
        </is>
      </c>
      <c r="AA4" s="124" t="inlineStr">
        <is>
          <t>MODÈLES / ACCROCHES</t>
        </is>
      </c>
      <c r="AC4" s="124" t="inlineStr">
        <is>
          <t>SOURCES</t>
        </is>
      </c>
      <c r="AE4" s="124" t="inlineStr">
        <is>
          <t>ZONES</t>
        </is>
      </c>
      <c r="AG4" s="124" t="inlineStr">
        <is>
          <t>DÉPENSES FIXES / MOIS</t>
        </is>
      </c>
      <c r="AH4" s="46" t="n"/>
      <c r="AJ4" s="124" t="inlineStr">
        <is>
          <t>PETITES LISTES</t>
        </is>
      </c>
      <c r="AK4" s="46" t="n"/>
      <c r="AL4" s="46" t="n"/>
      <c r="AM4" s="46" t="n"/>
      <c r="AN4" s="46" t="n"/>
      <c r="AO4" s="46" t="n"/>
      <c r="AP4" s="46" t="n"/>
      <c r="AQ4" s="46" t="n"/>
    </row>
    <row r="5" ht="30" customHeight="1">
      <c r="A5" s="124" t="inlineStr">
        <is>
          <t>OBJECTIFS DU JOUR</t>
        </is>
      </c>
      <c r="D5" s="52" t="inlineStr">
        <is>
          <t>Canal</t>
        </is>
      </c>
      <c r="F5" s="52" t="inlineStr">
        <is>
          <t>Étape</t>
        </is>
      </c>
      <c r="G5" s="52" t="inlineStr">
        <is>
          <t>Probabilité</t>
        </is>
      </c>
      <c r="I5" s="52" t="inlineStr">
        <is>
          <t>Action</t>
        </is>
      </c>
      <c r="J5" s="52" t="inlineStr">
        <is>
          <t>Étape atteinte (n°)</t>
        </is>
      </c>
      <c r="K5" s="52" t="inlineStr">
        <is>
          <t>Action de prospection ?</t>
        </is>
      </c>
      <c r="M5" s="52" t="inlineStr">
        <is>
          <t>Résultat</t>
        </is>
      </c>
      <c r="N5" s="52" t="inlineStr">
        <is>
          <t>Étape atteinte (n°)</t>
        </is>
      </c>
      <c r="O5" s="52" t="inlineStr">
        <is>
          <t>Compte comme réponse ?</t>
        </is>
      </c>
      <c r="Q5" s="52" t="inlineStr">
        <is>
          <t>Offre</t>
        </is>
      </c>
      <c r="R5" s="52" t="inlineStr">
        <is>
          <t>Prix (€)</t>
        </is>
      </c>
      <c r="S5" s="52" t="inlineStr">
        <is>
          <t>Abonnement (€/mois)</t>
        </is>
      </c>
      <c r="T5" s="52" t="inlineStr">
        <is>
          <t>Coût de revient (€)</t>
        </is>
      </c>
      <c r="V5" s="52" t="inlineStr">
        <is>
          <t>Secteur</t>
        </is>
      </c>
      <c r="W5" s="52" t="inlineStr">
        <is>
          <t>Lien démo type</t>
        </is>
      </c>
      <c r="Y5" s="52" t="inlineStr">
        <is>
          <t>Objection</t>
        </is>
      </c>
      <c r="AA5" s="52" t="inlineStr">
        <is>
          <t>Modèle</t>
        </is>
      </c>
      <c r="AC5" s="52" t="inlineStr">
        <is>
          <t>Source</t>
        </is>
      </c>
      <c r="AE5" s="52" t="inlineStr">
        <is>
          <t>Zone</t>
        </is>
      </c>
      <c r="AG5" s="52" t="inlineStr">
        <is>
          <t>Poste</t>
        </is>
      </c>
      <c r="AH5" s="52" t="inlineStr">
        <is>
          <t>Montant (€)</t>
        </is>
      </c>
      <c r="AJ5" s="52" t="inlineStr">
        <is>
          <t>Oui/Non</t>
        </is>
      </c>
      <c r="AK5" s="52" t="inlineStr">
        <is>
          <t>Oui/Non/À voir</t>
        </is>
      </c>
      <c r="AL5" s="52" t="inlineStr">
        <is>
          <t>Taille</t>
        </is>
      </c>
      <c r="AM5" s="52" t="inlineStr">
        <is>
          <t>Budget pub</t>
        </is>
      </c>
      <c r="AN5" s="52" t="inlineStr">
        <is>
          <t>Présence Google</t>
        </is>
      </c>
      <c r="AO5" s="52" t="inlineStr">
        <is>
          <t>Délai</t>
        </is>
      </c>
      <c r="AP5" s="52" t="inlineStr">
        <is>
          <t>Filtre canal</t>
        </is>
      </c>
      <c r="AQ5" s="52" t="inlineStr">
        <is>
          <t>Filtre mois</t>
        </is>
      </c>
    </row>
    <row r="6">
      <c r="A6" s="77" t="inlineStr">
        <is>
          <t>Nouveaux prospects / jour</t>
        </is>
      </c>
      <c r="B6" s="125" t="n">
        <v>10</v>
      </c>
      <c r="D6" s="126" t="inlineStr">
        <is>
          <t>DM</t>
        </is>
      </c>
      <c r="F6" s="126" t="inlineStr">
        <is>
          <t>Nouveau</t>
        </is>
      </c>
      <c r="G6" s="127" t="n">
        <v>0.05</v>
      </c>
      <c r="I6" s="126" t="inlineStr">
        <is>
          <t>Ajout prospect</t>
        </is>
      </c>
      <c r="J6" s="126" t="n">
        <v>1</v>
      </c>
      <c r="K6" s="126" t="inlineStr">
        <is>
          <t>Non</t>
        </is>
      </c>
      <c r="M6" s="126" t="inlineStr">
        <is>
          <t>Pas de réponse</t>
        </is>
      </c>
      <c r="N6" s="126" t="n">
        <v>0</v>
      </c>
      <c r="O6" s="126" t="inlineStr">
        <is>
          <t>Non</t>
        </is>
      </c>
      <c r="Q6" s="126" t="inlineStr">
        <is>
          <t>Site vitrine</t>
        </is>
      </c>
      <c r="R6" s="128" t="n">
        <v>1200</v>
      </c>
      <c r="S6" s="128" t="n">
        <v>50</v>
      </c>
      <c r="T6" s="128" t="n">
        <v>250</v>
      </c>
      <c r="V6" s="126" t="inlineStr">
        <is>
          <t>Esthétique / Beauté</t>
        </is>
      </c>
      <c r="W6" s="126" t="inlineStr">
        <is>
          <t>https://demo-beaute...</t>
        </is>
      </c>
      <c r="Y6" s="126" t="inlineStr">
        <is>
          <t>Prix trop élevé</t>
        </is>
      </c>
      <c r="AA6" s="126" t="inlineStr">
        <is>
          <t>Accroche A - Pub Insta</t>
        </is>
      </c>
      <c r="AC6" s="126" t="inlineStr">
        <is>
          <t>Publicité Instagram</t>
        </is>
      </c>
      <c r="AE6" s="126" t="inlineStr">
        <is>
          <t>Centre-ville</t>
        </is>
      </c>
      <c r="AG6" s="126" t="inlineStr">
        <is>
          <t>Outils (Loom, Canva, domaine…)</t>
        </is>
      </c>
      <c r="AH6" s="128" t="n">
        <v>60</v>
      </c>
      <c r="AJ6" s="126" t="inlineStr">
        <is>
          <t>Oui</t>
        </is>
      </c>
      <c r="AK6" s="126" t="inlineStr">
        <is>
          <t>Oui</t>
        </is>
      </c>
      <c r="AL6" s="126" t="inlineStr">
        <is>
          <t>Petite</t>
        </is>
      </c>
      <c r="AM6" s="126" t="inlineStr">
        <is>
          <t>Occasionnelle</t>
        </is>
      </c>
      <c r="AN6" s="126" t="inlineStr">
        <is>
          <t>Bonne</t>
        </is>
      </c>
      <c r="AO6" s="126" t="inlineStr">
        <is>
          <t>Immédiat</t>
        </is>
      </c>
      <c r="AP6" s="126" t="inlineStr">
        <is>
          <t>Tous</t>
        </is>
      </c>
      <c r="AQ6" s="126" t="inlineStr">
        <is>
          <t>Mois en cours</t>
        </is>
      </c>
    </row>
    <row r="7">
      <c r="A7" s="77" t="inlineStr">
        <is>
          <t>Appels / jour</t>
        </is>
      </c>
      <c r="B7" s="125" t="n">
        <v>20</v>
      </c>
      <c r="D7" s="126" t="inlineStr">
        <is>
          <t>Appel</t>
        </is>
      </c>
      <c r="F7" s="126" t="inlineStr">
        <is>
          <t>Contacté</t>
        </is>
      </c>
      <c r="G7" s="127" t="n">
        <v>0.1</v>
      </c>
      <c r="I7" s="126" t="inlineStr">
        <is>
          <t>Premier contact</t>
        </is>
      </c>
      <c r="J7" s="126" t="n">
        <v>2</v>
      </c>
      <c r="K7" s="126" t="inlineStr">
        <is>
          <t>Oui</t>
        </is>
      </c>
      <c r="M7" s="126" t="inlineStr">
        <is>
          <t>Messagerie - vocal laissé</t>
        </is>
      </c>
      <c r="N7" s="126" t="n">
        <v>0</v>
      </c>
      <c r="O7" s="126" t="inlineStr">
        <is>
          <t>Non</t>
        </is>
      </c>
      <c r="Q7" s="126" t="inlineStr">
        <is>
          <t>Site + réservation</t>
        </is>
      </c>
      <c r="R7" s="128" t="n">
        <v>1800</v>
      </c>
      <c r="S7" s="128" t="n">
        <v>90</v>
      </c>
      <c r="T7" s="128" t="n">
        <v>350</v>
      </c>
      <c r="V7" s="126" t="inlineStr">
        <is>
          <t>Coiffure</t>
        </is>
      </c>
      <c r="W7" s="126" t="inlineStr"/>
      <c r="Y7" s="126" t="inlineStr">
        <is>
          <t>Pas le temps</t>
        </is>
      </c>
      <c r="AA7" s="126" t="inlineStr">
        <is>
          <t>Accroche B - Avis Google</t>
        </is>
      </c>
      <c r="AC7" s="126" t="inlineStr">
        <is>
          <t>Profil Instagram</t>
        </is>
      </c>
      <c r="AE7" s="126" t="inlineStr">
        <is>
          <t>Périphérie</t>
        </is>
      </c>
      <c r="AG7" s="126" t="inlineStr">
        <is>
          <t>Téléphone / internet</t>
        </is>
      </c>
      <c r="AH7" s="128" t="n">
        <v>25</v>
      </c>
      <c r="AJ7" s="126" t="inlineStr">
        <is>
          <t>Non</t>
        </is>
      </c>
      <c r="AK7" s="126" t="inlineStr">
        <is>
          <t>Non</t>
        </is>
      </c>
      <c r="AL7" s="126" t="inlineStr">
        <is>
          <t>Moyenne</t>
        </is>
      </c>
      <c r="AM7" s="126" t="inlineStr">
        <is>
          <t>Régulière</t>
        </is>
      </c>
      <c r="AN7" s="126" t="inlineStr">
        <is>
          <t>Faible</t>
        </is>
      </c>
      <c r="AO7" s="126" t="inlineStr">
        <is>
          <t>&lt; 1 mois</t>
        </is>
      </c>
      <c r="AP7" s="126" t="inlineStr">
        <is>
          <t>DM</t>
        </is>
      </c>
      <c r="AQ7" s="126" t="inlineStr">
        <is>
          <t>Tous</t>
        </is>
      </c>
    </row>
    <row r="8">
      <c r="A8" s="77" t="inlineStr">
        <is>
          <t>DM / jour</t>
        </is>
      </c>
      <c r="B8" s="125" t="n">
        <v>20</v>
      </c>
      <c r="D8" s="126" t="inlineStr">
        <is>
          <t>WhatsApp</t>
        </is>
      </c>
      <c r="F8" s="126" t="inlineStr">
        <is>
          <t>Qualifié</t>
        </is>
      </c>
      <c r="G8" s="127" t="n">
        <v>0.25</v>
      </c>
      <c r="I8" s="126" t="inlineStr">
        <is>
          <t>Relance</t>
        </is>
      </c>
      <c r="J8" s="126" t="n">
        <v>2</v>
      </c>
      <c r="K8" s="126" t="inlineStr">
        <is>
          <t>Oui</t>
        </is>
      </c>
      <c r="M8" s="126" t="inlineStr">
        <is>
          <t>Messagerie - sans vocal</t>
        </is>
      </c>
      <c r="N8" s="126" t="n">
        <v>0</v>
      </c>
      <c r="O8" s="126" t="inlineStr">
        <is>
          <t>Non</t>
        </is>
      </c>
      <c r="Q8" s="126" t="inlineStr">
        <is>
          <t>Site + SEO local</t>
        </is>
      </c>
      <c r="R8" s="128" t="n">
        <v>2400</v>
      </c>
      <c r="S8" s="128" t="n">
        <v>150</v>
      </c>
      <c r="T8" s="128" t="n">
        <v>500</v>
      </c>
      <c r="V8" s="126" t="inlineStr">
        <is>
          <t>Restaurant</t>
        </is>
      </c>
      <c r="W8" s="126" t="inlineStr"/>
      <c r="Y8" s="126" t="inlineStr">
        <is>
          <t>J'ai déjà quelqu'un</t>
        </is>
      </c>
      <c r="AA8" s="126" t="inlineStr">
        <is>
          <t>DM 1 - Compliment + question</t>
        </is>
      </c>
      <c r="AC8" s="126" t="inlineStr">
        <is>
          <t>Facebook</t>
        </is>
      </c>
      <c r="AE8" s="126" t="inlineStr">
        <is>
          <t>Autre ville</t>
        </is>
      </c>
      <c r="AG8" s="126" t="inlineStr">
        <is>
          <t>Publicité agence</t>
        </is>
      </c>
      <c r="AH8" s="128" t="n">
        <v>0</v>
      </c>
      <c r="AJ8" s="126" t="n"/>
      <c r="AK8" s="126" t="inlineStr">
        <is>
          <t>À voir</t>
        </is>
      </c>
      <c r="AL8" s="126" t="inlineStr">
        <is>
          <t>Grande</t>
        </is>
      </c>
      <c r="AM8" s="126" t="n"/>
      <c r="AN8" s="126" t="inlineStr">
        <is>
          <t>Absente</t>
        </is>
      </c>
      <c r="AO8" s="126" t="inlineStr">
        <is>
          <t>1-3 mois</t>
        </is>
      </c>
      <c r="AP8" s="126" t="inlineStr">
        <is>
          <t>Appel</t>
        </is>
      </c>
      <c r="AQ8" s="126" t="inlineStr">
        <is>
          <t>2026-01</t>
        </is>
      </c>
    </row>
    <row r="9">
      <c r="D9" s="126" t="inlineStr">
        <is>
          <t>Facebook</t>
        </is>
      </c>
      <c r="F9" s="126" t="inlineStr">
        <is>
          <t>Audit/Démo</t>
        </is>
      </c>
      <c r="G9" s="127" t="n">
        <v>0.4</v>
      </c>
      <c r="I9" s="126" t="inlineStr">
        <is>
          <t>Échange / suivi</t>
        </is>
      </c>
      <c r="J9" s="126" t="n">
        <v>2</v>
      </c>
      <c r="K9" s="126" t="inlineStr">
        <is>
          <t>Oui</t>
        </is>
      </c>
      <c r="M9" s="126" t="inlineStr">
        <is>
          <t>Rappeler</t>
        </is>
      </c>
      <c r="N9" s="126" t="n">
        <v>0</v>
      </c>
      <c r="O9" s="126" t="inlineStr">
        <is>
          <t>Oui</t>
        </is>
      </c>
      <c r="Q9" s="126" t="inlineStr">
        <is>
          <t>Gestion Instagram</t>
        </is>
      </c>
      <c r="R9" s="128" t="n">
        <v>0</v>
      </c>
      <c r="S9" s="128" t="n">
        <v>450</v>
      </c>
      <c r="T9" s="128" t="n">
        <v>150</v>
      </c>
      <c r="V9" s="126" t="inlineStr">
        <is>
          <t>BTP / Artisan</t>
        </is>
      </c>
      <c r="W9" s="126" t="inlineStr"/>
      <c r="Y9" s="126" t="inlineStr">
        <is>
          <t>Pas le bon moment</t>
        </is>
      </c>
      <c r="AA9" s="126" t="inlineStr">
        <is>
          <t>DM 2 - Audit gratuit</t>
        </is>
      </c>
      <c r="AC9" s="126" t="inlineStr">
        <is>
          <t>Google Maps</t>
        </is>
      </c>
      <c r="AE9" s="126" t="inlineStr">
        <is>
          <t>À distance</t>
        </is>
      </c>
      <c r="AG9" s="126" t="inlineStr">
        <is>
          <t>Autre</t>
        </is>
      </c>
      <c r="AH9" s="128" t="n">
        <v>0</v>
      </c>
      <c r="AJ9" s="126" t="n"/>
      <c r="AK9" s="126" t="n"/>
      <c r="AL9" s="126" t="n"/>
      <c r="AM9" s="126" t="n"/>
      <c r="AN9" s="126" t="n"/>
      <c r="AO9" s="126" t="inlineStr">
        <is>
          <t>&gt; 3 mois</t>
        </is>
      </c>
      <c r="AP9" s="126" t="inlineStr">
        <is>
          <t>WhatsApp</t>
        </is>
      </c>
      <c r="AQ9" s="126" t="inlineStr">
        <is>
          <t>2026-02</t>
        </is>
      </c>
    </row>
    <row r="10">
      <c r="A10" s="124" t="inlineStr">
        <is>
          <t>OBJECTIFS DU MOIS</t>
        </is>
      </c>
      <c r="D10" s="126" t="inlineStr">
        <is>
          <t>Autre</t>
        </is>
      </c>
      <c r="F10" s="126" t="inlineStr">
        <is>
          <t>RDV</t>
        </is>
      </c>
      <c r="G10" s="127" t="n">
        <v>0.55</v>
      </c>
      <c r="I10" s="126" t="inlineStr">
        <is>
          <t>Qualification</t>
        </is>
      </c>
      <c r="J10" s="126" t="n">
        <v>3</v>
      </c>
      <c r="K10" s="126" t="inlineStr">
        <is>
          <t>Oui</t>
        </is>
      </c>
      <c r="M10" s="126" t="inlineStr">
        <is>
          <t>Pas intéressé</t>
        </is>
      </c>
      <c r="N10" s="126" t="n">
        <v>0</v>
      </c>
      <c r="O10" s="126" t="inlineStr">
        <is>
          <t>Oui</t>
        </is>
      </c>
      <c r="Q10" s="126" t="inlineStr">
        <is>
          <t>Pack complet</t>
        </is>
      </c>
      <c r="R10" s="128" t="n">
        <v>3000</v>
      </c>
      <c r="S10" s="128" t="n">
        <v>300</v>
      </c>
      <c r="T10" s="128" t="n">
        <v>700</v>
      </c>
      <c r="V10" s="126" t="inlineStr">
        <is>
          <t>Automobile</t>
        </is>
      </c>
      <c r="W10" s="126" t="inlineStr"/>
      <c r="Y10" s="126" t="inlineStr">
        <is>
          <t>Pas de besoin</t>
        </is>
      </c>
      <c r="AA10" s="126" t="inlineStr">
        <is>
          <t>Autre</t>
        </is>
      </c>
      <c r="AC10" s="126" t="inlineStr">
        <is>
          <t>Recommandation</t>
        </is>
      </c>
      <c r="AE10" s="126" t="n"/>
      <c r="AG10" s="126" t="n"/>
      <c r="AH10" s="128" t="n"/>
      <c r="AJ10" s="126" t="n"/>
      <c r="AK10" s="126" t="n"/>
      <c r="AL10" s="126" t="n"/>
      <c r="AM10" s="126" t="n"/>
      <c r="AN10" s="126" t="n"/>
      <c r="AO10" s="126" t="n"/>
      <c r="AP10" s="126" t="inlineStr">
        <is>
          <t>Facebook</t>
        </is>
      </c>
      <c r="AQ10" s="126" t="inlineStr">
        <is>
          <t>2026-03</t>
        </is>
      </c>
    </row>
    <row r="11">
      <c r="A11" s="77" t="inlineStr">
        <is>
          <t>Appels / mois</t>
        </is>
      </c>
      <c r="B11" s="125" t="n">
        <v>400</v>
      </c>
      <c r="F11" s="126" t="inlineStr">
        <is>
          <t>Proposition</t>
        </is>
      </c>
      <c r="G11" s="127" t="n">
        <v>0.7</v>
      </c>
      <c r="I11" s="126" t="inlineStr">
        <is>
          <t>Audit réalisé</t>
        </is>
      </c>
      <c r="J11" s="126" t="n">
        <v>4</v>
      </c>
      <c r="K11" s="126" t="inlineStr">
        <is>
          <t>Non</t>
        </is>
      </c>
      <c r="M11" s="126" t="inlineStr">
        <is>
          <t>Intéressé</t>
        </is>
      </c>
      <c r="N11" s="126" t="n">
        <v>3</v>
      </c>
      <c r="O11" s="126" t="inlineStr">
        <is>
          <t>Oui</t>
        </is>
      </c>
      <c r="Q11" s="126" t="inlineStr">
        <is>
          <t>Sur mesure</t>
        </is>
      </c>
      <c r="R11" s="128" t="n"/>
      <c r="S11" s="128" t="n"/>
      <c r="T11" s="128" t="n"/>
      <c r="V11" s="126" t="inlineStr">
        <is>
          <t>Immobilier</t>
        </is>
      </c>
      <c r="W11" s="126" t="inlineStr"/>
      <c r="Y11" s="126" t="inlineStr">
        <is>
          <t>Doit réfléchir / en parler</t>
        </is>
      </c>
      <c r="AA11" s="126" t="n"/>
      <c r="AC11" s="126" t="inlineStr">
        <is>
          <t>Site internet</t>
        </is>
      </c>
      <c r="AE11" s="126" t="n"/>
      <c r="AG11" s="126" t="n"/>
      <c r="AH11" s="128" t="n"/>
      <c r="AJ11" s="126" t="n"/>
      <c r="AK11" s="126" t="n"/>
      <c r="AL11" s="126" t="n"/>
      <c r="AM11" s="126" t="n"/>
      <c r="AN11" s="126" t="n"/>
      <c r="AO11" s="126" t="n"/>
      <c r="AP11" s="126" t="inlineStr">
        <is>
          <t>Autre</t>
        </is>
      </c>
      <c r="AQ11" s="126" t="inlineStr">
        <is>
          <t>2026-04</t>
        </is>
      </c>
    </row>
    <row r="12">
      <c r="A12" s="77" t="inlineStr">
        <is>
          <t>DM / mois</t>
        </is>
      </c>
      <c r="B12" s="125" t="n">
        <v>300</v>
      </c>
      <c r="F12" s="126" t="inlineStr">
        <is>
          <t>Gagné</t>
        </is>
      </c>
      <c r="G12" s="127" t="n">
        <v>1</v>
      </c>
      <c r="I12" s="126" t="inlineStr">
        <is>
          <t>Loom envoyé</t>
        </is>
      </c>
      <c r="J12" s="126" t="n">
        <v>4</v>
      </c>
      <c r="K12" s="126" t="inlineStr">
        <is>
          <t>Non</t>
        </is>
      </c>
      <c r="M12" s="126" t="inlineStr">
        <is>
          <t>RDV pris</t>
        </is>
      </c>
      <c r="N12" s="126" t="n">
        <v>5</v>
      </c>
      <c r="O12" s="126" t="inlineStr">
        <is>
          <t>Oui</t>
        </is>
      </c>
      <c r="Q12" s="126" t="n"/>
      <c r="R12" s="128" t="n"/>
      <c r="S12" s="128" t="n"/>
      <c r="T12" s="128" t="n"/>
      <c r="V12" s="126" t="inlineStr">
        <is>
          <t>Santé / Bien-être</t>
        </is>
      </c>
      <c r="W12" s="126" t="inlineStr"/>
      <c r="Y12" s="126" t="inlineStr">
        <is>
          <t>Injoignable</t>
        </is>
      </c>
      <c r="AA12" s="126" t="n"/>
      <c r="AC12" s="126" t="inlineStr">
        <is>
          <t>Événement / salon</t>
        </is>
      </c>
      <c r="AE12" s="126" t="n"/>
      <c r="AG12" s="126" t="n"/>
      <c r="AH12" s="128" t="n"/>
      <c r="AJ12" s="126" t="n"/>
      <c r="AK12" s="126" t="n"/>
      <c r="AL12" s="126" t="n"/>
      <c r="AM12" s="126" t="n"/>
      <c r="AN12" s="126" t="n"/>
      <c r="AO12" s="126" t="n"/>
      <c r="AP12" s="126" t="n"/>
      <c r="AQ12" s="126" t="inlineStr">
        <is>
          <t>2026-05</t>
        </is>
      </c>
    </row>
    <row r="13">
      <c r="A13" s="77" t="inlineStr">
        <is>
          <t>RDV / mois</t>
        </is>
      </c>
      <c r="B13" s="125" t="n">
        <v>10</v>
      </c>
      <c r="F13" s="126" t="inlineStr">
        <is>
          <t>Perdu</t>
        </is>
      </c>
      <c r="G13" s="127" t="n">
        <v>0</v>
      </c>
      <c r="I13" s="126" t="inlineStr">
        <is>
          <t>Démo présentée</t>
        </is>
      </c>
      <c r="J13" s="126" t="n">
        <v>4</v>
      </c>
      <c r="K13" s="126" t="inlineStr">
        <is>
          <t>Non</t>
        </is>
      </c>
      <c r="M13" s="126" t="inlineStr">
        <is>
          <t>Loom vu</t>
        </is>
      </c>
      <c r="N13" s="126" t="n">
        <v>0</v>
      </c>
      <c r="O13" s="126" t="inlineStr">
        <is>
          <t>Non</t>
        </is>
      </c>
      <c r="Q13" s="126" t="n"/>
      <c r="R13" s="128" t="n"/>
      <c r="S13" s="128" t="n"/>
      <c r="T13" s="128" t="n"/>
      <c r="V13" s="126" t="inlineStr">
        <is>
          <t>Sport / Fitness</t>
        </is>
      </c>
      <c r="W13" s="126" t="inlineStr"/>
      <c r="Y13" s="126" t="inlineStr">
        <is>
          <t>Autre</t>
        </is>
      </c>
      <c r="AA13" s="126" t="n"/>
      <c r="AC13" s="126" t="inlineStr">
        <is>
          <t>Autre</t>
        </is>
      </c>
      <c r="AE13" s="126" t="n"/>
      <c r="AJ13" s="126" t="n"/>
      <c r="AK13" s="126" t="n"/>
      <c r="AL13" s="126" t="n"/>
      <c r="AM13" s="126" t="n"/>
      <c r="AN13" s="126" t="n"/>
      <c r="AO13" s="126" t="n"/>
      <c r="AP13" s="126" t="n"/>
      <c r="AQ13" s="126" t="inlineStr">
        <is>
          <t>2026-06</t>
        </is>
      </c>
    </row>
    <row r="14">
      <c r="A14" s="77" t="inlineStr">
        <is>
          <t>Clients signés / mois</t>
        </is>
      </c>
      <c r="B14" s="125" t="n">
        <v>3</v>
      </c>
      <c r="I14" s="126" t="inlineStr">
        <is>
          <t>RDV</t>
        </is>
      </c>
      <c r="J14" s="126" t="n">
        <v>5</v>
      </c>
      <c r="K14" s="126" t="inlineStr">
        <is>
          <t>Non</t>
        </is>
      </c>
      <c r="M14" s="126" t="inlineStr">
        <is>
          <t>Autre</t>
        </is>
      </c>
      <c r="N14" s="126" t="n">
        <v>0</v>
      </c>
      <c r="O14" s="126" t="inlineStr">
        <is>
          <t>Non</t>
        </is>
      </c>
      <c r="Q14" s="126" t="n"/>
      <c r="R14" s="128" t="n"/>
      <c r="S14" s="128" t="n"/>
      <c r="T14" s="128" t="n"/>
      <c r="V14" s="126" t="inlineStr">
        <is>
          <t>Commerce</t>
        </is>
      </c>
      <c r="W14" s="126" t="inlineStr"/>
      <c r="Y14" s="126" t="n"/>
      <c r="AA14" s="126" t="n"/>
      <c r="AC14" s="126" t="n"/>
      <c r="AJ14" s="126" t="n"/>
      <c r="AK14" s="126" t="n"/>
      <c r="AL14" s="126" t="n"/>
      <c r="AM14" s="126" t="n"/>
      <c r="AN14" s="126" t="n"/>
      <c r="AO14" s="126" t="n"/>
      <c r="AP14" s="126" t="n"/>
      <c r="AQ14" s="126" t="inlineStr">
        <is>
          <t>2026-07</t>
        </is>
      </c>
    </row>
    <row r="15">
      <c r="A15" s="77" t="inlineStr">
        <is>
          <t>CA signé / mois (€)</t>
        </is>
      </c>
      <c r="B15" s="129" t="n">
        <v>6000</v>
      </c>
      <c r="I15" s="126" t="inlineStr">
        <is>
          <t>Proposition envoyée</t>
        </is>
      </c>
      <c r="J15" s="126" t="n">
        <v>6</v>
      </c>
      <c r="K15" s="126" t="inlineStr">
        <is>
          <t>Non</t>
        </is>
      </c>
      <c r="M15" s="126" t="n"/>
      <c r="N15" s="126" t="n"/>
      <c r="O15" s="126" t="n"/>
      <c r="Q15" s="126" t="n"/>
      <c r="R15" s="128" t="n"/>
      <c r="S15" s="128" t="n"/>
      <c r="T15" s="128" t="n"/>
      <c r="V15" s="126" t="inlineStr">
        <is>
          <t>Autre</t>
        </is>
      </c>
      <c r="W15" s="126" t="inlineStr"/>
      <c r="Y15" s="126" t="n"/>
      <c r="AC15" s="126" t="n"/>
      <c r="AJ15" s="126" t="n"/>
      <c r="AK15" s="126" t="n"/>
      <c r="AL15" s="126" t="n"/>
      <c r="AM15" s="126" t="n"/>
      <c r="AN15" s="126" t="n"/>
      <c r="AO15" s="126" t="n"/>
      <c r="AP15" s="126" t="n"/>
      <c r="AQ15" s="126" t="inlineStr">
        <is>
          <t>2026-08</t>
        </is>
      </c>
    </row>
    <row r="16">
      <c r="I16" s="126" t="inlineStr">
        <is>
          <t>Signature</t>
        </is>
      </c>
      <c r="J16" s="126" t="n">
        <v>7</v>
      </c>
      <c r="K16" s="126" t="inlineStr">
        <is>
          <t>Non</t>
        </is>
      </c>
      <c r="M16" s="126" t="n"/>
      <c r="N16" s="126" t="n"/>
      <c r="O16" s="126" t="n"/>
      <c r="V16" s="126" t="n"/>
      <c r="W16" s="126" t="n"/>
      <c r="Y16" s="126" t="n"/>
      <c r="AC16" s="126" t="n"/>
      <c r="AJ16" s="126" t="n"/>
      <c r="AK16" s="126" t="n"/>
      <c r="AL16" s="126" t="n"/>
      <c r="AM16" s="126" t="n"/>
      <c r="AN16" s="126" t="n"/>
      <c r="AO16" s="126" t="n"/>
      <c r="AP16" s="126" t="n"/>
      <c r="AQ16" s="126" t="inlineStr">
        <is>
          <t>2026-09</t>
        </is>
      </c>
    </row>
    <row r="17">
      <c r="A17" s="124" t="inlineStr">
        <is>
          <t>SÉQUENCE DE RELANCE</t>
        </is>
      </c>
      <c r="I17" s="126" t="inlineStr">
        <is>
          <t>Paiement reçu</t>
        </is>
      </c>
      <c r="J17" s="126" t="n">
        <v>0</v>
      </c>
      <c r="K17" s="126" t="inlineStr">
        <is>
          <t>Non</t>
        </is>
      </c>
      <c r="M17" s="126" t="n"/>
      <c r="N17" s="126" t="n"/>
      <c r="O17" s="126" t="n"/>
      <c r="V17" s="126" t="n"/>
      <c r="W17" s="126" t="n"/>
      <c r="Y17" s="126" t="n"/>
      <c r="AJ17" s="126" t="n"/>
      <c r="AK17" s="126" t="n"/>
      <c r="AL17" s="126" t="n"/>
      <c r="AM17" s="126" t="n"/>
      <c r="AN17" s="126" t="n"/>
      <c r="AO17" s="126" t="n"/>
      <c r="AP17" s="126" t="n"/>
      <c r="AQ17" s="126" t="inlineStr">
        <is>
          <t>2026-10</t>
        </is>
      </c>
    </row>
    <row r="18">
      <c r="A18" s="77" t="inlineStr">
        <is>
          <t>Après la 1re tentative (jours)</t>
        </is>
      </c>
      <c r="B18" s="125" t="n">
        <v>2</v>
      </c>
      <c r="I18" s="126" t="inlineStr">
        <is>
          <t>Vente additionnelle</t>
        </is>
      </c>
      <c r="J18" s="126" t="n">
        <v>0</v>
      </c>
      <c r="K18" s="126" t="inlineStr">
        <is>
          <t>Non</t>
        </is>
      </c>
      <c r="V18" s="126" t="n"/>
      <c r="W18" s="126" t="n"/>
      <c r="AJ18" s="126" t="n"/>
      <c r="AK18" s="126" t="n"/>
      <c r="AL18" s="126" t="n"/>
      <c r="AM18" s="126" t="n"/>
      <c r="AN18" s="126" t="n"/>
      <c r="AO18" s="126" t="n"/>
      <c r="AP18" s="126" t="n"/>
      <c r="AQ18" s="126" t="inlineStr">
        <is>
          <t>2026-11</t>
        </is>
      </c>
    </row>
    <row r="19">
      <c r="A19" s="77" t="inlineStr">
        <is>
          <t>Après la 2e tentative (jours)</t>
        </is>
      </c>
      <c r="B19" s="125" t="n">
        <v>5</v>
      </c>
      <c r="I19" s="126" t="inlineStr">
        <is>
          <t>Onboarding - Contrat</t>
        </is>
      </c>
      <c r="J19" s="126" t="n">
        <v>0</v>
      </c>
      <c r="K19" s="126" t="inlineStr">
        <is>
          <t>Non</t>
        </is>
      </c>
      <c r="V19" s="126" t="n"/>
      <c r="W19" s="126" t="n"/>
      <c r="AJ19" s="126" t="n"/>
      <c r="AK19" s="126" t="n"/>
      <c r="AL19" s="126" t="n"/>
      <c r="AM19" s="126" t="n"/>
      <c r="AN19" s="126" t="n"/>
      <c r="AO19" s="126" t="n"/>
      <c r="AP19" s="126" t="n"/>
      <c r="AQ19" s="126" t="inlineStr">
        <is>
          <t>2026-12</t>
        </is>
      </c>
    </row>
    <row r="20">
      <c r="A20" s="77" t="inlineStr">
        <is>
          <t>Après la 3e tentative et + (jours)</t>
        </is>
      </c>
      <c r="B20" s="125" t="n">
        <v>10</v>
      </c>
      <c r="I20" s="126" t="inlineStr">
        <is>
          <t>Onboarding - Accès</t>
        </is>
      </c>
      <c r="J20" s="126" t="n">
        <v>0</v>
      </c>
      <c r="K20" s="126" t="inlineStr">
        <is>
          <t>Non</t>
        </is>
      </c>
      <c r="V20" s="126" t="n"/>
      <c r="W20" s="126" t="n"/>
      <c r="AJ20" s="126" t="n"/>
      <c r="AK20" s="126" t="n"/>
      <c r="AL20" s="126" t="n"/>
      <c r="AM20" s="126" t="n"/>
      <c r="AN20" s="126" t="n"/>
      <c r="AO20" s="126" t="n"/>
      <c r="AP20" s="126" t="n"/>
      <c r="AQ20" s="126" t="inlineStr">
        <is>
          <t>2027-01</t>
        </is>
      </c>
    </row>
    <row r="21">
      <c r="A21" s="77" t="inlineStr">
        <is>
          <t>Arrêt conseillé après X tentatives sans réponse</t>
        </is>
      </c>
      <c r="B21" s="125" t="n">
        <v>5</v>
      </c>
      <c r="I21" s="126" t="inlineStr">
        <is>
          <t>Onboarding - Contenus</t>
        </is>
      </c>
      <c r="J21" s="126" t="n">
        <v>0</v>
      </c>
      <c r="K21" s="126" t="inlineStr">
        <is>
          <t>Non</t>
        </is>
      </c>
      <c r="AJ21" s="126" t="n"/>
      <c r="AK21" s="126" t="n"/>
      <c r="AL21" s="126" t="n"/>
      <c r="AM21" s="126" t="n"/>
      <c r="AN21" s="126" t="n"/>
      <c r="AO21" s="126" t="n"/>
      <c r="AP21" s="126" t="n"/>
      <c r="AQ21" s="126" t="inlineStr">
        <is>
          <t>2027-02</t>
        </is>
      </c>
    </row>
    <row r="22">
      <c r="I22" s="126" t="inlineStr">
        <is>
          <t>Onboarding - Lancement</t>
        </is>
      </c>
      <c r="J22" s="126" t="n">
        <v>0</v>
      </c>
      <c r="K22" s="126" t="inlineStr">
        <is>
          <t>Non</t>
        </is>
      </c>
      <c r="AJ22" s="126" t="n"/>
      <c r="AK22" s="126" t="n"/>
      <c r="AL22" s="126" t="n"/>
      <c r="AM22" s="126" t="n"/>
      <c r="AN22" s="126" t="n"/>
      <c r="AO22" s="126" t="n"/>
      <c r="AP22" s="126" t="n"/>
      <c r="AQ22" s="126" t="inlineStr">
        <is>
          <t>2027-03</t>
        </is>
      </c>
    </row>
    <row r="23">
      <c r="A23" s="124" t="inlineStr">
        <is>
          <t>ALERTES</t>
        </is>
      </c>
      <c r="I23" s="126" t="inlineStr">
        <is>
          <t>Demande d'avis Google</t>
        </is>
      </c>
      <c r="J23" s="126" t="n">
        <v>0</v>
      </c>
      <c r="K23" s="126" t="inlineStr">
        <is>
          <t>Non</t>
        </is>
      </c>
      <c r="AJ23" s="126" t="n"/>
      <c r="AK23" s="126" t="n"/>
      <c r="AL23" s="126" t="n"/>
      <c r="AM23" s="126" t="n"/>
      <c r="AN23" s="126" t="n"/>
      <c r="AO23" s="126" t="n"/>
      <c r="AP23" s="126" t="n"/>
      <c r="AQ23" s="126" t="inlineStr">
        <is>
          <t>2027-04</t>
        </is>
      </c>
    </row>
    <row r="24">
      <c r="A24" s="77" t="inlineStr">
        <is>
          <t>Prospect sans action depuis (jours)</t>
        </is>
      </c>
      <c r="B24" s="125" t="n">
        <v>7</v>
      </c>
      <c r="I24" s="126" t="inlineStr">
        <is>
          <t>Satisfaction client</t>
        </is>
      </c>
      <c r="J24" s="126" t="n">
        <v>0</v>
      </c>
      <c r="K24" s="126" t="inlineStr">
        <is>
          <t>Non</t>
        </is>
      </c>
      <c r="AJ24" s="126" t="n"/>
      <c r="AK24" s="126" t="n"/>
      <c r="AL24" s="126" t="n"/>
      <c r="AM24" s="126" t="n"/>
      <c r="AN24" s="126" t="n"/>
      <c r="AO24" s="126" t="n"/>
      <c r="AP24" s="126" t="n"/>
      <c r="AQ24" s="126" t="inlineStr">
        <is>
          <t>2027-05</t>
        </is>
      </c>
    </row>
    <row r="25">
      <c r="A25" s="77" t="inlineStr">
        <is>
          <t>Proposition sans réponse depuis (jours)</t>
        </is>
      </c>
      <c r="B25" s="125" t="n">
        <v>3</v>
      </c>
      <c r="I25" s="126" t="inlineStr">
        <is>
          <t>Résiliation</t>
        </is>
      </c>
      <c r="J25" s="126" t="n">
        <v>0</v>
      </c>
      <c r="K25" s="126" t="inlineStr">
        <is>
          <t>Non</t>
        </is>
      </c>
      <c r="AJ25" s="126" t="n"/>
      <c r="AK25" s="126" t="n"/>
      <c r="AL25" s="126" t="n"/>
      <c r="AM25" s="126" t="n"/>
      <c r="AN25" s="126" t="n"/>
      <c r="AO25" s="126" t="n"/>
      <c r="AP25" s="126" t="n"/>
      <c r="AQ25" s="126" t="inlineStr">
        <is>
          <t>2027-06</t>
        </is>
      </c>
    </row>
    <row r="26">
      <c r="A26" s="77" t="inlineStr">
        <is>
          <t>Validité d'une proposition (jours)</t>
        </is>
      </c>
      <c r="B26" s="125" t="n">
        <v>15</v>
      </c>
      <c r="I26" s="126" t="inlineStr">
        <is>
          <t>Perdu</t>
        </is>
      </c>
      <c r="J26" s="126" t="n">
        <v>0</v>
      </c>
      <c r="K26" s="126" t="inlineStr">
        <is>
          <t>Non</t>
        </is>
      </c>
      <c r="AJ26" s="126" t="n"/>
      <c r="AK26" s="126" t="n"/>
      <c r="AL26" s="126" t="n"/>
      <c r="AM26" s="126" t="n"/>
      <c r="AN26" s="126" t="n"/>
      <c r="AO26" s="126" t="n"/>
      <c r="AP26" s="126" t="n"/>
      <c r="AQ26" s="126" t="inlineStr">
        <is>
          <t>2027-07</t>
        </is>
      </c>
    </row>
    <row r="27">
      <c r="A27" s="77" t="inlineStr">
        <is>
          <t>Délai de paiement avant retard (jours)</t>
        </is>
      </c>
      <c r="B27" s="125" t="n">
        <v>30</v>
      </c>
      <c r="I27" s="126" t="inlineStr">
        <is>
          <t>Dépense</t>
        </is>
      </c>
      <c r="J27" s="126" t="n">
        <v>0</v>
      </c>
      <c r="K27" s="126" t="inlineStr">
        <is>
          <t>Non</t>
        </is>
      </c>
      <c r="AJ27" s="126" t="n"/>
      <c r="AK27" s="126" t="n"/>
      <c r="AL27" s="126" t="n"/>
      <c r="AM27" s="126" t="n"/>
      <c r="AN27" s="126" t="n"/>
      <c r="AO27" s="126" t="n"/>
      <c r="AP27" s="126" t="n"/>
      <c r="AQ27" s="126" t="inlineStr">
        <is>
          <t>2027-08</t>
        </is>
      </c>
    </row>
    <row r="28">
      <c r="A28" s="77" t="inlineStr">
        <is>
          <t>Recontacter un perdu après (jours)</t>
        </is>
      </c>
      <c r="B28" s="125" t="n">
        <v>90</v>
      </c>
      <c r="I28" s="126" t="inlineStr">
        <is>
          <t>Note</t>
        </is>
      </c>
      <c r="J28" s="126" t="n">
        <v>0</v>
      </c>
      <c r="K28" s="126" t="inlineStr">
        <is>
          <t>Non</t>
        </is>
      </c>
      <c r="AJ28" s="126" t="n"/>
      <c r="AK28" s="126" t="n"/>
      <c r="AL28" s="126" t="n"/>
      <c r="AM28" s="126" t="n"/>
      <c r="AN28" s="126" t="n"/>
      <c r="AO28" s="126" t="n"/>
      <c r="AP28" s="126" t="n"/>
      <c r="AQ28" s="126" t="inlineStr">
        <is>
          <t>2027-09</t>
        </is>
      </c>
    </row>
    <row r="29">
      <c r="A29" s="77" t="inlineStr">
        <is>
          <t>Demander un avis Google après (jours)</t>
        </is>
      </c>
      <c r="B29" s="125" t="n">
        <v>30</v>
      </c>
      <c r="I29" s="126" t="n"/>
      <c r="J29" s="126" t="n"/>
      <c r="K29" s="126" t="n"/>
      <c r="AJ29" s="126" t="n"/>
      <c r="AK29" s="126" t="n"/>
      <c r="AL29" s="126" t="n"/>
      <c r="AM29" s="126" t="n"/>
      <c r="AN29" s="126" t="n"/>
      <c r="AO29" s="126" t="n"/>
      <c r="AP29" s="126" t="n"/>
      <c r="AQ29" s="126" t="inlineStr">
        <is>
          <t>2027-10</t>
        </is>
      </c>
    </row>
    <row r="30">
      <c r="A30" s="77" t="inlineStr">
        <is>
          <t>Alerte renouvellement (jours avant)</t>
        </is>
      </c>
      <c r="B30" s="125" t="n">
        <v>30</v>
      </c>
      <c r="I30" s="126" t="n"/>
      <c r="J30" s="126" t="n"/>
      <c r="K30" s="126" t="n"/>
      <c r="AJ30" s="126" t="n"/>
      <c r="AK30" s="126" t="n"/>
      <c r="AL30" s="126" t="n"/>
      <c r="AM30" s="126" t="n"/>
      <c r="AN30" s="126" t="n"/>
      <c r="AO30" s="126" t="n"/>
      <c r="AP30" s="126" t="n"/>
      <c r="AQ30" s="126" t="inlineStr">
        <is>
          <t>2027-11</t>
        </is>
      </c>
    </row>
    <row r="31">
      <c r="I31" s="126" t="n"/>
      <c r="J31" s="126" t="n"/>
      <c r="K31" s="126" t="n"/>
      <c r="AJ31" s="126" t="n"/>
      <c r="AK31" s="126" t="n"/>
      <c r="AL31" s="126" t="n"/>
      <c r="AM31" s="126" t="n"/>
      <c r="AN31" s="126" t="n"/>
      <c r="AO31" s="126" t="n"/>
      <c r="AP31" s="126" t="n"/>
      <c r="AQ31" s="126" t="inlineStr">
        <is>
          <t>2027-12</t>
        </is>
      </c>
    </row>
    <row r="32">
      <c r="A32" s="124" t="inlineStr">
        <is>
          <t>CLIENTS</t>
        </is>
      </c>
      <c r="I32" s="126" t="n"/>
      <c r="J32" s="126" t="n"/>
      <c r="K32" s="126" t="n"/>
      <c r="AJ32" s="126" t="n"/>
      <c r="AK32" s="126" t="n"/>
      <c r="AL32" s="126" t="n"/>
      <c r="AM32" s="126" t="n"/>
      <c r="AN32" s="126" t="n"/>
      <c r="AO32" s="126" t="n"/>
      <c r="AP32" s="126" t="n"/>
      <c r="AQ32" s="126" t="inlineStr">
        <is>
          <t>2028-01</t>
        </is>
      </c>
    </row>
    <row r="33">
      <c r="A33" s="77" t="inlineStr">
        <is>
          <t>Durée d'engagement (mois)</t>
        </is>
      </c>
      <c r="B33" s="125" t="n">
        <v>12</v>
      </c>
      <c r="I33" s="126" t="n"/>
      <c r="J33" s="126" t="n"/>
      <c r="K33" s="126" t="n"/>
      <c r="AJ33" s="126" t="n"/>
      <c r="AK33" s="126" t="n"/>
      <c r="AL33" s="126" t="n"/>
      <c r="AM33" s="126" t="n"/>
      <c r="AN33" s="126" t="n"/>
      <c r="AO33" s="126" t="n"/>
      <c r="AP33" s="126" t="n"/>
      <c r="AQ33" s="126" t="inlineStr">
        <is>
          <t>2028-02</t>
        </is>
      </c>
    </row>
    <row r="34">
      <c r="A34" s="77" t="inlineStr">
        <is>
          <t>Durée de vie moyenne d'un client (mois)</t>
        </is>
      </c>
      <c r="B34" s="125" t="n">
        <v>18</v>
      </c>
      <c r="AJ34" s="126" t="n"/>
      <c r="AK34" s="126" t="n"/>
      <c r="AL34" s="126" t="n"/>
      <c r="AM34" s="126" t="n"/>
      <c r="AN34" s="126" t="n"/>
      <c r="AO34" s="126" t="n"/>
      <c r="AP34" s="126" t="n"/>
      <c r="AQ34" s="126" t="inlineStr">
        <is>
          <t>2028-03</t>
        </is>
      </c>
    </row>
    <row r="35">
      <c r="A35" s="77" t="inlineStr">
        <is>
          <t>Indicatif pays WhatsApp</t>
        </is>
      </c>
      <c r="B35" s="125" t="inlineStr">
        <is>
          <t>33</t>
        </is>
      </c>
      <c r="AJ35" s="126" t="n"/>
      <c r="AK35" s="126" t="n"/>
      <c r="AL35" s="126" t="n"/>
      <c r="AM35" s="126" t="n"/>
      <c r="AN35" s="126" t="n"/>
      <c r="AO35" s="126" t="n"/>
      <c r="AP35" s="126" t="n"/>
      <c r="AQ35" s="126" t="inlineStr">
        <is>
          <t>2028-04</t>
        </is>
      </c>
    </row>
    <row r="36">
      <c r="AJ36" s="126" t="n"/>
      <c r="AK36" s="126" t="n"/>
      <c r="AL36" s="126" t="n"/>
      <c r="AM36" s="126" t="n"/>
      <c r="AN36" s="126" t="n"/>
      <c r="AO36" s="126" t="n"/>
      <c r="AP36" s="126" t="n"/>
      <c r="AQ36" s="126" t="inlineStr">
        <is>
          <t>2028-05</t>
        </is>
      </c>
    </row>
    <row r="37">
      <c r="A37" s="124" t="inlineStr">
        <is>
          <t>SCORE DE PRIORITÉ (points)</t>
        </is>
      </c>
      <c r="AJ37" s="126" t="n"/>
      <c r="AK37" s="126" t="n"/>
      <c r="AL37" s="126" t="n"/>
      <c r="AM37" s="126" t="n"/>
      <c r="AN37" s="126" t="n"/>
      <c r="AO37" s="126" t="n"/>
      <c r="AP37" s="126" t="n"/>
      <c r="AQ37" s="126" t="inlineStr">
        <is>
          <t>2028-06</t>
        </is>
      </c>
    </row>
    <row r="38">
      <c r="A38" s="77" t="inlineStr">
        <is>
          <t>Pub Instagram active</t>
        </is>
      </c>
      <c r="B38" s="125" t="n">
        <v>30</v>
      </c>
      <c r="AJ38" s="126" t="n"/>
      <c r="AK38" s="126" t="n"/>
      <c r="AL38" s="126" t="n"/>
      <c r="AM38" s="126" t="n"/>
      <c r="AN38" s="126" t="n"/>
      <c r="AO38" s="126" t="n"/>
      <c r="AP38" s="126" t="n"/>
      <c r="AQ38" s="126" t="inlineStr">
        <is>
          <t>2028-07</t>
        </is>
      </c>
    </row>
    <row r="39">
      <c r="A39" s="77" t="inlineStr">
        <is>
          <t>Pub régulière</t>
        </is>
      </c>
      <c r="B39" s="125" t="n">
        <v>10</v>
      </c>
      <c r="AJ39" s="126" t="n"/>
      <c r="AK39" s="126" t="n"/>
      <c r="AL39" s="126" t="n"/>
      <c r="AM39" s="126" t="n"/>
      <c r="AN39" s="126" t="n"/>
      <c r="AO39" s="126" t="n"/>
      <c r="AP39" s="126" t="n"/>
      <c r="AQ39" s="126" t="inlineStr">
        <is>
          <t>2028-08</t>
        </is>
      </c>
    </row>
    <row r="40">
      <c r="A40" s="77" t="inlineStr">
        <is>
          <t>Pub repérée il y a moins de 30 jours</t>
        </is>
      </c>
      <c r="B40" s="125" t="n">
        <v>10</v>
      </c>
      <c r="AJ40" s="126" t="n"/>
      <c r="AK40" s="126" t="n"/>
      <c r="AL40" s="126" t="n"/>
      <c r="AM40" s="126" t="n"/>
      <c r="AN40" s="126" t="n"/>
      <c r="AO40" s="126" t="n"/>
      <c r="AP40" s="126" t="n"/>
      <c r="AQ40" s="126" t="inlineStr">
        <is>
          <t>2028-09</t>
        </is>
      </c>
    </row>
    <row r="41">
      <c r="A41" s="77" t="inlineStr">
        <is>
          <t>Pas de site internet</t>
        </is>
      </c>
      <c r="B41" s="125" t="n">
        <v>20</v>
      </c>
      <c r="AJ41" s="126" t="n"/>
      <c r="AK41" s="126" t="n"/>
      <c r="AL41" s="126" t="n"/>
      <c r="AM41" s="126" t="n"/>
      <c r="AN41" s="126" t="n"/>
      <c r="AO41" s="126" t="n"/>
      <c r="AP41" s="126" t="n"/>
      <c r="AQ41" s="126" t="inlineStr">
        <is>
          <t>2028-10</t>
        </is>
      </c>
    </row>
    <row r="42">
      <c r="A42" s="77" t="inlineStr">
        <is>
          <t>Présence Google absente</t>
        </is>
      </c>
      <c r="B42" s="125" t="n">
        <v>20</v>
      </c>
      <c r="AJ42" s="126" t="n"/>
      <c r="AK42" s="126" t="n"/>
      <c r="AL42" s="126" t="n"/>
      <c r="AM42" s="126" t="n"/>
      <c r="AN42" s="126" t="n"/>
      <c r="AO42" s="126" t="n"/>
      <c r="AP42" s="126" t="n"/>
      <c r="AQ42" s="126" t="inlineStr">
        <is>
          <t>2028-11</t>
        </is>
      </c>
    </row>
    <row r="43">
      <c r="A43" s="77" t="inlineStr">
        <is>
          <t>Présence Google faible</t>
        </is>
      </c>
      <c r="B43" s="125" t="n">
        <v>10</v>
      </c>
      <c r="AJ43" s="126" t="n"/>
      <c r="AK43" s="126" t="n"/>
      <c r="AL43" s="126" t="n"/>
      <c r="AM43" s="126" t="n"/>
      <c r="AN43" s="126" t="n"/>
      <c r="AO43" s="126" t="n"/>
      <c r="AP43" s="126" t="n"/>
      <c r="AQ43" s="126" t="inlineStr">
        <is>
          <t>2028-12</t>
        </is>
      </c>
    </row>
    <row r="44">
      <c r="A44" s="77" t="inlineStr">
        <is>
          <t>Note Google inférieure à 4</t>
        </is>
      </c>
      <c r="B44" s="125" t="n">
        <v>10</v>
      </c>
    </row>
    <row r="45">
      <c r="A45" s="77" t="inlineStr">
        <is>
          <t>Entreprise moyenne</t>
        </is>
      </c>
      <c r="B45" s="125" t="n">
        <v>5</v>
      </c>
    </row>
    <row r="46">
      <c r="A46" s="77" t="inlineStr">
        <is>
          <t>Grande entreprise</t>
        </is>
      </c>
      <c r="B46" s="125" t="n">
        <v>10</v>
      </c>
    </row>
    <row r="47">
      <c r="A47" s="77" t="inlineStr">
        <is>
          <t>Recommandé par quelqu'un</t>
        </is>
      </c>
      <c r="B47" s="125" t="n">
        <v>15</v>
      </c>
    </row>
  </sheetData>
  <mergeCells count="20">
    <mergeCell ref="F4:G4"/>
    <mergeCell ref="D4"/>
    <mergeCell ref="AG4:AH4"/>
    <mergeCell ref="V4:W4"/>
    <mergeCell ref="Y4"/>
    <mergeCell ref="AE4"/>
    <mergeCell ref="A37:B37"/>
    <mergeCell ref="A2:AD2"/>
    <mergeCell ref="I4:K4"/>
    <mergeCell ref="M4:O4"/>
    <mergeCell ref="A5:B5"/>
    <mergeCell ref="A32:B32"/>
    <mergeCell ref="A23:B23"/>
    <mergeCell ref="A17:B17"/>
    <mergeCell ref="Q4:T4"/>
    <mergeCell ref="AA4"/>
    <mergeCell ref="AJ4:AQ4"/>
    <mergeCell ref="AC4"/>
    <mergeCell ref="A10:B10"/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04040"/>
    <outlinePr summaryBelow="1" summaryRight="1"/>
    <pageSetUpPr/>
  </sheetPr>
  <dimension ref="A1:E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70" customWidth="1" min="3" max="3"/>
    <col width="30" customWidth="1" min="4" max="4"/>
    <col width="24" customWidth="1" min="5" max="5"/>
  </cols>
  <sheetData>
    <row r="1" ht="34" customHeight="1">
      <c r="A1" s="1" t="inlineStr">
        <is>
          <t>📘 SOP — PROCÉDURES ET SCRIPTS</t>
        </is>
      </c>
      <c r="B1" s="2" t="n"/>
      <c r="C1" s="2" t="n"/>
      <c r="D1" s="2" t="n"/>
      <c r="E1" s="2" t="n"/>
    </row>
    <row r="2" ht="40" customHeight="1">
      <c r="A2" s="3" t="inlineStr">
        <is>
          <t>Instagram → Prospect identifié → DM ou Appel direct → Qualification → Audit/Démo → RDV → Proposition → Client. À adapter librement.</t>
        </is>
      </c>
      <c r="B2" s="4" t="n"/>
      <c r="C2" s="4" t="n"/>
      <c r="D2" s="4" t="n"/>
      <c r="E2" s="4" t="n"/>
    </row>
    <row r="3">
      <c r="B3" s="5">
        <f>HYPERLINK("#'Saisie'!A1","↩ Saisie")</f>
        <v/>
      </c>
      <c r="C3" s="5">
        <f>HYPERLINK("#'Ma journée'!A1","☀ Ma journée")</f>
        <v/>
      </c>
      <c r="D3" s="5">
        <f>HYPERLINK("#'Tableau de bord'!A1","📊 Tableau de bord")</f>
        <v/>
      </c>
    </row>
    <row r="4" ht="22" customHeight="1">
      <c r="A4" s="51" t="inlineStr">
        <is>
          <t>N°</t>
        </is>
      </c>
      <c r="B4" s="51" t="inlineStr">
        <is>
          <t>Procédure</t>
        </is>
      </c>
      <c r="C4" s="51" t="inlineStr">
        <is>
          <t>Étapes clés</t>
        </is>
      </c>
      <c r="D4" s="51" t="inlineStr">
        <is>
          <t>Dans Saisie</t>
        </is>
      </c>
      <c r="E4" s="51" t="inlineStr">
        <is>
          <t>KPI suivi</t>
        </is>
      </c>
    </row>
    <row r="5" ht="92" customHeight="1">
      <c r="A5" s="130" t="n">
        <v>1</v>
      </c>
      <c r="B5" s="131" t="inlineStr">
        <is>
          <t>Trouver un prospect</t>
        </is>
      </c>
      <c r="C5" s="132" t="inlineStr">
        <is>
          <t>1. Parcourir Instagram : pubs sponsorisées, hashtags locaux.
2. Garder les entreprises qui font de la pub avec un site faible ou absent.
3. Vérifier site + fiche Google (note, avis).
4. Noter téléphone, Instagram, date de la pub.</t>
        </is>
      </c>
      <c r="D5" s="132" t="inlineStr">
        <is>
          <t>Action « Ajout prospect » + fiche</t>
        </is>
      </c>
      <c r="E5" s="132" t="inlineStr">
        <is>
          <t>Prospects ajoutés</t>
        </is>
      </c>
    </row>
    <row r="6" ht="92" customHeight="1">
      <c r="A6" s="133" t="n">
        <v>2</v>
      </c>
      <c r="B6" s="134" t="inlineStr">
        <is>
          <t>Qualifier (grille)</t>
        </is>
      </c>
      <c r="C6" s="135" t="inlineStr">
        <is>
          <t>Budget : peut investir ?
Décideur : je parle à la bonne personne ?
Besoin : problème réel et reconnu ?
Délai : veut avancer dans le mois ?
3 ou 4 sur 4 = prospect chaud.</t>
        </is>
      </c>
      <c r="D6" s="135" t="inlineStr">
        <is>
          <t>Action « Qualification » + colonnes Qualification</t>
        </is>
      </c>
      <c r="E6" s="135" t="inlineStr">
        <is>
          <t>Qualif. (/4), Taux de qualification</t>
        </is>
      </c>
    </row>
    <row r="7" ht="92" customHeight="1">
      <c r="A7" s="130" t="n">
        <v>3</v>
      </c>
      <c r="B7" s="131" t="inlineStr">
        <is>
          <t>Appeler</t>
        </is>
      </c>
      <c r="C7" s="132" t="inlineStr">
        <is>
          <t>1. Ouvrir « Ma journée ».
2. Préparer 2-3 observations.
3. Suivre le script ci-dessous.
4. Saisir l'appel tout de suite : canal Appel, résultat, durée, heure.</t>
        </is>
      </c>
      <c r="D7" s="132" t="inlineStr">
        <is>
          <t>Canal = Appel</t>
        </is>
      </c>
      <c r="E7" s="132" t="inlineStr">
        <is>
          <t>Appels, Taux de réponse</t>
        </is>
      </c>
    </row>
    <row r="8" ht="92" customHeight="1">
      <c r="A8" s="133" t="n">
        <v>4</v>
      </c>
      <c r="B8" s="134" t="inlineStr">
        <is>
          <t>Envoyer un DM</t>
        </is>
      </c>
      <c r="C8" s="135" t="inlineStr">
        <is>
          <t>1. Interagir avant (like, story).
2. Message court et personnalisé.
3. Une seule question.
4. Choisir le modèle utilisé pour mesurer le test A/B.</t>
        </is>
      </c>
      <c r="D8" s="135" t="inlineStr">
        <is>
          <t>Canal = DM + Modèle</t>
        </is>
      </c>
      <c r="E8" s="135" t="inlineStr">
        <is>
          <t>DM, Taux par modèle</t>
        </is>
      </c>
    </row>
    <row r="9" ht="92" customHeight="1">
      <c r="A9" s="130" t="n">
        <v>5</v>
      </c>
      <c r="B9" s="131" t="inlineStr">
        <is>
          <t>Faire un audit (checklist)</t>
        </is>
      </c>
      <c r="C9" s="132" t="inlineStr">
        <is>
          <t>Site : vitesse, mobile, réservation, appel à l'action.
Google : fiche, photos, note, avis.
Instagram : bio, lien, régularité.
Pubs : cible, message, page d'arrivée.
Avis : réponses, volume.
Note sur 100.</t>
        </is>
      </c>
      <c r="D9" s="132" t="inlineStr">
        <is>
          <t>Action « Audit réalisé » + Durée + Note</t>
        </is>
      </c>
      <c r="E9" s="132" t="inlineStr">
        <is>
          <t>Temps et note moyenne d'audit</t>
        </is>
      </c>
    </row>
    <row r="10" ht="92" customHeight="1">
      <c r="A10" s="133" t="n">
        <v>6</v>
      </c>
      <c r="B10" s="134" t="inlineStr">
        <is>
          <t>Créer un Loom</t>
        </is>
      </c>
      <c r="C10" s="135" t="inlineStr">
        <is>
          <t>Vidéo de 3 à 5 min : son site actuel, les 3 problèmes, la démo, puis la demande de RDV.</t>
        </is>
      </c>
      <c r="D10" s="135" t="inlineStr">
        <is>
          <t>Action « Loom envoyé », résultat « Loom vu »</t>
        </is>
      </c>
      <c r="E10" s="135" t="inlineStr">
        <is>
          <t>Taux d'ouverture Loom</t>
        </is>
      </c>
    </row>
    <row r="11" ht="92" customHeight="1">
      <c r="A11" s="130" t="n">
        <v>7</v>
      </c>
      <c r="B11" s="131" t="inlineStr">
        <is>
          <t>Présenter la démo</t>
        </is>
      </c>
      <c r="C11" s="132" t="inlineStr">
        <is>
          <t>1. Rappeler ses objectifs.
2. Montrer la démo du secteur sur mobile (lien dans Paramètres).
3. Relier chaque élément à un gain.
4. Obtenir le RDV.</t>
        </is>
      </c>
      <c r="D11" s="132" t="inlineStr">
        <is>
          <t>Action « Démo présentée » / « RDV »</t>
        </is>
      </c>
      <c r="E11" s="132" t="inlineStr">
        <is>
          <t>Taux de RDV</t>
        </is>
      </c>
    </row>
    <row r="12" ht="92" customHeight="1">
      <c r="A12" s="133" t="n">
        <v>8</v>
      </c>
      <c r="B12" s="134" t="inlineStr">
        <is>
          <t>Relancer (séquence)</t>
        </is>
      </c>
      <c r="C12" s="135" t="inlineStr">
        <is>
          <t>J+2, J+5, puis J+10 (automatique si la date de relance est vide).
Stop conseillé après 5 tentatives sans réponse.
Chaque relance apporte une nouveauté.</t>
        </is>
      </c>
      <c r="D12" s="135" t="inlineStr">
        <is>
          <t>Action « Relance »</t>
        </is>
      </c>
      <c r="E12" s="135" t="inlineStr">
        <is>
          <t>Relances en retard = 0</t>
        </is>
      </c>
    </row>
    <row r="13" ht="92" customHeight="1">
      <c r="A13" s="130" t="n">
        <v>9</v>
      </c>
      <c r="B13" s="131" t="inlineStr">
        <is>
          <t>Répondre aux objections</t>
        </is>
      </c>
      <c r="C13" s="132" t="inlineStr">
        <is>
          <t>« Pas le temps » → « Justement, 15 min pour vous en faire gagner chaque semaine. »
« J'ai déjà quelqu'un » → « Parfait, l'audit vous dira s'il fait le maximum. »
« C'est combien ? » → « Ça dépend de ce dont vous avez besoin, l'audit gratuit sert à ça. »</t>
        </is>
      </c>
      <c r="D13" s="132" t="inlineStr">
        <is>
          <t>Colonne Objection</t>
        </is>
      </c>
      <c r="E13" s="132" t="inlineStr">
        <is>
          <t>Objections les plus fréquentes</t>
        </is>
      </c>
    </row>
    <row r="14" ht="92" customHeight="1">
      <c r="A14" s="133" t="n">
        <v>10</v>
      </c>
      <c r="B14" s="134" t="inlineStr">
        <is>
          <t>Envoyer une proposition</t>
        </is>
      </c>
      <c r="C14" s="135" t="inlineStr">
        <is>
          <t>1. Reprendre besoin et audit.
2. Offre de la grille (+ option).
3. Prix, délais, livrables.
4. Date de décision (validité 15 j).</t>
        </is>
      </c>
      <c r="D14" s="135" t="inlineStr">
        <is>
          <t>Action « Proposition envoyée » + Offre</t>
        </is>
      </c>
      <c r="E14" s="135" t="inlineStr">
        <is>
          <t>Taux de closing</t>
        </is>
      </c>
    </row>
    <row r="15" ht="92" customHeight="1">
      <c r="A15" s="130" t="n">
        <v>11</v>
      </c>
      <c r="B15" s="131" t="inlineStr">
        <is>
          <t>Onboarder un client</t>
        </is>
      </c>
      <c r="C15" s="132" t="inlineStr">
        <is>
          <t>Contrat → Accès → Contenus → Lancement.
À J+30 : demander un avis Google.
Chaque trimestre : note de satisfaction.</t>
        </is>
      </c>
      <c r="D15" s="132" t="inlineStr">
        <is>
          <t>Actions « Onboarding - … », « Demande d'avis Google »</t>
        </is>
      </c>
      <c r="E15" s="132" t="inlineStr">
        <is>
          <t>Onboarding %, Satisfaction</t>
        </is>
      </c>
    </row>
    <row r="16" ht="92" customHeight="1">
      <c r="A16" s="133" t="n">
        <v>12</v>
      </c>
      <c r="B16" s="134" t="inlineStr">
        <is>
          <t>Revue hebdo (lundi, 15 min)</t>
        </is>
      </c>
      <c r="C16" s="135" t="inlineStr">
        <is>
          <t>1. Tableau de bord, mois en cours.
2. Comparer les canaux : CA / heure, heures / client.
3. Meilleurs créneaux et accroches.
4. Objections principales → ajuster le discours.
5. Fixer les objectifs de la semaine.</t>
        </is>
      </c>
      <c r="D16" s="135" t="inlineStr">
        <is>
          <t>—</t>
        </is>
      </c>
      <c r="E16" s="135" t="inlineStr">
        <is>
          <t>Tous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2026-09-26T19:56:40Z</dcterms:created>
  <dcterms:modified xsi:type="dcterms:W3CDTF">2026-09-26T19:56:50Z</dcterms:modified>
</cp:coreProperties>
</file>